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spreadsheetml.comments+xml" PartName="/xl/comments14.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10.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drawing+xml" PartName="/xl/drawings/drawing15.xml"/>
  <Override ContentType="application/vnd.openxmlformats-officedocument.drawing+xml" PartName="/xl/drawings/drawing16.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openxmlformats-officedocument.drawing+xml" PartName="/xl/drawings/drawing9.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17.xml"/>
  <Override ContentType="application/vnd.openxmlformats-officedocument.spreadsheetml.externalLink+xml" PartName="/xl/externalLinks/externalLink18.xml"/>
  <Override ContentType="application/vnd.openxmlformats-officedocument.spreadsheetml.externalLink+xml" PartName="/xl/externalLinks/externalLink19.xml"/>
  <Override ContentType="application/vnd.openxmlformats-officedocument.spreadsheetml.externalLink+xml" PartName="/xl/externalLinks/externalLink2.xml"/>
  <Override ContentType="application/vnd.openxmlformats-officedocument.spreadsheetml.externalLink+xml" PartName="/xl/externalLinks/externalLink20.xml"/>
  <Override ContentType="application/vnd.openxmlformats-officedocument.spreadsheetml.externalLink+xml" PartName="/xl/externalLinks/externalLink21.xml"/>
  <Override ContentType="application/vnd.openxmlformats-officedocument.spreadsheetml.externalLink+xml" PartName="/xl/externalLinks/externalLink22.xml"/>
  <Override ContentType="application/vnd.openxmlformats-officedocument.spreadsheetml.externalLink+xml" PartName="/xl/externalLinks/externalLink23.xml"/>
  <Override ContentType="application/vnd.openxmlformats-officedocument.spreadsheetml.externalLink+xml" PartName="/xl/externalLinks/externalLink24.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0" yWindow="1110" windowWidth="14160" windowHeight="2430" tabRatio="917"/>
  </bookViews>
  <sheets>
    <sheet name="ImportantDisclosures" sheetId="72" r:id="rId1"/>
    <sheet name="SheetVisibilityStatus" sheetId="76" state="veryHidden" r:id="rId2"/>
    <sheet name="CircularReferenceAlert" sheetId="75" r:id="rId3"/>
    <sheet name="Cover" sheetId="18" state="veryHidden" r:id="rId4"/>
    <sheet name="__FDSCACHE__" sheetId="19" state="veryHidden" r:id="rId5"/>
    <sheet name="Valuation" sheetId="41" state="veryHidden" r:id="rId6"/>
    <sheet name="Financials" sheetId="3" state="veryHidden" r:id="rId7"/>
    <sheet name="AEP" sheetId="4" state="veryHidden" r:id="rId8"/>
    <sheet name="Utility Detail" sheetId="44" state="veryHidden" r:id="rId9"/>
    <sheet name="Vertically Integrated Utilities" sheetId="5" state="veryHidden" r:id="rId10"/>
    <sheet name="T&amp;D Utilities" sheetId="8" state="veryHidden" r:id="rId11"/>
    <sheet name="Transmission Holdco" sheetId="45" state="veryHidden" r:id="rId12"/>
    <sheet name="Generation &amp; Marketing" sheetId="47" state="veryHidden" r:id="rId13"/>
    <sheet name="Parent" sheetId="9" state="veryHidden" r:id="rId14"/>
    <sheet name="Debt" sheetId="10" state="veryHidden" r:id="rId15"/>
    <sheet name="Market Prices" sheetId="56" state="veryHidden" r:id="rId16"/>
    <sheet name="Plant List" sheetId="69" state="veryHidden" r:id="rId17"/>
    <sheet name="AEP River" sheetId="66" state="veryHidden" r:id="rId18"/>
    <sheet name="Plant Portfolio" sheetId="52" state="veryHidden" r:id="rId19"/>
    <sheet name="IndexInformation" sheetId="73" state="veryHidden" r:id="rId20"/>
    <sheet name="ModPubIndex" sheetId="74" state="veryHidden" r:id="rId21"/>
    <sheet name="AFOSHEET" sheetId="62" state="veryHidden" r:id="rId22"/>
    <sheet name="MW-Cache" sheetId="17" state="veryHidden" r:id="rId23"/>
  </sheets>
  <externalReferences>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s>
  <definedNames>
    <definedName name="__FDS_HYPERLINK_TOGGLE_STATE__" hidden="1">"ON"</definedName>
    <definedName name="__FDS_UNIQUE_RANGE_ID_GENERATOR_COUNTER" hidden="1">1</definedName>
    <definedName name="__FDS_USED_FOR_REUSING_RANGE_IDS_RECYCLE" localSheetId="15" hidden="1">{1,1,1,1,1,1,1,1,1,1,1,1,1,1,1,1,1,1,1,1,1,1,1,1,1,1,1,1,1,1}</definedName>
    <definedName name="__FDS_USED_FOR_REUSING_RANGE_IDS_RECYCLE" localSheetId="16" hidden="1">{1,1,1,1,1,1,1,1,1,1,1,1,1,1,1,1,1,1,1,1,1,1,1,1,1,1,1,1,1,1}</definedName>
    <definedName name="__FDS_USED_FOR_REUSING_RANGE_IDS_RECYCLE" hidden="1">{1,1,1,1,1,1,1,1,1,1,1,1,1,1,1,1,1,1,1,1,1,1,1,1,1,1,1,1,1,1}</definedName>
    <definedName name="_1__FDSAUDITLINK__" localSheetId="17" hidden="1">{"fdsup://directions/FAT Viewer?action=UPDATE&amp;creator=factset&amp;DYN_ARGS=TRUE&amp;DOC_NAME=FAT:FQL_AUDITING_CLIENT_TEMPLATE.FAT&amp;display_string=Audit&amp;VAR:KEY=NEPKPEBABG&amp;VAR:QUERY=RkZfRUJJVERBX0lCKEFOTiwyMDA4KQ==&amp;WINDOW=FIRST_POPUP&amp;HEIGHT=450&amp;WIDTH=450&amp;START_MAXIMI","ZED=FALSE&amp;VAR:CALENDAR=FIVEDAY&amp;VAR:SYMBOL=PFE&amp;VAR:INDEX=0"}</definedName>
    <definedName name="_1__FDSAUDITLINK__" localSheetId="12" hidden="1">{"fdsup://directions/FAT Viewer?action=UPDATE&amp;creator=factset&amp;DYN_ARGS=TRUE&amp;DOC_NAME=FAT:FQL_AUDITING_CLIENT_TEMPLATE.FAT&amp;display_string=Audit&amp;VAR:KEY=NEPKPEBABG&amp;VAR:QUERY=RkZfRUJJVERBX0lCKEFOTiwyMDA4KQ==&amp;WINDOW=FIRST_POPUP&amp;HEIGHT=450&amp;WIDTH=450&amp;START_MAXIMI","ZED=FALSE&amp;VAR:CALENDAR=FIVEDAY&amp;VAR:SYMBOL=PFE&amp;VAR:INDEX=0"}</definedName>
    <definedName name="_1__FDSAUDITLINK__" localSheetId="15" hidden="1">{"fdsup://directions/FAT Viewer?action=UPDATE&amp;creator=factset&amp;DYN_ARGS=TRUE&amp;DOC_NAME=FAT:FQL_AUDITING_CLIENT_TEMPLATE.FAT&amp;display_string=Audit&amp;VAR:KEY=NEPKPEBABG&amp;VAR:QUERY=RkZfRUJJVERBX0lCKEFOTiwyMDA4KQ==&amp;WINDOW=FIRST_POPUP&amp;HEIGHT=450&amp;WIDTH=450&amp;START_MAXIMI","ZED=FALSE&amp;VAR:CALENDAR=FIVEDAY&amp;VAR:SYMBOL=PFE&amp;VAR:INDEX=0"}</definedName>
    <definedName name="_1__FDSAUDITLINK__" localSheetId="16" hidden="1">{"fdsup://directions/FAT Viewer?action=UPDATE&amp;creator=factset&amp;DYN_ARGS=TRUE&amp;DOC_NAME=FAT:FQL_AUDITING_CLIENT_TEMPLATE.FAT&amp;display_string=Audit&amp;VAR:KEY=NEPKPEBABG&amp;VAR:QUERY=RkZfRUJJVERBX0lCKEFOTiwyMDA4KQ==&amp;WINDOW=FIRST_POPUP&amp;HEIGHT=450&amp;WIDTH=450&amp;START_MAXIMI","ZED=FALSE&amp;VAR:CALENDAR=FIVEDAY&amp;VAR:SYMBOL=PFE&amp;VAR:INDEX=0"}</definedName>
    <definedName name="_1__FDSAUDITLINK__" localSheetId="11" hidden="1">{"fdsup://directions/FAT Viewer?action=UPDATE&amp;creator=factset&amp;DYN_ARGS=TRUE&amp;DOC_NAME=FAT:FQL_AUDITING_CLIENT_TEMPLATE.FAT&amp;display_string=Audit&amp;VAR:KEY=NEPKPEBABG&amp;VAR:QUERY=RkZfRUJJVERBX0lCKEFOTiwyMDA4KQ==&amp;WINDOW=FIRST_POPUP&amp;HEIGHT=450&amp;WIDTH=450&amp;START_MAXIMI","ZED=FALSE&amp;VAR:CALENDAR=FIVEDAY&amp;VAR:SYMBOL=PFE&amp;VAR:INDEX=0"}</definedName>
    <definedName name="_1__FDSAUDITLINK__" localSheetId="5" hidden="1">{"fdsup://directions/FAT Viewer?action=UPDATE&amp;creator=factset&amp;DYN_ARGS=TRUE&amp;DOC_NAME=FAT:FQL_AUDITING_CLIENT_TEMPLATE.FAT&amp;display_string=Audit&amp;VAR:KEY=NEPKPEBABG&amp;VAR:QUERY=RkZfRUJJVERBX0lCKEFOTiwyMDA4KQ==&amp;WINDOW=FIRST_POPUP&amp;HEIGHT=450&amp;WIDTH=450&amp;START_MAXIMI","ZED=FALSE&amp;VAR:CALENDAR=FIVEDAY&amp;VAR:SYMBOL=PFE&amp;VAR:INDEX=0"}</definedName>
    <definedName name="_1__FDSAUDITLINK__" hidden="1">{"fdsup://directions/FAT Viewer?action=UPDATE&amp;creator=factset&amp;DYN_ARGS=TRUE&amp;DOC_NAME=FAT:FQL_AUDITING_CLIENT_TEMPLATE.FAT&amp;display_string=Audit&amp;VAR:KEY=NEPKPEBABG&amp;VAR:QUERY=RkZfRUJJVERBX0lCKEFOTiwyMDA4KQ==&amp;WINDOW=FIRST_POPUP&amp;HEIGHT=450&amp;WIDTH=450&amp;START_MAXIMI","ZED=FALSE&amp;VAR:CALENDAR=FIVEDAY&amp;VAR:SYMBOL=PFE&amp;VAR:INDEX=0"}</definedName>
    <definedName name="_10__FDSAUDITLINK__" localSheetId="17"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0__FDSAUDITLINK__" localSheetId="12"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0__FDSAUDITLINK__" localSheetId="15"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0__FDSAUDITLINK__" localSheetId="16"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0__FDSAUDITLINK__" localSheetId="11"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0__FDSAUDITLINK__" localSheetId="5"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0__FDSAUDITLINK__"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1__FDSAUDITLINK__" localSheetId="17"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1__FDSAUDITLINK__" localSheetId="12"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1__FDSAUDITLINK__" localSheetId="15"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1__FDSAUDITLINK__" localSheetId="16"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1__FDSAUDITLINK__" localSheetId="11"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1__FDSAUDITLINK__" localSheetId="5"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1__FDSAUDITLINK__"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2__FDSAUDITLINK__" localSheetId="17" hidden="1">{"fdsup://directions/FAT%20Viewer?VAR:PED=20071231&amp;VAR:PERIOD=FIXED&amp;VAR:V=10.315862&amp;VAR:AUDIT_ID=00000117&amp;VAR:DATE=20100309&amp;action=UPDATE&amp;creator=factset&amp;DOC_NAME=FAT:FMA_audit_DETAIL.fat&amp;DISPLAY_STRING=Display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2__FDSAUDITLINK__" localSheetId="12" hidden="1">{"fdsup://directions/FAT%20Viewer?VAR:PED=20071231&amp;VAR:PERIOD=FIXED&amp;VAR:V=10.315862&amp;VAR:AUDIT_ID=00000117&amp;VAR:DATE=20100309&amp;action=UPDATE&amp;creator=factset&amp;DOC_NAME=FAT:FMA_audit_DETAIL.fat&amp;DISPLAY_STRING=Display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2__FDSAUDITLINK__" localSheetId="15" hidden="1">{"fdsup://directions/FAT%20Viewer?VAR:PED=20071231&amp;VAR:PERIOD=FIXED&amp;VAR:V=10.315862&amp;VAR:AUDIT_ID=00000117&amp;VAR:DATE=20100309&amp;action=UPDATE&amp;creator=factset&amp;DOC_NAME=FAT:FMA_audit_DETAIL.fat&amp;DISPLAY_STRING=Display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2__FDSAUDITLINK__" localSheetId="16" hidden="1">{"fdsup://directions/FAT%20Viewer?VAR:PED=20071231&amp;VAR:PERIOD=FIXED&amp;VAR:V=10.315862&amp;VAR:AUDIT_ID=00000117&amp;VAR:DATE=20100309&amp;action=UPDATE&amp;creator=factset&amp;DOC_NAME=FAT:FMA_audit_DETAIL.fat&amp;DISPLAY_STRING=Display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2__FDSAUDITLINK__" localSheetId="11" hidden="1">{"fdsup://directions/FAT%20Viewer?VAR:PED=20071231&amp;VAR:PERIOD=FIXED&amp;VAR:V=10.315862&amp;VAR:AUDIT_ID=00000117&amp;VAR:DATE=20100309&amp;action=UPDATE&amp;creator=factset&amp;DOC_NAME=FAT:FMA_audit_DETAIL.fat&amp;DISPLAY_STRING=Display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2__FDSAUDITLINK__" localSheetId="5" hidden="1">{"fdsup://directions/FAT%20Viewer?VAR:PED=20071231&amp;VAR:PERIOD=FIXED&amp;VAR:V=10.315862&amp;VAR:AUDIT_ID=00000117&amp;VAR:DATE=20100309&amp;action=UPDATE&amp;creator=factset&amp;DOC_NAME=FAT:FMA_audit_DETAIL.fat&amp;DISPLAY_STRING=Display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2__FDSAUDITLINK__" hidden="1">{"fdsup://directions/FAT%20Viewer?VAR:PED=20071231&amp;VAR:PERIOD=FIXED&amp;VAR:V=10.315862&amp;VAR:AUDIT_ID=00000117&amp;VAR:DATE=20100309&amp;action=UPDATE&amp;creator=factset&amp;DOC_NAME=FAT:FMA_audit_DETAIL.fat&amp;DISPLAY_STRING=Display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3__FDSAUDITLINK__" localSheetId="17" hidden="1">{"fdsup://directions/FAT%20Viewer?VAR:PED=20071231&amp;VAR:PERIOD=FIXED&amp;VAR:V=5.958505&amp;VAR:AUDIT_ID=71692910&amp;VAR:DATE=20100322&amp;action=UPDATE&amp;creator=factset&amp;DOC_NAME=FAT:FMA_audit_DETAIL.fat&amp;DISPLAY_STRING=Display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3__FDSAUDITLINK__" localSheetId="12" hidden="1">{"fdsup://directions/FAT%20Viewer?VAR:PED=20071231&amp;VAR:PERIOD=FIXED&amp;VAR:V=5.958505&amp;VAR:AUDIT_ID=71692910&amp;VAR:DATE=20100322&amp;action=UPDATE&amp;creator=factset&amp;DOC_NAME=FAT:FMA_audit_DETAIL.fat&amp;DISPLAY_STRING=Display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3__FDSAUDITLINK__" localSheetId="15" hidden="1">{"fdsup://directions/FAT%20Viewer?VAR:PED=20071231&amp;VAR:PERIOD=FIXED&amp;VAR:V=5.958505&amp;VAR:AUDIT_ID=71692910&amp;VAR:DATE=20100322&amp;action=UPDATE&amp;creator=factset&amp;DOC_NAME=FAT:FMA_audit_DETAIL.fat&amp;DISPLAY_STRING=Display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3__FDSAUDITLINK__" localSheetId="16" hidden="1">{"fdsup://directions/FAT%20Viewer?VAR:PED=20071231&amp;VAR:PERIOD=FIXED&amp;VAR:V=5.958505&amp;VAR:AUDIT_ID=71692910&amp;VAR:DATE=20100322&amp;action=UPDATE&amp;creator=factset&amp;DOC_NAME=FAT:FMA_audit_DETAIL.fat&amp;DISPLAY_STRING=Display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3__FDSAUDITLINK__" localSheetId="11" hidden="1">{"fdsup://directions/FAT%20Viewer?VAR:PED=20071231&amp;VAR:PERIOD=FIXED&amp;VAR:V=5.958505&amp;VAR:AUDIT_ID=71692910&amp;VAR:DATE=20100322&amp;action=UPDATE&amp;creator=factset&amp;DOC_NAME=FAT:FMA_audit_DETAIL.fat&amp;DISPLAY_STRING=Display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3__FDSAUDITLINK__" localSheetId="5" hidden="1">{"fdsup://directions/FAT%20Viewer?VAR:PED=20071231&amp;VAR:PERIOD=FIXED&amp;VAR:V=5.958505&amp;VAR:AUDIT_ID=71692910&amp;VAR:DATE=20100322&amp;action=UPDATE&amp;creator=factset&amp;DOC_NAME=FAT:FMA_audit_DETAIL.fat&amp;DISPLAY_STRING=Display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3__FDSAUDITLINK__" hidden="1">{"fdsup://directions/FAT%20Viewer?VAR:PED=20071231&amp;VAR:PERIOD=FIXED&amp;VAR:V=5.958505&amp;VAR:AUDIT_ID=71692910&amp;VAR:DATE=20100322&amp;action=UPDATE&amp;creator=factset&amp;DOC_NAME=FAT:FMA_audit_DETAIL.fat&amp;DISPLAY_STRING=Display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4__FDSAUDITLINK__" localSheetId="17" hidden="1">{"fdsup://directions/FAT%20Viewer?VAR:PED=20071231&amp;VAR:PERIOD=FIXED&amp;VAR:V=10.299100&amp;VAR:AUDIT_ID=00000117&amp;VAR:DATE=20100322&amp;action=UPDATE&amp;creator=factset&amp;DOC_NAME=FAT:FMA_audit_DETAIL.fat&amp;DISPLAY_STRING=Display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4__FDSAUDITLINK__" localSheetId="12" hidden="1">{"fdsup://directions/FAT%20Viewer?VAR:PED=20071231&amp;VAR:PERIOD=FIXED&amp;VAR:V=10.299100&amp;VAR:AUDIT_ID=00000117&amp;VAR:DATE=20100322&amp;action=UPDATE&amp;creator=factset&amp;DOC_NAME=FAT:FMA_audit_DETAIL.fat&amp;DISPLAY_STRING=Display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4__FDSAUDITLINK__" localSheetId="15" hidden="1">{"fdsup://directions/FAT%20Viewer?VAR:PED=20071231&amp;VAR:PERIOD=FIXED&amp;VAR:V=10.299100&amp;VAR:AUDIT_ID=00000117&amp;VAR:DATE=20100322&amp;action=UPDATE&amp;creator=factset&amp;DOC_NAME=FAT:FMA_audit_DETAIL.fat&amp;DISPLAY_STRING=Display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4__FDSAUDITLINK__" localSheetId="16" hidden="1">{"fdsup://directions/FAT%20Viewer?VAR:PED=20071231&amp;VAR:PERIOD=FIXED&amp;VAR:V=10.299100&amp;VAR:AUDIT_ID=00000117&amp;VAR:DATE=20100322&amp;action=UPDATE&amp;creator=factset&amp;DOC_NAME=FAT:FMA_audit_DETAIL.fat&amp;DISPLAY_STRING=Display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4__FDSAUDITLINK__" localSheetId="11" hidden="1">{"fdsup://directions/FAT%20Viewer?VAR:PED=20071231&amp;VAR:PERIOD=FIXED&amp;VAR:V=10.299100&amp;VAR:AUDIT_ID=00000117&amp;VAR:DATE=20100322&amp;action=UPDATE&amp;creator=factset&amp;DOC_NAME=FAT:FMA_audit_DETAIL.fat&amp;DISPLAY_STRING=Display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4__FDSAUDITLINK__" localSheetId="5" hidden="1">{"fdsup://directions/FAT%20Viewer?VAR:PED=20071231&amp;VAR:PERIOD=FIXED&amp;VAR:V=10.299100&amp;VAR:AUDIT_ID=00000117&amp;VAR:DATE=20100322&amp;action=UPDATE&amp;creator=factset&amp;DOC_NAME=FAT:FMA_audit_DETAIL.fat&amp;DISPLAY_STRING=Display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4__FDSAUDITLINK__" hidden="1">{"fdsup://directions/FAT%20Viewer?VAR:PED=20071231&amp;VAR:PERIOD=FIXED&amp;VAR:V=10.299100&amp;VAR:AUDIT_ID=00000117&amp;VAR:DATE=20100322&amp;action=UPDATE&amp;creator=factset&amp;DOC_NAME=FAT:FMA_audit_DETAIL.fat&amp;DISPLAY_STRING=Display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5__FDSAUDITLINK__" localSheetId="17" hidden="1">{"fdsup://directions/FAT%20Viewer?VAR:PED=20071231&amp;VAR:PERIOD=FIXED&amp;VAR:V=5.913890&amp;VAR:AUDIT_ID=71692910&amp;VAR:DATE=20100409&amp;action=UPDATE&amp;creator=factset&amp;DOC_NAME=FAT:FMA_audit_DETAIL.fat&amp;DISPLAY_STRING=Display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5__FDSAUDITLINK__" localSheetId="12" hidden="1">{"fdsup://directions/FAT%20Viewer?VAR:PED=20071231&amp;VAR:PERIOD=FIXED&amp;VAR:V=5.913890&amp;VAR:AUDIT_ID=71692910&amp;VAR:DATE=20100409&amp;action=UPDATE&amp;creator=factset&amp;DOC_NAME=FAT:FMA_audit_DETAIL.fat&amp;DISPLAY_STRING=Display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5__FDSAUDITLINK__" localSheetId="15" hidden="1">{"fdsup://directions/FAT%20Viewer?VAR:PED=20071231&amp;VAR:PERIOD=FIXED&amp;VAR:V=5.913890&amp;VAR:AUDIT_ID=71692910&amp;VAR:DATE=20100409&amp;action=UPDATE&amp;creator=factset&amp;DOC_NAME=FAT:FMA_audit_DETAIL.fat&amp;DISPLAY_STRING=Display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5__FDSAUDITLINK__" localSheetId="16" hidden="1">{"fdsup://directions/FAT%20Viewer?VAR:PED=20071231&amp;VAR:PERIOD=FIXED&amp;VAR:V=5.913890&amp;VAR:AUDIT_ID=71692910&amp;VAR:DATE=20100409&amp;action=UPDATE&amp;creator=factset&amp;DOC_NAME=FAT:FMA_audit_DETAIL.fat&amp;DISPLAY_STRING=Display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5__FDSAUDITLINK__" localSheetId="11" hidden="1">{"fdsup://directions/FAT%20Viewer?VAR:PED=20071231&amp;VAR:PERIOD=FIXED&amp;VAR:V=5.913890&amp;VAR:AUDIT_ID=71692910&amp;VAR:DATE=20100409&amp;action=UPDATE&amp;creator=factset&amp;DOC_NAME=FAT:FMA_audit_DETAIL.fat&amp;DISPLAY_STRING=Display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5__FDSAUDITLINK__" localSheetId="5" hidden="1">{"fdsup://directions/FAT%20Viewer?VAR:PED=20071231&amp;VAR:PERIOD=FIXED&amp;VAR:V=5.913890&amp;VAR:AUDIT_ID=71692910&amp;VAR:DATE=20100409&amp;action=UPDATE&amp;creator=factset&amp;DOC_NAME=FAT:FMA_audit_DETAIL.fat&amp;DISPLAY_STRING=Display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5__FDSAUDITLINK__" hidden="1">{"fdsup://directions/FAT%20Viewer?VAR:PED=20071231&amp;VAR:PERIOD=FIXED&amp;VAR:V=5.913890&amp;VAR:AUDIT_ID=71692910&amp;VAR:DATE=20100409&amp;action=UPDATE&amp;creator=factset&amp;DOC_NAME=FAT:FMA_audit_DETAIL.fat&amp;DISPLAY_STRING=Display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6__FDSAUDITLINK__" localSheetId="17" hidden="1">{"fdsup://directions/FAT%20Viewer?VAR:PED=20071231&amp;VAR:PERIOD=FIXED&amp;VAR:V=10.288388&amp;VAR:AUDIT_ID=00000117&amp;VAR:DATE=20100409&amp;action=UPDATE&amp;creator=factset&amp;DOC_NAME=FAT:FMA_audit_DETAIL.fat&amp;DISPLAY_STRING=Display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6__FDSAUDITLINK__" localSheetId="12" hidden="1">{"fdsup://directions/FAT%20Viewer?VAR:PED=20071231&amp;VAR:PERIOD=FIXED&amp;VAR:V=10.288388&amp;VAR:AUDIT_ID=00000117&amp;VAR:DATE=20100409&amp;action=UPDATE&amp;creator=factset&amp;DOC_NAME=FAT:FMA_audit_DETAIL.fat&amp;DISPLAY_STRING=Display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6__FDSAUDITLINK__" localSheetId="15" hidden="1">{"fdsup://directions/FAT%20Viewer?VAR:PED=20071231&amp;VAR:PERIOD=FIXED&amp;VAR:V=10.288388&amp;VAR:AUDIT_ID=00000117&amp;VAR:DATE=20100409&amp;action=UPDATE&amp;creator=factset&amp;DOC_NAME=FAT:FMA_audit_DETAIL.fat&amp;DISPLAY_STRING=Display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6__FDSAUDITLINK__" localSheetId="16" hidden="1">{"fdsup://directions/FAT%20Viewer?VAR:PED=20071231&amp;VAR:PERIOD=FIXED&amp;VAR:V=10.288388&amp;VAR:AUDIT_ID=00000117&amp;VAR:DATE=20100409&amp;action=UPDATE&amp;creator=factset&amp;DOC_NAME=FAT:FMA_audit_DETAIL.fat&amp;DISPLAY_STRING=Display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6__FDSAUDITLINK__" localSheetId="11" hidden="1">{"fdsup://directions/FAT%20Viewer?VAR:PED=20071231&amp;VAR:PERIOD=FIXED&amp;VAR:V=10.288388&amp;VAR:AUDIT_ID=00000117&amp;VAR:DATE=20100409&amp;action=UPDATE&amp;creator=factset&amp;DOC_NAME=FAT:FMA_audit_DETAIL.fat&amp;DISPLAY_STRING=Display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6__FDSAUDITLINK__" localSheetId="5" hidden="1">{"fdsup://directions/FAT%20Viewer?VAR:PED=20071231&amp;VAR:PERIOD=FIXED&amp;VAR:V=10.288388&amp;VAR:AUDIT_ID=00000117&amp;VAR:DATE=20100409&amp;action=UPDATE&amp;creator=factset&amp;DOC_NAME=FAT:FMA_audit_DETAIL.fat&amp;DISPLAY_STRING=Display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6__FDSAUDITLINK__" hidden="1">{"fdsup://directions/FAT%20Viewer?VAR:PED=20071231&amp;VAR:PERIOD=FIXED&amp;VAR:V=10.288388&amp;VAR:AUDIT_ID=00000117&amp;VAR:DATE=20100409&amp;action=UPDATE&amp;creator=factset&amp;DOC_NAME=FAT:FMA_audit_DETAIL.fat&amp;DISPLAY_STRING=Display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7__FDSAUDITLINK__" localSheetId="17" hidden="1">{"fdsup://directions/FAT Viewer?action=UPDATE&amp;creator=factset&amp;DYN_ARGS=TRUE&amp;DOC_NAME=FAT:FQL_AUDITING_CLIENT_TEMPLATE.FAT&amp;display_string=Audit&amp;VAR:KEY=UFWJGFSHUJ&amp;VAR:QUERY=RkZfRUJJVERBX0lCKCdBTk4nLDIwMDYp&amp;WINDOW=FIRST_POPUP&amp;HEIGHT=450&amp;WIDTH=450&amp;START_MAXIMI","ZED=FALSE&amp;VAR:CALENDAR=FIVEDAY&amp;VAR:SYMBOL=PFE&amp;VAR:INDEX=0"}</definedName>
    <definedName name="_17__FDSAUDITLINK__" localSheetId="12" hidden="1">{"fdsup://directions/FAT Viewer?action=UPDATE&amp;creator=factset&amp;DYN_ARGS=TRUE&amp;DOC_NAME=FAT:FQL_AUDITING_CLIENT_TEMPLATE.FAT&amp;display_string=Audit&amp;VAR:KEY=UFWJGFSHUJ&amp;VAR:QUERY=RkZfRUJJVERBX0lCKCdBTk4nLDIwMDYp&amp;WINDOW=FIRST_POPUP&amp;HEIGHT=450&amp;WIDTH=450&amp;START_MAXIMI","ZED=FALSE&amp;VAR:CALENDAR=FIVEDAY&amp;VAR:SYMBOL=PFE&amp;VAR:INDEX=0"}</definedName>
    <definedName name="_17__FDSAUDITLINK__" localSheetId="15" hidden="1">{"fdsup://directions/FAT Viewer?action=UPDATE&amp;creator=factset&amp;DYN_ARGS=TRUE&amp;DOC_NAME=FAT:FQL_AUDITING_CLIENT_TEMPLATE.FAT&amp;display_string=Audit&amp;VAR:KEY=UFWJGFSHUJ&amp;VAR:QUERY=RkZfRUJJVERBX0lCKCdBTk4nLDIwMDYp&amp;WINDOW=FIRST_POPUP&amp;HEIGHT=450&amp;WIDTH=450&amp;START_MAXIMI","ZED=FALSE&amp;VAR:CALENDAR=FIVEDAY&amp;VAR:SYMBOL=PFE&amp;VAR:INDEX=0"}</definedName>
    <definedName name="_17__FDSAUDITLINK__" localSheetId="16" hidden="1">{"fdsup://directions/FAT Viewer?action=UPDATE&amp;creator=factset&amp;DYN_ARGS=TRUE&amp;DOC_NAME=FAT:FQL_AUDITING_CLIENT_TEMPLATE.FAT&amp;display_string=Audit&amp;VAR:KEY=UFWJGFSHUJ&amp;VAR:QUERY=RkZfRUJJVERBX0lCKCdBTk4nLDIwMDYp&amp;WINDOW=FIRST_POPUP&amp;HEIGHT=450&amp;WIDTH=450&amp;START_MAXIMI","ZED=FALSE&amp;VAR:CALENDAR=FIVEDAY&amp;VAR:SYMBOL=PFE&amp;VAR:INDEX=0"}</definedName>
    <definedName name="_17__FDSAUDITLINK__" localSheetId="11" hidden="1">{"fdsup://directions/FAT Viewer?action=UPDATE&amp;creator=factset&amp;DYN_ARGS=TRUE&amp;DOC_NAME=FAT:FQL_AUDITING_CLIENT_TEMPLATE.FAT&amp;display_string=Audit&amp;VAR:KEY=UFWJGFSHUJ&amp;VAR:QUERY=RkZfRUJJVERBX0lCKCdBTk4nLDIwMDYp&amp;WINDOW=FIRST_POPUP&amp;HEIGHT=450&amp;WIDTH=450&amp;START_MAXIMI","ZED=FALSE&amp;VAR:CALENDAR=FIVEDAY&amp;VAR:SYMBOL=PFE&amp;VAR:INDEX=0"}</definedName>
    <definedName name="_17__FDSAUDITLINK__" localSheetId="5" hidden="1">{"fdsup://directions/FAT Viewer?action=UPDATE&amp;creator=factset&amp;DYN_ARGS=TRUE&amp;DOC_NAME=FAT:FQL_AUDITING_CLIENT_TEMPLATE.FAT&amp;display_string=Audit&amp;VAR:KEY=UFWJGFSHUJ&amp;VAR:QUERY=RkZfRUJJVERBX0lCKCdBTk4nLDIwMDYp&amp;WINDOW=FIRST_POPUP&amp;HEIGHT=450&amp;WIDTH=450&amp;START_MAXIMI","ZED=FALSE&amp;VAR:CALENDAR=FIVEDAY&amp;VAR:SYMBOL=PFE&amp;VAR:INDEX=0"}</definedName>
    <definedName name="_17__FDSAUDITLINK__" hidden="1">{"fdsup://directions/FAT Viewer?action=UPDATE&amp;creator=factset&amp;DYN_ARGS=TRUE&amp;DOC_NAME=FAT:FQL_AUDITING_CLIENT_TEMPLATE.FAT&amp;display_string=Audit&amp;VAR:KEY=UFWJGFSHUJ&amp;VAR:QUERY=RkZfRUJJVERBX0lCKCdBTk4nLDIwMDYp&amp;WINDOW=FIRST_POPUP&amp;HEIGHT=450&amp;WIDTH=450&amp;START_MAXIMI","ZED=FALSE&amp;VAR:CALENDAR=FIVEDAY&amp;VAR:SYMBOL=PFE&amp;VAR:INDEX=0"}</definedName>
    <definedName name="_18__FDSAUDITLINK__" localSheetId="17"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8__FDSAUDITLINK__" localSheetId="12"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8__FDSAUDITLINK__" localSheetId="15"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8__FDSAUDITLINK__" localSheetId="16"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8__FDSAUDITLINK__" localSheetId="11"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8__FDSAUDITLINK__" localSheetId="5"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8__FDSAUDITLINK__"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9__FDSAUDITLINK__" localSheetId="17" hidden="1">{"fdsup://directions/FAT%20Viewer?VAR:PED=20071231&amp;VAR:PERIOD=FIXED&amp;VAR:V=5.937205&amp;VAR:AUDIT_ID=71692910&amp;VAR:DATE=20100419&amp;action=UPDATE&amp;creator=factset&amp;DOC_NAME=FAT:FMA_audit_DETAIL.fat&amp;DISPLAY_STRING=Display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9__FDSAUDITLINK__" localSheetId="12" hidden="1">{"fdsup://directions/FAT%20Viewer?VAR:PED=20071231&amp;VAR:PERIOD=FIXED&amp;VAR:V=5.937205&amp;VAR:AUDIT_ID=71692910&amp;VAR:DATE=20100419&amp;action=UPDATE&amp;creator=factset&amp;DOC_NAME=FAT:FMA_audit_DETAIL.fat&amp;DISPLAY_STRING=Display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9__FDSAUDITLINK__" localSheetId="15" hidden="1">{"fdsup://directions/FAT%20Viewer?VAR:PED=20071231&amp;VAR:PERIOD=FIXED&amp;VAR:V=5.937205&amp;VAR:AUDIT_ID=71692910&amp;VAR:DATE=20100419&amp;action=UPDATE&amp;creator=factset&amp;DOC_NAME=FAT:FMA_audit_DETAIL.fat&amp;DISPLAY_STRING=Display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9__FDSAUDITLINK__" localSheetId="16" hidden="1">{"fdsup://directions/FAT%20Viewer?VAR:PED=20071231&amp;VAR:PERIOD=FIXED&amp;VAR:V=5.937205&amp;VAR:AUDIT_ID=71692910&amp;VAR:DATE=20100419&amp;action=UPDATE&amp;creator=factset&amp;DOC_NAME=FAT:FMA_audit_DETAIL.fat&amp;DISPLAY_STRING=Display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9__FDSAUDITLINK__" localSheetId="11" hidden="1">{"fdsup://directions/FAT%20Viewer?VAR:PED=20071231&amp;VAR:PERIOD=FIXED&amp;VAR:V=5.937205&amp;VAR:AUDIT_ID=71692910&amp;VAR:DATE=20100419&amp;action=UPDATE&amp;creator=factset&amp;DOC_NAME=FAT:FMA_audit_DETAIL.fat&amp;DISPLAY_STRING=Display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9__FDSAUDITLINK__" localSheetId="5" hidden="1">{"fdsup://directions/FAT%20Viewer?VAR:PED=20071231&amp;VAR:PERIOD=FIXED&amp;VAR:V=5.937205&amp;VAR:AUDIT_ID=71692910&amp;VAR:DATE=20100419&amp;action=UPDATE&amp;creator=factset&amp;DOC_NAME=FAT:FMA_audit_DETAIL.fat&amp;DISPLAY_STRING=Display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9__FDSAUDITLINK__" hidden="1">{"fdsup://directions/FAT%20Viewer?VAR:PED=20071231&amp;VAR:PERIOD=FIXED&amp;VAR:V=5.937205&amp;VAR:AUDIT_ID=71692910&amp;VAR:DATE=20100419&amp;action=UPDATE&amp;creator=factset&amp;DOC_NAME=FAT:FMA_audit_DETAIL.fat&amp;DISPLAY_STRING=Display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__FDSAUDITLINK__" localSheetId="17" hidden="1">{"fdsup://directions/FAT Viewer?action=UPDATE&amp;creator=factset&amp;DYN_ARGS=TRUE&amp;DOC_NAME=FAT:FQL_AUDITING_CLIENT_TEMPLATE.FAT&amp;display_string=Audit&amp;VAR:KEY=DCPCRGJOXS&amp;VAR:QUERY=RkZfRUJJVERBX0lCKEFOTiwyMDA3KQ==&amp;WINDOW=FIRST_POPUP&amp;HEIGHT=450&amp;WIDTH=450&amp;START_MAXIMI","ZED=FALSE&amp;VAR:CALENDAR=FIVEDAY&amp;VAR:SYMBOL=PFE&amp;VAR:INDEX=0"}</definedName>
    <definedName name="_2__FDSAUDITLINK__" localSheetId="12" hidden="1">{"fdsup://directions/FAT Viewer?action=UPDATE&amp;creator=factset&amp;DYN_ARGS=TRUE&amp;DOC_NAME=FAT:FQL_AUDITING_CLIENT_TEMPLATE.FAT&amp;display_string=Audit&amp;VAR:KEY=DCPCRGJOXS&amp;VAR:QUERY=RkZfRUJJVERBX0lCKEFOTiwyMDA3KQ==&amp;WINDOW=FIRST_POPUP&amp;HEIGHT=450&amp;WIDTH=450&amp;START_MAXIMI","ZED=FALSE&amp;VAR:CALENDAR=FIVEDAY&amp;VAR:SYMBOL=PFE&amp;VAR:INDEX=0"}</definedName>
    <definedName name="_2__FDSAUDITLINK__" localSheetId="15" hidden="1">{"fdsup://directions/FAT Viewer?action=UPDATE&amp;creator=factset&amp;DYN_ARGS=TRUE&amp;DOC_NAME=FAT:FQL_AUDITING_CLIENT_TEMPLATE.FAT&amp;display_string=Audit&amp;VAR:KEY=DCPCRGJOXS&amp;VAR:QUERY=RkZfRUJJVERBX0lCKEFOTiwyMDA3KQ==&amp;WINDOW=FIRST_POPUP&amp;HEIGHT=450&amp;WIDTH=450&amp;START_MAXIMI","ZED=FALSE&amp;VAR:CALENDAR=FIVEDAY&amp;VAR:SYMBOL=PFE&amp;VAR:INDEX=0"}</definedName>
    <definedName name="_2__FDSAUDITLINK__" localSheetId="16" hidden="1">{"fdsup://directions/FAT Viewer?action=UPDATE&amp;creator=factset&amp;DYN_ARGS=TRUE&amp;DOC_NAME=FAT:FQL_AUDITING_CLIENT_TEMPLATE.FAT&amp;display_string=Audit&amp;VAR:KEY=DCPCRGJOXS&amp;VAR:QUERY=RkZfRUJJVERBX0lCKEFOTiwyMDA3KQ==&amp;WINDOW=FIRST_POPUP&amp;HEIGHT=450&amp;WIDTH=450&amp;START_MAXIMI","ZED=FALSE&amp;VAR:CALENDAR=FIVEDAY&amp;VAR:SYMBOL=PFE&amp;VAR:INDEX=0"}</definedName>
    <definedName name="_2__FDSAUDITLINK__" localSheetId="11" hidden="1">{"fdsup://directions/FAT Viewer?action=UPDATE&amp;creator=factset&amp;DYN_ARGS=TRUE&amp;DOC_NAME=FAT:FQL_AUDITING_CLIENT_TEMPLATE.FAT&amp;display_string=Audit&amp;VAR:KEY=DCPCRGJOXS&amp;VAR:QUERY=RkZfRUJJVERBX0lCKEFOTiwyMDA3KQ==&amp;WINDOW=FIRST_POPUP&amp;HEIGHT=450&amp;WIDTH=450&amp;START_MAXIMI","ZED=FALSE&amp;VAR:CALENDAR=FIVEDAY&amp;VAR:SYMBOL=PFE&amp;VAR:INDEX=0"}</definedName>
    <definedName name="_2__FDSAUDITLINK__" localSheetId="5" hidden="1">{"fdsup://directions/FAT Viewer?action=UPDATE&amp;creator=factset&amp;DYN_ARGS=TRUE&amp;DOC_NAME=FAT:FQL_AUDITING_CLIENT_TEMPLATE.FAT&amp;display_string=Audit&amp;VAR:KEY=DCPCRGJOXS&amp;VAR:QUERY=RkZfRUJJVERBX0lCKEFOTiwyMDA3KQ==&amp;WINDOW=FIRST_POPUP&amp;HEIGHT=450&amp;WIDTH=450&amp;START_MAXIMI","ZED=FALSE&amp;VAR:CALENDAR=FIVEDAY&amp;VAR:SYMBOL=PFE&amp;VAR:INDEX=0"}</definedName>
    <definedName name="_2__FDSAUDITLINK__" hidden="1">{"fdsup://directions/FAT Viewer?action=UPDATE&amp;creator=factset&amp;DYN_ARGS=TRUE&amp;DOC_NAME=FAT:FQL_AUDITING_CLIENT_TEMPLATE.FAT&amp;display_string=Audit&amp;VAR:KEY=DCPCRGJOXS&amp;VAR:QUERY=RkZfRUJJVERBX0lCKEFOTiwyMDA3KQ==&amp;WINDOW=FIRST_POPUP&amp;HEIGHT=450&amp;WIDTH=450&amp;START_MAXIMI","ZED=FALSE&amp;VAR:CALENDAR=FIVEDAY&amp;VAR:SYMBOL=PFE&amp;VAR:INDEX=0"}</definedName>
    <definedName name="_20__FDSAUDITLINK__" localSheetId="17"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0__FDSAUDITLINK__" localSheetId="12"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0__FDSAUDITLINK__" localSheetId="15"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0__FDSAUDITLINK__" localSheetId="16"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0__FDSAUDITLINK__" localSheetId="11"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0__FDSAUDITLINK__" localSheetId="5"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0__FDSAUDITLINK__"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1__FDSAUDITLINK__" localSheetId="17" hidden="1">{"fdsup://directions/FAT%20Viewer?VAR:PED=20071231&amp;VAR:PERIOD=FIXED&amp;VAR:V=5.940494&amp;VAR:PCT=N&amp;VAR:AUDIT_ID=71692910&amp;VAR:DATE=20100616&amp;action=UPDATE&amp;creator=factset&amp;DOC_NAME=FAT:FMA_audit_DETAIL.fat&amp;DISPLAY_STRING=Display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1__FDSAUDITLINK__" localSheetId="12" hidden="1">{"fdsup://directions/FAT%20Viewer?VAR:PED=20071231&amp;VAR:PERIOD=FIXED&amp;VAR:V=5.940494&amp;VAR:PCT=N&amp;VAR:AUDIT_ID=71692910&amp;VAR:DATE=20100616&amp;action=UPDATE&amp;creator=factset&amp;DOC_NAME=FAT:FMA_audit_DETAIL.fat&amp;DISPLAY_STRING=Display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1__FDSAUDITLINK__" localSheetId="15" hidden="1">{"fdsup://directions/FAT%20Viewer?VAR:PED=20071231&amp;VAR:PERIOD=FIXED&amp;VAR:V=5.940494&amp;VAR:PCT=N&amp;VAR:AUDIT_ID=71692910&amp;VAR:DATE=20100616&amp;action=UPDATE&amp;creator=factset&amp;DOC_NAME=FAT:FMA_audit_DETAIL.fat&amp;DISPLAY_STRING=Display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1__FDSAUDITLINK__" localSheetId="16" hidden="1">{"fdsup://directions/FAT%20Viewer?VAR:PED=20071231&amp;VAR:PERIOD=FIXED&amp;VAR:V=5.940494&amp;VAR:PCT=N&amp;VAR:AUDIT_ID=71692910&amp;VAR:DATE=20100616&amp;action=UPDATE&amp;creator=factset&amp;DOC_NAME=FAT:FMA_audit_DETAIL.fat&amp;DISPLAY_STRING=Display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1__FDSAUDITLINK__" localSheetId="11" hidden="1">{"fdsup://directions/FAT%20Viewer?VAR:PED=20071231&amp;VAR:PERIOD=FIXED&amp;VAR:V=5.940494&amp;VAR:PCT=N&amp;VAR:AUDIT_ID=71692910&amp;VAR:DATE=20100616&amp;action=UPDATE&amp;creator=factset&amp;DOC_NAME=FAT:FMA_audit_DETAIL.fat&amp;DISPLAY_STRING=Display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1__FDSAUDITLINK__" localSheetId="5" hidden="1">{"fdsup://directions/FAT%20Viewer?VAR:PED=20071231&amp;VAR:PERIOD=FIXED&amp;VAR:V=5.940494&amp;VAR:PCT=N&amp;VAR:AUDIT_ID=71692910&amp;VAR:DATE=20100616&amp;action=UPDATE&amp;creator=factset&amp;DOC_NAME=FAT:FMA_audit_DETAIL.fat&amp;DISPLAY_STRING=Display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1__FDSAUDITLINK__" hidden="1">{"fdsup://directions/FAT%20Viewer?VAR:PED=20071231&amp;VAR:PERIOD=FIXED&amp;VAR:V=5.940494&amp;VAR:PCT=N&amp;VAR:AUDIT_ID=71692910&amp;VAR:DATE=20100616&amp;action=UPDATE&amp;creator=factset&amp;DOC_NAME=FAT:FMA_audit_DETAIL.fat&amp;DISPLAY_STRING=Display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2__FDSAUDITLINK__" localSheetId="17" hidden="1">{"fdsup://directions/FAT%20Viewer?VAR:PED=20071231&amp;VAR:PERIOD=FIXED&amp;VAR:V=10.501677&amp;VAR:PCT=N&amp;VAR:AUDIT_ID=00000117&amp;VAR:DATE=20100616&amp;action=UPDATE&amp;creator=factset&amp;DOC_NAME=FAT:FMA_audit_DETAIL.fat&amp;DISPLAY_STRING=Display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2__FDSAUDITLINK__" localSheetId="12" hidden="1">{"fdsup://directions/FAT%20Viewer?VAR:PED=20071231&amp;VAR:PERIOD=FIXED&amp;VAR:V=10.501677&amp;VAR:PCT=N&amp;VAR:AUDIT_ID=00000117&amp;VAR:DATE=20100616&amp;action=UPDATE&amp;creator=factset&amp;DOC_NAME=FAT:FMA_audit_DETAIL.fat&amp;DISPLAY_STRING=Display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2__FDSAUDITLINK__" localSheetId="15" hidden="1">{"fdsup://directions/FAT%20Viewer?VAR:PED=20071231&amp;VAR:PERIOD=FIXED&amp;VAR:V=10.501677&amp;VAR:PCT=N&amp;VAR:AUDIT_ID=00000117&amp;VAR:DATE=20100616&amp;action=UPDATE&amp;creator=factset&amp;DOC_NAME=FAT:FMA_audit_DETAIL.fat&amp;DISPLAY_STRING=Display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2__FDSAUDITLINK__" localSheetId="16" hidden="1">{"fdsup://directions/FAT%20Viewer?VAR:PED=20071231&amp;VAR:PERIOD=FIXED&amp;VAR:V=10.501677&amp;VAR:PCT=N&amp;VAR:AUDIT_ID=00000117&amp;VAR:DATE=20100616&amp;action=UPDATE&amp;creator=factset&amp;DOC_NAME=FAT:FMA_audit_DETAIL.fat&amp;DISPLAY_STRING=Display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2__FDSAUDITLINK__" localSheetId="11" hidden="1">{"fdsup://directions/FAT%20Viewer?VAR:PED=20071231&amp;VAR:PERIOD=FIXED&amp;VAR:V=10.501677&amp;VAR:PCT=N&amp;VAR:AUDIT_ID=00000117&amp;VAR:DATE=20100616&amp;action=UPDATE&amp;creator=factset&amp;DOC_NAME=FAT:FMA_audit_DETAIL.fat&amp;DISPLAY_STRING=Display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2__FDSAUDITLINK__" localSheetId="5" hidden="1">{"fdsup://directions/FAT%20Viewer?VAR:PED=20071231&amp;VAR:PERIOD=FIXED&amp;VAR:V=10.501677&amp;VAR:PCT=N&amp;VAR:AUDIT_ID=00000117&amp;VAR:DATE=20100616&amp;action=UPDATE&amp;creator=factset&amp;DOC_NAME=FAT:FMA_audit_DETAIL.fat&amp;DISPLAY_STRING=Display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2__FDSAUDITLINK__" hidden="1">{"fdsup://directions/FAT%20Viewer?VAR:PED=20071231&amp;VAR:PERIOD=FIXED&amp;VAR:V=10.501677&amp;VAR:PCT=N&amp;VAR:AUDIT_ID=00000117&amp;VAR:DATE=20100616&amp;action=UPDATE&amp;creator=factset&amp;DOC_NAME=FAT:FMA_audit_DETAIL.fat&amp;DISPLAY_STRING=Display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3__FDSAUDITLINK__" localSheetId="17" hidden="1">{"fdsup://directions/FAT%20Viewer?VAR:PED=20071231&amp;VAR:PERIOD=FIXED&amp;VAR:V=6.031065&amp;VAR:PCT=N&amp;VAR:AUDIT_ID=71692910&amp;VAR:DATE=20100706&amp;action=UPDATE&amp;creator=factset&amp;DOC_NAME=FAT:FMA_audit_DETAIL.fat&amp;DISPLAY_STRING=Display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3__FDSAUDITLINK__" localSheetId="12" hidden="1">{"fdsup://directions/FAT%20Viewer?VAR:PED=20071231&amp;VAR:PERIOD=FIXED&amp;VAR:V=6.031065&amp;VAR:PCT=N&amp;VAR:AUDIT_ID=71692910&amp;VAR:DATE=20100706&amp;action=UPDATE&amp;creator=factset&amp;DOC_NAME=FAT:FMA_audit_DETAIL.fat&amp;DISPLAY_STRING=Display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3__FDSAUDITLINK__" localSheetId="15" hidden="1">{"fdsup://directions/FAT%20Viewer?VAR:PED=20071231&amp;VAR:PERIOD=FIXED&amp;VAR:V=6.031065&amp;VAR:PCT=N&amp;VAR:AUDIT_ID=71692910&amp;VAR:DATE=20100706&amp;action=UPDATE&amp;creator=factset&amp;DOC_NAME=FAT:FMA_audit_DETAIL.fat&amp;DISPLAY_STRING=Display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3__FDSAUDITLINK__" localSheetId="16" hidden="1">{"fdsup://directions/FAT%20Viewer?VAR:PED=20071231&amp;VAR:PERIOD=FIXED&amp;VAR:V=6.031065&amp;VAR:PCT=N&amp;VAR:AUDIT_ID=71692910&amp;VAR:DATE=20100706&amp;action=UPDATE&amp;creator=factset&amp;DOC_NAME=FAT:FMA_audit_DETAIL.fat&amp;DISPLAY_STRING=Display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3__FDSAUDITLINK__" localSheetId="11" hidden="1">{"fdsup://directions/FAT%20Viewer?VAR:PED=20071231&amp;VAR:PERIOD=FIXED&amp;VAR:V=6.031065&amp;VAR:PCT=N&amp;VAR:AUDIT_ID=71692910&amp;VAR:DATE=20100706&amp;action=UPDATE&amp;creator=factset&amp;DOC_NAME=FAT:FMA_audit_DETAIL.fat&amp;DISPLAY_STRING=Display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3__FDSAUDITLINK__" localSheetId="5" hidden="1">{"fdsup://directions/FAT%20Viewer?VAR:PED=20071231&amp;VAR:PERIOD=FIXED&amp;VAR:V=6.031065&amp;VAR:PCT=N&amp;VAR:AUDIT_ID=71692910&amp;VAR:DATE=20100706&amp;action=UPDATE&amp;creator=factset&amp;DOC_NAME=FAT:FMA_audit_DETAIL.fat&amp;DISPLAY_STRING=Display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3__FDSAUDITLINK__" hidden="1">{"fdsup://directions/FAT%20Viewer?VAR:PED=20071231&amp;VAR:PERIOD=FIXED&amp;VAR:V=6.031065&amp;VAR:PCT=N&amp;VAR:AUDIT_ID=71692910&amp;VAR:DATE=20100706&amp;action=UPDATE&amp;creator=factset&amp;DOC_NAME=FAT:FMA_audit_DETAIL.fat&amp;DISPLAY_STRING=Display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4__FDSAUDITLINK__" localSheetId="17" hidden="1">{"fdsup://directions/FAT%20Viewer?VAR:PED=20071231&amp;VAR:PERIOD=FIXED&amp;VAR:V=10.466925&amp;VAR:PCT=N&amp;VAR:AUDIT_ID=00000117&amp;VAR:DATE=20100706&amp;action=UPDATE&amp;creator=factset&amp;DOC_NAME=FAT:FMA_audit_DETAIL.fat&amp;DISPLAY_STRING=Display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4__FDSAUDITLINK__" localSheetId="12" hidden="1">{"fdsup://directions/FAT%20Viewer?VAR:PED=20071231&amp;VAR:PERIOD=FIXED&amp;VAR:V=10.466925&amp;VAR:PCT=N&amp;VAR:AUDIT_ID=00000117&amp;VAR:DATE=20100706&amp;action=UPDATE&amp;creator=factset&amp;DOC_NAME=FAT:FMA_audit_DETAIL.fat&amp;DISPLAY_STRING=Display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4__FDSAUDITLINK__" localSheetId="15" hidden="1">{"fdsup://directions/FAT%20Viewer?VAR:PED=20071231&amp;VAR:PERIOD=FIXED&amp;VAR:V=10.466925&amp;VAR:PCT=N&amp;VAR:AUDIT_ID=00000117&amp;VAR:DATE=20100706&amp;action=UPDATE&amp;creator=factset&amp;DOC_NAME=FAT:FMA_audit_DETAIL.fat&amp;DISPLAY_STRING=Display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4__FDSAUDITLINK__" localSheetId="16" hidden="1">{"fdsup://directions/FAT%20Viewer?VAR:PED=20071231&amp;VAR:PERIOD=FIXED&amp;VAR:V=10.466925&amp;VAR:PCT=N&amp;VAR:AUDIT_ID=00000117&amp;VAR:DATE=20100706&amp;action=UPDATE&amp;creator=factset&amp;DOC_NAME=FAT:FMA_audit_DETAIL.fat&amp;DISPLAY_STRING=Display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4__FDSAUDITLINK__" localSheetId="11" hidden="1">{"fdsup://directions/FAT%20Viewer?VAR:PED=20071231&amp;VAR:PERIOD=FIXED&amp;VAR:V=10.466925&amp;VAR:PCT=N&amp;VAR:AUDIT_ID=00000117&amp;VAR:DATE=20100706&amp;action=UPDATE&amp;creator=factset&amp;DOC_NAME=FAT:FMA_audit_DETAIL.fat&amp;DISPLAY_STRING=Display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4__FDSAUDITLINK__" localSheetId="5" hidden="1">{"fdsup://directions/FAT%20Viewer?VAR:PED=20071231&amp;VAR:PERIOD=FIXED&amp;VAR:V=10.466925&amp;VAR:PCT=N&amp;VAR:AUDIT_ID=00000117&amp;VAR:DATE=20100706&amp;action=UPDATE&amp;creator=factset&amp;DOC_NAME=FAT:FMA_audit_DETAIL.fat&amp;DISPLAY_STRING=Display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4__FDSAUDITLINK__" hidden="1">{"fdsup://directions/FAT%20Viewer?VAR:PED=20071231&amp;VAR:PERIOD=FIXED&amp;VAR:V=10.466925&amp;VAR:PCT=N&amp;VAR:AUDIT_ID=00000117&amp;VAR:DATE=20100706&amp;action=UPDATE&amp;creator=factset&amp;DOC_NAME=FAT:FMA_audit_DETAIL.fat&amp;DISPLAY_STRING=Display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5__FDSAUDITLINK__" localSheetId="17" hidden="1">{"fdsup://directions/FAT%20Viewer?VAR:PED=20071231&amp;VAR:PERIOD=FIXED&amp;VAR:V=5.602277&amp;VAR:PCT=N&amp;VAR:AUDIT_ID=71692910&amp;VAR:DATE=20100804&amp;action=UPDATE&amp;creator=factset&amp;DOC_NAME=FAT:FMA_audit_DETAIL.fat&amp;DISPLAY_STRING=Display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5__FDSAUDITLINK__" localSheetId="12" hidden="1">{"fdsup://directions/FAT%20Viewer?VAR:PED=20071231&amp;VAR:PERIOD=FIXED&amp;VAR:V=5.602277&amp;VAR:PCT=N&amp;VAR:AUDIT_ID=71692910&amp;VAR:DATE=20100804&amp;action=UPDATE&amp;creator=factset&amp;DOC_NAME=FAT:FMA_audit_DETAIL.fat&amp;DISPLAY_STRING=Display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5__FDSAUDITLINK__" localSheetId="15" hidden="1">{"fdsup://directions/FAT%20Viewer?VAR:PED=20071231&amp;VAR:PERIOD=FIXED&amp;VAR:V=5.602277&amp;VAR:PCT=N&amp;VAR:AUDIT_ID=71692910&amp;VAR:DATE=20100804&amp;action=UPDATE&amp;creator=factset&amp;DOC_NAME=FAT:FMA_audit_DETAIL.fat&amp;DISPLAY_STRING=Display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5__FDSAUDITLINK__" localSheetId="16" hidden="1">{"fdsup://directions/FAT%20Viewer?VAR:PED=20071231&amp;VAR:PERIOD=FIXED&amp;VAR:V=5.602277&amp;VAR:PCT=N&amp;VAR:AUDIT_ID=71692910&amp;VAR:DATE=20100804&amp;action=UPDATE&amp;creator=factset&amp;DOC_NAME=FAT:FMA_audit_DETAIL.fat&amp;DISPLAY_STRING=Display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5__FDSAUDITLINK__" localSheetId="11" hidden="1">{"fdsup://directions/FAT%20Viewer?VAR:PED=20071231&amp;VAR:PERIOD=FIXED&amp;VAR:V=5.602277&amp;VAR:PCT=N&amp;VAR:AUDIT_ID=71692910&amp;VAR:DATE=20100804&amp;action=UPDATE&amp;creator=factset&amp;DOC_NAME=FAT:FMA_audit_DETAIL.fat&amp;DISPLAY_STRING=Display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5__FDSAUDITLINK__" localSheetId="5" hidden="1">{"fdsup://directions/FAT%20Viewer?VAR:PED=20071231&amp;VAR:PERIOD=FIXED&amp;VAR:V=5.602277&amp;VAR:PCT=N&amp;VAR:AUDIT_ID=71692910&amp;VAR:DATE=20100804&amp;action=UPDATE&amp;creator=factset&amp;DOC_NAME=FAT:FMA_audit_DETAIL.fat&amp;DISPLAY_STRING=Display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5__FDSAUDITLINK__" hidden="1">{"fdsup://directions/FAT%20Viewer?VAR:PED=20071231&amp;VAR:PERIOD=FIXED&amp;VAR:V=5.602277&amp;VAR:PCT=N&amp;VAR:AUDIT_ID=71692910&amp;VAR:DATE=20100804&amp;action=UPDATE&amp;creator=factset&amp;DOC_NAME=FAT:FMA_audit_DETAIL.fat&amp;DISPLAY_STRING=Display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6__FDSAUDITLINK__" localSheetId="17" hidden="1">{"fdsup://directions/FAT%20Viewer?VAR:PED=20071231&amp;VAR:PERIOD=FIXED&amp;VAR:V=10.555395&amp;VAR:PCT=N&amp;VAR:AUDIT_ID=00000117&amp;VAR:DATE=20100804&amp;action=UPDATE&amp;creator=factset&amp;DOC_NAME=FAT:FMA_audit_DETAIL.fat&amp;DISPLAY_STRING=Display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6__FDSAUDITLINK__" localSheetId="12" hidden="1">{"fdsup://directions/FAT%20Viewer?VAR:PED=20071231&amp;VAR:PERIOD=FIXED&amp;VAR:V=10.555395&amp;VAR:PCT=N&amp;VAR:AUDIT_ID=00000117&amp;VAR:DATE=20100804&amp;action=UPDATE&amp;creator=factset&amp;DOC_NAME=FAT:FMA_audit_DETAIL.fat&amp;DISPLAY_STRING=Display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6__FDSAUDITLINK__" localSheetId="15" hidden="1">{"fdsup://directions/FAT%20Viewer?VAR:PED=20071231&amp;VAR:PERIOD=FIXED&amp;VAR:V=10.555395&amp;VAR:PCT=N&amp;VAR:AUDIT_ID=00000117&amp;VAR:DATE=20100804&amp;action=UPDATE&amp;creator=factset&amp;DOC_NAME=FAT:FMA_audit_DETAIL.fat&amp;DISPLAY_STRING=Display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6__FDSAUDITLINK__" localSheetId="16" hidden="1">{"fdsup://directions/FAT%20Viewer?VAR:PED=20071231&amp;VAR:PERIOD=FIXED&amp;VAR:V=10.555395&amp;VAR:PCT=N&amp;VAR:AUDIT_ID=00000117&amp;VAR:DATE=20100804&amp;action=UPDATE&amp;creator=factset&amp;DOC_NAME=FAT:FMA_audit_DETAIL.fat&amp;DISPLAY_STRING=Display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6__FDSAUDITLINK__" localSheetId="11" hidden="1">{"fdsup://directions/FAT%20Viewer?VAR:PED=20071231&amp;VAR:PERIOD=FIXED&amp;VAR:V=10.555395&amp;VAR:PCT=N&amp;VAR:AUDIT_ID=00000117&amp;VAR:DATE=20100804&amp;action=UPDATE&amp;creator=factset&amp;DOC_NAME=FAT:FMA_audit_DETAIL.fat&amp;DISPLAY_STRING=Display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6__FDSAUDITLINK__" localSheetId="5" hidden="1">{"fdsup://directions/FAT%20Viewer?VAR:PED=20071231&amp;VAR:PERIOD=FIXED&amp;VAR:V=10.555395&amp;VAR:PCT=N&amp;VAR:AUDIT_ID=00000117&amp;VAR:DATE=20100804&amp;action=UPDATE&amp;creator=factset&amp;DOC_NAME=FAT:FMA_audit_DETAIL.fat&amp;DISPLAY_STRING=Display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6__FDSAUDITLINK__" hidden="1">{"fdsup://directions/FAT%20Viewer?VAR:PED=20071231&amp;VAR:PERIOD=FIXED&amp;VAR:V=10.555395&amp;VAR:PCT=N&amp;VAR:AUDIT_ID=00000117&amp;VAR:DATE=20100804&amp;action=UPDATE&amp;creator=factset&amp;DOC_NAME=FAT:FMA_audit_DETAIL.fat&amp;DISPLAY_STRING=Display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7__FDSAUDITLINK__" localSheetId="17" hidden="1">{"fdsup://directions/FAT%20Viewer?VAR:PED=20071231&amp;VAR:PERIOD=FIXED&amp;VAR:V=5.617591&amp;VAR:PCT=N&amp;VAR:AUDIT_ID=71692910&amp;VAR:DATE=20100817&amp;action=UPDATE&amp;creator=factset&amp;DOC_NAME=FAT:FMA_audit_DETAIL.fat&amp;DISPLAY_STRING=Display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7__FDSAUDITLINK__" localSheetId="12" hidden="1">{"fdsup://directions/FAT%20Viewer?VAR:PED=20071231&amp;VAR:PERIOD=FIXED&amp;VAR:V=5.617591&amp;VAR:PCT=N&amp;VAR:AUDIT_ID=71692910&amp;VAR:DATE=20100817&amp;action=UPDATE&amp;creator=factset&amp;DOC_NAME=FAT:FMA_audit_DETAIL.fat&amp;DISPLAY_STRING=Display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7__FDSAUDITLINK__" localSheetId="15" hidden="1">{"fdsup://directions/FAT%20Viewer?VAR:PED=20071231&amp;VAR:PERIOD=FIXED&amp;VAR:V=5.617591&amp;VAR:PCT=N&amp;VAR:AUDIT_ID=71692910&amp;VAR:DATE=20100817&amp;action=UPDATE&amp;creator=factset&amp;DOC_NAME=FAT:FMA_audit_DETAIL.fat&amp;DISPLAY_STRING=Display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7__FDSAUDITLINK__" localSheetId="16" hidden="1">{"fdsup://directions/FAT%20Viewer?VAR:PED=20071231&amp;VAR:PERIOD=FIXED&amp;VAR:V=5.617591&amp;VAR:PCT=N&amp;VAR:AUDIT_ID=71692910&amp;VAR:DATE=20100817&amp;action=UPDATE&amp;creator=factset&amp;DOC_NAME=FAT:FMA_audit_DETAIL.fat&amp;DISPLAY_STRING=Display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7__FDSAUDITLINK__" localSheetId="11" hidden="1">{"fdsup://directions/FAT%20Viewer?VAR:PED=20071231&amp;VAR:PERIOD=FIXED&amp;VAR:V=5.617591&amp;VAR:PCT=N&amp;VAR:AUDIT_ID=71692910&amp;VAR:DATE=20100817&amp;action=UPDATE&amp;creator=factset&amp;DOC_NAME=FAT:FMA_audit_DETAIL.fat&amp;DISPLAY_STRING=Display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7__FDSAUDITLINK__" localSheetId="5" hidden="1">{"fdsup://directions/FAT%20Viewer?VAR:PED=20071231&amp;VAR:PERIOD=FIXED&amp;VAR:V=5.617591&amp;VAR:PCT=N&amp;VAR:AUDIT_ID=71692910&amp;VAR:DATE=20100817&amp;action=UPDATE&amp;creator=factset&amp;DOC_NAME=FAT:FMA_audit_DETAIL.fat&amp;DISPLAY_STRING=Display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7__FDSAUDITLINK__" hidden="1">{"fdsup://directions/FAT%20Viewer?VAR:PED=20071231&amp;VAR:PERIOD=FIXED&amp;VAR:V=5.617591&amp;VAR:PCT=N&amp;VAR:AUDIT_ID=71692910&amp;VAR:DATE=20100817&amp;action=UPDATE&amp;creator=factset&amp;DOC_NAME=FAT:FMA_audit_DETAIL.fat&amp;DISPLAY_STRING=Display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8__FDSAUDITLINK__" localSheetId="17" hidden="1">{"fdsup://directions/FAT%20Viewer?VAR:PED=20071231&amp;VAR:PERIOD=FIXED&amp;VAR:V=10.494746&amp;VAR:PCT=N&amp;VAR:AUDIT_ID=00000117&amp;VAR:DATE=20100817&amp;action=UPDATE&amp;creator=factset&amp;DOC_NAME=FAT:FMA_audit_DETAIL.fat&amp;DISPLAY_STRING=Display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8__FDSAUDITLINK__" localSheetId="12" hidden="1">{"fdsup://directions/FAT%20Viewer?VAR:PED=20071231&amp;VAR:PERIOD=FIXED&amp;VAR:V=10.494746&amp;VAR:PCT=N&amp;VAR:AUDIT_ID=00000117&amp;VAR:DATE=20100817&amp;action=UPDATE&amp;creator=factset&amp;DOC_NAME=FAT:FMA_audit_DETAIL.fat&amp;DISPLAY_STRING=Display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8__FDSAUDITLINK__" localSheetId="15" hidden="1">{"fdsup://directions/FAT%20Viewer?VAR:PED=20071231&amp;VAR:PERIOD=FIXED&amp;VAR:V=10.494746&amp;VAR:PCT=N&amp;VAR:AUDIT_ID=00000117&amp;VAR:DATE=20100817&amp;action=UPDATE&amp;creator=factset&amp;DOC_NAME=FAT:FMA_audit_DETAIL.fat&amp;DISPLAY_STRING=Display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8__FDSAUDITLINK__" localSheetId="16" hidden="1">{"fdsup://directions/FAT%20Viewer?VAR:PED=20071231&amp;VAR:PERIOD=FIXED&amp;VAR:V=10.494746&amp;VAR:PCT=N&amp;VAR:AUDIT_ID=00000117&amp;VAR:DATE=20100817&amp;action=UPDATE&amp;creator=factset&amp;DOC_NAME=FAT:FMA_audit_DETAIL.fat&amp;DISPLAY_STRING=Display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8__FDSAUDITLINK__" localSheetId="11" hidden="1">{"fdsup://directions/FAT%20Viewer?VAR:PED=20071231&amp;VAR:PERIOD=FIXED&amp;VAR:V=10.494746&amp;VAR:PCT=N&amp;VAR:AUDIT_ID=00000117&amp;VAR:DATE=20100817&amp;action=UPDATE&amp;creator=factset&amp;DOC_NAME=FAT:FMA_audit_DETAIL.fat&amp;DISPLAY_STRING=Display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8__FDSAUDITLINK__" localSheetId="5" hidden="1">{"fdsup://directions/FAT%20Viewer?VAR:PED=20071231&amp;VAR:PERIOD=FIXED&amp;VAR:V=10.494746&amp;VAR:PCT=N&amp;VAR:AUDIT_ID=00000117&amp;VAR:DATE=20100817&amp;action=UPDATE&amp;creator=factset&amp;DOC_NAME=FAT:FMA_audit_DETAIL.fat&amp;DISPLAY_STRING=Display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8__FDSAUDITLINK__" hidden="1">{"fdsup://directions/FAT%20Viewer?VAR:PED=20071231&amp;VAR:PERIOD=FIXED&amp;VAR:V=10.494746&amp;VAR:PCT=N&amp;VAR:AUDIT_ID=00000117&amp;VAR:DATE=20100817&amp;action=UPDATE&amp;creator=factset&amp;DOC_NAME=FAT:FMA_audit_DETAIL.fat&amp;DISPLAY_STRING=Display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3__FDSAUDITLINK__" localSheetId="17" hidden="1">{"fdsup://directions/FAT Viewer?action=UPDATE&amp;creator=factset&amp;DYN_ARGS=TRUE&amp;DOC_NAME=FAT:FQL_AUDITING_CLIENT_TEMPLATE.FAT&amp;display_string=Audit&amp;VAR:KEY=ZYZAZOHSNG&amp;VAR:QUERY=RkZfRUJJVERBX0lCKEFOTiwyMDA2KQ==&amp;WINDOW=FIRST_POPUP&amp;HEIGHT=450&amp;WIDTH=450&amp;START_MAXIMI","ZED=FALSE&amp;VAR:CALENDAR=FIVEDAY&amp;VAR:SYMBOL=PFE&amp;VAR:INDEX=0"}</definedName>
    <definedName name="_3__FDSAUDITLINK__" localSheetId="12" hidden="1">{"fdsup://directions/FAT Viewer?action=UPDATE&amp;creator=factset&amp;DYN_ARGS=TRUE&amp;DOC_NAME=FAT:FQL_AUDITING_CLIENT_TEMPLATE.FAT&amp;display_string=Audit&amp;VAR:KEY=ZYZAZOHSNG&amp;VAR:QUERY=RkZfRUJJVERBX0lCKEFOTiwyMDA2KQ==&amp;WINDOW=FIRST_POPUP&amp;HEIGHT=450&amp;WIDTH=450&amp;START_MAXIMI","ZED=FALSE&amp;VAR:CALENDAR=FIVEDAY&amp;VAR:SYMBOL=PFE&amp;VAR:INDEX=0"}</definedName>
    <definedName name="_3__FDSAUDITLINK__" localSheetId="15" hidden="1">{"fdsup://directions/FAT Viewer?action=UPDATE&amp;creator=factset&amp;DYN_ARGS=TRUE&amp;DOC_NAME=FAT:FQL_AUDITING_CLIENT_TEMPLATE.FAT&amp;display_string=Audit&amp;VAR:KEY=ZYZAZOHSNG&amp;VAR:QUERY=RkZfRUJJVERBX0lCKEFOTiwyMDA2KQ==&amp;WINDOW=FIRST_POPUP&amp;HEIGHT=450&amp;WIDTH=450&amp;START_MAXIMI","ZED=FALSE&amp;VAR:CALENDAR=FIVEDAY&amp;VAR:SYMBOL=PFE&amp;VAR:INDEX=0"}</definedName>
    <definedName name="_3__FDSAUDITLINK__" localSheetId="16" hidden="1">{"fdsup://directions/FAT Viewer?action=UPDATE&amp;creator=factset&amp;DYN_ARGS=TRUE&amp;DOC_NAME=FAT:FQL_AUDITING_CLIENT_TEMPLATE.FAT&amp;display_string=Audit&amp;VAR:KEY=ZYZAZOHSNG&amp;VAR:QUERY=RkZfRUJJVERBX0lCKEFOTiwyMDA2KQ==&amp;WINDOW=FIRST_POPUP&amp;HEIGHT=450&amp;WIDTH=450&amp;START_MAXIMI","ZED=FALSE&amp;VAR:CALENDAR=FIVEDAY&amp;VAR:SYMBOL=PFE&amp;VAR:INDEX=0"}</definedName>
    <definedName name="_3__FDSAUDITLINK__" localSheetId="11" hidden="1">{"fdsup://directions/FAT Viewer?action=UPDATE&amp;creator=factset&amp;DYN_ARGS=TRUE&amp;DOC_NAME=FAT:FQL_AUDITING_CLIENT_TEMPLATE.FAT&amp;display_string=Audit&amp;VAR:KEY=ZYZAZOHSNG&amp;VAR:QUERY=RkZfRUJJVERBX0lCKEFOTiwyMDA2KQ==&amp;WINDOW=FIRST_POPUP&amp;HEIGHT=450&amp;WIDTH=450&amp;START_MAXIMI","ZED=FALSE&amp;VAR:CALENDAR=FIVEDAY&amp;VAR:SYMBOL=PFE&amp;VAR:INDEX=0"}</definedName>
    <definedName name="_3__FDSAUDITLINK__" localSheetId="5" hidden="1">{"fdsup://directions/FAT Viewer?action=UPDATE&amp;creator=factset&amp;DYN_ARGS=TRUE&amp;DOC_NAME=FAT:FQL_AUDITING_CLIENT_TEMPLATE.FAT&amp;display_string=Audit&amp;VAR:KEY=ZYZAZOHSNG&amp;VAR:QUERY=RkZfRUJJVERBX0lCKEFOTiwyMDA2KQ==&amp;WINDOW=FIRST_POPUP&amp;HEIGHT=450&amp;WIDTH=450&amp;START_MAXIMI","ZED=FALSE&amp;VAR:CALENDAR=FIVEDAY&amp;VAR:SYMBOL=PFE&amp;VAR:INDEX=0"}</definedName>
    <definedName name="_3__FDSAUDITLINK__" hidden="1">{"fdsup://directions/FAT Viewer?action=UPDATE&amp;creator=factset&amp;DYN_ARGS=TRUE&amp;DOC_NAME=FAT:FQL_AUDITING_CLIENT_TEMPLATE.FAT&amp;display_string=Audit&amp;VAR:KEY=ZYZAZOHSNG&amp;VAR:QUERY=RkZfRUJJVERBX0lCKEFOTiwyMDA2KQ==&amp;WINDOW=FIRST_POPUP&amp;HEIGHT=450&amp;WIDTH=450&amp;START_MAXIMI","ZED=FALSE&amp;VAR:CALENDAR=FIVEDAY&amp;VAR:SYMBOL=PFE&amp;VAR:INDEX=0"}</definedName>
    <definedName name="_4__FDSAUDITLINK__" localSheetId="17"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4__FDSAUDITLINK__" localSheetId="12"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4__FDSAUDITLINK__" localSheetId="15"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4__FDSAUDITLINK__" localSheetId="16"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4__FDSAUDITLINK__" localSheetId="11"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4__FDSAUDITLINK__" localSheetId="5"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4__FDSAUDITLINK__"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5__FDSAUDITLINK__" localSheetId="17"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5__FDSAUDITLINK__" localSheetId="12"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5__FDSAUDITLINK__" localSheetId="15"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5__FDSAUDITLINK__" localSheetId="16"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5__FDSAUDITLINK__" localSheetId="11"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5__FDSAUDITLINK__" localSheetId="5"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5__FDSAUDITLINK__"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6__FDSAUDITLINK__" localSheetId="17"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6__FDSAUDITLINK__" localSheetId="12"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6__FDSAUDITLINK__" localSheetId="15"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6__FDSAUDITLINK__" localSheetId="16"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6__FDSAUDITLINK__" localSheetId="11"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6__FDSAUDITLINK__" localSheetId="5"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6__FDSAUDITLINK__"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7__FDSAUDITLINK__" localSheetId="17"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7__FDSAUDITLINK__" localSheetId="12"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7__FDSAUDITLINK__" localSheetId="15"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7__FDSAUDITLINK__" localSheetId="16"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7__FDSAUDITLINK__" localSheetId="11"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7__FDSAUDITLINK__" localSheetId="5"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7__FDSAUDITLINK__"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8__FDSAUDITLINK__" localSheetId="17"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8__FDSAUDITLINK__" localSheetId="12"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8__FDSAUDITLINK__" localSheetId="15"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8__FDSAUDITLINK__" localSheetId="16"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8__FDSAUDITLINK__" localSheetId="11"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8__FDSAUDITLINK__" localSheetId="5"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8__FDSAUDITLINK__"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9__FDSAUDITLINK__" localSheetId="17"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9__FDSAUDITLINK__" localSheetId="12"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9__FDSAUDITLINK__" localSheetId="15"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9__FDSAUDITLINK__" localSheetId="16"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9__FDSAUDITLINK__" localSheetId="11"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9__FDSAUDITLINK__" localSheetId="5"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9__FDSAUDITLINK__"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bdm.02E29E7B1053433EA3CCCBE4E5141596.edm" hidden="1">[1]Sheet1!$A:$IV</definedName>
    <definedName name="_bdm.261112BAE8204F8280374C78A1E02552.edm" localSheetId="16" hidden="1" xml:space="preserve"> '[2]Capex Chart'!$A:$IV</definedName>
    <definedName name="_bdm.261112BAE8204F8280374C78A1E02552.edm" hidden="1" xml:space="preserve"> '[3]Capex Chart'!$A:$IV</definedName>
    <definedName name="_bdm.48BD514DC04A4AB4891E926213491EC9.edm" localSheetId="6">Financials!$A$5:$CI$62</definedName>
    <definedName name="_bdm.530488839E8A407C8F1C1B550BFC2836.edm" localSheetId="6">Financials!$A$5:$CI$60</definedName>
    <definedName name="_bdm.6AFA43F0E39A44E1A1138F4D6AB6937E.edm" localSheetId="16" hidden="1">'[4]Financial Summary'!$A:$IV</definedName>
    <definedName name="_bdm.6AFA43F0E39A44E1A1138F4D6AB6937E.edm" hidden="1">'[5]Financial Summary'!$A:$IV</definedName>
    <definedName name="_bdm.7264DC3258CD40029D96B7569D540AD9.edm" localSheetId="6">Financials!$A$5:$CI$62</definedName>
    <definedName name="_bdm.95D97703F0B44275930D649261210A38.edm" localSheetId="16" hidden="1">'[2]Capex Chart'!$A:$IV</definedName>
    <definedName name="_bdm.95D97703F0B44275930D649261210A38.edm" hidden="1">'[3]Capex Chart'!$A:$IV</definedName>
    <definedName name="_bdm.9CF1EC782CA246C5B743B60E78EFF75A.edm" localSheetId="16" hidden="1">'[6]New Resources'!$A:$IV</definedName>
    <definedName name="_bdm.9CF1EC782CA246C5B743B60E78EFF75A.edm" hidden="1">'[7]New Resources'!$A:$IV</definedName>
    <definedName name="_bdm.BB11A2CB11314C6E9BE7E6722D945EB9.edm" localSheetId="16" hidden="1">'[2]FCF-Div. Working Chart'!$A:$IV</definedName>
    <definedName name="_bdm.BB11A2CB11314C6E9BE7E6722D945EB9.edm" hidden="1">'[3]FCF-Div. Working Chart'!$A:$IV</definedName>
    <definedName name="_bdm.E967D92EDBF846E2B7B774FBF88F28E1.edm" localSheetId="6">Financials!$B$6:$CH$60</definedName>
    <definedName name="_bdm.F7E901476B1C4A78A8384B81CD6FDDBF.edm" localSheetId="16" hidden="1">'[2]MWA RR'!$A:$IV</definedName>
    <definedName name="_bdm.F7E901476B1C4A78A8384B81CD6FDDBF.edm" hidden="1">'[3]MWA RR'!$A:$IV</definedName>
    <definedName name="_NRG1">'Plant List'!$N$8:$N$122</definedName>
    <definedName name="_Order1" hidden="1">255</definedName>
    <definedName name="AdditionalInstructions">IndexInformation!$B$42</definedName>
    <definedName name="Address" localSheetId="0">ImportantDisclosures!$A$2:$A$2</definedName>
    <definedName name="ANA" localSheetId="20">ModPubIndex!$A$7</definedName>
    <definedName name="Analyst_Detail" localSheetId="15">'[9]Income Statement'!$O$1</definedName>
    <definedName name="Analyst_Detail" localSheetId="16">'[10]Income Statement'!$O$1</definedName>
    <definedName name="Analyst_Detail">'[9]Income Statement'!$O$1</definedName>
    <definedName name="anscount" hidden="1">1</definedName>
    <definedName name="Authors" localSheetId="0">ImportantDisclosures!$A$7</definedName>
    <definedName name="Authors" localSheetId="19">IndexInformation!$B$18</definedName>
    <definedName name="Average_Cost_of_Total_Debt" localSheetId="15">'[11]Fin Stats'!$B$59:$M$59</definedName>
    <definedName name="Average_Cost_of_Total_Debt" localSheetId="16">'[12]Fin Stats'!$B$59:$M$59</definedName>
    <definedName name="Average_Cost_of_Total_Debt">'[11]Fin Stats'!$B$59:$M$59</definedName>
    <definedName name="base">'[13]Duke Valuation'!$BL$22</definedName>
    <definedName name="basept" localSheetId="16">'[14]Valuation DYN'!$AH$24</definedName>
    <definedName name="basept">Valuation!$CF$18</definedName>
    <definedName name="bear">'[13]Duke Valuation'!$BG$22</definedName>
    <definedName name="bearpt" localSheetId="16">'[14]Valuation DYN'!$AC$24</definedName>
    <definedName name="bearpt">Valuation!$CA$18</definedName>
    <definedName name="BRO" localSheetId="20">ModPubIndex!$A$1</definedName>
    <definedName name="bull">'[13]Duke Valuation'!$BQ$22</definedName>
    <definedName name="bullpt" localSheetId="16">'[14]Valuation DYN'!$AM$24</definedName>
    <definedName name="bullpt">Valuation!$CK$18</definedName>
    <definedName name="Buttons" localSheetId="2">CircularReferenceAlert!$B$13:$B$15</definedName>
    <definedName name="Capital_Expenditures" localSheetId="15">'[11]Fin Stats'!$B$111:$M$111</definedName>
    <definedName name="Capital_Expenditures" localSheetId="16">'[12]Fin Stats'!$B$111:$M$111</definedName>
    <definedName name="Capital_Expenditures">'[11]Fin Stats'!$B$111:$M$111</definedName>
    <definedName name="Cash_Flow" localSheetId="15">'[11]Fin Stats'!$B$113:$M$113</definedName>
    <definedName name="Cash_Flow" localSheetId="16">'[12]Fin Stats'!$B$113:$M$113</definedName>
    <definedName name="Cash_Flow">'[11]Fin Stats'!$B$113:$M$113</definedName>
    <definedName name="Cash_Flow_per_Share" localSheetId="15">'[11]Fin Stats'!$B$116:$M$116</definedName>
    <definedName name="Cash_Flow_per_Share" localSheetId="16">'[12]Fin Stats'!$B$116:$M$116</definedName>
    <definedName name="Cash_Flow_per_Share">'[11]Fin Stats'!$B$116:$M$116</definedName>
    <definedName name="CFO_Assets" localSheetId="15">'[11]Fin Stats'!$B$67:$M$67</definedName>
    <definedName name="CFO_Assets" localSheetId="16">'[12]Fin Stats'!$B$67:$M$67</definedName>
    <definedName name="CFO_Assets">'[11]Fin Stats'!$B$67:$M$67</definedName>
    <definedName name="CFO_Total_Debt" localSheetId="15">'[11]Fin Stats'!$B$78:$M$78</definedName>
    <definedName name="CFO_Total_Debt" localSheetId="16">'[12]Fin Stats'!$B$78:$M$78</definedName>
    <definedName name="CFO_Total_Debt">'[11]Fin Stats'!$B$78:$M$78</definedName>
    <definedName name="Common_equity" localSheetId="15">'[11]Fin Stats'!$B$38:$M$38</definedName>
    <definedName name="Common_equity" localSheetId="16">'[12]Fin Stats'!$B$38:$M$38</definedName>
    <definedName name="Common_equity">'[11]Fin Stats'!$B$38:$M$38</definedName>
    <definedName name="Company_Name" localSheetId="15">'[15]Income Statement'!$A$1</definedName>
    <definedName name="Company_Name" localSheetId="16">'[16]Income Statement'!$A$1</definedName>
    <definedName name="Company_Name">'[15]Income Statement'!$A$1</definedName>
    <definedName name="CopyrightStamp">ImportantDisclosures!$A$27</definedName>
    <definedName name="COU" localSheetId="20">ModPubIndex!$A$5</definedName>
    <definedName name="CQEnd" localSheetId="19">IndexInformation!$B$31</definedName>
    <definedName name="Currency" localSheetId="19">IndexInformation!$B$24</definedName>
    <definedName name="CurrentStockPrice" localSheetId="19">IndexInformation!$B$23</definedName>
    <definedName name="CurrQtrEPS" localSheetId="19">IndexInformation!$B$29</definedName>
    <definedName name="CurrYearEPS" localSheetId="19">IndexInformation!$B$11</definedName>
    <definedName name="CurrYearTotalRevenue" localSheetId="19">IndexInformation!$B$10</definedName>
    <definedName name="CurrYearTotalRevenueActual" localSheetId="19">IndexInformation!$B$32</definedName>
    <definedName name="CUSIP" localSheetId="19">IndexInformation!$B$20</definedName>
    <definedName name="CYEnd" localSheetId="19">IndexInformation!$B$30</definedName>
    <definedName name="dataseries1" localSheetId="15">#N/A</definedName>
    <definedName name="dataseries1">#N/A</definedName>
    <definedName name="dataseries4">OFFSET([17]c1!$G$12,0,0,COUNTA([17]c1!$G$12:$G$31),1)</definedName>
    <definedName name="Date" localSheetId="0">ImportantDisclosures!$A$8</definedName>
    <definedName name="Debt_Equity" localSheetId="15">'[11]Fin Stats'!$B$60:$M$60</definedName>
    <definedName name="Debt_Equity" localSheetId="16">'[12]Fin Stats'!$B$60:$M$60</definedName>
    <definedName name="Debt_Equity">'[11]Fin Stats'!$B$60:$M$60</definedName>
    <definedName name="Debt_Total_Capital" localSheetId="15">'[11]Fin Stats'!$B$61:$M$61</definedName>
    <definedName name="Debt_Total_Capital" localSheetId="16">'[12]Fin Stats'!$B$61:$M$61</definedName>
    <definedName name="Debt_Total_Capital">'[11]Fin Stats'!$B$61:$M$61</definedName>
    <definedName name="Deleted" localSheetId="19">IndexInformation!$B$27</definedName>
    <definedName name="Depreciation__D___A" localSheetId="15">'[11]Fin Stats'!$B$110:$M$110</definedName>
    <definedName name="Depreciation__D___A" localSheetId="16">'[12]Fin Stats'!$B$110:$M$110</definedName>
    <definedName name="Depreciation__D___A">'[11]Fin Stats'!$B$110:$M$110</definedName>
    <definedName name="Description" localSheetId="19">IndexInformation!$B$7</definedName>
    <definedName name="Discipline" localSheetId="19">IndexInformation!$B$3</definedName>
    <definedName name="DISCIPLINE" localSheetId="20">ModPubIndex!$A$12</definedName>
    <definedName name="DisclosuresText">ImportantDisclosures!$A$22</definedName>
    <definedName name="Distribution" localSheetId="19">IndexInformation!$B$26</definedName>
    <definedName name="DistTable" localSheetId="0">ImportantDisclosures!#REF!</definedName>
    <definedName name="DistTablePreamble" localSheetId="0">ImportantDisclosures!#REF!</definedName>
    <definedName name="Dividends_per_Share" localSheetId="15">'[11]Fin Stats'!$B$118:$M$118</definedName>
    <definedName name="Dividends_per_Share" localSheetId="16">'[12]Fin Stats'!$B$118:$M$118</definedName>
    <definedName name="Dividends_per_Share">'[11]Fin Stats'!$B$118:$M$118</definedName>
    <definedName name="DOCDAT" localSheetId="20">ModPubIndex!$A$2</definedName>
    <definedName name="DOCTIME" localSheetId="20">ModPubIndex!$A$3</definedName>
    <definedName name="DocType" localSheetId="19">IndexInformation!$B$5</definedName>
    <definedName name="Earnings" localSheetId="15">'[11]Fin Stats'!$B$106:$M$106</definedName>
    <definedName name="Earnings" localSheetId="16">'[12]Fin Stats'!$B$106:$M$106</definedName>
    <definedName name="Earnings">'[11]Fin Stats'!$B$106:$M$106</definedName>
    <definedName name="Earnings_per_Share" localSheetId="15">'[11]Fin Stats'!$B$107:$M$107</definedName>
    <definedName name="Earnings_per_Share" localSheetId="16">'[12]Fin Stats'!$B$107:$M$107</definedName>
    <definedName name="Earnings_per_Share">'[11]Fin Stats'!$B$107:$M$107</definedName>
    <definedName name="EBIT" localSheetId="15">'[11]Fin Stats'!$B$101:$M$101</definedName>
    <definedName name="EBIT" localSheetId="16">'[12]Fin Stats'!$B$101:$M$101</definedName>
    <definedName name="EBIT">'[11]Fin Stats'!$B$101:$M$101</definedName>
    <definedName name="EBIT_Assets" localSheetId="15">'[11]Fin Stats'!$B$66:$M$66</definedName>
    <definedName name="EBIT_Assets" localSheetId="16">'[12]Fin Stats'!$B$66:$M$66</definedName>
    <definedName name="EBIT_Assets">'[11]Fin Stats'!$B$66:$M$66</definedName>
    <definedName name="EBIT_Margin" localSheetId="15">'[11]Fin Stats'!$B$24:$M$24</definedName>
    <definedName name="EBIT_Margin" localSheetId="16">'[12]Fin Stats'!$B$24:$M$24</definedName>
    <definedName name="EBIT_Margin">'[11]Fin Stats'!$B$24:$M$24</definedName>
    <definedName name="EBIT_to_Interest_Expense" localSheetId="15">'[11]Fin Stats'!$B$45:$M$45</definedName>
    <definedName name="EBIT_to_Interest_Expense" localSheetId="16">'[12]Fin Stats'!$B$45:$M$45</definedName>
    <definedName name="EBIT_to_Interest_Expense">'[11]Fin Stats'!$B$45:$M$45</definedName>
    <definedName name="EBITDA" localSheetId="15">'[11]Fin Stats'!$B$100:$M$100</definedName>
    <definedName name="EBITDA" localSheetId="16">'[12]Fin Stats'!$B$100:$M$100</definedName>
    <definedName name="EBITDA">'[11]Fin Stats'!$B$100:$M$100</definedName>
    <definedName name="EBITDA_Interest" localSheetId="15">'[11]Fin Stats'!$B$75:$M$75</definedName>
    <definedName name="EBITDA_Interest" localSheetId="16">'[12]Fin Stats'!$B$75:$M$75</definedName>
    <definedName name="EBITDA_Interest">'[11]Fin Stats'!$B$75:$M$75</definedName>
    <definedName name="EMAIL_ALERT" localSheetId="20">ModPubIndex!$A$10</definedName>
    <definedName name="EmailAlert" localSheetId="19">IndexInformation!$B$28</definedName>
    <definedName name="Energy">[18]Data!$P$9:$Q$29</definedName>
    <definedName name="EnergyGrowth">[18]Data!$U$58:$X$76</definedName>
    <definedName name="Enterprise_Value" localSheetId="15">'[11]Fin Stats'!$B$57:$M$57</definedName>
    <definedName name="Enterprise_Value" localSheetId="16">'[12]Fin Stats'!$B$57:$M$57</definedName>
    <definedName name="Enterprise_Value">'[11]Fin Stats'!$B$57:$M$57</definedName>
    <definedName name="EPS">AEP!$N$55:$AL$55</definedName>
    <definedName name="Equity_to_Capital" localSheetId="15">'[11]Fin Stats'!$B$43:$M$43</definedName>
    <definedName name="Equity_to_Capital" localSheetId="16">'[12]Fin Stats'!$B$43:$M$43</definedName>
    <definedName name="Equity_to_Capital">'[11]Fin Stats'!$B$43:$M$43</definedName>
    <definedName name="ev.Calculation" hidden="1">-4105</definedName>
    <definedName name="ev.Initialized" hidden="1">FALSE</definedName>
    <definedName name="EV_EBITDA_Current_Year" localSheetId="15">'[11]Fin Stats'!$B$85:$M$85</definedName>
    <definedName name="EV_EBITDA_Current_Year" localSheetId="16">'[12]Fin Stats'!$B$85:$M$85</definedName>
    <definedName name="EV_EBITDA_Current_Year">'[11]Fin Stats'!$B$85:$M$85</definedName>
    <definedName name="EV_EBITDA_Forward_Year" localSheetId="15">'[11]Fin Stats'!$B$86:$M$86</definedName>
    <definedName name="EV_EBITDA_Forward_Year" localSheetId="16">'[12]Fin Stats'!$B$86:$M$86</definedName>
    <definedName name="EV_EBITDA_Forward_Year">'[11]Fin Stats'!$B$86:$M$86</definedName>
    <definedName name="EV_Sales_Current_Year" localSheetId="15">'[11]Fin Stats'!$B$82:$M$82</definedName>
    <definedName name="EV_Sales_Current_Year" localSheetId="16">'[12]Fin Stats'!$B$82:$M$82</definedName>
    <definedName name="EV_Sales_Current_Year">'[11]Fin Stats'!$B$82:$M$82</definedName>
    <definedName name="EV_Sales_Forward_Year" localSheetId="15">'[11]Fin Stats'!$B$83:$M$83</definedName>
    <definedName name="EV_Sales_Forward_Year" localSheetId="16">'[12]Fin Stats'!$B$83:$M$83</definedName>
    <definedName name="EV_Sales_Forward_Year">'[11]Fin Stats'!$B$83:$M$83</definedName>
    <definedName name="FFO_Coverage" localSheetId="15">'[11]Fin Stats'!$B$76:$M$76</definedName>
    <definedName name="FFO_Coverage" localSheetId="16">'[12]Fin Stats'!$B$76:$M$76</definedName>
    <definedName name="FFO_Coverage">'[11]Fin Stats'!$B$76:$M$76</definedName>
    <definedName name="FFO_Total_Debt" localSheetId="15">'[11]Fin Stats'!$B$77:$M$77</definedName>
    <definedName name="FFO_Total_Debt" localSheetId="16">'[12]Fin Stats'!$B$77:$M$77</definedName>
    <definedName name="FFO_Total_Debt">'[11]Fin Stats'!$B$77:$M$77</definedName>
    <definedName name="FiveYearGrowthRate" localSheetId="19">IndexInformation!$B$16</definedName>
    <definedName name="FollowingYearEPS" localSheetId="19">IndexInformation!$B$15</definedName>
    <definedName name="FollowingYearTotalRevenue" localSheetId="19">IndexInformation!$B$14</definedName>
    <definedName name="FollowingYearTotalRevenueActual" localSheetId="19">IndexInformation!$B$34</definedName>
    <definedName name="Free_Cash_Flow" localSheetId="15">'[11]Fin Stats'!$B$114:$M$114</definedName>
    <definedName name="Free_Cash_Flow" localSheetId="16">'[12]Fin Stats'!$B$114:$M$114</definedName>
    <definedName name="Free_Cash_Flow">'[11]Fin Stats'!$B$114:$M$114</definedName>
    <definedName name="GasPaste" localSheetId="15">[19]Gas!$D$7</definedName>
    <definedName name="GasPaste" localSheetId="16">[20]Gas!$D$7</definedName>
    <definedName name="GasPaste">[21]Gas!$D$7</definedName>
    <definedName name="GenCo">Valuation!$CF$15</definedName>
    <definedName name="Generation">[18]Data!$P$34:$Q$54</definedName>
    <definedName name="Gross_Margin" localSheetId="15">'[11]Fin Stats'!$B$22:$M$22</definedName>
    <definedName name="Gross_Margin" localSheetId="16">'[12]Fin Stats'!$B$22:$M$22</definedName>
    <definedName name="Gross_Margin">'[11]Fin Stats'!$B$22:$M$22</definedName>
    <definedName name="Growth_ROIC" localSheetId="17">OFFSET('AEP River'!XRange,10,0)</definedName>
    <definedName name="Growth_ROIC" localSheetId="14">OFFSET(Debt!XRange,10,0)</definedName>
    <definedName name="Growth_ROIC" localSheetId="12">OFFSET('Generation &amp; Marketing'!XRange,10,0)</definedName>
    <definedName name="Growth_ROIC" localSheetId="15">OFFSET([0]!XRange,10,0)</definedName>
    <definedName name="Growth_ROIC" localSheetId="13">OFFSET(Parent!XRange,10,0)</definedName>
    <definedName name="Growth_ROIC" localSheetId="16">OFFSET([0]!XRange,10,0)</definedName>
    <definedName name="Growth_ROIC" localSheetId="10">OFFSET('T&amp;D Utilities'!XRange,10,0)</definedName>
    <definedName name="Growth_ROIC" localSheetId="11">OFFSET('Transmission Holdco'!XRange,10,0)</definedName>
    <definedName name="Growth_ROIC" localSheetId="5">OFFSET(Valuation!XRange,10,0)</definedName>
    <definedName name="Growth_ROIC" localSheetId="9">OFFSET('Vertically Integrated Utilities'!XRange,10,0)</definedName>
    <definedName name="Growth_ROIC">OFFSET([0]!XRange,10,0)</definedName>
    <definedName name="highmid_gas_cf" localSheetId="16">'[6]Valuation Summary'!$AQ$28</definedName>
    <definedName name="highmid_gas_cf">'[7]Valuation Summary'!$AQ$28</definedName>
    <definedName name="highmidmargin" localSheetId="16">'[6]Valuation Summary'!$AN$28</definedName>
    <definedName name="highmidmargin">'[7]Valuation Summary'!$AN$28</definedName>
    <definedName name="HL" localSheetId="20">ModPubIndex!$A$8</definedName>
    <definedName name="hn.ExtDb" hidden="1">FALSE</definedName>
    <definedName name="hn.ModelType" hidden="1">"DEAL"</definedName>
    <definedName name="hn.ModelVersion" hidden="1">1</definedName>
    <definedName name="hn.NoUpload" hidden="1">0</definedName>
    <definedName name="huge_gas_cf" localSheetId="16">'[6]Valuation Summary'!$AQ$27</definedName>
    <definedName name="huge_gas_cf">'[7]Valuation Summary'!$AQ$27</definedName>
    <definedName name="hugemargin" localSheetId="16">'[6]Valuation Summary'!$AN$27</definedName>
    <definedName name="hugemargin">'[7]Valuation Summary'!$AN$27</definedName>
    <definedName name="Img_ML_7g5e5e2b" hidden="1">"IMG_12"</definedName>
    <definedName name="IND" localSheetId="20">ModPubIndex!$A$9</definedName>
    <definedName name="Industry" localSheetId="0">ImportantDisclosures!$A$12</definedName>
    <definedName name="IndustryId" localSheetId="15">[22]IndexInformation!$B$40</definedName>
    <definedName name="IndustryId">IndexInformation!$B$40</definedName>
    <definedName name="IndustryRating" localSheetId="0">ImportantDisclosures!$A$13</definedName>
    <definedName name="Interest_Expense" localSheetId="15">'[11]Fin Stats'!$B$103:$M$103</definedName>
    <definedName name="Interest_Expense" localSheetId="16">'[12]Fin Stats'!$B$103:$M$103</definedName>
    <definedName name="Interest_Expense">'[11]Fin Stats'!$B$103:$M$103</definedName>
    <definedName name="InvestCapGrowth" localSheetId="17">OFFSET('AEP River'!XRange2,4,0)</definedName>
    <definedName name="InvestCapGrowth" localSheetId="14">OFFSET(Debt!XRange2,4,0)</definedName>
    <definedName name="InvestCapGrowth" localSheetId="12">OFFSET('Generation &amp; Marketing'!XRange2,4,0)</definedName>
    <definedName name="InvestCapGrowth" localSheetId="15">OFFSET([0]!XRange2,4,0)</definedName>
    <definedName name="InvestCapGrowth" localSheetId="13">OFFSET(Parent!XRange2,4,0)</definedName>
    <definedName name="InvestCapGrowth" localSheetId="16">OFFSET([0]!XRange2,4,0)</definedName>
    <definedName name="InvestCapGrowth" localSheetId="10">OFFSET('T&amp;D Utilities'!XRange2,4,0)</definedName>
    <definedName name="InvestCapGrowth" localSheetId="11">OFFSET('Transmission Holdco'!XRange2,4,0)</definedName>
    <definedName name="InvestCapGrowth" localSheetId="5">OFFSET(Valuation!XRange2,4,0)</definedName>
    <definedName name="InvestCapGrowth" localSheetId="9">OFFSET('Vertically Integrated Utilities'!XRange2,4,0)</definedName>
    <definedName name="InvestCapGrowth">OFFSET([0]!XRange2,4,0)</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CURRENCY_REUT" hidden="1">"c5437"</definedName>
    <definedName name="IQ_EST_DATE" hidden="1">"c1634"</definedName>
    <definedName name="IQ_EST_DATE_REUT" hidden="1">"c5438"</definedName>
    <definedName name="IQ_EST_EPS_DIFF" hidden="1">"c1864"</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AMES_REVISION_DATE_" localSheetId="16" hidden="1">40521.6808449074</definedName>
    <definedName name="IQ_NAMES_REVISION_DATE_" hidden="1">40521.6808449074</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"c2903"</definedName>
    <definedName name="IQ_RETAIL_ACQUIRED_OWNED_STORES" hidden="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localSheetId="16" hidden="1">39177.4967361111</definedName>
    <definedName name="IQ_REVISION_DATE_" hidden="1">39177.4967361111</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ShowHideColumns">"iQShowAll"</definedName>
    <definedName name="KeepVersions" localSheetId="19">IndexInformation!$B$8</definedName>
    <definedName name="LanguageCode" localSheetId="15">[22]IndexInformation!$B$38</definedName>
    <definedName name="LanguageCode">IndexInformation!$B$38</definedName>
    <definedName name="LastCell" localSheetId="0">ImportantDisclosures!$A$22</definedName>
    <definedName name="Linking_Range_11">Financials!$B$4:$DJ$62</definedName>
    <definedName name="Linking_Range_12">Financials!$B$5:$DJ$62</definedName>
    <definedName name="Linking_Range_13">Financials!$B$4:$DT$62</definedName>
    <definedName name="Linking_Range_6">Financials!$B$5:$DE$62</definedName>
    <definedName name="Linking_Range_7">Financials!$B$2:$DE$62</definedName>
    <definedName name="Linking_Range_9">Financials!$B$4:$DE$62</definedName>
    <definedName name="Long_term_debt" localSheetId="15">'[11]Fin Stats'!$B$36:$M$36</definedName>
    <definedName name="Long_term_debt" localSheetId="16">'[12]Fin Stats'!$B$36:$M$36</definedName>
    <definedName name="Long_term_debt">'[11]Fin Stats'!$B$36:$M$36</definedName>
    <definedName name="Long_term_Debt_to_Capital" localSheetId="15">'[11]Fin Stats'!$B$41:$M$41</definedName>
    <definedName name="Long_term_Debt_to_Capital" localSheetId="16">'[12]Fin Stats'!$B$41:$M$41</definedName>
    <definedName name="Long_term_Debt_to_Capital">'[11]Fin Stats'!$B$41:$M$41</definedName>
    <definedName name="lowmid_gas_cf" localSheetId="16">'[6]Valuation Summary'!$AQ$29</definedName>
    <definedName name="lowmid_gas_cf">'[7]Valuation Summary'!$AQ$29</definedName>
    <definedName name="lowmidmargin" localSheetId="16">'[6]Valuation Summary'!$AN$29</definedName>
    <definedName name="lowmidmargin">'[7]Valuation Summary'!$AN$29</definedName>
    <definedName name="MacroVersion" localSheetId="19">IndexInformation!$B$1</definedName>
    <definedName name="Market_Value" localSheetId="15">'[11]Fin Stats'!$B$56:$M$56</definedName>
    <definedName name="Market_Value" localSheetId="16">'[12]Fin Stats'!$B$56:$M$56</definedName>
    <definedName name="Market_Value">'[11]Fin Stats'!$B$56:$M$56</definedName>
    <definedName name="MaxChange" localSheetId="2">CircularReferenceAlert!$B$9</definedName>
    <definedName name="MaxIterations" localSheetId="2">CircularReferenceAlert!$B$8</definedName>
    <definedName name="Minority_Interest" localSheetId="15">'[11]Fin Stats'!$B$53:$M$53</definedName>
    <definedName name="Minority_Interest" localSheetId="16">'[12]Fin Stats'!$B$53:$M$53</definedName>
    <definedName name="Minority_Interest">'[11]Fin Stats'!$B$53:$M$53</definedName>
    <definedName name="ModelPrice" localSheetId="0">ImportantDisclosures!$A$14</definedName>
    <definedName name="Multiplier" localSheetId="19">IndexInformation!$B$35</definedName>
    <definedName name="Net_Debt" localSheetId="15">'[11]Fin Stats'!$B$51:$M$51</definedName>
    <definedName name="Net_Debt" localSheetId="16">'[12]Fin Stats'!$B$51:$M$51</definedName>
    <definedName name="Net_Debt">'[11]Fin Stats'!$B$51:$M$51</definedName>
    <definedName name="Net_Income_Margin" localSheetId="15">'[11]Fin Stats'!$B$26:$M$26</definedName>
    <definedName name="Net_Income_Margin" localSheetId="16">'[12]Fin Stats'!$B$26:$M$26</definedName>
    <definedName name="Net_Income_Margin">'[11]Fin Stats'!$B$26:$M$26</definedName>
    <definedName name="NextYearEPS" localSheetId="19">IndexInformation!$B$13</definedName>
    <definedName name="NextYearTotalRevenue" localSheetId="19">IndexInformation!$B$12</definedName>
    <definedName name="NextYearTotalRevenueActual" localSheetId="19">IndexInformation!$B$33</definedName>
    <definedName name="NM">"NM"</definedName>
    <definedName name="NRGDispatchType">'Plant List'!$E$8:$E$122</definedName>
    <definedName name="NRGFuel">'Plant List'!$F$8:$F$122</definedName>
    <definedName name="NRGFuelType">'Plant List'!$F$8:$F$122</definedName>
    <definedName name="NRGHeatRate">'Plant List'!$O$8:$O$122</definedName>
    <definedName name="NRGHub">'Plant List'!$J$8:$J$122</definedName>
    <definedName name="NRGLDA">'Plant List'!$D$8:$D$122</definedName>
    <definedName name="NRGMW">'Plant List'!$N$8:$N$122</definedName>
    <definedName name="NRGNetMW">'Plant List'!$N$8:$N$122</definedName>
    <definedName name="NRGPlantType">'Plant List'!$E$8:$E$122</definedName>
    <definedName name="NRGPowerHub">'Plant List'!$J$8:$J$122</definedName>
    <definedName name="NRGRegion">'Plant List'!$H$6:$H$122</definedName>
    <definedName name="NRGSegment">'Plant List'!$H$8:$H$122</definedName>
    <definedName name="ObjectType" localSheetId="15">[22]IndexInformation!$B$37</definedName>
    <definedName name="ObjectType">IndexInformation!$B$37</definedName>
    <definedName name="Operating_Margin" localSheetId="15">'[11]Fin Stats'!$B$23:$M$23</definedName>
    <definedName name="Operating_Margin" localSheetId="16">'[12]Fin Stats'!$B$23:$M$23</definedName>
    <definedName name="Operating_Margin">'[11]Fin Stats'!$B$23:$M$23</definedName>
    <definedName name="OPkPaste" localSheetId="15">'[19]Off Peak'!$D$7</definedName>
    <definedName name="OPkPaste" localSheetId="16">'[20]Off Peak'!$D$7</definedName>
    <definedName name="OPkPaste">'[21]Off Peak'!$D$7</definedName>
    <definedName name="OpMargin" localSheetId="17">OFFSET('AEP River'!XRange2,5,0)</definedName>
    <definedName name="OpMargin" localSheetId="14">OFFSET(Debt!XRange2,5,0)</definedName>
    <definedName name="OpMargin" localSheetId="12">OFFSET('Generation &amp; Marketing'!XRange2,5,0)</definedName>
    <definedName name="OpMargin" localSheetId="15">OFFSET([0]!XRange2,5,0)</definedName>
    <definedName name="OpMargin" localSheetId="13">OFFSET(Parent!XRange2,5,0)</definedName>
    <definedName name="OpMargin" localSheetId="16">OFFSET([0]!XRange2,5,0)</definedName>
    <definedName name="OpMargin" localSheetId="10">OFFSET('T&amp;D Utilities'!XRange2,5,0)</definedName>
    <definedName name="OpMargin" localSheetId="11">OFFSET('Transmission Holdco'!XRange2,5,0)</definedName>
    <definedName name="OpMargin" localSheetId="5">OFFSET(Valuation!XRange2,5,0)</definedName>
    <definedName name="OpMargin" localSheetId="9">OFFSET('Vertically Integrated Utilities'!XRange2,5,0)</definedName>
    <definedName name="OpMargin">OFFSET([0]!XRange2,5,0)</definedName>
    <definedName name="PANA" localSheetId="20">ModPubIndex!$A$11</definedName>
    <definedName name="PathName" localSheetId="19">IndexInformation!$B$25</definedName>
    <definedName name="Payout_ratio" localSheetId="15">'[11]Fin Stats'!$B$119:$M$119</definedName>
    <definedName name="Payout_ratio" localSheetId="16">'[12]Fin Stats'!$B$119:$M$119</definedName>
    <definedName name="Payout_ratio">'[11]Fin Stats'!$B$119:$M$119</definedName>
    <definedName name="PeakGrowth">[18]Data!$P$56:$S$74</definedName>
    <definedName name="Phase1NPVFCF" localSheetId="17">OFFSET('AEP River'!XRange,39,0)</definedName>
    <definedName name="Phase1NPVFCF" localSheetId="14">OFFSET(Debt!XRange,39,0)</definedName>
    <definedName name="Phase1NPVFCF" localSheetId="12">OFFSET('Generation &amp; Marketing'!XRange,39,0)</definedName>
    <definedName name="Phase1NPVFCF" localSheetId="15">OFFSET([0]!XRange,39,0)</definedName>
    <definedName name="Phase1NPVFCF" localSheetId="13">OFFSET(Parent!XRange,39,0)</definedName>
    <definedName name="Phase1NPVFCF" localSheetId="16">OFFSET([0]!XRange,39,0)</definedName>
    <definedName name="Phase1NPVFCF" localSheetId="10">OFFSET('T&amp;D Utilities'!XRange,39,0)</definedName>
    <definedName name="Phase1NPVFCF" localSheetId="11">OFFSET('Transmission Holdco'!XRange,39,0)</definedName>
    <definedName name="Phase1NPVFCF" localSheetId="5">OFFSET(Valuation!XRange,39,0)</definedName>
    <definedName name="Phase1NPVFCF" localSheetId="9">OFFSET('Vertically Integrated Utilities'!XRange,39,0)</definedName>
    <definedName name="Phase1NPVFCF">OFFSET([0]!XRange,39,0)</definedName>
    <definedName name="Phase2NPVFCF" localSheetId="17">OFFSET('AEP River'!XRange,40,0)</definedName>
    <definedName name="Phase2NPVFCF" localSheetId="14">OFFSET(Debt!XRange,40,0)</definedName>
    <definedName name="Phase2NPVFCF" localSheetId="12">OFFSET('Generation &amp; Marketing'!XRange,40,0)</definedName>
    <definedName name="Phase2NPVFCF" localSheetId="15">OFFSET([0]!XRange,40,0)</definedName>
    <definedName name="Phase2NPVFCF" localSheetId="13">OFFSET(Parent!XRange,40,0)</definedName>
    <definedName name="Phase2NPVFCF" localSheetId="16">OFFSET([0]!XRange,40,0)</definedName>
    <definedName name="Phase2NPVFCF" localSheetId="10">OFFSET('T&amp;D Utilities'!XRange,40,0)</definedName>
    <definedName name="Phase2NPVFCF" localSheetId="11">OFFSET('Transmission Holdco'!XRange,40,0)</definedName>
    <definedName name="Phase2NPVFCF" localSheetId="5">OFFSET(Valuation!XRange,40,0)</definedName>
    <definedName name="Phase2NPVFCF" localSheetId="9">OFFSET('Vertically Integrated Utilities'!XRange,40,0)</definedName>
    <definedName name="Phase2NPVFCF">OFFSET([0]!XRange,40,0)</definedName>
    <definedName name="Phase3NPVFCF" localSheetId="17">OFFSET('AEP River'!XRange,41,0)</definedName>
    <definedName name="Phase3NPVFCF" localSheetId="14">OFFSET(Debt!XRange,41,0)</definedName>
    <definedName name="Phase3NPVFCF" localSheetId="12">OFFSET('Generation &amp; Marketing'!XRange,41,0)</definedName>
    <definedName name="Phase3NPVFCF" localSheetId="15">OFFSET([0]!XRange,41,0)</definedName>
    <definedName name="Phase3NPVFCF" localSheetId="13">OFFSET(Parent!XRange,41,0)</definedName>
    <definedName name="Phase3NPVFCF" localSheetId="16">OFFSET([0]!XRange,41,0)</definedName>
    <definedName name="Phase3NPVFCF" localSheetId="10">OFFSET('T&amp;D Utilities'!XRange,41,0)</definedName>
    <definedName name="Phase3NPVFCF" localSheetId="11">OFFSET('Transmission Holdco'!XRange,41,0)</definedName>
    <definedName name="Phase3NPVFCF" localSheetId="5">OFFSET(Valuation!XRange,41,0)</definedName>
    <definedName name="Phase3NPVFCF" localSheetId="9">OFFSET('Vertically Integrated Utilities'!XRange,41,0)</definedName>
    <definedName name="Phase3NPVFCF">OFFSET([0]!XRange,41,0)</definedName>
    <definedName name="PkPaste" localSheetId="15">[19]Peak!$D$7</definedName>
    <definedName name="PkPaste" localSheetId="16">[20]Peak!$D$7</definedName>
    <definedName name="PkPaste">[21]Peak!$D$7</definedName>
    <definedName name="Preferred_Equity" localSheetId="15">'[11]Fin Stats'!$B$52:$M$52</definedName>
    <definedName name="Preferred_Equity" localSheetId="16">'[12]Fin Stats'!$B$52:$M$52</definedName>
    <definedName name="Preferred_Equity">'[11]Fin Stats'!$B$52:$M$52</definedName>
    <definedName name="Preferred_stock" localSheetId="15">'[11]Fin Stats'!$B$37:$M$37</definedName>
    <definedName name="Preferred_stock" localSheetId="16">'[12]Fin Stats'!$B$37:$M$37</definedName>
    <definedName name="Preferred_stock">'[11]Fin Stats'!$B$37:$M$37</definedName>
    <definedName name="Preferred_to_Capital" localSheetId="15">'[11]Fin Stats'!$B$44:$M$44</definedName>
    <definedName name="Preferred_to_Capital" localSheetId="16">'[12]Fin Stats'!$B$44:$M$44</definedName>
    <definedName name="Preferred_to_Capital">'[11]Fin Stats'!$B$44:$M$44</definedName>
    <definedName name="Premium">Valuation!$CF$11</definedName>
    <definedName name="Pretax_Income" localSheetId="15">'[11]Fin Stats'!$B$104:$M$104</definedName>
    <definedName name="Pretax_Income" localSheetId="16">'[12]Fin Stats'!$B$104:$M$104</definedName>
    <definedName name="Pretax_Income">'[11]Fin Stats'!$B$104:$M$104</definedName>
    <definedName name="Pretax_Margin" localSheetId="15">'[11]Fin Stats'!$B$25:$M$25</definedName>
    <definedName name="Pretax_Margin" localSheetId="16">'[12]Fin Stats'!$B$25:$M$25</definedName>
    <definedName name="Pretax_Margin">'[11]Fin Stats'!$B$25:$M$25</definedName>
    <definedName name="Price_Book" localSheetId="15">'[11]Fin Stats'!$B$94:$M$94</definedName>
    <definedName name="Price_Book" localSheetId="16">'[12]Fin Stats'!$B$94:$M$94</definedName>
    <definedName name="Price_Book">'[11]Fin Stats'!$B$94:$M$94</definedName>
    <definedName name="Price_Cash_Flow" localSheetId="15">'[11]Fin Stats'!$B$88:$M$88</definedName>
    <definedName name="Price_Cash_Flow" localSheetId="16">'[12]Fin Stats'!$B$88:$M$88</definedName>
    <definedName name="Price_Cash_Flow">'[11]Fin Stats'!$B$88:$M$88</definedName>
    <definedName name="Price_Earnings" localSheetId="15">'[11]Fin Stats'!$B$91:$M$91</definedName>
    <definedName name="Price_Earnings" localSheetId="16">'[12]Fin Stats'!$B$91:$M$91</definedName>
    <definedName name="Price_Earnings">'[11]Fin Stats'!$B$91:$M$91</definedName>
    <definedName name="_xlnm.Print_Area" localSheetId="7">AEP!$J$15</definedName>
    <definedName name="_xlnm.Print_Area" localSheetId="14">Debt!$A$1:$CP$193</definedName>
    <definedName name="_xlnm.Print_Area" localSheetId="6">Financials!$A$1:$DE$62</definedName>
    <definedName name="_xlnm.Print_Area" localSheetId="12">'Generation &amp; Marketing'!$A$1:$AS$435</definedName>
    <definedName name="_xlnm.Print_Area" localSheetId="13">Parent!$A$1:$AS$49</definedName>
    <definedName name="_xlnm.Print_Area" localSheetId="10">'T&amp;D Utilities'!$A$1:$AS$229</definedName>
    <definedName name="_xlnm.Print_Area" localSheetId="11">'Transmission Holdco'!$A$1:$AS$82</definedName>
    <definedName name="_xlnm.Print_Area" localSheetId="8">'Utility Detail'!$A$93:$AM$100</definedName>
    <definedName name="_xlnm.Print_Area" localSheetId="5">Valuation!$A$1:$DF$91</definedName>
    <definedName name="_xlnm.Print_Area" localSheetId="9">'Vertically Integrated Utilities'!$A$1:$AS$259</definedName>
    <definedName name="_xlnm.Print_Area">"Formula removed, name can be deleted."</definedName>
    <definedName name="_xlnm.Print_Titles">"Formula removed, name can be deleted."</definedName>
    <definedName name="PRODUCT" localSheetId="20">ModPubIndex!$A$6</definedName>
    <definedName name="ProjectName" localSheetId="17">{"Client Name or Project Name"}</definedName>
    <definedName name="ProjectName" localSheetId="14">{"Client Name or Project Name"}</definedName>
    <definedName name="ProjectName" localSheetId="12">{"Client Name or Project Name"}</definedName>
    <definedName name="ProjectName" localSheetId="15">{"Client Name or Project Name"}</definedName>
    <definedName name="ProjectName" localSheetId="13">{"Client Name or Project Name"}</definedName>
    <definedName name="ProjectName" localSheetId="16">{"Client Name or Project Name"}</definedName>
    <definedName name="ProjectName" localSheetId="10">{"Client Name or Project Name"}</definedName>
    <definedName name="ProjectName" localSheetId="11">{"Client Name or Project Name"}</definedName>
    <definedName name="ProjectName" localSheetId="5">{"Client Name or Project Name"}</definedName>
    <definedName name="ProjectName" localSheetId="9">{"Client Name or Project Name"}</definedName>
    <definedName name="ProjectName">{"Cereva Networks, Inc"}</definedName>
    <definedName name="ProjectName_1" localSheetId="17">{"Client Name or Project Name"}</definedName>
    <definedName name="ProjectName_1" localSheetId="14">{"Client Name or Project Name"}</definedName>
    <definedName name="ProjectName_1" localSheetId="12">{"Client Name or Project Name"}</definedName>
    <definedName name="ProjectName_1" localSheetId="15">{"Client Name or Project Name"}</definedName>
    <definedName name="ProjectName_1" localSheetId="16">{"Client Name or Project Name"}</definedName>
    <definedName name="ProjectName_1" localSheetId="10">{"Client Name or Project Name"}</definedName>
    <definedName name="ProjectName_1" localSheetId="11">{"Client Name or Project Name"}</definedName>
    <definedName name="ProjectName_1" localSheetId="5">{"Client Name or Project Name"}</definedName>
    <definedName name="ProjectName_1" localSheetId="9">{"Client Name or Project Name"}</definedName>
    <definedName name="ProjectName_1">{"Client Name or Project Name"}</definedName>
    <definedName name="PSYM" localSheetId="20">ModPubIndex!$A$4</definedName>
    <definedName name="PublishDate" localSheetId="19">IndexInformation!$B$2</definedName>
    <definedName name="Rate_Case_2004" localSheetId="15">'[11]Income Statement'!$K$1</definedName>
    <definedName name="Rate_Case_2004" localSheetId="16">'[12]Income Statement'!$K$1</definedName>
    <definedName name="Rate_Case_2004">'[11]Income Statement'!$K$1</definedName>
    <definedName name="Rate_Case_2005" localSheetId="15">'[11]Income Statement'!$K$2</definedName>
    <definedName name="Rate_Case_2005" localSheetId="16">'[12]Income Statement'!$K$2</definedName>
    <definedName name="Rate_Case_2005">'[11]Income Statement'!$K$2</definedName>
    <definedName name="Rating" localSheetId="19">IndexInformation!$B$9</definedName>
    <definedName name="RatingsDefined" localSheetId="0">ImportantDisclosures!$A$21</definedName>
    <definedName name="RatingsDefs" localSheetId="0">ImportantDisclosures!#REF!</definedName>
    <definedName name="RCF_Total_Debt" localSheetId="15">'[11]Fin Stats'!$B$79:$M$79</definedName>
    <definedName name="RCF_Total_Debt" localSheetId="16">'[12]Fin Stats'!$B$79:$M$79</definedName>
    <definedName name="RCF_Total_Debt">'[11]Fin Stats'!$B$79:$M$79</definedName>
    <definedName name="RegACDisclosure" localSheetId="0">ImportantDisclosures!#REF!</definedName>
    <definedName name="RegPct">Financials!$D$9</definedName>
    <definedName name="Rem_Bus_ROIC" localSheetId="17">OFFSET('AEP River'!XRange,11,0)</definedName>
    <definedName name="Rem_Bus_ROIC" localSheetId="14">OFFSET(Debt!XRange,11,0)</definedName>
    <definedName name="Rem_Bus_ROIC" localSheetId="12">OFFSET('Generation &amp; Marketing'!XRange,11,0)</definedName>
    <definedName name="Rem_Bus_ROIC" localSheetId="15">OFFSET([0]!XRange,11,0)</definedName>
    <definedName name="Rem_Bus_ROIC" localSheetId="13">OFFSET(Parent!XRange,11,0)</definedName>
    <definedName name="Rem_Bus_ROIC" localSheetId="16">OFFSET([0]!XRange,11,0)</definedName>
    <definedName name="Rem_Bus_ROIC" localSheetId="10">OFFSET('T&amp;D Utilities'!XRange,11,0)</definedName>
    <definedName name="Rem_Bus_ROIC" localSheetId="11">OFFSET('Transmission Holdco'!XRange,11,0)</definedName>
    <definedName name="Rem_Bus_ROIC" localSheetId="5">OFFSET(Valuation!XRange,11,0)</definedName>
    <definedName name="Rem_Bus_ROIC" localSheetId="9">OFFSET('Vertically Integrated Utilities'!XRange,11,0)</definedName>
    <definedName name="Rem_Bus_ROIC">OFFSET([0]!XRange,11,0)</definedName>
    <definedName name="ResearchTopic" localSheetId="19">IndexInformation!$B$4</definedName>
    <definedName name="Return_on_Assets" localSheetId="15">'[11]Fin Stats'!$B$29:$M$29</definedName>
    <definedName name="Return_on_Assets" localSheetId="16">'[12]Fin Stats'!$B$29:$M$29</definedName>
    <definedName name="Return_on_Assets">'[11]Fin Stats'!$B$29:$M$29</definedName>
    <definedName name="Return_on_Equity" localSheetId="15">'[11]Fin Stats'!$B$30:$M$30</definedName>
    <definedName name="Return_on_Equity" localSheetId="16">'[12]Fin Stats'!$B$30:$M$30</definedName>
    <definedName name="Return_on_Equity">'[11]Fin Stats'!$B$30:$M$30</definedName>
    <definedName name="Return_on_Invested_Capital" localSheetId="15">'[11]Fin Stats'!$B$31:$M$31</definedName>
    <definedName name="Return_on_Invested_Capital" localSheetId="16">'[12]Fin Stats'!$B$31:$M$31</definedName>
    <definedName name="Return_on_Invested_Capital">'[11]Fin Stats'!$B$31:$M$31</definedName>
    <definedName name="Return_Relative_to_S_P_500" localSheetId="15">'[11]Fin Stats'!$B$133:$M$133</definedName>
    <definedName name="Return_Relative_to_S_P_500" localSheetId="16">'[12]Fin Stats'!$B$133:$M$133</definedName>
    <definedName name="Return_Relative_to_S_P_500">'[11]Fin Stats'!$B$133:$M$133</definedName>
    <definedName name="Revenues" localSheetId="15">'[11]Fin Stats'!$B$99:$M$99</definedName>
    <definedName name="Revenues" localSheetId="16">'[12]Fin Stats'!$B$99:$M$99</definedName>
    <definedName name="Revenues">'[11]Fin Stats'!$B$99:$M$99</definedName>
    <definedName name="RIC" localSheetId="19">IndexInformation!$B$21</definedName>
    <definedName name="SECSettlement" localSheetId="0">ImportantDisclosures!#REF!</definedName>
    <definedName name="SEDOL" localSheetId="19">IndexInformation!$B$22</definedName>
    <definedName name="Shareholder_Return" localSheetId="15">'[11]Fin Stats'!$B$32:$M$32</definedName>
    <definedName name="Shareholder_Return" localSheetId="16">'[12]Fin Stats'!$B$32:$M$32</definedName>
    <definedName name="Shareholder_Return">'[11]Fin Stats'!$B$32:$M$32</definedName>
    <definedName name="SharePrice" localSheetId="17">'[8]Valuation Summary'!$BO$11</definedName>
    <definedName name="SharePrice" localSheetId="15">'[8]Valuation Summary'!$BO$11</definedName>
    <definedName name="SharePrice" localSheetId="16">'[23]Financial Summary'!$V$55</definedName>
    <definedName name="SharePrice" localSheetId="11">'[8]Valuation Summary'!$BO$11</definedName>
    <definedName name="SharePrice" localSheetId="5">'[8]Valuation Summary'!$BO$11</definedName>
    <definedName name="Shares_Outstanding" localSheetId="15">'[11]Fin Stats'!$B$54:$M$54</definedName>
    <definedName name="Shares_Outstanding" localSheetId="16">'[12]Fin Stats'!$B$54:$M$54</definedName>
    <definedName name="Shares_Outstanding">'[11]Fin Stats'!$B$54:$M$54</definedName>
    <definedName name="Short_term_debt" localSheetId="15">'[11]Fin Stats'!$B$35:$M$35</definedName>
    <definedName name="Short_term_debt" localSheetId="16">'[12]Fin Stats'!$B$35:$M$35</definedName>
    <definedName name="Short_term_debt">'[11]Fin Stats'!$B$35:$M$35</definedName>
    <definedName name="SourceDefined" localSheetId="0">ImportantDisclosures!$A$19</definedName>
    <definedName name="SPWS_WBID">"AB974E08-D2D4-47A3-BC27-DEDF1C76035D"</definedName>
    <definedName name="StockRating" localSheetId="0">ImportantDisclosures!$A$11</definedName>
    <definedName name="SubjectCode" localSheetId="19">IndexInformation!$B$6</definedName>
    <definedName name="SubmitterUserId" localSheetId="15">[22]IndexInformation!$B$39</definedName>
    <definedName name="SubmitterUserId">IndexInformation!$B$39</definedName>
    <definedName name="Subs">Financials!$C$9</definedName>
    <definedName name="SUPPRESSED" localSheetId="20">ModPubIndex!$A$13</definedName>
    <definedName name="TargetPrice" localSheetId="0">ImportantDisclosures!$A$15</definedName>
    <definedName name="Tax" localSheetId="17">'[8]Valuation Summary'!$BO$8</definedName>
    <definedName name="Tax" localSheetId="15">'[8]Valuation Summary'!$BO$8</definedName>
    <definedName name="Tax" localSheetId="16">'[23]Financial Summary'!$AG$14</definedName>
    <definedName name="Tax" localSheetId="11">'[8]Valuation Summary'!$BO$8</definedName>
    <definedName name="Tax" localSheetId="5">'[8]Valuation Summary'!$BO$8</definedName>
    <definedName name="TemplateRegion" localSheetId="15">[22]IndexInformation!$B$36</definedName>
    <definedName name="TemplateRegion">IndexInformation!$B$36</definedName>
    <definedName name="Ticker" localSheetId="0">ImportantDisclosures!$A$10</definedName>
    <definedName name="ticker">Cover!$C$3</definedName>
    <definedName name="TickerRegion">IndexInformation!$B$41</definedName>
    <definedName name="Tickers" localSheetId="19">IndexInformation!$B$19</definedName>
    <definedName name="Total_Bus_ROIC" localSheetId="17">OFFSET('AEP River'!XRange,12,0)</definedName>
    <definedName name="Total_Bus_ROIC" localSheetId="14">OFFSET(Debt!XRange,12,0)</definedName>
    <definedName name="Total_Bus_ROIC" localSheetId="12">OFFSET('Generation &amp; Marketing'!XRange,12,0)</definedName>
    <definedName name="Total_Bus_ROIC" localSheetId="15">OFFSET([0]!XRange,12,0)</definedName>
    <definedName name="Total_Bus_ROIC" localSheetId="13">OFFSET(Parent!XRange,12,0)</definedName>
    <definedName name="Total_Bus_ROIC" localSheetId="16">OFFSET([0]!XRange,12,0)</definedName>
    <definedName name="Total_Bus_ROIC" localSheetId="10">OFFSET('T&amp;D Utilities'!XRange,12,0)</definedName>
    <definedName name="Total_Bus_ROIC" localSheetId="11">OFFSET('Transmission Holdco'!XRange,12,0)</definedName>
    <definedName name="Total_Bus_ROIC" localSheetId="5">OFFSET(Valuation!XRange,12,0)</definedName>
    <definedName name="Total_Bus_ROIC" localSheetId="9">OFFSET('Vertically Integrated Utilities'!XRange,12,0)</definedName>
    <definedName name="Total_Bus_ROIC">OFFSET([0]!XRange,12,0)</definedName>
    <definedName name="Total_Capital" localSheetId="15">'[11]Fin Stats'!$B$39:$M$39</definedName>
    <definedName name="Total_Capital" localSheetId="16">'[12]Fin Stats'!$B$39:$M$39</definedName>
    <definedName name="Total_Capital">'[11]Fin Stats'!$B$39:$M$39</definedName>
    <definedName name="Total_Debt_EBITDA" localSheetId="15">'[11]Fin Stats'!$B$74:$M$74</definedName>
    <definedName name="Total_Debt_EBITDA" localSheetId="16">'[12]Fin Stats'!$B$74:$M$74</definedName>
    <definedName name="Total_Debt_EBITDA">'[11]Fin Stats'!$B$74:$M$74</definedName>
    <definedName name="Total_Debt_Outstanding" localSheetId="15">'[11]Fin Stats'!$B$50:$M$50</definedName>
    <definedName name="Total_Debt_Outstanding" localSheetId="16">'[12]Fin Stats'!$B$50:$M$50</definedName>
    <definedName name="Total_Debt_Outstanding">'[11]Fin Stats'!$B$50:$M$50</definedName>
    <definedName name="Total_Debt_to_Capital" localSheetId="15">'[11]Fin Stats'!$B$42:$M$42</definedName>
    <definedName name="Total_Debt_to_Capital" localSheetId="16">'[12]Fin Stats'!$B$42:$M$42</definedName>
    <definedName name="Total_Debt_to_Capital">'[11]Fin Stats'!$B$42:$M$42</definedName>
    <definedName name="Total_Debt_Total_Market_Cap" localSheetId="15">'[11]Fin Stats'!$B$62:$M$62</definedName>
    <definedName name="Total_Debt_Total_Market_Cap" localSheetId="16">'[12]Fin Stats'!$B$62:$M$62</definedName>
    <definedName name="Total_Debt_Total_Market_Cap">'[11]Fin Stats'!$B$62:$M$62</definedName>
    <definedName name="trc_XLS_DATASHEET_ProtectDate" localSheetId="15">36879.7503587963</definedName>
    <definedName name="trc_XLS_DATASHEET_ProtectDate">36879.7503587963</definedName>
    <definedName name="trc_XLS_DATASHEET_ProtectDate_1">36879.7503587963</definedName>
    <definedName name="Update_This" localSheetId="17">[24]!Update_This</definedName>
    <definedName name="Update_This">[24]!Update_This</definedName>
    <definedName name="UpdateReason" localSheetId="19">IndexInformation!$B$17</definedName>
    <definedName name="Uplift" localSheetId="15">'Market Prices'!$D$4</definedName>
    <definedName name="USRegDisclosures" localSheetId="0">ImportantDisclosures!#REF!</definedName>
    <definedName name="UtilityEPS">Valuation!$CF$8</definedName>
    <definedName name="UtilityPE">Valuation!$CF$10</definedName>
    <definedName name="Version">"June 29, 2004"</definedName>
    <definedName name="WACC" localSheetId="17">OFFSET('AEP River'!XRange,13,0)</definedName>
    <definedName name="WACC" localSheetId="14">OFFSET(Debt!XRange,13,0)</definedName>
    <definedName name="WACC" localSheetId="12">OFFSET('Generation &amp; Marketing'!XRange,13,0)</definedName>
    <definedName name="WACC" localSheetId="15">OFFSET([0]!XRange,13,0)</definedName>
    <definedName name="WACC" localSheetId="13">OFFSET(Parent!XRange,13,0)</definedName>
    <definedName name="WACC" localSheetId="16">OFFSET([0]!XRange,13,0)</definedName>
    <definedName name="WACC" localSheetId="10">OFFSET('T&amp;D Utilities'!XRange,13,0)</definedName>
    <definedName name="WACC" localSheetId="11">OFFSET('Transmission Holdco'!XRange,13,0)</definedName>
    <definedName name="WACC" localSheetId="5">OFFSET(Valuation!XRange,13,0)</definedName>
    <definedName name="WACC" localSheetId="9">OFFSET('Vertically Integrated Utilities'!XRange,13,0)</definedName>
    <definedName name="WACC">OFFSET([0]!XRange,13,0)</definedName>
    <definedName name="wrn.Earnings._.Model." localSheetId="17"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12"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15"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16"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1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5"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xaxis">#N/A</definedName>
    <definedName name="Year_End_Market_Price" localSheetId="15">'[11]Fin Stats'!$B$55:$M$55</definedName>
    <definedName name="Year_End_Market_Price" localSheetId="16">'[12]Fin Stats'!$B$55:$M$55</definedName>
    <definedName name="Year_End_Market_Price">'[11]Fin Stats'!$B$55:$M$55</definedName>
  </definedNames>
  <calcPr calcId="145621" iterate="1" iterateCount="1000"/>
</workbook>
</file>

<file path=xl/calcChain.xml><?xml version="1.0" encoding="utf-8"?>
<calcChain xmlns="http://schemas.openxmlformats.org/spreadsheetml/2006/main">
  <c r="BG30" i="41" l="1"/>
  <c r="BQ51" i="9"/>
  <c r="BL51" i="9"/>
  <c r="BG51" i="9"/>
  <c r="DK64" i="41"/>
  <c r="DK65" i="41" s="1"/>
  <c r="DK66" i="41" s="1"/>
  <c r="DK67" i="41" s="1"/>
  <c r="DK68" i="41" s="1"/>
  <c r="DK69" i="41" s="1"/>
  <c r="DK70" i="41" s="1"/>
  <c r="DK71" i="41" s="1"/>
  <c r="DK72" i="41" s="1"/>
  <c r="DK73" i="41" s="1"/>
  <c r="DK74" i="41" s="1"/>
  <c r="DK75" i="41" s="1"/>
  <c r="DK76" i="41" s="1"/>
  <c r="DK77" i="41" s="1"/>
  <c r="DK78" i="41" s="1"/>
  <c r="DK79" i="41" s="1"/>
  <c r="DK80" i="41" s="1"/>
  <c r="DK81" i="41" s="1"/>
  <c r="DK82" i="41" s="1"/>
  <c r="DK83" i="41" s="1"/>
  <c r="DK84" i="41" s="1"/>
  <c r="DK85" i="41" s="1"/>
  <c r="DK86" i="41" s="1"/>
  <c r="DK87" i="41" s="1"/>
  <c r="DK88" i="41" s="1"/>
  <c r="DK89" i="41" s="1"/>
  <c r="DK90" i="41" s="1"/>
  <c r="DK91" i="41" s="1"/>
  <c r="DK63" i="41"/>
  <c r="CZ72" i="41"/>
  <c r="CP76" i="41"/>
  <c r="CP74" i="41"/>
  <c r="CK76" i="41"/>
  <c r="CK74" i="41"/>
  <c r="CF74" i="41"/>
  <c r="CA74" i="41"/>
  <c r="DF72" i="41"/>
  <c r="DE72" i="41"/>
  <c r="CZ67" i="41"/>
  <c r="CK67" i="41"/>
  <c r="CF67" i="41"/>
  <c r="CA67" i="41"/>
  <c r="DE67" i="41"/>
  <c r="DM62" i="41"/>
  <c r="DM63" i="41" s="1"/>
  <c r="DY58" i="41"/>
  <c r="DZ58" i="41" s="1"/>
  <c r="EA58" i="41" s="1"/>
  <c r="EB58" i="41" s="1"/>
  <c r="EC58" i="41" s="1"/>
  <c r="ED58" i="41" s="1"/>
  <c r="EE58" i="41" s="1"/>
  <c r="EF58" i="41" s="1"/>
  <c r="EG58" i="41" s="1"/>
  <c r="EH58" i="41" s="1"/>
  <c r="EI58" i="41" s="1"/>
  <c r="DX58" i="41"/>
  <c r="DN51" i="41"/>
  <c r="DN50" i="41"/>
  <c r="DU45" i="41"/>
  <c r="BQ43" i="41"/>
  <c r="CZ42" i="41"/>
  <c r="CZ41" i="41"/>
  <c r="CZ43" i="41" s="1"/>
  <c r="CU43" i="41"/>
  <c r="CU42" i="41"/>
  <c r="CU41" i="41"/>
  <c r="CP42" i="41"/>
  <c r="CP43" i="41" s="1"/>
  <c r="CP41" i="41"/>
  <c r="CK42" i="41"/>
  <c r="CK41" i="41"/>
  <c r="CK43" i="41" s="1"/>
  <c r="CF42" i="41"/>
  <c r="CF41" i="41"/>
  <c r="CA42" i="41"/>
  <c r="CA41" i="41"/>
  <c r="CA43" i="41" s="1"/>
  <c r="DF43" i="41"/>
  <c r="DF42" i="41"/>
  <c r="DE42" i="41"/>
  <c r="DE43" i="41" s="1"/>
  <c r="DE41" i="41"/>
  <c r="BA41" i="41"/>
  <c r="AZ41" i="41"/>
  <c r="AY41" i="41"/>
  <c r="AX41" i="41"/>
  <c r="AV41" i="41"/>
  <c r="AU41" i="41"/>
  <c r="AT41" i="41"/>
  <c r="AS41" i="41"/>
  <c r="CZ36" i="41"/>
  <c r="CZ35" i="41"/>
  <c r="CZ66" i="41" s="1"/>
  <c r="CZ68" i="41" s="1"/>
  <c r="CZ70" i="41" s="1"/>
  <c r="CU36" i="41"/>
  <c r="CP38" i="41"/>
  <c r="CP37" i="41"/>
  <c r="CP36" i="41"/>
  <c r="CP35" i="41"/>
  <c r="CP66" i="41" s="1"/>
  <c r="CK37" i="41"/>
  <c r="CK36" i="41"/>
  <c r="CK35" i="41"/>
  <c r="CK66" i="41" s="1"/>
  <c r="CK68" i="41" s="1"/>
  <c r="CK70" i="41" s="1"/>
  <c r="CF37" i="41"/>
  <c r="CF36" i="41"/>
  <c r="CF38" i="41" s="1"/>
  <c r="CF35" i="41"/>
  <c r="CF66" i="41" s="1"/>
  <c r="CA37" i="41"/>
  <c r="CA36" i="41"/>
  <c r="CA35" i="41"/>
  <c r="BL38" i="41"/>
  <c r="BQ38" i="41" s="1"/>
  <c r="BB38" i="41"/>
  <c r="AW38" i="41" s="1"/>
  <c r="AR38" i="41" s="1"/>
  <c r="AM38" i="41" s="1"/>
  <c r="DN38" i="41"/>
  <c r="DU46" i="41" s="1"/>
  <c r="DN37" i="41"/>
  <c r="AW34" i="41"/>
  <c r="AR34" i="41"/>
  <c r="AM34" i="41"/>
  <c r="CF76" i="41" s="1"/>
  <c r="AH34" i="41"/>
  <c r="CA76" i="41" s="1"/>
  <c r="AC34" i="41"/>
  <c r="DF36" i="41"/>
  <c r="DE36" i="41"/>
  <c r="BT33" i="41"/>
  <c r="BQ31" i="41"/>
  <c r="BQ30" i="41"/>
  <c r="BL31" i="41"/>
  <c r="BL30" i="41"/>
  <c r="BG31" i="41"/>
  <c r="BB31" i="41"/>
  <c r="BB30" i="41"/>
  <c r="AW31" i="41"/>
  <c r="AW30" i="41"/>
  <c r="AR31" i="41"/>
  <c r="AR30" i="41"/>
  <c r="AM31" i="41"/>
  <c r="AM30" i="41"/>
  <c r="AH31" i="41"/>
  <c r="AH30" i="41"/>
  <c r="AC31" i="41"/>
  <c r="AC30" i="41"/>
  <c r="BP30" i="41"/>
  <c r="BO30" i="41"/>
  <c r="BN30" i="41"/>
  <c r="BM30" i="41"/>
  <c r="BK30" i="41"/>
  <c r="BJ30" i="41"/>
  <c r="BI30" i="41"/>
  <c r="BH30" i="41"/>
  <c r="BF30" i="41"/>
  <c r="BE30" i="41"/>
  <c r="BD30" i="41"/>
  <c r="BC30" i="41"/>
  <c r="BA30" i="41"/>
  <c r="AZ30" i="41"/>
  <c r="AY30" i="41"/>
  <c r="AX30" i="41"/>
  <c r="AV30" i="41"/>
  <c r="AU30" i="41"/>
  <c r="AT30" i="41"/>
  <c r="AS30" i="41"/>
  <c r="AQ30" i="41"/>
  <c r="AP30" i="41"/>
  <c r="AO30" i="41"/>
  <c r="AN30" i="41"/>
  <c r="AL30" i="41"/>
  <c r="AK30" i="41"/>
  <c r="AJ30" i="41"/>
  <c r="AI30" i="41"/>
  <c r="BQ27" i="41"/>
  <c r="BQ33" i="41" s="1"/>
  <c r="BL27" i="41"/>
  <c r="BL33" i="41" s="1"/>
  <c r="BG27" i="41"/>
  <c r="BG33" i="41" s="1"/>
  <c r="BB27" i="41"/>
  <c r="BB33" i="41" s="1"/>
  <c r="AW27" i="41"/>
  <c r="AW33" i="41" s="1"/>
  <c r="AW35" i="41" s="1"/>
  <c r="AR27" i="41"/>
  <c r="AR33" i="41" s="1"/>
  <c r="AR35" i="41" s="1"/>
  <c r="AM27" i="41"/>
  <c r="AM33" i="41" s="1"/>
  <c r="AM35" i="41" s="1"/>
  <c r="AH27" i="41"/>
  <c r="AH33" i="41" s="1"/>
  <c r="AH35" i="41" s="1"/>
  <c r="AC27" i="41"/>
  <c r="AC33" i="41" s="1"/>
  <c r="AC35" i="41" s="1"/>
  <c r="BL21" i="41"/>
  <c r="BL43" i="41" s="1"/>
  <c r="CG18" i="41"/>
  <c r="CE18" i="41"/>
  <c r="CD18" i="41"/>
  <c r="CC18" i="41"/>
  <c r="CB18" i="41"/>
  <c r="BQ17" i="41"/>
  <c r="BL17" i="41"/>
  <c r="BL16" i="41"/>
  <c r="BQ16" i="41" s="1"/>
  <c r="BQ18" i="41" s="1"/>
  <c r="BG17" i="41"/>
  <c r="BG16" i="41"/>
  <c r="BG18" i="41" s="1"/>
  <c r="BB18" i="41"/>
  <c r="AW18" i="41"/>
  <c r="AR18" i="41"/>
  <c r="AM18" i="41"/>
  <c r="AH18" i="41"/>
  <c r="CJ17" i="41"/>
  <c r="CJ18" i="41" s="1"/>
  <c r="CI17" i="41"/>
  <c r="CI18" i="41" s="1"/>
  <c r="CH17" i="41"/>
  <c r="CH18" i="41" s="1"/>
  <c r="CG17" i="41"/>
  <c r="CF68" i="41" l="1"/>
  <c r="CF70" i="41" s="1"/>
  <c r="BG21" i="41"/>
  <c r="BG43" i="41" s="1"/>
  <c r="BL18" i="41"/>
  <c r="CF20" i="41"/>
  <c r="CA66" i="41"/>
  <c r="CA68" i="41" s="1"/>
  <c r="CA70" i="41" s="1"/>
  <c r="CA38" i="41"/>
  <c r="CA39" i="41" s="1"/>
  <c r="CA45" i="41" s="1"/>
  <c r="CA46" i="41" s="1"/>
  <c r="CF39" i="41"/>
  <c r="CK38" i="41"/>
  <c r="CF43" i="41"/>
  <c r="DM64" i="41"/>
  <c r="CK39" i="41"/>
  <c r="CK45" i="41" s="1"/>
  <c r="CK46" i="41" s="1"/>
  <c r="DN44" i="41"/>
  <c r="CP39" i="41"/>
  <c r="CP45" i="41" s="1"/>
  <c r="CP46" i="41" s="1"/>
  <c r="BB21" i="41" l="1"/>
  <c r="CF45" i="41"/>
  <c r="CF46" i="41" s="1"/>
  <c r="DM65" i="41"/>
  <c r="DN47" i="41"/>
  <c r="CZ49" i="41"/>
  <c r="CP49" i="41"/>
  <c r="CP50" i="41" s="1"/>
  <c r="CF49" i="41"/>
  <c r="CF50" i="41" s="1"/>
  <c r="CU49" i="41"/>
  <c r="CK49" i="41"/>
  <c r="CK50" i="41" s="1"/>
  <c r="CA49" i="41"/>
  <c r="CA50" i="41" s="1"/>
  <c r="DE49" i="41"/>
  <c r="DU35" i="41"/>
  <c r="DF49" i="41"/>
  <c r="BB43" i="41"/>
  <c r="AW21" i="41"/>
  <c r="DM66" i="41" l="1"/>
  <c r="AW43" i="41"/>
  <c r="AR21" i="41"/>
  <c r="CA20" i="41" l="1"/>
  <c r="AR43" i="41"/>
  <c r="AM21" i="41"/>
  <c r="CK20" i="41"/>
  <c r="DM67" i="41"/>
  <c r="AW12" i="41"/>
  <c r="AW11" i="41"/>
  <c r="AW10" i="41"/>
  <c r="AW9" i="41"/>
  <c r="AW13" i="41" s="1"/>
  <c r="AW20" i="41" s="1"/>
  <c r="AW22" i="41" s="1"/>
  <c r="AW8" i="41"/>
  <c r="AW7" i="41"/>
  <c r="AR12" i="41"/>
  <c r="AR36" i="41" s="1"/>
  <c r="AR39" i="41" s="1"/>
  <c r="AR41" i="41" s="1"/>
  <c r="AR11" i="41"/>
  <c r="AR10" i="41"/>
  <c r="AR9" i="41"/>
  <c r="AR8" i="41"/>
  <c r="AR13" i="41" s="1"/>
  <c r="AR20" i="41" s="1"/>
  <c r="AR22" i="41" s="1"/>
  <c r="AR7" i="41"/>
  <c r="AM12" i="41"/>
  <c r="AM11" i="41"/>
  <c r="AM10" i="41"/>
  <c r="AM9" i="41"/>
  <c r="AM8" i="41"/>
  <c r="AM7" i="41"/>
  <c r="AM13" i="41" s="1"/>
  <c r="AM20" i="41" s="1"/>
  <c r="AM22" i="41" s="1"/>
  <c r="AH12" i="41"/>
  <c r="AH11" i="41"/>
  <c r="AH10" i="41"/>
  <c r="AH9" i="41"/>
  <c r="AH8" i="41"/>
  <c r="AH7" i="41"/>
  <c r="AH13" i="41" s="1"/>
  <c r="AH20" i="41" s="1"/>
  <c r="AC12" i="41"/>
  <c r="AC11" i="41"/>
  <c r="AC10" i="41"/>
  <c r="AC9" i="41"/>
  <c r="AC13" i="41" s="1"/>
  <c r="AC8" i="41"/>
  <c r="AC7" i="41"/>
  <c r="CJ11" i="41"/>
  <c r="CI11" i="41"/>
  <c r="CH11" i="41"/>
  <c r="CG11" i="41"/>
  <c r="CE11" i="41"/>
  <c r="CD11" i="41"/>
  <c r="CC11" i="41"/>
  <c r="CB11" i="41"/>
  <c r="CF10" i="41"/>
  <c r="CK10" i="41" s="1"/>
  <c r="CK12" i="41" s="1"/>
  <c r="S2" i="41"/>
  <c r="B2" i="41"/>
  <c r="AR44" i="41" l="1"/>
  <c r="AH36" i="41"/>
  <c r="CA10" i="41"/>
  <c r="CA12" i="41" s="1"/>
  <c r="AC36" i="41"/>
  <c r="AW36" i="41"/>
  <c r="AW39" i="41" s="1"/>
  <c r="AW41" i="41" s="1"/>
  <c r="AW44" i="41" s="1"/>
  <c r="CF12" i="41"/>
  <c r="DM68" i="41"/>
  <c r="AM36" i="41"/>
  <c r="AM39" i="41" s="1"/>
  <c r="AM41" i="41" s="1"/>
  <c r="AM43" i="41"/>
  <c r="AH21" i="41"/>
  <c r="AH22" i="41" s="1"/>
  <c r="BA73" i="5"/>
  <c r="AX73" i="5"/>
  <c r="AX51" i="5"/>
  <c r="AY51" i="5"/>
  <c r="AZ51" i="5"/>
  <c r="BA51" i="5"/>
  <c r="AY12" i="5"/>
  <c r="AZ12" i="5"/>
  <c r="DM69" i="41" l="1"/>
  <c r="AM44" i="41"/>
  <c r="AX8" i="9"/>
  <c r="AX9" i="9"/>
  <c r="AY9" i="9"/>
  <c r="AZ9" i="9"/>
  <c r="BA9" i="9"/>
  <c r="AZ13" i="9"/>
  <c r="BA13" i="9"/>
  <c r="AY13" i="9"/>
  <c r="AX13" i="9"/>
  <c r="AX19" i="8"/>
  <c r="AY19" i="8"/>
  <c r="AZ19" i="8"/>
  <c r="BA19" i="8"/>
  <c r="AX12" i="8"/>
  <c r="AY12" i="8"/>
  <c r="AZ12" i="8"/>
  <c r="BA12" i="8"/>
  <c r="AX13" i="8"/>
  <c r="AY13" i="8"/>
  <c r="AZ13" i="8"/>
  <c r="BA13" i="8"/>
  <c r="AX53" i="8"/>
  <c r="AY53" i="8"/>
  <c r="AZ53" i="8"/>
  <c r="BA53" i="8"/>
  <c r="BB59" i="8"/>
  <c r="BB56" i="8"/>
  <c r="DM70" i="41" l="1"/>
  <c r="BA69" i="5"/>
  <c r="AZ69" i="5"/>
  <c r="AY69" i="5"/>
  <c r="AX69" i="5"/>
  <c r="BB76" i="5"/>
  <c r="BA20" i="8"/>
  <c r="AZ20" i="8"/>
  <c r="AY20" i="8"/>
  <c r="AX20" i="8"/>
  <c r="BB54" i="5"/>
  <c r="AY54" i="5"/>
  <c r="AX54" i="5"/>
  <c r="AX12" i="9"/>
  <c r="AY12" i="9"/>
  <c r="AZ12" i="9"/>
  <c r="BA12" i="9"/>
  <c r="AY107" i="5"/>
  <c r="AX107" i="5"/>
  <c r="BA107" i="5"/>
  <c r="AZ107" i="5"/>
  <c r="BA31" i="9"/>
  <c r="AZ31" i="9"/>
  <c r="AY31" i="9"/>
  <c r="AX31" i="9"/>
  <c r="BA19" i="9"/>
  <c r="AZ19" i="9"/>
  <c r="AY19" i="9"/>
  <c r="AX19" i="9"/>
  <c r="DM71" i="41" l="1"/>
  <c r="BA50" i="8"/>
  <c r="AZ50" i="8"/>
  <c r="AY50" i="8"/>
  <c r="BB51" i="9"/>
  <c r="BA14" i="9"/>
  <c r="AZ14" i="9"/>
  <c r="AY14" i="9"/>
  <c r="AX14" i="9"/>
  <c r="BA8" i="9"/>
  <c r="AZ8" i="9"/>
  <c r="AY8" i="9"/>
  <c r="BD59" i="5"/>
  <c r="AY59" i="5"/>
  <c r="BA61" i="5"/>
  <c r="AZ61" i="5"/>
  <c r="AY61" i="5"/>
  <c r="AX61" i="5"/>
  <c r="BA60" i="5"/>
  <c r="AZ60" i="5"/>
  <c r="AY60" i="5"/>
  <c r="AX60" i="5"/>
  <c r="BC59" i="5"/>
  <c r="BA59" i="5"/>
  <c r="AZ59" i="5"/>
  <c r="BD56" i="5"/>
  <c r="BC56" i="5"/>
  <c r="BA56" i="5"/>
  <c r="AZ56" i="5"/>
  <c r="BC55" i="5"/>
  <c r="AZ55" i="5"/>
  <c r="AY55" i="5"/>
  <c r="BA52" i="8"/>
  <c r="AY52" i="8"/>
  <c r="BA51" i="8"/>
  <c r="AY51" i="8"/>
  <c r="AX50" i="8"/>
  <c r="BQ57" i="8"/>
  <c r="BL57" i="8"/>
  <c r="BG57" i="8"/>
  <c r="BB57" i="8"/>
  <c r="AX106" i="5"/>
  <c r="AX112" i="5" s="1"/>
  <c r="AZ73" i="5"/>
  <c r="AY73" i="5"/>
  <c r="AS110" i="5"/>
  <c r="DM72" i="41" l="1"/>
  <c r="BP242" i="5"/>
  <c r="BO242" i="5"/>
  <c r="BN242" i="5"/>
  <c r="BM242" i="5"/>
  <c r="BQ75" i="45"/>
  <c r="BP69" i="5"/>
  <c r="BO69" i="5"/>
  <c r="BN69" i="5"/>
  <c r="BM69" i="5"/>
  <c r="BK69" i="5"/>
  <c r="BJ69" i="5"/>
  <c r="BI69" i="5"/>
  <c r="BH69" i="5"/>
  <c r="BF69" i="5"/>
  <c r="BE69" i="5"/>
  <c r="BD69" i="5"/>
  <c r="BC69" i="5"/>
  <c r="BP53" i="8"/>
  <c r="BO53" i="8"/>
  <c r="BN53" i="8"/>
  <c r="BM53" i="8"/>
  <c r="BK53" i="8"/>
  <c r="BJ53" i="8"/>
  <c r="BI53" i="8"/>
  <c r="BH53" i="8"/>
  <c r="BF53" i="8"/>
  <c r="BE53" i="8"/>
  <c r="BD53" i="8"/>
  <c r="BC53" i="8"/>
  <c r="BB53" i="8"/>
  <c r="BB69" i="5"/>
  <c r="BB296" i="47"/>
  <c r="AZ209" i="47"/>
  <c r="I209" i="47"/>
  <c r="K10" i="69"/>
  <c r="BA56" i="8"/>
  <c r="BL78" i="45"/>
  <c r="BQ78" i="45"/>
  <c r="BG78" i="45"/>
  <c r="AV79" i="45"/>
  <c r="BB78" i="45"/>
  <c r="BG73" i="45"/>
  <c r="BB73" i="45"/>
  <c r="AW73" i="45"/>
  <c r="AX25" i="47"/>
  <c r="AV290" i="47"/>
  <c r="AU290" i="47"/>
  <c r="AT290" i="47"/>
  <c r="AW25" i="44"/>
  <c r="AW30" i="44"/>
  <c r="AZ20" i="5"/>
  <c r="AY20" i="5"/>
  <c r="AX20" i="5"/>
  <c r="BA20" i="5"/>
  <c r="DM73" i="41" l="1"/>
  <c r="AX56" i="8"/>
  <c r="AY56" i="8"/>
  <c r="AZ56" i="8"/>
  <c r="DM74" i="41" l="1"/>
  <c r="AX58" i="45"/>
  <c r="BI60" i="45"/>
  <c r="BN60" i="45" s="1"/>
  <c r="BG60" i="45"/>
  <c r="BF60" i="45"/>
  <c r="BK60" i="45" s="1"/>
  <c r="BP60" i="45" s="1"/>
  <c r="BE60" i="45"/>
  <c r="BJ60" i="45" s="1"/>
  <c r="BO60" i="45" s="1"/>
  <c r="BD60" i="45"/>
  <c r="BC60" i="45"/>
  <c r="BH60" i="45" s="1"/>
  <c r="AW60" i="45"/>
  <c r="BA60" i="45"/>
  <c r="AZ60" i="45"/>
  <c r="AY60" i="45"/>
  <c r="AX60" i="45"/>
  <c r="AV60" i="45"/>
  <c r="AU60" i="45"/>
  <c r="AT60" i="45"/>
  <c r="AS60" i="45"/>
  <c r="AQ60" i="45"/>
  <c r="AW80" i="45"/>
  <c r="AR80" i="45"/>
  <c r="AW69" i="45"/>
  <c r="AX12" i="45"/>
  <c r="BT47" i="45"/>
  <c r="BW45" i="45"/>
  <c r="BT50" i="45"/>
  <c r="BW50" i="45"/>
  <c r="BK242" i="5"/>
  <c r="BJ242" i="5"/>
  <c r="BI242" i="5"/>
  <c r="BH242" i="5"/>
  <c r="BF242" i="5"/>
  <c r="BE242" i="5"/>
  <c r="BD242" i="5"/>
  <c r="BC242" i="5"/>
  <c r="BA242" i="5"/>
  <c r="AZ242" i="5"/>
  <c r="AY242" i="5"/>
  <c r="AX242" i="5"/>
  <c r="AV242" i="5"/>
  <c r="AU242" i="5"/>
  <c r="AT242" i="5"/>
  <c r="AS242" i="5"/>
  <c r="BP223" i="8"/>
  <c r="BO223" i="8"/>
  <c r="BN223" i="8"/>
  <c r="BM223" i="8"/>
  <c r="BK223" i="8"/>
  <c r="BJ223" i="8"/>
  <c r="BI223" i="8"/>
  <c r="BH223" i="8"/>
  <c r="BF223" i="8"/>
  <c r="BE223" i="8"/>
  <c r="BD223" i="8"/>
  <c r="BC223" i="8"/>
  <c r="BA223" i="8"/>
  <c r="AZ223" i="8"/>
  <c r="AY223" i="8"/>
  <c r="AX223" i="8"/>
  <c r="AV223" i="8"/>
  <c r="AU223" i="8"/>
  <c r="AT223" i="8"/>
  <c r="AS223" i="8"/>
  <c r="DM75" i="41" l="1"/>
  <c r="BM60" i="45"/>
  <c r="BQ60" i="45" s="1"/>
  <c r="BL60" i="45"/>
  <c r="DM76" i="41" l="1"/>
  <c r="BQ101" i="4"/>
  <c r="BL101" i="4"/>
  <c r="BG101" i="4"/>
  <c r="BB101" i="4"/>
  <c r="AW42" i="9"/>
  <c r="AV42" i="9"/>
  <c r="AW41" i="9"/>
  <c r="AV41" i="9"/>
  <c r="AW38" i="9"/>
  <c r="AW35" i="9"/>
  <c r="AV35" i="9"/>
  <c r="AW34" i="9"/>
  <c r="AW33" i="9"/>
  <c r="AV33" i="9"/>
  <c r="AW32" i="9"/>
  <c r="AV32" i="9"/>
  <c r="AW31" i="9"/>
  <c r="AV31" i="9"/>
  <c r="AW28" i="9"/>
  <c r="AW14" i="9"/>
  <c r="AW13" i="9"/>
  <c r="AW12" i="9"/>
  <c r="AW9" i="9"/>
  <c r="AW8" i="9"/>
  <c r="AV136" i="8"/>
  <c r="AW136" i="8"/>
  <c r="AV94" i="8"/>
  <c r="AW62" i="8"/>
  <c r="AV62" i="8"/>
  <c r="AW60" i="8"/>
  <c r="AV60" i="8"/>
  <c r="AW59" i="8"/>
  <c r="AV59" i="8"/>
  <c r="AW57" i="8"/>
  <c r="AV57" i="8"/>
  <c r="AW56" i="8"/>
  <c r="AV56" i="8"/>
  <c r="AW48" i="8"/>
  <c r="AV48" i="8"/>
  <c r="BB20" i="8"/>
  <c r="AW130" i="5"/>
  <c r="AW131" i="5" s="1"/>
  <c r="AV130" i="5"/>
  <c r="AV131" i="5" s="1"/>
  <c r="AW127" i="5"/>
  <c r="AW128" i="5" s="1"/>
  <c r="AV127" i="5"/>
  <c r="AV128" i="5" s="1"/>
  <c r="AW119" i="5"/>
  <c r="AW120" i="5" s="1"/>
  <c r="AV119" i="5"/>
  <c r="AV120" i="5" s="1"/>
  <c r="AW114" i="5"/>
  <c r="AV114" i="5"/>
  <c r="AW112" i="5"/>
  <c r="AV112" i="5"/>
  <c r="AV51" i="5"/>
  <c r="AS98" i="5"/>
  <c r="AW79" i="5"/>
  <c r="AV79" i="5"/>
  <c r="AW77" i="5"/>
  <c r="AV77" i="5"/>
  <c r="AW76" i="5"/>
  <c r="AV76" i="5"/>
  <c r="AW51" i="5"/>
  <c r="DM77" i="41" l="1"/>
  <c r="AW15" i="9"/>
  <c r="AW17" i="9" s="1"/>
  <c r="AW10" i="9"/>
  <c r="AV122" i="5"/>
  <c r="AV123" i="5" s="1"/>
  <c r="AW122" i="5"/>
  <c r="AW123" i="5" s="1"/>
  <c r="DM78" i="41" l="1"/>
  <c r="AW117" i="44"/>
  <c r="AW121" i="44"/>
  <c r="AW135" i="44"/>
  <c r="AW131" i="44"/>
  <c r="DM79" i="41" l="1"/>
  <c r="AW222" i="4"/>
  <c r="AV222" i="4"/>
  <c r="AW219" i="4"/>
  <c r="AV219" i="4"/>
  <c r="AW215" i="4"/>
  <c r="AV215" i="4"/>
  <c r="AW214" i="4"/>
  <c r="AW216" i="4" s="1"/>
  <c r="AV214" i="4"/>
  <c r="AV216" i="4" s="1"/>
  <c r="AW212" i="4"/>
  <c r="AV212" i="4"/>
  <c r="DM80" i="41" l="1"/>
  <c r="AV217" i="4"/>
  <c r="AV226" i="4"/>
  <c r="AW220" i="4"/>
  <c r="AV225" i="4"/>
  <c r="AV220" i="4" s="1"/>
  <c r="AW225" i="4"/>
  <c r="AW223" i="4" s="1"/>
  <c r="I287" i="10"/>
  <c r="I286" i="10"/>
  <c r="I285" i="10"/>
  <c r="I284" i="10"/>
  <c r="I211" i="10"/>
  <c r="I210" i="10"/>
  <c r="I209" i="10"/>
  <c r="I208" i="10"/>
  <c r="I64" i="10"/>
  <c r="I63" i="10"/>
  <c r="I62" i="10"/>
  <c r="I61" i="10"/>
  <c r="I308" i="10"/>
  <c r="I307" i="10"/>
  <c r="I306" i="10"/>
  <c r="I309" i="10"/>
  <c r="I325" i="10"/>
  <c r="E325" i="10"/>
  <c r="E61" i="10"/>
  <c r="E309" i="10"/>
  <c r="E308" i="10"/>
  <c r="E307" i="10"/>
  <c r="E306" i="10"/>
  <c r="E287" i="10"/>
  <c r="E286" i="10"/>
  <c r="E285" i="10"/>
  <c r="DM81" i="41" l="1"/>
  <c r="AV223" i="4"/>
  <c r="AW217" i="4"/>
  <c r="AW226" i="4"/>
  <c r="DY157" i="4"/>
  <c r="AW167" i="4"/>
  <c r="AW164" i="4"/>
  <c r="BQ157" i="4"/>
  <c r="BP157" i="4"/>
  <c r="BO157" i="4"/>
  <c r="BN157" i="4"/>
  <c r="BM157" i="4"/>
  <c r="BL157" i="4"/>
  <c r="BK157" i="4"/>
  <c r="BJ157" i="4"/>
  <c r="BI157" i="4"/>
  <c r="BH157" i="4"/>
  <c r="BG157" i="4"/>
  <c r="BF157" i="4"/>
  <c r="BE157" i="4"/>
  <c r="BD157" i="4"/>
  <c r="BC157" i="4"/>
  <c r="I159" i="4"/>
  <c r="BB157" i="4"/>
  <c r="BA157" i="4" s="1"/>
  <c r="AZ157" i="4"/>
  <c r="AY157" i="4"/>
  <c r="AX157" i="4"/>
  <c r="AW157" i="4"/>
  <c r="AV157" i="4" s="1"/>
  <c r="AU157" i="4"/>
  <c r="AT157" i="4"/>
  <c r="AS157" i="4"/>
  <c r="DW159" i="4"/>
  <c r="CK159" i="4"/>
  <c r="CI159" i="4"/>
  <c r="CH159" i="4"/>
  <c r="CG159" i="4"/>
  <c r="DM82" i="41" l="1"/>
  <c r="E301" i="10"/>
  <c r="E300" i="10"/>
  <c r="E299" i="10"/>
  <c r="E298" i="10"/>
  <c r="E297" i="10"/>
  <c r="E276" i="10"/>
  <c r="E275" i="10"/>
  <c r="E274" i="10"/>
  <c r="E273" i="10"/>
  <c r="E272" i="10"/>
  <c r="E271" i="10"/>
  <c r="E270" i="10"/>
  <c r="E269" i="10"/>
  <c r="E268" i="10"/>
  <c r="E267" i="10"/>
  <c r="E266" i="10"/>
  <c r="DS275" i="10"/>
  <c r="DR275" i="10"/>
  <c r="DQ275" i="10"/>
  <c r="DP275" i="10"/>
  <c r="DN275" i="10"/>
  <c r="DM275" i="10"/>
  <c r="DL275" i="10"/>
  <c r="DK275" i="10"/>
  <c r="DI275" i="10"/>
  <c r="DH275" i="10"/>
  <c r="DG275" i="10"/>
  <c r="DF275" i="10"/>
  <c r="DD275" i="10"/>
  <c r="DC275" i="10"/>
  <c r="DB275" i="10"/>
  <c r="DA275" i="10"/>
  <c r="CY275" i="10"/>
  <c r="CX275" i="10"/>
  <c r="CW275" i="10"/>
  <c r="CV275" i="10"/>
  <c r="CT275" i="10"/>
  <c r="CS275" i="10"/>
  <c r="CR275" i="10"/>
  <c r="CQ275" i="10"/>
  <c r="CO275" i="10"/>
  <c r="CN275" i="10"/>
  <c r="CM275" i="10"/>
  <c r="CL275" i="10"/>
  <c r="CJ275" i="10"/>
  <c r="CI275" i="10"/>
  <c r="CH275" i="10"/>
  <c r="CG275" i="10"/>
  <c r="CE275" i="10"/>
  <c r="CD275" i="10"/>
  <c r="CC275" i="10"/>
  <c r="CB275" i="10"/>
  <c r="BZ275" i="10"/>
  <c r="BY275" i="10"/>
  <c r="BX275" i="10"/>
  <c r="BW275" i="10"/>
  <c r="BU275" i="10"/>
  <c r="BT275" i="10"/>
  <c r="BS275" i="10"/>
  <c r="BR275" i="10"/>
  <c r="BO275" i="10"/>
  <c r="BN275" i="10" s="1"/>
  <c r="BJ275" i="10"/>
  <c r="BI275" i="10" s="1"/>
  <c r="BE275" i="10"/>
  <c r="BD275" i="10" s="1"/>
  <c r="AZ275" i="10"/>
  <c r="AY275" i="10" s="1"/>
  <c r="AU275" i="10"/>
  <c r="AT275" i="10" s="1"/>
  <c r="AP275" i="10"/>
  <c r="AO275" i="10" s="1"/>
  <c r="AK275" i="10"/>
  <c r="AJ275" i="10" s="1"/>
  <c r="AF275" i="10"/>
  <c r="AE275" i="10" s="1"/>
  <c r="AA275" i="10"/>
  <c r="Z275" i="10" s="1"/>
  <c r="W275" i="10"/>
  <c r="V275" i="10"/>
  <c r="U275" i="10" s="1"/>
  <c r="Q275" i="10"/>
  <c r="P275" i="10" s="1"/>
  <c r="L275" i="10"/>
  <c r="E261" i="10"/>
  <c r="E260" i="10"/>
  <c r="E259" i="10"/>
  <c r="E258" i="10"/>
  <c r="G257" i="10"/>
  <c r="E257" i="10"/>
  <c r="E254" i="10"/>
  <c r="E253" i="10"/>
  <c r="E252" i="10"/>
  <c r="E251" i="10"/>
  <c r="E250" i="10"/>
  <c r="E249" i="10"/>
  <c r="E248" i="10"/>
  <c r="G228" i="10"/>
  <c r="E228" i="10"/>
  <c r="E227" i="10"/>
  <c r="G226" i="10"/>
  <c r="E226" i="10" s="1"/>
  <c r="E235" i="10"/>
  <c r="E234" i="10"/>
  <c r="E233" i="10"/>
  <c r="E232" i="10"/>
  <c r="E231" i="10"/>
  <c r="E224" i="10"/>
  <c r="E192" i="10"/>
  <c r="E190" i="10"/>
  <c r="E189" i="10"/>
  <c r="E188" i="10"/>
  <c r="E187" i="10"/>
  <c r="E186" i="10"/>
  <c r="E185" i="10"/>
  <c r="E184" i="10"/>
  <c r="G183" i="10"/>
  <c r="F183" i="10"/>
  <c r="E183" i="10" s="1"/>
  <c r="E182" i="10"/>
  <c r="E181" i="10"/>
  <c r="E180" i="10"/>
  <c r="E179" i="10"/>
  <c r="E177" i="10"/>
  <c r="E172" i="10"/>
  <c r="E170" i="10"/>
  <c r="E169" i="10"/>
  <c r="E168" i="10"/>
  <c r="E167" i="10"/>
  <c r="E166" i="10"/>
  <c r="E165" i="10"/>
  <c r="E164" i="10"/>
  <c r="E162" i="10"/>
  <c r="E158" i="10"/>
  <c r="E157" i="10"/>
  <c r="E156" i="10"/>
  <c r="E155" i="10"/>
  <c r="E154" i="10"/>
  <c r="E153" i="10"/>
  <c r="E152" i="10"/>
  <c r="E149" i="10"/>
  <c r="E147" i="10"/>
  <c r="E146" i="10"/>
  <c r="G144" i="10"/>
  <c r="E144" i="10"/>
  <c r="E143" i="10"/>
  <c r="E142" i="10"/>
  <c r="E137" i="10"/>
  <c r="E136" i="10"/>
  <c r="E135" i="10"/>
  <c r="G134" i="10"/>
  <c r="F134" i="10"/>
  <c r="E134" i="10" s="1"/>
  <c r="E133" i="10"/>
  <c r="E130" i="10"/>
  <c r="E128" i="10"/>
  <c r="G127" i="10"/>
  <c r="E127" i="10"/>
  <c r="G126" i="10"/>
  <c r="E126" i="10"/>
  <c r="G125" i="10"/>
  <c r="E125" i="10"/>
  <c r="G124" i="10"/>
  <c r="E124" i="10"/>
  <c r="E123" i="10"/>
  <c r="G122" i="10"/>
  <c r="E122" i="10" s="1"/>
  <c r="E117" i="10"/>
  <c r="E116" i="10"/>
  <c r="E114" i="10"/>
  <c r="E115" i="10"/>
  <c r="E120" i="10"/>
  <c r="E119" i="10"/>
  <c r="E118" i="10"/>
  <c r="E108" i="10"/>
  <c r="E107" i="10"/>
  <c r="G106" i="10"/>
  <c r="E106" i="10"/>
  <c r="E104" i="10"/>
  <c r="E102" i="10"/>
  <c r="E101" i="10"/>
  <c r="E100" i="10"/>
  <c r="E99" i="10"/>
  <c r="E98" i="10"/>
  <c r="E97" i="10"/>
  <c r="E96" i="10"/>
  <c r="E95" i="10"/>
  <c r="E94" i="10"/>
  <c r="E93" i="10"/>
  <c r="E92" i="10"/>
  <c r="E89" i="10"/>
  <c r="E88" i="10"/>
  <c r="E87" i="10"/>
  <c r="E86" i="10"/>
  <c r="E85" i="10"/>
  <c r="E84" i="10"/>
  <c r="E83" i="10"/>
  <c r="E82" i="10"/>
  <c r="E81" i="10"/>
  <c r="E80" i="10"/>
  <c r="E79" i="10"/>
  <c r="E77" i="10"/>
  <c r="BE77" i="10" s="1"/>
  <c r="BD77" i="10" s="1"/>
  <c r="DS77" i="10"/>
  <c r="DR77" i="10"/>
  <c r="DQ77" i="10"/>
  <c r="DP77" i="10"/>
  <c r="CT77" i="10"/>
  <c r="CS77" i="10"/>
  <c r="CR77" i="10"/>
  <c r="CQ77" i="10"/>
  <c r="CO77" i="10"/>
  <c r="CN77" i="10"/>
  <c r="CM77" i="10"/>
  <c r="CL77" i="10"/>
  <c r="CJ77" i="10"/>
  <c r="CI77" i="10"/>
  <c r="CH77" i="10"/>
  <c r="CG77" i="10"/>
  <c r="CE77" i="10"/>
  <c r="CD77" i="10"/>
  <c r="CC77" i="10"/>
  <c r="CB77" i="10"/>
  <c r="BZ77" i="10"/>
  <c r="BY77" i="10"/>
  <c r="BX77" i="10"/>
  <c r="BW77" i="10"/>
  <c r="BU77" i="10"/>
  <c r="BT77" i="10"/>
  <c r="BS77" i="10"/>
  <c r="BR77" i="10"/>
  <c r="BO77" i="10"/>
  <c r="BN77" i="10" s="1"/>
  <c r="BJ77" i="10"/>
  <c r="BI77" i="10" s="1"/>
  <c r="AZ77" i="10"/>
  <c r="AY77" i="10" s="1"/>
  <c r="AP77" i="10"/>
  <c r="AO77" i="10" s="1"/>
  <c r="AK77" i="10"/>
  <c r="AJ77" i="10" s="1"/>
  <c r="AF77" i="10"/>
  <c r="AE77" i="10" s="1"/>
  <c r="AA77" i="10"/>
  <c r="Z77" i="10" s="1"/>
  <c r="V77" i="10"/>
  <c r="U77" i="10" s="1"/>
  <c r="Q77" i="10"/>
  <c r="P77" i="10" s="1"/>
  <c r="L77" i="10"/>
  <c r="AU77" i="10"/>
  <c r="E52" i="10"/>
  <c r="E51" i="10"/>
  <c r="E50" i="10"/>
  <c r="E49" i="10"/>
  <c r="E47" i="10"/>
  <c r="E46" i="10"/>
  <c r="E45" i="10"/>
  <c r="E44" i="10"/>
  <c r="E41" i="10"/>
  <c r="E39" i="10"/>
  <c r="E38" i="10"/>
  <c r="E37" i="10"/>
  <c r="E36" i="10"/>
  <c r="E35" i="10"/>
  <c r="E34" i="10"/>
  <c r="E33" i="10"/>
  <c r="E32" i="10"/>
  <c r="E31" i="10"/>
  <c r="E30" i="10"/>
  <c r="E29" i="10"/>
  <c r="E28" i="10"/>
  <c r="E27" i="10"/>
  <c r="E26" i="10"/>
  <c r="E25" i="10"/>
  <c r="E24" i="10"/>
  <c r="E23" i="10"/>
  <c r="C23" i="10"/>
  <c r="E22" i="10"/>
  <c r="E21" i="10"/>
  <c r="E20" i="10"/>
  <c r="E19" i="10"/>
  <c r="DS42" i="10"/>
  <c r="DR42" i="10"/>
  <c r="DQ42" i="10"/>
  <c r="DP42" i="10"/>
  <c r="DN42" i="10"/>
  <c r="DM42" i="10"/>
  <c r="DL42" i="10"/>
  <c r="DK42" i="10"/>
  <c r="DI42" i="10"/>
  <c r="DH42" i="10"/>
  <c r="DG42" i="10"/>
  <c r="DF42" i="10"/>
  <c r="DD42" i="10"/>
  <c r="DC42" i="10"/>
  <c r="DB42" i="10"/>
  <c r="DA42" i="10"/>
  <c r="CY42" i="10"/>
  <c r="CX42" i="10"/>
  <c r="CW42" i="10"/>
  <c r="CV42" i="10"/>
  <c r="CT42" i="10"/>
  <c r="CS42" i="10"/>
  <c r="CR42" i="10"/>
  <c r="CQ42" i="10"/>
  <c r="CO42" i="10"/>
  <c r="CN42" i="10"/>
  <c r="CM42" i="10"/>
  <c r="CL42" i="10"/>
  <c r="CJ42" i="10"/>
  <c r="CI42" i="10"/>
  <c r="CH42" i="10"/>
  <c r="CG42" i="10"/>
  <c r="CE42" i="10"/>
  <c r="CD42" i="10"/>
  <c r="CC42" i="10"/>
  <c r="CB42" i="10"/>
  <c r="BZ42" i="10"/>
  <c r="BY42" i="10"/>
  <c r="BX42" i="10"/>
  <c r="BW42" i="10"/>
  <c r="BU42" i="10"/>
  <c r="BT42" i="10"/>
  <c r="BS42" i="10"/>
  <c r="BR42" i="10"/>
  <c r="BO42" i="10"/>
  <c r="BN42" i="10" s="1"/>
  <c r="BJ42" i="10"/>
  <c r="BI42" i="10" s="1"/>
  <c r="BE42" i="10"/>
  <c r="BD42" i="10" s="1"/>
  <c r="AZ42" i="10"/>
  <c r="AY42" i="10" s="1"/>
  <c r="AU42" i="10"/>
  <c r="AT42" i="10" s="1"/>
  <c r="AP42" i="10"/>
  <c r="AO42" i="10" s="1"/>
  <c r="AK42" i="10"/>
  <c r="AJ42" i="10" s="1"/>
  <c r="AF42" i="10"/>
  <c r="AE42" i="10" s="1"/>
  <c r="AA42" i="10"/>
  <c r="Z42" i="10" s="1"/>
  <c r="V42" i="10"/>
  <c r="U42" i="10" s="1"/>
  <c r="Q42" i="10"/>
  <c r="P42" i="10" s="1"/>
  <c r="L42" i="10"/>
  <c r="DS41" i="10"/>
  <c r="DR41" i="10"/>
  <c r="DQ41" i="10"/>
  <c r="DP41" i="10"/>
  <c r="DN41" i="10"/>
  <c r="DM41" i="10"/>
  <c r="DL41" i="10"/>
  <c r="DK41" i="10"/>
  <c r="DI41" i="10"/>
  <c r="DH41" i="10"/>
  <c r="DG41" i="10"/>
  <c r="DF41" i="10"/>
  <c r="DD41" i="10"/>
  <c r="DC41" i="10"/>
  <c r="DB41" i="10"/>
  <c r="DA41" i="10"/>
  <c r="CY41" i="10"/>
  <c r="CX41" i="10"/>
  <c r="CW41" i="10"/>
  <c r="CV41" i="10"/>
  <c r="CT41" i="10"/>
  <c r="CS41" i="10"/>
  <c r="CR41" i="10"/>
  <c r="CQ41" i="10"/>
  <c r="CO41" i="10"/>
  <c r="CN41" i="10"/>
  <c r="CM41" i="10"/>
  <c r="CL41" i="10"/>
  <c r="CJ41" i="10"/>
  <c r="CI41" i="10"/>
  <c r="CH41" i="10"/>
  <c r="CG41" i="10"/>
  <c r="CE41" i="10"/>
  <c r="CD41" i="10"/>
  <c r="CC41" i="10"/>
  <c r="CB41" i="10"/>
  <c r="BZ41" i="10"/>
  <c r="BY41" i="10"/>
  <c r="BX41" i="10"/>
  <c r="BW41" i="10"/>
  <c r="BU41" i="10"/>
  <c r="BT41" i="10"/>
  <c r="BS41" i="10"/>
  <c r="BR41" i="10"/>
  <c r="BO41" i="10"/>
  <c r="BN41" i="10" s="1"/>
  <c r="BJ41" i="10"/>
  <c r="BI41" i="10" s="1"/>
  <c r="BE41" i="10"/>
  <c r="BD41" i="10" s="1"/>
  <c r="AZ41" i="10"/>
  <c r="AY41" i="10" s="1"/>
  <c r="AU41" i="10"/>
  <c r="AT41" i="10" s="1"/>
  <c r="AP41" i="10"/>
  <c r="AO41" i="10" s="1"/>
  <c r="AK41" i="10"/>
  <c r="AJ41" i="10" s="1"/>
  <c r="AF41" i="10"/>
  <c r="AE41" i="10" s="1"/>
  <c r="AA41" i="10"/>
  <c r="Z41" i="10" s="1"/>
  <c r="V41" i="10"/>
  <c r="U41" i="10" s="1"/>
  <c r="Q41" i="10"/>
  <c r="P41" i="10" s="1"/>
  <c r="L41" i="10"/>
  <c r="DM83" i="41" l="1"/>
  <c r="DN82" i="41"/>
  <c r="AD275" i="10"/>
  <c r="AX275" i="10"/>
  <c r="BH275" i="10"/>
  <c r="G194" i="10"/>
  <c r="Y275" i="10"/>
  <c r="BK275" i="10"/>
  <c r="AB275" i="10"/>
  <c r="AQ275" i="10"/>
  <c r="T275" i="10"/>
  <c r="AV275" i="10"/>
  <c r="BF275" i="10"/>
  <c r="O275" i="10"/>
  <c r="AI275" i="10"/>
  <c r="BC275" i="10"/>
  <c r="R275" i="10"/>
  <c r="AL275" i="10"/>
  <c r="AS275" i="10"/>
  <c r="BM275" i="10"/>
  <c r="M275" i="10"/>
  <c r="AG275" i="10"/>
  <c r="AN275" i="10"/>
  <c r="BA275" i="10"/>
  <c r="N275" i="10"/>
  <c r="X275" i="10"/>
  <c r="AH275" i="10"/>
  <c r="BQ275" i="10" s="1"/>
  <c r="BV275" i="10" s="1"/>
  <c r="CA275" i="10" s="1"/>
  <c r="CF275" i="10" s="1"/>
  <c r="CK275" i="10" s="1"/>
  <c r="CP275" i="10" s="1"/>
  <c r="CU275" i="10" s="1"/>
  <c r="CZ275" i="10" s="1"/>
  <c r="DE275" i="10" s="1"/>
  <c r="DJ275" i="10" s="1"/>
  <c r="DO275" i="10" s="1"/>
  <c r="DT275" i="10" s="1"/>
  <c r="AR275" i="10"/>
  <c r="BB275" i="10"/>
  <c r="BL275" i="10"/>
  <c r="S275" i="10"/>
  <c r="AC275" i="10"/>
  <c r="AM275" i="10"/>
  <c r="AW275" i="10"/>
  <c r="BG275" i="10"/>
  <c r="BF77" i="10"/>
  <c r="BK77" i="10"/>
  <c r="AV77" i="10"/>
  <c r="F194" i="10"/>
  <c r="AX77" i="10"/>
  <c r="AB41" i="10"/>
  <c r="BG77" i="10"/>
  <c r="AB77" i="10"/>
  <c r="BF41" i="10"/>
  <c r="M77" i="10"/>
  <c r="R77" i="10"/>
  <c r="AD77" i="10"/>
  <c r="AG77" i="10"/>
  <c r="AL77" i="10"/>
  <c r="R41" i="10"/>
  <c r="AD41" i="10"/>
  <c r="AV42" i="10"/>
  <c r="T77" i="10"/>
  <c r="W77" i="10"/>
  <c r="AN77" i="10"/>
  <c r="BM77" i="10"/>
  <c r="T41" i="10"/>
  <c r="AC41" i="10"/>
  <c r="AG41" i="10"/>
  <c r="AL41" i="10"/>
  <c r="BH41" i="10"/>
  <c r="M42" i="10"/>
  <c r="AB42" i="10"/>
  <c r="AX42" i="10"/>
  <c r="BA42" i="10"/>
  <c r="BF42" i="10"/>
  <c r="O77" i="10"/>
  <c r="Y77" i="10"/>
  <c r="AI77" i="10"/>
  <c r="AW77" i="10"/>
  <c r="BA77" i="10"/>
  <c r="BH77" i="10"/>
  <c r="S77" i="10"/>
  <c r="AC77" i="10"/>
  <c r="AM77" i="10"/>
  <c r="BC77" i="10"/>
  <c r="AS77" i="10"/>
  <c r="AQ77" i="10"/>
  <c r="AT77" i="10"/>
  <c r="AR77" i="10"/>
  <c r="AD42" i="10"/>
  <c r="AG42" i="10"/>
  <c r="N77" i="10"/>
  <c r="X77" i="10"/>
  <c r="AH77" i="10"/>
  <c r="BQ77" i="10" s="1"/>
  <c r="BV77" i="10" s="1"/>
  <c r="CA77" i="10" s="1"/>
  <c r="CF77" i="10" s="1"/>
  <c r="CK77" i="10" s="1"/>
  <c r="CP77" i="10" s="1"/>
  <c r="CU77" i="10" s="1"/>
  <c r="CZ77" i="10" s="1"/>
  <c r="BB77" i="10"/>
  <c r="BL77" i="10"/>
  <c r="AV41" i="10"/>
  <c r="AX41" i="10"/>
  <c r="R42" i="10"/>
  <c r="AL42" i="10"/>
  <c r="M41" i="10"/>
  <c r="AN41" i="10"/>
  <c r="AW41" i="10"/>
  <c r="BA41" i="10"/>
  <c r="T42" i="10"/>
  <c r="W42" i="10"/>
  <c r="AN42" i="10"/>
  <c r="AQ42" i="10"/>
  <c r="BH42" i="10"/>
  <c r="BK42" i="10"/>
  <c r="S41" i="10"/>
  <c r="W41" i="10"/>
  <c r="AM41" i="10"/>
  <c r="AQ41" i="10"/>
  <c r="BG41" i="10"/>
  <c r="BK41" i="10"/>
  <c r="O42" i="10"/>
  <c r="Y42" i="10"/>
  <c r="AI42" i="10"/>
  <c r="AS42" i="10"/>
  <c r="BC42" i="10"/>
  <c r="BM42" i="10"/>
  <c r="O41" i="10"/>
  <c r="Y41" i="10"/>
  <c r="AI41" i="10"/>
  <c r="AS41" i="10"/>
  <c r="BC41" i="10"/>
  <c r="BM41" i="10"/>
  <c r="N42" i="10"/>
  <c r="X42" i="10"/>
  <c r="AH42" i="10"/>
  <c r="BQ42" i="10" s="1"/>
  <c r="BV42" i="10" s="1"/>
  <c r="CA42" i="10" s="1"/>
  <c r="CF42" i="10" s="1"/>
  <c r="CK42" i="10" s="1"/>
  <c r="CP42" i="10" s="1"/>
  <c r="CU42" i="10" s="1"/>
  <c r="CZ42" i="10" s="1"/>
  <c r="DE42" i="10" s="1"/>
  <c r="DJ42" i="10" s="1"/>
  <c r="DO42" i="10" s="1"/>
  <c r="DT42" i="10" s="1"/>
  <c r="AR42" i="10"/>
  <c r="BB42" i="10"/>
  <c r="BL42" i="10"/>
  <c r="N41" i="10"/>
  <c r="X41" i="10"/>
  <c r="AH41" i="10"/>
  <c r="BQ41" i="10" s="1"/>
  <c r="BV41" i="10" s="1"/>
  <c r="CA41" i="10" s="1"/>
  <c r="CF41" i="10" s="1"/>
  <c r="CK41" i="10" s="1"/>
  <c r="CP41" i="10" s="1"/>
  <c r="CU41" i="10" s="1"/>
  <c r="CZ41" i="10" s="1"/>
  <c r="DE41" i="10" s="1"/>
  <c r="DJ41" i="10" s="1"/>
  <c r="DO41" i="10" s="1"/>
  <c r="DT41" i="10" s="1"/>
  <c r="AR41" i="10"/>
  <c r="BB41" i="10"/>
  <c r="BL41" i="10"/>
  <c r="S42" i="10"/>
  <c r="AC42" i="10"/>
  <c r="AM42" i="10"/>
  <c r="AW42" i="10"/>
  <c r="BG42" i="10"/>
  <c r="DM84" i="41" l="1"/>
  <c r="DN83" i="41"/>
  <c r="DD77" i="10"/>
  <c r="DB77" i="10"/>
  <c r="CX77" i="10"/>
  <c r="CV77" i="10"/>
  <c r="DE77" i="10"/>
  <c r="DJ77" i="10" s="1"/>
  <c r="DC77" i="10"/>
  <c r="DA77" i="10"/>
  <c r="CY77" i="10"/>
  <c r="CW77" i="10"/>
  <c r="DM85" i="41" l="1"/>
  <c r="DN84" i="41"/>
  <c r="DO77" i="10"/>
  <c r="DT77" i="10" s="1"/>
  <c r="DM77" i="10"/>
  <c r="DK77" i="10"/>
  <c r="DH77" i="10"/>
  <c r="DF77" i="10"/>
  <c r="DN77" i="10"/>
  <c r="DL77" i="10"/>
  <c r="DI77" i="10"/>
  <c r="DG77" i="10"/>
  <c r="DM86" i="41" l="1"/>
  <c r="DN85" i="41"/>
  <c r="AT254" i="5"/>
  <c r="AU254" i="5" s="1"/>
  <c r="AV254" i="5" s="1"/>
  <c r="AS254" i="5"/>
  <c r="AT250" i="5"/>
  <c r="AU250" i="5" s="1"/>
  <c r="AV250" i="5" s="1"/>
  <c r="AW250" i="5" s="1"/>
  <c r="AS250" i="5"/>
  <c r="AW243" i="5"/>
  <c r="AS243" i="5"/>
  <c r="AV240" i="5"/>
  <c r="AU240" i="5"/>
  <c r="AT240" i="5"/>
  <c r="AS240" i="5"/>
  <c r="AW240" i="5" s="1"/>
  <c r="AV239" i="5"/>
  <c r="AU239" i="5"/>
  <c r="AT239" i="5"/>
  <c r="AS239" i="5"/>
  <c r="AW239" i="5" s="1"/>
  <c r="AW238" i="5"/>
  <c r="AS238" i="5"/>
  <c r="AW234" i="5"/>
  <c r="AU234" i="5"/>
  <c r="AS234" i="5"/>
  <c r="AW224" i="5"/>
  <c r="AV224" i="5"/>
  <c r="AU224" i="5"/>
  <c r="AT224" i="5"/>
  <c r="AS224" i="5"/>
  <c r="AW223" i="5"/>
  <c r="AV223" i="5"/>
  <c r="AV233" i="5" s="1"/>
  <c r="AU223" i="5"/>
  <c r="AT223" i="5"/>
  <c r="AT233" i="5" s="1"/>
  <c r="AS223" i="5"/>
  <c r="AW222" i="5"/>
  <c r="AV222" i="5"/>
  <c r="AU222" i="5"/>
  <c r="AT222" i="5"/>
  <c r="AS222" i="5"/>
  <c r="AW221" i="5"/>
  <c r="AV221" i="5"/>
  <c r="AV234" i="5" s="1"/>
  <c r="AU221" i="5"/>
  <c r="AT221" i="5"/>
  <c r="AT234" i="5" s="1"/>
  <c r="AS221" i="5"/>
  <c r="AW220" i="5"/>
  <c r="AW233" i="5" s="1"/>
  <c r="AV220" i="5"/>
  <c r="AU220" i="5"/>
  <c r="AU233" i="5" s="1"/>
  <c r="AT220" i="5"/>
  <c r="AS220" i="5"/>
  <c r="AS233" i="5" s="1"/>
  <c r="AU212" i="5"/>
  <c r="AT212" i="5"/>
  <c r="AS212" i="5"/>
  <c r="AV209" i="5"/>
  <c r="AU205" i="5"/>
  <c r="AT205" i="5"/>
  <c r="AS205" i="5"/>
  <c r="AU204" i="5"/>
  <c r="AT204" i="5"/>
  <c r="AT206" i="5" s="1"/>
  <c r="AT229" i="5" s="1"/>
  <c r="AS204" i="5"/>
  <c r="AS206" i="5" s="1"/>
  <c r="AU202" i="5"/>
  <c r="AU198" i="5" s="1"/>
  <c r="AV196" i="5" s="1"/>
  <c r="AT202" i="5"/>
  <c r="AT198" i="5" s="1"/>
  <c r="AS202" i="5"/>
  <c r="AS198" i="5" s="1"/>
  <c r="AT196" i="5" s="1"/>
  <c r="AW194" i="5"/>
  <c r="AV192" i="5"/>
  <c r="AU192" i="5"/>
  <c r="AT192" i="5"/>
  <c r="AS192" i="5"/>
  <c r="AV191" i="5"/>
  <c r="AU191" i="5"/>
  <c r="AT191" i="5"/>
  <c r="AS191" i="5"/>
  <c r="AV190" i="5"/>
  <c r="AU190" i="5"/>
  <c r="AT190" i="5"/>
  <c r="AS190" i="5"/>
  <c r="AV189" i="5"/>
  <c r="AU189" i="5"/>
  <c r="AT189" i="5"/>
  <c r="AS189" i="5"/>
  <c r="AV188" i="5"/>
  <c r="AU188" i="5"/>
  <c r="AT188" i="5"/>
  <c r="AS188" i="5"/>
  <c r="AV183" i="5"/>
  <c r="AV184" i="5" s="1"/>
  <c r="AU183" i="5"/>
  <c r="AT183" i="5"/>
  <c r="AT184" i="5" s="1"/>
  <c r="AS183" i="5"/>
  <c r="AW182" i="5"/>
  <c r="AW184" i="5" s="1"/>
  <c r="AV182" i="5"/>
  <c r="AU182" i="5"/>
  <c r="AU184" i="5" s="1"/>
  <c r="AT182" i="5"/>
  <c r="AS182" i="5"/>
  <c r="AS184" i="5" s="1"/>
  <c r="AV179" i="5"/>
  <c r="AU179" i="5"/>
  <c r="AT179" i="5"/>
  <c r="AS179" i="5"/>
  <c r="AV178" i="5"/>
  <c r="AU178" i="5"/>
  <c r="AT178" i="5"/>
  <c r="AS178" i="5"/>
  <c r="AW177" i="5"/>
  <c r="AV176" i="5"/>
  <c r="AU176" i="5"/>
  <c r="AT176" i="5"/>
  <c r="AS176" i="5"/>
  <c r="AW176" i="5" s="1"/>
  <c r="AV175" i="5"/>
  <c r="AU175" i="5"/>
  <c r="AT175" i="5"/>
  <c r="AS175" i="5"/>
  <c r="AW175" i="5" s="1"/>
  <c r="AV174" i="5"/>
  <c r="AV180" i="5" s="1"/>
  <c r="AU174" i="5"/>
  <c r="AU180" i="5" s="1"/>
  <c r="AT174" i="5"/>
  <c r="AT180" i="5" s="1"/>
  <c r="AS174" i="5"/>
  <c r="AS180" i="5" s="1"/>
  <c r="AW153" i="5"/>
  <c r="AV153" i="5"/>
  <c r="AU153" i="5"/>
  <c r="AT153" i="5"/>
  <c r="AT154" i="5" s="1"/>
  <c r="AS153" i="5"/>
  <c r="AU137" i="5"/>
  <c r="AT137" i="5"/>
  <c r="AS137" i="5"/>
  <c r="AT145" i="5"/>
  <c r="AW142" i="5"/>
  <c r="AV142" i="5"/>
  <c r="AU142" i="5"/>
  <c r="AT142" i="5"/>
  <c r="AS142" i="5"/>
  <c r="AU140" i="5"/>
  <c r="AU145" i="5" s="1"/>
  <c r="AT140" i="5"/>
  <c r="AT136" i="5" s="1"/>
  <c r="AT138" i="5" s="1"/>
  <c r="AS140" i="5"/>
  <c r="AS145" i="5" s="1"/>
  <c r="AW125" i="4"/>
  <c r="AV125" i="4"/>
  <c r="AU125" i="4"/>
  <c r="AT125" i="4"/>
  <c r="AS125" i="4"/>
  <c r="AW124" i="4"/>
  <c r="AV124" i="4"/>
  <c r="AU124" i="4"/>
  <c r="AT124" i="4"/>
  <c r="AS124" i="4"/>
  <c r="AW123" i="4"/>
  <c r="AU99" i="4"/>
  <c r="AW158" i="4"/>
  <c r="AU158" i="4"/>
  <c r="AT158" i="4"/>
  <c r="AS158" i="4"/>
  <c r="AW153" i="4"/>
  <c r="AW152" i="4"/>
  <c r="AV152" i="4" s="1"/>
  <c r="AU152" i="4"/>
  <c r="AT152" i="4"/>
  <c r="AS152" i="4"/>
  <c r="AW151" i="4"/>
  <c r="AV151" i="4" s="1"/>
  <c r="AU151" i="4"/>
  <c r="AT151" i="4"/>
  <c r="AS151" i="4"/>
  <c r="AW150" i="4"/>
  <c r="AV150" i="4" s="1"/>
  <c r="AV126" i="4" s="1"/>
  <c r="AU150" i="4"/>
  <c r="AU126" i="4" s="1"/>
  <c r="AT150" i="4"/>
  <c r="AT126" i="4" s="1"/>
  <c r="AS150" i="4"/>
  <c r="AS126" i="4" s="1"/>
  <c r="AW149" i="4"/>
  <c r="AW128" i="4" s="1"/>
  <c r="AU149" i="4"/>
  <c r="AU128" i="4" s="1"/>
  <c r="AT149" i="4"/>
  <c r="AT128" i="4" s="1"/>
  <c r="AS149" i="4"/>
  <c r="AS128" i="4" s="1"/>
  <c r="AW148" i="4"/>
  <c r="AV148" i="4" s="1"/>
  <c r="AU148" i="4"/>
  <c r="AT148" i="4"/>
  <c r="AS148" i="4"/>
  <c r="AW147" i="4"/>
  <c r="AV147" i="4"/>
  <c r="AU147" i="4"/>
  <c r="AT147" i="4"/>
  <c r="AS147" i="4"/>
  <c r="AW146" i="4"/>
  <c r="AV146" i="4" s="1"/>
  <c r="AU146" i="4"/>
  <c r="AT146" i="4"/>
  <c r="AS146" i="4"/>
  <c r="AW145" i="4"/>
  <c r="AV145" i="4"/>
  <c r="AU145" i="4"/>
  <c r="AU153" i="4" s="1"/>
  <c r="AT145" i="4"/>
  <c r="AT153" i="4" s="1"/>
  <c r="AS145" i="4"/>
  <c r="AS153" i="4" s="1"/>
  <c r="AW143" i="4"/>
  <c r="AW142" i="4"/>
  <c r="AV142" i="4"/>
  <c r="AU142" i="4"/>
  <c r="AT142" i="4"/>
  <c r="AS142" i="4"/>
  <c r="AW141" i="4"/>
  <c r="AV141" i="4" s="1"/>
  <c r="AU141" i="4"/>
  <c r="AU143" i="4" s="1"/>
  <c r="AT141" i="4"/>
  <c r="AT143" i="4" s="1"/>
  <c r="AS141" i="4"/>
  <c r="AS143" i="4" s="1"/>
  <c r="AW139" i="4"/>
  <c r="AW138" i="4"/>
  <c r="AV138" i="4" s="1"/>
  <c r="AU138" i="4"/>
  <c r="AT138" i="4"/>
  <c r="AS138" i="4"/>
  <c r="AW137" i="4"/>
  <c r="AV137" i="4"/>
  <c r="AU137" i="4"/>
  <c r="AT137" i="4"/>
  <c r="AS137" i="4"/>
  <c r="AW136" i="4"/>
  <c r="AV136" i="4" s="1"/>
  <c r="AU136" i="4"/>
  <c r="AT136" i="4"/>
  <c r="AS136" i="4"/>
  <c r="AW135" i="4"/>
  <c r="AV135" i="4" s="1"/>
  <c r="AU135" i="4"/>
  <c r="AT135" i="4"/>
  <c r="AS135" i="4"/>
  <c r="AW134" i="4"/>
  <c r="AV134" i="4" s="1"/>
  <c r="AU134" i="4"/>
  <c r="AT134" i="4"/>
  <c r="AS134" i="4"/>
  <c r="AW133" i="4"/>
  <c r="AV133" i="4" s="1"/>
  <c r="AV139" i="4" s="1"/>
  <c r="AU133" i="4"/>
  <c r="AU139" i="4" s="1"/>
  <c r="AU155" i="4" s="1"/>
  <c r="AT133" i="4"/>
  <c r="AT139" i="4" s="1"/>
  <c r="AT155" i="4" s="1"/>
  <c r="AS133" i="4"/>
  <c r="AS139" i="4" s="1"/>
  <c r="AS155" i="4" s="1"/>
  <c r="AW99" i="4"/>
  <c r="AW90" i="44" s="1"/>
  <c r="AV97" i="4"/>
  <c r="AU97" i="4"/>
  <c r="AT97" i="4"/>
  <c r="AS97" i="4"/>
  <c r="AV95" i="4"/>
  <c r="AU95" i="4"/>
  <c r="AT95" i="4"/>
  <c r="AS95" i="4"/>
  <c r="AV94" i="4"/>
  <c r="AU94" i="4"/>
  <c r="AT94" i="4"/>
  <c r="AS94" i="4"/>
  <c r="AS93" i="4"/>
  <c r="AV81" i="8"/>
  <c r="AU81" i="8"/>
  <c r="AT81" i="8"/>
  <c r="AS81" i="8"/>
  <c r="AV80" i="8"/>
  <c r="AU80" i="8"/>
  <c r="AT80" i="8"/>
  <c r="AS80" i="8"/>
  <c r="AV79" i="8"/>
  <c r="AU79" i="8"/>
  <c r="AT79" i="8"/>
  <c r="AS79" i="8"/>
  <c r="AV77" i="8"/>
  <c r="AU77" i="8"/>
  <c r="AT77" i="8"/>
  <c r="AS77" i="8"/>
  <c r="AV76" i="8"/>
  <c r="AU76" i="8"/>
  <c r="AT76" i="8"/>
  <c r="AS76" i="8"/>
  <c r="AV74" i="8"/>
  <c r="AU74" i="8"/>
  <c r="AT74" i="8"/>
  <c r="AS74" i="8"/>
  <c r="AV73" i="8"/>
  <c r="AU73" i="8"/>
  <c r="AT73" i="8"/>
  <c r="AS73" i="8"/>
  <c r="AV72" i="8"/>
  <c r="AU72" i="8"/>
  <c r="AT72" i="8"/>
  <c r="AS72" i="8"/>
  <c r="AV71" i="8"/>
  <c r="AU71" i="8"/>
  <c r="AT71" i="8"/>
  <c r="AS71" i="8"/>
  <c r="AS75" i="8" s="1"/>
  <c r="AS78" i="8" s="1"/>
  <c r="AV70" i="8"/>
  <c r="AU70" i="8"/>
  <c r="AU75" i="8" s="1"/>
  <c r="AU78" i="8" s="1"/>
  <c r="AT70" i="8"/>
  <c r="AS70" i="8"/>
  <c r="AU69" i="8"/>
  <c r="AV69" i="8"/>
  <c r="AT69" i="8"/>
  <c r="AT75" i="8" s="1"/>
  <c r="AT78" i="8" s="1"/>
  <c r="AS69" i="8"/>
  <c r="AV82" i="8"/>
  <c r="AU82" i="8"/>
  <c r="AT82" i="8"/>
  <c r="AS82" i="8"/>
  <c r="AV75" i="8"/>
  <c r="AV78" i="8" s="1"/>
  <c r="AC78" i="8"/>
  <c r="AV99" i="5"/>
  <c r="AU99" i="5"/>
  <c r="AT99" i="5"/>
  <c r="AS99" i="5"/>
  <c r="AV98" i="5"/>
  <c r="AU98" i="5"/>
  <c r="AT98" i="5"/>
  <c r="AV97" i="5"/>
  <c r="AU97" i="5"/>
  <c r="AT97" i="5"/>
  <c r="AS97" i="5"/>
  <c r="AV96" i="5"/>
  <c r="AU96" i="5"/>
  <c r="AT96" i="5"/>
  <c r="AS96" i="5"/>
  <c r="AV94" i="5"/>
  <c r="AU94" i="5"/>
  <c r="AT94" i="5"/>
  <c r="AS94" i="5"/>
  <c r="AV93" i="5"/>
  <c r="AU93" i="5"/>
  <c r="AT93" i="5"/>
  <c r="AS93" i="5"/>
  <c r="AV91" i="5"/>
  <c r="AU91" i="5"/>
  <c r="AT91" i="5"/>
  <c r="AS91" i="5"/>
  <c r="AV90" i="5"/>
  <c r="AU90" i="5"/>
  <c r="AT90" i="5"/>
  <c r="AS90" i="5"/>
  <c r="AV89" i="5"/>
  <c r="AU89" i="5"/>
  <c r="AT89" i="5"/>
  <c r="AS89" i="5"/>
  <c r="AV88" i="5"/>
  <c r="AU88" i="5"/>
  <c r="AT88" i="5"/>
  <c r="AS88" i="5"/>
  <c r="AV87" i="5"/>
  <c r="AU87" i="5"/>
  <c r="AT87" i="5"/>
  <c r="AS87" i="5"/>
  <c r="AV86" i="5"/>
  <c r="AV92" i="5" s="1"/>
  <c r="AV95" i="5" s="1"/>
  <c r="AU86" i="5"/>
  <c r="AU92" i="5" s="1"/>
  <c r="AU95" i="5" s="1"/>
  <c r="AT86" i="5"/>
  <c r="AT92" i="5" s="1"/>
  <c r="AT95" i="5" s="1"/>
  <c r="AS86" i="5"/>
  <c r="AS92" i="5" s="1"/>
  <c r="AS95" i="5" s="1"/>
  <c r="AV110" i="5"/>
  <c r="AV222" i="8"/>
  <c r="AU222" i="8"/>
  <c r="AT222" i="8"/>
  <c r="AS222" i="8"/>
  <c r="AW222" i="8" s="1"/>
  <c r="AV221" i="8"/>
  <c r="AU221" i="8"/>
  <c r="AT221" i="8"/>
  <c r="AS221" i="8"/>
  <c r="AW221" i="8" s="1"/>
  <c r="AV220" i="8"/>
  <c r="AU220" i="8"/>
  <c r="AT220" i="8"/>
  <c r="AS220" i="8"/>
  <c r="AW220" i="8" s="1"/>
  <c r="AW219" i="8"/>
  <c r="AS219" i="8"/>
  <c r="AV215" i="8"/>
  <c r="AT215" i="8"/>
  <c r="AW205" i="8"/>
  <c r="AV205" i="8"/>
  <c r="AU205" i="8"/>
  <c r="AT205" i="8"/>
  <c r="AS205" i="8"/>
  <c r="AW204" i="8"/>
  <c r="AW214" i="8" s="1"/>
  <c r="AV204" i="8"/>
  <c r="AU204" i="8"/>
  <c r="AU214" i="8" s="1"/>
  <c r="AT204" i="8"/>
  <c r="AS204" i="8"/>
  <c r="AS214" i="8" s="1"/>
  <c r="AW203" i="8"/>
  <c r="AV203" i="8"/>
  <c r="AU203" i="8"/>
  <c r="AT203" i="8"/>
  <c r="AS203" i="8"/>
  <c r="AW202" i="8"/>
  <c r="AW215" i="8" s="1"/>
  <c r="AV202" i="8"/>
  <c r="AU202" i="8"/>
  <c r="AU215" i="8" s="1"/>
  <c r="AT202" i="8"/>
  <c r="AS202" i="8"/>
  <c r="AS215" i="8" s="1"/>
  <c r="AW201" i="8"/>
  <c r="AV201" i="8"/>
  <c r="AV214" i="8" s="1"/>
  <c r="AU201" i="8"/>
  <c r="AT201" i="8"/>
  <c r="AT214" i="8" s="1"/>
  <c r="AS201" i="8"/>
  <c r="AU193" i="8"/>
  <c r="AT193" i="8"/>
  <c r="AS193" i="8"/>
  <c r="AV190" i="8"/>
  <c r="AU186" i="8"/>
  <c r="AT186" i="8"/>
  <c r="AS186" i="8"/>
  <c r="AU185" i="8"/>
  <c r="AU187" i="8" s="1"/>
  <c r="AU210" i="8" s="1"/>
  <c r="AT185" i="8"/>
  <c r="AT187" i="8" s="1"/>
  <c r="AS185" i="8"/>
  <c r="AS187" i="8" s="1"/>
  <c r="AU183" i="8"/>
  <c r="AT183" i="8"/>
  <c r="AT179" i="8" s="1"/>
  <c r="AS183" i="8"/>
  <c r="AS179" i="8" s="1"/>
  <c r="AT177" i="8" s="1"/>
  <c r="AU179" i="8"/>
  <c r="AV177" i="8"/>
  <c r="AV173" i="8"/>
  <c r="AU173" i="8"/>
  <c r="AT173" i="8"/>
  <c r="AS173" i="8"/>
  <c r="AV172" i="8"/>
  <c r="AU172" i="8"/>
  <c r="AT172" i="8"/>
  <c r="AS172" i="8"/>
  <c r="AV171" i="8"/>
  <c r="AU171" i="8"/>
  <c r="AT171" i="8"/>
  <c r="AS171" i="8"/>
  <c r="AV170" i="8"/>
  <c r="AU170" i="8"/>
  <c r="AT170" i="8"/>
  <c r="AS170" i="8"/>
  <c r="AV169" i="8"/>
  <c r="AU169" i="8"/>
  <c r="AT169" i="8"/>
  <c r="AS169" i="8"/>
  <c r="AW165" i="8"/>
  <c r="AV164" i="8"/>
  <c r="AU164" i="8"/>
  <c r="AU165" i="8" s="1"/>
  <c r="AT164" i="8"/>
  <c r="AS164" i="8"/>
  <c r="AS165" i="8" s="1"/>
  <c r="AW163" i="8"/>
  <c r="AV163" i="8"/>
  <c r="AV165" i="8" s="1"/>
  <c r="AU163" i="8"/>
  <c r="AT163" i="8"/>
  <c r="AT165" i="8" s="1"/>
  <c r="AS163" i="8"/>
  <c r="AV160" i="8"/>
  <c r="AU160" i="8"/>
  <c r="AT160" i="8"/>
  <c r="AS160" i="8"/>
  <c r="AV159" i="8"/>
  <c r="AU159" i="8"/>
  <c r="AT159" i="8"/>
  <c r="AS159" i="8"/>
  <c r="AW158" i="8"/>
  <c r="AW157" i="8"/>
  <c r="AV157" i="8"/>
  <c r="AU157" i="8"/>
  <c r="AT157" i="8"/>
  <c r="AS157" i="8"/>
  <c r="AW156" i="8"/>
  <c r="AV156" i="8"/>
  <c r="AU156" i="8"/>
  <c r="AT156" i="8"/>
  <c r="AS156" i="8"/>
  <c r="AW155" i="8"/>
  <c r="AW161" i="8" s="1"/>
  <c r="AV155" i="8"/>
  <c r="AV161" i="8" s="1"/>
  <c r="AU155" i="8"/>
  <c r="AU161" i="8" s="1"/>
  <c r="AT155" i="8"/>
  <c r="AT161" i="8" s="1"/>
  <c r="AS155" i="8"/>
  <c r="AS161" i="8" s="1"/>
  <c r="AU136" i="8"/>
  <c r="AT136" i="8"/>
  <c r="AS136" i="8"/>
  <c r="AU132" i="8"/>
  <c r="AT132" i="8"/>
  <c r="AS132" i="8"/>
  <c r="AV132" i="8" s="1"/>
  <c r="AW99" i="5"/>
  <c r="AW92" i="5"/>
  <c r="AW95" i="5" s="1"/>
  <c r="AW98" i="5" s="1"/>
  <c r="AW82" i="8"/>
  <c r="AW75" i="8"/>
  <c r="AW78" i="8" s="1"/>
  <c r="AW81" i="8" s="1"/>
  <c r="AV80" i="45"/>
  <c r="AU80" i="45"/>
  <c r="AT80" i="45"/>
  <c r="AS80" i="45"/>
  <c r="AW57" i="9"/>
  <c r="AV370" i="47"/>
  <c r="AW390" i="47"/>
  <c r="AV375" i="47"/>
  <c r="AV371" i="47"/>
  <c r="AW364" i="47"/>
  <c r="AS364" i="47"/>
  <c r="AT362" i="47" s="1"/>
  <c r="AV358" i="47"/>
  <c r="AU358" i="47"/>
  <c r="AT358" i="47"/>
  <c r="AS358" i="47"/>
  <c r="AV357" i="47"/>
  <c r="AU357" i="47"/>
  <c r="AT357" i="47"/>
  <c r="AS357" i="47"/>
  <c r="AV356" i="47"/>
  <c r="AV123" i="4" s="1"/>
  <c r="AU356" i="47"/>
  <c r="AU123" i="4" s="1"/>
  <c r="AT356" i="47"/>
  <c r="AT123" i="4" s="1"/>
  <c r="AS356" i="47"/>
  <c r="AS123" i="4" s="1"/>
  <c r="AV355" i="47"/>
  <c r="AU355" i="47"/>
  <c r="AT355" i="47"/>
  <c r="AS355" i="47"/>
  <c r="AV354" i="47"/>
  <c r="AU354" i="47"/>
  <c r="AT354" i="47"/>
  <c r="AS354" i="47"/>
  <c r="AW350" i="47"/>
  <c r="AV349" i="47"/>
  <c r="AU349" i="47"/>
  <c r="AT349" i="47"/>
  <c r="AS349" i="47"/>
  <c r="AW348" i="47"/>
  <c r="AV345" i="47"/>
  <c r="AU345" i="47"/>
  <c r="AT345" i="47"/>
  <c r="AS345" i="47"/>
  <c r="AV344" i="47"/>
  <c r="AU344" i="47"/>
  <c r="AT344" i="47"/>
  <c r="AS344" i="47"/>
  <c r="AV343" i="47"/>
  <c r="AU343" i="47"/>
  <c r="AT343" i="47"/>
  <c r="AS343" i="47"/>
  <c r="AV342" i="47"/>
  <c r="AU342" i="47"/>
  <c r="AT342" i="47"/>
  <c r="AS342" i="47"/>
  <c r="AW341" i="47"/>
  <c r="AU341" i="47"/>
  <c r="AT341" i="47"/>
  <c r="AS341" i="47"/>
  <c r="AV368" i="47"/>
  <c r="AV364" i="47" s="1"/>
  <c r="AS323" i="47"/>
  <c r="AS348" i="47" s="1"/>
  <c r="AV312" i="47"/>
  <c r="AV313" i="47" s="1"/>
  <c r="AW313" i="47" s="1"/>
  <c r="AW92" i="47"/>
  <c r="AV91" i="47"/>
  <c r="AV90" i="47"/>
  <c r="AV89" i="47"/>
  <c r="AV88" i="47"/>
  <c r="AV92" i="47" s="1"/>
  <c r="AV55" i="47"/>
  <c r="AV54" i="47"/>
  <c r="AW41" i="47"/>
  <c r="AV41" i="47"/>
  <c r="AW40" i="47"/>
  <c r="AV40" i="47"/>
  <c r="AW37" i="47"/>
  <c r="AW19" i="47"/>
  <c r="AV37" i="47"/>
  <c r="AV31" i="47"/>
  <c r="AV28" i="9" s="1"/>
  <c r="AW27" i="47"/>
  <c r="AW24" i="9" s="1"/>
  <c r="AV26" i="47"/>
  <c r="AV390" i="47" s="1"/>
  <c r="AV25" i="47"/>
  <c r="AW20" i="47"/>
  <c r="AW19" i="9" s="1"/>
  <c r="AW21" i="9" s="1"/>
  <c r="AV19" i="47"/>
  <c r="AV20" i="47" s="1"/>
  <c r="AV19" i="9" s="1"/>
  <c r="AW15" i="47"/>
  <c r="AW17" i="47" s="1"/>
  <c r="AV14" i="47"/>
  <c r="AV14" i="9" s="1"/>
  <c r="AV13" i="47"/>
  <c r="AV13" i="9" s="1"/>
  <c r="AV57" i="9" s="1"/>
  <c r="AV12" i="47"/>
  <c r="AW10" i="47"/>
  <c r="AV9" i="47"/>
  <c r="AV9" i="9" s="1"/>
  <c r="AV8" i="47"/>
  <c r="AV8" i="9" s="1"/>
  <c r="AV69" i="45"/>
  <c r="AW59" i="45"/>
  <c r="AV59" i="45"/>
  <c r="AV58" i="45"/>
  <c r="AW55" i="45"/>
  <c r="AW58" i="45" s="1"/>
  <c r="AW52" i="45"/>
  <c r="AV52" i="45" s="1"/>
  <c r="AV51" i="45"/>
  <c r="AV49" i="45"/>
  <c r="AV48" i="45"/>
  <c r="AW35" i="45"/>
  <c r="AW37" i="45" s="1"/>
  <c r="AV35" i="45"/>
  <c r="AW34" i="45"/>
  <c r="AV34" i="45"/>
  <c r="AW32" i="45"/>
  <c r="AW38" i="45" s="1"/>
  <c r="AW81" i="4" s="1"/>
  <c r="AV31" i="45"/>
  <c r="AV38" i="9" s="1"/>
  <c r="AV30" i="45"/>
  <c r="AV28" i="45"/>
  <c r="AV24" i="45"/>
  <c r="AW15" i="45"/>
  <c r="AW17" i="45" s="1"/>
  <c r="AV14" i="45"/>
  <c r="AV13" i="45"/>
  <c r="AV15" i="45" s="1"/>
  <c r="AV12" i="45"/>
  <c r="AW10" i="45"/>
  <c r="AV9" i="45"/>
  <c r="AV8" i="45"/>
  <c r="AV10" i="45" s="1"/>
  <c r="AW129" i="8"/>
  <c r="AW124" i="8"/>
  <c r="AV124" i="8"/>
  <c r="AW112" i="8"/>
  <c r="AW113" i="8" s="1"/>
  <c r="AV112" i="8"/>
  <c r="AV113" i="8" s="1"/>
  <c r="AW109" i="8"/>
  <c r="AW110" i="8" s="1"/>
  <c r="AV109" i="8"/>
  <c r="AV110" i="8" s="1"/>
  <c r="AW101" i="8"/>
  <c r="AW102" i="8" s="1"/>
  <c r="AV101" i="8"/>
  <c r="AV102" i="8" s="1"/>
  <c r="AV90" i="8"/>
  <c r="AW89" i="8"/>
  <c r="AW93" i="8" s="1"/>
  <c r="AV88" i="8"/>
  <c r="AV87" i="8"/>
  <c r="AV86" i="8"/>
  <c r="AV85" i="8"/>
  <c r="AV89" i="8" s="1"/>
  <c r="AW20" i="8"/>
  <c r="AW41" i="8"/>
  <c r="AV41" i="8"/>
  <c r="AW40" i="8"/>
  <c r="AV40" i="8"/>
  <c r="AV37" i="8"/>
  <c r="AV34" i="8"/>
  <c r="AV31" i="8"/>
  <c r="AW27" i="8"/>
  <c r="AV26" i="8"/>
  <c r="AV25" i="8"/>
  <c r="AV20" i="8"/>
  <c r="AV19" i="8"/>
  <c r="AW15" i="8"/>
  <c r="AW17" i="8" s="1"/>
  <c r="AV14" i="8"/>
  <c r="AV13" i="8"/>
  <c r="AV12" i="8"/>
  <c r="AW10" i="8"/>
  <c r="AV9" i="8"/>
  <c r="AV8" i="8"/>
  <c r="AV107" i="5"/>
  <c r="AW106" i="5"/>
  <c r="AW108" i="5" s="1"/>
  <c r="AV105" i="5"/>
  <c r="AV104" i="5"/>
  <c r="AV103" i="5"/>
  <c r="AV102" i="5"/>
  <c r="AW20" i="5"/>
  <c r="AW40" i="5"/>
  <c r="AV44" i="5"/>
  <c r="AV43" i="5"/>
  <c r="AV40" i="5"/>
  <c r="AV37" i="5"/>
  <c r="AV36" i="5"/>
  <c r="AV35" i="5"/>
  <c r="AV32" i="5"/>
  <c r="AV27" i="5"/>
  <c r="AV26" i="5"/>
  <c r="AV28" i="5" s="1"/>
  <c r="AV20" i="5"/>
  <c r="AV19" i="5"/>
  <c r="AV14" i="5"/>
  <c r="AV13" i="5"/>
  <c r="AV12" i="5"/>
  <c r="AV15" i="5" s="1"/>
  <c r="AV17" i="5" s="1"/>
  <c r="AV9" i="5"/>
  <c r="AV8" i="5"/>
  <c r="AV10" i="5" s="1"/>
  <c r="AW28" i="5"/>
  <c r="AW21" i="5"/>
  <c r="AW15" i="5"/>
  <c r="AW17" i="5" s="1"/>
  <c r="AW10" i="5"/>
  <c r="AW132" i="44"/>
  <c r="AR81" i="44"/>
  <c r="AW81" i="44" s="1"/>
  <c r="AM71" i="44"/>
  <c r="AW54" i="44"/>
  <c r="AW50" i="44"/>
  <c r="AW98" i="44"/>
  <c r="AW96" i="44"/>
  <c r="AW85" i="44"/>
  <c r="AW82" i="44"/>
  <c r="AW72" i="44"/>
  <c r="AW61" i="44"/>
  <c r="AW56" i="44"/>
  <c r="AW55" i="44"/>
  <c r="AW112" i="44"/>
  <c r="AW114" i="44" s="1"/>
  <c r="AW183" i="8" s="1"/>
  <c r="AV183" i="8" s="1"/>
  <c r="AW140" i="44"/>
  <c r="AW139" i="44"/>
  <c r="AW134" i="44"/>
  <c r="AW133" i="44"/>
  <c r="AW212" i="44"/>
  <c r="AW122" i="8" s="1"/>
  <c r="AV211" i="44"/>
  <c r="AV210" i="44"/>
  <c r="AV209" i="44"/>
  <c r="AW207" i="44"/>
  <c r="AW140" i="5" s="1"/>
  <c r="AV206" i="44"/>
  <c r="AV205" i="44"/>
  <c r="AV204" i="44"/>
  <c r="AV203" i="44"/>
  <c r="AV202" i="44"/>
  <c r="AV201" i="44"/>
  <c r="AW197" i="44"/>
  <c r="AW196" i="44"/>
  <c r="AW195" i="44"/>
  <c r="AW192" i="44"/>
  <c r="AW191" i="44"/>
  <c r="AW190" i="44"/>
  <c r="AW189" i="44"/>
  <c r="AW188" i="44"/>
  <c r="AW187" i="44"/>
  <c r="AW184" i="44"/>
  <c r="AW119" i="8" s="1"/>
  <c r="AV183" i="44"/>
  <c r="AV182" i="44"/>
  <c r="AV181" i="44"/>
  <c r="AW179" i="44"/>
  <c r="AW137" i="5" s="1"/>
  <c r="AV178" i="44"/>
  <c r="AV177" i="44"/>
  <c r="AV176" i="44"/>
  <c r="AV175" i="44"/>
  <c r="AV174" i="44"/>
  <c r="AV173" i="44"/>
  <c r="AW170" i="44"/>
  <c r="AV169" i="44"/>
  <c r="AV168" i="44"/>
  <c r="AV167" i="44"/>
  <c r="AV195" i="44" s="1"/>
  <c r="AW165" i="44"/>
  <c r="AV164" i="44"/>
  <c r="AV163" i="44"/>
  <c r="AV162" i="44"/>
  <c r="AV190" i="44" s="1"/>
  <c r="AV161" i="44"/>
  <c r="AV160" i="44"/>
  <c r="AV159" i="44"/>
  <c r="AW156" i="44"/>
  <c r="AW193" i="8" s="1"/>
  <c r="AV155" i="44"/>
  <c r="AV154" i="44"/>
  <c r="AV153" i="44"/>
  <c r="AW151" i="44"/>
  <c r="AW212" i="5" s="1"/>
  <c r="AV150" i="44"/>
  <c r="AV149" i="44"/>
  <c r="AV148" i="44"/>
  <c r="AV147" i="44"/>
  <c r="AV146" i="44"/>
  <c r="AV145" i="44"/>
  <c r="AV141" i="44"/>
  <c r="AV140" i="44"/>
  <c r="AW142" i="44"/>
  <c r="AW186" i="8" s="1"/>
  <c r="AV186" i="8" s="1"/>
  <c r="AV136" i="44"/>
  <c r="AV135" i="44"/>
  <c r="AV134" i="44"/>
  <c r="AV133" i="44"/>
  <c r="AV132" i="44"/>
  <c r="AV131" i="44"/>
  <c r="AW128" i="44"/>
  <c r="AW185" i="8" s="1"/>
  <c r="AV185" i="8" s="1"/>
  <c r="AV127" i="44"/>
  <c r="AV126" i="44"/>
  <c r="AV125" i="44"/>
  <c r="AW123" i="44"/>
  <c r="AW204" i="5" s="1"/>
  <c r="AV204" i="5" s="1"/>
  <c r="AV122" i="44"/>
  <c r="AV121" i="44"/>
  <c r="AV120" i="44"/>
  <c r="AV119" i="44"/>
  <c r="AV118" i="44"/>
  <c r="AV117" i="44"/>
  <c r="AV113" i="44"/>
  <c r="AV112" i="44"/>
  <c r="AV111" i="44"/>
  <c r="AW109" i="44"/>
  <c r="AW202" i="5" s="1"/>
  <c r="AV202" i="5" s="1"/>
  <c r="AV108" i="44"/>
  <c r="AV107" i="44"/>
  <c r="AV106" i="44"/>
  <c r="AV105" i="44"/>
  <c r="AV104" i="44"/>
  <c r="AV103" i="44"/>
  <c r="AW252" i="4"/>
  <c r="AS252" i="4"/>
  <c r="AT252" i="4" s="1"/>
  <c r="AU252" i="4" s="1"/>
  <c r="AV252" i="4" s="1"/>
  <c r="AW249" i="4"/>
  <c r="AV249" i="4"/>
  <c r="AW233" i="4"/>
  <c r="AW232" i="4"/>
  <c r="AV232" i="4"/>
  <c r="AW231" i="4"/>
  <c r="AV231" i="4"/>
  <c r="AW194" i="4"/>
  <c r="AW203" i="4"/>
  <c r="AW204" i="4" s="1"/>
  <c r="AV203" i="4"/>
  <c r="AV202" i="4"/>
  <c r="AV201" i="4"/>
  <c r="AV204" i="4" s="1"/>
  <c r="AV199" i="4"/>
  <c r="AV194" i="4"/>
  <c r="AW186" i="4"/>
  <c r="AW183" i="4"/>
  <c r="AW178" i="4"/>
  <c r="AW170" i="4"/>
  <c r="AW174" i="4" s="1"/>
  <c r="AW166" i="4"/>
  <c r="AW165" i="4"/>
  <c r="AV197" i="4"/>
  <c r="AW195" i="4"/>
  <c r="AV193" i="4"/>
  <c r="AV192" i="4"/>
  <c r="AV191" i="4"/>
  <c r="AV189" i="4"/>
  <c r="AV186" i="4"/>
  <c r="AV185" i="4"/>
  <c r="AV184" i="4"/>
  <c r="AW187" i="4"/>
  <c r="AV183" i="4"/>
  <c r="AV187" i="4" s="1"/>
  <c r="AW179" i="4"/>
  <c r="AV178" i="4"/>
  <c r="AV177" i="4"/>
  <c r="AV176" i="4"/>
  <c r="AV173" i="4"/>
  <c r="AV172" i="4"/>
  <c r="AV171" i="4"/>
  <c r="AV167" i="4"/>
  <c r="AV166" i="4"/>
  <c r="AV165" i="4"/>
  <c r="AV164" i="4"/>
  <c r="DX158" i="4"/>
  <c r="DX156" i="4"/>
  <c r="DY155" i="4"/>
  <c r="DY152" i="4"/>
  <c r="DX152" i="4" s="1"/>
  <c r="DY142" i="4"/>
  <c r="DX142" i="4" s="1"/>
  <c r="DY137" i="4"/>
  <c r="DY139" i="4" s="1"/>
  <c r="DY138" i="4"/>
  <c r="DX151" i="4"/>
  <c r="DX150" i="4"/>
  <c r="DX149" i="4"/>
  <c r="DX148" i="4"/>
  <c r="DX147" i="4"/>
  <c r="DX146" i="4"/>
  <c r="DX145" i="4"/>
  <c r="DX141" i="4"/>
  <c r="DX138" i="4"/>
  <c r="DX137" i="4"/>
  <c r="DX136" i="4"/>
  <c r="DX135" i="4"/>
  <c r="DX134" i="4"/>
  <c r="DX133" i="4"/>
  <c r="AW97" i="4"/>
  <c r="AW96" i="4"/>
  <c r="AV65" i="4"/>
  <c r="AW64" i="4"/>
  <c r="AW50" i="4"/>
  <c r="AW47" i="4"/>
  <c r="AV50" i="4"/>
  <c r="AV47" i="4"/>
  <c r="AV44" i="4"/>
  <c r="AV43" i="4"/>
  <c r="AV42" i="4"/>
  <c r="AV41" i="4"/>
  <c r="AV40" i="4"/>
  <c r="AV37" i="4"/>
  <c r="AV33" i="4"/>
  <c r="AV27" i="4"/>
  <c r="AV26" i="4"/>
  <c r="AV28" i="4" s="1"/>
  <c r="AV21" i="4"/>
  <c r="AV14" i="4"/>
  <c r="AV13" i="4"/>
  <c r="AV12" i="4"/>
  <c r="AV9" i="4"/>
  <c r="AV15" i="4" s="1"/>
  <c r="AV23" i="4" s="1"/>
  <c r="AV8" i="4"/>
  <c r="AV10" i="4" s="1"/>
  <c r="AW35" i="4"/>
  <c r="AW30" i="4"/>
  <c r="AW31" i="4" s="1"/>
  <c r="AW27" i="4"/>
  <c r="AW23" i="4"/>
  <c r="AW21" i="4"/>
  <c r="AW28" i="4"/>
  <c r="AW12" i="4"/>
  <c r="AW9" i="4"/>
  <c r="AW15" i="4"/>
  <c r="DM87" i="41" l="1"/>
  <c r="DN86" i="41"/>
  <c r="AU211" i="8"/>
  <c r="AT210" i="8"/>
  <c r="AS210" i="8"/>
  <c r="AS211" i="8"/>
  <c r="AT227" i="5"/>
  <c r="AS136" i="5"/>
  <c r="AS138" i="5" s="1"/>
  <c r="AU154" i="5"/>
  <c r="AU206" i="5"/>
  <c r="AU229" i="5" s="1"/>
  <c r="AS154" i="5"/>
  <c r="AT230" i="5"/>
  <c r="AT228" i="5"/>
  <c r="AU136" i="5"/>
  <c r="AU138" i="5" s="1"/>
  <c r="AS229" i="5"/>
  <c r="AV37" i="45"/>
  <c r="AV289" i="47"/>
  <c r="AV12" i="9"/>
  <c r="AV15" i="9" s="1"/>
  <c r="AV17" i="9" s="1"/>
  <c r="AV10" i="9"/>
  <c r="AW22" i="9"/>
  <c r="AW26" i="9"/>
  <c r="AW30" i="9" s="1"/>
  <c r="AW37" i="9" s="1"/>
  <c r="AV341" i="47"/>
  <c r="AV315" i="47" s="1"/>
  <c r="AV316" i="47" s="1"/>
  <c r="AS350" i="47"/>
  <c r="AV188" i="44"/>
  <c r="AV192" i="44"/>
  <c r="AV197" i="44"/>
  <c r="AW127" i="8"/>
  <c r="AW137" i="8"/>
  <c r="AV189" i="44"/>
  <c r="AV179" i="44"/>
  <c r="AV137" i="5" s="1"/>
  <c r="AV212" i="44"/>
  <c r="AV122" i="8" s="1"/>
  <c r="AV137" i="8" s="1"/>
  <c r="AW119" i="4"/>
  <c r="AW118" i="4"/>
  <c r="AW244" i="4"/>
  <c r="AV127" i="8"/>
  <c r="AW118" i="8"/>
  <c r="AW120" i="8" s="1"/>
  <c r="AV156" i="44"/>
  <c r="AV187" i="8"/>
  <c r="AV210" i="8" s="1"/>
  <c r="AV123" i="44"/>
  <c r="AW145" i="5"/>
  <c r="AW154" i="5"/>
  <c r="AW136" i="5"/>
  <c r="AW138" i="5" s="1"/>
  <c r="AV244" i="4"/>
  <c r="AV233" i="4"/>
  <c r="AW39" i="4"/>
  <c r="AW46" i="4" s="1"/>
  <c r="AW48" i="4" s="1"/>
  <c r="AW155" i="4"/>
  <c r="AV149" i="4"/>
  <c r="AV128" i="4" s="1"/>
  <c r="AW126" i="4"/>
  <c r="AW254" i="5"/>
  <c r="AS230" i="5"/>
  <c r="AU230" i="5"/>
  <c r="AS207" i="5"/>
  <c r="AT215" i="5"/>
  <c r="AS215" i="5"/>
  <c r="AS210" i="5" s="1"/>
  <c r="AU215" i="5"/>
  <c r="AU210" i="5" s="1"/>
  <c r="AV212" i="5"/>
  <c r="AW63" i="9"/>
  <c r="AW174" i="5"/>
  <c r="AW180" i="5" s="1"/>
  <c r="AU196" i="5"/>
  <c r="AV143" i="4"/>
  <c r="AV99" i="4"/>
  <c r="AV158" i="4"/>
  <c r="AT211" i="8"/>
  <c r="AV211" i="8"/>
  <c r="AT196" i="8"/>
  <c r="AT208" i="8" s="1"/>
  <c r="AW187" i="8"/>
  <c r="AS196" i="8"/>
  <c r="AS191" i="8" s="1"/>
  <c r="AU196" i="8"/>
  <c r="AU191" i="8" s="1"/>
  <c r="AV193" i="8"/>
  <c r="AU177" i="8"/>
  <c r="AW22" i="4"/>
  <c r="AT323" i="47"/>
  <c r="AV15" i="47"/>
  <c r="AV17" i="47" s="1"/>
  <c r="AV27" i="47"/>
  <c r="AV24" i="9" s="1"/>
  <c r="AW22" i="47"/>
  <c r="AW388" i="47" s="1"/>
  <c r="AW401" i="47" s="1"/>
  <c r="AW17" i="4"/>
  <c r="AV10" i="47"/>
  <c r="AV17" i="45"/>
  <c r="AV19" i="45" s="1"/>
  <c r="AV21" i="45" s="1"/>
  <c r="AV20" i="4"/>
  <c r="AW19" i="45"/>
  <c r="AW21" i="45" s="1"/>
  <c r="AW20" i="4"/>
  <c r="AV32" i="45"/>
  <c r="AW91" i="8"/>
  <c r="AV93" i="8"/>
  <c r="AV91" i="8"/>
  <c r="AV10" i="8"/>
  <c r="AV15" i="8"/>
  <c r="AV27" i="8"/>
  <c r="AV17" i="8"/>
  <c r="AW22" i="8"/>
  <c r="AW19" i="4"/>
  <c r="AV106" i="5"/>
  <c r="AV108" i="5" s="1"/>
  <c r="AV21" i="5"/>
  <c r="AV23" i="5"/>
  <c r="AV18" i="4"/>
  <c r="AW23" i="5"/>
  <c r="AW30" i="5" s="1"/>
  <c r="AW34" i="5" s="1"/>
  <c r="AV109" i="44"/>
  <c r="AV207" i="44"/>
  <c r="AV140" i="5" s="1"/>
  <c r="AV145" i="5" s="1"/>
  <c r="AV151" i="44"/>
  <c r="AV114" i="44"/>
  <c r="AV128" i="44"/>
  <c r="AV137" i="44"/>
  <c r="AV187" i="44"/>
  <c r="AV191" i="44"/>
  <c r="AW193" i="44"/>
  <c r="AV196" i="44"/>
  <c r="AV198" i="44" s="1"/>
  <c r="AV184" i="44"/>
  <c r="AV119" i="8" s="1"/>
  <c r="AW198" i="44"/>
  <c r="AW137" i="44"/>
  <c r="AW205" i="5" s="1"/>
  <c r="AV170" i="44"/>
  <c r="AV118" i="8" s="1"/>
  <c r="AV139" i="44"/>
  <c r="AV142" i="44" s="1"/>
  <c r="AV165" i="44"/>
  <c r="AV239" i="4"/>
  <c r="AV238" i="4"/>
  <c r="AW239" i="4"/>
  <c r="AW238" i="4"/>
  <c r="AV195" i="4"/>
  <c r="AV179" i="4"/>
  <c r="AV168" i="4"/>
  <c r="AV206" i="4"/>
  <c r="AW206" i="4"/>
  <c r="AW168" i="4"/>
  <c r="AW181" i="4" s="1"/>
  <c r="AV170" i="4"/>
  <c r="AV174" i="4" s="1"/>
  <c r="AV181" i="4" s="1"/>
  <c r="DX143" i="4"/>
  <c r="DX139" i="4"/>
  <c r="DX155" i="4" s="1"/>
  <c r="DX153" i="4"/>
  <c r="DY143" i="4"/>
  <c r="DY153" i="4"/>
  <c r="AW65" i="4"/>
  <c r="AV30" i="4"/>
  <c r="AW10" i="4"/>
  <c r="DM88" i="41" l="1"/>
  <c r="DN87" i="41"/>
  <c r="AS188" i="8"/>
  <c r="AU209" i="8"/>
  <c r="AU208" i="8"/>
  <c r="AT209" i="8"/>
  <c r="AV120" i="8"/>
  <c r="AS208" i="8"/>
  <c r="AS209" i="8"/>
  <c r="AU227" i="5"/>
  <c r="AS228" i="5"/>
  <c r="AU228" i="5"/>
  <c r="AS227" i="5"/>
  <c r="AV21" i="9"/>
  <c r="AV22" i="9" s="1"/>
  <c r="AV22" i="4"/>
  <c r="AW39" i="9"/>
  <c r="AW45" i="9" s="1"/>
  <c r="AW44" i="9"/>
  <c r="AT93" i="4"/>
  <c r="AT348" i="47"/>
  <c r="AT350" i="47" s="1"/>
  <c r="AV38" i="45"/>
  <c r="AV81" i="4" s="1"/>
  <c r="AV78" i="45"/>
  <c r="AW210" i="8"/>
  <c r="AW211" i="8"/>
  <c r="AV154" i="5"/>
  <c r="AV136" i="5"/>
  <c r="AV138" i="5" s="1"/>
  <c r="AV205" i="5"/>
  <c r="AW206" i="5"/>
  <c r="AW215" i="5" s="1"/>
  <c r="AW234" i="4"/>
  <c r="AW230" i="4"/>
  <c r="AW55" i="4"/>
  <c r="AW54" i="4"/>
  <c r="AW247" i="4"/>
  <c r="AV153" i="4"/>
  <c r="AV155" i="4" s="1"/>
  <c r="AT213" i="5"/>
  <c r="AT251" i="5" s="1"/>
  <c r="AT210" i="5"/>
  <c r="AT207" i="5"/>
  <c r="AU213" i="5"/>
  <c r="AU251" i="5" s="1"/>
  <c r="AU207" i="5"/>
  <c r="AT216" i="5"/>
  <c r="AS213" i="5"/>
  <c r="AS251" i="5" s="1"/>
  <c r="AS255" i="5" s="1"/>
  <c r="AU216" i="5"/>
  <c r="AS216" i="5"/>
  <c r="AV196" i="8"/>
  <c r="AV194" i="8" s="1"/>
  <c r="AT194" i="8"/>
  <c r="AT191" i="8"/>
  <c r="AT188" i="8"/>
  <c r="AU194" i="8"/>
  <c r="AU188" i="8"/>
  <c r="AW196" i="8"/>
  <c r="AW208" i="8" s="1"/>
  <c r="AT197" i="8"/>
  <c r="AS194" i="8"/>
  <c r="AU197" i="8"/>
  <c r="AS197" i="8"/>
  <c r="AU323" i="47"/>
  <c r="AW23" i="47"/>
  <c r="AW389" i="47" s="1"/>
  <c r="AW29" i="47"/>
  <c r="AW33" i="47" s="1"/>
  <c r="AV17" i="4"/>
  <c r="AV22" i="47"/>
  <c r="AV26" i="45"/>
  <c r="AV22" i="45"/>
  <c r="AW22" i="45"/>
  <c r="AW26" i="45"/>
  <c r="AW23" i="8"/>
  <c r="AW29" i="8"/>
  <c r="AW33" i="8" s="1"/>
  <c r="AV22" i="8"/>
  <c r="AV19" i="4"/>
  <c r="AV24" i="4" s="1"/>
  <c r="AW39" i="5"/>
  <c r="AV34" i="5"/>
  <c r="AV39" i="5" s="1"/>
  <c r="AV30" i="5"/>
  <c r="AV24" i="5"/>
  <c r="AW24" i="5"/>
  <c r="AV193" i="44"/>
  <c r="AW237" i="4"/>
  <c r="AV237" i="4"/>
  <c r="AV208" i="4"/>
  <c r="AW208" i="4"/>
  <c r="AV35" i="4"/>
  <c r="AV31" i="4"/>
  <c r="BG15" i="44"/>
  <c r="BL15" i="44" s="1"/>
  <c r="BQ15" i="44" s="1"/>
  <c r="DM89" i="41" l="1"/>
  <c r="DN88" i="41"/>
  <c r="AV26" i="9"/>
  <c r="AV30" i="9" s="1"/>
  <c r="AV323" i="47"/>
  <c r="AU93" i="4"/>
  <c r="AU348" i="47"/>
  <c r="AU350" i="47" s="1"/>
  <c r="AW78" i="45"/>
  <c r="AW227" i="5"/>
  <c r="AV215" i="5"/>
  <c r="AV119" i="4"/>
  <c r="AV118" i="4"/>
  <c r="AV197" i="8"/>
  <c r="AV208" i="8"/>
  <c r="AV209" i="8"/>
  <c r="AW209" i="8"/>
  <c r="AW228" i="5"/>
  <c r="AW229" i="5"/>
  <c r="AW230" i="5"/>
  <c r="AV206" i="5"/>
  <c r="AW56" i="4"/>
  <c r="AW68" i="4"/>
  <c r="AW243" i="4"/>
  <c r="AW240" i="4"/>
  <c r="AV39" i="4"/>
  <c r="AV46" i="4" s="1"/>
  <c r="AW127" i="4"/>
  <c r="AW129" i="4" s="1"/>
  <c r="AW56" i="9"/>
  <c r="AV227" i="5"/>
  <c r="AW210" i="5"/>
  <c r="AW213" i="5"/>
  <c r="AW251" i="5" s="1"/>
  <c r="AW59" i="44" s="1"/>
  <c r="AW216" i="5"/>
  <c r="AW207" i="5"/>
  <c r="AW191" i="8"/>
  <c r="AW194" i="8"/>
  <c r="AW188" i="8"/>
  <c r="AW197" i="8"/>
  <c r="AV191" i="8"/>
  <c r="AV188" i="8"/>
  <c r="AV29" i="47"/>
  <c r="AV23" i="47"/>
  <c r="AW36" i="47"/>
  <c r="AW36" i="8"/>
  <c r="AV29" i="8"/>
  <c r="AV23" i="8"/>
  <c r="AV41" i="5"/>
  <c r="AV47" i="5" s="1"/>
  <c r="AV46" i="5"/>
  <c r="DM90" i="41" l="1"/>
  <c r="DN89" i="41"/>
  <c r="AV348" i="47"/>
  <c r="AV350" i="47" s="1"/>
  <c r="AV93" i="4"/>
  <c r="AW340" i="47"/>
  <c r="AW346" i="47" s="1"/>
  <c r="AW59" i="9" s="1"/>
  <c r="AW58" i="9" s="1"/>
  <c r="AW43" i="47"/>
  <c r="AV207" i="5"/>
  <c r="AV229" i="5"/>
  <c r="AV228" i="5"/>
  <c r="AV230" i="5"/>
  <c r="AV216" i="5"/>
  <c r="AW256" i="5"/>
  <c r="AW81" i="5" s="1"/>
  <c r="AW255" i="5"/>
  <c r="AV48" i="4"/>
  <c r="AV247" i="4"/>
  <c r="AV210" i="5"/>
  <c r="AV213" i="5"/>
  <c r="AV251" i="5" s="1"/>
  <c r="AW38" i="47"/>
  <c r="AW43" i="8"/>
  <c r="AW38" i="8"/>
  <c r="AW44" i="8" s="1"/>
  <c r="DM91" i="41" l="1"/>
  <c r="DN90" i="41"/>
  <c r="AW80" i="5"/>
  <c r="AW43" i="44"/>
  <c r="AW391" i="47"/>
  <c r="AW387" i="47"/>
  <c r="AW400" i="47" s="1"/>
  <c r="AW44" i="47"/>
  <c r="AV234" i="4"/>
  <c r="AV230" i="4"/>
  <c r="AW97" i="44"/>
  <c r="DN91" i="41" l="1"/>
  <c r="AV243" i="4"/>
  <c r="AV240" i="4"/>
  <c r="AW78" i="4"/>
  <c r="BL72" i="44" l="1"/>
  <c r="BG72" i="44"/>
  <c r="BB72" i="44"/>
  <c r="B2" i="52" l="1"/>
  <c r="F8" i="52"/>
  <c r="C8" i="52" s="1"/>
  <c r="F9" i="52"/>
  <c r="F10" i="52"/>
  <c r="F11" i="52"/>
  <c r="F12" i="52"/>
  <c r="F13" i="52"/>
  <c r="C12" i="52" s="1"/>
  <c r="F14" i="52"/>
  <c r="F15" i="52"/>
  <c r="F16" i="52"/>
  <c r="T27" i="52"/>
  <c r="C9" i="52" s="1"/>
  <c r="B2" i="66"/>
  <c r="AB8" i="66"/>
  <c r="AG8" i="66"/>
  <c r="AG10" i="66" s="1"/>
  <c r="AL8" i="66"/>
  <c r="Y9" i="66"/>
  <c r="Y10" i="66" s="1"/>
  <c r="Z9" i="66"/>
  <c r="AA9" i="66"/>
  <c r="AA10" i="66" s="1"/>
  <c r="AB9" i="66"/>
  <c r="AD9" i="66"/>
  <c r="AD10" i="66" s="1"/>
  <c r="AE9" i="66"/>
  <c r="AF9" i="66"/>
  <c r="AF10" i="66" s="1"/>
  <c r="AG9" i="66"/>
  <c r="AM9" i="66"/>
  <c r="AI9" i="66" s="1"/>
  <c r="AI10" i="66" s="1"/>
  <c r="X10" i="66"/>
  <c r="Z10" i="66"/>
  <c r="AB10" i="66"/>
  <c r="AC10" i="66"/>
  <c r="AE10" i="66"/>
  <c r="AH10" i="66"/>
  <c r="AR8" i="66"/>
  <c r="AR9" i="66"/>
  <c r="AW8" i="66"/>
  <c r="AW9" i="66"/>
  <c r="BB8" i="66"/>
  <c r="BB9" i="66"/>
  <c r="BG8" i="66"/>
  <c r="BG10" i="66" s="1"/>
  <c r="BG9" i="66"/>
  <c r="BL8" i="66"/>
  <c r="BL9" i="66"/>
  <c r="BQ8" i="66"/>
  <c r="BQ10" i="66" s="1"/>
  <c r="BQ9" i="66"/>
  <c r="X12" i="66"/>
  <c r="AC12" i="66"/>
  <c r="AC15" i="66" s="1"/>
  <c r="AC17" i="66" s="1"/>
  <c r="AC21" i="66" s="1"/>
  <c r="AH12" i="66"/>
  <c r="AH15" i="66" s="1"/>
  <c r="AH17" i="66" s="1"/>
  <c r="AH21" i="66" s="1"/>
  <c r="Y13" i="66"/>
  <c r="Z13" i="66"/>
  <c r="Z65" i="66" s="1"/>
  <c r="Z67" i="66" s="1"/>
  <c r="AA13" i="66"/>
  <c r="AB13" i="66"/>
  <c r="Y14" i="66"/>
  <c r="Z14" i="66"/>
  <c r="Z53" i="66" s="1"/>
  <c r="AA14" i="66"/>
  <c r="AB14" i="66"/>
  <c r="AD13" i="66"/>
  <c r="AE13" i="66"/>
  <c r="AE65" i="66" s="1"/>
  <c r="AF13" i="66"/>
  <c r="AG13" i="66"/>
  <c r="AD14" i="66"/>
  <c r="AE14" i="66"/>
  <c r="AE53" i="66" s="1"/>
  <c r="AF14" i="66"/>
  <c r="AG14" i="66"/>
  <c r="AI13" i="66"/>
  <c r="AJ13" i="66"/>
  <c r="AK13" i="66" s="1"/>
  <c r="AI14" i="66"/>
  <c r="AJ14" i="66"/>
  <c r="AK14" i="66" s="1"/>
  <c r="AK53" i="66" s="1"/>
  <c r="AR12" i="66"/>
  <c r="AR13" i="66"/>
  <c r="AR14" i="66"/>
  <c r="AW12" i="66"/>
  <c r="AW13" i="66"/>
  <c r="AW14" i="66"/>
  <c r="BB12" i="66"/>
  <c r="BB13" i="66"/>
  <c r="BB14" i="66"/>
  <c r="BG12" i="66"/>
  <c r="BG13" i="66"/>
  <c r="BG14" i="66"/>
  <c r="BL12" i="66"/>
  <c r="BL13" i="66"/>
  <c r="BL14" i="66"/>
  <c r="BQ12" i="66"/>
  <c r="BQ13" i="66"/>
  <c r="BQ14" i="66"/>
  <c r="Y19" i="66"/>
  <c r="Z19" i="66"/>
  <c r="AA19" i="66"/>
  <c r="AB19" i="66"/>
  <c r="AD19" i="66"/>
  <c r="AE19" i="66"/>
  <c r="AF19" i="66"/>
  <c r="AG19" i="66"/>
  <c r="AI19" i="66"/>
  <c r="AJ19" i="66" s="1"/>
  <c r="AK19" i="66" s="1"/>
  <c r="AL19" i="66" s="1"/>
  <c r="AR19" i="66"/>
  <c r="AW19" i="66"/>
  <c r="BB19" i="66"/>
  <c r="BG19" i="66"/>
  <c r="BL19" i="66"/>
  <c r="BQ19" i="66"/>
  <c r="Y24" i="66"/>
  <c r="Z24" i="66"/>
  <c r="AA24" i="66"/>
  <c r="AB24" i="66"/>
  <c r="AD24" i="66"/>
  <c r="AE24" i="66"/>
  <c r="AF24" i="66"/>
  <c r="AG24" i="66"/>
  <c r="AI24" i="66"/>
  <c r="AJ24" i="66" s="1"/>
  <c r="AR24" i="66"/>
  <c r="AW24" i="66"/>
  <c r="BB24" i="66"/>
  <c r="BG24" i="66"/>
  <c r="BL24" i="66"/>
  <c r="BQ24" i="66"/>
  <c r="Y28" i="66"/>
  <c r="Z28" i="66"/>
  <c r="AA28" i="66"/>
  <c r="AB28" i="66"/>
  <c r="AD28" i="66"/>
  <c r="AE28" i="66"/>
  <c r="AF28" i="66"/>
  <c r="AG28" i="66"/>
  <c r="AM28" i="66"/>
  <c r="AR28" i="66"/>
  <c r="AW28" i="66"/>
  <c r="BB28" i="66"/>
  <c r="BG28" i="66"/>
  <c r="BL28" i="66"/>
  <c r="BQ28" i="66"/>
  <c r="AB30" i="66"/>
  <c r="AB31" i="66"/>
  <c r="AG30" i="66"/>
  <c r="AG31" i="66"/>
  <c r="AG32" i="66" s="1"/>
  <c r="AL30" i="66"/>
  <c r="AL31" i="66"/>
  <c r="X32" i="66"/>
  <c r="Y32" i="66"/>
  <c r="Z32" i="66"/>
  <c r="AA32" i="66"/>
  <c r="AC32" i="66"/>
  <c r="AD32" i="66"/>
  <c r="AE32" i="66"/>
  <c r="AF32" i="66"/>
  <c r="AH32" i="66"/>
  <c r="AI32" i="66"/>
  <c r="AJ32" i="66"/>
  <c r="AK32" i="66"/>
  <c r="AM32" i="66"/>
  <c r="AR31" i="66"/>
  <c r="AW31" i="66"/>
  <c r="BB31" i="66"/>
  <c r="BG31" i="66"/>
  <c r="BL31" i="66"/>
  <c r="BQ31" i="66"/>
  <c r="X34" i="66"/>
  <c r="Y34" i="66"/>
  <c r="Z34" i="66"/>
  <c r="AA34" i="66"/>
  <c r="AB34" i="66"/>
  <c r="AC34" i="66"/>
  <c r="AD34" i="66"/>
  <c r="AE34" i="66"/>
  <c r="AF34" i="66"/>
  <c r="AG34" i="66"/>
  <c r="AH34" i="66"/>
  <c r="AI34" i="66"/>
  <c r="AJ34" i="66"/>
  <c r="AK34" i="66"/>
  <c r="AL34" i="66"/>
  <c r="AM34" i="66"/>
  <c r="AN34" i="66"/>
  <c r="AO34" i="66"/>
  <c r="AP34" i="66"/>
  <c r="AQ34" i="66"/>
  <c r="AR34" i="66"/>
  <c r="AS34" i="66"/>
  <c r="AT34" i="66"/>
  <c r="AU34" i="66"/>
  <c r="X35" i="66"/>
  <c r="Y35" i="66"/>
  <c r="Z35" i="66"/>
  <c r="AA35" i="66"/>
  <c r="AB35" i="66"/>
  <c r="AC35" i="66"/>
  <c r="AC37" i="66" s="1"/>
  <c r="AD35" i="66"/>
  <c r="AE35" i="66"/>
  <c r="AE37" i="66" s="1"/>
  <c r="AF35" i="66"/>
  <c r="AG35" i="66"/>
  <c r="AG37" i="66" s="1"/>
  <c r="AH35" i="66"/>
  <c r="AI35" i="66"/>
  <c r="AJ35" i="66"/>
  <c r="AK35" i="66"/>
  <c r="AK38" i="66" s="1"/>
  <c r="AL35" i="66"/>
  <c r="AM35" i="66"/>
  <c r="AN35" i="66"/>
  <c r="AO35" i="66"/>
  <c r="AO37" i="66" s="1"/>
  <c r="AP35" i="66"/>
  <c r="AQ35" i="66"/>
  <c r="AR35" i="66"/>
  <c r="AS35" i="66"/>
  <c r="AT35" i="66"/>
  <c r="AU35" i="66"/>
  <c r="AU37" i="66" s="1"/>
  <c r="X37" i="66"/>
  <c r="Z37" i="66"/>
  <c r="AA37" i="66"/>
  <c r="AB37" i="66"/>
  <c r="X38" i="66"/>
  <c r="Z38" i="66"/>
  <c r="AD37" i="66"/>
  <c r="AF37" i="66"/>
  <c r="AD38" i="66"/>
  <c r="AF38" i="66"/>
  <c r="AI37" i="66"/>
  <c r="AJ37" i="66"/>
  <c r="AL37" i="66"/>
  <c r="AM37" i="66"/>
  <c r="AN37" i="66"/>
  <c r="AP37" i="66"/>
  <c r="AQ37" i="66"/>
  <c r="AT37" i="66"/>
  <c r="AI38" i="66"/>
  <c r="AJ38" i="66"/>
  <c r="AM38" i="66"/>
  <c r="AN38" i="66"/>
  <c r="AP38" i="66"/>
  <c r="AQ38" i="66"/>
  <c r="AT38" i="66"/>
  <c r="AU38" i="66"/>
  <c r="AC38" i="66"/>
  <c r="AC39" i="66" s="1"/>
  <c r="AH37" i="66"/>
  <c r="AH38" i="66"/>
  <c r="AM42" i="66"/>
  <c r="AL42" i="66" s="1"/>
  <c r="AL51" i="66" s="1"/>
  <c r="AR42" i="66"/>
  <c r="AQ42" i="66" s="1"/>
  <c r="AP42" i="66" s="1"/>
  <c r="AO42" i="66" s="1"/>
  <c r="AN42" i="66" s="1"/>
  <c r="AW42" i="66"/>
  <c r="AV42" i="66" s="1"/>
  <c r="AU42" i="66" s="1"/>
  <c r="AT42" i="66" s="1"/>
  <c r="AS42" i="66" s="1"/>
  <c r="BB42" i="66"/>
  <c r="BA42" i="66" s="1"/>
  <c r="AZ42" i="66" s="1"/>
  <c r="AY42" i="66" s="1"/>
  <c r="AX42" i="66" s="1"/>
  <c r="BG42" i="66"/>
  <c r="BF42" i="66" s="1"/>
  <c r="BE42" i="66" s="1"/>
  <c r="BD42" i="66" s="1"/>
  <c r="BC42" i="66" s="1"/>
  <c r="BL42" i="66"/>
  <c r="BK42" i="66" s="1"/>
  <c r="BJ42" i="66" s="1"/>
  <c r="BI42" i="66" s="1"/>
  <c r="BH42" i="66" s="1"/>
  <c r="BQ42" i="66"/>
  <c r="BP42" i="66" s="1"/>
  <c r="BO42" i="66" s="1"/>
  <c r="BN42" i="66" s="1"/>
  <c r="BM42" i="66" s="1"/>
  <c r="AM43" i="66"/>
  <c r="AL43" i="66" s="1"/>
  <c r="AL54" i="66" s="1"/>
  <c r="AR43" i="66"/>
  <c r="AQ43" i="66" s="1"/>
  <c r="AP43" i="66" s="1"/>
  <c r="AO43" i="66" s="1"/>
  <c r="AN43" i="66" s="1"/>
  <c r="AW43" i="66"/>
  <c r="AV43" i="66" s="1"/>
  <c r="AU43" i="66" s="1"/>
  <c r="AT43" i="66" s="1"/>
  <c r="AS43" i="66" s="1"/>
  <c r="BB43" i="66"/>
  <c r="BA43" i="66" s="1"/>
  <c r="AZ43" i="66" s="1"/>
  <c r="AY43" i="66" s="1"/>
  <c r="AX43" i="66" s="1"/>
  <c r="BG43" i="66"/>
  <c r="BF43" i="66" s="1"/>
  <c r="BE43" i="66" s="1"/>
  <c r="BD43" i="66" s="1"/>
  <c r="BC43" i="66" s="1"/>
  <c r="BL43" i="66"/>
  <c r="BK43" i="66" s="1"/>
  <c r="BJ43" i="66" s="1"/>
  <c r="BI43" i="66" s="1"/>
  <c r="BH43" i="66" s="1"/>
  <c r="BQ43" i="66"/>
  <c r="BP43" i="66" s="1"/>
  <c r="BO43" i="66" s="1"/>
  <c r="BN43" i="66" s="1"/>
  <c r="BM43" i="66" s="1"/>
  <c r="AL45" i="66"/>
  <c r="AM45" i="66"/>
  <c r="AR45" i="66"/>
  <c r="AQ45" i="66" s="1"/>
  <c r="AP45" i="66" s="1"/>
  <c r="AO45" i="66" s="1"/>
  <c r="AN45" i="66" s="1"/>
  <c r="AC50" i="66"/>
  <c r="AH50" i="66"/>
  <c r="X53" i="66"/>
  <c r="Y53" i="66"/>
  <c r="AA53" i="66"/>
  <c r="AB53" i="66"/>
  <c r="AC53" i="66"/>
  <c r="AD53" i="66"/>
  <c r="AF53" i="66"/>
  <c r="AG53" i="66"/>
  <c r="AH53" i="66"/>
  <c r="AI53" i="66"/>
  <c r="AJ53" i="66"/>
  <c r="AB59" i="66"/>
  <c r="AB60" i="66"/>
  <c r="AB61" i="66" s="1"/>
  <c r="AG59" i="66"/>
  <c r="AG60" i="66"/>
  <c r="X61" i="66"/>
  <c r="Y61" i="66"/>
  <c r="Z61" i="66"/>
  <c r="AA61" i="66"/>
  <c r="AC61" i="66"/>
  <c r="AD61" i="66"/>
  <c r="AE61" i="66"/>
  <c r="AF61" i="66"/>
  <c r="AH61" i="66"/>
  <c r="AI61" i="66"/>
  <c r="AJ61" i="66"/>
  <c r="X65" i="66"/>
  <c r="X67" i="66" s="1"/>
  <c r="Y65" i="66"/>
  <c r="AA65" i="66"/>
  <c r="AB65" i="66"/>
  <c r="AC65" i="66"/>
  <c r="AD65" i="66"/>
  <c r="AD67" i="66" s="1"/>
  <c r="AF65" i="66"/>
  <c r="AG65" i="66"/>
  <c r="AH65" i="66"/>
  <c r="AH67" i="66" s="1"/>
  <c r="AI65" i="66"/>
  <c r="AJ65" i="66"/>
  <c r="X68" i="66"/>
  <c r="Y68" i="66"/>
  <c r="Z68" i="66"/>
  <c r="AA68" i="66"/>
  <c r="AB68" i="66"/>
  <c r="AC68" i="66"/>
  <c r="AD68" i="66"/>
  <c r="AE68" i="66"/>
  <c r="AF68" i="66"/>
  <c r="AG68" i="66"/>
  <c r="AH68" i="66"/>
  <c r="AL70" i="66"/>
  <c r="AM70" i="66" s="1"/>
  <c r="AM71" i="66" s="1"/>
  <c r="Y71" i="66"/>
  <c r="Z71" i="66" s="1"/>
  <c r="AA71" i="66" s="1"/>
  <c r="AB71" i="66" s="1"/>
  <c r="AD71" i="66"/>
  <c r="AE71" i="66"/>
  <c r="AI71" i="66"/>
  <c r="AJ71" i="66"/>
  <c r="AK71" i="66"/>
  <c r="AK84" i="66"/>
  <c r="AL84" i="66"/>
  <c r="AM84" i="66"/>
  <c r="AC87" i="66"/>
  <c r="AC95" i="66" s="1"/>
  <c r="AH87" i="66"/>
  <c r="AJ87" i="66"/>
  <c r="AM87" i="66"/>
  <c r="X87" i="66"/>
  <c r="AC91" i="66"/>
  <c r="AD91" i="66"/>
  <c r="AH91" i="66"/>
  <c r="AH95" i="66" s="1"/>
  <c r="AM91" i="66"/>
  <c r="AC92" i="66"/>
  <c r="AH92" i="66"/>
  <c r="AJ92" i="66"/>
  <c r="AM92" i="66"/>
  <c r="X91" i="66"/>
  <c r="X95" i="66" s="1"/>
  <c r="X92" i="66"/>
  <c r="N8" i="69"/>
  <c r="M9" i="69"/>
  <c r="N9" i="69" s="1"/>
  <c r="M10" i="69"/>
  <c r="N10" i="69" s="1"/>
  <c r="N12" i="69"/>
  <c r="M13" i="69"/>
  <c r="M16" i="69"/>
  <c r="N16" i="69" s="1"/>
  <c r="N19" i="69"/>
  <c r="M20" i="69"/>
  <c r="N20" i="69" s="1"/>
  <c r="M21" i="69"/>
  <c r="N21" i="69" s="1"/>
  <c r="M22" i="69"/>
  <c r="N25" i="69"/>
  <c r="D4" i="56"/>
  <c r="BG4" i="56"/>
  <c r="BH4" i="56" s="1"/>
  <c r="BI4" i="56" s="1"/>
  <c r="BJ4" i="56" s="1"/>
  <c r="BK4" i="56" s="1"/>
  <c r="BL4" i="56" s="1"/>
  <c r="BM4" i="56" s="1"/>
  <c r="BN4" i="56" s="1"/>
  <c r="BO4" i="56" s="1"/>
  <c r="BP4" i="56" s="1"/>
  <c r="C6" i="56"/>
  <c r="D6" i="56"/>
  <c r="E6" i="56"/>
  <c r="F6" i="56"/>
  <c r="H6" i="56"/>
  <c r="I6" i="56"/>
  <c r="J6" i="56"/>
  <c r="K6" i="56"/>
  <c r="L6" i="56"/>
  <c r="M6" i="56"/>
  <c r="N6" i="56"/>
  <c r="O6" i="56"/>
  <c r="P6" i="56"/>
  <c r="Q6" i="56"/>
  <c r="R6" i="56"/>
  <c r="S6" i="56"/>
  <c r="T6" i="56"/>
  <c r="U6" i="56"/>
  <c r="V6" i="56"/>
  <c r="W6" i="56"/>
  <c r="X6" i="56"/>
  <c r="Y6" i="56"/>
  <c r="Z6" i="56"/>
  <c r="AA6" i="56"/>
  <c r="AB6" i="56"/>
  <c r="AC6" i="56"/>
  <c r="AD6" i="56"/>
  <c r="AE6" i="56"/>
  <c r="AF6" i="56"/>
  <c r="AG6" i="56"/>
  <c r="AH6" i="56"/>
  <c r="AI6" i="56"/>
  <c r="AJ6" i="56"/>
  <c r="AK6" i="56"/>
  <c r="H7" i="56"/>
  <c r="I7" i="56"/>
  <c r="J7" i="56"/>
  <c r="K7" i="56"/>
  <c r="L7" i="56"/>
  <c r="M7" i="56"/>
  <c r="N7" i="56"/>
  <c r="O7" i="56"/>
  <c r="P7" i="56"/>
  <c r="Q7" i="56"/>
  <c r="R7" i="56"/>
  <c r="S7" i="56"/>
  <c r="T7" i="56"/>
  <c r="U7" i="56"/>
  <c r="V7" i="56"/>
  <c r="W7" i="56"/>
  <c r="X7" i="56"/>
  <c r="Y7" i="56"/>
  <c r="Z7" i="56"/>
  <c r="AA7" i="56"/>
  <c r="AB7" i="56"/>
  <c r="AC7" i="56"/>
  <c r="AD7" i="56"/>
  <c r="AE7" i="56"/>
  <c r="AF7" i="56"/>
  <c r="AG7" i="56"/>
  <c r="AH7" i="56"/>
  <c r="AI7" i="56"/>
  <c r="AJ7" i="56"/>
  <c r="AK7" i="56"/>
  <c r="H8" i="56"/>
  <c r="I8" i="56"/>
  <c r="J8" i="56"/>
  <c r="K8" i="56"/>
  <c r="L8" i="56"/>
  <c r="M8" i="56"/>
  <c r="N8" i="56"/>
  <c r="O8" i="56"/>
  <c r="P8" i="56"/>
  <c r="Q8" i="56"/>
  <c r="R8" i="56"/>
  <c r="S8" i="56"/>
  <c r="T8" i="56"/>
  <c r="U8" i="56"/>
  <c r="V8" i="56"/>
  <c r="W8" i="56"/>
  <c r="X8" i="56"/>
  <c r="Y8" i="56"/>
  <c r="Z8" i="56"/>
  <c r="AA8" i="56"/>
  <c r="AB8" i="56"/>
  <c r="AC8" i="56"/>
  <c r="AD8" i="56"/>
  <c r="AE8" i="56"/>
  <c r="AF8" i="56"/>
  <c r="AG8" i="56"/>
  <c r="AH8" i="56"/>
  <c r="AI8" i="56"/>
  <c r="AJ8" i="56"/>
  <c r="AK8" i="56"/>
  <c r="H9" i="56"/>
  <c r="I9" i="56"/>
  <c r="J9" i="56"/>
  <c r="K9" i="56"/>
  <c r="L9" i="56"/>
  <c r="M9" i="56"/>
  <c r="N9" i="56"/>
  <c r="O9" i="56"/>
  <c r="P9" i="56"/>
  <c r="Q9" i="56"/>
  <c r="R9" i="56"/>
  <c r="S9" i="56"/>
  <c r="T9" i="56"/>
  <c r="U9" i="56"/>
  <c r="V9" i="56"/>
  <c r="W9" i="56"/>
  <c r="X9" i="56"/>
  <c r="Y9" i="56"/>
  <c r="Z9" i="56"/>
  <c r="AA9" i="56"/>
  <c r="AB9" i="56"/>
  <c r="AC9" i="56"/>
  <c r="AD9" i="56"/>
  <c r="AE9" i="56"/>
  <c r="AF9" i="56"/>
  <c r="AG9" i="56"/>
  <c r="AH9" i="56"/>
  <c r="AI9" i="56"/>
  <c r="AJ9" i="56"/>
  <c r="AK9" i="56"/>
  <c r="H10" i="56"/>
  <c r="I10" i="56"/>
  <c r="J10" i="56"/>
  <c r="K10" i="56"/>
  <c r="L10" i="56"/>
  <c r="M10" i="56"/>
  <c r="N10" i="56"/>
  <c r="O10" i="56"/>
  <c r="P10" i="56"/>
  <c r="Q10" i="56"/>
  <c r="R10" i="56"/>
  <c r="S10" i="56"/>
  <c r="T10" i="56"/>
  <c r="U10" i="56"/>
  <c r="V10" i="56"/>
  <c r="W10" i="56"/>
  <c r="X10" i="56"/>
  <c r="Y10" i="56"/>
  <c r="Z10" i="56"/>
  <c r="AA10" i="56"/>
  <c r="AB10" i="56"/>
  <c r="AC10" i="56"/>
  <c r="AD10" i="56"/>
  <c r="AE10" i="56"/>
  <c r="AF10" i="56"/>
  <c r="AG10" i="56"/>
  <c r="AH10" i="56"/>
  <c r="AI10" i="56"/>
  <c r="AJ10" i="56"/>
  <c r="AK10" i="56"/>
  <c r="H11" i="56"/>
  <c r="I11" i="56"/>
  <c r="J11" i="56"/>
  <c r="K11" i="56"/>
  <c r="L11" i="56"/>
  <c r="M11" i="56"/>
  <c r="N11" i="56"/>
  <c r="O11" i="56"/>
  <c r="P11" i="56"/>
  <c r="Q11" i="56"/>
  <c r="R11" i="56"/>
  <c r="S11" i="56"/>
  <c r="T11" i="56"/>
  <c r="U11" i="56"/>
  <c r="V11" i="56"/>
  <c r="W11" i="56"/>
  <c r="X11" i="56"/>
  <c r="Y11" i="56"/>
  <c r="Z11" i="56"/>
  <c r="AA11" i="56"/>
  <c r="AB11" i="56"/>
  <c r="AC11" i="56"/>
  <c r="AD11" i="56"/>
  <c r="AE11" i="56"/>
  <c r="AF11" i="56"/>
  <c r="AG11" i="56"/>
  <c r="AH11" i="56"/>
  <c r="AI11" i="56"/>
  <c r="AJ11" i="56"/>
  <c r="AK11" i="56"/>
  <c r="H12" i="56"/>
  <c r="I12" i="56"/>
  <c r="J12" i="56"/>
  <c r="K12" i="56"/>
  <c r="L12" i="56"/>
  <c r="M12" i="56"/>
  <c r="N12" i="56"/>
  <c r="O12" i="56"/>
  <c r="P12" i="56"/>
  <c r="Q12" i="56"/>
  <c r="R12" i="56"/>
  <c r="S12" i="56"/>
  <c r="T12" i="56"/>
  <c r="U12" i="56"/>
  <c r="V12" i="56"/>
  <c r="W12" i="56"/>
  <c r="X12" i="56"/>
  <c r="Y12" i="56"/>
  <c r="Z12" i="56"/>
  <c r="AA12" i="56"/>
  <c r="AB12" i="56"/>
  <c r="AC12" i="56"/>
  <c r="AD12" i="56"/>
  <c r="AE12" i="56"/>
  <c r="AF12" i="56"/>
  <c r="AG12" i="56"/>
  <c r="AH12" i="56"/>
  <c r="AI12" i="56"/>
  <c r="AJ12" i="56"/>
  <c r="AK12" i="56"/>
  <c r="H13" i="56"/>
  <c r="I13" i="56"/>
  <c r="J13" i="56"/>
  <c r="K13" i="56"/>
  <c r="L13" i="56"/>
  <c r="M13" i="56"/>
  <c r="N13" i="56"/>
  <c r="O13" i="56"/>
  <c r="P13" i="56"/>
  <c r="Q13" i="56"/>
  <c r="R13" i="56"/>
  <c r="S13" i="56"/>
  <c r="T13" i="56"/>
  <c r="U13" i="56"/>
  <c r="V13" i="56"/>
  <c r="W13" i="56"/>
  <c r="X13" i="56"/>
  <c r="Y13" i="56"/>
  <c r="Z13" i="56"/>
  <c r="AA13" i="56"/>
  <c r="AB13" i="56"/>
  <c r="AC13" i="56"/>
  <c r="AD13" i="56"/>
  <c r="AE13" i="56"/>
  <c r="AF13" i="56"/>
  <c r="AG13" i="56"/>
  <c r="AH13" i="56"/>
  <c r="AI13" i="56"/>
  <c r="AJ13" i="56"/>
  <c r="AK13" i="56"/>
  <c r="H14" i="56"/>
  <c r="I14" i="56"/>
  <c r="J14" i="56"/>
  <c r="K14" i="56"/>
  <c r="L14" i="56"/>
  <c r="M14" i="56"/>
  <c r="N14" i="56"/>
  <c r="O14" i="56"/>
  <c r="P14" i="56"/>
  <c r="Q14" i="56"/>
  <c r="R14" i="56"/>
  <c r="S14" i="56"/>
  <c r="T14" i="56"/>
  <c r="U14" i="56"/>
  <c r="V14" i="56"/>
  <c r="W14" i="56"/>
  <c r="X14" i="56"/>
  <c r="Y14" i="56"/>
  <c r="Z14" i="56"/>
  <c r="AA14" i="56"/>
  <c r="AB14" i="56"/>
  <c r="AC14" i="56"/>
  <c r="AD14" i="56"/>
  <c r="AE14" i="56"/>
  <c r="AF14" i="56"/>
  <c r="AG14" i="56"/>
  <c r="AH14" i="56"/>
  <c r="AI14" i="56"/>
  <c r="AJ14" i="56"/>
  <c r="AK14" i="56"/>
  <c r="H15" i="56"/>
  <c r="I15" i="56"/>
  <c r="J15" i="56"/>
  <c r="K15" i="56"/>
  <c r="L15" i="56"/>
  <c r="M15" i="56"/>
  <c r="N15" i="56"/>
  <c r="O15" i="56"/>
  <c r="P15" i="56"/>
  <c r="Q15" i="56"/>
  <c r="R15" i="56"/>
  <c r="S15" i="56"/>
  <c r="T15" i="56"/>
  <c r="U15" i="56"/>
  <c r="V15" i="56"/>
  <c r="W15" i="56"/>
  <c r="X15" i="56"/>
  <c r="Y15" i="56"/>
  <c r="Z15" i="56"/>
  <c r="AA15" i="56"/>
  <c r="AB15" i="56"/>
  <c r="AC15" i="56"/>
  <c r="AD15" i="56"/>
  <c r="AE15" i="56"/>
  <c r="AF15" i="56"/>
  <c r="AG15" i="56"/>
  <c r="AH15" i="56"/>
  <c r="AI15" i="56"/>
  <c r="AJ15" i="56"/>
  <c r="AK15" i="56"/>
  <c r="H16" i="56"/>
  <c r="I16" i="56"/>
  <c r="J16" i="56"/>
  <c r="K16" i="56"/>
  <c r="L16" i="56"/>
  <c r="M16" i="56"/>
  <c r="N16" i="56"/>
  <c r="O16" i="56"/>
  <c r="P16" i="56"/>
  <c r="Q16" i="56"/>
  <c r="R16" i="56"/>
  <c r="S16" i="56"/>
  <c r="T16" i="56"/>
  <c r="U16" i="56"/>
  <c r="V16" i="56"/>
  <c r="W16" i="56"/>
  <c r="X16" i="56"/>
  <c r="Y16" i="56"/>
  <c r="Z16" i="56"/>
  <c r="AA16" i="56"/>
  <c r="AB16" i="56"/>
  <c r="AC16" i="56"/>
  <c r="AD16" i="56"/>
  <c r="AE16" i="56"/>
  <c r="AF16" i="56"/>
  <c r="AG16" i="56"/>
  <c r="AH16" i="56"/>
  <c r="AI16" i="56"/>
  <c r="AJ16" i="56"/>
  <c r="AK16" i="56"/>
  <c r="H17" i="56"/>
  <c r="I17" i="56"/>
  <c r="J17" i="56"/>
  <c r="K17" i="56"/>
  <c r="L17" i="56"/>
  <c r="M17" i="56"/>
  <c r="N17" i="56"/>
  <c r="O17" i="56"/>
  <c r="P17" i="56"/>
  <c r="Q17" i="56"/>
  <c r="R17" i="56"/>
  <c r="S17" i="56"/>
  <c r="T17" i="56"/>
  <c r="U17" i="56"/>
  <c r="V17" i="56"/>
  <c r="W17" i="56"/>
  <c r="X17" i="56"/>
  <c r="Y17" i="56"/>
  <c r="Z17" i="56"/>
  <c r="AA17" i="56"/>
  <c r="AB17" i="56"/>
  <c r="AC17" i="56"/>
  <c r="AD17" i="56"/>
  <c r="AE17" i="56"/>
  <c r="AF17" i="56"/>
  <c r="AG17" i="56"/>
  <c r="AH17" i="56"/>
  <c r="AI17" i="56"/>
  <c r="AJ17" i="56"/>
  <c r="AK17" i="56"/>
  <c r="H18" i="56"/>
  <c r="I18" i="56"/>
  <c r="J18" i="56"/>
  <c r="K18" i="56"/>
  <c r="L18" i="56"/>
  <c r="M18" i="56"/>
  <c r="N18" i="56"/>
  <c r="O18" i="56"/>
  <c r="P18" i="56"/>
  <c r="Q18" i="56"/>
  <c r="R18" i="56"/>
  <c r="S18" i="56"/>
  <c r="T18" i="56"/>
  <c r="U18" i="56"/>
  <c r="V18" i="56"/>
  <c r="W18" i="56"/>
  <c r="X18" i="56"/>
  <c r="Y18" i="56"/>
  <c r="Z18" i="56"/>
  <c r="AA18" i="56"/>
  <c r="AB18" i="56"/>
  <c r="AC18" i="56"/>
  <c r="AD18" i="56"/>
  <c r="AE18" i="56"/>
  <c r="AF18" i="56"/>
  <c r="AG18" i="56"/>
  <c r="AH18" i="56"/>
  <c r="AI18" i="56"/>
  <c r="AJ18" i="56"/>
  <c r="AK18" i="56"/>
  <c r="H19" i="56"/>
  <c r="I19" i="56"/>
  <c r="J19" i="56"/>
  <c r="K19" i="56"/>
  <c r="L19" i="56"/>
  <c r="M19" i="56"/>
  <c r="N19" i="56"/>
  <c r="O19" i="56"/>
  <c r="P19" i="56"/>
  <c r="Q19" i="56"/>
  <c r="R19" i="56"/>
  <c r="S19" i="56"/>
  <c r="T19" i="56"/>
  <c r="U19" i="56"/>
  <c r="V19" i="56"/>
  <c r="W19" i="56"/>
  <c r="X19" i="56"/>
  <c r="Y19" i="56"/>
  <c r="Z19" i="56"/>
  <c r="AA19" i="56"/>
  <c r="AB19" i="56"/>
  <c r="AC19" i="56"/>
  <c r="AD19" i="56"/>
  <c r="AE19" i="56"/>
  <c r="AF19" i="56"/>
  <c r="AG19" i="56"/>
  <c r="AH19" i="56"/>
  <c r="AI19" i="56"/>
  <c r="AJ19" i="56"/>
  <c r="AK19" i="56"/>
  <c r="H20" i="56"/>
  <c r="I20" i="56"/>
  <c r="J20" i="56"/>
  <c r="K20" i="56"/>
  <c r="L20" i="56"/>
  <c r="M20" i="56"/>
  <c r="N20" i="56"/>
  <c r="O20" i="56"/>
  <c r="P20" i="56"/>
  <c r="Q20" i="56"/>
  <c r="R20" i="56"/>
  <c r="S20" i="56"/>
  <c r="T20" i="56"/>
  <c r="U20" i="56"/>
  <c r="V20" i="56"/>
  <c r="W20" i="56"/>
  <c r="X20" i="56"/>
  <c r="Y20" i="56"/>
  <c r="Z20" i="56"/>
  <c r="AA20" i="56"/>
  <c r="AB20" i="56"/>
  <c r="AC20" i="56"/>
  <c r="AD20" i="56"/>
  <c r="AE20" i="56"/>
  <c r="AF20" i="56"/>
  <c r="AG20" i="56"/>
  <c r="AH20" i="56"/>
  <c r="AI20" i="56"/>
  <c r="AJ20" i="56"/>
  <c r="AK20" i="56"/>
  <c r="H21" i="56"/>
  <c r="I21" i="56"/>
  <c r="J21" i="56"/>
  <c r="K21" i="56"/>
  <c r="L21" i="56"/>
  <c r="M21" i="56"/>
  <c r="N21" i="56"/>
  <c r="O21" i="56"/>
  <c r="P21" i="56"/>
  <c r="Q21" i="56"/>
  <c r="R21" i="56"/>
  <c r="S21" i="56"/>
  <c r="T21" i="56"/>
  <c r="U21" i="56"/>
  <c r="V21" i="56"/>
  <c r="W21" i="56"/>
  <c r="X21" i="56"/>
  <c r="Y21" i="56"/>
  <c r="Z21" i="56"/>
  <c r="AA21" i="56"/>
  <c r="AB21" i="56"/>
  <c r="AC21" i="56"/>
  <c r="AD21" i="56"/>
  <c r="AE21" i="56"/>
  <c r="AF21" i="56"/>
  <c r="AG21" i="56"/>
  <c r="AH21" i="56"/>
  <c r="AI21" i="56"/>
  <c r="AJ21" i="56"/>
  <c r="AK21" i="56"/>
  <c r="H22" i="56"/>
  <c r="I22" i="56"/>
  <c r="J22" i="56"/>
  <c r="K22" i="56"/>
  <c r="L22" i="56"/>
  <c r="M22" i="56"/>
  <c r="N22" i="56"/>
  <c r="O22" i="56"/>
  <c r="P22" i="56"/>
  <c r="Q22" i="56"/>
  <c r="R22" i="56"/>
  <c r="S22" i="56"/>
  <c r="T22" i="56"/>
  <c r="U22" i="56"/>
  <c r="V22" i="56"/>
  <c r="W22" i="56"/>
  <c r="X22" i="56"/>
  <c r="Y22" i="56"/>
  <c r="Z22" i="56"/>
  <c r="AA22" i="56"/>
  <c r="AB22" i="56"/>
  <c r="AC22" i="56"/>
  <c r="AD22" i="56"/>
  <c r="AE22" i="56"/>
  <c r="AF22" i="56"/>
  <c r="AG22" i="56"/>
  <c r="AH22" i="56"/>
  <c r="AI22" i="56"/>
  <c r="AJ22" i="56"/>
  <c r="AK22" i="56"/>
  <c r="H23" i="56"/>
  <c r="I23" i="56"/>
  <c r="J23" i="56"/>
  <c r="K23" i="56"/>
  <c r="L23" i="56"/>
  <c r="M23" i="56"/>
  <c r="N23" i="56"/>
  <c r="O23" i="56"/>
  <c r="P23" i="56"/>
  <c r="Q23" i="56"/>
  <c r="R23" i="56"/>
  <c r="S23" i="56"/>
  <c r="T23" i="56"/>
  <c r="U23" i="56"/>
  <c r="V23" i="56"/>
  <c r="W23" i="56"/>
  <c r="X23" i="56"/>
  <c r="Y23" i="56"/>
  <c r="Z23" i="56"/>
  <c r="AA23" i="56"/>
  <c r="AB23" i="56"/>
  <c r="AC23" i="56"/>
  <c r="AD23" i="56"/>
  <c r="AE23" i="56"/>
  <c r="AF23" i="56"/>
  <c r="AG23" i="56"/>
  <c r="AH23" i="56"/>
  <c r="AI23" i="56"/>
  <c r="AJ23" i="56"/>
  <c r="AK23" i="56"/>
  <c r="H24" i="56"/>
  <c r="I24" i="56"/>
  <c r="J24" i="56"/>
  <c r="K24" i="56"/>
  <c r="L24" i="56"/>
  <c r="M24" i="56"/>
  <c r="N24" i="56"/>
  <c r="O24" i="56"/>
  <c r="P24" i="56"/>
  <c r="Q24" i="56"/>
  <c r="R24" i="56"/>
  <c r="S24" i="56"/>
  <c r="T24" i="56"/>
  <c r="U24" i="56"/>
  <c r="V24" i="56"/>
  <c r="W24" i="56"/>
  <c r="X24" i="56"/>
  <c r="Y24" i="56"/>
  <c r="Z24" i="56"/>
  <c r="AA24" i="56"/>
  <c r="AB24" i="56"/>
  <c r="AC24" i="56"/>
  <c r="AD24" i="56"/>
  <c r="AE24" i="56"/>
  <c r="AF24" i="56"/>
  <c r="AG24" i="56"/>
  <c r="AH24" i="56"/>
  <c r="AI24" i="56"/>
  <c r="AJ24" i="56"/>
  <c r="AK24" i="56"/>
  <c r="H25" i="56"/>
  <c r="I25" i="56"/>
  <c r="J25" i="56"/>
  <c r="K25" i="56"/>
  <c r="L25" i="56"/>
  <c r="M25" i="56"/>
  <c r="N25" i="56"/>
  <c r="O25" i="56"/>
  <c r="P25" i="56"/>
  <c r="Q25" i="56"/>
  <c r="R25" i="56"/>
  <c r="S25" i="56"/>
  <c r="T25" i="56"/>
  <c r="U25" i="56"/>
  <c r="V25" i="56"/>
  <c r="W25" i="56"/>
  <c r="X25" i="56"/>
  <c r="Y25" i="56"/>
  <c r="Z25" i="56"/>
  <c r="AA25" i="56"/>
  <c r="AB25" i="56"/>
  <c r="AC25" i="56"/>
  <c r="AD25" i="56"/>
  <c r="AE25" i="56"/>
  <c r="AF25" i="56"/>
  <c r="AG25" i="56"/>
  <c r="AH25" i="56"/>
  <c r="AI25" i="56"/>
  <c r="AJ25" i="56"/>
  <c r="AK25" i="56"/>
  <c r="H26" i="56"/>
  <c r="I26" i="56"/>
  <c r="J26" i="56"/>
  <c r="K26" i="56"/>
  <c r="L26" i="56"/>
  <c r="M26" i="56"/>
  <c r="N26" i="56"/>
  <c r="O26" i="56"/>
  <c r="P26" i="56"/>
  <c r="Q26" i="56"/>
  <c r="R26" i="56"/>
  <c r="S26" i="56"/>
  <c r="T26" i="56"/>
  <c r="U26" i="56"/>
  <c r="V26" i="56"/>
  <c r="W26" i="56"/>
  <c r="X26" i="56"/>
  <c r="Y26" i="56"/>
  <c r="Z26" i="56"/>
  <c r="AA26" i="56"/>
  <c r="AB26" i="56"/>
  <c r="AC26" i="56"/>
  <c r="AD26" i="56"/>
  <c r="AE26" i="56"/>
  <c r="AF26" i="56"/>
  <c r="AG26" i="56"/>
  <c r="AH26" i="56"/>
  <c r="AI26" i="56"/>
  <c r="AJ26" i="56"/>
  <c r="AK26" i="56"/>
  <c r="H27" i="56"/>
  <c r="I27" i="56"/>
  <c r="J27" i="56"/>
  <c r="K27" i="56"/>
  <c r="L27" i="56"/>
  <c r="M27" i="56"/>
  <c r="N27" i="56"/>
  <c r="O27" i="56"/>
  <c r="P27" i="56"/>
  <c r="Q27" i="56"/>
  <c r="R27" i="56"/>
  <c r="S27" i="56"/>
  <c r="T27" i="56"/>
  <c r="U27" i="56"/>
  <c r="V27" i="56"/>
  <c r="W27" i="56"/>
  <c r="X27" i="56"/>
  <c r="Y27" i="56"/>
  <c r="Z27" i="56"/>
  <c r="AA27" i="56"/>
  <c r="AB27" i="56"/>
  <c r="AC27" i="56"/>
  <c r="AD27" i="56"/>
  <c r="AE27" i="56"/>
  <c r="AF27" i="56"/>
  <c r="AG27" i="56"/>
  <c r="AH27" i="56"/>
  <c r="AI27" i="56"/>
  <c r="AJ27" i="56"/>
  <c r="AK27" i="56"/>
  <c r="H28" i="56"/>
  <c r="I28" i="56"/>
  <c r="J28" i="56"/>
  <c r="K28" i="56"/>
  <c r="L28" i="56"/>
  <c r="M28" i="56"/>
  <c r="N28" i="56"/>
  <c r="O28" i="56"/>
  <c r="P28" i="56"/>
  <c r="Q28" i="56"/>
  <c r="R28" i="56"/>
  <c r="S28" i="56"/>
  <c r="T28" i="56"/>
  <c r="U28" i="56"/>
  <c r="V28" i="56"/>
  <c r="W28" i="56"/>
  <c r="X28" i="56"/>
  <c r="Y28" i="56"/>
  <c r="Z28" i="56"/>
  <c r="AA28" i="56"/>
  <c r="AB28" i="56"/>
  <c r="AC28" i="56"/>
  <c r="AD28" i="56"/>
  <c r="AE28" i="56"/>
  <c r="AF28" i="56"/>
  <c r="AG28" i="56"/>
  <c r="AH28" i="56"/>
  <c r="AI28" i="56"/>
  <c r="AJ28" i="56"/>
  <c r="AK28" i="56"/>
  <c r="H29" i="56"/>
  <c r="I29" i="56"/>
  <c r="J29" i="56"/>
  <c r="K29" i="56"/>
  <c r="L29" i="56"/>
  <c r="M29" i="56"/>
  <c r="N29" i="56"/>
  <c r="O29" i="56"/>
  <c r="P29" i="56"/>
  <c r="Q29" i="56"/>
  <c r="R29" i="56"/>
  <c r="S29" i="56"/>
  <c r="T29" i="56"/>
  <c r="U29" i="56"/>
  <c r="V29" i="56"/>
  <c r="W29" i="56"/>
  <c r="X29" i="56"/>
  <c r="Y29" i="56"/>
  <c r="Z29" i="56"/>
  <c r="AA29" i="56"/>
  <c r="AB29" i="56"/>
  <c r="AC29" i="56"/>
  <c r="AD29" i="56"/>
  <c r="AE29" i="56"/>
  <c r="AF29" i="56"/>
  <c r="AG29" i="56"/>
  <c r="AH29" i="56"/>
  <c r="AI29" i="56"/>
  <c r="AJ29" i="56"/>
  <c r="AK29" i="56"/>
  <c r="H30" i="56"/>
  <c r="I30" i="56"/>
  <c r="J30" i="56"/>
  <c r="K30" i="56"/>
  <c r="L30" i="56"/>
  <c r="M30" i="56"/>
  <c r="N30" i="56"/>
  <c r="O30" i="56"/>
  <c r="P30" i="56"/>
  <c r="Q30" i="56"/>
  <c r="R30" i="56"/>
  <c r="S30" i="56"/>
  <c r="T30" i="56"/>
  <c r="U30" i="56"/>
  <c r="V30" i="56"/>
  <c r="W30" i="56"/>
  <c r="X30" i="56"/>
  <c r="Y30" i="56"/>
  <c r="Z30" i="56"/>
  <c r="AA30" i="56"/>
  <c r="AB30" i="56"/>
  <c r="AC30" i="56"/>
  <c r="AD30" i="56"/>
  <c r="AE30" i="56"/>
  <c r="AF30" i="56"/>
  <c r="AG30" i="56"/>
  <c r="AH30" i="56"/>
  <c r="AI30" i="56"/>
  <c r="AJ30" i="56"/>
  <c r="AK30" i="56"/>
  <c r="H31" i="56"/>
  <c r="I31" i="56"/>
  <c r="J31" i="56"/>
  <c r="K31" i="56"/>
  <c r="L31" i="56"/>
  <c r="M31" i="56"/>
  <c r="N31" i="56"/>
  <c r="O31" i="56"/>
  <c r="P31" i="56"/>
  <c r="Q31" i="56"/>
  <c r="R31" i="56"/>
  <c r="S31" i="56"/>
  <c r="T31" i="56"/>
  <c r="U31" i="56"/>
  <c r="V31" i="56"/>
  <c r="W31" i="56"/>
  <c r="X31" i="56"/>
  <c r="Y31" i="56"/>
  <c r="Z31" i="56"/>
  <c r="AA31" i="56"/>
  <c r="AB31" i="56"/>
  <c r="AC31" i="56"/>
  <c r="AD31" i="56"/>
  <c r="AE31" i="56"/>
  <c r="AF31" i="56"/>
  <c r="AG31" i="56"/>
  <c r="AH31" i="56"/>
  <c r="AI31" i="56"/>
  <c r="AJ31" i="56"/>
  <c r="AK31" i="56"/>
  <c r="H32" i="56"/>
  <c r="I32" i="56"/>
  <c r="J32" i="56"/>
  <c r="K32" i="56"/>
  <c r="L32" i="56"/>
  <c r="M32" i="56"/>
  <c r="N32" i="56"/>
  <c r="O32" i="56"/>
  <c r="P32" i="56"/>
  <c r="Q32" i="56"/>
  <c r="R32" i="56"/>
  <c r="S32" i="56"/>
  <c r="T32" i="56"/>
  <c r="U32" i="56"/>
  <c r="V32" i="56"/>
  <c r="W32" i="56"/>
  <c r="X32" i="56"/>
  <c r="Y32" i="56"/>
  <c r="Z32" i="56"/>
  <c r="AA32" i="56"/>
  <c r="AB32" i="56"/>
  <c r="AC32" i="56"/>
  <c r="AD32" i="56"/>
  <c r="AE32" i="56"/>
  <c r="AF32" i="56"/>
  <c r="AG32" i="56"/>
  <c r="AH32" i="56"/>
  <c r="AI32" i="56"/>
  <c r="AJ32" i="56"/>
  <c r="AK32" i="56"/>
  <c r="H33" i="56"/>
  <c r="I33" i="56"/>
  <c r="J33" i="56"/>
  <c r="K33" i="56"/>
  <c r="L33" i="56"/>
  <c r="M33" i="56"/>
  <c r="N33" i="56"/>
  <c r="O33" i="56"/>
  <c r="P33" i="56"/>
  <c r="Q33" i="56"/>
  <c r="R33" i="56"/>
  <c r="S33" i="56"/>
  <c r="T33" i="56"/>
  <c r="U33" i="56"/>
  <c r="V33" i="56"/>
  <c r="W33" i="56"/>
  <c r="X33" i="56"/>
  <c r="Y33" i="56"/>
  <c r="Z33" i="56"/>
  <c r="AA33" i="56"/>
  <c r="AB33" i="56"/>
  <c r="AC33" i="56"/>
  <c r="AD33" i="56"/>
  <c r="AE33" i="56"/>
  <c r="AF33" i="56"/>
  <c r="AG33" i="56"/>
  <c r="AH33" i="56"/>
  <c r="AI33" i="56"/>
  <c r="AJ33" i="56"/>
  <c r="AK33" i="56"/>
  <c r="H34" i="56"/>
  <c r="I34" i="56"/>
  <c r="J34" i="56"/>
  <c r="K34" i="56"/>
  <c r="L34" i="56"/>
  <c r="M34" i="56"/>
  <c r="N34" i="56"/>
  <c r="O34" i="56"/>
  <c r="P34" i="56"/>
  <c r="Q34" i="56"/>
  <c r="R34" i="56"/>
  <c r="S34" i="56"/>
  <c r="T34" i="56"/>
  <c r="U34" i="56"/>
  <c r="V34" i="56"/>
  <c r="W34" i="56"/>
  <c r="X34" i="56"/>
  <c r="Y34" i="56"/>
  <c r="Z34" i="56"/>
  <c r="AA34" i="56"/>
  <c r="AB34" i="56"/>
  <c r="AC34" i="56"/>
  <c r="AD34" i="56"/>
  <c r="AE34" i="56"/>
  <c r="AF34" i="56"/>
  <c r="AG34" i="56"/>
  <c r="AH34" i="56"/>
  <c r="AI34" i="56"/>
  <c r="AJ34" i="56"/>
  <c r="AK34" i="56"/>
  <c r="H35" i="56"/>
  <c r="I35" i="56"/>
  <c r="J35" i="56"/>
  <c r="K35" i="56"/>
  <c r="L35" i="56"/>
  <c r="M35" i="56"/>
  <c r="N35" i="56"/>
  <c r="O35" i="56"/>
  <c r="P35" i="56"/>
  <c r="Q35" i="56"/>
  <c r="R35" i="56"/>
  <c r="S35" i="56"/>
  <c r="T35" i="56"/>
  <c r="U35" i="56"/>
  <c r="V35" i="56"/>
  <c r="W35" i="56"/>
  <c r="X35" i="56"/>
  <c r="Y35" i="56"/>
  <c r="Z35" i="56"/>
  <c r="AA35" i="56"/>
  <c r="AB35" i="56"/>
  <c r="AC35" i="56"/>
  <c r="AD35" i="56"/>
  <c r="AE35" i="56"/>
  <c r="AF35" i="56"/>
  <c r="AG35" i="56"/>
  <c r="AH35" i="56"/>
  <c r="AI35" i="56"/>
  <c r="AJ35" i="56"/>
  <c r="AK35" i="56"/>
  <c r="H36" i="56"/>
  <c r="I36" i="56"/>
  <c r="J36" i="56"/>
  <c r="K36" i="56"/>
  <c r="L36" i="56"/>
  <c r="M36" i="56"/>
  <c r="N36" i="56"/>
  <c r="O36" i="56"/>
  <c r="P36" i="56"/>
  <c r="Q36" i="56"/>
  <c r="R36" i="56"/>
  <c r="S36" i="56"/>
  <c r="T36" i="56"/>
  <c r="U36" i="56"/>
  <c r="V36" i="56"/>
  <c r="W36" i="56"/>
  <c r="X36" i="56"/>
  <c r="Y36" i="56"/>
  <c r="Z36" i="56"/>
  <c r="AA36" i="56"/>
  <c r="AB36" i="56"/>
  <c r="AC36" i="56"/>
  <c r="AD36" i="56"/>
  <c r="AE36" i="56"/>
  <c r="AF36" i="56"/>
  <c r="AG36" i="56"/>
  <c r="AH36" i="56"/>
  <c r="AI36" i="56"/>
  <c r="AJ36" i="56"/>
  <c r="AK36" i="56"/>
  <c r="H37" i="56"/>
  <c r="I37" i="56"/>
  <c r="J37" i="56"/>
  <c r="K37" i="56"/>
  <c r="L37" i="56"/>
  <c r="M37" i="56"/>
  <c r="N37" i="56"/>
  <c r="O37" i="56"/>
  <c r="P37" i="56"/>
  <c r="Q37" i="56"/>
  <c r="R37" i="56"/>
  <c r="S37" i="56"/>
  <c r="T37" i="56"/>
  <c r="U37" i="56"/>
  <c r="V37" i="56"/>
  <c r="W37" i="56"/>
  <c r="X37" i="56"/>
  <c r="Y37" i="56"/>
  <c r="Z37" i="56"/>
  <c r="AA37" i="56"/>
  <c r="AB37" i="56"/>
  <c r="AC37" i="56"/>
  <c r="AD37" i="56"/>
  <c r="AE37" i="56"/>
  <c r="AF37" i="56"/>
  <c r="AG37" i="56"/>
  <c r="AH37" i="56"/>
  <c r="AI37" i="56"/>
  <c r="AJ37" i="56"/>
  <c r="AK37" i="56"/>
  <c r="H38" i="56"/>
  <c r="I38" i="56"/>
  <c r="J38" i="56"/>
  <c r="K38" i="56"/>
  <c r="L38" i="56"/>
  <c r="M38" i="56"/>
  <c r="N38" i="56"/>
  <c r="O38" i="56"/>
  <c r="P38" i="56"/>
  <c r="Q38" i="56"/>
  <c r="R38" i="56"/>
  <c r="S38" i="56"/>
  <c r="T38" i="56"/>
  <c r="U38" i="56"/>
  <c r="V38" i="56"/>
  <c r="W38" i="56"/>
  <c r="X38" i="56"/>
  <c r="Y38" i="56"/>
  <c r="Z38" i="56"/>
  <c r="AA38" i="56"/>
  <c r="AB38" i="56"/>
  <c r="AC38" i="56"/>
  <c r="AD38" i="56"/>
  <c r="AE38" i="56"/>
  <c r="AF38" i="56"/>
  <c r="AG38" i="56"/>
  <c r="AH38" i="56"/>
  <c r="AI38" i="56"/>
  <c r="AJ38" i="56"/>
  <c r="AK38" i="56"/>
  <c r="H39" i="56"/>
  <c r="I39" i="56"/>
  <c r="J39" i="56"/>
  <c r="K39" i="56"/>
  <c r="L39" i="56"/>
  <c r="M39" i="56"/>
  <c r="N39" i="56"/>
  <c r="O39" i="56"/>
  <c r="P39" i="56"/>
  <c r="Q39" i="56"/>
  <c r="R39" i="56"/>
  <c r="S39" i="56"/>
  <c r="T39" i="56"/>
  <c r="U39" i="56"/>
  <c r="V39" i="56"/>
  <c r="W39" i="56"/>
  <c r="X39" i="56"/>
  <c r="Y39" i="56"/>
  <c r="Z39" i="56"/>
  <c r="AA39" i="56"/>
  <c r="AB39" i="56"/>
  <c r="AC39" i="56"/>
  <c r="AD39" i="56"/>
  <c r="AE39" i="56"/>
  <c r="AF39" i="56"/>
  <c r="AG39" i="56"/>
  <c r="AH39" i="56"/>
  <c r="AI39" i="56"/>
  <c r="AJ39" i="56"/>
  <c r="AK39" i="56"/>
  <c r="H40" i="56"/>
  <c r="I40" i="56"/>
  <c r="J40" i="56"/>
  <c r="K40" i="56"/>
  <c r="L40" i="56"/>
  <c r="M40" i="56"/>
  <c r="N40" i="56"/>
  <c r="O40" i="56"/>
  <c r="P40" i="56"/>
  <c r="Q40" i="56"/>
  <c r="R40" i="56"/>
  <c r="S40" i="56"/>
  <c r="T40" i="56"/>
  <c r="U40" i="56"/>
  <c r="V40" i="56"/>
  <c r="W40" i="56"/>
  <c r="X40" i="56"/>
  <c r="Y40" i="56"/>
  <c r="Z40" i="56"/>
  <c r="AA40" i="56"/>
  <c r="AB40" i="56"/>
  <c r="AC40" i="56"/>
  <c r="AD40" i="56"/>
  <c r="AE40" i="56"/>
  <c r="AF40" i="56"/>
  <c r="AG40" i="56"/>
  <c r="AH40" i="56"/>
  <c r="AI40" i="56"/>
  <c r="AJ40" i="56"/>
  <c r="AK40" i="56"/>
  <c r="H41" i="56"/>
  <c r="I41" i="56"/>
  <c r="J41" i="56"/>
  <c r="K41" i="56"/>
  <c r="L41" i="56"/>
  <c r="M41" i="56"/>
  <c r="N41" i="56"/>
  <c r="O41" i="56"/>
  <c r="P41" i="56"/>
  <c r="Q41" i="56"/>
  <c r="R41" i="56"/>
  <c r="S41" i="56"/>
  <c r="T41" i="56"/>
  <c r="U41" i="56"/>
  <c r="V41" i="56"/>
  <c r="W41" i="56"/>
  <c r="X41" i="56"/>
  <c r="Y41" i="56"/>
  <c r="Z41" i="56"/>
  <c r="AA41" i="56"/>
  <c r="AB41" i="56"/>
  <c r="AC41" i="56"/>
  <c r="AD41" i="56"/>
  <c r="AE41" i="56"/>
  <c r="AF41" i="56"/>
  <c r="AG41" i="56"/>
  <c r="AH41" i="56"/>
  <c r="AI41" i="56"/>
  <c r="AJ41" i="56"/>
  <c r="AK41" i="56"/>
  <c r="H42" i="56"/>
  <c r="I42" i="56"/>
  <c r="J42" i="56"/>
  <c r="K42" i="56"/>
  <c r="L42" i="56"/>
  <c r="M42" i="56"/>
  <c r="N42" i="56"/>
  <c r="O42" i="56"/>
  <c r="P42" i="56"/>
  <c r="Q42" i="56"/>
  <c r="R42" i="56"/>
  <c r="S42" i="56"/>
  <c r="T42" i="56"/>
  <c r="U42" i="56"/>
  <c r="V42" i="56"/>
  <c r="W42" i="56"/>
  <c r="X42" i="56"/>
  <c r="Y42" i="56"/>
  <c r="Z42" i="56"/>
  <c r="AA42" i="56"/>
  <c r="AB42" i="56"/>
  <c r="AC42" i="56"/>
  <c r="AD42" i="56"/>
  <c r="AE42" i="56"/>
  <c r="AF42" i="56"/>
  <c r="AG42" i="56"/>
  <c r="AH42" i="56"/>
  <c r="AI42" i="56"/>
  <c r="AJ42" i="56"/>
  <c r="AK42" i="56"/>
  <c r="H43" i="56"/>
  <c r="I43" i="56"/>
  <c r="J43" i="56"/>
  <c r="K43" i="56"/>
  <c r="L43" i="56"/>
  <c r="M43" i="56"/>
  <c r="N43" i="56"/>
  <c r="O43" i="56"/>
  <c r="P43" i="56"/>
  <c r="Q43" i="56"/>
  <c r="R43" i="56"/>
  <c r="S43" i="56"/>
  <c r="T43" i="56"/>
  <c r="U43" i="56"/>
  <c r="V43" i="56"/>
  <c r="W43" i="56"/>
  <c r="X43" i="56"/>
  <c r="Y43" i="56"/>
  <c r="Z43" i="56"/>
  <c r="AA43" i="56"/>
  <c r="AB43" i="56"/>
  <c r="AC43" i="56"/>
  <c r="AD43" i="56"/>
  <c r="AE43" i="56"/>
  <c r="AF43" i="56"/>
  <c r="AG43" i="56"/>
  <c r="AH43" i="56"/>
  <c r="AI43" i="56"/>
  <c r="AJ43" i="56"/>
  <c r="AK43" i="56"/>
  <c r="H44" i="56"/>
  <c r="I44" i="56"/>
  <c r="J44" i="56"/>
  <c r="K44" i="56"/>
  <c r="L44" i="56"/>
  <c r="M44" i="56"/>
  <c r="N44" i="56"/>
  <c r="O44" i="56"/>
  <c r="P44" i="56"/>
  <c r="Q44" i="56"/>
  <c r="R44" i="56"/>
  <c r="S44" i="56"/>
  <c r="T44" i="56"/>
  <c r="U44" i="56"/>
  <c r="V44" i="56"/>
  <c r="W44" i="56"/>
  <c r="X44" i="56"/>
  <c r="Y44" i="56"/>
  <c r="Z44" i="56"/>
  <c r="AA44" i="56"/>
  <c r="AB44" i="56"/>
  <c r="AC44" i="56"/>
  <c r="AD44" i="56"/>
  <c r="AE44" i="56"/>
  <c r="AF44" i="56"/>
  <c r="AG44" i="56"/>
  <c r="AH44" i="56"/>
  <c r="AI44" i="56"/>
  <c r="AJ44" i="56"/>
  <c r="AK44" i="56"/>
  <c r="H45" i="56"/>
  <c r="I45" i="56"/>
  <c r="J45" i="56"/>
  <c r="K45" i="56"/>
  <c r="L45" i="56"/>
  <c r="M45" i="56"/>
  <c r="N45" i="56"/>
  <c r="O45" i="56"/>
  <c r="BG45" i="56" s="1"/>
  <c r="P45" i="56"/>
  <c r="Q45" i="56"/>
  <c r="R45" i="56"/>
  <c r="S45" i="56"/>
  <c r="T45" i="56"/>
  <c r="U45" i="56"/>
  <c r="V45" i="56"/>
  <c r="W45" i="56"/>
  <c r="X45" i="56"/>
  <c r="Y45" i="56"/>
  <c r="Z45" i="56"/>
  <c r="AA45" i="56"/>
  <c r="AB45" i="56"/>
  <c r="AC45" i="56"/>
  <c r="AD45" i="56"/>
  <c r="AE45" i="56"/>
  <c r="AF45" i="56"/>
  <c r="AG45" i="56"/>
  <c r="AH45" i="56"/>
  <c r="AI45" i="56"/>
  <c r="AJ45" i="56"/>
  <c r="AK45" i="56"/>
  <c r="H46" i="56"/>
  <c r="I46" i="56"/>
  <c r="J46" i="56"/>
  <c r="K46" i="56"/>
  <c r="L46" i="56"/>
  <c r="M46" i="56"/>
  <c r="BF46" i="56" s="1"/>
  <c r="N46" i="56"/>
  <c r="O46" i="56"/>
  <c r="P46" i="56"/>
  <c r="Q46" i="56"/>
  <c r="BG46" i="56" s="1"/>
  <c r="R46" i="56"/>
  <c r="S46" i="56"/>
  <c r="T46" i="56"/>
  <c r="U46" i="56"/>
  <c r="V46" i="56"/>
  <c r="W46" i="56"/>
  <c r="X46" i="56"/>
  <c r="Y46" i="56"/>
  <c r="Z46" i="56"/>
  <c r="AA46" i="56"/>
  <c r="AB46" i="56"/>
  <c r="AC46" i="56"/>
  <c r="AD46" i="56"/>
  <c r="AE46" i="56"/>
  <c r="AF46" i="56"/>
  <c r="AG46" i="56"/>
  <c r="AH46" i="56"/>
  <c r="AI46" i="56"/>
  <c r="AJ46" i="56"/>
  <c r="AK46" i="56"/>
  <c r="H47" i="56"/>
  <c r="I47" i="56"/>
  <c r="J47" i="56"/>
  <c r="K47" i="56"/>
  <c r="BF47" i="56" s="1"/>
  <c r="L47" i="56"/>
  <c r="M47" i="56"/>
  <c r="N47" i="56"/>
  <c r="O47" i="56"/>
  <c r="BG47" i="56" s="1"/>
  <c r="P47" i="56"/>
  <c r="Q47" i="56"/>
  <c r="R47" i="56"/>
  <c r="S47" i="56"/>
  <c r="T47" i="56"/>
  <c r="U47" i="56"/>
  <c r="V47" i="56"/>
  <c r="W47" i="56"/>
  <c r="X47" i="56"/>
  <c r="Y47" i="56"/>
  <c r="Z47" i="56"/>
  <c r="AA47" i="56"/>
  <c r="AB47" i="56"/>
  <c r="AC47" i="56"/>
  <c r="AD47" i="56"/>
  <c r="AE47" i="56"/>
  <c r="AF47" i="56"/>
  <c r="AG47" i="56"/>
  <c r="AH47" i="56"/>
  <c r="AI47" i="56"/>
  <c r="AJ47" i="56"/>
  <c r="AK47" i="56"/>
  <c r="H48" i="56"/>
  <c r="I48" i="56"/>
  <c r="J48" i="56"/>
  <c r="K48" i="56"/>
  <c r="L48" i="56"/>
  <c r="M48" i="56"/>
  <c r="BF48" i="56" s="1"/>
  <c r="N48" i="56"/>
  <c r="O48" i="56"/>
  <c r="P48" i="56"/>
  <c r="Q48" i="56"/>
  <c r="BG48" i="56" s="1"/>
  <c r="R48" i="56"/>
  <c r="S48" i="56"/>
  <c r="T48" i="56"/>
  <c r="U48" i="56"/>
  <c r="V48" i="56"/>
  <c r="W48" i="56"/>
  <c r="X48" i="56"/>
  <c r="Y48" i="56"/>
  <c r="Z48" i="56"/>
  <c r="AA48" i="56"/>
  <c r="AB48" i="56"/>
  <c r="AC48" i="56"/>
  <c r="AD48" i="56"/>
  <c r="AE48" i="56"/>
  <c r="AF48" i="56"/>
  <c r="AG48" i="56"/>
  <c r="AH48" i="56"/>
  <c r="AI48" i="56"/>
  <c r="AJ48" i="56"/>
  <c r="AK48" i="56"/>
  <c r="H49" i="56"/>
  <c r="I49" i="56"/>
  <c r="J49" i="56"/>
  <c r="K49" i="56"/>
  <c r="BF49" i="56" s="1"/>
  <c r="L49" i="56"/>
  <c r="M49" i="56"/>
  <c r="N49" i="56"/>
  <c r="O49" i="56"/>
  <c r="BG49" i="56" s="1"/>
  <c r="P49" i="56"/>
  <c r="Q49" i="56"/>
  <c r="R49" i="56"/>
  <c r="S49" i="56"/>
  <c r="T49" i="56"/>
  <c r="U49" i="56"/>
  <c r="V49" i="56"/>
  <c r="W49" i="56"/>
  <c r="X49" i="56"/>
  <c r="Y49" i="56"/>
  <c r="Z49" i="56"/>
  <c r="AA49" i="56"/>
  <c r="AB49" i="56"/>
  <c r="AC49" i="56"/>
  <c r="AD49" i="56"/>
  <c r="AE49" i="56"/>
  <c r="AF49" i="56"/>
  <c r="AG49" i="56"/>
  <c r="AH49" i="56"/>
  <c r="AI49" i="56"/>
  <c r="AJ49" i="56"/>
  <c r="AK49" i="56"/>
  <c r="H50" i="56"/>
  <c r="I50" i="56"/>
  <c r="J50" i="56"/>
  <c r="K50" i="56"/>
  <c r="L50" i="56"/>
  <c r="M50" i="56"/>
  <c r="N50" i="56"/>
  <c r="O50" i="56"/>
  <c r="P50" i="56"/>
  <c r="Q50" i="56"/>
  <c r="R50" i="56"/>
  <c r="S50" i="56"/>
  <c r="T50" i="56"/>
  <c r="U50" i="56"/>
  <c r="V50" i="56"/>
  <c r="W50" i="56"/>
  <c r="X50" i="56"/>
  <c r="Y50" i="56"/>
  <c r="Z50" i="56"/>
  <c r="AA50" i="56"/>
  <c r="AB50" i="56"/>
  <c r="AC50" i="56"/>
  <c r="AD50" i="56"/>
  <c r="AE50" i="56"/>
  <c r="AF50" i="56"/>
  <c r="AG50" i="56"/>
  <c r="AH50" i="56"/>
  <c r="AI50" i="56"/>
  <c r="AJ50" i="56"/>
  <c r="AK50" i="56"/>
  <c r="AM6" i="56"/>
  <c r="AN6" i="56"/>
  <c r="AO6" i="56"/>
  <c r="AM7" i="56"/>
  <c r="AN7" i="56"/>
  <c r="AO7" i="56"/>
  <c r="AM8" i="56"/>
  <c r="AV52" i="47" s="1"/>
  <c r="AN8" i="56"/>
  <c r="AO8" i="56"/>
  <c r="AM9" i="56"/>
  <c r="AN9" i="56"/>
  <c r="AO9" i="56"/>
  <c r="AM10" i="56"/>
  <c r="AN10" i="56"/>
  <c r="AO10" i="56"/>
  <c r="AM11" i="56"/>
  <c r="AV73" i="47" s="1"/>
  <c r="AN11" i="56"/>
  <c r="AO11" i="56"/>
  <c r="AM12" i="56"/>
  <c r="AN12" i="56"/>
  <c r="AO12" i="56"/>
  <c r="AM13" i="56"/>
  <c r="AN13" i="56"/>
  <c r="AO13" i="56"/>
  <c r="AM14" i="56"/>
  <c r="AN14" i="56"/>
  <c r="AO14" i="56"/>
  <c r="AM15" i="56"/>
  <c r="AN15" i="56"/>
  <c r="AO15" i="56"/>
  <c r="AM16" i="56"/>
  <c r="AN16" i="56"/>
  <c r="AO16" i="56"/>
  <c r="AM17" i="56"/>
  <c r="AN17" i="56"/>
  <c r="AO17" i="56"/>
  <c r="AM18" i="56"/>
  <c r="AN18" i="56"/>
  <c r="AO18" i="56"/>
  <c r="AM19" i="56"/>
  <c r="AN19" i="56"/>
  <c r="AO19" i="56"/>
  <c r="AM20" i="56"/>
  <c r="AN20" i="56"/>
  <c r="AO20" i="56"/>
  <c r="AM21" i="56"/>
  <c r="AN21" i="56"/>
  <c r="AO21" i="56"/>
  <c r="AM22" i="56"/>
  <c r="AN22" i="56"/>
  <c r="AO22" i="56"/>
  <c r="AM23" i="56"/>
  <c r="AN23" i="56"/>
  <c r="AO23" i="56"/>
  <c r="AM24" i="56"/>
  <c r="AN24" i="56"/>
  <c r="AO24" i="56"/>
  <c r="AM25" i="56"/>
  <c r="AN25" i="56"/>
  <c r="AO25" i="56"/>
  <c r="AM26" i="56"/>
  <c r="AN26" i="56"/>
  <c r="AO26" i="56"/>
  <c r="AM27" i="56"/>
  <c r="AN27" i="56"/>
  <c r="AO27" i="56"/>
  <c r="AM28" i="56"/>
  <c r="AN28" i="56"/>
  <c r="AO28" i="56"/>
  <c r="AM29" i="56"/>
  <c r="AN29" i="56"/>
  <c r="AO29" i="56"/>
  <c r="AM30" i="56"/>
  <c r="AN30" i="56"/>
  <c r="AO30" i="56"/>
  <c r="AM31" i="56"/>
  <c r="AN31" i="56"/>
  <c r="AO31" i="56"/>
  <c r="AM32" i="56"/>
  <c r="AN32" i="56"/>
  <c r="AO32" i="56"/>
  <c r="AM33" i="56"/>
  <c r="AN33" i="56"/>
  <c r="AO33" i="56"/>
  <c r="AM34" i="56"/>
  <c r="AN34" i="56"/>
  <c r="AO34" i="56"/>
  <c r="AM35" i="56"/>
  <c r="AN35" i="56"/>
  <c r="AO35" i="56"/>
  <c r="AM36" i="56"/>
  <c r="AN36" i="56"/>
  <c r="AO36" i="56"/>
  <c r="AM37" i="56"/>
  <c r="AN37" i="56"/>
  <c r="AO37" i="56"/>
  <c r="AM38" i="56"/>
  <c r="AN38" i="56"/>
  <c r="AO38" i="56"/>
  <c r="AM39" i="56"/>
  <c r="AN39" i="56"/>
  <c r="AO39" i="56"/>
  <c r="AM40" i="56"/>
  <c r="AN40" i="56"/>
  <c r="AO40" i="56"/>
  <c r="AM41" i="56"/>
  <c r="AN41" i="56"/>
  <c r="AO41" i="56"/>
  <c r="AM42" i="56"/>
  <c r="AN42" i="56"/>
  <c r="AO42" i="56"/>
  <c r="AM43" i="56"/>
  <c r="AN43" i="56"/>
  <c r="AO43" i="56"/>
  <c r="AM44" i="56"/>
  <c r="AN44" i="56"/>
  <c r="AO44" i="56"/>
  <c r="AM45" i="56"/>
  <c r="AN45" i="56"/>
  <c r="AO45" i="56"/>
  <c r="AM46" i="56"/>
  <c r="AN46" i="56"/>
  <c r="AO46" i="56"/>
  <c r="AM47" i="56"/>
  <c r="AN47" i="56"/>
  <c r="AO47" i="56"/>
  <c r="AM48" i="56"/>
  <c r="AN48" i="56"/>
  <c r="AO48" i="56"/>
  <c r="AM49" i="56"/>
  <c r="AN49" i="56"/>
  <c r="AO49" i="56"/>
  <c r="AM50" i="56"/>
  <c r="AN50" i="56"/>
  <c r="AO50" i="56"/>
  <c r="C7" i="56"/>
  <c r="D7" i="56"/>
  <c r="E7" i="56"/>
  <c r="AQ8" i="56"/>
  <c r="AR8" i="56"/>
  <c r="AS8" i="56"/>
  <c r="AQ9" i="56"/>
  <c r="AR9" i="56"/>
  <c r="AS9" i="56"/>
  <c r="AQ10" i="56"/>
  <c r="AR10" i="56"/>
  <c r="AS10" i="56"/>
  <c r="AQ11" i="56"/>
  <c r="AR11" i="56"/>
  <c r="AS11" i="56"/>
  <c r="AQ12" i="56"/>
  <c r="AR12" i="56"/>
  <c r="AS12" i="56"/>
  <c r="AQ13" i="56"/>
  <c r="AR13" i="56"/>
  <c r="AS13" i="56"/>
  <c r="AQ14" i="56"/>
  <c r="AR14" i="56"/>
  <c r="AS14" i="56"/>
  <c r="AQ15" i="56"/>
  <c r="AR15" i="56"/>
  <c r="AS15" i="56"/>
  <c r="AQ16" i="56"/>
  <c r="AR16" i="56"/>
  <c r="AS16" i="56"/>
  <c r="AQ17" i="56"/>
  <c r="AR17" i="56"/>
  <c r="AS17" i="56"/>
  <c r="AQ18" i="56"/>
  <c r="AR18" i="56"/>
  <c r="AS18" i="56"/>
  <c r="AQ19" i="56"/>
  <c r="AR19" i="56"/>
  <c r="AS19" i="56"/>
  <c r="AQ20" i="56"/>
  <c r="AR20" i="56"/>
  <c r="AS20" i="56"/>
  <c r="AQ21" i="56"/>
  <c r="AR21" i="56"/>
  <c r="AS21" i="56"/>
  <c r="AQ22" i="56"/>
  <c r="AR22" i="56"/>
  <c r="AS22" i="56"/>
  <c r="AQ23" i="56"/>
  <c r="AR23" i="56"/>
  <c r="AS23" i="56"/>
  <c r="AQ24" i="56"/>
  <c r="AR24" i="56"/>
  <c r="AS24" i="56"/>
  <c r="AQ25" i="56"/>
  <c r="AR25" i="56"/>
  <c r="AS25" i="56"/>
  <c r="AQ26" i="56"/>
  <c r="AR26" i="56"/>
  <c r="AS26" i="56"/>
  <c r="AQ27" i="56"/>
  <c r="AR27" i="56"/>
  <c r="AS27" i="56"/>
  <c r="AQ28" i="56"/>
  <c r="AR28" i="56"/>
  <c r="AS28" i="56"/>
  <c r="AQ29" i="56"/>
  <c r="AR29" i="56"/>
  <c r="AS29" i="56"/>
  <c r="AQ30" i="56"/>
  <c r="AR30" i="56"/>
  <c r="AS30" i="56"/>
  <c r="AQ31" i="56"/>
  <c r="AR31" i="56"/>
  <c r="AS31" i="56"/>
  <c r="AQ32" i="56"/>
  <c r="AR32" i="56"/>
  <c r="AS32" i="56"/>
  <c r="AQ33" i="56"/>
  <c r="AR33" i="56"/>
  <c r="AS33" i="56"/>
  <c r="AQ34" i="56"/>
  <c r="AR34" i="56"/>
  <c r="AS34" i="56"/>
  <c r="AQ35" i="56"/>
  <c r="AR35" i="56"/>
  <c r="AS35" i="56"/>
  <c r="AQ36" i="56"/>
  <c r="AR36" i="56"/>
  <c r="AS36" i="56"/>
  <c r="AQ37" i="56"/>
  <c r="AR37" i="56"/>
  <c r="AS37" i="56"/>
  <c r="AQ38" i="56"/>
  <c r="AR38" i="56"/>
  <c r="AS38" i="56"/>
  <c r="AQ39" i="56"/>
  <c r="AR39" i="56"/>
  <c r="AS39" i="56"/>
  <c r="AQ40" i="56"/>
  <c r="AR40" i="56"/>
  <c r="AS40" i="56"/>
  <c r="AQ41" i="56"/>
  <c r="AR41" i="56"/>
  <c r="AS41" i="56"/>
  <c r="AQ42" i="56"/>
  <c r="AR42" i="56"/>
  <c r="AS42" i="56"/>
  <c r="AQ43" i="56"/>
  <c r="AR43" i="56"/>
  <c r="AS43" i="56"/>
  <c r="AQ44" i="56"/>
  <c r="AR44" i="56"/>
  <c r="AS44" i="56"/>
  <c r="AQ45" i="56"/>
  <c r="AR45" i="56"/>
  <c r="AS45" i="56"/>
  <c r="AQ46" i="56"/>
  <c r="AR46" i="56"/>
  <c r="AS46" i="56"/>
  <c r="AQ47" i="56"/>
  <c r="AR47" i="56"/>
  <c r="AS47" i="56"/>
  <c r="AQ48" i="56"/>
  <c r="AR48" i="56"/>
  <c r="AS48" i="56"/>
  <c r="AQ49" i="56"/>
  <c r="AR49" i="56"/>
  <c r="AS49" i="56"/>
  <c r="AQ50" i="56"/>
  <c r="AR50" i="56"/>
  <c r="AS50" i="56"/>
  <c r="AU8" i="56"/>
  <c r="AV8" i="56"/>
  <c r="AW8" i="56"/>
  <c r="AU9" i="56"/>
  <c r="AV9" i="56"/>
  <c r="AW9" i="56"/>
  <c r="AU10" i="56"/>
  <c r="AV10" i="56"/>
  <c r="AW10" i="56"/>
  <c r="AU11" i="56"/>
  <c r="AV11" i="56"/>
  <c r="AW11" i="56"/>
  <c r="AU12" i="56"/>
  <c r="AV12" i="56"/>
  <c r="AW12" i="56"/>
  <c r="AU13" i="56"/>
  <c r="AV13" i="56"/>
  <c r="AW13" i="56"/>
  <c r="AU14" i="56"/>
  <c r="AV14" i="56"/>
  <c r="AW14" i="56"/>
  <c r="AU15" i="56"/>
  <c r="AV15" i="56"/>
  <c r="AW15" i="56"/>
  <c r="AU16" i="56"/>
  <c r="AV16" i="56"/>
  <c r="AW16" i="56"/>
  <c r="AU17" i="56"/>
  <c r="AV17" i="56"/>
  <c r="AW17" i="56"/>
  <c r="AU18" i="56"/>
  <c r="AV18" i="56"/>
  <c r="AW18" i="56"/>
  <c r="AU19" i="56"/>
  <c r="AV19" i="56"/>
  <c r="AW19" i="56"/>
  <c r="AU20" i="56"/>
  <c r="AV20" i="56"/>
  <c r="AW20" i="56"/>
  <c r="AU21" i="56"/>
  <c r="AV21" i="56"/>
  <c r="AW21" i="56"/>
  <c r="AU22" i="56"/>
  <c r="AV22" i="56"/>
  <c r="AW22" i="56"/>
  <c r="AU23" i="56"/>
  <c r="AV23" i="56"/>
  <c r="AW23" i="56"/>
  <c r="AU24" i="56"/>
  <c r="AV24" i="56"/>
  <c r="AW24" i="56"/>
  <c r="AU25" i="56"/>
  <c r="AV25" i="56"/>
  <c r="AW25" i="56"/>
  <c r="AU26" i="56"/>
  <c r="AV26" i="56"/>
  <c r="AW26" i="56"/>
  <c r="AU27" i="56"/>
  <c r="AV27" i="56"/>
  <c r="AW27" i="56"/>
  <c r="AU28" i="56"/>
  <c r="AV28" i="56"/>
  <c r="AW28" i="56"/>
  <c r="AU29" i="56"/>
  <c r="AV29" i="56"/>
  <c r="AW29" i="56"/>
  <c r="AU30" i="56"/>
  <c r="AV30" i="56"/>
  <c r="AW30" i="56"/>
  <c r="AU31" i="56"/>
  <c r="AV31" i="56"/>
  <c r="AW31" i="56"/>
  <c r="AU32" i="56"/>
  <c r="AV32" i="56"/>
  <c r="AW32" i="56"/>
  <c r="AU33" i="56"/>
  <c r="AV33" i="56"/>
  <c r="AW33" i="56"/>
  <c r="AU34" i="56"/>
  <c r="AV34" i="56"/>
  <c r="AW34" i="56"/>
  <c r="AU35" i="56"/>
  <c r="AV35" i="56"/>
  <c r="AW35" i="56"/>
  <c r="AU36" i="56"/>
  <c r="AV36" i="56"/>
  <c r="AW36" i="56"/>
  <c r="AU37" i="56"/>
  <c r="AV37" i="56"/>
  <c r="AW37" i="56"/>
  <c r="AU38" i="56"/>
  <c r="AV38" i="56"/>
  <c r="AW38" i="56"/>
  <c r="AU39" i="56"/>
  <c r="AV39" i="56"/>
  <c r="AW39" i="56"/>
  <c r="AU40" i="56"/>
  <c r="AV40" i="56"/>
  <c r="AW40" i="56"/>
  <c r="AU41" i="56"/>
  <c r="AV41" i="56"/>
  <c r="AW41" i="56"/>
  <c r="AU42" i="56"/>
  <c r="AV42" i="56"/>
  <c r="AW42" i="56"/>
  <c r="AU43" i="56"/>
  <c r="AV43" i="56"/>
  <c r="AW43" i="56"/>
  <c r="AU44" i="56"/>
  <c r="AV44" i="56"/>
  <c r="AW44" i="56"/>
  <c r="AU45" i="56"/>
  <c r="AV45" i="56"/>
  <c r="AW45" i="56"/>
  <c r="AU46" i="56"/>
  <c r="AV46" i="56"/>
  <c r="AW46" i="56"/>
  <c r="AU47" i="56"/>
  <c r="AV47" i="56"/>
  <c r="AW47" i="56"/>
  <c r="AU48" i="56"/>
  <c r="AV48" i="56"/>
  <c r="AW48" i="56"/>
  <c r="AU49" i="56"/>
  <c r="AV49" i="56"/>
  <c r="AW49" i="56"/>
  <c r="AU50" i="56"/>
  <c r="AV50" i="56"/>
  <c r="AW50" i="56"/>
  <c r="AY8" i="56"/>
  <c r="AZ8" i="56"/>
  <c r="BA8" i="56"/>
  <c r="AY9" i="56"/>
  <c r="AZ9" i="56"/>
  <c r="BA9" i="56"/>
  <c r="AY10" i="56"/>
  <c r="AZ10" i="56"/>
  <c r="BA10" i="56"/>
  <c r="AY11" i="56"/>
  <c r="AZ11" i="56"/>
  <c r="BA11" i="56"/>
  <c r="AY12" i="56"/>
  <c r="AZ12" i="56"/>
  <c r="BA12" i="56"/>
  <c r="AY13" i="56"/>
  <c r="AZ13" i="56"/>
  <c r="BA13" i="56"/>
  <c r="AY14" i="56"/>
  <c r="AZ14" i="56"/>
  <c r="BA14" i="56"/>
  <c r="AY15" i="56"/>
  <c r="AZ15" i="56"/>
  <c r="BA15" i="56"/>
  <c r="AY16" i="56"/>
  <c r="AZ16" i="56"/>
  <c r="BA16" i="56"/>
  <c r="AY17" i="56"/>
  <c r="AZ17" i="56"/>
  <c r="BA17" i="56"/>
  <c r="AY18" i="56"/>
  <c r="AZ18" i="56"/>
  <c r="BA18" i="56"/>
  <c r="AY19" i="56"/>
  <c r="AZ19" i="56"/>
  <c r="BA19" i="56"/>
  <c r="AY25" i="56"/>
  <c r="AZ25" i="56"/>
  <c r="BA25" i="56"/>
  <c r="AY26" i="56"/>
  <c r="AZ26" i="56"/>
  <c r="BA26" i="56"/>
  <c r="AY27" i="56"/>
  <c r="AZ27" i="56"/>
  <c r="BA27" i="56"/>
  <c r="AY28" i="56"/>
  <c r="AZ28" i="56"/>
  <c r="BA28" i="56"/>
  <c r="AY29" i="56"/>
  <c r="AZ29" i="56"/>
  <c r="BA29" i="56"/>
  <c r="AY30" i="56"/>
  <c r="AZ30" i="56"/>
  <c r="BA30" i="56"/>
  <c r="AY31" i="56"/>
  <c r="AZ31" i="56"/>
  <c r="BA31" i="56"/>
  <c r="AY32" i="56"/>
  <c r="AZ32" i="56"/>
  <c r="BA32" i="56"/>
  <c r="AY33" i="56"/>
  <c r="AZ33" i="56"/>
  <c r="BA33" i="56"/>
  <c r="AY34" i="56"/>
  <c r="AZ34" i="56"/>
  <c r="BA34" i="56"/>
  <c r="AY35" i="56"/>
  <c r="AZ35" i="56"/>
  <c r="BA35" i="56"/>
  <c r="AY36" i="56"/>
  <c r="AZ36" i="56"/>
  <c r="BA36" i="56"/>
  <c r="AY37" i="56"/>
  <c r="AZ37" i="56"/>
  <c r="BA37" i="56"/>
  <c r="AY38" i="56"/>
  <c r="AZ38" i="56"/>
  <c r="BA38" i="56"/>
  <c r="AY39" i="56"/>
  <c r="AZ39" i="56"/>
  <c r="BA39" i="56"/>
  <c r="AY40" i="56"/>
  <c r="AZ40" i="56"/>
  <c r="BA40" i="56"/>
  <c r="AY41" i="56"/>
  <c r="AZ41" i="56"/>
  <c r="BA41" i="56"/>
  <c r="AY42" i="56"/>
  <c r="AZ42" i="56"/>
  <c r="BA42" i="56"/>
  <c r="AY43" i="56"/>
  <c r="AZ43" i="56"/>
  <c r="BA43" i="56"/>
  <c r="AY44" i="56"/>
  <c r="AZ44" i="56"/>
  <c r="BA44" i="56"/>
  <c r="AY45" i="56"/>
  <c r="AZ45" i="56"/>
  <c r="BA45" i="56"/>
  <c r="AY46" i="56"/>
  <c r="AZ46" i="56"/>
  <c r="BA46" i="56"/>
  <c r="AY47" i="56"/>
  <c r="AZ47" i="56"/>
  <c r="BA47" i="56"/>
  <c r="AY48" i="56"/>
  <c r="AZ48" i="56"/>
  <c r="BA48" i="56"/>
  <c r="AY49" i="56"/>
  <c r="AZ49" i="56"/>
  <c r="BA49" i="56"/>
  <c r="AY50" i="56"/>
  <c r="AZ50" i="56"/>
  <c r="BA50" i="56"/>
  <c r="BW8" i="56"/>
  <c r="CA40" i="56" s="1"/>
  <c r="BY106" i="56" s="1"/>
  <c r="CI44" i="56"/>
  <c r="CH44" i="56" s="1"/>
  <c r="CG44" i="56" s="1"/>
  <c r="CF44" i="56" s="1"/>
  <c r="CE44" i="56" s="1"/>
  <c r="CD44" i="56" s="1"/>
  <c r="CC44" i="56" s="1"/>
  <c r="CB44" i="56" s="1"/>
  <c r="CK44" i="56"/>
  <c r="CL44" i="56" s="1"/>
  <c r="CM44" i="56" s="1"/>
  <c r="CN44" i="56" s="1"/>
  <c r="CO44" i="56" s="1"/>
  <c r="CP44" i="56" s="1"/>
  <c r="CQ44" i="56" s="1"/>
  <c r="CR44" i="56" s="1"/>
  <c r="CS44" i="56" s="1"/>
  <c r="CT44" i="56" s="1"/>
  <c r="CU44" i="56" s="1"/>
  <c r="CV44" i="56" s="1"/>
  <c r="CW44" i="56" s="1"/>
  <c r="CX44" i="56" s="1"/>
  <c r="CY44" i="56" s="1"/>
  <c r="CZ44" i="56" s="1"/>
  <c r="G6" i="56"/>
  <c r="G7" i="56"/>
  <c r="G8" i="56"/>
  <c r="G9" i="56"/>
  <c r="BE9" i="56" s="1"/>
  <c r="G10" i="56"/>
  <c r="G11" i="56"/>
  <c r="BE11" i="56" s="1"/>
  <c r="G12" i="56"/>
  <c r="G13" i="56"/>
  <c r="G14" i="56"/>
  <c r="G15" i="56"/>
  <c r="G16" i="56"/>
  <c r="G17" i="56"/>
  <c r="BE17" i="56" s="1"/>
  <c r="G18" i="56"/>
  <c r="G19" i="56"/>
  <c r="BE19" i="56" s="1"/>
  <c r="G20" i="56"/>
  <c r="G21" i="56"/>
  <c r="BE21" i="56" s="1"/>
  <c r="G22" i="56"/>
  <c r="G23" i="56"/>
  <c r="BE23" i="56" s="1"/>
  <c r="G24" i="56"/>
  <c r="G25" i="56"/>
  <c r="BE25" i="56" s="1"/>
  <c r="G26" i="56"/>
  <c r="G27" i="56"/>
  <c r="BE27" i="56" s="1"/>
  <c r="G28" i="56"/>
  <c r="G29" i="56"/>
  <c r="BE29" i="56" s="1"/>
  <c r="G30" i="56"/>
  <c r="G31" i="56"/>
  <c r="BE31" i="56" s="1"/>
  <c r="G32" i="56"/>
  <c r="G33" i="56"/>
  <c r="G34" i="56"/>
  <c r="G35" i="56"/>
  <c r="BE35" i="56" s="1"/>
  <c r="G36" i="56"/>
  <c r="G37" i="56"/>
  <c r="BE37" i="56" s="1"/>
  <c r="G38" i="56"/>
  <c r="G39" i="56"/>
  <c r="BE39" i="56" s="1"/>
  <c r="G40" i="56"/>
  <c r="G41" i="56"/>
  <c r="BE41" i="56" s="1"/>
  <c r="G42" i="56"/>
  <c r="G43" i="56"/>
  <c r="BE43" i="56" s="1"/>
  <c r="G44" i="56"/>
  <c r="G45" i="56"/>
  <c r="BE45" i="56" s="1"/>
  <c r="G46" i="56"/>
  <c r="G47" i="56"/>
  <c r="BE47" i="56" s="1"/>
  <c r="G48" i="56"/>
  <c r="G49" i="56"/>
  <c r="BE49" i="56" s="1"/>
  <c r="G50" i="56"/>
  <c r="G51" i="56"/>
  <c r="AL6" i="56"/>
  <c r="AL7" i="56"/>
  <c r="AL8" i="56"/>
  <c r="AL9" i="56"/>
  <c r="AL10" i="56"/>
  <c r="AL11" i="56"/>
  <c r="AL12" i="56"/>
  <c r="AL13" i="56"/>
  <c r="AL14" i="56"/>
  <c r="AL15" i="56"/>
  <c r="AL16" i="56"/>
  <c r="AL17" i="56"/>
  <c r="AL18" i="56"/>
  <c r="AL19" i="56"/>
  <c r="AL20" i="56"/>
  <c r="AL21" i="56"/>
  <c r="AL22" i="56"/>
  <c r="AL23" i="56"/>
  <c r="AL24" i="56"/>
  <c r="AL25" i="56"/>
  <c r="AL26" i="56"/>
  <c r="AL27" i="56"/>
  <c r="AL28" i="56"/>
  <c r="AL29" i="56"/>
  <c r="AL30" i="56"/>
  <c r="AL31" i="56"/>
  <c r="AL32" i="56"/>
  <c r="AL33" i="56"/>
  <c r="AL34" i="56"/>
  <c r="AL35" i="56"/>
  <c r="AL36" i="56"/>
  <c r="AL37" i="56"/>
  <c r="AL38" i="56"/>
  <c r="AL39" i="56"/>
  <c r="AL40" i="56"/>
  <c r="AL41" i="56"/>
  <c r="AL42" i="56"/>
  <c r="AL43" i="56"/>
  <c r="AL44" i="56"/>
  <c r="AL45" i="56"/>
  <c r="AL46" i="56"/>
  <c r="AL47" i="56"/>
  <c r="AL48" i="56"/>
  <c r="AL49" i="56"/>
  <c r="AL50" i="56"/>
  <c r="AL51" i="56"/>
  <c r="AP6" i="56"/>
  <c r="AP7" i="56"/>
  <c r="AP8" i="56"/>
  <c r="AP9" i="56"/>
  <c r="AP10" i="56"/>
  <c r="BM10" i="56" s="1"/>
  <c r="AP11" i="56"/>
  <c r="AP12" i="56"/>
  <c r="AP13" i="56"/>
  <c r="AP14" i="56"/>
  <c r="AP15" i="56"/>
  <c r="AP16" i="56"/>
  <c r="AP17" i="56"/>
  <c r="AP18" i="56"/>
  <c r="BM18" i="56" s="1"/>
  <c r="AP19" i="56"/>
  <c r="AP20" i="56"/>
  <c r="AP21" i="56"/>
  <c r="AP22" i="56"/>
  <c r="BM22" i="56" s="1"/>
  <c r="AP23" i="56"/>
  <c r="AP24" i="56"/>
  <c r="AP25" i="56"/>
  <c r="AP26" i="56"/>
  <c r="BM26" i="56" s="1"/>
  <c r="AP27" i="56"/>
  <c r="AP28" i="56"/>
  <c r="AP29" i="56"/>
  <c r="AP30" i="56"/>
  <c r="BM30" i="56" s="1"/>
  <c r="AP31" i="56"/>
  <c r="AP32" i="56"/>
  <c r="AP33" i="56"/>
  <c r="AP34" i="56"/>
  <c r="BM34" i="56" s="1"/>
  <c r="AP35" i="56"/>
  <c r="AP36" i="56"/>
  <c r="AP37" i="56"/>
  <c r="AP38" i="56"/>
  <c r="BM38" i="56" s="1"/>
  <c r="AP39" i="56"/>
  <c r="AP40" i="56"/>
  <c r="AP41" i="56"/>
  <c r="AP42" i="56"/>
  <c r="BM42" i="56" s="1"/>
  <c r="AP43" i="56"/>
  <c r="AP44" i="56"/>
  <c r="AP45" i="56"/>
  <c r="AP46" i="56"/>
  <c r="BM46" i="56" s="1"/>
  <c r="AP47" i="56"/>
  <c r="AP48" i="56"/>
  <c r="AP49" i="56"/>
  <c r="AP50" i="56"/>
  <c r="AP51" i="56"/>
  <c r="AT8" i="56"/>
  <c r="AT9" i="56"/>
  <c r="AT10" i="56"/>
  <c r="BN10" i="56" s="1"/>
  <c r="AT11" i="56"/>
  <c r="AT12" i="56"/>
  <c r="AT13" i="56"/>
  <c r="AT14" i="56"/>
  <c r="AT15" i="56"/>
  <c r="AT16" i="56"/>
  <c r="AT17" i="56"/>
  <c r="AT18" i="56"/>
  <c r="BN18" i="56" s="1"/>
  <c r="AT19" i="56"/>
  <c r="AT20" i="56"/>
  <c r="AT21" i="56"/>
  <c r="AT22" i="56"/>
  <c r="BN22" i="56" s="1"/>
  <c r="AT23" i="56"/>
  <c r="AT24" i="56"/>
  <c r="AT25" i="56"/>
  <c r="AT26" i="56"/>
  <c r="BN26" i="56" s="1"/>
  <c r="AT27" i="56"/>
  <c r="AT28" i="56"/>
  <c r="AT29" i="56"/>
  <c r="AT30" i="56"/>
  <c r="BN30" i="56" s="1"/>
  <c r="AT31" i="56"/>
  <c r="AT32" i="56"/>
  <c r="AT33" i="56"/>
  <c r="AT34" i="56"/>
  <c r="BN34" i="56" s="1"/>
  <c r="AT35" i="56"/>
  <c r="AT36" i="56"/>
  <c r="AT37" i="56"/>
  <c r="AT38" i="56"/>
  <c r="BN38" i="56" s="1"/>
  <c r="AT39" i="56"/>
  <c r="AT40" i="56"/>
  <c r="AT41" i="56"/>
  <c r="AT42" i="56"/>
  <c r="BN42" i="56" s="1"/>
  <c r="AT43" i="56"/>
  <c r="AT44" i="56"/>
  <c r="AT45" i="56"/>
  <c r="AT46" i="56"/>
  <c r="BN46" i="56" s="1"/>
  <c r="AT47" i="56"/>
  <c r="AT48" i="56"/>
  <c r="AT49" i="56"/>
  <c r="AT50" i="56"/>
  <c r="AT51" i="56"/>
  <c r="AX8" i="56"/>
  <c r="BJ52" i="47" s="1"/>
  <c r="AX9" i="56"/>
  <c r="AX10" i="56"/>
  <c r="AX11" i="56"/>
  <c r="BO11" i="56" s="1"/>
  <c r="AX12" i="56"/>
  <c r="AX13" i="56"/>
  <c r="AX14" i="56"/>
  <c r="AX15" i="56"/>
  <c r="AX16" i="56"/>
  <c r="AX17" i="56"/>
  <c r="AX18" i="56"/>
  <c r="AX19" i="56"/>
  <c r="BO19" i="56" s="1"/>
  <c r="AX20" i="56"/>
  <c r="AX21" i="56"/>
  <c r="AX22" i="56"/>
  <c r="AX23" i="56"/>
  <c r="BO23" i="56" s="1"/>
  <c r="AX24" i="56"/>
  <c r="AX25" i="56"/>
  <c r="AX26" i="56"/>
  <c r="AX27" i="56"/>
  <c r="BO27" i="56" s="1"/>
  <c r="AX28" i="56"/>
  <c r="AX29" i="56"/>
  <c r="AX30" i="56"/>
  <c r="AX31" i="56"/>
  <c r="BO31" i="56" s="1"/>
  <c r="AX32" i="56"/>
  <c r="AX33" i="56"/>
  <c r="AX34" i="56"/>
  <c r="AX35" i="56"/>
  <c r="BO35" i="56" s="1"/>
  <c r="AX36" i="56"/>
  <c r="AX37" i="56"/>
  <c r="AX38" i="56"/>
  <c r="AX39" i="56"/>
  <c r="BO39" i="56" s="1"/>
  <c r="AX40" i="56"/>
  <c r="AX41" i="56"/>
  <c r="AX42" i="56"/>
  <c r="AX43" i="56"/>
  <c r="BO43" i="56" s="1"/>
  <c r="AX44" i="56"/>
  <c r="AX45" i="56"/>
  <c r="AX46" i="56"/>
  <c r="AX47" i="56"/>
  <c r="BO47" i="56" s="1"/>
  <c r="AX48" i="56"/>
  <c r="AX49" i="56"/>
  <c r="AX50" i="56"/>
  <c r="AX51" i="56"/>
  <c r="BB8" i="56"/>
  <c r="BP8" i="56" s="1"/>
  <c r="BW7" i="56" s="1"/>
  <c r="BB9" i="56"/>
  <c r="BB10" i="56"/>
  <c r="BB11" i="56"/>
  <c r="BB12" i="56"/>
  <c r="BP12" i="56" s="1"/>
  <c r="BB13" i="56"/>
  <c r="BB14" i="56"/>
  <c r="BB15" i="56"/>
  <c r="BB16" i="56"/>
  <c r="BP16" i="56" s="1"/>
  <c r="BB17" i="56"/>
  <c r="BB18" i="56"/>
  <c r="BB19" i="56"/>
  <c r="BB25" i="56"/>
  <c r="BP25" i="56" s="1"/>
  <c r="BB26" i="56"/>
  <c r="BB27" i="56"/>
  <c r="BB28" i="56"/>
  <c r="BB29" i="56"/>
  <c r="BP29" i="56" s="1"/>
  <c r="BB30" i="56"/>
  <c r="BB31" i="56"/>
  <c r="BB32" i="56"/>
  <c r="BB33" i="56"/>
  <c r="BB34" i="56"/>
  <c r="BB35" i="56"/>
  <c r="BB36" i="56"/>
  <c r="BB37" i="56"/>
  <c r="BP37" i="56" s="1"/>
  <c r="BB38" i="56"/>
  <c r="BB39" i="56"/>
  <c r="BB40" i="56"/>
  <c r="BB41" i="56"/>
  <c r="BP41" i="56" s="1"/>
  <c r="BB42" i="56"/>
  <c r="BB43" i="56"/>
  <c r="BB44" i="56"/>
  <c r="BB45" i="56"/>
  <c r="BP45" i="56" s="1"/>
  <c r="BB46" i="56"/>
  <c r="BB47" i="56"/>
  <c r="BB48" i="56"/>
  <c r="BB49" i="56"/>
  <c r="BP49" i="56" s="1"/>
  <c r="BB50" i="56"/>
  <c r="BB51" i="56"/>
  <c r="G52" i="56"/>
  <c r="H52" i="56"/>
  <c r="I52" i="56"/>
  <c r="J52" i="56"/>
  <c r="K52" i="56"/>
  <c r="L52" i="56"/>
  <c r="M52" i="56"/>
  <c r="N52" i="56"/>
  <c r="O52" i="56"/>
  <c r="P52" i="56"/>
  <c r="Q52" i="56"/>
  <c r="R52" i="56"/>
  <c r="S52" i="56"/>
  <c r="T52" i="56"/>
  <c r="U52" i="56"/>
  <c r="V52" i="56"/>
  <c r="W52" i="56"/>
  <c r="X52" i="56"/>
  <c r="Y52" i="56"/>
  <c r="Z52" i="56"/>
  <c r="AA52" i="56"/>
  <c r="AB52" i="56"/>
  <c r="AC52" i="56"/>
  <c r="AD52" i="56"/>
  <c r="AE52" i="56"/>
  <c r="AF52" i="56"/>
  <c r="AG52" i="56"/>
  <c r="AH52" i="56"/>
  <c r="AI52" i="56"/>
  <c r="AJ52" i="56"/>
  <c r="AK52" i="56"/>
  <c r="AL52" i="56"/>
  <c r="AM52" i="56"/>
  <c r="AN52" i="56"/>
  <c r="AO52" i="56"/>
  <c r="AP52" i="56"/>
  <c r="AQ52" i="56"/>
  <c r="AR52" i="56"/>
  <c r="AS52" i="56"/>
  <c r="AT52" i="56"/>
  <c r="AU52" i="56"/>
  <c r="AV52" i="56"/>
  <c r="AW52" i="56"/>
  <c r="AX52" i="56"/>
  <c r="AY52" i="56"/>
  <c r="AZ52" i="56"/>
  <c r="BA52" i="56"/>
  <c r="BB52" i="56"/>
  <c r="G53" i="56"/>
  <c r="H53" i="56"/>
  <c r="BE53" i="56" s="1"/>
  <c r="I53" i="56"/>
  <c r="J53" i="56"/>
  <c r="K53" i="56"/>
  <c r="L53" i="56"/>
  <c r="M53" i="56"/>
  <c r="N53" i="56"/>
  <c r="O53" i="56"/>
  <c r="P53" i="56"/>
  <c r="Q53" i="56"/>
  <c r="R53" i="56"/>
  <c r="S53" i="56"/>
  <c r="T53" i="56"/>
  <c r="U53" i="56"/>
  <c r="V53" i="56"/>
  <c r="W53" i="56"/>
  <c r="X53" i="56"/>
  <c r="Y53" i="56"/>
  <c r="Z53" i="56"/>
  <c r="AA53" i="56"/>
  <c r="AB53" i="56"/>
  <c r="AC53" i="56"/>
  <c r="AD53" i="56"/>
  <c r="AE53" i="56"/>
  <c r="AF53" i="56"/>
  <c r="AG53" i="56"/>
  <c r="AH53" i="56"/>
  <c r="AI53" i="56"/>
  <c r="AJ53" i="56"/>
  <c r="AK53" i="56"/>
  <c r="AL53" i="56"/>
  <c r="AM53" i="56"/>
  <c r="AN53" i="56"/>
  <c r="AO53" i="56"/>
  <c r="AP53" i="56"/>
  <c r="AQ53" i="56"/>
  <c r="AR53" i="56"/>
  <c r="AS53" i="56"/>
  <c r="AT53" i="56"/>
  <c r="AU53" i="56"/>
  <c r="AV53" i="56"/>
  <c r="AW53" i="56"/>
  <c r="AX53" i="56"/>
  <c r="AY53" i="56"/>
  <c r="AZ53" i="56"/>
  <c r="BA53" i="56"/>
  <c r="BB53" i="56"/>
  <c r="G54" i="56"/>
  <c r="H54" i="56"/>
  <c r="BE54" i="56" s="1"/>
  <c r="I54" i="56"/>
  <c r="J54" i="56"/>
  <c r="K54" i="56"/>
  <c r="L54" i="56"/>
  <c r="M54" i="56"/>
  <c r="N54" i="56"/>
  <c r="O54" i="56"/>
  <c r="P54" i="56"/>
  <c r="Q54" i="56"/>
  <c r="R54" i="56"/>
  <c r="S54" i="56"/>
  <c r="T54" i="56"/>
  <c r="U54" i="56"/>
  <c r="V54" i="56"/>
  <c r="W54" i="56"/>
  <c r="X54" i="56"/>
  <c r="Y54" i="56"/>
  <c r="Z54" i="56"/>
  <c r="AA54" i="56"/>
  <c r="AB54" i="56"/>
  <c r="AC54" i="56"/>
  <c r="AD54" i="56"/>
  <c r="AE54" i="56"/>
  <c r="AF54" i="56"/>
  <c r="AG54" i="56"/>
  <c r="AH54" i="56"/>
  <c r="AI54" i="56"/>
  <c r="AJ54" i="56"/>
  <c r="AK54" i="56"/>
  <c r="AL54" i="56"/>
  <c r="AM54" i="56"/>
  <c r="AN54" i="56"/>
  <c r="BM54" i="56" s="1"/>
  <c r="AO54" i="56"/>
  <c r="AP54" i="56"/>
  <c r="AQ54" i="56"/>
  <c r="AR54" i="56"/>
  <c r="AS54" i="56"/>
  <c r="AT54" i="56"/>
  <c r="AU54" i="56"/>
  <c r="AV54" i="56"/>
  <c r="AW54" i="56"/>
  <c r="AX54" i="56"/>
  <c r="AY54" i="56"/>
  <c r="AZ54" i="56"/>
  <c r="BA54" i="56"/>
  <c r="BB54" i="56"/>
  <c r="G55" i="56"/>
  <c r="H55" i="56"/>
  <c r="BE55" i="56" s="1"/>
  <c r="I55" i="56"/>
  <c r="J55" i="56"/>
  <c r="K55" i="56"/>
  <c r="L55" i="56"/>
  <c r="M55" i="56"/>
  <c r="N55" i="56"/>
  <c r="O55" i="56"/>
  <c r="P55" i="56"/>
  <c r="Q55" i="56"/>
  <c r="R55" i="56"/>
  <c r="S55" i="56"/>
  <c r="T55" i="56"/>
  <c r="U55" i="56"/>
  <c r="V55" i="56"/>
  <c r="W55" i="56"/>
  <c r="X55" i="56"/>
  <c r="Y55" i="56"/>
  <c r="Z55" i="56"/>
  <c r="AA55" i="56"/>
  <c r="AB55" i="56"/>
  <c r="AC55" i="56"/>
  <c r="AD55" i="56"/>
  <c r="AE55" i="56"/>
  <c r="AF55" i="56"/>
  <c r="AG55" i="56"/>
  <c r="AH55" i="56"/>
  <c r="AI55" i="56"/>
  <c r="AJ55" i="56"/>
  <c r="AK55" i="56"/>
  <c r="AL55" i="56"/>
  <c r="AM55" i="56"/>
  <c r="AN55" i="56"/>
  <c r="BM55" i="56" s="1"/>
  <c r="AO55" i="56"/>
  <c r="AP55" i="56"/>
  <c r="AQ55" i="56"/>
  <c r="AR55" i="56"/>
  <c r="AS55" i="56"/>
  <c r="AT55" i="56"/>
  <c r="AU55" i="56"/>
  <c r="AV55" i="56"/>
  <c r="AW55" i="56"/>
  <c r="AX55" i="56"/>
  <c r="AY55" i="56"/>
  <c r="AZ55" i="56"/>
  <c r="BA55" i="56"/>
  <c r="BB55" i="56"/>
  <c r="G56" i="56"/>
  <c r="H56" i="56"/>
  <c r="BE56" i="56" s="1"/>
  <c r="I56" i="56"/>
  <c r="J56" i="56"/>
  <c r="K56" i="56"/>
  <c r="L56" i="56"/>
  <c r="M56" i="56"/>
  <c r="N56" i="56"/>
  <c r="O56" i="56"/>
  <c r="P56" i="56"/>
  <c r="Q56" i="56"/>
  <c r="R56" i="56"/>
  <c r="S56" i="56"/>
  <c r="T56" i="56"/>
  <c r="U56" i="56"/>
  <c r="V56" i="56"/>
  <c r="W56" i="56"/>
  <c r="X56" i="56"/>
  <c r="BI56" i="56" s="1"/>
  <c r="Y56" i="56"/>
  <c r="Z56" i="56"/>
  <c r="AA56" i="56"/>
  <c r="AB56" i="56"/>
  <c r="AC56" i="56"/>
  <c r="AD56" i="56"/>
  <c r="AE56" i="56"/>
  <c r="AF56" i="56"/>
  <c r="AG56" i="56"/>
  <c r="AH56" i="56"/>
  <c r="AI56" i="56"/>
  <c r="AJ56" i="56"/>
  <c r="AK56" i="56"/>
  <c r="AL56" i="56"/>
  <c r="AM56" i="56"/>
  <c r="AN56" i="56"/>
  <c r="BM56" i="56" s="1"/>
  <c r="AO56" i="56"/>
  <c r="AP56" i="56"/>
  <c r="AQ56" i="56"/>
  <c r="AR56" i="56"/>
  <c r="AS56" i="56"/>
  <c r="AT56" i="56"/>
  <c r="AU56" i="56"/>
  <c r="AV56" i="56"/>
  <c r="AW56" i="56"/>
  <c r="AX56" i="56"/>
  <c r="AY56" i="56"/>
  <c r="AZ56" i="56"/>
  <c r="BA56" i="56"/>
  <c r="BB56" i="56"/>
  <c r="G57" i="56"/>
  <c r="H57" i="56"/>
  <c r="I57" i="56"/>
  <c r="J57" i="56"/>
  <c r="K57" i="56"/>
  <c r="L57" i="56"/>
  <c r="M57" i="56"/>
  <c r="N57" i="56"/>
  <c r="O57" i="56"/>
  <c r="P57" i="56"/>
  <c r="Q57" i="56"/>
  <c r="R57" i="56"/>
  <c r="S57" i="56"/>
  <c r="T57" i="56"/>
  <c r="U57" i="56"/>
  <c r="V57" i="56"/>
  <c r="W57" i="56"/>
  <c r="X57" i="56"/>
  <c r="BI57" i="56" s="1"/>
  <c r="Y57" i="56"/>
  <c r="Z57" i="56"/>
  <c r="AA57" i="56"/>
  <c r="AB57" i="56"/>
  <c r="AC57" i="56"/>
  <c r="AD57" i="56"/>
  <c r="AE57" i="56"/>
  <c r="AF57" i="56"/>
  <c r="AG57" i="56"/>
  <c r="AH57" i="56"/>
  <c r="AI57" i="56"/>
  <c r="AJ57" i="56"/>
  <c r="AK57" i="56"/>
  <c r="AL57" i="56"/>
  <c r="AM57" i="56"/>
  <c r="AN57" i="56"/>
  <c r="AO57" i="56"/>
  <c r="AP57" i="56"/>
  <c r="AQ57" i="56"/>
  <c r="AR57" i="56"/>
  <c r="AS57" i="56"/>
  <c r="AT57" i="56"/>
  <c r="AU57" i="56"/>
  <c r="AV57" i="56"/>
  <c r="AW57" i="56"/>
  <c r="AX57" i="56"/>
  <c r="G58" i="56"/>
  <c r="H58" i="56"/>
  <c r="I58" i="56"/>
  <c r="J58" i="56"/>
  <c r="K58" i="56"/>
  <c r="L58" i="56"/>
  <c r="BF58" i="56" s="1"/>
  <c r="M58" i="56"/>
  <c r="N58" i="56"/>
  <c r="O58" i="56"/>
  <c r="P58" i="56"/>
  <c r="Q58" i="56"/>
  <c r="R58" i="56"/>
  <c r="S58" i="56"/>
  <c r="T58" i="56"/>
  <c r="U58" i="56"/>
  <c r="V58" i="56"/>
  <c r="W58" i="56"/>
  <c r="X58" i="56"/>
  <c r="Y58" i="56"/>
  <c r="Z58" i="56"/>
  <c r="AA58" i="56"/>
  <c r="AB58" i="56"/>
  <c r="AC58" i="56"/>
  <c r="AD58" i="56"/>
  <c r="AE58" i="56"/>
  <c r="AF58" i="56"/>
  <c r="AG58" i="56"/>
  <c r="AH58" i="56"/>
  <c r="AI58" i="56"/>
  <c r="AJ58" i="56"/>
  <c r="AK58" i="56"/>
  <c r="AL58" i="56"/>
  <c r="AM58" i="56"/>
  <c r="AN58" i="56"/>
  <c r="AO58" i="56"/>
  <c r="AP58" i="56"/>
  <c r="AQ58" i="56"/>
  <c r="AR58" i="56"/>
  <c r="BN58" i="56" s="1"/>
  <c r="AS58" i="56"/>
  <c r="AT58" i="56"/>
  <c r="AU58" i="56"/>
  <c r="AV58" i="56"/>
  <c r="AW58" i="56"/>
  <c r="AX58" i="56"/>
  <c r="G59" i="56"/>
  <c r="H59" i="56"/>
  <c r="I59" i="56"/>
  <c r="J59" i="56"/>
  <c r="K59" i="56"/>
  <c r="L59" i="56"/>
  <c r="M59" i="56"/>
  <c r="N59" i="56"/>
  <c r="O59" i="56"/>
  <c r="P59" i="56"/>
  <c r="X58" i="47" s="1"/>
  <c r="Q59" i="56"/>
  <c r="R59" i="56"/>
  <c r="S59" i="56"/>
  <c r="T59" i="56"/>
  <c r="Z58" i="47" s="1"/>
  <c r="U59" i="56"/>
  <c r="V59" i="56"/>
  <c r="W59" i="56"/>
  <c r="X59" i="56"/>
  <c r="AE58" i="47" s="1"/>
  <c r="Y59" i="56"/>
  <c r="Z59" i="56"/>
  <c r="AA59" i="56"/>
  <c r="AB59" i="56"/>
  <c r="AJ58" i="47" s="1"/>
  <c r="AC59" i="56"/>
  <c r="AD59" i="56"/>
  <c r="AE59" i="56"/>
  <c r="AF59" i="56"/>
  <c r="AO58" i="47" s="1"/>
  <c r="AG59" i="56"/>
  <c r="AH59" i="56"/>
  <c r="AI59" i="56"/>
  <c r="AJ59" i="56"/>
  <c r="AT58" i="47" s="1"/>
  <c r="AK59" i="56"/>
  <c r="AL59" i="56"/>
  <c r="AM59" i="56"/>
  <c r="AV58" i="47" s="1"/>
  <c r="AN59" i="56"/>
  <c r="AY58" i="47" s="1"/>
  <c r="AO59" i="56"/>
  <c r="AP59" i="56"/>
  <c r="AQ59" i="56"/>
  <c r="AR59" i="56"/>
  <c r="BD58" i="47" s="1"/>
  <c r="AS59" i="56"/>
  <c r="AT59" i="56"/>
  <c r="AU59" i="56"/>
  <c r="AV59" i="56"/>
  <c r="BO59" i="56" s="1"/>
  <c r="AW59" i="56"/>
  <c r="AX59" i="56"/>
  <c r="G60" i="56"/>
  <c r="H60" i="56"/>
  <c r="I60" i="56"/>
  <c r="J60" i="56"/>
  <c r="K60" i="56"/>
  <c r="L60" i="56"/>
  <c r="M60" i="56"/>
  <c r="N60" i="56"/>
  <c r="O60" i="56"/>
  <c r="P60" i="56"/>
  <c r="BG60" i="56" s="1"/>
  <c r="Q60" i="56"/>
  <c r="R60" i="56"/>
  <c r="S60" i="56"/>
  <c r="T60" i="56"/>
  <c r="U60" i="56"/>
  <c r="V60" i="56"/>
  <c r="W60" i="56"/>
  <c r="X60" i="56"/>
  <c r="Y60" i="56"/>
  <c r="Z60" i="56"/>
  <c r="AA60" i="56"/>
  <c r="AB60" i="56"/>
  <c r="BJ60" i="56" s="1"/>
  <c r="AC60" i="56"/>
  <c r="AD60" i="56"/>
  <c r="AE60" i="56"/>
  <c r="AF60" i="56"/>
  <c r="AG60" i="56"/>
  <c r="AH60" i="56"/>
  <c r="AI60" i="56"/>
  <c r="AJ60" i="56"/>
  <c r="BL60" i="56" s="1"/>
  <c r="AK60" i="56"/>
  <c r="AL60" i="56"/>
  <c r="AM60" i="56"/>
  <c r="AN60" i="56"/>
  <c r="AO60" i="56"/>
  <c r="AP60" i="56"/>
  <c r="AQ60" i="56"/>
  <c r="AR60" i="56"/>
  <c r="AS60" i="56"/>
  <c r="AT60" i="56"/>
  <c r="AU60" i="56"/>
  <c r="AV60" i="56"/>
  <c r="BO60" i="56" s="1"/>
  <c r="AW60" i="56"/>
  <c r="AX60" i="56"/>
  <c r="AY60" i="56"/>
  <c r="AZ60" i="56"/>
  <c r="BA60" i="56"/>
  <c r="BB60" i="56"/>
  <c r="G61" i="56"/>
  <c r="H61" i="56"/>
  <c r="I61" i="56"/>
  <c r="J61" i="56"/>
  <c r="K61" i="56"/>
  <c r="L61" i="56"/>
  <c r="BF61" i="56" s="1"/>
  <c r="M61" i="56"/>
  <c r="N61" i="56"/>
  <c r="O61" i="56"/>
  <c r="P61" i="56"/>
  <c r="Q61" i="56"/>
  <c r="R61" i="56"/>
  <c r="S61" i="56"/>
  <c r="T61" i="56"/>
  <c r="BH61" i="56" s="1"/>
  <c r="U61" i="56"/>
  <c r="V61" i="56"/>
  <c r="W61" i="56"/>
  <c r="X61" i="56"/>
  <c r="Y61" i="56"/>
  <c r="Z61" i="56"/>
  <c r="AA61" i="56"/>
  <c r="AB61" i="56"/>
  <c r="AC61" i="56"/>
  <c r="AD61" i="56"/>
  <c r="AE61" i="56"/>
  <c r="AF61" i="56"/>
  <c r="AG61" i="56"/>
  <c r="AH61" i="56"/>
  <c r="AI61" i="56"/>
  <c r="AJ61" i="56"/>
  <c r="AK61" i="56"/>
  <c r="AL61" i="56"/>
  <c r="AM61" i="56"/>
  <c r="AN61" i="56"/>
  <c r="AO61" i="56"/>
  <c r="AP61" i="56"/>
  <c r="AQ61" i="56"/>
  <c r="AR61" i="56"/>
  <c r="BN61" i="56" s="1"/>
  <c r="AS61" i="56"/>
  <c r="AT61" i="56"/>
  <c r="AU61" i="56"/>
  <c r="AV61" i="56"/>
  <c r="AW61" i="56"/>
  <c r="AX61" i="56"/>
  <c r="AY61" i="56"/>
  <c r="AZ61" i="56"/>
  <c r="BP61" i="56" s="1"/>
  <c r="BA61" i="56"/>
  <c r="BB61" i="56"/>
  <c r="G62" i="56"/>
  <c r="H62" i="56"/>
  <c r="I62" i="56"/>
  <c r="J62" i="56"/>
  <c r="K62" i="56"/>
  <c r="L62" i="56"/>
  <c r="M62" i="56"/>
  <c r="N62" i="56"/>
  <c r="O62" i="56"/>
  <c r="P62" i="56"/>
  <c r="BG62" i="56" s="1"/>
  <c r="Q62" i="56"/>
  <c r="R62" i="56"/>
  <c r="S62" i="56"/>
  <c r="T62" i="56"/>
  <c r="U62" i="56"/>
  <c r="V62" i="56"/>
  <c r="W62" i="56"/>
  <c r="X62" i="56"/>
  <c r="Y62" i="56"/>
  <c r="Z62" i="56"/>
  <c r="AA62" i="56"/>
  <c r="AB62" i="56"/>
  <c r="BJ62" i="56" s="1"/>
  <c r="AC62" i="56"/>
  <c r="AD62" i="56"/>
  <c r="AE62" i="56"/>
  <c r="AF62" i="56"/>
  <c r="AG62" i="56"/>
  <c r="AH62" i="56"/>
  <c r="AI62" i="56"/>
  <c r="AJ62" i="56"/>
  <c r="BL62" i="56" s="1"/>
  <c r="AK62" i="56"/>
  <c r="AL62" i="56"/>
  <c r="AM62" i="56"/>
  <c r="AN62" i="56"/>
  <c r="AO62" i="56"/>
  <c r="AP62" i="56"/>
  <c r="AQ62" i="56"/>
  <c r="AR62" i="56"/>
  <c r="AS62" i="56"/>
  <c r="AT62" i="56"/>
  <c r="AU62" i="56"/>
  <c r="AV62" i="56"/>
  <c r="BO62" i="56" s="1"/>
  <c r="AW62" i="56"/>
  <c r="AX62" i="56"/>
  <c r="AY62" i="56"/>
  <c r="AZ62" i="56"/>
  <c r="BA62" i="56"/>
  <c r="BB62" i="56"/>
  <c r="G63" i="56"/>
  <c r="H63" i="56"/>
  <c r="I63" i="56"/>
  <c r="J63" i="56"/>
  <c r="K63" i="56"/>
  <c r="L63" i="56"/>
  <c r="BF63" i="56" s="1"/>
  <c r="M63" i="56"/>
  <c r="N63" i="56"/>
  <c r="O63" i="56"/>
  <c r="P63" i="56"/>
  <c r="Q63" i="56"/>
  <c r="R63" i="56"/>
  <c r="S63" i="56"/>
  <c r="T63" i="56"/>
  <c r="U63" i="56"/>
  <c r="V63" i="56"/>
  <c r="W63" i="56"/>
  <c r="X63" i="56"/>
  <c r="Y63" i="56"/>
  <c r="Z63" i="56"/>
  <c r="AA63" i="56"/>
  <c r="AB63" i="56"/>
  <c r="AC63" i="56"/>
  <c r="AD63" i="56"/>
  <c r="AE63" i="56"/>
  <c r="AF63" i="56"/>
  <c r="BK63" i="56" s="1"/>
  <c r="AG63" i="56"/>
  <c r="AH63" i="56"/>
  <c r="AI63" i="56"/>
  <c r="AJ63" i="56"/>
  <c r="AK63" i="56"/>
  <c r="AL63" i="56"/>
  <c r="AM63" i="56"/>
  <c r="AN63" i="56"/>
  <c r="AO63" i="56"/>
  <c r="AP63" i="56"/>
  <c r="AQ63" i="56"/>
  <c r="AR63" i="56"/>
  <c r="BN63" i="56" s="1"/>
  <c r="AS63" i="56"/>
  <c r="AT63" i="56"/>
  <c r="AU63" i="56"/>
  <c r="AV63" i="56"/>
  <c r="AW63" i="56"/>
  <c r="AX63" i="56"/>
  <c r="AY63" i="56"/>
  <c r="AZ63" i="56"/>
  <c r="BP63" i="56" s="1"/>
  <c r="BA63" i="56"/>
  <c r="BB63" i="56"/>
  <c r="G64" i="56"/>
  <c r="H64" i="56"/>
  <c r="I64" i="56"/>
  <c r="J64" i="56"/>
  <c r="K64" i="56"/>
  <c r="L64" i="56"/>
  <c r="M64" i="56"/>
  <c r="N64" i="56"/>
  <c r="O64" i="56"/>
  <c r="P64" i="56"/>
  <c r="BG64" i="56" s="1"/>
  <c r="Q64" i="56"/>
  <c r="R64" i="56"/>
  <c r="S64" i="56"/>
  <c r="T64" i="56"/>
  <c r="U64" i="56"/>
  <c r="V64" i="56"/>
  <c r="W64" i="56"/>
  <c r="X64" i="56"/>
  <c r="Y64" i="56"/>
  <c r="Z64" i="56"/>
  <c r="AA64" i="56"/>
  <c r="AB64" i="56"/>
  <c r="BJ64" i="56" s="1"/>
  <c r="AC64" i="56"/>
  <c r="AD64" i="56"/>
  <c r="AE64" i="56"/>
  <c r="AF64" i="56"/>
  <c r="AG64" i="56"/>
  <c r="AH64" i="56"/>
  <c r="AI64" i="56"/>
  <c r="AJ64" i="56"/>
  <c r="BL64" i="56" s="1"/>
  <c r="AK64" i="56"/>
  <c r="AL64" i="56"/>
  <c r="AM64" i="56"/>
  <c r="AN64" i="56"/>
  <c r="AO64" i="56"/>
  <c r="AP64" i="56"/>
  <c r="AQ64" i="56"/>
  <c r="AR64" i="56"/>
  <c r="AS64" i="56"/>
  <c r="AT64" i="56"/>
  <c r="AU64" i="56"/>
  <c r="AV64" i="56"/>
  <c r="BO64" i="56" s="1"/>
  <c r="AW64" i="56"/>
  <c r="AX64" i="56"/>
  <c r="AY64" i="56"/>
  <c r="AZ64" i="56"/>
  <c r="BA64" i="56"/>
  <c r="BB64" i="56"/>
  <c r="G65" i="56"/>
  <c r="H65" i="56"/>
  <c r="I65" i="56"/>
  <c r="J65" i="56"/>
  <c r="K65" i="56"/>
  <c r="L65" i="56"/>
  <c r="M65" i="56"/>
  <c r="N65" i="56"/>
  <c r="O65" i="56"/>
  <c r="P65" i="56"/>
  <c r="Q65" i="56"/>
  <c r="R65" i="56"/>
  <c r="S65" i="56"/>
  <c r="T65" i="56"/>
  <c r="BH65" i="56" s="1"/>
  <c r="U65" i="56"/>
  <c r="V65" i="56"/>
  <c r="W65" i="56"/>
  <c r="X65" i="56"/>
  <c r="Y65" i="56"/>
  <c r="Z65" i="56"/>
  <c r="AA65" i="56"/>
  <c r="AB65" i="56"/>
  <c r="AC65" i="56"/>
  <c r="AD65" i="56"/>
  <c r="AE65" i="56"/>
  <c r="AF65" i="56"/>
  <c r="BK65" i="56" s="1"/>
  <c r="AG65" i="56"/>
  <c r="AH65" i="56"/>
  <c r="AI65" i="56"/>
  <c r="AJ65" i="56"/>
  <c r="AK65" i="56"/>
  <c r="AL65" i="56"/>
  <c r="AM65" i="56"/>
  <c r="AN65" i="56"/>
  <c r="AO65" i="56"/>
  <c r="AP65" i="56"/>
  <c r="AQ65" i="56"/>
  <c r="AR65" i="56"/>
  <c r="BN65" i="56" s="1"/>
  <c r="AS65" i="56"/>
  <c r="AT65" i="56"/>
  <c r="AU65" i="56"/>
  <c r="AV65" i="56"/>
  <c r="AW65" i="56"/>
  <c r="AX65" i="56"/>
  <c r="AY65" i="56"/>
  <c r="AZ65" i="56"/>
  <c r="BP65" i="56" s="1"/>
  <c r="BA65" i="56"/>
  <c r="BB65" i="56"/>
  <c r="G66" i="56"/>
  <c r="H66" i="56"/>
  <c r="I66" i="56"/>
  <c r="J66" i="56"/>
  <c r="K66" i="56"/>
  <c r="L66" i="56"/>
  <c r="M66" i="56"/>
  <c r="N66" i="56"/>
  <c r="O66" i="56"/>
  <c r="P66" i="56"/>
  <c r="BG66" i="56" s="1"/>
  <c r="Q66" i="56"/>
  <c r="R66" i="56"/>
  <c r="S66" i="56"/>
  <c r="T66" i="56"/>
  <c r="U66" i="56"/>
  <c r="V66" i="56"/>
  <c r="W66" i="56"/>
  <c r="X66" i="56"/>
  <c r="Y66" i="56"/>
  <c r="Z66" i="56"/>
  <c r="AA66" i="56"/>
  <c r="AB66" i="56"/>
  <c r="BJ66" i="56" s="1"/>
  <c r="AC66" i="56"/>
  <c r="AD66" i="56"/>
  <c r="AE66" i="56"/>
  <c r="AF66" i="56"/>
  <c r="AG66" i="56"/>
  <c r="AH66" i="56"/>
  <c r="AI66" i="56"/>
  <c r="AJ66" i="56"/>
  <c r="AK66" i="56"/>
  <c r="AL66" i="56"/>
  <c r="AM66" i="56"/>
  <c r="AN66" i="56"/>
  <c r="AO66" i="56"/>
  <c r="AP66" i="56"/>
  <c r="AQ66" i="56"/>
  <c r="AR66" i="56"/>
  <c r="AS66" i="56"/>
  <c r="AT66" i="56"/>
  <c r="AU66" i="56"/>
  <c r="AV66" i="56"/>
  <c r="AW66" i="56"/>
  <c r="AX66" i="56"/>
  <c r="AY66" i="56"/>
  <c r="AZ66" i="56"/>
  <c r="BA66" i="56"/>
  <c r="BB66" i="56"/>
  <c r="G67" i="56"/>
  <c r="H67" i="56"/>
  <c r="I67" i="56"/>
  <c r="J67" i="56"/>
  <c r="K67" i="56"/>
  <c r="L67" i="56"/>
  <c r="M67" i="56"/>
  <c r="N67" i="56"/>
  <c r="O67" i="56"/>
  <c r="P67" i="56"/>
  <c r="Q67" i="56"/>
  <c r="R67" i="56"/>
  <c r="S67" i="56"/>
  <c r="T67" i="56"/>
  <c r="BH67" i="56" s="1"/>
  <c r="U67" i="56"/>
  <c r="V67" i="56"/>
  <c r="W67" i="56"/>
  <c r="X67" i="56"/>
  <c r="Y67" i="56"/>
  <c r="Z67" i="56"/>
  <c r="AA67" i="56"/>
  <c r="AB67" i="56"/>
  <c r="AC67" i="56"/>
  <c r="AD67" i="56"/>
  <c r="AE67" i="56"/>
  <c r="AF67" i="56"/>
  <c r="AG67" i="56"/>
  <c r="AH67" i="56"/>
  <c r="AI67" i="56"/>
  <c r="AJ67" i="56"/>
  <c r="AK67" i="56"/>
  <c r="AL67" i="56"/>
  <c r="AM67" i="56"/>
  <c r="AN67" i="56"/>
  <c r="AO67" i="56"/>
  <c r="AP67" i="56"/>
  <c r="AQ67" i="56"/>
  <c r="AR67" i="56"/>
  <c r="AS67" i="56"/>
  <c r="AT67" i="56"/>
  <c r="AU67" i="56"/>
  <c r="AV67" i="56"/>
  <c r="AW67" i="56"/>
  <c r="AX67" i="56"/>
  <c r="AY67" i="56"/>
  <c r="AZ67" i="56"/>
  <c r="BA67" i="56"/>
  <c r="BB67" i="56"/>
  <c r="G68" i="56"/>
  <c r="H68" i="56"/>
  <c r="I68" i="56"/>
  <c r="J68" i="56"/>
  <c r="K68" i="56"/>
  <c r="L68" i="56"/>
  <c r="M68" i="56"/>
  <c r="N68" i="56"/>
  <c r="O68" i="56"/>
  <c r="P68" i="56"/>
  <c r="Q68" i="56"/>
  <c r="R68" i="56"/>
  <c r="S68" i="56"/>
  <c r="T68" i="56"/>
  <c r="U68" i="56"/>
  <c r="V68" i="56"/>
  <c r="W68" i="56"/>
  <c r="X68" i="56"/>
  <c r="Y68" i="56"/>
  <c r="Z68" i="56"/>
  <c r="AA68" i="56"/>
  <c r="AB68" i="56"/>
  <c r="AC68" i="56"/>
  <c r="AD68" i="56"/>
  <c r="AE68" i="56"/>
  <c r="AF68" i="56"/>
  <c r="AG68" i="56"/>
  <c r="AH68" i="56"/>
  <c r="AI68" i="56"/>
  <c r="AJ68" i="56"/>
  <c r="AK68" i="56"/>
  <c r="AL68" i="56"/>
  <c r="AM68" i="56"/>
  <c r="AN68" i="56"/>
  <c r="AO68" i="56"/>
  <c r="AP68" i="56"/>
  <c r="AQ68" i="56"/>
  <c r="AR68" i="56"/>
  <c r="AS68" i="56"/>
  <c r="AT68" i="56"/>
  <c r="AU68" i="56"/>
  <c r="AV68" i="56"/>
  <c r="AW68" i="56"/>
  <c r="AX68" i="56"/>
  <c r="AY68" i="56"/>
  <c r="AZ68" i="56"/>
  <c r="BA68" i="56"/>
  <c r="BB68" i="56"/>
  <c r="G69" i="56"/>
  <c r="H69" i="56"/>
  <c r="I69" i="56"/>
  <c r="J69" i="56"/>
  <c r="K69" i="56"/>
  <c r="L69" i="56"/>
  <c r="M69" i="56"/>
  <c r="N69" i="56"/>
  <c r="O69" i="56"/>
  <c r="P69" i="56"/>
  <c r="Q69" i="56"/>
  <c r="R69" i="56"/>
  <c r="S69" i="56"/>
  <c r="T69" i="56"/>
  <c r="U69" i="56"/>
  <c r="V69" i="56"/>
  <c r="W69" i="56"/>
  <c r="X69" i="56"/>
  <c r="Y69" i="56"/>
  <c r="Z69" i="56"/>
  <c r="AA69" i="56"/>
  <c r="AB69" i="56"/>
  <c r="AC69" i="56"/>
  <c r="AD69" i="56"/>
  <c r="AE69" i="56"/>
  <c r="AF69" i="56"/>
  <c r="AG69" i="56"/>
  <c r="AH69" i="56"/>
  <c r="AI69" i="56"/>
  <c r="AJ69" i="56"/>
  <c r="AK69" i="56"/>
  <c r="AL69" i="56"/>
  <c r="AM69" i="56"/>
  <c r="AN69" i="56"/>
  <c r="AO69" i="56"/>
  <c r="AP69" i="56"/>
  <c r="AQ69" i="56"/>
  <c r="AR69" i="56"/>
  <c r="AS69" i="56"/>
  <c r="AT69" i="56"/>
  <c r="AU69" i="56"/>
  <c r="AV69" i="56"/>
  <c r="AW69" i="56"/>
  <c r="AX69" i="56"/>
  <c r="AY69" i="56"/>
  <c r="AZ69" i="56"/>
  <c r="BA69" i="56"/>
  <c r="BB69" i="56"/>
  <c r="G70" i="56"/>
  <c r="H70" i="56"/>
  <c r="I70" i="56"/>
  <c r="J70" i="56"/>
  <c r="K70" i="56"/>
  <c r="L70" i="56"/>
  <c r="M70" i="56"/>
  <c r="N70" i="56"/>
  <c r="O70" i="56"/>
  <c r="P70" i="56"/>
  <c r="Q70" i="56"/>
  <c r="R70" i="56"/>
  <c r="S70" i="56"/>
  <c r="T70" i="56"/>
  <c r="U70" i="56"/>
  <c r="V70" i="56"/>
  <c r="W70" i="56"/>
  <c r="X70" i="56"/>
  <c r="Y70" i="56"/>
  <c r="Z70" i="56"/>
  <c r="AA70" i="56"/>
  <c r="AB70" i="56"/>
  <c r="AC70" i="56"/>
  <c r="AD70" i="56"/>
  <c r="AE70" i="56"/>
  <c r="AF70" i="56"/>
  <c r="AG70" i="56"/>
  <c r="AH70" i="56"/>
  <c r="AI70" i="56"/>
  <c r="AJ70" i="56"/>
  <c r="AK70" i="56"/>
  <c r="AL70" i="56"/>
  <c r="AM70" i="56"/>
  <c r="AN70" i="56"/>
  <c r="AO70" i="56"/>
  <c r="AP70" i="56"/>
  <c r="AQ70" i="56"/>
  <c r="AR70" i="56"/>
  <c r="AS70" i="56"/>
  <c r="AT70" i="56"/>
  <c r="AU70" i="56"/>
  <c r="AV70" i="56"/>
  <c r="AW70" i="56"/>
  <c r="AX70" i="56"/>
  <c r="AY70" i="56"/>
  <c r="AZ70" i="56"/>
  <c r="BA70" i="56"/>
  <c r="BB70" i="56"/>
  <c r="G71" i="56"/>
  <c r="H71" i="56"/>
  <c r="I71" i="56"/>
  <c r="J71" i="56"/>
  <c r="K71" i="56"/>
  <c r="L71" i="56"/>
  <c r="M71" i="56"/>
  <c r="N71" i="56"/>
  <c r="O71" i="56"/>
  <c r="P71" i="56"/>
  <c r="Q71" i="56"/>
  <c r="R71" i="56"/>
  <c r="S71" i="56"/>
  <c r="T71" i="56"/>
  <c r="U71" i="56"/>
  <c r="V71" i="56"/>
  <c r="W71" i="56"/>
  <c r="X71" i="56"/>
  <c r="Y71" i="56"/>
  <c r="Z71" i="56"/>
  <c r="AA71" i="56"/>
  <c r="AB71" i="56"/>
  <c r="AC71" i="56"/>
  <c r="AD71" i="56"/>
  <c r="AE71" i="56"/>
  <c r="AF71" i="56"/>
  <c r="AG71" i="56"/>
  <c r="AH71" i="56"/>
  <c r="AI71" i="56"/>
  <c r="AJ71" i="56"/>
  <c r="AK71" i="56"/>
  <c r="AL71" i="56"/>
  <c r="AM71" i="56"/>
  <c r="AN71" i="56"/>
  <c r="AO71" i="56"/>
  <c r="AP71" i="56"/>
  <c r="AQ71" i="56"/>
  <c r="AR71" i="56"/>
  <c r="AS71" i="56"/>
  <c r="AT71" i="56"/>
  <c r="AU71" i="56"/>
  <c r="AV71" i="56"/>
  <c r="AW71" i="56"/>
  <c r="AX71" i="56"/>
  <c r="AY71" i="56"/>
  <c r="AZ71" i="56"/>
  <c r="BA71" i="56"/>
  <c r="BB71" i="56"/>
  <c r="G72" i="56"/>
  <c r="H72" i="56"/>
  <c r="I72" i="56"/>
  <c r="J72" i="56"/>
  <c r="K72" i="56"/>
  <c r="L72" i="56"/>
  <c r="M72" i="56"/>
  <c r="N72" i="56"/>
  <c r="O72" i="56"/>
  <c r="P72" i="56"/>
  <c r="X74" i="47" s="1"/>
  <c r="Q72" i="56"/>
  <c r="R72" i="56"/>
  <c r="S72" i="56"/>
  <c r="T72" i="56"/>
  <c r="Z74" i="47" s="1"/>
  <c r="U72" i="56"/>
  <c r="V72" i="56"/>
  <c r="W72" i="56"/>
  <c r="X72" i="56"/>
  <c r="AE74" i="47" s="1"/>
  <c r="Y72" i="56"/>
  <c r="Z72" i="56"/>
  <c r="AA72" i="56"/>
  <c r="AB72" i="56"/>
  <c r="BJ72" i="56" s="1"/>
  <c r="AC72" i="56"/>
  <c r="AD72" i="56"/>
  <c r="AE72" i="56"/>
  <c r="AF72" i="56"/>
  <c r="AO74" i="47" s="1"/>
  <c r="AG72" i="56"/>
  <c r="AH72" i="56"/>
  <c r="AI72" i="56"/>
  <c r="AJ72" i="56"/>
  <c r="AT74" i="47" s="1"/>
  <c r="AK72" i="56"/>
  <c r="AL72" i="56"/>
  <c r="AM72" i="56"/>
  <c r="AV74" i="47" s="1"/>
  <c r="AN72" i="56"/>
  <c r="AO72" i="56"/>
  <c r="AP72" i="56"/>
  <c r="AQ72" i="56"/>
  <c r="AR72" i="56"/>
  <c r="AS72" i="56"/>
  <c r="AT72" i="56"/>
  <c r="AU72" i="56"/>
  <c r="AV72" i="56"/>
  <c r="AW72" i="56"/>
  <c r="AX72" i="56"/>
  <c r="AY72" i="56"/>
  <c r="AZ72" i="56"/>
  <c r="BA72" i="56"/>
  <c r="BB72" i="56"/>
  <c r="G73" i="56"/>
  <c r="H73" i="56"/>
  <c r="I73" i="56"/>
  <c r="J73" i="56"/>
  <c r="K73" i="56"/>
  <c r="L73" i="56"/>
  <c r="M73" i="56"/>
  <c r="N73" i="56"/>
  <c r="O73" i="56"/>
  <c r="P73" i="56"/>
  <c r="Q73" i="56"/>
  <c r="R73" i="56"/>
  <c r="S73" i="56"/>
  <c r="T73" i="56"/>
  <c r="U73" i="56"/>
  <c r="V73" i="56"/>
  <c r="W73" i="56"/>
  <c r="X73" i="56"/>
  <c r="BI73" i="56" s="1"/>
  <c r="Y73" i="56"/>
  <c r="Z73" i="56"/>
  <c r="AA73" i="56"/>
  <c r="AB73" i="56"/>
  <c r="AC73" i="56"/>
  <c r="AD73" i="56"/>
  <c r="AE73" i="56"/>
  <c r="AF73" i="56"/>
  <c r="AG73" i="56"/>
  <c r="AH73" i="56"/>
  <c r="AI73" i="56"/>
  <c r="AJ73" i="56"/>
  <c r="AK73" i="56"/>
  <c r="AL73" i="56"/>
  <c r="AM73" i="56"/>
  <c r="AN73" i="56"/>
  <c r="AO73" i="56"/>
  <c r="AP73" i="56"/>
  <c r="AQ73" i="56"/>
  <c r="AR73" i="56"/>
  <c r="AS73" i="56"/>
  <c r="AT73" i="56"/>
  <c r="AU73" i="56"/>
  <c r="AV73" i="56"/>
  <c r="AW73" i="56"/>
  <c r="AX73" i="56"/>
  <c r="AY73" i="56"/>
  <c r="AZ73" i="56"/>
  <c r="BA73" i="56"/>
  <c r="BB73" i="56"/>
  <c r="G74" i="56"/>
  <c r="H74" i="56"/>
  <c r="I74" i="56"/>
  <c r="J74" i="56"/>
  <c r="K74" i="56"/>
  <c r="L74" i="56"/>
  <c r="M74" i="56"/>
  <c r="N74" i="56"/>
  <c r="O74" i="56"/>
  <c r="P74" i="56"/>
  <c r="Q74" i="56"/>
  <c r="R74" i="56"/>
  <c r="S74" i="56"/>
  <c r="T74" i="56"/>
  <c r="BH74" i="56" s="1"/>
  <c r="U74" i="56"/>
  <c r="V74" i="56"/>
  <c r="W74" i="56"/>
  <c r="X74" i="56"/>
  <c r="Y74" i="56"/>
  <c r="Z74" i="56"/>
  <c r="AA74" i="56"/>
  <c r="AB74" i="56"/>
  <c r="AC74" i="56"/>
  <c r="AD74" i="56"/>
  <c r="AE74" i="56"/>
  <c r="AF74" i="56"/>
  <c r="AG74" i="56"/>
  <c r="AH74" i="56"/>
  <c r="AI74" i="56"/>
  <c r="AJ74" i="56"/>
  <c r="AK74" i="56"/>
  <c r="AL74" i="56"/>
  <c r="AM74" i="56"/>
  <c r="AN74" i="56"/>
  <c r="AO74" i="56"/>
  <c r="AP74" i="56"/>
  <c r="AQ74" i="56"/>
  <c r="AR74" i="56"/>
  <c r="AS74" i="56"/>
  <c r="AT74" i="56"/>
  <c r="AU74" i="56"/>
  <c r="AV74" i="56"/>
  <c r="AW74" i="56"/>
  <c r="AX74" i="56"/>
  <c r="AY74" i="56"/>
  <c r="AZ74" i="56"/>
  <c r="BA74" i="56"/>
  <c r="BB74" i="56"/>
  <c r="G75" i="56"/>
  <c r="H75" i="56"/>
  <c r="I75" i="56"/>
  <c r="J75" i="56"/>
  <c r="K75" i="56"/>
  <c r="L75" i="56"/>
  <c r="M75" i="56"/>
  <c r="N75" i="56"/>
  <c r="O75" i="56"/>
  <c r="P75" i="56"/>
  <c r="Q75" i="56"/>
  <c r="R75" i="56"/>
  <c r="S75" i="56"/>
  <c r="T75" i="56"/>
  <c r="U75" i="56"/>
  <c r="V75" i="56"/>
  <c r="W75" i="56"/>
  <c r="X75" i="56"/>
  <c r="Y75" i="56"/>
  <c r="Z75" i="56"/>
  <c r="AA75" i="56"/>
  <c r="AB75" i="56"/>
  <c r="AC75" i="56"/>
  <c r="AD75" i="56"/>
  <c r="AE75" i="56"/>
  <c r="AF75" i="56"/>
  <c r="AG75" i="56"/>
  <c r="AH75" i="56"/>
  <c r="AI75" i="56"/>
  <c r="AJ75" i="56"/>
  <c r="AK75" i="56"/>
  <c r="AL75" i="56"/>
  <c r="AM75" i="56"/>
  <c r="AN75" i="56"/>
  <c r="AO75" i="56"/>
  <c r="AP75" i="56"/>
  <c r="AQ75" i="56"/>
  <c r="AR75" i="56"/>
  <c r="AS75" i="56"/>
  <c r="AT75" i="56"/>
  <c r="AU75" i="56"/>
  <c r="AV75" i="56"/>
  <c r="AW75" i="56"/>
  <c r="AX75" i="56"/>
  <c r="AY75" i="56"/>
  <c r="AZ75" i="56"/>
  <c r="BA75" i="56"/>
  <c r="BB75" i="56"/>
  <c r="G76" i="56"/>
  <c r="H76" i="56"/>
  <c r="I76" i="56"/>
  <c r="J76" i="56"/>
  <c r="K76" i="56"/>
  <c r="L76" i="56"/>
  <c r="M76" i="56"/>
  <c r="N76" i="56"/>
  <c r="O76" i="56"/>
  <c r="P76" i="56"/>
  <c r="Q76" i="56"/>
  <c r="R76" i="56"/>
  <c r="S76" i="56"/>
  <c r="T76" i="56"/>
  <c r="U76" i="56"/>
  <c r="V76" i="56"/>
  <c r="W76" i="56"/>
  <c r="X76" i="56"/>
  <c r="Y76" i="56"/>
  <c r="Z76" i="56"/>
  <c r="AA76" i="56"/>
  <c r="AB76" i="56"/>
  <c r="AC76" i="56"/>
  <c r="AD76" i="56"/>
  <c r="AE76" i="56"/>
  <c r="AF76" i="56"/>
  <c r="AG76" i="56"/>
  <c r="AH76" i="56"/>
  <c r="AI76" i="56"/>
  <c r="AJ76" i="56"/>
  <c r="AK76" i="56"/>
  <c r="AL76" i="56"/>
  <c r="AM76" i="56"/>
  <c r="AN76" i="56"/>
  <c r="AO76" i="56"/>
  <c r="AP76" i="56"/>
  <c r="AQ76" i="56"/>
  <c r="AR76" i="56"/>
  <c r="AS76" i="56"/>
  <c r="AT76" i="56"/>
  <c r="AU76" i="56"/>
  <c r="AV76" i="56"/>
  <c r="AW76" i="56"/>
  <c r="AX76" i="56"/>
  <c r="AY76" i="56"/>
  <c r="AZ76" i="56"/>
  <c r="BA76" i="56"/>
  <c r="BB76" i="56"/>
  <c r="G77" i="56"/>
  <c r="H77" i="56"/>
  <c r="I77" i="56"/>
  <c r="J77" i="56"/>
  <c r="K77" i="56"/>
  <c r="L77" i="56"/>
  <c r="M77" i="56"/>
  <c r="N77" i="56"/>
  <c r="O77" i="56"/>
  <c r="P77" i="56"/>
  <c r="Q77" i="56"/>
  <c r="R77" i="56"/>
  <c r="S77" i="56"/>
  <c r="T77" i="56"/>
  <c r="U77" i="56"/>
  <c r="V77" i="56"/>
  <c r="W77" i="56"/>
  <c r="X77" i="56"/>
  <c r="Y77" i="56"/>
  <c r="Z77" i="56"/>
  <c r="AA77" i="56"/>
  <c r="AB77" i="56"/>
  <c r="AC77" i="56"/>
  <c r="AD77" i="56"/>
  <c r="AE77" i="56"/>
  <c r="AF77" i="56"/>
  <c r="AG77" i="56"/>
  <c r="AH77" i="56"/>
  <c r="AI77" i="56"/>
  <c r="AJ77" i="56"/>
  <c r="AK77" i="56"/>
  <c r="AL77" i="56"/>
  <c r="AM77" i="56"/>
  <c r="AN77" i="56"/>
  <c r="AO77" i="56"/>
  <c r="AP77" i="56"/>
  <c r="AQ77" i="56"/>
  <c r="AR77" i="56"/>
  <c r="AS77" i="56"/>
  <c r="AT77" i="56"/>
  <c r="AU77" i="56"/>
  <c r="AV77" i="56"/>
  <c r="AW77" i="56"/>
  <c r="AX77" i="56"/>
  <c r="AY77" i="56"/>
  <c r="AZ77" i="56"/>
  <c r="BA77" i="56"/>
  <c r="BB77" i="56"/>
  <c r="G78" i="56"/>
  <c r="H78" i="56"/>
  <c r="I78" i="56"/>
  <c r="J78" i="56"/>
  <c r="K78" i="56"/>
  <c r="L78" i="56"/>
  <c r="M78" i="56"/>
  <c r="N78" i="56"/>
  <c r="O78" i="56"/>
  <c r="P78" i="56"/>
  <c r="Q78" i="56"/>
  <c r="R78" i="56"/>
  <c r="S78" i="56"/>
  <c r="T78" i="56"/>
  <c r="BH78" i="56" s="1"/>
  <c r="U78" i="56"/>
  <c r="V78" i="56"/>
  <c r="W78" i="56"/>
  <c r="X78" i="56"/>
  <c r="Y78" i="56"/>
  <c r="Z78" i="56"/>
  <c r="AA78" i="56"/>
  <c r="AB78" i="56"/>
  <c r="AC78" i="56"/>
  <c r="AD78" i="56"/>
  <c r="AE78" i="56"/>
  <c r="AF78" i="56"/>
  <c r="AG78" i="56"/>
  <c r="AH78" i="56"/>
  <c r="AI78" i="56"/>
  <c r="AJ78" i="56"/>
  <c r="AK78" i="56"/>
  <c r="AL78" i="56"/>
  <c r="AM78" i="56"/>
  <c r="AN78" i="56"/>
  <c r="AO78" i="56"/>
  <c r="AP78" i="56"/>
  <c r="AQ78" i="56"/>
  <c r="AR78" i="56"/>
  <c r="AS78" i="56"/>
  <c r="AT78" i="56"/>
  <c r="AU78" i="56"/>
  <c r="AV78" i="56"/>
  <c r="AW78" i="56"/>
  <c r="AX78" i="56"/>
  <c r="AY78" i="56"/>
  <c r="AZ78" i="56"/>
  <c r="BA78" i="56"/>
  <c r="BB78" i="56"/>
  <c r="G79" i="56"/>
  <c r="H79" i="56"/>
  <c r="I79" i="56"/>
  <c r="J79" i="56"/>
  <c r="K79" i="56"/>
  <c r="L79" i="56"/>
  <c r="BF79" i="56" s="1"/>
  <c r="M79" i="56"/>
  <c r="N79" i="56"/>
  <c r="O79" i="56"/>
  <c r="P79" i="56"/>
  <c r="Q79" i="56"/>
  <c r="R79" i="56"/>
  <c r="S79" i="56"/>
  <c r="T79" i="56"/>
  <c r="U79" i="56"/>
  <c r="V79" i="56"/>
  <c r="W79" i="56"/>
  <c r="X79" i="56"/>
  <c r="Y79" i="56"/>
  <c r="Z79" i="56"/>
  <c r="AA79" i="56"/>
  <c r="AB79" i="56"/>
  <c r="AC79" i="56"/>
  <c r="AD79" i="56"/>
  <c r="AE79" i="56"/>
  <c r="AF79" i="56"/>
  <c r="AG79" i="56"/>
  <c r="AH79" i="56"/>
  <c r="AI79" i="56"/>
  <c r="AJ79" i="56"/>
  <c r="AK79" i="56"/>
  <c r="AL79" i="56"/>
  <c r="AM79" i="56"/>
  <c r="AN79" i="56"/>
  <c r="AO79" i="56"/>
  <c r="AP79" i="56"/>
  <c r="AQ79" i="56"/>
  <c r="AR79" i="56"/>
  <c r="AS79" i="56"/>
  <c r="AT79" i="56"/>
  <c r="AU79" i="56"/>
  <c r="AV79" i="56"/>
  <c r="AW79" i="56"/>
  <c r="AX79" i="56"/>
  <c r="AY79" i="56"/>
  <c r="AZ79" i="56"/>
  <c r="BA79" i="56"/>
  <c r="BB79" i="56"/>
  <c r="G80" i="56"/>
  <c r="H80" i="56"/>
  <c r="BE80" i="56" s="1"/>
  <c r="I80" i="56"/>
  <c r="J80" i="56"/>
  <c r="K80" i="56"/>
  <c r="L80" i="56"/>
  <c r="M80" i="56"/>
  <c r="N80" i="56"/>
  <c r="O80" i="56"/>
  <c r="P80" i="56"/>
  <c r="Q80" i="56"/>
  <c r="R80" i="56"/>
  <c r="S80" i="56"/>
  <c r="T80" i="56"/>
  <c r="U80" i="56"/>
  <c r="V80" i="56"/>
  <c r="W80" i="56"/>
  <c r="X80" i="56"/>
  <c r="Y80" i="56"/>
  <c r="Z80" i="56"/>
  <c r="AA80" i="56"/>
  <c r="AB80" i="56"/>
  <c r="AC80" i="56"/>
  <c r="AD80" i="56"/>
  <c r="AE80" i="56"/>
  <c r="AF80" i="56"/>
  <c r="AG80" i="56"/>
  <c r="AH80" i="56"/>
  <c r="AI80" i="56"/>
  <c r="AJ80" i="56"/>
  <c r="AK80" i="56"/>
  <c r="AL80" i="56"/>
  <c r="AM80" i="56"/>
  <c r="AN80" i="56"/>
  <c r="AO80" i="56"/>
  <c r="AP80" i="56"/>
  <c r="AQ80" i="56"/>
  <c r="AR80" i="56"/>
  <c r="AS80" i="56"/>
  <c r="AT80" i="56"/>
  <c r="AU80" i="56"/>
  <c r="AV80" i="56"/>
  <c r="AW80" i="56"/>
  <c r="AX80" i="56"/>
  <c r="AY80" i="56"/>
  <c r="AZ80" i="56"/>
  <c r="BA80" i="56"/>
  <c r="BB80" i="56"/>
  <c r="G81" i="56"/>
  <c r="H81" i="56"/>
  <c r="I81" i="56"/>
  <c r="J81" i="56"/>
  <c r="K81" i="56"/>
  <c r="L81" i="56"/>
  <c r="M81" i="56"/>
  <c r="N81" i="56"/>
  <c r="O81" i="56"/>
  <c r="P81" i="56"/>
  <c r="Q81" i="56"/>
  <c r="R81" i="56"/>
  <c r="S81" i="56"/>
  <c r="T81" i="56"/>
  <c r="U81" i="56"/>
  <c r="V81" i="56"/>
  <c r="W81" i="56"/>
  <c r="X81" i="56"/>
  <c r="Y81" i="56"/>
  <c r="Z81" i="56"/>
  <c r="AA81" i="56"/>
  <c r="AB81" i="56"/>
  <c r="AC81" i="56"/>
  <c r="AD81" i="56"/>
  <c r="AE81" i="56"/>
  <c r="AF81" i="56"/>
  <c r="AG81" i="56"/>
  <c r="AH81" i="56"/>
  <c r="AI81" i="56"/>
  <c r="AJ81" i="56"/>
  <c r="AK81" i="56"/>
  <c r="AL81" i="56"/>
  <c r="AM81" i="56"/>
  <c r="AN81" i="56"/>
  <c r="AO81" i="56"/>
  <c r="AP81" i="56"/>
  <c r="AQ81" i="56"/>
  <c r="AR81" i="56"/>
  <c r="BN81" i="56" s="1"/>
  <c r="AS81" i="56"/>
  <c r="AT81" i="56"/>
  <c r="AU81" i="56"/>
  <c r="AV81" i="56"/>
  <c r="AW81" i="56"/>
  <c r="AX81" i="56"/>
  <c r="AY81" i="56"/>
  <c r="AZ81" i="56"/>
  <c r="BA81" i="56"/>
  <c r="BB81" i="56"/>
  <c r="G82" i="56"/>
  <c r="H82" i="56"/>
  <c r="I82" i="56"/>
  <c r="J82" i="56"/>
  <c r="K82" i="56"/>
  <c r="L82" i="56"/>
  <c r="M82" i="56"/>
  <c r="N82" i="56"/>
  <c r="O82" i="56"/>
  <c r="P82" i="56"/>
  <c r="Q82" i="56"/>
  <c r="R82" i="56"/>
  <c r="S82" i="56"/>
  <c r="T82" i="56"/>
  <c r="U82" i="56"/>
  <c r="V82" i="56"/>
  <c r="W82" i="56"/>
  <c r="X82" i="56"/>
  <c r="Y82" i="56"/>
  <c r="Z82" i="56"/>
  <c r="AA82" i="56"/>
  <c r="AB82" i="56"/>
  <c r="AC82" i="56"/>
  <c r="AD82" i="56"/>
  <c r="AE82" i="56"/>
  <c r="AF82" i="56"/>
  <c r="AG82" i="56"/>
  <c r="AH82" i="56"/>
  <c r="AI82" i="56"/>
  <c r="AJ82" i="56"/>
  <c r="AK82" i="56"/>
  <c r="AL82" i="56"/>
  <c r="AM82" i="56"/>
  <c r="AN82" i="56"/>
  <c r="BM82" i="56" s="1"/>
  <c r="AO82" i="56"/>
  <c r="AP82" i="56"/>
  <c r="AQ82" i="56"/>
  <c r="AR82" i="56"/>
  <c r="AS82" i="56"/>
  <c r="AT82" i="56"/>
  <c r="AU82" i="56"/>
  <c r="AV82" i="56"/>
  <c r="AW82" i="56"/>
  <c r="AX82" i="56"/>
  <c r="G83" i="56"/>
  <c r="H83" i="56"/>
  <c r="I83" i="56"/>
  <c r="J83" i="56"/>
  <c r="K83" i="56"/>
  <c r="L83" i="56"/>
  <c r="M83" i="56"/>
  <c r="N83" i="56"/>
  <c r="O83" i="56"/>
  <c r="P83" i="56"/>
  <c r="Q83" i="56"/>
  <c r="R83" i="56"/>
  <c r="S83" i="56"/>
  <c r="T83" i="56"/>
  <c r="U83" i="56"/>
  <c r="V83" i="56"/>
  <c r="W83" i="56"/>
  <c r="X83" i="56"/>
  <c r="Y83" i="56"/>
  <c r="Z83" i="56"/>
  <c r="AA83" i="56"/>
  <c r="AB83" i="56"/>
  <c r="AC83" i="56"/>
  <c r="AD83" i="56"/>
  <c r="AE83" i="56"/>
  <c r="AF83" i="56"/>
  <c r="AG83" i="56"/>
  <c r="AH83" i="56"/>
  <c r="AI83" i="56"/>
  <c r="AJ83" i="56"/>
  <c r="AK83" i="56"/>
  <c r="AL83" i="56"/>
  <c r="AM83" i="56"/>
  <c r="AN83" i="56"/>
  <c r="BM83" i="56" s="1"/>
  <c r="AO83" i="56"/>
  <c r="AP83" i="56"/>
  <c r="AQ83" i="56"/>
  <c r="AR83" i="56"/>
  <c r="AS83" i="56"/>
  <c r="AT83" i="56"/>
  <c r="AU83" i="56"/>
  <c r="AV83" i="56"/>
  <c r="AW83" i="56"/>
  <c r="AX83" i="56"/>
  <c r="G84" i="56"/>
  <c r="H84" i="56"/>
  <c r="I84" i="56"/>
  <c r="J84" i="56"/>
  <c r="K84" i="56"/>
  <c r="L84" i="56"/>
  <c r="M84" i="56"/>
  <c r="N84" i="56"/>
  <c r="O84" i="56"/>
  <c r="P84" i="56"/>
  <c r="X66" i="47" s="1"/>
  <c r="Q84" i="56"/>
  <c r="R84" i="56"/>
  <c r="S84" i="56"/>
  <c r="T84" i="56"/>
  <c r="Z66" i="47" s="1"/>
  <c r="U84" i="56"/>
  <c r="V84" i="56"/>
  <c r="W84" i="56"/>
  <c r="X84" i="56"/>
  <c r="AE66" i="47" s="1"/>
  <c r="Y84" i="56"/>
  <c r="Z84" i="56"/>
  <c r="AA84" i="56"/>
  <c r="AB84" i="56"/>
  <c r="AJ66" i="47" s="1"/>
  <c r="AC84" i="56"/>
  <c r="AD84" i="56"/>
  <c r="AE84" i="56"/>
  <c r="AF84" i="56"/>
  <c r="AO66" i="47" s="1"/>
  <c r="AG84" i="56"/>
  <c r="AH84" i="56"/>
  <c r="AI84" i="56"/>
  <c r="AJ84" i="56"/>
  <c r="BL84" i="56" s="1"/>
  <c r="AK84" i="56"/>
  <c r="AL84" i="56"/>
  <c r="AM84" i="56"/>
  <c r="AV66" i="47" s="1"/>
  <c r="AN84" i="56"/>
  <c r="AY66" i="47" s="1"/>
  <c r="AO84" i="56"/>
  <c r="AP84" i="56"/>
  <c r="AQ84" i="56"/>
  <c r="AR84" i="56"/>
  <c r="BD66" i="47" s="1"/>
  <c r="AS84" i="56"/>
  <c r="AT84" i="56"/>
  <c r="AU84" i="56"/>
  <c r="AV84" i="56"/>
  <c r="BI66" i="47" s="1"/>
  <c r="AW84" i="56"/>
  <c r="AX84" i="56"/>
  <c r="G85" i="56"/>
  <c r="H85" i="56"/>
  <c r="I85" i="56"/>
  <c r="J85" i="56"/>
  <c r="K85" i="56"/>
  <c r="L85" i="56"/>
  <c r="M85" i="56"/>
  <c r="N85" i="56"/>
  <c r="O85" i="56"/>
  <c r="P85" i="56"/>
  <c r="Q85" i="56"/>
  <c r="R85" i="56"/>
  <c r="S85" i="56"/>
  <c r="T85" i="56"/>
  <c r="U85" i="56"/>
  <c r="V85" i="56"/>
  <c r="W85" i="56"/>
  <c r="X85" i="56"/>
  <c r="Y85" i="56"/>
  <c r="Z85" i="56"/>
  <c r="AA85" i="56"/>
  <c r="AB85" i="56"/>
  <c r="BJ85" i="56" s="1"/>
  <c r="AC85" i="56"/>
  <c r="AD85" i="56"/>
  <c r="AE85" i="56"/>
  <c r="AF85" i="56"/>
  <c r="AG85" i="56"/>
  <c r="AH85" i="56"/>
  <c r="AI85" i="56"/>
  <c r="AJ85" i="56"/>
  <c r="AK85" i="56"/>
  <c r="AL85" i="56"/>
  <c r="AM85" i="56"/>
  <c r="AN85" i="56"/>
  <c r="AO85" i="56"/>
  <c r="AP85" i="56"/>
  <c r="AQ85" i="56"/>
  <c r="AR85" i="56"/>
  <c r="AS85" i="56"/>
  <c r="AT85" i="56"/>
  <c r="AU85" i="56"/>
  <c r="AV85" i="56"/>
  <c r="AW85" i="56"/>
  <c r="AX85" i="56"/>
  <c r="G86" i="56"/>
  <c r="H86" i="56"/>
  <c r="I86" i="56"/>
  <c r="J86" i="56"/>
  <c r="K86" i="56"/>
  <c r="L86" i="56"/>
  <c r="M86" i="56"/>
  <c r="N86" i="56"/>
  <c r="O86" i="56"/>
  <c r="P86" i="56"/>
  <c r="BG86" i="56" s="1"/>
  <c r="Q86" i="56"/>
  <c r="R86" i="56"/>
  <c r="S86" i="56"/>
  <c r="T86" i="56"/>
  <c r="U86" i="56"/>
  <c r="V86" i="56"/>
  <c r="W86" i="56"/>
  <c r="X86" i="56"/>
  <c r="Y86" i="56"/>
  <c r="Z86" i="56"/>
  <c r="AA86" i="56"/>
  <c r="AB86" i="56"/>
  <c r="AC86" i="56"/>
  <c r="AD86" i="56"/>
  <c r="AE86" i="56"/>
  <c r="AF86" i="56"/>
  <c r="AG86" i="56"/>
  <c r="AH86" i="56"/>
  <c r="AI86" i="56"/>
  <c r="AJ86" i="56"/>
  <c r="AK86" i="56"/>
  <c r="AL86" i="56"/>
  <c r="AM86" i="56"/>
  <c r="AN86" i="56"/>
  <c r="AO86" i="56"/>
  <c r="AP86" i="56"/>
  <c r="AQ86" i="56"/>
  <c r="AR86" i="56"/>
  <c r="AS86" i="56"/>
  <c r="AT86" i="56"/>
  <c r="AU86" i="56"/>
  <c r="AV86" i="56"/>
  <c r="BO86" i="56" s="1"/>
  <c r="AW86" i="56"/>
  <c r="AX86" i="56"/>
  <c r="G87" i="56"/>
  <c r="H87" i="56"/>
  <c r="I87" i="56"/>
  <c r="J87" i="56"/>
  <c r="K87" i="56"/>
  <c r="L87" i="56"/>
  <c r="M87" i="56"/>
  <c r="N87" i="56"/>
  <c r="O87" i="56"/>
  <c r="P87" i="56"/>
  <c r="Q87" i="56"/>
  <c r="R87" i="56"/>
  <c r="S87" i="56"/>
  <c r="T87" i="56"/>
  <c r="U87" i="56"/>
  <c r="V87" i="56"/>
  <c r="W87" i="56"/>
  <c r="X87" i="56"/>
  <c r="Y87" i="56"/>
  <c r="Z87" i="56"/>
  <c r="AA87" i="56"/>
  <c r="AB87" i="56"/>
  <c r="AC87" i="56"/>
  <c r="AD87" i="56"/>
  <c r="AE87" i="56"/>
  <c r="AF87" i="56"/>
  <c r="AG87" i="56"/>
  <c r="AH87" i="56"/>
  <c r="AI87" i="56"/>
  <c r="AJ87" i="56"/>
  <c r="AK87" i="56"/>
  <c r="AL87" i="56"/>
  <c r="AM87" i="56"/>
  <c r="AN87" i="56"/>
  <c r="AO87" i="56"/>
  <c r="AP87" i="56"/>
  <c r="AQ87" i="56"/>
  <c r="AR87" i="56"/>
  <c r="AS87" i="56"/>
  <c r="AT87" i="56"/>
  <c r="AU87" i="56"/>
  <c r="AV87" i="56"/>
  <c r="AW87" i="56"/>
  <c r="AX87" i="56"/>
  <c r="AY87" i="56"/>
  <c r="AZ87" i="56"/>
  <c r="BA87" i="56"/>
  <c r="BB87" i="56"/>
  <c r="G88" i="56"/>
  <c r="H88" i="56"/>
  <c r="I88" i="56"/>
  <c r="J88" i="56"/>
  <c r="K88" i="56"/>
  <c r="L88" i="56"/>
  <c r="M88" i="56"/>
  <c r="N88" i="56"/>
  <c r="O88" i="56"/>
  <c r="P88" i="56"/>
  <c r="Q88" i="56"/>
  <c r="R88" i="56"/>
  <c r="S88" i="56"/>
  <c r="T88" i="56"/>
  <c r="BH88" i="56" s="1"/>
  <c r="U88" i="56"/>
  <c r="V88" i="56"/>
  <c r="W88" i="56"/>
  <c r="X88" i="56"/>
  <c r="Y88" i="56"/>
  <c r="Z88" i="56"/>
  <c r="AA88" i="56"/>
  <c r="AB88" i="56"/>
  <c r="AC88" i="56"/>
  <c r="AD88" i="56"/>
  <c r="AE88" i="56"/>
  <c r="AF88" i="56"/>
  <c r="AG88" i="56"/>
  <c r="AH88" i="56"/>
  <c r="AI88" i="56"/>
  <c r="AJ88" i="56"/>
  <c r="AK88" i="56"/>
  <c r="AL88" i="56"/>
  <c r="AM88" i="56"/>
  <c r="AN88" i="56"/>
  <c r="AO88" i="56"/>
  <c r="AP88" i="56"/>
  <c r="AQ88" i="56"/>
  <c r="AR88" i="56"/>
  <c r="AS88" i="56"/>
  <c r="AT88" i="56"/>
  <c r="AU88" i="56"/>
  <c r="AV88" i="56"/>
  <c r="AW88" i="56"/>
  <c r="AX88" i="56"/>
  <c r="AY88" i="56"/>
  <c r="AZ88" i="56"/>
  <c r="BP88" i="56" s="1"/>
  <c r="BW73" i="56" s="1"/>
  <c r="BA88" i="56"/>
  <c r="BB88" i="56"/>
  <c r="G89" i="56"/>
  <c r="H89" i="56"/>
  <c r="I89" i="56"/>
  <c r="J89" i="56"/>
  <c r="K89" i="56"/>
  <c r="L89" i="56"/>
  <c r="M89" i="56"/>
  <c r="N89" i="56"/>
  <c r="O89" i="56"/>
  <c r="P89" i="56"/>
  <c r="Q89" i="56"/>
  <c r="R89" i="56"/>
  <c r="S89" i="56"/>
  <c r="T89" i="56"/>
  <c r="U89" i="56"/>
  <c r="V89" i="56"/>
  <c r="W89" i="56"/>
  <c r="X89" i="56"/>
  <c r="Y89" i="56"/>
  <c r="Z89" i="56"/>
  <c r="AA89" i="56"/>
  <c r="AB89" i="56"/>
  <c r="AC89" i="56"/>
  <c r="AD89" i="56"/>
  <c r="AE89" i="56"/>
  <c r="AF89" i="56"/>
  <c r="AG89" i="56"/>
  <c r="AH89" i="56"/>
  <c r="AI89" i="56"/>
  <c r="AJ89" i="56"/>
  <c r="BL89" i="56" s="1"/>
  <c r="AK89" i="56"/>
  <c r="AL89" i="56"/>
  <c r="AM89" i="56"/>
  <c r="AN89" i="56"/>
  <c r="AO89" i="56"/>
  <c r="AP89" i="56"/>
  <c r="AQ89" i="56"/>
  <c r="AR89" i="56"/>
  <c r="AS89" i="56"/>
  <c r="AT89" i="56"/>
  <c r="AU89" i="56"/>
  <c r="AV89" i="56"/>
  <c r="AW89" i="56"/>
  <c r="AX89" i="56"/>
  <c r="AY89" i="56"/>
  <c r="AZ89" i="56"/>
  <c r="BA89" i="56"/>
  <c r="BB89" i="56"/>
  <c r="G90" i="56"/>
  <c r="H90" i="56"/>
  <c r="I90" i="56"/>
  <c r="J90" i="56"/>
  <c r="K90" i="56"/>
  <c r="L90" i="56"/>
  <c r="M90" i="56"/>
  <c r="N90" i="56"/>
  <c r="O90" i="56"/>
  <c r="P90" i="56"/>
  <c r="Q90" i="56"/>
  <c r="R90" i="56"/>
  <c r="S90" i="56"/>
  <c r="T90" i="56"/>
  <c r="BH90" i="56" s="1"/>
  <c r="U90" i="56"/>
  <c r="V90" i="56"/>
  <c r="W90" i="56"/>
  <c r="X90" i="56"/>
  <c r="Y90" i="56"/>
  <c r="Z90" i="56"/>
  <c r="AA90" i="56"/>
  <c r="AB90" i="56"/>
  <c r="AC90" i="56"/>
  <c r="AD90" i="56"/>
  <c r="AE90" i="56"/>
  <c r="AF90" i="56"/>
  <c r="AG90" i="56"/>
  <c r="AH90" i="56"/>
  <c r="AI90" i="56"/>
  <c r="AJ90" i="56"/>
  <c r="AK90" i="56"/>
  <c r="AL90" i="56"/>
  <c r="AM90" i="56"/>
  <c r="AN90" i="56"/>
  <c r="AO90" i="56"/>
  <c r="AP90" i="56"/>
  <c r="AQ90" i="56"/>
  <c r="AR90" i="56"/>
  <c r="AS90" i="56"/>
  <c r="AT90" i="56"/>
  <c r="AU90" i="56"/>
  <c r="AV90" i="56"/>
  <c r="AW90" i="56"/>
  <c r="AX90" i="56"/>
  <c r="AY90" i="56"/>
  <c r="AZ90" i="56"/>
  <c r="BP90" i="56" s="1"/>
  <c r="BA90" i="56"/>
  <c r="BB90" i="56"/>
  <c r="G91" i="56"/>
  <c r="H91" i="56"/>
  <c r="I91" i="56"/>
  <c r="J91" i="56"/>
  <c r="K91" i="56"/>
  <c r="L91" i="56"/>
  <c r="M91" i="56"/>
  <c r="N91" i="56"/>
  <c r="O91" i="56"/>
  <c r="P91" i="56"/>
  <c r="Q91" i="56"/>
  <c r="R91" i="56"/>
  <c r="S91" i="56"/>
  <c r="T91" i="56"/>
  <c r="U91" i="56"/>
  <c r="V91" i="56"/>
  <c r="W91" i="56"/>
  <c r="X91" i="56"/>
  <c r="Y91" i="56"/>
  <c r="Z91" i="56"/>
  <c r="AA91" i="56"/>
  <c r="AB91" i="56"/>
  <c r="AC91" i="56"/>
  <c r="AD91" i="56"/>
  <c r="AE91" i="56"/>
  <c r="AF91" i="56"/>
  <c r="AG91" i="56"/>
  <c r="AH91" i="56"/>
  <c r="AI91" i="56"/>
  <c r="AJ91" i="56"/>
  <c r="BL91" i="56" s="1"/>
  <c r="AK91" i="56"/>
  <c r="AL91" i="56"/>
  <c r="AM91" i="56"/>
  <c r="AN91" i="56"/>
  <c r="AO91" i="56"/>
  <c r="AP91" i="56"/>
  <c r="AQ91" i="56"/>
  <c r="AR91" i="56"/>
  <c r="AS91" i="56"/>
  <c r="AT91" i="56"/>
  <c r="AU91" i="56"/>
  <c r="AV91" i="56"/>
  <c r="AW91" i="56"/>
  <c r="AX91" i="56"/>
  <c r="AY91" i="56"/>
  <c r="AZ91" i="56"/>
  <c r="BA91" i="56"/>
  <c r="BB91" i="56"/>
  <c r="G92" i="56"/>
  <c r="H92" i="56"/>
  <c r="I92" i="56"/>
  <c r="J92" i="56"/>
  <c r="K92" i="56"/>
  <c r="L92" i="56"/>
  <c r="M92" i="56"/>
  <c r="N92" i="56"/>
  <c r="O92" i="56"/>
  <c r="P92" i="56"/>
  <c r="Q92" i="56"/>
  <c r="R92" i="56"/>
  <c r="S92" i="56"/>
  <c r="T92" i="56"/>
  <c r="BH92" i="56" s="1"/>
  <c r="U92" i="56"/>
  <c r="V92" i="56"/>
  <c r="W92" i="56"/>
  <c r="X92" i="56"/>
  <c r="Y92" i="56"/>
  <c r="Z92" i="56"/>
  <c r="AA92" i="56"/>
  <c r="AB92" i="56"/>
  <c r="AC92" i="56"/>
  <c r="AD92" i="56"/>
  <c r="AE92" i="56"/>
  <c r="AF92" i="56"/>
  <c r="AG92" i="56"/>
  <c r="AH92" i="56"/>
  <c r="AI92" i="56"/>
  <c r="AJ92" i="56"/>
  <c r="AK92" i="56"/>
  <c r="AL92" i="56"/>
  <c r="AM92" i="56"/>
  <c r="AN92" i="56"/>
  <c r="AO92" i="56"/>
  <c r="AP92" i="56"/>
  <c r="AQ92" i="56"/>
  <c r="AR92" i="56"/>
  <c r="AS92" i="56"/>
  <c r="AT92" i="56"/>
  <c r="AU92" i="56"/>
  <c r="AV92" i="56"/>
  <c r="AW92" i="56"/>
  <c r="AX92" i="56"/>
  <c r="AY92" i="56"/>
  <c r="AZ92" i="56"/>
  <c r="BA92" i="56"/>
  <c r="BB92" i="56"/>
  <c r="G93" i="56"/>
  <c r="H93" i="56"/>
  <c r="I93" i="56"/>
  <c r="J93" i="56"/>
  <c r="K93" i="56"/>
  <c r="L93" i="56"/>
  <c r="M93" i="56"/>
  <c r="N93" i="56"/>
  <c r="O93" i="56"/>
  <c r="P93" i="56"/>
  <c r="Q93" i="56"/>
  <c r="R93" i="56"/>
  <c r="S93" i="56"/>
  <c r="T93" i="56"/>
  <c r="U93" i="56"/>
  <c r="V93" i="56"/>
  <c r="W93" i="56"/>
  <c r="X93" i="56"/>
  <c r="Y93" i="56"/>
  <c r="Z93" i="56"/>
  <c r="AA93" i="56"/>
  <c r="AB93" i="56"/>
  <c r="AC93" i="56"/>
  <c r="AD93" i="56"/>
  <c r="AE93" i="56"/>
  <c r="AF93" i="56"/>
  <c r="AG93" i="56"/>
  <c r="AH93" i="56"/>
  <c r="AI93" i="56"/>
  <c r="AJ93" i="56"/>
  <c r="BL93" i="56" s="1"/>
  <c r="AK93" i="56"/>
  <c r="AL93" i="56"/>
  <c r="AM93" i="56"/>
  <c r="AN93" i="56"/>
  <c r="AO93" i="56"/>
  <c r="AP93" i="56"/>
  <c r="AQ93" i="56"/>
  <c r="AR93" i="56"/>
  <c r="AS93" i="56"/>
  <c r="AT93" i="56"/>
  <c r="AU93" i="56"/>
  <c r="AV93" i="56"/>
  <c r="AW93" i="56"/>
  <c r="AX93" i="56"/>
  <c r="AY93" i="56"/>
  <c r="AZ93" i="56"/>
  <c r="BA93" i="56"/>
  <c r="BB93" i="56"/>
  <c r="G94" i="56"/>
  <c r="H94" i="56"/>
  <c r="I94" i="56"/>
  <c r="J94" i="56"/>
  <c r="K94" i="56"/>
  <c r="L94" i="56"/>
  <c r="M94" i="56"/>
  <c r="N94" i="56"/>
  <c r="O94" i="56"/>
  <c r="P94" i="56"/>
  <c r="Q94" i="56"/>
  <c r="R94" i="56"/>
  <c r="S94" i="56"/>
  <c r="T94" i="56"/>
  <c r="U94" i="56"/>
  <c r="V94" i="56"/>
  <c r="W94" i="56"/>
  <c r="X94" i="56"/>
  <c r="Y94" i="56"/>
  <c r="Z94" i="56"/>
  <c r="AA94" i="56"/>
  <c r="AB94" i="56"/>
  <c r="AC94" i="56"/>
  <c r="AD94" i="56"/>
  <c r="AE94" i="56"/>
  <c r="AF94" i="56"/>
  <c r="AG94" i="56"/>
  <c r="AH94" i="56"/>
  <c r="AI94" i="56"/>
  <c r="AJ94" i="56"/>
  <c r="AK94" i="56"/>
  <c r="AL94" i="56"/>
  <c r="AM94" i="56"/>
  <c r="AN94" i="56"/>
  <c r="AO94" i="56"/>
  <c r="AP94" i="56"/>
  <c r="AQ94" i="56"/>
  <c r="AR94" i="56"/>
  <c r="AS94" i="56"/>
  <c r="AT94" i="56"/>
  <c r="AU94" i="56"/>
  <c r="AV94" i="56"/>
  <c r="AW94" i="56"/>
  <c r="AX94" i="56"/>
  <c r="AY94" i="56"/>
  <c r="AZ94" i="56"/>
  <c r="BA94" i="56"/>
  <c r="BB94" i="56"/>
  <c r="G95" i="56"/>
  <c r="H95" i="56"/>
  <c r="I95" i="56"/>
  <c r="J95" i="56"/>
  <c r="K95" i="56"/>
  <c r="L95" i="56"/>
  <c r="M95" i="56"/>
  <c r="N95" i="56"/>
  <c r="O95" i="56"/>
  <c r="P95" i="56"/>
  <c r="Q95" i="56"/>
  <c r="R95" i="56"/>
  <c r="S95" i="56"/>
  <c r="T95" i="56"/>
  <c r="U95" i="56"/>
  <c r="V95" i="56"/>
  <c r="W95" i="56"/>
  <c r="X95" i="56"/>
  <c r="Y95" i="56"/>
  <c r="Z95" i="56"/>
  <c r="AA95" i="56"/>
  <c r="AB95" i="56"/>
  <c r="AC95" i="56"/>
  <c r="AD95" i="56"/>
  <c r="AE95" i="56"/>
  <c r="AF95" i="56"/>
  <c r="AG95" i="56"/>
  <c r="AH95" i="56"/>
  <c r="AI95" i="56"/>
  <c r="AJ95" i="56"/>
  <c r="AK95" i="56"/>
  <c r="AL95" i="56"/>
  <c r="AM95" i="56"/>
  <c r="AN95" i="56"/>
  <c r="AO95" i="56"/>
  <c r="AP95" i="56"/>
  <c r="AQ95" i="56"/>
  <c r="AR95" i="56"/>
  <c r="AS95" i="56"/>
  <c r="AT95" i="56"/>
  <c r="AU95" i="56"/>
  <c r="AV95" i="56"/>
  <c r="AW95" i="56"/>
  <c r="AX95" i="56"/>
  <c r="AY95" i="56"/>
  <c r="AZ95" i="56"/>
  <c r="BA95" i="56"/>
  <c r="BB95" i="56"/>
  <c r="G96" i="56"/>
  <c r="H96" i="56"/>
  <c r="I96" i="56"/>
  <c r="J96" i="56"/>
  <c r="K96" i="56"/>
  <c r="L96" i="56"/>
  <c r="M96" i="56"/>
  <c r="N96" i="56"/>
  <c r="O96" i="56"/>
  <c r="P96" i="56"/>
  <c r="Q96" i="56"/>
  <c r="R96" i="56"/>
  <c r="S96" i="56"/>
  <c r="T96" i="56"/>
  <c r="U96" i="56"/>
  <c r="V96" i="56"/>
  <c r="W96" i="56"/>
  <c r="X96" i="56"/>
  <c r="Y96" i="56"/>
  <c r="Z96" i="56"/>
  <c r="AA96" i="56"/>
  <c r="AB96" i="56"/>
  <c r="AC96" i="56"/>
  <c r="AD96" i="56"/>
  <c r="AE96" i="56"/>
  <c r="AF96" i="56"/>
  <c r="AG96" i="56"/>
  <c r="AH96" i="56"/>
  <c r="AI96" i="56"/>
  <c r="AJ96" i="56"/>
  <c r="BL96" i="56" s="1"/>
  <c r="AK96" i="56"/>
  <c r="AL96" i="56"/>
  <c r="AM96" i="56"/>
  <c r="AN96" i="56"/>
  <c r="AO96" i="56"/>
  <c r="AP96" i="56"/>
  <c r="AQ96" i="56"/>
  <c r="AR96" i="56"/>
  <c r="AS96" i="56"/>
  <c r="AT96" i="56"/>
  <c r="AU96" i="56"/>
  <c r="AV96" i="56"/>
  <c r="AW96" i="56"/>
  <c r="AX96" i="56"/>
  <c r="AY96" i="56"/>
  <c r="AZ96" i="56"/>
  <c r="BA96" i="56"/>
  <c r="BB96" i="56"/>
  <c r="G97" i="56"/>
  <c r="H97" i="56"/>
  <c r="I97" i="56"/>
  <c r="J97" i="56"/>
  <c r="K97" i="56"/>
  <c r="L97" i="56"/>
  <c r="M97" i="56"/>
  <c r="N97" i="56"/>
  <c r="O97" i="56"/>
  <c r="P97" i="56"/>
  <c r="Q97" i="56"/>
  <c r="R97" i="56"/>
  <c r="S97" i="56"/>
  <c r="T97" i="56"/>
  <c r="BH97" i="56" s="1"/>
  <c r="U97" i="56"/>
  <c r="V97" i="56"/>
  <c r="W97" i="56"/>
  <c r="X97" i="56"/>
  <c r="Y97" i="56"/>
  <c r="Z97" i="56"/>
  <c r="AA97" i="56"/>
  <c r="AB97" i="56"/>
  <c r="AC97" i="56"/>
  <c r="AD97" i="56"/>
  <c r="AE97" i="56"/>
  <c r="AF97" i="56"/>
  <c r="AG97" i="56"/>
  <c r="AH97" i="56"/>
  <c r="AI97" i="56"/>
  <c r="AJ97" i="56"/>
  <c r="AK97" i="56"/>
  <c r="AL97" i="56"/>
  <c r="AM97" i="56"/>
  <c r="AN97" i="56"/>
  <c r="AO97" i="56"/>
  <c r="AP97" i="56"/>
  <c r="AQ97" i="56"/>
  <c r="AR97" i="56"/>
  <c r="AS97" i="56"/>
  <c r="AT97" i="56"/>
  <c r="AU97" i="56"/>
  <c r="AV97" i="56"/>
  <c r="AW97" i="56"/>
  <c r="AX97" i="56"/>
  <c r="AY97" i="56"/>
  <c r="AZ97" i="56"/>
  <c r="BP97" i="56" s="1"/>
  <c r="BA97" i="56"/>
  <c r="BB97" i="56"/>
  <c r="G98" i="56"/>
  <c r="H98" i="56"/>
  <c r="I98" i="56"/>
  <c r="J98" i="56"/>
  <c r="K98" i="56"/>
  <c r="L98" i="56"/>
  <c r="M98" i="56"/>
  <c r="N98" i="56"/>
  <c r="O98" i="56"/>
  <c r="P98" i="56"/>
  <c r="Q98" i="56"/>
  <c r="R98" i="56"/>
  <c r="S98" i="56"/>
  <c r="T98" i="56"/>
  <c r="U98" i="56"/>
  <c r="V98" i="56"/>
  <c r="W98" i="56"/>
  <c r="X98" i="56"/>
  <c r="Y98" i="56"/>
  <c r="Z98" i="56"/>
  <c r="AA98" i="56"/>
  <c r="AB98" i="56"/>
  <c r="AC98" i="56"/>
  <c r="AD98" i="56"/>
  <c r="AE98" i="56"/>
  <c r="AF98" i="56"/>
  <c r="AG98" i="56"/>
  <c r="AH98" i="56"/>
  <c r="AI98" i="56"/>
  <c r="AJ98" i="56"/>
  <c r="BL98" i="56" s="1"/>
  <c r="AK98" i="56"/>
  <c r="AL98" i="56"/>
  <c r="AM98" i="56"/>
  <c r="AN98" i="56"/>
  <c r="AO98" i="56"/>
  <c r="AP98" i="56"/>
  <c r="AQ98" i="56"/>
  <c r="AR98" i="56"/>
  <c r="AS98" i="56"/>
  <c r="AT98" i="56"/>
  <c r="AU98" i="56"/>
  <c r="AV98" i="56"/>
  <c r="AW98" i="56"/>
  <c r="AX98" i="56"/>
  <c r="AY98" i="56"/>
  <c r="AZ98" i="56"/>
  <c r="BA98" i="56"/>
  <c r="BB98" i="56"/>
  <c r="G99" i="56"/>
  <c r="H99" i="56"/>
  <c r="I99" i="56"/>
  <c r="J99" i="56"/>
  <c r="K99" i="56"/>
  <c r="L99" i="56"/>
  <c r="M99" i="56"/>
  <c r="N99" i="56"/>
  <c r="O99" i="56"/>
  <c r="P99" i="56"/>
  <c r="Q99" i="56"/>
  <c r="R99" i="56"/>
  <c r="S99" i="56"/>
  <c r="T99" i="56"/>
  <c r="BH99" i="56" s="1"/>
  <c r="U99" i="56"/>
  <c r="V99" i="56"/>
  <c r="W99" i="56"/>
  <c r="X99" i="56"/>
  <c r="Y99" i="56"/>
  <c r="Z99" i="56"/>
  <c r="AA99" i="56"/>
  <c r="AB99" i="56"/>
  <c r="AC99" i="56"/>
  <c r="AD99" i="56"/>
  <c r="AE99" i="56"/>
  <c r="AF99" i="56"/>
  <c r="AG99" i="56"/>
  <c r="AH99" i="56"/>
  <c r="AI99" i="56"/>
  <c r="AJ99" i="56"/>
  <c r="AK99" i="56"/>
  <c r="AL99" i="56"/>
  <c r="AM99" i="56"/>
  <c r="AN99" i="56"/>
  <c r="AO99" i="56"/>
  <c r="AP99" i="56"/>
  <c r="AQ99" i="56"/>
  <c r="AR99" i="56"/>
  <c r="AS99" i="56"/>
  <c r="AT99" i="56"/>
  <c r="AU99" i="56"/>
  <c r="AV99" i="56"/>
  <c r="AW99" i="56"/>
  <c r="AX99" i="56"/>
  <c r="AY99" i="56"/>
  <c r="AZ99" i="56"/>
  <c r="BA99" i="56"/>
  <c r="BB99" i="56"/>
  <c r="G100" i="56"/>
  <c r="H100" i="56"/>
  <c r="I100" i="56"/>
  <c r="J100" i="56"/>
  <c r="K100" i="56"/>
  <c r="L100" i="56"/>
  <c r="M100" i="56"/>
  <c r="N100" i="56"/>
  <c r="O100" i="56"/>
  <c r="P100" i="56"/>
  <c r="BG100" i="56" s="1"/>
  <c r="Q100" i="56"/>
  <c r="R100" i="56"/>
  <c r="S100" i="56"/>
  <c r="T100" i="56"/>
  <c r="U100" i="56"/>
  <c r="V100" i="56"/>
  <c r="W100" i="56"/>
  <c r="X100" i="56"/>
  <c r="Y100" i="56"/>
  <c r="Z100" i="56"/>
  <c r="AA100" i="56"/>
  <c r="AB100" i="56"/>
  <c r="AC100" i="56"/>
  <c r="AD100" i="56"/>
  <c r="AE100" i="56"/>
  <c r="AF100" i="56"/>
  <c r="AG100" i="56"/>
  <c r="AH100" i="56"/>
  <c r="AI100" i="56"/>
  <c r="AJ100" i="56"/>
  <c r="BL100" i="56" s="1"/>
  <c r="AK100" i="56"/>
  <c r="AL100" i="56"/>
  <c r="AQ100" i="56"/>
  <c r="AR100" i="56"/>
  <c r="AS100" i="56"/>
  <c r="AT100" i="56"/>
  <c r="AU100" i="56"/>
  <c r="AV100" i="56"/>
  <c r="AW100" i="56"/>
  <c r="AX100" i="56"/>
  <c r="G101" i="56"/>
  <c r="H101" i="56"/>
  <c r="I101" i="56"/>
  <c r="J101" i="56"/>
  <c r="K101" i="56"/>
  <c r="L101" i="56"/>
  <c r="M101" i="56"/>
  <c r="N101" i="56"/>
  <c r="O101" i="56"/>
  <c r="P101" i="56"/>
  <c r="BG101" i="56" s="1"/>
  <c r="Q101" i="56"/>
  <c r="R101" i="56"/>
  <c r="S101" i="56"/>
  <c r="T101" i="56"/>
  <c r="U101" i="56"/>
  <c r="V101" i="56"/>
  <c r="W101" i="56"/>
  <c r="X101" i="56"/>
  <c r="Y101" i="56"/>
  <c r="Z101" i="56"/>
  <c r="AA101" i="56"/>
  <c r="AB101" i="56"/>
  <c r="AC101" i="56"/>
  <c r="AD101" i="56"/>
  <c r="AE101" i="56"/>
  <c r="AF101" i="56"/>
  <c r="BK101" i="56" s="1"/>
  <c r="AG101" i="56"/>
  <c r="AH101" i="56"/>
  <c r="AI101" i="56"/>
  <c r="AJ101" i="56"/>
  <c r="AK101" i="56"/>
  <c r="AL101" i="56"/>
  <c r="AQ101" i="56"/>
  <c r="AR101" i="56"/>
  <c r="AS101" i="56"/>
  <c r="AT101" i="56"/>
  <c r="AU101" i="56"/>
  <c r="AV101" i="56"/>
  <c r="AW101" i="56"/>
  <c r="AX101" i="56"/>
  <c r="G102" i="56"/>
  <c r="H102" i="56"/>
  <c r="BE102" i="56" s="1"/>
  <c r="I102" i="56"/>
  <c r="J102" i="56"/>
  <c r="K102" i="56"/>
  <c r="L102" i="56"/>
  <c r="M102" i="56"/>
  <c r="N102" i="56"/>
  <c r="O102" i="56"/>
  <c r="P102" i="56"/>
  <c r="X67" i="47" s="1"/>
  <c r="Q102" i="56"/>
  <c r="R102" i="56"/>
  <c r="S102" i="56"/>
  <c r="T102" i="56"/>
  <c r="Z67" i="47" s="1"/>
  <c r="U102" i="56"/>
  <c r="V102" i="56"/>
  <c r="W102" i="56"/>
  <c r="X102" i="56"/>
  <c r="BI102" i="56" s="1"/>
  <c r="Y102" i="56"/>
  <c r="Z102" i="56"/>
  <c r="AA102" i="56"/>
  <c r="AB102" i="56"/>
  <c r="AJ67" i="47" s="1"/>
  <c r="AC102" i="56"/>
  <c r="AD102" i="56"/>
  <c r="AE102" i="56"/>
  <c r="AF102" i="56"/>
  <c r="AO67" i="47" s="1"/>
  <c r="AG102" i="56"/>
  <c r="AH102" i="56"/>
  <c r="AI102" i="56"/>
  <c r="AJ102" i="56"/>
  <c r="AT67" i="47" s="1"/>
  <c r="AK102" i="56"/>
  <c r="AL102" i="56"/>
  <c r="AQ102" i="56"/>
  <c r="AR102" i="56"/>
  <c r="BN102" i="56" s="1"/>
  <c r="AS102" i="56"/>
  <c r="AT102" i="56"/>
  <c r="AU102" i="56"/>
  <c r="AV102" i="56"/>
  <c r="BI67" i="47" s="1"/>
  <c r="AW102" i="56"/>
  <c r="AX102" i="56"/>
  <c r="G103" i="56"/>
  <c r="H103" i="56"/>
  <c r="I103" i="56"/>
  <c r="J103" i="56"/>
  <c r="K103" i="56"/>
  <c r="L103" i="56"/>
  <c r="M103" i="56"/>
  <c r="N103" i="56"/>
  <c r="O103" i="56"/>
  <c r="P103" i="56"/>
  <c r="Q103" i="56"/>
  <c r="R103" i="56"/>
  <c r="S103" i="56"/>
  <c r="T103" i="56"/>
  <c r="U103" i="56"/>
  <c r="V103" i="56"/>
  <c r="W103" i="56"/>
  <c r="X103" i="56"/>
  <c r="Y103" i="56"/>
  <c r="Z103" i="56"/>
  <c r="AA103" i="56"/>
  <c r="AB103" i="56"/>
  <c r="AC103" i="56"/>
  <c r="AD103" i="56"/>
  <c r="AE103" i="56"/>
  <c r="AF103" i="56"/>
  <c r="AG103" i="56"/>
  <c r="AH103" i="56"/>
  <c r="AI103" i="56"/>
  <c r="AJ103" i="56"/>
  <c r="AK103" i="56"/>
  <c r="AL103" i="56"/>
  <c r="AQ103" i="56"/>
  <c r="AR103" i="56"/>
  <c r="AS103" i="56"/>
  <c r="AT103" i="56"/>
  <c r="AU103" i="56"/>
  <c r="AV103" i="56"/>
  <c r="AW103" i="56"/>
  <c r="AX103" i="56"/>
  <c r="G104" i="56"/>
  <c r="H104" i="56"/>
  <c r="BE104" i="56" s="1"/>
  <c r="I104" i="56"/>
  <c r="J104" i="56"/>
  <c r="K104" i="56"/>
  <c r="L104" i="56"/>
  <c r="M104" i="56"/>
  <c r="N104" i="56"/>
  <c r="O104" i="56"/>
  <c r="P104" i="56"/>
  <c r="Q104" i="56"/>
  <c r="R104" i="56"/>
  <c r="S104" i="56"/>
  <c r="T104" i="56"/>
  <c r="U104" i="56"/>
  <c r="V104" i="56"/>
  <c r="W104" i="56"/>
  <c r="X104" i="56"/>
  <c r="BI104" i="56" s="1"/>
  <c r="Y104" i="56"/>
  <c r="Z104" i="56"/>
  <c r="AA104" i="56"/>
  <c r="AB104" i="56"/>
  <c r="AC104" i="56"/>
  <c r="AD104" i="56"/>
  <c r="AE104" i="56"/>
  <c r="AF104" i="56"/>
  <c r="AG104" i="56"/>
  <c r="AH104" i="56"/>
  <c r="AI104" i="56"/>
  <c r="AJ104" i="56"/>
  <c r="AK104" i="56"/>
  <c r="AL104" i="56"/>
  <c r="AQ104" i="56"/>
  <c r="AR104" i="56"/>
  <c r="BN104" i="56" s="1"/>
  <c r="AS104" i="56"/>
  <c r="AT104" i="56"/>
  <c r="AU104" i="56"/>
  <c r="AV104" i="56"/>
  <c r="AW104" i="56"/>
  <c r="AX104" i="56"/>
  <c r="G105" i="56"/>
  <c r="H105" i="56"/>
  <c r="I105" i="56"/>
  <c r="J105" i="56"/>
  <c r="K105" i="56"/>
  <c r="L105" i="56"/>
  <c r="M105" i="56"/>
  <c r="N105" i="56"/>
  <c r="O105" i="56"/>
  <c r="P105" i="56"/>
  <c r="BG105" i="56" s="1"/>
  <c r="Q105" i="56"/>
  <c r="R105" i="56"/>
  <c r="S105" i="56"/>
  <c r="T105" i="56"/>
  <c r="U105" i="56"/>
  <c r="V105" i="56"/>
  <c r="W105" i="56"/>
  <c r="X105" i="56"/>
  <c r="Y105" i="56"/>
  <c r="Z105" i="56"/>
  <c r="AA105" i="56"/>
  <c r="AB105" i="56"/>
  <c r="AC105" i="56"/>
  <c r="AD105" i="56"/>
  <c r="AE105" i="56"/>
  <c r="AF105" i="56"/>
  <c r="BK105" i="56" s="1"/>
  <c r="AG105" i="56"/>
  <c r="AH105" i="56"/>
  <c r="AI105" i="56"/>
  <c r="AJ105" i="56"/>
  <c r="AK105" i="56"/>
  <c r="AL105" i="56"/>
  <c r="AM105" i="56"/>
  <c r="AN105" i="56"/>
  <c r="AO105" i="56"/>
  <c r="AP105" i="56"/>
  <c r="AQ105" i="56"/>
  <c r="AR105" i="56"/>
  <c r="AS105" i="56"/>
  <c r="AT105" i="56"/>
  <c r="AU105" i="56"/>
  <c r="AV105" i="56"/>
  <c r="BO105" i="56" s="1"/>
  <c r="AW105" i="56"/>
  <c r="AX105" i="56"/>
  <c r="AY105" i="56"/>
  <c r="AZ105" i="56"/>
  <c r="BA105" i="56"/>
  <c r="BB105" i="56"/>
  <c r="G106" i="56"/>
  <c r="H106" i="56"/>
  <c r="I106" i="56"/>
  <c r="J106" i="56"/>
  <c r="K106" i="56"/>
  <c r="L106" i="56"/>
  <c r="M106" i="56"/>
  <c r="N106" i="56"/>
  <c r="O106" i="56"/>
  <c r="P106" i="56"/>
  <c r="BG106" i="56" s="1"/>
  <c r="Q106" i="56"/>
  <c r="R106" i="56"/>
  <c r="S106" i="56"/>
  <c r="T106" i="56"/>
  <c r="U106" i="56"/>
  <c r="V106" i="56"/>
  <c r="W106" i="56"/>
  <c r="X106" i="56"/>
  <c r="Y106" i="56"/>
  <c r="Z106" i="56"/>
  <c r="AA106" i="56"/>
  <c r="AB106" i="56"/>
  <c r="AC106" i="56"/>
  <c r="AD106" i="56"/>
  <c r="AE106" i="56"/>
  <c r="AF106" i="56"/>
  <c r="AG106" i="56"/>
  <c r="AH106" i="56"/>
  <c r="AI106" i="56"/>
  <c r="AJ106" i="56"/>
  <c r="AK106" i="56"/>
  <c r="AL106" i="56"/>
  <c r="AM106" i="56"/>
  <c r="AN106" i="56"/>
  <c r="AO106" i="56"/>
  <c r="AP106" i="56"/>
  <c r="AQ106" i="56"/>
  <c r="AR106" i="56"/>
  <c r="AS106" i="56"/>
  <c r="AT106" i="56"/>
  <c r="AU106" i="56"/>
  <c r="AV106" i="56"/>
  <c r="AW106" i="56"/>
  <c r="AX106" i="56"/>
  <c r="AY106" i="56"/>
  <c r="AZ106" i="56"/>
  <c r="BA106" i="56"/>
  <c r="BB106" i="56"/>
  <c r="G107" i="56"/>
  <c r="H107" i="56"/>
  <c r="I107" i="56"/>
  <c r="J107" i="56"/>
  <c r="K107" i="56"/>
  <c r="L107" i="56"/>
  <c r="M107" i="56"/>
  <c r="N107" i="56"/>
  <c r="O107" i="56"/>
  <c r="P107" i="56"/>
  <c r="BG107" i="56" s="1"/>
  <c r="Q107" i="56"/>
  <c r="R107" i="56"/>
  <c r="S107" i="56"/>
  <c r="T107" i="56"/>
  <c r="U107" i="56"/>
  <c r="V107" i="56"/>
  <c r="W107" i="56"/>
  <c r="X107" i="56"/>
  <c r="Y107" i="56"/>
  <c r="Z107" i="56"/>
  <c r="AA107" i="56"/>
  <c r="AB107" i="56"/>
  <c r="AC107" i="56"/>
  <c r="AD107" i="56"/>
  <c r="AE107" i="56"/>
  <c r="AF107" i="56"/>
  <c r="BK107" i="56" s="1"/>
  <c r="AG107" i="56"/>
  <c r="AH107" i="56"/>
  <c r="AI107" i="56"/>
  <c r="AJ107" i="56"/>
  <c r="AK107" i="56"/>
  <c r="AL107" i="56"/>
  <c r="AM107" i="56"/>
  <c r="AN107" i="56"/>
  <c r="AO107" i="56"/>
  <c r="AP107" i="56"/>
  <c r="AQ107" i="56"/>
  <c r="AR107" i="56"/>
  <c r="AS107" i="56"/>
  <c r="AT107" i="56"/>
  <c r="AU107" i="56"/>
  <c r="AV107" i="56"/>
  <c r="AW107" i="56"/>
  <c r="AX107" i="56"/>
  <c r="AY107" i="56"/>
  <c r="AZ107" i="56"/>
  <c r="BA107" i="56"/>
  <c r="BB107" i="56"/>
  <c r="G108" i="56"/>
  <c r="H108" i="56"/>
  <c r="I108" i="56"/>
  <c r="J108" i="56"/>
  <c r="K108" i="56"/>
  <c r="L108" i="56"/>
  <c r="M108" i="56"/>
  <c r="N108" i="56"/>
  <c r="O108" i="56"/>
  <c r="P108" i="56"/>
  <c r="BG108" i="56" s="1"/>
  <c r="Q108" i="56"/>
  <c r="R108" i="56"/>
  <c r="S108" i="56"/>
  <c r="T108" i="56"/>
  <c r="U108" i="56"/>
  <c r="V108" i="56"/>
  <c r="W108" i="56"/>
  <c r="X108" i="56"/>
  <c r="Y108" i="56"/>
  <c r="Z108" i="56"/>
  <c r="AA108" i="56"/>
  <c r="AB108" i="56"/>
  <c r="AC108" i="56"/>
  <c r="AD108" i="56"/>
  <c r="AE108" i="56"/>
  <c r="AF108" i="56"/>
  <c r="AG108" i="56"/>
  <c r="AH108" i="56"/>
  <c r="AI108" i="56"/>
  <c r="AJ108" i="56"/>
  <c r="AK108" i="56"/>
  <c r="AL108" i="56"/>
  <c r="AM108" i="56"/>
  <c r="AN108" i="56"/>
  <c r="AO108" i="56"/>
  <c r="AP108" i="56"/>
  <c r="AQ108" i="56"/>
  <c r="AR108" i="56"/>
  <c r="AS108" i="56"/>
  <c r="AT108" i="56"/>
  <c r="AU108" i="56"/>
  <c r="AV108" i="56"/>
  <c r="AW108" i="56"/>
  <c r="AX108" i="56"/>
  <c r="AY108" i="56"/>
  <c r="AZ108" i="56"/>
  <c r="BA108" i="56"/>
  <c r="BB108" i="56"/>
  <c r="G109" i="56"/>
  <c r="H109" i="56"/>
  <c r="I109" i="56"/>
  <c r="J109" i="56"/>
  <c r="K109" i="56"/>
  <c r="L109" i="56"/>
  <c r="M109" i="56"/>
  <c r="N109" i="56"/>
  <c r="O109" i="56"/>
  <c r="P109" i="56"/>
  <c r="BG109" i="56" s="1"/>
  <c r="Q109" i="56"/>
  <c r="R109" i="56"/>
  <c r="S109" i="56"/>
  <c r="T109" i="56"/>
  <c r="U109" i="56"/>
  <c r="V109" i="56"/>
  <c r="W109" i="56"/>
  <c r="X109" i="56"/>
  <c r="Y109" i="56"/>
  <c r="Z109" i="56"/>
  <c r="AA109" i="56"/>
  <c r="AB109" i="56"/>
  <c r="AC109" i="56"/>
  <c r="AD109" i="56"/>
  <c r="AE109" i="56"/>
  <c r="AF109" i="56"/>
  <c r="AG109" i="56"/>
  <c r="AH109" i="56"/>
  <c r="AI109" i="56"/>
  <c r="AJ109" i="56"/>
  <c r="AK109" i="56"/>
  <c r="AL109" i="56"/>
  <c r="AM109" i="56"/>
  <c r="AN109" i="56"/>
  <c r="AO109" i="56"/>
  <c r="AP109" i="56"/>
  <c r="AQ109" i="56"/>
  <c r="AR109" i="56"/>
  <c r="AS109" i="56"/>
  <c r="AT109" i="56"/>
  <c r="AU109" i="56"/>
  <c r="AV109" i="56"/>
  <c r="AW109" i="56"/>
  <c r="AX109" i="56"/>
  <c r="AY109" i="56"/>
  <c r="AZ109" i="56"/>
  <c r="BA109" i="56"/>
  <c r="BB109" i="56"/>
  <c r="G110" i="56"/>
  <c r="H110" i="56"/>
  <c r="I110" i="56"/>
  <c r="J110" i="56"/>
  <c r="K110" i="56"/>
  <c r="L110" i="56"/>
  <c r="M110" i="56"/>
  <c r="N110" i="56"/>
  <c r="O110" i="56"/>
  <c r="P110" i="56"/>
  <c r="BG110" i="56" s="1"/>
  <c r="Q110" i="56"/>
  <c r="R110" i="56"/>
  <c r="S110" i="56"/>
  <c r="T110" i="56"/>
  <c r="U110" i="56"/>
  <c r="V110" i="56"/>
  <c r="W110" i="56"/>
  <c r="X110" i="56"/>
  <c r="Y110" i="56"/>
  <c r="Z110" i="56"/>
  <c r="AA110" i="56"/>
  <c r="AB110" i="56"/>
  <c r="AC110" i="56"/>
  <c r="AD110" i="56"/>
  <c r="AE110" i="56"/>
  <c r="AF110" i="56"/>
  <c r="AG110" i="56"/>
  <c r="AH110" i="56"/>
  <c r="AI110" i="56"/>
  <c r="AJ110" i="56"/>
  <c r="AK110" i="56"/>
  <c r="AL110" i="56"/>
  <c r="AM110" i="56"/>
  <c r="AN110" i="56"/>
  <c r="AO110" i="56"/>
  <c r="AP110" i="56"/>
  <c r="AQ110" i="56"/>
  <c r="AR110" i="56"/>
  <c r="AS110" i="56"/>
  <c r="AT110" i="56"/>
  <c r="AU110" i="56"/>
  <c r="AV110" i="56"/>
  <c r="AW110" i="56"/>
  <c r="AX110" i="56"/>
  <c r="AY110" i="56"/>
  <c r="AZ110" i="56"/>
  <c r="BA110" i="56"/>
  <c r="BB110" i="56"/>
  <c r="G111" i="56"/>
  <c r="H111" i="56"/>
  <c r="I111" i="56"/>
  <c r="J111" i="56"/>
  <c r="K111" i="56"/>
  <c r="L111" i="56"/>
  <c r="M111" i="56"/>
  <c r="N111" i="56"/>
  <c r="O111" i="56"/>
  <c r="P111" i="56"/>
  <c r="BG111" i="56" s="1"/>
  <c r="Q111" i="56"/>
  <c r="R111" i="56"/>
  <c r="S111" i="56"/>
  <c r="T111" i="56"/>
  <c r="U111" i="56"/>
  <c r="V111" i="56"/>
  <c r="W111" i="56"/>
  <c r="X111" i="56"/>
  <c r="Y111" i="56"/>
  <c r="Z111" i="56"/>
  <c r="AA111" i="56"/>
  <c r="AB111" i="56"/>
  <c r="AC111" i="56"/>
  <c r="AD111" i="56"/>
  <c r="AE111" i="56"/>
  <c r="AF111" i="56"/>
  <c r="AG111" i="56"/>
  <c r="AH111" i="56"/>
  <c r="AI111" i="56"/>
  <c r="AJ111" i="56"/>
  <c r="AK111" i="56"/>
  <c r="AL111" i="56"/>
  <c r="AM111" i="56"/>
  <c r="AN111" i="56"/>
  <c r="AO111" i="56"/>
  <c r="AP111" i="56"/>
  <c r="AQ111" i="56"/>
  <c r="AR111" i="56"/>
  <c r="AS111" i="56"/>
  <c r="AT111" i="56"/>
  <c r="AU111" i="56"/>
  <c r="AV111" i="56"/>
  <c r="AW111" i="56"/>
  <c r="AX111" i="56"/>
  <c r="AY111" i="56"/>
  <c r="AZ111" i="56"/>
  <c r="BA111" i="56"/>
  <c r="BB111" i="56"/>
  <c r="G112" i="56"/>
  <c r="H112" i="56"/>
  <c r="I112" i="56"/>
  <c r="J112" i="56"/>
  <c r="K112" i="56"/>
  <c r="L112" i="56"/>
  <c r="M112" i="56"/>
  <c r="N112" i="56"/>
  <c r="O112" i="56"/>
  <c r="P112" i="56"/>
  <c r="Q112" i="56"/>
  <c r="R112" i="56"/>
  <c r="S112" i="56"/>
  <c r="T112" i="56"/>
  <c r="U112" i="56"/>
  <c r="V112" i="56"/>
  <c r="W112" i="56"/>
  <c r="X112" i="56"/>
  <c r="Y112" i="56"/>
  <c r="Z112" i="56"/>
  <c r="AA112" i="56"/>
  <c r="AB112" i="56"/>
  <c r="AC112" i="56"/>
  <c r="AD112" i="56"/>
  <c r="AE112" i="56"/>
  <c r="AF112" i="56"/>
  <c r="AG112" i="56"/>
  <c r="AH112" i="56"/>
  <c r="AI112" i="56"/>
  <c r="AJ112" i="56"/>
  <c r="AK112" i="56"/>
  <c r="AL112" i="56"/>
  <c r="AM112" i="56"/>
  <c r="AN112" i="56"/>
  <c r="AO112" i="56"/>
  <c r="AP112" i="56"/>
  <c r="AQ112" i="56"/>
  <c r="AR112" i="56"/>
  <c r="AS112" i="56"/>
  <c r="AT112" i="56"/>
  <c r="AU112" i="56"/>
  <c r="AV112" i="56"/>
  <c r="AW112" i="56"/>
  <c r="AX112" i="56"/>
  <c r="AY112" i="56"/>
  <c r="AZ112" i="56"/>
  <c r="BA112" i="56"/>
  <c r="BB112" i="56"/>
  <c r="G113" i="56"/>
  <c r="H113" i="56"/>
  <c r="I113" i="56"/>
  <c r="J113" i="56"/>
  <c r="K113" i="56"/>
  <c r="L113" i="56"/>
  <c r="M113" i="56"/>
  <c r="N113" i="56"/>
  <c r="O113" i="56"/>
  <c r="P113" i="56"/>
  <c r="Q113" i="56"/>
  <c r="R113" i="56"/>
  <c r="S113" i="56"/>
  <c r="T113" i="56"/>
  <c r="U113" i="56"/>
  <c r="V113" i="56"/>
  <c r="W113" i="56"/>
  <c r="X113" i="56"/>
  <c r="Y113" i="56"/>
  <c r="Z113" i="56"/>
  <c r="AA113" i="56"/>
  <c r="AB113" i="56"/>
  <c r="AC113" i="56"/>
  <c r="AD113" i="56"/>
  <c r="AE113" i="56"/>
  <c r="AF113" i="56"/>
  <c r="AG113" i="56"/>
  <c r="AH113" i="56"/>
  <c r="AI113" i="56"/>
  <c r="AJ113" i="56"/>
  <c r="AK113" i="56"/>
  <c r="AL113" i="56"/>
  <c r="AM113" i="56"/>
  <c r="AN113" i="56"/>
  <c r="AO113" i="56"/>
  <c r="AP113" i="56"/>
  <c r="AQ113" i="56"/>
  <c r="AR113" i="56"/>
  <c r="AS113" i="56"/>
  <c r="AT113" i="56"/>
  <c r="AU113" i="56"/>
  <c r="AV113" i="56"/>
  <c r="AW113" i="56"/>
  <c r="AX113" i="56"/>
  <c r="AY113" i="56"/>
  <c r="AZ113" i="56"/>
  <c r="BA113" i="56"/>
  <c r="BB113" i="56"/>
  <c r="G114" i="56"/>
  <c r="H114" i="56"/>
  <c r="I114" i="56"/>
  <c r="J114" i="56"/>
  <c r="K114" i="56"/>
  <c r="L114" i="56"/>
  <c r="M114" i="56"/>
  <c r="N114" i="56"/>
  <c r="O114" i="56"/>
  <c r="P114" i="56"/>
  <c r="Q114" i="56"/>
  <c r="R114" i="56"/>
  <c r="S114" i="56"/>
  <c r="T114" i="56"/>
  <c r="BH114" i="56" s="1"/>
  <c r="U114" i="56"/>
  <c r="V114" i="56"/>
  <c r="W114" i="56"/>
  <c r="X114" i="56"/>
  <c r="Y114" i="56"/>
  <c r="Z114" i="56"/>
  <c r="AA114" i="56"/>
  <c r="AB114" i="56"/>
  <c r="AC114" i="56"/>
  <c r="AD114" i="56"/>
  <c r="AE114" i="56"/>
  <c r="AF114" i="56"/>
  <c r="AG114" i="56"/>
  <c r="AH114" i="56"/>
  <c r="AI114" i="56"/>
  <c r="AJ114" i="56"/>
  <c r="BL114" i="56" s="1"/>
  <c r="AK114" i="56"/>
  <c r="AL114" i="56"/>
  <c r="AM114" i="56"/>
  <c r="AN114" i="56"/>
  <c r="AO114" i="56"/>
  <c r="AP114" i="56"/>
  <c r="AQ114" i="56"/>
  <c r="AR114" i="56"/>
  <c r="AS114" i="56"/>
  <c r="AT114" i="56"/>
  <c r="AU114" i="56"/>
  <c r="AV114" i="56"/>
  <c r="AW114" i="56"/>
  <c r="AX114" i="56"/>
  <c r="AY114" i="56"/>
  <c r="AZ114" i="56"/>
  <c r="BP114" i="56" s="1"/>
  <c r="BA114" i="56"/>
  <c r="BB114" i="56"/>
  <c r="G115" i="56"/>
  <c r="H115" i="56"/>
  <c r="I115" i="56"/>
  <c r="J115" i="56"/>
  <c r="K115" i="56"/>
  <c r="L115" i="56"/>
  <c r="M115" i="56"/>
  <c r="N115" i="56"/>
  <c r="O115" i="56"/>
  <c r="P115" i="56"/>
  <c r="Q115" i="56"/>
  <c r="R115" i="56"/>
  <c r="S115" i="56"/>
  <c r="T115" i="56"/>
  <c r="U115" i="56"/>
  <c r="V115" i="56"/>
  <c r="W115" i="56"/>
  <c r="X115" i="56"/>
  <c r="Y115" i="56"/>
  <c r="Z115" i="56"/>
  <c r="AA115" i="56"/>
  <c r="AB115" i="56"/>
  <c r="AC115" i="56"/>
  <c r="AD115" i="56"/>
  <c r="AE115" i="56"/>
  <c r="AF115" i="56"/>
  <c r="AG115" i="56"/>
  <c r="AH115" i="56"/>
  <c r="AI115" i="56"/>
  <c r="AJ115" i="56"/>
  <c r="AK115" i="56"/>
  <c r="AL115" i="56"/>
  <c r="AM115" i="56"/>
  <c r="AN115" i="56"/>
  <c r="AO115" i="56"/>
  <c r="AP115" i="56"/>
  <c r="AQ115" i="56"/>
  <c r="AR115" i="56"/>
  <c r="AS115" i="56"/>
  <c r="AT115" i="56"/>
  <c r="AU115" i="56"/>
  <c r="AV115" i="56"/>
  <c r="AW115" i="56"/>
  <c r="AX115" i="56"/>
  <c r="AY115" i="56"/>
  <c r="AZ115" i="56"/>
  <c r="BA115" i="56"/>
  <c r="BB115" i="56"/>
  <c r="G116" i="56"/>
  <c r="H116" i="56"/>
  <c r="I116" i="56"/>
  <c r="J116" i="56"/>
  <c r="K116" i="56"/>
  <c r="L116" i="56"/>
  <c r="M116" i="56"/>
  <c r="N116" i="56"/>
  <c r="O116" i="56"/>
  <c r="P116" i="56"/>
  <c r="X70" i="47" s="1"/>
  <c r="X135" i="47" s="1"/>
  <c r="X139" i="47" s="1"/>
  <c r="Q116" i="56"/>
  <c r="R116" i="56"/>
  <c r="S116" i="56"/>
  <c r="T116" i="56"/>
  <c r="BH116" i="56" s="1"/>
  <c r="U116" i="56"/>
  <c r="V116" i="56"/>
  <c r="W116" i="56"/>
  <c r="X116" i="56"/>
  <c r="AE70" i="47" s="1"/>
  <c r="AE135" i="47" s="1"/>
  <c r="Y116" i="56"/>
  <c r="Z116" i="56"/>
  <c r="AA116" i="56"/>
  <c r="AB116" i="56"/>
  <c r="AJ70" i="47" s="1"/>
  <c r="AC116" i="56"/>
  <c r="AD116" i="56"/>
  <c r="AE116" i="56"/>
  <c r="AF116" i="56"/>
  <c r="AO70" i="47" s="1"/>
  <c r="AG116" i="56"/>
  <c r="AH116" i="56"/>
  <c r="AI116" i="56"/>
  <c r="AJ116" i="56"/>
  <c r="AT70" i="47" s="1"/>
  <c r="AT135" i="47" s="1"/>
  <c r="AK116" i="56"/>
  <c r="AL116" i="56"/>
  <c r="AM116" i="56"/>
  <c r="AV70" i="47" s="1"/>
  <c r="AN116" i="56"/>
  <c r="AY70" i="47" s="1"/>
  <c r="AY135" i="47" s="1"/>
  <c r="AO116" i="56"/>
  <c r="AP116" i="56"/>
  <c r="AQ116" i="56"/>
  <c r="AR116" i="56"/>
  <c r="BD70" i="47" s="1"/>
  <c r="AS116" i="56"/>
  <c r="AT116" i="56"/>
  <c r="AU116" i="56"/>
  <c r="AV116" i="56"/>
  <c r="BI70" i="47" s="1"/>
  <c r="AW116" i="56"/>
  <c r="AX116" i="56"/>
  <c r="AY116" i="56"/>
  <c r="AZ116" i="56"/>
  <c r="BA116" i="56"/>
  <c r="BB116" i="56"/>
  <c r="G117" i="56"/>
  <c r="H117" i="56"/>
  <c r="I117" i="56"/>
  <c r="J117" i="56"/>
  <c r="K117" i="56"/>
  <c r="L117" i="56"/>
  <c r="M117" i="56"/>
  <c r="N117" i="56"/>
  <c r="O117" i="56"/>
  <c r="P117" i="56"/>
  <c r="Q117" i="56"/>
  <c r="R117" i="56"/>
  <c r="S117" i="56"/>
  <c r="T117" i="56"/>
  <c r="U117" i="56"/>
  <c r="V117" i="56"/>
  <c r="W117" i="56"/>
  <c r="X117" i="56"/>
  <c r="Y117" i="56"/>
  <c r="Z117" i="56"/>
  <c r="AA117" i="56"/>
  <c r="AB117" i="56"/>
  <c r="BJ117" i="56" s="1"/>
  <c r="AC117" i="56"/>
  <c r="AD117" i="56"/>
  <c r="AE117" i="56"/>
  <c r="AF117" i="56"/>
  <c r="AG117" i="56"/>
  <c r="AH117" i="56"/>
  <c r="AI117" i="56"/>
  <c r="AJ117" i="56"/>
  <c r="AK117" i="56"/>
  <c r="AL117" i="56"/>
  <c r="AM117" i="56"/>
  <c r="AN117" i="56"/>
  <c r="AO117" i="56"/>
  <c r="AP117" i="56"/>
  <c r="AQ117" i="56"/>
  <c r="AR117" i="56"/>
  <c r="AS117" i="56"/>
  <c r="AT117" i="56"/>
  <c r="AU117" i="56"/>
  <c r="AV117" i="56"/>
  <c r="AW117" i="56"/>
  <c r="AX117" i="56"/>
  <c r="AY117" i="56"/>
  <c r="AZ117" i="56"/>
  <c r="BA117" i="56"/>
  <c r="BB117" i="56"/>
  <c r="G118" i="56"/>
  <c r="H118" i="56"/>
  <c r="I118" i="56"/>
  <c r="J118" i="56"/>
  <c r="K118" i="56"/>
  <c r="L118" i="56"/>
  <c r="M118" i="56"/>
  <c r="N118" i="56"/>
  <c r="O118" i="56"/>
  <c r="P118" i="56"/>
  <c r="Q118" i="56"/>
  <c r="R118" i="56"/>
  <c r="S118" i="56"/>
  <c r="T118" i="56"/>
  <c r="U118" i="56"/>
  <c r="V118" i="56"/>
  <c r="W118" i="56"/>
  <c r="X118" i="56"/>
  <c r="Y118" i="56"/>
  <c r="Z118" i="56"/>
  <c r="AA118" i="56"/>
  <c r="AB118" i="56"/>
  <c r="AC118" i="56"/>
  <c r="AD118" i="56"/>
  <c r="AE118" i="56"/>
  <c r="AF118" i="56"/>
  <c r="AG118" i="56"/>
  <c r="AH118" i="56"/>
  <c r="AI118" i="56"/>
  <c r="AJ118" i="56"/>
  <c r="AK118" i="56"/>
  <c r="AL118" i="56"/>
  <c r="AM118" i="56"/>
  <c r="AN118" i="56"/>
  <c r="AO118" i="56"/>
  <c r="AP118" i="56"/>
  <c r="AQ118" i="56"/>
  <c r="AR118" i="56"/>
  <c r="AS118" i="56"/>
  <c r="AT118" i="56"/>
  <c r="AU118" i="56"/>
  <c r="AV118" i="56"/>
  <c r="AW118" i="56"/>
  <c r="AX118" i="56"/>
  <c r="AY118" i="56"/>
  <c r="AZ118" i="56"/>
  <c r="BP118" i="56" s="1"/>
  <c r="BA118" i="56"/>
  <c r="BB118" i="56"/>
  <c r="G119" i="56"/>
  <c r="H119" i="56"/>
  <c r="I119" i="56"/>
  <c r="J119" i="56"/>
  <c r="K119" i="56"/>
  <c r="L119" i="56"/>
  <c r="M119" i="56"/>
  <c r="N119" i="56"/>
  <c r="O119" i="56"/>
  <c r="P119" i="56"/>
  <c r="Q119" i="56"/>
  <c r="R119" i="56"/>
  <c r="S119" i="56"/>
  <c r="T119" i="56"/>
  <c r="U119" i="56"/>
  <c r="V119" i="56"/>
  <c r="W119" i="56"/>
  <c r="X119" i="56"/>
  <c r="Y119" i="56"/>
  <c r="Z119" i="56"/>
  <c r="AA119" i="56"/>
  <c r="AB119" i="56"/>
  <c r="AC119" i="56"/>
  <c r="AD119" i="56"/>
  <c r="AE119" i="56"/>
  <c r="AF119" i="56"/>
  <c r="AG119" i="56"/>
  <c r="AH119" i="56"/>
  <c r="AI119" i="56"/>
  <c r="AJ119" i="56"/>
  <c r="AK119" i="56"/>
  <c r="AL119" i="56"/>
  <c r="AM119" i="56"/>
  <c r="AN119" i="56"/>
  <c r="AO119" i="56"/>
  <c r="AP119" i="56"/>
  <c r="AQ119" i="56"/>
  <c r="AR119" i="56"/>
  <c r="AS119" i="56"/>
  <c r="AT119" i="56"/>
  <c r="AU119" i="56"/>
  <c r="AV119" i="56"/>
  <c r="AW119" i="56"/>
  <c r="AX119" i="56"/>
  <c r="AY119" i="56"/>
  <c r="AZ119" i="56"/>
  <c r="BA119" i="56"/>
  <c r="BB119" i="56"/>
  <c r="G120" i="56"/>
  <c r="H120" i="56"/>
  <c r="I120" i="56"/>
  <c r="J120" i="56"/>
  <c r="K120" i="56"/>
  <c r="L120" i="56"/>
  <c r="M120" i="56"/>
  <c r="N120" i="56"/>
  <c r="O120" i="56"/>
  <c r="P120" i="56"/>
  <c r="Q120" i="56"/>
  <c r="R120" i="56"/>
  <c r="S120" i="56"/>
  <c r="T120" i="56"/>
  <c r="U120" i="56"/>
  <c r="V120" i="56"/>
  <c r="W120" i="56"/>
  <c r="X120" i="56"/>
  <c r="Y120" i="56"/>
  <c r="Z120" i="56"/>
  <c r="AA120" i="56"/>
  <c r="AB120" i="56"/>
  <c r="AC120" i="56"/>
  <c r="AD120" i="56"/>
  <c r="AE120" i="56"/>
  <c r="AF120" i="56"/>
  <c r="AG120" i="56"/>
  <c r="AH120" i="56"/>
  <c r="AI120" i="56"/>
  <c r="AJ120" i="56"/>
  <c r="BL120" i="56" s="1"/>
  <c r="AK120" i="56"/>
  <c r="AL120" i="56"/>
  <c r="AM120" i="56"/>
  <c r="AN120" i="56"/>
  <c r="AO120" i="56"/>
  <c r="AP120" i="56"/>
  <c r="AQ120" i="56"/>
  <c r="AR120" i="56"/>
  <c r="AS120" i="56"/>
  <c r="AT120" i="56"/>
  <c r="AU120" i="56"/>
  <c r="AV120" i="56"/>
  <c r="AW120" i="56"/>
  <c r="AX120" i="56"/>
  <c r="AY120" i="56"/>
  <c r="AZ120" i="56"/>
  <c r="BA120" i="56"/>
  <c r="BB120" i="56"/>
  <c r="G121" i="56"/>
  <c r="H121" i="56"/>
  <c r="I121" i="56"/>
  <c r="J121" i="56"/>
  <c r="K121" i="56"/>
  <c r="L121" i="56"/>
  <c r="M121" i="56"/>
  <c r="N121" i="56"/>
  <c r="O121" i="56"/>
  <c r="P121" i="56"/>
  <c r="X75" i="47" s="1"/>
  <c r="Q121" i="56"/>
  <c r="R121" i="56"/>
  <c r="S121" i="56"/>
  <c r="T121" i="56"/>
  <c r="U121" i="56"/>
  <c r="V121" i="56"/>
  <c r="W121" i="56"/>
  <c r="X121" i="56"/>
  <c r="Y121" i="56"/>
  <c r="Z121" i="56"/>
  <c r="AA121" i="56"/>
  <c r="AB121" i="56"/>
  <c r="AC121" i="56"/>
  <c r="AD121" i="56"/>
  <c r="AE121" i="56"/>
  <c r="AF121" i="56"/>
  <c r="AG121" i="56"/>
  <c r="AH121" i="56"/>
  <c r="AI121" i="56"/>
  <c r="AJ121" i="56"/>
  <c r="AK121" i="56"/>
  <c r="AL121" i="56"/>
  <c r="AM121" i="56"/>
  <c r="AN121" i="56"/>
  <c r="AO121" i="56"/>
  <c r="AP121" i="56"/>
  <c r="AQ121" i="56"/>
  <c r="AR121" i="56"/>
  <c r="AS121" i="56"/>
  <c r="AT121" i="56"/>
  <c r="AU121" i="56"/>
  <c r="AV121" i="56"/>
  <c r="AW121" i="56"/>
  <c r="AX121" i="56"/>
  <c r="AY121" i="56"/>
  <c r="AZ121" i="56"/>
  <c r="BA121" i="56"/>
  <c r="BB121" i="56"/>
  <c r="G122" i="56"/>
  <c r="H122" i="56"/>
  <c r="I122" i="56"/>
  <c r="J122" i="56"/>
  <c r="K122" i="56"/>
  <c r="L122" i="56"/>
  <c r="M122" i="56"/>
  <c r="N122" i="56"/>
  <c r="O122" i="56"/>
  <c r="P122" i="56"/>
  <c r="Q122" i="56"/>
  <c r="R122" i="56"/>
  <c r="S122" i="56"/>
  <c r="T122" i="56"/>
  <c r="BH122" i="56" s="1"/>
  <c r="U122" i="56"/>
  <c r="V122" i="56"/>
  <c r="W122" i="56"/>
  <c r="X122" i="56"/>
  <c r="Y122" i="56"/>
  <c r="Z122" i="56"/>
  <c r="AA122" i="56"/>
  <c r="AB122" i="56"/>
  <c r="AC122" i="56"/>
  <c r="AD122" i="56"/>
  <c r="AE122" i="56"/>
  <c r="AF122" i="56"/>
  <c r="AG122" i="56"/>
  <c r="AH122" i="56"/>
  <c r="AI122" i="56"/>
  <c r="AJ122" i="56"/>
  <c r="AK122" i="56"/>
  <c r="AL122" i="56"/>
  <c r="AM122" i="56"/>
  <c r="AN122" i="56"/>
  <c r="AO122" i="56"/>
  <c r="AP122" i="56"/>
  <c r="AQ122" i="56"/>
  <c r="AR122" i="56"/>
  <c r="AS122" i="56"/>
  <c r="AT122" i="56"/>
  <c r="AU122" i="56"/>
  <c r="AV122" i="56"/>
  <c r="AW122" i="56"/>
  <c r="AX122" i="56"/>
  <c r="AY122" i="56"/>
  <c r="AZ122" i="56"/>
  <c r="BA122" i="56"/>
  <c r="BB122" i="56"/>
  <c r="G123" i="56"/>
  <c r="H123" i="56"/>
  <c r="I123" i="56"/>
  <c r="J123" i="56"/>
  <c r="K123" i="56"/>
  <c r="L123" i="56"/>
  <c r="M123" i="56"/>
  <c r="N123" i="56"/>
  <c r="O123" i="56"/>
  <c r="P123" i="56"/>
  <c r="Q123" i="56"/>
  <c r="R123" i="56"/>
  <c r="S123" i="56"/>
  <c r="T123" i="56"/>
  <c r="U123" i="56"/>
  <c r="V123" i="56"/>
  <c r="W123" i="56"/>
  <c r="X123" i="56"/>
  <c r="Y123" i="56"/>
  <c r="Z123" i="56"/>
  <c r="AA123" i="56"/>
  <c r="AB123" i="56"/>
  <c r="AC123" i="56"/>
  <c r="AD123" i="56"/>
  <c r="AE123" i="56"/>
  <c r="AF123" i="56"/>
  <c r="AG123" i="56"/>
  <c r="AH123" i="56"/>
  <c r="AI123" i="56"/>
  <c r="AJ123" i="56"/>
  <c r="AK123" i="56"/>
  <c r="AL123" i="56"/>
  <c r="AM123" i="56"/>
  <c r="AN123" i="56"/>
  <c r="AO123" i="56"/>
  <c r="AP123" i="56"/>
  <c r="AQ123" i="56"/>
  <c r="AR123" i="56"/>
  <c r="BN123" i="56" s="1"/>
  <c r="AS123" i="56"/>
  <c r="AT123" i="56"/>
  <c r="AU123" i="56"/>
  <c r="AV123" i="56"/>
  <c r="AW123" i="56"/>
  <c r="AX123" i="56"/>
  <c r="AY123" i="56"/>
  <c r="AZ123" i="56"/>
  <c r="BA123" i="56"/>
  <c r="BB123" i="56"/>
  <c r="G124" i="56"/>
  <c r="H124" i="56"/>
  <c r="I124" i="56"/>
  <c r="J124" i="56"/>
  <c r="K124" i="56"/>
  <c r="L124" i="56"/>
  <c r="M124" i="56"/>
  <c r="N124" i="56"/>
  <c r="O124" i="56"/>
  <c r="P124" i="56"/>
  <c r="Q124" i="56"/>
  <c r="R124" i="56"/>
  <c r="S124" i="56"/>
  <c r="T124" i="56"/>
  <c r="U124" i="56"/>
  <c r="V124" i="56"/>
  <c r="W124" i="56"/>
  <c r="X124" i="56"/>
  <c r="Y124" i="56"/>
  <c r="Z124" i="56"/>
  <c r="AA124" i="56"/>
  <c r="AB124" i="56"/>
  <c r="AC124" i="56"/>
  <c r="AD124" i="56"/>
  <c r="AE124" i="56"/>
  <c r="AF124" i="56"/>
  <c r="AG124" i="56"/>
  <c r="AH124" i="56"/>
  <c r="AI124" i="56"/>
  <c r="AJ124" i="56"/>
  <c r="AK124" i="56"/>
  <c r="AL124" i="56"/>
  <c r="AM124" i="56"/>
  <c r="AN124" i="56"/>
  <c r="AO124" i="56"/>
  <c r="AP124" i="56"/>
  <c r="AQ124" i="56"/>
  <c r="AR124" i="56"/>
  <c r="AS124" i="56"/>
  <c r="AT124" i="56"/>
  <c r="AU124" i="56"/>
  <c r="AV124" i="56"/>
  <c r="AW124" i="56"/>
  <c r="AX124" i="56"/>
  <c r="AY124" i="56"/>
  <c r="AZ124" i="56"/>
  <c r="BA124" i="56"/>
  <c r="BB124" i="56"/>
  <c r="G125" i="56"/>
  <c r="H125" i="56"/>
  <c r="I125" i="56"/>
  <c r="J125" i="56"/>
  <c r="K125" i="56"/>
  <c r="L125" i="56"/>
  <c r="M125" i="56"/>
  <c r="N125" i="56"/>
  <c r="O125" i="56"/>
  <c r="P125" i="56"/>
  <c r="Q125" i="56"/>
  <c r="R125" i="56"/>
  <c r="S125" i="56"/>
  <c r="T125" i="56"/>
  <c r="U125" i="56"/>
  <c r="V125" i="56"/>
  <c r="W125" i="56"/>
  <c r="X125" i="56"/>
  <c r="Y125" i="56"/>
  <c r="Z125" i="56"/>
  <c r="AA125" i="56"/>
  <c r="AB125" i="56"/>
  <c r="BJ125" i="56" s="1"/>
  <c r="AC125" i="56"/>
  <c r="AD125" i="56"/>
  <c r="AE125" i="56"/>
  <c r="AF125" i="56"/>
  <c r="AG125" i="56"/>
  <c r="AH125" i="56"/>
  <c r="AI125" i="56"/>
  <c r="AJ125" i="56"/>
  <c r="AK125" i="56"/>
  <c r="AL125" i="56"/>
  <c r="AM125" i="56"/>
  <c r="AN125" i="56"/>
  <c r="AO125" i="56"/>
  <c r="AP125" i="56"/>
  <c r="AQ125" i="56"/>
  <c r="AR125" i="56"/>
  <c r="AS125" i="56"/>
  <c r="AT125" i="56"/>
  <c r="AU125" i="56"/>
  <c r="AV125" i="56"/>
  <c r="AW125" i="56"/>
  <c r="AX125" i="56"/>
  <c r="AY125" i="56"/>
  <c r="AZ125" i="56"/>
  <c r="BA125" i="56"/>
  <c r="BB125" i="56"/>
  <c r="G126" i="56"/>
  <c r="H126" i="56"/>
  <c r="I126" i="56"/>
  <c r="J126" i="56"/>
  <c r="K126" i="56"/>
  <c r="L126" i="56"/>
  <c r="M126" i="56"/>
  <c r="N126" i="56"/>
  <c r="O126" i="56"/>
  <c r="P126" i="56"/>
  <c r="Q126" i="56"/>
  <c r="R126" i="56"/>
  <c r="S126" i="56"/>
  <c r="T126" i="56"/>
  <c r="U126" i="56"/>
  <c r="V126" i="56"/>
  <c r="W126" i="56"/>
  <c r="X126" i="56"/>
  <c r="Y126" i="56"/>
  <c r="Z126" i="56"/>
  <c r="AA126" i="56"/>
  <c r="AB126" i="56"/>
  <c r="AC126" i="56"/>
  <c r="AD126" i="56"/>
  <c r="AE126" i="56"/>
  <c r="AF126" i="56"/>
  <c r="AG126" i="56"/>
  <c r="AH126" i="56"/>
  <c r="AI126" i="56"/>
  <c r="AJ126" i="56"/>
  <c r="AK126" i="56"/>
  <c r="AL126" i="56"/>
  <c r="AM126" i="56"/>
  <c r="AN126" i="56"/>
  <c r="AO126" i="56"/>
  <c r="AP126" i="56"/>
  <c r="AQ126" i="56"/>
  <c r="AR126" i="56"/>
  <c r="AS126" i="56"/>
  <c r="AT126" i="56"/>
  <c r="AU126" i="56"/>
  <c r="AV126" i="56"/>
  <c r="AW126" i="56"/>
  <c r="AX126" i="56"/>
  <c r="AY126" i="56"/>
  <c r="AZ126" i="56"/>
  <c r="BA126" i="56"/>
  <c r="BB126" i="56"/>
  <c r="G127" i="56"/>
  <c r="H127" i="56"/>
  <c r="I127" i="56"/>
  <c r="J127" i="56"/>
  <c r="K127" i="56"/>
  <c r="L127" i="56"/>
  <c r="M127" i="56"/>
  <c r="N127" i="56"/>
  <c r="O127" i="56"/>
  <c r="P127" i="56"/>
  <c r="Q127" i="56"/>
  <c r="R127" i="56"/>
  <c r="S127" i="56"/>
  <c r="T127" i="56"/>
  <c r="U127" i="56"/>
  <c r="V127" i="56"/>
  <c r="W127" i="56"/>
  <c r="X127" i="56"/>
  <c r="Y127" i="56"/>
  <c r="Z127" i="56"/>
  <c r="AA127" i="56"/>
  <c r="AB127" i="56"/>
  <c r="AC127" i="56"/>
  <c r="AD127" i="56"/>
  <c r="AE127" i="56"/>
  <c r="AF127" i="56"/>
  <c r="AG127" i="56"/>
  <c r="AH127" i="56"/>
  <c r="AI127" i="56"/>
  <c r="AJ127" i="56"/>
  <c r="AK127" i="56"/>
  <c r="AL127" i="56"/>
  <c r="AM127" i="56"/>
  <c r="AN127" i="56"/>
  <c r="AO127" i="56"/>
  <c r="AP127" i="56"/>
  <c r="AQ127" i="56"/>
  <c r="AR127" i="56"/>
  <c r="AS127" i="56"/>
  <c r="AT127" i="56"/>
  <c r="AU127" i="56"/>
  <c r="AV127" i="56"/>
  <c r="AW127" i="56"/>
  <c r="AX127" i="56"/>
  <c r="AY127" i="56"/>
  <c r="AZ127" i="56"/>
  <c r="BA127" i="56"/>
  <c r="BB127" i="56"/>
  <c r="G128" i="56"/>
  <c r="H128" i="56"/>
  <c r="I128" i="56"/>
  <c r="J128" i="56"/>
  <c r="K128" i="56"/>
  <c r="L128" i="56"/>
  <c r="M128" i="56"/>
  <c r="N128" i="56"/>
  <c r="O128" i="56"/>
  <c r="P128" i="56"/>
  <c r="Q128" i="56"/>
  <c r="R128" i="56"/>
  <c r="S128" i="56"/>
  <c r="T128" i="56"/>
  <c r="U128" i="56"/>
  <c r="V128" i="56"/>
  <c r="W128" i="56"/>
  <c r="X128" i="56"/>
  <c r="Y128" i="56"/>
  <c r="Z128" i="56"/>
  <c r="AA128" i="56"/>
  <c r="AB128" i="56"/>
  <c r="AC128" i="56"/>
  <c r="AD128" i="56"/>
  <c r="AE128" i="56"/>
  <c r="AF128" i="56"/>
  <c r="AG128" i="56"/>
  <c r="AH128" i="56"/>
  <c r="AI128" i="56"/>
  <c r="AJ128" i="56"/>
  <c r="AK128" i="56"/>
  <c r="AL128" i="56"/>
  <c r="AM128" i="56"/>
  <c r="AN128" i="56"/>
  <c r="AO128" i="56"/>
  <c r="AP128" i="56"/>
  <c r="AQ128" i="56"/>
  <c r="AR128" i="56"/>
  <c r="AS128" i="56"/>
  <c r="AT128" i="56"/>
  <c r="AU128" i="56"/>
  <c r="AV128" i="56"/>
  <c r="AW128" i="56"/>
  <c r="AX128" i="56"/>
  <c r="AY128" i="56"/>
  <c r="AZ128" i="56"/>
  <c r="BA128" i="56"/>
  <c r="BB128" i="56"/>
  <c r="G129" i="56"/>
  <c r="H129" i="56"/>
  <c r="I129" i="56"/>
  <c r="J129" i="56"/>
  <c r="K129" i="56"/>
  <c r="L129" i="56"/>
  <c r="M129" i="56"/>
  <c r="N129" i="56"/>
  <c r="O129" i="56"/>
  <c r="P129" i="56"/>
  <c r="Q129" i="56"/>
  <c r="R129" i="56"/>
  <c r="S129" i="56"/>
  <c r="T129" i="56"/>
  <c r="U129" i="56"/>
  <c r="V129" i="56"/>
  <c r="W129" i="56"/>
  <c r="X129" i="56"/>
  <c r="Y129" i="56"/>
  <c r="Z129" i="56"/>
  <c r="AA129" i="56"/>
  <c r="AB129" i="56"/>
  <c r="AC129" i="56"/>
  <c r="AD129" i="56"/>
  <c r="AE129" i="56"/>
  <c r="AF129" i="56"/>
  <c r="AG129" i="56"/>
  <c r="AH129" i="56"/>
  <c r="AI129" i="56"/>
  <c r="AJ129" i="56"/>
  <c r="AK129" i="56"/>
  <c r="AL129" i="56"/>
  <c r="AM129" i="56"/>
  <c r="AN129" i="56"/>
  <c r="AO129" i="56"/>
  <c r="AP129" i="56"/>
  <c r="AQ129" i="56"/>
  <c r="AR129" i="56"/>
  <c r="AS129" i="56"/>
  <c r="AT129" i="56"/>
  <c r="AU129" i="56"/>
  <c r="AV129" i="56"/>
  <c r="AW129" i="56"/>
  <c r="AX129" i="56"/>
  <c r="AY129" i="56"/>
  <c r="AZ129" i="56"/>
  <c r="BA129" i="56"/>
  <c r="BB129" i="56"/>
  <c r="G130" i="56"/>
  <c r="H130" i="56"/>
  <c r="I130" i="56"/>
  <c r="J130" i="56"/>
  <c r="K130" i="56"/>
  <c r="L130" i="56"/>
  <c r="M130" i="56"/>
  <c r="N130" i="56"/>
  <c r="O130" i="56"/>
  <c r="P130" i="56"/>
  <c r="Q130" i="56"/>
  <c r="R130" i="56"/>
  <c r="S130" i="56"/>
  <c r="T130" i="56"/>
  <c r="U130" i="56"/>
  <c r="V130" i="56"/>
  <c r="W130" i="56"/>
  <c r="X130" i="56"/>
  <c r="Y130" i="56"/>
  <c r="Z130" i="56"/>
  <c r="AA130" i="56"/>
  <c r="AB130" i="56"/>
  <c r="AC130" i="56"/>
  <c r="AD130" i="56"/>
  <c r="AE130" i="56"/>
  <c r="AF130" i="56"/>
  <c r="AG130" i="56"/>
  <c r="AH130" i="56"/>
  <c r="AI130" i="56"/>
  <c r="AJ130" i="56"/>
  <c r="AK130" i="56"/>
  <c r="AL130" i="56"/>
  <c r="AM130" i="56"/>
  <c r="AN130" i="56"/>
  <c r="AO130" i="56"/>
  <c r="AP130" i="56"/>
  <c r="AQ130" i="56"/>
  <c r="AR130" i="56"/>
  <c r="AS130" i="56"/>
  <c r="AT130" i="56"/>
  <c r="AU130" i="56"/>
  <c r="AV130" i="56"/>
  <c r="AW130" i="56"/>
  <c r="AX130" i="56"/>
  <c r="AY130" i="56"/>
  <c r="AZ130" i="56"/>
  <c r="BA130" i="56"/>
  <c r="BB130" i="56"/>
  <c r="G131" i="56"/>
  <c r="H131" i="56"/>
  <c r="I131" i="56"/>
  <c r="J131" i="56"/>
  <c r="K131" i="56"/>
  <c r="L131" i="56"/>
  <c r="M131" i="56"/>
  <c r="N131" i="56"/>
  <c r="O131" i="56"/>
  <c r="P131" i="56"/>
  <c r="Q131" i="56"/>
  <c r="R131" i="56"/>
  <c r="S131" i="56"/>
  <c r="T131" i="56"/>
  <c r="U131" i="56"/>
  <c r="V131" i="56"/>
  <c r="W131" i="56"/>
  <c r="X131" i="56"/>
  <c r="Y131" i="56"/>
  <c r="Z131" i="56"/>
  <c r="AA131" i="56"/>
  <c r="AB131" i="56"/>
  <c r="AC131" i="56"/>
  <c r="AD131" i="56"/>
  <c r="AE131" i="56"/>
  <c r="AF131" i="56"/>
  <c r="AG131" i="56"/>
  <c r="AH131" i="56"/>
  <c r="AI131" i="56"/>
  <c r="AJ131" i="56"/>
  <c r="AK131" i="56"/>
  <c r="AL131" i="56"/>
  <c r="AM131" i="56"/>
  <c r="AN131" i="56"/>
  <c r="AO131" i="56"/>
  <c r="AP131" i="56"/>
  <c r="AQ131" i="56"/>
  <c r="AR131" i="56"/>
  <c r="AS131" i="56"/>
  <c r="AT131" i="56"/>
  <c r="AU131" i="56"/>
  <c r="AV131" i="56"/>
  <c r="AW131" i="56"/>
  <c r="AX131" i="56"/>
  <c r="AY131" i="56"/>
  <c r="AZ131" i="56"/>
  <c r="BA131" i="56"/>
  <c r="BB131" i="56"/>
  <c r="G132" i="56"/>
  <c r="H132" i="56"/>
  <c r="I132" i="56"/>
  <c r="J132" i="56"/>
  <c r="K132" i="56"/>
  <c r="L132" i="56"/>
  <c r="M132" i="56"/>
  <c r="N132" i="56"/>
  <c r="O132" i="56"/>
  <c r="P132" i="56"/>
  <c r="Q132" i="56"/>
  <c r="R132" i="56"/>
  <c r="S132" i="56"/>
  <c r="T132" i="56"/>
  <c r="U132" i="56"/>
  <c r="V132" i="56"/>
  <c r="W132" i="56"/>
  <c r="X132" i="56"/>
  <c r="BI132" i="56" s="1"/>
  <c r="Y132" i="56"/>
  <c r="Z132" i="56"/>
  <c r="AA132" i="56"/>
  <c r="AB132" i="56"/>
  <c r="AC132" i="56"/>
  <c r="AD132" i="56"/>
  <c r="AE132" i="56"/>
  <c r="AF132" i="56"/>
  <c r="AG132" i="56"/>
  <c r="AH132" i="56"/>
  <c r="AI132" i="56"/>
  <c r="AJ132" i="56"/>
  <c r="AK132" i="56"/>
  <c r="AL132" i="56"/>
  <c r="AM132" i="56"/>
  <c r="AN132" i="56"/>
  <c r="AO132" i="56"/>
  <c r="AP132" i="56"/>
  <c r="AQ132" i="56"/>
  <c r="AR132" i="56"/>
  <c r="AS132" i="56"/>
  <c r="AT132" i="56"/>
  <c r="AU132" i="56"/>
  <c r="AV132" i="56"/>
  <c r="AW132" i="56"/>
  <c r="AX132" i="56"/>
  <c r="AY132" i="56"/>
  <c r="AZ132" i="56"/>
  <c r="BA132" i="56"/>
  <c r="BB132" i="56"/>
  <c r="G133" i="56"/>
  <c r="H133" i="56"/>
  <c r="I133" i="56"/>
  <c r="J133" i="56"/>
  <c r="K133" i="56"/>
  <c r="L133" i="56"/>
  <c r="M133" i="56"/>
  <c r="N133" i="56"/>
  <c r="O133" i="56"/>
  <c r="P133" i="56"/>
  <c r="Q133" i="56"/>
  <c r="R133" i="56"/>
  <c r="S133" i="56"/>
  <c r="T133" i="56"/>
  <c r="U133" i="56"/>
  <c r="V133" i="56"/>
  <c r="W133" i="56"/>
  <c r="X133" i="56"/>
  <c r="Y133" i="56"/>
  <c r="Z133" i="56"/>
  <c r="AA133" i="56"/>
  <c r="AB133" i="56"/>
  <c r="AC133" i="56"/>
  <c r="AD133" i="56"/>
  <c r="AE133" i="56"/>
  <c r="AF133" i="56"/>
  <c r="AG133" i="56"/>
  <c r="AH133" i="56"/>
  <c r="AI133" i="56"/>
  <c r="AJ133" i="56"/>
  <c r="AK133" i="56"/>
  <c r="AL133" i="56"/>
  <c r="AM133" i="56"/>
  <c r="AN133" i="56"/>
  <c r="AO133" i="56"/>
  <c r="AP133" i="56"/>
  <c r="AQ133" i="56"/>
  <c r="AR133" i="56"/>
  <c r="AS133" i="56"/>
  <c r="AT133" i="56"/>
  <c r="AU133" i="56"/>
  <c r="AV133" i="56"/>
  <c r="AW133" i="56"/>
  <c r="AX133" i="56"/>
  <c r="AY133" i="56"/>
  <c r="AZ133" i="56"/>
  <c r="BP133" i="56" s="1"/>
  <c r="BA133" i="56"/>
  <c r="BB133" i="56"/>
  <c r="G134" i="56"/>
  <c r="H134" i="56"/>
  <c r="I134" i="56"/>
  <c r="J134" i="56"/>
  <c r="K134" i="56"/>
  <c r="L134" i="56"/>
  <c r="M134" i="56"/>
  <c r="N134" i="56"/>
  <c r="O134" i="56"/>
  <c r="P134" i="56"/>
  <c r="Q134" i="56"/>
  <c r="R134" i="56"/>
  <c r="S134" i="56"/>
  <c r="T134" i="56"/>
  <c r="U134" i="56"/>
  <c r="V134" i="56"/>
  <c r="W134" i="56"/>
  <c r="X134" i="56"/>
  <c r="Y134" i="56"/>
  <c r="Z134" i="56"/>
  <c r="AA134" i="56"/>
  <c r="AB134" i="56"/>
  <c r="AC134" i="56"/>
  <c r="AD134" i="56"/>
  <c r="AE134" i="56"/>
  <c r="AF134" i="56"/>
  <c r="AG134" i="56"/>
  <c r="AH134" i="56"/>
  <c r="AI134" i="56"/>
  <c r="AJ134" i="56"/>
  <c r="AK134" i="56"/>
  <c r="AL134" i="56"/>
  <c r="AM134" i="56"/>
  <c r="AN134" i="56"/>
  <c r="AO134" i="56"/>
  <c r="AP134" i="56"/>
  <c r="AQ134" i="56"/>
  <c r="AR134" i="56"/>
  <c r="AS134" i="56"/>
  <c r="AT134" i="56"/>
  <c r="AU134" i="56"/>
  <c r="AV134" i="56"/>
  <c r="AW134" i="56"/>
  <c r="AX134" i="56"/>
  <c r="AY134" i="56"/>
  <c r="AZ134" i="56"/>
  <c r="BA134" i="56"/>
  <c r="BB134" i="56"/>
  <c r="G135" i="56"/>
  <c r="H135" i="56"/>
  <c r="I135" i="56"/>
  <c r="J135" i="56"/>
  <c r="K135" i="56"/>
  <c r="L135" i="56"/>
  <c r="M135" i="56"/>
  <c r="N135" i="56"/>
  <c r="O135" i="56"/>
  <c r="P135" i="56"/>
  <c r="Q135" i="56"/>
  <c r="R135" i="56"/>
  <c r="S135" i="56"/>
  <c r="T135" i="56"/>
  <c r="U135" i="56"/>
  <c r="V135" i="56"/>
  <c r="W135" i="56"/>
  <c r="X135" i="56"/>
  <c r="Y135" i="56"/>
  <c r="Z135" i="56"/>
  <c r="AA135" i="56"/>
  <c r="AB135" i="56"/>
  <c r="AC135" i="56"/>
  <c r="AD135" i="56"/>
  <c r="AE135" i="56"/>
  <c r="AF135" i="56"/>
  <c r="AG135" i="56"/>
  <c r="AH135" i="56"/>
  <c r="AI135" i="56"/>
  <c r="AJ135" i="56"/>
  <c r="AK135" i="56"/>
  <c r="AL135" i="56"/>
  <c r="AM135" i="56"/>
  <c r="AN135" i="56"/>
  <c r="AO135" i="56"/>
  <c r="AP135" i="56"/>
  <c r="AQ135" i="56"/>
  <c r="AR135" i="56"/>
  <c r="BN135" i="56" s="1"/>
  <c r="AS135" i="56"/>
  <c r="AT135" i="56"/>
  <c r="AU135" i="56"/>
  <c r="AV135" i="56"/>
  <c r="AW135" i="56"/>
  <c r="AX135" i="56"/>
  <c r="AY135" i="56"/>
  <c r="AZ135" i="56"/>
  <c r="BA135" i="56"/>
  <c r="BB135" i="56"/>
  <c r="G136" i="56"/>
  <c r="H136" i="56"/>
  <c r="I136" i="56"/>
  <c r="J136" i="56"/>
  <c r="K136" i="56"/>
  <c r="L136" i="56"/>
  <c r="M136" i="56"/>
  <c r="N136" i="56"/>
  <c r="O136" i="56"/>
  <c r="P136" i="56"/>
  <c r="Q136" i="56"/>
  <c r="R136" i="56"/>
  <c r="S136" i="56"/>
  <c r="T136" i="56"/>
  <c r="U136" i="56"/>
  <c r="V136" i="56"/>
  <c r="W136" i="56"/>
  <c r="X136" i="56"/>
  <c r="Y136" i="56"/>
  <c r="Z136" i="56"/>
  <c r="AA136" i="56"/>
  <c r="AB136" i="56"/>
  <c r="AC136" i="56"/>
  <c r="AD136" i="56"/>
  <c r="AE136" i="56"/>
  <c r="AF136" i="56"/>
  <c r="AG136" i="56"/>
  <c r="AH136" i="56"/>
  <c r="AI136" i="56"/>
  <c r="AJ136" i="56"/>
  <c r="AK136" i="56"/>
  <c r="AL136" i="56"/>
  <c r="AM136" i="56"/>
  <c r="AN136" i="56"/>
  <c r="AO136" i="56"/>
  <c r="AP136" i="56"/>
  <c r="AQ136" i="56"/>
  <c r="AR136" i="56"/>
  <c r="AS136" i="56"/>
  <c r="AT136" i="56"/>
  <c r="AU136" i="56"/>
  <c r="AV136" i="56"/>
  <c r="AW136" i="56"/>
  <c r="AX136" i="56"/>
  <c r="AY136" i="56"/>
  <c r="AZ136" i="56"/>
  <c r="BA136" i="56"/>
  <c r="BB136" i="56"/>
  <c r="G137" i="56"/>
  <c r="H137" i="56"/>
  <c r="I137" i="56"/>
  <c r="J137" i="56"/>
  <c r="K137" i="56"/>
  <c r="L137" i="56"/>
  <c r="M137" i="56"/>
  <c r="N137" i="56"/>
  <c r="O137" i="56"/>
  <c r="P137" i="56"/>
  <c r="Q137" i="56"/>
  <c r="R137" i="56"/>
  <c r="S137" i="56"/>
  <c r="T137" i="56"/>
  <c r="U137" i="56"/>
  <c r="V137" i="56"/>
  <c r="W137" i="56"/>
  <c r="X137" i="56"/>
  <c r="Y137" i="56"/>
  <c r="Z137" i="56"/>
  <c r="AA137" i="56"/>
  <c r="AB137" i="56"/>
  <c r="AC137" i="56"/>
  <c r="AD137" i="56"/>
  <c r="AE137" i="56"/>
  <c r="AF137" i="56"/>
  <c r="AG137" i="56"/>
  <c r="AH137" i="56"/>
  <c r="AI137" i="56"/>
  <c r="AJ137" i="56"/>
  <c r="AK137" i="56"/>
  <c r="AL137" i="56"/>
  <c r="AM137" i="56"/>
  <c r="AN137" i="56"/>
  <c r="AO137" i="56"/>
  <c r="AP137" i="56"/>
  <c r="AQ137" i="56"/>
  <c r="AR137" i="56"/>
  <c r="AS137" i="56"/>
  <c r="AT137" i="56"/>
  <c r="AU137" i="56"/>
  <c r="AV137" i="56"/>
  <c r="AW137" i="56"/>
  <c r="AX137" i="56"/>
  <c r="AY137" i="56"/>
  <c r="AZ137" i="56"/>
  <c r="BA137" i="56"/>
  <c r="BB137" i="56"/>
  <c r="G138" i="56"/>
  <c r="H138" i="56"/>
  <c r="I138" i="56"/>
  <c r="J138" i="56"/>
  <c r="K138" i="56"/>
  <c r="L138" i="56"/>
  <c r="M138" i="56"/>
  <c r="N138" i="56"/>
  <c r="O138" i="56"/>
  <c r="P138" i="56"/>
  <c r="Q138" i="56"/>
  <c r="R138" i="56"/>
  <c r="S138" i="56"/>
  <c r="T138" i="56"/>
  <c r="U138" i="56"/>
  <c r="V138" i="56"/>
  <c r="W138" i="56"/>
  <c r="X138" i="56"/>
  <c r="Y138" i="56"/>
  <c r="Z138" i="56"/>
  <c r="AA138" i="56"/>
  <c r="AB138" i="56"/>
  <c r="AC138" i="56"/>
  <c r="AD138" i="56"/>
  <c r="AE138" i="56"/>
  <c r="AF138" i="56"/>
  <c r="AG138" i="56"/>
  <c r="AH138" i="56"/>
  <c r="AI138" i="56"/>
  <c r="AJ138" i="56"/>
  <c r="AK138" i="56"/>
  <c r="AL138" i="56"/>
  <c r="AM138" i="56"/>
  <c r="AN138" i="56"/>
  <c r="AO138" i="56"/>
  <c r="AP138" i="56"/>
  <c r="AQ138" i="56"/>
  <c r="AR138" i="56"/>
  <c r="AS138" i="56"/>
  <c r="AT138" i="56"/>
  <c r="AU138" i="56"/>
  <c r="AV138" i="56"/>
  <c r="AW138" i="56"/>
  <c r="AX138" i="56"/>
  <c r="AY138" i="56"/>
  <c r="AZ138" i="56"/>
  <c r="BA138" i="56"/>
  <c r="BB138" i="56"/>
  <c r="CI52" i="56"/>
  <c r="CH52" i="56" s="1"/>
  <c r="CG52" i="56" s="1"/>
  <c r="CF52" i="56" s="1"/>
  <c r="CE52" i="56" s="1"/>
  <c r="CD52" i="56" s="1"/>
  <c r="CC52" i="56" s="1"/>
  <c r="CB52" i="56" s="1"/>
  <c r="CK52" i="56"/>
  <c r="CL52" i="56" s="1"/>
  <c r="CM52" i="56" s="1"/>
  <c r="CN52" i="56" s="1"/>
  <c r="BI55" i="56"/>
  <c r="BK59" i="56"/>
  <c r="BK61" i="56"/>
  <c r="BH63" i="56"/>
  <c r="BF65" i="56"/>
  <c r="BG68" i="56"/>
  <c r="CB53" i="56"/>
  <c r="CC53" i="56"/>
  <c r="CD53" i="56"/>
  <c r="CE53" i="56"/>
  <c r="CF53" i="56"/>
  <c r="CG53" i="56"/>
  <c r="CH53" i="56"/>
  <c r="CI53" i="56"/>
  <c r="CJ53" i="56"/>
  <c r="CK53" i="56"/>
  <c r="CL53" i="56"/>
  <c r="CM53" i="56"/>
  <c r="CN53" i="56"/>
  <c r="CO53" i="56"/>
  <c r="CP53" i="56"/>
  <c r="CQ53" i="56"/>
  <c r="CR53" i="56"/>
  <c r="CS53" i="56"/>
  <c r="CT53" i="56"/>
  <c r="CU53" i="56"/>
  <c r="CV53" i="56"/>
  <c r="CW53" i="56"/>
  <c r="CX53" i="56"/>
  <c r="CY53" i="56"/>
  <c r="CZ53" i="56"/>
  <c r="CB54" i="56"/>
  <c r="CC54" i="56"/>
  <c r="CD54" i="56"/>
  <c r="CE54" i="56"/>
  <c r="CF54" i="56"/>
  <c r="CG54" i="56"/>
  <c r="CH54" i="56"/>
  <c r="CI54" i="56"/>
  <c r="CJ54" i="56"/>
  <c r="CK54" i="56"/>
  <c r="CL54" i="56"/>
  <c r="CM54" i="56"/>
  <c r="CN54" i="56"/>
  <c r="CO54" i="56"/>
  <c r="CP54" i="56"/>
  <c r="CQ54" i="56"/>
  <c r="CR54" i="56"/>
  <c r="CS54" i="56"/>
  <c r="CT54" i="56"/>
  <c r="CU54" i="56"/>
  <c r="CV54" i="56"/>
  <c r="CW54" i="56"/>
  <c r="CX54" i="56"/>
  <c r="CY54" i="56"/>
  <c r="CZ54" i="56"/>
  <c r="CB55" i="56"/>
  <c r="CC55" i="56"/>
  <c r="CD55" i="56"/>
  <c r="CE55" i="56"/>
  <c r="CF55" i="56"/>
  <c r="CG55" i="56"/>
  <c r="CH55" i="56"/>
  <c r="CI55" i="56"/>
  <c r="CJ55" i="56"/>
  <c r="CK55" i="56"/>
  <c r="CL55" i="56"/>
  <c r="CM55" i="56"/>
  <c r="CN55" i="56"/>
  <c r="CO55" i="56"/>
  <c r="CP55" i="56"/>
  <c r="CQ55" i="56"/>
  <c r="CR55" i="56"/>
  <c r="CS55" i="56"/>
  <c r="CT55" i="56"/>
  <c r="CU55" i="56"/>
  <c r="CV55" i="56"/>
  <c r="CW55" i="56"/>
  <c r="CX55" i="56"/>
  <c r="CY55" i="56"/>
  <c r="CZ55" i="56"/>
  <c r="CB56" i="56"/>
  <c r="CC56" i="56"/>
  <c r="CD56" i="56"/>
  <c r="CE56" i="56"/>
  <c r="CF56" i="56"/>
  <c r="CG56" i="56"/>
  <c r="CH56" i="56"/>
  <c r="CI56" i="56"/>
  <c r="CJ56" i="56"/>
  <c r="CK56" i="56"/>
  <c r="CL56" i="56"/>
  <c r="CM56" i="56"/>
  <c r="CN56" i="56"/>
  <c r="CO56" i="56"/>
  <c r="CP56" i="56"/>
  <c r="CQ56" i="56"/>
  <c r="CR56" i="56"/>
  <c r="CS56" i="56"/>
  <c r="CT56" i="56"/>
  <c r="CU56" i="56"/>
  <c r="CV56" i="56"/>
  <c r="CW56" i="56"/>
  <c r="CX56" i="56"/>
  <c r="CY56" i="56"/>
  <c r="CZ56" i="56"/>
  <c r="CB57" i="56"/>
  <c r="CC57" i="56"/>
  <c r="CD57" i="56"/>
  <c r="CE57" i="56"/>
  <c r="CF57" i="56"/>
  <c r="CG57" i="56"/>
  <c r="CH57" i="56"/>
  <c r="CI57" i="56"/>
  <c r="CJ57" i="56"/>
  <c r="CK57" i="56"/>
  <c r="CL57" i="56"/>
  <c r="CM57" i="56"/>
  <c r="CN57" i="56"/>
  <c r="CO57" i="56"/>
  <c r="CP57" i="56"/>
  <c r="CQ57" i="56"/>
  <c r="CR57" i="56"/>
  <c r="CS57" i="56"/>
  <c r="CT57" i="56"/>
  <c r="CU57" i="56"/>
  <c r="CV57" i="56"/>
  <c r="CW57" i="56"/>
  <c r="CX57" i="56"/>
  <c r="CY57" i="56"/>
  <c r="CZ57" i="56"/>
  <c r="BX58" i="56"/>
  <c r="BV67" i="56"/>
  <c r="BV68" i="56"/>
  <c r="BV69" i="56"/>
  <c r="BV70" i="56"/>
  <c r="BV71" i="56"/>
  <c r="BV72" i="56"/>
  <c r="BV73" i="56"/>
  <c r="BV74" i="56"/>
  <c r="BV76" i="56"/>
  <c r="BV77" i="56"/>
  <c r="BV78" i="56"/>
  <c r="BP80" i="56"/>
  <c r="BL87" i="56"/>
  <c r="BP92" i="56"/>
  <c r="BW82" i="56"/>
  <c r="BX83" i="56" s="1"/>
  <c r="CD85" i="56"/>
  <c r="CC85" i="56" s="1"/>
  <c r="CB85" i="56" s="1"/>
  <c r="CA85" i="56" s="1"/>
  <c r="BZ85" i="56" s="1"/>
  <c r="BY85" i="56" s="1"/>
  <c r="BX85" i="56" s="1"/>
  <c r="BW85" i="56" s="1"/>
  <c r="CF85" i="56"/>
  <c r="CG85" i="56" s="1"/>
  <c r="CH85" i="56" s="1"/>
  <c r="CI85" i="56" s="1"/>
  <c r="CJ85" i="56" s="1"/>
  <c r="CK85" i="56" s="1"/>
  <c r="CL85" i="56" s="1"/>
  <c r="CM85" i="56" s="1"/>
  <c r="CN85" i="56" s="1"/>
  <c r="CO85" i="56" s="1"/>
  <c r="CP85" i="56" s="1"/>
  <c r="CQ85" i="56" s="1"/>
  <c r="CR85" i="56" s="1"/>
  <c r="CS85" i="56" s="1"/>
  <c r="CT85" i="56" s="1"/>
  <c r="CU85" i="56" s="1"/>
  <c r="CD92" i="56"/>
  <c r="CC92" i="56" s="1"/>
  <c r="CB92" i="56" s="1"/>
  <c r="CA92" i="56" s="1"/>
  <c r="BZ92" i="56" s="1"/>
  <c r="BY92" i="56" s="1"/>
  <c r="BX92" i="56" s="1"/>
  <c r="BW92" i="56" s="1"/>
  <c r="CF92" i="56"/>
  <c r="CG92" i="56" s="1"/>
  <c r="CH92" i="56" s="1"/>
  <c r="CI92" i="56" s="1"/>
  <c r="BN99" i="56"/>
  <c r="BG103" i="56"/>
  <c r="BO106" i="56"/>
  <c r="BO109" i="56"/>
  <c r="BN115" i="56"/>
  <c r="BP126" i="56"/>
  <c r="G139" i="56"/>
  <c r="H139" i="56"/>
  <c r="I139" i="56"/>
  <c r="J139" i="56"/>
  <c r="K139" i="56"/>
  <c r="L139" i="56"/>
  <c r="M139" i="56"/>
  <c r="N139" i="56"/>
  <c r="O139" i="56"/>
  <c r="P139" i="56"/>
  <c r="Q139" i="56"/>
  <c r="R139" i="56"/>
  <c r="S139" i="56"/>
  <c r="T139" i="56"/>
  <c r="U139" i="56"/>
  <c r="V139" i="56"/>
  <c r="W139" i="56"/>
  <c r="X139" i="56"/>
  <c r="Y139" i="56"/>
  <c r="Z139" i="56"/>
  <c r="AA139" i="56"/>
  <c r="AB139" i="56"/>
  <c r="AC139" i="56"/>
  <c r="AD139" i="56"/>
  <c r="AE139" i="56"/>
  <c r="AF139" i="56"/>
  <c r="AG139" i="56"/>
  <c r="AH139" i="56"/>
  <c r="AI139" i="56"/>
  <c r="AJ139" i="56"/>
  <c r="AK139" i="56"/>
  <c r="AL139" i="56"/>
  <c r="AM139" i="56"/>
  <c r="AN139" i="56"/>
  <c r="AO139" i="56"/>
  <c r="AP139" i="56"/>
  <c r="G140" i="56"/>
  <c r="H140" i="56"/>
  <c r="I140" i="56"/>
  <c r="J140" i="56"/>
  <c r="K140" i="56"/>
  <c r="L140" i="56"/>
  <c r="M140" i="56"/>
  <c r="N140" i="56"/>
  <c r="O140" i="56"/>
  <c r="P140" i="56"/>
  <c r="Q140" i="56"/>
  <c r="R140" i="56"/>
  <c r="S140" i="56"/>
  <c r="T140" i="56"/>
  <c r="U140" i="56"/>
  <c r="V140" i="56"/>
  <c r="W140" i="56"/>
  <c r="X140" i="56"/>
  <c r="Y140" i="56"/>
  <c r="Z140" i="56"/>
  <c r="AA140" i="56"/>
  <c r="AB140" i="56"/>
  <c r="AC140" i="56"/>
  <c r="AD140" i="56"/>
  <c r="AE140" i="56"/>
  <c r="AF140" i="56"/>
  <c r="AG140" i="56"/>
  <c r="AH140" i="56"/>
  <c r="AI140" i="56"/>
  <c r="AJ140" i="56"/>
  <c r="AK140" i="56"/>
  <c r="AL140" i="56"/>
  <c r="AM140" i="56"/>
  <c r="AN140" i="56"/>
  <c r="AO140" i="56"/>
  <c r="AP140" i="56"/>
  <c r="G141" i="56"/>
  <c r="H141" i="56"/>
  <c r="I141" i="56"/>
  <c r="J141" i="56"/>
  <c r="K141" i="56"/>
  <c r="L141" i="56"/>
  <c r="M141" i="56"/>
  <c r="N141" i="56"/>
  <c r="O141" i="56"/>
  <c r="P141" i="56"/>
  <c r="Q141" i="56"/>
  <c r="R141" i="56"/>
  <c r="S141" i="56"/>
  <c r="T141" i="56"/>
  <c r="U141" i="56"/>
  <c r="V141" i="56"/>
  <c r="W141" i="56"/>
  <c r="X141" i="56"/>
  <c r="Y141" i="56"/>
  <c r="Z141" i="56"/>
  <c r="AA141" i="56"/>
  <c r="AB141" i="56"/>
  <c r="AC141" i="56"/>
  <c r="AD141" i="56"/>
  <c r="AE141" i="56"/>
  <c r="AF141" i="56"/>
  <c r="AG141" i="56"/>
  <c r="AH141" i="56"/>
  <c r="AI141" i="56"/>
  <c r="AJ141" i="56"/>
  <c r="AK141" i="56"/>
  <c r="AL141" i="56"/>
  <c r="AM141" i="56"/>
  <c r="AN141" i="56"/>
  <c r="AO141" i="56"/>
  <c r="AP141" i="56"/>
  <c r="G142" i="56"/>
  <c r="H142" i="56"/>
  <c r="I142" i="56"/>
  <c r="J142" i="56"/>
  <c r="K142" i="56"/>
  <c r="L142" i="56"/>
  <c r="M142" i="56"/>
  <c r="N142" i="56"/>
  <c r="O142" i="56"/>
  <c r="P142" i="56"/>
  <c r="Q142" i="56"/>
  <c r="R142" i="56"/>
  <c r="S142" i="56"/>
  <c r="T142" i="56"/>
  <c r="U142" i="56"/>
  <c r="V142" i="56"/>
  <c r="W142" i="56"/>
  <c r="X142" i="56"/>
  <c r="Y142" i="56"/>
  <c r="Z142" i="56"/>
  <c r="AA142" i="56"/>
  <c r="AB142" i="56"/>
  <c r="AC142" i="56"/>
  <c r="AD142" i="56"/>
  <c r="AE142" i="56"/>
  <c r="AF142" i="56"/>
  <c r="AG142" i="56"/>
  <c r="AH142" i="56"/>
  <c r="AI142" i="56"/>
  <c r="AJ142" i="56"/>
  <c r="AK142" i="56"/>
  <c r="AL142" i="56"/>
  <c r="AM142" i="56"/>
  <c r="AN142" i="56"/>
  <c r="AO142" i="56"/>
  <c r="AP142" i="56"/>
  <c r="C139" i="56"/>
  <c r="D139" i="56"/>
  <c r="E139" i="56"/>
  <c r="C140" i="56"/>
  <c r="D140" i="56"/>
  <c r="E140" i="56"/>
  <c r="C141" i="56"/>
  <c r="D141" i="56"/>
  <c r="E141" i="56"/>
  <c r="C142" i="56"/>
  <c r="D142" i="56"/>
  <c r="E142" i="56"/>
  <c r="BE151" i="56"/>
  <c r="BF151" i="56"/>
  <c r="BG151" i="56"/>
  <c r="BH151" i="56"/>
  <c r="BI151" i="56"/>
  <c r="BJ151" i="56"/>
  <c r="BK151" i="56"/>
  <c r="BL151" i="56"/>
  <c r="BM151" i="56"/>
  <c r="BN151" i="56"/>
  <c r="BO151" i="56"/>
  <c r="BP151" i="56"/>
  <c r="BE152" i="56"/>
  <c r="BF152" i="56"/>
  <c r="BG152" i="56"/>
  <c r="BH152" i="56"/>
  <c r="BI152" i="56"/>
  <c r="BJ152" i="56"/>
  <c r="BK152" i="56"/>
  <c r="BL152" i="56"/>
  <c r="BM152" i="56"/>
  <c r="BN152" i="56"/>
  <c r="BO152" i="56"/>
  <c r="BP152" i="56"/>
  <c r="BE153" i="56"/>
  <c r="BF153" i="56"/>
  <c r="BG153" i="56"/>
  <c r="BH153" i="56"/>
  <c r="BI153" i="56"/>
  <c r="BJ153" i="56"/>
  <c r="BK153" i="56"/>
  <c r="BL153" i="56"/>
  <c r="BM153" i="56"/>
  <c r="BN153" i="56"/>
  <c r="BO153" i="56"/>
  <c r="BP153" i="56"/>
  <c r="BE154" i="56"/>
  <c r="BF154" i="56"/>
  <c r="BG154" i="56"/>
  <c r="BH154" i="56"/>
  <c r="BI154" i="56"/>
  <c r="BJ154" i="56"/>
  <c r="BK154" i="56"/>
  <c r="BL154" i="56"/>
  <c r="BM154" i="56"/>
  <c r="BN154" i="56"/>
  <c r="BO154" i="56"/>
  <c r="BP154" i="56"/>
  <c r="BE155" i="56"/>
  <c r="BF155" i="56"/>
  <c r="BG155" i="56"/>
  <c r="BH155" i="56"/>
  <c r="BI155" i="56"/>
  <c r="BJ155" i="56"/>
  <c r="BK155" i="56"/>
  <c r="BL155" i="56"/>
  <c r="BM155" i="56"/>
  <c r="BN155" i="56"/>
  <c r="BO155" i="56"/>
  <c r="BP155" i="56"/>
  <c r="BE159" i="56"/>
  <c r="BF159" i="56"/>
  <c r="BG159" i="56"/>
  <c r="BH159" i="56"/>
  <c r="BI159" i="56"/>
  <c r="BJ159" i="56"/>
  <c r="BK159" i="56"/>
  <c r="BL159" i="56"/>
  <c r="BM159" i="56"/>
  <c r="BN159" i="56"/>
  <c r="BO159" i="56"/>
  <c r="BP159" i="56"/>
  <c r="BE160" i="56"/>
  <c r="BF160" i="56"/>
  <c r="BG160" i="56"/>
  <c r="BH160" i="56"/>
  <c r="BI160" i="56"/>
  <c r="BJ160" i="56"/>
  <c r="BK160" i="56"/>
  <c r="BL160" i="56"/>
  <c r="BM160" i="56"/>
  <c r="BN160" i="56"/>
  <c r="BO160" i="56"/>
  <c r="BP160" i="56"/>
  <c r="BE161" i="56"/>
  <c r="BF161" i="56"/>
  <c r="BG161" i="56"/>
  <c r="BH161" i="56"/>
  <c r="BI161" i="56"/>
  <c r="BJ161" i="56"/>
  <c r="BK161" i="56"/>
  <c r="BL161" i="56"/>
  <c r="BM161" i="56"/>
  <c r="BN161" i="56"/>
  <c r="BO161" i="56"/>
  <c r="BP161" i="56"/>
  <c r="BE162" i="56"/>
  <c r="BF162" i="56"/>
  <c r="BG162" i="56"/>
  <c r="BH162" i="56"/>
  <c r="BI162" i="56"/>
  <c r="BJ162" i="56"/>
  <c r="BK162" i="56"/>
  <c r="BL162" i="56"/>
  <c r="BM162" i="56"/>
  <c r="BN162" i="56"/>
  <c r="BO162" i="56"/>
  <c r="BP162" i="56"/>
  <c r="BE163" i="56"/>
  <c r="BF163" i="56"/>
  <c r="BG163" i="56"/>
  <c r="BH163" i="56"/>
  <c r="BI163" i="56"/>
  <c r="BJ163" i="56"/>
  <c r="BK163" i="56"/>
  <c r="BL163" i="56"/>
  <c r="BM163" i="56"/>
  <c r="BN163" i="56"/>
  <c r="BO163" i="56"/>
  <c r="BP163" i="56"/>
  <c r="BE164" i="56"/>
  <c r="BF164" i="56"/>
  <c r="BG164" i="56"/>
  <c r="BH164" i="56"/>
  <c r="BI164" i="56"/>
  <c r="BJ164" i="56"/>
  <c r="BK164" i="56"/>
  <c r="BL164" i="56"/>
  <c r="BM164" i="56"/>
  <c r="BN164" i="56"/>
  <c r="BO164" i="56"/>
  <c r="BP164" i="56"/>
  <c r="BE165" i="56"/>
  <c r="BF165" i="56"/>
  <c r="BG165" i="56"/>
  <c r="BH165" i="56"/>
  <c r="BI165" i="56"/>
  <c r="BJ165" i="56"/>
  <c r="BK165" i="56"/>
  <c r="BL165" i="56"/>
  <c r="BM165" i="56"/>
  <c r="BN165" i="56"/>
  <c r="BO165" i="56"/>
  <c r="BP165" i="56"/>
  <c r="BE166" i="56"/>
  <c r="BF166" i="56"/>
  <c r="BG166" i="56"/>
  <c r="BH166" i="56"/>
  <c r="BI166" i="56"/>
  <c r="BJ166" i="56"/>
  <c r="BK166" i="56"/>
  <c r="BL166" i="56"/>
  <c r="BM166" i="56"/>
  <c r="BN166" i="56"/>
  <c r="BO166" i="56"/>
  <c r="BP166" i="56"/>
  <c r="BE167" i="56"/>
  <c r="BF167" i="56"/>
  <c r="BG167" i="56"/>
  <c r="BH167" i="56"/>
  <c r="BI167" i="56"/>
  <c r="BJ167" i="56"/>
  <c r="BK167" i="56"/>
  <c r="BL167" i="56"/>
  <c r="BM167" i="56"/>
  <c r="BN167" i="56"/>
  <c r="BO167" i="56"/>
  <c r="BP167" i="56"/>
  <c r="BE168" i="56"/>
  <c r="BF168" i="56"/>
  <c r="BG168" i="56"/>
  <c r="BH168" i="56"/>
  <c r="BI168" i="56"/>
  <c r="BJ168" i="56"/>
  <c r="BK168" i="56"/>
  <c r="BL168" i="56"/>
  <c r="BM168" i="56"/>
  <c r="BN168" i="56"/>
  <c r="BO168" i="56"/>
  <c r="BP168" i="56"/>
  <c r="BE169" i="56"/>
  <c r="BF169" i="56"/>
  <c r="BG169" i="56"/>
  <c r="BH169" i="56"/>
  <c r="BI169" i="56"/>
  <c r="BJ169" i="56"/>
  <c r="BK169" i="56"/>
  <c r="BL169" i="56"/>
  <c r="BM169" i="56"/>
  <c r="BN169" i="56"/>
  <c r="BO169" i="56"/>
  <c r="BP169" i="56"/>
  <c r="BE170" i="56"/>
  <c r="BF170" i="56"/>
  <c r="BG170" i="56"/>
  <c r="BH170" i="56"/>
  <c r="BI170" i="56"/>
  <c r="BJ170" i="56"/>
  <c r="BK170" i="56"/>
  <c r="BL170" i="56"/>
  <c r="BM170" i="56"/>
  <c r="BN170" i="56"/>
  <c r="BO170" i="56"/>
  <c r="BP170" i="56"/>
  <c r="BE171" i="56"/>
  <c r="BF171" i="56"/>
  <c r="BG171" i="56"/>
  <c r="BH171" i="56"/>
  <c r="BI171" i="56"/>
  <c r="BJ171" i="56"/>
  <c r="BK171" i="56"/>
  <c r="BL171" i="56"/>
  <c r="BM171" i="56"/>
  <c r="BN171" i="56"/>
  <c r="BO171" i="56"/>
  <c r="BP171" i="56"/>
  <c r="BE172" i="56"/>
  <c r="BF172" i="56"/>
  <c r="BG172" i="56"/>
  <c r="BH172" i="56"/>
  <c r="BI172" i="56"/>
  <c r="BJ172" i="56"/>
  <c r="BK172" i="56"/>
  <c r="BL172" i="56"/>
  <c r="BM172" i="56"/>
  <c r="BN172" i="56"/>
  <c r="BO172" i="56"/>
  <c r="BP172" i="56"/>
  <c r="BE173" i="56"/>
  <c r="BF173" i="56"/>
  <c r="BG173" i="56"/>
  <c r="BH173" i="56"/>
  <c r="BI173" i="56"/>
  <c r="BJ173" i="56"/>
  <c r="BK173" i="56"/>
  <c r="BL173" i="56"/>
  <c r="BM173" i="56"/>
  <c r="BN173" i="56"/>
  <c r="BO173" i="56"/>
  <c r="BP173" i="56"/>
  <c r="BE174" i="56"/>
  <c r="BF174" i="56"/>
  <c r="BG174" i="56"/>
  <c r="BH174" i="56"/>
  <c r="BI174" i="56"/>
  <c r="BJ174" i="56"/>
  <c r="BK174" i="56"/>
  <c r="BL174" i="56"/>
  <c r="BM174" i="56"/>
  <c r="BN174" i="56"/>
  <c r="BO174" i="56"/>
  <c r="BP174" i="56"/>
  <c r="BE177" i="56"/>
  <c r="BF177" i="56"/>
  <c r="BG177" i="56"/>
  <c r="BH177" i="56"/>
  <c r="BI177" i="56"/>
  <c r="BJ177" i="56"/>
  <c r="BK177" i="56"/>
  <c r="BL177" i="56"/>
  <c r="BM177" i="56"/>
  <c r="BN177" i="56"/>
  <c r="BO177" i="56"/>
  <c r="BP177" i="56"/>
  <c r="BE178" i="56"/>
  <c r="BF178" i="56"/>
  <c r="BG178" i="56"/>
  <c r="BH178" i="56"/>
  <c r="BI178" i="56"/>
  <c r="BJ178" i="56"/>
  <c r="BK178" i="56"/>
  <c r="BL178" i="56"/>
  <c r="BM178" i="56"/>
  <c r="BN178" i="56"/>
  <c r="BO178" i="56"/>
  <c r="BP178" i="56"/>
  <c r="BE179" i="56"/>
  <c r="BF179" i="56"/>
  <c r="BG179" i="56"/>
  <c r="BH179" i="56"/>
  <c r="BI179" i="56"/>
  <c r="BJ179" i="56"/>
  <c r="BK179" i="56"/>
  <c r="BL179" i="56"/>
  <c r="BM179" i="56"/>
  <c r="BN179" i="56"/>
  <c r="BO179" i="56"/>
  <c r="BP179" i="56"/>
  <c r="BE180" i="56"/>
  <c r="BF180" i="56"/>
  <c r="BG180" i="56"/>
  <c r="BH180" i="56"/>
  <c r="BI180" i="56"/>
  <c r="BJ180" i="56"/>
  <c r="BK180" i="56"/>
  <c r="BL180" i="56"/>
  <c r="BM180" i="56"/>
  <c r="BN180" i="56"/>
  <c r="BO180" i="56"/>
  <c r="BP180" i="56"/>
  <c r="BE181" i="56"/>
  <c r="BF181" i="56"/>
  <c r="BG181" i="56"/>
  <c r="BH181" i="56"/>
  <c r="BI181" i="56"/>
  <c r="BJ181" i="56"/>
  <c r="BK181" i="56"/>
  <c r="BL181" i="56"/>
  <c r="BM181" i="56"/>
  <c r="BN181" i="56"/>
  <c r="BO181" i="56"/>
  <c r="BP181" i="56"/>
  <c r="BE182" i="56"/>
  <c r="BF182" i="56"/>
  <c r="BG182" i="56"/>
  <c r="BH182" i="56"/>
  <c r="BI182" i="56"/>
  <c r="BJ182" i="56"/>
  <c r="BK182" i="56"/>
  <c r="BL182" i="56"/>
  <c r="BM182" i="56"/>
  <c r="BN182" i="56"/>
  <c r="BO182" i="56"/>
  <c r="BP182" i="56"/>
  <c r="BE183" i="56"/>
  <c r="BF183" i="56"/>
  <c r="BG183" i="56"/>
  <c r="BH183" i="56"/>
  <c r="BI183" i="56"/>
  <c r="BJ183" i="56"/>
  <c r="BK183" i="56"/>
  <c r="BL183" i="56"/>
  <c r="BM183" i="56"/>
  <c r="BN183" i="56"/>
  <c r="BO183" i="56"/>
  <c r="BP183" i="56"/>
  <c r="BE184" i="56"/>
  <c r="BF184" i="56"/>
  <c r="BG184" i="56"/>
  <c r="BH184" i="56"/>
  <c r="BI184" i="56"/>
  <c r="BJ184" i="56"/>
  <c r="BK184" i="56"/>
  <c r="BL184" i="56"/>
  <c r="BM184" i="56"/>
  <c r="BN184" i="56"/>
  <c r="BO184" i="56"/>
  <c r="BP184" i="56"/>
  <c r="BE185" i="56"/>
  <c r="BF185" i="56"/>
  <c r="BG185" i="56"/>
  <c r="BH185" i="56"/>
  <c r="BI185" i="56"/>
  <c r="BJ185" i="56"/>
  <c r="BK185" i="56"/>
  <c r="BL185" i="56"/>
  <c r="BM185" i="56"/>
  <c r="BN185" i="56"/>
  <c r="BO185" i="56"/>
  <c r="BP185" i="56"/>
  <c r="BE186" i="56"/>
  <c r="BF186" i="56"/>
  <c r="BG186" i="56"/>
  <c r="BH186" i="56"/>
  <c r="BI186" i="56"/>
  <c r="BJ186" i="56"/>
  <c r="BK186" i="56"/>
  <c r="BL186" i="56"/>
  <c r="BM186" i="56"/>
  <c r="BN186" i="56"/>
  <c r="BO186" i="56"/>
  <c r="BP186" i="56"/>
  <c r="BE187" i="56"/>
  <c r="BF187" i="56"/>
  <c r="BG187" i="56"/>
  <c r="BH187" i="56"/>
  <c r="BI187" i="56"/>
  <c r="BJ187" i="56"/>
  <c r="BK187" i="56"/>
  <c r="BL187" i="56"/>
  <c r="BM187" i="56"/>
  <c r="BN187" i="56"/>
  <c r="BO187" i="56"/>
  <c r="BP187" i="56"/>
  <c r="BE188" i="56"/>
  <c r="BF188" i="56"/>
  <c r="BG188" i="56"/>
  <c r="BH188" i="56"/>
  <c r="BI188" i="56"/>
  <c r="BJ188" i="56"/>
  <c r="BK188" i="56"/>
  <c r="BL188" i="56"/>
  <c r="BM188" i="56"/>
  <c r="BN188" i="56"/>
  <c r="BO188" i="56"/>
  <c r="BP188" i="56"/>
  <c r="BE189" i="56"/>
  <c r="BF189" i="56"/>
  <c r="BG189" i="56"/>
  <c r="BH189" i="56"/>
  <c r="BI189" i="56"/>
  <c r="BJ189" i="56"/>
  <c r="BK189" i="56"/>
  <c r="BL189" i="56"/>
  <c r="BM189" i="56"/>
  <c r="BN189" i="56"/>
  <c r="BO189" i="56"/>
  <c r="BP189" i="56"/>
  <c r="BE190" i="56"/>
  <c r="BF190" i="56"/>
  <c r="BG190" i="56"/>
  <c r="BH190" i="56"/>
  <c r="BI190" i="56"/>
  <c r="BJ190" i="56"/>
  <c r="BK190" i="56"/>
  <c r="BL190" i="56"/>
  <c r="BM190" i="56"/>
  <c r="BN190" i="56"/>
  <c r="BO190" i="56"/>
  <c r="BP190" i="56"/>
  <c r="BE191" i="56"/>
  <c r="BF191" i="56"/>
  <c r="BG191" i="56"/>
  <c r="BH191" i="56"/>
  <c r="BI191" i="56"/>
  <c r="BJ191" i="56"/>
  <c r="BK191" i="56"/>
  <c r="BL191" i="56"/>
  <c r="BM191" i="56"/>
  <c r="BN191" i="56"/>
  <c r="BO191" i="56"/>
  <c r="BP191" i="56"/>
  <c r="BE192" i="56"/>
  <c r="BF192" i="56"/>
  <c r="BG192" i="56"/>
  <c r="BH192" i="56"/>
  <c r="BI192" i="56"/>
  <c r="BJ192" i="56"/>
  <c r="BK192" i="56"/>
  <c r="BL192" i="56"/>
  <c r="BM192" i="56"/>
  <c r="BN192" i="56"/>
  <c r="BO192" i="56"/>
  <c r="BP192" i="56"/>
  <c r="BE196" i="56"/>
  <c r="BF196" i="56"/>
  <c r="BG196" i="56"/>
  <c r="BH196" i="56"/>
  <c r="BI196" i="56"/>
  <c r="BJ196" i="56"/>
  <c r="BK196" i="56"/>
  <c r="BL196" i="56"/>
  <c r="BM196" i="56"/>
  <c r="BN196" i="56"/>
  <c r="BO196" i="56"/>
  <c r="BP196" i="56"/>
  <c r="BE197" i="56"/>
  <c r="BF197" i="56"/>
  <c r="BG197" i="56"/>
  <c r="BH197" i="56"/>
  <c r="BI197" i="56"/>
  <c r="BJ197" i="56"/>
  <c r="BK197" i="56"/>
  <c r="BL197" i="56"/>
  <c r="BM197" i="56"/>
  <c r="BN197" i="56"/>
  <c r="BO197" i="56"/>
  <c r="BP197" i="56"/>
  <c r="BE198" i="56"/>
  <c r="BF198" i="56"/>
  <c r="BG198" i="56"/>
  <c r="BH198" i="56"/>
  <c r="BI198" i="56"/>
  <c r="BJ198" i="56"/>
  <c r="BK198" i="56"/>
  <c r="BL198" i="56"/>
  <c r="BM198" i="56"/>
  <c r="BN198" i="56"/>
  <c r="BO198" i="56"/>
  <c r="BP198" i="56"/>
  <c r="BE199" i="56"/>
  <c r="BF199" i="56"/>
  <c r="BG199" i="56"/>
  <c r="BH199" i="56"/>
  <c r="BI199" i="56"/>
  <c r="BJ199" i="56"/>
  <c r="BK199" i="56"/>
  <c r="BL199" i="56"/>
  <c r="BM199" i="56"/>
  <c r="BN199" i="56"/>
  <c r="BO199" i="56"/>
  <c r="BP199" i="56"/>
  <c r="BE200" i="56"/>
  <c r="BF200" i="56"/>
  <c r="BG200" i="56"/>
  <c r="BH200" i="56"/>
  <c r="BI200" i="56"/>
  <c r="BJ200" i="56"/>
  <c r="BK200" i="56"/>
  <c r="BL200" i="56"/>
  <c r="BM200" i="56"/>
  <c r="BN200" i="56"/>
  <c r="BO200" i="56"/>
  <c r="BP200" i="56"/>
  <c r="BX59" i="56" s="1"/>
  <c r="BE201" i="56"/>
  <c r="BF201" i="56"/>
  <c r="BG201" i="56"/>
  <c r="BH201" i="56"/>
  <c r="BI201" i="56"/>
  <c r="BJ201" i="56"/>
  <c r="BK201" i="56"/>
  <c r="BL201" i="56"/>
  <c r="BM201" i="56"/>
  <c r="BN201" i="56"/>
  <c r="BO201" i="56"/>
  <c r="BP201" i="56"/>
  <c r="BE202" i="56"/>
  <c r="BF202" i="56"/>
  <c r="BG202" i="56"/>
  <c r="BH202" i="56"/>
  <c r="BI202" i="56"/>
  <c r="BJ202" i="56"/>
  <c r="BK202" i="56"/>
  <c r="BL202" i="56"/>
  <c r="BM202" i="56"/>
  <c r="BN202" i="56"/>
  <c r="BX62" i="56" s="1"/>
  <c r="BX63" i="56" s="1"/>
  <c r="BO202" i="56"/>
  <c r="BP202" i="56"/>
  <c r="BE203" i="56"/>
  <c r="BF203" i="56"/>
  <c r="BG203" i="56"/>
  <c r="BH203" i="56"/>
  <c r="BI203" i="56"/>
  <c r="BJ203" i="56"/>
  <c r="BK203" i="56"/>
  <c r="BL203" i="56"/>
  <c r="BM203" i="56"/>
  <c r="BN203" i="56"/>
  <c r="BO203" i="56"/>
  <c r="BP203" i="56"/>
  <c r="BE204" i="56"/>
  <c r="BF204" i="56"/>
  <c r="BG204" i="56"/>
  <c r="BH204" i="56"/>
  <c r="BI204" i="56"/>
  <c r="BJ204" i="56"/>
  <c r="BK204" i="56"/>
  <c r="BL204" i="56"/>
  <c r="BM204" i="56"/>
  <c r="BN204" i="56"/>
  <c r="BO204" i="56"/>
  <c r="BP204" i="56"/>
  <c r="BE205" i="56"/>
  <c r="BF205" i="56"/>
  <c r="BG205" i="56"/>
  <c r="BH205" i="56"/>
  <c r="BI205" i="56"/>
  <c r="BJ205" i="56"/>
  <c r="BK205" i="56"/>
  <c r="BL205" i="56"/>
  <c r="BM205" i="56"/>
  <c r="BN205" i="56"/>
  <c r="BO205" i="56"/>
  <c r="BP205" i="56"/>
  <c r="BE206" i="56"/>
  <c r="BF206" i="56"/>
  <c r="BG206" i="56"/>
  <c r="BH206" i="56"/>
  <c r="BI206" i="56"/>
  <c r="BJ206" i="56"/>
  <c r="BK206" i="56"/>
  <c r="BL206" i="56"/>
  <c r="BM206" i="56"/>
  <c r="BN206" i="56"/>
  <c r="BO206" i="56"/>
  <c r="BP206" i="56"/>
  <c r="BE207" i="56"/>
  <c r="BF207" i="56"/>
  <c r="BG207" i="56"/>
  <c r="BH207" i="56"/>
  <c r="BI207" i="56"/>
  <c r="BJ207" i="56"/>
  <c r="BK207" i="56"/>
  <c r="BL207" i="56"/>
  <c r="BM207" i="56"/>
  <c r="BN207" i="56"/>
  <c r="BO207" i="56"/>
  <c r="BP207" i="56"/>
  <c r="BE208" i="56"/>
  <c r="BF208" i="56"/>
  <c r="BG208" i="56"/>
  <c r="BH208" i="56"/>
  <c r="BI208" i="56"/>
  <c r="BJ208" i="56"/>
  <c r="BK208" i="56"/>
  <c r="BL208" i="56"/>
  <c r="BM208" i="56"/>
  <c r="BN208" i="56"/>
  <c r="BO208" i="56"/>
  <c r="BP208" i="56"/>
  <c r="BE209" i="56"/>
  <c r="BF209" i="56"/>
  <c r="BG209" i="56"/>
  <c r="BH209" i="56"/>
  <c r="BI209" i="56"/>
  <c r="BJ209" i="56"/>
  <c r="BK209" i="56"/>
  <c r="BL209" i="56"/>
  <c r="BM209" i="56"/>
  <c r="BN209" i="56"/>
  <c r="BO209" i="56"/>
  <c r="BP209" i="56"/>
  <c r="BE210" i="56"/>
  <c r="BF210" i="56"/>
  <c r="BG210" i="56"/>
  <c r="BH210" i="56"/>
  <c r="BI210" i="56"/>
  <c r="BJ210" i="56"/>
  <c r="BK210" i="56"/>
  <c r="BL210" i="56"/>
  <c r="BM210" i="56"/>
  <c r="BN210" i="56"/>
  <c r="BO210" i="56"/>
  <c r="BP210" i="56"/>
  <c r="BE211" i="56"/>
  <c r="BF211" i="56"/>
  <c r="BG211" i="56"/>
  <c r="BH211" i="56"/>
  <c r="BI211" i="56"/>
  <c r="BJ211" i="56"/>
  <c r="BK211" i="56"/>
  <c r="BL211" i="56"/>
  <c r="BM211" i="56"/>
  <c r="BN211" i="56"/>
  <c r="BO211" i="56"/>
  <c r="BP211" i="56"/>
  <c r="BE215" i="56"/>
  <c r="BF215" i="56"/>
  <c r="BG215" i="56"/>
  <c r="BH215" i="56"/>
  <c r="BI215" i="56"/>
  <c r="BJ215" i="56"/>
  <c r="BK215" i="56"/>
  <c r="BL215" i="56"/>
  <c r="BM215" i="56"/>
  <c r="BN215" i="56"/>
  <c r="BO215" i="56"/>
  <c r="BP215" i="56"/>
  <c r="BE216" i="56"/>
  <c r="BF216" i="56"/>
  <c r="BG216" i="56"/>
  <c r="BH216" i="56"/>
  <c r="BI216" i="56"/>
  <c r="BJ216" i="56"/>
  <c r="BK216" i="56"/>
  <c r="BL216" i="56"/>
  <c r="BM216" i="56"/>
  <c r="BN216" i="56"/>
  <c r="BO216" i="56"/>
  <c r="BP216" i="56"/>
  <c r="BE217" i="56"/>
  <c r="BF217" i="56"/>
  <c r="BG217" i="56"/>
  <c r="BH217" i="56"/>
  <c r="BI217" i="56"/>
  <c r="BJ217" i="56"/>
  <c r="BK217" i="56"/>
  <c r="BL217" i="56"/>
  <c r="BM217" i="56"/>
  <c r="BN217" i="56"/>
  <c r="BO217" i="56"/>
  <c r="BP217" i="56"/>
  <c r="BE221" i="56"/>
  <c r="BF221" i="56"/>
  <c r="BG221" i="56"/>
  <c r="BH221" i="56"/>
  <c r="BI221" i="56"/>
  <c r="BJ221" i="56"/>
  <c r="BK221" i="56"/>
  <c r="BL221" i="56"/>
  <c r="BM221" i="56"/>
  <c r="BN221" i="56"/>
  <c r="BO221" i="56"/>
  <c r="BP221" i="56"/>
  <c r="BE222" i="56"/>
  <c r="BF222" i="56"/>
  <c r="BG222" i="56"/>
  <c r="BH222" i="56"/>
  <c r="BI222" i="56"/>
  <c r="BJ222" i="56"/>
  <c r="BK222" i="56"/>
  <c r="BL222" i="56"/>
  <c r="BM222" i="56"/>
  <c r="BN222" i="56"/>
  <c r="BO222" i="56"/>
  <c r="BP222" i="56"/>
  <c r="BE223" i="56"/>
  <c r="BF223" i="56"/>
  <c r="BG223" i="56"/>
  <c r="BH223" i="56"/>
  <c r="BI223" i="56"/>
  <c r="BJ223" i="56"/>
  <c r="BK223" i="56"/>
  <c r="BL223" i="56"/>
  <c r="BM223" i="56"/>
  <c r="BN223" i="56"/>
  <c r="BO223" i="56"/>
  <c r="BP223" i="56"/>
  <c r="BE224" i="56"/>
  <c r="BF224" i="56"/>
  <c r="BG224" i="56"/>
  <c r="BH224" i="56"/>
  <c r="BI224" i="56"/>
  <c r="BJ224" i="56"/>
  <c r="BK224" i="56"/>
  <c r="BL224" i="56"/>
  <c r="BM224" i="56"/>
  <c r="BN224" i="56"/>
  <c r="BO224" i="56"/>
  <c r="BP224" i="56"/>
  <c r="BE225" i="56"/>
  <c r="BF225" i="56"/>
  <c r="BG225" i="56"/>
  <c r="BH225" i="56"/>
  <c r="BI225" i="56"/>
  <c r="BJ225" i="56"/>
  <c r="BK225" i="56"/>
  <c r="BL225" i="56"/>
  <c r="BM225" i="56"/>
  <c r="BN225" i="56"/>
  <c r="BO225" i="56"/>
  <c r="BP225" i="56"/>
  <c r="BX43" i="56" s="1"/>
  <c r="BE226" i="56"/>
  <c r="BF226" i="56"/>
  <c r="BG226" i="56"/>
  <c r="BH226" i="56"/>
  <c r="BI226" i="56"/>
  <c r="BJ226" i="56"/>
  <c r="BK226" i="56"/>
  <c r="BL226" i="56"/>
  <c r="BM226" i="56"/>
  <c r="BN226" i="56"/>
  <c r="BO226" i="56"/>
  <c r="BP226" i="56"/>
  <c r="BX44" i="56" s="1"/>
  <c r="BE227" i="56"/>
  <c r="BF227" i="56"/>
  <c r="BG227" i="56"/>
  <c r="BH227" i="56"/>
  <c r="BI227" i="56"/>
  <c r="BJ227" i="56"/>
  <c r="BK227" i="56"/>
  <c r="BL227" i="56"/>
  <c r="BM227" i="56"/>
  <c r="BN227" i="56"/>
  <c r="BO227" i="56"/>
  <c r="BP227" i="56"/>
  <c r="BX45" i="56" s="1"/>
  <c r="BE228" i="56"/>
  <c r="BF228" i="56"/>
  <c r="BG228" i="56"/>
  <c r="BH228" i="56"/>
  <c r="BI228" i="56"/>
  <c r="BJ228" i="56"/>
  <c r="BK228" i="56"/>
  <c r="BL228" i="56"/>
  <c r="BM228" i="56"/>
  <c r="BN228" i="56"/>
  <c r="BO228" i="56"/>
  <c r="BP228" i="56"/>
  <c r="BX46" i="56" s="1"/>
  <c r="BE229" i="56"/>
  <c r="BF229" i="56"/>
  <c r="BG229" i="56"/>
  <c r="BH229" i="56"/>
  <c r="BI229" i="56"/>
  <c r="BJ229" i="56"/>
  <c r="BK229" i="56"/>
  <c r="BL229" i="56"/>
  <c r="BM229" i="56"/>
  <c r="BN229" i="56"/>
  <c r="BO229" i="56"/>
  <c r="BP229" i="56"/>
  <c r="BX47" i="56" s="1"/>
  <c r="BE230" i="56"/>
  <c r="BF230" i="56"/>
  <c r="BG230" i="56"/>
  <c r="BH230" i="56"/>
  <c r="BI230" i="56"/>
  <c r="BJ230" i="56"/>
  <c r="BK230" i="56"/>
  <c r="BL230" i="56"/>
  <c r="BM230" i="56"/>
  <c r="BN230" i="56"/>
  <c r="BO230" i="56"/>
  <c r="BP230" i="56"/>
  <c r="BX16" i="56" s="1"/>
  <c r="BE231" i="56"/>
  <c r="BF231" i="56"/>
  <c r="BG231" i="56"/>
  <c r="BH231" i="56"/>
  <c r="BI231" i="56"/>
  <c r="BJ231" i="56"/>
  <c r="BK231" i="56"/>
  <c r="BL231" i="56"/>
  <c r="BM231" i="56"/>
  <c r="BN231" i="56"/>
  <c r="BO231" i="56"/>
  <c r="BP231" i="56"/>
  <c r="BX24" i="56" s="1"/>
  <c r="BE232" i="56"/>
  <c r="BF232" i="56"/>
  <c r="BG232" i="56"/>
  <c r="BH232" i="56"/>
  <c r="BI232" i="56"/>
  <c r="BJ232" i="56"/>
  <c r="BK232" i="56"/>
  <c r="BL232" i="56"/>
  <c r="BM232" i="56"/>
  <c r="BN232" i="56"/>
  <c r="BO232" i="56"/>
  <c r="BP232" i="56"/>
  <c r="BX30" i="56" s="1"/>
  <c r="BE233" i="56"/>
  <c r="BF233" i="56"/>
  <c r="BG233" i="56"/>
  <c r="BH233" i="56"/>
  <c r="BI233" i="56"/>
  <c r="BJ233" i="56"/>
  <c r="BK233" i="56"/>
  <c r="BL233" i="56"/>
  <c r="BM233" i="56"/>
  <c r="BN233" i="56"/>
  <c r="BO233" i="56"/>
  <c r="BP233" i="56"/>
  <c r="BE234" i="56"/>
  <c r="BF234" i="56"/>
  <c r="BG234" i="56"/>
  <c r="BH234" i="56"/>
  <c r="BI234" i="56"/>
  <c r="BJ234" i="56"/>
  <c r="BK234" i="56"/>
  <c r="BL234" i="56"/>
  <c r="BM234" i="56"/>
  <c r="BN234" i="56"/>
  <c r="BO234" i="56"/>
  <c r="BP234" i="56"/>
  <c r="BE235" i="56"/>
  <c r="BF235" i="56"/>
  <c r="BG235" i="56"/>
  <c r="BH235" i="56"/>
  <c r="BI235" i="56"/>
  <c r="BJ235" i="56"/>
  <c r="BK235" i="56"/>
  <c r="BL235" i="56"/>
  <c r="BM235" i="56"/>
  <c r="BN235" i="56"/>
  <c r="BO235" i="56"/>
  <c r="BP235" i="56"/>
  <c r="BE236" i="56"/>
  <c r="BF236" i="56"/>
  <c r="BG236" i="56"/>
  <c r="BH236" i="56"/>
  <c r="BI236" i="56"/>
  <c r="BJ236" i="56"/>
  <c r="BK236" i="56"/>
  <c r="BL236" i="56"/>
  <c r="BM236" i="56"/>
  <c r="BN236" i="56"/>
  <c r="BO236" i="56"/>
  <c r="BP236" i="56"/>
  <c r="BE239" i="56"/>
  <c r="BF239" i="56"/>
  <c r="BG239" i="56"/>
  <c r="BH239" i="56"/>
  <c r="BI239" i="56"/>
  <c r="BJ239" i="56"/>
  <c r="BK239" i="56"/>
  <c r="BL239" i="56"/>
  <c r="BM239" i="56"/>
  <c r="BN239" i="56"/>
  <c r="BO239" i="56"/>
  <c r="BP239" i="56"/>
  <c r="BE240" i="56"/>
  <c r="BF240" i="56"/>
  <c r="BG240" i="56"/>
  <c r="BH240" i="56"/>
  <c r="BI240" i="56"/>
  <c r="BJ240" i="56"/>
  <c r="BK240" i="56"/>
  <c r="BL240" i="56"/>
  <c r="BM240" i="56"/>
  <c r="BN240" i="56"/>
  <c r="BO240" i="56"/>
  <c r="BP240" i="56"/>
  <c r="BE241" i="56"/>
  <c r="BF241" i="56"/>
  <c r="BG241" i="56"/>
  <c r="BH241" i="56"/>
  <c r="BI241" i="56"/>
  <c r="BJ241" i="56"/>
  <c r="BK241" i="56"/>
  <c r="BL241" i="56"/>
  <c r="BM241" i="56"/>
  <c r="BN241" i="56"/>
  <c r="BO241" i="56"/>
  <c r="BP241" i="56"/>
  <c r="BE242" i="56"/>
  <c r="BF242" i="56"/>
  <c r="BG242" i="56"/>
  <c r="BH242" i="56"/>
  <c r="BI242" i="56"/>
  <c r="BJ242" i="56"/>
  <c r="BK242" i="56"/>
  <c r="BL242" i="56"/>
  <c r="BM242" i="56"/>
  <c r="BN242" i="56"/>
  <c r="BO242" i="56"/>
  <c r="BP242" i="56"/>
  <c r="BE243" i="56"/>
  <c r="BF243" i="56"/>
  <c r="BG243" i="56"/>
  <c r="BH243" i="56"/>
  <c r="BI243" i="56"/>
  <c r="BJ243" i="56"/>
  <c r="BK243" i="56"/>
  <c r="BL243" i="56"/>
  <c r="BM243" i="56"/>
  <c r="BN243" i="56"/>
  <c r="BO243" i="56"/>
  <c r="BP243" i="56"/>
  <c r="BE244" i="56"/>
  <c r="BF244" i="56"/>
  <c r="BG244" i="56"/>
  <c r="BH244" i="56"/>
  <c r="BI244" i="56"/>
  <c r="BJ244" i="56"/>
  <c r="BK244" i="56"/>
  <c r="BL244" i="56"/>
  <c r="BM244" i="56"/>
  <c r="BN244" i="56"/>
  <c r="BO244" i="56"/>
  <c r="BP244" i="56"/>
  <c r="BE245" i="56"/>
  <c r="BF245" i="56"/>
  <c r="BG245" i="56"/>
  <c r="BH245" i="56"/>
  <c r="BI245" i="56"/>
  <c r="BJ245" i="56"/>
  <c r="BK245" i="56"/>
  <c r="BL245" i="56"/>
  <c r="BM245" i="56"/>
  <c r="BN245" i="56"/>
  <c r="BO245" i="56"/>
  <c r="BP245" i="56"/>
  <c r="BE246" i="56"/>
  <c r="BF246" i="56"/>
  <c r="BG246" i="56"/>
  <c r="BH246" i="56"/>
  <c r="BI246" i="56"/>
  <c r="BJ246" i="56"/>
  <c r="BK246" i="56"/>
  <c r="BL246" i="56"/>
  <c r="BM246" i="56"/>
  <c r="BN246" i="56"/>
  <c r="BO246" i="56"/>
  <c r="BP246" i="56"/>
  <c r="BE247" i="56"/>
  <c r="BF247" i="56"/>
  <c r="BG247" i="56"/>
  <c r="BH247" i="56"/>
  <c r="BI247" i="56"/>
  <c r="BJ247" i="56"/>
  <c r="BK247" i="56"/>
  <c r="BL247" i="56"/>
  <c r="BM247" i="56"/>
  <c r="BN247" i="56"/>
  <c r="BO247" i="56"/>
  <c r="BP247" i="56"/>
  <c r="BE248" i="56"/>
  <c r="BF248" i="56"/>
  <c r="BG248" i="56"/>
  <c r="BH248" i="56"/>
  <c r="BI248" i="56"/>
  <c r="BJ248" i="56"/>
  <c r="BK248" i="56"/>
  <c r="BL248" i="56"/>
  <c r="BM248" i="56"/>
  <c r="BN248" i="56"/>
  <c r="BO248" i="56"/>
  <c r="BP248" i="56"/>
  <c r="BE249" i="56"/>
  <c r="BF249" i="56"/>
  <c r="BG249" i="56"/>
  <c r="BH249" i="56"/>
  <c r="BI249" i="56"/>
  <c r="BJ249" i="56"/>
  <c r="BK249" i="56"/>
  <c r="BL249" i="56"/>
  <c r="BM249" i="56"/>
  <c r="BN249" i="56"/>
  <c r="BO249" i="56"/>
  <c r="BP249" i="56"/>
  <c r="BE250" i="56"/>
  <c r="BF250" i="56"/>
  <c r="BG250" i="56"/>
  <c r="BH250" i="56"/>
  <c r="BI250" i="56"/>
  <c r="BJ250" i="56"/>
  <c r="BK250" i="56"/>
  <c r="BL250" i="56"/>
  <c r="BM250" i="56"/>
  <c r="BN250" i="56"/>
  <c r="BO250" i="56"/>
  <c r="BP250" i="56"/>
  <c r="BE251" i="56"/>
  <c r="BF251" i="56"/>
  <c r="BG251" i="56"/>
  <c r="BH251" i="56"/>
  <c r="BI251" i="56"/>
  <c r="BJ251" i="56"/>
  <c r="BK251" i="56"/>
  <c r="BL251" i="56"/>
  <c r="BM251" i="56"/>
  <c r="BN251" i="56"/>
  <c r="BO251" i="56"/>
  <c r="BP251" i="56"/>
  <c r="BE252" i="56"/>
  <c r="BF252" i="56"/>
  <c r="BG252" i="56"/>
  <c r="BH252" i="56"/>
  <c r="BI252" i="56"/>
  <c r="BJ252" i="56"/>
  <c r="BK252" i="56"/>
  <c r="BL252" i="56"/>
  <c r="BM252" i="56"/>
  <c r="BN252" i="56"/>
  <c r="BO252" i="56"/>
  <c r="BP252" i="56"/>
  <c r="BE253" i="56"/>
  <c r="BF253" i="56"/>
  <c r="BG253" i="56"/>
  <c r="BH253" i="56"/>
  <c r="BI253" i="56"/>
  <c r="BJ253" i="56"/>
  <c r="BK253" i="56"/>
  <c r="BL253" i="56"/>
  <c r="BM253" i="56"/>
  <c r="BN253" i="56"/>
  <c r="BO253" i="56"/>
  <c r="BP253" i="56"/>
  <c r="BE254" i="56"/>
  <c r="BF254" i="56"/>
  <c r="BG254" i="56"/>
  <c r="BH254" i="56"/>
  <c r="BI254" i="56"/>
  <c r="BJ254" i="56"/>
  <c r="BK254" i="56"/>
  <c r="BL254" i="56"/>
  <c r="BM254" i="56"/>
  <c r="BN254" i="56"/>
  <c r="BO254" i="56"/>
  <c r="BP254" i="56"/>
  <c r="BG257" i="56"/>
  <c r="BH257" i="56"/>
  <c r="BI257" i="56"/>
  <c r="BJ257" i="56"/>
  <c r="BK257" i="56"/>
  <c r="BL257" i="56"/>
  <c r="BM257" i="56"/>
  <c r="BN257" i="56"/>
  <c r="BO257" i="56"/>
  <c r="BP257" i="56"/>
  <c r="BG258" i="56"/>
  <c r="BH258" i="56"/>
  <c r="BI258" i="56"/>
  <c r="BJ258" i="56"/>
  <c r="BK258" i="56"/>
  <c r="BL258" i="56"/>
  <c r="BM258" i="56"/>
  <c r="BN258" i="56"/>
  <c r="BO258" i="56"/>
  <c r="BP258" i="56"/>
  <c r="BG259" i="56"/>
  <c r="BH259" i="56"/>
  <c r="BI259" i="56"/>
  <c r="BJ259" i="56"/>
  <c r="BK259" i="56"/>
  <c r="BL259" i="56"/>
  <c r="BM259" i="56"/>
  <c r="BN259" i="56"/>
  <c r="BO259" i="56"/>
  <c r="BP259" i="56"/>
  <c r="BG260" i="56"/>
  <c r="BH260" i="56"/>
  <c r="BI260" i="56"/>
  <c r="BJ260" i="56"/>
  <c r="BK260" i="56"/>
  <c r="BL260" i="56"/>
  <c r="BM260" i="56"/>
  <c r="BN260" i="56"/>
  <c r="BO260" i="56"/>
  <c r="BP260" i="56"/>
  <c r="BG261" i="56"/>
  <c r="BH261" i="56"/>
  <c r="BI261" i="56"/>
  <c r="BJ261" i="56"/>
  <c r="BK261" i="56"/>
  <c r="BL261" i="56"/>
  <c r="BM261" i="56"/>
  <c r="BN261" i="56"/>
  <c r="BO261" i="56"/>
  <c r="BP261" i="56"/>
  <c r="BG262" i="56"/>
  <c r="BH262" i="56"/>
  <c r="BI262" i="56"/>
  <c r="BJ262" i="56"/>
  <c r="BK262" i="56"/>
  <c r="BL262" i="56"/>
  <c r="BM262" i="56"/>
  <c r="BN262" i="56"/>
  <c r="BO262" i="56"/>
  <c r="BP262" i="56"/>
  <c r="BG263" i="56"/>
  <c r="BH263" i="56"/>
  <c r="BI263" i="56"/>
  <c r="BJ263" i="56"/>
  <c r="BK263" i="56"/>
  <c r="BL263" i="56"/>
  <c r="BM263" i="56"/>
  <c r="BN263" i="56"/>
  <c r="BO263" i="56"/>
  <c r="BP263" i="56"/>
  <c r="BG264" i="56"/>
  <c r="BH264" i="56"/>
  <c r="BI264" i="56"/>
  <c r="BJ264" i="56"/>
  <c r="BK264" i="56"/>
  <c r="BL264" i="56"/>
  <c r="BM264" i="56"/>
  <c r="BN264" i="56"/>
  <c r="BO264" i="56"/>
  <c r="BP264" i="56"/>
  <c r="BG265" i="56"/>
  <c r="BH265" i="56"/>
  <c r="BI265" i="56"/>
  <c r="BJ265" i="56"/>
  <c r="BK265" i="56"/>
  <c r="BL265" i="56"/>
  <c r="BM265" i="56"/>
  <c r="BN265" i="56"/>
  <c r="BO265" i="56"/>
  <c r="BP265" i="56"/>
  <c r="BG266" i="56"/>
  <c r="BH266" i="56"/>
  <c r="BI266" i="56"/>
  <c r="BJ266" i="56"/>
  <c r="BK266" i="56"/>
  <c r="BL266" i="56"/>
  <c r="BM266" i="56"/>
  <c r="BN266" i="56"/>
  <c r="BO266" i="56"/>
  <c r="BP266" i="56"/>
  <c r="BG267" i="56"/>
  <c r="BH267" i="56"/>
  <c r="BI267" i="56"/>
  <c r="BJ267" i="56"/>
  <c r="BK267" i="56"/>
  <c r="BL267" i="56"/>
  <c r="BM267" i="56"/>
  <c r="BN267" i="56"/>
  <c r="BO267" i="56"/>
  <c r="BP267" i="56"/>
  <c r="BG268" i="56"/>
  <c r="BH268" i="56"/>
  <c r="BI268" i="56"/>
  <c r="BJ268" i="56"/>
  <c r="BK268" i="56"/>
  <c r="BL268" i="56"/>
  <c r="BM268" i="56"/>
  <c r="BN268" i="56"/>
  <c r="BO268" i="56"/>
  <c r="BP268" i="56"/>
  <c r="BG269" i="56"/>
  <c r="BH269" i="56"/>
  <c r="BI269" i="56"/>
  <c r="BJ269" i="56"/>
  <c r="BK269" i="56"/>
  <c r="BL269" i="56"/>
  <c r="BM269" i="56"/>
  <c r="BN269" i="56"/>
  <c r="BO269" i="56"/>
  <c r="BP269" i="56"/>
  <c r="BG270" i="56"/>
  <c r="BH270" i="56"/>
  <c r="BI270" i="56"/>
  <c r="BJ270" i="56"/>
  <c r="BK270" i="56"/>
  <c r="BL270" i="56"/>
  <c r="BM270" i="56"/>
  <c r="BN270" i="56"/>
  <c r="BO270" i="56"/>
  <c r="BP270" i="56"/>
  <c r="BG271" i="56"/>
  <c r="BH271" i="56"/>
  <c r="BI271" i="56"/>
  <c r="BJ271" i="56"/>
  <c r="BK271" i="56"/>
  <c r="BL271" i="56"/>
  <c r="BM271" i="56"/>
  <c r="BN271" i="56"/>
  <c r="BO271" i="56"/>
  <c r="BP271" i="56"/>
  <c r="BH275" i="56"/>
  <c r="BI275" i="56"/>
  <c r="BJ275" i="56"/>
  <c r="BK275" i="56"/>
  <c r="BL275" i="56"/>
  <c r="BM275" i="56"/>
  <c r="BN275" i="56"/>
  <c r="BO275" i="56"/>
  <c r="BP275" i="56"/>
  <c r="BH276" i="56"/>
  <c r="BI276" i="56"/>
  <c r="BJ276" i="56"/>
  <c r="BK276" i="56"/>
  <c r="BL276" i="56"/>
  <c r="BM276" i="56"/>
  <c r="BN276" i="56"/>
  <c r="BO276" i="56"/>
  <c r="BP276" i="56"/>
  <c r="BH277" i="56"/>
  <c r="BI277" i="56"/>
  <c r="BJ277" i="56"/>
  <c r="BK277" i="56"/>
  <c r="BL277" i="56"/>
  <c r="BM277" i="56"/>
  <c r="BN277" i="56"/>
  <c r="BO277" i="56"/>
  <c r="BP277" i="56"/>
  <c r="BH278" i="56"/>
  <c r="BI278" i="56"/>
  <c r="BJ278" i="56"/>
  <c r="BK278" i="56"/>
  <c r="BL278" i="56"/>
  <c r="BM278" i="56"/>
  <c r="BN278" i="56"/>
  <c r="BO278" i="56"/>
  <c r="BP278" i="56"/>
  <c r="BH279" i="56"/>
  <c r="BI279" i="56"/>
  <c r="BJ279" i="56"/>
  <c r="BK279" i="56"/>
  <c r="BL279" i="56"/>
  <c r="BM279" i="56"/>
  <c r="BN279" i="56"/>
  <c r="BO279" i="56"/>
  <c r="BP279" i="56"/>
  <c r="BH280" i="56"/>
  <c r="BI280" i="56"/>
  <c r="BJ280" i="56"/>
  <c r="BK280" i="56"/>
  <c r="BL280" i="56"/>
  <c r="BM280" i="56"/>
  <c r="BN280" i="56"/>
  <c r="BO280" i="56"/>
  <c r="BP280" i="56"/>
  <c r="BH281" i="56"/>
  <c r="BI281" i="56"/>
  <c r="BJ281" i="56"/>
  <c r="BK281" i="56"/>
  <c r="BL281" i="56"/>
  <c r="BM281" i="56"/>
  <c r="BN281" i="56"/>
  <c r="BO281" i="56"/>
  <c r="BP281" i="56"/>
  <c r="B2" i="10"/>
  <c r="L19" i="10"/>
  <c r="Q19" i="10"/>
  <c r="M19" i="10" s="1"/>
  <c r="V19" i="10"/>
  <c r="R19" i="10" s="1"/>
  <c r="AA19" i="10"/>
  <c r="W19" i="10" s="1"/>
  <c r="AF19" i="10"/>
  <c r="AB19" i="10" s="1"/>
  <c r="AK19" i="10"/>
  <c r="AG19" i="10" s="1"/>
  <c r="AP19" i="10"/>
  <c r="AL19" i="10" s="1"/>
  <c r="AU19" i="10"/>
  <c r="AQ19" i="10" s="1"/>
  <c r="AZ19" i="10"/>
  <c r="AV19" i="10" s="1"/>
  <c r="BE19" i="10"/>
  <c r="BA19" i="10" s="1"/>
  <c r="BJ19" i="10"/>
  <c r="BF19" i="10" s="1"/>
  <c r="BO19" i="10"/>
  <c r="BK19" i="10" s="1"/>
  <c r="L20" i="10"/>
  <c r="Q20" i="10"/>
  <c r="M20" i="10" s="1"/>
  <c r="V20" i="10"/>
  <c r="R20" i="10" s="1"/>
  <c r="AA20" i="10"/>
  <c r="W20" i="10" s="1"/>
  <c r="AF20" i="10"/>
  <c r="AB20" i="10" s="1"/>
  <c r="AK20" i="10"/>
  <c r="AG20" i="10" s="1"/>
  <c r="AP20" i="10"/>
  <c r="AL20" i="10" s="1"/>
  <c r="AU20" i="10"/>
  <c r="AQ20" i="10" s="1"/>
  <c r="AZ20" i="10"/>
  <c r="AV20" i="10" s="1"/>
  <c r="BE20" i="10"/>
  <c r="BA20" i="10" s="1"/>
  <c r="BJ20" i="10"/>
  <c r="BF20" i="10" s="1"/>
  <c r="BO20" i="10"/>
  <c r="BK20" i="10" s="1"/>
  <c r="L21" i="10"/>
  <c r="Q21" i="10"/>
  <c r="M21" i="10" s="1"/>
  <c r="V21" i="10"/>
  <c r="R21" i="10" s="1"/>
  <c r="AA21" i="10"/>
  <c r="W21" i="10" s="1"/>
  <c r="AF21" i="10"/>
  <c r="AB21" i="10" s="1"/>
  <c r="AK21" i="10"/>
  <c r="AG21" i="10" s="1"/>
  <c r="AP21" i="10"/>
  <c r="AL21" i="10" s="1"/>
  <c r="AU21" i="10"/>
  <c r="AQ21" i="10" s="1"/>
  <c r="AZ21" i="10"/>
  <c r="AV21" i="10" s="1"/>
  <c r="BE21" i="10"/>
  <c r="BA21" i="10" s="1"/>
  <c r="BJ21" i="10"/>
  <c r="BF21" i="10" s="1"/>
  <c r="BO21" i="10"/>
  <c r="BK21" i="10" s="1"/>
  <c r="L22" i="10"/>
  <c r="Q22" i="10"/>
  <c r="M22" i="10" s="1"/>
  <c r="V22" i="10"/>
  <c r="U22" i="10" s="1"/>
  <c r="AA22" i="10"/>
  <c r="W22" i="10" s="1"/>
  <c r="AF22" i="10"/>
  <c r="AB22" i="10" s="1"/>
  <c r="AK22" i="10"/>
  <c r="AG22" i="10" s="1"/>
  <c r="AP22" i="10"/>
  <c r="AO22" i="10" s="1"/>
  <c r="AU22" i="10"/>
  <c r="AR22" i="10" s="1"/>
  <c r="AZ22" i="10"/>
  <c r="AV22" i="10" s="1"/>
  <c r="BE22" i="10"/>
  <c r="BA22" i="10" s="1"/>
  <c r="BJ22" i="10"/>
  <c r="BI22" i="10" s="1"/>
  <c r="BO22" i="10"/>
  <c r="BK22" i="10" s="1"/>
  <c r="L23" i="10"/>
  <c r="Q23" i="10"/>
  <c r="M23" i="10" s="1"/>
  <c r="V23" i="10"/>
  <c r="U23" i="10" s="1"/>
  <c r="AA23" i="10"/>
  <c r="AF23" i="10"/>
  <c r="AB23" i="10" s="1"/>
  <c r="AK23" i="10"/>
  <c r="AG23" i="10" s="1"/>
  <c r="AP23" i="10"/>
  <c r="AL23" i="10" s="1"/>
  <c r="AU23" i="10"/>
  <c r="AQ23" i="10" s="1"/>
  <c r="AZ23" i="10"/>
  <c r="BE23" i="10"/>
  <c r="BA23" i="10" s="1"/>
  <c r="BJ23" i="10"/>
  <c r="BF23" i="10" s="1"/>
  <c r="BO23" i="10"/>
  <c r="BL23" i="10" s="1"/>
  <c r="L24" i="10"/>
  <c r="Q24" i="10"/>
  <c r="M24" i="10" s="1"/>
  <c r="V24" i="10"/>
  <c r="R24" i="10" s="1"/>
  <c r="AA24" i="10"/>
  <c r="W24" i="10" s="1"/>
  <c r="AF24" i="10"/>
  <c r="AK24" i="10"/>
  <c r="AG24" i="10" s="1"/>
  <c r="AP24" i="10"/>
  <c r="AL24" i="10" s="1"/>
  <c r="AU24" i="10"/>
  <c r="AR24" i="10" s="1"/>
  <c r="BE24" i="10"/>
  <c r="BA24" i="10" s="1"/>
  <c r="BJ24" i="10"/>
  <c r="BF24" i="10" s="1"/>
  <c r="BO24" i="10"/>
  <c r="BK24" i="10" s="1"/>
  <c r="L25" i="10"/>
  <c r="Q25" i="10"/>
  <c r="M25" i="10" s="1"/>
  <c r="V25" i="10"/>
  <c r="R25" i="10" s="1"/>
  <c r="AA25" i="10"/>
  <c r="X25" i="10" s="1"/>
  <c r="AF25" i="10"/>
  <c r="AB25" i="10" s="1"/>
  <c r="AK25" i="10"/>
  <c r="AG25" i="10" s="1"/>
  <c r="AP25" i="10"/>
  <c r="AL25" i="10" s="1"/>
  <c r="AU25" i="10"/>
  <c r="AQ25" i="10" s="1"/>
  <c r="AZ25" i="10"/>
  <c r="AY25" i="10" s="1"/>
  <c r="BE25" i="10"/>
  <c r="BB25" i="10" s="1"/>
  <c r="BJ25" i="10"/>
  <c r="BF25" i="10" s="1"/>
  <c r="BO25" i="10"/>
  <c r="BN25" i="10" s="1"/>
  <c r="L26" i="10"/>
  <c r="Q26" i="10"/>
  <c r="M26" i="10" s="1"/>
  <c r="V26" i="10"/>
  <c r="R26" i="10" s="1"/>
  <c r="AA26" i="10"/>
  <c r="Z26" i="10" s="1"/>
  <c r="AF26" i="10"/>
  <c r="AB26" i="10" s="1"/>
  <c r="AK26" i="10"/>
  <c r="AJ26" i="10" s="1"/>
  <c r="AP26" i="10"/>
  <c r="AL26" i="10" s="1"/>
  <c r="AU26" i="10"/>
  <c r="AT26" i="10" s="1"/>
  <c r="AZ26" i="10"/>
  <c r="AV26" i="10" s="1"/>
  <c r="BE26" i="10"/>
  <c r="BA26" i="10" s="1"/>
  <c r="BJ26" i="10"/>
  <c r="BF26" i="10" s="1"/>
  <c r="BO26" i="10"/>
  <c r="BK26" i="10" s="1"/>
  <c r="L27" i="10"/>
  <c r="Q27" i="10"/>
  <c r="M27" i="10" s="1"/>
  <c r="V27" i="10"/>
  <c r="R27" i="10" s="1"/>
  <c r="AA27" i="10"/>
  <c r="Z27" i="10" s="1"/>
  <c r="AF27" i="10"/>
  <c r="AB27" i="10" s="1"/>
  <c r="AK27" i="10"/>
  <c r="AG27" i="10" s="1"/>
  <c r="AP27" i="10"/>
  <c r="AL27" i="10" s="1"/>
  <c r="AU27" i="10"/>
  <c r="AT27" i="10" s="1"/>
  <c r="AZ27" i="10"/>
  <c r="AV27" i="10" s="1"/>
  <c r="BE27" i="10"/>
  <c r="BA27" i="10" s="1"/>
  <c r="BJ27" i="10"/>
  <c r="BF27" i="10" s="1"/>
  <c r="BO27" i="10"/>
  <c r="BK27" i="10" s="1"/>
  <c r="L28" i="10"/>
  <c r="Q28" i="10"/>
  <c r="M28" i="10" s="1"/>
  <c r="V28" i="10"/>
  <c r="R28" i="10" s="1"/>
  <c r="AA28" i="10"/>
  <c r="Z28" i="10" s="1"/>
  <c r="AF28" i="10"/>
  <c r="AB28" i="10" s="1"/>
  <c r="AK28" i="10"/>
  <c r="AG28" i="10" s="1"/>
  <c r="AP28" i="10"/>
  <c r="AL28" i="10" s="1"/>
  <c r="AU28" i="10"/>
  <c r="AT28" i="10" s="1"/>
  <c r="AZ28" i="10"/>
  <c r="AV28" i="10" s="1"/>
  <c r="BE28" i="10"/>
  <c r="BA28" i="10" s="1"/>
  <c r="BJ28" i="10"/>
  <c r="BF28" i="10" s="1"/>
  <c r="BO28" i="10"/>
  <c r="BK28" i="10" s="1"/>
  <c r="L29" i="10"/>
  <c r="Q29" i="10"/>
  <c r="P29" i="10" s="1"/>
  <c r="V29" i="10"/>
  <c r="R29" i="10" s="1"/>
  <c r="AA29" i="10"/>
  <c r="Z29" i="10" s="1"/>
  <c r="AF29" i="10"/>
  <c r="AB29" i="10" s="1"/>
  <c r="AK29" i="10"/>
  <c r="AG29" i="10" s="1"/>
  <c r="AP29" i="10"/>
  <c r="AL29" i="10" s="1"/>
  <c r="AU29" i="10"/>
  <c r="AQ29" i="10" s="1"/>
  <c r="AZ29" i="10"/>
  <c r="AV29" i="10" s="1"/>
  <c r="BE29" i="10"/>
  <c r="BA29" i="10" s="1"/>
  <c r="BJ29" i="10"/>
  <c r="BF29" i="10" s="1"/>
  <c r="BO29" i="10"/>
  <c r="BK29" i="10" s="1"/>
  <c r="L30" i="10"/>
  <c r="Q30" i="10"/>
  <c r="M30" i="10" s="1"/>
  <c r="V30" i="10"/>
  <c r="R30" i="10" s="1"/>
  <c r="AA30" i="10"/>
  <c r="W30" i="10" s="1"/>
  <c r="AF30" i="10"/>
  <c r="AB30" i="10" s="1"/>
  <c r="AK30" i="10"/>
  <c r="AG30" i="10" s="1"/>
  <c r="AP30" i="10"/>
  <c r="AL30" i="10" s="1"/>
  <c r="AU30" i="10"/>
  <c r="AQ30" i="10" s="1"/>
  <c r="AZ30" i="10"/>
  <c r="AW30" i="10" s="1"/>
  <c r="BJ30" i="10"/>
  <c r="BF30" i="10" s="1"/>
  <c r="BO30" i="10"/>
  <c r="BK30" i="10" s="1"/>
  <c r="L31" i="10"/>
  <c r="Q31" i="10"/>
  <c r="M31" i="10" s="1"/>
  <c r="V31" i="10"/>
  <c r="R31" i="10" s="1"/>
  <c r="AA31" i="10"/>
  <c r="W31" i="10" s="1"/>
  <c r="AF31" i="10"/>
  <c r="AC31" i="10" s="1"/>
  <c r="AK31" i="10"/>
  <c r="AG31" i="10" s="1"/>
  <c r="AP31" i="10"/>
  <c r="AL31" i="10" s="1"/>
  <c r="AU31" i="10"/>
  <c r="AQ31" i="10" s="1"/>
  <c r="AZ31" i="10"/>
  <c r="AV31" i="10" s="1"/>
  <c r="BE31" i="10"/>
  <c r="BD31" i="10" s="1"/>
  <c r="BJ31" i="10"/>
  <c r="BF31" i="10" s="1"/>
  <c r="L32" i="10"/>
  <c r="Q32" i="10"/>
  <c r="P32" i="10" s="1"/>
  <c r="V32" i="10"/>
  <c r="R32" i="10" s="1"/>
  <c r="AA32" i="10"/>
  <c r="W32" i="10" s="1"/>
  <c r="AF32" i="10"/>
  <c r="AB32" i="10" s="1"/>
  <c r="AK32" i="10"/>
  <c r="AG32" i="10" s="1"/>
  <c r="AP32" i="10"/>
  <c r="AL32" i="10" s="1"/>
  <c r="AU32" i="10"/>
  <c r="AQ32" i="10" s="1"/>
  <c r="AZ32" i="10"/>
  <c r="AV32" i="10" s="1"/>
  <c r="BE32" i="10"/>
  <c r="BA32" i="10" s="1"/>
  <c r="BJ32" i="10"/>
  <c r="BF32" i="10" s="1"/>
  <c r="BO32" i="10"/>
  <c r="BK32" i="10" s="1"/>
  <c r="L33" i="10"/>
  <c r="Q33" i="10"/>
  <c r="M33" i="10" s="1"/>
  <c r="V33" i="10"/>
  <c r="R33" i="10" s="1"/>
  <c r="AA33" i="10"/>
  <c r="W33" i="10" s="1"/>
  <c r="AF33" i="10"/>
  <c r="AB33" i="10" s="1"/>
  <c r="AK33" i="10"/>
  <c r="AI33" i="10" s="1"/>
  <c r="AP33" i="10"/>
  <c r="AM33" i="10" s="1"/>
  <c r="AU33" i="10"/>
  <c r="AQ33" i="10" s="1"/>
  <c r="AZ33" i="10"/>
  <c r="AV33" i="10" s="1"/>
  <c r="BE33" i="10"/>
  <c r="BA33" i="10" s="1"/>
  <c r="BJ33" i="10"/>
  <c r="BI33" i="10" s="1"/>
  <c r="BO33" i="10"/>
  <c r="BK33" i="10" s="1"/>
  <c r="L34" i="10"/>
  <c r="Q34" i="10"/>
  <c r="M34" i="10" s="1"/>
  <c r="V34" i="10"/>
  <c r="U34" i="10" s="1"/>
  <c r="AA34" i="10"/>
  <c r="W34" i="10" s="1"/>
  <c r="AF34" i="10"/>
  <c r="AB34" i="10" s="1"/>
  <c r="AK34" i="10"/>
  <c r="AG34" i="10" s="1"/>
  <c r="AP34" i="10"/>
  <c r="AO34" i="10" s="1"/>
  <c r="AU34" i="10"/>
  <c r="AQ34" i="10" s="1"/>
  <c r="AZ34" i="10"/>
  <c r="AV34" i="10" s="1"/>
  <c r="BE34" i="10"/>
  <c r="BA34" i="10" s="1"/>
  <c r="BJ34" i="10"/>
  <c r="BI34" i="10" s="1"/>
  <c r="BO34" i="10"/>
  <c r="BK34" i="10" s="1"/>
  <c r="L35" i="10"/>
  <c r="Q35" i="10"/>
  <c r="M35" i="10" s="1"/>
  <c r="V35" i="10"/>
  <c r="U35" i="10" s="1"/>
  <c r="AA35" i="10"/>
  <c r="W35" i="10" s="1"/>
  <c r="AF35" i="10"/>
  <c r="AB35" i="10" s="1"/>
  <c r="AK35" i="10"/>
  <c r="AG35" i="10" s="1"/>
  <c r="AP35" i="10"/>
  <c r="AO35" i="10" s="1"/>
  <c r="AU35" i="10"/>
  <c r="AQ35" i="10" s="1"/>
  <c r="AZ35" i="10"/>
  <c r="AV35" i="10" s="1"/>
  <c r="BE35" i="10"/>
  <c r="BA35" i="10" s="1"/>
  <c r="BJ35" i="10"/>
  <c r="BI35" i="10" s="1"/>
  <c r="BO35" i="10"/>
  <c r="BK35" i="10" s="1"/>
  <c r="L36" i="10"/>
  <c r="Q36" i="10"/>
  <c r="M36" i="10" s="1"/>
  <c r="V36" i="10"/>
  <c r="U36" i="10" s="1"/>
  <c r="AA36" i="10"/>
  <c r="W36" i="10" s="1"/>
  <c r="AF36" i="10"/>
  <c r="AB36" i="10" s="1"/>
  <c r="AK36" i="10"/>
  <c r="AG36" i="10" s="1"/>
  <c r="AP36" i="10"/>
  <c r="AO36" i="10" s="1"/>
  <c r="AU36" i="10"/>
  <c r="AQ36" i="10" s="1"/>
  <c r="AZ36" i="10"/>
  <c r="AV36" i="10" s="1"/>
  <c r="BE36" i="10"/>
  <c r="BA36" i="10" s="1"/>
  <c r="BJ36" i="10"/>
  <c r="BI36" i="10" s="1"/>
  <c r="BO36" i="10"/>
  <c r="BK36" i="10" s="1"/>
  <c r="L37" i="10"/>
  <c r="Q37" i="10"/>
  <c r="M37" i="10" s="1"/>
  <c r="V37" i="10"/>
  <c r="U37" i="10" s="1"/>
  <c r="AA37" i="10"/>
  <c r="W37" i="10" s="1"/>
  <c r="AF37" i="10"/>
  <c r="AB37" i="10" s="1"/>
  <c r="AK37" i="10"/>
  <c r="AP37" i="10"/>
  <c r="AO37" i="10" s="1"/>
  <c r="AU37" i="10"/>
  <c r="AZ37" i="10"/>
  <c r="BE37" i="10"/>
  <c r="BA37" i="10" s="1"/>
  <c r="BJ37" i="10"/>
  <c r="BI37" i="10" s="1"/>
  <c r="BO37" i="10"/>
  <c r="BK37" i="10" s="1"/>
  <c r="L38" i="10"/>
  <c r="Q38" i="10"/>
  <c r="M38" i="10" s="1"/>
  <c r="V38" i="10"/>
  <c r="U38" i="10" s="1"/>
  <c r="AA38" i="10"/>
  <c r="AF38" i="10"/>
  <c r="AB38" i="10" s="1"/>
  <c r="AK38" i="10"/>
  <c r="AG38" i="10" s="1"/>
  <c r="AP38" i="10"/>
  <c r="AO38" i="10" s="1"/>
  <c r="AU38" i="10"/>
  <c r="AQ38" i="10" s="1"/>
  <c r="AZ38" i="10"/>
  <c r="AV38" i="10" s="1"/>
  <c r="BE38" i="10"/>
  <c r="BA38" i="10" s="1"/>
  <c r="BJ38" i="10"/>
  <c r="BI38" i="10" s="1"/>
  <c r="BO38" i="10"/>
  <c r="BK38" i="10" s="1"/>
  <c r="L39" i="10"/>
  <c r="Q39" i="10"/>
  <c r="M39" i="10" s="1"/>
  <c r="V39" i="10"/>
  <c r="U39" i="10" s="1"/>
  <c r="AA39" i="10"/>
  <c r="W39" i="10" s="1"/>
  <c r="AF39" i="10"/>
  <c r="AB39" i="10" s="1"/>
  <c r="AK39" i="10"/>
  <c r="AG39" i="10" s="1"/>
  <c r="AP39" i="10"/>
  <c r="AO39" i="10" s="1"/>
  <c r="AU39" i="10"/>
  <c r="AQ39" i="10" s="1"/>
  <c r="AZ39" i="10"/>
  <c r="AV39" i="10" s="1"/>
  <c r="BE39" i="10"/>
  <c r="BA39" i="10" s="1"/>
  <c r="BJ39" i="10"/>
  <c r="BI39" i="10" s="1"/>
  <c r="BO39" i="10"/>
  <c r="BK39" i="10" s="1"/>
  <c r="L40" i="10"/>
  <c r="Q40" i="10"/>
  <c r="M40" i="10" s="1"/>
  <c r="V40" i="10"/>
  <c r="U40" i="10" s="1"/>
  <c r="AA40" i="10"/>
  <c r="W40" i="10" s="1"/>
  <c r="AF40" i="10"/>
  <c r="AB40" i="10" s="1"/>
  <c r="AK40" i="10"/>
  <c r="AG40" i="10" s="1"/>
  <c r="AP40" i="10"/>
  <c r="AO40" i="10" s="1"/>
  <c r="AU40" i="10"/>
  <c r="AQ40" i="10" s="1"/>
  <c r="AZ40" i="10"/>
  <c r="AV40" i="10" s="1"/>
  <c r="BE40" i="10"/>
  <c r="BA40" i="10" s="1"/>
  <c r="BJ40" i="10"/>
  <c r="BI40" i="10" s="1"/>
  <c r="BO40" i="10"/>
  <c r="BK40" i="10" s="1"/>
  <c r="BR19" i="10"/>
  <c r="BS19" i="10"/>
  <c r="BT19" i="10"/>
  <c r="BU19" i="10"/>
  <c r="BW19" i="10"/>
  <c r="BX19" i="10"/>
  <c r="BY19" i="10"/>
  <c r="BZ19" i="10"/>
  <c r="CB19" i="10"/>
  <c r="CC19" i="10"/>
  <c r="CD19" i="10"/>
  <c r="CE19" i="10"/>
  <c r="CG19" i="10"/>
  <c r="CH19" i="10"/>
  <c r="CI19" i="10"/>
  <c r="CJ19" i="10"/>
  <c r="CL19" i="10"/>
  <c r="CM19" i="10"/>
  <c r="CN19" i="10"/>
  <c r="CO19" i="10"/>
  <c r="CQ19" i="10"/>
  <c r="CR19" i="10"/>
  <c r="CS19" i="10"/>
  <c r="CT19" i="10"/>
  <c r="CV19" i="10"/>
  <c r="CW19" i="10"/>
  <c r="CX19" i="10"/>
  <c r="CY19" i="10"/>
  <c r="DA19" i="10"/>
  <c r="DB19" i="10"/>
  <c r="DC19" i="10"/>
  <c r="DD19" i="10"/>
  <c r="DF19" i="10"/>
  <c r="DG19" i="10"/>
  <c r="DH19" i="10"/>
  <c r="DI19" i="10"/>
  <c r="DK19" i="10"/>
  <c r="DL19" i="10"/>
  <c r="DM19" i="10"/>
  <c r="DN19" i="10"/>
  <c r="DP19" i="10"/>
  <c r="DQ19" i="10"/>
  <c r="DR19" i="10"/>
  <c r="DS19" i="10"/>
  <c r="BR20" i="10"/>
  <c r="BS20" i="10"/>
  <c r="BT20" i="10"/>
  <c r="BU20" i="10"/>
  <c r="BW20" i="10"/>
  <c r="BX20" i="10"/>
  <c r="BY20" i="10"/>
  <c r="BZ20" i="10"/>
  <c r="CB20" i="10"/>
  <c r="CC20" i="10"/>
  <c r="CD20" i="10"/>
  <c r="CE20" i="10"/>
  <c r="CG20" i="10"/>
  <c r="CH20" i="10"/>
  <c r="CI20" i="10"/>
  <c r="CJ20" i="10"/>
  <c r="CL20" i="10"/>
  <c r="CM20" i="10"/>
  <c r="CN20" i="10"/>
  <c r="CO20" i="10"/>
  <c r="CQ20" i="10"/>
  <c r="CR20" i="10"/>
  <c r="CS20" i="10"/>
  <c r="CT20" i="10"/>
  <c r="CV20" i="10"/>
  <c r="CW20" i="10"/>
  <c r="CX20" i="10"/>
  <c r="CY20" i="10"/>
  <c r="DA20" i="10"/>
  <c r="DB20" i="10"/>
  <c r="DC20" i="10"/>
  <c r="DD20" i="10"/>
  <c r="DF20" i="10"/>
  <c r="DG20" i="10"/>
  <c r="DH20" i="10"/>
  <c r="DI20" i="10"/>
  <c r="DK20" i="10"/>
  <c r="DL20" i="10"/>
  <c r="DM20" i="10"/>
  <c r="DN20" i="10"/>
  <c r="DP20" i="10"/>
  <c r="DQ20" i="10"/>
  <c r="DR20" i="10"/>
  <c r="DS20" i="10"/>
  <c r="BR21" i="10"/>
  <c r="BS21" i="10"/>
  <c r="BT21" i="10"/>
  <c r="BU21" i="10"/>
  <c r="BW21" i="10"/>
  <c r="BX21" i="10"/>
  <c r="BY21" i="10"/>
  <c r="BZ21" i="10"/>
  <c r="CB21" i="10"/>
  <c r="CC21" i="10"/>
  <c r="CD21" i="10"/>
  <c r="CE21" i="10"/>
  <c r="CG21" i="10"/>
  <c r="CH21" i="10"/>
  <c r="CI21" i="10"/>
  <c r="CJ21" i="10"/>
  <c r="CL21" i="10"/>
  <c r="CM21" i="10"/>
  <c r="CN21" i="10"/>
  <c r="CO21" i="10"/>
  <c r="CQ21" i="10"/>
  <c r="CR21" i="10"/>
  <c r="CS21" i="10"/>
  <c r="CT21" i="10"/>
  <c r="CV21" i="10"/>
  <c r="CW21" i="10"/>
  <c r="CX21" i="10"/>
  <c r="CY21" i="10"/>
  <c r="DA21" i="10"/>
  <c r="DB21" i="10"/>
  <c r="DC21" i="10"/>
  <c r="DD21" i="10"/>
  <c r="DF21" i="10"/>
  <c r="DG21" i="10"/>
  <c r="DH21" i="10"/>
  <c r="DI21" i="10"/>
  <c r="DK21" i="10"/>
  <c r="DL21" i="10"/>
  <c r="DM21" i="10"/>
  <c r="DN21" i="10"/>
  <c r="DP21" i="10"/>
  <c r="DQ21" i="10"/>
  <c r="DR21" i="10"/>
  <c r="DS21" i="10"/>
  <c r="BR22" i="10"/>
  <c r="BS22" i="10"/>
  <c r="BT22" i="10"/>
  <c r="BU22" i="10"/>
  <c r="BW22" i="10"/>
  <c r="BX22" i="10"/>
  <c r="BY22" i="10"/>
  <c r="BZ22" i="10"/>
  <c r="CB22" i="10"/>
  <c r="CC22" i="10"/>
  <c r="CD22" i="10"/>
  <c r="CE22" i="10"/>
  <c r="CG22" i="10"/>
  <c r="CH22" i="10"/>
  <c r="CI22" i="10"/>
  <c r="CJ22" i="10"/>
  <c r="CL22" i="10"/>
  <c r="CM22" i="10"/>
  <c r="CN22" i="10"/>
  <c r="CO22" i="10"/>
  <c r="CQ22" i="10"/>
  <c r="CR22" i="10"/>
  <c r="CS22" i="10"/>
  <c r="CT22" i="10"/>
  <c r="CV22" i="10"/>
  <c r="CW22" i="10"/>
  <c r="CX22" i="10"/>
  <c r="CY22" i="10"/>
  <c r="DA22" i="10"/>
  <c r="DB22" i="10"/>
  <c r="DC22" i="10"/>
  <c r="DD22" i="10"/>
  <c r="DF22" i="10"/>
  <c r="DG22" i="10"/>
  <c r="DH22" i="10"/>
  <c r="DI22" i="10"/>
  <c r="DK22" i="10"/>
  <c r="DL22" i="10"/>
  <c r="DM22" i="10"/>
  <c r="DN22" i="10"/>
  <c r="DP22" i="10"/>
  <c r="DQ22" i="10"/>
  <c r="DR22" i="10"/>
  <c r="DS22" i="10"/>
  <c r="BR23" i="10"/>
  <c r="BS23" i="10"/>
  <c r="BT23" i="10"/>
  <c r="BU23" i="10"/>
  <c r="BW23" i="10"/>
  <c r="BX23" i="10"/>
  <c r="BY23" i="10"/>
  <c r="BZ23" i="10"/>
  <c r="CB23" i="10"/>
  <c r="CC23" i="10"/>
  <c r="CD23" i="10"/>
  <c r="CE23" i="10"/>
  <c r="CG23" i="10"/>
  <c r="CH23" i="10"/>
  <c r="CI23" i="10"/>
  <c r="CJ23" i="10"/>
  <c r="CL23" i="10"/>
  <c r="CM23" i="10"/>
  <c r="CN23" i="10"/>
  <c r="CO23" i="10"/>
  <c r="CQ23" i="10"/>
  <c r="CR23" i="10"/>
  <c r="CS23" i="10"/>
  <c r="CT23" i="10"/>
  <c r="CV23" i="10"/>
  <c r="CW23" i="10"/>
  <c r="CX23" i="10"/>
  <c r="CY23" i="10"/>
  <c r="DA23" i="10"/>
  <c r="DB23" i="10"/>
  <c r="DC23" i="10"/>
  <c r="DD23" i="10"/>
  <c r="DF23" i="10"/>
  <c r="DG23" i="10"/>
  <c r="DH23" i="10"/>
  <c r="DI23" i="10"/>
  <c r="DK23" i="10"/>
  <c r="DL23" i="10"/>
  <c r="DM23" i="10"/>
  <c r="DN23" i="10"/>
  <c r="DP23" i="10"/>
  <c r="DQ23" i="10"/>
  <c r="DR23" i="10"/>
  <c r="DS23" i="10"/>
  <c r="BR24" i="10"/>
  <c r="BS24" i="10"/>
  <c r="BT24" i="10"/>
  <c r="BU24" i="10"/>
  <c r="BW24" i="10"/>
  <c r="BX24" i="10"/>
  <c r="BY24" i="10"/>
  <c r="BZ24" i="10"/>
  <c r="CB24" i="10"/>
  <c r="CC24" i="10"/>
  <c r="CD24" i="10"/>
  <c r="CE24" i="10"/>
  <c r="CG24" i="10"/>
  <c r="CH24" i="10"/>
  <c r="CI24" i="10"/>
  <c r="CJ24" i="10"/>
  <c r="CL24" i="10"/>
  <c r="CM24" i="10"/>
  <c r="CN24" i="10"/>
  <c r="CO24" i="10"/>
  <c r="CQ24" i="10"/>
  <c r="CR24" i="10"/>
  <c r="CS24" i="10"/>
  <c r="CT24" i="10"/>
  <c r="CV24" i="10"/>
  <c r="CW24" i="10"/>
  <c r="CX24" i="10"/>
  <c r="CY24" i="10"/>
  <c r="DK24" i="10"/>
  <c r="DL24" i="10"/>
  <c r="DM24" i="10"/>
  <c r="DN24" i="10"/>
  <c r="DP24" i="10"/>
  <c r="DQ24" i="10"/>
  <c r="DR24" i="10"/>
  <c r="DS24" i="10"/>
  <c r="BR25" i="10"/>
  <c r="BS25" i="10"/>
  <c r="BT25" i="10"/>
  <c r="BU25" i="10"/>
  <c r="BW25" i="10"/>
  <c r="BX25" i="10"/>
  <c r="BY25" i="10"/>
  <c r="BZ25" i="10"/>
  <c r="CB25" i="10"/>
  <c r="CC25" i="10"/>
  <c r="CD25" i="10"/>
  <c r="CE25" i="10"/>
  <c r="CG25" i="10"/>
  <c r="CH25" i="10"/>
  <c r="CI25" i="10"/>
  <c r="CJ25" i="10"/>
  <c r="CL25" i="10"/>
  <c r="CM25" i="10"/>
  <c r="CN25" i="10"/>
  <c r="CO25" i="10"/>
  <c r="CQ25" i="10"/>
  <c r="CR25" i="10"/>
  <c r="CS25" i="10"/>
  <c r="CT25" i="10"/>
  <c r="CV25" i="10"/>
  <c r="CW25" i="10"/>
  <c r="CX25" i="10"/>
  <c r="CY25" i="10"/>
  <c r="DA25" i="10"/>
  <c r="DB25" i="10"/>
  <c r="DC25" i="10"/>
  <c r="DD25" i="10"/>
  <c r="DF25" i="10"/>
  <c r="DG25" i="10"/>
  <c r="DH25" i="10"/>
  <c r="DI25" i="10"/>
  <c r="DK25" i="10"/>
  <c r="DL25" i="10"/>
  <c r="DM25" i="10"/>
  <c r="DN25" i="10"/>
  <c r="DP25" i="10"/>
  <c r="DQ25" i="10"/>
  <c r="DR25" i="10"/>
  <c r="DS25" i="10"/>
  <c r="BR26" i="10"/>
  <c r="BS26" i="10"/>
  <c r="BT26" i="10"/>
  <c r="BU26" i="10"/>
  <c r="BW26" i="10"/>
  <c r="BX26" i="10"/>
  <c r="BY26" i="10"/>
  <c r="BZ26" i="10"/>
  <c r="CB26" i="10"/>
  <c r="CC26" i="10"/>
  <c r="CD26" i="10"/>
  <c r="CE26" i="10"/>
  <c r="CG26" i="10"/>
  <c r="CH26" i="10"/>
  <c r="CI26" i="10"/>
  <c r="CJ26" i="10"/>
  <c r="CL26" i="10"/>
  <c r="CM26" i="10"/>
  <c r="CN26" i="10"/>
  <c r="CO26" i="10"/>
  <c r="CQ26" i="10"/>
  <c r="CR26" i="10"/>
  <c r="CS26" i="10"/>
  <c r="CT26" i="10"/>
  <c r="CV26" i="10"/>
  <c r="CW26" i="10"/>
  <c r="CX26" i="10"/>
  <c r="CY26" i="10"/>
  <c r="DA26" i="10"/>
  <c r="DB26" i="10"/>
  <c r="DC26" i="10"/>
  <c r="DD26" i="10"/>
  <c r="DF26" i="10"/>
  <c r="DG26" i="10"/>
  <c r="DH26" i="10"/>
  <c r="DI26" i="10"/>
  <c r="DK26" i="10"/>
  <c r="DL26" i="10"/>
  <c r="DM26" i="10"/>
  <c r="DN26" i="10"/>
  <c r="DP26" i="10"/>
  <c r="DQ26" i="10"/>
  <c r="DR26" i="10"/>
  <c r="DS26" i="10"/>
  <c r="BR27" i="10"/>
  <c r="BS27" i="10"/>
  <c r="BT27" i="10"/>
  <c r="BU27" i="10"/>
  <c r="BW27" i="10"/>
  <c r="BX27" i="10"/>
  <c r="BY27" i="10"/>
  <c r="BZ27" i="10"/>
  <c r="CB27" i="10"/>
  <c r="CC27" i="10"/>
  <c r="CD27" i="10"/>
  <c r="CE27" i="10"/>
  <c r="CG27" i="10"/>
  <c r="CH27" i="10"/>
  <c r="CI27" i="10"/>
  <c r="CJ27" i="10"/>
  <c r="CL27" i="10"/>
  <c r="CM27" i="10"/>
  <c r="CN27" i="10"/>
  <c r="CO27" i="10"/>
  <c r="CQ27" i="10"/>
  <c r="CR27" i="10"/>
  <c r="CS27" i="10"/>
  <c r="CT27" i="10"/>
  <c r="CV27" i="10"/>
  <c r="CW27" i="10"/>
  <c r="CX27" i="10"/>
  <c r="CY27" i="10"/>
  <c r="DA27" i="10"/>
  <c r="DB27" i="10"/>
  <c r="DC27" i="10"/>
  <c r="DD27" i="10"/>
  <c r="DF27" i="10"/>
  <c r="DG27" i="10"/>
  <c r="DH27" i="10"/>
  <c r="DI27" i="10"/>
  <c r="DK27" i="10"/>
  <c r="DL27" i="10"/>
  <c r="DM27" i="10"/>
  <c r="DN27" i="10"/>
  <c r="DP27" i="10"/>
  <c r="DQ27" i="10"/>
  <c r="DR27" i="10"/>
  <c r="DS27" i="10"/>
  <c r="BR28" i="10"/>
  <c r="BS28" i="10"/>
  <c r="BT28" i="10"/>
  <c r="BU28" i="10"/>
  <c r="BW28" i="10"/>
  <c r="BX28" i="10"/>
  <c r="BY28" i="10"/>
  <c r="BZ28" i="10"/>
  <c r="CB28" i="10"/>
  <c r="CC28" i="10"/>
  <c r="CD28" i="10"/>
  <c r="CE28" i="10"/>
  <c r="CG28" i="10"/>
  <c r="CH28" i="10"/>
  <c r="CI28" i="10"/>
  <c r="CJ28" i="10"/>
  <c r="CL28" i="10"/>
  <c r="CM28" i="10"/>
  <c r="CN28" i="10"/>
  <c r="CO28" i="10"/>
  <c r="CQ28" i="10"/>
  <c r="CR28" i="10"/>
  <c r="CS28" i="10"/>
  <c r="CT28" i="10"/>
  <c r="CV28" i="10"/>
  <c r="CW28" i="10"/>
  <c r="CX28" i="10"/>
  <c r="CY28" i="10"/>
  <c r="DA28" i="10"/>
  <c r="DB28" i="10"/>
  <c r="DC28" i="10"/>
  <c r="DD28" i="10"/>
  <c r="DF28" i="10"/>
  <c r="DG28" i="10"/>
  <c r="DH28" i="10"/>
  <c r="DI28" i="10"/>
  <c r="DK28" i="10"/>
  <c r="DL28" i="10"/>
  <c r="DM28" i="10"/>
  <c r="DN28" i="10"/>
  <c r="DP28" i="10"/>
  <c r="DQ28" i="10"/>
  <c r="DR28" i="10"/>
  <c r="DS28" i="10"/>
  <c r="BR29" i="10"/>
  <c r="BS29" i="10"/>
  <c r="BT29" i="10"/>
  <c r="BU29" i="10"/>
  <c r="BW29" i="10"/>
  <c r="BX29" i="10"/>
  <c r="BY29" i="10"/>
  <c r="BZ29" i="10"/>
  <c r="CB29" i="10"/>
  <c r="CC29" i="10"/>
  <c r="CD29" i="10"/>
  <c r="CE29" i="10"/>
  <c r="CG29" i="10"/>
  <c r="CH29" i="10"/>
  <c r="CI29" i="10"/>
  <c r="CJ29" i="10"/>
  <c r="CL29" i="10"/>
  <c r="CM29" i="10"/>
  <c r="CN29" i="10"/>
  <c r="CO29" i="10"/>
  <c r="CQ29" i="10"/>
  <c r="CR29" i="10"/>
  <c r="CS29" i="10"/>
  <c r="CT29" i="10"/>
  <c r="CV29" i="10"/>
  <c r="CW29" i="10"/>
  <c r="CX29" i="10"/>
  <c r="CY29" i="10"/>
  <c r="DA29" i="10"/>
  <c r="DB29" i="10"/>
  <c r="DC29" i="10"/>
  <c r="DD29" i="10"/>
  <c r="DF29" i="10"/>
  <c r="DG29" i="10"/>
  <c r="DH29" i="10"/>
  <c r="DI29" i="10"/>
  <c r="DK29" i="10"/>
  <c r="DL29" i="10"/>
  <c r="DM29" i="10"/>
  <c r="DN29" i="10"/>
  <c r="DP29" i="10"/>
  <c r="DQ29" i="10"/>
  <c r="DR29" i="10"/>
  <c r="DS29" i="10"/>
  <c r="BR30" i="10"/>
  <c r="BS30" i="10"/>
  <c r="BT30" i="10"/>
  <c r="BU30" i="10"/>
  <c r="BW30" i="10"/>
  <c r="BX30" i="10"/>
  <c r="BY30" i="10"/>
  <c r="BZ30" i="10"/>
  <c r="CB30" i="10"/>
  <c r="CC30" i="10"/>
  <c r="CD30" i="10"/>
  <c r="CE30" i="10"/>
  <c r="CG30" i="10"/>
  <c r="CH30" i="10"/>
  <c r="CI30" i="10"/>
  <c r="CJ30" i="10"/>
  <c r="CL30" i="10"/>
  <c r="CM30" i="10"/>
  <c r="CN30" i="10"/>
  <c r="CO30" i="10"/>
  <c r="CQ30" i="10"/>
  <c r="CR30" i="10"/>
  <c r="CS30" i="10"/>
  <c r="CT30" i="10"/>
  <c r="CV30" i="10"/>
  <c r="CW30" i="10"/>
  <c r="CX30" i="10"/>
  <c r="CY30" i="10"/>
  <c r="DA30" i="10"/>
  <c r="DB30" i="10"/>
  <c r="DC30" i="10"/>
  <c r="DD30" i="10"/>
  <c r="DP30" i="10"/>
  <c r="DQ30" i="10"/>
  <c r="DR30" i="10"/>
  <c r="DS30" i="10"/>
  <c r="BR31" i="10"/>
  <c r="BS31" i="10"/>
  <c r="BT31" i="10"/>
  <c r="BU31" i="10"/>
  <c r="BW31" i="10"/>
  <c r="BX31" i="10"/>
  <c r="BY31" i="10"/>
  <c r="BZ31" i="10"/>
  <c r="CB31" i="10"/>
  <c r="CC31" i="10"/>
  <c r="CD31" i="10"/>
  <c r="CE31" i="10"/>
  <c r="CG31" i="10"/>
  <c r="CH31" i="10"/>
  <c r="CI31" i="10"/>
  <c r="CJ31" i="10"/>
  <c r="CL31" i="10"/>
  <c r="CM31" i="10"/>
  <c r="CN31" i="10"/>
  <c r="CO31" i="10"/>
  <c r="CQ31" i="10"/>
  <c r="CR31" i="10"/>
  <c r="CS31" i="10"/>
  <c r="CT31" i="10"/>
  <c r="CV31" i="10"/>
  <c r="CW31" i="10"/>
  <c r="CX31" i="10"/>
  <c r="CY31" i="10"/>
  <c r="DA31" i="10"/>
  <c r="DB31" i="10"/>
  <c r="DC31" i="10"/>
  <c r="DD31" i="10"/>
  <c r="DF31" i="10"/>
  <c r="DG31" i="10"/>
  <c r="DH31" i="10"/>
  <c r="DI31" i="10"/>
  <c r="DK31" i="10"/>
  <c r="DL31" i="10"/>
  <c r="DM31" i="10"/>
  <c r="DN31" i="10"/>
  <c r="BR32" i="10"/>
  <c r="BS32" i="10"/>
  <c r="BT32" i="10"/>
  <c r="BU32" i="10"/>
  <c r="BW32" i="10"/>
  <c r="BX32" i="10"/>
  <c r="BY32" i="10"/>
  <c r="BZ32" i="10"/>
  <c r="CB32" i="10"/>
  <c r="CC32" i="10"/>
  <c r="CD32" i="10"/>
  <c r="CE32" i="10"/>
  <c r="CG32" i="10"/>
  <c r="CH32" i="10"/>
  <c r="CI32" i="10"/>
  <c r="CJ32" i="10"/>
  <c r="CL32" i="10"/>
  <c r="CM32" i="10"/>
  <c r="CN32" i="10"/>
  <c r="CO32" i="10"/>
  <c r="CQ32" i="10"/>
  <c r="CR32" i="10"/>
  <c r="CS32" i="10"/>
  <c r="CT32" i="10"/>
  <c r="CV32" i="10"/>
  <c r="CW32" i="10"/>
  <c r="CX32" i="10"/>
  <c r="CY32" i="10"/>
  <c r="DA32" i="10"/>
  <c r="DB32" i="10"/>
  <c r="DC32" i="10"/>
  <c r="DD32" i="10"/>
  <c r="DF32" i="10"/>
  <c r="DG32" i="10"/>
  <c r="DH32" i="10"/>
  <c r="DI32" i="10"/>
  <c r="DK32" i="10"/>
  <c r="DL32" i="10"/>
  <c r="DM32" i="10"/>
  <c r="DN32" i="10"/>
  <c r="DP32" i="10"/>
  <c r="DQ32" i="10"/>
  <c r="DR32" i="10"/>
  <c r="DS32" i="10"/>
  <c r="BR33" i="10"/>
  <c r="BS33" i="10"/>
  <c r="BT33" i="10"/>
  <c r="BU33" i="10"/>
  <c r="BW33" i="10"/>
  <c r="BX33" i="10"/>
  <c r="BY33" i="10"/>
  <c r="BZ33" i="10"/>
  <c r="CB33" i="10"/>
  <c r="CC33" i="10"/>
  <c r="CD33" i="10"/>
  <c r="CE33" i="10"/>
  <c r="CG33" i="10"/>
  <c r="CH33" i="10"/>
  <c r="CI33" i="10"/>
  <c r="CJ33" i="10"/>
  <c r="CL33" i="10"/>
  <c r="CM33" i="10"/>
  <c r="CN33" i="10"/>
  <c r="CO33" i="10"/>
  <c r="CQ33" i="10"/>
  <c r="CR33" i="10"/>
  <c r="CS33" i="10"/>
  <c r="CT33" i="10"/>
  <c r="CV33" i="10"/>
  <c r="CW33" i="10"/>
  <c r="CX33" i="10"/>
  <c r="CY33" i="10"/>
  <c r="DA33" i="10"/>
  <c r="DB33" i="10"/>
  <c r="DC33" i="10"/>
  <c r="DD33" i="10"/>
  <c r="DF33" i="10"/>
  <c r="DG33" i="10"/>
  <c r="DH33" i="10"/>
  <c r="DI33" i="10"/>
  <c r="DK33" i="10"/>
  <c r="DL33" i="10"/>
  <c r="DM33" i="10"/>
  <c r="DN33" i="10"/>
  <c r="DP33" i="10"/>
  <c r="DQ33" i="10"/>
  <c r="DR33" i="10"/>
  <c r="DS33" i="10"/>
  <c r="BR34" i="10"/>
  <c r="BS34" i="10"/>
  <c r="BT34" i="10"/>
  <c r="BU34" i="10"/>
  <c r="BW34" i="10"/>
  <c r="BX34" i="10"/>
  <c r="BY34" i="10"/>
  <c r="BZ34" i="10"/>
  <c r="CB34" i="10"/>
  <c r="CC34" i="10"/>
  <c r="CD34" i="10"/>
  <c r="CE34" i="10"/>
  <c r="CG34" i="10"/>
  <c r="CH34" i="10"/>
  <c r="CI34" i="10"/>
  <c r="CJ34" i="10"/>
  <c r="CL34" i="10"/>
  <c r="CM34" i="10"/>
  <c r="CN34" i="10"/>
  <c r="CO34" i="10"/>
  <c r="CQ34" i="10"/>
  <c r="CR34" i="10"/>
  <c r="CS34" i="10"/>
  <c r="CT34" i="10"/>
  <c r="CV34" i="10"/>
  <c r="CW34" i="10"/>
  <c r="CX34" i="10"/>
  <c r="CY34" i="10"/>
  <c r="DA34" i="10"/>
  <c r="DB34" i="10"/>
  <c r="DC34" i="10"/>
  <c r="DD34" i="10"/>
  <c r="DF34" i="10"/>
  <c r="DG34" i="10"/>
  <c r="DH34" i="10"/>
  <c r="DI34" i="10"/>
  <c r="DK34" i="10"/>
  <c r="DL34" i="10"/>
  <c r="DM34" i="10"/>
  <c r="DN34" i="10"/>
  <c r="DP34" i="10"/>
  <c r="DQ34" i="10"/>
  <c r="DR34" i="10"/>
  <c r="DS34" i="10"/>
  <c r="BR35" i="10"/>
  <c r="BS35" i="10"/>
  <c r="BT35" i="10"/>
  <c r="BU35" i="10"/>
  <c r="BW35" i="10"/>
  <c r="BX35" i="10"/>
  <c r="BY35" i="10"/>
  <c r="BZ35" i="10"/>
  <c r="CB35" i="10"/>
  <c r="CC35" i="10"/>
  <c r="CD35" i="10"/>
  <c r="CE35" i="10"/>
  <c r="CG35" i="10"/>
  <c r="CH35" i="10"/>
  <c r="CI35" i="10"/>
  <c r="CJ35" i="10"/>
  <c r="CL35" i="10"/>
  <c r="CM35" i="10"/>
  <c r="CN35" i="10"/>
  <c r="CO35" i="10"/>
  <c r="CQ35" i="10"/>
  <c r="CR35" i="10"/>
  <c r="CS35" i="10"/>
  <c r="CT35" i="10"/>
  <c r="CV35" i="10"/>
  <c r="CW35" i="10"/>
  <c r="CX35" i="10"/>
  <c r="CY35" i="10"/>
  <c r="DA35" i="10"/>
  <c r="DB35" i="10"/>
  <c r="DC35" i="10"/>
  <c r="DD35" i="10"/>
  <c r="DF35" i="10"/>
  <c r="DG35" i="10"/>
  <c r="DH35" i="10"/>
  <c r="DI35" i="10"/>
  <c r="DK35" i="10"/>
  <c r="DL35" i="10"/>
  <c r="DM35" i="10"/>
  <c r="DN35" i="10"/>
  <c r="DP35" i="10"/>
  <c r="DQ35" i="10"/>
  <c r="DR35" i="10"/>
  <c r="DS35" i="10"/>
  <c r="BR36" i="10"/>
  <c r="BS36" i="10"/>
  <c r="BT36" i="10"/>
  <c r="BU36" i="10"/>
  <c r="BW36" i="10"/>
  <c r="BX36" i="10"/>
  <c r="BY36" i="10"/>
  <c r="BZ36" i="10"/>
  <c r="CB36" i="10"/>
  <c r="CC36" i="10"/>
  <c r="CD36" i="10"/>
  <c r="CE36" i="10"/>
  <c r="CG36" i="10"/>
  <c r="CH36" i="10"/>
  <c r="CI36" i="10"/>
  <c r="CJ36" i="10"/>
  <c r="CL36" i="10"/>
  <c r="CM36" i="10"/>
  <c r="CN36" i="10"/>
  <c r="CO36" i="10"/>
  <c r="CQ36" i="10"/>
  <c r="CR36" i="10"/>
  <c r="CS36" i="10"/>
  <c r="CT36" i="10"/>
  <c r="CV36" i="10"/>
  <c r="CW36" i="10"/>
  <c r="CX36" i="10"/>
  <c r="CY36" i="10"/>
  <c r="DA36" i="10"/>
  <c r="DB36" i="10"/>
  <c r="DC36" i="10"/>
  <c r="DD36" i="10"/>
  <c r="DF36" i="10"/>
  <c r="DG36" i="10"/>
  <c r="DH36" i="10"/>
  <c r="DI36" i="10"/>
  <c r="DK36" i="10"/>
  <c r="DL36" i="10"/>
  <c r="DM36" i="10"/>
  <c r="DN36" i="10"/>
  <c r="DP36" i="10"/>
  <c r="DQ36" i="10"/>
  <c r="DR36" i="10"/>
  <c r="DS36" i="10"/>
  <c r="BR37" i="10"/>
  <c r="BS37" i="10"/>
  <c r="BT37" i="10"/>
  <c r="BU37" i="10"/>
  <c r="BW37" i="10"/>
  <c r="BX37" i="10"/>
  <c r="BY37" i="10"/>
  <c r="BZ37" i="10"/>
  <c r="CB37" i="10"/>
  <c r="CC37" i="10"/>
  <c r="CD37" i="10"/>
  <c r="CE37" i="10"/>
  <c r="CG37" i="10"/>
  <c r="CH37" i="10"/>
  <c r="CI37" i="10"/>
  <c r="CJ37" i="10"/>
  <c r="CL37" i="10"/>
  <c r="CM37" i="10"/>
  <c r="CN37" i="10"/>
  <c r="CO37" i="10"/>
  <c r="CQ37" i="10"/>
  <c r="CR37" i="10"/>
  <c r="CS37" i="10"/>
  <c r="CT37" i="10"/>
  <c r="CV37" i="10"/>
  <c r="CW37" i="10"/>
  <c r="CX37" i="10"/>
  <c r="CY37" i="10"/>
  <c r="DA37" i="10"/>
  <c r="DB37" i="10"/>
  <c r="DC37" i="10"/>
  <c r="DD37" i="10"/>
  <c r="DF37" i="10"/>
  <c r="DG37" i="10"/>
  <c r="DH37" i="10"/>
  <c r="DI37" i="10"/>
  <c r="DK37" i="10"/>
  <c r="DL37" i="10"/>
  <c r="DM37" i="10"/>
  <c r="DN37" i="10"/>
  <c r="DP37" i="10"/>
  <c r="DQ37" i="10"/>
  <c r="DR37" i="10"/>
  <c r="DS37" i="10"/>
  <c r="BR38" i="10"/>
  <c r="BS38" i="10"/>
  <c r="BT38" i="10"/>
  <c r="BU38" i="10"/>
  <c r="BW38" i="10"/>
  <c r="BX38" i="10"/>
  <c r="BY38" i="10"/>
  <c r="BZ38" i="10"/>
  <c r="CB38" i="10"/>
  <c r="CC38" i="10"/>
  <c r="CD38" i="10"/>
  <c r="CE38" i="10"/>
  <c r="CG38" i="10"/>
  <c r="CH38" i="10"/>
  <c r="CI38" i="10"/>
  <c r="CJ38" i="10"/>
  <c r="CL38" i="10"/>
  <c r="CM38" i="10"/>
  <c r="CN38" i="10"/>
  <c r="CO38" i="10"/>
  <c r="CQ38" i="10"/>
  <c r="CR38" i="10"/>
  <c r="CS38" i="10"/>
  <c r="CT38" i="10"/>
  <c r="CV38" i="10"/>
  <c r="CW38" i="10"/>
  <c r="CX38" i="10"/>
  <c r="CY38" i="10"/>
  <c r="DA38" i="10"/>
  <c r="DB38" i="10"/>
  <c r="DC38" i="10"/>
  <c r="DD38" i="10"/>
  <c r="DF38" i="10"/>
  <c r="DG38" i="10"/>
  <c r="DH38" i="10"/>
  <c r="DI38" i="10"/>
  <c r="DK38" i="10"/>
  <c r="DL38" i="10"/>
  <c r="DM38" i="10"/>
  <c r="DN38" i="10"/>
  <c r="DP38" i="10"/>
  <c r="DQ38" i="10"/>
  <c r="DR38" i="10"/>
  <c r="DS38" i="10"/>
  <c r="BR39" i="10"/>
  <c r="BS39" i="10"/>
  <c r="BT39" i="10"/>
  <c r="BU39" i="10"/>
  <c r="BW39" i="10"/>
  <c r="BX39" i="10"/>
  <c r="BY39" i="10"/>
  <c r="BZ39" i="10"/>
  <c r="CB39" i="10"/>
  <c r="CC39" i="10"/>
  <c r="CD39" i="10"/>
  <c r="CE39" i="10"/>
  <c r="CG39" i="10"/>
  <c r="CH39" i="10"/>
  <c r="CI39" i="10"/>
  <c r="CJ39" i="10"/>
  <c r="CL39" i="10"/>
  <c r="CM39" i="10"/>
  <c r="CN39" i="10"/>
  <c r="CO39" i="10"/>
  <c r="CQ39" i="10"/>
  <c r="CR39" i="10"/>
  <c r="CS39" i="10"/>
  <c r="CT39" i="10"/>
  <c r="CV39" i="10"/>
  <c r="CW39" i="10"/>
  <c r="CX39" i="10"/>
  <c r="CY39" i="10"/>
  <c r="DA39" i="10"/>
  <c r="DB39" i="10"/>
  <c r="DC39" i="10"/>
  <c r="DD39" i="10"/>
  <c r="DF39" i="10"/>
  <c r="DG39" i="10"/>
  <c r="DH39" i="10"/>
  <c r="DI39" i="10"/>
  <c r="DK39" i="10"/>
  <c r="DL39" i="10"/>
  <c r="DM39" i="10"/>
  <c r="DN39" i="10"/>
  <c r="DP39" i="10"/>
  <c r="DQ39" i="10"/>
  <c r="DR39" i="10"/>
  <c r="DS39" i="10"/>
  <c r="BR40" i="10"/>
  <c r="BS40" i="10"/>
  <c r="BT40" i="10"/>
  <c r="BU40" i="10"/>
  <c r="BW40" i="10"/>
  <c r="BX40" i="10"/>
  <c r="BY40" i="10"/>
  <c r="BZ40" i="10"/>
  <c r="CB40" i="10"/>
  <c r="CC40" i="10"/>
  <c r="CD40" i="10"/>
  <c r="CE40" i="10"/>
  <c r="CG40" i="10"/>
  <c r="CH40" i="10"/>
  <c r="CI40" i="10"/>
  <c r="CJ40" i="10"/>
  <c r="CL40" i="10"/>
  <c r="CM40" i="10"/>
  <c r="CN40" i="10"/>
  <c r="CO40" i="10"/>
  <c r="CQ40" i="10"/>
  <c r="CR40" i="10"/>
  <c r="CS40" i="10"/>
  <c r="CT40" i="10"/>
  <c r="CV40" i="10"/>
  <c r="CW40" i="10"/>
  <c r="CX40" i="10"/>
  <c r="CY40" i="10"/>
  <c r="DA40" i="10"/>
  <c r="DB40" i="10"/>
  <c r="DC40" i="10"/>
  <c r="DD40" i="10"/>
  <c r="DF40" i="10"/>
  <c r="DG40" i="10"/>
  <c r="DH40" i="10"/>
  <c r="DI40" i="10"/>
  <c r="DK40" i="10"/>
  <c r="DL40" i="10"/>
  <c r="DM40" i="10"/>
  <c r="DN40" i="10"/>
  <c r="DP40" i="10"/>
  <c r="DQ40" i="10"/>
  <c r="DR40" i="10"/>
  <c r="DS40" i="10"/>
  <c r="AZ24" i="10"/>
  <c r="BE30" i="10"/>
  <c r="BO31" i="10"/>
  <c r="L44" i="10"/>
  <c r="Q44" i="10"/>
  <c r="M44" i="10" s="1"/>
  <c r="V44" i="10"/>
  <c r="U44" i="10" s="1"/>
  <c r="AA44" i="10"/>
  <c r="Y44" i="10" s="1"/>
  <c r="AF44" i="10"/>
  <c r="AC44" i="10" s="1"/>
  <c r="AK44" i="10"/>
  <c r="AG44" i="10" s="1"/>
  <c r="AP44" i="10"/>
  <c r="AO44" i="10" s="1"/>
  <c r="AZ44" i="10"/>
  <c r="AV44" i="10" s="1"/>
  <c r="BE44" i="10"/>
  <c r="BD44" i="10" s="1"/>
  <c r="BJ44" i="10"/>
  <c r="BF44" i="10" s="1"/>
  <c r="BO44" i="10"/>
  <c r="BK44" i="10" s="1"/>
  <c r="L45" i="10"/>
  <c r="Q45" i="10"/>
  <c r="P45" i="10" s="1"/>
  <c r="V45" i="10"/>
  <c r="R45" i="10" s="1"/>
  <c r="AA45" i="10"/>
  <c r="W45" i="10" s="1"/>
  <c r="AF45" i="10"/>
  <c r="AB45" i="10" s="1"/>
  <c r="AK45" i="10"/>
  <c r="AJ45" i="10" s="1"/>
  <c r="AP45" i="10"/>
  <c r="AL45" i="10" s="1"/>
  <c r="AU45" i="10"/>
  <c r="AQ45" i="10" s="1"/>
  <c r="AZ45" i="10"/>
  <c r="AV45" i="10" s="1"/>
  <c r="BE45" i="10"/>
  <c r="BJ45" i="10"/>
  <c r="BF45" i="10" s="1"/>
  <c r="BO45" i="10"/>
  <c r="BK45" i="10" s="1"/>
  <c r="BR44" i="10"/>
  <c r="BS44" i="10"/>
  <c r="BT44" i="10"/>
  <c r="BU44" i="10"/>
  <c r="BW44" i="10"/>
  <c r="BX44" i="10"/>
  <c r="BY44" i="10"/>
  <c r="BZ44" i="10"/>
  <c r="CB44" i="10"/>
  <c r="CC44" i="10"/>
  <c r="CD44" i="10"/>
  <c r="CE44" i="10"/>
  <c r="CG44" i="10"/>
  <c r="CH44" i="10"/>
  <c r="CI44" i="10"/>
  <c r="CJ44" i="10"/>
  <c r="CL44" i="10"/>
  <c r="CM44" i="10"/>
  <c r="CN44" i="10"/>
  <c r="CO44" i="10"/>
  <c r="CQ44" i="10"/>
  <c r="CR44" i="10"/>
  <c r="CS44" i="10"/>
  <c r="CT44" i="10"/>
  <c r="DF44" i="10"/>
  <c r="DG44" i="10"/>
  <c r="DH44" i="10"/>
  <c r="DI44" i="10"/>
  <c r="DK44" i="10"/>
  <c r="DL44" i="10"/>
  <c r="DM44" i="10"/>
  <c r="DN44" i="10"/>
  <c r="DP44" i="10"/>
  <c r="DQ44" i="10"/>
  <c r="DR44" i="10"/>
  <c r="DS44" i="10"/>
  <c r="BR45" i="10"/>
  <c r="BS45" i="10"/>
  <c r="BT45" i="10"/>
  <c r="BU45" i="10"/>
  <c r="BW45" i="10"/>
  <c r="BX45" i="10"/>
  <c r="BY45" i="10"/>
  <c r="BZ45" i="10"/>
  <c r="CB45" i="10"/>
  <c r="CC45" i="10"/>
  <c r="CD45" i="10"/>
  <c r="CE45" i="10"/>
  <c r="CG45" i="10"/>
  <c r="CH45" i="10"/>
  <c r="CI45" i="10"/>
  <c r="CJ45" i="10"/>
  <c r="CL45" i="10"/>
  <c r="CM45" i="10"/>
  <c r="CN45" i="10"/>
  <c r="CO45" i="10"/>
  <c r="CQ45" i="10"/>
  <c r="CR45" i="10"/>
  <c r="CS45" i="10"/>
  <c r="CT45" i="10"/>
  <c r="CV45" i="10"/>
  <c r="CW45" i="10"/>
  <c r="CX45" i="10"/>
  <c r="CY45" i="10"/>
  <c r="DA45" i="10"/>
  <c r="DB45" i="10"/>
  <c r="DC45" i="10"/>
  <c r="DD45" i="10"/>
  <c r="DF45" i="10"/>
  <c r="DG45" i="10"/>
  <c r="DH45" i="10"/>
  <c r="DI45" i="10"/>
  <c r="DK45" i="10"/>
  <c r="DL45" i="10"/>
  <c r="DM45" i="10"/>
  <c r="DN45" i="10"/>
  <c r="DP45" i="10"/>
  <c r="DQ45" i="10"/>
  <c r="DR45" i="10"/>
  <c r="DS45" i="10"/>
  <c r="AU44" i="10"/>
  <c r="L50" i="10"/>
  <c r="Q50" i="10"/>
  <c r="M50" i="10" s="1"/>
  <c r="V50" i="10"/>
  <c r="R50" i="10" s="1"/>
  <c r="AA50" i="10"/>
  <c r="AF50" i="10"/>
  <c r="AB50" i="10" s="1"/>
  <c r="AK50" i="10"/>
  <c r="AG50" i="10" s="1"/>
  <c r="AP50" i="10"/>
  <c r="AL50" i="10" s="1"/>
  <c r="AU50" i="10"/>
  <c r="AT50" i="10" s="1"/>
  <c r="AZ50" i="10"/>
  <c r="AV50" i="10" s="1"/>
  <c r="BE50" i="10"/>
  <c r="BA50" i="10" s="1"/>
  <c r="BJ50" i="10"/>
  <c r="BF50" i="10" s="1"/>
  <c r="BO50" i="10"/>
  <c r="BN50" i="10" s="1"/>
  <c r="L51" i="10"/>
  <c r="Q51" i="10"/>
  <c r="M51" i="10" s="1"/>
  <c r="V51" i="10"/>
  <c r="R51" i="10" s="1"/>
  <c r="AA51" i="10"/>
  <c r="Z51" i="10" s="1"/>
  <c r="AF51" i="10"/>
  <c r="AB51" i="10" s="1"/>
  <c r="AK51" i="10"/>
  <c r="AG51" i="10" s="1"/>
  <c r="AP51" i="10"/>
  <c r="AL51" i="10" s="1"/>
  <c r="AU51" i="10"/>
  <c r="AT51" i="10" s="1"/>
  <c r="AZ51" i="10"/>
  <c r="AV51" i="10" s="1"/>
  <c r="BE51" i="10"/>
  <c r="BA51" i="10" s="1"/>
  <c r="BJ51" i="10"/>
  <c r="BF51" i="10" s="1"/>
  <c r="BO51" i="10"/>
  <c r="BN51" i="10" s="1"/>
  <c r="L52" i="10"/>
  <c r="Q52" i="10"/>
  <c r="M52" i="10" s="1"/>
  <c r="V52" i="10"/>
  <c r="R52" i="10" s="1"/>
  <c r="AA52" i="10"/>
  <c r="Z52" i="10" s="1"/>
  <c r="AF52" i="10"/>
  <c r="AD52" i="10" s="1"/>
  <c r="AK52" i="10"/>
  <c r="AG52" i="10" s="1"/>
  <c r="AP52" i="10"/>
  <c r="AL52" i="10" s="1"/>
  <c r="AU52" i="10"/>
  <c r="AT52" i="10" s="1"/>
  <c r="AZ52" i="10"/>
  <c r="BE52" i="10"/>
  <c r="BJ52" i="10"/>
  <c r="BF52" i="10" s="1"/>
  <c r="BO52" i="10"/>
  <c r="BN52" i="10" s="1"/>
  <c r="BR50" i="10"/>
  <c r="BS50" i="10"/>
  <c r="BT50" i="10"/>
  <c r="BU50" i="10"/>
  <c r="BW50" i="10"/>
  <c r="BX50" i="10"/>
  <c r="BY50" i="10"/>
  <c r="BZ50" i="10"/>
  <c r="CB50" i="10"/>
  <c r="CC50" i="10"/>
  <c r="CD50" i="10"/>
  <c r="CE50" i="10"/>
  <c r="CG50" i="10"/>
  <c r="CH50" i="10"/>
  <c r="CI50" i="10"/>
  <c r="CJ50" i="10"/>
  <c r="CL50" i="10"/>
  <c r="CM50" i="10"/>
  <c r="CN50" i="10"/>
  <c r="CO50" i="10"/>
  <c r="CQ50" i="10"/>
  <c r="CR50" i="10"/>
  <c r="CS50" i="10"/>
  <c r="CT50" i="10"/>
  <c r="CV50" i="10"/>
  <c r="CW50" i="10"/>
  <c r="CX50" i="10"/>
  <c r="CY50" i="10"/>
  <c r="DA50" i="10"/>
  <c r="DB50" i="10"/>
  <c r="DC50" i="10"/>
  <c r="DD50" i="10"/>
  <c r="DF50" i="10"/>
  <c r="DG50" i="10"/>
  <c r="DH50" i="10"/>
  <c r="DI50" i="10"/>
  <c r="DK50" i="10"/>
  <c r="DL50" i="10"/>
  <c r="DM50" i="10"/>
  <c r="DN50" i="10"/>
  <c r="DP50" i="10"/>
  <c r="DQ50" i="10"/>
  <c r="DR50" i="10"/>
  <c r="DS50" i="10"/>
  <c r="BR51" i="10"/>
  <c r="BS51" i="10"/>
  <c r="BT51" i="10"/>
  <c r="BU51" i="10"/>
  <c r="BW51" i="10"/>
  <c r="BX51" i="10"/>
  <c r="BY51" i="10"/>
  <c r="BZ51" i="10"/>
  <c r="CB51" i="10"/>
  <c r="CC51" i="10"/>
  <c r="CD51" i="10"/>
  <c r="CE51" i="10"/>
  <c r="CG51" i="10"/>
  <c r="CH51" i="10"/>
  <c r="CI51" i="10"/>
  <c r="CJ51" i="10"/>
  <c r="CL51" i="10"/>
  <c r="CM51" i="10"/>
  <c r="CN51" i="10"/>
  <c r="CO51" i="10"/>
  <c r="CQ51" i="10"/>
  <c r="CR51" i="10"/>
  <c r="CS51" i="10"/>
  <c r="CT51" i="10"/>
  <c r="CV51" i="10"/>
  <c r="CW51" i="10"/>
  <c r="CX51" i="10"/>
  <c r="CY51" i="10"/>
  <c r="DA51" i="10"/>
  <c r="DB51" i="10"/>
  <c r="DC51" i="10"/>
  <c r="DD51" i="10"/>
  <c r="DF51" i="10"/>
  <c r="DG51" i="10"/>
  <c r="DH51" i="10"/>
  <c r="DI51" i="10"/>
  <c r="DK51" i="10"/>
  <c r="DL51" i="10"/>
  <c r="DM51" i="10"/>
  <c r="DN51" i="10"/>
  <c r="DP51" i="10"/>
  <c r="DQ51" i="10"/>
  <c r="DR51" i="10"/>
  <c r="DS51" i="10"/>
  <c r="BR52" i="10"/>
  <c r="BS52" i="10"/>
  <c r="BT52" i="10"/>
  <c r="BU52" i="10"/>
  <c r="BW52" i="10"/>
  <c r="BX52" i="10"/>
  <c r="BY52" i="10"/>
  <c r="BZ52" i="10"/>
  <c r="CB52" i="10"/>
  <c r="CC52" i="10"/>
  <c r="CD52" i="10"/>
  <c r="CE52" i="10"/>
  <c r="CG52" i="10"/>
  <c r="CH52" i="10"/>
  <c r="CI52" i="10"/>
  <c r="CJ52" i="10"/>
  <c r="CL52" i="10"/>
  <c r="CM52" i="10"/>
  <c r="CN52" i="10"/>
  <c r="CO52" i="10"/>
  <c r="CQ52" i="10"/>
  <c r="CR52" i="10"/>
  <c r="CS52" i="10"/>
  <c r="CT52" i="10"/>
  <c r="CV52" i="10"/>
  <c r="CW52" i="10"/>
  <c r="CX52" i="10"/>
  <c r="CY52" i="10"/>
  <c r="DA52" i="10"/>
  <c r="DB52" i="10"/>
  <c r="DC52" i="10"/>
  <c r="DD52" i="10"/>
  <c r="DF52" i="10"/>
  <c r="DG52" i="10"/>
  <c r="DH52" i="10"/>
  <c r="DI52" i="10"/>
  <c r="DK52" i="10"/>
  <c r="DL52" i="10"/>
  <c r="DM52" i="10"/>
  <c r="DN52" i="10"/>
  <c r="DP52" i="10"/>
  <c r="DQ52" i="10"/>
  <c r="DR52" i="10"/>
  <c r="DS52" i="10"/>
  <c r="F54" i="10"/>
  <c r="G54" i="10"/>
  <c r="L57" i="10"/>
  <c r="Q57" i="10"/>
  <c r="V57" i="10"/>
  <c r="S57" i="10" s="1"/>
  <c r="AA57" i="10"/>
  <c r="W57" i="10" s="1"/>
  <c r="AF57" i="10"/>
  <c r="AE57" i="10" s="1"/>
  <c r="AK57" i="10"/>
  <c r="AI57" i="10" s="1"/>
  <c r="AP57" i="10"/>
  <c r="AL57" i="10" s="1"/>
  <c r="AU57" i="10"/>
  <c r="AS57" i="10" s="1"/>
  <c r="AZ57" i="10"/>
  <c r="AY57" i="10" s="1"/>
  <c r="BE57" i="10"/>
  <c r="BJ57" i="10"/>
  <c r="BG57" i="10" s="1"/>
  <c r="BO57" i="10"/>
  <c r="BK57" i="10" s="1"/>
  <c r="L58" i="10"/>
  <c r="Q58" i="10"/>
  <c r="O58" i="10" s="1"/>
  <c r="V58" i="10"/>
  <c r="R58" i="10" s="1"/>
  <c r="AA58" i="10"/>
  <c r="Y58" i="10" s="1"/>
  <c r="AF58" i="10"/>
  <c r="AE58" i="10" s="1"/>
  <c r="AK58" i="10"/>
  <c r="AP58" i="10"/>
  <c r="AM58" i="10" s="1"/>
  <c r="AU58" i="10"/>
  <c r="AQ58" i="10" s="1"/>
  <c r="AZ58" i="10"/>
  <c r="AY58" i="10" s="1"/>
  <c r="BE58" i="10"/>
  <c r="BC58" i="10" s="1"/>
  <c r="BJ58" i="10"/>
  <c r="BF58" i="10" s="1"/>
  <c r="BO58" i="10"/>
  <c r="BM58" i="10" s="1"/>
  <c r="L59" i="10"/>
  <c r="Q59" i="10"/>
  <c r="V59" i="10"/>
  <c r="S59" i="10" s="1"/>
  <c r="AA59" i="10"/>
  <c r="W59" i="10" s="1"/>
  <c r="AF59" i="10"/>
  <c r="AE59" i="10" s="1"/>
  <c r="AK59" i="10"/>
  <c r="AI59" i="10" s="1"/>
  <c r="AP59" i="10"/>
  <c r="AL59" i="10" s="1"/>
  <c r="AU59" i="10"/>
  <c r="AS59" i="10" s="1"/>
  <c r="AZ59" i="10"/>
  <c r="AY59" i="10" s="1"/>
  <c r="BE59" i="10"/>
  <c r="BJ59" i="10"/>
  <c r="BG59" i="10" s="1"/>
  <c r="BO59" i="10"/>
  <c r="BK59" i="10" s="1"/>
  <c r="L60" i="10"/>
  <c r="Q60" i="10"/>
  <c r="O60" i="10" s="1"/>
  <c r="V60" i="10"/>
  <c r="R60" i="10" s="1"/>
  <c r="AA60" i="10"/>
  <c r="Y60" i="10" s="1"/>
  <c r="AF60" i="10"/>
  <c r="AE60" i="10" s="1"/>
  <c r="AK60" i="10"/>
  <c r="AP60" i="10"/>
  <c r="AM60" i="10" s="1"/>
  <c r="AU60" i="10"/>
  <c r="AQ60" i="10" s="1"/>
  <c r="AZ60" i="10"/>
  <c r="AY60" i="10" s="1"/>
  <c r="BE60" i="10"/>
  <c r="BC60" i="10" s="1"/>
  <c r="BJ60" i="10"/>
  <c r="BF60" i="10" s="1"/>
  <c r="BO60" i="10"/>
  <c r="BM60" i="10" s="1"/>
  <c r="L61" i="10"/>
  <c r="Q61" i="10"/>
  <c r="O61" i="10" s="1"/>
  <c r="V61" i="10"/>
  <c r="R61" i="10" s="1"/>
  <c r="AA61" i="10"/>
  <c r="W61" i="10" s="1"/>
  <c r="AF61" i="10"/>
  <c r="AE61" i="10" s="1"/>
  <c r="AK61" i="10"/>
  <c r="AI61" i="10" s="1"/>
  <c r="AP61" i="10"/>
  <c r="AL61" i="10" s="1"/>
  <c r="AU61" i="10"/>
  <c r="BE61" i="10"/>
  <c r="BC61" i="10" s="1"/>
  <c r="BJ61" i="10"/>
  <c r="BF61" i="10" s="1"/>
  <c r="BO61" i="10"/>
  <c r="BK61" i="10" s="1"/>
  <c r="L62" i="10"/>
  <c r="Q62" i="10"/>
  <c r="V62" i="10"/>
  <c r="AA62" i="10"/>
  <c r="W62" i="10" s="1"/>
  <c r="AF62" i="10"/>
  <c r="AE62" i="10" s="1"/>
  <c r="AK62" i="10"/>
  <c r="AI62" i="10" s="1"/>
  <c r="AP62" i="10"/>
  <c r="AL62" i="10" s="1"/>
  <c r="AU62" i="10"/>
  <c r="AQ62" i="10" s="1"/>
  <c r="AZ62" i="10"/>
  <c r="AY62" i="10" s="1"/>
  <c r="BJ62" i="10"/>
  <c r="BF62" i="10" s="1"/>
  <c r="BO62" i="10"/>
  <c r="BK62" i="10" s="1"/>
  <c r="L63" i="10"/>
  <c r="Q63" i="10"/>
  <c r="V63" i="10"/>
  <c r="AA63" i="10"/>
  <c r="W63" i="10" s="1"/>
  <c r="AF63" i="10"/>
  <c r="AE63" i="10" s="1"/>
  <c r="AK63" i="10"/>
  <c r="AI63" i="10" s="1"/>
  <c r="AP63" i="10"/>
  <c r="AL63" i="10" s="1"/>
  <c r="AU63" i="10"/>
  <c r="AQ63" i="10" s="1"/>
  <c r="AZ63" i="10"/>
  <c r="AY63" i="10" s="1"/>
  <c r="BE63" i="10"/>
  <c r="BO63" i="10"/>
  <c r="BK63" i="10" s="1"/>
  <c r="L64" i="10"/>
  <c r="Q64" i="10"/>
  <c r="O64" i="10" s="1"/>
  <c r="V64" i="10"/>
  <c r="R64" i="10" s="1"/>
  <c r="AA64" i="10"/>
  <c r="W64" i="10" s="1"/>
  <c r="AF64" i="10"/>
  <c r="AE64" i="10" s="1"/>
  <c r="AK64" i="10"/>
  <c r="AP64" i="10"/>
  <c r="AU64" i="10"/>
  <c r="AQ64" i="10" s="1"/>
  <c r="AZ64" i="10"/>
  <c r="AY64" i="10" s="1"/>
  <c r="BE64" i="10"/>
  <c r="BC64" i="10" s="1"/>
  <c r="BJ64" i="10"/>
  <c r="BF64" i="10" s="1"/>
  <c r="BR57" i="10"/>
  <c r="BS57" i="10"/>
  <c r="BT57" i="10"/>
  <c r="BU57" i="10"/>
  <c r="BW57" i="10"/>
  <c r="BX57" i="10"/>
  <c r="BY57" i="10"/>
  <c r="BZ57" i="10"/>
  <c r="CB57" i="10"/>
  <c r="CC57" i="10"/>
  <c r="CD57" i="10"/>
  <c r="CE57" i="10"/>
  <c r="CG57" i="10"/>
  <c r="CH57" i="10"/>
  <c r="CI57" i="10"/>
  <c r="CJ57" i="10"/>
  <c r="CL57" i="10"/>
  <c r="CM57" i="10"/>
  <c r="CN57" i="10"/>
  <c r="CO57" i="10"/>
  <c r="CQ57" i="10"/>
  <c r="CR57" i="10"/>
  <c r="CS57" i="10"/>
  <c r="CT57" i="10"/>
  <c r="DF57" i="10"/>
  <c r="DG57" i="10"/>
  <c r="DH57" i="10"/>
  <c r="DI57" i="10"/>
  <c r="DK57" i="10"/>
  <c r="DL57" i="10"/>
  <c r="DM57" i="10"/>
  <c r="DN57" i="10"/>
  <c r="DP57" i="10"/>
  <c r="DQ57" i="10"/>
  <c r="DR57" i="10"/>
  <c r="DS57" i="10"/>
  <c r="BR58" i="10"/>
  <c r="BS58" i="10"/>
  <c r="BT58" i="10"/>
  <c r="BU58" i="10"/>
  <c r="BW58" i="10"/>
  <c r="BX58" i="10"/>
  <c r="BY58" i="10"/>
  <c r="BZ58" i="10"/>
  <c r="CB58" i="10"/>
  <c r="CC58" i="10"/>
  <c r="CD58" i="10"/>
  <c r="CE58" i="10"/>
  <c r="CG58" i="10"/>
  <c r="CH58" i="10"/>
  <c r="CI58" i="10"/>
  <c r="CJ58" i="10"/>
  <c r="CL58" i="10"/>
  <c r="CM58" i="10"/>
  <c r="CN58" i="10"/>
  <c r="CO58" i="10"/>
  <c r="CQ58" i="10"/>
  <c r="CR58" i="10"/>
  <c r="CS58" i="10"/>
  <c r="CT58" i="10"/>
  <c r="DF58" i="10"/>
  <c r="DG58" i="10"/>
  <c r="DH58" i="10"/>
  <c r="DI58" i="10"/>
  <c r="DK58" i="10"/>
  <c r="DL58" i="10"/>
  <c r="DM58" i="10"/>
  <c r="DN58" i="10"/>
  <c r="DP58" i="10"/>
  <c r="DQ58" i="10"/>
  <c r="DR58" i="10"/>
  <c r="DS58" i="10"/>
  <c r="BR59" i="10"/>
  <c r="BS59" i="10"/>
  <c r="BT59" i="10"/>
  <c r="BU59" i="10"/>
  <c r="BW59" i="10"/>
  <c r="BX59" i="10"/>
  <c r="BY59" i="10"/>
  <c r="BZ59" i="10"/>
  <c r="CB59" i="10"/>
  <c r="CC59" i="10"/>
  <c r="CD59" i="10"/>
  <c r="CE59" i="10"/>
  <c r="CG59" i="10"/>
  <c r="CH59" i="10"/>
  <c r="CI59" i="10"/>
  <c r="CJ59" i="10"/>
  <c r="CL59" i="10"/>
  <c r="CM59" i="10"/>
  <c r="CN59" i="10"/>
  <c r="CO59" i="10"/>
  <c r="CQ59" i="10"/>
  <c r="CR59" i="10"/>
  <c r="CS59" i="10"/>
  <c r="CT59" i="10"/>
  <c r="DF59" i="10"/>
  <c r="DG59" i="10"/>
  <c r="DH59" i="10"/>
  <c r="DI59" i="10"/>
  <c r="DK59" i="10"/>
  <c r="DL59" i="10"/>
  <c r="DM59" i="10"/>
  <c r="DN59" i="10"/>
  <c r="DP59" i="10"/>
  <c r="DQ59" i="10"/>
  <c r="DR59" i="10"/>
  <c r="DS59" i="10"/>
  <c r="BR60" i="10"/>
  <c r="BS60" i="10"/>
  <c r="BT60" i="10"/>
  <c r="BU60" i="10"/>
  <c r="BW60" i="10"/>
  <c r="BX60" i="10"/>
  <c r="BY60" i="10"/>
  <c r="BZ60" i="10"/>
  <c r="CB60" i="10"/>
  <c r="CC60" i="10"/>
  <c r="CD60" i="10"/>
  <c r="CE60" i="10"/>
  <c r="CG60" i="10"/>
  <c r="CH60" i="10"/>
  <c r="CI60" i="10"/>
  <c r="CJ60" i="10"/>
  <c r="CL60" i="10"/>
  <c r="CM60" i="10"/>
  <c r="CN60" i="10"/>
  <c r="CO60" i="10"/>
  <c r="CQ60" i="10"/>
  <c r="CR60" i="10"/>
  <c r="CS60" i="10"/>
  <c r="CT60" i="10"/>
  <c r="DF60" i="10"/>
  <c r="DG60" i="10"/>
  <c r="DH60" i="10"/>
  <c r="DI60" i="10"/>
  <c r="DK60" i="10"/>
  <c r="DL60" i="10"/>
  <c r="DM60" i="10"/>
  <c r="DN60" i="10"/>
  <c r="DP60" i="10"/>
  <c r="DQ60" i="10"/>
  <c r="DR60" i="10"/>
  <c r="DS60" i="10"/>
  <c r="BR61" i="10"/>
  <c r="BS61" i="10"/>
  <c r="BT61" i="10"/>
  <c r="BU61" i="10"/>
  <c r="BW61" i="10"/>
  <c r="BX61" i="10"/>
  <c r="BY61" i="10"/>
  <c r="BZ61" i="10"/>
  <c r="CB61" i="10"/>
  <c r="CC61" i="10"/>
  <c r="CD61" i="10"/>
  <c r="CE61" i="10"/>
  <c r="CG61" i="10"/>
  <c r="CH61" i="10"/>
  <c r="CI61" i="10"/>
  <c r="CJ61" i="10"/>
  <c r="CL61" i="10"/>
  <c r="CM61" i="10"/>
  <c r="CN61" i="10"/>
  <c r="CO61" i="10"/>
  <c r="CQ61" i="10"/>
  <c r="CR61" i="10"/>
  <c r="CS61" i="10"/>
  <c r="CT61" i="10"/>
  <c r="CV61" i="10"/>
  <c r="CW61" i="10"/>
  <c r="CX61" i="10"/>
  <c r="CY61" i="10"/>
  <c r="DK61" i="10"/>
  <c r="DL61" i="10"/>
  <c r="DM61" i="10"/>
  <c r="DN61" i="10"/>
  <c r="DP61" i="10"/>
  <c r="DQ61" i="10"/>
  <c r="DR61" i="10"/>
  <c r="DS61" i="10"/>
  <c r="BR62" i="10"/>
  <c r="BS62" i="10"/>
  <c r="BT62" i="10"/>
  <c r="BU62" i="10"/>
  <c r="BW62" i="10"/>
  <c r="BX62" i="10"/>
  <c r="BY62" i="10"/>
  <c r="BZ62" i="10"/>
  <c r="CB62" i="10"/>
  <c r="CC62" i="10"/>
  <c r="CD62" i="10"/>
  <c r="CE62" i="10"/>
  <c r="CG62" i="10"/>
  <c r="CH62" i="10"/>
  <c r="CI62" i="10"/>
  <c r="CJ62" i="10"/>
  <c r="CL62" i="10"/>
  <c r="CM62" i="10"/>
  <c r="CN62" i="10"/>
  <c r="CO62" i="10"/>
  <c r="CQ62" i="10"/>
  <c r="CR62" i="10"/>
  <c r="CS62" i="10"/>
  <c r="CT62" i="10"/>
  <c r="CV62" i="10"/>
  <c r="CW62" i="10"/>
  <c r="CX62" i="10"/>
  <c r="CY62" i="10"/>
  <c r="DA62" i="10"/>
  <c r="DB62" i="10"/>
  <c r="DC62" i="10"/>
  <c r="DD62" i="10"/>
  <c r="DP62" i="10"/>
  <c r="DQ62" i="10"/>
  <c r="DR62" i="10"/>
  <c r="DS62" i="10"/>
  <c r="BR63" i="10"/>
  <c r="BS63" i="10"/>
  <c r="BT63" i="10"/>
  <c r="BU63" i="10"/>
  <c r="BW63" i="10"/>
  <c r="BX63" i="10"/>
  <c r="BY63" i="10"/>
  <c r="BY66" i="10" s="1"/>
  <c r="BZ63" i="10"/>
  <c r="CB63" i="10"/>
  <c r="CC63" i="10"/>
  <c r="CD63" i="10"/>
  <c r="CE63" i="10"/>
  <c r="CG63" i="10"/>
  <c r="CH63" i="10"/>
  <c r="CI63" i="10"/>
  <c r="CJ63" i="10"/>
  <c r="CL63" i="10"/>
  <c r="CM63" i="10"/>
  <c r="CN63" i="10"/>
  <c r="CN66" i="10" s="1"/>
  <c r="CO63" i="10"/>
  <c r="CQ63" i="10"/>
  <c r="CR63" i="10"/>
  <c r="CS63" i="10"/>
  <c r="CT63" i="10"/>
  <c r="CV63" i="10"/>
  <c r="CW63" i="10"/>
  <c r="CX63" i="10"/>
  <c r="CY63" i="10"/>
  <c r="DA63" i="10"/>
  <c r="DB63" i="10"/>
  <c r="DC63" i="10"/>
  <c r="DD63" i="10"/>
  <c r="DF63" i="10"/>
  <c r="DG63" i="10"/>
  <c r="DH63" i="10"/>
  <c r="DI63" i="10"/>
  <c r="BR64" i="10"/>
  <c r="BS64" i="10"/>
  <c r="BT64" i="10"/>
  <c r="BU64" i="10"/>
  <c r="BW64" i="10"/>
  <c r="BX64" i="10"/>
  <c r="BY64" i="10"/>
  <c r="BZ64" i="10"/>
  <c r="CB64" i="10"/>
  <c r="CC64" i="10"/>
  <c r="CD64" i="10"/>
  <c r="CE64" i="10"/>
  <c r="CG64" i="10"/>
  <c r="CH64" i="10"/>
  <c r="CI64" i="10"/>
  <c r="CJ64" i="10"/>
  <c r="CL64" i="10"/>
  <c r="CM64" i="10"/>
  <c r="CN64" i="10"/>
  <c r="CO64" i="10"/>
  <c r="CQ64" i="10"/>
  <c r="CR64" i="10"/>
  <c r="CS64" i="10"/>
  <c r="CT64" i="10"/>
  <c r="CV64" i="10"/>
  <c r="CW64" i="10"/>
  <c r="CX64" i="10"/>
  <c r="CY64" i="10"/>
  <c r="DA64" i="10"/>
  <c r="DB64" i="10"/>
  <c r="DC64" i="10"/>
  <c r="DD64" i="10"/>
  <c r="DF64" i="10"/>
  <c r="DG64" i="10"/>
  <c r="DH64" i="10"/>
  <c r="DI64" i="10"/>
  <c r="DK64" i="10"/>
  <c r="DL64" i="10"/>
  <c r="DM64" i="10"/>
  <c r="DN64" i="10"/>
  <c r="AZ61" i="10"/>
  <c r="L79" i="10"/>
  <c r="Q79" i="10"/>
  <c r="M79" i="10" s="1"/>
  <c r="V79" i="10"/>
  <c r="U79" i="10" s="1"/>
  <c r="AA79" i="10"/>
  <c r="W79" i="10" s="1"/>
  <c r="AF79" i="10"/>
  <c r="AB79" i="10" s="1"/>
  <c r="AK79" i="10"/>
  <c r="AG79" i="10" s="1"/>
  <c r="AP79" i="10"/>
  <c r="AO79" i="10" s="1"/>
  <c r="AZ79" i="10"/>
  <c r="BE79" i="10"/>
  <c r="BJ79" i="10"/>
  <c r="BI79" i="10" s="1"/>
  <c r="BO79" i="10"/>
  <c r="L80" i="10"/>
  <c r="Q80" i="10"/>
  <c r="M80" i="10" s="1"/>
  <c r="V80" i="10"/>
  <c r="U80" i="10" s="1"/>
  <c r="AA80" i="10"/>
  <c r="W80" i="10" s="1"/>
  <c r="AF80" i="10"/>
  <c r="AB80" i="10" s="1"/>
  <c r="AK80" i="10"/>
  <c r="AP80" i="10"/>
  <c r="AO80" i="10" s="1"/>
  <c r="AZ80" i="10"/>
  <c r="AV80" i="10" s="1"/>
  <c r="BE80" i="10"/>
  <c r="BJ80" i="10"/>
  <c r="BI80" i="10" s="1"/>
  <c r="BO80" i="10"/>
  <c r="L81" i="10"/>
  <c r="Q81" i="10"/>
  <c r="M81" i="10" s="1"/>
  <c r="V81" i="10"/>
  <c r="U81" i="10" s="1"/>
  <c r="AA81" i="10"/>
  <c r="AF81" i="10"/>
  <c r="AE81" i="10" s="1"/>
  <c r="AK81" i="10"/>
  <c r="AG81" i="10" s="1"/>
  <c r="AP81" i="10"/>
  <c r="AO81" i="10" s="1"/>
  <c r="AU81" i="10"/>
  <c r="AQ81" i="10" s="1"/>
  <c r="AZ81" i="10"/>
  <c r="BJ81" i="10"/>
  <c r="BI81" i="10" s="1"/>
  <c r="BO81" i="10"/>
  <c r="L82" i="10"/>
  <c r="Q82" i="10"/>
  <c r="V82" i="10"/>
  <c r="U82" i="10" s="1"/>
  <c r="AA82" i="10"/>
  <c r="Y82" i="10" s="1"/>
  <c r="AF82" i="10"/>
  <c r="AE82" i="10" s="1"/>
  <c r="AK82" i="10"/>
  <c r="AP82" i="10"/>
  <c r="AO82" i="10" s="1"/>
  <c r="AU82" i="10"/>
  <c r="AZ82" i="10"/>
  <c r="BE82" i="10"/>
  <c r="BA82" i="10" s="1"/>
  <c r="BJ82" i="10"/>
  <c r="BI82" i="10" s="1"/>
  <c r="L83" i="10"/>
  <c r="Q83" i="10"/>
  <c r="V83" i="10"/>
  <c r="U83" i="10" s="1"/>
  <c r="AA83" i="10"/>
  <c r="Y83" i="10" s="1"/>
  <c r="AF83" i="10"/>
  <c r="AC83" i="10" s="1"/>
  <c r="AK83" i="10"/>
  <c r="AG83" i="10" s="1"/>
  <c r="AP83" i="10"/>
  <c r="AO83" i="10" s="1"/>
  <c r="AU83" i="10"/>
  <c r="AS83" i="10" s="1"/>
  <c r="AZ83" i="10"/>
  <c r="BJ83" i="10"/>
  <c r="BI83" i="10" s="1"/>
  <c r="BO83" i="10"/>
  <c r="BM83" i="10" s="1"/>
  <c r="L84" i="10"/>
  <c r="Q84" i="10"/>
  <c r="V84" i="10"/>
  <c r="U84" i="10" s="1"/>
  <c r="AA84" i="10"/>
  <c r="Y84" i="10" s="1"/>
  <c r="AF84" i="10"/>
  <c r="AC84" i="10" s="1"/>
  <c r="AK84" i="10"/>
  <c r="AG84" i="10" s="1"/>
  <c r="AP84" i="10"/>
  <c r="AO84" i="10" s="1"/>
  <c r="AU84" i="10"/>
  <c r="AS84" i="10" s="1"/>
  <c r="AZ84" i="10"/>
  <c r="BE84" i="10"/>
  <c r="BJ84" i="10"/>
  <c r="BI84" i="10" s="1"/>
  <c r="BO84" i="10"/>
  <c r="BM84" i="10" s="1"/>
  <c r="L85" i="10"/>
  <c r="Q85" i="10"/>
  <c r="V85" i="10"/>
  <c r="U85" i="10" s="1"/>
  <c r="AA85" i="10"/>
  <c r="Y85" i="10" s="1"/>
  <c r="AF85" i="10"/>
  <c r="AC85" i="10" s="1"/>
  <c r="AK85" i="10"/>
  <c r="AG85" i="10" s="1"/>
  <c r="AP85" i="10"/>
  <c r="AO85" i="10" s="1"/>
  <c r="AU85" i="10"/>
  <c r="AS85" i="10" s="1"/>
  <c r="AZ85" i="10"/>
  <c r="BE85" i="10"/>
  <c r="BJ85" i="10"/>
  <c r="BI85" i="10" s="1"/>
  <c r="BO85" i="10"/>
  <c r="BM85" i="10" s="1"/>
  <c r="L86" i="10"/>
  <c r="Q86" i="10"/>
  <c r="O86" i="10" s="1"/>
  <c r="V86" i="10"/>
  <c r="U86" i="10" s="1"/>
  <c r="AA86" i="10"/>
  <c r="Y86" i="10" s="1"/>
  <c r="AF86" i="10"/>
  <c r="AD86" i="10" s="1"/>
  <c r="AK86" i="10"/>
  <c r="AP86" i="10"/>
  <c r="AO86" i="10" s="1"/>
  <c r="AU86" i="10"/>
  <c r="AS86" i="10" s="1"/>
  <c r="AZ86" i="10"/>
  <c r="AX86" i="10" s="1"/>
  <c r="BE86" i="10"/>
  <c r="BJ86" i="10"/>
  <c r="BI86" i="10" s="1"/>
  <c r="BO86" i="10"/>
  <c r="BM86" i="10" s="1"/>
  <c r="L87" i="10"/>
  <c r="Q87" i="10"/>
  <c r="O87" i="10" s="1"/>
  <c r="V87" i="10"/>
  <c r="U87" i="10" s="1"/>
  <c r="AA87" i="10"/>
  <c r="Y87" i="10" s="1"/>
  <c r="AF87" i="10"/>
  <c r="AD87" i="10" s="1"/>
  <c r="AK87" i="10"/>
  <c r="AP87" i="10"/>
  <c r="AO87" i="10" s="1"/>
  <c r="AU87" i="10"/>
  <c r="AS87" i="10" s="1"/>
  <c r="AZ87" i="10"/>
  <c r="AX87" i="10" s="1"/>
  <c r="BE87" i="10"/>
  <c r="BJ87" i="10"/>
  <c r="BI87" i="10" s="1"/>
  <c r="BO87" i="10"/>
  <c r="BM87" i="10" s="1"/>
  <c r="L88" i="10"/>
  <c r="Q88" i="10"/>
  <c r="O88" i="10" s="1"/>
  <c r="V88" i="10"/>
  <c r="U88" i="10" s="1"/>
  <c r="AA88" i="10"/>
  <c r="Y88" i="10" s="1"/>
  <c r="AF88" i="10"/>
  <c r="AD88" i="10" s="1"/>
  <c r="AK88" i="10"/>
  <c r="AU88" i="10"/>
  <c r="AZ88" i="10"/>
  <c r="AW88" i="10" s="1"/>
  <c r="BE88" i="10"/>
  <c r="BA88" i="10" s="1"/>
  <c r="BJ88" i="10"/>
  <c r="BI88" i="10" s="1"/>
  <c r="BO88" i="10"/>
  <c r="L89" i="10"/>
  <c r="Q89" i="10"/>
  <c r="M89" i="10" s="1"/>
  <c r="V89" i="10"/>
  <c r="U89" i="10" s="1"/>
  <c r="AA89" i="10"/>
  <c r="AF89" i="10"/>
  <c r="AK89" i="10"/>
  <c r="AH89" i="10" s="1"/>
  <c r="BQ89" i="10" s="1"/>
  <c r="BV89" i="10" s="1"/>
  <c r="CA89" i="10" s="1"/>
  <c r="CF89" i="10" s="1"/>
  <c r="CK89" i="10" s="1"/>
  <c r="CP89" i="10" s="1"/>
  <c r="CU89" i="10" s="1"/>
  <c r="CZ89" i="10" s="1"/>
  <c r="DE89" i="10" s="1"/>
  <c r="AP89" i="10"/>
  <c r="AO89" i="10" s="1"/>
  <c r="AU89" i="10"/>
  <c r="AZ89" i="10"/>
  <c r="AW89" i="10" s="1"/>
  <c r="BJ89" i="10"/>
  <c r="BI89" i="10" s="1"/>
  <c r="BO89" i="10"/>
  <c r="BM89" i="10" s="1"/>
  <c r="BR79" i="10"/>
  <c r="BS79" i="10"/>
  <c r="BT79" i="10"/>
  <c r="BU79" i="10"/>
  <c r="BW79" i="10"/>
  <c r="BX79" i="10"/>
  <c r="BY79" i="10"/>
  <c r="BZ79" i="10"/>
  <c r="CB79" i="10"/>
  <c r="CC79" i="10"/>
  <c r="CD79" i="10"/>
  <c r="CE79" i="10"/>
  <c r="CG79" i="10"/>
  <c r="CH79" i="10"/>
  <c r="CI79" i="10"/>
  <c r="CJ79" i="10"/>
  <c r="CL79" i="10"/>
  <c r="CM79" i="10"/>
  <c r="CN79" i="10"/>
  <c r="CO79" i="10"/>
  <c r="CQ79" i="10"/>
  <c r="CR79" i="10"/>
  <c r="CS79" i="10"/>
  <c r="CT79" i="10"/>
  <c r="DF79" i="10"/>
  <c r="DG79" i="10"/>
  <c r="DH79" i="10"/>
  <c r="DI79" i="10"/>
  <c r="DK79" i="10"/>
  <c r="DL79" i="10"/>
  <c r="DM79" i="10"/>
  <c r="DN79" i="10"/>
  <c r="DP79" i="10"/>
  <c r="DQ79" i="10"/>
  <c r="DR79" i="10"/>
  <c r="DS79" i="10"/>
  <c r="BR80" i="10"/>
  <c r="BS80" i="10"/>
  <c r="BT80" i="10"/>
  <c r="BU80" i="10"/>
  <c r="BW80" i="10"/>
  <c r="BX80" i="10"/>
  <c r="BY80" i="10"/>
  <c r="BZ80" i="10"/>
  <c r="CB80" i="10"/>
  <c r="CC80" i="10"/>
  <c r="CD80" i="10"/>
  <c r="CE80" i="10"/>
  <c r="CG80" i="10"/>
  <c r="CH80" i="10"/>
  <c r="CI80" i="10"/>
  <c r="CJ80" i="10"/>
  <c r="CL80" i="10"/>
  <c r="CM80" i="10"/>
  <c r="CN80" i="10"/>
  <c r="CO80" i="10"/>
  <c r="CQ80" i="10"/>
  <c r="CR80" i="10"/>
  <c r="CS80" i="10"/>
  <c r="CT80" i="10"/>
  <c r="DF80" i="10"/>
  <c r="DG80" i="10"/>
  <c r="DH80" i="10"/>
  <c r="DI80" i="10"/>
  <c r="DK80" i="10"/>
  <c r="DL80" i="10"/>
  <c r="DM80" i="10"/>
  <c r="DN80" i="10"/>
  <c r="DP80" i="10"/>
  <c r="DQ80" i="10"/>
  <c r="DR80" i="10"/>
  <c r="DS80" i="10"/>
  <c r="BR81" i="10"/>
  <c r="BS81" i="10"/>
  <c r="BT81" i="10"/>
  <c r="BU81" i="10"/>
  <c r="BW81" i="10"/>
  <c r="BX81" i="10"/>
  <c r="BY81" i="10"/>
  <c r="BZ81" i="10"/>
  <c r="CB81" i="10"/>
  <c r="CC81" i="10"/>
  <c r="CD81" i="10"/>
  <c r="CE81" i="10"/>
  <c r="CG81" i="10"/>
  <c r="CH81" i="10"/>
  <c r="CI81" i="10"/>
  <c r="CJ81" i="10"/>
  <c r="CL81" i="10"/>
  <c r="CM81" i="10"/>
  <c r="CN81" i="10"/>
  <c r="CO81" i="10"/>
  <c r="CQ81" i="10"/>
  <c r="CR81" i="10"/>
  <c r="CS81" i="10"/>
  <c r="CT81" i="10"/>
  <c r="CV81" i="10"/>
  <c r="CW81" i="10"/>
  <c r="CX81" i="10"/>
  <c r="CY81" i="10"/>
  <c r="DA81" i="10"/>
  <c r="DB81" i="10"/>
  <c r="DC81" i="10"/>
  <c r="DD81" i="10"/>
  <c r="DP81" i="10"/>
  <c r="DQ81" i="10"/>
  <c r="DR81" i="10"/>
  <c r="DS81" i="10"/>
  <c r="BR82" i="10"/>
  <c r="BS82" i="10"/>
  <c r="BT82" i="10"/>
  <c r="BU82" i="10"/>
  <c r="BW82" i="10"/>
  <c r="BX82" i="10"/>
  <c r="BY82" i="10"/>
  <c r="BZ82" i="10"/>
  <c r="CB82" i="10"/>
  <c r="CC82" i="10"/>
  <c r="CD82" i="10"/>
  <c r="CE82" i="10"/>
  <c r="CG82" i="10"/>
  <c r="CH82" i="10"/>
  <c r="CI82" i="10"/>
  <c r="CJ82" i="10"/>
  <c r="CL82" i="10"/>
  <c r="CM82" i="10"/>
  <c r="CN82" i="10"/>
  <c r="CO82" i="10"/>
  <c r="CQ82" i="10"/>
  <c r="CR82" i="10"/>
  <c r="CS82" i="10"/>
  <c r="CT82" i="10"/>
  <c r="CV82" i="10"/>
  <c r="CW82" i="10"/>
  <c r="CX82" i="10"/>
  <c r="CY82" i="10"/>
  <c r="DA82" i="10"/>
  <c r="DB82" i="10"/>
  <c r="DC82" i="10"/>
  <c r="DD82" i="10"/>
  <c r="DF82" i="10"/>
  <c r="DG82" i="10"/>
  <c r="DH82" i="10"/>
  <c r="DI82" i="10"/>
  <c r="DK82" i="10"/>
  <c r="DL82" i="10"/>
  <c r="DM82" i="10"/>
  <c r="DN82" i="10"/>
  <c r="BR83" i="10"/>
  <c r="BS83" i="10"/>
  <c r="BT83" i="10"/>
  <c r="BU83" i="10"/>
  <c r="BW83" i="10"/>
  <c r="BX83" i="10"/>
  <c r="BY83" i="10"/>
  <c r="BZ83" i="10"/>
  <c r="CB83" i="10"/>
  <c r="CC83" i="10"/>
  <c r="CD83" i="10"/>
  <c r="CE83" i="10"/>
  <c r="CG83" i="10"/>
  <c r="CH83" i="10"/>
  <c r="CI83" i="10"/>
  <c r="CJ83" i="10"/>
  <c r="CL83" i="10"/>
  <c r="CM83" i="10"/>
  <c r="CN83" i="10"/>
  <c r="CO83" i="10"/>
  <c r="CQ83" i="10"/>
  <c r="CR83" i="10"/>
  <c r="CS83" i="10"/>
  <c r="CT83" i="10"/>
  <c r="CV83" i="10"/>
  <c r="CW83" i="10"/>
  <c r="CX83" i="10"/>
  <c r="CY83" i="10"/>
  <c r="DA83" i="10"/>
  <c r="DB83" i="10"/>
  <c r="DC83" i="10"/>
  <c r="DD83" i="10"/>
  <c r="DP83" i="10"/>
  <c r="DQ83" i="10"/>
  <c r="DR83" i="10"/>
  <c r="DS83" i="10"/>
  <c r="BR84" i="10"/>
  <c r="BS84" i="10"/>
  <c r="BT84" i="10"/>
  <c r="BU84" i="10"/>
  <c r="BW84" i="10"/>
  <c r="BX84" i="10"/>
  <c r="BY84" i="10"/>
  <c r="BZ84" i="10"/>
  <c r="CB84" i="10"/>
  <c r="CC84" i="10"/>
  <c r="CD84" i="10"/>
  <c r="CE84" i="10"/>
  <c r="CG84" i="10"/>
  <c r="CH84" i="10"/>
  <c r="CI84" i="10"/>
  <c r="CJ84" i="10"/>
  <c r="CL84" i="10"/>
  <c r="CM84" i="10"/>
  <c r="CN84" i="10"/>
  <c r="CO84" i="10"/>
  <c r="CQ84" i="10"/>
  <c r="CR84" i="10"/>
  <c r="CS84" i="10"/>
  <c r="CT84" i="10"/>
  <c r="CV84" i="10"/>
  <c r="CW84" i="10"/>
  <c r="CX84" i="10"/>
  <c r="CY84" i="10"/>
  <c r="DA84" i="10"/>
  <c r="DB84" i="10"/>
  <c r="DC84" i="10"/>
  <c r="DD84" i="10"/>
  <c r="DF84" i="10"/>
  <c r="DG84" i="10"/>
  <c r="DH84" i="10"/>
  <c r="DI84" i="10"/>
  <c r="DK84" i="10"/>
  <c r="DL84" i="10"/>
  <c r="DM84" i="10"/>
  <c r="DN84" i="10"/>
  <c r="DP84" i="10"/>
  <c r="DQ84" i="10"/>
  <c r="DR84" i="10"/>
  <c r="DS84" i="10"/>
  <c r="BR85" i="10"/>
  <c r="BS85" i="10"/>
  <c r="BT85" i="10"/>
  <c r="BU85" i="10"/>
  <c r="BW85" i="10"/>
  <c r="BX85" i="10"/>
  <c r="BY85" i="10"/>
  <c r="BZ85" i="10"/>
  <c r="CB85" i="10"/>
  <c r="CC85" i="10"/>
  <c r="CD85" i="10"/>
  <c r="CE85" i="10"/>
  <c r="CG85" i="10"/>
  <c r="CH85" i="10"/>
  <c r="CI85" i="10"/>
  <c r="CJ85" i="10"/>
  <c r="CL85" i="10"/>
  <c r="CM85" i="10"/>
  <c r="CN85" i="10"/>
  <c r="CO85" i="10"/>
  <c r="CQ85" i="10"/>
  <c r="CR85" i="10"/>
  <c r="CS85" i="10"/>
  <c r="CT85" i="10"/>
  <c r="CV85" i="10"/>
  <c r="CW85" i="10"/>
  <c r="CX85" i="10"/>
  <c r="CY85" i="10"/>
  <c r="DA85" i="10"/>
  <c r="DB85" i="10"/>
  <c r="DC85" i="10"/>
  <c r="DD85" i="10"/>
  <c r="DF85" i="10"/>
  <c r="DG85" i="10"/>
  <c r="DH85" i="10"/>
  <c r="DI85" i="10"/>
  <c r="DK85" i="10"/>
  <c r="DL85" i="10"/>
  <c r="DM85" i="10"/>
  <c r="DN85" i="10"/>
  <c r="DP85" i="10"/>
  <c r="DQ85" i="10"/>
  <c r="DR85" i="10"/>
  <c r="DS85" i="10"/>
  <c r="BR86" i="10"/>
  <c r="BS86" i="10"/>
  <c r="BT86" i="10"/>
  <c r="BU86" i="10"/>
  <c r="BW86" i="10"/>
  <c r="BX86" i="10"/>
  <c r="BY86" i="10"/>
  <c r="BZ86" i="10"/>
  <c r="CB86" i="10"/>
  <c r="CC86" i="10"/>
  <c r="CD86" i="10"/>
  <c r="CE86" i="10"/>
  <c r="CG86" i="10"/>
  <c r="CH86" i="10"/>
  <c r="CI86" i="10"/>
  <c r="CJ86" i="10"/>
  <c r="CL86" i="10"/>
  <c r="CM86" i="10"/>
  <c r="CN86" i="10"/>
  <c r="CO86" i="10"/>
  <c r="CQ86" i="10"/>
  <c r="CR86" i="10"/>
  <c r="CS86" i="10"/>
  <c r="CT86" i="10"/>
  <c r="CV86" i="10"/>
  <c r="CW86" i="10"/>
  <c r="CX86" i="10"/>
  <c r="CY86" i="10"/>
  <c r="DA86" i="10"/>
  <c r="DB86" i="10"/>
  <c r="DC86" i="10"/>
  <c r="DD86" i="10"/>
  <c r="DF86" i="10"/>
  <c r="DG86" i="10"/>
  <c r="DH86" i="10"/>
  <c r="DI86" i="10"/>
  <c r="DK86" i="10"/>
  <c r="DL86" i="10"/>
  <c r="DM86" i="10"/>
  <c r="DN86" i="10"/>
  <c r="DP86" i="10"/>
  <c r="DQ86" i="10"/>
  <c r="DR86" i="10"/>
  <c r="DS86" i="10"/>
  <c r="BR87" i="10"/>
  <c r="BS87" i="10"/>
  <c r="BT87" i="10"/>
  <c r="BU87" i="10"/>
  <c r="BW87" i="10"/>
  <c r="BX87" i="10"/>
  <c r="BY87" i="10"/>
  <c r="BZ87" i="10"/>
  <c r="CB87" i="10"/>
  <c r="CC87" i="10"/>
  <c r="CD87" i="10"/>
  <c r="CE87" i="10"/>
  <c r="CG87" i="10"/>
  <c r="CH87" i="10"/>
  <c r="CI87" i="10"/>
  <c r="CJ87" i="10"/>
  <c r="CL87" i="10"/>
  <c r="CM87" i="10"/>
  <c r="CN87" i="10"/>
  <c r="CO87" i="10"/>
  <c r="CQ87" i="10"/>
  <c r="CR87" i="10"/>
  <c r="CS87" i="10"/>
  <c r="CT87" i="10"/>
  <c r="CV87" i="10"/>
  <c r="CW87" i="10"/>
  <c r="CX87" i="10"/>
  <c r="CY87" i="10"/>
  <c r="DA87" i="10"/>
  <c r="DB87" i="10"/>
  <c r="DC87" i="10"/>
  <c r="DD87" i="10"/>
  <c r="DF87" i="10"/>
  <c r="DG87" i="10"/>
  <c r="DH87" i="10"/>
  <c r="DI87" i="10"/>
  <c r="DK87" i="10"/>
  <c r="DL87" i="10"/>
  <c r="DM87" i="10"/>
  <c r="DN87" i="10"/>
  <c r="DP87" i="10"/>
  <c r="DQ87" i="10"/>
  <c r="DR87" i="10"/>
  <c r="DS87" i="10"/>
  <c r="BR88" i="10"/>
  <c r="BS88" i="10"/>
  <c r="BT88" i="10"/>
  <c r="BU88" i="10"/>
  <c r="BW88" i="10"/>
  <c r="BX88" i="10"/>
  <c r="BY88" i="10"/>
  <c r="BZ88" i="10"/>
  <c r="CB88" i="10"/>
  <c r="CC88" i="10"/>
  <c r="CD88" i="10"/>
  <c r="CE88" i="10"/>
  <c r="CG88" i="10"/>
  <c r="CH88" i="10"/>
  <c r="CI88" i="10"/>
  <c r="CJ88" i="10"/>
  <c r="CL88" i="10"/>
  <c r="CM88" i="10"/>
  <c r="CN88" i="10"/>
  <c r="CO88" i="10"/>
  <c r="DA88" i="10"/>
  <c r="DB88" i="10"/>
  <c r="DC88" i="10"/>
  <c r="DD88" i="10"/>
  <c r="DF88" i="10"/>
  <c r="DG88" i="10"/>
  <c r="DH88" i="10"/>
  <c r="DI88" i="10"/>
  <c r="DK88" i="10"/>
  <c r="DL88" i="10"/>
  <c r="DM88" i="10"/>
  <c r="DN88" i="10"/>
  <c r="DP88" i="10"/>
  <c r="DQ88" i="10"/>
  <c r="DR88" i="10"/>
  <c r="DS88" i="10"/>
  <c r="BR89" i="10"/>
  <c r="BS89" i="10"/>
  <c r="BT89" i="10"/>
  <c r="BU89" i="10"/>
  <c r="BW89" i="10"/>
  <c r="BX89" i="10"/>
  <c r="BY89" i="10"/>
  <c r="BZ89" i="10"/>
  <c r="CB89" i="10"/>
  <c r="CC89" i="10"/>
  <c r="CD89" i="10"/>
  <c r="CE89" i="10"/>
  <c r="CG89" i="10"/>
  <c r="CH89" i="10"/>
  <c r="CI89" i="10"/>
  <c r="CJ89" i="10"/>
  <c r="CL89" i="10"/>
  <c r="CM89" i="10"/>
  <c r="CN89" i="10"/>
  <c r="CO89" i="10"/>
  <c r="CQ89" i="10"/>
  <c r="CR89" i="10"/>
  <c r="CS89" i="10"/>
  <c r="CT89" i="10"/>
  <c r="CV89" i="10"/>
  <c r="CW89" i="10"/>
  <c r="CX89" i="10"/>
  <c r="CY89" i="10"/>
  <c r="DA89" i="10"/>
  <c r="DB89" i="10"/>
  <c r="DC89" i="10"/>
  <c r="DD89" i="10"/>
  <c r="DP89" i="10"/>
  <c r="DQ89" i="10"/>
  <c r="DR89" i="10"/>
  <c r="DS89" i="10"/>
  <c r="AU79" i="10"/>
  <c r="AU80" i="10"/>
  <c r="BE81" i="10"/>
  <c r="BO82" i="10"/>
  <c r="BE83" i="10"/>
  <c r="AP88" i="10"/>
  <c r="BE89" i="10"/>
  <c r="L92" i="10"/>
  <c r="Q92" i="10"/>
  <c r="N92" i="10" s="1"/>
  <c r="V92" i="10"/>
  <c r="R92" i="10" s="1"/>
  <c r="AA92" i="10"/>
  <c r="Z92" i="10" s="1"/>
  <c r="AF92" i="10"/>
  <c r="AD92" i="10" s="1"/>
  <c r="AK92" i="10"/>
  <c r="AH92" i="10" s="1"/>
  <c r="BQ92" i="10" s="1"/>
  <c r="BV92" i="10" s="1"/>
  <c r="CA92" i="10" s="1"/>
  <c r="CF92" i="10" s="1"/>
  <c r="CK92" i="10" s="1"/>
  <c r="CP92" i="10" s="1"/>
  <c r="CU92" i="10" s="1"/>
  <c r="AP92" i="10"/>
  <c r="AL92" i="10" s="1"/>
  <c r="AZ92" i="10"/>
  <c r="AW92" i="10" s="1"/>
  <c r="BE92" i="10"/>
  <c r="BA92" i="10" s="1"/>
  <c r="BJ92" i="10"/>
  <c r="BI92" i="10" s="1"/>
  <c r="BO92" i="10"/>
  <c r="BK92" i="10" s="1"/>
  <c r="L93" i="10"/>
  <c r="Q93" i="10"/>
  <c r="M93" i="10" s="1"/>
  <c r="V93" i="10"/>
  <c r="U93" i="10" s="1"/>
  <c r="AA93" i="10"/>
  <c r="AF93" i="10"/>
  <c r="AC93" i="10" s="1"/>
  <c r="AK93" i="10"/>
  <c r="AG93" i="10" s="1"/>
  <c r="AP93" i="10"/>
  <c r="AO93" i="10" s="1"/>
  <c r="AU93" i="10"/>
  <c r="AQ93" i="10" s="1"/>
  <c r="AZ93" i="10"/>
  <c r="BE93" i="10"/>
  <c r="BA93" i="10" s="1"/>
  <c r="BJ93" i="10"/>
  <c r="BI93" i="10" s="1"/>
  <c r="BO93" i="10"/>
  <c r="L94" i="10"/>
  <c r="Q94" i="10"/>
  <c r="V94" i="10"/>
  <c r="U94" i="10" s="1"/>
  <c r="AA94" i="10"/>
  <c r="W94" i="10" s="1"/>
  <c r="AF94" i="10"/>
  <c r="AC94" i="10" s="1"/>
  <c r="AK94" i="10"/>
  <c r="AG94" i="10" s="1"/>
  <c r="AP94" i="10"/>
  <c r="AO94" i="10" s="1"/>
  <c r="AU94" i="10"/>
  <c r="AQ94" i="10" s="1"/>
  <c r="AZ94" i="10"/>
  <c r="AW94" i="10" s="1"/>
  <c r="BE94" i="10"/>
  <c r="BJ94" i="10"/>
  <c r="BI94" i="10" s="1"/>
  <c r="BO94" i="10"/>
  <c r="BK94" i="10" s="1"/>
  <c r="L95" i="10"/>
  <c r="Q95" i="10"/>
  <c r="M95" i="10" s="1"/>
  <c r="V95" i="10"/>
  <c r="U95" i="10" s="1"/>
  <c r="AA95" i="10"/>
  <c r="W95" i="10" s="1"/>
  <c r="AF95" i="10"/>
  <c r="AK95" i="10"/>
  <c r="AG95" i="10" s="1"/>
  <c r="AP95" i="10"/>
  <c r="AO95" i="10" s="1"/>
  <c r="AU95" i="10"/>
  <c r="AZ95" i="10"/>
  <c r="AW95" i="10" s="1"/>
  <c r="BE95" i="10"/>
  <c r="BA95" i="10" s="1"/>
  <c r="BJ95" i="10"/>
  <c r="BI95" i="10" s="1"/>
  <c r="BO95" i="10"/>
  <c r="BK95" i="10" s="1"/>
  <c r="L96" i="10"/>
  <c r="Q96" i="10"/>
  <c r="M96" i="10" s="1"/>
  <c r="V96" i="10"/>
  <c r="U96" i="10" s="1"/>
  <c r="AA96" i="10"/>
  <c r="W96" i="10" s="1"/>
  <c r="AF96" i="10"/>
  <c r="AC96" i="10" s="1"/>
  <c r="AK96" i="10"/>
  <c r="AP96" i="10"/>
  <c r="AO96" i="10" s="1"/>
  <c r="AU96" i="10"/>
  <c r="AQ96" i="10" s="1"/>
  <c r="AZ96" i="10"/>
  <c r="AW96" i="10" s="1"/>
  <c r="BE96" i="10"/>
  <c r="BA96" i="10" s="1"/>
  <c r="BJ96" i="10"/>
  <c r="BI96" i="10" s="1"/>
  <c r="BO96" i="10"/>
  <c r="BK96" i="10" s="1"/>
  <c r="L97" i="10"/>
  <c r="Q97" i="10"/>
  <c r="M97" i="10" s="1"/>
  <c r="V97" i="10"/>
  <c r="U97" i="10" s="1"/>
  <c r="AA97" i="10"/>
  <c r="AF97" i="10"/>
  <c r="AC97" i="10" s="1"/>
  <c r="AK97" i="10"/>
  <c r="AG97" i="10" s="1"/>
  <c r="AP97" i="10"/>
  <c r="AO97" i="10" s="1"/>
  <c r="AU97" i="10"/>
  <c r="AQ97" i="10" s="1"/>
  <c r="AZ97" i="10"/>
  <c r="BE97" i="10"/>
  <c r="BA97" i="10" s="1"/>
  <c r="BJ97" i="10"/>
  <c r="BI97" i="10" s="1"/>
  <c r="BO97" i="10"/>
  <c r="L98" i="10"/>
  <c r="Q98" i="10"/>
  <c r="V98" i="10"/>
  <c r="U98" i="10" s="1"/>
  <c r="AA98" i="10"/>
  <c r="W98" i="10" s="1"/>
  <c r="AF98" i="10"/>
  <c r="AC98" i="10" s="1"/>
  <c r="AK98" i="10"/>
  <c r="AG98" i="10" s="1"/>
  <c r="AP98" i="10"/>
  <c r="AO98" i="10" s="1"/>
  <c r="AU98" i="10"/>
  <c r="AQ98" i="10" s="1"/>
  <c r="AZ98" i="10"/>
  <c r="AW98" i="10" s="1"/>
  <c r="BE98" i="10"/>
  <c r="BJ98" i="10"/>
  <c r="BI98" i="10" s="1"/>
  <c r="L99" i="10"/>
  <c r="Q99" i="10"/>
  <c r="M99" i="10" s="1"/>
  <c r="V99" i="10"/>
  <c r="U99" i="10" s="1"/>
  <c r="AA99" i="10"/>
  <c r="W99" i="10" s="1"/>
  <c r="AF99" i="10"/>
  <c r="AK99" i="10"/>
  <c r="AG99" i="10" s="1"/>
  <c r="AP99" i="10"/>
  <c r="AO99" i="10" s="1"/>
  <c r="AU99" i="10"/>
  <c r="AZ99" i="10"/>
  <c r="AW99" i="10" s="1"/>
  <c r="BE99" i="10"/>
  <c r="BA99" i="10" s="1"/>
  <c r="BJ99" i="10"/>
  <c r="BI99" i="10" s="1"/>
  <c r="BO99" i="10"/>
  <c r="BK99" i="10" s="1"/>
  <c r="L100" i="10"/>
  <c r="Q100" i="10"/>
  <c r="M100" i="10" s="1"/>
  <c r="V100" i="10"/>
  <c r="U100" i="10" s="1"/>
  <c r="AA100" i="10"/>
  <c r="W100" i="10" s="1"/>
  <c r="AF100" i="10"/>
  <c r="AC100" i="10" s="1"/>
  <c r="AK100" i="10"/>
  <c r="AP100" i="10"/>
  <c r="AO100" i="10" s="1"/>
  <c r="AU100" i="10"/>
  <c r="AQ100" i="10" s="1"/>
  <c r="AZ100" i="10"/>
  <c r="AW100" i="10" s="1"/>
  <c r="BE100" i="10"/>
  <c r="BA100" i="10" s="1"/>
  <c r="BJ100" i="10"/>
  <c r="BI100" i="10" s="1"/>
  <c r="BO100" i="10"/>
  <c r="BK100" i="10" s="1"/>
  <c r="L101" i="10"/>
  <c r="Q101" i="10"/>
  <c r="M101" i="10" s="1"/>
  <c r="V101" i="10"/>
  <c r="U101" i="10" s="1"/>
  <c r="AA101" i="10"/>
  <c r="AF101" i="10"/>
  <c r="AC101" i="10" s="1"/>
  <c r="AK101" i="10"/>
  <c r="AG101" i="10" s="1"/>
  <c r="AP101" i="10"/>
  <c r="AO101" i="10" s="1"/>
  <c r="AU101" i="10"/>
  <c r="AQ101" i="10" s="1"/>
  <c r="AZ101" i="10"/>
  <c r="BE101" i="10"/>
  <c r="BA101" i="10" s="1"/>
  <c r="BJ101" i="10"/>
  <c r="BI101" i="10" s="1"/>
  <c r="BO101" i="10"/>
  <c r="L102" i="10"/>
  <c r="Q102" i="10"/>
  <c r="V102" i="10"/>
  <c r="U102" i="10" s="1"/>
  <c r="AA102" i="10"/>
  <c r="W102" i="10" s="1"/>
  <c r="AF102" i="10"/>
  <c r="AC102" i="10" s="1"/>
  <c r="AK102" i="10"/>
  <c r="AG102" i="10" s="1"/>
  <c r="AP102" i="10"/>
  <c r="AO102" i="10" s="1"/>
  <c r="AU102" i="10"/>
  <c r="AQ102" i="10" s="1"/>
  <c r="AZ102" i="10"/>
  <c r="AW102" i="10" s="1"/>
  <c r="BE102" i="10"/>
  <c r="BJ102" i="10"/>
  <c r="BI102" i="10" s="1"/>
  <c r="BO102" i="10"/>
  <c r="BK102" i="10" s="1"/>
  <c r="AU92" i="10"/>
  <c r="BO98" i="10"/>
  <c r="BR92" i="10"/>
  <c r="BS92" i="10"/>
  <c r="BT92" i="10"/>
  <c r="BU92" i="10"/>
  <c r="BW92" i="10"/>
  <c r="BX92" i="10"/>
  <c r="BY92" i="10"/>
  <c r="BZ92" i="10"/>
  <c r="CB92" i="10"/>
  <c r="CC92" i="10"/>
  <c r="CD92" i="10"/>
  <c r="CE92" i="10"/>
  <c r="CG92" i="10"/>
  <c r="CH92" i="10"/>
  <c r="CI92" i="10"/>
  <c r="CJ92" i="10"/>
  <c r="CL92" i="10"/>
  <c r="CM92" i="10"/>
  <c r="CN92" i="10"/>
  <c r="CO92" i="10"/>
  <c r="CQ92" i="10"/>
  <c r="CR92" i="10"/>
  <c r="CS92" i="10"/>
  <c r="CT92" i="10"/>
  <c r="DF92" i="10"/>
  <c r="DG92" i="10"/>
  <c r="DH92" i="10"/>
  <c r="DI92" i="10"/>
  <c r="DK92" i="10"/>
  <c r="DL92" i="10"/>
  <c r="DM92" i="10"/>
  <c r="DN92" i="10"/>
  <c r="DP92" i="10"/>
  <c r="DQ92" i="10"/>
  <c r="DR92" i="10"/>
  <c r="DS92" i="10"/>
  <c r="BR93" i="10"/>
  <c r="BS93" i="10"/>
  <c r="BT93" i="10"/>
  <c r="BU93" i="10"/>
  <c r="BW93" i="10"/>
  <c r="BX93" i="10"/>
  <c r="BY93" i="10"/>
  <c r="BZ93" i="10"/>
  <c r="CB93" i="10"/>
  <c r="CC93" i="10"/>
  <c r="CD93" i="10"/>
  <c r="CE93" i="10"/>
  <c r="CG93" i="10"/>
  <c r="CH93" i="10"/>
  <c r="CI93" i="10"/>
  <c r="CJ93" i="10"/>
  <c r="CL93" i="10"/>
  <c r="CM93" i="10"/>
  <c r="CN93" i="10"/>
  <c r="CO93" i="10"/>
  <c r="CQ93" i="10"/>
  <c r="CR93" i="10"/>
  <c r="CS93" i="10"/>
  <c r="CT93" i="10"/>
  <c r="CV93" i="10"/>
  <c r="CW93" i="10"/>
  <c r="CX93" i="10"/>
  <c r="CY93" i="10"/>
  <c r="DA93" i="10"/>
  <c r="DB93" i="10"/>
  <c r="DC93" i="10"/>
  <c r="DD93" i="10"/>
  <c r="DF93" i="10"/>
  <c r="DG93" i="10"/>
  <c r="DH93" i="10"/>
  <c r="DI93" i="10"/>
  <c r="DK93" i="10"/>
  <c r="DL93" i="10"/>
  <c r="DM93" i="10"/>
  <c r="DN93" i="10"/>
  <c r="DP93" i="10"/>
  <c r="DQ93" i="10"/>
  <c r="DR93" i="10"/>
  <c r="DS93" i="10"/>
  <c r="BR94" i="10"/>
  <c r="BS94" i="10"/>
  <c r="BT94" i="10"/>
  <c r="BU94" i="10"/>
  <c r="BW94" i="10"/>
  <c r="BX94" i="10"/>
  <c r="BY94" i="10"/>
  <c r="BZ94" i="10"/>
  <c r="CB94" i="10"/>
  <c r="CC94" i="10"/>
  <c r="CD94" i="10"/>
  <c r="CE94" i="10"/>
  <c r="CG94" i="10"/>
  <c r="CH94" i="10"/>
  <c r="CI94" i="10"/>
  <c r="CJ94" i="10"/>
  <c r="CL94" i="10"/>
  <c r="CM94" i="10"/>
  <c r="CN94" i="10"/>
  <c r="CO94" i="10"/>
  <c r="CQ94" i="10"/>
  <c r="CR94" i="10"/>
  <c r="CS94" i="10"/>
  <c r="CT94" i="10"/>
  <c r="CV94" i="10"/>
  <c r="CW94" i="10"/>
  <c r="CX94" i="10"/>
  <c r="CY94" i="10"/>
  <c r="DA94" i="10"/>
  <c r="DB94" i="10"/>
  <c r="DC94" i="10"/>
  <c r="DD94" i="10"/>
  <c r="DF94" i="10"/>
  <c r="DG94" i="10"/>
  <c r="DH94" i="10"/>
  <c r="DI94" i="10"/>
  <c r="DK94" i="10"/>
  <c r="DL94" i="10"/>
  <c r="DM94" i="10"/>
  <c r="DN94" i="10"/>
  <c r="DP94" i="10"/>
  <c r="DQ94" i="10"/>
  <c r="DR94" i="10"/>
  <c r="DS94" i="10"/>
  <c r="BR95" i="10"/>
  <c r="BS95" i="10"/>
  <c r="BT95" i="10"/>
  <c r="BU95" i="10"/>
  <c r="BW95" i="10"/>
  <c r="BX95" i="10"/>
  <c r="BY95" i="10"/>
  <c r="BZ95" i="10"/>
  <c r="CB95" i="10"/>
  <c r="CC95" i="10"/>
  <c r="CD95" i="10"/>
  <c r="CE95" i="10"/>
  <c r="CG95" i="10"/>
  <c r="CH95" i="10"/>
  <c r="CI95" i="10"/>
  <c r="CJ95" i="10"/>
  <c r="CL95" i="10"/>
  <c r="CM95" i="10"/>
  <c r="CN95" i="10"/>
  <c r="CO95" i="10"/>
  <c r="CQ95" i="10"/>
  <c r="CR95" i="10"/>
  <c r="CS95" i="10"/>
  <c r="CT95" i="10"/>
  <c r="CV95" i="10"/>
  <c r="CW95" i="10"/>
  <c r="CX95" i="10"/>
  <c r="CY95" i="10"/>
  <c r="DA95" i="10"/>
  <c r="DB95" i="10"/>
  <c r="DC95" i="10"/>
  <c r="DD95" i="10"/>
  <c r="DF95" i="10"/>
  <c r="DG95" i="10"/>
  <c r="DH95" i="10"/>
  <c r="DI95" i="10"/>
  <c r="DK95" i="10"/>
  <c r="DL95" i="10"/>
  <c r="DM95" i="10"/>
  <c r="DN95" i="10"/>
  <c r="DP95" i="10"/>
  <c r="DQ95" i="10"/>
  <c r="DR95" i="10"/>
  <c r="DS95" i="10"/>
  <c r="BR96" i="10"/>
  <c r="BS96" i="10"/>
  <c r="BT96" i="10"/>
  <c r="BU96" i="10"/>
  <c r="BW96" i="10"/>
  <c r="BX96" i="10"/>
  <c r="BY96" i="10"/>
  <c r="BZ96" i="10"/>
  <c r="CB96" i="10"/>
  <c r="CC96" i="10"/>
  <c r="CD96" i="10"/>
  <c r="CE96" i="10"/>
  <c r="CG96" i="10"/>
  <c r="CH96" i="10"/>
  <c r="CI96" i="10"/>
  <c r="CJ96" i="10"/>
  <c r="CL96" i="10"/>
  <c r="CM96" i="10"/>
  <c r="CN96" i="10"/>
  <c r="CO96" i="10"/>
  <c r="CQ96" i="10"/>
  <c r="CR96" i="10"/>
  <c r="CS96" i="10"/>
  <c r="CT96" i="10"/>
  <c r="CV96" i="10"/>
  <c r="CW96" i="10"/>
  <c r="CX96" i="10"/>
  <c r="CY96" i="10"/>
  <c r="DA96" i="10"/>
  <c r="DB96" i="10"/>
  <c r="DC96" i="10"/>
  <c r="DD96" i="10"/>
  <c r="DF96" i="10"/>
  <c r="DG96" i="10"/>
  <c r="DH96" i="10"/>
  <c r="DI96" i="10"/>
  <c r="DK96" i="10"/>
  <c r="DL96" i="10"/>
  <c r="DM96" i="10"/>
  <c r="DN96" i="10"/>
  <c r="DP96" i="10"/>
  <c r="DQ96" i="10"/>
  <c r="DR96" i="10"/>
  <c r="DS96" i="10"/>
  <c r="BR97" i="10"/>
  <c r="BS97" i="10"/>
  <c r="BT97" i="10"/>
  <c r="BU97" i="10"/>
  <c r="BW97" i="10"/>
  <c r="BX97" i="10"/>
  <c r="BY97" i="10"/>
  <c r="BZ97" i="10"/>
  <c r="CB97" i="10"/>
  <c r="CC97" i="10"/>
  <c r="CD97" i="10"/>
  <c r="CE97" i="10"/>
  <c r="CG97" i="10"/>
  <c r="CH97" i="10"/>
  <c r="CI97" i="10"/>
  <c r="CJ97" i="10"/>
  <c r="CL97" i="10"/>
  <c r="CM97" i="10"/>
  <c r="CN97" i="10"/>
  <c r="CO97" i="10"/>
  <c r="CQ97" i="10"/>
  <c r="CR97" i="10"/>
  <c r="CS97" i="10"/>
  <c r="CT97" i="10"/>
  <c r="CV97" i="10"/>
  <c r="CW97" i="10"/>
  <c r="CX97" i="10"/>
  <c r="CY97" i="10"/>
  <c r="DA97" i="10"/>
  <c r="DB97" i="10"/>
  <c r="DC97" i="10"/>
  <c r="DD97" i="10"/>
  <c r="DF97" i="10"/>
  <c r="DG97" i="10"/>
  <c r="DH97" i="10"/>
  <c r="DI97" i="10"/>
  <c r="DK97" i="10"/>
  <c r="DL97" i="10"/>
  <c r="DM97" i="10"/>
  <c r="DN97" i="10"/>
  <c r="DP97" i="10"/>
  <c r="DQ97" i="10"/>
  <c r="DR97" i="10"/>
  <c r="DS97" i="10"/>
  <c r="BR98" i="10"/>
  <c r="BS98" i="10"/>
  <c r="BT98" i="10"/>
  <c r="BU98" i="10"/>
  <c r="BW98" i="10"/>
  <c r="BX98" i="10"/>
  <c r="BY98" i="10"/>
  <c r="BZ98" i="10"/>
  <c r="CB98" i="10"/>
  <c r="CC98" i="10"/>
  <c r="CD98" i="10"/>
  <c r="CE98" i="10"/>
  <c r="CG98" i="10"/>
  <c r="CH98" i="10"/>
  <c r="CI98" i="10"/>
  <c r="CJ98" i="10"/>
  <c r="CL98" i="10"/>
  <c r="CM98" i="10"/>
  <c r="CN98" i="10"/>
  <c r="CO98" i="10"/>
  <c r="CQ98" i="10"/>
  <c r="CR98" i="10"/>
  <c r="CS98" i="10"/>
  <c r="CT98" i="10"/>
  <c r="CV98" i="10"/>
  <c r="CW98" i="10"/>
  <c r="CX98" i="10"/>
  <c r="CY98" i="10"/>
  <c r="DA98" i="10"/>
  <c r="DB98" i="10"/>
  <c r="DC98" i="10"/>
  <c r="DD98" i="10"/>
  <c r="DF98" i="10"/>
  <c r="DG98" i="10"/>
  <c r="DH98" i="10"/>
  <c r="DI98" i="10"/>
  <c r="DK98" i="10"/>
  <c r="DL98" i="10"/>
  <c r="DM98" i="10"/>
  <c r="DN98" i="10"/>
  <c r="BR99" i="10"/>
  <c r="BS99" i="10"/>
  <c r="BT99" i="10"/>
  <c r="BU99" i="10"/>
  <c r="BW99" i="10"/>
  <c r="BX99" i="10"/>
  <c r="BY99" i="10"/>
  <c r="BZ99" i="10"/>
  <c r="CB99" i="10"/>
  <c r="CC99" i="10"/>
  <c r="CD99" i="10"/>
  <c r="CE99" i="10"/>
  <c r="CG99" i="10"/>
  <c r="CH99" i="10"/>
  <c r="CI99" i="10"/>
  <c r="CJ99" i="10"/>
  <c r="CL99" i="10"/>
  <c r="CM99" i="10"/>
  <c r="CN99" i="10"/>
  <c r="CO99" i="10"/>
  <c r="CQ99" i="10"/>
  <c r="CR99" i="10"/>
  <c r="CS99" i="10"/>
  <c r="CT99" i="10"/>
  <c r="CV99" i="10"/>
  <c r="CW99" i="10"/>
  <c r="CX99" i="10"/>
  <c r="CY99" i="10"/>
  <c r="DA99" i="10"/>
  <c r="DB99" i="10"/>
  <c r="DC99" i="10"/>
  <c r="DD99" i="10"/>
  <c r="DF99" i="10"/>
  <c r="DG99" i="10"/>
  <c r="DH99" i="10"/>
  <c r="DI99" i="10"/>
  <c r="DK99" i="10"/>
  <c r="DL99" i="10"/>
  <c r="DM99" i="10"/>
  <c r="DN99" i="10"/>
  <c r="DP99" i="10"/>
  <c r="DQ99" i="10"/>
  <c r="DR99" i="10"/>
  <c r="DS99" i="10"/>
  <c r="BR100" i="10"/>
  <c r="BS100" i="10"/>
  <c r="BT100" i="10"/>
  <c r="BU100" i="10"/>
  <c r="BW100" i="10"/>
  <c r="BX100" i="10"/>
  <c r="BY100" i="10"/>
  <c r="BZ100" i="10"/>
  <c r="CB100" i="10"/>
  <c r="CC100" i="10"/>
  <c r="CD100" i="10"/>
  <c r="CE100" i="10"/>
  <c r="CG100" i="10"/>
  <c r="CH100" i="10"/>
  <c r="CI100" i="10"/>
  <c r="CJ100" i="10"/>
  <c r="CL100" i="10"/>
  <c r="CM100" i="10"/>
  <c r="CN100" i="10"/>
  <c r="CO100" i="10"/>
  <c r="CQ100" i="10"/>
  <c r="CR100" i="10"/>
  <c r="CS100" i="10"/>
  <c r="CT100" i="10"/>
  <c r="CV100" i="10"/>
  <c r="CW100" i="10"/>
  <c r="CX100" i="10"/>
  <c r="CY100" i="10"/>
  <c r="DA100" i="10"/>
  <c r="DB100" i="10"/>
  <c r="DC100" i="10"/>
  <c r="DD100" i="10"/>
  <c r="DF100" i="10"/>
  <c r="DG100" i="10"/>
  <c r="DH100" i="10"/>
  <c r="DI100" i="10"/>
  <c r="DK100" i="10"/>
  <c r="DL100" i="10"/>
  <c r="DM100" i="10"/>
  <c r="DN100" i="10"/>
  <c r="DP100" i="10"/>
  <c r="DQ100" i="10"/>
  <c r="DR100" i="10"/>
  <c r="DS100" i="10"/>
  <c r="BR101" i="10"/>
  <c r="BS101" i="10"/>
  <c r="BT101" i="10"/>
  <c r="BU101" i="10"/>
  <c r="BW101" i="10"/>
  <c r="BX101" i="10"/>
  <c r="BY101" i="10"/>
  <c r="BZ101" i="10"/>
  <c r="CB101" i="10"/>
  <c r="CC101" i="10"/>
  <c r="CD101" i="10"/>
  <c r="CE101" i="10"/>
  <c r="CG101" i="10"/>
  <c r="CH101" i="10"/>
  <c r="CI101" i="10"/>
  <c r="CJ101" i="10"/>
  <c r="CL101" i="10"/>
  <c r="CM101" i="10"/>
  <c r="CN101" i="10"/>
  <c r="CO101" i="10"/>
  <c r="CQ101" i="10"/>
  <c r="CR101" i="10"/>
  <c r="CS101" i="10"/>
  <c r="CT101" i="10"/>
  <c r="CV101" i="10"/>
  <c r="CW101" i="10"/>
  <c r="CX101" i="10"/>
  <c r="CY101" i="10"/>
  <c r="DA101" i="10"/>
  <c r="DB101" i="10"/>
  <c r="DC101" i="10"/>
  <c r="DD101" i="10"/>
  <c r="DF101" i="10"/>
  <c r="DG101" i="10"/>
  <c r="DH101" i="10"/>
  <c r="DI101" i="10"/>
  <c r="DK101" i="10"/>
  <c r="DL101" i="10"/>
  <c r="DM101" i="10"/>
  <c r="DN101" i="10"/>
  <c r="DP101" i="10"/>
  <c r="DQ101" i="10"/>
  <c r="DR101" i="10"/>
  <c r="DS101" i="10"/>
  <c r="BR102" i="10"/>
  <c r="BS102" i="10"/>
  <c r="BT102" i="10"/>
  <c r="BU102" i="10"/>
  <c r="BW102" i="10"/>
  <c r="BX102" i="10"/>
  <c r="BY102" i="10"/>
  <c r="BZ102" i="10"/>
  <c r="CB102" i="10"/>
  <c r="CC102" i="10"/>
  <c r="CD102" i="10"/>
  <c r="CE102" i="10"/>
  <c r="CG102" i="10"/>
  <c r="CH102" i="10"/>
  <c r="CI102" i="10"/>
  <c r="CJ102" i="10"/>
  <c r="CL102" i="10"/>
  <c r="CM102" i="10"/>
  <c r="CN102" i="10"/>
  <c r="CO102" i="10"/>
  <c r="CQ102" i="10"/>
  <c r="CR102" i="10"/>
  <c r="CS102" i="10"/>
  <c r="CT102" i="10"/>
  <c r="CV102" i="10"/>
  <c r="CW102" i="10"/>
  <c r="CX102" i="10"/>
  <c r="CY102" i="10"/>
  <c r="DA102" i="10"/>
  <c r="DB102" i="10"/>
  <c r="DC102" i="10"/>
  <c r="DD102" i="10"/>
  <c r="DF102" i="10"/>
  <c r="DG102" i="10"/>
  <c r="DH102" i="10"/>
  <c r="DI102" i="10"/>
  <c r="DK102" i="10"/>
  <c r="DL102" i="10"/>
  <c r="DM102" i="10"/>
  <c r="DN102" i="10"/>
  <c r="DP102" i="10"/>
  <c r="DQ102" i="10"/>
  <c r="DR102" i="10"/>
  <c r="DS102" i="10"/>
  <c r="BE104" i="10"/>
  <c r="BC104" i="10" s="1"/>
  <c r="L104" i="10"/>
  <c r="Q104" i="10"/>
  <c r="V104" i="10"/>
  <c r="R104" i="10" s="1"/>
  <c r="AA104" i="10"/>
  <c r="W104" i="10" s="1"/>
  <c r="AF104" i="10"/>
  <c r="AB104" i="10" s="1"/>
  <c r="AK104" i="10"/>
  <c r="AH104" i="10" s="1"/>
  <c r="BQ104" i="10" s="1"/>
  <c r="BV104" i="10" s="1"/>
  <c r="CA104" i="10" s="1"/>
  <c r="CF104" i="10" s="1"/>
  <c r="CK104" i="10" s="1"/>
  <c r="CP104" i="10" s="1"/>
  <c r="CU104" i="10" s="1"/>
  <c r="CZ104" i="10" s="1"/>
  <c r="DE104" i="10" s="1"/>
  <c r="AP104" i="10"/>
  <c r="AL104" i="10" s="1"/>
  <c r="AU104" i="10"/>
  <c r="AZ104" i="10"/>
  <c r="AV104" i="10" s="1"/>
  <c r="BJ104" i="10"/>
  <c r="BF104" i="10" s="1"/>
  <c r="BO104" i="10"/>
  <c r="BK104" i="10" s="1"/>
  <c r="BR104" i="10"/>
  <c r="BS104" i="10"/>
  <c r="BT104" i="10"/>
  <c r="BU104" i="10"/>
  <c r="BW104" i="10"/>
  <c r="BX104" i="10"/>
  <c r="BY104" i="10"/>
  <c r="BZ104" i="10"/>
  <c r="CB104" i="10"/>
  <c r="CC104" i="10"/>
  <c r="CD104" i="10"/>
  <c r="CE104" i="10"/>
  <c r="CG104" i="10"/>
  <c r="CH104" i="10"/>
  <c r="CI104" i="10"/>
  <c r="CJ104" i="10"/>
  <c r="CL104" i="10"/>
  <c r="CM104" i="10"/>
  <c r="CN104" i="10"/>
  <c r="CO104" i="10"/>
  <c r="CQ104" i="10"/>
  <c r="CR104" i="10"/>
  <c r="CS104" i="10"/>
  <c r="CT104" i="10"/>
  <c r="DP104" i="10"/>
  <c r="DQ104" i="10"/>
  <c r="DR104" i="10"/>
  <c r="DS104" i="10"/>
  <c r="L106" i="10"/>
  <c r="Q106" i="10"/>
  <c r="V106" i="10"/>
  <c r="R106" i="10" s="1"/>
  <c r="AA106" i="10"/>
  <c r="X106" i="10" s="1"/>
  <c r="AF106" i="10"/>
  <c r="AK106" i="10"/>
  <c r="AG106" i="10" s="1"/>
  <c r="AP106" i="10"/>
  <c r="AL106" i="10" s="1"/>
  <c r="AU106" i="10"/>
  <c r="AR106" i="10" s="1"/>
  <c r="AZ106" i="10"/>
  <c r="AV106" i="10" s="1"/>
  <c r="BE106" i="10"/>
  <c r="BA106" i="10" s="1"/>
  <c r="BJ106" i="10"/>
  <c r="BO106" i="10"/>
  <c r="BL106" i="10" s="1"/>
  <c r="L107" i="10"/>
  <c r="Q107" i="10"/>
  <c r="M107" i="10" s="1"/>
  <c r="V107" i="10"/>
  <c r="AA107" i="10"/>
  <c r="X107" i="10" s="1"/>
  <c r="AF107" i="10"/>
  <c r="AB107" i="10" s="1"/>
  <c r="AK107" i="10"/>
  <c r="AG107" i="10" s="1"/>
  <c r="AP107" i="10"/>
  <c r="AL107" i="10" s="1"/>
  <c r="AZ107" i="10"/>
  <c r="AV107" i="10" s="1"/>
  <c r="BE107" i="10"/>
  <c r="BJ107" i="10"/>
  <c r="BO107" i="10"/>
  <c r="BL107" i="10" s="1"/>
  <c r="L108" i="10"/>
  <c r="Q108" i="10"/>
  <c r="M108" i="10" s="1"/>
  <c r="V108" i="10"/>
  <c r="R108" i="10" s="1"/>
  <c r="AA108" i="10"/>
  <c r="X108" i="10" s="1"/>
  <c r="AF108" i="10"/>
  <c r="AB108" i="10" s="1"/>
  <c r="AK108" i="10"/>
  <c r="AP108" i="10"/>
  <c r="AL108" i="10" s="1"/>
  <c r="AU108" i="10"/>
  <c r="AR108" i="10" s="1"/>
  <c r="AZ108" i="10"/>
  <c r="BE108" i="10"/>
  <c r="BA108" i="10" s="1"/>
  <c r="BJ108" i="10"/>
  <c r="BF108" i="10" s="1"/>
  <c r="BO108" i="10"/>
  <c r="BL108" i="10" s="1"/>
  <c r="BR106" i="10"/>
  <c r="BS106" i="10"/>
  <c r="BT106" i="10"/>
  <c r="BU106" i="10"/>
  <c r="BW106" i="10"/>
  <c r="BX106" i="10"/>
  <c r="BY106" i="10"/>
  <c r="BZ106" i="10"/>
  <c r="CB106" i="10"/>
  <c r="CC106" i="10"/>
  <c r="CD106" i="10"/>
  <c r="CE106" i="10"/>
  <c r="CG106" i="10"/>
  <c r="CH106" i="10"/>
  <c r="CI106" i="10"/>
  <c r="CJ106" i="10"/>
  <c r="CL106" i="10"/>
  <c r="CM106" i="10"/>
  <c r="CN106" i="10"/>
  <c r="CO106" i="10"/>
  <c r="CQ106" i="10"/>
  <c r="CR106" i="10"/>
  <c r="CS106" i="10"/>
  <c r="CT106" i="10"/>
  <c r="CV106" i="10"/>
  <c r="CW106" i="10"/>
  <c r="CX106" i="10"/>
  <c r="CY106" i="10"/>
  <c r="DA106" i="10"/>
  <c r="DB106" i="10"/>
  <c r="DC106" i="10"/>
  <c r="DD106" i="10"/>
  <c r="DF106" i="10"/>
  <c r="DG106" i="10"/>
  <c r="DH106" i="10"/>
  <c r="DI106" i="10"/>
  <c r="DK106" i="10"/>
  <c r="DL106" i="10"/>
  <c r="DM106" i="10"/>
  <c r="DN106" i="10"/>
  <c r="DP106" i="10"/>
  <c r="DQ106" i="10"/>
  <c r="DR106" i="10"/>
  <c r="DS106" i="10"/>
  <c r="BR107" i="10"/>
  <c r="BS107" i="10"/>
  <c r="BT107" i="10"/>
  <c r="BU107" i="10"/>
  <c r="BW107" i="10"/>
  <c r="BX107" i="10"/>
  <c r="BY107" i="10"/>
  <c r="BZ107" i="10"/>
  <c r="CB107" i="10"/>
  <c r="CC107" i="10"/>
  <c r="CD107" i="10"/>
  <c r="CE107" i="10"/>
  <c r="CG107" i="10"/>
  <c r="CH107" i="10"/>
  <c r="CI107" i="10"/>
  <c r="CJ107" i="10"/>
  <c r="CL107" i="10"/>
  <c r="CM107" i="10"/>
  <c r="CN107" i="10"/>
  <c r="CO107" i="10"/>
  <c r="CQ107" i="10"/>
  <c r="CR107" i="10"/>
  <c r="CS107" i="10"/>
  <c r="CT107" i="10"/>
  <c r="DF107" i="10"/>
  <c r="DG107" i="10"/>
  <c r="DH107" i="10"/>
  <c r="DI107" i="10"/>
  <c r="DK107" i="10"/>
  <c r="DL107" i="10"/>
  <c r="DM107" i="10"/>
  <c r="DN107" i="10"/>
  <c r="DP107" i="10"/>
  <c r="DQ107" i="10"/>
  <c r="DR107" i="10"/>
  <c r="DS107" i="10"/>
  <c r="BR108" i="10"/>
  <c r="BS108" i="10"/>
  <c r="BT108" i="10"/>
  <c r="BU108" i="10"/>
  <c r="BW108" i="10"/>
  <c r="BX108" i="10"/>
  <c r="BY108" i="10"/>
  <c r="BZ108" i="10"/>
  <c r="CB108" i="10"/>
  <c r="CC108" i="10"/>
  <c r="CD108" i="10"/>
  <c r="CE108" i="10"/>
  <c r="CG108" i="10"/>
  <c r="CH108" i="10"/>
  <c r="CI108" i="10"/>
  <c r="CJ108" i="10"/>
  <c r="CL108" i="10"/>
  <c r="CM108" i="10"/>
  <c r="CN108" i="10"/>
  <c r="CO108" i="10"/>
  <c r="CQ108" i="10"/>
  <c r="CR108" i="10"/>
  <c r="CS108" i="10"/>
  <c r="CT108" i="10"/>
  <c r="CV108" i="10"/>
  <c r="CW108" i="10"/>
  <c r="CX108" i="10"/>
  <c r="CY108" i="10"/>
  <c r="DA108" i="10"/>
  <c r="DB108" i="10"/>
  <c r="DC108" i="10"/>
  <c r="DD108" i="10"/>
  <c r="DF108" i="10"/>
  <c r="DG108" i="10"/>
  <c r="DH108" i="10"/>
  <c r="DI108" i="10"/>
  <c r="DK108" i="10"/>
  <c r="DL108" i="10"/>
  <c r="DM108" i="10"/>
  <c r="DN108" i="10"/>
  <c r="DP108" i="10"/>
  <c r="DQ108" i="10"/>
  <c r="DR108" i="10"/>
  <c r="DS108" i="10"/>
  <c r="AU107" i="10"/>
  <c r="AS107" i="10" s="1"/>
  <c r="L113" i="10"/>
  <c r="Q113" i="10"/>
  <c r="M113" i="10" s="1"/>
  <c r="V113" i="10"/>
  <c r="R113" i="10" s="1"/>
  <c r="AA113" i="10"/>
  <c r="AF113" i="10"/>
  <c r="AC113" i="10" s="1"/>
  <c r="AK113" i="10"/>
  <c r="AG113" i="10" s="1"/>
  <c r="AP113" i="10"/>
  <c r="AZ113" i="10"/>
  <c r="BE113" i="10"/>
  <c r="BA113" i="10" s="1"/>
  <c r="BJ113" i="10"/>
  <c r="BO113" i="10"/>
  <c r="L114" i="10"/>
  <c r="Q114" i="10"/>
  <c r="V114" i="10"/>
  <c r="R114" i="10" s="1"/>
  <c r="AA114" i="10"/>
  <c r="W114" i="10" s="1"/>
  <c r="AF114" i="10"/>
  <c r="AK114" i="10"/>
  <c r="AG114" i="10" s="1"/>
  <c r="AP114" i="10"/>
  <c r="AL114" i="10" s="1"/>
  <c r="AU114" i="10"/>
  <c r="AQ114" i="10" s="1"/>
  <c r="AZ114" i="10"/>
  <c r="AW114" i="10" s="1"/>
  <c r="BE114" i="10"/>
  <c r="BA114" i="10" s="1"/>
  <c r="BJ114" i="10"/>
  <c r="BO114" i="10"/>
  <c r="BK114" i="10" s="1"/>
  <c r="L115" i="10"/>
  <c r="Q115" i="10"/>
  <c r="M115" i="10" s="1"/>
  <c r="V115" i="10"/>
  <c r="R115" i="10" s="1"/>
  <c r="AA115" i="10"/>
  <c r="W115" i="10" s="1"/>
  <c r="AF115" i="10"/>
  <c r="AC115" i="10" s="1"/>
  <c r="AK115" i="10"/>
  <c r="AG115" i="10" s="1"/>
  <c r="AP115" i="10"/>
  <c r="AL115" i="10" s="1"/>
  <c r="AZ115" i="10"/>
  <c r="AW115" i="10" s="1"/>
  <c r="BE115" i="10"/>
  <c r="BA115" i="10" s="1"/>
  <c r="BJ115" i="10"/>
  <c r="BF115" i="10" s="1"/>
  <c r="BO115" i="10"/>
  <c r="BK115" i="10" s="1"/>
  <c r="L116" i="10"/>
  <c r="Q116" i="10"/>
  <c r="M116" i="10" s="1"/>
  <c r="V116" i="10"/>
  <c r="R116" i="10" s="1"/>
  <c r="AA116" i="10"/>
  <c r="AF116" i="10"/>
  <c r="AC116" i="10" s="1"/>
  <c r="AK116" i="10"/>
  <c r="AG116" i="10" s="1"/>
  <c r="AP116" i="10"/>
  <c r="AL116" i="10" s="1"/>
  <c r="AU116" i="10"/>
  <c r="AQ116" i="10" s="1"/>
  <c r="AZ116" i="10"/>
  <c r="AX116" i="10" s="1"/>
  <c r="BE116" i="10"/>
  <c r="BA116" i="10" s="1"/>
  <c r="BJ116" i="10"/>
  <c r="BF116" i="10" s="1"/>
  <c r="BO116" i="10"/>
  <c r="BK116" i="10" s="1"/>
  <c r="L117" i="10"/>
  <c r="Q117" i="10"/>
  <c r="M117" i="10" s="1"/>
  <c r="V117" i="10"/>
  <c r="R117" i="10" s="1"/>
  <c r="AA117" i="10"/>
  <c r="W117" i="10" s="1"/>
  <c r="AF117" i="10"/>
  <c r="AK117" i="10"/>
  <c r="AG117" i="10" s="1"/>
  <c r="AP117" i="10"/>
  <c r="AL117" i="10" s="1"/>
  <c r="AU117" i="10"/>
  <c r="AZ117" i="10"/>
  <c r="AX117" i="10" s="1"/>
  <c r="BE117" i="10"/>
  <c r="BA117" i="10" s="1"/>
  <c r="BJ117" i="10"/>
  <c r="BF117" i="10" s="1"/>
  <c r="BO117" i="10"/>
  <c r="BK117" i="10" s="1"/>
  <c r="L118" i="10"/>
  <c r="Q118" i="10"/>
  <c r="M118" i="10" s="1"/>
  <c r="V118" i="10"/>
  <c r="R118" i="10" s="1"/>
  <c r="AA118" i="10"/>
  <c r="AF118" i="10"/>
  <c r="AD118" i="10" s="1"/>
  <c r="AK118" i="10"/>
  <c r="AG118" i="10" s="1"/>
  <c r="AP118" i="10"/>
  <c r="AL118" i="10" s="1"/>
  <c r="AU118" i="10"/>
  <c r="AQ118" i="10" s="1"/>
  <c r="AZ118" i="10"/>
  <c r="AV118" i="10" s="1"/>
  <c r="BE118" i="10"/>
  <c r="BA118" i="10" s="1"/>
  <c r="BJ118" i="10"/>
  <c r="BF118" i="10" s="1"/>
  <c r="BO118" i="10"/>
  <c r="BK118" i="10" s="1"/>
  <c r="L119" i="10"/>
  <c r="Q119" i="10"/>
  <c r="M119" i="10" s="1"/>
  <c r="V119" i="10"/>
  <c r="R119" i="10" s="1"/>
  <c r="AA119" i="10"/>
  <c r="W119" i="10" s="1"/>
  <c r="AF119" i="10"/>
  <c r="AB119" i="10" s="1"/>
  <c r="AK119" i="10"/>
  <c r="AG119" i="10" s="1"/>
  <c r="AP119" i="10"/>
  <c r="AL119" i="10" s="1"/>
  <c r="AU119" i="10"/>
  <c r="AQ119" i="10" s="1"/>
  <c r="AZ119" i="10"/>
  <c r="AV119" i="10" s="1"/>
  <c r="BE119" i="10"/>
  <c r="BA119" i="10" s="1"/>
  <c r="BJ119" i="10"/>
  <c r="BF119" i="10" s="1"/>
  <c r="BO119" i="10"/>
  <c r="L120" i="10"/>
  <c r="Q120" i="10"/>
  <c r="V120" i="10"/>
  <c r="R120" i="10" s="1"/>
  <c r="AA120" i="10"/>
  <c r="AF120" i="10"/>
  <c r="AD120" i="10" s="1"/>
  <c r="AK120" i="10"/>
  <c r="AG120" i="10" s="1"/>
  <c r="AP120" i="10"/>
  <c r="AN120" i="10" s="1"/>
  <c r="AU120" i="10"/>
  <c r="AS120" i="10" s="1"/>
  <c r="AZ120" i="10"/>
  <c r="AV120" i="10" s="1"/>
  <c r="BE120" i="10"/>
  <c r="BA120" i="10" s="1"/>
  <c r="BJ120" i="10"/>
  <c r="BH120" i="10" s="1"/>
  <c r="BO120" i="10"/>
  <c r="BR113" i="10"/>
  <c r="BS113" i="10"/>
  <c r="BT113" i="10"/>
  <c r="BU113" i="10"/>
  <c r="BW113" i="10"/>
  <c r="BX113" i="10"/>
  <c r="BY113" i="10"/>
  <c r="BZ113" i="10"/>
  <c r="CB113" i="10"/>
  <c r="CC113" i="10"/>
  <c r="CD113" i="10"/>
  <c r="CE113" i="10"/>
  <c r="CG113" i="10"/>
  <c r="CH113" i="10"/>
  <c r="CI113" i="10"/>
  <c r="CJ113" i="10"/>
  <c r="CL113" i="10"/>
  <c r="CM113" i="10"/>
  <c r="CN113" i="10"/>
  <c r="CO113" i="10"/>
  <c r="CQ113" i="10"/>
  <c r="CR113" i="10"/>
  <c r="CS113" i="10"/>
  <c r="CT113" i="10"/>
  <c r="DF113" i="10"/>
  <c r="DG113" i="10"/>
  <c r="DH113" i="10"/>
  <c r="DI113" i="10"/>
  <c r="DK113" i="10"/>
  <c r="DL113" i="10"/>
  <c r="DM113" i="10"/>
  <c r="DN113" i="10"/>
  <c r="DP113" i="10"/>
  <c r="DQ113" i="10"/>
  <c r="DR113" i="10"/>
  <c r="DS113" i="10"/>
  <c r="BR114" i="10"/>
  <c r="BS114" i="10"/>
  <c r="BT114" i="10"/>
  <c r="BU114" i="10"/>
  <c r="BW114" i="10"/>
  <c r="BX114" i="10"/>
  <c r="BY114" i="10"/>
  <c r="BZ114" i="10"/>
  <c r="CB114" i="10"/>
  <c r="CC114" i="10"/>
  <c r="CD114" i="10"/>
  <c r="CE114" i="10"/>
  <c r="CG114" i="10"/>
  <c r="CH114" i="10"/>
  <c r="CI114" i="10"/>
  <c r="CJ114" i="10"/>
  <c r="CL114" i="10"/>
  <c r="CM114" i="10"/>
  <c r="CN114" i="10"/>
  <c r="CO114" i="10"/>
  <c r="CQ114" i="10"/>
  <c r="CR114" i="10"/>
  <c r="CS114" i="10"/>
  <c r="CT114" i="10"/>
  <c r="CV114" i="10"/>
  <c r="CW114" i="10"/>
  <c r="CX114" i="10"/>
  <c r="CY114" i="10"/>
  <c r="DA114" i="10"/>
  <c r="DB114" i="10"/>
  <c r="DC114" i="10"/>
  <c r="DD114" i="10"/>
  <c r="DF114" i="10"/>
  <c r="DG114" i="10"/>
  <c r="DH114" i="10"/>
  <c r="DI114" i="10"/>
  <c r="DK114" i="10"/>
  <c r="DL114" i="10"/>
  <c r="DM114" i="10"/>
  <c r="DN114" i="10"/>
  <c r="DP114" i="10"/>
  <c r="DQ114" i="10"/>
  <c r="DR114" i="10"/>
  <c r="DS114" i="10"/>
  <c r="BR115" i="10"/>
  <c r="BS115" i="10"/>
  <c r="BT115" i="10"/>
  <c r="BU115" i="10"/>
  <c r="BW115" i="10"/>
  <c r="BX115" i="10"/>
  <c r="BY115" i="10"/>
  <c r="BZ115" i="10"/>
  <c r="CB115" i="10"/>
  <c r="CC115" i="10"/>
  <c r="CD115" i="10"/>
  <c r="CE115" i="10"/>
  <c r="CG115" i="10"/>
  <c r="CH115" i="10"/>
  <c r="CI115" i="10"/>
  <c r="CJ115" i="10"/>
  <c r="CL115" i="10"/>
  <c r="CM115" i="10"/>
  <c r="CN115" i="10"/>
  <c r="CO115" i="10"/>
  <c r="CQ115" i="10"/>
  <c r="CR115" i="10"/>
  <c r="CS115" i="10"/>
  <c r="CT115" i="10"/>
  <c r="DF115" i="10"/>
  <c r="DG115" i="10"/>
  <c r="DH115" i="10"/>
  <c r="DI115" i="10"/>
  <c r="DK115" i="10"/>
  <c r="DL115" i="10"/>
  <c r="DM115" i="10"/>
  <c r="DN115" i="10"/>
  <c r="DP115" i="10"/>
  <c r="DQ115" i="10"/>
  <c r="DR115" i="10"/>
  <c r="DS115" i="10"/>
  <c r="BR116" i="10"/>
  <c r="BS116" i="10"/>
  <c r="BT116" i="10"/>
  <c r="BU116" i="10"/>
  <c r="BW116" i="10"/>
  <c r="BX116" i="10"/>
  <c r="BY116" i="10"/>
  <c r="BZ116" i="10"/>
  <c r="CB116" i="10"/>
  <c r="CC116" i="10"/>
  <c r="CD116" i="10"/>
  <c r="CE116" i="10"/>
  <c r="CG116" i="10"/>
  <c r="CH116" i="10"/>
  <c r="CI116" i="10"/>
  <c r="CJ116" i="10"/>
  <c r="CL116" i="10"/>
  <c r="CM116" i="10"/>
  <c r="CN116" i="10"/>
  <c r="CO116" i="10"/>
  <c r="CQ116" i="10"/>
  <c r="CR116" i="10"/>
  <c r="CS116" i="10"/>
  <c r="CT116" i="10"/>
  <c r="CV116" i="10"/>
  <c r="CW116" i="10"/>
  <c r="CX116" i="10"/>
  <c r="CY116" i="10"/>
  <c r="DA116" i="10"/>
  <c r="DB116" i="10"/>
  <c r="DC116" i="10"/>
  <c r="DD116" i="10"/>
  <c r="DF116" i="10"/>
  <c r="DG116" i="10"/>
  <c r="DH116" i="10"/>
  <c r="DI116" i="10"/>
  <c r="DK116" i="10"/>
  <c r="DL116" i="10"/>
  <c r="DM116" i="10"/>
  <c r="DN116" i="10"/>
  <c r="DP116" i="10"/>
  <c r="DQ116" i="10"/>
  <c r="DR116" i="10"/>
  <c r="DS116" i="10"/>
  <c r="BR117" i="10"/>
  <c r="BS117" i="10"/>
  <c r="BT117" i="10"/>
  <c r="BU117" i="10"/>
  <c r="BW117" i="10"/>
  <c r="BX117" i="10"/>
  <c r="BY117" i="10"/>
  <c r="BZ117" i="10"/>
  <c r="CB117" i="10"/>
  <c r="CC117" i="10"/>
  <c r="CD117" i="10"/>
  <c r="CE117" i="10"/>
  <c r="CG117" i="10"/>
  <c r="CH117" i="10"/>
  <c r="CI117" i="10"/>
  <c r="CJ117" i="10"/>
  <c r="CL117" i="10"/>
  <c r="CM117" i="10"/>
  <c r="CN117" i="10"/>
  <c r="CO117" i="10"/>
  <c r="CQ117" i="10"/>
  <c r="CR117" i="10"/>
  <c r="CS117" i="10"/>
  <c r="CT117" i="10"/>
  <c r="CV117" i="10"/>
  <c r="CW117" i="10"/>
  <c r="CX117" i="10"/>
  <c r="CY117" i="10"/>
  <c r="DA117" i="10"/>
  <c r="DB117" i="10"/>
  <c r="DC117" i="10"/>
  <c r="DD117" i="10"/>
  <c r="DF117" i="10"/>
  <c r="DG117" i="10"/>
  <c r="DH117" i="10"/>
  <c r="DI117" i="10"/>
  <c r="DK117" i="10"/>
  <c r="DL117" i="10"/>
  <c r="DM117" i="10"/>
  <c r="DN117" i="10"/>
  <c r="DP117" i="10"/>
  <c r="DQ117" i="10"/>
  <c r="DR117" i="10"/>
  <c r="DS117" i="10"/>
  <c r="BR118" i="10"/>
  <c r="BS118" i="10"/>
  <c r="BT118" i="10"/>
  <c r="BU118" i="10"/>
  <c r="BW118" i="10"/>
  <c r="BX118" i="10"/>
  <c r="BY118" i="10"/>
  <c r="BZ118" i="10"/>
  <c r="CB118" i="10"/>
  <c r="CC118" i="10"/>
  <c r="CD118" i="10"/>
  <c r="CE118" i="10"/>
  <c r="CG118" i="10"/>
  <c r="CH118" i="10"/>
  <c r="CI118" i="10"/>
  <c r="CJ118" i="10"/>
  <c r="CL118" i="10"/>
  <c r="CM118" i="10"/>
  <c r="CN118" i="10"/>
  <c r="CO118" i="10"/>
  <c r="CQ118" i="10"/>
  <c r="CR118" i="10"/>
  <c r="CS118" i="10"/>
  <c r="CT118" i="10"/>
  <c r="CV118" i="10"/>
  <c r="CW118" i="10"/>
  <c r="CX118" i="10"/>
  <c r="CY118" i="10"/>
  <c r="DA118" i="10"/>
  <c r="DB118" i="10"/>
  <c r="DC118" i="10"/>
  <c r="DD118" i="10"/>
  <c r="DP118" i="10"/>
  <c r="DQ118" i="10"/>
  <c r="DR118" i="10"/>
  <c r="DS118" i="10"/>
  <c r="BR119" i="10"/>
  <c r="BS119" i="10"/>
  <c r="BT119" i="10"/>
  <c r="BU119" i="10"/>
  <c r="BW119" i="10"/>
  <c r="BX119" i="10"/>
  <c r="BY119" i="10"/>
  <c r="BZ119" i="10"/>
  <c r="CB119" i="10"/>
  <c r="CC119" i="10"/>
  <c r="CD119" i="10"/>
  <c r="CE119" i="10"/>
  <c r="CG119" i="10"/>
  <c r="CH119" i="10"/>
  <c r="CI119" i="10"/>
  <c r="CJ119" i="10"/>
  <c r="CL119" i="10"/>
  <c r="CM119" i="10"/>
  <c r="CN119" i="10"/>
  <c r="CO119" i="10"/>
  <c r="CQ119" i="10"/>
  <c r="CR119" i="10"/>
  <c r="CS119" i="10"/>
  <c r="CT119" i="10"/>
  <c r="CV119" i="10"/>
  <c r="CW119" i="10"/>
  <c r="CX119" i="10"/>
  <c r="CY119" i="10"/>
  <c r="DA119" i="10"/>
  <c r="DB119" i="10"/>
  <c r="DC119" i="10"/>
  <c r="DD119" i="10"/>
  <c r="DF119" i="10"/>
  <c r="DG119" i="10"/>
  <c r="DH119" i="10"/>
  <c r="DI119" i="10"/>
  <c r="DK119" i="10"/>
  <c r="DL119" i="10"/>
  <c r="DM119" i="10"/>
  <c r="DN119" i="10"/>
  <c r="BR120" i="10"/>
  <c r="BS120" i="10"/>
  <c r="BT120" i="10"/>
  <c r="BU120" i="10"/>
  <c r="BW120" i="10"/>
  <c r="BX120" i="10"/>
  <c r="BY120" i="10"/>
  <c r="BZ120" i="10"/>
  <c r="CB120" i="10"/>
  <c r="CC120" i="10"/>
  <c r="CD120" i="10"/>
  <c r="CE120" i="10"/>
  <c r="CG120" i="10"/>
  <c r="CH120" i="10"/>
  <c r="CI120" i="10"/>
  <c r="CJ120" i="10"/>
  <c r="CL120" i="10"/>
  <c r="CM120" i="10"/>
  <c r="CN120" i="10"/>
  <c r="CO120" i="10"/>
  <c r="CQ120" i="10"/>
  <c r="CR120" i="10"/>
  <c r="CS120" i="10"/>
  <c r="CT120" i="10"/>
  <c r="CV120" i="10"/>
  <c r="CW120" i="10"/>
  <c r="CX120" i="10"/>
  <c r="CY120" i="10"/>
  <c r="DA120" i="10"/>
  <c r="DB120" i="10"/>
  <c r="DC120" i="10"/>
  <c r="DD120" i="10"/>
  <c r="DF120" i="10"/>
  <c r="DG120" i="10"/>
  <c r="DH120" i="10"/>
  <c r="DI120" i="10"/>
  <c r="DK120" i="10"/>
  <c r="DL120" i="10"/>
  <c r="DM120" i="10"/>
  <c r="DN120" i="10"/>
  <c r="E113" i="10"/>
  <c r="AU115" i="10"/>
  <c r="AT115" i="10" s="1"/>
  <c r="L122" i="10"/>
  <c r="Q122" i="10"/>
  <c r="P122" i="10" s="1"/>
  <c r="V122" i="10"/>
  <c r="U122" i="10" s="1"/>
  <c r="AA122" i="10"/>
  <c r="W122" i="10" s="1"/>
  <c r="AF122" i="10"/>
  <c r="AE122" i="10" s="1"/>
  <c r="AK122" i="10"/>
  <c r="AG122" i="10" s="1"/>
  <c r="AU122" i="10"/>
  <c r="AQ122" i="10" s="1"/>
  <c r="AZ122" i="10"/>
  <c r="AY122" i="10" s="1"/>
  <c r="BE122" i="10"/>
  <c r="BD122" i="10" s="1"/>
  <c r="BJ122" i="10"/>
  <c r="BO122" i="10"/>
  <c r="BK122" i="10" s="1"/>
  <c r="L123" i="10"/>
  <c r="Q123" i="10"/>
  <c r="M123" i="10" s="1"/>
  <c r="V123" i="10"/>
  <c r="R123" i="10" s="1"/>
  <c r="AA123" i="10"/>
  <c r="W123" i="10" s="1"/>
  <c r="AF123" i="10"/>
  <c r="AE123" i="10" s="1"/>
  <c r="AK123" i="10"/>
  <c r="AJ123" i="10" s="1"/>
  <c r="AU123" i="10"/>
  <c r="AQ123" i="10" s="1"/>
  <c r="AZ123" i="10"/>
  <c r="AY123" i="10" s="1"/>
  <c r="BE123" i="10"/>
  <c r="BA123" i="10" s="1"/>
  <c r="BJ123" i="10"/>
  <c r="BF123" i="10" s="1"/>
  <c r="BO123" i="10"/>
  <c r="L124" i="10"/>
  <c r="Q124" i="10"/>
  <c r="P124" i="10" s="1"/>
  <c r="V124" i="10"/>
  <c r="AA124" i="10"/>
  <c r="W124" i="10" s="1"/>
  <c r="AF124" i="10"/>
  <c r="AE124" i="10" s="1"/>
  <c r="AK124" i="10"/>
  <c r="AG124" i="10" s="1"/>
  <c r="AU124" i="10"/>
  <c r="AQ124" i="10" s="1"/>
  <c r="AZ124" i="10"/>
  <c r="AY124" i="10" s="1"/>
  <c r="BE124" i="10"/>
  <c r="BD124" i="10" s="1"/>
  <c r="BJ124" i="10"/>
  <c r="BI124" i="10" s="1"/>
  <c r="BO124" i="10"/>
  <c r="BK124" i="10" s="1"/>
  <c r="L125" i="10"/>
  <c r="Q125" i="10"/>
  <c r="M125" i="10" s="1"/>
  <c r="V125" i="10"/>
  <c r="R125" i="10" s="1"/>
  <c r="AA125" i="10"/>
  <c r="W125" i="10" s="1"/>
  <c r="AF125" i="10"/>
  <c r="AE125" i="10" s="1"/>
  <c r="AK125" i="10"/>
  <c r="AU125" i="10"/>
  <c r="AQ125" i="10" s="1"/>
  <c r="AZ125" i="10"/>
  <c r="AY125" i="10" s="1"/>
  <c r="BE125" i="10"/>
  <c r="BA125" i="10" s="1"/>
  <c r="BJ125" i="10"/>
  <c r="BF125" i="10" s="1"/>
  <c r="BO125" i="10"/>
  <c r="BK125" i="10" s="1"/>
  <c r="L126" i="10"/>
  <c r="Q126" i="10"/>
  <c r="P126" i="10" s="1"/>
  <c r="V126" i="10"/>
  <c r="U126" i="10" s="1"/>
  <c r="AA126" i="10"/>
  <c r="W126" i="10" s="1"/>
  <c r="AF126" i="10"/>
  <c r="AE126" i="10" s="1"/>
  <c r="AK126" i="10"/>
  <c r="AG126" i="10" s="1"/>
  <c r="AU126" i="10"/>
  <c r="AQ126" i="10" s="1"/>
  <c r="AZ126" i="10"/>
  <c r="AY126" i="10" s="1"/>
  <c r="BE126" i="10"/>
  <c r="BJ126" i="10"/>
  <c r="BI126" i="10" s="1"/>
  <c r="BO126" i="10"/>
  <c r="BK126" i="10" s="1"/>
  <c r="L127" i="10"/>
  <c r="Q127" i="10"/>
  <c r="M127" i="10" s="1"/>
  <c r="V127" i="10"/>
  <c r="R127" i="10" s="1"/>
  <c r="AA127" i="10"/>
  <c r="W127" i="10" s="1"/>
  <c r="AF127" i="10"/>
  <c r="AE127" i="10" s="1"/>
  <c r="AK127" i="10"/>
  <c r="AJ127" i="10" s="1"/>
  <c r="AP127" i="10"/>
  <c r="AO127" i="10" s="1"/>
  <c r="AZ127" i="10"/>
  <c r="AY127" i="10" s="1"/>
  <c r="BE127" i="10"/>
  <c r="BD127" i="10" s="1"/>
  <c r="BJ127" i="10"/>
  <c r="BO127" i="10"/>
  <c r="BK127" i="10" s="1"/>
  <c r="L128" i="10"/>
  <c r="Q128" i="10"/>
  <c r="M128" i="10" s="1"/>
  <c r="V128" i="10"/>
  <c r="AA128" i="10"/>
  <c r="W128" i="10" s="1"/>
  <c r="AF128" i="10"/>
  <c r="AE128" i="10" s="1"/>
  <c r="AK128" i="10"/>
  <c r="AJ128" i="10" s="1"/>
  <c r="AP128" i="10"/>
  <c r="AZ128" i="10"/>
  <c r="AY128" i="10" s="1"/>
  <c r="BE128" i="10"/>
  <c r="BD128" i="10" s="1"/>
  <c r="BJ128" i="10"/>
  <c r="BI128" i="10" s="1"/>
  <c r="BO128" i="10"/>
  <c r="BK128" i="10" s="1"/>
  <c r="BR122" i="10"/>
  <c r="BS122" i="10"/>
  <c r="BT122" i="10"/>
  <c r="BU122" i="10"/>
  <c r="BW122" i="10"/>
  <c r="BX122" i="10"/>
  <c r="BY122" i="10"/>
  <c r="BZ122" i="10"/>
  <c r="CB122" i="10"/>
  <c r="CC122" i="10"/>
  <c r="CD122" i="10"/>
  <c r="CE122" i="10"/>
  <c r="CG122" i="10"/>
  <c r="CH122" i="10"/>
  <c r="CI122" i="10"/>
  <c r="CJ122" i="10"/>
  <c r="CL122" i="10"/>
  <c r="CM122" i="10"/>
  <c r="CN122" i="10"/>
  <c r="CO122" i="10"/>
  <c r="DF122" i="10"/>
  <c r="DG122" i="10"/>
  <c r="DH122" i="10"/>
  <c r="DI122" i="10"/>
  <c r="DK122" i="10"/>
  <c r="DL122" i="10"/>
  <c r="DM122" i="10"/>
  <c r="DN122" i="10"/>
  <c r="DP122" i="10"/>
  <c r="DQ122" i="10"/>
  <c r="DR122" i="10"/>
  <c r="DS122" i="10"/>
  <c r="BR123" i="10"/>
  <c r="BS123" i="10"/>
  <c r="BT123" i="10"/>
  <c r="BU123" i="10"/>
  <c r="BW123" i="10"/>
  <c r="BX123" i="10"/>
  <c r="BY123" i="10"/>
  <c r="BZ123" i="10"/>
  <c r="CB123" i="10"/>
  <c r="CC123" i="10"/>
  <c r="CD123" i="10"/>
  <c r="CE123" i="10"/>
  <c r="CG123" i="10"/>
  <c r="CH123" i="10"/>
  <c r="CI123" i="10"/>
  <c r="CJ123" i="10"/>
  <c r="CL123" i="10"/>
  <c r="CM123" i="10"/>
  <c r="CN123" i="10"/>
  <c r="CO123" i="10"/>
  <c r="DF123" i="10"/>
  <c r="DG123" i="10"/>
  <c r="DH123" i="10"/>
  <c r="DI123" i="10"/>
  <c r="DK123" i="10"/>
  <c r="DL123" i="10"/>
  <c r="DM123" i="10"/>
  <c r="DN123" i="10"/>
  <c r="DP123" i="10"/>
  <c r="DQ123" i="10"/>
  <c r="DR123" i="10"/>
  <c r="DS123" i="10"/>
  <c r="BR124" i="10"/>
  <c r="BS124" i="10"/>
  <c r="BT124" i="10"/>
  <c r="BU124" i="10"/>
  <c r="BW124" i="10"/>
  <c r="BX124" i="10"/>
  <c r="BY124" i="10"/>
  <c r="BZ124" i="10"/>
  <c r="CB124" i="10"/>
  <c r="CC124" i="10"/>
  <c r="CD124" i="10"/>
  <c r="CE124" i="10"/>
  <c r="CG124" i="10"/>
  <c r="CH124" i="10"/>
  <c r="CI124" i="10"/>
  <c r="CJ124" i="10"/>
  <c r="CL124" i="10"/>
  <c r="CM124" i="10"/>
  <c r="CN124" i="10"/>
  <c r="CO124" i="10"/>
  <c r="DA124" i="10"/>
  <c r="DB124" i="10"/>
  <c r="DC124" i="10"/>
  <c r="DD124" i="10"/>
  <c r="DP124" i="10"/>
  <c r="DQ124" i="10"/>
  <c r="DR124" i="10"/>
  <c r="DS124" i="10"/>
  <c r="BR125" i="10"/>
  <c r="BS125" i="10"/>
  <c r="BT125" i="10"/>
  <c r="BU125" i="10"/>
  <c r="BW125" i="10"/>
  <c r="BX125" i="10"/>
  <c r="BY125" i="10"/>
  <c r="BZ125" i="10"/>
  <c r="CB125" i="10"/>
  <c r="CC125" i="10"/>
  <c r="CD125" i="10"/>
  <c r="CE125" i="10"/>
  <c r="CG125" i="10"/>
  <c r="CH125" i="10"/>
  <c r="CI125" i="10"/>
  <c r="CJ125" i="10"/>
  <c r="CL125" i="10"/>
  <c r="CM125" i="10"/>
  <c r="CN125" i="10"/>
  <c r="CO125" i="10"/>
  <c r="DA125" i="10"/>
  <c r="DB125" i="10"/>
  <c r="DC125" i="10"/>
  <c r="DD125" i="10"/>
  <c r="DP125" i="10"/>
  <c r="DQ125" i="10"/>
  <c r="DR125" i="10"/>
  <c r="DS125" i="10"/>
  <c r="BR126" i="10"/>
  <c r="BS126" i="10"/>
  <c r="BT126" i="10"/>
  <c r="BU126" i="10"/>
  <c r="BW126" i="10"/>
  <c r="BX126" i="10"/>
  <c r="BY126" i="10"/>
  <c r="BZ126" i="10"/>
  <c r="CB126" i="10"/>
  <c r="CC126" i="10"/>
  <c r="CD126" i="10"/>
  <c r="CE126" i="10"/>
  <c r="CG126" i="10"/>
  <c r="CH126" i="10"/>
  <c r="CI126" i="10"/>
  <c r="CJ126" i="10"/>
  <c r="CL126" i="10"/>
  <c r="CM126" i="10"/>
  <c r="CN126" i="10"/>
  <c r="CO126" i="10"/>
  <c r="DA126" i="10"/>
  <c r="DB126" i="10"/>
  <c r="DC126" i="10"/>
  <c r="DD126" i="10"/>
  <c r="DF126" i="10"/>
  <c r="DG126" i="10"/>
  <c r="DH126" i="10"/>
  <c r="DI126" i="10"/>
  <c r="BR127" i="10"/>
  <c r="BS127" i="10"/>
  <c r="BT127" i="10"/>
  <c r="BU127" i="10"/>
  <c r="BW127" i="10"/>
  <c r="BX127" i="10"/>
  <c r="BY127" i="10"/>
  <c r="BZ127" i="10"/>
  <c r="CB127" i="10"/>
  <c r="CC127" i="10"/>
  <c r="CD127" i="10"/>
  <c r="CE127" i="10"/>
  <c r="CG127" i="10"/>
  <c r="CH127" i="10"/>
  <c r="CI127" i="10"/>
  <c r="CJ127" i="10"/>
  <c r="CL127" i="10"/>
  <c r="CM127" i="10"/>
  <c r="CN127" i="10"/>
  <c r="CO127" i="10"/>
  <c r="CQ127" i="10"/>
  <c r="CR127" i="10"/>
  <c r="CS127" i="10"/>
  <c r="CT127" i="10"/>
  <c r="DF127" i="10"/>
  <c r="DG127" i="10"/>
  <c r="DH127" i="10"/>
  <c r="DI127" i="10"/>
  <c r="DK127" i="10"/>
  <c r="DL127" i="10"/>
  <c r="DM127" i="10"/>
  <c r="DN127" i="10"/>
  <c r="BR128" i="10"/>
  <c r="BS128" i="10"/>
  <c r="BT128" i="10"/>
  <c r="BU128" i="10"/>
  <c r="BW128" i="10"/>
  <c r="BX128" i="10"/>
  <c r="BY128" i="10"/>
  <c r="BZ128" i="10"/>
  <c r="CB128" i="10"/>
  <c r="CC128" i="10"/>
  <c r="CD128" i="10"/>
  <c r="CE128" i="10"/>
  <c r="CG128" i="10"/>
  <c r="CH128" i="10"/>
  <c r="CI128" i="10"/>
  <c r="CJ128" i="10"/>
  <c r="CL128" i="10"/>
  <c r="CM128" i="10"/>
  <c r="CN128" i="10"/>
  <c r="CO128" i="10"/>
  <c r="CQ128" i="10"/>
  <c r="CR128" i="10"/>
  <c r="CS128" i="10"/>
  <c r="CT128" i="10"/>
  <c r="DF128" i="10"/>
  <c r="DG128" i="10"/>
  <c r="DH128" i="10"/>
  <c r="DI128" i="10"/>
  <c r="DK128" i="10"/>
  <c r="DL128" i="10"/>
  <c r="DM128" i="10"/>
  <c r="DN128" i="10"/>
  <c r="DP128" i="10"/>
  <c r="DQ128" i="10"/>
  <c r="DR128" i="10"/>
  <c r="DS128" i="10"/>
  <c r="AU127" i="10"/>
  <c r="AP122" i="10"/>
  <c r="AP123" i="10"/>
  <c r="AP124" i="10"/>
  <c r="AP125" i="10"/>
  <c r="AP126" i="10"/>
  <c r="AU128" i="10"/>
  <c r="AZ130" i="10"/>
  <c r="AX130" i="10" s="1"/>
  <c r="L130" i="10"/>
  <c r="Q130" i="10"/>
  <c r="M130" i="10" s="1"/>
  <c r="V130" i="10"/>
  <c r="R130" i="10" s="1"/>
  <c r="AA130" i="10"/>
  <c r="Y130" i="10" s="1"/>
  <c r="AF130" i="10"/>
  <c r="AC130" i="10" s="1"/>
  <c r="AK130" i="10"/>
  <c r="AG130" i="10" s="1"/>
  <c r="AP130" i="10"/>
  <c r="AU130" i="10"/>
  <c r="AS130" i="10" s="1"/>
  <c r="BE130" i="10"/>
  <c r="BA130" i="10" s="1"/>
  <c r="BJ130" i="10"/>
  <c r="BF130" i="10" s="1"/>
  <c r="BO130" i="10"/>
  <c r="BM130" i="10" s="1"/>
  <c r="BR130" i="10"/>
  <c r="BS130" i="10"/>
  <c r="BT130" i="10"/>
  <c r="BU130" i="10"/>
  <c r="BW130" i="10"/>
  <c r="BX130" i="10"/>
  <c r="BY130" i="10"/>
  <c r="BZ130" i="10"/>
  <c r="CB130" i="10"/>
  <c r="CC130" i="10"/>
  <c r="CD130" i="10"/>
  <c r="CE130" i="10"/>
  <c r="CG130" i="10"/>
  <c r="CH130" i="10"/>
  <c r="CI130" i="10"/>
  <c r="CJ130" i="10"/>
  <c r="CL130" i="10"/>
  <c r="CM130" i="10"/>
  <c r="CN130" i="10"/>
  <c r="CO130" i="10"/>
  <c r="CQ130" i="10"/>
  <c r="CR130" i="10"/>
  <c r="CS130" i="10"/>
  <c r="CT130" i="10"/>
  <c r="CV130" i="10"/>
  <c r="CW130" i="10"/>
  <c r="CX130" i="10"/>
  <c r="CY130" i="10"/>
  <c r="DK130" i="10"/>
  <c r="DL130" i="10"/>
  <c r="DM130" i="10"/>
  <c r="DN130" i="10"/>
  <c r="DP130" i="10"/>
  <c r="DQ130" i="10"/>
  <c r="DR130" i="10"/>
  <c r="DS130" i="10"/>
  <c r="L133" i="10"/>
  <c r="Q133" i="10"/>
  <c r="M133" i="10" s="1"/>
  <c r="V133" i="10"/>
  <c r="R133" i="10" s="1"/>
  <c r="AA133" i="10"/>
  <c r="X133" i="10" s="1"/>
  <c r="AF133" i="10"/>
  <c r="AB133" i="10" s="1"/>
  <c r="AK133" i="10"/>
  <c r="AG133" i="10" s="1"/>
  <c r="AP133" i="10"/>
  <c r="AL133" i="10" s="1"/>
  <c r="AU133" i="10"/>
  <c r="AR133" i="10" s="1"/>
  <c r="AZ133" i="10"/>
  <c r="AV133" i="10" s="1"/>
  <c r="BE133" i="10"/>
  <c r="BB133" i="10" s="1"/>
  <c r="BJ133" i="10"/>
  <c r="BF133" i="10" s="1"/>
  <c r="BO133" i="10"/>
  <c r="BL133" i="10" s="1"/>
  <c r="L134" i="10"/>
  <c r="Q134" i="10"/>
  <c r="M134" i="10" s="1"/>
  <c r="V134" i="10"/>
  <c r="R134" i="10" s="1"/>
  <c r="AA134" i="10"/>
  <c r="X134" i="10" s="1"/>
  <c r="AF134" i="10"/>
  <c r="AB134" i="10" s="1"/>
  <c r="AK134" i="10"/>
  <c r="AG134" i="10" s="1"/>
  <c r="AP134" i="10"/>
  <c r="AL134" i="10" s="1"/>
  <c r="AU134" i="10"/>
  <c r="AR134" i="10" s="1"/>
  <c r="AZ134" i="10"/>
  <c r="AV134" i="10" s="1"/>
  <c r="BE134" i="10"/>
  <c r="BB134" i="10" s="1"/>
  <c r="BJ134" i="10"/>
  <c r="BF134" i="10" s="1"/>
  <c r="BO134" i="10"/>
  <c r="BL134" i="10" s="1"/>
  <c r="L135" i="10"/>
  <c r="Q135" i="10"/>
  <c r="M135" i="10" s="1"/>
  <c r="V135" i="10"/>
  <c r="R135" i="10" s="1"/>
  <c r="AA135" i="10"/>
  <c r="X135" i="10" s="1"/>
  <c r="AF135" i="10"/>
  <c r="AB135" i="10" s="1"/>
  <c r="AK135" i="10"/>
  <c r="AG135" i="10" s="1"/>
  <c r="AU135" i="10"/>
  <c r="AR135" i="10" s="1"/>
  <c r="AZ135" i="10"/>
  <c r="AV135" i="10" s="1"/>
  <c r="BE135" i="10"/>
  <c r="BA135" i="10" s="1"/>
  <c r="BJ135" i="10"/>
  <c r="BF135" i="10" s="1"/>
  <c r="BO135" i="10"/>
  <c r="BL135" i="10" s="1"/>
  <c r="L136" i="10"/>
  <c r="Q136" i="10"/>
  <c r="M136" i="10" s="1"/>
  <c r="V136" i="10"/>
  <c r="R136" i="10" s="1"/>
  <c r="AA136" i="10"/>
  <c r="Z136" i="10" s="1"/>
  <c r="AF136" i="10"/>
  <c r="AB136" i="10" s="1"/>
  <c r="AK136" i="10"/>
  <c r="AJ136" i="10" s="1"/>
  <c r="AP136" i="10"/>
  <c r="AN136" i="10" s="1"/>
  <c r="AU136" i="10"/>
  <c r="AR136" i="10" s="1"/>
  <c r="AZ136" i="10"/>
  <c r="AV136" i="10" s="1"/>
  <c r="BE136" i="10"/>
  <c r="BD136" i="10" s="1"/>
  <c r="BJ136" i="10"/>
  <c r="BH136" i="10" s="1"/>
  <c r="BO136" i="10"/>
  <c r="BL136" i="10" s="1"/>
  <c r="L137" i="10"/>
  <c r="Q137" i="10"/>
  <c r="P137" i="10" s="1"/>
  <c r="V137" i="10"/>
  <c r="T137" i="10" s="1"/>
  <c r="AA137" i="10"/>
  <c r="X137" i="10" s="1"/>
  <c r="AF137" i="10"/>
  <c r="AB137" i="10" s="1"/>
  <c r="AK137" i="10"/>
  <c r="AJ137" i="10" s="1"/>
  <c r="AP137" i="10"/>
  <c r="AN137" i="10" s="1"/>
  <c r="AU137" i="10"/>
  <c r="AQ137" i="10" s="1"/>
  <c r="AZ137" i="10"/>
  <c r="AY137" i="10" s="1"/>
  <c r="BE137" i="10"/>
  <c r="BA137" i="10" s="1"/>
  <c r="BJ137" i="10"/>
  <c r="BH137" i="10" s="1"/>
  <c r="BO137" i="10"/>
  <c r="BK137" i="10" s="1"/>
  <c r="BR133" i="10"/>
  <c r="BS133" i="10"/>
  <c r="BT133" i="10"/>
  <c r="BU133" i="10"/>
  <c r="BW133" i="10"/>
  <c r="BX133" i="10"/>
  <c r="BY133" i="10"/>
  <c r="BZ133" i="10"/>
  <c r="CB133" i="10"/>
  <c r="CC133" i="10"/>
  <c r="CD133" i="10"/>
  <c r="CE133" i="10"/>
  <c r="CG133" i="10"/>
  <c r="CH133" i="10"/>
  <c r="CI133" i="10"/>
  <c r="CJ133" i="10"/>
  <c r="CL133" i="10"/>
  <c r="CM133" i="10"/>
  <c r="CN133" i="10"/>
  <c r="CO133" i="10"/>
  <c r="CQ133" i="10"/>
  <c r="CR133" i="10"/>
  <c r="CS133" i="10"/>
  <c r="CT133" i="10"/>
  <c r="CV133" i="10"/>
  <c r="CW133" i="10"/>
  <c r="CX133" i="10"/>
  <c r="CY133" i="10"/>
  <c r="DA133" i="10"/>
  <c r="DB133" i="10"/>
  <c r="DC133" i="10"/>
  <c r="DD133" i="10"/>
  <c r="DF133" i="10"/>
  <c r="DG133" i="10"/>
  <c r="DH133" i="10"/>
  <c r="DI133" i="10"/>
  <c r="DK133" i="10"/>
  <c r="DL133" i="10"/>
  <c r="DM133" i="10"/>
  <c r="DN133" i="10"/>
  <c r="DP133" i="10"/>
  <c r="DQ133" i="10"/>
  <c r="DR133" i="10"/>
  <c r="DS133" i="10"/>
  <c r="BR134" i="10"/>
  <c r="BS134" i="10"/>
  <c r="BT134" i="10"/>
  <c r="BU134" i="10"/>
  <c r="BW134" i="10"/>
  <c r="BX134" i="10"/>
  <c r="BY134" i="10"/>
  <c r="BZ134" i="10"/>
  <c r="CB134" i="10"/>
  <c r="CC134" i="10"/>
  <c r="CD134" i="10"/>
  <c r="CE134" i="10"/>
  <c r="CG134" i="10"/>
  <c r="CH134" i="10"/>
  <c r="CI134" i="10"/>
  <c r="CJ134" i="10"/>
  <c r="CL134" i="10"/>
  <c r="CM134" i="10"/>
  <c r="CN134" i="10"/>
  <c r="CO134" i="10"/>
  <c r="CQ134" i="10"/>
  <c r="CR134" i="10"/>
  <c r="CS134" i="10"/>
  <c r="CT134" i="10"/>
  <c r="CV134" i="10"/>
  <c r="CW134" i="10"/>
  <c r="CX134" i="10"/>
  <c r="CY134" i="10"/>
  <c r="DA134" i="10"/>
  <c r="DB134" i="10"/>
  <c r="DC134" i="10"/>
  <c r="DD134" i="10"/>
  <c r="DP134" i="10"/>
  <c r="DQ134" i="10"/>
  <c r="DR134" i="10"/>
  <c r="DS134" i="10"/>
  <c r="BR135" i="10"/>
  <c r="BS135" i="10"/>
  <c r="BT135" i="10"/>
  <c r="BU135" i="10"/>
  <c r="BW135" i="10"/>
  <c r="BX135" i="10"/>
  <c r="BY135" i="10"/>
  <c r="BZ135" i="10"/>
  <c r="CB135" i="10"/>
  <c r="CC135" i="10"/>
  <c r="CD135" i="10"/>
  <c r="CE135" i="10"/>
  <c r="CG135" i="10"/>
  <c r="CH135" i="10"/>
  <c r="CI135" i="10"/>
  <c r="CJ135" i="10"/>
  <c r="CL135" i="10"/>
  <c r="CM135" i="10"/>
  <c r="CN135" i="10"/>
  <c r="CO135" i="10"/>
  <c r="DA135" i="10"/>
  <c r="DB135" i="10"/>
  <c r="DC135" i="10"/>
  <c r="DD135" i="10"/>
  <c r="DF135" i="10"/>
  <c r="DG135" i="10"/>
  <c r="DH135" i="10"/>
  <c r="DI135" i="10"/>
  <c r="DK135" i="10"/>
  <c r="DL135" i="10"/>
  <c r="DM135" i="10"/>
  <c r="DN135" i="10"/>
  <c r="DP135" i="10"/>
  <c r="DQ135" i="10"/>
  <c r="DR135" i="10"/>
  <c r="DS135" i="10"/>
  <c r="BR136" i="10"/>
  <c r="BS136" i="10"/>
  <c r="BT136" i="10"/>
  <c r="BU136" i="10"/>
  <c r="BW136" i="10"/>
  <c r="BX136" i="10"/>
  <c r="BY136" i="10"/>
  <c r="BZ136" i="10"/>
  <c r="CB136" i="10"/>
  <c r="CC136" i="10"/>
  <c r="CD136" i="10"/>
  <c r="CE136" i="10"/>
  <c r="CG136" i="10"/>
  <c r="CH136" i="10"/>
  <c r="CI136" i="10"/>
  <c r="CJ136" i="10"/>
  <c r="CL136" i="10"/>
  <c r="CM136" i="10"/>
  <c r="CN136" i="10"/>
  <c r="CO136" i="10"/>
  <c r="CQ136" i="10"/>
  <c r="CR136" i="10"/>
  <c r="CS136" i="10"/>
  <c r="CT136" i="10"/>
  <c r="CV136" i="10"/>
  <c r="CW136" i="10"/>
  <c r="CX136" i="10"/>
  <c r="CY136" i="10"/>
  <c r="DA136" i="10"/>
  <c r="DB136" i="10"/>
  <c r="DC136" i="10"/>
  <c r="DD136" i="10"/>
  <c r="DF136" i="10"/>
  <c r="DG136" i="10"/>
  <c r="DH136" i="10"/>
  <c r="DI136" i="10"/>
  <c r="DK136" i="10"/>
  <c r="DL136" i="10"/>
  <c r="DM136" i="10"/>
  <c r="DN136" i="10"/>
  <c r="DP136" i="10"/>
  <c r="DQ136" i="10"/>
  <c r="DR136" i="10"/>
  <c r="DS136" i="10"/>
  <c r="BR137" i="10"/>
  <c r="BS137" i="10"/>
  <c r="BT137" i="10"/>
  <c r="BU137" i="10"/>
  <c r="BW137" i="10"/>
  <c r="BX137" i="10"/>
  <c r="BY137" i="10"/>
  <c r="BZ137" i="10"/>
  <c r="CB137" i="10"/>
  <c r="CC137" i="10"/>
  <c r="CD137" i="10"/>
  <c r="CE137" i="10"/>
  <c r="CG137" i="10"/>
  <c r="CH137" i="10"/>
  <c r="CI137" i="10"/>
  <c r="CJ137" i="10"/>
  <c r="CL137" i="10"/>
  <c r="CM137" i="10"/>
  <c r="CN137" i="10"/>
  <c r="CO137" i="10"/>
  <c r="CQ137" i="10"/>
  <c r="CR137" i="10"/>
  <c r="CS137" i="10"/>
  <c r="CT137" i="10"/>
  <c r="CV137" i="10"/>
  <c r="CW137" i="10"/>
  <c r="CX137" i="10"/>
  <c r="CY137" i="10"/>
  <c r="DA137" i="10"/>
  <c r="DB137" i="10"/>
  <c r="DC137" i="10"/>
  <c r="DD137" i="10"/>
  <c r="DF137" i="10"/>
  <c r="DG137" i="10"/>
  <c r="DH137" i="10"/>
  <c r="DI137" i="10"/>
  <c r="DK137" i="10"/>
  <c r="DL137" i="10"/>
  <c r="DM137" i="10"/>
  <c r="DN137" i="10"/>
  <c r="DP137" i="10"/>
  <c r="DQ137" i="10"/>
  <c r="DR137" i="10"/>
  <c r="DS137" i="10"/>
  <c r="AP135" i="10"/>
  <c r="L142" i="10"/>
  <c r="Q142" i="10"/>
  <c r="M142" i="10" s="1"/>
  <c r="V142" i="10"/>
  <c r="U142" i="10" s="1"/>
  <c r="AA142" i="10"/>
  <c r="W142" i="10" s="1"/>
  <c r="AF142" i="10"/>
  <c r="AB142" i="10" s="1"/>
  <c r="AK142" i="10"/>
  <c r="AG142" i="10" s="1"/>
  <c r="AP142" i="10"/>
  <c r="AO142" i="10" s="1"/>
  <c r="AU142" i="10"/>
  <c r="AZ142" i="10"/>
  <c r="AV142" i="10" s="1"/>
  <c r="BE142" i="10"/>
  <c r="BA142" i="10" s="1"/>
  <c r="BJ142" i="10"/>
  <c r="BI142" i="10" s="1"/>
  <c r="BO142" i="10"/>
  <c r="BK142" i="10" s="1"/>
  <c r="L143" i="10"/>
  <c r="Q143" i="10"/>
  <c r="M143" i="10" s="1"/>
  <c r="V143" i="10"/>
  <c r="U143" i="10" s="1"/>
  <c r="AA143" i="10"/>
  <c r="W143" i="10" s="1"/>
  <c r="AF143" i="10"/>
  <c r="AB143" i="10" s="1"/>
  <c r="AK143" i="10"/>
  <c r="AP143" i="10"/>
  <c r="AO143" i="10" s="1"/>
  <c r="AU143" i="10"/>
  <c r="AZ143" i="10"/>
  <c r="AV143" i="10" s="1"/>
  <c r="BE143" i="10"/>
  <c r="BA143" i="10" s="1"/>
  <c r="BJ143" i="10"/>
  <c r="BI143" i="10" s="1"/>
  <c r="BO143" i="10"/>
  <c r="BK143" i="10" s="1"/>
  <c r="L144" i="10"/>
  <c r="Q144" i="10"/>
  <c r="M144" i="10" s="1"/>
  <c r="V144" i="10"/>
  <c r="U144" i="10" s="1"/>
  <c r="AA144" i="10"/>
  <c r="W144" i="10" s="1"/>
  <c r="AF144" i="10"/>
  <c r="AB144" i="10" s="1"/>
  <c r="AK144" i="10"/>
  <c r="AG144" i="10" s="1"/>
  <c r="AP144" i="10"/>
  <c r="AO144" i="10" s="1"/>
  <c r="AZ144" i="10"/>
  <c r="BE144" i="10"/>
  <c r="BA144" i="10" s="1"/>
  <c r="BJ144" i="10"/>
  <c r="BI144" i="10" s="1"/>
  <c r="BO144" i="10"/>
  <c r="BR142" i="10"/>
  <c r="BS142" i="10"/>
  <c r="BT142" i="10"/>
  <c r="BU142" i="10"/>
  <c r="BW142" i="10"/>
  <c r="BX142" i="10"/>
  <c r="BY142" i="10"/>
  <c r="BZ142" i="10"/>
  <c r="CB142" i="10"/>
  <c r="CC142" i="10"/>
  <c r="CD142" i="10"/>
  <c r="CE142" i="10"/>
  <c r="CG142" i="10"/>
  <c r="CH142" i="10"/>
  <c r="CI142" i="10"/>
  <c r="CJ142" i="10"/>
  <c r="CL142" i="10"/>
  <c r="CM142" i="10"/>
  <c r="CN142" i="10"/>
  <c r="CO142" i="10"/>
  <c r="CQ142" i="10"/>
  <c r="CR142" i="10"/>
  <c r="CS142" i="10"/>
  <c r="CT142" i="10"/>
  <c r="CV142" i="10"/>
  <c r="CW142" i="10"/>
  <c r="CX142" i="10"/>
  <c r="CY142" i="10"/>
  <c r="DA142" i="10"/>
  <c r="DB142" i="10"/>
  <c r="DC142" i="10"/>
  <c r="DD142" i="10"/>
  <c r="DF142" i="10"/>
  <c r="DG142" i="10"/>
  <c r="DH142" i="10"/>
  <c r="DI142" i="10"/>
  <c r="BR143" i="10"/>
  <c r="BS143" i="10"/>
  <c r="BT143" i="10"/>
  <c r="BU143" i="10"/>
  <c r="BW143" i="10"/>
  <c r="BX143" i="10"/>
  <c r="BY143" i="10"/>
  <c r="BZ143" i="10"/>
  <c r="CB143" i="10"/>
  <c r="CC143" i="10"/>
  <c r="CD143" i="10"/>
  <c r="CE143" i="10"/>
  <c r="CG143" i="10"/>
  <c r="CH143" i="10"/>
  <c r="CI143" i="10"/>
  <c r="CJ143" i="10"/>
  <c r="CL143" i="10"/>
  <c r="CM143" i="10"/>
  <c r="CN143" i="10"/>
  <c r="CO143" i="10"/>
  <c r="CQ143" i="10"/>
  <c r="CR143" i="10"/>
  <c r="CS143" i="10"/>
  <c r="CT143" i="10"/>
  <c r="CV143" i="10"/>
  <c r="CW143" i="10"/>
  <c r="CX143" i="10"/>
  <c r="CY143" i="10"/>
  <c r="DA143" i="10"/>
  <c r="DB143" i="10"/>
  <c r="DC143" i="10"/>
  <c r="DD143" i="10"/>
  <c r="DF143" i="10"/>
  <c r="DG143" i="10"/>
  <c r="DH143" i="10"/>
  <c r="DI143" i="10"/>
  <c r="DK143" i="10"/>
  <c r="DL143" i="10"/>
  <c r="DM143" i="10"/>
  <c r="DN143" i="10"/>
  <c r="DP143" i="10"/>
  <c r="DQ143" i="10"/>
  <c r="DR143" i="10"/>
  <c r="DS143" i="10"/>
  <c r="BR144" i="10"/>
  <c r="BS144" i="10"/>
  <c r="BT144" i="10"/>
  <c r="BU144" i="10"/>
  <c r="BW144" i="10"/>
  <c r="BX144" i="10"/>
  <c r="BY144" i="10"/>
  <c r="BZ144" i="10"/>
  <c r="CB144" i="10"/>
  <c r="CC144" i="10"/>
  <c r="CD144" i="10"/>
  <c r="CE144" i="10"/>
  <c r="CG144" i="10"/>
  <c r="CH144" i="10"/>
  <c r="CI144" i="10"/>
  <c r="CJ144" i="10"/>
  <c r="CL144" i="10"/>
  <c r="CM144" i="10"/>
  <c r="CN144" i="10"/>
  <c r="CO144" i="10"/>
  <c r="CQ144" i="10"/>
  <c r="CR144" i="10"/>
  <c r="CS144" i="10"/>
  <c r="CT144" i="10"/>
  <c r="DF144" i="10"/>
  <c r="DG144" i="10"/>
  <c r="DH144" i="10"/>
  <c r="DI144" i="10"/>
  <c r="DK144" i="10"/>
  <c r="DL144" i="10"/>
  <c r="DM144" i="10"/>
  <c r="DN144" i="10"/>
  <c r="DP144" i="10"/>
  <c r="DQ144" i="10"/>
  <c r="DR144" i="10"/>
  <c r="DS144" i="10"/>
  <c r="AU144" i="10"/>
  <c r="L146" i="10"/>
  <c r="Q146" i="10"/>
  <c r="P146" i="10" s="1"/>
  <c r="V146" i="10"/>
  <c r="T146" i="10" s="1"/>
  <c r="AA146" i="10"/>
  <c r="X146" i="10" s="1"/>
  <c r="AF146" i="10"/>
  <c r="AB146" i="10" s="1"/>
  <c r="AK146" i="10"/>
  <c r="AJ146" i="10" s="1"/>
  <c r="AP146" i="10"/>
  <c r="AN146" i="10" s="1"/>
  <c r="AU146" i="10"/>
  <c r="AR146" i="10" s="1"/>
  <c r="BE146" i="10"/>
  <c r="BD146" i="10" s="1"/>
  <c r="BJ146" i="10"/>
  <c r="BH146" i="10" s="1"/>
  <c r="BO146" i="10"/>
  <c r="BL146" i="10" s="1"/>
  <c r="L147" i="10"/>
  <c r="Q147" i="10"/>
  <c r="P147" i="10" s="1"/>
  <c r="V147" i="10"/>
  <c r="T147" i="10" s="1"/>
  <c r="AA147" i="10"/>
  <c r="X147" i="10" s="1"/>
  <c r="AF147" i="10"/>
  <c r="AB147" i="10" s="1"/>
  <c r="AK147" i="10"/>
  <c r="AJ147" i="10" s="1"/>
  <c r="AP147" i="10"/>
  <c r="AN147" i="10" s="1"/>
  <c r="AU147" i="10"/>
  <c r="AR147" i="10" s="1"/>
  <c r="AZ147" i="10"/>
  <c r="AV147" i="10" s="1"/>
  <c r="BJ147" i="10"/>
  <c r="BH147" i="10" s="1"/>
  <c r="BO147" i="10"/>
  <c r="BL147" i="10" s="1"/>
  <c r="BR146" i="10"/>
  <c r="BS146" i="10"/>
  <c r="BT146" i="10"/>
  <c r="BU146" i="10"/>
  <c r="BW146" i="10"/>
  <c r="BX146" i="10"/>
  <c r="BY146" i="10"/>
  <c r="BZ146" i="10"/>
  <c r="CB146" i="10"/>
  <c r="CC146" i="10"/>
  <c r="CD146" i="10"/>
  <c r="CE146" i="10"/>
  <c r="CG146" i="10"/>
  <c r="CH146" i="10"/>
  <c r="CI146" i="10"/>
  <c r="CJ146" i="10"/>
  <c r="CL146" i="10"/>
  <c r="CM146" i="10"/>
  <c r="CN146" i="10"/>
  <c r="CO146" i="10"/>
  <c r="CQ146" i="10"/>
  <c r="CR146" i="10"/>
  <c r="CS146" i="10"/>
  <c r="CT146" i="10"/>
  <c r="CV146" i="10"/>
  <c r="CW146" i="10"/>
  <c r="CX146" i="10"/>
  <c r="CY146" i="10"/>
  <c r="DK146" i="10"/>
  <c r="DL146" i="10"/>
  <c r="DM146" i="10"/>
  <c r="DN146" i="10"/>
  <c r="DP146" i="10"/>
  <c r="DQ146" i="10"/>
  <c r="DR146" i="10"/>
  <c r="DS146" i="10"/>
  <c r="BR147" i="10"/>
  <c r="BS147" i="10"/>
  <c r="BT147" i="10"/>
  <c r="BU147" i="10"/>
  <c r="BW147" i="10"/>
  <c r="BX147" i="10"/>
  <c r="BY147" i="10"/>
  <c r="BZ147" i="10"/>
  <c r="CB147" i="10"/>
  <c r="CC147" i="10"/>
  <c r="CD147" i="10"/>
  <c r="CE147" i="10"/>
  <c r="CG147" i="10"/>
  <c r="CH147" i="10"/>
  <c r="CI147" i="10"/>
  <c r="CJ147" i="10"/>
  <c r="CL147" i="10"/>
  <c r="CM147" i="10"/>
  <c r="CN147" i="10"/>
  <c r="CO147" i="10"/>
  <c r="CQ147" i="10"/>
  <c r="CR147" i="10"/>
  <c r="CS147" i="10"/>
  <c r="CT147" i="10"/>
  <c r="CV147" i="10"/>
  <c r="CW147" i="10"/>
  <c r="CX147" i="10"/>
  <c r="CY147" i="10"/>
  <c r="DA147" i="10"/>
  <c r="DB147" i="10"/>
  <c r="DC147" i="10"/>
  <c r="DD147" i="10"/>
  <c r="DP147" i="10"/>
  <c r="DQ147" i="10"/>
  <c r="DR147" i="10"/>
  <c r="DS147" i="10"/>
  <c r="AZ146" i="10"/>
  <c r="BE147" i="10"/>
  <c r="AU149" i="10"/>
  <c r="L149" i="10"/>
  <c r="Q149" i="10"/>
  <c r="M149" i="10" s="1"/>
  <c r="V149" i="10"/>
  <c r="U149" i="10" s="1"/>
  <c r="AA149" i="10"/>
  <c r="Y149" i="10" s="1"/>
  <c r="AF149" i="10"/>
  <c r="AC149" i="10" s="1"/>
  <c r="AK149" i="10"/>
  <c r="AG149" i="10" s="1"/>
  <c r="AP149" i="10"/>
  <c r="AO149" i="10" s="1"/>
  <c r="AZ149" i="10"/>
  <c r="BE149" i="10"/>
  <c r="BA149" i="10" s="1"/>
  <c r="BJ149" i="10"/>
  <c r="BI149" i="10" s="1"/>
  <c r="BO149" i="10"/>
  <c r="BM149" i="10" s="1"/>
  <c r="BR149" i="10"/>
  <c r="BS149" i="10"/>
  <c r="BT149" i="10"/>
  <c r="BU149" i="10"/>
  <c r="BW149" i="10"/>
  <c r="BX149" i="10"/>
  <c r="BY149" i="10"/>
  <c r="BZ149" i="10"/>
  <c r="CB149" i="10"/>
  <c r="CC149" i="10"/>
  <c r="CD149" i="10"/>
  <c r="CE149" i="10"/>
  <c r="CG149" i="10"/>
  <c r="CH149" i="10"/>
  <c r="CI149" i="10"/>
  <c r="CJ149" i="10"/>
  <c r="CL149" i="10"/>
  <c r="CM149" i="10"/>
  <c r="CN149" i="10"/>
  <c r="CO149" i="10"/>
  <c r="CQ149" i="10"/>
  <c r="CR149" i="10"/>
  <c r="CS149" i="10"/>
  <c r="CT149" i="10"/>
  <c r="DF149" i="10"/>
  <c r="DG149" i="10"/>
  <c r="DH149" i="10"/>
  <c r="DI149" i="10"/>
  <c r="DK149" i="10"/>
  <c r="DL149" i="10"/>
  <c r="DM149" i="10"/>
  <c r="DN149" i="10"/>
  <c r="DP149" i="10"/>
  <c r="DQ149" i="10"/>
  <c r="DR149" i="10"/>
  <c r="DS149" i="10"/>
  <c r="L152" i="10"/>
  <c r="Q152" i="10"/>
  <c r="M152" i="10" s="1"/>
  <c r="V152" i="10"/>
  <c r="U152" i="10" s="1"/>
  <c r="AA152" i="10"/>
  <c r="Y152" i="10" s="1"/>
  <c r="AF152" i="10"/>
  <c r="AK152" i="10"/>
  <c r="AG152" i="10" s="1"/>
  <c r="AP152" i="10"/>
  <c r="AO152" i="10" s="1"/>
  <c r="AZ152" i="10"/>
  <c r="AW152" i="10" s="1"/>
  <c r="BE152" i="10"/>
  <c r="BA152" i="10" s="1"/>
  <c r="BJ152" i="10"/>
  <c r="BI152" i="10" s="1"/>
  <c r="BO152" i="10"/>
  <c r="BM152" i="10" s="1"/>
  <c r="L153" i="10"/>
  <c r="Q153" i="10"/>
  <c r="M153" i="10" s="1"/>
  <c r="V153" i="10"/>
  <c r="U153" i="10" s="1"/>
  <c r="AA153" i="10"/>
  <c r="Y153" i="10" s="1"/>
  <c r="AF153" i="10"/>
  <c r="AC153" i="10" s="1"/>
  <c r="AK153" i="10"/>
  <c r="AG153" i="10" s="1"/>
  <c r="AP153" i="10"/>
  <c r="AO153" i="10" s="1"/>
  <c r="AU153" i="10"/>
  <c r="AS153" i="10" s="1"/>
  <c r="BE153" i="10"/>
  <c r="BA153" i="10" s="1"/>
  <c r="BJ153" i="10"/>
  <c r="BI153" i="10" s="1"/>
  <c r="BO153" i="10"/>
  <c r="BM153" i="10" s="1"/>
  <c r="L154" i="10"/>
  <c r="Q154" i="10"/>
  <c r="M154" i="10" s="1"/>
  <c r="V154" i="10"/>
  <c r="U154" i="10" s="1"/>
  <c r="AA154" i="10"/>
  <c r="Y154" i="10" s="1"/>
  <c r="AF154" i="10"/>
  <c r="AC154" i="10" s="1"/>
  <c r="AK154" i="10"/>
  <c r="AG154" i="10" s="1"/>
  <c r="AP154" i="10"/>
  <c r="AO154" i="10" s="1"/>
  <c r="AU154" i="10"/>
  <c r="AS154" i="10" s="1"/>
  <c r="AZ154" i="10"/>
  <c r="AW154" i="10" s="1"/>
  <c r="BJ154" i="10"/>
  <c r="BI154" i="10" s="1"/>
  <c r="BO154" i="10"/>
  <c r="BM154" i="10" s="1"/>
  <c r="L155" i="10"/>
  <c r="Q155" i="10"/>
  <c r="V155" i="10"/>
  <c r="U155" i="10" s="1"/>
  <c r="AA155" i="10"/>
  <c r="Y155" i="10" s="1"/>
  <c r="AF155" i="10"/>
  <c r="AC155" i="10" s="1"/>
  <c r="AK155" i="10"/>
  <c r="AG155" i="10" s="1"/>
  <c r="AP155" i="10"/>
  <c r="AO155" i="10" s="1"/>
  <c r="AU155" i="10"/>
  <c r="AS155" i="10" s="1"/>
  <c r="AZ155" i="10"/>
  <c r="AW155" i="10" s="1"/>
  <c r="BE155" i="10"/>
  <c r="BA155" i="10" s="1"/>
  <c r="BJ155" i="10"/>
  <c r="BI155" i="10" s="1"/>
  <c r="BO155" i="10"/>
  <c r="L156" i="10"/>
  <c r="Q156" i="10"/>
  <c r="M156" i="10" s="1"/>
  <c r="V156" i="10"/>
  <c r="U156" i="10" s="1"/>
  <c r="AA156" i="10"/>
  <c r="AF156" i="10"/>
  <c r="AC156" i="10" s="1"/>
  <c r="AK156" i="10"/>
  <c r="AG156" i="10" s="1"/>
  <c r="AP156" i="10"/>
  <c r="AO156" i="10" s="1"/>
  <c r="AU156" i="10"/>
  <c r="AS156" i="10" s="1"/>
  <c r="AZ156" i="10"/>
  <c r="AW156" i="10" s="1"/>
  <c r="BE156" i="10"/>
  <c r="BJ156" i="10"/>
  <c r="BI156" i="10" s="1"/>
  <c r="BO156" i="10"/>
  <c r="BM156" i="10" s="1"/>
  <c r="L157" i="10"/>
  <c r="Q157" i="10"/>
  <c r="M157" i="10" s="1"/>
  <c r="V157" i="10"/>
  <c r="U157" i="10" s="1"/>
  <c r="AA157" i="10"/>
  <c r="Y157" i="10" s="1"/>
  <c r="AF157" i="10"/>
  <c r="AC157" i="10" s="1"/>
  <c r="AK157" i="10"/>
  <c r="AG157" i="10" s="1"/>
  <c r="AP157" i="10"/>
  <c r="AO157" i="10" s="1"/>
  <c r="AU157" i="10"/>
  <c r="AS157" i="10" s="1"/>
  <c r="AZ157" i="10"/>
  <c r="AW157" i="10" s="1"/>
  <c r="BE157" i="10"/>
  <c r="BA157" i="10" s="1"/>
  <c r="BJ157" i="10"/>
  <c r="BI157" i="10" s="1"/>
  <c r="BO157" i="10"/>
  <c r="L158" i="10"/>
  <c r="Q158" i="10"/>
  <c r="V158" i="10"/>
  <c r="U158" i="10" s="1"/>
  <c r="AA158" i="10"/>
  <c r="Y158" i="10" s="1"/>
  <c r="AF158" i="10"/>
  <c r="AC158" i="10" s="1"/>
  <c r="AK158" i="10"/>
  <c r="AG158" i="10" s="1"/>
  <c r="AP158" i="10"/>
  <c r="AO158" i="10" s="1"/>
  <c r="AU158" i="10"/>
  <c r="AS158" i="10" s="1"/>
  <c r="AZ158" i="10"/>
  <c r="AW158" i="10" s="1"/>
  <c r="BE158" i="10"/>
  <c r="BA158" i="10" s="1"/>
  <c r="BJ158" i="10"/>
  <c r="BI158" i="10" s="1"/>
  <c r="BO158" i="10"/>
  <c r="BM158" i="10" s="1"/>
  <c r="BR152" i="10"/>
  <c r="BS152" i="10"/>
  <c r="BT152" i="10"/>
  <c r="BU152" i="10"/>
  <c r="BW152" i="10"/>
  <c r="BX152" i="10"/>
  <c r="BY152" i="10"/>
  <c r="BZ152" i="10"/>
  <c r="CB152" i="10"/>
  <c r="CC152" i="10"/>
  <c r="CD152" i="10"/>
  <c r="CE152" i="10"/>
  <c r="CG152" i="10"/>
  <c r="CH152" i="10"/>
  <c r="CI152" i="10"/>
  <c r="CJ152" i="10"/>
  <c r="CL152" i="10"/>
  <c r="CM152" i="10"/>
  <c r="CN152" i="10"/>
  <c r="CO152" i="10"/>
  <c r="CQ152" i="10"/>
  <c r="CR152" i="10"/>
  <c r="CS152" i="10"/>
  <c r="CT152" i="10"/>
  <c r="DF152" i="10"/>
  <c r="DG152" i="10"/>
  <c r="DH152" i="10"/>
  <c r="DI152" i="10"/>
  <c r="DK152" i="10"/>
  <c r="DL152" i="10"/>
  <c r="DM152" i="10"/>
  <c r="DN152" i="10"/>
  <c r="DP152" i="10"/>
  <c r="DQ152" i="10"/>
  <c r="DR152" i="10"/>
  <c r="DS152" i="10"/>
  <c r="BR153" i="10"/>
  <c r="BS153" i="10"/>
  <c r="BT153" i="10"/>
  <c r="BU153" i="10"/>
  <c r="BW153" i="10"/>
  <c r="BX153" i="10"/>
  <c r="BY153" i="10"/>
  <c r="BZ153" i="10"/>
  <c r="CB153" i="10"/>
  <c r="CC153" i="10"/>
  <c r="CD153" i="10"/>
  <c r="CE153" i="10"/>
  <c r="CG153" i="10"/>
  <c r="CH153" i="10"/>
  <c r="CI153" i="10"/>
  <c r="CJ153" i="10"/>
  <c r="CL153" i="10"/>
  <c r="CM153" i="10"/>
  <c r="CN153" i="10"/>
  <c r="CO153" i="10"/>
  <c r="CQ153" i="10"/>
  <c r="CR153" i="10"/>
  <c r="CS153" i="10"/>
  <c r="CT153" i="10"/>
  <c r="CV153" i="10"/>
  <c r="CW153" i="10"/>
  <c r="CX153" i="10"/>
  <c r="CY153" i="10"/>
  <c r="DK153" i="10"/>
  <c r="DL153" i="10"/>
  <c r="DM153" i="10"/>
  <c r="DN153" i="10"/>
  <c r="DP153" i="10"/>
  <c r="DQ153" i="10"/>
  <c r="DR153" i="10"/>
  <c r="DS153" i="10"/>
  <c r="BR154" i="10"/>
  <c r="BS154" i="10"/>
  <c r="BT154" i="10"/>
  <c r="BU154" i="10"/>
  <c r="BW154" i="10"/>
  <c r="BX154" i="10"/>
  <c r="BY154" i="10"/>
  <c r="BZ154" i="10"/>
  <c r="CB154" i="10"/>
  <c r="CC154" i="10"/>
  <c r="CD154" i="10"/>
  <c r="CE154" i="10"/>
  <c r="CG154" i="10"/>
  <c r="CH154" i="10"/>
  <c r="CI154" i="10"/>
  <c r="CJ154" i="10"/>
  <c r="CL154" i="10"/>
  <c r="CM154" i="10"/>
  <c r="CN154" i="10"/>
  <c r="CO154" i="10"/>
  <c r="CQ154" i="10"/>
  <c r="CR154" i="10"/>
  <c r="CS154" i="10"/>
  <c r="CT154" i="10"/>
  <c r="CV154" i="10"/>
  <c r="CW154" i="10"/>
  <c r="CX154" i="10"/>
  <c r="CY154" i="10"/>
  <c r="DA154" i="10"/>
  <c r="DB154" i="10"/>
  <c r="DC154" i="10"/>
  <c r="DD154" i="10"/>
  <c r="DP154" i="10"/>
  <c r="DQ154" i="10"/>
  <c r="DR154" i="10"/>
  <c r="DS154" i="10"/>
  <c r="BR155" i="10"/>
  <c r="BS155" i="10"/>
  <c r="BT155" i="10"/>
  <c r="BU155" i="10"/>
  <c r="BW155" i="10"/>
  <c r="BX155" i="10"/>
  <c r="BY155" i="10"/>
  <c r="BZ155" i="10"/>
  <c r="CB155" i="10"/>
  <c r="CC155" i="10"/>
  <c r="CD155" i="10"/>
  <c r="CE155" i="10"/>
  <c r="CG155" i="10"/>
  <c r="CH155" i="10"/>
  <c r="CI155" i="10"/>
  <c r="CJ155" i="10"/>
  <c r="CL155" i="10"/>
  <c r="CM155" i="10"/>
  <c r="CN155" i="10"/>
  <c r="CO155" i="10"/>
  <c r="CQ155" i="10"/>
  <c r="CR155" i="10"/>
  <c r="CS155" i="10"/>
  <c r="CT155" i="10"/>
  <c r="CV155" i="10"/>
  <c r="CW155" i="10"/>
  <c r="CX155" i="10"/>
  <c r="CY155" i="10"/>
  <c r="DA155" i="10"/>
  <c r="DB155" i="10"/>
  <c r="DC155" i="10"/>
  <c r="DD155" i="10"/>
  <c r="DF155" i="10"/>
  <c r="DG155" i="10"/>
  <c r="DH155" i="10"/>
  <c r="DI155" i="10"/>
  <c r="DK155" i="10"/>
  <c r="DL155" i="10"/>
  <c r="DM155" i="10"/>
  <c r="DN155" i="10"/>
  <c r="DP155" i="10"/>
  <c r="DQ155" i="10"/>
  <c r="DR155" i="10"/>
  <c r="DS155" i="10"/>
  <c r="BR156" i="10"/>
  <c r="BS156" i="10"/>
  <c r="BT156" i="10"/>
  <c r="BU156" i="10"/>
  <c r="BW156" i="10"/>
  <c r="BX156" i="10"/>
  <c r="BY156" i="10"/>
  <c r="BZ156" i="10"/>
  <c r="CB156" i="10"/>
  <c r="CC156" i="10"/>
  <c r="CD156" i="10"/>
  <c r="CE156" i="10"/>
  <c r="CG156" i="10"/>
  <c r="CH156" i="10"/>
  <c r="CI156" i="10"/>
  <c r="CJ156" i="10"/>
  <c r="CL156" i="10"/>
  <c r="CM156" i="10"/>
  <c r="CN156" i="10"/>
  <c r="CO156" i="10"/>
  <c r="CQ156" i="10"/>
  <c r="CR156" i="10"/>
  <c r="CS156" i="10"/>
  <c r="CT156" i="10"/>
  <c r="CV156" i="10"/>
  <c r="CW156" i="10"/>
  <c r="CX156" i="10"/>
  <c r="CY156" i="10"/>
  <c r="DA156" i="10"/>
  <c r="DB156" i="10"/>
  <c r="DC156" i="10"/>
  <c r="DD156" i="10"/>
  <c r="DF156" i="10"/>
  <c r="DG156" i="10"/>
  <c r="DH156" i="10"/>
  <c r="DI156" i="10"/>
  <c r="DK156" i="10"/>
  <c r="DL156" i="10"/>
  <c r="DM156" i="10"/>
  <c r="DN156" i="10"/>
  <c r="DP156" i="10"/>
  <c r="DQ156" i="10"/>
  <c r="DR156" i="10"/>
  <c r="DS156" i="10"/>
  <c r="BR157" i="10"/>
  <c r="BS157" i="10"/>
  <c r="BT157" i="10"/>
  <c r="BU157" i="10"/>
  <c r="BW157" i="10"/>
  <c r="BX157" i="10"/>
  <c r="BY157" i="10"/>
  <c r="BZ157" i="10"/>
  <c r="CB157" i="10"/>
  <c r="CC157" i="10"/>
  <c r="CD157" i="10"/>
  <c r="CE157" i="10"/>
  <c r="CG157" i="10"/>
  <c r="CH157" i="10"/>
  <c r="CI157" i="10"/>
  <c r="CJ157" i="10"/>
  <c r="CL157" i="10"/>
  <c r="CM157" i="10"/>
  <c r="CN157" i="10"/>
  <c r="CO157" i="10"/>
  <c r="CQ157" i="10"/>
  <c r="CR157" i="10"/>
  <c r="CS157" i="10"/>
  <c r="CT157" i="10"/>
  <c r="CV157" i="10"/>
  <c r="CW157" i="10"/>
  <c r="CX157" i="10"/>
  <c r="CY157" i="10"/>
  <c r="DA157" i="10"/>
  <c r="DB157" i="10"/>
  <c r="DC157" i="10"/>
  <c r="DD157" i="10"/>
  <c r="DF157" i="10"/>
  <c r="DG157" i="10"/>
  <c r="DH157" i="10"/>
  <c r="DI157" i="10"/>
  <c r="DK157" i="10"/>
  <c r="DL157" i="10"/>
  <c r="DM157" i="10"/>
  <c r="DN157" i="10"/>
  <c r="DP157" i="10"/>
  <c r="DQ157" i="10"/>
  <c r="DR157" i="10"/>
  <c r="DS157" i="10"/>
  <c r="BR158" i="10"/>
  <c r="BS158" i="10"/>
  <c r="BT158" i="10"/>
  <c r="BU158" i="10"/>
  <c r="BW158" i="10"/>
  <c r="BX158" i="10"/>
  <c r="BY158" i="10"/>
  <c r="BZ158" i="10"/>
  <c r="CB158" i="10"/>
  <c r="CC158" i="10"/>
  <c r="CD158" i="10"/>
  <c r="CE158" i="10"/>
  <c r="CG158" i="10"/>
  <c r="CH158" i="10"/>
  <c r="CI158" i="10"/>
  <c r="CJ158" i="10"/>
  <c r="CL158" i="10"/>
  <c r="CM158" i="10"/>
  <c r="CN158" i="10"/>
  <c r="CO158" i="10"/>
  <c r="CQ158" i="10"/>
  <c r="CR158" i="10"/>
  <c r="CS158" i="10"/>
  <c r="CT158" i="10"/>
  <c r="CV158" i="10"/>
  <c r="CW158" i="10"/>
  <c r="CX158" i="10"/>
  <c r="CY158" i="10"/>
  <c r="DA158" i="10"/>
  <c r="DB158" i="10"/>
  <c r="DC158" i="10"/>
  <c r="DD158" i="10"/>
  <c r="DF158" i="10"/>
  <c r="DG158" i="10"/>
  <c r="DH158" i="10"/>
  <c r="DI158" i="10"/>
  <c r="DK158" i="10"/>
  <c r="DL158" i="10"/>
  <c r="DM158" i="10"/>
  <c r="DN158" i="10"/>
  <c r="DP158" i="10"/>
  <c r="DQ158" i="10"/>
  <c r="DR158" i="10"/>
  <c r="DS158" i="10"/>
  <c r="AU152" i="10"/>
  <c r="AZ153" i="10"/>
  <c r="BE154" i="10"/>
  <c r="BJ162" i="10"/>
  <c r="BF162" i="10" s="1"/>
  <c r="L162" i="10"/>
  <c r="Q162" i="10"/>
  <c r="M162" i="10" s="1"/>
  <c r="V162" i="10"/>
  <c r="U162" i="10" s="1"/>
  <c r="AA162" i="10"/>
  <c r="Y162" i="10" s="1"/>
  <c r="AF162" i="10"/>
  <c r="AC162" i="10" s="1"/>
  <c r="AK162" i="10"/>
  <c r="AG162" i="10" s="1"/>
  <c r="AP162" i="10"/>
  <c r="AO162" i="10" s="1"/>
  <c r="AU162" i="10"/>
  <c r="AS162" i="10" s="1"/>
  <c r="AZ162" i="10"/>
  <c r="AW162" i="10" s="1"/>
  <c r="BE162" i="10"/>
  <c r="BA162" i="10" s="1"/>
  <c r="BO162" i="10"/>
  <c r="BM162" i="10" s="1"/>
  <c r="BR162" i="10"/>
  <c r="BS162" i="10"/>
  <c r="BT162" i="10"/>
  <c r="BU162" i="10"/>
  <c r="BW162" i="10"/>
  <c r="BX162" i="10"/>
  <c r="BY162" i="10"/>
  <c r="BZ162" i="10"/>
  <c r="CB162" i="10"/>
  <c r="CC162" i="10"/>
  <c r="CD162" i="10"/>
  <c r="CE162" i="10"/>
  <c r="CG162" i="10"/>
  <c r="CH162" i="10"/>
  <c r="CI162" i="10"/>
  <c r="CJ162" i="10"/>
  <c r="CL162" i="10"/>
  <c r="CM162" i="10"/>
  <c r="CN162" i="10"/>
  <c r="CO162" i="10"/>
  <c r="CQ162" i="10"/>
  <c r="CR162" i="10"/>
  <c r="CS162" i="10"/>
  <c r="CT162" i="10"/>
  <c r="CV162" i="10"/>
  <c r="CW162" i="10"/>
  <c r="CX162" i="10"/>
  <c r="CY162" i="10"/>
  <c r="DA162" i="10"/>
  <c r="DB162" i="10"/>
  <c r="DC162" i="10"/>
  <c r="DD162" i="10"/>
  <c r="DF162" i="10"/>
  <c r="DG162" i="10"/>
  <c r="DH162" i="10"/>
  <c r="DI162" i="10"/>
  <c r="L164" i="10"/>
  <c r="Q164" i="10"/>
  <c r="M164" i="10" s="1"/>
  <c r="V164" i="10"/>
  <c r="T164" i="10" s="1"/>
  <c r="AA164" i="10"/>
  <c r="Y164" i="10" s="1"/>
  <c r="AF164" i="10"/>
  <c r="AB164" i="10" s="1"/>
  <c r="AK164" i="10"/>
  <c r="AG164" i="10" s="1"/>
  <c r="AU164" i="10"/>
  <c r="AS164" i="10" s="1"/>
  <c r="AZ164" i="10"/>
  <c r="BE164" i="10"/>
  <c r="BA164" i="10" s="1"/>
  <c r="BJ164" i="10"/>
  <c r="BF164" i="10" s="1"/>
  <c r="BO164" i="10"/>
  <c r="BM164" i="10" s="1"/>
  <c r="L165" i="10"/>
  <c r="Q165" i="10"/>
  <c r="M165" i="10" s="1"/>
  <c r="V165" i="10"/>
  <c r="T165" i="10" s="1"/>
  <c r="AA165" i="10"/>
  <c r="Y165" i="10" s="1"/>
  <c r="AF165" i="10"/>
  <c r="AK165" i="10"/>
  <c r="AG165" i="10" s="1"/>
  <c r="AP165" i="10"/>
  <c r="AL165" i="10" s="1"/>
  <c r="AU165" i="10"/>
  <c r="AS165" i="10" s="1"/>
  <c r="AZ165" i="10"/>
  <c r="AV165" i="10" s="1"/>
  <c r="BJ165" i="10"/>
  <c r="BH165" i="10" s="1"/>
  <c r="BO165" i="10"/>
  <c r="BM165" i="10" s="1"/>
  <c r="L166" i="10"/>
  <c r="Q166" i="10"/>
  <c r="M166" i="10" s="1"/>
  <c r="V166" i="10"/>
  <c r="R166" i="10" s="1"/>
  <c r="AA166" i="10"/>
  <c r="Y166" i="10" s="1"/>
  <c r="AF166" i="10"/>
  <c r="AB166" i="10" s="1"/>
  <c r="AK166" i="10"/>
  <c r="AG166" i="10" s="1"/>
  <c r="AP166" i="10"/>
  <c r="AN166" i="10" s="1"/>
  <c r="AU166" i="10"/>
  <c r="AS166" i="10" s="1"/>
  <c r="AZ166" i="10"/>
  <c r="BE166" i="10"/>
  <c r="BA166" i="10" s="1"/>
  <c r="BJ166" i="10"/>
  <c r="BI166" i="10" s="1"/>
  <c r="BO166" i="10"/>
  <c r="BM166" i="10" s="1"/>
  <c r="L167" i="10"/>
  <c r="Q167" i="10"/>
  <c r="M167" i="10" s="1"/>
  <c r="V167" i="10"/>
  <c r="U167" i="10" s="1"/>
  <c r="AA167" i="10"/>
  <c r="Y167" i="10" s="1"/>
  <c r="AF167" i="10"/>
  <c r="AC167" i="10" s="1"/>
  <c r="AK167" i="10"/>
  <c r="AG167" i="10" s="1"/>
  <c r="AP167" i="10"/>
  <c r="AU167" i="10"/>
  <c r="AS167" i="10" s="1"/>
  <c r="AZ167" i="10"/>
  <c r="AW167" i="10" s="1"/>
  <c r="BE167" i="10"/>
  <c r="BA167" i="10" s="1"/>
  <c r="BJ167" i="10"/>
  <c r="BI167" i="10" s="1"/>
  <c r="L168" i="10"/>
  <c r="Q168" i="10"/>
  <c r="M168" i="10" s="1"/>
  <c r="V168" i="10"/>
  <c r="U168" i="10" s="1"/>
  <c r="AA168" i="10"/>
  <c r="Y168" i="10" s="1"/>
  <c r="AF168" i="10"/>
  <c r="AC168" i="10" s="1"/>
  <c r="AK168" i="10"/>
  <c r="AG168" i="10" s="1"/>
  <c r="AP168" i="10"/>
  <c r="AO168" i="10" s="1"/>
  <c r="AU168" i="10"/>
  <c r="AS168" i="10" s="1"/>
  <c r="AZ168" i="10"/>
  <c r="AW168" i="10" s="1"/>
  <c r="BE168" i="10"/>
  <c r="BA168" i="10" s="1"/>
  <c r="BJ168" i="10"/>
  <c r="BI168" i="10" s="1"/>
  <c r="BO168" i="10"/>
  <c r="BM168" i="10" s="1"/>
  <c r="L169" i="10"/>
  <c r="Q169" i="10"/>
  <c r="M169" i="10" s="1"/>
  <c r="V169" i="10"/>
  <c r="U169" i="10" s="1"/>
  <c r="AA169" i="10"/>
  <c r="Y169" i="10" s="1"/>
  <c r="AF169" i="10"/>
  <c r="AC169" i="10" s="1"/>
  <c r="AK169" i="10"/>
  <c r="AG169" i="10" s="1"/>
  <c r="AP169" i="10"/>
  <c r="AO169" i="10" s="1"/>
  <c r="AU169" i="10"/>
  <c r="AS169" i="10" s="1"/>
  <c r="AZ169" i="10"/>
  <c r="AW169" i="10" s="1"/>
  <c r="BE169" i="10"/>
  <c r="BA169" i="10" s="1"/>
  <c r="BJ169" i="10"/>
  <c r="BI169" i="10" s="1"/>
  <c r="BO169" i="10"/>
  <c r="BM169" i="10" s="1"/>
  <c r="L170" i="10"/>
  <c r="Q170" i="10"/>
  <c r="V170" i="10"/>
  <c r="U170" i="10" s="1"/>
  <c r="AA170" i="10"/>
  <c r="Y170" i="10" s="1"/>
  <c r="AF170" i="10"/>
  <c r="AC170" i="10" s="1"/>
  <c r="AK170" i="10"/>
  <c r="AG170" i="10" s="1"/>
  <c r="AP170" i="10"/>
  <c r="AO170" i="10" s="1"/>
  <c r="AU170" i="10"/>
  <c r="AQ170" i="10" s="1"/>
  <c r="AZ170" i="10"/>
  <c r="AV170" i="10" s="1"/>
  <c r="BE170" i="10"/>
  <c r="BA170" i="10" s="1"/>
  <c r="BJ170" i="10"/>
  <c r="BH170" i="10" s="1"/>
  <c r="BO170" i="10"/>
  <c r="BK170" i="10" s="1"/>
  <c r="BR164" i="10"/>
  <c r="BS164" i="10"/>
  <c r="BT164" i="10"/>
  <c r="BU164" i="10"/>
  <c r="BW164" i="10"/>
  <c r="BX164" i="10"/>
  <c r="BY164" i="10"/>
  <c r="BZ164" i="10"/>
  <c r="CB164" i="10"/>
  <c r="CC164" i="10"/>
  <c r="CD164" i="10"/>
  <c r="CE164" i="10"/>
  <c r="CG164" i="10"/>
  <c r="CH164" i="10"/>
  <c r="CI164" i="10"/>
  <c r="CJ164" i="10"/>
  <c r="CL164" i="10"/>
  <c r="CM164" i="10"/>
  <c r="CN164" i="10"/>
  <c r="CO164" i="10"/>
  <c r="DA164" i="10"/>
  <c r="DB164" i="10"/>
  <c r="DC164" i="10"/>
  <c r="DD164" i="10"/>
  <c r="DP164" i="10"/>
  <c r="DQ164" i="10"/>
  <c r="DR164" i="10"/>
  <c r="DS164" i="10"/>
  <c r="BR165" i="10"/>
  <c r="BS165" i="10"/>
  <c r="BT165" i="10"/>
  <c r="BU165" i="10"/>
  <c r="BW165" i="10"/>
  <c r="BX165" i="10"/>
  <c r="BY165" i="10"/>
  <c r="BZ165" i="10"/>
  <c r="CB165" i="10"/>
  <c r="CC165" i="10"/>
  <c r="CD165" i="10"/>
  <c r="CE165" i="10"/>
  <c r="CG165" i="10"/>
  <c r="CH165" i="10"/>
  <c r="CI165" i="10"/>
  <c r="CJ165" i="10"/>
  <c r="CL165" i="10"/>
  <c r="CM165" i="10"/>
  <c r="CN165" i="10"/>
  <c r="CO165" i="10"/>
  <c r="CQ165" i="10"/>
  <c r="CR165" i="10"/>
  <c r="CS165" i="10"/>
  <c r="CT165" i="10"/>
  <c r="CV165" i="10"/>
  <c r="CW165" i="10"/>
  <c r="CX165" i="10"/>
  <c r="CY165" i="10"/>
  <c r="DA165" i="10"/>
  <c r="DB165" i="10"/>
  <c r="DC165" i="10"/>
  <c r="DD165" i="10"/>
  <c r="DP165" i="10"/>
  <c r="DQ165" i="10"/>
  <c r="DR165" i="10"/>
  <c r="DS165" i="10"/>
  <c r="BR166" i="10"/>
  <c r="BS166" i="10"/>
  <c r="BT166" i="10"/>
  <c r="BU166" i="10"/>
  <c r="BW166" i="10"/>
  <c r="BX166" i="10"/>
  <c r="BY166" i="10"/>
  <c r="BZ166" i="10"/>
  <c r="CB166" i="10"/>
  <c r="CC166" i="10"/>
  <c r="CD166" i="10"/>
  <c r="CE166" i="10"/>
  <c r="CG166" i="10"/>
  <c r="CH166" i="10"/>
  <c r="CI166" i="10"/>
  <c r="CJ166" i="10"/>
  <c r="CL166" i="10"/>
  <c r="CM166" i="10"/>
  <c r="CN166" i="10"/>
  <c r="CO166" i="10"/>
  <c r="CQ166" i="10"/>
  <c r="CR166" i="10"/>
  <c r="CS166" i="10"/>
  <c r="CT166" i="10"/>
  <c r="CV166" i="10"/>
  <c r="CW166" i="10"/>
  <c r="CX166" i="10"/>
  <c r="CY166" i="10"/>
  <c r="DA166" i="10"/>
  <c r="DB166" i="10"/>
  <c r="DC166" i="10"/>
  <c r="DD166" i="10"/>
  <c r="DF166" i="10"/>
  <c r="DG166" i="10"/>
  <c r="DH166" i="10"/>
  <c r="DI166" i="10"/>
  <c r="DK166" i="10"/>
  <c r="DL166" i="10"/>
  <c r="DM166" i="10"/>
  <c r="DN166" i="10"/>
  <c r="BR167" i="10"/>
  <c r="BS167" i="10"/>
  <c r="BT167" i="10"/>
  <c r="BU167" i="10"/>
  <c r="BW167" i="10"/>
  <c r="BX167" i="10"/>
  <c r="BY167" i="10"/>
  <c r="BZ167" i="10"/>
  <c r="CB167" i="10"/>
  <c r="CC167" i="10"/>
  <c r="CD167" i="10"/>
  <c r="CE167" i="10"/>
  <c r="CG167" i="10"/>
  <c r="CH167" i="10"/>
  <c r="CI167" i="10"/>
  <c r="CJ167" i="10"/>
  <c r="CL167" i="10"/>
  <c r="CM167" i="10"/>
  <c r="CN167" i="10"/>
  <c r="CO167" i="10"/>
  <c r="CQ167" i="10"/>
  <c r="CR167" i="10"/>
  <c r="CS167" i="10"/>
  <c r="CT167" i="10"/>
  <c r="CV167" i="10"/>
  <c r="CW167" i="10"/>
  <c r="CX167" i="10"/>
  <c r="CY167" i="10"/>
  <c r="DA167" i="10"/>
  <c r="DB167" i="10"/>
  <c r="DC167" i="10"/>
  <c r="DD167" i="10"/>
  <c r="DF167" i="10"/>
  <c r="DG167" i="10"/>
  <c r="DH167" i="10"/>
  <c r="DI167" i="10"/>
  <c r="DK167" i="10"/>
  <c r="DL167" i="10"/>
  <c r="DM167" i="10"/>
  <c r="DN167" i="10"/>
  <c r="BR168" i="10"/>
  <c r="BS168" i="10"/>
  <c r="BT168" i="10"/>
  <c r="BU168" i="10"/>
  <c r="BW168" i="10"/>
  <c r="BX168" i="10"/>
  <c r="BY168" i="10"/>
  <c r="BZ168" i="10"/>
  <c r="CB168" i="10"/>
  <c r="CC168" i="10"/>
  <c r="CD168" i="10"/>
  <c r="CE168" i="10"/>
  <c r="CG168" i="10"/>
  <c r="CH168" i="10"/>
  <c r="CI168" i="10"/>
  <c r="CJ168" i="10"/>
  <c r="CL168" i="10"/>
  <c r="CM168" i="10"/>
  <c r="CN168" i="10"/>
  <c r="CO168" i="10"/>
  <c r="CQ168" i="10"/>
  <c r="CR168" i="10"/>
  <c r="CS168" i="10"/>
  <c r="CT168" i="10"/>
  <c r="CV168" i="10"/>
  <c r="CW168" i="10"/>
  <c r="CX168" i="10"/>
  <c r="CY168" i="10"/>
  <c r="DA168" i="10"/>
  <c r="DB168" i="10"/>
  <c r="DC168" i="10"/>
  <c r="DD168" i="10"/>
  <c r="DF168" i="10"/>
  <c r="DG168" i="10"/>
  <c r="DH168" i="10"/>
  <c r="DI168" i="10"/>
  <c r="DK168" i="10"/>
  <c r="DL168" i="10"/>
  <c r="DM168" i="10"/>
  <c r="DN168" i="10"/>
  <c r="DP168" i="10"/>
  <c r="DQ168" i="10"/>
  <c r="DR168" i="10"/>
  <c r="DS168" i="10"/>
  <c r="BR169" i="10"/>
  <c r="BS169" i="10"/>
  <c r="BT169" i="10"/>
  <c r="BU169" i="10"/>
  <c r="BW169" i="10"/>
  <c r="BX169" i="10"/>
  <c r="BY169" i="10"/>
  <c r="BZ169" i="10"/>
  <c r="CB169" i="10"/>
  <c r="CC169" i="10"/>
  <c r="CD169" i="10"/>
  <c r="CE169" i="10"/>
  <c r="CG169" i="10"/>
  <c r="CH169" i="10"/>
  <c r="CI169" i="10"/>
  <c r="CJ169" i="10"/>
  <c r="CL169" i="10"/>
  <c r="CM169" i="10"/>
  <c r="CN169" i="10"/>
  <c r="CO169" i="10"/>
  <c r="CQ169" i="10"/>
  <c r="CR169" i="10"/>
  <c r="CS169" i="10"/>
  <c r="CT169" i="10"/>
  <c r="CV169" i="10"/>
  <c r="CW169" i="10"/>
  <c r="CX169" i="10"/>
  <c r="CY169" i="10"/>
  <c r="DA169" i="10"/>
  <c r="DB169" i="10"/>
  <c r="DC169" i="10"/>
  <c r="DD169" i="10"/>
  <c r="DF169" i="10"/>
  <c r="DG169" i="10"/>
  <c r="DH169" i="10"/>
  <c r="DI169" i="10"/>
  <c r="DK169" i="10"/>
  <c r="DL169" i="10"/>
  <c r="DM169" i="10"/>
  <c r="DN169" i="10"/>
  <c r="DP169" i="10"/>
  <c r="DQ169" i="10"/>
  <c r="DR169" i="10"/>
  <c r="DS169" i="10"/>
  <c r="BR170" i="10"/>
  <c r="BS170" i="10"/>
  <c r="BT170" i="10"/>
  <c r="BU170" i="10"/>
  <c r="BW170" i="10"/>
  <c r="BX170" i="10"/>
  <c r="BY170" i="10"/>
  <c r="BZ170" i="10"/>
  <c r="CB170" i="10"/>
  <c r="CC170" i="10"/>
  <c r="CD170" i="10"/>
  <c r="CE170" i="10"/>
  <c r="CG170" i="10"/>
  <c r="CH170" i="10"/>
  <c r="CI170" i="10"/>
  <c r="CJ170" i="10"/>
  <c r="CL170" i="10"/>
  <c r="CM170" i="10"/>
  <c r="CN170" i="10"/>
  <c r="CO170" i="10"/>
  <c r="CQ170" i="10"/>
  <c r="CR170" i="10"/>
  <c r="CS170" i="10"/>
  <c r="CT170" i="10"/>
  <c r="CV170" i="10"/>
  <c r="CW170" i="10"/>
  <c r="CX170" i="10"/>
  <c r="CY170" i="10"/>
  <c r="DA170" i="10"/>
  <c r="DB170" i="10"/>
  <c r="DC170" i="10"/>
  <c r="DD170" i="10"/>
  <c r="DF170" i="10"/>
  <c r="DG170" i="10"/>
  <c r="DH170" i="10"/>
  <c r="DI170" i="10"/>
  <c r="DK170" i="10"/>
  <c r="DL170" i="10"/>
  <c r="DM170" i="10"/>
  <c r="DN170" i="10"/>
  <c r="DP170" i="10"/>
  <c r="DQ170" i="10"/>
  <c r="DR170" i="10"/>
  <c r="DS170" i="10"/>
  <c r="AP164" i="10"/>
  <c r="BE165" i="10"/>
  <c r="BO167" i="10"/>
  <c r="AU172" i="10"/>
  <c r="AQ172" i="10" s="1"/>
  <c r="L172" i="10"/>
  <c r="Q172" i="10"/>
  <c r="O172" i="10" s="1"/>
  <c r="V172" i="10"/>
  <c r="R172" i="10" s="1"/>
  <c r="AA172" i="10"/>
  <c r="W172" i="10" s="1"/>
  <c r="AF172" i="10"/>
  <c r="AB172" i="10" s="1"/>
  <c r="AK172" i="10"/>
  <c r="AI172" i="10" s="1"/>
  <c r="AP172" i="10"/>
  <c r="AL172" i="10" s="1"/>
  <c r="AZ172" i="10"/>
  <c r="AV172" i="10" s="1"/>
  <c r="BE172" i="10"/>
  <c r="BC172" i="10" s="1"/>
  <c r="BJ172" i="10"/>
  <c r="BF172" i="10" s="1"/>
  <c r="BO172" i="10"/>
  <c r="BK172" i="10" s="1"/>
  <c r="BR172" i="10"/>
  <c r="BS172" i="10"/>
  <c r="BT172" i="10"/>
  <c r="BU172" i="10"/>
  <c r="BW172" i="10"/>
  <c r="BX172" i="10"/>
  <c r="BY172" i="10"/>
  <c r="BZ172" i="10"/>
  <c r="CB172" i="10"/>
  <c r="CC172" i="10"/>
  <c r="CD172" i="10"/>
  <c r="CE172" i="10"/>
  <c r="CG172" i="10"/>
  <c r="CH172" i="10"/>
  <c r="CI172" i="10"/>
  <c r="CJ172" i="10"/>
  <c r="CL172" i="10"/>
  <c r="CM172" i="10"/>
  <c r="CN172" i="10"/>
  <c r="CO172" i="10"/>
  <c r="CQ172" i="10"/>
  <c r="CR172" i="10"/>
  <c r="CS172" i="10"/>
  <c r="CT172" i="10"/>
  <c r="DP172" i="10"/>
  <c r="DQ172" i="10"/>
  <c r="DR172" i="10"/>
  <c r="DS172" i="10"/>
  <c r="AZ177" i="10"/>
  <c r="AX177" i="10" s="1"/>
  <c r="L177" i="10"/>
  <c r="Q177" i="10"/>
  <c r="M177" i="10" s="1"/>
  <c r="V177" i="10"/>
  <c r="R177" i="10" s="1"/>
  <c r="AA177" i="10"/>
  <c r="W177" i="10" s="1"/>
  <c r="AF177" i="10"/>
  <c r="AD177" i="10" s="1"/>
  <c r="AK177" i="10"/>
  <c r="AG177" i="10" s="1"/>
  <c r="AP177" i="10"/>
  <c r="AL177" i="10" s="1"/>
  <c r="AU177" i="10"/>
  <c r="AQ177" i="10" s="1"/>
  <c r="BE177" i="10"/>
  <c r="BA177" i="10" s="1"/>
  <c r="BJ177" i="10"/>
  <c r="BF177" i="10" s="1"/>
  <c r="BO177" i="10"/>
  <c r="BK177" i="10" s="1"/>
  <c r="BR177" i="10"/>
  <c r="BS177" i="10"/>
  <c r="BT177" i="10"/>
  <c r="BU177" i="10"/>
  <c r="BW177" i="10"/>
  <c r="BX177" i="10"/>
  <c r="BY177" i="10"/>
  <c r="BZ177" i="10"/>
  <c r="CB177" i="10"/>
  <c r="CC177" i="10"/>
  <c r="CD177" i="10"/>
  <c r="CE177" i="10"/>
  <c r="CG177" i="10"/>
  <c r="CH177" i="10"/>
  <c r="CI177" i="10"/>
  <c r="CJ177" i="10"/>
  <c r="CL177" i="10"/>
  <c r="CM177" i="10"/>
  <c r="CN177" i="10"/>
  <c r="CO177" i="10"/>
  <c r="CQ177" i="10"/>
  <c r="CR177" i="10"/>
  <c r="CS177" i="10"/>
  <c r="CT177" i="10"/>
  <c r="CV177" i="10"/>
  <c r="CW177" i="10"/>
  <c r="CX177" i="10"/>
  <c r="CY177" i="10"/>
  <c r="DK177" i="10"/>
  <c r="DL177" i="10"/>
  <c r="DM177" i="10"/>
  <c r="DN177" i="10"/>
  <c r="DP177" i="10"/>
  <c r="DQ177" i="10"/>
  <c r="DR177" i="10"/>
  <c r="DS177" i="10"/>
  <c r="AU185" i="10"/>
  <c r="AQ185" i="10" s="1"/>
  <c r="BR179" i="10"/>
  <c r="BS179" i="10"/>
  <c r="BT179" i="10"/>
  <c r="BU179" i="10"/>
  <c r="BW179" i="10"/>
  <c r="BX179" i="10"/>
  <c r="BY179" i="10"/>
  <c r="BZ179" i="10"/>
  <c r="CB179" i="10"/>
  <c r="CC179" i="10"/>
  <c r="CD179" i="10"/>
  <c r="CE179" i="10"/>
  <c r="CG179" i="10"/>
  <c r="CH179" i="10"/>
  <c r="CI179" i="10"/>
  <c r="CJ179" i="10"/>
  <c r="CL179" i="10"/>
  <c r="CM179" i="10"/>
  <c r="CN179" i="10"/>
  <c r="CO179" i="10"/>
  <c r="CQ179" i="10"/>
  <c r="CR179" i="10"/>
  <c r="CS179" i="10"/>
  <c r="CT179" i="10"/>
  <c r="CV179" i="10"/>
  <c r="CW179" i="10"/>
  <c r="CX179" i="10"/>
  <c r="CY179" i="10"/>
  <c r="DA179" i="10"/>
  <c r="DB179" i="10"/>
  <c r="DC179" i="10"/>
  <c r="DD179" i="10"/>
  <c r="DF179" i="10"/>
  <c r="DG179" i="10"/>
  <c r="DH179" i="10"/>
  <c r="DI179" i="10"/>
  <c r="DK179" i="10"/>
  <c r="DL179" i="10"/>
  <c r="DM179" i="10"/>
  <c r="DN179" i="10"/>
  <c r="BR180" i="10"/>
  <c r="BS180" i="10"/>
  <c r="BT180" i="10"/>
  <c r="BU180" i="10"/>
  <c r="BW180" i="10"/>
  <c r="BX180" i="10"/>
  <c r="BY180" i="10"/>
  <c r="BZ180" i="10"/>
  <c r="CB180" i="10"/>
  <c r="CC180" i="10"/>
  <c r="CD180" i="10"/>
  <c r="CE180" i="10"/>
  <c r="CG180" i="10"/>
  <c r="CH180" i="10"/>
  <c r="CI180" i="10"/>
  <c r="CJ180" i="10"/>
  <c r="CL180" i="10"/>
  <c r="CM180" i="10"/>
  <c r="CN180" i="10"/>
  <c r="CO180" i="10"/>
  <c r="CQ180" i="10"/>
  <c r="CR180" i="10"/>
  <c r="CS180" i="10"/>
  <c r="CT180" i="10"/>
  <c r="CV180" i="10"/>
  <c r="CW180" i="10"/>
  <c r="CX180" i="10"/>
  <c r="CY180" i="10"/>
  <c r="DA180" i="10"/>
  <c r="DB180" i="10"/>
  <c r="DC180" i="10"/>
  <c r="DD180" i="10"/>
  <c r="DF180" i="10"/>
  <c r="DG180" i="10"/>
  <c r="DH180" i="10"/>
  <c r="DI180" i="10"/>
  <c r="DK180" i="10"/>
  <c r="DL180" i="10"/>
  <c r="DM180" i="10"/>
  <c r="DN180" i="10"/>
  <c r="DP180" i="10"/>
  <c r="DQ180" i="10"/>
  <c r="DR180" i="10"/>
  <c r="DS180" i="10"/>
  <c r="BR181" i="10"/>
  <c r="BS181" i="10"/>
  <c r="BT181" i="10"/>
  <c r="BU181" i="10"/>
  <c r="BW181" i="10"/>
  <c r="BX181" i="10"/>
  <c r="BY181" i="10"/>
  <c r="BZ181" i="10"/>
  <c r="CB181" i="10"/>
  <c r="CC181" i="10"/>
  <c r="CD181" i="10"/>
  <c r="CE181" i="10"/>
  <c r="CG181" i="10"/>
  <c r="CH181" i="10"/>
  <c r="CI181" i="10"/>
  <c r="CJ181" i="10"/>
  <c r="CL181" i="10"/>
  <c r="CM181" i="10"/>
  <c r="CN181" i="10"/>
  <c r="CO181" i="10"/>
  <c r="CQ181" i="10"/>
  <c r="CR181" i="10"/>
  <c r="CS181" i="10"/>
  <c r="CT181" i="10"/>
  <c r="CV181" i="10"/>
  <c r="CW181" i="10"/>
  <c r="CX181" i="10"/>
  <c r="CY181" i="10"/>
  <c r="DA181" i="10"/>
  <c r="DB181" i="10"/>
  <c r="DC181" i="10"/>
  <c r="DD181" i="10"/>
  <c r="DF181" i="10"/>
  <c r="DG181" i="10"/>
  <c r="DH181" i="10"/>
  <c r="DI181" i="10"/>
  <c r="DK181" i="10"/>
  <c r="DL181" i="10"/>
  <c r="DM181" i="10"/>
  <c r="DN181" i="10"/>
  <c r="DP181" i="10"/>
  <c r="DQ181" i="10"/>
  <c r="DR181" i="10"/>
  <c r="DS181" i="10"/>
  <c r="BR182" i="10"/>
  <c r="BS182" i="10"/>
  <c r="BT182" i="10"/>
  <c r="BU182" i="10"/>
  <c r="BW182" i="10"/>
  <c r="BX182" i="10"/>
  <c r="BY182" i="10"/>
  <c r="BZ182" i="10"/>
  <c r="CB182" i="10"/>
  <c r="CC182" i="10"/>
  <c r="CD182" i="10"/>
  <c r="CE182" i="10"/>
  <c r="CG182" i="10"/>
  <c r="CH182" i="10"/>
  <c r="CI182" i="10"/>
  <c r="CJ182" i="10"/>
  <c r="CL182" i="10"/>
  <c r="CM182" i="10"/>
  <c r="CN182" i="10"/>
  <c r="CO182" i="10"/>
  <c r="CQ182" i="10"/>
  <c r="CR182" i="10"/>
  <c r="CS182" i="10"/>
  <c r="CT182" i="10"/>
  <c r="CV182" i="10"/>
  <c r="CW182" i="10"/>
  <c r="CX182" i="10"/>
  <c r="CY182" i="10"/>
  <c r="DA182" i="10"/>
  <c r="DB182" i="10"/>
  <c r="DC182" i="10"/>
  <c r="DD182" i="10"/>
  <c r="DF182" i="10"/>
  <c r="DG182" i="10"/>
  <c r="DH182" i="10"/>
  <c r="DI182" i="10"/>
  <c r="DK182" i="10"/>
  <c r="DL182" i="10"/>
  <c r="DM182" i="10"/>
  <c r="DN182" i="10"/>
  <c r="DP182" i="10"/>
  <c r="DQ182" i="10"/>
  <c r="DR182" i="10"/>
  <c r="DS182" i="10"/>
  <c r="BR183" i="10"/>
  <c r="BS183" i="10"/>
  <c r="BT183" i="10"/>
  <c r="BU183" i="10"/>
  <c r="BW183" i="10"/>
  <c r="BX183" i="10"/>
  <c r="BY183" i="10"/>
  <c r="BZ183" i="10"/>
  <c r="CB183" i="10"/>
  <c r="CC183" i="10"/>
  <c r="CD183" i="10"/>
  <c r="CE183" i="10"/>
  <c r="CG183" i="10"/>
  <c r="CH183" i="10"/>
  <c r="CI183" i="10"/>
  <c r="CJ183" i="10"/>
  <c r="CL183" i="10"/>
  <c r="CM183" i="10"/>
  <c r="CN183" i="10"/>
  <c r="CO183" i="10"/>
  <c r="CQ183" i="10"/>
  <c r="CR183" i="10"/>
  <c r="CS183" i="10"/>
  <c r="CT183" i="10"/>
  <c r="DF183" i="10"/>
  <c r="DG183" i="10"/>
  <c r="DH183" i="10"/>
  <c r="DI183" i="10"/>
  <c r="DK183" i="10"/>
  <c r="DL183" i="10"/>
  <c r="DM183" i="10"/>
  <c r="DN183" i="10"/>
  <c r="DP183" i="10"/>
  <c r="DQ183" i="10"/>
  <c r="DR183" i="10"/>
  <c r="DS183" i="10"/>
  <c r="BR184" i="10"/>
  <c r="BS184" i="10"/>
  <c r="BT184" i="10"/>
  <c r="BU184" i="10"/>
  <c r="BW184" i="10"/>
  <c r="BX184" i="10"/>
  <c r="BY184" i="10"/>
  <c r="BZ184" i="10"/>
  <c r="CB184" i="10"/>
  <c r="CC184" i="10"/>
  <c r="CD184" i="10"/>
  <c r="CE184" i="10"/>
  <c r="CG184" i="10"/>
  <c r="CH184" i="10"/>
  <c r="CI184" i="10"/>
  <c r="CJ184" i="10"/>
  <c r="CL184" i="10"/>
  <c r="CM184" i="10"/>
  <c r="CN184" i="10"/>
  <c r="CO184" i="10"/>
  <c r="CQ184" i="10"/>
  <c r="CR184" i="10"/>
  <c r="CS184" i="10"/>
  <c r="CT184" i="10"/>
  <c r="CV184" i="10"/>
  <c r="CW184" i="10"/>
  <c r="CX184" i="10"/>
  <c r="CY184" i="10"/>
  <c r="DA184" i="10"/>
  <c r="DB184" i="10"/>
  <c r="DC184" i="10"/>
  <c r="DD184" i="10"/>
  <c r="DF184" i="10"/>
  <c r="DG184" i="10"/>
  <c r="DH184" i="10"/>
  <c r="DI184" i="10"/>
  <c r="DK184" i="10"/>
  <c r="DL184" i="10"/>
  <c r="DM184" i="10"/>
  <c r="DN184" i="10"/>
  <c r="DP184" i="10"/>
  <c r="DQ184" i="10"/>
  <c r="DR184" i="10"/>
  <c r="DS184" i="10"/>
  <c r="BR185" i="10"/>
  <c r="BS185" i="10"/>
  <c r="BT185" i="10"/>
  <c r="BU185" i="10"/>
  <c r="BW185" i="10"/>
  <c r="BX185" i="10"/>
  <c r="BY185" i="10"/>
  <c r="BZ185" i="10"/>
  <c r="CB185" i="10"/>
  <c r="CC185" i="10"/>
  <c r="CD185" i="10"/>
  <c r="CE185" i="10"/>
  <c r="CG185" i="10"/>
  <c r="CH185" i="10"/>
  <c r="CI185" i="10"/>
  <c r="CJ185" i="10"/>
  <c r="CL185" i="10"/>
  <c r="CM185" i="10"/>
  <c r="CN185" i="10"/>
  <c r="CO185" i="10"/>
  <c r="CQ185" i="10"/>
  <c r="CR185" i="10"/>
  <c r="CS185" i="10"/>
  <c r="CT185" i="10"/>
  <c r="DF185" i="10"/>
  <c r="DG185" i="10"/>
  <c r="DH185" i="10"/>
  <c r="DI185" i="10"/>
  <c r="DK185" i="10"/>
  <c r="DL185" i="10"/>
  <c r="DM185" i="10"/>
  <c r="DN185" i="10"/>
  <c r="DP185" i="10"/>
  <c r="DQ185" i="10"/>
  <c r="DR185" i="10"/>
  <c r="DS185" i="10"/>
  <c r="BR186" i="10"/>
  <c r="BS186" i="10"/>
  <c r="BT186" i="10"/>
  <c r="BU186" i="10"/>
  <c r="BW186" i="10"/>
  <c r="BX186" i="10"/>
  <c r="BY186" i="10"/>
  <c r="BZ186" i="10"/>
  <c r="CB186" i="10"/>
  <c r="CC186" i="10"/>
  <c r="CD186" i="10"/>
  <c r="CE186" i="10"/>
  <c r="CG186" i="10"/>
  <c r="CH186" i="10"/>
  <c r="CI186" i="10"/>
  <c r="CJ186" i="10"/>
  <c r="CL186" i="10"/>
  <c r="CM186" i="10"/>
  <c r="CN186" i="10"/>
  <c r="CO186" i="10"/>
  <c r="CQ186" i="10"/>
  <c r="CR186" i="10"/>
  <c r="CS186" i="10"/>
  <c r="CT186" i="10"/>
  <c r="DF186" i="10"/>
  <c r="DG186" i="10"/>
  <c r="DH186" i="10"/>
  <c r="DI186" i="10"/>
  <c r="BR187" i="10"/>
  <c r="BS187" i="10"/>
  <c r="BT187" i="10"/>
  <c r="BU187" i="10"/>
  <c r="BW187" i="10"/>
  <c r="BX187" i="10"/>
  <c r="BY187" i="10"/>
  <c r="BZ187" i="10"/>
  <c r="CB187" i="10"/>
  <c r="CC187" i="10"/>
  <c r="CD187" i="10"/>
  <c r="CE187" i="10"/>
  <c r="CG187" i="10"/>
  <c r="CH187" i="10"/>
  <c r="CI187" i="10"/>
  <c r="CJ187" i="10"/>
  <c r="CL187" i="10"/>
  <c r="CM187" i="10"/>
  <c r="CN187" i="10"/>
  <c r="CO187" i="10"/>
  <c r="CQ187" i="10"/>
  <c r="CR187" i="10"/>
  <c r="CS187" i="10"/>
  <c r="CT187" i="10"/>
  <c r="CV187" i="10"/>
  <c r="CW187" i="10"/>
  <c r="CX187" i="10"/>
  <c r="CY187" i="10"/>
  <c r="DA187" i="10"/>
  <c r="DB187" i="10"/>
  <c r="DC187" i="10"/>
  <c r="DD187" i="10"/>
  <c r="DF187" i="10"/>
  <c r="DG187" i="10"/>
  <c r="DH187" i="10"/>
  <c r="DI187" i="10"/>
  <c r="DK187" i="10"/>
  <c r="DL187" i="10"/>
  <c r="DM187" i="10"/>
  <c r="DN187" i="10"/>
  <c r="DP187" i="10"/>
  <c r="DQ187" i="10"/>
  <c r="DR187" i="10"/>
  <c r="DS187" i="10"/>
  <c r="BR188" i="10"/>
  <c r="BS188" i="10"/>
  <c r="BT188" i="10"/>
  <c r="BU188" i="10"/>
  <c r="BW188" i="10"/>
  <c r="BX188" i="10"/>
  <c r="BY188" i="10"/>
  <c r="BZ188" i="10"/>
  <c r="CB188" i="10"/>
  <c r="CC188" i="10"/>
  <c r="CD188" i="10"/>
  <c r="CE188" i="10"/>
  <c r="CG188" i="10"/>
  <c r="CH188" i="10"/>
  <c r="CI188" i="10"/>
  <c r="CJ188" i="10"/>
  <c r="CL188" i="10"/>
  <c r="CM188" i="10"/>
  <c r="CN188" i="10"/>
  <c r="CO188" i="10"/>
  <c r="CQ188" i="10"/>
  <c r="CR188" i="10"/>
  <c r="CS188" i="10"/>
  <c r="CT188" i="10"/>
  <c r="CV188" i="10"/>
  <c r="CW188" i="10"/>
  <c r="CX188" i="10"/>
  <c r="CY188" i="10"/>
  <c r="DA188" i="10"/>
  <c r="DB188" i="10"/>
  <c r="DC188" i="10"/>
  <c r="DD188" i="10"/>
  <c r="DF188" i="10"/>
  <c r="DG188" i="10"/>
  <c r="DH188" i="10"/>
  <c r="DI188" i="10"/>
  <c r="DK188" i="10"/>
  <c r="DL188" i="10"/>
  <c r="DM188" i="10"/>
  <c r="DN188" i="10"/>
  <c r="DP188" i="10"/>
  <c r="DQ188" i="10"/>
  <c r="DR188" i="10"/>
  <c r="DS188" i="10"/>
  <c r="BR189" i="10"/>
  <c r="BS189" i="10"/>
  <c r="BT189" i="10"/>
  <c r="BU189" i="10"/>
  <c r="BW189" i="10"/>
  <c r="BX189" i="10"/>
  <c r="BY189" i="10"/>
  <c r="BZ189" i="10"/>
  <c r="CB189" i="10"/>
  <c r="CC189" i="10"/>
  <c r="CD189" i="10"/>
  <c r="CE189" i="10"/>
  <c r="CG189" i="10"/>
  <c r="CH189" i="10"/>
  <c r="CI189" i="10"/>
  <c r="CJ189" i="10"/>
  <c r="CL189" i="10"/>
  <c r="CM189" i="10"/>
  <c r="CN189" i="10"/>
  <c r="CO189" i="10"/>
  <c r="CQ189" i="10"/>
  <c r="CR189" i="10"/>
  <c r="CS189" i="10"/>
  <c r="CT189" i="10"/>
  <c r="CV189" i="10"/>
  <c r="CW189" i="10"/>
  <c r="CX189" i="10"/>
  <c r="CY189" i="10"/>
  <c r="DA189" i="10"/>
  <c r="DB189" i="10"/>
  <c r="DC189" i="10"/>
  <c r="DD189" i="10"/>
  <c r="DF189" i="10"/>
  <c r="DG189" i="10"/>
  <c r="DH189" i="10"/>
  <c r="DI189" i="10"/>
  <c r="DK189" i="10"/>
  <c r="DL189" i="10"/>
  <c r="DM189" i="10"/>
  <c r="DN189" i="10"/>
  <c r="DP189" i="10"/>
  <c r="DQ189" i="10"/>
  <c r="DR189" i="10"/>
  <c r="DS189" i="10"/>
  <c r="BR190" i="10"/>
  <c r="BS190" i="10"/>
  <c r="BT190" i="10"/>
  <c r="BU190" i="10"/>
  <c r="BW190" i="10"/>
  <c r="BX190" i="10"/>
  <c r="BY190" i="10"/>
  <c r="BZ190" i="10"/>
  <c r="CB190" i="10"/>
  <c r="CC190" i="10"/>
  <c r="CD190" i="10"/>
  <c r="CE190" i="10"/>
  <c r="CG190" i="10"/>
  <c r="CH190" i="10"/>
  <c r="CI190" i="10"/>
  <c r="CJ190" i="10"/>
  <c r="CL190" i="10"/>
  <c r="CM190" i="10"/>
  <c r="CN190" i="10"/>
  <c r="CO190" i="10"/>
  <c r="CQ190" i="10"/>
  <c r="CR190" i="10"/>
  <c r="CS190" i="10"/>
  <c r="CT190" i="10"/>
  <c r="CV190" i="10"/>
  <c r="CW190" i="10"/>
  <c r="CX190" i="10"/>
  <c r="CY190" i="10"/>
  <c r="DA190" i="10"/>
  <c r="DB190" i="10"/>
  <c r="DC190" i="10"/>
  <c r="DD190" i="10"/>
  <c r="DF190" i="10"/>
  <c r="DG190" i="10"/>
  <c r="DH190" i="10"/>
  <c r="DI190" i="10"/>
  <c r="DK190" i="10"/>
  <c r="DL190" i="10"/>
  <c r="DM190" i="10"/>
  <c r="DN190" i="10"/>
  <c r="DP190" i="10"/>
  <c r="DQ190" i="10"/>
  <c r="DR190" i="10"/>
  <c r="DS190" i="10"/>
  <c r="L179" i="10"/>
  <c r="Q179" i="10"/>
  <c r="M179" i="10" s="1"/>
  <c r="V179" i="10"/>
  <c r="R179" i="10" s="1"/>
  <c r="AA179" i="10"/>
  <c r="W179" i="10" s="1"/>
  <c r="AF179" i="10"/>
  <c r="AD179" i="10" s="1"/>
  <c r="AK179" i="10"/>
  <c r="AG179" i="10" s="1"/>
  <c r="AP179" i="10"/>
  <c r="AL179" i="10" s="1"/>
  <c r="AU179" i="10"/>
  <c r="AS179" i="10" s="1"/>
  <c r="AZ179" i="10"/>
  <c r="AX179" i="10" s="1"/>
  <c r="BE179" i="10"/>
  <c r="BA179" i="10" s="1"/>
  <c r="BJ179" i="10"/>
  <c r="BF179" i="10" s="1"/>
  <c r="BO179" i="10"/>
  <c r="BM179" i="10" s="1"/>
  <c r="L180" i="10"/>
  <c r="Q180" i="10"/>
  <c r="O180" i="10" s="1"/>
  <c r="V180" i="10"/>
  <c r="R180" i="10" s="1"/>
  <c r="AA180" i="10"/>
  <c r="W180" i="10" s="1"/>
  <c r="AF180" i="10"/>
  <c r="AD180" i="10" s="1"/>
  <c r="AK180" i="10"/>
  <c r="AG180" i="10" s="1"/>
  <c r="AP180" i="10"/>
  <c r="AL180" i="10" s="1"/>
  <c r="AU180" i="10"/>
  <c r="AS180" i="10" s="1"/>
  <c r="AZ180" i="10"/>
  <c r="AX180" i="10" s="1"/>
  <c r="BE180" i="10"/>
  <c r="BJ180" i="10"/>
  <c r="BF180" i="10" s="1"/>
  <c r="BO180" i="10"/>
  <c r="BK180" i="10" s="1"/>
  <c r="L181" i="10"/>
  <c r="Q181" i="10"/>
  <c r="M181" i="10" s="1"/>
  <c r="V181" i="10"/>
  <c r="R181" i="10" s="1"/>
  <c r="AA181" i="10"/>
  <c r="W181" i="10" s="1"/>
  <c r="AF181" i="10"/>
  <c r="AD181" i="10" s="1"/>
  <c r="AK181" i="10"/>
  <c r="AG181" i="10" s="1"/>
  <c r="AP181" i="10"/>
  <c r="AL181" i="10" s="1"/>
  <c r="AU181" i="10"/>
  <c r="AS181" i="10" s="1"/>
  <c r="AZ181" i="10"/>
  <c r="AX181" i="10" s="1"/>
  <c r="BE181" i="10"/>
  <c r="BJ181" i="10"/>
  <c r="BF181" i="10" s="1"/>
  <c r="BO181" i="10"/>
  <c r="BM181" i="10" s="1"/>
  <c r="L182" i="10"/>
  <c r="Q182" i="10"/>
  <c r="N182" i="10" s="1"/>
  <c r="V182" i="10"/>
  <c r="T182" i="10" s="1"/>
  <c r="AA182" i="10"/>
  <c r="W182" i="10" s="1"/>
  <c r="AF182" i="10"/>
  <c r="AB182" i="10" s="1"/>
  <c r="AK182" i="10"/>
  <c r="AG182" i="10" s="1"/>
  <c r="AP182" i="10"/>
  <c r="AN182" i="10" s="1"/>
  <c r="AU182" i="10"/>
  <c r="AQ182" i="10" s="1"/>
  <c r="AZ182" i="10"/>
  <c r="AV182" i="10" s="1"/>
  <c r="BE182" i="10"/>
  <c r="BA182" i="10" s="1"/>
  <c r="BJ182" i="10"/>
  <c r="BH182" i="10" s="1"/>
  <c r="BO182" i="10"/>
  <c r="BK182" i="10" s="1"/>
  <c r="L183" i="10"/>
  <c r="Q183" i="10"/>
  <c r="M183" i="10" s="1"/>
  <c r="V183" i="10"/>
  <c r="T183" i="10" s="1"/>
  <c r="AA183" i="10"/>
  <c r="W183" i="10" s="1"/>
  <c r="AF183" i="10"/>
  <c r="AB183" i="10" s="1"/>
  <c r="AK183" i="10"/>
  <c r="AP183" i="10"/>
  <c r="AN183" i="10" s="1"/>
  <c r="AU183" i="10"/>
  <c r="AZ183" i="10"/>
  <c r="AV183" i="10" s="1"/>
  <c r="BE183" i="10"/>
  <c r="BA183" i="10" s="1"/>
  <c r="BJ183" i="10"/>
  <c r="BH183" i="10" s="1"/>
  <c r="BO183" i="10"/>
  <c r="BK183" i="10" s="1"/>
  <c r="L184" i="10"/>
  <c r="Q184" i="10"/>
  <c r="M184" i="10" s="1"/>
  <c r="V184" i="10"/>
  <c r="T184" i="10" s="1"/>
  <c r="AA184" i="10"/>
  <c r="W184" i="10" s="1"/>
  <c r="AF184" i="10"/>
  <c r="AB184" i="10" s="1"/>
  <c r="AK184" i="10"/>
  <c r="AG184" i="10" s="1"/>
  <c r="AP184" i="10"/>
  <c r="AN184" i="10" s="1"/>
  <c r="AU184" i="10"/>
  <c r="AQ184" i="10" s="1"/>
  <c r="AZ184" i="10"/>
  <c r="AV184" i="10" s="1"/>
  <c r="BE184" i="10"/>
  <c r="BA184" i="10" s="1"/>
  <c r="BJ184" i="10"/>
  <c r="BH184" i="10" s="1"/>
  <c r="BO184" i="10"/>
  <c r="BK184" i="10" s="1"/>
  <c r="L185" i="10"/>
  <c r="Q185" i="10"/>
  <c r="V185" i="10"/>
  <c r="T185" i="10" s="1"/>
  <c r="AA185" i="10"/>
  <c r="AF185" i="10"/>
  <c r="AB185" i="10" s="1"/>
  <c r="AK185" i="10"/>
  <c r="AG185" i="10" s="1"/>
  <c r="AP185" i="10"/>
  <c r="AN185" i="10" s="1"/>
  <c r="AZ185" i="10"/>
  <c r="AV185" i="10" s="1"/>
  <c r="BE185" i="10"/>
  <c r="BA185" i="10" s="1"/>
  <c r="BJ185" i="10"/>
  <c r="BH185" i="10" s="1"/>
  <c r="BO185" i="10"/>
  <c r="L186" i="10"/>
  <c r="Q186" i="10"/>
  <c r="V186" i="10"/>
  <c r="T186" i="10" s="1"/>
  <c r="AA186" i="10"/>
  <c r="AF186" i="10"/>
  <c r="AB186" i="10" s="1"/>
  <c r="AK186" i="10"/>
  <c r="AG186" i="10" s="1"/>
  <c r="AP186" i="10"/>
  <c r="AN186" i="10" s="1"/>
  <c r="AU186" i="10"/>
  <c r="AQ186" i="10" s="1"/>
  <c r="AZ186" i="10"/>
  <c r="AV186" i="10" s="1"/>
  <c r="BE186" i="10"/>
  <c r="BA186" i="10" s="1"/>
  <c r="BJ186" i="10"/>
  <c r="BH186" i="10" s="1"/>
  <c r="BO186" i="10"/>
  <c r="L187" i="10"/>
  <c r="Q187" i="10"/>
  <c r="M187" i="10" s="1"/>
  <c r="V187" i="10"/>
  <c r="T187" i="10" s="1"/>
  <c r="AA187" i="10"/>
  <c r="W187" i="10" s="1"/>
  <c r="AF187" i="10"/>
  <c r="AB187" i="10" s="1"/>
  <c r="AK187" i="10"/>
  <c r="AG187" i="10" s="1"/>
  <c r="AP187" i="10"/>
  <c r="AN187" i="10" s="1"/>
  <c r="AU187" i="10"/>
  <c r="AZ187" i="10"/>
  <c r="AV187" i="10" s="1"/>
  <c r="BE187" i="10"/>
  <c r="BA187" i="10" s="1"/>
  <c r="BJ187" i="10"/>
  <c r="BH187" i="10" s="1"/>
  <c r="BO187" i="10"/>
  <c r="BK187" i="10" s="1"/>
  <c r="L188" i="10"/>
  <c r="Q188" i="10"/>
  <c r="M188" i="10" s="1"/>
  <c r="V188" i="10"/>
  <c r="T188" i="10" s="1"/>
  <c r="AA188" i="10"/>
  <c r="W188" i="10" s="1"/>
  <c r="AF188" i="10"/>
  <c r="AB188" i="10" s="1"/>
  <c r="AK188" i="10"/>
  <c r="AG188" i="10" s="1"/>
  <c r="AP188" i="10"/>
  <c r="AN188" i="10" s="1"/>
  <c r="AU188" i="10"/>
  <c r="AZ188" i="10"/>
  <c r="BE188" i="10"/>
  <c r="BA188" i="10" s="1"/>
  <c r="BJ188" i="10"/>
  <c r="BH188" i="10" s="1"/>
  <c r="BO188" i="10"/>
  <c r="L189" i="10"/>
  <c r="Q189" i="10"/>
  <c r="M189" i="10" s="1"/>
  <c r="V189" i="10"/>
  <c r="T189" i="10" s="1"/>
  <c r="AA189" i="10"/>
  <c r="AF189" i="10"/>
  <c r="AB189" i="10" s="1"/>
  <c r="AK189" i="10"/>
  <c r="AG189" i="10" s="1"/>
  <c r="AP189" i="10"/>
  <c r="AN189" i="10" s="1"/>
  <c r="AU189" i="10"/>
  <c r="AQ189" i="10" s="1"/>
  <c r="AZ189" i="10"/>
  <c r="AV189" i="10" s="1"/>
  <c r="BE189" i="10"/>
  <c r="BA189" i="10" s="1"/>
  <c r="BJ189" i="10"/>
  <c r="BH189" i="10" s="1"/>
  <c r="BO189" i="10"/>
  <c r="BK189" i="10" s="1"/>
  <c r="L190" i="10"/>
  <c r="Q190" i="10"/>
  <c r="M190" i="10" s="1"/>
  <c r="V190" i="10"/>
  <c r="T190" i="10" s="1"/>
  <c r="AA190" i="10"/>
  <c r="W190" i="10" s="1"/>
  <c r="AF190" i="10"/>
  <c r="AK190" i="10"/>
  <c r="AG190" i="10" s="1"/>
  <c r="AP190" i="10"/>
  <c r="AN190" i="10" s="1"/>
  <c r="AU190" i="10"/>
  <c r="AQ190" i="10" s="1"/>
  <c r="AZ190" i="10"/>
  <c r="AV190" i="10" s="1"/>
  <c r="BE190" i="10"/>
  <c r="BD190" i="10" s="1"/>
  <c r="BJ190" i="10"/>
  <c r="BH190" i="10" s="1"/>
  <c r="BO190" i="10"/>
  <c r="L192" i="10"/>
  <c r="Q192" i="10"/>
  <c r="O192" i="10" s="1"/>
  <c r="V192" i="10"/>
  <c r="AA192" i="10"/>
  <c r="W192" i="10" s="1"/>
  <c r="AF192" i="10"/>
  <c r="AB192" i="10" s="1"/>
  <c r="AK192" i="10"/>
  <c r="AI192" i="10" s="1"/>
  <c r="AP192" i="10"/>
  <c r="AL192" i="10" s="1"/>
  <c r="AU192" i="10"/>
  <c r="AQ192" i="10" s="1"/>
  <c r="AZ192" i="10"/>
  <c r="BE192" i="10"/>
  <c r="BC192" i="10" s="1"/>
  <c r="BJ192" i="10"/>
  <c r="BO192" i="10"/>
  <c r="BK192" i="10" s="1"/>
  <c r="BR192" i="10"/>
  <c r="BS192" i="10"/>
  <c r="BT192" i="10"/>
  <c r="BU192" i="10"/>
  <c r="BW192" i="10"/>
  <c r="BX192" i="10"/>
  <c r="BY192" i="10"/>
  <c r="BZ192" i="10"/>
  <c r="CB192" i="10"/>
  <c r="CC192" i="10"/>
  <c r="CD192" i="10"/>
  <c r="CE192" i="10"/>
  <c r="CG192" i="10"/>
  <c r="CH192" i="10"/>
  <c r="CI192" i="10"/>
  <c r="CJ192" i="10"/>
  <c r="CL192" i="10"/>
  <c r="CM192" i="10"/>
  <c r="CN192" i="10"/>
  <c r="CO192" i="10"/>
  <c r="CQ192" i="10"/>
  <c r="CR192" i="10"/>
  <c r="CS192" i="10"/>
  <c r="CT192" i="10"/>
  <c r="CV192" i="10"/>
  <c r="CW192" i="10"/>
  <c r="CX192" i="10"/>
  <c r="CY192" i="10"/>
  <c r="DA192" i="10"/>
  <c r="DB192" i="10"/>
  <c r="DC192" i="10"/>
  <c r="DD192" i="10"/>
  <c r="DF192" i="10"/>
  <c r="DG192" i="10"/>
  <c r="DH192" i="10"/>
  <c r="DI192" i="10"/>
  <c r="DK192" i="10"/>
  <c r="DL192" i="10"/>
  <c r="DM192" i="10"/>
  <c r="DN192" i="10"/>
  <c r="DP192" i="10"/>
  <c r="DQ192" i="10"/>
  <c r="DR192" i="10"/>
  <c r="DS192" i="10"/>
  <c r="L197" i="10"/>
  <c r="Q197" i="10"/>
  <c r="M197" i="10" s="1"/>
  <c r="V197" i="10"/>
  <c r="U197" i="10" s="1"/>
  <c r="AA197" i="10"/>
  <c r="AF197" i="10"/>
  <c r="AB197" i="10" s="1"/>
  <c r="AK197" i="10"/>
  <c r="AG197" i="10" s="1"/>
  <c r="AP197" i="10"/>
  <c r="AU197" i="10"/>
  <c r="AQ197" i="10" s="1"/>
  <c r="AZ197" i="10"/>
  <c r="BE197" i="10"/>
  <c r="BA197" i="10" s="1"/>
  <c r="BJ197" i="10"/>
  <c r="BO197" i="10"/>
  <c r="BK197" i="10" s="1"/>
  <c r="L198" i="10"/>
  <c r="Q198" i="10"/>
  <c r="M198" i="10" s="1"/>
  <c r="V198" i="10"/>
  <c r="AA198" i="10"/>
  <c r="W198" i="10" s="1"/>
  <c r="AF198" i="10"/>
  <c r="AB198" i="10" s="1"/>
  <c r="AK198" i="10"/>
  <c r="AP198" i="10"/>
  <c r="AN198" i="10" s="1"/>
  <c r="AU198" i="10"/>
  <c r="AQ198" i="10" s="1"/>
  <c r="AZ198" i="10"/>
  <c r="BE198" i="10"/>
  <c r="BA198" i="10" s="1"/>
  <c r="BJ198" i="10"/>
  <c r="BH198" i="10" s="1"/>
  <c r="BO198" i="10"/>
  <c r="L199" i="10"/>
  <c r="Q199" i="10"/>
  <c r="M199" i="10" s="1"/>
  <c r="V199" i="10"/>
  <c r="T199" i="10" s="1"/>
  <c r="AA199" i="10"/>
  <c r="AF199" i="10"/>
  <c r="AB199" i="10" s="1"/>
  <c r="AK199" i="10"/>
  <c r="AG199" i="10" s="1"/>
  <c r="AP199" i="10"/>
  <c r="AU199" i="10"/>
  <c r="AQ199" i="10" s="1"/>
  <c r="AZ199" i="10"/>
  <c r="BE199" i="10"/>
  <c r="BA199" i="10" s="1"/>
  <c r="BJ199" i="10"/>
  <c r="BH199" i="10" s="1"/>
  <c r="BO199" i="10"/>
  <c r="L200" i="10"/>
  <c r="Q200" i="10"/>
  <c r="M200" i="10" s="1"/>
  <c r="V200" i="10"/>
  <c r="T200" i="10" s="1"/>
  <c r="AA200" i="10"/>
  <c r="AF200" i="10"/>
  <c r="AB200" i="10" s="1"/>
  <c r="AK200" i="10"/>
  <c r="AG200" i="10" s="1"/>
  <c r="AP200" i="10"/>
  <c r="AU200" i="10"/>
  <c r="AQ200" i="10" s="1"/>
  <c r="AZ200" i="10"/>
  <c r="BE200" i="10"/>
  <c r="BA200" i="10" s="1"/>
  <c r="BJ200" i="10"/>
  <c r="BH200" i="10" s="1"/>
  <c r="BO200" i="10"/>
  <c r="L201" i="10"/>
  <c r="Q201" i="10"/>
  <c r="M201" i="10" s="1"/>
  <c r="V201" i="10"/>
  <c r="T201" i="10" s="1"/>
  <c r="AA201" i="10"/>
  <c r="AF201" i="10"/>
  <c r="AB201" i="10" s="1"/>
  <c r="AK201" i="10"/>
  <c r="AG201" i="10" s="1"/>
  <c r="AP201" i="10"/>
  <c r="AU201" i="10"/>
  <c r="AQ201" i="10" s="1"/>
  <c r="AZ201" i="10"/>
  <c r="BE201" i="10"/>
  <c r="BA201" i="10" s="1"/>
  <c r="BJ201" i="10"/>
  <c r="BO201" i="10"/>
  <c r="BK201" i="10" s="1"/>
  <c r="L202" i="10"/>
  <c r="Q202" i="10"/>
  <c r="M202" i="10" s="1"/>
  <c r="V202" i="10"/>
  <c r="T202" i="10" s="1"/>
  <c r="AA202" i="10"/>
  <c r="W202" i="10" s="1"/>
  <c r="AF202" i="10"/>
  <c r="AB202" i="10" s="1"/>
  <c r="AK202" i="10"/>
  <c r="AG202" i="10" s="1"/>
  <c r="AP202" i="10"/>
  <c r="AN202" i="10" s="1"/>
  <c r="AU202" i="10"/>
  <c r="AQ202" i="10" s="1"/>
  <c r="AZ202" i="10"/>
  <c r="AV202" i="10" s="1"/>
  <c r="BE202" i="10"/>
  <c r="BA202" i="10" s="1"/>
  <c r="BJ202" i="10"/>
  <c r="BH202" i="10" s="1"/>
  <c r="BO202" i="10"/>
  <c r="BK202" i="10" s="1"/>
  <c r="L203" i="10"/>
  <c r="Q203" i="10"/>
  <c r="V203" i="10"/>
  <c r="T203" i="10" s="1"/>
  <c r="AA203" i="10"/>
  <c r="W203" i="10" s="1"/>
  <c r="AF203" i="10"/>
  <c r="AB203" i="10" s="1"/>
  <c r="AK203" i="10"/>
  <c r="AG203" i="10" s="1"/>
  <c r="AP203" i="10"/>
  <c r="AN203" i="10" s="1"/>
  <c r="AU203" i="10"/>
  <c r="AQ203" i="10" s="1"/>
  <c r="AZ203" i="10"/>
  <c r="AV203" i="10" s="1"/>
  <c r="BE203" i="10"/>
  <c r="BJ203" i="10"/>
  <c r="BO203" i="10"/>
  <c r="BK203" i="10" s="1"/>
  <c r="L204" i="10"/>
  <c r="Q204" i="10"/>
  <c r="V204" i="10"/>
  <c r="T204" i="10" s="1"/>
  <c r="AA204" i="10"/>
  <c r="W204" i="10" s="1"/>
  <c r="AF204" i="10"/>
  <c r="AK204" i="10"/>
  <c r="AG204" i="10" s="1"/>
  <c r="AP204" i="10"/>
  <c r="AN204" i="10" s="1"/>
  <c r="AU204" i="10"/>
  <c r="AZ204" i="10"/>
  <c r="AV204" i="10" s="1"/>
  <c r="BE204" i="10"/>
  <c r="BA204" i="10" s="1"/>
  <c r="BJ204" i="10"/>
  <c r="BH204" i="10" s="1"/>
  <c r="BO204" i="10"/>
  <c r="BK204" i="10" s="1"/>
  <c r="L205" i="10"/>
  <c r="Q205" i="10"/>
  <c r="M205" i="10" s="1"/>
  <c r="V205" i="10"/>
  <c r="T205" i="10" s="1"/>
  <c r="AA205" i="10"/>
  <c r="W205" i="10" s="1"/>
  <c r="AF205" i="10"/>
  <c r="AB205" i="10" s="1"/>
  <c r="AK205" i="10"/>
  <c r="AP205" i="10"/>
  <c r="AN205" i="10" s="1"/>
  <c r="AU205" i="10"/>
  <c r="AQ205" i="10" s="1"/>
  <c r="AZ205" i="10"/>
  <c r="AV205" i="10" s="1"/>
  <c r="BE205" i="10"/>
  <c r="BA205" i="10" s="1"/>
  <c r="BJ205" i="10"/>
  <c r="BO205" i="10"/>
  <c r="BK205" i="10" s="1"/>
  <c r="L206" i="10"/>
  <c r="Q206" i="10"/>
  <c r="M206" i="10" s="1"/>
  <c r="V206" i="10"/>
  <c r="T206" i="10" s="1"/>
  <c r="AA206" i="10"/>
  <c r="W206" i="10" s="1"/>
  <c r="AF206" i="10"/>
  <c r="AB206" i="10" s="1"/>
  <c r="AK206" i="10"/>
  <c r="AP206" i="10"/>
  <c r="AN206" i="10" s="1"/>
  <c r="AU206" i="10"/>
  <c r="AQ206" i="10" s="1"/>
  <c r="AZ206" i="10"/>
  <c r="AV206" i="10" s="1"/>
  <c r="BE206" i="10"/>
  <c r="BA206" i="10" s="1"/>
  <c r="BJ206" i="10"/>
  <c r="BH206" i="10" s="1"/>
  <c r="BO206" i="10"/>
  <c r="L207" i="10"/>
  <c r="Q207" i="10"/>
  <c r="M207" i="10" s="1"/>
  <c r="V207" i="10"/>
  <c r="AA207" i="10"/>
  <c r="W207" i="10" s="1"/>
  <c r="AF207" i="10"/>
  <c r="AB207" i="10" s="1"/>
  <c r="AK207" i="10"/>
  <c r="AG207" i="10" s="1"/>
  <c r="AP207" i="10"/>
  <c r="AN207" i="10" s="1"/>
  <c r="AU207" i="10"/>
  <c r="AQ207" i="10" s="1"/>
  <c r="AZ207" i="10"/>
  <c r="BE207" i="10"/>
  <c r="BA207" i="10" s="1"/>
  <c r="BJ207" i="10"/>
  <c r="BH207" i="10" s="1"/>
  <c r="BO207" i="10"/>
  <c r="BK207" i="10" s="1"/>
  <c r="L208" i="10"/>
  <c r="Q208" i="10"/>
  <c r="P208" i="10" s="1"/>
  <c r="V208" i="10"/>
  <c r="T208" i="10" s="1"/>
  <c r="AA208" i="10"/>
  <c r="X208" i="10" s="1"/>
  <c r="AF208" i="10"/>
  <c r="AB208" i="10" s="1"/>
  <c r="AK208" i="10"/>
  <c r="AJ208" i="10" s="1"/>
  <c r="AP208" i="10"/>
  <c r="AN208" i="10" s="1"/>
  <c r="AU208" i="10"/>
  <c r="AR208" i="10" s="1"/>
  <c r="BE208" i="10"/>
  <c r="BD208" i="10" s="1"/>
  <c r="BJ208" i="10"/>
  <c r="BH208" i="10" s="1"/>
  <c r="BO208" i="10"/>
  <c r="BL208" i="10" s="1"/>
  <c r="L209" i="10"/>
  <c r="Q209" i="10"/>
  <c r="P209" i="10" s="1"/>
  <c r="V209" i="10"/>
  <c r="T209" i="10" s="1"/>
  <c r="AA209" i="10"/>
  <c r="X209" i="10" s="1"/>
  <c r="AF209" i="10"/>
  <c r="AB209" i="10" s="1"/>
  <c r="AK209" i="10"/>
  <c r="AJ209" i="10" s="1"/>
  <c r="AP209" i="10"/>
  <c r="AN209" i="10" s="1"/>
  <c r="AU209" i="10"/>
  <c r="AR209" i="10" s="1"/>
  <c r="AZ209" i="10"/>
  <c r="BJ209" i="10"/>
  <c r="BH209" i="10" s="1"/>
  <c r="BO209" i="10"/>
  <c r="BL209" i="10" s="1"/>
  <c r="L210" i="10"/>
  <c r="Q210" i="10"/>
  <c r="P210" i="10" s="1"/>
  <c r="V210" i="10"/>
  <c r="T210" i="10" s="1"/>
  <c r="AA210" i="10"/>
  <c r="X210" i="10" s="1"/>
  <c r="AF210" i="10"/>
  <c r="AB210" i="10" s="1"/>
  <c r="AK210" i="10"/>
  <c r="AJ210" i="10" s="1"/>
  <c r="AP210" i="10"/>
  <c r="AN210" i="10" s="1"/>
  <c r="AU210" i="10"/>
  <c r="AR210" i="10" s="1"/>
  <c r="AZ210" i="10"/>
  <c r="AV210" i="10" s="1"/>
  <c r="BE210" i="10"/>
  <c r="BD210" i="10" s="1"/>
  <c r="BO210" i="10"/>
  <c r="BL210" i="10" s="1"/>
  <c r="L211" i="10"/>
  <c r="Q211" i="10"/>
  <c r="P211" i="10" s="1"/>
  <c r="V211" i="10"/>
  <c r="T211" i="10" s="1"/>
  <c r="AA211" i="10"/>
  <c r="X211" i="10" s="1"/>
  <c r="AF211" i="10"/>
  <c r="AB211" i="10" s="1"/>
  <c r="AK211" i="10"/>
  <c r="AJ211" i="10" s="1"/>
  <c r="AP211" i="10"/>
  <c r="AN211" i="10" s="1"/>
  <c r="AU211" i="10"/>
  <c r="AZ211" i="10"/>
  <c r="AV211" i="10" s="1"/>
  <c r="BE211" i="10"/>
  <c r="BD211" i="10" s="1"/>
  <c r="BJ211" i="10"/>
  <c r="BH211" i="10" s="1"/>
  <c r="BR197" i="10"/>
  <c r="BS197" i="10"/>
  <c r="BT197" i="10"/>
  <c r="BU197" i="10"/>
  <c r="BW197" i="10"/>
  <c r="BX197" i="10"/>
  <c r="BY197" i="10"/>
  <c r="BZ197" i="10"/>
  <c r="CB197" i="10"/>
  <c r="CC197" i="10"/>
  <c r="CD197" i="10"/>
  <c r="CE197" i="10"/>
  <c r="CG197" i="10"/>
  <c r="CH197" i="10"/>
  <c r="CI197" i="10"/>
  <c r="CJ197" i="10"/>
  <c r="CL197" i="10"/>
  <c r="CM197" i="10"/>
  <c r="CN197" i="10"/>
  <c r="CO197" i="10"/>
  <c r="CQ197" i="10"/>
  <c r="CR197" i="10"/>
  <c r="CS197" i="10"/>
  <c r="CT197" i="10"/>
  <c r="DF197" i="10"/>
  <c r="DG197" i="10"/>
  <c r="DH197" i="10"/>
  <c r="DI197" i="10"/>
  <c r="DK197" i="10"/>
  <c r="DL197" i="10"/>
  <c r="DM197" i="10"/>
  <c r="DN197" i="10"/>
  <c r="DP197" i="10"/>
  <c r="DQ197" i="10"/>
  <c r="DR197" i="10"/>
  <c r="DS197" i="10"/>
  <c r="BR198" i="10"/>
  <c r="BS198" i="10"/>
  <c r="BT198" i="10"/>
  <c r="BU198" i="10"/>
  <c r="BW198" i="10"/>
  <c r="BX198" i="10"/>
  <c r="BY198" i="10"/>
  <c r="BZ198" i="10"/>
  <c r="CB198" i="10"/>
  <c r="CC198" i="10"/>
  <c r="CD198" i="10"/>
  <c r="CE198" i="10"/>
  <c r="CG198" i="10"/>
  <c r="CH198" i="10"/>
  <c r="CI198" i="10"/>
  <c r="CJ198" i="10"/>
  <c r="CL198" i="10"/>
  <c r="CM198" i="10"/>
  <c r="CN198" i="10"/>
  <c r="CO198" i="10"/>
  <c r="CQ198" i="10"/>
  <c r="CR198" i="10"/>
  <c r="CS198" i="10"/>
  <c r="CT198" i="10"/>
  <c r="DF198" i="10"/>
  <c r="DG198" i="10"/>
  <c r="DH198" i="10"/>
  <c r="DI198" i="10"/>
  <c r="DK198" i="10"/>
  <c r="DL198" i="10"/>
  <c r="DM198" i="10"/>
  <c r="DN198" i="10"/>
  <c r="DP198" i="10"/>
  <c r="DQ198" i="10"/>
  <c r="DR198" i="10"/>
  <c r="DS198" i="10"/>
  <c r="BR199" i="10"/>
  <c r="BS199" i="10"/>
  <c r="BT199" i="10"/>
  <c r="BU199" i="10"/>
  <c r="BW199" i="10"/>
  <c r="BX199" i="10"/>
  <c r="BY199" i="10"/>
  <c r="BZ199" i="10"/>
  <c r="CB199" i="10"/>
  <c r="CC199" i="10"/>
  <c r="CD199" i="10"/>
  <c r="CE199" i="10"/>
  <c r="CG199" i="10"/>
  <c r="CH199" i="10"/>
  <c r="CI199" i="10"/>
  <c r="CJ199" i="10"/>
  <c r="CL199" i="10"/>
  <c r="CM199" i="10"/>
  <c r="CN199" i="10"/>
  <c r="CO199" i="10"/>
  <c r="CQ199" i="10"/>
  <c r="CR199" i="10"/>
  <c r="CS199" i="10"/>
  <c r="CT199" i="10"/>
  <c r="DF199" i="10"/>
  <c r="DG199" i="10"/>
  <c r="DH199" i="10"/>
  <c r="DI199" i="10"/>
  <c r="DK199" i="10"/>
  <c r="DL199" i="10"/>
  <c r="DM199" i="10"/>
  <c r="DN199" i="10"/>
  <c r="DP199" i="10"/>
  <c r="DQ199" i="10"/>
  <c r="DR199" i="10"/>
  <c r="DS199" i="10"/>
  <c r="BR200" i="10"/>
  <c r="BS200" i="10"/>
  <c r="BT200" i="10"/>
  <c r="BU200" i="10"/>
  <c r="BW200" i="10"/>
  <c r="BX200" i="10"/>
  <c r="BY200" i="10"/>
  <c r="BZ200" i="10"/>
  <c r="CB200" i="10"/>
  <c r="CC200" i="10"/>
  <c r="CD200" i="10"/>
  <c r="CE200" i="10"/>
  <c r="CG200" i="10"/>
  <c r="CH200" i="10"/>
  <c r="CI200" i="10"/>
  <c r="CJ200" i="10"/>
  <c r="CL200" i="10"/>
  <c r="CM200" i="10"/>
  <c r="CN200" i="10"/>
  <c r="CO200" i="10"/>
  <c r="CQ200" i="10"/>
  <c r="CR200" i="10"/>
  <c r="CS200" i="10"/>
  <c r="CT200" i="10"/>
  <c r="DF200" i="10"/>
  <c r="DG200" i="10"/>
  <c r="DH200" i="10"/>
  <c r="DI200" i="10"/>
  <c r="DK200" i="10"/>
  <c r="DL200" i="10"/>
  <c r="DM200" i="10"/>
  <c r="DN200" i="10"/>
  <c r="DP200" i="10"/>
  <c r="DQ200" i="10"/>
  <c r="DR200" i="10"/>
  <c r="DS200" i="10"/>
  <c r="BR201" i="10"/>
  <c r="BS201" i="10"/>
  <c r="BT201" i="10"/>
  <c r="BU201" i="10"/>
  <c r="BW201" i="10"/>
  <c r="BX201" i="10"/>
  <c r="BY201" i="10"/>
  <c r="BZ201" i="10"/>
  <c r="CB201" i="10"/>
  <c r="CC201" i="10"/>
  <c r="CD201" i="10"/>
  <c r="CE201" i="10"/>
  <c r="CG201" i="10"/>
  <c r="CH201" i="10"/>
  <c r="CI201" i="10"/>
  <c r="CJ201" i="10"/>
  <c r="CL201" i="10"/>
  <c r="CM201" i="10"/>
  <c r="CN201" i="10"/>
  <c r="CO201" i="10"/>
  <c r="CQ201" i="10"/>
  <c r="CR201" i="10"/>
  <c r="CS201" i="10"/>
  <c r="CT201" i="10"/>
  <c r="DF201" i="10"/>
  <c r="DG201" i="10"/>
  <c r="DH201" i="10"/>
  <c r="DI201" i="10"/>
  <c r="DK201" i="10"/>
  <c r="DL201" i="10"/>
  <c r="DM201" i="10"/>
  <c r="DN201" i="10"/>
  <c r="DP201" i="10"/>
  <c r="DQ201" i="10"/>
  <c r="DR201" i="10"/>
  <c r="DS201" i="10"/>
  <c r="BR202" i="10"/>
  <c r="BS202" i="10"/>
  <c r="BT202" i="10"/>
  <c r="BU202" i="10"/>
  <c r="BW202" i="10"/>
  <c r="BX202" i="10"/>
  <c r="BY202" i="10"/>
  <c r="BZ202" i="10"/>
  <c r="CB202" i="10"/>
  <c r="CC202" i="10"/>
  <c r="CD202" i="10"/>
  <c r="CE202" i="10"/>
  <c r="CG202" i="10"/>
  <c r="CH202" i="10"/>
  <c r="CI202" i="10"/>
  <c r="CJ202" i="10"/>
  <c r="CL202" i="10"/>
  <c r="CM202" i="10"/>
  <c r="CN202" i="10"/>
  <c r="CO202" i="10"/>
  <c r="CQ202" i="10"/>
  <c r="CR202" i="10"/>
  <c r="CS202" i="10"/>
  <c r="CT202" i="10"/>
  <c r="DF202" i="10"/>
  <c r="DG202" i="10"/>
  <c r="DH202" i="10"/>
  <c r="DI202" i="10"/>
  <c r="DK202" i="10"/>
  <c r="DL202" i="10"/>
  <c r="DM202" i="10"/>
  <c r="DN202" i="10"/>
  <c r="DP202" i="10"/>
  <c r="DQ202" i="10"/>
  <c r="DR202" i="10"/>
  <c r="DS202" i="10"/>
  <c r="BR203" i="10"/>
  <c r="BS203" i="10"/>
  <c r="BT203" i="10"/>
  <c r="BU203" i="10"/>
  <c r="BW203" i="10"/>
  <c r="BX203" i="10"/>
  <c r="BY203" i="10"/>
  <c r="BZ203" i="10"/>
  <c r="CB203" i="10"/>
  <c r="CC203" i="10"/>
  <c r="CD203" i="10"/>
  <c r="CE203" i="10"/>
  <c r="CG203" i="10"/>
  <c r="CH203" i="10"/>
  <c r="CI203" i="10"/>
  <c r="CJ203" i="10"/>
  <c r="CL203" i="10"/>
  <c r="CM203" i="10"/>
  <c r="CN203" i="10"/>
  <c r="CO203" i="10"/>
  <c r="CQ203" i="10"/>
  <c r="CR203" i="10"/>
  <c r="CS203" i="10"/>
  <c r="CT203" i="10"/>
  <c r="DF203" i="10"/>
  <c r="DG203" i="10"/>
  <c r="DH203" i="10"/>
  <c r="DI203" i="10"/>
  <c r="DK203" i="10"/>
  <c r="DL203" i="10"/>
  <c r="DM203" i="10"/>
  <c r="DN203" i="10"/>
  <c r="DP203" i="10"/>
  <c r="DQ203" i="10"/>
  <c r="DR203" i="10"/>
  <c r="DS203" i="10"/>
  <c r="BR204" i="10"/>
  <c r="BS204" i="10"/>
  <c r="BT204" i="10"/>
  <c r="BU204" i="10"/>
  <c r="BW204" i="10"/>
  <c r="BX204" i="10"/>
  <c r="BY204" i="10"/>
  <c r="BZ204" i="10"/>
  <c r="CB204" i="10"/>
  <c r="CC204" i="10"/>
  <c r="CD204" i="10"/>
  <c r="CE204" i="10"/>
  <c r="CG204" i="10"/>
  <c r="CH204" i="10"/>
  <c r="CI204" i="10"/>
  <c r="CJ204" i="10"/>
  <c r="CL204" i="10"/>
  <c r="CM204" i="10"/>
  <c r="CN204" i="10"/>
  <c r="CO204" i="10"/>
  <c r="CQ204" i="10"/>
  <c r="CR204" i="10"/>
  <c r="CS204" i="10"/>
  <c r="CT204" i="10"/>
  <c r="DF204" i="10"/>
  <c r="DG204" i="10"/>
  <c r="DH204" i="10"/>
  <c r="DI204" i="10"/>
  <c r="DK204" i="10"/>
  <c r="DL204" i="10"/>
  <c r="DM204" i="10"/>
  <c r="DN204" i="10"/>
  <c r="DP204" i="10"/>
  <c r="DQ204" i="10"/>
  <c r="DR204" i="10"/>
  <c r="DS204" i="10"/>
  <c r="BR205" i="10"/>
  <c r="BS205" i="10"/>
  <c r="BT205" i="10"/>
  <c r="BU205" i="10"/>
  <c r="BW205" i="10"/>
  <c r="BX205" i="10"/>
  <c r="BY205" i="10"/>
  <c r="BZ205" i="10"/>
  <c r="CB205" i="10"/>
  <c r="CC205" i="10"/>
  <c r="CD205" i="10"/>
  <c r="CE205" i="10"/>
  <c r="CG205" i="10"/>
  <c r="CH205" i="10"/>
  <c r="CI205" i="10"/>
  <c r="CJ205" i="10"/>
  <c r="CL205" i="10"/>
  <c r="CM205" i="10"/>
  <c r="CN205" i="10"/>
  <c r="CO205" i="10"/>
  <c r="CQ205" i="10"/>
  <c r="CR205" i="10"/>
  <c r="CS205" i="10"/>
  <c r="CT205" i="10"/>
  <c r="DF205" i="10"/>
  <c r="DG205" i="10"/>
  <c r="DH205" i="10"/>
  <c r="DI205" i="10"/>
  <c r="DK205" i="10"/>
  <c r="DL205" i="10"/>
  <c r="DM205" i="10"/>
  <c r="DN205" i="10"/>
  <c r="DP205" i="10"/>
  <c r="DQ205" i="10"/>
  <c r="DR205" i="10"/>
  <c r="DS205" i="10"/>
  <c r="BR206" i="10"/>
  <c r="BS206" i="10"/>
  <c r="BT206" i="10"/>
  <c r="BU206" i="10"/>
  <c r="BW206" i="10"/>
  <c r="BX206" i="10"/>
  <c r="BY206" i="10"/>
  <c r="BZ206" i="10"/>
  <c r="CB206" i="10"/>
  <c r="CC206" i="10"/>
  <c r="CD206" i="10"/>
  <c r="CE206" i="10"/>
  <c r="CG206" i="10"/>
  <c r="CH206" i="10"/>
  <c r="CI206" i="10"/>
  <c r="CJ206" i="10"/>
  <c r="CL206" i="10"/>
  <c r="CM206" i="10"/>
  <c r="CN206" i="10"/>
  <c r="CO206" i="10"/>
  <c r="CQ206" i="10"/>
  <c r="CR206" i="10"/>
  <c r="CS206" i="10"/>
  <c r="CT206" i="10"/>
  <c r="DF206" i="10"/>
  <c r="DG206" i="10"/>
  <c r="DH206" i="10"/>
  <c r="DI206" i="10"/>
  <c r="DK206" i="10"/>
  <c r="DL206" i="10"/>
  <c r="DM206" i="10"/>
  <c r="DN206" i="10"/>
  <c r="DP206" i="10"/>
  <c r="DQ206" i="10"/>
  <c r="DR206" i="10"/>
  <c r="DS206" i="10"/>
  <c r="BR207" i="10"/>
  <c r="BS207" i="10"/>
  <c r="BT207" i="10"/>
  <c r="BU207" i="10"/>
  <c r="BW207" i="10"/>
  <c r="BX207" i="10"/>
  <c r="BY207" i="10"/>
  <c r="BZ207" i="10"/>
  <c r="CB207" i="10"/>
  <c r="CC207" i="10"/>
  <c r="CD207" i="10"/>
  <c r="CE207" i="10"/>
  <c r="CG207" i="10"/>
  <c r="CH207" i="10"/>
  <c r="CI207" i="10"/>
  <c r="CJ207" i="10"/>
  <c r="CL207" i="10"/>
  <c r="CM207" i="10"/>
  <c r="CN207" i="10"/>
  <c r="CO207" i="10"/>
  <c r="CQ207" i="10"/>
  <c r="CR207" i="10"/>
  <c r="CS207" i="10"/>
  <c r="CT207" i="10"/>
  <c r="DF207" i="10"/>
  <c r="DG207" i="10"/>
  <c r="DH207" i="10"/>
  <c r="DI207" i="10"/>
  <c r="DK207" i="10"/>
  <c r="DL207" i="10"/>
  <c r="DM207" i="10"/>
  <c r="DN207" i="10"/>
  <c r="DP207" i="10"/>
  <c r="DQ207" i="10"/>
  <c r="DR207" i="10"/>
  <c r="DS207" i="10"/>
  <c r="BR208" i="10"/>
  <c r="BS208" i="10"/>
  <c r="BT208" i="10"/>
  <c r="BU208" i="10"/>
  <c r="BW208" i="10"/>
  <c r="BX208" i="10"/>
  <c r="BY208" i="10"/>
  <c r="BZ208" i="10"/>
  <c r="CB208" i="10"/>
  <c r="CC208" i="10"/>
  <c r="CD208" i="10"/>
  <c r="CE208" i="10"/>
  <c r="CG208" i="10"/>
  <c r="CH208" i="10"/>
  <c r="CI208" i="10"/>
  <c r="CJ208" i="10"/>
  <c r="CL208" i="10"/>
  <c r="CM208" i="10"/>
  <c r="CN208" i="10"/>
  <c r="CO208" i="10"/>
  <c r="CQ208" i="10"/>
  <c r="CR208" i="10"/>
  <c r="CS208" i="10"/>
  <c r="CT208" i="10"/>
  <c r="CV208" i="10"/>
  <c r="CW208" i="10"/>
  <c r="CX208" i="10"/>
  <c r="CY208" i="10"/>
  <c r="DK208" i="10"/>
  <c r="DL208" i="10"/>
  <c r="DM208" i="10"/>
  <c r="DN208" i="10"/>
  <c r="DP208" i="10"/>
  <c r="DQ208" i="10"/>
  <c r="DR208" i="10"/>
  <c r="DS208" i="10"/>
  <c r="BR209" i="10"/>
  <c r="BS209" i="10"/>
  <c r="BT209" i="10"/>
  <c r="BU209" i="10"/>
  <c r="BW209" i="10"/>
  <c r="BX209" i="10"/>
  <c r="BY209" i="10"/>
  <c r="BZ209" i="10"/>
  <c r="CB209" i="10"/>
  <c r="CC209" i="10"/>
  <c r="CD209" i="10"/>
  <c r="CE209" i="10"/>
  <c r="CG209" i="10"/>
  <c r="CH209" i="10"/>
  <c r="CI209" i="10"/>
  <c r="CJ209" i="10"/>
  <c r="CL209" i="10"/>
  <c r="CM209" i="10"/>
  <c r="CN209" i="10"/>
  <c r="CO209" i="10"/>
  <c r="CQ209" i="10"/>
  <c r="CR209" i="10"/>
  <c r="CS209" i="10"/>
  <c r="CT209" i="10"/>
  <c r="CV209" i="10"/>
  <c r="CW209" i="10"/>
  <c r="CX209" i="10"/>
  <c r="CY209" i="10"/>
  <c r="DA209" i="10"/>
  <c r="DB209" i="10"/>
  <c r="DC209" i="10"/>
  <c r="DD209" i="10"/>
  <c r="DP209" i="10"/>
  <c r="DQ209" i="10"/>
  <c r="DR209" i="10"/>
  <c r="DS209" i="10"/>
  <c r="BR210" i="10"/>
  <c r="BS210" i="10"/>
  <c r="BT210" i="10"/>
  <c r="BU210" i="10"/>
  <c r="BW210" i="10"/>
  <c r="BX210" i="10"/>
  <c r="BY210" i="10"/>
  <c r="BZ210" i="10"/>
  <c r="CB210" i="10"/>
  <c r="CC210" i="10"/>
  <c r="CD210" i="10"/>
  <c r="CE210" i="10"/>
  <c r="CG210" i="10"/>
  <c r="CH210" i="10"/>
  <c r="CI210" i="10"/>
  <c r="CJ210" i="10"/>
  <c r="CL210" i="10"/>
  <c r="CM210" i="10"/>
  <c r="CN210" i="10"/>
  <c r="CO210" i="10"/>
  <c r="CQ210" i="10"/>
  <c r="CR210" i="10"/>
  <c r="CS210" i="10"/>
  <c r="CT210" i="10"/>
  <c r="CV210" i="10"/>
  <c r="CW210" i="10"/>
  <c r="CX210" i="10"/>
  <c r="CY210" i="10"/>
  <c r="DA210" i="10"/>
  <c r="DB210" i="10"/>
  <c r="DC210" i="10"/>
  <c r="DD210" i="10"/>
  <c r="DF210" i="10"/>
  <c r="DG210" i="10"/>
  <c r="DH210" i="10"/>
  <c r="DI210" i="10"/>
  <c r="BR211" i="10"/>
  <c r="BS211" i="10"/>
  <c r="BT211" i="10"/>
  <c r="BU211" i="10"/>
  <c r="BW211" i="10"/>
  <c r="BX211" i="10"/>
  <c r="BY211" i="10"/>
  <c r="BZ211" i="10"/>
  <c r="CB211" i="10"/>
  <c r="CC211" i="10"/>
  <c r="CD211" i="10"/>
  <c r="CE211" i="10"/>
  <c r="CG211" i="10"/>
  <c r="CH211" i="10"/>
  <c r="CH213" i="10" s="1"/>
  <c r="CI211" i="10"/>
  <c r="CJ211" i="10"/>
  <c r="CL211" i="10"/>
  <c r="CM211" i="10"/>
  <c r="CN211" i="10"/>
  <c r="CO211" i="10"/>
  <c r="CQ211" i="10"/>
  <c r="CR211" i="10"/>
  <c r="CS211" i="10"/>
  <c r="CT211" i="10"/>
  <c r="CV211" i="10"/>
  <c r="CW211" i="10"/>
  <c r="CX211" i="10"/>
  <c r="CY211" i="10"/>
  <c r="DA211" i="10"/>
  <c r="DB211" i="10"/>
  <c r="DC211" i="10"/>
  <c r="DD211" i="10"/>
  <c r="DF211" i="10"/>
  <c r="DG211" i="10"/>
  <c r="DH211" i="10"/>
  <c r="DI211" i="10"/>
  <c r="DK211" i="10"/>
  <c r="DL211" i="10"/>
  <c r="DM211" i="10"/>
  <c r="DN211" i="10"/>
  <c r="L224" i="10"/>
  <c r="Q224" i="10"/>
  <c r="M224" i="10" s="1"/>
  <c r="V224" i="10"/>
  <c r="U224" i="10" s="1"/>
  <c r="AA224" i="10"/>
  <c r="Y224" i="10" s="1"/>
  <c r="AF224" i="10"/>
  <c r="AC224" i="10" s="1"/>
  <c r="AK224" i="10"/>
  <c r="AG224" i="10" s="1"/>
  <c r="AP224" i="10"/>
  <c r="AO224" i="10" s="1"/>
  <c r="AU224" i="10"/>
  <c r="AS224" i="10" s="1"/>
  <c r="AZ224" i="10"/>
  <c r="AW224" i="10" s="1"/>
  <c r="BE224" i="10"/>
  <c r="BA224" i="10" s="1"/>
  <c r="BJ224" i="10"/>
  <c r="BO224" i="10"/>
  <c r="BM224" i="10" s="1"/>
  <c r="BR224" i="10"/>
  <c r="BS224" i="10"/>
  <c r="BT224" i="10"/>
  <c r="BU224" i="10"/>
  <c r="BW224" i="10"/>
  <c r="BX224" i="10"/>
  <c r="BY224" i="10"/>
  <c r="BZ224" i="10"/>
  <c r="CB224" i="10"/>
  <c r="CC224" i="10"/>
  <c r="CD224" i="10"/>
  <c r="CE224" i="10"/>
  <c r="CG224" i="10"/>
  <c r="CH224" i="10"/>
  <c r="CI224" i="10"/>
  <c r="CJ224" i="10"/>
  <c r="CL224" i="10"/>
  <c r="CM224" i="10"/>
  <c r="CN224" i="10"/>
  <c r="CO224" i="10"/>
  <c r="CQ224" i="10"/>
  <c r="CR224" i="10"/>
  <c r="CS224" i="10"/>
  <c r="CT224" i="10"/>
  <c r="CV224" i="10"/>
  <c r="CW224" i="10"/>
  <c r="CX224" i="10"/>
  <c r="CY224" i="10"/>
  <c r="DA224" i="10"/>
  <c r="DB224" i="10"/>
  <c r="DC224" i="10"/>
  <c r="DD224" i="10"/>
  <c r="DF224" i="10"/>
  <c r="DG224" i="10"/>
  <c r="DH224" i="10"/>
  <c r="DI224" i="10"/>
  <c r="DK224" i="10"/>
  <c r="DL224" i="10"/>
  <c r="DM224" i="10"/>
  <c r="DN224" i="10"/>
  <c r="DP224" i="10"/>
  <c r="DQ224" i="10"/>
  <c r="DR224" i="10"/>
  <c r="DS224" i="10"/>
  <c r="L226" i="10"/>
  <c r="Q226" i="10"/>
  <c r="M226" i="10" s="1"/>
  <c r="V226" i="10"/>
  <c r="R226" i="10" s="1"/>
  <c r="AA226" i="10"/>
  <c r="Y226" i="10" s="1"/>
  <c r="AF226" i="10"/>
  <c r="AK226" i="10"/>
  <c r="AG226" i="10" s="1"/>
  <c r="AP226" i="10"/>
  <c r="AL226" i="10" s="1"/>
  <c r="AZ226" i="10"/>
  <c r="AW226" i="10" s="1"/>
  <c r="BE226" i="10"/>
  <c r="BA226" i="10" s="1"/>
  <c r="BJ226" i="10"/>
  <c r="BF226" i="10" s="1"/>
  <c r="BO226" i="10"/>
  <c r="L227" i="10"/>
  <c r="Q227" i="10"/>
  <c r="M227" i="10" s="1"/>
  <c r="V227" i="10"/>
  <c r="R227" i="10" s="1"/>
  <c r="AA227" i="10"/>
  <c r="Y227" i="10" s="1"/>
  <c r="AF227" i="10"/>
  <c r="AC227" i="10" s="1"/>
  <c r="AK227" i="10"/>
  <c r="AG227" i="10" s="1"/>
  <c r="AP227" i="10"/>
  <c r="AL227" i="10" s="1"/>
  <c r="AZ227" i="10"/>
  <c r="AW227" i="10" s="1"/>
  <c r="BE227" i="10"/>
  <c r="BA227" i="10" s="1"/>
  <c r="BJ227" i="10"/>
  <c r="BF227" i="10" s="1"/>
  <c r="BO227" i="10"/>
  <c r="BM227" i="10" s="1"/>
  <c r="L228" i="10"/>
  <c r="Q228" i="10"/>
  <c r="M228" i="10" s="1"/>
  <c r="V228" i="10"/>
  <c r="R228" i="10" s="1"/>
  <c r="AA228" i="10"/>
  <c r="Y228" i="10" s="1"/>
  <c r="AF228" i="10"/>
  <c r="AC228" i="10" s="1"/>
  <c r="AK228" i="10"/>
  <c r="AG228" i="10" s="1"/>
  <c r="AP228" i="10"/>
  <c r="AU228" i="10"/>
  <c r="AS228" i="10" s="1"/>
  <c r="AZ228" i="10"/>
  <c r="AW228" i="10" s="1"/>
  <c r="BJ228" i="10"/>
  <c r="BF228" i="10" s="1"/>
  <c r="BO228" i="10"/>
  <c r="BM228" i="10" s="1"/>
  <c r="BR226" i="10"/>
  <c r="BS226" i="10"/>
  <c r="BT226" i="10"/>
  <c r="BU226" i="10"/>
  <c r="BW226" i="10"/>
  <c r="BX226" i="10"/>
  <c r="BY226" i="10"/>
  <c r="BZ226" i="10"/>
  <c r="CB226" i="10"/>
  <c r="CC226" i="10"/>
  <c r="CD226" i="10"/>
  <c r="CE226" i="10"/>
  <c r="CG226" i="10"/>
  <c r="CH226" i="10"/>
  <c r="CI226" i="10"/>
  <c r="CJ226" i="10"/>
  <c r="CL226" i="10"/>
  <c r="CM226" i="10"/>
  <c r="CN226" i="10"/>
  <c r="CO226" i="10"/>
  <c r="CQ226" i="10"/>
  <c r="CR226" i="10"/>
  <c r="CS226" i="10"/>
  <c r="CT226" i="10"/>
  <c r="DF226" i="10"/>
  <c r="DG226" i="10"/>
  <c r="DH226" i="10"/>
  <c r="DI226" i="10"/>
  <c r="DK226" i="10"/>
  <c r="DL226" i="10"/>
  <c r="DM226" i="10"/>
  <c r="DN226" i="10"/>
  <c r="DP226" i="10"/>
  <c r="DQ226" i="10"/>
  <c r="DR226" i="10"/>
  <c r="DS226" i="10"/>
  <c r="BR227" i="10"/>
  <c r="BS227" i="10"/>
  <c r="BT227" i="10"/>
  <c r="BU227" i="10"/>
  <c r="BW227" i="10"/>
  <c r="BX227" i="10"/>
  <c r="BY227" i="10"/>
  <c r="BZ227" i="10"/>
  <c r="CB227" i="10"/>
  <c r="CC227" i="10"/>
  <c r="CD227" i="10"/>
  <c r="CE227" i="10"/>
  <c r="CG227" i="10"/>
  <c r="CH227" i="10"/>
  <c r="CI227" i="10"/>
  <c r="CJ227" i="10"/>
  <c r="CL227" i="10"/>
  <c r="CM227" i="10"/>
  <c r="CN227" i="10"/>
  <c r="CO227" i="10"/>
  <c r="CQ227" i="10"/>
  <c r="CR227" i="10"/>
  <c r="CS227" i="10"/>
  <c r="CT227" i="10"/>
  <c r="DF227" i="10"/>
  <c r="DG227" i="10"/>
  <c r="DH227" i="10"/>
  <c r="DI227" i="10"/>
  <c r="DK227" i="10"/>
  <c r="DL227" i="10"/>
  <c r="DM227" i="10"/>
  <c r="DN227" i="10"/>
  <c r="DP227" i="10"/>
  <c r="DQ227" i="10"/>
  <c r="DR227" i="10"/>
  <c r="DS227" i="10"/>
  <c r="BR228" i="10"/>
  <c r="BS228" i="10"/>
  <c r="BT228" i="10"/>
  <c r="BU228" i="10"/>
  <c r="BW228" i="10"/>
  <c r="BX228" i="10"/>
  <c r="BY228" i="10"/>
  <c r="BZ228" i="10"/>
  <c r="CB228" i="10"/>
  <c r="CC228" i="10"/>
  <c r="CD228" i="10"/>
  <c r="CE228" i="10"/>
  <c r="CG228" i="10"/>
  <c r="CH228" i="10"/>
  <c r="CI228" i="10"/>
  <c r="CJ228" i="10"/>
  <c r="CL228" i="10"/>
  <c r="CM228" i="10"/>
  <c r="CN228" i="10"/>
  <c r="CO228" i="10"/>
  <c r="CQ228" i="10"/>
  <c r="CR228" i="10"/>
  <c r="CS228" i="10"/>
  <c r="CT228" i="10"/>
  <c r="CV228" i="10"/>
  <c r="CW228" i="10"/>
  <c r="CX228" i="10"/>
  <c r="CY228" i="10"/>
  <c r="DA228" i="10"/>
  <c r="DB228" i="10"/>
  <c r="DC228" i="10"/>
  <c r="DD228" i="10"/>
  <c r="DP228" i="10"/>
  <c r="DQ228" i="10"/>
  <c r="DR228" i="10"/>
  <c r="DS228" i="10"/>
  <c r="AU226" i="10"/>
  <c r="AU227" i="10"/>
  <c r="L231" i="10"/>
  <c r="Q231" i="10"/>
  <c r="M231" i="10" s="1"/>
  <c r="V231" i="10"/>
  <c r="R231" i="10" s="1"/>
  <c r="AA231" i="10"/>
  <c r="Y231" i="10" s="1"/>
  <c r="AF231" i="10"/>
  <c r="AC231" i="10" s="1"/>
  <c r="AK231" i="10"/>
  <c r="AG231" i="10" s="1"/>
  <c r="AP231" i="10"/>
  <c r="AL231" i="10" s="1"/>
  <c r="AU231" i="10"/>
  <c r="AS231" i="10" s="1"/>
  <c r="AZ231" i="10"/>
  <c r="BE231" i="10"/>
  <c r="BA231" i="10" s="1"/>
  <c r="BJ231" i="10"/>
  <c r="BF231" i="10" s="1"/>
  <c r="BO231" i="10"/>
  <c r="BM231" i="10" s="1"/>
  <c r="L232" i="10"/>
  <c r="Q232" i="10"/>
  <c r="M232" i="10" s="1"/>
  <c r="V232" i="10"/>
  <c r="R232" i="10" s="1"/>
  <c r="AA232" i="10"/>
  <c r="Y232" i="10" s="1"/>
  <c r="AF232" i="10"/>
  <c r="AC232" i="10" s="1"/>
  <c r="AK232" i="10"/>
  <c r="AG232" i="10" s="1"/>
  <c r="AP232" i="10"/>
  <c r="AL232" i="10" s="1"/>
  <c r="AU232" i="10"/>
  <c r="AS232" i="10" s="1"/>
  <c r="AZ232" i="10"/>
  <c r="AW232" i="10" s="1"/>
  <c r="BE232" i="10"/>
  <c r="BA232" i="10" s="1"/>
  <c r="BJ232" i="10"/>
  <c r="BF232" i="10" s="1"/>
  <c r="BO232" i="10"/>
  <c r="BM232" i="10" s="1"/>
  <c r="L233" i="10"/>
  <c r="Q233" i="10"/>
  <c r="M233" i="10" s="1"/>
  <c r="V233" i="10"/>
  <c r="U233" i="10" s="1"/>
  <c r="AA233" i="10"/>
  <c r="Y233" i="10" s="1"/>
  <c r="AF233" i="10"/>
  <c r="AC233" i="10" s="1"/>
  <c r="AK233" i="10"/>
  <c r="AG233" i="10" s="1"/>
  <c r="AU233" i="10"/>
  <c r="AS233" i="10" s="1"/>
  <c r="AZ233" i="10"/>
  <c r="AW233" i="10" s="1"/>
  <c r="BE233" i="10"/>
  <c r="BA233" i="10" s="1"/>
  <c r="BJ233" i="10"/>
  <c r="BI233" i="10" s="1"/>
  <c r="BO233" i="10"/>
  <c r="BM233" i="10" s="1"/>
  <c r="L234" i="10"/>
  <c r="Q234" i="10"/>
  <c r="M234" i="10" s="1"/>
  <c r="V234" i="10"/>
  <c r="U234" i="10" s="1"/>
  <c r="AA234" i="10"/>
  <c r="Y234" i="10" s="1"/>
  <c r="AF234" i="10"/>
  <c r="AC234" i="10" s="1"/>
  <c r="AK234" i="10"/>
  <c r="AP234" i="10"/>
  <c r="AO234" i="10" s="1"/>
  <c r="AU234" i="10"/>
  <c r="AS234" i="10" s="1"/>
  <c r="BE234" i="10"/>
  <c r="BA234" i="10" s="1"/>
  <c r="BJ234" i="10"/>
  <c r="BI234" i="10" s="1"/>
  <c r="BO234" i="10"/>
  <c r="BM234" i="10" s="1"/>
  <c r="L235" i="10"/>
  <c r="Q235" i="10"/>
  <c r="M235" i="10" s="1"/>
  <c r="V235" i="10"/>
  <c r="U235" i="10" s="1"/>
  <c r="AA235" i="10"/>
  <c r="Y235" i="10" s="1"/>
  <c r="AF235" i="10"/>
  <c r="AC235" i="10" s="1"/>
  <c r="AK235" i="10"/>
  <c r="AG235" i="10" s="1"/>
  <c r="AP235" i="10"/>
  <c r="AO235" i="10" s="1"/>
  <c r="AU235" i="10"/>
  <c r="AS235" i="10" s="1"/>
  <c r="AZ235" i="10"/>
  <c r="AW235" i="10" s="1"/>
  <c r="BE235" i="10"/>
  <c r="BA235" i="10" s="1"/>
  <c r="BJ235" i="10"/>
  <c r="BI235" i="10" s="1"/>
  <c r="BO235" i="10"/>
  <c r="BM235" i="10" s="1"/>
  <c r="BR231" i="10"/>
  <c r="BS231" i="10"/>
  <c r="BT231" i="10"/>
  <c r="BU231" i="10"/>
  <c r="BW231" i="10"/>
  <c r="BX231" i="10"/>
  <c r="BY231" i="10"/>
  <c r="BZ231" i="10"/>
  <c r="CB231" i="10"/>
  <c r="CC231" i="10"/>
  <c r="CD231" i="10"/>
  <c r="CE231" i="10"/>
  <c r="CG231" i="10"/>
  <c r="CH231" i="10"/>
  <c r="CI231" i="10"/>
  <c r="CJ231" i="10"/>
  <c r="CL231" i="10"/>
  <c r="CM231" i="10"/>
  <c r="CN231" i="10"/>
  <c r="CO231" i="10"/>
  <c r="CQ231" i="10"/>
  <c r="CR231" i="10"/>
  <c r="CS231" i="10"/>
  <c r="CT231" i="10"/>
  <c r="CV231" i="10"/>
  <c r="CW231" i="10"/>
  <c r="CX231" i="10"/>
  <c r="CY231" i="10"/>
  <c r="DA231" i="10"/>
  <c r="DB231" i="10"/>
  <c r="DC231" i="10"/>
  <c r="DD231" i="10"/>
  <c r="DF231" i="10"/>
  <c r="DG231" i="10"/>
  <c r="DH231" i="10"/>
  <c r="DI231" i="10"/>
  <c r="DK231" i="10"/>
  <c r="DL231" i="10"/>
  <c r="DM231" i="10"/>
  <c r="DN231" i="10"/>
  <c r="DP231" i="10"/>
  <c r="DQ231" i="10"/>
  <c r="DR231" i="10"/>
  <c r="DS231" i="10"/>
  <c r="BR232" i="10"/>
  <c r="BS232" i="10"/>
  <c r="BT232" i="10"/>
  <c r="BU232" i="10"/>
  <c r="BW232" i="10"/>
  <c r="BX232" i="10"/>
  <c r="BY232" i="10"/>
  <c r="BZ232" i="10"/>
  <c r="CB232" i="10"/>
  <c r="CC232" i="10"/>
  <c r="CD232" i="10"/>
  <c r="CE232" i="10"/>
  <c r="CG232" i="10"/>
  <c r="CH232" i="10"/>
  <c r="CI232" i="10"/>
  <c r="CJ232" i="10"/>
  <c r="CL232" i="10"/>
  <c r="CM232" i="10"/>
  <c r="CN232" i="10"/>
  <c r="CO232" i="10"/>
  <c r="CQ232" i="10"/>
  <c r="CR232" i="10"/>
  <c r="CS232" i="10"/>
  <c r="CT232" i="10"/>
  <c r="CV232" i="10"/>
  <c r="CW232" i="10"/>
  <c r="CX232" i="10"/>
  <c r="CY232" i="10"/>
  <c r="DA232" i="10"/>
  <c r="DB232" i="10"/>
  <c r="DC232" i="10"/>
  <c r="DD232" i="10"/>
  <c r="DF232" i="10"/>
  <c r="DG232" i="10"/>
  <c r="DH232" i="10"/>
  <c r="DI232" i="10"/>
  <c r="DK232" i="10"/>
  <c r="DL232" i="10"/>
  <c r="DM232" i="10"/>
  <c r="DN232" i="10"/>
  <c r="DP232" i="10"/>
  <c r="DQ232" i="10"/>
  <c r="DR232" i="10"/>
  <c r="DS232" i="10"/>
  <c r="BR233" i="10"/>
  <c r="BS233" i="10"/>
  <c r="BT233" i="10"/>
  <c r="BU233" i="10"/>
  <c r="BW233" i="10"/>
  <c r="BX233" i="10"/>
  <c r="BY233" i="10"/>
  <c r="BZ233" i="10"/>
  <c r="CB233" i="10"/>
  <c r="CC233" i="10"/>
  <c r="CD233" i="10"/>
  <c r="CE233" i="10"/>
  <c r="CG233" i="10"/>
  <c r="CH233" i="10"/>
  <c r="CI233" i="10"/>
  <c r="CJ233" i="10"/>
  <c r="CL233" i="10"/>
  <c r="CM233" i="10"/>
  <c r="CN233" i="10"/>
  <c r="CO233" i="10"/>
  <c r="DK233" i="10"/>
  <c r="DL233" i="10"/>
  <c r="DM233" i="10"/>
  <c r="DN233" i="10"/>
  <c r="DP233" i="10"/>
  <c r="DQ233" i="10"/>
  <c r="DR233" i="10"/>
  <c r="DS233" i="10"/>
  <c r="BR234" i="10"/>
  <c r="BS234" i="10"/>
  <c r="BT234" i="10"/>
  <c r="BU234" i="10"/>
  <c r="BW234" i="10"/>
  <c r="BX234" i="10"/>
  <c r="BY234" i="10"/>
  <c r="BZ234" i="10"/>
  <c r="CB234" i="10"/>
  <c r="CC234" i="10"/>
  <c r="CD234" i="10"/>
  <c r="CE234" i="10"/>
  <c r="CG234" i="10"/>
  <c r="CH234" i="10"/>
  <c r="CI234" i="10"/>
  <c r="CJ234" i="10"/>
  <c r="CL234" i="10"/>
  <c r="CM234" i="10"/>
  <c r="CN234" i="10"/>
  <c r="CO234" i="10"/>
  <c r="CQ234" i="10"/>
  <c r="CR234" i="10"/>
  <c r="CS234" i="10"/>
  <c r="CT234" i="10"/>
  <c r="CV234" i="10"/>
  <c r="CW234" i="10"/>
  <c r="CX234" i="10"/>
  <c r="CY234" i="10"/>
  <c r="DK234" i="10"/>
  <c r="DL234" i="10"/>
  <c r="DM234" i="10"/>
  <c r="DN234" i="10"/>
  <c r="DP234" i="10"/>
  <c r="DQ234" i="10"/>
  <c r="DR234" i="10"/>
  <c r="DS234" i="10"/>
  <c r="BR235" i="10"/>
  <c r="BS235" i="10"/>
  <c r="BT235" i="10"/>
  <c r="BU235" i="10"/>
  <c r="BW235" i="10"/>
  <c r="BX235" i="10"/>
  <c r="BY235" i="10"/>
  <c r="BZ235" i="10"/>
  <c r="CB235" i="10"/>
  <c r="CC235" i="10"/>
  <c r="CD235" i="10"/>
  <c r="CE235" i="10"/>
  <c r="CG235" i="10"/>
  <c r="CH235" i="10"/>
  <c r="CI235" i="10"/>
  <c r="CJ235" i="10"/>
  <c r="CL235" i="10"/>
  <c r="CM235" i="10"/>
  <c r="CN235" i="10"/>
  <c r="CO235" i="10"/>
  <c r="CQ235" i="10"/>
  <c r="CR235" i="10"/>
  <c r="CS235" i="10"/>
  <c r="CT235" i="10"/>
  <c r="CV235" i="10"/>
  <c r="CW235" i="10"/>
  <c r="CX235" i="10"/>
  <c r="CY235" i="10"/>
  <c r="DA235" i="10"/>
  <c r="DB235" i="10"/>
  <c r="DC235" i="10"/>
  <c r="DD235" i="10"/>
  <c r="DF235" i="10"/>
  <c r="DG235" i="10"/>
  <c r="DH235" i="10"/>
  <c r="DI235" i="10"/>
  <c r="DK235" i="10"/>
  <c r="DL235" i="10"/>
  <c r="DM235" i="10"/>
  <c r="DN235" i="10"/>
  <c r="AP233" i="10"/>
  <c r="AZ234" i="10"/>
  <c r="L239" i="10"/>
  <c r="Q239" i="10"/>
  <c r="O239" i="10" s="1"/>
  <c r="V239" i="10"/>
  <c r="S239" i="10" s="1"/>
  <c r="AA239" i="10"/>
  <c r="W239" i="10" s="1"/>
  <c r="AF239" i="10"/>
  <c r="AE239" i="10" s="1"/>
  <c r="AK239" i="10"/>
  <c r="AI239" i="10" s="1"/>
  <c r="AP239" i="10"/>
  <c r="AM239" i="10" s="1"/>
  <c r="AZ239" i="10"/>
  <c r="AY239" i="10" s="1"/>
  <c r="BE239" i="10"/>
  <c r="BC239" i="10" s="1"/>
  <c r="BJ239" i="10"/>
  <c r="BG239" i="10" s="1"/>
  <c r="BO239" i="10"/>
  <c r="BK239" i="10" s="1"/>
  <c r="L240" i="10"/>
  <c r="Q240" i="10"/>
  <c r="O240" i="10" s="1"/>
  <c r="V240" i="10"/>
  <c r="S240" i="10" s="1"/>
  <c r="AA240" i="10"/>
  <c r="W240" i="10" s="1"/>
  <c r="AF240" i="10"/>
  <c r="AE240" i="10" s="1"/>
  <c r="AK240" i="10"/>
  <c r="AI240" i="10" s="1"/>
  <c r="AP240" i="10"/>
  <c r="AM240" i="10" s="1"/>
  <c r="AU240" i="10"/>
  <c r="AQ240" i="10" s="1"/>
  <c r="AZ240" i="10"/>
  <c r="AY240" i="10" s="1"/>
  <c r="BE240" i="10"/>
  <c r="BC240" i="10" s="1"/>
  <c r="BO240" i="10"/>
  <c r="BK240" i="10" s="1"/>
  <c r="L241" i="10"/>
  <c r="Q241" i="10"/>
  <c r="O241" i="10" s="1"/>
  <c r="V241" i="10"/>
  <c r="S241" i="10" s="1"/>
  <c r="AA241" i="10"/>
  <c r="W241" i="10" s="1"/>
  <c r="AF241" i="10"/>
  <c r="AE241" i="10" s="1"/>
  <c r="AK241" i="10"/>
  <c r="AI241" i="10" s="1"/>
  <c r="AP241" i="10"/>
  <c r="AM241" i="10" s="1"/>
  <c r="AU241" i="10"/>
  <c r="AQ241" i="10" s="1"/>
  <c r="AZ241" i="10"/>
  <c r="AY241" i="10" s="1"/>
  <c r="BE241" i="10"/>
  <c r="BC241" i="10" s="1"/>
  <c r="BJ241" i="10"/>
  <c r="BG241" i="10" s="1"/>
  <c r="BO241" i="10"/>
  <c r="BK241" i="10" s="1"/>
  <c r="L242" i="10"/>
  <c r="Q242" i="10"/>
  <c r="O242" i="10" s="1"/>
  <c r="V242" i="10"/>
  <c r="S242" i="10" s="1"/>
  <c r="AA242" i="10"/>
  <c r="W242" i="10" s="1"/>
  <c r="AF242" i="10"/>
  <c r="AE242" i="10" s="1"/>
  <c r="AK242" i="10"/>
  <c r="AI242" i="10" s="1"/>
  <c r="AU242" i="10"/>
  <c r="AQ242" i="10" s="1"/>
  <c r="AZ242" i="10"/>
  <c r="AY242" i="10" s="1"/>
  <c r="BE242" i="10"/>
  <c r="BC242" i="10" s="1"/>
  <c r="BJ242" i="10"/>
  <c r="BG242" i="10" s="1"/>
  <c r="BO242" i="10"/>
  <c r="BK242" i="10" s="1"/>
  <c r="L243" i="10"/>
  <c r="Q243" i="10"/>
  <c r="O243" i="10" s="1"/>
  <c r="V243" i="10"/>
  <c r="S243" i="10" s="1"/>
  <c r="AA243" i="10"/>
  <c r="W243" i="10" s="1"/>
  <c r="AF243" i="10"/>
  <c r="AE243" i="10" s="1"/>
  <c r="AK243" i="10"/>
  <c r="AI243" i="10" s="1"/>
  <c r="AP243" i="10"/>
  <c r="AM243" i="10" s="1"/>
  <c r="AU243" i="10"/>
  <c r="AQ243" i="10" s="1"/>
  <c r="AZ243" i="10"/>
  <c r="AY243" i="10" s="1"/>
  <c r="BE243" i="10"/>
  <c r="BC243" i="10" s="1"/>
  <c r="BJ243" i="10"/>
  <c r="BG243" i="10" s="1"/>
  <c r="BO243" i="10"/>
  <c r="BK243" i="10" s="1"/>
  <c r="L244" i="10"/>
  <c r="Q244" i="10"/>
  <c r="O244" i="10" s="1"/>
  <c r="V244" i="10"/>
  <c r="S244" i="10" s="1"/>
  <c r="AA244" i="10"/>
  <c r="W244" i="10" s="1"/>
  <c r="AF244" i="10"/>
  <c r="AE244" i="10" s="1"/>
  <c r="AK244" i="10"/>
  <c r="AI244" i="10" s="1"/>
  <c r="AP244" i="10"/>
  <c r="AU244" i="10"/>
  <c r="AQ244" i="10" s="1"/>
  <c r="AZ244" i="10"/>
  <c r="AY244" i="10" s="1"/>
  <c r="BE244" i="10"/>
  <c r="BC244" i="10" s="1"/>
  <c r="BJ244" i="10"/>
  <c r="BG244" i="10" s="1"/>
  <c r="BO244" i="10"/>
  <c r="BK244" i="10" s="1"/>
  <c r="L245" i="10"/>
  <c r="Q245" i="10"/>
  <c r="O245" i="10" s="1"/>
  <c r="V245" i="10"/>
  <c r="S245" i="10" s="1"/>
  <c r="AA245" i="10"/>
  <c r="W245" i="10" s="1"/>
  <c r="AF245" i="10"/>
  <c r="AE245" i="10" s="1"/>
  <c r="AK245" i="10"/>
  <c r="AI245" i="10" s="1"/>
  <c r="AP245" i="10"/>
  <c r="AM245" i="10" s="1"/>
  <c r="AU245" i="10"/>
  <c r="AQ245" i="10" s="1"/>
  <c r="AZ245" i="10"/>
  <c r="AY245" i="10" s="1"/>
  <c r="BE245" i="10"/>
  <c r="BC245" i="10" s="1"/>
  <c r="BJ245" i="10"/>
  <c r="BG245" i="10" s="1"/>
  <c r="BO245" i="10"/>
  <c r="BK245" i="10" s="1"/>
  <c r="L246" i="10"/>
  <c r="Q246" i="10"/>
  <c r="O246" i="10" s="1"/>
  <c r="V246" i="10"/>
  <c r="S246" i="10" s="1"/>
  <c r="AA246" i="10"/>
  <c r="W246" i="10" s="1"/>
  <c r="AF246" i="10"/>
  <c r="AK246" i="10"/>
  <c r="AI246" i="10" s="1"/>
  <c r="AP246" i="10"/>
  <c r="AM246" i="10" s="1"/>
  <c r="AU246" i="10"/>
  <c r="AQ246" i="10" s="1"/>
  <c r="AZ246" i="10"/>
  <c r="AY246" i="10" s="1"/>
  <c r="BE246" i="10"/>
  <c r="BC246" i="10" s="1"/>
  <c r="BJ246" i="10"/>
  <c r="BG246" i="10" s="1"/>
  <c r="BO246" i="10"/>
  <c r="BK246" i="10" s="1"/>
  <c r="BR239" i="10"/>
  <c r="BS239" i="10"/>
  <c r="BT239" i="10"/>
  <c r="BU239" i="10"/>
  <c r="BW239" i="10"/>
  <c r="BX239" i="10"/>
  <c r="BY239" i="10"/>
  <c r="BZ239" i="10"/>
  <c r="CB239" i="10"/>
  <c r="CC239" i="10"/>
  <c r="CD239" i="10"/>
  <c r="CE239" i="10"/>
  <c r="CG239" i="10"/>
  <c r="CH239" i="10"/>
  <c r="CI239" i="10"/>
  <c r="CJ239" i="10"/>
  <c r="CL239" i="10"/>
  <c r="CM239" i="10"/>
  <c r="CN239" i="10"/>
  <c r="CO239" i="10"/>
  <c r="CQ239" i="10"/>
  <c r="CR239" i="10"/>
  <c r="CS239" i="10"/>
  <c r="CT239" i="10"/>
  <c r="DF239" i="10"/>
  <c r="DG239" i="10"/>
  <c r="DH239" i="10"/>
  <c r="DI239" i="10"/>
  <c r="DK239" i="10"/>
  <c r="DL239" i="10"/>
  <c r="DM239" i="10"/>
  <c r="DN239" i="10"/>
  <c r="DP239" i="10"/>
  <c r="DQ239" i="10"/>
  <c r="DR239" i="10"/>
  <c r="DS239" i="10"/>
  <c r="BR240" i="10"/>
  <c r="BS240" i="10"/>
  <c r="BT240" i="10"/>
  <c r="BU240" i="10"/>
  <c r="BW240" i="10"/>
  <c r="BX240" i="10"/>
  <c r="BY240" i="10"/>
  <c r="BZ240" i="10"/>
  <c r="CB240" i="10"/>
  <c r="CC240" i="10"/>
  <c r="CD240" i="10"/>
  <c r="CE240" i="10"/>
  <c r="CG240" i="10"/>
  <c r="CH240" i="10"/>
  <c r="CI240" i="10"/>
  <c r="CJ240" i="10"/>
  <c r="CL240" i="10"/>
  <c r="CM240" i="10"/>
  <c r="CN240" i="10"/>
  <c r="CO240" i="10"/>
  <c r="CQ240" i="10"/>
  <c r="CR240" i="10"/>
  <c r="CS240" i="10"/>
  <c r="CT240" i="10"/>
  <c r="CV240" i="10"/>
  <c r="CW240" i="10"/>
  <c r="CX240" i="10"/>
  <c r="CY240" i="10"/>
  <c r="DA240" i="10"/>
  <c r="DB240" i="10"/>
  <c r="DC240" i="10"/>
  <c r="DD240" i="10"/>
  <c r="DF240" i="10"/>
  <c r="DG240" i="10"/>
  <c r="DH240" i="10"/>
  <c r="DI240" i="10"/>
  <c r="BR241" i="10"/>
  <c r="BS241" i="10"/>
  <c r="BT241" i="10"/>
  <c r="BU241" i="10"/>
  <c r="BW241" i="10"/>
  <c r="BX241" i="10"/>
  <c r="BY241" i="10"/>
  <c r="BZ241" i="10"/>
  <c r="CB241" i="10"/>
  <c r="CC241" i="10"/>
  <c r="CD241" i="10"/>
  <c r="CE241" i="10"/>
  <c r="CG241" i="10"/>
  <c r="CH241" i="10"/>
  <c r="CI241" i="10"/>
  <c r="CJ241" i="10"/>
  <c r="CL241" i="10"/>
  <c r="CM241" i="10"/>
  <c r="CN241" i="10"/>
  <c r="CO241" i="10"/>
  <c r="CQ241" i="10"/>
  <c r="CR241" i="10"/>
  <c r="CS241" i="10"/>
  <c r="CT241" i="10"/>
  <c r="CV241" i="10"/>
  <c r="CW241" i="10"/>
  <c r="CX241" i="10"/>
  <c r="CY241" i="10"/>
  <c r="DA241" i="10"/>
  <c r="DB241" i="10"/>
  <c r="DC241" i="10"/>
  <c r="DD241" i="10"/>
  <c r="DF241" i="10"/>
  <c r="DG241" i="10"/>
  <c r="DH241" i="10"/>
  <c r="DI241" i="10"/>
  <c r="DK241" i="10"/>
  <c r="DL241" i="10"/>
  <c r="DM241" i="10"/>
  <c r="DN241" i="10"/>
  <c r="DP241" i="10"/>
  <c r="DQ241" i="10"/>
  <c r="DR241" i="10"/>
  <c r="DS241" i="10"/>
  <c r="BR242" i="10"/>
  <c r="BS242" i="10"/>
  <c r="BT242" i="10"/>
  <c r="BU242" i="10"/>
  <c r="BW242" i="10"/>
  <c r="BX242" i="10"/>
  <c r="BY242" i="10"/>
  <c r="BZ242" i="10"/>
  <c r="CB242" i="10"/>
  <c r="CC242" i="10"/>
  <c r="CD242" i="10"/>
  <c r="CE242" i="10"/>
  <c r="CG242" i="10"/>
  <c r="CH242" i="10"/>
  <c r="CI242" i="10"/>
  <c r="CJ242" i="10"/>
  <c r="CL242" i="10"/>
  <c r="CM242" i="10"/>
  <c r="CN242" i="10"/>
  <c r="CO242" i="10"/>
  <c r="DA242" i="10"/>
  <c r="DB242" i="10"/>
  <c r="DC242" i="10"/>
  <c r="DD242" i="10"/>
  <c r="DF242" i="10"/>
  <c r="DG242" i="10"/>
  <c r="DH242" i="10"/>
  <c r="DI242" i="10"/>
  <c r="DK242" i="10"/>
  <c r="DL242" i="10"/>
  <c r="DM242" i="10"/>
  <c r="DN242" i="10"/>
  <c r="DP242" i="10"/>
  <c r="DQ242" i="10"/>
  <c r="DR242" i="10"/>
  <c r="DS242" i="10"/>
  <c r="BR243" i="10"/>
  <c r="BS243" i="10"/>
  <c r="BT243" i="10"/>
  <c r="BU243" i="10"/>
  <c r="BW243" i="10"/>
  <c r="BX243" i="10"/>
  <c r="BY243" i="10"/>
  <c r="BZ243" i="10"/>
  <c r="CB243" i="10"/>
  <c r="CC243" i="10"/>
  <c r="CD243" i="10"/>
  <c r="CE243" i="10"/>
  <c r="CG243" i="10"/>
  <c r="CH243" i="10"/>
  <c r="CI243" i="10"/>
  <c r="CJ243" i="10"/>
  <c r="CL243" i="10"/>
  <c r="CM243" i="10"/>
  <c r="CN243" i="10"/>
  <c r="CO243" i="10"/>
  <c r="CQ243" i="10"/>
  <c r="CR243" i="10"/>
  <c r="CS243" i="10"/>
  <c r="CT243" i="10"/>
  <c r="CV243" i="10"/>
  <c r="CW243" i="10"/>
  <c r="CX243" i="10"/>
  <c r="CY243" i="10"/>
  <c r="DA243" i="10"/>
  <c r="DB243" i="10"/>
  <c r="DC243" i="10"/>
  <c r="DD243" i="10"/>
  <c r="DF243" i="10"/>
  <c r="DG243" i="10"/>
  <c r="DH243" i="10"/>
  <c r="DI243" i="10"/>
  <c r="DK243" i="10"/>
  <c r="DL243" i="10"/>
  <c r="DM243" i="10"/>
  <c r="DN243" i="10"/>
  <c r="DP243" i="10"/>
  <c r="DQ243" i="10"/>
  <c r="DR243" i="10"/>
  <c r="DS243" i="10"/>
  <c r="BR244" i="10"/>
  <c r="BS244" i="10"/>
  <c r="BT244" i="10"/>
  <c r="BU244" i="10"/>
  <c r="BW244" i="10"/>
  <c r="BX244" i="10"/>
  <c r="BY244" i="10"/>
  <c r="BZ244" i="10"/>
  <c r="CB244" i="10"/>
  <c r="CC244" i="10"/>
  <c r="CD244" i="10"/>
  <c r="CE244" i="10"/>
  <c r="CG244" i="10"/>
  <c r="CH244" i="10"/>
  <c r="CI244" i="10"/>
  <c r="CJ244" i="10"/>
  <c r="CL244" i="10"/>
  <c r="CM244" i="10"/>
  <c r="CN244" i="10"/>
  <c r="CO244" i="10"/>
  <c r="CQ244" i="10"/>
  <c r="CR244" i="10"/>
  <c r="CS244" i="10"/>
  <c r="CT244" i="10"/>
  <c r="CV244" i="10"/>
  <c r="CW244" i="10"/>
  <c r="CX244" i="10"/>
  <c r="CY244" i="10"/>
  <c r="DA244" i="10"/>
  <c r="DB244" i="10"/>
  <c r="DC244" i="10"/>
  <c r="DD244" i="10"/>
  <c r="DF244" i="10"/>
  <c r="DG244" i="10"/>
  <c r="DH244" i="10"/>
  <c r="DI244" i="10"/>
  <c r="DK244" i="10"/>
  <c r="DL244" i="10"/>
  <c r="DM244" i="10"/>
  <c r="DN244" i="10"/>
  <c r="DP244" i="10"/>
  <c r="DQ244" i="10"/>
  <c r="DR244" i="10"/>
  <c r="DS244" i="10"/>
  <c r="BR245" i="10"/>
  <c r="BS245" i="10"/>
  <c r="BT245" i="10"/>
  <c r="BU245" i="10"/>
  <c r="BW245" i="10"/>
  <c r="BX245" i="10"/>
  <c r="BY245" i="10"/>
  <c r="BZ245" i="10"/>
  <c r="CB245" i="10"/>
  <c r="CC245" i="10"/>
  <c r="CD245" i="10"/>
  <c r="CE245" i="10"/>
  <c r="CG245" i="10"/>
  <c r="CH245" i="10"/>
  <c r="CI245" i="10"/>
  <c r="CJ245" i="10"/>
  <c r="CL245" i="10"/>
  <c r="CM245" i="10"/>
  <c r="CN245" i="10"/>
  <c r="CO245" i="10"/>
  <c r="CQ245" i="10"/>
  <c r="CR245" i="10"/>
  <c r="CS245" i="10"/>
  <c r="CT245" i="10"/>
  <c r="CV245" i="10"/>
  <c r="CW245" i="10"/>
  <c r="CX245" i="10"/>
  <c r="CY245" i="10"/>
  <c r="DA245" i="10"/>
  <c r="DB245" i="10"/>
  <c r="DC245" i="10"/>
  <c r="DD245" i="10"/>
  <c r="DF245" i="10"/>
  <c r="DG245" i="10"/>
  <c r="DH245" i="10"/>
  <c r="DI245" i="10"/>
  <c r="DK245" i="10"/>
  <c r="DL245" i="10"/>
  <c r="DM245" i="10"/>
  <c r="DN245" i="10"/>
  <c r="DP245" i="10"/>
  <c r="DQ245" i="10"/>
  <c r="DR245" i="10"/>
  <c r="DS245" i="10"/>
  <c r="BR246" i="10"/>
  <c r="BS246" i="10"/>
  <c r="BT246" i="10"/>
  <c r="BU246" i="10"/>
  <c r="BW246" i="10"/>
  <c r="BX246" i="10"/>
  <c r="BY246" i="10"/>
  <c r="BZ246" i="10"/>
  <c r="CB246" i="10"/>
  <c r="CC246" i="10"/>
  <c r="CD246" i="10"/>
  <c r="CE246" i="10"/>
  <c r="CG246" i="10"/>
  <c r="CH246" i="10"/>
  <c r="CI246" i="10"/>
  <c r="CJ246" i="10"/>
  <c r="CL246" i="10"/>
  <c r="CM246" i="10"/>
  <c r="CN246" i="10"/>
  <c r="CO246" i="10"/>
  <c r="CQ246" i="10"/>
  <c r="CR246" i="10"/>
  <c r="CS246" i="10"/>
  <c r="CT246" i="10"/>
  <c r="CV246" i="10"/>
  <c r="CW246" i="10"/>
  <c r="CX246" i="10"/>
  <c r="CY246" i="10"/>
  <c r="DA246" i="10"/>
  <c r="DB246" i="10"/>
  <c r="DC246" i="10"/>
  <c r="DD246" i="10"/>
  <c r="DF246" i="10"/>
  <c r="DG246" i="10"/>
  <c r="DH246" i="10"/>
  <c r="DI246" i="10"/>
  <c r="DK246" i="10"/>
  <c r="DL246" i="10"/>
  <c r="DM246" i="10"/>
  <c r="DN246" i="10"/>
  <c r="DP246" i="10"/>
  <c r="DQ246" i="10"/>
  <c r="DR246" i="10"/>
  <c r="DS246" i="10"/>
  <c r="E239" i="10"/>
  <c r="AU239" i="10" s="1"/>
  <c r="E240" i="10"/>
  <c r="BJ240" i="10" s="1"/>
  <c r="E241" i="10"/>
  <c r="E242" i="10"/>
  <c r="AP242" i="10" s="1"/>
  <c r="E243" i="10"/>
  <c r="E244" i="10"/>
  <c r="E245" i="10"/>
  <c r="E246" i="10"/>
  <c r="BE248" i="10"/>
  <c r="L248" i="10"/>
  <c r="Q248" i="10"/>
  <c r="N248" i="10" s="1"/>
  <c r="V248" i="10"/>
  <c r="R248" i="10" s="1"/>
  <c r="AA248" i="10"/>
  <c r="Z248" i="10" s="1"/>
  <c r="AF248" i="10"/>
  <c r="AB248" i="10" s="1"/>
  <c r="AK248" i="10"/>
  <c r="AH248" i="10" s="1"/>
  <c r="BQ248" i="10" s="1"/>
  <c r="BV248" i="10" s="1"/>
  <c r="CA248" i="10" s="1"/>
  <c r="CF248" i="10" s="1"/>
  <c r="CK248" i="10" s="1"/>
  <c r="CP248" i="10" s="1"/>
  <c r="CU248" i="10" s="1"/>
  <c r="CZ248" i="10" s="1"/>
  <c r="DE248" i="10" s="1"/>
  <c r="DJ248" i="10" s="1"/>
  <c r="AP248" i="10"/>
  <c r="AL248" i="10" s="1"/>
  <c r="AU248" i="10"/>
  <c r="AT248" i="10" s="1"/>
  <c r="AZ248" i="10"/>
  <c r="AV248" i="10" s="1"/>
  <c r="BJ248" i="10"/>
  <c r="BF248" i="10" s="1"/>
  <c r="BO248" i="10"/>
  <c r="BN248" i="10" s="1"/>
  <c r="BR248" i="10"/>
  <c r="BS248" i="10"/>
  <c r="BT248" i="10"/>
  <c r="BU248" i="10"/>
  <c r="BW248" i="10"/>
  <c r="BX248" i="10"/>
  <c r="BY248" i="10"/>
  <c r="BZ248" i="10"/>
  <c r="CB248" i="10"/>
  <c r="CC248" i="10"/>
  <c r="CD248" i="10"/>
  <c r="CE248" i="10"/>
  <c r="CG248" i="10"/>
  <c r="CH248" i="10"/>
  <c r="CI248" i="10"/>
  <c r="CJ248" i="10"/>
  <c r="CL248" i="10"/>
  <c r="CM248" i="10"/>
  <c r="CN248" i="10"/>
  <c r="CO248" i="10"/>
  <c r="CQ248" i="10"/>
  <c r="CR248" i="10"/>
  <c r="CS248" i="10"/>
  <c r="CT248" i="10"/>
  <c r="CV248" i="10"/>
  <c r="CW248" i="10"/>
  <c r="CX248" i="10"/>
  <c r="CY248" i="10"/>
  <c r="DA248" i="10"/>
  <c r="DB248" i="10"/>
  <c r="DC248" i="10"/>
  <c r="DD248" i="10"/>
  <c r="DP248" i="10"/>
  <c r="DQ248" i="10"/>
  <c r="DR248" i="10"/>
  <c r="DS248" i="10"/>
  <c r="L249" i="10"/>
  <c r="Q249" i="10"/>
  <c r="N249" i="10" s="1"/>
  <c r="V249" i="10"/>
  <c r="R249" i="10" s="1"/>
  <c r="AA249" i="10"/>
  <c r="Z249" i="10" s="1"/>
  <c r="AF249" i="10"/>
  <c r="AK249" i="10"/>
  <c r="AH249" i="10" s="1"/>
  <c r="BQ249" i="10" s="1"/>
  <c r="BV249" i="10" s="1"/>
  <c r="CA249" i="10" s="1"/>
  <c r="CF249" i="10" s="1"/>
  <c r="CK249" i="10" s="1"/>
  <c r="CP249" i="10" s="1"/>
  <c r="CU249" i="10" s="1"/>
  <c r="CZ249" i="10" s="1"/>
  <c r="DE249" i="10" s="1"/>
  <c r="DJ249" i="10" s="1"/>
  <c r="DO249" i="10" s="1"/>
  <c r="DT249" i="10" s="1"/>
  <c r="AP249" i="10"/>
  <c r="AU249" i="10"/>
  <c r="AT249" i="10" s="1"/>
  <c r="AZ249" i="10"/>
  <c r="AV249" i="10" s="1"/>
  <c r="BE249" i="10"/>
  <c r="BB249" i="10" s="1"/>
  <c r="BJ249" i="10"/>
  <c r="BO249" i="10"/>
  <c r="BN249" i="10" s="1"/>
  <c r="L250" i="10"/>
  <c r="Q250" i="10"/>
  <c r="V250" i="10"/>
  <c r="R250" i="10" s="1"/>
  <c r="AA250" i="10"/>
  <c r="Z250" i="10" s="1"/>
  <c r="AF250" i="10"/>
  <c r="AK250" i="10"/>
  <c r="AP250" i="10"/>
  <c r="AL250" i="10" s="1"/>
  <c r="AU250" i="10"/>
  <c r="AT250" i="10" s="1"/>
  <c r="AZ250" i="10"/>
  <c r="AV250" i="10" s="1"/>
  <c r="BJ250" i="10"/>
  <c r="BF250" i="10" s="1"/>
  <c r="BO250" i="10"/>
  <c r="BN250" i="10" s="1"/>
  <c r="L251" i="10"/>
  <c r="Q251" i="10"/>
  <c r="M251" i="10" s="1"/>
  <c r="V251" i="10"/>
  <c r="R251" i="10" s="1"/>
  <c r="AA251" i="10"/>
  <c r="AF251" i="10"/>
  <c r="AB251" i="10" s="1"/>
  <c r="AK251" i="10"/>
  <c r="AP251" i="10"/>
  <c r="AU251" i="10"/>
  <c r="AT251" i="10" s="1"/>
  <c r="AZ251" i="10"/>
  <c r="AW251" i="10" s="1"/>
  <c r="BE251" i="10"/>
  <c r="BA251" i="10" s="1"/>
  <c r="BJ251" i="10"/>
  <c r="BF251" i="10" s="1"/>
  <c r="BO251" i="10"/>
  <c r="BN251" i="10" s="1"/>
  <c r="L252" i="10"/>
  <c r="Q252" i="10"/>
  <c r="V252" i="10"/>
  <c r="R252" i="10" s="1"/>
  <c r="AA252" i="10"/>
  <c r="Z252" i="10" s="1"/>
  <c r="AF252" i="10"/>
  <c r="AC252" i="10" s="1"/>
  <c r="AK252" i="10"/>
  <c r="AP252" i="10"/>
  <c r="AL252" i="10" s="1"/>
  <c r="AU252" i="10"/>
  <c r="AT252" i="10" s="1"/>
  <c r="AZ252" i="10"/>
  <c r="AV252" i="10" s="1"/>
  <c r="BE252" i="10"/>
  <c r="BD252" i="10" s="1"/>
  <c r="BJ252" i="10"/>
  <c r="BF252" i="10" s="1"/>
  <c r="BO252" i="10"/>
  <c r="BN252" i="10" s="1"/>
  <c r="L253" i="10"/>
  <c r="Q253" i="10"/>
  <c r="M253" i="10" s="1"/>
  <c r="V253" i="10"/>
  <c r="R253" i="10" s="1"/>
  <c r="AA253" i="10"/>
  <c r="AF253" i="10"/>
  <c r="AB253" i="10" s="1"/>
  <c r="AK253" i="10"/>
  <c r="AU253" i="10"/>
  <c r="AT253" i="10" s="1"/>
  <c r="AZ253" i="10"/>
  <c r="AW253" i="10" s="1"/>
  <c r="BE253" i="10"/>
  <c r="BA253" i="10" s="1"/>
  <c r="BJ253" i="10"/>
  <c r="BF253" i="10" s="1"/>
  <c r="BO253" i="10"/>
  <c r="BN253" i="10" s="1"/>
  <c r="BR249" i="10"/>
  <c r="BS249" i="10"/>
  <c r="BT249" i="10"/>
  <c r="BU249" i="10"/>
  <c r="BW249" i="10"/>
  <c r="BX249" i="10"/>
  <c r="BY249" i="10"/>
  <c r="BZ249" i="10"/>
  <c r="CB249" i="10"/>
  <c r="CC249" i="10"/>
  <c r="CD249" i="10"/>
  <c r="CE249" i="10"/>
  <c r="CG249" i="10"/>
  <c r="CH249" i="10"/>
  <c r="CI249" i="10"/>
  <c r="CJ249" i="10"/>
  <c r="CL249" i="10"/>
  <c r="CM249" i="10"/>
  <c r="CN249" i="10"/>
  <c r="CO249" i="10"/>
  <c r="CQ249" i="10"/>
  <c r="CR249" i="10"/>
  <c r="CS249" i="10"/>
  <c r="CT249" i="10"/>
  <c r="CV249" i="10"/>
  <c r="CW249" i="10"/>
  <c r="CX249" i="10"/>
  <c r="CY249" i="10"/>
  <c r="DA249" i="10"/>
  <c r="DB249" i="10"/>
  <c r="DC249" i="10"/>
  <c r="DD249" i="10"/>
  <c r="DF249" i="10"/>
  <c r="DG249" i="10"/>
  <c r="DH249" i="10"/>
  <c r="DI249" i="10"/>
  <c r="DK249" i="10"/>
  <c r="DL249" i="10"/>
  <c r="DM249" i="10"/>
  <c r="DN249" i="10"/>
  <c r="DP249" i="10"/>
  <c r="DQ249" i="10"/>
  <c r="DR249" i="10"/>
  <c r="DS249" i="10"/>
  <c r="BR250" i="10"/>
  <c r="BS250" i="10"/>
  <c r="BT250" i="10"/>
  <c r="BU250" i="10"/>
  <c r="BW250" i="10"/>
  <c r="BX250" i="10"/>
  <c r="BY250" i="10"/>
  <c r="BZ250" i="10"/>
  <c r="CB250" i="10"/>
  <c r="CC250" i="10"/>
  <c r="CD250" i="10"/>
  <c r="CE250" i="10"/>
  <c r="CG250" i="10"/>
  <c r="CH250" i="10"/>
  <c r="CI250" i="10"/>
  <c r="CJ250" i="10"/>
  <c r="CL250" i="10"/>
  <c r="CM250" i="10"/>
  <c r="CN250" i="10"/>
  <c r="CO250" i="10"/>
  <c r="CQ250" i="10"/>
  <c r="CR250" i="10"/>
  <c r="CS250" i="10"/>
  <c r="CT250" i="10"/>
  <c r="CV250" i="10"/>
  <c r="CW250" i="10"/>
  <c r="CX250" i="10"/>
  <c r="CY250" i="10"/>
  <c r="DA250" i="10"/>
  <c r="DB250" i="10"/>
  <c r="DC250" i="10"/>
  <c r="DD250" i="10"/>
  <c r="DP250" i="10"/>
  <c r="DQ250" i="10"/>
  <c r="DR250" i="10"/>
  <c r="DS250" i="10"/>
  <c r="BR251" i="10"/>
  <c r="BS251" i="10"/>
  <c r="BT251" i="10"/>
  <c r="BU251" i="10"/>
  <c r="BW251" i="10"/>
  <c r="BX251" i="10"/>
  <c r="BY251" i="10"/>
  <c r="BZ251" i="10"/>
  <c r="CB251" i="10"/>
  <c r="CC251" i="10"/>
  <c r="CD251" i="10"/>
  <c r="CE251" i="10"/>
  <c r="CG251" i="10"/>
  <c r="CH251" i="10"/>
  <c r="CI251" i="10"/>
  <c r="CJ251" i="10"/>
  <c r="CL251" i="10"/>
  <c r="CM251" i="10"/>
  <c r="CN251" i="10"/>
  <c r="CO251" i="10"/>
  <c r="CQ251" i="10"/>
  <c r="CR251" i="10"/>
  <c r="CS251" i="10"/>
  <c r="CT251" i="10"/>
  <c r="CV251" i="10"/>
  <c r="CW251" i="10"/>
  <c r="CX251" i="10"/>
  <c r="CY251" i="10"/>
  <c r="DA251" i="10"/>
  <c r="DB251" i="10"/>
  <c r="DC251" i="10"/>
  <c r="DD251" i="10"/>
  <c r="DF251" i="10"/>
  <c r="DG251" i="10"/>
  <c r="DH251" i="10"/>
  <c r="DI251" i="10"/>
  <c r="DK251" i="10"/>
  <c r="DL251" i="10"/>
  <c r="DM251" i="10"/>
  <c r="DN251" i="10"/>
  <c r="DP251" i="10"/>
  <c r="DQ251" i="10"/>
  <c r="DR251" i="10"/>
  <c r="DS251" i="10"/>
  <c r="BR252" i="10"/>
  <c r="BS252" i="10"/>
  <c r="BT252" i="10"/>
  <c r="BU252" i="10"/>
  <c r="BW252" i="10"/>
  <c r="BX252" i="10"/>
  <c r="BY252" i="10"/>
  <c r="BZ252" i="10"/>
  <c r="CB252" i="10"/>
  <c r="CC252" i="10"/>
  <c r="CD252" i="10"/>
  <c r="CE252" i="10"/>
  <c r="CG252" i="10"/>
  <c r="CH252" i="10"/>
  <c r="CI252" i="10"/>
  <c r="CJ252" i="10"/>
  <c r="CL252" i="10"/>
  <c r="CM252" i="10"/>
  <c r="CN252" i="10"/>
  <c r="CO252" i="10"/>
  <c r="CQ252" i="10"/>
  <c r="CR252" i="10"/>
  <c r="CS252" i="10"/>
  <c r="CT252" i="10"/>
  <c r="CV252" i="10"/>
  <c r="CW252" i="10"/>
  <c r="CX252" i="10"/>
  <c r="CY252" i="10"/>
  <c r="DA252" i="10"/>
  <c r="DB252" i="10"/>
  <c r="DC252" i="10"/>
  <c r="DD252" i="10"/>
  <c r="DF252" i="10"/>
  <c r="DG252" i="10"/>
  <c r="DH252" i="10"/>
  <c r="DI252" i="10"/>
  <c r="DK252" i="10"/>
  <c r="DL252" i="10"/>
  <c r="DM252" i="10"/>
  <c r="DN252" i="10"/>
  <c r="DP252" i="10"/>
  <c r="DQ252" i="10"/>
  <c r="DR252" i="10"/>
  <c r="DS252" i="10"/>
  <c r="BR253" i="10"/>
  <c r="BS253" i="10"/>
  <c r="BT253" i="10"/>
  <c r="BU253" i="10"/>
  <c r="BW253" i="10"/>
  <c r="BX253" i="10"/>
  <c r="BY253" i="10"/>
  <c r="BZ253" i="10"/>
  <c r="CB253" i="10"/>
  <c r="CC253" i="10"/>
  <c r="CD253" i="10"/>
  <c r="CE253" i="10"/>
  <c r="CG253" i="10"/>
  <c r="CH253" i="10"/>
  <c r="CI253" i="10"/>
  <c r="CJ253" i="10"/>
  <c r="CL253" i="10"/>
  <c r="CM253" i="10"/>
  <c r="CN253" i="10"/>
  <c r="CO253" i="10"/>
  <c r="DA253" i="10"/>
  <c r="DB253" i="10"/>
  <c r="DC253" i="10"/>
  <c r="DD253" i="10"/>
  <c r="DF253" i="10"/>
  <c r="DG253" i="10"/>
  <c r="DH253" i="10"/>
  <c r="DI253" i="10"/>
  <c r="DK253" i="10"/>
  <c r="DL253" i="10"/>
  <c r="DM253" i="10"/>
  <c r="DN253" i="10"/>
  <c r="DP253" i="10"/>
  <c r="DQ253" i="10"/>
  <c r="DR253" i="10"/>
  <c r="DS253" i="10"/>
  <c r="BE250" i="10"/>
  <c r="AP253" i="10"/>
  <c r="AN253" i="10" s="1"/>
  <c r="AZ257" i="10"/>
  <c r="L257" i="10"/>
  <c r="Q257" i="10"/>
  <c r="O257" i="10" s="1"/>
  <c r="V257" i="10"/>
  <c r="R257" i="10" s="1"/>
  <c r="AA257" i="10"/>
  <c r="W257" i="10" s="1"/>
  <c r="AF257" i="10"/>
  <c r="AE257" i="10" s="1"/>
  <c r="AK257" i="10"/>
  <c r="AI257" i="10" s="1"/>
  <c r="AP257" i="10"/>
  <c r="AL257" i="10" s="1"/>
  <c r="AU257" i="10"/>
  <c r="AQ257" i="10" s="1"/>
  <c r="BE257" i="10"/>
  <c r="BC257" i="10" s="1"/>
  <c r="BJ257" i="10"/>
  <c r="BF257" i="10" s="1"/>
  <c r="BO257" i="10"/>
  <c r="BK257" i="10" s="1"/>
  <c r="L258" i="10"/>
  <c r="Q258" i="10"/>
  <c r="O258" i="10" s="1"/>
  <c r="V258" i="10"/>
  <c r="AA258" i="10"/>
  <c r="W258" i="10" s="1"/>
  <c r="AF258" i="10"/>
  <c r="AE258" i="10" s="1"/>
  <c r="AK258" i="10"/>
  <c r="AI258" i="10" s="1"/>
  <c r="AP258" i="10"/>
  <c r="AL258" i="10" s="1"/>
  <c r="AZ258" i="10"/>
  <c r="AY258" i="10" s="1"/>
  <c r="BE258" i="10"/>
  <c r="BC258" i="10" s="1"/>
  <c r="BJ258" i="10"/>
  <c r="BF258" i="10" s="1"/>
  <c r="BO258" i="10"/>
  <c r="BK258" i="10" s="1"/>
  <c r="L259" i="10"/>
  <c r="Q259" i="10"/>
  <c r="O259" i="10" s="1"/>
  <c r="V259" i="10"/>
  <c r="R259" i="10" s="1"/>
  <c r="AA259" i="10"/>
  <c r="W259" i="10" s="1"/>
  <c r="AF259" i="10"/>
  <c r="AE259" i="10" s="1"/>
  <c r="AK259" i="10"/>
  <c r="AI259" i="10" s="1"/>
  <c r="AP259" i="10"/>
  <c r="AL259" i="10" s="1"/>
  <c r="AU259" i="10"/>
  <c r="AQ259" i="10" s="1"/>
  <c r="AZ259" i="10"/>
  <c r="AY259" i="10" s="1"/>
  <c r="BE259" i="10"/>
  <c r="BC259" i="10" s="1"/>
  <c r="BO259" i="10"/>
  <c r="BK259" i="10" s="1"/>
  <c r="L260" i="10"/>
  <c r="Q260" i="10"/>
  <c r="O260" i="10" s="1"/>
  <c r="V260" i="10"/>
  <c r="R260" i="10" s="1"/>
  <c r="AA260" i="10"/>
  <c r="W260" i="10" s="1"/>
  <c r="AF260" i="10"/>
  <c r="AE260" i="10" s="1"/>
  <c r="AK260" i="10"/>
  <c r="AI260" i="10" s="1"/>
  <c r="AP260" i="10"/>
  <c r="AL260" i="10" s="1"/>
  <c r="AZ260" i="10"/>
  <c r="AY260" i="10" s="1"/>
  <c r="BE260" i="10"/>
  <c r="BC260" i="10" s="1"/>
  <c r="BJ260" i="10"/>
  <c r="BF260" i="10" s="1"/>
  <c r="BO260" i="10"/>
  <c r="BK260" i="10" s="1"/>
  <c r="L261" i="10"/>
  <c r="Q261" i="10"/>
  <c r="O261" i="10" s="1"/>
  <c r="V261" i="10"/>
  <c r="R261" i="10" s="1"/>
  <c r="AA261" i="10"/>
  <c r="W261" i="10" s="1"/>
  <c r="AF261" i="10"/>
  <c r="AE261" i="10" s="1"/>
  <c r="AK261" i="10"/>
  <c r="AI261" i="10" s="1"/>
  <c r="AP261" i="10"/>
  <c r="AL261" i="10" s="1"/>
  <c r="AU261" i="10"/>
  <c r="AQ261" i="10" s="1"/>
  <c r="AZ261" i="10"/>
  <c r="AY261" i="10" s="1"/>
  <c r="BE261" i="10"/>
  <c r="BC261" i="10" s="1"/>
  <c r="BO261" i="10"/>
  <c r="BK261" i="10" s="1"/>
  <c r="BR257" i="10"/>
  <c r="BS257" i="10"/>
  <c r="BT257" i="10"/>
  <c r="BU257" i="10"/>
  <c r="BW257" i="10"/>
  <c r="BX257" i="10"/>
  <c r="BY257" i="10"/>
  <c r="BZ257" i="10"/>
  <c r="CB257" i="10"/>
  <c r="CC257" i="10"/>
  <c r="CD257" i="10"/>
  <c r="CE257" i="10"/>
  <c r="CG257" i="10"/>
  <c r="CH257" i="10"/>
  <c r="CI257" i="10"/>
  <c r="CJ257" i="10"/>
  <c r="CL257" i="10"/>
  <c r="CM257" i="10"/>
  <c r="CN257" i="10"/>
  <c r="CO257" i="10"/>
  <c r="CQ257" i="10"/>
  <c r="CR257" i="10"/>
  <c r="CS257" i="10"/>
  <c r="CT257" i="10"/>
  <c r="CV257" i="10"/>
  <c r="CW257" i="10"/>
  <c r="CX257" i="10"/>
  <c r="CY257" i="10"/>
  <c r="DK257" i="10"/>
  <c r="DL257" i="10"/>
  <c r="DM257" i="10"/>
  <c r="DN257" i="10"/>
  <c r="DP257" i="10"/>
  <c r="DQ257" i="10"/>
  <c r="DR257" i="10"/>
  <c r="DS257" i="10"/>
  <c r="BR258" i="10"/>
  <c r="BS258" i="10"/>
  <c r="BT258" i="10"/>
  <c r="BU258" i="10"/>
  <c r="BW258" i="10"/>
  <c r="BX258" i="10"/>
  <c r="BY258" i="10"/>
  <c r="BZ258" i="10"/>
  <c r="CB258" i="10"/>
  <c r="CC258" i="10"/>
  <c r="CD258" i="10"/>
  <c r="CE258" i="10"/>
  <c r="CG258" i="10"/>
  <c r="CH258" i="10"/>
  <c r="CI258" i="10"/>
  <c r="CJ258" i="10"/>
  <c r="CL258" i="10"/>
  <c r="CM258" i="10"/>
  <c r="CN258" i="10"/>
  <c r="CO258" i="10"/>
  <c r="CQ258" i="10"/>
  <c r="CR258" i="10"/>
  <c r="CS258" i="10"/>
  <c r="CT258" i="10"/>
  <c r="DF258" i="10"/>
  <c r="DG258" i="10"/>
  <c r="DH258" i="10"/>
  <c r="DI258" i="10"/>
  <c r="BR259" i="10"/>
  <c r="BS259" i="10"/>
  <c r="BT259" i="10"/>
  <c r="BU259" i="10"/>
  <c r="BW259" i="10"/>
  <c r="BX259" i="10"/>
  <c r="BY259" i="10"/>
  <c r="BZ259" i="10"/>
  <c r="CB259" i="10"/>
  <c r="CC259" i="10"/>
  <c r="CD259" i="10"/>
  <c r="CE259" i="10"/>
  <c r="CG259" i="10"/>
  <c r="CH259" i="10"/>
  <c r="CI259" i="10"/>
  <c r="CJ259" i="10"/>
  <c r="CL259" i="10"/>
  <c r="CM259" i="10"/>
  <c r="CN259" i="10"/>
  <c r="CO259" i="10"/>
  <c r="CQ259" i="10"/>
  <c r="CR259" i="10"/>
  <c r="CS259" i="10"/>
  <c r="CT259" i="10"/>
  <c r="DF259" i="10"/>
  <c r="DG259" i="10"/>
  <c r="DH259" i="10"/>
  <c r="DI259" i="10"/>
  <c r="BR260" i="10"/>
  <c r="BS260" i="10"/>
  <c r="BT260" i="10"/>
  <c r="BU260" i="10"/>
  <c r="BW260" i="10"/>
  <c r="BX260" i="10"/>
  <c r="BY260" i="10"/>
  <c r="BZ260" i="10"/>
  <c r="CB260" i="10"/>
  <c r="CC260" i="10"/>
  <c r="CD260" i="10"/>
  <c r="CE260" i="10"/>
  <c r="CG260" i="10"/>
  <c r="CH260" i="10"/>
  <c r="CI260" i="10"/>
  <c r="CJ260" i="10"/>
  <c r="CL260" i="10"/>
  <c r="CM260" i="10"/>
  <c r="CN260" i="10"/>
  <c r="CO260" i="10"/>
  <c r="CQ260" i="10"/>
  <c r="CR260" i="10"/>
  <c r="CS260" i="10"/>
  <c r="CT260" i="10"/>
  <c r="DF260" i="10"/>
  <c r="DG260" i="10"/>
  <c r="DH260" i="10"/>
  <c r="DI260" i="10"/>
  <c r="BR261" i="10"/>
  <c r="BS261" i="10"/>
  <c r="BT261" i="10"/>
  <c r="BU261" i="10"/>
  <c r="BW261" i="10"/>
  <c r="BX261" i="10"/>
  <c r="BY261" i="10"/>
  <c r="BZ261" i="10"/>
  <c r="CB261" i="10"/>
  <c r="CC261" i="10"/>
  <c r="CD261" i="10"/>
  <c r="CE261" i="10"/>
  <c r="CG261" i="10"/>
  <c r="CH261" i="10"/>
  <c r="CI261" i="10"/>
  <c r="CJ261" i="10"/>
  <c r="CL261" i="10"/>
  <c r="CM261" i="10"/>
  <c r="CN261" i="10"/>
  <c r="CO261" i="10"/>
  <c r="CQ261" i="10"/>
  <c r="CR261" i="10"/>
  <c r="CS261" i="10"/>
  <c r="CT261" i="10"/>
  <c r="CV261" i="10"/>
  <c r="CW261" i="10"/>
  <c r="CX261" i="10"/>
  <c r="CY261" i="10"/>
  <c r="DA261" i="10"/>
  <c r="DB261" i="10"/>
  <c r="DC261" i="10"/>
  <c r="DD261" i="10"/>
  <c r="DF261" i="10"/>
  <c r="DG261" i="10"/>
  <c r="DH261" i="10"/>
  <c r="DI261" i="10"/>
  <c r="AU258" i="10"/>
  <c r="BJ259" i="10"/>
  <c r="AU260" i="10"/>
  <c r="BJ261" i="10"/>
  <c r="L266" i="10"/>
  <c r="Q266" i="10"/>
  <c r="P266" i="10" s="1"/>
  <c r="V266" i="10"/>
  <c r="T266" i="10" s="1"/>
  <c r="AA266" i="10"/>
  <c r="W266" i="10" s="1"/>
  <c r="AF266" i="10"/>
  <c r="AB266" i="10" s="1"/>
  <c r="AK266" i="10"/>
  <c r="AJ266" i="10" s="1"/>
  <c r="AP266" i="10"/>
  <c r="AN266" i="10" s="1"/>
  <c r="AU266" i="10"/>
  <c r="AQ266" i="10" s="1"/>
  <c r="AZ266" i="10"/>
  <c r="AV266" i="10" s="1"/>
  <c r="BE266" i="10"/>
  <c r="BD266" i="10" s="1"/>
  <c r="BO266" i="10"/>
  <c r="BK266" i="10" s="1"/>
  <c r="L267" i="10"/>
  <c r="Q267" i="10"/>
  <c r="P267" i="10" s="1"/>
  <c r="V267" i="10"/>
  <c r="T267" i="10" s="1"/>
  <c r="AA267" i="10"/>
  <c r="W267" i="10" s="1"/>
  <c r="AF267" i="10"/>
  <c r="AB267" i="10" s="1"/>
  <c r="AK267" i="10"/>
  <c r="AJ267" i="10" s="1"/>
  <c r="AP267" i="10"/>
  <c r="AN267" i="10" s="1"/>
  <c r="AU267" i="10"/>
  <c r="BE267" i="10"/>
  <c r="BD267" i="10" s="1"/>
  <c r="BJ267" i="10"/>
  <c r="BH267" i="10" s="1"/>
  <c r="BO267" i="10"/>
  <c r="BK267" i="10" s="1"/>
  <c r="L268" i="10"/>
  <c r="Q268" i="10"/>
  <c r="P268" i="10" s="1"/>
  <c r="V268" i="10"/>
  <c r="T268" i="10" s="1"/>
  <c r="AA268" i="10"/>
  <c r="W268" i="10" s="1"/>
  <c r="AF268" i="10"/>
  <c r="AB268" i="10" s="1"/>
  <c r="AK268" i="10"/>
  <c r="AJ268" i="10" s="1"/>
  <c r="AP268" i="10"/>
  <c r="AN268" i="10" s="1"/>
  <c r="AU268" i="10"/>
  <c r="AQ268" i="10" s="1"/>
  <c r="AZ268" i="10"/>
  <c r="AV268" i="10" s="1"/>
  <c r="BE268" i="10"/>
  <c r="BD268" i="10" s="1"/>
  <c r="BJ268" i="10"/>
  <c r="BH268" i="10" s="1"/>
  <c r="BO268" i="10"/>
  <c r="BK268" i="10" s="1"/>
  <c r="L269" i="10"/>
  <c r="Q269" i="10"/>
  <c r="P269" i="10" s="1"/>
  <c r="V269" i="10"/>
  <c r="T269" i="10" s="1"/>
  <c r="AA269" i="10"/>
  <c r="W269" i="10" s="1"/>
  <c r="AF269" i="10"/>
  <c r="AB269" i="10" s="1"/>
  <c r="AK269" i="10"/>
  <c r="AJ269" i="10" s="1"/>
  <c r="AP269" i="10"/>
  <c r="AN269" i="10" s="1"/>
  <c r="AU269" i="10"/>
  <c r="AQ269" i="10" s="1"/>
  <c r="AZ269" i="10"/>
  <c r="AV269" i="10" s="1"/>
  <c r="BE269" i="10"/>
  <c r="BD269" i="10" s="1"/>
  <c r="BJ269" i="10"/>
  <c r="BH269" i="10" s="1"/>
  <c r="BO269" i="10"/>
  <c r="BK269" i="10" s="1"/>
  <c r="L270" i="10"/>
  <c r="Q270" i="10"/>
  <c r="P270" i="10" s="1"/>
  <c r="V270" i="10"/>
  <c r="T270" i="10" s="1"/>
  <c r="AA270" i="10"/>
  <c r="W270" i="10" s="1"/>
  <c r="AF270" i="10"/>
  <c r="AB270" i="10" s="1"/>
  <c r="AK270" i="10"/>
  <c r="AJ270" i="10" s="1"/>
  <c r="AP270" i="10"/>
  <c r="AN270" i="10" s="1"/>
  <c r="AU270" i="10"/>
  <c r="AQ270" i="10" s="1"/>
  <c r="AZ270" i="10"/>
  <c r="AV270" i="10" s="1"/>
  <c r="BE270" i="10"/>
  <c r="BD270" i="10" s="1"/>
  <c r="BJ270" i="10"/>
  <c r="BH270" i="10" s="1"/>
  <c r="BO270" i="10"/>
  <c r="BK270" i="10" s="1"/>
  <c r="L271" i="10"/>
  <c r="Q271" i="10"/>
  <c r="P271" i="10" s="1"/>
  <c r="V271" i="10"/>
  <c r="T271" i="10" s="1"/>
  <c r="AA271" i="10"/>
  <c r="W271" i="10" s="1"/>
  <c r="AF271" i="10"/>
  <c r="AB271" i="10" s="1"/>
  <c r="AK271" i="10"/>
  <c r="AJ271" i="10" s="1"/>
  <c r="AP271" i="10"/>
  <c r="AN271" i="10" s="1"/>
  <c r="AU271" i="10"/>
  <c r="AQ271" i="10" s="1"/>
  <c r="AZ271" i="10"/>
  <c r="AV271" i="10" s="1"/>
  <c r="BJ271" i="10"/>
  <c r="BH271" i="10" s="1"/>
  <c r="BO271" i="10"/>
  <c r="BK271" i="10" s="1"/>
  <c r="L272" i="10"/>
  <c r="Q272" i="10"/>
  <c r="P272" i="10" s="1"/>
  <c r="V272" i="10"/>
  <c r="T272" i="10" s="1"/>
  <c r="AA272" i="10"/>
  <c r="W272" i="10" s="1"/>
  <c r="AF272" i="10"/>
  <c r="AB272" i="10" s="1"/>
  <c r="AK272" i="10"/>
  <c r="AJ272" i="10" s="1"/>
  <c r="AP272" i="10"/>
  <c r="AN272" i="10" s="1"/>
  <c r="AU272" i="10"/>
  <c r="AQ272" i="10" s="1"/>
  <c r="AZ272" i="10"/>
  <c r="AV272" i="10" s="1"/>
  <c r="BE272" i="10"/>
  <c r="BD272" i="10" s="1"/>
  <c r="BJ272" i="10"/>
  <c r="BH272" i="10" s="1"/>
  <c r="BO272" i="10"/>
  <c r="BK272" i="10" s="1"/>
  <c r="L273" i="10"/>
  <c r="Q273" i="10"/>
  <c r="P273" i="10" s="1"/>
  <c r="V273" i="10"/>
  <c r="T273" i="10" s="1"/>
  <c r="AA273" i="10"/>
  <c r="W273" i="10" s="1"/>
  <c r="AF273" i="10"/>
  <c r="AB273" i="10" s="1"/>
  <c r="AK273" i="10"/>
  <c r="AJ273" i="10" s="1"/>
  <c r="AP273" i="10"/>
  <c r="AN273" i="10" s="1"/>
  <c r="AU273" i="10"/>
  <c r="AQ273" i="10" s="1"/>
  <c r="AZ273" i="10"/>
  <c r="AV273" i="10" s="1"/>
  <c r="BE273" i="10"/>
  <c r="BD273" i="10" s="1"/>
  <c r="BJ273" i="10"/>
  <c r="BH273" i="10" s="1"/>
  <c r="BO273" i="10"/>
  <c r="BL273" i="10" s="1"/>
  <c r="L274" i="10"/>
  <c r="Q274" i="10"/>
  <c r="P274" i="10" s="1"/>
  <c r="V274" i="10"/>
  <c r="T274" i="10" s="1"/>
  <c r="AA274" i="10"/>
  <c r="X274" i="10" s="1"/>
  <c r="AF274" i="10"/>
  <c r="AB274" i="10" s="1"/>
  <c r="AK274" i="10"/>
  <c r="AJ274" i="10" s="1"/>
  <c r="AP274" i="10"/>
  <c r="AN274" i="10" s="1"/>
  <c r="AU274" i="10"/>
  <c r="AR274" i="10" s="1"/>
  <c r="AZ274" i="10"/>
  <c r="BE274" i="10"/>
  <c r="BD274" i="10" s="1"/>
  <c r="BJ274" i="10"/>
  <c r="BH274" i="10" s="1"/>
  <c r="BO274" i="10"/>
  <c r="BL274" i="10" s="1"/>
  <c r="BR266" i="10"/>
  <c r="BS266" i="10"/>
  <c r="BT266" i="10"/>
  <c r="BU266" i="10"/>
  <c r="BW266" i="10"/>
  <c r="BX266" i="10"/>
  <c r="BY266" i="10"/>
  <c r="BZ266" i="10"/>
  <c r="CB266" i="10"/>
  <c r="CC266" i="10"/>
  <c r="CD266" i="10"/>
  <c r="CE266" i="10"/>
  <c r="CG266" i="10"/>
  <c r="CH266" i="10"/>
  <c r="CI266" i="10"/>
  <c r="CJ266" i="10"/>
  <c r="CL266" i="10"/>
  <c r="CM266" i="10"/>
  <c r="CN266" i="10"/>
  <c r="CO266" i="10"/>
  <c r="CQ266" i="10"/>
  <c r="CR266" i="10"/>
  <c r="CS266" i="10"/>
  <c r="CT266" i="10"/>
  <c r="CV266" i="10"/>
  <c r="CW266" i="10"/>
  <c r="CX266" i="10"/>
  <c r="CY266" i="10"/>
  <c r="DA266" i="10"/>
  <c r="DB266" i="10"/>
  <c r="DC266" i="10"/>
  <c r="DD266" i="10"/>
  <c r="DF266" i="10"/>
  <c r="DG266" i="10"/>
  <c r="DH266" i="10"/>
  <c r="DI266" i="10"/>
  <c r="BR267" i="10"/>
  <c r="BS267" i="10"/>
  <c r="BT267" i="10"/>
  <c r="BU267" i="10"/>
  <c r="BW267" i="10"/>
  <c r="BX267" i="10"/>
  <c r="BY267" i="10"/>
  <c r="BZ267" i="10"/>
  <c r="CB267" i="10"/>
  <c r="CC267" i="10"/>
  <c r="CD267" i="10"/>
  <c r="CE267" i="10"/>
  <c r="CG267" i="10"/>
  <c r="CH267" i="10"/>
  <c r="CI267" i="10"/>
  <c r="CJ267" i="10"/>
  <c r="CL267" i="10"/>
  <c r="CM267" i="10"/>
  <c r="CN267" i="10"/>
  <c r="CO267" i="10"/>
  <c r="CQ267" i="10"/>
  <c r="CR267" i="10"/>
  <c r="CS267" i="10"/>
  <c r="CT267" i="10"/>
  <c r="CV267" i="10"/>
  <c r="CW267" i="10"/>
  <c r="CX267" i="10"/>
  <c r="CY267" i="10"/>
  <c r="DK267" i="10"/>
  <c r="DL267" i="10"/>
  <c r="DM267" i="10"/>
  <c r="DN267" i="10"/>
  <c r="DP267" i="10"/>
  <c r="DQ267" i="10"/>
  <c r="DR267" i="10"/>
  <c r="DS267" i="10"/>
  <c r="BR268" i="10"/>
  <c r="BS268" i="10"/>
  <c r="BT268" i="10"/>
  <c r="BU268" i="10"/>
  <c r="BW268" i="10"/>
  <c r="BX268" i="10"/>
  <c r="BY268" i="10"/>
  <c r="BZ268" i="10"/>
  <c r="CB268" i="10"/>
  <c r="CC268" i="10"/>
  <c r="CD268" i="10"/>
  <c r="CE268" i="10"/>
  <c r="CG268" i="10"/>
  <c r="CH268" i="10"/>
  <c r="CI268" i="10"/>
  <c r="CJ268" i="10"/>
  <c r="CL268" i="10"/>
  <c r="CM268" i="10"/>
  <c r="CN268" i="10"/>
  <c r="CO268" i="10"/>
  <c r="CQ268" i="10"/>
  <c r="CR268" i="10"/>
  <c r="CS268" i="10"/>
  <c r="CT268" i="10"/>
  <c r="CV268" i="10"/>
  <c r="CW268" i="10"/>
  <c r="CX268" i="10"/>
  <c r="CY268" i="10"/>
  <c r="DA268" i="10"/>
  <c r="DB268" i="10"/>
  <c r="DC268" i="10"/>
  <c r="DD268" i="10"/>
  <c r="DF268" i="10"/>
  <c r="DG268" i="10"/>
  <c r="DH268" i="10"/>
  <c r="DI268" i="10"/>
  <c r="DK268" i="10"/>
  <c r="DL268" i="10"/>
  <c r="DM268" i="10"/>
  <c r="DN268" i="10"/>
  <c r="DP268" i="10"/>
  <c r="DQ268" i="10"/>
  <c r="DR268" i="10"/>
  <c r="DS268" i="10"/>
  <c r="BR269" i="10"/>
  <c r="BS269" i="10"/>
  <c r="BT269" i="10"/>
  <c r="BU269" i="10"/>
  <c r="BW269" i="10"/>
  <c r="BX269" i="10"/>
  <c r="BY269" i="10"/>
  <c r="BZ269" i="10"/>
  <c r="CB269" i="10"/>
  <c r="CC269" i="10"/>
  <c r="CD269" i="10"/>
  <c r="CE269" i="10"/>
  <c r="CG269" i="10"/>
  <c r="CH269" i="10"/>
  <c r="CI269" i="10"/>
  <c r="CJ269" i="10"/>
  <c r="CL269" i="10"/>
  <c r="CM269" i="10"/>
  <c r="CN269" i="10"/>
  <c r="CO269" i="10"/>
  <c r="CQ269" i="10"/>
  <c r="CR269" i="10"/>
  <c r="CS269" i="10"/>
  <c r="CT269" i="10"/>
  <c r="CV269" i="10"/>
  <c r="CW269" i="10"/>
  <c r="CX269" i="10"/>
  <c r="CY269" i="10"/>
  <c r="DA269" i="10"/>
  <c r="DB269" i="10"/>
  <c r="DC269" i="10"/>
  <c r="DD269" i="10"/>
  <c r="DF269" i="10"/>
  <c r="DG269" i="10"/>
  <c r="DH269" i="10"/>
  <c r="DI269" i="10"/>
  <c r="DK269" i="10"/>
  <c r="DL269" i="10"/>
  <c r="DM269" i="10"/>
  <c r="DN269" i="10"/>
  <c r="DP269" i="10"/>
  <c r="DQ269" i="10"/>
  <c r="DR269" i="10"/>
  <c r="DS269" i="10"/>
  <c r="BR270" i="10"/>
  <c r="BS270" i="10"/>
  <c r="BT270" i="10"/>
  <c r="BU270" i="10"/>
  <c r="BW270" i="10"/>
  <c r="BX270" i="10"/>
  <c r="BY270" i="10"/>
  <c r="BZ270" i="10"/>
  <c r="CB270" i="10"/>
  <c r="CC270" i="10"/>
  <c r="CD270" i="10"/>
  <c r="CE270" i="10"/>
  <c r="CG270" i="10"/>
  <c r="CH270" i="10"/>
  <c r="CI270" i="10"/>
  <c r="CJ270" i="10"/>
  <c r="CL270" i="10"/>
  <c r="CM270" i="10"/>
  <c r="CN270" i="10"/>
  <c r="CO270" i="10"/>
  <c r="CQ270" i="10"/>
  <c r="CR270" i="10"/>
  <c r="CS270" i="10"/>
  <c r="CT270" i="10"/>
  <c r="CV270" i="10"/>
  <c r="CW270" i="10"/>
  <c r="CX270" i="10"/>
  <c r="CY270" i="10"/>
  <c r="DA270" i="10"/>
  <c r="DB270" i="10"/>
  <c r="DC270" i="10"/>
  <c r="DD270" i="10"/>
  <c r="DF270" i="10"/>
  <c r="DG270" i="10"/>
  <c r="DH270" i="10"/>
  <c r="DI270" i="10"/>
  <c r="DK270" i="10"/>
  <c r="DL270" i="10"/>
  <c r="DM270" i="10"/>
  <c r="DN270" i="10"/>
  <c r="DP270" i="10"/>
  <c r="DQ270" i="10"/>
  <c r="DR270" i="10"/>
  <c r="DS270" i="10"/>
  <c r="BR271" i="10"/>
  <c r="BS271" i="10"/>
  <c r="BT271" i="10"/>
  <c r="BU271" i="10"/>
  <c r="BW271" i="10"/>
  <c r="BX271" i="10"/>
  <c r="BY271" i="10"/>
  <c r="BZ271" i="10"/>
  <c r="CB271" i="10"/>
  <c r="CC271" i="10"/>
  <c r="CD271" i="10"/>
  <c r="CE271" i="10"/>
  <c r="CG271" i="10"/>
  <c r="CH271" i="10"/>
  <c r="CI271" i="10"/>
  <c r="CJ271" i="10"/>
  <c r="CL271" i="10"/>
  <c r="CM271" i="10"/>
  <c r="CN271" i="10"/>
  <c r="CO271" i="10"/>
  <c r="CQ271" i="10"/>
  <c r="CR271" i="10"/>
  <c r="CS271" i="10"/>
  <c r="CT271" i="10"/>
  <c r="CV271" i="10"/>
  <c r="CW271" i="10"/>
  <c r="CX271" i="10"/>
  <c r="CY271" i="10"/>
  <c r="DA271" i="10"/>
  <c r="DB271" i="10"/>
  <c r="DC271" i="10"/>
  <c r="DD271" i="10"/>
  <c r="DP271" i="10"/>
  <c r="DQ271" i="10"/>
  <c r="DR271" i="10"/>
  <c r="DS271" i="10"/>
  <c r="BR272" i="10"/>
  <c r="BS272" i="10"/>
  <c r="BT272" i="10"/>
  <c r="BU272" i="10"/>
  <c r="BW272" i="10"/>
  <c r="BX272" i="10"/>
  <c r="BY272" i="10"/>
  <c r="BZ272" i="10"/>
  <c r="CB272" i="10"/>
  <c r="CC272" i="10"/>
  <c r="CD272" i="10"/>
  <c r="CE272" i="10"/>
  <c r="CG272" i="10"/>
  <c r="CH272" i="10"/>
  <c r="CI272" i="10"/>
  <c r="CJ272" i="10"/>
  <c r="CL272" i="10"/>
  <c r="CM272" i="10"/>
  <c r="CN272" i="10"/>
  <c r="CO272" i="10"/>
  <c r="CQ272" i="10"/>
  <c r="CR272" i="10"/>
  <c r="CS272" i="10"/>
  <c r="CT272" i="10"/>
  <c r="CV272" i="10"/>
  <c r="CW272" i="10"/>
  <c r="CX272" i="10"/>
  <c r="CY272" i="10"/>
  <c r="DA272" i="10"/>
  <c r="DB272" i="10"/>
  <c r="DC272" i="10"/>
  <c r="DD272" i="10"/>
  <c r="DF272" i="10"/>
  <c r="DG272" i="10"/>
  <c r="DH272" i="10"/>
  <c r="DI272" i="10"/>
  <c r="DK272" i="10"/>
  <c r="DL272" i="10"/>
  <c r="DM272" i="10"/>
  <c r="DN272" i="10"/>
  <c r="DP272" i="10"/>
  <c r="DQ272" i="10"/>
  <c r="DR272" i="10"/>
  <c r="DS272" i="10"/>
  <c r="BR273" i="10"/>
  <c r="BS273" i="10"/>
  <c r="BT273" i="10"/>
  <c r="BU273" i="10"/>
  <c r="BW273" i="10"/>
  <c r="BX273" i="10"/>
  <c r="BY273" i="10"/>
  <c r="BZ273" i="10"/>
  <c r="CB273" i="10"/>
  <c r="CC273" i="10"/>
  <c r="CD273" i="10"/>
  <c r="CE273" i="10"/>
  <c r="CG273" i="10"/>
  <c r="CH273" i="10"/>
  <c r="CI273" i="10"/>
  <c r="CJ273" i="10"/>
  <c r="CL273" i="10"/>
  <c r="CM273" i="10"/>
  <c r="CN273" i="10"/>
  <c r="CO273" i="10"/>
  <c r="CQ273" i="10"/>
  <c r="CR273" i="10"/>
  <c r="CS273" i="10"/>
  <c r="CT273" i="10"/>
  <c r="CV273" i="10"/>
  <c r="CW273" i="10"/>
  <c r="CX273" i="10"/>
  <c r="CY273" i="10"/>
  <c r="DA273" i="10"/>
  <c r="DB273" i="10"/>
  <c r="DC273" i="10"/>
  <c r="DD273" i="10"/>
  <c r="DF273" i="10"/>
  <c r="DG273" i="10"/>
  <c r="DH273" i="10"/>
  <c r="DI273" i="10"/>
  <c r="DK273" i="10"/>
  <c r="DL273" i="10"/>
  <c r="DM273" i="10"/>
  <c r="DN273" i="10"/>
  <c r="DP273" i="10"/>
  <c r="DQ273" i="10"/>
  <c r="DR273" i="10"/>
  <c r="DS273" i="10"/>
  <c r="BR274" i="10"/>
  <c r="BS274" i="10"/>
  <c r="BT274" i="10"/>
  <c r="BU274" i="10"/>
  <c r="BW274" i="10"/>
  <c r="BX274" i="10"/>
  <c r="BY274" i="10"/>
  <c r="BZ274" i="10"/>
  <c r="CB274" i="10"/>
  <c r="CC274" i="10"/>
  <c r="CD274" i="10"/>
  <c r="CE274" i="10"/>
  <c r="CG274" i="10"/>
  <c r="CH274" i="10"/>
  <c r="CI274" i="10"/>
  <c r="CJ274" i="10"/>
  <c r="CL274" i="10"/>
  <c r="CM274" i="10"/>
  <c r="CN274" i="10"/>
  <c r="CO274" i="10"/>
  <c r="CQ274" i="10"/>
  <c r="CR274" i="10"/>
  <c r="CS274" i="10"/>
  <c r="CT274" i="10"/>
  <c r="CV274" i="10"/>
  <c r="CW274" i="10"/>
  <c r="CX274" i="10"/>
  <c r="CY274" i="10"/>
  <c r="DA274" i="10"/>
  <c r="DB274" i="10"/>
  <c r="DC274" i="10"/>
  <c r="DD274" i="10"/>
  <c r="DF274" i="10"/>
  <c r="DG274" i="10"/>
  <c r="DH274" i="10"/>
  <c r="DI274" i="10"/>
  <c r="DK274" i="10"/>
  <c r="DL274" i="10"/>
  <c r="DM274" i="10"/>
  <c r="DN274" i="10"/>
  <c r="DP274" i="10"/>
  <c r="DQ274" i="10"/>
  <c r="DR274" i="10"/>
  <c r="DS274" i="10"/>
  <c r="BJ266" i="10"/>
  <c r="AZ267" i="10"/>
  <c r="BE271" i="10"/>
  <c r="AP276" i="10"/>
  <c r="L276" i="10"/>
  <c r="Q276" i="10"/>
  <c r="V276" i="10"/>
  <c r="R276" i="10" s="1"/>
  <c r="AA276" i="10"/>
  <c r="AF276" i="10"/>
  <c r="AD276" i="10" s="1"/>
  <c r="AK276" i="10"/>
  <c r="AU276" i="10"/>
  <c r="AT276" i="10" s="1"/>
  <c r="AZ276" i="10"/>
  <c r="AX276" i="10" s="1"/>
  <c r="BE276" i="10"/>
  <c r="BB276" i="10" s="1"/>
  <c r="BJ276" i="10"/>
  <c r="BF276" i="10" s="1"/>
  <c r="BO276" i="10"/>
  <c r="BR276" i="10"/>
  <c r="BS276" i="10"/>
  <c r="BT276" i="10"/>
  <c r="BU276" i="10"/>
  <c r="BW276" i="10"/>
  <c r="BX276" i="10"/>
  <c r="BY276" i="10"/>
  <c r="BZ276" i="10"/>
  <c r="CB276" i="10"/>
  <c r="CC276" i="10"/>
  <c r="CD276" i="10"/>
  <c r="CE276" i="10"/>
  <c r="CG276" i="10"/>
  <c r="CH276" i="10"/>
  <c r="CI276" i="10"/>
  <c r="CJ276" i="10"/>
  <c r="CL276" i="10"/>
  <c r="CM276" i="10"/>
  <c r="CN276" i="10"/>
  <c r="CO276" i="10"/>
  <c r="DA276" i="10"/>
  <c r="DB276" i="10"/>
  <c r="DC276" i="10"/>
  <c r="DD276" i="10"/>
  <c r="DF276" i="10"/>
  <c r="DG276" i="10"/>
  <c r="DH276" i="10"/>
  <c r="DI276" i="10"/>
  <c r="DK276" i="10"/>
  <c r="DL276" i="10"/>
  <c r="DM276" i="10"/>
  <c r="DN276" i="10"/>
  <c r="DP276" i="10"/>
  <c r="DQ276" i="10"/>
  <c r="DR276" i="10"/>
  <c r="DS276" i="10"/>
  <c r="L281" i="10"/>
  <c r="Q281" i="10"/>
  <c r="O281" i="10" s="1"/>
  <c r="V281" i="10"/>
  <c r="AA281" i="10"/>
  <c r="W281" i="10" s="1"/>
  <c r="AF281" i="10"/>
  <c r="AE281" i="10" s="1"/>
  <c r="AK281" i="10"/>
  <c r="AI281" i="10" s="1"/>
  <c r="AP281" i="10"/>
  <c r="AM281" i="10" s="1"/>
  <c r="AU281" i="10"/>
  <c r="AZ281" i="10"/>
  <c r="AY281" i="10" s="1"/>
  <c r="BE281" i="10"/>
  <c r="BC281" i="10" s="1"/>
  <c r="BJ281" i="10"/>
  <c r="BO281" i="10"/>
  <c r="BK281" i="10" s="1"/>
  <c r="L282" i="10"/>
  <c r="Q282" i="10"/>
  <c r="O282" i="10" s="1"/>
  <c r="V282" i="10"/>
  <c r="S282" i="10" s="1"/>
  <c r="AA282" i="10"/>
  <c r="W282" i="10" s="1"/>
  <c r="AF282" i="10"/>
  <c r="AK282" i="10"/>
  <c r="AI282" i="10" s="1"/>
  <c r="AP282" i="10"/>
  <c r="AU282" i="10"/>
  <c r="AZ282" i="10"/>
  <c r="AY282" i="10" s="1"/>
  <c r="BE282" i="10"/>
  <c r="BC282" i="10" s="1"/>
  <c r="BJ282" i="10"/>
  <c r="BG282" i="10" s="1"/>
  <c r="BO282" i="10"/>
  <c r="L283" i="10"/>
  <c r="Q283" i="10"/>
  <c r="O283" i="10" s="1"/>
  <c r="V283" i="10"/>
  <c r="S283" i="10" s="1"/>
  <c r="AA283" i="10"/>
  <c r="W283" i="10" s="1"/>
  <c r="AF283" i="10"/>
  <c r="AE283" i="10" s="1"/>
  <c r="AK283" i="10"/>
  <c r="AP283" i="10"/>
  <c r="AM283" i="10" s="1"/>
  <c r="AU283" i="10"/>
  <c r="AQ283" i="10" s="1"/>
  <c r="AZ283" i="10"/>
  <c r="AY283" i="10" s="1"/>
  <c r="BE283" i="10"/>
  <c r="BC283" i="10" s="1"/>
  <c r="BJ283" i="10"/>
  <c r="BG283" i="10" s="1"/>
  <c r="BO283" i="10"/>
  <c r="L284" i="10"/>
  <c r="Q284" i="10"/>
  <c r="O284" i="10" s="1"/>
  <c r="V284" i="10"/>
  <c r="S284" i="10" s="1"/>
  <c r="AA284" i="10"/>
  <c r="AF284" i="10"/>
  <c r="AE284" i="10" s="1"/>
  <c r="AK284" i="10"/>
  <c r="AI284" i="10" s="1"/>
  <c r="AP284" i="10"/>
  <c r="AM284" i="10" s="1"/>
  <c r="AU284" i="10"/>
  <c r="AQ284" i="10" s="1"/>
  <c r="BE284" i="10"/>
  <c r="BC284" i="10" s="1"/>
  <c r="BJ284" i="10"/>
  <c r="BG284" i="10" s="1"/>
  <c r="BO284" i="10"/>
  <c r="BK284" i="10" s="1"/>
  <c r="L285" i="10"/>
  <c r="Q285" i="10"/>
  <c r="O285" i="10" s="1"/>
  <c r="V285" i="10"/>
  <c r="AA285" i="10"/>
  <c r="AF285" i="10"/>
  <c r="AE285" i="10" s="1"/>
  <c r="AK285" i="10"/>
  <c r="AI285" i="10" s="1"/>
  <c r="AP285" i="10"/>
  <c r="AM285" i="10" s="1"/>
  <c r="AU285" i="10"/>
  <c r="AQ285" i="10" s="1"/>
  <c r="AZ285" i="10"/>
  <c r="BJ285" i="10"/>
  <c r="BG285" i="10" s="1"/>
  <c r="BO285" i="10"/>
  <c r="BK285" i="10" s="1"/>
  <c r="L286" i="10"/>
  <c r="Q286" i="10"/>
  <c r="O286" i="10" s="1"/>
  <c r="V286" i="10"/>
  <c r="AA286" i="10"/>
  <c r="AF286" i="10"/>
  <c r="AE286" i="10" s="1"/>
  <c r="AK286" i="10"/>
  <c r="AI286" i="10" s="1"/>
  <c r="AP286" i="10"/>
  <c r="AM286" i="10" s="1"/>
  <c r="AU286" i="10"/>
  <c r="AZ286" i="10"/>
  <c r="BE286" i="10"/>
  <c r="BC286" i="10" s="1"/>
  <c r="BO286" i="10"/>
  <c r="BK286" i="10" s="1"/>
  <c r="L287" i="10"/>
  <c r="Q287" i="10"/>
  <c r="O287" i="10" s="1"/>
  <c r="V287" i="10"/>
  <c r="S287" i="10" s="1"/>
  <c r="AA287" i="10"/>
  <c r="W287" i="10" s="1"/>
  <c r="AF287" i="10"/>
  <c r="AK287" i="10"/>
  <c r="AI287" i="10" s="1"/>
  <c r="AP287" i="10"/>
  <c r="AU287" i="10"/>
  <c r="AZ287" i="10"/>
  <c r="AY287" i="10" s="1"/>
  <c r="BE287" i="10"/>
  <c r="BC287" i="10" s="1"/>
  <c r="BJ287" i="10"/>
  <c r="BG287" i="10" s="1"/>
  <c r="BR281" i="10"/>
  <c r="BS281" i="10"/>
  <c r="BT281" i="10"/>
  <c r="BU281" i="10"/>
  <c r="BW281" i="10"/>
  <c r="BX281" i="10"/>
  <c r="BY281" i="10"/>
  <c r="BZ281" i="10"/>
  <c r="CB281" i="10"/>
  <c r="CC281" i="10"/>
  <c r="CD281" i="10"/>
  <c r="CE281" i="10"/>
  <c r="CG281" i="10"/>
  <c r="CH281" i="10"/>
  <c r="CI281" i="10"/>
  <c r="CJ281" i="10"/>
  <c r="CL281" i="10"/>
  <c r="CM281" i="10"/>
  <c r="CN281" i="10"/>
  <c r="CO281" i="10"/>
  <c r="CQ281" i="10"/>
  <c r="CR281" i="10"/>
  <c r="CS281" i="10"/>
  <c r="CT281" i="10"/>
  <c r="DF281" i="10"/>
  <c r="DG281" i="10"/>
  <c r="DH281" i="10"/>
  <c r="DI281" i="10"/>
  <c r="DK281" i="10"/>
  <c r="DL281" i="10"/>
  <c r="DM281" i="10"/>
  <c r="DN281" i="10"/>
  <c r="DP281" i="10"/>
  <c r="DQ281" i="10"/>
  <c r="DR281" i="10"/>
  <c r="DS281" i="10"/>
  <c r="BR282" i="10"/>
  <c r="BS282" i="10"/>
  <c r="BT282" i="10"/>
  <c r="BU282" i="10"/>
  <c r="BW282" i="10"/>
  <c r="BX282" i="10"/>
  <c r="BY282" i="10"/>
  <c r="BZ282" i="10"/>
  <c r="CB282" i="10"/>
  <c r="CC282" i="10"/>
  <c r="CD282" i="10"/>
  <c r="CE282" i="10"/>
  <c r="CG282" i="10"/>
  <c r="CH282" i="10"/>
  <c r="CI282" i="10"/>
  <c r="CJ282" i="10"/>
  <c r="CL282" i="10"/>
  <c r="CM282" i="10"/>
  <c r="CN282" i="10"/>
  <c r="CO282" i="10"/>
  <c r="CQ282" i="10"/>
  <c r="CR282" i="10"/>
  <c r="CS282" i="10"/>
  <c r="CT282" i="10"/>
  <c r="DF282" i="10"/>
  <c r="DG282" i="10"/>
  <c r="DH282" i="10"/>
  <c r="DI282" i="10"/>
  <c r="DK282" i="10"/>
  <c r="DL282" i="10"/>
  <c r="DM282" i="10"/>
  <c r="DN282" i="10"/>
  <c r="DP282" i="10"/>
  <c r="DQ282" i="10"/>
  <c r="DR282" i="10"/>
  <c r="DS282" i="10"/>
  <c r="BR283" i="10"/>
  <c r="BS283" i="10"/>
  <c r="BT283" i="10"/>
  <c r="BU283" i="10"/>
  <c r="BW283" i="10"/>
  <c r="BX283" i="10"/>
  <c r="BY283" i="10"/>
  <c r="BZ283" i="10"/>
  <c r="CB283" i="10"/>
  <c r="CC283" i="10"/>
  <c r="CD283" i="10"/>
  <c r="CE283" i="10"/>
  <c r="CG283" i="10"/>
  <c r="CH283" i="10"/>
  <c r="CI283" i="10"/>
  <c r="CJ283" i="10"/>
  <c r="CL283" i="10"/>
  <c r="CM283" i="10"/>
  <c r="CN283" i="10"/>
  <c r="CO283" i="10"/>
  <c r="CQ283" i="10"/>
  <c r="CR283" i="10"/>
  <c r="CS283" i="10"/>
  <c r="CT283" i="10"/>
  <c r="DF283" i="10"/>
  <c r="DG283" i="10"/>
  <c r="DH283" i="10"/>
  <c r="DI283" i="10"/>
  <c r="DK283" i="10"/>
  <c r="DL283" i="10"/>
  <c r="DM283" i="10"/>
  <c r="DN283" i="10"/>
  <c r="DP283" i="10"/>
  <c r="DQ283" i="10"/>
  <c r="DR283" i="10"/>
  <c r="DS283" i="10"/>
  <c r="BR284" i="10"/>
  <c r="BS284" i="10"/>
  <c r="BT284" i="10"/>
  <c r="BU284" i="10"/>
  <c r="BW284" i="10"/>
  <c r="BX284" i="10"/>
  <c r="BY284" i="10"/>
  <c r="BZ284" i="10"/>
  <c r="CB284" i="10"/>
  <c r="CC284" i="10"/>
  <c r="CD284" i="10"/>
  <c r="CE284" i="10"/>
  <c r="CG284" i="10"/>
  <c r="CH284" i="10"/>
  <c r="CI284" i="10"/>
  <c r="CJ284" i="10"/>
  <c r="CL284" i="10"/>
  <c r="CM284" i="10"/>
  <c r="CN284" i="10"/>
  <c r="CO284" i="10"/>
  <c r="CQ284" i="10"/>
  <c r="CR284" i="10"/>
  <c r="CS284" i="10"/>
  <c r="CT284" i="10"/>
  <c r="CV284" i="10"/>
  <c r="CW284" i="10"/>
  <c r="CX284" i="10"/>
  <c r="CY284" i="10"/>
  <c r="DK284" i="10"/>
  <c r="DL284" i="10"/>
  <c r="DM284" i="10"/>
  <c r="DN284" i="10"/>
  <c r="DP284" i="10"/>
  <c r="DQ284" i="10"/>
  <c r="DR284" i="10"/>
  <c r="DS284" i="10"/>
  <c r="BR285" i="10"/>
  <c r="BS285" i="10"/>
  <c r="BT285" i="10"/>
  <c r="BU285" i="10"/>
  <c r="BW285" i="10"/>
  <c r="BX285" i="10"/>
  <c r="BY285" i="10"/>
  <c r="BZ285" i="10"/>
  <c r="CB285" i="10"/>
  <c r="CC285" i="10"/>
  <c r="CD285" i="10"/>
  <c r="CE285" i="10"/>
  <c r="CG285" i="10"/>
  <c r="CH285" i="10"/>
  <c r="CI285" i="10"/>
  <c r="CJ285" i="10"/>
  <c r="CL285" i="10"/>
  <c r="CM285" i="10"/>
  <c r="CN285" i="10"/>
  <c r="CO285" i="10"/>
  <c r="CQ285" i="10"/>
  <c r="CR285" i="10"/>
  <c r="CS285" i="10"/>
  <c r="CT285" i="10"/>
  <c r="CV285" i="10"/>
  <c r="CW285" i="10"/>
  <c r="CX285" i="10"/>
  <c r="CY285" i="10"/>
  <c r="DA285" i="10"/>
  <c r="DB285" i="10"/>
  <c r="DC285" i="10"/>
  <c r="DD285" i="10"/>
  <c r="DP285" i="10"/>
  <c r="DQ285" i="10"/>
  <c r="DR285" i="10"/>
  <c r="DS285" i="10"/>
  <c r="BR286" i="10"/>
  <c r="BS286" i="10"/>
  <c r="BT286" i="10"/>
  <c r="BU286" i="10"/>
  <c r="BW286" i="10"/>
  <c r="BX286" i="10"/>
  <c r="BY286" i="10"/>
  <c r="BZ286" i="10"/>
  <c r="CB286" i="10"/>
  <c r="CC286" i="10"/>
  <c r="CD286" i="10"/>
  <c r="CE286" i="10"/>
  <c r="CG286" i="10"/>
  <c r="CH286" i="10"/>
  <c r="CI286" i="10"/>
  <c r="CJ286" i="10"/>
  <c r="CL286" i="10"/>
  <c r="CM286" i="10"/>
  <c r="CN286" i="10"/>
  <c r="CO286" i="10"/>
  <c r="CQ286" i="10"/>
  <c r="CR286" i="10"/>
  <c r="CS286" i="10"/>
  <c r="CT286" i="10"/>
  <c r="CV286" i="10"/>
  <c r="CW286" i="10"/>
  <c r="CX286" i="10"/>
  <c r="CY286" i="10"/>
  <c r="DA286" i="10"/>
  <c r="DB286" i="10"/>
  <c r="DC286" i="10"/>
  <c r="DD286" i="10"/>
  <c r="DF286" i="10"/>
  <c r="DG286" i="10"/>
  <c r="DH286" i="10"/>
  <c r="DI286" i="10"/>
  <c r="BR287" i="10"/>
  <c r="BS287" i="10"/>
  <c r="BT287" i="10"/>
  <c r="BU287" i="10"/>
  <c r="BW287" i="10"/>
  <c r="BX287" i="10"/>
  <c r="BY287" i="10"/>
  <c r="BZ287" i="10"/>
  <c r="CB287" i="10"/>
  <c r="CB289" i="10" s="1"/>
  <c r="CC287" i="10"/>
  <c r="CD287" i="10"/>
  <c r="CE287" i="10"/>
  <c r="CG287" i="10"/>
  <c r="CH287" i="10"/>
  <c r="CI287" i="10"/>
  <c r="CJ287" i="10"/>
  <c r="CL287" i="10"/>
  <c r="CM287" i="10"/>
  <c r="CN287" i="10"/>
  <c r="CO287" i="10"/>
  <c r="CQ287" i="10"/>
  <c r="CR287" i="10"/>
  <c r="CS287" i="10"/>
  <c r="CT287" i="10"/>
  <c r="CV287" i="10"/>
  <c r="CW287" i="10"/>
  <c r="CX287" i="10"/>
  <c r="CY287" i="10"/>
  <c r="DA287" i="10"/>
  <c r="DB287" i="10"/>
  <c r="DC287" i="10"/>
  <c r="DD287" i="10"/>
  <c r="DF287" i="10"/>
  <c r="DG287" i="10"/>
  <c r="DH287" i="10"/>
  <c r="DI287" i="10"/>
  <c r="DK287" i="10"/>
  <c r="DL287" i="10"/>
  <c r="DM287" i="10"/>
  <c r="DN287" i="10"/>
  <c r="BE285" i="10"/>
  <c r="BJ286" i="10"/>
  <c r="BO287" i="10"/>
  <c r="L297" i="10"/>
  <c r="Q297" i="10"/>
  <c r="P297" i="10" s="1"/>
  <c r="V297" i="10"/>
  <c r="T297" i="10" s="1"/>
  <c r="AA297" i="10"/>
  <c r="X297" i="10" s="1"/>
  <c r="AF297" i="10"/>
  <c r="AD297" i="10" s="1"/>
  <c r="AK297" i="10"/>
  <c r="AI297" i="10" s="1"/>
  <c r="AP297" i="10"/>
  <c r="AN297" i="10" s="1"/>
  <c r="AU297" i="10"/>
  <c r="AR297" i="10" s="1"/>
  <c r="AZ297" i="10"/>
  <c r="AV297" i="10" s="1"/>
  <c r="BE297" i="10"/>
  <c r="BD297" i="10" s="1"/>
  <c r="BJ297" i="10"/>
  <c r="BO297" i="10"/>
  <c r="L298" i="10"/>
  <c r="Q298" i="10"/>
  <c r="P298" i="10" s="1"/>
  <c r="V298" i="10"/>
  <c r="T298" i="10" s="1"/>
  <c r="AA298" i="10"/>
  <c r="AF298" i="10"/>
  <c r="AK298" i="10"/>
  <c r="AJ298" i="10" s="1"/>
  <c r="AP298" i="10"/>
  <c r="AN298" i="10" s="1"/>
  <c r="AU298" i="10"/>
  <c r="AR298" i="10" s="1"/>
  <c r="AZ298" i="10"/>
  <c r="AV298" i="10" s="1"/>
  <c r="BE298" i="10"/>
  <c r="BJ298" i="10"/>
  <c r="BH298" i="10" s="1"/>
  <c r="BO298" i="10"/>
  <c r="BL298" i="10" s="1"/>
  <c r="L299" i="10"/>
  <c r="Q299" i="10"/>
  <c r="V299" i="10"/>
  <c r="T299" i="10" s="1"/>
  <c r="AA299" i="10"/>
  <c r="X299" i="10" s="1"/>
  <c r="AF299" i="10"/>
  <c r="AB299" i="10" s="1"/>
  <c r="AK299" i="10"/>
  <c r="AJ299" i="10" s="1"/>
  <c r="AP299" i="10"/>
  <c r="AZ299" i="10"/>
  <c r="AV299" i="10" s="1"/>
  <c r="BE299" i="10"/>
  <c r="BD299" i="10" s="1"/>
  <c r="BJ299" i="10"/>
  <c r="BH299" i="10" s="1"/>
  <c r="BO299" i="10"/>
  <c r="BL299" i="10" s="1"/>
  <c r="L300" i="10"/>
  <c r="Q300" i="10"/>
  <c r="P300" i="10" s="1"/>
  <c r="V300" i="10"/>
  <c r="T300" i="10" s="1"/>
  <c r="AA300" i="10"/>
  <c r="AF300" i="10"/>
  <c r="AE300" i="10" s="1"/>
  <c r="AK300" i="10"/>
  <c r="AJ300" i="10" s="1"/>
  <c r="AP300" i="10"/>
  <c r="AN300" i="10" s="1"/>
  <c r="AU300" i="10"/>
  <c r="AR300" i="10" s="1"/>
  <c r="BE300" i="10"/>
  <c r="BJ300" i="10"/>
  <c r="BH300" i="10" s="1"/>
  <c r="BO300" i="10"/>
  <c r="L301" i="10"/>
  <c r="Q301" i="10"/>
  <c r="O301" i="10" s="1"/>
  <c r="V301" i="10"/>
  <c r="T301" i="10" s="1"/>
  <c r="AA301" i="10"/>
  <c r="X301" i="10" s="1"/>
  <c r="AF301" i="10"/>
  <c r="AB301" i="10" s="1"/>
  <c r="AK301" i="10"/>
  <c r="AJ301" i="10" s="1"/>
  <c r="AP301" i="10"/>
  <c r="AN301" i="10" s="1"/>
  <c r="AZ301" i="10"/>
  <c r="AV301" i="10" s="1"/>
  <c r="BE301" i="10"/>
  <c r="BD301" i="10" s="1"/>
  <c r="BJ301" i="10"/>
  <c r="BH301" i="10" s="1"/>
  <c r="BO301" i="10"/>
  <c r="BL301" i="10" s="1"/>
  <c r="BR297" i="10"/>
  <c r="BS297" i="10"/>
  <c r="BT297" i="10"/>
  <c r="BU297" i="10"/>
  <c r="BW297" i="10"/>
  <c r="BX297" i="10"/>
  <c r="BY297" i="10"/>
  <c r="BZ297" i="10"/>
  <c r="CB297" i="10"/>
  <c r="CC297" i="10"/>
  <c r="CD297" i="10"/>
  <c r="CE297" i="10"/>
  <c r="CG297" i="10"/>
  <c r="CH297" i="10"/>
  <c r="CI297" i="10"/>
  <c r="CJ297" i="10"/>
  <c r="CL297" i="10"/>
  <c r="CM297" i="10"/>
  <c r="CN297" i="10"/>
  <c r="CO297" i="10"/>
  <c r="CQ297" i="10"/>
  <c r="CR297" i="10"/>
  <c r="CS297" i="10"/>
  <c r="CT297" i="10"/>
  <c r="CV297" i="10"/>
  <c r="CW297" i="10"/>
  <c r="CX297" i="10"/>
  <c r="CY297" i="10"/>
  <c r="DA297" i="10"/>
  <c r="DB297" i="10"/>
  <c r="DC297" i="10"/>
  <c r="DD297" i="10"/>
  <c r="DF297" i="10"/>
  <c r="DG297" i="10"/>
  <c r="DH297" i="10"/>
  <c r="DI297" i="10"/>
  <c r="DK297" i="10"/>
  <c r="DL297" i="10"/>
  <c r="DM297" i="10"/>
  <c r="DN297" i="10"/>
  <c r="DP297" i="10"/>
  <c r="DQ297" i="10"/>
  <c r="DR297" i="10"/>
  <c r="DS297" i="10"/>
  <c r="BR298" i="10"/>
  <c r="BS298" i="10"/>
  <c r="BT298" i="10"/>
  <c r="BU298" i="10"/>
  <c r="BW298" i="10"/>
  <c r="BX298" i="10"/>
  <c r="BY298" i="10"/>
  <c r="BZ298" i="10"/>
  <c r="CB298" i="10"/>
  <c r="CC298" i="10"/>
  <c r="CD298" i="10"/>
  <c r="CE298" i="10"/>
  <c r="CG298" i="10"/>
  <c r="CH298" i="10"/>
  <c r="CI298" i="10"/>
  <c r="CJ298" i="10"/>
  <c r="CL298" i="10"/>
  <c r="CM298" i="10"/>
  <c r="CN298" i="10"/>
  <c r="CO298" i="10"/>
  <c r="CQ298" i="10"/>
  <c r="CR298" i="10"/>
  <c r="CS298" i="10"/>
  <c r="CT298" i="10"/>
  <c r="CV298" i="10"/>
  <c r="CW298" i="10"/>
  <c r="CX298" i="10"/>
  <c r="CY298" i="10"/>
  <c r="DA298" i="10"/>
  <c r="DB298" i="10"/>
  <c r="DC298" i="10"/>
  <c r="DD298" i="10"/>
  <c r="DF298" i="10"/>
  <c r="DG298" i="10"/>
  <c r="DH298" i="10"/>
  <c r="DI298" i="10"/>
  <c r="DK298" i="10"/>
  <c r="DL298" i="10"/>
  <c r="DM298" i="10"/>
  <c r="DN298" i="10"/>
  <c r="DP298" i="10"/>
  <c r="DQ298" i="10"/>
  <c r="DR298" i="10"/>
  <c r="DS298" i="10"/>
  <c r="BR299" i="10"/>
  <c r="BS299" i="10"/>
  <c r="BT299" i="10"/>
  <c r="BU299" i="10"/>
  <c r="BW299" i="10"/>
  <c r="BX299" i="10"/>
  <c r="BY299" i="10"/>
  <c r="BZ299" i="10"/>
  <c r="CB299" i="10"/>
  <c r="CC299" i="10"/>
  <c r="CD299" i="10"/>
  <c r="CE299" i="10"/>
  <c r="CG299" i="10"/>
  <c r="CH299" i="10"/>
  <c r="CI299" i="10"/>
  <c r="CJ299" i="10"/>
  <c r="CL299" i="10"/>
  <c r="CM299" i="10"/>
  <c r="CN299" i="10"/>
  <c r="CO299" i="10"/>
  <c r="CQ299" i="10"/>
  <c r="CR299" i="10"/>
  <c r="CS299" i="10"/>
  <c r="CT299" i="10"/>
  <c r="DF299" i="10"/>
  <c r="DG299" i="10"/>
  <c r="DH299" i="10"/>
  <c r="DI299" i="10"/>
  <c r="DK299" i="10"/>
  <c r="DL299" i="10"/>
  <c r="DM299" i="10"/>
  <c r="DN299" i="10"/>
  <c r="DP299" i="10"/>
  <c r="DQ299" i="10"/>
  <c r="DR299" i="10"/>
  <c r="DS299" i="10"/>
  <c r="BR300" i="10"/>
  <c r="BS300" i="10"/>
  <c r="BT300" i="10"/>
  <c r="BU300" i="10"/>
  <c r="BW300" i="10"/>
  <c r="BX300" i="10"/>
  <c r="BY300" i="10"/>
  <c r="BZ300" i="10"/>
  <c r="CB300" i="10"/>
  <c r="CC300" i="10"/>
  <c r="CD300" i="10"/>
  <c r="CE300" i="10"/>
  <c r="CG300" i="10"/>
  <c r="CH300" i="10"/>
  <c r="CI300" i="10"/>
  <c r="CJ300" i="10"/>
  <c r="CL300" i="10"/>
  <c r="CM300" i="10"/>
  <c r="CN300" i="10"/>
  <c r="CO300" i="10"/>
  <c r="CQ300" i="10"/>
  <c r="CR300" i="10"/>
  <c r="CS300" i="10"/>
  <c r="CT300" i="10"/>
  <c r="CV300" i="10"/>
  <c r="CW300" i="10"/>
  <c r="CX300" i="10"/>
  <c r="CY300" i="10"/>
  <c r="DK300" i="10"/>
  <c r="DL300" i="10"/>
  <c r="DM300" i="10"/>
  <c r="DN300" i="10"/>
  <c r="DP300" i="10"/>
  <c r="DQ300" i="10"/>
  <c r="DR300" i="10"/>
  <c r="DS300" i="10"/>
  <c r="BR301" i="10"/>
  <c r="BS301" i="10"/>
  <c r="BS303" i="10" s="1"/>
  <c r="BT301" i="10"/>
  <c r="BU301" i="10"/>
  <c r="BW301" i="10"/>
  <c r="BX301" i="10"/>
  <c r="BY301" i="10"/>
  <c r="BZ301" i="10"/>
  <c r="CB301" i="10"/>
  <c r="CC301" i="10"/>
  <c r="CD301" i="10"/>
  <c r="CE301" i="10"/>
  <c r="CG301" i="10"/>
  <c r="CH301" i="10"/>
  <c r="CI301" i="10"/>
  <c r="CJ301" i="10"/>
  <c r="CL301" i="10"/>
  <c r="CM301" i="10"/>
  <c r="CN301" i="10"/>
  <c r="CN303" i="10" s="1"/>
  <c r="CO301" i="10"/>
  <c r="CQ301" i="10"/>
  <c r="CR301" i="10"/>
  <c r="CS301" i="10"/>
  <c r="CT301" i="10"/>
  <c r="DF301" i="10"/>
  <c r="DG301" i="10"/>
  <c r="DH301" i="10"/>
  <c r="DI301" i="10"/>
  <c r="DK301" i="10"/>
  <c r="DL301" i="10"/>
  <c r="DM301" i="10"/>
  <c r="DN301" i="10"/>
  <c r="DP301" i="10"/>
  <c r="DQ301" i="10"/>
  <c r="DR301" i="10"/>
  <c r="DS301" i="10"/>
  <c r="AZ300" i="10"/>
  <c r="AU301" i="10"/>
  <c r="F303" i="10"/>
  <c r="G303" i="10"/>
  <c r="L306" i="10"/>
  <c r="Q306" i="10"/>
  <c r="P306" i="10" s="1"/>
  <c r="V306" i="10"/>
  <c r="R306" i="10" s="1"/>
  <c r="AA306" i="10"/>
  <c r="X306" i="10" s="1"/>
  <c r="AF306" i="10"/>
  <c r="AB306" i="10" s="1"/>
  <c r="AK306" i="10"/>
  <c r="AJ306" i="10" s="1"/>
  <c r="AP306" i="10"/>
  <c r="AL306" i="10" s="1"/>
  <c r="AU306" i="10"/>
  <c r="AR306" i="10" s="1"/>
  <c r="BE306" i="10"/>
  <c r="BD306" i="10" s="1"/>
  <c r="BJ306" i="10"/>
  <c r="BF306" i="10" s="1"/>
  <c r="BO306" i="10"/>
  <c r="BL306" i="10" s="1"/>
  <c r="L307" i="10"/>
  <c r="Q307" i="10"/>
  <c r="V307" i="10"/>
  <c r="R307" i="10" s="1"/>
  <c r="AA307" i="10"/>
  <c r="X307" i="10" s="1"/>
  <c r="AF307" i="10"/>
  <c r="AB307" i="10" s="1"/>
  <c r="AK307" i="10"/>
  <c r="AP307" i="10"/>
  <c r="AU307" i="10"/>
  <c r="AR307" i="10" s="1"/>
  <c r="AZ307" i="10"/>
  <c r="AV307" i="10" s="1"/>
  <c r="BJ307" i="10"/>
  <c r="BF307" i="10" s="1"/>
  <c r="BO307" i="10"/>
  <c r="BL307" i="10" s="1"/>
  <c r="L308" i="10"/>
  <c r="Q308" i="10"/>
  <c r="P308" i="10" s="1"/>
  <c r="V308" i="10"/>
  <c r="R308" i="10" s="1"/>
  <c r="AA308" i="10"/>
  <c r="X308" i="10" s="1"/>
  <c r="AF308" i="10"/>
  <c r="AB308" i="10" s="1"/>
  <c r="AK308" i="10"/>
  <c r="AJ308" i="10" s="1"/>
  <c r="AP308" i="10"/>
  <c r="AU308" i="10"/>
  <c r="AR308" i="10" s="1"/>
  <c r="AZ308" i="10"/>
  <c r="BE308" i="10"/>
  <c r="BD308" i="10" s="1"/>
  <c r="BO308" i="10"/>
  <c r="BL308" i="10" s="1"/>
  <c r="L309" i="10"/>
  <c r="Q309" i="10"/>
  <c r="P309" i="10" s="1"/>
  <c r="V309" i="10"/>
  <c r="R309" i="10" s="1"/>
  <c r="AA309" i="10"/>
  <c r="X309" i="10" s="1"/>
  <c r="AF309" i="10"/>
  <c r="AB309" i="10" s="1"/>
  <c r="AK309" i="10"/>
  <c r="AJ309" i="10" s="1"/>
  <c r="AP309" i="10"/>
  <c r="AL309" i="10" s="1"/>
  <c r="AU309" i="10"/>
  <c r="AR309" i="10" s="1"/>
  <c r="AZ309" i="10"/>
  <c r="AV309" i="10" s="1"/>
  <c r="BE309" i="10"/>
  <c r="BD309" i="10" s="1"/>
  <c r="BJ309" i="10"/>
  <c r="BF309" i="10" s="1"/>
  <c r="BR306" i="10"/>
  <c r="BS306" i="10"/>
  <c r="BT306" i="10"/>
  <c r="BU306" i="10"/>
  <c r="BW306" i="10"/>
  <c r="BX306" i="10"/>
  <c r="BY306" i="10"/>
  <c r="BZ306" i="10"/>
  <c r="CB306" i="10"/>
  <c r="CC306" i="10"/>
  <c r="CD306" i="10"/>
  <c r="CE306" i="10"/>
  <c r="CG306" i="10"/>
  <c r="CH306" i="10"/>
  <c r="CI306" i="10"/>
  <c r="CJ306" i="10"/>
  <c r="CL306" i="10"/>
  <c r="CM306" i="10"/>
  <c r="CN306" i="10"/>
  <c r="CO306" i="10"/>
  <c r="CQ306" i="10"/>
  <c r="CR306" i="10"/>
  <c r="CS306" i="10"/>
  <c r="CT306" i="10"/>
  <c r="CV306" i="10"/>
  <c r="CW306" i="10"/>
  <c r="CX306" i="10"/>
  <c r="CY306" i="10"/>
  <c r="DK306" i="10"/>
  <c r="DL306" i="10"/>
  <c r="DM306" i="10"/>
  <c r="DN306" i="10"/>
  <c r="DP306" i="10"/>
  <c r="DQ306" i="10"/>
  <c r="DR306" i="10"/>
  <c r="DS306" i="10"/>
  <c r="BR307" i="10"/>
  <c r="BS307" i="10"/>
  <c r="BT307" i="10"/>
  <c r="BU307" i="10"/>
  <c r="BW307" i="10"/>
  <c r="BX307" i="10"/>
  <c r="BY307" i="10"/>
  <c r="BZ307" i="10"/>
  <c r="CB307" i="10"/>
  <c r="CC307" i="10"/>
  <c r="CD307" i="10"/>
  <c r="CE307" i="10"/>
  <c r="CG307" i="10"/>
  <c r="CH307" i="10"/>
  <c r="CI307" i="10"/>
  <c r="CJ307" i="10"/>
  <c r="CL307" i="10"/>
  <c r="CM307" i="10"/>
  <c r="CN307" i="10"/>
  <c r="CO307" i="10"/>
  <c r="CQ307" i="10"/>
  <c r="CR307" i="10"/>
  <c r="CS307" i="10"/>
  <c r="CT307" i="10"/>
  <c r="CV307" i="10"/>
  <c r="CW307" i="10"/>
  <c r="CX307" i="10"/>
  <c r="CY307" i="10"/>
  <c r="DA307" i="10"/>
  <c r="DB307" i="10"/>
  <c r="DC307" i="10"/>
  <c r="DD307" i="10"/>
  <c r="DP307" i="10"/>
  <c r="DQ307" i="10"/>
  <c r="DR307" i="10"/>
  <c r="DS307" i="10"/>
  <c r="BR308" i="10"/>
  <c r="BS308" i="10"/>
  <c r="BT308" i="10"/>
  <c r="BU308" i="10"/>
  <c r="BW308" i="10"/>
  <c r="BX308" i="10"/>
  <c r="BY308" i="10"/>
  <c r="BZ308" i="10"/>
  <c r="CB308" i="10"/>
  <c r="CC308" i="10"/>
  <c r="CD308" i="10"/>
  <c r="CE308" i="10"/>
  <c r="CG308" i="10"/>
  <c r="CH308" i="10"/>
  <c r="CI308" i="10"/>
  <c r="CJ308" i="10"/>
  <c r="CL308" i="10"/>
  <c r="CM308" i="10"/>
  <c r="CN308" i="10"/>
  <c r="CO308" i="10"/>
  <c r="CQ308" i="10"/>
  <c r="CR308" i="10"/>
  <c r="CS308" i="10"/>
  <c r="CT308" i="10"/>
  <c r="CV308" i="10"/>
  <c r="CW308" i="10"/>
  <c r="CX308" i="10"/>
  <c r="CY308" i="10"/>
  <c r="DA308" i="10"/>
  <c r="DB308" i="10"/>
  <c r="DC308" i="10"/>
  <c r="DD308" i="10"/>
  <c r="DF308" i="10"/>
  <c r="DG308" i="10"/>
  <c r="DH308" i="10"/>
  <c r="DI308" i="10"/>
  <c r="BR309" i="10"/>
  <c r="BS309" i="10"/>
  <c r="BT309" i="10"/>
  <c r="BU309" i="10"/>
  <c r="BW309" i="10"/>
  <c r="BX309" i="10"/>
  <c r="BY309" i="10"/>
  <c r="BZ309" i="10"/>
  <c r="CB309" i="10"/>
  <c r="CC309" i="10"/>
  <c r="CC311" i="10" s="1"/>
  <c r="CD309" i="10"/>
  <c r="CD311" i="10" s="1"/>
  <c r="CE309" i="10"/>
  <c r="CG309" i="10"/>
  <c r="CH309" i="10"/>
  <c r="CH311" i="10" s="1"/>
  <c r="CI309" i="10"/>
  <c r="CJ309" i="10"/>
  <c r="CL309" i="10"/>
  <c r="CM309" i="10"/>
  <c r="CN309" i="10"/>
  <c r="CO309" i="10"/>
  <c r="CQ309" i="10"/>
  <c r="CR309" i="10"/>
  <c r="CR311" i="10" s="1"/>
  <c r="CS309" i="10"/>
  <c r="CS311" i="10" s="1"/>
  <c r="CT309" i="10"/>
  <c r="CV309" i="10"/>
  <c r="CW309" i="10"/>
  <c r="CX309" i="10"/>
  <c r="CY309" i="10"/>
  <c r="DA309" i="10"/>
  <c r="DB309" i="10"/>
  <c r="DC309" i="10"/>
  <c r="DD309" i="10"/>
  <c r="DF309" i="10"/>
  <c r="DG309" i="10"/>
  <c r="DH309" i="10"/>
  <c r="DI309" i="10"/>
  <c r="DK309" i="10"/>
  <c r="DL309" i="10"/>
  <c r="DM309" i="10"/>
  <c r="DN309" i="10"/>
  <c r="AZ306" i="10"/>
  <c r="BE307" i="10"/>
  <c r="BJ308" i="10"/>
  <c r="BF308" i="10" s="1"/>
  <c r="BO309" i="10"/>
  <c r="BN309" i="10" s="1"/>
  <c r="E322" i="10"/>
  <c r="F322" i="10"/>
  <c r="G322" i="10"/>
  <c r="L322" i="10"/>
  <c r="M322" i="10"/>
  <c r="N322" i="10"/>
  <c r="O322" i="10"/>
  <c r="P322" i="10"/>
  <c r="Q322" i="10"/>
  <c r="R322" i="10"/>
  <c r="S322" i="10"/>
  <c r="T322" i="10"/>
  <c r="U322" i="10"/>
  <c r="V322" i="10"/>
  <c r="X77" i="66" s="1"/>
  <c r="W322" i="10"/>
  <c r="Y77" i="66" s="1"/>
  <c r="X322" i="10"/>
  <c r="Z77" i="66" s="1"/>
  <c r="Y322" i="10"/>
  <c r="AA77" i="66" s="1"/>
  <c r="Z322" i="10"/>
  <c r="AB77" i="66" s="1"/>
  <c r="AA322" i="10"/>
  <c r="AC77" i="66" s="1"/>
  <c r="AB322" i="10"/>
  <c r="AD77" i="66" s="1"/>
  <c r="AC322" i="10"/>
  <c r="AE77" i="66" s="1"/>
  <c r="AD322" i="10"/>
  <c r="AF77" i="66" s="1"/>
  <c r="AE322" i="10"/>
  <c r="AG77" i="66" s="1"/>
  <c r="AF322" i="10"/>
  <c r="AH77" i="66" s="1"/>
  <c r="AG322" i="10"/>
  <c r="AI77" i="66" s="1"/>
  <c r="AH322" i="10"/>
  <c r="AJ77" i="66" s="1"/>
  <c r="AI322" i="10"/>
  <c r="AK77" i="66" s="1"/>
  <c r="AJ322" i="10"/>
  <c r="AL77" i="66" s="1"/>
  <c r="AK322" i="10"/>
  <c r="AM77" i="66" s="1"/>
  <c r="AL322" i="10"/>
  <c r="AM322" i="10"/>
  <c r="AN322" i="10"/>
  <c r="AO322" i="10"/>
  <c r="AP322" i="10"/>
  <c r="AQ322" i="10"/>
  <c r="AR322" i="10"/>
  <c r="AS322" i="10"/>
  <c r="AT322" i="10"/>
  <c r="AU322" i="10"/>
  <c r="AV322" i="10"/>
  <c r="AW322" i="10"/>
  <c r="AX322" i="10"/>
  <c r="AY322" i="10"/>
  <c r="AZ322" i="10"/>
  <c r="BA322" i="10"/>
  <c r="BB322" i="10"/>
  <c r="BC322" i="10"/>
  <c r="BD322" i="10"/>
  <c r="BE322" i="10"/>
  <c r="BF322" i="10"/>
  <c r="BG322" i="10"/>
  <c r="BH322" i="10"/>
  <c r="BI322" i="10"/>
  <c r="BJ322" i="10"/>
  <c r="BK322" i="10"/>
  <c r="BL322" i="10"/>
  <c r="BM322" i="10"/>
  <c r="BN322" i="10"/>
  <c r="BO322" i="10"/>
  <c r="BQ322" i="10"/>
  <c r="BR322" i="10"/>
  <c r="BS322" i="10"/>
  <c r="BT322" i="10"/>
  <c r="BU322" i="10"/>
  <c r="BV322" i="10"/>
  <c r="BW322" i="10"/>
  <c r="BX322" i="10"/>
  <c r="BY322" i="10"/>
  <c r="BZ322" i="10"/>
  <c r="CA322" i="10"/>
  <c r="CB322" i="10"/>
  <c r="CC322" i="10"/>
  <c r="CD322" i="10"/>
  <c r="CE322" i="10"/>
  <c r="CF322" i="10"/>
  <c r="CG322" i="10"/>
  <c r="CH322" i="10"/>
  <c r="CI322" i="10"/>
  <c r="CJ322" i="10"/>
  <c r="CK322" i="10"/>
  <c r="CL322" i="10"/>
  <c r="CM322" i="10"/>
  <c r="CN322" i="10"/>
  <c r="AK82" i="66" s="1"/>
  <c r="CO322" i="10"/>
  <c r="AL82" i="66" s="1"/>
  <c r="CP322" i="10"/>
  <c r="AM82" i="66" s="1"/>
  <c r="CQ322" i="10"/>
  <c r="CR322" i="10"/>
  <c r="CS322" i="10"/>
  <c r="CT322" i="10"/>
  <c r="CU322" i="10"/>
  <c r="CV322" i="10"/>
  <c r="CW322" i="10"/>
  <c r="CX322" i="10"/>
  <c r="CY322" i="10"/>
  <c r="CZ322" i="10"/>
  <c r="DA322" i="10"/>
  <c r="DB322" i="10"/>
  <c r="DC322" i="10"/>
  <c r="DD322" i="10"/>
  <c r="DE322" i="10"/>
  <c r="DF322" i="10"/>
  <c r="DG322" i="10"/>
  <c r="DH322" i="10"/>
  <c r="DI322" i="10"/>
  <c r="DJ322" i="10"/>
  <c r="DK322" i="10"/>
  <c r="DL322" i="10"/>
  <c r="DM322" i="10"/>
  <c r="DN322" i="10"/>
  <c r="DO322" i="10"/>
  <c r="DP322" i="10"/>
  <c r="DQ322" i="10"/>
  <c r="DR322" i="10"/>
  <c r="DS322" i="10"/>
  <c r="DT322" i="10"/>
  <c r="L325" i="10"/>
  <c r="Q325" i="10"/>
  <c r="O325" i="10" s="1"/>
  <c r="V325" i="10"/>
  <c r="R325" i="10" s="1"/>
  <c r="AA325" i="10"/>
  <c r="W325" i="10" s="1"/>
  <c r="AF325" i="10"/>
  <c r="AE325" i="10" s="1"/>
  <c r="AK325" i="10"/>
  <c r="AI325" i="10" s="1"/>
  <c r="AP325" i="10"/>
  <c r="AL325" i="10" s="1"/>
  <c r="AU325" i="10"/>
  <c r="AQ325" i="10" s="1"/>
  <c r="BE325" i="10"/>
  <c r="BC325" i="10" s="1"/>
  <c r="BJ325" i="10"/>
  <c r="BF325" i="10" s="1"/>
  <c r="BO325" i="10"/>
  <c r="BK325" i="10" s="1"/>
  <c r="L326" i="10"/>
  <c r="Q326" i="10"/>
  <c r="O326" i="10" s="1"/>
  <c r="V326" i="10"/>
  <c r="R326" i="10" s="1"/>
  <c r="AA326" i="10"/>
  <c r="AF326" i="10"/>
  <c r="AE326" i="10" s="1"/>
  <c r="AK326" i="10"/>
  <c r="AI326" i="10" s="1"/>
  <c r="AP326" i="10"/>
  <c r="AL326" i="10" s="1"/>
  <c r="AU326" i="10"/>
  <c r="AQ326" i="10" s="1"/>
  <c r="AZ326" i="10"/>
  <c r="AY326" i="10" s="1"/>
  <c r="BE326" i="10"/>
  <c r="BC326" i="10" s="1"/>
  <c r="BJ326" i="10"/>
  <c r="BF326" i="10" s="1"/>
  <c r="BO326" i="10"/>
  <c r="BK326" i="10" s="1"/>
  <c r="BR325" i="10"/>
  <c r="BS325" i="10"/>
  <c r="BT325" i="10"/>
  <c r="BU325" i="10"/>
  <c r="BW325" i="10"/>
  <c r="BX325" i="10"/>
  <c r="BY325" i="10"/>
  <c r="BZ325" i="10"/>
  <c r="CB325" i="10"/>
  <c r="CC325" i="10"/>
  <c r="CD325" i="10"/>
  <c r="CE325" i="10"/>
  <c r="CG325" i="10"/>
  <c r="CH325" i="10"/>
  <c r="CI325" i="10"/>
  <c r="CJ325" i="10"/>
  <c r="CL325" i="10"/>
  <c r="CM325" i="10"/>
  <c r="CN325" i="10"/>
  <c r="CO325" i="10"/>
  <c r="CQ325" i="10"/>
  <c r="CR325" i="10"/>
  <c r="CS325" i="10"/>
  <c r="CT325" i="10"/>
  <c r="CV325" i="10"/>
  <c r="CW325" i="10"/>
  <c r="CX325" i="10"/>
  <c r="CY325" i="10"/>
  <c r="DK325" i="10"/>
  <c r="DL325" i="10"/>
  <c r="DM325" i="10"/>
  <c r="DN325" i="10"/>
  <c r="DP325" i="10"/>
  <c r="DQ325" i="10"/>
  <c r="DR325" i="10"/>
  <c r="DS325" i="10"/>
  <c r="BR326" i="10"/>
  <c r="BS326" i="10"/>
  <c r="BT326" i="10"/>
  <c r="BT328" i="10" s="1"/>
  <c r="BU326" i="10"/>
  <c r="BW326" i="10"/>
  <c r="BX326" i="10"/>
  <c r="BX328" i="10" s="1"/>
  <c r="BY326" i="10"/>
  <c r="BZ326" i="10"/>
  <c r="CB326" i="10"/>
  <c r="CC326" i="10"/>
  <c r="CD326" i="10"/>
  <c r="CE326" i="10"/>
  <c r="CG326" i="10"/>
  <c r="CH326" i="10"/>
  <c r="CI326" i="10"/>
  <c r="CJ326" i="10"/>
  <c r="CL326" i="10"/>
  <c r="CM326" i="10"/>
  <c r="CN326" i="10"/>
  <c r="CO326" i="10"/>
  <c r="CQ326" i="10"/>
  <c r="CR326" i="10"/>
  <c r="CS326" i="10"/>
  <c r="CT326" i="10"/>
  <c r="CV326" i="10"/>
  <c r="CW326" i="10"/>
  <c r="CX326" i="10"/>
  <c r="CY326" i="10"/>
  <c r="DA326" i="10"/>
  <c r="DB326" i="10"/>
  <c r="DC326" i="10"/>
  <c r="DD326" i="10"/>
  <c r="DF326" i="10"/>
  <c r="DG326" i="10"/>
  <c r="DH326" i="10"/>
  <c r="DI326" i="10"/>
  <c r="DK326" i="10"/>
  <c r="DL326" i="10"/>
  <c r="DM326" i="10"/>
  <c r="DN326" i="10"/>
  <c r="DP326" i="10"/>
  <c r="DQ326" i="10"/>
  <c r="DR326" i="10"/>
  <c r="DS326" i="10"/>
  <c r="AZ325" i="10"/>
  <c r="AY325" i="10" s="1"/>
  <c r="B2" i="9"/>
  <c r="X8" i="9"/>
  <c r="Y8" i="9"/>
  <c r="Z8" i="9"/>
  <c r="AA8" i="9"/>
  <c r="AC8" i="9"/>
  <c r="AD8" i="9"/>
  <c r="AE8" i="9"/>
  <c r="AF8" i="9"/>
  <c r="AH8" i="9"/>
  <c r="AI8" i="9"/>
  <c r="AJ8" i="9"/>
  <c r="AK8" i="9"/>
  <c r="AM8" i="9"/>
  <c r="AN8" i="9"/>
  <c r="AO8" i="9"/>
  <c r="AP8" i="9"/>
  <c r="AR8" i="9"/>
  <c r="AS8" i="9"/>
  <c r="AT8" i="9"/>
  <c r="AU8" i="9"/>
  <c r="AC12" i="9"/>
  <c r="X13" i="9"/>
  <c r="X57" i="9" s="1"/>
  <c r="AC13" i="9"/>
  <c r="AH13" i="9"/>
  <c r="AM13" i="9"/>
  <c r="AN13" i="9"/>
  <c r="AN57" i="9" s="1"/>
  <c r="AO13" i="9"/>
  <c r="AP13" i="9"/>
  <c r="AP57" i="9" s="1"/>
  <c r="AR13" i="9"/>
  <c r="AR57" i="9" s="1"/>
  <c r="AS13" i="9"/>
  <c r="AX57" i="9" s="1"/>
  <c r="AU13" i="9"/>
  <c r="X14" i="9"/>
  <c r="AC14" i="9"/>
  <c r="AH14" i="9"/>
  <c r="AM14" i="9"/>
  <c r="AN14" i="9"/>
  <c r="AO14" i="9"/>
  <c r="AP14" i="9"/>
  <c r="AR14" i="9"/>
  <c r="AS14" i="9"/>
  <c r="BC14" i="9" s="1"/>
  <c r="AT14" i="9"/>
  <c r="AU14" i="9"/>
  <c r="BE14" i="9" s="1"/>
  <c r="BJ14" i="9" s="1"/>
  <c r="BO14" i="9" s="1"/>
  <c r="X28" i="9"/>
  <c r="AC28" i="9"/>
  <c r="AH28" i="9"/>
  <c r="AM28" i="9"/>
  <c r="AN28" i="9"/>
  <c r="AO28" i="9"/>
  <c r="AP28" i="9"/>
  <c r="AR28" i="9"/>
  <c r="AS28" i="9"/>
  <c r="AT28" i="9"/>
  <c r="AU28" i="9"/>
  <c r="X31" i="9"/>
  <c r="Y31" i="9"/>
  <c r="Z31" i="9"/>
  <c r="AA31" i="9"/>
  <c r="AC31" i="9"/>
  <c r="AD31" i="9"/>
  <c r="AE31" i="9"/>
  <c r="AF31" i="9"/>
  <c r="AH31" i="9"/>
  <c r="AI31" i="9"/>
  <c r="AJ31" i="9"/>
  <c r="AK31" i="9"/>
  <c r="AM31" i="9"/>
  <c r="AN31" i="9"/>
  <c r="AO31" i="9"/>
  <c r="AP31" i="9"/>
  <c r="AR31" i="9"/>
  <c r="AS31" i="9"/>
  <c r="AT31" i="9"/>
  <c r="BD31" i="9" s="1"/>
  <c r="BI31" i="9" s="1"/>
  <c r="BN31" i="9" s="1"/>
  <c r="AU31" i="9"/>
  <c r="BE31" i="9"/>
  <c r="BJ31" i="9" s="1"/>
  <c r="BO31" i="9" s="1"/>
  <c r="BO40" i="4" s="1"/>
  <c r="X32" i="9"/>
  <c r="Y32" i="9"/>
  <c r="Z32" i="9"/>
  <c r="AA32" i="9"/>
  <c r="AC32" i="9"/>
  <c r="AD32" i="9"/>
  <c r="AE32" i="9"/>
  <c r="AF32" i="9"/>
  <c r="AH32" i="9"/>
  <c r="AI32" i="9"/>
  <c r="AJ32" i="9"/>
  <c r="AK32" i="9"/>
  <c r="AM32" i="9"/>
  <c r="AN32" i="9"/>
  <c r="AO32" i="9"/>
  <c r="AP32" i="9"/>
  <c r="AR32" i="9"/>
  <c r="AS32" i="9"/>
  <c r="AT32" i="9"/>
  <c r="AU32" i="9"/>
  <c r="X33" i="9"/>
  <c r="Y33" i="9"/>
  <c r="Z33" i="9"/>
  <c r="AA33" i="9"/>
  <c r="AC33" i="9"/>
  <c r="AD33" i="9"/>
  <c r="AE33" i="9"/>
  <c r="AF33" i="9"/>
  <c r="AH33" i="9"/>
  <c r="AI33" i="9"/>
  <c r="AJ33" i="9"/>
  <c r="AK33" i="9"/>
  <c r="AM33" i="9"/>
  <c r="AN33" i="9"/>
  <c r="AO33" i="9"/>
  <c r="AP33" i="9"/>
  <c r="AR33" i="9"/>
  <c r="AS33" i="9"/>
  <c r="AT33" i="9"/>
  <c r="AU33" i="9"/>
  <c r="X34" i="9"/>
  <c r="Y34" i="9"/>
  <c r="Z34" i="9"/>
  <c r="AA34" i="9"/>
  <c r="AC34" i="9"/>
  <c r="AD34" i="9"/>
  <c r="AE34" i="9"/>
  <c r="AF34" i="9"/>
  <c r="AH34" i="9"/>
  <c r="AI34" i="9"/>
  <c r="AJ34" i="9"/>
  <c r="AK34" i="9"/>
  <c r="AM34" i="9"/>
  <c r="AN34" i="9"/>
  <c r="AO34" i="9"/>
  <c r="AP34" i="9"/>
  <c r="AR34" i="9"/>
  <c r="AS34" i="9"/>
  <c r="X35" i="9"/>
  <c r="Y35" i="9"/>
  <c r="Z35" i="9"/>
  <c r="AA35" i="9"/>
  <c r="AC35" i="9"/>
  <c r="AD35" i="9"/>
  <c r="AE35" i="9"/>
  <c r="AF35" i="9"/>
  <c r="AH35" i="9"/>
  <c r="AI35" i="9"/>
  <c r="AJ35" i="9"/>
  <c r="AK35" i="9"/>
  <c r="AM35" i="9"/>
  <c r="AN35" i="9"/>
  <c r="AO35" i="9"/>
  <c r="AP35" i="9"/>
  <c r="AR35" i="9"/>
  <c r="AS35" i="9"/>
  <c r="AT35" i="9"/>
  <c r="AU35" i="9"/>
  <c r="BB32" i="9"/>
  <c r="BB33" i="9"/>
  <c r="BB34" i="9"/>
  <c r="BB35" i="9"/>
  <c r="BG32" i="9"/>
  <c r="BG33" i="9"/>
  <c r="BG34" i="9"/>
  <c r="BG35" i="9"/>
  <c r="BL32" i="9"/>
  <c r="BL33" i="9"/>
  <c r="BL34" i="9"/>
  <c r="BL35" i="9"/>
  <c r="BQ32" i="9"/>
  <c r="BQ33" i="9"/>
  <c r="BQ34" i="9"/>
  <c r="BQ35" i="9"/>
  <c r="AD38" i="9"/>
  <c r="AE38" i="9"/>
  <c r="AF38" i="9"/>
  <c r="AI38" i="9"/>
  <c r="AJ38" i="9"/>
  <c r="AK38" i="9"/>
  <c r="AM38" i="9"/>
  <c r="AN38" i="9"/>
  <c r="X41" i="9"/>
  <c r="Y41" i="9"/>
  <c r="Z41" i="9"/>
  <c r="AA41" i="9"/>
  <c r="AB41" i="9"/>
  <c r="AC41" i="9"/>
  <c r="AD41" i="9"/>
  <c r="AE41" i="9"/>
  <c r="AF41" i="9"/>
  <c r="AG41" i="9"/>
  <c r="AH41" i="9"/>
  <c r="AI41" i="9"/>
  <c r="AJ41" i="9"/>
  <c r="AK41" i="9"/>
  <c r="AL41" i="9"/>
  <c r="AM41" i="9"/>
  <c r="AN41" i="9"/>
  <c r="AO41" i="9"/>
  <c r="AP41" i="9"/>
  <c r="AQ41" i="9"/>
  <c r="AR41" i="9"/>
  <c r="AS41" i="9"/>
  <c r="AT41" i="9"/>
  <c r="AU41" i="9"/>
  <c r="X42" i="9"/>
  <c r="Y42" i="9"/>
  <c r="Z42" i="9"/>
  <c r="AA42" i="9"/>
  <c r="AB42" i="9"/>
  <c r="AC42" i="9"/>
  <c r="AD42" i="9"/>
  <c r="AE42" i="9"/>
  <c r="AF42" i="9"/>
  <c r="AG42" i="9"/>
  <c r="AH42" i="9"/>
  <c r="AI42" i="9"/>
  <c r="AJ42" i="9"/>
  <c r="AK42" i="9"/>
  <c r="AL42" i="9"/>
  <c r="AM42" i="9"/>
  <c r="AN42" i="9"/>
  <c r="AO42" i="9"/>
  <c r="AP42" i="9"/>
  <c r="AQ42" i="9"/>
  <c r="AR42" i="9"/>
  <c r="AS42" i="9"/>
  <c r="AT42" i="9"/>
  <c r="AU42" i="9"/>
  <c r="AH57" i="9"/>
  <c r="AM57" i="9"/>
  <c r="AU57" i="9"/>
  <c r="BB61" i="9"/>
  <c r="AY61" i="9" s="1"/>
  <c r="BG61" i="9"/>
  <c r="BC61" i="9" s="1"/>
  <c r="BC98" i="4" s="1"/>
  <c r="BL61" i="9"/>
  <c r="BK61" i="9" s="1"/>
  <c r="BB65" i="9"/>
  <c r="B2" i="47"/>
  <c r="AL8" i="47"/>
  <c r="AL107" i="47" s="1"/>
  <c r="AB8" i="47"/>
  <c r="AB9" i="47"/>
  <c r="AG8" i="47"/>
  <c r="AG9" i="47"/>
  <c r="AM9" i="47"/>
  <c r="AL9" i="47" s="1"/>
  <c r="AL159" i="47" s="1"/>
  <c r="AL157" i="47" s="1"/>
  <c r="AQ8" i="47"/>
  <c r="AQ107" i="47" s="1"/>
  <c r="AQ9" i="47"/>
  <c r="X10" i="47"/>
  <c r="Y10" i="47"/>
  <c r="Z10" i="47"/>
  <c r="AA10" i="47"/>
  <c r="AC10" i="47"/>
  <c r="AD10" i="47"/>
  <c r="AE10" i="47"/>
  <c r="AF10" i="47"/>
  <c r="AH10" i="47"/>
  <c r="AI10" i="47"/>
  <c r="AJ10" i="47"/>
  <c r="AK10" i="47"/>
  <c r="AN10" i="47"/>
  <c r="AO10" i="47"/>
  <c r="AP10" i="47"/>
  <c r="AR10" i="47"/>
  <c r="AS10" i="47"/>
  <c r="AT10" i="47"/>
  <c r="AU10" i="47"/>
  <c r="AT13" i="47"/>
  <c r="AT15" i="47" s="1"/>
  <c r="AT17" i="47" s="1"/>
  <c r="AB12" i="47"/>
  <c r="AB289" i="47" s="1"/>
  <c r="AB290" i="47" s="1"/>
  <c r="AB13" i="47"/>
  <c r="AB14" i="47"/>
  <c r="AB298" i="47" s="1"/>
  <c r="AG12" i="47"/>
  <c r="AG13" i="47"/>
  <c r="AG341" i="47" s="1"/>
  <c r="AG315" i="47" s="1"/>
  <c r="AG316" i="47" s="1"/>
  <c r="AG14" i="47"/>
  <c r="AL12" i="47"/>
  <c r="AL289" i="47" s="1"/>
  <c r="AL290" i="47" s="1"/>
  <c r="AL13" i="47"/>
  <c r="AL14" i="47"/>
  <c r="AL298" i="47" s="1"/>
  <c r="AQ12" i="47"/>
  <c r="AQ13" i="47"/>
  <c r="AQ14" i="47"/>
  <c r="X15" i="47"/>
  <c r="X17" i="47" s="1"/>
  <c r="Y15" i="47"/>
  <c r="Y17" i="47" s="1"/>
  <c r="Z15" i="47"/>
  <c r="Z17" i="47" s="1"/>
  <c r="AA15" i="47"/>
  <c r="AC15" i="47"/>
  <c r="AC17" i="47" s="1"/>
  <c r="AD15" i="47"/>
  <c r="AD17" i="47" s="1"/>
  <c r="AE15" i="47"/>
  <c r="AF15" i="47"/>
  <c r="AF17" i="47" s="1"/>
  <c r="AH15" i="47"/>
  <c r="AH17" i="47" s="1"/>
  <c r="AI15" i="47"/>
  <c r="AJ15" i="47"/>
  <c r="AK15" i="47"/>
  <c r="AK17" i="47" s="1"/>
  <c r="AM15" i="47"/>
  <c r="AM17" i="47" s="1"/>
  <c r="AN15" i="47"/>
  <c r="AN17" i="47" s="1"/>
  <c r="AO15" i="47"/>
  <c r="AP15" i="47"/>
  <c r="AP17" i="47" s="1"/>
  <c r="AR15" i="47"/>
  <c r="AR17" i="47" s="1"/>
  <c r="AS15" i="47"/>
  <c r="AS17" i="47" s="1"/>
  <c r="AS17" i="4" s="1"/>
  <c r="AU15" i="47"/>
  <c r="AU17" i="47" s="1"/>
  <c r="AA17" i="47"/>
  <c r="AE17" i="47"/>
  <c r="AI17" i="47"/>
  <c r="AJ17" i="47"/>
  <c r="AO17" i="47"/>
  <c r="AB19" i="47"/>
  <c r="AB20" i="47" s="1"/>
  <c r="AG19" i="47"/>
  <c r="AL19" i="47"/>
  <c r="AP19" i="47"/>
  <c r="AP20" i="47" s="1"/>
  <c r="AS19" i="47"/>
  <c r="AS20" i="47" s="1"/>
  <c r="AT19" i="47"/>
  <c r="BE19" i="47"/>
  <c r="BC19" i="47"/>
  <c r="BH19" i="47" s="1"/>
  <c r="BH20" i="47" s="1"/>
  <c r="X20" i="47"/>
  <c r="Y20" i="47"/>
  <c r="Z20" i="47"/>
  <c r="AA20" i="47"/>
  <c r="AC20" i="47"/>
  <c r="AD20" i="47"/>
  <c r="AE20" i="47"/>
  <c r="AF20" i="47"/>
  <c r="AG20" i="47"/>
  <c r="AH20" i="47"/>
  <c r="AI20" i="47"/>
  <c r="AJ20" i="47"/>
  <c r="AK20" i="47"/>
  <c r="AL20" i="47"/>
  <c r="AM20" i="47"/>
  <c r="AN20" i="47"/>
  <c r="AO20" i="47"/>
  <c r="AO22" i="47" s="1"/>
  <c r="AR20" i="47"/>
  <c r="AU20" i="47"/>
  <c r="AM25" i="47"/>
  <c r="AL25" i="47" s="1"/>
  <c r="AL27" i="47" s="1"/>
  <c r="AN25" i="47"/>
  <c r="AN27" i="47" s="1"/>
  <c r="AR25" i="47"/>
  <c r="AY25" i="47"/>
  <c r="AZ25" i="47"/>
  <c r="BA25" i="47"/>
  <c r="BC25" i="47"/>
  <c r="BD25" i="47"/>
  <c r="BE25" i="47"/>
  <c r="BF25" i="47"/>
  <c r="BK25" i="47" s="1"/>
  <c r="BP25" i="47" s="1"/>
  <c r="BH25" i="47"/>
  <c r="BM25" i="47" s="1"/>
  <c r="BI25" i="47"/>
  <c r="BJ25" i="47"/>
  <c r="BO25" i="47" s="1"/>
  <c r="AB25" i="47"/>
  <c r="AB26" i="47"/>
  <c r="AG25" i="47"/>
  <c r="AG26" i="47"/>
  <c r="AL26" i="47"/>
  <c r="AQ26" i="47"/>
  <c r="AT390" i="47" s="1"/>
  <c r="X27" i="47"/>
  <c r="Y27" i="47"/>
  <c r="Z27" i="47"/>
  <c r="AA27" i="47"/>
  <c r="AC27" i="47"/>
  <c r="AD27" i="47"/>
  <c r="AE27" i="47"/>
  <c r="AF27" i="47"/>
  <c r="AH27" i="47"/>
  <c r="AI27" i="47"/>
  <c r="AJ27" i="47"/>
  <c r="AK27" i="47"/>
  <c r="AO27" i="47"/>
  <c r="AP27" i="47"/>
  <c r="AS27" i="47"/>
  <c r="AT27" i="47"/>
  <c r="AU27" i="47"/>
  <c r="AB31" i="47"/>
  <c r="AG31" i="47"/>
  <c r="AL31" i="47"/>
  <c r="AQ31" i="47"/>
  <c r="AT34" i="47"/>
  <c r="AV34" i="47" s="1"/>
  <c r="AV34" i="9" s="1"/>
  <c r="AV37" i="9" s="1"/>
  <c r="AU34" i="47"/>
  <c r="AX34" i="47"/>
  <c r="BC34" i="47" s="1"/>
  <c r="AB34" i="47"/>
  <c r="AG34" i="47"/>
  <c r="AL34" i="47"/>
  <c r="AQ34" i="47"/>
  <c r="AB37" i="47"/>
  <c r="AC37" i="47"/>
  <c r="AH37" i="47"/>
  <c r="AG37" i="47" s="1"/>
  <c r="AL37" i="47"/>
  <c r="AP37" i="47"/>
  <c r="AR37" i="47"/>
  <c r="AS37" i="47"/>
  <c r="AT37" i="47"/>
  <c r="AU37" i="47"/>
  <c r="BB37" i="47"/>
  <c r="BG37" i="47"/>
  <c r="BL37" i="47"/>
  <c r="BQ37" i="47"/>
  <c r="X40" i="47"/>
  <c r="Y40" i="47"/>
  <c r="Z40" i="47"/>
  <c r="AA40" i="47"/>
  <c r="AB40" i="47"/>
  <c r="AC40" i="47"/>
  <c r="AD40" i="47"/>
  <c r="AE40" i="47"/>
  <c r="AF40" i="47"/>
  <c r="AG40" i="47"/>
  <c r="AH40" i="47"/>
  <c r="AI40" i="47"/>
  <c r="AJ40" i="47"/>
  <c r="AK40" i="47"/>
  <c r="AL40" i="47"/>
  <c r="AM40" i="47"/>
  <c r="AN40" i="47"/>
  <c r="AO40" i="47"/>
  <c r="AP40" i="47"/>
  <c r="AQ40" i="47"/>
  <c r="AR40" i="47"/>
  <c r="AS40" i="47"/>
  <c r="AT40" i="47"/>
  <c r="AU40" i="47"/>
  <c r="X41" i="47"/>
  <c r="Y41" i="47"/>
  <c r="Z41" i="47"/>
  <c r="AA41" i="47"/>
  <c r="AB41" i="47"/>
  <c r="AC41" i="47"/>
  <c r="AD41" i="47"/>
  <c r="AE41" i="47"/>
  <c r="AF41" i="47"/>
  <c r="AG41" i="47"/>
  <c r="AH41" i="47"/>
  <c r="AI41" i="47"/>
  <c r="AJ41" i="47"/>
  <c r="AK41" i="47"/>
  <c r="AL41" i="47"/>
  <c r="AM41" i="47"/>
  <c r="AN41" i="47"/>
  <c r="AO41" i="47"/>
  <c r="AP41" i="47"/>
  <c r="AQ41" i="47"/>
  <c r="AR41" i="47"/>
  <c r="AS41" i="47"/>
  <c r="AT41" i="47"/>
  <c r="AU41" i="47"/>
  <c r="X52" i="47"/>
  <c r="Y52" i="47"/>
  <c r="Z52" i="47"/>
  <c r="AA52" i="47"/>
  <c r="AB52" i="47"/>
  <c r="AD52" i="47"/>
  <c r="AE52" i="47"/>
  <c r="AF52" i="47"/>
  <c r="AG52" i="47"/>
  <c r="AI52" i="47"/>
  <c r="AJ52" i="47"/>
  <c r="AK52" i="47"/>
  <c r="AL52" i="47"/>
  <c r="AN52" i="47"/>
  <c r="AO52" i="47"/>
  <c r="AP52" i="47"/>
  <c r="AQ52" i="47"/>
  <c r="AS52" i="47"/>
  <c r="AT52" i="47"/>
  <c r="AU52" i="47"/>
  <c r="AX52" i="47"/>
  <c r="AY52" i="47"/>
  <c r="AZ52" i="47"/>
  <c r="BA52" i="47"/>
  <c r="BC52" i="47"/>
  <c r="BD52" i="47"/>
  <c r="BE52" i="47"/>
  <c r="BF52" i="47"/>
  <c r="BH52" i="47"/>
  <c r="BI52" i="47"/>
  <c r="BK52" i="47"/>
  <c r="AB54" i="47"/>
  <c r="AA54" i="47" s="1"/>
  <c r="Z54" i="47" s="1"/>
  <c r="Y54" i="47" s="1"/>
  <c r="AG54" i="47"/>
  <c r="AF54" i="47" s="1"/>
  <c r="AE54" i="47" s="1"/>
  <c r="AD54" i="47" s="1"/>
  <c r="AL54" i="47"/>
  <c r="AK54" i="47" s="1"/>
  <c r="AJ54" i="47" s="1"/>
  <c r="AI54" i="47" s="1"/>
  <c r="AQ54" i="47"/>
  <c r="AP54" i="47" s="1"/>
  <c r="AO54" i="47" s="1"/>
  <c r="AN54" i="47" s="1"/>
  <c r="AQ55" i="47"/>
  <c r="AP55" i="47" s="1"/>
  <c r="AO55" i="47" s="1"/>
  <c r="AN55" i="47" s="1"/>
  <c r="AU54" i="47"/>
  <c r="AT54" i="47" s="1"/>
  <c r="AS54" i="47" s="1"/>
  <c r="AU55" i="47"/>
  <c r="AT55" i="47" s="1"/>
  <c r="AS55" i="47" s="1"/>
  <c r="BA54" i="47"/>
  <c r="AZ54" i="47" s="1"/>
  <c r="AY54" i="47" s="1"/>
  <c r="AX54" i="47" s="1"/>
  <c r="BA55" i="47"/>
  <c r="AZ55" i="47" s="1"/>
  <c r="AY55" i="47" s="1"/>
  <c r="AX55" i="47" s="1"/>
  <c r="BF54" i="47"/>
  <c r="BE54" i="47" s="1"/>
  <c r="BD54" i="47" s="1"/>
  <c r="BC54" i="47" s="1"/>
  <c r="BF55" i="47"/>
  <c r="BE55" i="47" s="1"/>
  <c r="BD55" i="47" s="1"/>
  <c r="BC55" i="47" s="1"/>
  <c r="BK54" i="47"/>
  <c r="BJ54" i="47" s="1"/>
  <c r="BI54" i="47" s="1"/>
  <c r="BH54" i="47" s="1"/>
  <c r="BK55" i="47"/>
  <c r="BJ55" i="47" s="1"/>
  <c r="BI55" i="47" s="1"/>
  <c r="BH55" i="47" s="1"/>
  <c r="BP54" i="47"/>
  <c r="BO54" i="47" s="1"/>
  <c r="BN54" i="47" s="1"/>
  <c r="BM54" i="47" s="1"/>
  <c r="BP55" i="47"/>
  <c r="BO55" i="47" s="1"/>
  <c r="BN55" i="47" s="1"/>
  <c r="BM55" i="47" s="1"/>
  <c r="BU54" i="47"/>
  <c r="BQ52" i="47" s="1"/>
  <c r="BP52" i="47" s="1"/>
  <c r="BO52" i="47" s="1"/>
  <c r="BN52" i="47" s="1"/>
  <c r="BM52" i="47" s="1"/>
  <c r="Y58" i="47"/>
  <c r="AA58" i="47"/>
  <c r="AB58" i="47"/>
  <c r="AD58" i="47"/>
  <c r="AF58" i="47"/>
  <c r="AG58" i="47"/>
  <c r="AI58" i="47"/>
  <c r="AK58" i="47"/>
  <c r="AL58" i="47"/>
  <c r="AN58" i="47"/>
  <c r="AP58" i="47"/>
  <c r="AQ58" i="47"/>
  <c r="AS58" i="47"/>
  <c r="AU58" i="47"/>
  <c r="AX58" i="47"/>
  <c r="AZ58" i="47"/>
  <c r="BA58" i="47"/>
  <c r="BC58" i="47"/>
  <c r="BE58" i="47"/>
  <c r="BF58" i="47"/>
  <c r="BH58" i="47"/>
  <c r="BJ58" i="47"/>
  <c r="BK58" i="47"/>
  <c r="Y66" i="47"/>
  <c r="AA66" i="47"/>
  <c r="AB66" i="47"/>
  <c r="AD66" i="47"/>
  <c r="AF66" i="47"/>
  <c r="AG66" i="47"/>
  <c r="AI66" i="47"/>
  <c r="AK66" i="47"/>
  <c r="AL66" i="47"/>
  <c r="AN66" i="47"/>
  <c r="AP66" i="47"/>
  <c r="AQ66" i="47"/>
  <c r="AS66" i="47"/>
  <c r="AU66" i="47"/>
  <c r="AX66" i="47"/>
  <c r="AZ66" i="47"/>
  <c r="BA66" i="47"/>
  <c r="BC66" i="47"/>
  <c r="BE66" i="47"/>
  <c r="BF66" i="47"/>
  <c r="BH66" i="47"/>
  <c r="BJ66" i="47"/>
  <c r="BK66" i="47"/>
  <c r="Y67" i="47"/>
  <c r="AA67" i="47"/>
  <c r="AB67" i="47"/>
  <c r="AD67" i="47"/>
  <c r="AF67" i="47"/>
  <c r="AG67" i="47"/>
  <c r="AI67" i="47"/>
  <c r="AK67" i="47"/>
  <c r="AL67" i="47"/>
  <c r="AN67" i="47"/>
  <c r="AP67" i="47"/>
  <c r="AQ67" i="47"/>
  <c r="AS67" i="47"/>
  <c r="AU67" i="47"/>
  <c r="BC67" i="47"/>
  <c r="BE67" i="47"/>
  <c r="BF67" i="47"/>
  <c r="BH67" i="47"/>
  <c r="BJ67" i="47"/>
  <c r="BK67" i="47"/>
  <c r="Y70" i="47"/>
  <c r="Y135" i="47" s="1"/>
  <c r="AA70" i="47"/>
  <c r="BW106" i="47" s="1"/>
  <c r="AB70" i="47"/>
  <c r="AB230" i="47" s="1"/>
  <c r="AD70" i="47"/>
  <c r="AD135" i="47" s="1"/>
  <c r="AF70" i="47"/>
  <c r="BX106" i="47" s="1"/>
  <c r="AG70" i="47"/>
  <c r="AG135" i="47" s="1"/>
  <c r="AI70" i="47"/>
  <c r="AI135" i="47" s="1"/>
  <c r="AK70" i="47"/>
  <c r="AK135" i="47" s="1"/>
  <c r="AL70" i="47"/>
  <c r="AL135" i="47" s="1"/>
  <c r="AN70" i="47"/>
  <c r="AN135" i="47" s="1"/>
  <c r="AP70" i="47"/>
  <c r="AP135" i="47" s="1"/>
  <c r="AQ70" i="47"/>
  <c r="AQ135" i="47" s="1"/>
  <c r="AS70" i="47"/>
  <c r="AS135" i="47" s="1"/>
  <c r="AU70" i="47"/>
  <c r="AU135" i="47" s="1"/>
  <c r="AV135" i="47"/>
  <c r="AX70" i="47"/>
  <c r="AZ70" i="47"/>
  <c r="AZ135" i="47" s="1"/>
  <c r="BA70" i="47"/>
  <c r="BA135" i="47" s="1"/>
  <c r="BC70" i="47"/>
  <c r="BC135" i="47" s="1"/>
  <c r="BE70" i="47"/>
  <c r="BE135" i="47" s="1"/>
  <c r="BF70" i="47"/>
  <c r="BH70" i="47"/>
  <c r="BH230" i="47" s="1"/>
  <c r="BJ70" i="47"/>
  <c r="BJ135" i="47" s="1"/>
  <c r="BK70" i="47"/>
  <c r="BQ70" i="47"/>
  <c r="BP70" i="47" s="1"/>
  <c r="BO70" i="47" s="1"/>
  <c r="BN70" i="47" s="1"/>
  <c r="BM70" i="47" s="1"/>
  <c r="BM135" i="47" s="1"/>
  <c r="X73" i="47"/>
  <c r="Y73" i="47"/>
  <c r="Z73" i="47"/>
  <c r="AA73" i="47"/>
  <c r="AB73" i="47"/>
  <c r="AD73" i="47"/>
  <c r="AE73" i="47"/>
  <c r="AF73" i="47"/>
  <c r="AG73" i="47"/>
  <c r="AI73" i="47"/>
  <c r="AJ73" i="47"/>
  <c r="AK73" i="47"/>
  <c r="AL73" i="47"/>
  <c r="AN73" i="47"/>
  <c r="AO73" i="47"/>
  <c r="AP73" i="47"/>
  <c r="AQ73" i="47"/>
  <c r="AS73" i="47"/>
  <c r="AT73" i="47"/>
  <c r="AU73" i="47"/>
  <c r="AX73" i="47"/>
  <c r="AY73" i="47"/>
  <c r="AZ73" i="47"/>
  <c r="BA73" i="47"/>
  <c r="BC73" i="47"/>
  <c r="BD73" i="47"/>
  <c r="BE73" i="47"/>
  <c r="BF73" i="47"/>
  <c r="BH73" i="47"/>
  <c r="BI73" i="47"/>
  <c r="BJ73" i="47"/>
  <c r="BK73" i="47"/>
  <c r="BM73" i="47"/>
  <c r="BN73" i="47"/>
  <c r="BO73" i="47"/>
  <c r="BP73" i="47"/>
  <c r="Y74" i="47"/>
  <c r="AA74" i="47"/>
  <c r="AB74" i="47"/>
  <c r="AB75" i="47" s="1"/>
  <c r="AD74" i="47"/>
  <c r="AF74" i="47"/>
  <c r="AG74" i="47"/>
  <c r="AI74" i="47"/>
  <c r="AK74" i="47"/>
  <c r="AL74" i="47"/>
  <c r="AL75" i="47" s="1"/>
  <c r="AN74" i="47"/>
  <c r="AP74" i="47"/>
  <c r="AQ74" i="47"/>
  <c r="AQ75" i="47" s="1"/>
  <c r="AS74" i="47"/>
  <c r="AU74" i="47"/>
  <c r="AX74" i="47"/>
  <c r="AY74" i="47"/>
  <c r="AZ74" i="47"/>
  <c r="BA74" i="47"/>
  <c r="BC74" i="47"/>
  <c r="BD74" i="47"/>
  <c r="BE74" i="47"/>
  <c r="BF74" i="47"/>
  <c r="BF75" i="47" s="1"/>
  <c r="BH74" i="47"/>
  <c r="BI74" i="47"/>
  <c r="BI75" i="47" s="1"/>
  <c r="BJ74" i="47"/>
  <c r="BK74" i="47"/>
  <c r="BK75" i="47" s="1"/>
  <c r="BM74" i="47"/>
  <c r="BM75" i="47" s="1"/>
  <c r="BN74" i="47"/>
  <c r="BO74" i="47"/>
  <c r="BP74" i="47"/>
  <c r="BA75" i="47"/>
  <c r="BA207" i="47" s="1"/>
  <c r="BL78" i="47"/>
  <c r="BQ78" i="47"/>
  <c r="BP78" i="47" s="1"/>
  <c r="BP79" i="47" s="1"/>
  <c r="AB88" i="47"/>
  <c r="AB89" i="47"/>
  <c r="AB90" i="47"/>
  <c r="AB91" i="47"/>
  <c r="AG88" i="47"/>
  <c r="AG89" i="47"/>
  <c r="AG90" i="47"/>
  <c r="AG91" i="47"/>
  <c r="AL88" i="47"/>
  <c r="AL89" i="47"/>
  <c r="AL90" i="47"/>
  <c r="AL91" i="47"/>
  <c r="AQ88" i="47"/>
  <c r="AQ89" i="47"/>
  <c r="AQ90" i="47"/>
  <c r="AQ91" i="47"/>
  <c r="X92" i="47"/>
  <c r="Y92" i="47"/>
  <c r="Y141" i="47" s="1"/>
  <c r="Z92" i="47"/>
  <c r="Z114" i="47" s="1"/>
  <c r="AA92" i="47"/>
  <c r="AA114" i="47" s="1"/>
  <c r="AC92" i="47"/>
  <c r="AC94" i="47" s="1"/>
  <c r="AD92" i="47"/>
  <c r="AE92" i="47"/>
  <c r="AF92" i="47"/>
  <c r="AF141" i="47" s="1"/>
  <c r="AH92" i="47"/>
  <c r="AI92" i="47"/>
  <c r="AJ92" i="47"/>
  <c r="AK92" i="47"/>
  <c r="AK141" i="47" s="1"/>
  <c r="AM92" i="47"/>
  <c r="AN92" i="47"/>
  <c r="AO92" i="47"/>
  <c r="AP92" i="47"/>
  <c r="AR92" i="47"/>
  <c r="AS92" i="47"/>
  <c r="AX92" i="47" s="1"/>
  <c r="AT92" i="47"/>
  <c r="AU92" i="47"/>
  <c r="AZ92" i="47" s="1"/>
  <c r="BC94" i="47"/>
  <c r="BH94" i="47" s="1"/>
  <c r="BD94" i="47"/>
  <c r="BI94" i="47" s="1"/>
  <c r="BN94" i="47" s="1"/>
  <c r="BE94" i="47"/>
  <c r="BJ94" i="47" s="1"/>
  <c r="BO94" i="47" s="1"/>
  <c r="BF94" i="47"/>
  <c r="BK94" i="47" s="1"/>
  <c r="BP94" i="47" s="1"/>
  <c r="BM94" i="47"/>
  <c r="BA97" i="47"/>
  <c r="AZ97" i="47" s="1"/>
  <c r="AY97" i="47" s="1"/>
  <c r="AX97" i="47" s="1"/>
  <c r="BF97" i="47"/>
  <c r="BE97" i="47" s="1"/>
  <c r="BD97" i="47" s="1"/>
  <c r="BC97" i="47" s="1"/>
  <c r="BK97" i="47"/>
  <c r="BJ97" i="47" s="1"/>
  <c r="BI97" i="47" s="1"/>
  <c r="BH97" i="47" s="1"/>
  <c r="BP97" i="47"/>
  <c r="BO97" i="47" s="1"/>
  <c r="BN97" i="47" s="1"/>
  <c r="BM97" i="47" s="1"/>
  <c r="X107" i="47"/>
  <c r="Y107" i="47"/>
  <c r="Z107" i="47"/>
  <c r="AA107" i="47"/>
  <c r="AB107" i="47"/>
  <c r="AC107" i="47"/>
  <c r="AD107" i="47"/>
  <c r="AE107" i="47"/>
  <c r="AF107" i="47"/>
  <c r="AG107" i="47"/>
  <c r="AH107" i="47"/>
  <c r="AI107" i="47"/>
  <c r="AJ107" i="47"/>
  <c r="AK107" i="47"/>
  <c r="AM107" i="47"/>
  <c r="AR107" i="47"/>
  <c r="BV106" i="47"/>
  <c r="BV107" i="47"/>
  <c r="BW107" i="47" s="1"/>
  <c r="BX107" i="47" s="1"/>
  <c r="AC111" i="47"/>
  <c r="AD111" i="47"/>
  <c r="AE111" i="47"/>
  <c r="AE114" i="47" s="1"/>
  <c r="AF111" i="47"/>
  <c r="AG111" i="47" s="1"/>
  <c r="AC113" i="47"/>
  <c r="AH113" i="47" s="1"/>
  <c r="AG113" i="47" s="1"/>
  <c r="AF113" i="47" s="1"/>
  <c r="AP113" i="47"/>
  <c r="AO113" i="47" s="1"/>
  <c r="AN113" i="47" s="1"/>
  <c r="X114" i="47"/>
  <c r="X115" i="47" s="1"/>
  <c r="Y114" i="47"/>
  <c r="AF114" i="47"/>
  <c r="AC119" i="47"/>
  <c r="AK119" i="47"/>
  <c r="AJ119" i="47" s="1"/>
  <c r="AI119" i="47" s="1"/>
  <c r="AL119" i="47"/>
  <c r="AQ119" i="47"/>
  <c r="AP119" i="47" s="1"/>
  <c r="AO119" i="47" s="1"/>
  <c r="AN119" i="47" s="1"/>
  <c r="AC120" i="47"/>
  <c r="X121" i="47"/>
  <c r="AX135" i="47"/>
  <c r="BF135" i="47"/>
  <c r="BK135" i="47"/>
  <c r="Y136" i="47"/>
  <c r="AB136" i="47"/>
  <c r="AA136" i="47" s="1"/>
  <c r="Z136" i="47" s="1"/>
  <c r="AG136" i="47"/>
  <c r="AF136" i="47" s="1"/>
  <c r="AM136" i="47"/>
  <c r="AP136" i="47"/>
  <c r="AO136" i="47" s="1"/>
  <c r="AN136" i="47" s="1"/>
  <c r="AV136" i="47"/>
  <c r="AU136" i="47" s="1"/>
  <c r="AT136" i="47" s="1"/>
  <c r="AS136" i="47" s="1"/>
  <c r="BA136" i="47"/>
  <c r="AZ136" i="47" s="1"/>
  <c r="AY136" i="47" s="1"/>
  <c r="AX136" i="47" s="1"/>
  <c r="BF136" i="47"/>
  <c r="BE136" i="47" s="1"/>
  <c r="BD136" i="47" s="1"/>
  <c r="BC136" i="47" s="1"/>
  <c r="BK136" i="47"/>
  <c r="BJ136" i="47" s="1"/>
  <c r="BI136" i="47" s="1"/>
  <c r="BH136" i="47" s="1"/>
  <c r="BP136" i="47"/>
  <c r="BO136" i="47" s="1"/>
  <c r="BN136" i="47" s="1"/>
  <c r="BM136" i="47" s="1"/>
  <c r="Y138" i="47"/>
  <c r="AL142" i="47"/>
  <c r="Z142" i="47"/>
  <c r="Z141" i="47" s="1"/>
  <c r="AG142" i="47"/>
  <c r="AP145" i="47"/>
  <c r="AR145" i="47" s="1"/>
  <c r="AS145" i="47"/>
  <c r="AT145" i="47" s="1"/>
  <c r="AV145" i="47"/>
  <c r="AC145" i="47"/>
  <c r="AC146" i="47"/>
  <c r="AH145" i="47"/>
  <c r="AH146" i="47"/>
  <c r="AM145" i="47"/>
  <c r="AM146" i="47"/>
  <c r="AO146" i="47"/>
  <c r="AP146" i="47" s="1"/>
  <c r="AS146" i="47"/>
  <c r="AU146" i="47"/>
  <c r="AU147" i="47" s="1"/>
  <c r="BA146" i="47"/>
  <c r="BA147" i="47" s="1"/>
  <c r="BG145" i="47"/>
  <c r="BG146" i="47"/>
  <c r="BL145" i="47"/>
  <c r="BL146" i="47"/>
  <c r="BQ145" i="47"/>
  <c r="BQ146" i="47"/>
  <c r="Y147" i="47"/>
  <c r="Z147" i="47"/>
  <c r="AA147" i="47"/>
  <c r="AB147" i="47"/>
  <c r="AD147" i="47"/>
  <c r="AE147" i="47"/>
  <c r="AF147" i="47"/>
  <c r="AG147" i="47"/>
  <c r="AI147" i="47"/>
  <c r="AJ147" i="47"/>
  <c r="AK147" i="47"/>
  <c r="AL147" i="47"/>
  <c r="AN147" i="47"/>
  <c r="AQ147" i="47"/>
  <c r="AZ147" i="47"/>
  <c r="BC147" i="47"/>
  <c r="BD147" i="47"/>
  <c r="BE147" i="47"/>
  <c r="BF147" i="47"/>
  <c r="BH147" i="47"/>
  <c r="BI147" i="47"/>
  <c r="BJ147" i="47"/>
  <c r="BK147" i="47"/>
  <c r="BM147" i="47"/>
  <c r="BN147" i="47"/>
  <c r="BO147" i="47"/>
  <c r="BP147" i="47"/>
  <c r="X159" i="47"/>
  <c r="Y159" i="47"/>
  <c r="Y157" i="47" s="1"/>
  <c r="Z159" i="47"/>
  <c r="Z157" i="47" s="1"/>
  <c r="AA159" i="47"/>
  <c r="AA157" i="47" s="1"/>
  <c r="AD159" i="47"/>
  <c r="AD157" i="47" s="1"/>
  <c r="AE159" i="47"/>
  <c r="AF159" i="47"/>
  <c r="AF157" i="47" s="1"/>
  <c r="AI159" i="47"/>
  <c r="AI157" i="47" s="1"/>
  <c r="AJ159" i="47"/>
  <c r="AJ157" i="47" s="1"/>
  <c r="AK159" i="47"/>
  <c r="AK157" i="47" s="1"/>
  <c r="AQ159" i="47"/>
  <c r="AQ157" i="47" s="1"/>
  <c r="AC163" i="47"/>
  <c r="Y163" i="47" s="1"/>
  <c r="AO163" i="47"/>
  <c r="AP163" i="47" s="1"/>
  <c r="AW166" i="47"/>
  <c r="BB166" i="47" s="1"/>
  <c r="BG166" i="47" s="1"/>
  <c r="BL166" i="47" s="1"/>
  <c r="BQ166" i="47" s="1"/>
  <c r="AS175" i="47"/>
  <c r="AT175" i="47" s="1"/>
  <c r="AW175" i="47"/>
  <c r="AL175" i="47"/>
  <c r="AK175" i="47" s="1"/>
  <c r="AN175" i="47"/>
  <c r="AO175" i="47" s="1"/>
  <c r="AQ175" i="47"/>
  <c r="AP175" i="47" s="1"/>
  <c r="X175" i="47"/>
  <c r="X174" i="47" s="1"/>
  <c r="X178" i="47" s="1"/>
  <c r="X176" i="47"/>
  <c r="AC176" i="47" s="1"/>
  <c r="AH176" i="47" s="1"/>
  <c r="AG176" i="47" s="1"/>
  <c r="AF176" i="47" s="1"/>
  <c r="AE176" i="47" s="1"/>
  <c r="AD176" i="47" s="1"/>
  <c r="AC177" i="47"/>
  <c r="AB181" i="47"/>
  <c r="AA181" i="47" s="1"/>
  <c r="Z181" i="47" s="1"/>
  <c r="Y181" i="47" s="1"/>
  <c r="AB182" i="47"/>
  <c r="AA182" i="47" s="1"/>
  <c r="Z182" i="47" s="1"/>
  <c r="Y182" i="47" s="1"/>
  <c r="AB183" i="47"/>
  <c r="AA183" i="47" s="1"/>
  <c r="Z183" i="47" s="1"/>
  <c r="Y183" i="47" s="1"/>
  <c r="AB184" i="47"/>
  <c r="AA184" i="47" s="1"/>
  <c r="Z184" i="47" s="1"/>
  <c r="Y184" i="47" s="1"/>
  <c r="AG181" i="47"/>
  <c r="AF181" i="47" s="1"/>
  <c r="AE181" i="47" s="1"/>
  <c r="AD181" i="47" s="1"/>
  <c r="AG182" i="47"/>
  <c r="AF182" i="47" s="1"/>
  <c r="AE182" i="47" s="1"/>
  <c r="AD182" i="47" s="1"/>
  <c r="AG183" i="47"/>
  <c r="AF183" i="47" s="1"/>
  <c r="AE183" i="47" s="1"/>
  <c r="AD183" i="47" s="1"/>
  <c r="AG184" i="47"/>
  <c r="AF184" i="47" s="1"/>
  <c r="AE184" i="47" s="1"/>
  <c r="AD184" i="47" s="1"/>
  <c r="AP181" i="47"/>
  <c r="AO181" i="47" s="1"/>
  <c r="AN181" i="47" s="1"/>
  <c r="AV181" i="47"/>
  <c r="AU181" i="47" s="1"/>
  <c r="AT181" i="47" s="1"/>
  <c r="AS181" i="47" s="1"/>
  <c r="AV182" i="47"/>
  <c r="AU182" i="47" s="1"/>
  <c r="AT182" i="47" s="1"/>
  <c r="AS182" i="47" s="1"/>
  <c r="AV183" i="47"/>
  <c r="AU183" i="47" s="1"/>
  <c r="AT183" i="47" s="1"/>
  <c r="AS183" i="47" s="1"/>
  <c r="AV184" i="47"/>
  <c r="AU184" i="47" s="1"/>
  <c r="AT184" i="47" s="1"/>
  <c r="AS184" i="47" s="1"/>
  <c r="BA181" i="47"/>
  <c r="AZ181" i="47" s="1"/>
  <c r="AY181" i="47" s="1"/>
  <c r="AX181" i="47" s="1"/>
  <c r="BA182" i="47"/>
  <c r="AZ182" i="47" s="1"/>
  <c r="AY182" i="47" s="1"/>
  <c r="AX182" i="47" s="1"/>
  <c r="BA183" i="47"/>
  <c r="AZ183" i="47" s="1"/>
  <c r="AY183" i="47" s="1"/>
  <c r="AX183" i="47" s="1"/>
  <c r="BA184" i="47"/>
  <c r="AZ184" i="47" s="1"/>
  <c r="AY184" i="47" s="1"/>
  <c r="AX184" i="47" s="1"/>
  <c r="BF181" i="47"/>
  <c r="BE181" i="47" s="1"/>
  <c r="BD181" i="47" s="1"/>
  <c r="BC181" i="47" s="1"/>
  <c r="BF182" i="47"/>
  <c r="BE182" i="47" s="1"/>
  <c r="BD182" i="47" s="1"/>
  <c r="BC182" i="47" s="1"/>
  <c r="BF183" i="47"/>
  <c r="BE183" i="47" s="1"/>
  <c r="BD183" i="47" s="1"/>
  <c r="BC183" i="47" s="1"/>
  <c r="BF184" i="47"/>
  <c r="BE184" i="47" s="1"/>
  <c r="BD184" i="47" s="1"/>
  <c r="BC184" i="47" s="1"/>
  <c r="BK181" i="47"/>
  <c r="BJ181" i="47" s="1"/>
  <c r="BI181" i="47" s="1"/>
  <c r="BH181" i="47" s="1"/>
  <c r="BK182" i="47"/>
  <c r="BJ182" i="47" s="1"/>
  <c r="BI182" i="47" s="1"/>
  <c r="BH182" i="47" s="1"/>
  <c r="BK183" i="47"/>
  <c r="BJ183" i="47" s="1"/>
  <c r="BI183" i="47" s="1"/>
  <c r="BH183" i="47" s="1"/>
  <c r="BK184" i="47"/>
  <c r="BJ184" i="47" s="1"/>
  <c r="BI184" i="47" s="1"/>
  <c r="BH184" i="47" s="1"/>
  <c r="BP181" i="47"/>
  <c r="BO181" i="47" s="1"/>
  <c r="BN181" i="47" s="1"/>
  <c r="BM181" i="47" s="1"/>
  <c r="BP182" i="47"/>
  <c r="BO182" i="47" s="1"/>
  <c r="BN182" i="47" s="1"/>
  <c r="BM182" i="47" s="1"/>
  <c r="BP183" i="47"/>
  <c r="BO183" i="47" s="1"/>
  <c r="BN183" i="47" s="1"/>
  <c r="BM183" i="47" s="1"/>
  <c r="BP184" i="47"/>
  <c r="BO184" i="47" s="1"/>
  <c r="BN184" i="47" s="1"/>
  <c r="BM184" i="47" s="1"/>
  <c r="AQ182" i="47"/>
  <c r="AQ183" i="47"/>
  <c r="AP183" i="47" s="1"/>
  <c r="AO183" i="47" s="1"/>
  <c r="AN183" i="47" s="1"/>
  <c r="AQ184" i="47"/>
  <c r="AP184" i="47" s="1"/>
  <c r="AO184" i="47" s="1"/>
  <c r="AN184" i="47" s="1"/>
  <c r="AL182" i="47"/>
  <c r="AL183" i="47"/>
  <c r="AL184" i="47"/>
  <c r="AK184" i="47" s="1"/>
  <c r="AJ184" i="47" s="1"/>
  <c r="AI184" i="47" s="1"/>
  <c r="X190" i="47"/>
  <c r="X191" i="47"/>
  <c r="AB195" i="47"/>
  <c r="AA195" i="47" s="1"/>
  <c r="AB196" i="47"/>
  <c r="AA196" i="47" s="1"/>
  <c r="Z196" i="47" s="1"/>
  <c r="Y196" i="47" s="1"/>
  <c r="AB197" i="47"/>
  <c r="AB198" i="47"/>
  <c r="AA198" i="47" s="1"/>
  <c r="Z198" i="47" s="1"/>
  <c r="Y198" i="47" s="1"/>
  <c r="AG195" i="47"/>
  <c r="AG196" i="47"/>
  <c r="AF196" i="47" s="1"/>
  <c r="AE196" i="47" s="1"/>
  <c r="AD196" i="47" s="1"/>
  <c r="AG197" i="47"/>
  <c r="AF197" i="47" s="1"/>
  <c r="AE197" i="47" s="1"/>
  <c r="AD197" i="47" s="1"/>
  <c r="AG198" i="47"/>
  <c r="AF198" i="47" s="1"/>
  <c r="AE198" i="47" s="1"/>
  <c r="AD198" i="47" s="1"/>
  <c r="AL195" i="47"/>
  <c r="AK195" i="47" s="1"/>
  <c r="AL196" i="47"/>
  <c r="AK196" i="47" s="1"/>
  <c r="AJ196" i="47" s="1"/>
  <c r="AI196" i="47" s="1"/>
  <c r="AL197" i="47"/>
  <c r="AK197" i="47" s="1"/>
  <c r="AJ197" i="47" s="1"/>
  <c r="AI197" i="47" s="1"/>
  <c r="AL198" i="47"/>
  <c r="AK198" i="47" s="1"/>
  <c r="AJ198" i="47" s="1"/>
  <c r="AI198" i="47" s="1"/>
  <c r="AQ195" i="47"/>
  <c r="AQ196" i="47"/>
  <c r="AP196" i="47" s="1"/>
  <c r="AO196" i="47" s="1"/>
  <c r="AN196" i="47" s="1"/>
  <c r="AQ197" i="47"/>
  <c r="AP197" i="47" s="1"/>
  <c r="AO197" i="47" s="1"/>
  <c r="AN197" i="47" s="1"/>
  <c r="AQ198" i="47"/>
  <c r="AP198" i="47" s="1"/>
  <c r="AO198" i="47" s="1"/>
  <c r="AN198" i="47" s="1"/>
  <c r="AV195" i="47"/>
  <c r="AU195" i="47" s="1"/>
  <c r="AV196" i="47"/>
  <c r="AU196" i="47" s="1"/>
  <c r="AT196" i="47" s="1"/>
  <c r="AS196" i="47" s="1"/>
  <c r="AV197" i="47"/>
  <c r="AU197" i="47" s="1"/>
  <c r="AT197" i="47" s="1"/>
  <c r="AS197" i="47" s="1"/>
  <c r="AV198" i="47"/>
  <c r="AU198" i="47" s="1"/>
  <c r="AT198" i="47" s="1"/>
  <c r="AS198" i="47" s="1"/>
  <c r="BA195" i="47"/>
  <c r="BA196" i="47"/>
  <c r="AZ196" i="47" s="1"/>
  <c r="AY196" i="47" s="1"/>
  <c r="AX196" i="47" s="1"/>
  <c r="BA197" i="47"/>
  <c r="AZ197" i="47" s="1"/>
  <c r="AY197" i="47" s="1"/>
  <c r="AX197" i="47" s="1"/>
  <c r="BA198" i="47"/>
  <c r="AZ198" i="47" s="1"/>
  <c r="AY198" i="47" s="1"/>
  <c r="AX198" i="47" s="1"/>
  <c r="BF195" i="47"/>
  <c r="BE195" i="47" s="1"/>
  <c r="BF196" i="47"/>
  <c r="BE196" i="47" s="1"/>
  <c r="BD196" i="47" s="1"/>
  <c r="BC196" i="47" s="1"/>
  <c r="BF197" i="47"/>
  <c r="BE197" i="47" s="1"/>
  <c r="BD197" i="47" s="1"/>
  <c r="BC197" i="47" s="1"/>
  <c r="BF198" i="47"/>
  <c r="BE198" i="47" s="1"/>
  <c r="BD198" i="47" s="1"/>
  <c r="BC198" i="47" s="1"/>
  <c r="BK195" i="47"/>
  <c r="BK196" i="47"/>
  <c r="BJ196" i="47" s="1"/>
  <c r="BI196" i="47" s="1"/>
  <c r="BH196" i="47" s="1"/>
  <c r="BK197" i="47"/>
  <c r="BJ197" i="47" s="1"/>
  <c r="BI197" i="47" s="1"/>
  <c r="BH197" i="47" s="1"/>
  <c r="BK198" i="47"/>
  <c r="BJ198" i="47" s="1"/>
  <c r="BI198" i="47" s="1"/>
  <c r="BH198" i="47" s="1"/>
  <c r="BP195" i="47"/>
  <c r="BO195" i="47" s="1"/>
  <c r="BP196" i="47"/>
  <c r="BO196" i="47" s="1"/>
  <c r="BN196" i="47" s="1"/>
  <c r="BM196" i="47" s="1"/>
  <c r="BP197" i="47"/>
  <c r="BO197" i="47" s="1"/>
  <c r="BN197" i="47" s="1"/>
  <c r="BM197" i="47" s="1"/>
  <c r="BP198" i="47"/>
  <c r="BO198" i="47" s="1"/>
  <c r="BN198" i="47" s="1"/>
  <c r="BM198" i="47" s="1"/>
  <c r="X199" i="47"/>
  <c r="AC199" i="47"/>
  <c r="AH199" i="47"/>
  <c r="AM199" i="47"/>
  <c r="AR199" i="47"/>
  <c r="AW199" i="47"/>
  <c r="BB199" i="47"/>
  <c r="BG199" i="47"/>
  <c r="BL199" i="47"/>
  <c r="BQ199" i="47"/>
  <c r="T205" i="47"/>
  <c r="U205" i="47"/>
  <c r="V205" i="47"/>
  <c r="W205" i="47"/>
  <c r="T206" i="47"/>
  <c r="U206" i="47"/>
  <c r="V206" i="47"/>
  <c r="W206" i="47"/>
  <c r="T207" i="47"/>
  <c r="U207" i="47"/>
  <c r="V207" i="47"/>
  <c r="W207" i="47"/>
  <c r="AL207" i="47"/>
  <c r="AQ207" i="47"/>
  <c r="BF207" i="47"/>
  <c r="T209" i="47"/>
  <c r="T211" i="47"/>
  <c r="U211" i="47" s="1"/>
  <c r="V211" i="47" s="1"/>
  <c r="W211" i="47" s="1"/>
  <c r="U214" i="47"/>
  <c r="V214" i="47"/>
  <c r="Y229" i="47"/>
  <c r="Z229" i="47"/>
  <c r="AA229" i="47"/>
  <c r="AB229" i="47"/>
  <c r="AA230" i="47"/>
  <c r="AI230" i="47"/>
  <c r="AL230" i="47"/>
  <c r="AQ230" i="47"/>
  <c r="BA230" i="47"/>
  <c r="BF230" i="47"/>
  <c r="BJ230" i="47"/>
  <c r="BK230" i="47"/>
  <c r="BP230" i="47"/>
  <c r="AN236" i="47"/>
  <c r="AO236" i="47"/>
  <c r="AP236" i="47"/>
  <c r="AQ236" i="47"/>
  <c r="AW236" i="47"/>
  <c r="AS236" i="47" s="1"/>
  <c r="BB236" i="47"/>
  <c r="BG236" i="47"/>
  <c r="BL236" i="47"/>
  <c r="BH236" i="47" s="1"/>
  <c r="BM236" i="47"/>
  <c r="BN236" i="47"/>
  <c r="BO236" i="47"/>
  <c r="BP236" i="47"/>
  <c r="AM237" i="47"/>
  <c r="AN237" i="47"/>
  <c r="AQ241" i="47"/>
  <c r="AP241" i="47" s="1"/>
  <c r="AO241" i="47" s="1"/>
  <c r="AN241" i="47" s="1"/>
  <c r="AR241" i="47"/>
  <c r="AW241" i="47" s="1"/>
  <c r="AR242" i="47"/>
  <c r="AR243" i="47" s="1"/>
  <c r="AQ243" i="47" s="1"/>
  <c r="AP243" i="47" s="1"/>
  <c r="AO243" i="47" s="1"/>
  <c r="AN243" i="47" s="1"/>
  <c r="AW242" i="47"/>
  <c r="CB242" i="47"/>
  <c r="CC242" i="47" s="1"/>
  <c r="CD242" i="47" s="1"/>
  <c r="CE242" i="47" s="1"/>
  <c r="CF242" i="47" s="1"/>
  <c r="CG242" i="47" s="1"/>
  <c r="CH242" i="47" s="1"/>
  <c r="CI242" i="47" s="1"/>
  <c r="CJ242" i="47" s="1"/>
  <c r="CK242" i="47" s="1"/>
  <c r="CL242" i="47" s="1"/>
  <c r="CM242" i="47" s="1"/>
  <c r="CN242" i="47" s="1"/>
  <c r="CO242" i="47" s="1"/>
  <c r="CP242" i="47" s="1"/>
  <c r="CC244" i="47"/>
  <c r="CC246" i="47" s="1"/>
  <c r="CC247" i="47" s="1"/>
  <c r="CD244" i="47"/>
  <c r="CD246" i="47" s="1"/>
  <c r="CD247" i="47" s="1"/>
  <c r="CE244" i="47"/>
  <c r="CF244" i="47"/>
  <c r="CG244" i="47"/>
  <c r="CG246" i="47" s="1"/>
  <c r="CG247" i="47" s="1"/>
  <c r="CH244" i="47"/>
  <c r="CH246" i="47" s="1"/>
  <c r="CH247" i="47" s="1"/>
  <c r="CI244" i="47"/>
  <c r="CI246" i="47" s="1"/>
  <c r="CJ244" i="47"/>
  <c r="CJ246" i="47" s="1"/>
  <c r="CJ247" i="47" s="1"/>
  <c r="CK244" i="47"/>
  <c r="CK246" i="47" s="1"/>
  <c r="CK247" i="47" s="1"/>
  <c r="CL244" i="47"/>
  <c r="CL246" i="47" s="1"/>
  <c r="CL247" i="47" s="1"/>
  <c r="CM244" i="47"/>
  <c r="CM246" i="47" s="1"/>
  <c r="CN244" i="47"/>
  <c r="CN246" i="47" s="1"/>
  <c r="CN247" i="47" s="1"/>
  <c r="CO244" i="47"/>
  <c r="CP244" i="47"/>
  <c r="CP246" i="47" s="1"/>
  <c r="AQ246" i="47"/>
  <c r="AP246" i="47" s="1"/>
  <c r="AO246" i="47" s="1"/>
  <c r="AN246" i="47" s="1"/>
  <c r="AQ247" i="47"/>
  <c r="AP247" i="47" s="1"/>
  <c r="AO247" i="47" s="1"/>
  <c r="AN247" i="47" s="1"/>
  <c r="AQ248" i="47"/>
  <c r="AP248" i="47" s="1"/>
  <c r="AO248" i="47" s="1"/>
  <c r="AN248" i="47" s="1"/>
  <c r="AV246" i="47"/>
  <c r="AU246" i="47" s="1"/>
  <c r="AT246" i="47" s="1"/>
  <c r="AS246" i="47" s="1"/>
  <c r="AV247" i="47"/>
  <c r="AU247" i="47" s="1"/>
  <c r="AT247" i="47" s="1"/>
  <c r="AS247" i="47" s="1"/>
  <c r="AV248" i="47"/>
  <c r="AU248" i="47" s="1"/>
  <c r="AT248" i="47" s="1"/>
  <c r="AS248" i="47" s="1"/>
  <c r="BA246" i="47"/>
  <c r="AZ246" i="47" s="1"/>
  <c r="AY246" i="47" s="1"/>
  <c r="AX246" i="47" s="1"/>
  <c r="BA247" i="47"/>
  <c r="AZ247" i="47" s="1"/>
  <c r="AY247" i="47" s="1"/>
  <c r="AX247" i="47" s="1"/>
  <c r="BA248" i="47"/>
  <c r="AZ248" i="47" s="1"/>
  <c r="AY248" i="47" s="1"/>
  <c r="AX248" i="47" s="1"/>
  <c r="BF246" i="47"/>
  <c r="BE246" i="47" s="1"/>
  <c r="BD246" i="47" s="1"/>
  <c r="BC246" i="47" s="1"/>
  <c r="BF247" i="47"/>
  <c r="BE247" i="47" s="1"/>
  <c r="BD247" i="47" s="1"/>
  <c r="BC247" i="47" s="1"/>
  <c r="BF248" i="47"/>
  <c r="BE248" i="47" s="1"/>
  <c r="BD248" i="47" s="1"/>
  <c r="BC248" i="47" s="1"/>
  <c r="BK246" i="47"/>
  <c r="BJ246" i="47" s="1"/>
  <c r="BI246" i="47" s="1"/>
  <c r="BH246" i="47" s="1"/>
  <c r="BJ247" i="47"/>
  <c r="BI247" i="47" s="1"/>
  <c r="BH247" i="47" s="1"/>
  <c r="BK247" i="47"/>
  <c r="BK248" i="47"/>
  <c r="BJ248" i="47" s="1"/>
  <c r="BI248" i="47" s="1"/>
  <c r="BH248" i="47" s="1"/>
  <c r="BP246" i="47"/>
  <c r="BO246" i="47" s="1"/>
  <c r="BN246" i="47" s="1"/>
  <c r="BM246" i="47" s="1"/>
  <c r="BP247" i="47"/>
  <c r="BO247" i="47" s="1"/>
  <c r="BN247" i="47" s="1"/>
  <c r="BM247" i="47" s="1"/>
  <c r="BP248" i="47"/>
  <c r="BO248" i="47" s="1"/>
  <c r="BN248" i="47" s="1"/>
  <c r="BM248" i="47" s="1"/>
  <c r="CE246" i="47"/>
  <c r="CF246" i="47"/>
  <c r="CF247" i="47" s="1"/>
  <c r="CO246" i="47"/>
  <c r="CO247" i="47" s="1"/>
  <c r="CB253" i="47"/>
  <c r="CC253" i="47" s="1"/>
  <c r="CD253" i="47" s="1"/>
  <c r="CE253" i="47" s="1"/>
  <c r="CF253" i="47" s="1"/>
  <c r="CG253" i="47" s="1"/>
  <c r="CH253" i="47" s="1"/>
  <c r="CI253" i="47" s="1"/>
  <c r="CJ253" i="47" s="1"/>
  <c r="CK253" i="47" s="1"/>
  <c r="CL253" i="47" s="1"/>
  <c r="CM253" i="47" s="1"/>
  <c r="CN253" i="47" s="1"/>
  <c r="CO253" i="47" s="1"/>
  <c r="CP253" i="47" s="1"/>
  <c r="AR252" i="47"/>
  <c r="AR254" i="47"/>
  <c r="AR253" i="47" s="1"/>
  <c r="AN256" i="47"/>
  <c r="AO256" i="47" s="1"/>
  <c r="AP256" i="47" s="1"/>
  <c r="AQ256" i="47" s="1"/>
  <c r="AR256" i="47" s="1"/>
  <c r="AS256" i="47" s="1"/>
  <c r="AT256" i="47" s="1"/>
  <c r="AU256" i="47" s="1"/>
  <c r="AM257" i="47"/>
  <c r="AM259" i="47"/>
  <c r="AM261" i="47" s="1"/>
  <c r="CA265" i="47"/>
  <c r="CB265" i="47" s="1"/>
  <c r="CC265" i="47" s="1"/>
  <c r="CD265" i="47" s="1"/>
  <c r="CE265" i="47" s="1"/>
  <c r="CF265" i="47" s="1"/>
  <c r="CG265" i="47" s="1"/>
  <c r="CH265" i="47" s="1"/>
  <c r="CI265" i="47" s="1"/>
  <c r="CJ265" i="47" s="1"/>
  <c r="CK265" i="47" s="1"/>
  <c r="BY263" i="47"/>
  <c r="BZ263" i="47" s="1"/>
  <c r="CA263" i="47" s="1"/>
  <c r="CB263" i="47" s="1"/>
  <c r="CC263" i="47" s="1"/>
  <c r="CD263" i="47" s="1"/>
  <c r="CE263" i="47" s="1"/>
  <c r="CF263" i="47" s="1"/>
  <c r="CG263" i="47" s="1"/>
  <c r="CH263" i="47" s="1"/>
  <c r="CI263" i="47" s="1"/>
  <c r="CJ263" i="47" s="1"/>
  <c r="CK263" i="47" s="1"/>
  <c r="BZ262" i="47"/>
  <c r="CA262" i="47" s="1"/>
  <c r="CB262" i="47" s="1"/>
  <c r="CC262" i="47" s="1"/>
  <c r="CD262" i="47" s="1"/>
  <c r="CE262" i="47" s="1"/>
  <c r="CF262" i="47" s="1"/>
  <c r="CG262" i="47" s="1"/>
  <c r="CH262" i="47" s="1"/>
  <c r="CI262" i="47" s="1"/>
  <c r="CJ262" i="47" s="1"/>
  <c r="CK262" i="47" s="1"/>
  <c r="BZ264" i="47"/>
  <c r="CA264" i="47" s="1"/>
  <c r="CB264" i="47" s="1"/>
  <c r="CC264" i="47" s="1"/>
  <c r="CD264" i="47" s="1"/>
  <c r="CE264" i="47" s="1"/>
  <c r="CF264" i="47" s="1"/>
  <c r="CG264" i="47" s="1"/>
  <c r="CH264" i="47" s="1"/>
  <c r="CI264" i="47" s="1"/>
  <c r="CJ264" i="47" s="1"/>
  <c r="CK264" i="47" s="1"/>
  <c r="AR264" i="47"/>
  <c r="AQ264" i="47" s="1"/>
  <c r="AP264" i="47" s="1"/>
  <c r="AO264" i="47" s="1"/>
  <c r="AN264" i="47" s="1"/>
  <c r="AR266" i="47"/>
  <c r="BX266" i="47"/>
  <c r="AN268" i="47"/>
  <c r="AO268" i="47" s="1"/>
  <c r="AP268" i="47" s="1"/>
  <c r="AQ268" i="47" s="1"/>
  <c r="AR268" i="47" s="1"/>
  <c r="AS268" i="47" s="1"/>
  <c r="AT268" i="47" s="1"/>
  <c r="BW269" i="47"/>
  <c r="BX269" i="47"/>
  <c r="BW270" i="47"/>
  <c r="BW271" i="47"/>
  <c r="BX271" i="47"/>
  <c r="AM269" i="47"/>
  <c r="AM271" i="47"/>
  <c r="AM273" i="47" s="1"/>
  <c r="AR276" i="47"/>
  <c r="AW276" i="47" s="1"/>
  <c r="AR278" i="47"/>
  <c r="AO277" i="47" s="1"/>
  <c r="AP277" i="47" s="1"/>
  <c r="AN280" i="47"/>
  <c r="AO280" i="47" s="1"/>
  <c r="AP280" i="47" s="1"/>
  <c r="AQ280" i="47" s="1"/>
  <c r="AR280" i="47" s="1"/>
  <c r="AS280" i="47" s="1"/>
  <c r="AT280" i="47" s="1"/>
  <c r="AU280" i="47" s="1"/>
  <c r="AV280" i="47" s="1"/>
  <c r="AW280" i="47" s="1"/>
  <c r="AX280" i="47" s="1"/>
  <c r="AY280" i="47" s="1"/>
  <c r="AZ280" i="47" s="1"/>
  <c r="BA280" i="47" s="1"/>
  <c r="BB280" i="47" s="1"/>
  <c r="BC280" i="47" s="1"/>
  <c r="BD280" i="47" s="1"/>
  <c r="BE280" i="47" s="1"/>
  <c r="BF280" i="47" s="1"/>
  <c r="BG280" i="47" s="1"/>
  <c r="BH280" i="47" s="1"/>
  <c r="BI280" i="47" s="1"/>
  <c r="BJ280" i="47" s="1"/>
  <c r="BK280" i="47" s="1"/>
  <c r="BL280" i="47" s="1"/>
  <c r="BM280" i="47" s="1"/>
  <c r="BN280" i="47" s="1"/>
  <c r="BO280" i="47" s="1"/>
  <c r="BP280" i="47" s="1"/>
  <c r="BQ280" i="47" s="1"/>
  <c r="AM281" i="47"/>
  <c r="AM283" i="47"/>
  <c r="AM285" i="47" s="1"/>
  <c r="X289" i="47"/>
  <c r="X290" i="47" s="1"/>
  <c r="Y289" i="47"/>
  <c r="Y290" i="47" s="1"/>
  <c r="Z289" i="47"/>
  <c r="Z290" i="47" s="1"/>
  <c r="AA289" i="47"/>
  <c r="AA290" i="47" s="1"/>
  <c r="AC289" i="47"/>
  <c r="AC295" i="47" s="1"/>
  <c r="AD289" i="47"/>
  <c r="AD290" i="47" s="1"/>
  <c r="AE289" i="47"/>
  <c r="AE290" i="47" s="1"/>
  <c r="AF289" i="47"/>
  <c r="AG289" i="47"/>
  <c r="AG290" i="47" s="1"/>
  <c r="AH289" i="47"/>
  <c r="AH290" i="47" s="1"/>
  <c r="AI289" i="47"/>
  <c r="AI290" i="47" s="1"/>
  <c r="AJ289" i="47"/>
  <c r="AK289" i="47"/>
  <c r="AK290" i="47" s="1"/>
  <c r="AM289" i="47"/>
  <c r="AN289" i="47"/>
  <c r="AO289" i="47"/>
  <c r="AP289" i="47"/>
  <c r="AP290" i="47" s="1"/>
  <c r="AQ289" i="47"/>
  <c r="AQ290" i="47" s="1"/>
  <c r="AR289" i="47"/>
  <c r="AS289" i="47"/>
  <c r="AT289" i="47"/>
  <c r="AT295" i="47" s="1"/>
  <c r="AU289" i="47"/>
  <c r="AC290" i="47"/>
  <c r="AF290" i="47"/>
  <c r="AJ290" i="47"/>
  <c r="AO290" i="47"/>
  <c r="AS290" i="47"/>
  <c r="AW292" i="47"/>
  <c r="BB292" i="47" s="1"/>
  <c r="AX296" i="47"/>
  <c r="BF296" i="47"/>
  <c r="BE296" i="47" s="1"/>
  <c r="BK296" i="47"/>
  <c r="BJ296" i="47" s="1"/>
  <c r="BI296" i="47" s="1"/>
  <c r="BH296" i="47" s="1"/>
  <c r="BP296" i="47"/>
  <c r="BO296" i="47" s="1"/>
  <c r="BN296" i="47" s="1"/>
  <c r="BM296" i="47" s="1"/>
  <c r="X298" i="47"/>
  <c r="Y298" i="47"/>
  <c r="Z298" i="47"/>
  <c r="AA298" i="47"/>
  <c r="AC298" i="47"/>
  <c r="AD298" i="47"/>
  <c r="AE298" i="47"/>
  <c r="AF298" i="47"/>
  <c r="AG298" i="47"/>
  <c r="AH298" i="47"/>
  <c r="AI298" i="47"/>
  <c r="AJ298" i="47"/>
  <c r="AK298" i="47"/>
  <c r="AM298" i="47"/>
  <c r="AN298" i="47"/>
  <c r="AO298" i="47"/>
  <c r="AP298" i="47"/>
  <c r="AQ298" i="47"/>
  <c r="AR298" i="47"/>
  <c r="BA300" i="47"/>
  <c r="AZ300" i="47" s="1"/>
  <c r="AY300" i="47" s="1"/>
  <c r="AX300" i="47" s="1"/>
  <c r="BF300" i="47"/>
  <c r="BE300" i="47" s="1"/>
  <c r="BD300" i="47" s="1"/>
  <c r="BC300" i="47" s="1"/>
  <c r="BK300" i="47"/>
  <c r="BJ300" i="47" s="1"/>
  <c r="BI300" i="47" s="1"/>
  <c r="BH300" i="47" s="1"/>
  <c r="BP300" i="47"/>
  <c r="BO300" i="47" s="1"/>
  <c r="BN300" i="47" s="1"/>
  <c r="BM300" i="47" s="1"/>
  <c r="BA302" i="47"/>
  <c r="AZ302" i="47" s="1"/>
  <c r="AY302" i="47" s="1"/>
  <c r="AX302" i="47" s="1"/>
  <c r="BF302" i="47"/>
  <c r="BE302" i="47" s="1"/>
  <c r="BD302" i="47" s="1"/>
  <c r="BC302" i="47" s="1"/>
  <c r="BK302" i="47"/>
  <c r="BJ302" i="47" s="1"/>
  <c r="BI302" i="47" s="1"/>
  <c r="BH302" i="47" s="1"/>
  <c r="BP302" i="47"/>
  <c r="BO302" i="47" s="1"/>
  <c r="BN302" i="47" s="1"/>
  <c r="BM302" i="47" s="1"/>
  <c r="AC307" i="47"/>
  <c r="AD307" i="47"/>
  <c r="AE307" i="47"/>
  <c r="AF307" i="47"/>
  <c r="AG307" i="47"/>
  <c r="AH307" i="47"/>
  <c r="AI307" i="47"/>
  <c r="AJ307" i="47"/>
  <c r="AK307" i="47"/>
  <c r="AL307" i="47"/>
  <c r="AM307" i="47"/>
  <c r="AN307" i="47"/>
  <c r="AO307" i="47"/>
  <c r="AP307" i="47"/>
  <c r="AQ307" i="47"/>
  <c r="AR307" i="47"/>
  <c r="AB312" i="47"/>
  <c r="AB313" i="47" s="1"/>
  <c r="AG312" i="47"/>
  <c r="AG313" i="47" s="1"/>
  <c r="AL312" i="47"/>
  <c r="AL313" i="47" s="1"/>
  <c r="AM313" i="47" s="1"/>
  <c r="AP312" i="47"/>
  <c r="AP313" i="47" s="1"/>
  <c r="AR312" i="47"/>
  <c r="AQ312" i="47" s="1"/>
  <c r="AQ313" i="47" s="1"/>
  <c r="AR313" i="47" s="1"/>
  <c r="AS312" i="47"/>
  <c r="AS313" i="47" s="1"/>
  <c r="X313" i="47"/>
  <c r="Y313" i="47"/>
  <c r="Z313" i="47"/>
  <c r="AA313" i="47"/>
  <c r="AC313" i="47"/>
  <c r="AD313" i="47"/>
  <c r="AE313" i="47"/>
  <c r="AF313" i="47"/>
  <c r="AH313" i="47"/>
  <c r="AI313" i="47"/>
  <c r="AJ313" i="47"/>
  <c r="AK313" i="47"/>
  <c r="AN313" i="47"/>
  <c r="AO313" i="47"/>
  <c r="AT313" i="47"/>
  <c r="AU313" i="47"/>
  <c r="AV318" i="47" s="1"/>
  <c r="BL320" i="47"/>
  <c r="BQ320" i="47"/>
  <c r="BM320" i="47" s="1"/>
  <c r="AX321" i="47"/>
  <c r="BC321" i="47"/>
  <c r="BH321" i="47"/>
  <c r="BM321" i="47"/>
  <c r="BB322" i="47"/>
  <c r="BG322" i="47"/>
  <c r="BC322" i="47" s="1"/>
  <c r="BL322" i="47"/>
  <c r="BQ322" i="47"/>
  <c r="Y323" i="47"/>
  <c r="Z323" i="47"/>
  <c r="AA323" i="47"/>
  <c r="AA348" i="47" s="1"/>
  <c r="AB323" i="47"/>
  <c r="AB348" i="47" s="1"/>
  <c r="AB350" i="47" s="1"/>
  <c r="AD323" i="47"/>
  <c r="AE323" i="47"/>
  <c r="AF323" i="47"/>
  <c r="AF348" i="47" s="1"/>
  <c r="AG323" i="47"/>
  <c r="AG348" i="47" s="1"/>
  <c r="AI323" i="47"/>
  <c r="AJ323" i="47" s="1"/>
  <c r="AN323" i="47"/>
  <c r="BC337" i="47"/>
  <c r="BD337" i="47"/>
  <c r="BE337" i="47"/>
  <c r="BF337" i="47"/>
  <c r="BH337" i="47"/>
  <c r="BI337" i="47"/>
  <c r="BJ337" i="47"/>
  <c r="BK337" i="47"/>
  <c r="BM337" i="47"/>
  <c r="BN337" i="47"/>
  <c r="BO337" i="47"/>
  <c r="BP337" i="47"/>
  <c r="X341" i="47"/>
  <c r="X315" i="47" s="1"/>
  <c r="X316" i="47" s="1"/>
  <c r="Y341" i="47"/>
  <c r="Y315" i="47" s="1"/>
  <c r="Y316" i="47" s="1"/>
  <c r="Z341" i="47"/>
  <c r="Z315" i="47" s="1"/>
  <c r="Z316" i="47" s="1"/>
  <c r="AA341" i="47"/>
  <c r="AB341" i="47"/>
  <c r="AB315" i="47" s="1"/>
  <c r="AB316" i="47" s="1"/>
  <c r="AC341" i="47"/>
  <c r="AC315" i="47" s="1"/>
  <c r="AD341" i="47"/>
  <c r="AD315" i="47" s="1"/>
  <c r="AD316" i="47" s="1"/>
  <c r="AE341" i="47"/>
  <c r="AF341" i="47"/>
  <c r="AF315" i="47" s="1"/>
  <c r="AF316" i="47" s="1"/>
  <c r="AH341" i="47"/>
  <c r="AH315" i="47" s="1"/>
  <c r="AI341" i="47"/>
  <c r="AJ341" i="47"/>
  <c r="AJ315" i="47" s="1"/>
  <c r="AJ316" i="47" s="1"/>
  <c r="AK341" i="47"/>
  <c r="AK315" i="47" s="1"/>
  <c r="AK316" i="47" s="1"/>
  <c r="AL341" i="47"/>
  <c r="AL315" i="47" s="1"/>
  <c r="AL316" i="47" s="1"/>
  <c r="AM341" i="47"/>
  <c r="AN341" i="47"/>
  <c r="AN315" i="47" s="1"/>
  <c r="AO341" i="47"/>
  <c r="AO315" i="47" s="1"/>
  <c r="AO316" i="47" s="1"/>
  <c r="AP341" i="47"/>
  <c r="AP315" i="47" s="1"/>
  <c r="AP316" i="47" s="1"/>
  <c r="AR341" i="47"/>
  <c r="AS315" i="47"/>
  <c r="AT315" i="47"/>
  <c r="AT316" i="47" s="1"/>
  <c r="Y342" i="47"/>
  <c r="Z342" i="47"/>
  <c r="AA342" i="47"/>
  <c r="AB342" i="47"/>
  <c r="Y343" i="47"/>
  <c r="Z343" i="47"/>
  <c r="AA343" i="47"/>
  <c r="AB343" i="47"/>
  <c r="Y344" i="47"/>
  <c r="Z344" i="47"/>
  <c r="AA344" i="47"/>
  <c r="AB344" i="47"/>
  <c r="Y345" i="47"/>
  <c r="Z345" i="47"/>
  <c r="AA345" i="47"/>
  <c r="AB345" i="47"/>
  <c r="AD342" i="47"/>
  <c r="AE342" i="47"/>
  <c r="AF342" i="47"/>
  <c r="AG342" i="47"/>
  <c r="AD343" i="47"/>
  <c r="AE343" i="47"/>
  <c r="AF343" i="47"/>
  <c r="AG343" i="47"/>
  <c r="AD344" i="47"/>
  <c r="AE344" i="47"/>
  <c r="AF344" i="47"/>
  <c r="AG344" i="47"/>
  <c r="AD345" i="47"/>
  <c r="AE345" i="47"/>
  <c r="AF345" i="47"/>
  <c r="AG345" i="47"/>
  <c r="AI342" i="47"/>
  <c r="AJ342" i="47"/>
  <c r="AK342" i="47"/>
  <c r="AL342" i="47"/>
  <c r="AI343" i="47"/>
  <c r="AJ343" i="47"/>
  <c r="AK343" i="47"/>
  <c r="AL343" i="47"/>
  <c r="AI344" i="47"/>
  <c r="AJ344" i="47"/>
  <c r="AK344" i="47"/>
  <c r="AL344" i="47"/>
  <c r="AI345" i="47"/>
  <c r="AJ345" i="47"/>
  <c r="AK345" i="47"/>
  <c r="AL345" i="47"/>
  <c r="AN342" i="47"/>
  <c r="AO342" i="47"/>
  <c r="AP342" i="47"/>
  <c r="AQ342" i="47"/>
  <c r="AN343" i="47"/>
  <c r="AO343" i="47"/>
  <c r="AP343" i="47"/>
  <c r="AQ343" i="47"/>
  <c r="AN344" i="47"/>
  <c r="AO344" i="47"/>
  <c r="AP344" i="47"/>
  <c r="AQ344" i="47"/>
  <c r="AN345" i="47"/>
  <c r="AO345" i="47"/>
  <c r="AP345" i="47"/>
  <c r="AQ345" i="47"/>
  <c r="AX342" i="47"/>
  <c r="AY342" i="47"/>
  <c r="AZ342" i="47"/>
  <c r="BA342" i="47"/>
  <c r="BC342" i="47"/>
  <c r="BD342" i="47"/>
  <c r="BE342" i="47"/>
  <c r="BF342" i="47"/>
  <c r="BH342" i="47"/>
  <c r="BI342" i="47"/>
  <c r="BJ342" i="47"/>
  <c r="BK342" i="47"/>
  <c r="BM342" i="47"/>
  <c r="BN342" i="47"/>
  <c r="BO342" i="47"/>
  <c r="BP342" i="47"/>
  <c r="AX344" i="47"/>
  <c r="AY344" i="47"/>
  <c r="AZ344" i="47"/>
  <c r="BA344" i="47"/>
  <c r="AX345" i="47"/>
  <c r="AY345" i="47"/>
  <c r="AZ345" i="47"/>
  <c r="BA345" i="47"/>
  <c r="BC344" i="47"/>
  <c r="BD344" i="47"/>
  <c r="BE344" i="47"/>
  <c r="BF344" i="47"/>
  <c r="BC345" i="47"/>
  <c r="BD345" i="47"/>
  <c r="BE345" i="47"/>
  <c r="BF345" i="47"/>
  <c r="BH344" i="47"/>
  <c r="BI344" i="47"/>
  <c r="BJ344" i="47"/>
  <c r="BK344" i="47"/>
  <c r="BH345" i="47"/>
  <c r="BI345" i="47"/>
  <c r="BJ345" i="47"/>
  <c r="BK345" i="47"/>
  <c r="BM344" i="47"/>
  <c r="BN344" i="47"/>
  <c r="BO344" i="47"/>
  <c r="BP344" i="47"/>
  <c r="BM345" i="47"/>
  <c r="BN345" i="47"/>
  <c r="BO345" i="47"/>
  <c r="BP345" i="47"/>
  <c r="X348" i="47"/>
  <c r="X350" i="47" s="1"/>
  <c r="Y348" i="47"/>
  <c r="Z348" i="47"/>
  <c r="AC348" i="47"/>
  <c r="AD348" i="47"/>
  <c r="AE348" i="47"/>
  <c r="AH348" i="47"/>
  <c r="AH350" i="47" s="1"/>
  <c r="AI348" i="47"/>
  <c r="AM348" i="47"/>
  <c r="AM350" i="47" s="1"/>
  <c r="AR348" i="47"/>
  <c r="AR350" i="47" s="1"/>
  <c r="Y349" i="47"/>
  <c r="Z349" i="47"/>
  <c r="Z350" i="47" s="1"/>
  <c r="AA349" i="47"/>
  <c r="AB349" i="47"/>
  <c r="AD349" i="47"/>
  <c r="AE349" i="47"/>
  <c r="AF349" i="47"/>
  <c r="AG349" i="47"/>
  <c r="AI349" i="47"/>
  <c r="AJ349" i="47"/>
  <c r="AK349" i="47"/>
  <c r="AL349" i="47"/>
  <c r="AN349" i="47"/>
  <c r="AO349" i="47"/>
  <c r="AP349" i="47"/>
  <c r="AQ349" i="47"/>
  <c r="AX349" i="47"/>
  <c r="AY349" i="47"/>
  <c r="AZ349" i="47"/>
  <c r="BA349" i="47"/>
  <c r="BC349" i="47"/>
  <c r="BD349" i="47"/>
  <c r="BE349" i="47"/>
  <c r="BF349" i="47"/>
  <c r="BH349" i="47"/>
  <c r="BI349" i="47"/>
  <c r="BJ349" i="47"/>
  <c r="BK349" i="47"/>
  <c r="BM349" i="47"/>
  <c r="BN349" i="47"/>
  <c r="BO349" i="47"/>
  <c r="BP349" i="47"/>
  <c r="AC350" i="47"/>
  <c r="BB352" i="47"/>
  <c r="BG352" i="47"/>
  <c r="BL352" i="47"/>
  <c r="BQ352" i="47"/>
  <c r="Y354" i="47"/>
  <c r="Z354" i="47"/>
  <c r="AA354" i="47"/>
  <c r="AB354" i="47"/>
  <c r="Y355" i="47"/>
  <c r="Z355" i="47"/>
  <c r="AA355" i="47"/>
  <c r="AB355" i="47"/>
  <c r="Y356" i="47"/>
  <c r="Z356" i="47"/>
  <c r="AA356" i="47"/>
  <c r="AB356" i="47"/>
  <c r="Y357" i="47"/>
  <c r="Z357" i="47"/>
  <c r="AA357" i="47"/>
  <c r="AB357" i="47"/>
  <c r="Y358" i="47"/>
  <c r="Z358" i="47"/>
  <c r="AA358" i="47"/>
  <c r="AB358" i="47"/>
  <c r="AD354" i="47"/>
  <c r="AE354" i="47"/>
  <c r="AF354" i="47"/>
  <c r="AG354" i="47"/>
  <c r="AD355" i="47"/>
  <c r="AE355" i="47"/>
  <c r="AF355" i="47"/>
  <c r="AG355" i="47"/>
  <c r="AD356" i="47"/>
  <c r="AE356" i="47"/>
  <c r="AF356" i="47"/>
  <c r="AG356" i="47"/>
  <c r="AD357" i="47"/>
  <c r="AE357" i="47"/>
  <c r="AF357" i="47"/>
  <c r="AG357" i="47"/>
  <c r="AD358" i="47"/>
  <c r="AE358" i="47"/>
  <c r="AF358" i="47"/>
  <c r="AG358" i="47"/>
  <c r="AI354" i="47"/>
  <c r="AJ354" i="47"/>
  <c r="AK354" i="47"/>
  <c r="AL354" i="47"/>
  <c r="AI355" i="47"/>
  <c r="AJ355" i="47"/>
  <c r="AK355" i="47"/>
  <c r="AL355" i="47"/>
  <c r="AI356" i="47"/>
  <c r="AJ356" i="47"/>
  <c r="AK356" i="47"/>
  <c r="AL356" i="47"/>
  <c r="AI357" i="47"/>
  <c r="AJ357" i="47"/>
  <c r="AK357" i="47"/>
  <c r="AL357" i="47"/>
  <c r="AI358" i="47"/>
  <c r="AJ358" i="47"/>
  <c r="AK358" i="47"/>
  <c r="AL358" i="47"/>
  <c r="AN354" i="47"/>
  <c r="AO354" i="47"/>
  <c r="AP354" i="47"/>
  <c r="AQ354" i="47"/>
  <c r="AN355" i="47"/>
  <c r="AO355" i="47"/>
  <c r="AP355" i="47"/>
  <c r="AQ355" i="47"/>
  <c r="AN356" i="47"/>
  <c r="AO356" i="47"/>
  <c r="AP356" i="47"/>
  <c r="AQ356" i="47"/>
  <c r="AN357" i="47"/>
  <c r="AO357" i="47"/>
  <c r="AP357" i="47"/>
  <c r="AQ357" i="47"/>
  <c r="AN358" i="47"/>
  <c r="AO358" i="47"/>
  <c r="AP358" i="47"/>
  <c r="AQ358" i="47"/>
  <c r="AX354" i="47"/>
  <c r="AY354" i="47"/>
  <c r="AZ354" i="47"/>
  <c r="BA354" i="47"/>
  <c r="AX355" i="47"/>
  <c r="AY355" i="47"/>
  <c r="AZ355" i="47"/>
  <c r="BA355" i="47"/>
  <c r="AX356" i="47"/>
  <c r="AY356" i="47"/>
  <c r="AZ356" i="47"/>
  <c r="BA356" i="47"/>
  <c r="AX357" i="47"/>
  <c r="AY357" i="47"/>
  <c r="AZ357" i="47"/>
  <c r="BA357" i="47"/>
  <c r="BC354" i="47"/>
  <c r="BD354" i="47"/>
  <c r="BE354" i="47"/>
  <c r="BF354" i="47"/>
  <c r="BC355" i="47"/>
  <c r="BD355" i="47"/>
  <c r="BE355" i="47"/>
  <c r="BF355" i="47"/>
  <c r="BC356" i="47"/>
  <c r="BD356" i="47"/>
  <c r="BE356" i="47"/>
  <c r="BF356" i="47"/>
  <c r="BC357" i="47"/>
  <c r="BD357" i="47"/>
  <c r="BE357" i="47"/>
  <c r="BF357" i="47"/>
  <c r="BH354" i="47"/>
  <c r="BI354" i="47"/>
  <c r="BJ354" i="47"/>
  <c r="BK354" i="47"/>
  <c r="BH355" i="47"/>
  <c r="BI355" i="47"/>
  <c r="BJ355" i="47"/>
  <c r="BK355" i="47"/>
  <c r="BH356" i="47"/>
  <c r="BI356" i="47"/>
  <c r="BJ356" i="47"/>
  <c r="BK356" i="47"/>
  <c r="BH357" i="47"/>
  <c r="BI357" i="47"/>
  <c r="BJ357" i="47"/>
  <c r="BK357" i="47"/>
  <c r="BM354" i="47"/>
  <c r="BN354" i="47"/>
  <c r="BO354" i="47"/>
  <c r="BP354" i="47"/>
  <c r="BM355" i="47"/>
  <c r="BN355" i="47"/>
  <c r="BO355" i="47"/>
  <c r="BP355" i="47"/>
  <c r="BM356" i="47"/>
  <c r="BN356" i="47"/>
  <c r="BO356" i="47"/>
  <c r="BP356" i="47"/>
  <c r="BM357" i="47"/>
  <c r="BN357" i="47"/>
  <c r="BO357" i="47"/>
  <c r="BP357" i="47"/>
  <c r="BQ358" i="47"/>
  <c r="X362" i="47"/>
  <c r="X364" i="47"/>
  <c r="Y362" i="47" s="1"/>
  <c r="Y364" i="47"/>
  <c r="Z362" i="47" s="1"/>
  <c r="Z364" i="47"/>
  <c r="AA362" i="47" s="1"/>
  <c r="AA364" i="47"/>
  <c r="AB362" i="47" s="1"/>
  <c r="AC364" i="47"/>
  <c r="AD364" i="47"/>
  <c r="AE364" i="47"/>
  <c r="AF362" i="47" s="1"/>
  <c r="AF364" i="47"/>
  <c r="AG362" i="47" s="1"/>
  <c r="AH364" i="47"/>
  <c r="AM362" i="47" s="1"/>
  <c r="AI364" i="47"/>
  <c r="AJ362" i="47" s="1"/>
  <c r="AJ364" i="47"/>
  <c r="AK362" i="47" s="1"/>
  <c r="AK364" i="47"/>
  <c r="AL362" i="47" s="1"/>
  <c r="AM364" i="47"/>
  <c r="AN364" i="47"/>
  <c r="AO362" i="47" s="1"/>
  <c r="AO364" i="47"/>
  <c r="AP362" i="47" s="1"/>
  <c r="AP364" i="47"/>
  <c r="AQ362" i="47" s="1"/>
  <c r="AR364" i="47"/>
  <c r="AB368" i="47"/>
  <c r="AB364" i="47" s="1"/>
  <c r="AG368" i="47"/>
  <c r="AG364" i="47" s="1"/>
  <c r="AL368" i="47"/>
  <c r="AL364" i="47" s="1"/>
  <c r="AQ368" i="47"/>
  <c r="AQ364" i="47" s="1"/>
  <c r="AB370" i="47"/>
  <c r="AQ370" i="47"/>
  <c r="AB371" i="47"/>
  <c r="AG370" i="47"/>
  <c r="AG372" i="47" s="1"/>
  <c r="AG371" i="47"/>
  <c r="AL370" i="47"/>
  <c r="AL371" i="47"/>
  <c r="AP371" i="47"/>
  <c r="AR371" i="47"/>
  <c r="AR372" i="47" s="1"/>
  <c r="AS371" i="47"/>
  <c r="X372" i="47"/>
  <c r="X381" i="47" s="1"/>
  <c r="AC372" i="47"/>
  <c r="AE372" i="47"/>
  <c r="AF372" i="47"/>
  <c r="AH372" i="47"/>
  <c r="AI372" i="47"/>
  <c r="AJ372" i="47"/>
  <c r="AK372" i="47"/>
  <c r="AM372" i="47"/>
  <c r="AN372" i="47"/>
  <c r="AO372" i="47"/>
  <c r="AP372" i="47"/>
  <c r="AB375" i="47"/>
  <c r="AG375" i="47"/>
  <c r="AL375" i="47"/>
  <c r="AQ375" i="47"/>
  <c r="AB390" i="47"/>
  <c r="AC390" i="47"/>
  <c r="AD390" i="47"/>
  <c r="AE390" i="47"/>
  <c r="AF390" i="47"/>
  <c r="AG390" i="47"/>
  <c r="AH390" i="47"/>
  <c r="AI390" i="47"/>
  <c r="AJ390" i="47"/>
  <c r="AK390" i="47"/>
  <c r="AL390" i="47"/>
  <c r="AM390" i="47"/>
  <c r="AN390" i="47"/>
  <c r="AO390" i="47"/>
  <c r="AP390" i="47"/>
  <c r="AR390" i="47"/>
  <c r="X390" i="47"/>
  <c r="B2" i="45"/>
  <c r="AB8" i="45"/>
  <c r="AG8" i="45"/>
  <c r="AL8" i="45"/>
  <c r="AQ8" i="45"/>
  <c r="Y9" i="45"/>
  <c r="Y10" i="45" s="1"/>
  <c r="Z9" i="45"/>
  <c r="Z10" i="45" s="1"/>
  <c r="AA9" i="45"/>
  <c r="AB9" i="45"/>
  <c r="AD9" i="45"/>
  <c r="AE9" i="45"/>
  <c r="AE10" i="45" s="1"/>
  <c r="AF9" i="45"/>
  <c r="AG9" i="45"/>
  <c r="AG10" i="45" s="1"/>
  <c r="AI9" i="45"/>
  <c r="AN9" i="45"/>
  <c r="AO9" i="45"/>
  <c r="AP9" i="45" s="1"/>
  <c r="X10" i="45"/>
  <c r="AA10" i="45"/>
  <c r="AC10" i="45"/>
  <c r="AD10" i="45"/>
  <c r="AF10" i="45"/>
  <c r="AH10" i="45"/>
  <c r="AM10" i="45"/>
  <c r="AN10" i="45"/>
  <c r="AR10" i="45"/>
  <c r="AS10" i="45"/>
  <c r="AT10" i="45"/>
  <c r="AU10" i="45"/>
  <c r="Y12" i="45"/>
  <c r="Z12" i="45"/>
  <c r="AA12" i="45"/>
  <c r="AB12" i="45"/>
  <c r="Y13" i="45"/>
  <c r="Z13" i="45"/>
  <c r="Z13" i="9" s="1"/>
  <c r="Z57" i="9" s="1"/>
  <c r="AA13" i="45"/>
  <c r="AB13" i="45"/>
  <c r="Y14" i="45"/>
  <c r="Y14" i="9" s="1"/>
  <c r="Z14" i="45"/>
  <c r="Z14" i="9" s="1"/>
  <c r="AA14" i="45"/>
  <c r="AA14" i="9" s="1"/>
  <c r="AB14" i="45"/>
  <c r="AD12" i="45"/>
  <c r="AE12" i="45"/>
  <c r="AF12" i="45"/>
  <c r="AG12" i="45"/>
  <c r="AD13" i="45"/>
  <c r="AE13" i="45"/>
  <c r="AE13" i="9" s="1"/>
  <c r="AE57" i="9" s="1"/>
  <c r="AF13" i="45"/>
  <c r="AG13" i="45"/>
  <c r="AD14" i="45"/>
  <c r="AD14" i="9" s="1"/>
  <c r="AE14" i="45"/>
  <c r="AE14" i="9" s="1"/>
  <c r="AF14" i="45"/>
  <c r="AF14" i="9" s="1"/>
  <c r="AG14" i="45"/>
  <c r="AI12" i="45"/>
  <c r="AJ12" i="45" s="1"/>
  <c r="AI13" i="45"/>
  <c r="AI14" i="45"/>
  <c r="BC12" i="45"/>
  <c r="BH12" i="45" s="1"/>
  <c r="AY12" i="45"/>
  <c r="BD12" i="45" s="1"/>
  <c r="AZ12" i="45"/>
  <c r="BE12" i="45" s="1"/>
  <c r="BJ12" i="45" s="1"/>
  <c r="BO12" i="45" s="1"/>
  <c r="AX14" i="45"/>
  <c r="BC14" i="45" s="1"/>
  <c r="BH14" i="45" s="1"/>
  <c r="AY14" i="45"/>
  <c r="BD14" i="45" s="1"/>
  <c r="AZ14" i="45"/>
  <c r="BE14" i="45" s="1"/>
  <c r="BJ14" i="45" s="1"/>
  <c r="BO14" i="45" s="1"/>
  <c r="AQ12" i="45"/>
  <c r="AQ13" i="45"/>
  <c r="AQ59" i="45" s="1"/>
  <c r="AQ58" i="45" s="1"/>
  <c r="AQ14" i="45"/>
  <c r="X15" i="45"/>
  <c r="AC15" i="45"/>
  <c r="AC17" i="45" s="1"/>
  <c r="AC19" i="45" s="1"/>
  <c r="AC21" i="45" s="1"/>
  <c r="AH15" i="45"/>
  <c r="AM15" i="45"/>
  <c r="AM17" i="45" s="1"/>
  <c r="AN15" i="45"/>
  <c r="AO15" i="45"/>
  <c r="AR15" i="45"/>
  <c r="AS15" i="45"/>
  <c r="AS17" i="45" s="1"/>
  <c r="AT15" i="45"/>
  <c r="AT17" i="45" s="1"/>
  <c r="AU15" i="45"/>
  <c r="AU17" i="45" s="1"/>
  <c r="X17" i="45"/>
  <c r="X19" i="45" s="1"/>
  <c r="X21" i="45" s="1"/>
  <c r="X22" i="45" s="1"/>
  <c r="AH17" i="45"/>
  <c r="AN17" i="45"/>
  <c r="AN19" i="45" s="1"/>
  <c r="AN21" i="45" s="1"/>
  <c r="AN22" i="45" s="1"/>
  <c r="AO17" i="45"/>
  <c r="AO19" i="45" s="1"/>
  <c r="AO21" i="45" s="1"/>
  <c r="AR17" i="45"/>
  <c r="AR19" i="45" s="1"/>
  <c r="AR21" i="45" s="1"/>
  <c r="AR22" i="45" s="1"/>
  <c r="AH19" i="45"/>
  <c r="AH21" i="45" s="1"/>
  <c r="AH26" i="45" s="1"/>
  <c r="Y24" i="45"/>
  <c r="Z24" i="45"/>
  <c r="Z80" i="45" s="1"/>
  <c r="AA24" i="45"/>
  <c r="AB24" i="45"/>
  <c r="AD24" i="45"/>
  <c r="AE24" i="45"/>
  <c r="AE80" i="45" s="1"/>
  <c r="AF24" i="45"/>
  <c r="AG24" i="45"/>
  <c r="AI24" i="45"/>
  <c r="AQ24" i="45"/>
  <c r="Y28" i="45"/>
  <c r="Y28" i="9" s="1"/>
  <c r="Z28" i="45"/>
  <c r="Z28" i="9" s="1"/>
  <c r="AA28" i="45"/>
  <c r="AA28" i="9" s="1"/>
  <c r="AB28" i="45"/>
  <c r="AD28" i="45"/>
  <c r="AD28" i="9" s="1"/>
  <c r="AE28" i="45"/>
  <c r="AE28" i="9" s="1"/>
  <c r="AF28" i="45"/>
  <c r="AF28" i="9" s="1"/>
  <c r="AG28" i="45"/>
  <c r="AI28" i="45"/>
  <c r="AJ28" i="45" s="1"/>
  <c r="AQ28" i="45"/>
  <c r="X31" i="45"/>
  <c r="AB30" i="45"/>
  <c r="AB32" i="45" s="1"/>
  <c r="AB31" i="45"/>
  <c r="AG30" i="45"/>
  <c r="AG31" i="45"/>
  <c r="AL30" i="45"/>
  <c r="AL31" i="45"/>
  <c r="AQ30" i="45"/>
  <c r="AQ31" i="45"/>
  <c r="BB31" i="45"/>
  <c r="BG31" i="45"/>
  <c r="BL31" i="45"/>
  <c r="BQ31" i="45"/>
  <c r="X32" i="45"/>
  <c r="Y32" i="45"/>
  <c r="Z32" i="45"/>
  <c r="AA32" i="45"/>
  <c r="AC32" i="45"/>
  <c r="AD32" i="45"/>
  <c r="AE32" i="45"/>
  <c r="AF32" i="45"/>
  <c r="AH32" i="45"/>
  <c r="AI32" i="45"/>
  <c r="AJ32" i="45"/>
  <c r="AK32" i="45"/>
  <c r="AM32" i="45"/>
  <c r="AN32" i="45"/>
  <c r="AO32" i="45"/>
  <c r="AP32" i="45"/>
  <c r="AR32" i="45"/>
  <c r="AS32" i="45"/>
  <c r="AT32" i="45"/>
  <c r="AU32" i="45"/>
  <c r="X34" i="45"/>
  <c r="Y34" i="45"/>
  <c r="Z34" i="45"/>
  <c r="AA34" i="45"/>
  <c r="AB34" i="45"/>
  <c r="AC34" i="45"/>
  <c r="AD34" i="45"/>
  <c r="AE34" i="45"/>
  <c r="AF34" i="45"/>
  <c r="AG34" i="45"/>
  <c r="AH34" i="45"/>
  <c r="AI34" i="45"/>
  <c r="AJ34" i="45"/>
  <c r="AK34" i="45"/>
  <c r="AL34" i="45"/>
  <c r="AM34" i="45"/>
  <c r="AN34" i="45"/>
  <c r="AO34" i="45"/>
  <c r="AP34" i="45"/>
  <c r="AQ34" i="45"/>
  <c r="AR34" i="45"/>
  <c r="AS34" i="45"/>
  <c r="AT34" i="45"/>
  <c r="AU34" i="45"/>
  <c r="X35" i="45"/>
  <c r="Y35" i="45"/>
  <c r="Y37" i="45" s="1"/>
  <c r="Z35" i="45"/>
  <c r="AA35" i="45"/>
  <c r="AB35" i="45"/>
  <c r="AC35" i="45"/>
  <c r="AC37" i="45" s="1"/>
  <c r="AD35" i="45"/>
  <c r="AE35" i="45"/>
  <c r="AF35" i="45"/>
  <c r="AF37" i="45" s="1"/>
  <c r="AG35" i="45"/>
  <c r="AH35" i="45"/>
  <c r="AI35" i="45"/>
  <c r="AI37" i="45" s="1"/>
  <c r="AJ35" i="45"/>
  <c r="AK35" i="45"/>
  <c r="AK37" i="45" s="1"/>
  <c r="AL35" i="45"/>
  <c r="AM35" i="45"/>
  <c r="AN35" i="45"/>
  <c r="AN37" i="45" s="1"/>
  <c r="AO35" i="45"/>
  <c r="AP35" i="45"/>
  <c r="AQ35" i="45"/>
  <c r="AR35" i="45"/>
  <c r="AS35" i="45"/>
  <c r="AS37" i="45" s="1"/>
  <c r="AT35" i="45"/>
  <c r="AU35" i="45"/>
  <c r="AU37" i="45" s="1"/>
  <c r="Z37" i="45"/>
  <c r="AA37" i="45"/>
  <c r="AD37" i="45"/>
  <c r="AE37" i="45"/>
  <c r="AH37" i="45"/>
  <c r="AM37" i="45"/>
  <c r="AP37" i="45"/>
  <c r="AT37" i="45"/>
  <c r="Z38" i="45"/>
  <c r="AD38" i="45"/>
  <c r="AE38" i="45"/>
  <c r="AM38" i="45"/>
  <c r="AN38" i="45"/>
  <c r="AS38" i="45"/>
  <c r="BA41" i="45"/>
  <c r="AZ41" i="45" s="1"/>
  <c r="AY41" i="45" s="1"/>
  <c r="AX41" i="45" s="1"/>
  <c r="BF41" i="45"/>
  <c r="BE41" i="45" s="1"/>
  <c r="BD41" i="45" s="1"/>
  <c r="BC41" i="45" s="1"/>
  <c r="BK41" i="45"/>
  <c r="BJ41" i="45" s="1"/>
  <c r="BI41" i="45" s="1"/>
  <c r="BH41" i="45" s="1"/>
  <c r="BP41" i="45"/>
  <c r="BO41" i="45" s="1"/>
  <c r="BN41" i="45" s="1"/>
  <c r="BM41" i="45" s="1"/>
  <c r="BW44" i="45"/>
  <c r="Y46" i="45"/>
  <c r="Z46" i="45"/>
  <c r="AA46" i="45"/>
  <c r="AB46" i="45"/>
  <c r="Y47" i="45"/>
  <c r="Z47" i="45"/>
  <c r="AA47" i="45"/>
  <c r="AB47" i="45"/>
  <c r="AD46" i="45"/>
  <c r="AE46" i="45"/>
  <c r="AF46" i="45"/>
  <c r="AG46" i="45"/>
  <c r="AD47" i="45"/>
  <c r="AG47" i="45" s="1"/>
  <c r="AE47" i="45"/>
  <c r="AF47" i="45"/>
  <c r="AI46" i="45"/>
  <c r="AJ46" i="45"/>
  <c r="AK46" i="45"/>
  <c r="AL46" i="45"/>
  <c r="AI47" i="45"/>
  <c r="AJ47" i="45"/>
  <c r="AK47" i="45"/>
  <c r="AN46" i="45"/>
  <c r="AO46" i="45"/>
  <c r="AP46" i="45"/>
  <c r="AQ46" i="45"/>
  <c r="AS46" i="45"/>
  <c r="AT46" i="45"/>
  <c r="AU46" i="45"/>
  <c r="AV46" i="45"/>
  <c r="AX46" i="45"/>
  <c r="AY46" i="45"/>
  <c r="AZ46" i="45"/>
  <c r="BA46" i="45"/>
  <c r="BC46" i="45"/>
  <c r="BD46" i="45"/>
  <c r="BE46" i="45"/>
  <c r="BF46" i="45"/>
  <c r="BH46" i="45"/>
  <c r="BI46" i="45"/>
  <c r="BJ46" i="45"/>
  <c r="BK46" i="45"/>
  <c r="BM46" i="45"/>
  <c r="BN46" i="45"/>
  <c r="BO46" i="45"/>
  <c r="BP46" i="45"/>
  <c r="AN48" i="45"/>
  <c r="AO48" i="45"/>
  <c r="AP48" i="45"/>
  <c r="AQ48" i="45"/>
  <c r="AN49" i="45"/>
  <c r="AO49" i="45"/>
  <c r="AP49" i="45"/>
  <c r="AQ49" i="45"/>
  <c r="AS48" i="45"/>
  <c r="AT48" i="45"/>
  <c r="AU48" i="45"/>
  <c r="AX48" i="45"/>
  <c r="AY48" i="45"/>
  <c r="AZ48" i="45"/>
  <c r="BA48" i="45"/>
  <c r="AX49" i="45"/>
  <c r="AY49" i="45"/>
  <c r="AZ49" i="45"/>
  <c r="BA49" i="45"/>
  <c r="AX50" i="45"/>
  <c r="AY50" i="45"/>
  <c r="AZ50" i="45"/>
  <c r="BA50" i="45"/>
  <c r="AX51" i="45"/>
  <c r="AY51" i="45"/>
  <c r="AZ51" i="45"/>
  <c r="BA51" i="45"/>
  <c r="BC48" i="45"/>
  <c r="BD48" i="45"/>
  <c r="BE48" i="45"/>
  <c r="BF48" i="45"/>
  <c r="BC49" i="45"/>
  <c r="BD49" i="45"/>
  <c r="BE49" i="45"/>
  <c r="BF49" i="45"/>
  <c r="BC50" i="45"/>
  <c r="BD50" i="45"/>
  <c r="BE50" i="45"/>
  <c r="BF50" i="45"/>
  <c r="BC51" i="45"/>
  <c r="BD51" i="45"/>
  <c r="BE51" i="45"/>
  <c r="BF51" i="45"/>
  <c r="BH48" i="45"/>
  <c r="BI48" i="45"/>
  <c r="BJ48" i="45"/>
  <c r="BK48" i="45"/>
  <c r="BH49" i="45"/>
  <c r="BI49" i="45"/>
  <c r="BJ49" i="45"/>
  <c r="BK49" i="45"/>
  <c r="BH50" i="45"/>
  <c r="BI50" i="45"/>
  <c r="BJ50" i="45"/>
  <c r="BK50" i="45"/>
  <c r="BH51" i="45"/>
  <c r="BI51" i="45"/>
  <c r="BJ51" i="45"/>
  <c r="BK51" i="45"/>
  <c r="BM48" i="45"/>
  <c r="BN48" i="45"/>
  <c r="BO48" i="45"/>
  <c r="BP48" i="45"/>
  <c r="Y49" i="45"/>
  <c r="Z49" i="45"/>
  <c r="AA49" i="45"/>
  <c r="AB49" i="45"/>
  <c r="Y50" i="45"/>
  <c r="Z50" i="45"/>
  <c r="AA50" i="45"/>
  <c r="AB50" i="45"/>
  <c r="Y51" i="45"/>
  <c r="Z51" i="45"/>
  <c r="AA51" i="45"/>
  <c r="AB51" i="45"/>
  <c r="Y52" i="45"/>
  <c r="Z52" i="45"/>
  <c r="AA52" i="45"/>
  <c r="AB52" i="45"/>
  <c r="AD50" i="45"/>
  <c r="AE50" i="45"/>
  <c r="AF50" i="45"/>
  <c r="AG50" i="45"/>
  <c r="AD51" i="45"/>
  <c r="AE51" i="45"/>
  <c r="AF51" i="45"/>
  <c r="AG51" i="45"/>
  <c r="AD52" i="45"/>
  <c r="AE52" i="45"/>
  <c r="AF52" i="45"/>
  <c r="AG52" i="45"/>
  <c r="BM50" i="45"/>
  <c r="BN50" i="45"/>
  <c r="BO50" i="45"/>
  <c r="BP50" i="45"/>
  <c r="BM51" i="45"/>
  <c r="BN51" i="45"/>
  <c r="BO51" i="45"/>
  <c r="BP51" i="45"/>
  <c r="BM52" i="45"/>
  <c r="BN52" i="45"/>
  <c r="BO52" i="45"/>
  <c r="BP52" i="45"/>
  <c r="BY44" i="45"/>
  <c r="BY45" i="45"/>
  <c r="AM49" i="45" s="1"/>
  <c r="BY46" i="45"/>
  <c r="AW50" i="45" s="1"/>
  <c r="BY47" i="45"/>
  <c r="BY48" i="45"/>
  <c r="AC48" i="45" s="1"/>
  <c r="AC53" i="45" s="1"/>
  <c r="AC85" i="44" s="1"/>
  <c r="BY49" i="45"/>
  <c r="BY50" i="45"/>
  <c r="AR52" i="45" s="1"/>
  <c r="AI51" i="45"/>
  <c r="AJ51" i="45"/>
  <c r="AK51" i="45"/>
  <c r="AL51" i="45"/>
  <c r="AN51" i="45"/>
  <c r="AO51" i="45"/>
  <c r="AP51" i="45"/>
  <c r="AQ51" i="45"/>
  <c r="AS51" i="45"/>
  <c r="AT51" i="45"/>
  <c r="AU51" i="45"/>
  <c r="AS52" i="45"/>
  <c r="AT52" i="45"/>
  <c r="AU52" i="45"/>
  <c r="BB52" i="45"/>
  <c r="X53" i="45"/>
  <c r="BT53" i="45"/>
  <c r="BT54" i="45"/>
  <c r="X56" i="45"/>
  <c r="AC56" i="45" s="1"/>
  <c r="AH56" i="45" s="1"/>
  <c r="AM56" i="45" s="1"/>
  <c r="AC55" i="45"/>
  <c r="AH55" i="45"/>
  <c r="AM55" i="45"/>
  <c r="AR55" i="45"/>
  <c r="X59" i="45"/>
  <c r="X58" i="45" s="1"/>
  <c r="Z59" i="45"/>
  <c r="Z58" i="45" s="1"/>
  <c r="AB59" i="45"/>
  <c r="AB58" i="45" s="1"/>
  <c r="AC59" i="45"/>
  <c r="AE59" i="45"/>
  <c r="AE58" i="45" s="1"/>
  <c r="AG59" i="45"/>
  <c r="AG58" i="45" s="1"/>
  <c r="AH59" i="45"/>
  <c r="AH58" i="45" s="1"/>
  <c r="AI59" i="45"/>
  <c r="AI58" i="45" s="1"/>
  <c r="AM59" i="45"/>
  <c r="AN59" i="45"/>
  <c r="AN58" i="45" s="1"/>
  <c r="AO59" i="45"/>
  <c r="AO58" i="45" s="1"/>
  <c r="AP59" i="45"/>
  <c r="AP58" i="45" s="1"/>
  <c r="AR59" i="45"/>
  <c r="AR58" i="45" s="1"/>
  <c r="AS59" i="45"/>
  <c r="AT59" i="45"/>
  <c r="AT58" i="45" s="1"/>
  <c r="AU59" i="45"/>
  <c r="AU58" i="45" s="1"/>
  <c r="X61" i="45"/>
  <c r="AC61" i="45"/>
  <c r="AH61" i="45"/>
  <c r="AT69" i="45"/>
  <c r="AU69" i="45" s="1"/>
  <c r="AX69" i="45" s="1"/>
  <c r="AY69" i="45" s="1"/>
  <c r="AZ69" i="45" s="1"/>
  <c r="BA69" i="45" s="1"/>
  <c r="BB69" i="45" s="1"/>
  <c r="BC69" i="45" s="1"/>
  <c r="BD69" i="45" s="1"/>
  <c r="BE69" i="45" s="1"/>
  <c r="BF69" i="45" s="1"/>
  <c r="BG69" i="45" s="1"/>
  <c r="BH69" i="45" s="1"/>
  <c r="BI69" i="45" s="1"/>
  <c r="BJ69" i="45" s="1"/>
  <c r="BK69" i="45" s="1"/>
  <c r="BL69" i="45" s="1"/>
  <c r="BM69" i="45" s="1"/>
  <c r="BN69" i="45" s="1"/>
  <c r="BO69" i="45" s="1"/>
  <c r="BP69" i="45" s="1"/>
  <c r="BQ69" i="45" s="1"/>
  <c r="AQ69" i="45"/>
  <c r="AR69" i="45" s="1"/>
  <c r="Y75" i="45"/>
  <c r="Y76" i="45" s="1"/>
  <c r="Z75" i="45"/>
  <c r="AA75" i="45"/>
  <c r="AA76" i="45" s="1"/>
  <c r="AB75" i="45"/>
  <c r="AB76" i="45" s="1"/>
  <c r="X76" i="45"/>
  <c r="Z76" i="45"/>
  <c r="AC76" i="45"/>
  <c r="Y78" i="45"/>
  <c r="Z78" i="45"/>
  <c r="AA78" i="45"/>
  <c r="AB78" i="45"/>
  <c r="AD78" i="45"/>
  <c r="AE78" i="45"/>
  <c r="AF78" i="45"/>
  <c r="AI78" i="45"/>
  <c r="AJ78" i="45"/>
  <c r="AK78" i="45"/>
  <c r="AN78" i="45"/>
  <c r="AO78" i="45"/>
  <c r="AP78" i="45"/>
  <c r="AS78" i="45"/>
  <c r="X80" i="45"/>
  <c r="X68" i="45" s="1"/>
  <c r="Y80" i="45"/>
  <c r="AA80" i="45"/>
  <c r="AB80" i="45"/>
  <c r="AC80" i="45"/>
  <c r="AD80" i="45"/>
  <c r="AF80" i="45"/>
  <c r="AG80" i="45"/>
  <c r="AH80" i="45"/>
  <c r="AI80" i="45"/>
  <c r="AM80" i="45"/>
  <c r="AN80" i="45"/>
  <c r="AO80" i="45"/>
  <c r="B2" i="8"/>
  <c r="AG8" i="8"/>
  <c r="AG82" i="8" s="1"/>
  <c r="AL8" i="8"/>
  <c r="AQ8" i="8"/>
  <c r="AB8" i="8"/>
  <c r="AB82" i="8" s="1"/>
  <c r="AB76" i="8" s="1"/>
  <c r="AB9" i="8"/>
  <c r="AB101" i="8" s="1"/>
  <c r="AH9" i="8"/>
  <c r="AG9" i="8" s="1"/>
  <c r="AM9" i="8"/>
  <c r="AL9" i="8" s="1"/>
  <c r="AR9" i="8"/>
  <c r="AR15" i="8" s="1"/>
  <c r="AR17" i="8" s="1"/>
  <c r="X10" i="8"/>
  <c r="Y10" i="8"/>
  <c r="Z10" i="8"/>
  <c r="AA10" i="8"/>
  <c r="AC10" i="8"/>
  <c r="AD10" i="8"/>
  <c r="AE10" i="8"/>
  <c r="AF10" i="8"/>
  <c r="AI10" i="8"/>
  <c r="AJ10" i="8"/>
  <c r="AK10" i="8"/>
  <c r="AN10" i="8"/>
  <c r="AO10" i="8"/>
  <c r="AP10" i="8"/>
  <c r="AS10" i="8"/>
  <c r="AT10" i="8"/>
  <c r="AU10" i="8"/>
  <c r="AT13" i="8"/>
  <c r="AB12" i="8"/>
  <c r="AB13" i="8"/>
  <c r="AB156" i="8" s="1"/>
  <c r="AB124" i="8" s="1"/>
  <c r="AB14" i="8"/>
  <c r="AG12" i="8"/>
  <c r="AG13" i="8"/>
  <c r="AG14" i="8"/>
  <c r="AG112" i="8" s="1"/>
  <c r="AL12" i="8"/>
  <c r="AL13" i="8"/>
  <c r="AL14" i="8"/>
  <c r="AQ12" i="8"/>
  <c r="AQ109" i="8" s="1"/>
  <c r="AQ13" i="8"/>
  <c r="AQ221" i="8" s="1"/>
  <c r="AQ14" i="8"/>
  <c r="X15" i="8"/>
  <c r="Y15" i="8"/>
  <c r="Y17" i="8" s="1"/>
  <c r="Z15" i="8"/>
  <c r="Z17" i="8" s="1"/>
  <c r="Z22" i="8" s="1"/>
  <c r="Z23" i="8" s="1"/>
  <c r="AA15" i="8"/>
  <c r="AC15" i="8"/>
  <c r="AD15" i="8"/>
  <c r="AD17" i="8" s="1"/>
  <c r="AD22" i="8" s="1"/>
  <c r="AD23" i="8" s="1"/>
  <c r="AE15" i="8"/>
  <c r="AE17" i="8" s="1"/>
  <c r="AE22" i="8" s="1"/>
  <c r="AF15" i="8"/>
  <c r="AF17" i="8" s="1"/>
  <c r="AI15" i="8"/>
  <c r="AI17" i="8" s="1"/>
  <c r="AJ15" i="8"/>
  <c r="AJ17" i="8" s="1"/>
  <c r="AJ22" i="8" s="1"/>
  <c r="AK15" i="8"/>
  <c r="AM15" i="8"/>
  <c r="AM17" i="8" s="1"/>
  <c r="AN15" i="8"/>
  <c r="AN17" i="8" s="1"/>
  <c r="AO15" i="8"/>
  <c r="AO17" i="8" s="1"/>
  <c r="AO19" i="4" s="1"/>
  <c r="AP15" i="8"/>
  <c r="AS15" i="8"/>
  <c r="AS17" i="8" s="1"/>
  <c r="AT15" i="8"/>
  <c r="AT17" i="8" s="1"/>
  <c r="AT22" i="8" s="1"/>
  <c r="AU15" i="8"/>
  <c r="X17" i="8"/>
  <c r="X22" i="8" s="1"/>
  <c r="AA17" i="8"/>
  <c r="AA22" i="8" s="1"/>
  <c r="AC17" i="8"/>
  <c r="AK17" i="8"/>
  <c r="AK22" i="8" s="1"/>
  <c r="AP17" i="8"/>
  <c r="AP22" i="8" s="1"/>
  <c r="AP23" i="8" s="1"/>
  <c r="AU17" i="8"/>
  <c r="AU22" i="8" s="1"/>
  <c r="AB19" i="8"/>
  <c r="AF19" i="8"/>
  <c r="AL19" i="8"/>
  <c r="AL157" i="8" s="1"/>
  <c r="AQ19" i="8"/>
  <c r="AC20" i="8"/>
  <c r="AD20" i="8"/>
  <c r="AE20" i="8"/>
  <c r="AF20" i="8"/>
  <c r="AH20" i="8"/>
  <c r="AI20" i="8"/>
  <c r="AJ20" i="8"/>
  <c r="AK20" i="8"/>
  <c r="AM20" i="8"/>
  <c r="AN20" i="8"/>
  <c r="AO20" i="8"/>
  <c r="AP20" i="8"/>
  <c r="AR20" i="8"/>
  <c r="AS20" i="8"/>
  <c r="BC20" i="8" s="1"/>
  <c r="BH20" i="8" s="1"/>
  <c r="AT20" i="8"/>
  <c r="AU20" i="8"/>
  <c r="AS22" i="8"/>
  <c r="AS23" i="8" s="1"/>
  <c r="AR25" i="8"/>
  <c r="AQ25" i="8" s="1"/>
  <c r="AX25" i="8"/>
  <c r="BC25" i="8" s="1"/>
  <c r="BH25" i="8" s="1"/>
  <c r="BM25" i="8" s="1"/>
  <c r="AY25" i="8"/>
  <c r="BD25" i="8" s="1"/>
  <c r="BI25" i="8" s="1"/>
  <c r="BN25" i="8" s="1"/>
  <c r="AZ25" i="8"/>
  <c r="BE25" i="8" s="1"/>
  <c r="BJ25" i="8" s="1"/>
  <c r="BO25" i="8" s="1"/>
  <c r="AB25" i="8"/>
  <c r="AB26" i="8"/>
  <c r="AG25" i="8"/>
  <c r="AG26" i="8"/>
  <c r="AI204" i="8" s="1"/>
  <c r="AL25" i="8"/>
  <c r="AL26" i="8"/>
  <c r="AQ26" i="8"/>
  <c r="X27" i="8"/>
  <c r="Y27" i="8"/>
  <c r="Z27" i="8"/>
  <c r="AA27" i="8"/>
  <c r="AC27" i="8"/>
  <c r="AD27" i="8"/>
  <c r="AE27" i="8"/>
  <c r="AF27" i="8"/>
  <c r="AH27" i="8"/>
  <c r="AI27" i="8"/>
  <c r="AJ27" i="8"/>
  <c r="AK27" i="8"/>
  <c r="AM27" i="8"/>
  <c r="AN27" i="8"/>
  <c r="AO27" i="8"/>
  <c r="AP27" i="8"/>
  <c r="AS27" i="8"/>
  <c r="AT27" i="8"/>
  <c r="AU27" i="8"/>
  <c r="AS29" i="8"/>
  <c r="AS60" i="8" s="1"/>
  <c r="AB31" i="8"/>
  <c r="AG31" i="8"/>
  <c r="AL31" i="8"/>
  <c r="AQ31" i="8"/>
  <c r="AT34" i="8"/>
  <c r="AU34" i="8"/>
  <c r="AZ34" i="8" s="1"/>
  <c r="BE34" i="8" s="1"/>
  <c r="BJ34" i="8" s="1"/>
  <c r="BO34" i="8" s="1"/>
  <c r="AX34" i="8"/>
  <c r="BC34" i="8" s="1"/>
  <c r="AB34" i="8"/>
  <c r="AG34" i="8"/>
  <c r="AL34" i="8"/>
  <c r="AQ34" i="8"/>
  <c r="BA34" i="8" s="1"/>
  <c r="BF34" i="8" s="1"/>
  <c r="BK34" i="8" s="1"/>
  <c r="BP34" i="8" s="1"/>
  <c r="AB37" i="8"/>
  <c r="AG37" i="8"/>
  <c r="AL37" i="8"/>
  <c r="AQ37" i="8"/>
  <c r="BB37" i="8"/>
  <c r="BG37" i="8"/>
  <c r="BL37" i="8"/>
  <c r="BQ37" i="8"/>
  <c r="X40" i="8"/>
  <c r="Y40" i="8"/>
  <c r="Z40" i="8"/>
  <c r="AA40" i="8"/>
  <c r="AB40" i="8"/>
  <c r="AC40" i="8"/>
  <c r="AD40" i="8"/>
  <c r="AE40" i="8"/>
  <c r="AF40" i="8"/>
  <c r="AG40" i="8"/>
  <c r="AH40" i="8"/>
  <c r="AI40" i="8"/>
  <c r="AJ40" i="8"/>
  <c r="AK40" i="8"/>
  <c r="AL40" i="8"/>
  <c r="AM40" i="8"/>
  <c r="AN40" i="8"/>
  <c r="AO40" i="8"/>
  <c r="AP40" i="8"/>
  <c r="AQ40" i="8"/>
  <c r="AR40" i="8"/>
  <c r="AS40" i="8"/>
  <c r="AT40" i="8"/>
  <c r="AU40" i="8"/>
  <c r="X41" i="8"/>
  <c r="Y41" i="8"/>
  <c r="Z41" i="8"/>
  <c r="AA41" i="8"/>
  <c r="AB41" i="8"/>
  <c r="AC41" i="8"/>
  <c r="AD41" i="8"/>
  <c r="AE41" i="8"/>
  <c r="AF41" i="8"/>
  <c r="AG41" i="8"/>
  <c r="AH41" i="8"/>
  <c r="AI41" i="8"/>
  <c r="AJ41" i="8"/>
  <c r="AK41" i="8"/>
  <c r="AL41" i="8"/>
  <c r="AM41" i="8"/>
  <c r="AN41" i="8"/>
  <c r="AO41" i="8"/>
  <c r="AP41" i="8"/>
  <c r="AQ41" i="8"/>
  <c r="AR41" i="8"/>
  <c r="AS41" i="8"/>
  <c r="AT41" i="8"/>
  <c r="AU41" i="8"/>
  <c r="BG48" i="8"/>
  <c r="BK48" i="8"/>
  <c r="BL48" i="8"/>
  <c r="BO48" i="8"/>
  <c r="BQ48" i="8"/>
  <c r="AX51" i="8"/>
  <c r="AZ51" i="8"/>
  <c r="AX52" i="8"/>
  <c r="AZ52" i="8"/>
  <c r="BA98" i="8"/>
  <c r="BC50" i="8"/>
  <c r="BD50" i="8"/>
  <c r="BE50" i="8"/>
  <c r="BF50" i="8"/>
  <c r="BC51" i="8"/>
  <c r="BD51" i="8"/>
  <c r="BE51" i="8"/>
  <c r="BF51" i="8"/>
  <c r="BC52" i="8"/>
  <c r="BD52" i="8"/>
  <c r="BE52" i="8"/>
  <c r="BF52" i="8"/>
  <c r="BH50" i="8"/>
  <c r="BI50" i="8"/>
  <c r="BJ50" i="8"/>
  <c r="BK50" i="8"/>
  <c r="BH51" i="8"/>
  <c r="BI51" i="8"/>
  <c r="BJ51" i="8"/>
  <c r="BK51" i="8"/>
  <c r="BH52" i="8"/>
  <c r="BI52" i="8"/>
  <c r="BJ52" i="8"/>
  <c r="BK52" i="8"/>
  <c r="BM50" i="8"/>
  <c r="BN50" i="8"/>
  <c r="BO50" i="8"/>
  <c r="BP50" i="8"/>
  <c r="BM51" i="8"/>
  <c r="BN51" i="8"/>
  <c r="BO51" i="8"/>
  <c r="BP51" i="8"/>
  <c r="BM52" i="8"/>
  <c r="BN52" i="8"/>
  <c r="BO52" i="8"/>
  <c r="BP52" i="8"/>
  <c r="BD56" i="8"/>
  <c r="BD110" i="8" s="1"/>
  <c r="BG56" i="8"/>
  <c r="BH56" i="8"/>
  <c r="BH110" i="8" s="1"/>
  <c r="BL56" i="8"/>
  <c r="BP56" i="8"/>
  <c r="BP110" i="8" s="1"/>
  <c r="BQ56" i="8"/>
  <c r="BA57" i="8"/>
  <c r="AZ57" i="8" s="1"/>
  <c r="BF57" i="8"/>
  <c r="BK57" i="8"/>
  <c r="BJ57" i="8" s="1"/>
  <c r="BI57" i="8" s="1"/>
  <c r="BH57" i="8" s="1"/>
  <c r="BH113" i="8" s="1"/>
  <c r="BP57" i="8"/>
  <c r="AJ62" i="8"/>
  <c r="AX64" i="8"/>
  <c r="AY64" i="8"/>
  <c r="AZ64" i="8"/>
  <c r="BA64" i="8"/>
  <c r="BC64" i="8"/>
  <c r="BD64" i="8"/>
  <c r="BE64" i="8"/>
  <c r="BF64" i="8"/>
  <c r="BH64" i="8"/>
  <c r="BI64" i="8"/>
  <c r="BJ64" i="8"/>
  <c r="BK64" i="8"/>
  <c r="BM64" i="8"/>
  <c r="BN64" i="8"/>
  <c r="BO64" i="8"/>
  <c r="BP64" i="8"/>
  <c r="X75" i="8"/>
  <c r="X78" i="8" s="1"/>
  <c r="AC75" i="8"/>
  <c r="AH75" i="8"/>
  <c r="AH78" i="8" s="1"/>
  <c r="AM75" i="8"/>
  <c r="AR75" i="8"/>
  <c r="AR78" i="8" s="1"/>
  <c r="AM78" i="8"/>
  <c r="X82" i="8"/>
  <c r="Y82" i="8"/>
  <c r="Z82" i="8"/>
  <c r="AA82" i="8"/>
  <c r="AC82" i="8"/>
  <c r="AD82" i="8"/>
  <c r="AE82" i="8"/>
  <c r="AF82" i="8"/>
  <c r="AH82" i="8"/>
  <c r="AI82" i="8"/>
  <c r="AJ82" i="8"/>
  <c r="AK82" i="8"/>
  <c r="AL82" i="8"/>
  <c r="AM82" i="8"/>
  <c r="AM81" i="8" s="1"/>
  <c r="AN82" i="8"/>
  <c r="AO82" i="8"/>
  <c r="AP82" i="8"/>
  <c r="AQ82" i="8"/>
  <c r="AQ79" i="8" s="1"/>
  <c r="AR82" i="8"/>
  <c r="AB85" i="8"/>
  <c r="AB86" i="8"/>
  <c r="AB87" i="8"/>
  <c r="AB88" i="8"/>
  <c r="X89" i="8"/>
  <c r="Y89" i="8"/>
  <c r="Z89" i="8"/>
  <c r="AA89" i="8"/>
  <c r="AC89" i="8"/>
  <c r="AD89" i="8"/>
  <c r="AE89" i="8"/>
  <c r="AF89" i="8"/>
  <c r="AF91" i="8" s="1"/>
  <c r="AF96" i="8" s="1"/>
  <c r="AH89" i="8"/>
  <c r="AH93" i="8" s="1"/>
  <c r="AH48" i="8" s="1"/>
  <c r="AI89" i="8"/>
  <c r="AJ89" i="8"/>
  <c r="AJ91" i="8" s="1"/>
  <c r="AK89" i="8"/>
  <c r="AK93" i="8" s="1"/>
  <c r="AK48" i="8" s="1"/>
  <c r="AM89" i="8"/>
  <c r="AN89" i="8"/>
  <c r="AO89" i="8"/>
  <c r="AP89" i="8"/>
  <c r="AP91" i="8" s="1"/>
  <c r="AR89" i="8"/>
  <c r="AR93" i="8" s="1"/>
  <c r="AR48" i="8" s="1"/>
  <c r="AS89" i="8"/>
  <c r="AT89" i="8"/>
  <c r="AT91" i="8" s="1"/>
  <c r="AT102" i="8" s="1"/>
  <c r="AY102" i="8" s="1"/>
  <c r="BD102" i="8" s="1"/>
  <c r="BI102" i="8" s="1"/>
  <c r="BN102" i="8" s="1"/>
  <c r="AU89" i="8"/>
  <c r="AX90" i="8"/>
  <c r="AY90" i="8"/>
  <c r="AZ90" i="8"/>
  <c r="BE90" i="8" s="1"/>
  <c r="BJ90" i="8" s="1"/>
  <c r="BO90" i="8" s="1"/>
  <c r="BC90" i="8"/>
  <c r="BH90" i="8" s="1"/>
  <c r="BM90" i="8" s="1"/>
  <c r="Y90" i="8"/>
  <c r="AG85" i="8"/>
  <c r="AG86" i="8"/>
  <c r="AG87" i="8"/>
  <c r="AG88" i="8"/>
  <c r="AG90" i="8"/>
  <c r="AL85" i="8"/>
  <c r="AL86" i="8"/>
  <c r="AL87" i="8"/>
  <c r="AL88" i="8"/>
  <c r="AL90" i="8"/>
  <c r="AQ85" i="8"/>
  <c r="AQ86" i="8"/>
  <c r="AQ87" i="8"/>
  <c r="AQ88" i="8"/>
  <c r="AQ90" i="8"/>
  <c r="AC91" i="8"/>
  <c r="AH91" i="8"/>
  <c r="AM91" i="8"/>
  <c r="AR91" i="8"/>
  <c r="AJ93" i="8"/>
  <c r="AJ48" i="8" s="1"/>
  <c r="AM93" i="8"/>
  <c r="AM48" i="8" s="1"/>
  <c r="AT93" i="8"/>
  <c r="AT48" i="8" s="1"/>
  <c r="AH96" i="8"/>
  <c r="AY98" i="8"/>
  <c r="BC98" i="8"/>
  <c r="BH98" i="8"/>
  <c r="BK98" i="8"/>
  <c r="BM98" i="8"/>
  <c r="X101" i="8"/>
  <c r="X104" i="8" s="1"/>
  <c r="Y101" i="8"/>
  <c r="Z101" i="8"/>
  <c r="AA101" i="8"/>
  <c r="AC101" i="8"/>
  <c r="AC102" i="8" s="1"/>
  <c r="AD101" i="8"/>
  <c r="AE101" i="8"/>
  <c r="AF101" i="8"/>
  <c r="AG101" i="8"/>
  <c r="AH101" i="8"/>
  <c r="AI101" i="8"/>
  <c r="AJ101" i="8"/>
  <c r="AK101" i="8"/>
  <c r="AM101" i="8"/>
  <c r="AN101" i="8"/>
  <c r="AO101" i="8"/>
  <c r="AO104" i="8" s="1"/>
  <c r="AP101" i="8"/>
  <c r="AS101" i="8"/>
  <c r="AT101" i="8"/>
  <c r="AU101" i="8"/>
  <c r="AM102" i="8"/>
  <c r="AA104" i="8"/>
  <c r="AE104" i="8"/>
  <c r="AI104" i="8"/>
  <c r="X109" i="8"/>
  <c r="Y109" i="8"/>
  <c r="Z109" i="8"/>
  <c r="AE110" i="8" s="1"/>
  <c r="AE56" i="8" s="1"/>
  <c r="AA109" i="8"/>
  <c r="AB109" i="8"/>
  <c r="AC109" i="8"/>
  <c r="AD109" i="8"/>
  <c r="AE109" i="8"/>
  <c r="AJ110" i="8" s="1"/>
  <c r="AJ56" i="8" s="1"/>
  <c r="AF109" i="8"/>
  <c r="AG109" i="8"/>
  <c r="AH109" i="8"/>
  <c r="AI109" i="8"/>
  <c r="AJ109" i="8"/>
  <c r="AK109" i="8"/>
  <c r="AM109" i="8"/>
  <c r="AN109" i="8"/>
  <c r="AN110" i="8" s="1"/>
  <c r="AN56" i="8" s="1"/>
  <c r="AO109" i="8"/>
  <c r="AO110" i="8" s="1"/>
  <c r="AO56" i="8" s="1"/>
  <c r="AP109" i="8"/>
  <c r="AR109" i="8"/>
  <c r="AR110" i="8" s="1"/>
  <c r="AR56" i="8" s="1"/>
  <c r="AS109" i="8"/>
  <c r="AT109" i="8"/>
  <c r="AU109" i="8"/>
  <c r="X112" i="8"/>
  <c r="Y112" i="8"/>
  <c r="Z112" i="8"/>
  <c r="AA112" i="8"/>
  <c r="AC112" i="8"/>
  <c r="AD112" i="8"/>
  <c r="AD113" i="8" s="1"/>
  <c r="AD57" i="8" s="1"/>
  <c r="AE112" i="8"/>
  <c r="AF112" i="8"/>
  <c r="AH112" i="8"/>
  <c r="AI112" i="8"/>
  <c r="AJ112" i="8"/>
  <c r="AK112" i="8"/>
  <c r="AL112" i="8"/>
  <c r="AM112" i="8"/>
  <c r="AN112" i="8"/>
  <c r="AO112" i="8"/>
  <c r="AP112" i="8"/>
  <c r="AQ112" i="8"/>
  <c r="AR112" i="8"/>
  <c r="AR113" i="8" s="1"/>
  <c r="AR57" i="8" s="1"/>
  <c r="AS112" i="8"/>
  <c r="AT112" i="8"/>
  <c r="AU112" i="8"/>
  <c r="AJ113" i="8"/>
  <c r="AJ57" i="8" s="1"/>
  <c r="AP113" i="8"/>
  <c r="AP57" i="8" s="1"/>
  <c r="BI113" i="8"/>
  <c r="AJ122" i="8"/>
  <c r="AJ118" i="8" s="1"/>
  <c r="X129" i="8"/>
  <c r="AC129" i="8"/>
  <c r="AH129" i="8"/>
  <c r="AM129" i="8"/>
  <c r="AR129" i="8"/>
  <c r="Y132" i="8"/>
  <c r="Y163" i="8" s="1"/>
  <c r="Z132" i="8"/>
  <c r="AA132" i="8"/>
  <c r="AB132" i="8"/>
  <c r="AD132" i="8"/>
  <c r="AD163" i="8" s="1"/>
  <c r="AE132" i="8"/>
  <c r="AF132" i="8"/>
  <c r="AG132" i="8"/>
  <c r="AI132" i="8"/>
  <c r="AI163" i="8" s="1"/>
  <c r="AI165" i="8" s="1"/>
  <c r="AJ132" i="8"/>
  <c r="AK132" i="8"/>
  <c r="AN132" i="8"/>
  <c r="AN220" i="8" s="1"/>
  <c r="AO132" i="8"/>
  <c r="AP132" i="8"/>
  <c r="X136" i="8"/>
  <c r="Y136" i="8"/>
  <c r="Z136" i="8"/>
  <c r="AA136" i="8"/>
  <c r="AB136" i="8"/>
  <c r="AC136" i="8"/>
  <c r="AD136" i="8"/>
  <c r="AE136" i="8"/>
  <c r="AH136" i="8"/>
  <c r="AI136" i="8"/>
  <c r="AJ136" i="8"/>
  <c r="AK136" i="8"/>
  <c r="AM136" i="8"/>
  <c r="AN136" i="8"/>
  <c r="AO136" i="8"/>
  <c r="AP136" i="8"/>
  <c r="AQ136" i="8"/>
  <c r="AR136" i="8"/>
  <c r="BB142" i="8"/>
  <c r="BC151" i="8"/>
  <c r="BD151" i="8"/>
  <c r="BE151" i="8"/>
  <c r="BF151" i="8"/>
  <c r="BK151" i="8" s="1"/>
  <c r="BP151" i="8" s="1"/>
  <c r="BH151" i="8"/>
  <c r="BI151" i="8"/>
  <c r="BN151" i="8" s="1"/>
  <c r="BJ151" i="8"/>
  <c r="BM151" i="8"/>
  <c r="BO151" i="8"/>
  <c r="X156" i="8"/>
  <c r="X124" i="8" s="1"/>
  <c r="Y156" i="8"/>
  <c r="Y124" i="8" s="1"/>
  <c r="Z156" i="8"/>
  <c r="Z124" i="8" s="1"/>
  <c r="AA156" i="8"/>
  <c r="AA124" i="8" s="1"/>
  <c r="AC156" i="8"/>
  <c r="AC124" i="8" s="1"/>
  <c r="AD156" i="8"/>
  <c r="AD124" i="8" s="1"/>
  <c r="AE156" i="8"/>
  <c r="AE124" i="8" s="1"/>
  <c r="AF156" i="8"/>
  <c r="AF124" i="8" s="1"/>
  <c r="AG156" i="8"/>
  <c r="AG124" i="8" s="1"/>
  <c r="AH156" i="8"/>
  <c r="AH124" i="8" s="1"/>
  <c r="AI156" i="8"/>
  <c r="AI124" i="8" s="1"/>
  <c r="AJ156" i="8"/>
  <c r="AJ124" i="8" s="1"/>
  <c r="AK156" i="8"/>
  <c r="AK124" i="8" s="1"/>
  <c r="AL156" i="8"/>
  <c r="AL124" i="8" s="1"/>
  <c r="X157" i="8"/>
  <c r="Y157" i="8"/>
  <c r="Z157" i="8"/>
  <c r="AA157" i="8"/>
  <c r="AB157" i="8"/>
  <c r="AC157" i="8"/>
  <c r="AD157" i="8"/>
  <c r="AE157" i="8"/>
  <c r="AF157" i="8"/>
  <c r="AH157" i="8"/>
  <c r="AI157" i="8"/>
  <c r="AJ157" i="8"/>
  <c r="AK157" i="8"/>
  <c r="AN156" i="8"/>
  <c r="AN124" i="8" s="1"/>
  <c r="AO156" i="8"/>
  <c r="AO124" i="8" s="1"/>
  <c r="AP156" i="8"/>
  <c r="AP124" i="8" s="1"/>
  <c r="AN157" i="8"/>
  <c r="AO157" i="8"/>
  <c r="AP157" i="8"/>
  <c r="AQ157" i="8"/>
  <c r="AS124" i="8"/>
  <c r="AT124" i="8"/>
  <c r="AU124" i="8"/>
  <c r="Y158" i="8"/>
  <c r="Z158" i="8"/>
  <c r="Z222" i="8" s="1"/>
  <c r="AA158" i="8"/>
  <c r="AA222" i="8" s="1"/>
  <c r="AB158" i="8"/>
  <c r="Y159" i="8"/>
  <c r="Z159" i="8"/>
  <c r="AA159" i="8"/>
  <c r="AB159" i="8"/>
  <c r="Y160" i="8"/>
  <c r="Z160" i="8"/>
  <c r="AA160" i="8"/>
  <c r="AB160" i="8"/>
  <c r="AD158" i="8"/>
  <c r="AE158" i="8"/>
  <c r="AE222" i="8" s="1"/>
  <c r="AF158" i="8"/>
  <c r="AF222" i="8" s="1"/>
  <c r="AG158" i="8"/>
  <c r="AG222" i="8" s="1"/>
  <c r="AD159" i="8"/>
  <c r="AE159" i="8"/>
  <c r="AF159" i="8"/>
  <c r="AG159" i="8"/>
  <c r="AD160" i="8"/>
  <c r="AE160" i="8"/>
  <c r="AF160" i="8"/>
  <c r="AG160" i="8"/>
  <c r="AM156" i="8"/>
  <c r="AM124" i="8" s="1"/>
  <c r="AM157" i="8"/>
  <c r="AM158" i="8"/>
  <c r="AR156" i="8"/>
  <c r="AR124" i="8" s="1"/>
  <c r="AR157" i="8"/>
  <c r="AR158" i="8"/>
  <c r="AX158" i="8"/>
  <c r="AX222" i="8" s="1"/>
  <c r="AY158" i="8"/>
  <c r="AY222" i="8" s="1"/>
  <c r="AZ158" i="8"/>
  <c r="BA158" i="8"/>
  <c r="AX159" i="8"/>
  <c r="AY159" i="8"/>
  <c r="AZ159" i="8"/>
  <c r="BA159" i="8"/>
  <c r="AX160" i="8"/>
  <c r="AY160" i="8"/>
  <c r="AZ160" i="8"/>
  <c r="BA160" i="8"/>
  <c r="BC158" i="8"/>
  <c r="BD158" i="8"/>
  <c r="BD222" i="8" s="1"/>
  <c r="BE158" i="8"/>
  <c r="BF158" i="8"/>
  <c r="BC159" i="8"/>
  <c r="BD159" i="8"/>
  <c r="BE159" i="8"/>
  <c r="BF159" i="8"/>
  <c r="BC160" i="8"/>
  <c r="BD160" i="8"/>
  <c r="BE160" i="8"/>
  <c r="BF160" i="8"/>
  <c r="BH158" i="8"/>
  <c r="BH222" i="8" s="1"/>
  <c r="BI158" i="8"/>
  <c r="BI222" i="8" s="1"/>
  <c r="BJ158" i="8"/>
  <c r="BK158" i="8"/>
  <c r="BH159" i="8"/>
  <c r="BI159" i="8"/>
  <c r="BJ159" i="8"/>
  <c r="BK159" i="8"/>
  <c r="BH160" i="8"/>
  <c r="BI160" i="8"/>
  <c r="BJ160" i="8"/>
  <c r="BK160" i="8"/>
  <c r="BM158" i="8"/>
  <c r="BM222" i="8" s="1"/>
  <c r="BN158" i="8"/>
  <c r="BN222" i="8" s="1"/>
  <c r="BO158" i="8"/>
  <c r="BP158" i="8"/>
  <c r="BM159" i="8"/>
  <c r="BN159" i="8"/>
  <c r="BO159" i="8"/>
  <c r="BP159" i="8"/>
  <c r="BM160" i="8"/>
  <c r="BN160" i="8"/>
  <c r="BO160" i="8"/>
  <c r="BP160" i="8"/>
  <c r="AI159" i="8"/>
  <c r="AJ159" i="8"/>
  <c r="AK159" i="8"/>
  <c r="AL159" i="8"/>
  <c r="AI160" i="8"/>
  <c r="AJ160" i="8"/>
  <c r="AK160" i="8"/>
  <c r="AL160" i="8"/>
  <c r="AN159" i="8"/>
  <c r="AO159" i="8"/>
  <c r="AP159" i="8"/>
  <c r="AQ159" i="8"/>
  <c r="AN160" i="8"/>
  <c r="AO160" i="8"/>
  <c r="AP160" i="8"/>
  <c r="AQ160" i="8"/>
  <c r="X163" i="8"/>
  <c r="X165" i="8" s="1"/>
  <c r="Z163" i="8"/>
  <c r="AA163" i="8"/>
  <c r="AC163" i="8"/>
  <c r="AC165" i="8" s="1"/>
  <c r="AE163" i="8"/>
  <c r="AF163" i="8"/>
  <c r="AH163" i="8"/>
  <c r="AH165" i="8" s="1"/>
  <c r="AJ163" i="8"/>
  <c r="AK163" i="8"/>
  <c r="AM163" i="8"/>
  <c r="AN163" i="8"/>
  <c r="AN165" i="8" s="1"/>
  <c r="AO163" i="8"/>
  <c r="AP163" i="8"/>
  <c r="AR163" i="8"/>
  <c r="Y164" i="8"/>
  <c r="Z164" i="8"/>
  <c r="AA164" i="8"/>
  <c r="AA165" i="8" s="1"/>
  <c r="AB164" i="8"/>
  <c r="AD164" i="8"/>
  <c r="AE164" i="8"/>
  <c r="AF164" i="8"/>
  <c r="AG164" i="8"/>
  <c r="AI164" i="8"/>
  <c r="AJ164" i="8"/>
  <c r="AK164" i="8"/>
  <c r="AL164" i="8"/>
  <c r="AN164" i="8"/>
  <c r="AO164" i="8"/>
  <c r="AP164" i="8"/>
  <c r="AP165" i="8" s="1"/>
  <c r="AQ164" i="8"/>
  <c r="AX164" i="8"/>
  <c r="AY164" i="8"/>
  <c r="AZ164" i="8"/>
  <c r="BA164" i="8"/>
  <c r="BC164" i="8"/>
  <c r="BD164" i="8"/>
  <c r="BE164" i="8"/>
  <c r="BF164" i="8"/>
  <c r="BH164" i="8"/>
  <c r="BI164" i="8"/>
  <c r="BJ164" i="8"/>
  <c r="BK164" i="8"/>
  <c r="BM164" i="8"/>
  <c r="BN164" i="8"/>
  <c r="BO164" i="8"/>
  <c r="BP164" i="8"/>
  <c r="AE165" i="8"/>
  <c r="AM165" i="8"/>
  <c r="AR165" i="8"/>
  <c r="BG167" i="8"/>
  <c r="BL167" i="8"/>
  <c r="BQ167" i="8"/>
  <c r="Y169" i="8"/>
  <c r="Z169" i="8"/>
  <c r="AA169" i="8"/>
  <c r="AB169" i="8"/>
  <c r="Y170" i="8"/>
  <c r="Z170" i="8"/>
  <c r="AA170" i="8"/>
  <c r="AB170" i="8"/>
  <c r="Y171" i="8"/>
  <c r="Z171" i="8"/>
  <c r="AA171" i="8"/>
  <c r="AB171" i="8"/>
  <c r="Y172" i="8"/>
  <c r="Z172" i="8"/>
  <c r="AA172" i="8"/>
  <c r="AB172" i="8"/>
  <c r="Y173" i="8"/>
  <c r="Z173" i="8"/>
  <c r="AA173" i="8"/>
  <c r="AB173" i="8"/>
  <c r="AD169" i="8"/>
  <c r="AE169" i="8"/>
  <c r="AF169" i="8"/>
  <c r="AG169" i="8"/>
  <c r="AD170" i="8"/>
  <c r="AE170" i="8"/>
  <c r="AF170" i="8"/>
  <c r="AG170" i="8"/>
  <c r="AD171" i="8"/>
  <c r="AE171" i="8"/>
  <c r="AF171" i="8"/>
  <c r="AG171" i="8"/>
  <c r="AD172" i="8"/>
  <c r="AE172" i="8"/>
  <c r="AF172" i="8"/>
  <c r="AG172" i="8"/>
  <c r="AD173" i="8"/>
  <c r="AE173" i="8"/>
  <c r="AF173" i="8"/>
  <c r="AG173" i="8"/>
  <c r="AI169" i="8"/>
  <c r="AJ169" i="8"/>
  <c r="AK169" i="8"/>
  <c r="AL169" i="8"/>
  <c r="AI170" i="8"/>
  <c r="AJ170" i="8"/>
  <c r="AK170" i="8"/>
  <c r="AL170" i="8"/>
  <c r="AI171" i="8"/>
  <c r="AJ171" i="8"/>
  <c r="AK171" i="8"/>
  <c r="AL171" i="8"/>
  <c r="AI172" i="8"/>
  <c r="AJ172" i="8"/>
  <c r="AK172" i="8"/>
  <c r="AL172" i="8"/>
  <c r="AI173" i="8"/>
  <c r="AJ173" i="8"/>
  <c r="AK173" i="8"/>
  <c r="AL173" i="8"/>
  <c r="AN169" i="8"/>
  <c r="AO169" i="8"/>
  <c r="AP169" i="8"/>
  <c r="AQ169" i="8"/>
  <c r="AN170" i="8"/>
  <c r="AO170" i="8"/>
  <c r="AP170" i="8"/>
  <c r="AQ170" i="8"/>
  <c r="AN171" i="8"/>
  <c r="AO171" i="8"/>
  <c r="AP171" i="8"/>
  <c r="AQ171" i="8"/>
  <c r="AN172" i="8"/>
  <c r="AO172" i="8"/>
  <c r="AP172" i="8"/>
  <c r="AQ172" i="8"/>
  <c r="AN173" i="8"/>
  <c r="AO173" i="8"/>
  <c r="AP173" i="8"/>
  <c r="AQ173" i="8"/>
  <c r="AX169" i="8"/>
  <c r="AY169" i="8"/>
  <c r="AZ169" i="8"/>
  <c r="BA169" i="8"/>
  <c r="AX170" i="8"/>
  <c r="AY170" i="8"/>
  <c r="AZ170" i="8"/>
  <c r="BA170" i="8"/>
  <c r="AX171" i="8"/>
  <c r="AY171" i="8"/>
  <c r="AZ171" i="8"/>
  <c r="BA171" i="8"/>
  <c r="AX172" i="8"/>
  <c r="AY172" i="8"/>
  <c r="AZ172" i="8"/>
  <c r="BA172" i="8"/>
  <c r="AX173" i="8"/>
  <c r="AY173" i="8"/>
  <c r="AZ173" i="8"/>
  <c r="BA173" i="8"/>
  <c r="BC169" i="8"/>
  <c r="BD169" i="8"/>
  <c r="BE169" i="8"/>
  <c r="BF169" i="8"/>
  <c r="BC170" i="8"/>
  <c r="BD170" i="8"/>
  <c r="BE170" i="8"/>
  <c r="BF170" i="8"/>
  <c r="BC171" i="8"/>
  <c r="BD171" i="8"/>
  <c r="BE171" i="8"/>
  <c r="BF171" i="8"/>
  <c r="BC172" i="8"/>
  <c r="BD172" i="8"/>
  <c r="BE172" i="8"/>
  <c r="BF172" i="8"/>
  <c r="BC173" i="8"/>
  <c r="BD173" i="8"/>
  <c r="BE173" i="8"/>
  <c r="BF173" i="8"/>
  <c r="BH169" i="8"/>
  <c r="BI169" i="8"/>
  <c r="BJ169" i="8"/>
  <c r="BK169" i="8"/>
  <c r="BH170" i="8"/>
  <c r="BI170" i="8"/>
  <c r="BJ170" i="8"/>
  <c r="BK170" i="8"/>
  <c r="BH171" i="8"/>
  <c r="BI171" i="8"/>
  <c r="BI125" i="4" s="1"/>
  <c r="BJ171" i="8"/>
  <c r="BJ125" i="4" s="1"/>
  <c r="BK171" i="8"/>
  <c r="BH172" i="8"/>
  <c r="BI172" i="8"/>
  <c r="BJ172" i="8"/>
  <c r="BK172" i="8"/>
  <c r="BH173" i="8"/>
  <c r="BI173" i="8"/>
  <c r="BJ173" i="8"/>
  <c r="BK173" i="8"/>
  <c r="BM169" i="8"/>
  <c r="BN169" i="8"/>
  <c r="BO169" i="8"/>
  <c r="BP169" i="8"/>
  <c r="BM170" i="8"/>
  <c r="BN170" i="8"/>
  <c r="BO170" i="8"/>
  <c r="BP170" i="8"/>
  <c r="BM171" i="8"/>
  <c r="BN171" i="8"/>
  <c r="BO171" i="8"/>
  <c r="BP171" i="8"/>
  <c r="BM172" i="8"/>
  <c r="BN172" i="8"/>
  <c r="BO172" i="8"/>
  <c r="BP172" i="8"/>
  <c r="BM173" i="8"/>
  <c r="BN173" i="8"/>
  <c r="BO173" i="8"/>
  <c r="BP173" i="8"/>
  <c r="AB190" i="8"/>
  <c r="AG190" i="8"/>
  <c r="AL190" i="8"/>
  <c r="AQ190" i="8"/>
  <c r="AF193" i="8"/>
  <c r="AC204" i="8"/>
  <c r="AH204" i="8"/>
  <c r="AJ204" i="8"/>
  <c r="AM204" i="8"/>
  <c r="AR204" i="8"/>
  <c r="X202" i="8"/>
  <c r="X204" i="8"/>
  <c r="AN219" i="8"/>
  <c r="Y220" i="8"/>
  <c r="Z220" i="8"/>
  <c r="AA220" i="8"/>
  <c r="AD220" i="8"/>
  <c r="AE220" i="8"/>
  <c r="AF220" i="8"/>
  <c r="AI220" i="8"/>
  <c r="AJ220" i="8"/>
  <c r="AK220" i="8"/>
  <c r="AO220" i="8"/>
  <c r="AP220" i="8"/>
  <c r="Y221" i="8"/>
  <c r="Z221" i="8"/>
  <c r="AA221" i="8"/>
  <c r="AB221" i="8"/>
  <c r="AD221" i="8"/>
  <c r="AE221" i="8"/>
  <c r="AF221" i="8"/>
  <c r="AG221" i="8"/>
  <c r="AI221" i="8"/>
  <c r="AJ221" i="8"/>
  <c r="AK221" i="8"/>
  <c r="AL221" i="8"/>
  <c r="AN221" i="8"/>
  <c r="AO221" i="8"/>
  <c r="AP221" i="8"/>
  <c r="Y222" i="8"/>
  <c r="AB222" i="8"/>
  <c r="AD222" i="8"/>
  <c r="AI222" i="8"/>
  <c r="AJ222" i="8"/>
  <c r="AK222" i="8"/>
  <c r="AL222" i="8"/>
  <c r="AN222" i="8"/>
  <c r="AO222" i="8"/>
  <c r="AP222" i="8"/>
  <c r="AQ222" i="8"/>
  <c r="AZ222" i="8"/>
  <c r="BA222" i="8"/>
  <c r="BC222" i="8"/>
  <c r="BE222" i="8"/>
  <c r="BF222" i="8"/>
  <c r="BJ222" i="8"/>
  <c r="BK222" i="8"/>
  <c r="BO222" i="8"/>
  <c r="BP222" i="8"/>
  <c r="AR219" i="8"/>
  <c r="AR223" i="8"/>
  <c r="AR228" i="8"/>
  <c r="AW228" i="8"/>
  <c r="BB228" i="8"/>
  <c r="BG228" i="8"/>
  <c r="BL228" i="8"/>
  <c r="Y231" i="8"/>
  <c r="Z231" i="8" s="1"/>
  <c r="AA231" i="8" s="1"/>
  <c r="AB231" i="8" s="1"/>
  <c r="AD231" i="8"/>
  <c r="AE231" i="8" s="1"/>
  <c r="AF231" i="8" s="1"/>
  <c r="AG231" i="8" s="1"/>
  <c r="AH231" i="8"/>
  <c r="AI231" i="8" s="1"/>
  <c r="AK231" i="8"/>
  <c r="AL231" i="8" s="1"/>
  <c r="AM231" i="8" s="1"/>
  <c r="AN231" i="8" s="1"/>
  <c r="AO231" i="8" s="1"/>
  <c r="AP231" i="8" s="1"/>
  <c r="AQ231" i="8" s="1"/>
  <c r="AR231" i="8" s="1"/>
  <c r="AS231" i="8" s="1"/>
  <c r="AT231" i="8" s="1"/>
  <c r="AU231" i="8" s="1"/>
  <c r="AV231" i="8" s="1"/>
  <c r="AW231" i="8" s="1"/>
  <c r="AX231" i="8" s="1"/>
  <c r="AY231" i="8" s="1"/>
  <c r="AZ231" i="8" s="1"/>
  <c r="BA231" i="8" s="1"/>
  <c r="BB231" i="8" s="1"/>
  <c r="BC231" i="8" s="1"/>
  <c r="BD231" i="8" s="1"/>
  <c r="BE231" i="8" s="1"/>
  <c r="BF231" i="8" s="1"/>
  <c r="BG231" i="8" s="1"/>
  <c r="BH231" i="8" s="1"/>
  <c r="BI231" i="8" s="1"/>
  <c r="BJ231" i="8" s="1"/>
  <c r="BK231" i="8" s="1"/>
  <c r="BL231" i="8" s="1"/>
  <c r="BM231" i="8" s="1"/>
  <c r="BN231" i="8" s="1"/>
  <c r="BO231" i="8" s="1"/>
  <c r="BP231" i="8" s="1"/>
  <c r="BQ231" i="8" s="1"/>
  <c r="AK235" i="8"/>
  <c r="AK62" i="8" s="1"/>
  <c r="X235" i="8"/>
  <c r="X62" i="8" s="1"/>
  <c r="AC235" i="8"/>
  <c r="AC62" i="8" s="1"/>
  <c r="B2" i="5"/>
  <c r="AL8" i="5"/>
  <c r="AB8" i="5"/>
  <c r="AB9" i="5"/>
  <c r="AB119" i="5" s="1"/>
  <c r="AG8" i="5"/>
  <c r="AG9" i="5"/>
  <c r="AM9" i="5"/>
  <c r="AL9" i="5" s="1"/>
  <c r="AQ8" i="5"/>
  <c r="AQ99" i="5" s="1"/>
  <c r="AQ88" i="5" s="1"/>
  <c r="AQ9" i="5"/>
  <c r="AQ119" i="5" s="1"/>
  <c r="X10" i="5"/>
  <c r="Y10" i="5"/>
  <c r="Z10" i="5"/>
  <c r="AA10" i="5"/>
  <c r="AC10" i="5"/>
  <c r="AD10" i="5"/>
  <c r="AE10" i="5"/>
  <c r="AF10" i="5"/>
  <c r="AH10" i="5"/>
  <c r="AI10" i="5"/>
  <c r="AJ10" i="5"/>
  <c r="AK10" i="5"/>
  <c r="AM10" i="5"/>
  <c r="AN10" i="5"/>
  <c r="AO10" i="5"/>
  <c r="AP10" i="5"/>
  <c r="AR10" i="5"/>
  <c r="AS10" i="5"/>
  <c r="AT10" i="5"/>
  <c r="AU10" i="5"/>
  <c r="AB12" i="5"/>
  <c r="AB13" i="5"/>
  <c r="AB240" i="5" s="1"/>
  <c r="AB14" i="5"/>
  <c r="AB130" i="5" s="1"/>
  <c r="AG12" i="5"/>
  <c r="AG13" i="5"/>
  <c r="AG14" i="5"/>
  <c r="AG130" i="5" s="1"/>
  <c r="AL12" i="5"/>
  <c r="AL127" i="5" s="1"/>
  <c r="AL128" i="5" s="1"/>
  <c r="AL73" i="5" s="1"/>
  <c r="AL13" i="5"/>
  <c r="AL14" i="5"/>
  <c r="AQ12" i="5"/>
  <c r="AQ127" i="5" s="1"/>
  <c r="AQ13" i="5"/>
  <c r="AQ14" i="5"/>
  <c r="X15" i="5"/>
  <c r="Y15" i="5"/>
  <c r="Y17" i="5" s="1"/>
  <c r="Z15" i="5"/>
  <c r="Z17" i="5" s="1"/>
  <c r="Z23" i="5" s="1"/>
  <c r="Z24" i="5" s="1"/>
  <c r="AA15" i="5"/>
  <c r="AC15" i="5"/>
  <c r="AD15" i="5"/>
  <c r="AE15" i="5"/>
  <c r="AE17" i="5" s="1"/>
  <c r="AE23" i="5" s="1"/>
  <c r="AE24" i="5" s="1"/>
  <c r="AF15" i="5"/>
  <c r="AH15" i="5"/>
  <c r="AH17" i="5" s="1"/>
  <c r="AI15" i="5"/>
  <c r="AI17" i="5" s="1"/>
  <c r="AJ15" i="5"/>
  <c r="AJ17" i="5" s="1"/>
  <c r="AK15" i="5"/>
  <c r="AM15" i="5"/>
  <c r="AM17" i="5" s="1"/>
  <c r="AN15" i="5"/>
  <c r="AN17" i="5" s="1"/>
  <c r="AO15" i="5"/>
  <c r="AO17" i="5" s="1"/>
  <c r="AP15" i="5"/>
  <c r="AR15" i="5"/>
  <c r="AR17" i="5" s="1"/>
  <c r="AS15" i="5"/>
  <c r="AT15" i="5"/>
  <c r="AT17" i="5" s="1"/>
  <c r="AU15" i="5"/>
  <c r="X17" i="5"/>
  <c r="AA17" i="5"/>
  <c r="AC17" i="5"/>
  <c r="AD17" i="5"/>
  <c r="AF17" i="5"/>
  <c r="AK17" i="5"/>
  <c r="AK23" i="5" s="1"/>
  <c r="AP17" i="5"/>
  <c r="AS17" i="5"/>
  <c r="AU17" i="5"/>
  <c r="AB19" i="5"/>
  <c r="AQ19" i="5"/>
  <c r="AQ176" i="5" s="1"/>
  <c r="BC20" i="5"/>
  <c r="X20" i="5"/>
  <c r="X21" i="5" s="1"/>
  <c r="AA20" i="5"/>
  <c r="AA21" i="5" s="1"/>
  <c r="AA23" i="5" s="1"/>
  <c r="AA24" i="5" s="1"/>
  <c r="AC20" i="5"/>
  <c r="AG19" i="5"/>
  <c r="AG20" i="5"/>
  <c r="AG21" i="5" s="1"/>
  <c r="AL19" i="5"/>
  <c r="AL176" i="5" s="1"/>
  <c r="AL20" i="5"/>
  <c r="AP20" i="5"/>
  <c r="AR20" i="5"/>
  <c r="AQ20" i="5" s="1"/>
  <c r="AQ21" i="5" s="1"/>
  <c r="Y21" i="5"/>
  <c r="Z21" i="5"/>
  <c r="AC21" i="5"/>
  <c r="AD21" i="5"/>
  <c r="AE21" i="5"/>
  <c r="AF21" i="5"/>
  <c r="AF23" i="5" s="1"/>
  <c r="AF24" i="5" s="1"/>
  <c r="AH21" i="5"/>
  <c r="AI21" i="5"/>
  <c r="AJ21" i="5"/>
  <c r="AK21" i="5"/>
  <c r="AM21" i="5"/>
  <c r="AN21" i="5"/>
  <c r="AO21" i="5"/>
  <c r="AP21" i="5"/>
  <c r="AS21" i="5"/>
  <c r="AT21" i="5"/>
  <c r="AU21" i="5"/>
  <c r="AU23" i="5" s="1"/>
  <c r="AU24" i="5" s="1"/>
  <c r="AP23" i="5"/>
  <c r="AX26" i="5"/>
  <c r="BC26" i="5" s="1"/>
  <c r="BH26" i="5" s="1"/>
  <c r="BM26" i="5" s="1"/>
  <c r="AY26" i="5"/>
  <c r="AZ26" i="5"/>
  <c r="BE26" i="5" s="1"/>
  <c r="BD26" i="5"/>
  <c r="BI26" i="5" s="1"/>
  <c r="AB26" i="5"/>
  <c r="AB27" i="5"/>
  <c r="AG26" i="5"/>
  <c r="AG27" i="5"/>
  <c r="AL26" i="5"/>
  <c r="AL28" i="5" s="1"/>
  <c r="AL27" i="5"/>
  <c r="AQ26" i="5"/>
  <c r="AQ27" i="5"/>
  <c r="X28" i="5"/>
  <c r="Y28" i="5"/>
  <c r="Z28" i="5"/>
  <c r="AA28" i="5"/>
  <c r="AB28" i="5"/>
  <c r="AC28" i="5"/>
  <c r="AD28" i="5"/>
  <c r="AE28" i="5"/>
  <c r="AF28" i="5"/>
  <c r="AH28" i="5"/>
  <c r="AI28" i="5"/>
  <c r="AJ28" i="5"/>
  <c r="AK28" i="5"/>
  <c r="AM28" i="5"/>
  <c r="AN28" i="5"/>
  <c r="AO28" i="5"/>
  <c r="AP28" i="5"/>
  <c r="AR28" i="5"/>
  <c r="AS28" i="5"/>
  <c r="AT28" i="5"/>
  <c r="AU28" i="5"/>
  <c r="AB32" i="5"/>
  <c r="AG32" i="5"/>
  <c r="AL32" i="5"/>
  <c r="AQ32" i="5"/>
  <c r="AX35" i="5"/>
  <c r="BC35" i="5" s="1"/>
  <c r="BC43" i="4" s="1"/>
  <c r="BC151" i="4" s="1"/>
  <c r="AY35" i="5"/>
  <c r="BD35" i="5" s="1"/>
  <c r="BI35" i="5" s="1"/>
  <c r="BN35" i="5" s="1"/>
  <c r="AZ35" i="5"/>
  <c r="BE35" i="5" s="1"/>
  <c r="BJ35" i="5" s="1"/>
  <c r="BO35" i="5" s="1"/>
  <c r="BB36" i="5"/>
  <c r="BG36" i="5"/>
  <c r="BL36" i="5"/>
  <c r="BQ36" i="5"/>
  <c r="AB35" i="5"/>
  <c r="AB36" i="5"/>
  <c r="AB37" i="5"/>
  <c r="AG35" i="5"/>
  <c r="AG36" i="5"/>
  <c r="AG37" i="5"/>
  <c r="AL35" i="5"/>
  <c r="AL36" i="5"/>
  <c r="AL37" i="5"/>
  <c r="AQ35" i="5"/>
  <c r="AQ36" i="5"/>
  <c r="AQ37" i="5"/>
  <c r="AX37" i="5"/>
  <c r="BC37" i="5" s="1"/>
  <c r="BH37" i="5" s="1"/>
  <c r="AY37" i="5"/>
  <c r="BD37" i="5" s="1"/>
  <c r="BI37" i="5" s="1"/>
  <c r="BN37" i="5" s="1"/>
  <c r="AZ37" i="5"/>
  <c r="BE37" i="5" s="1"/>
  <c r="BJ37" i="5" s="1"/>
  <c r="BO37" i="5" s="1"/>
  <c r="BM37" i="5"/>
  <c r="X40" i="5"/>
  <c r="Y40" i="5"/>
  <c r="AA40" i="5"/>
  <c r="AC40" i="5"/>
  <c r="AG40" i="5"/>
  <c r="AL40" i="5"/>
  <c r="AQ40" i="5"/>
  <c r="BB40" i="5"/>
  <c r="BG40" i="5"/>
  <c r="BL40" i="5"/>
  <c r="BQ40" i="5"/>
  <c r="X43" i="5"/>
  <c r="Y43" i="5"/>
  <c r="Z43" i="5"/>
  <c r="AA43" i="5"/>
  <c r="AB43" i="5"/>
  <c r="AC43" i="5"/>
  <c r="AD43" i="5"/>
  <c r="AE43" i="5"/>
  <c r="AF43" i="5"/>
  <c r="AG43" i="5"/>
  <c r="AH43" i="5"/>
  <c r="AI43" i="5"/>
  <c r="AJ43" i="5"/>
  <c r="AK43" i="5"/>
  <c r="AL43" i="5"/>
  <c r="AM43" i="5"/>
  <c r="AN43" i="5"/>
  <c r="AO43" i="5"/>
  <c r="AP43" i="5"/>
  <c r="AQ43" i="5"/>
  <c r="AR43" i="5"/>
  <c r="AS43" i="5"/>
  <c r="AT43" i="5"/>
  <c r="AU43" i="5"/>
  <c r="X44" i="5"/>
  <c r="Y44" i="5"/>
  <c r="Z44" i="5"/>
  <c r="AA44" i="5"/>
  <c r="AB44" i="5"/>
  <c r="AC44" i="5"/>
  <c r="AD44" i="5"/>
  <c r="AE44" i="5"/>
  <c r="AF44" i="5"/>
  <c r="AG44" i="5"/>
  <c r="AH44" i="5"/>
  <c r="AI44" i="5"/>
  <c r="AJ44" i="5"/>
  <c r="AK44" i="5"/>
  <c r="AL44" i="5"/>
  <c r="AM44" i="5"/>
  <c r="AN44" i="5"/>
  <c r="AO44" i="5"/>
  <c r="AP44" i="5"/>
  <c r="AQ44" i="5"/>
  <c r="AR44" i="5"/>
  <c r="AS44" i="5"/>
  <c r="AT44" i="5"/>
  <c r="AU44" i="5"/>
  <c r="AR51" i="5"/>
  <c r="BB51" i="5"/>
  <c r="BG51" i="5"/>
  <c r="BK51" i="5"/>
  <c r="BL51" i="5"/>
  <c r="BO51" i="5"/>
  <c r="BQ51" i="5"/>
  <c r="AX53" i="5"/>
  <c r="AZ53" i="5"/>
  <c r="BA53" i="5"/>
  <c r="BC53" i="5"/>
  <c r="BD53" i="5"/>
  <c r="BE53" i="5"/>
  <c r="BF53" i="5"/>
  <c r="BC54" i="5"/>
  <c r="BD54" i="5"/>
  <c r="BE54" i="5"/>
  <c r="BF54" i="5"/>
  <c r="BD55" i="5"/>
  <c r="BE55" i="5"/>
  <c r="BF55" i="5"/>
  <c r="BE56" i="5"/>
  <c r="BF56" i="5"/>
  <c r="BC57" i="5"/>
  <c r="BD57" i="5"/>
  <c r="BE57" i="5"/>
  <c r="BF57" i="5"/>
  <c r="BC58" i="5"/>
  <c r="BD58" i="5"/>
  <c r="BE58" i="5"/>
  <c r="BF58" i="5"/>
  <c r="BE59" i="5"/>
  <c r="BF59" i="5"/>
  <c r="BC60" i="5"/>
  <c r="BD60" i="5"/>
  <c r="BE60" i="5"/>
  <c r="BF60" i="5"/>
  <c r="BC61" i="5"/>
  <c r="BD61" i="5"/>
  <c r="BE61" i="5"/>
  <c r="BF61" i="5"/>
  <c r="BC62" i="5"/>
  <c r="BD62" i="5"/>
  <c r="BE62" i="5"/>
  <c r="BF62" i="5"/>
  <c r="BC63" i="5"/>
  <c r="BD63" i="5"/>
  <c r="BE63" i="5"/>
  <c r="BF63" i="5"/>
  <c r="BC64" i="5"/>
  <c r="BD64" i="5"/>
  <c r="BE64" i="5"/>
  <c r="BF64" i="5"/>
  <c r="BC65" i="5"/>
  <c r="BD65" i="5"/>
  <c r="BE65" i="5"/>
  <c r="BF65" i="5"/>
  <c r="BC66" i="5"/>
  <c r="BD66" i="5"/>
  <c r="BE66" i="5"/>
  <c r="BF66" i="5"/>
  <c r="BC67" i="5"/>
  <c r="BD67" i="5"/>
  <c r="BE67" i="5"/>
  <c r="BF67" i="5"/>
  <c r="BH53" i="5"/>
  <c r="BI53" i="5"/>
  <c r="BJ53" i="5"/>
  <c r="BK53" i="5"/>
  <c r="BH54" i="5"/>
  <c r="BI54" i="5"/>
  <c r="BJ54" i="5"/>
  <c r="BK54" i="5"/>
  <c r="BH55" i="5"/>
  <c r="BI55" i="5"/>
  <c r="BJ55" i="5"/>
  <c r="BK55" i="5"/>
  <c r="BH56" i="5"/>
  <c r="BI56" i="5"/>
  <c r="BJ56" i="5"/>
  <c r="BK56" i="5"/>
  <c r="BH57" i="5"/>
  <c r="BI57" i="5"/>
  <c r="BJ57" i="5"/>
  <c r="BK57" i="5"/>
  <c r="BH58" i="5"/>
  <c r="BI58" i="5"/>
  <c r="BJ58" i="5"/>
  <c r="BK58" i="5"/>
  <c r="BH59" i="5"/>
  <c r="BI59" i="5"/>
  <c r="BJ59" i="5"/>
  <c r="BK59" i="5"/>
  <c r="BH60" i="5"/>
  <c r="BI60" i="5"/>
  <c r="BJ60" i="5"/>
  <c r="BK60" i="5"/>
  <c r="BH61" i="5"/>
  <c r="BI61" i="5"/>
  <c r="BJ61" i="5"/>
  <c r="BK61" i="5"/>
  <c r="BH62" i="5"/>
  <c r="BI62" i="5"/>
  <c r="BJ62" i="5"/>
  <c r="BK62" i="5"/>
  <c r="BH63" i="5"/>
  <c r="BI63" i="5"/>
  <c r="BJ63" i="5"/>
  <c r="BK63" i="5"/>
  <c r="BH64" i="5"/>
  <c r="BI64" i="5"/>
  <c r="BJ64" i="5"/>
  <c r="BK64" i="5"/>
  <c r="BH65" i="5"/>
  <c r="BI65" i="5"/>
  <c r="BJ65" i="5"/>
  <c r="BK65" i="5"/>
  <c r="BH66" i="5"/>
  <c r="BI66" i="5"/>
  <c r="BJ66" i="5"/>
  <c r="BK66" i="5"/>
  <c r="BH67" i="5"/>
  <c r="BI67" i="5"/>
  <c r="BJ67" i="5"/>
  <c r="BK67" i="5"/>
  <c r="BM53" i="5"/>
  <c r="BN53" i="5"/>
  <c r="BO53" i="5"/>
  <c r="BP53" i="5"/>
  <c r="BM54" i="5"/>
  <c r="BN54" i="5"/>
  <c r="BO54" i="5"/>
  <c r="BP54" i="5"/>
  <c r="BM55" i="5"/>
  <c r="BN55" i="5"/>
  <c r="BO55" i="5"/>
  <c r="BP55" i="5"/>
  <c r="BM56" i="5"/>
  <c r="BN56" i="5"/>
  <c r="BO56" i="5"/>
  <c r="BP56" i="5"/>
  <c r="BM57" i="5"/>
  <c r="BN57" i="5"/>
  <c r="BO57" i="5"/>
  <c r="BP57" i="5"/>
  <c r="BM58" i="5"/>
  <c r="BN58" i="5"/>
  <c r="BO58" i="5"/>
  <c r="BP58" i="5"/>
  <c r="BM59" i="5"/>
  <c r="BN59" i="5"/>
  <c r="BO59" i="5"/>
  <c r="BP59" i="5"/>
  <c r="BM60" i="5"/>
  <c r="BN60" i="5"/>
  <c r="BO60" i="5"/>
  <c r="BP60" i="5"/>
  <c r="BM61" i="5"/>
  <c r="BN61" i="5"/>
  <c r="BO61" i="5"/>
  <c r="BP61" i="5"/>
  <c r="BM62" i="5"/>
  <c r="BN62" i="5"/>
  <c r="BO62" i="5"/>
  <c r="BP62" i="5"/>
  <c r="BM63" i="5"/>
  <c r="BN63" i="5"/>
  <c r="BO63" i="5"/>
  <c r="BP63" i="5"/>
  <c r="BM64" i="5"/>
  <c r="BN64" i="5"/>
  <c r="BO64" i="5"/>
  <c r="BP64" i="5"/>
  <c r="BM65" i="5"/>
  <c r="BN65" i="5"/>
  <c r="BO65" i="5"/>
  <c r="BP65" i="5"/>
  <c r="BM66" i="5"/>
  <c r="BN66" i="5"/>
  <c r="BO66" i="5"/>
  <c r="BP66" i="5"/>
  <c r="BM67" i="5"/>
  <c r="BN67" i="5"/>
  <c r="BO67" i="5"/>
  <c r="BP67" i="5"/>
  <c r="AY53" i="5"/>
  <c r="AX57" i="5"/>
  <c r="AY57" i="5"/>
  <c r="AZ57" i="5"/>
  <c r="BA57" i="5"/>
  <c r="AX58" i="5"/>
  <c r="AY58" i="5"/>
  <c r="AZ58" i="5"/>
  <c r="BA58" i="5"/>
  <c r="AY62" i="5"/>
  <c r="AZ62" i="5"/>
  <c r="AX62" i="5" s="1"/>
  <c r="BA62" i="5"/>
  <c r="AX63" i="5"/>
  <c r="AY63" i="5"/>
  <c r="AZ63" i="5"/>
  <c r="BA63" i="5"/>
  <c r="AX64" i="5"/>
  <c r="AY64" i="5"/>
  <c r="AZ64" i="5"/>
  <c r="BA64" i="5"/>
  <c r="AX65" i="5"/>
  <c r="AY65" i="5"/>
  <c r="AZ65" i="5"/>
  <c r="BA65" i="5"/>
  <c r="AX66" i="5"/>
  <c r="AY66" i="5"/>
  <c r="AZ66" i="5"/>
  <c r="BA66" i="5"/>
  <c r="AX67" i="5"/>
  <c r="AY67" i="5"/>
  <c r="AZ67" i="5"/>
  <c r="BA67" i="5"/>
  <c r="AX68" i="5"/>
  <c r="BC68" i="5" s="1"/>
  <c r="BH68" i="5" s="1"/>
  <c r="BM68" i="5" s="1"/>
  <c r="AY68" i="5"/>
  <c r="BD68" i="5" s="1"/>
  <c r="BI68" i="5" s="1"/>
  <c r="BN68" i="5" s="1"/>
  <c r="AZ68" i="5"/>
  <c r="BE68" i="5" s="1"/>
  <c r="BJ68" i="5" s="1"/>
  <c r="BO68" i="5" s="1"/>
  <c r="AX70" i="5"/>
  <c r="AY70" i="5"/>
  <c r="AZ70" i="5"/>
  <c r="BA70" i="5"/>
  <c r="BG68" i="5"/>
  <c r="BL68" i="5" s="1"/>
  <c r="BQ68" i="5" s="1"/>
  <c r="BC70" i="5"/>
  <c r="BD70" i="5"/>
  <c r="BE70" i="5"/>
  <c r="BF70" i="5"/>
  <c r="BH70" i="5"/>
  <c r="BI70" i="5"/>
  <c r="BJ70" i="5"/>
  <c r="BK70" i="5"/>
  <c r="BB71" i="5"/>
  <c r="BG71" i="5"/>
  <c r="BL71" i="5"/>
  <c r="BQ71" i="5"/>
  <c r="BE73" i="5"/>
  <c r="BE128" i="5" s="1"/>
  <c r="BG73" i="5"/>
  <c r="BI73" i="5"/>
  <c r="BI128" i="5" s="1"/>
  <c r="BL73" i="5"/>
  <c r="BM73" i="5"/>
  <c r="BM128" i="5" s="1"/>
  <c r="BQ73" i="5"/>
  <c r="BB74" i="5"/>
  <c r="BA74" i="5" s="1"/>
  <c r="AZ74" i="5" s="1"/>
  <c r="BG74" i="5"/>
  <c r="BF74" i="5" s="1"/>
  <c r="BE74" i="5" s="1"/>
  <c r="BD74" i="5" s="1"/>
  <c r="BC74" i="5" s="1"/>
  <c r="BL74" i="5"/>
  <c r="BK74" i="5" s="1"/>
  <c r="BQ74" i="5"/>
  <c r="BP74" i="5" s="1"/>
  <c r="AJ79" i="5"/>
  <c r="AX81" i="5"/>
  <c r="AY81" i="5"/>
  <c r="AZ81" i="5"/>
  <c r="BA81" i="5"/>
  <c r="BC81" i="5"/>
  <c r="BD81" i="5"/>
  <c r="BE81" i="5"/>
  <c r="BF81" i="5"/>
  <c r="BH81" i="5"/>
  <c r="BI81" i="5"/>
  <c r="BJ81" i="5"/>
  <c r="BK81" i="5"/>
  <c r="BM81" i="5"/>
  <c r="BN81" i="5"/>
  <c r="BO81" i="5"/>
  <c r="BP81" i="5"/>
  <c r="X92" i="5"/>
  <c r="X95" i="5" s="1"/>
  <c r="AC92" i="5"/>
  <c r="AH92" i="5"/>
  <c r="AH95" i="5" s="1"/>
  <c r="AM92" i="5"/>
  <c r="AM95" i="5" s="1"/>
  <c r="AR92" i="5"/>
  <c r="AR95" i="5" s="1"/>
  <c r="AC95" i="5"/>
  <c r="AK98" i="5"/>
  <c r="X99" i="5"/>
  <c r="Y99" i="5"/>
  <c r="Z99" i="5"/>
  <c r="AA99" i="5"/>
  <c r="AA122" i="5" s="1"/>
  <c r="AB99" i="5"/>
  <c r="AC99" i="5"/>
  <c r="AC98" i="5" s="1"/>
  <c r="AD99" i="5"/>
  <c r="AE99" i="5"/>
  <c r="AJ110" i="5" s="1"/>
  <c r="AF99" i="5"/>
  <c r="AH99" i="5"/>
  <c r="AI99" i="5"/>
  <c r="AJ99" i="5"/>
  <c r="AJ94" i="5" s="1"/>
  <c r="AK99" i="5"/>
  <c r="AL99" i="5"/>
  <c r="AM99" i="5"/>
  <c r="AM98" i="5" s="1"/>
  <c r="AN99" i="5"/>
  <c r="AO99" i="5"/>
  <c r="AP99" i="5"/>
  <c r="AR99" i="5"/>
  <c r="AS122" i="5"/>
  <c r="AB102" i="5"/>
  <c r="AB103" i="5"/>
  <c r="AB104" i="5"/>
  <c r="AB105" i="5"/>
  <c r="X106" i="5"/>
  <c r="Y106" i="5"/>
  <c r="Z106" i="5"/>
  <c r="AA106" i="5"/>
  <c r="AC106" i="5"/>
  <c r="AC108" i="5" s="1"/>
  <c r="AD106" i="5"/>
  <c r="AE106" i="5"/>
  <c r="AF106" i="5"/>
  <c r="AH106" i="5"/>
  <c r="AH108" i="5" s="1"/>
  <c r="AI106" i="5"/>
  <c r="AJ106" i="5"/>
  <c r="AJ108" i="5" s="1"/>
  <c r="AK106" i="5"/>
  <c r="AM106" i="5"/>
  <c r="AM112" i="5" s="1"/>
  <c r="AM51" i="5" s="1"/>
  <c r="AN106" i="5"/>
  <c r="AO106" i="5"/>
  <c r="AP106" i="5"/>
  <c r="AR106" i="5"/>
  <c r="AR112" i="5" s="1"/>
  <c r="AS106" i="5"/>
  <c r="AT106" i="5"/>
  <c r="AU106" i="5"/>
  <c r="AU108" i="5" s="1"/>
  <c r="AU114" i="5" s="1"/>
  <c r="BC107" i="5"/>
  <c r="BH107" i="5" s="1"/>
  <c r="BM107" i="5" s="1"/>
  <c r="BD107" i="5"/>
  <c r="Y107" i="5"/>
  <c r="Z107" i="5" s="1"/>
  <c r="AG102" i="5"/>
  <c r="AG103" i="5"/>
  <c r="AG104" i="5"/>
  <c r="AG105" i="5"/>
  <c r="AG107" i="5"/>
  <c r="AL102" i="5"/>
  <c r="AL103" i="5"/>
  <c r="AL104" i="5"/>
  <c r="AL105" i="5"/>
  <c r="AL107" i="5"/>
  <c r="AQ102" i="5"/>
  <c r="AQ103" i="5"/>
  <c r="AQ104" i="5"/>
  <c r="AQ105" i="5"/>
  <c r="AQ107" i="5"/>
  <c r="X108" i="5"/>
  <c r="AF108" i="5"/>
  <c r="AF120" i="5" s="1"/>
  <c r="AK108" i="5"/>
  <c r="AM108" i="5"/>
  <c r="AM114" i="5" s="1"/>
  <c r="AP108" i="5"/>
  <c r="AK110" i="5"/>
  <c r="AP110" i="5" s="1"/>
  <c r="AF112" i="5"/>
  <c r="AF51" i="5" s="1"/>
  <c r="AJ112" i="5"/>
  <c r="AJ51" i="5" s="1"/>
  <c r="AK112" i="5"/>
  <c r="AK51" i="5" s="1"/>
  <c r="AP112" i="5"/>
  <c r="AP51" i="5" s="1"/>
  <c r="AU112" i="5"/>
  <c r="AU51" i="5" s="1"/>
  <c r="AK114" i="5"/>
  <c r="X119" i="5"/>
  <c r="Y119" i="5"/>
  <c r="Z119" i="5"/>
  <c r="AA119" i="5"/>
  <c r="AC119" i="5"/>
  <c r="AC122" i="5" s="1"/>
  <c r="AD119" i="5"/>
  <c r="AE119" i="5"/>
  <c r="AF119" i="5"/>
  <c r="AG119" i="5"/>
  <c r="AH119" i="5"/>
  <c r="AI119" i="5"/>
  <c r="AJ119" i="5"/>
  <c r="AK119" i="5"/>
  <c r="AL119" i="5"/>
  <c r="AM119" i="5"/>
  <c r="AN119" i="5"/>
  <c r="AO119" i="5"/>
  <c r="AO122" i="5" s="1"/>
  <c r="AP119" i="5"/>
  <c r="AP120" i="5" s="1"/>
  <c r="AR119" i="5"/>
  <c r="AS119" i="5"/>
  <c r="AT119" i="5"/>
  <c r="AU119" i="5"/>
  <c r="Y122" i="5"/>
  <c r="X127" i="5"/>
  <c r="Y127" i="5"/>
  <c r="Z127" i="5"/>
  <c r="AA127" i="5"/>
  <c r="AB127" i="5"/>
  <c r="AC127" i="5"/>
  <c r="AD127" i="5"/>
  <c r="AE127" i="5"/>
  <c r="AF127" i="5"/>
  <c r="AG127" i="5"/>
  <c r="AI127" i="5"/>
  <c r="AI128" i="5" s="1"/>
  <c r="AI73" i="5" s="1"/>
  <c r="AJ127" i="5"/>
  <c r="AK127" i="5"/>
  <c r="AN127" i="5"/>
  <c r="AO127" i="5"/>
  <c r="AP127" i="5"/>
  <c r="AS127" i="5"/>
  <c r="AT127" i="5"/>
  <c r="AU127" i="5"/>
  <c r="AX128" i="5"/>
  <c r="AY128" i="5"/>
  <c r="AZ128" i="5"/>
  <c r="BA128" i="5"/>
  <c r="X130" i="5"/>
  <c r="Y130" i="5"/>
  <c r="Z130" i="5"/>
  <c r="AA130" i="5"/>
  <c r="AC130" i="5"/>
  <c r="AD130" i="5"/>
  <c r="AE130" i="5"/>
  <c r="AE131" i="5" s="1"/>
  <c r="AE74" i="5" s="1"/>
  <c r="AF130" i="5"/>
  <c r="AI130" i="5"/>
  <c r="AJ130" i="5"/>
  <c r="AK130" i="5"/>
  <c r="AL130" i="5"/>
  <c r="AN130" i="5"/>
  <c r="AN131" i="5" s="1"/>
  <c r="AN74" i="5" s="1"/>
  <c r="AO130" i="5"/>
  <c r="AP130" i="5"/>
  <c r="AQ130" i="5"/>
  <c r="AS130" i="5"/>
  <c r="AT130" i="5"/>
  <c r="AU130" i="5"/>
  <c r="AI131" i="5"/>
  <c r="AI74" i="5" s="1"/>
  <c r="AQ131" i="5"/>
  <c r="AQ74" i="5" s="1"/>
  <c r="BC131" i="5"/>
  <c r="BD131" i="5"/>
  <c r="BE131" i="5"/>
  <c r="BF131" i="5"/>
  <c r="AO137" i="5"/>
  <c r="X142" i="5"/>
  <c r="Y142" i="5"/>
  <c r="Z142" i="5"/>
  <c r="AA142" i="5"/>
  <c r="AB142" i="5"/>
  <c r="AC142" i="5"/>
  <c r="AD142" i="5"/>
  <c r="AE142" i="5"/>
  <c r="AF142" i="5"/>
  <c r="AG142" i="5"/>
  <c r="AH142" i="5"/>
  <c r="AI142" i="5"/>
  <c r="AJ142" i="5"/>
  <c r="AK142" i="5"/>
  <c r="AL142" i="5"/>
  <c r="AM142" i="5"/>
  <c r="AN142" i="5"/>
  <c r="AO142" i="5"/>
  <c r="AP142" i="5"/>
  <c r="AR142" i="5"/>
  <c r="AY144" i="5"/>
  <c r="AZ144" i="5" s="1"/>
  <c r="AY145" i="5"/>
  <c r="AZ145" i="5" s="1"/>
  <c r="BA145" i="5" s="1"/>
  <c r="CB144" i="5"/>
  <c r="BX145" i="5"/>
  <c r="BY145" i="5"/>
  <c r="BZ145" i="5"/>
  <c r="CA145" i="5"/>
  <c r="CB146" i="5"/>
  <c r="Y147" i="5"/>
  <c r="Z147" i="5"/>
  <c r="Z182" i="5" s="1"/>
  <c r="AA147" i="5"/>
  <c r="AB147" i="5"/>
  <c r="AB239" i="5" s="1"/>
  <c r="AD147" i="5"/>
  <c r="AE147" i="5"/>
  <c r="AE239" i="5" s="1"/>
  <c r="AF147" i="5"/>
  <c r="AG147" i="5"/>
  <c r="AI147" i="5"/>
  <c r="AJ147" i="5"/>
  <c r="AJ182" i="5" s="1"/>
  <c r="AK147" i="5"/>
  <c r="AL147" i="5"/>
  <c r="AN147" i="5"/>
  <c r="AO147" i="5"/>
  <c r="AO182" i="5" s="1"/>
  <c r="AP147" i="5"/>
  <c r="AQ147" i="5"/>
  <c r="BX147" i="5"/>
  <c r="BY147" i="5"/>
  <c r="BZ147" i="5"/>
  <c r="CA147" i="5"/>
  <c r="X153" i="5"/>
  <c r="Y153" i="5"/>
  <c r="Z153" i="5"/>
  <c r="AA153" i="5"/>
  <c r="AB153" i="5"/>
  <c r="AC153" i="5"/>
  <c r="AD153" i="5"/>
  <c r="AE153" i="5"/>
  <c r="AF153" i="5"/>
  <c r="AG153" i="5"/>
  <c r="AH153" i="5"/>
  <c r="AI153" i="5"/>
  <c r="AJ153" i="5"/>
  <c r="AK153" i="5"/>
  <c r="AM153" i="5"/>
  <c r="AN153" i="5"/>
  <c r="AO153" i="5"/>
  <c r="AP153" i="5"/>
  <c r="AQ153" i="5"/>
  <c r="AR153" i="5"/>
  <c r="AY154" i="5"/>
  <c r="AZ154" i="5" s="1"/>
  <c r="BA154" i="5" s="1"/>
  <c r="BC154" i="5" s="1"/>
  <c r="BD154" i="5" s="1"/>
  <c r="BE154" i="5" s="1"/>
  <c r="BF154" i="5" s="1"/>
  <c r="BH154" i="5" s="1"/>
  <c r="BI154" i="5" s="1"/>
  <c r="BJ154" i="5" s="1"/>
  <c r="BK154" i="5" s="1"/>
  <c r="BM154" i="5" s="1"/>
  <c r="BN154" i="5" s="1"/>
  <c r="BO154" i="5" s="1"/>
  <c r="BP154" i="5" s="1"/>
  <c r="BC170" i="5"/>
  <c r="BD170" i="5"/>
  <c r="BE170" i="5"/>
  <c r="BF170" i="5"/>
  <c r="BH170" i="5"/>
  <c r="BI170" i="5"/>
  <c r="BJ170" i="5"/>
  <c r="BK170" i="5"/>
  <c r="BM170" i="5"/>
  <c r="BN170" i="5"/>
  <c r="BO170" i="5"/>
  <c r="BP170" i="5"/>
  <c r="X175" i="5"/>
  <c r="Y175" i="5"/>
  <c r="Z175" i="5"/>
  <c r="AA175" i="5"/>
  <c r="AD175" i="5"/>
  <c r="AE175" i="5"/>
  <c r="AF175" i="5"/>
  <c r="AG175" i="5"/>
  <c r="AI175" i="5"/>
  <c r="AJ175" i="5"/>
  <c r="AK175" i="5"/>
  <c r="AL175" i="5"/>
  <c r="X176" i="5"/>
  <c r="Y176" i="5"/>
  <c r="Z176" i="5"/>
  <c r="AA176" i="5"/>
  <c r="AB176" i="5"/>
  <c r="AD176" i="5"/>
  <c r="AE176" i="5"/>
  <c r="AF176" i="5"/>
  <c r="AG176" i="5"/>
  <c r="AI176" i="5"/>
  <c r="AJ176" i="5"/>
  <c r="AK176" i="5"/>
  <c r="AN175" i="5"/>
  <c r="AO175" i="5"/>
  <c r="AP175" i="5"/>
  <c r="AN176" i="5"/>
  <c r="AO176" i="5"/>
  <c r="AP176" i="5"/>
  <c r="Y177" i="5"/>
  <c r="Z177" i="5"/>
  <c r="Z241" i="5" s="1"/>
  <c r="AA177" i="5"/>
  <c r="AB177" i="5"/>
  <c r="Y178" i="5"/>
  <c r="Z178" i="5"/>
  <c r="AA178" i="5"/>
  <c r="AB178" i="5"/>
  <c r="Y179" i="5"/>
  <c r="Z179" i="5"/>
  <c r="AA179" i="5"/>
  <c r="AB179" i="5"/>
  <c r="AD177" i="5"/>
  <c r="AE177" i="5"/>
  <c r="AE241" i="5" s="1"/>
  <c r="AF177" i="5"/>
  <c r="AG177" i="5"/>
  <c r="AD178" i="5"/>
  <c r="AE178" i="5"/>
  <c r="AF178" i="5"/>
  <c r="AG178" i="5"/>
  <c r="AD179" i="5"/>
  <c r="AE179" i="5"/>
  <c r="AF179" i="5"/>
  <c r="AG179" i="5"/>
  <c r="AM177" i="5"/>
  <c r="AR177" i="5"/>
  <c r="AX177" i="5"/>
  <c r="AY177" i="5"/>
  <c r="AZ177" i="5"/>
  <c r="AZ241" i="5" s="1"/>
  <c r="BA177" i="5"/>
  <c r="BA241" i="5" s="1"/>
  <c r="AX178" i="5"/>
  <c r="AY178" i="5"/>
  <c r="AZ178" i="5"/>
  <c r="BA178" i="5"/>
  <c r="AX179" i="5"/>
  <c r="AY179" i="5"/>
  <c r="AZ179" i="5"/>
  <c r="BA179" i="5"/>
  <c r="BC177" i="5"/>
  <c r="BD177" i="5"/>
  <c r="BD241" i="5" s="1"/>
  <c r="BE177" i="5"/>
  <c r="BE241" i="5" s="1"/>
  <c r="BF177" i="5"/>
  <c r="BF241" i="5" s="1"/>
  <c r="BC178" i="5"/>
  <c r="BD178" i="5"/>
  <c r="BE178" i="5"/>
  <c r="BF178" i="5"/>
  <c r="BC179" i="5"/>
  <c r="BD179" i="5"/>
  <c r="BE179" i="5"/>
  <c r="BF179" i="5"/>
  <c r="BH177" i="5"/>
  <c r="BI177" i="5"/>
  <c r="BI241" i="5" s="1"/>
  <c r="BJ177" i="5"/>
  <c r="BJ241" i="5" s="1"/>
  <c r="BK177" i="5"/>
  <c r="BK241" i="5" s="1"/>
  <c r="BH178" i="5"/>
  <c r="BI178" i="5"/>
  <c r="BJ178" i="5"/>
  <c r="BK178" i="5"/>
  <c r="BH179" i="5"/>
  <c r="BI179" i="5"/>
  <c r="BJ179" i="5"/>
  <c r="BK179" i="5"/>
  <c r="BM177" i="5"/>
  <c r="BN177" i="5"/>
  <c r="BN241" i="5" s="1"/>
  <c r="BO177" i="5"/>
  <c r="BO241" i="5" s="1"/>
  <c r="BP177" i="5"/>
  <c r="BP241" i="5" s="1"/>
  <c r="BM178" i="5"/>
  <c r="BN178" i="5"/>
  <c r="BO178" i="5"/>
  <c r="BP178" i="5"/>
  <c r="BM179" i="5"/>
  <c r="BN179" i="5"/>
  <c r="BO179" i="5"/>
  <c r="BP179" i="5"/>
  <c r="AI178" i="5"/>
  <c r="AJ178" i="5"/>
  <c r="AK178" i="5"/>
  <c r="AL178" i="5"/>
  <c r="AI179" i="5"/>
  <c r="AJ179" i="5"/>
  <c r="AK179" i="5"/>
  <c r="AL179" i="5"/>
  <c r="AN178" i="5"/>
  <c r="AO178" i="5"/>
  <c r="AP178" i="5"/>
  <c r="AQ178" i="5"/>
  <c r="AN179" i="5"/>
  <c r="AO179" i="5"/>
  <c r="AP179" i="5"/>
  <c r="AQ179" i="5"/>
  <c r="X182" i="5"/>
  <c r="Y182" i="5"/>
  <c r="AA182" i="5"/>
  <c r="AC182" i="5"/>
  <c r="AD182" i="5"/>
  <c r="AE182" i="5"/>
  <c r="AF182" i="5"/>
  <c r="AF184" i="5" s="1"/>
  <c r="AH182" i="5"/>
  <c r="AH184" i="5" s="1"/>
  <c r="AI182" i="5"/>
  <c r="AK182" i="5"/>
  <c r="AK184" i="5" s="1"/>
  <c r="AM182" i="5"/>
  <c r="AM184" i="5" s="1"/>
  <c r="AN182" i="5"/>
  <c r="AP182" i="5"/>
  <c r="AR182" i="5"/>
  <c r="AR184" i="5" s="1"/>
  <c r="Y183" i="5"/>
  <c r="X183" i="5" s="1"/>
  <c r="X184" i="5" s="1"/>
  <c r="Z183" i="5"/>
  <c r="AA183" i="5"/>
  <c r="AB183" i="5"/>
  <c r="AD183" i="5"/>
  <c r="AE183" i="5"/>
  <c r="AF183" i="5"/>
  <c r="AG183" i="5"/>
  <c r="AI183" i="5"/>
  <c r="AJ183" i="5"/>
  <c r="AK183" i="5"/>
  <c r="AL183" i="5"/>
  <c r="AN183" i="5"/>
  <c r="AO183" i="5"/>
  <c r="AP183" i="5"/>
  <c r="AQ183" i="5"/>
  <c r="AX183" i="5"/>
  <c r="AY183" i="5"/>
  <c r="AZ183" i="5"/>
  <c r="BA183" i="5"/>
  <c r="BC183" i="5"/>
  <c r="BD183" i="5"/>
  <c r="BE183" i="5"/>
  <c r="BF183" i="5"/>
  <c r="BH183" i="5"/>
  <c r="BI183" i="5"/>
  <c r="BJ183" i="5"/>
  <c r="BK183" i="5"/>
  <c r="BM183" i="5"/>
  <c r="BN183" i="5"/>
  <c r="BO183" i="5"/>
  <c r="BP183" i="5"/>
  <c r="AC184" i="5"/>
  <c r="Y188" i="5"/>
  <c r="Z188" i="5"/>
  <c r="AA188" i="5"/>
  <c r="AB188" i="5"/>
  <c r="Y189" i="5"/>
  <c r="Z189" i="5"/>
  <c r="AA189" i="5"/>
  <c r="AB189" i="5"/>
  <c r="Y190" i="5"/>
  <c r="Z190" i="5"/>
  <c r="AA190" i="5"/>
  <c r="AB190" i="5"/>
  <c r="Y191" i="5"/>
  <c r="Z191" i="5"/>
  <c r="AA191" i="5"/>
  <c r="AB191" i="5"/>
  <c r="Y192" i="5"/>
  <c r="Z192" i="5"/>
  <c r="AA192" i="5"/>
  <c r="AB192" i="5"/>
  <c r="AD188" i="5"/>
  <c r="AE188" i="5"/>
  <c r="AF188" i="5"/>
  <c r="AG188" i="5"/>
  <c r="AD189" i="5"/>
  <c r="AE189" i="5"/>
  <c r="AF189" i="5"/>
  <c r="AG189" i="5"/>
  <c r="AD190" i="5"/>
  <c r="AE190" i="5"/>
  <c r="AF190" i="5"/>
  <c r="AG190" i="5"/>
  <c r="AD191" i="5"/>
  <c r="AE191" i="5"/>
  <c r="AF191" i="5"/>
  <c r="AG191" i="5"/>
  <c r="AD192" i="5"/>
  <c r="AE192" i="5"/>
  <c r="AF192" i="5"/>
  <c r="AG192" i="5"/>
  <c r="AI188" i="5"/>
  <c r="AJ188" i="5"/>
  <c r="AK188" i="5"/>
  <c r="AL188" i="5"/>
  <c r="AI189" i="5"/>
  <c r="AJ189" i="5"/>
  <c r="AK189" i="5"/>
  <c r="AL189" i="5"/>
  <c r="AI190" i="5"/>
  <c r="AJ190" i="5"/>
  <c r="AK190" i="5"/>
  <c r="AL190" i="5"/>
  <c r="AI191" i="5"/>
  <c r="AJ191" i="5"/>
  <c r="AK191" i="5"/>
  <c r="AL191" i="5"/>
  <c r="AI192" i="5"/>
  <c r="AJ192" i="5"/>
  <c r="AK192" i="5"/>
  <c r="AL192" i="5"/>
  <c r="AN188" i="5"/>
  <c r="AO188" i="5"/>
  <c r="AP188" i="5"/>
  <c r="AQ188" i="5"/>
  <c r="AN189" i="5"/>
  <c r="AO189" i="5"/>
  <c r="AP189" i="5"/>
  <c r="AQ189" i="5"/>
  <c r="AN190" i="5"/>
  <c r="AO190" i="5"/>
  <c r="AP190" i="5"/>
  <c r="AQ190" i="5"/>
  <c r="AN191" i="5"/>
  <c r="AO191" i="5"/>
  <c r="AP191" i="5"/>
  <c r="AQ191" i="5"/>
  <c r="AN192" i="5"/>
  <c r="AO192" i="5"/>
  <c r="AP192" i="5"/>
  <c r="AQ192" i="5"/>
  <c r="AX188" i="5"/>
  <c r="AY188" i="5"/>
  <c r="AZ188" i="5"/>
  <c r="BA188" i="5"/>
  <c r="AX189" i="5"/>
  <c r="AY189" i="5"/>
  <c r="AZ189" i="5"/>
  <c r="BA189" i="5"/>
  <c r="BC188" i="5"/>
  <c r="BD188" i="5"/>
  <c r="BE188" i="5"/>
  <c r="BF188" i="5"/>
  <c r="BC189" i="5"/>
  <c r="BD189" i="5"/>
  <c r="BE189" i="5"/>
  <c r="BF189" i="5"/>
  <c r="BH188" i="5"/>
  <c r="BI188" i="5"/>
  <c r="BJ188" i="5"/>
  <c r="BK188" i="5"/>
  <c r="BH189" i="5"/>
  <c r="BI189" i="5"/>
  <c r="BJ189" i="5"/>
  <c r="BK189" i="5"/>
  <c r="BM188" i="5"/>
  <c r="BN188" i="5"/>
  <c r="BO188" i="5"/>
  <c r="BP188" i="5"/>
  <c r="BM189" i="5"/>
  <c r="BN189" i="5"/>
  <c r="BO189" i="5"/>
  <c r="BP189" i="5"/>
  <c r="AX190" i="5"/>
  <c r="BD190" i="5"/>
  <c r="BF190" i="5"/>
  <c r="BJ190" i="5"/>
  <c r="AX191" i="5"/>
  <c r="AY191" i="5"/>
  <c r="AZ191" i="5"/>
  <c r="BA191" i="5"/>
  <c r="AX192" i="5"/>
  <c r="AY192" i="5"/>
  <c r="AZ192" i="5"/>
  <c r="BA192" i="5"/>
  <c r="BC191" i="5"/>
  <c r="BD191" i="5"/>
  <c r="BE191" i="5"/>
  <c r="BF191" i="5"/>
  <c r="BC192" i="5"/>
  <c r="BD192" i="5"/>
  <c r="BE192" i="5"/>
  <c r="BF192" i="5"/>
  <c r="BH191" i="5"/>
  <c r="BI191" i="5"/>
  <c r="BJ191" i="5"/>
  <c r="BK191" i="5"/>
  <c r="BH192" i="5"/>
  <c r="BI192" i="5"/>
  <c r="BJ192" i="5"/>
  <c r="BK192" i="5"/>
  <c r="BM191" i="5"/>
  <c r="BN191" i="5"/>
  <c r="BO191" i="5"/>
  <c r="BP191" i="5"/>
  <c r="BM192" i="5"/>
  <c r="BN192" i="5"/>
  <c r="BO192" i="5"/>
  <c r="BP192" i="5"/>
  <c r="AC194" i="5"/>
  <c r="AH194" i="5"/>
  <c r="AM194" i="5"/>
  <c r="AR194" i="5"/>
  <c r="BB194" i="5"/>
  <c r="BG194" i="5"/>
  <c r="BL194" i="5"/>
  <c r="BQ194" i="5"/>
  <c r="X196" i="5"/>
  <c r="Y202" i="5"/>
  <c r="Y198" i="5" s="1"/>
  <c r="AN204" i="5"/>
  <c r="AB209" i="5"/>
  <c r="AG209" i="5"/>
  <c r="AL209" i="5"/>
  <c r="AQ209" i="5"/>
  <c r="AO212" i="5"/>
  <c r="AB223" i="5"/>
  <c r="AC223" i="5"/>
  <c r="AD223" i="5"/>
  <c r="AE223" i="5"/>
  <c r="AF223" i="5"/>
  <c r="AH223" i="5"/>
  <c r="AL223" i="5"/>
  <c r="AM223" i="5"/>
  <c r="AN223" i="5"/>
  <c r="AO223" i="5"/>
  <c r="AP223" i="5"/>
  <c r="AR223" i="5"/>
  <c r="X223" i="5"/>
  <c r="Y239" i="5"/>
  <c r="AA239" i="5"/>
  <c r="AD239" i="5"/>
  <c r="AF239" i="5"/>
  <c r="AI239" i="5"/>
  <c r="AK239" i="5"/>
  <c r="Y240" i="5"/>
  <c r="Z240" i="5"/>
  <c r="AA240" i="5"/>
  <c r="AD240" i="5"/>
  <c r="AE240" i="5"/>
  <c r="AF240" i="5"/>
  <c r="AG240" i="5"/>
  <c r="AI240" i="5"/>
  <c r="AJ240" i="5"/>
  <c r="AK240" i="5"/>
  <c r="AL240" i="5"/>
  <c r="Y241" i="5"/>
  <c r="AA241" i="5"/>
  <c r="AB241" i="5"/>
  <c r="AD241" i="5"/>
  <c r="AF241" i="5"/>
  <c r="AG241" i="5"/>
  <c r="AI241" i="5"/>
  <c r="AJ241" i="5"/>
  <c r="AK241" i="5"/>
  <c r="AL241" i="5"/>
  <c r="AN238" i="5"/>
  <c r="AN239" i="5"/>
  <c r="AP239" i="5"/>
  <c r="AN240" i="5"/>
  <c r="AO240" i="5"/>
  <c r="AP240" i="5"/>
  <c r="AQ240" i="5"/>
  <c r="AR240" i="5" s="1"/>
  <c r="AN241" i="5"/>
  <c r="AO241" i="5"/>
  <c r="AP241" i="5"/>
  <c r="AQ241" i="5"/>
  <c r="AR241" i="5" s="1"/>
  <c r="AS241" i="5"/>
  <c r="AT241" i="5"/>
  <c r="AU241" i="5"/>
  <c r="AX241" i="5"/>
  <c r="AY241" i="5"/>
  <c r="BC241" i="5"/>
  <c r="BH241" i="5"/>
  <c r="BM241" i="5"/>
  <c r="AM242" i="5"/>
  <c r="AR238" i="5"/>
  <c r="AR242" i="5"/>
  <c r="AN243" i="5"/>
  <c r="AO238" i="5" s="1"/>
  <c r="AR247" i="5"/>
  <c r="AW247" i="5"/>
  <c r="BB247" i="5"/>
  <c r="BG247" i="5"/>
  <c r="BL247" i="5"/>
  <c r="Y250" i="5"/>
  <c r="Z250" i="5" s="1"/>
  <c r="AA250" i="5" s="1"/>
  <c r="AB250" i="5" s="1"/>
  <c r="AD250" i="5"/>
  <c r="AE250" i="5" s="1"/>
  <c r="AF250" i="5" s="1"/>
  <c r="AG250" i="5" s="1"/>
  <c r="AH250" i="5" s="1"/>
  <c r="AI250" i="5" s="1"/>
  <c r="AK250" i="5"/>
  <c r="AL250" i="5" s="1"/>
  <c r="AM250" i="5" s="1"/>
  <c r="AN250" i="5" s="1"/>
  <c r="AO250" i="5" s="1"/>
  <c r="AP250" i="5" s="1"/>
  <c r="AQ250" i="5" s="1"/>
  <c r="AR250" i="5" s="1"/>
  <c r="AX250" i="5" s="1"/>
  <c r="AY250" i="5" s="1"/>
  <c r="AZ250" i="5" s="1"/>
  <c r="BA250" i="5" s="1"/>
  <c r="BB250" i="5" s="1"/>
  <c r="BC250" i="5" s="1"/>
  <c r="BD250" i="5" s="1"/>
  <c r="AK254" i="5"/>
  <c r="AK79" i="5" s="1"/>
  <c r="X254" i="5"/>
  <c r="X79" i="5" s="1"/>
  <c r="AC254" i="5"/>
  <c r="AC79" i="5" s="1"/>
  <c r="B2" i="44"/>
  <c r="N5" i="44"/>
  <c r="S5" i="44" s="1"/>
  <c r="X5" i="44" s="1"/>
  <c r="Z8" i="44"/>
  <c r="AA8" i="44"/>
  <c r="AB8" i="44"/>
  <c r="AD8" i="44"/>
  <c r="AG8" i="44"/>
  <c r="AF8" i="44" s="1"/>
  <c r="AE8" i="44" s="1"/>
  <c r="AI8" i="44"/>
  <c r="AJ8" i="44"/>
  <c r="AL8" i="44"/>
  <c r="AK8" i="44" s="1"/>
  <c r="AQ8" i="44"/>
  <c r="AP8" i="44" s="1"/>
  <c r="AO8" i="44" s="1"/>
  <c r="AN8" i="44" s="1"/>
  <c r="AV8" i="44"/>
  <c r="AU8" i="44" s="1"/>
  <c r="AT8" i="44" s="1"/>
  <c r="AS8" i="44" s="1"/>
  <c r="BA8" i="44"/>
  <c r="AZ8" i="44" s="1"/>
  <c r="AY8" i="44" s="1"/>
  <c r="AX8" i="44" s="1"/>
  <c r="BF8" i="44"/>
  <c r="BK8" i="44"/>
  <c r="BJ8" i="44" s="1"/>
  <c r="BI8" i="44" s="1"/>
  <c r="BH8" i="44" s="1"/>
  <c r="BH48" i="8" s="1"/>
  <c r="BP8" i="44"/>
  <c r="BO8" i="44" s="1"/>
  <c r="BN8" i="44" s="1"/>
  <c r="BM8" i="44" s="1"/>
  <c r="BM48" i="8" s="1"/>
  <c r="AB10" i="44"/>
  <c r="AA10" i="44" s="1"/>
  <c r="AG10" i="44"/>
  <c r="AF10" i="44" s="1"/>
  <c r="AE10" i="44" s="1"/>
  <c r="AD10" i="44" s="1"/>
  <c r="AL10" i="44"/>
  <c r="AK10" i="44" s="1"/>
  <c r="AJ10" i="44" s="1"/>
  <c r="AI10" i="44" s="1"/>
  <c r="AQ10" i="44"/>
  <c r="AP10" i="44" s="1"/>
  <c r="AO10" i="44" s="1"/>
  <c r="AN10" i="44" s="1"/>
  <c r="AV10" i="44"/>
  <c r="AU10" i="44" s="1"/>
  <c r="AT10" i="44" s="1"/>
  <c r="AS10" i="44" s="1"/>
  <c r="BA10" i="44"/>
  <c r="BF10" i="44"/>
  <c r="BE10" i="44" s="1"/>
  <c r="BD10" i="44" s="1"/>
  <c r="BC10" i="44" s="1"/>
  <c r="BC73" i="5" s="1"/>
  <c r="BC128" i="5" s="1"/>
  <c r="BK10" i="44"/>
  <c r="BJ10" i="44" s="1"/>
  <c r="BI10" i="44" s="1"/>
  <c r="BH10" i="44" s="1"/>
  <c r="BH73" i="5" s="1"/>
  <c r="BH128" i="5" s="1"/>
  <c r="BP10" i="44"/>
  <c r="BO10" i="44" s="1"/>
  <c r="BN10" i="44" s="1"/>
  <c r="BM10" i="44" s="1"/>
  <c r="BM56" i="8" s="1"/>
  <c r="BM110" i="8" s="1"/>
  <c r="AW15" i="44"/>
  <c r="X19" i="44"/>
  <c r="AC19" i="44"/>
  <c r="AH19" i="44"/>
  <c r="AH25" i="44" s="1"/>
  <c r="AH243" i="5" s="1"/>
  <c r="AI238" i="5" s="1"/>
  <c r="X24" i="44"/>
  <c r="X25" i="44" s="1"/>
  <c r="X243" i="5" s="1"/>
  <c r="AC238" i="5" s="1"/>
  <c r="AC24" i="44"/>
  <c r="AM25" i="44"/>
  <c r="AR25" i="44"/>
  <c r="AX25" i="44"/>
  <c r="AX26" i="44" s="1"/>
  <c r="AY25" i="44"/>
  <c r="AZ25" i="44"/>
  <c r="BA25" i="44"/>
  <c r="BA26" i="44" s="1"/>
  <c r="BC25" i="44"/>
  <c r="BD25" i="44"/>
  <c r="BE25" i="44"/>
  <c r="BF25" i="44"/>
  <c r="BH25" i="44"/>
  <c r="BI25" i="44"/>
  <c r="BJ25" i="44"/>
  <c r="BK25" i="44"/>
  <c r="BM25" i="44"/>
  <c r="BN25" i="44"/>
  <c r="BO25" i="44"/>
  <c r="BP25" i="44"/>
  <c r="AZ26" i="44"/>
  <c r="X30" i="44"/>
  <c r="X224" i="8" s="1"/>
  <c r="AC219" i="8" s="1"/>
  <c r="AC226" i="8" s="1"/>
  <c r="AC30" i="44"/>
  <c r="AC224" i="8" s="1"/>
  <c r="AD219" i="8" s="1"/>
  <c r="AH30" i="44"/>
  <c r="AH224" i="8" s="1"/>
  <c r="AM30" i="44"/>
  <c r="AR30" i="44"/>
  <c r="AX30" i="44"/>
  <c r="AY30" i="44"/>
  <c r="AZ30" i="44"/>
  <c r="BA30" i="44"/>
  <c r="BC30" i="44"/>
  <c r="BD30" i="44"/>
  <c r="BE30" i="44"/>
  <c r="BF30" i="44"/>
  <c r="BH30" i="44"/>
  <c r="BI30" i="44"/>
  <c r="BJ30" i="44"/>
  <c r="BK30" i="44"/>
  <c r="BM30" i="44"/>
  <c r="BN30" i="44"/>
  <c r="BO30" i="44"/>
  <c r="BP30" i="44"/>
  <c r="X32" i="44"/>
  <c r="AC32" i="44"/>
  <c r="AH32" i="44"/>
  <c r="X43" i="44"/>
  <c r="AH43" i="44"/>
  <c r="AM43" i="44"/>
  <c r="AR43" i="44"/>
  <c r="X48" i="44"/>
  <c r="AC48" i="44"/>
  <c r="AH48" i="44"/>
  <c r="AM48" i="44"/>
  <c r="AR48" i="44"/>
  <c r="X50" i="44"/>
  <c r="AC50" i="44"/>
  <c r="AH50" i="44"/>
  <c r="AM50" i="44"/>
  <c r="AR50" i="44"/>
  <c r="X54" i="44"/>
  <c r="X55" i="44"/>
  <c r="X56" i="44"/>
  <c r="AC54" i="44"/>
  <c r="AC55" i="44"/>
  <c r="AC56" i="44"/>
  <c r="AH54" i="44"/>
  <c r="AH59" i="44" s="1"/>
  <c r="AH55" i="44"/>
  <c r="AH56" i="44"/>
  <c r="AM54" i="44"/>
  <c r="AM55" i="44"/>
  <c r="AM56" i="44"/>
  <c r="AR54" i="44"/>
  <c r="AR55" i="44"/>
  <c r="AR56" i="44"/>
  <c r="X61" i="44"/>
  <c r="AC61" i="44"/>
  <c r="AC64" i="44" s="1"/>
  <c r="AH61" i="44"/>
  <c r="AM61" i="44"/>
  <c r="AM64" i="44" s="1"/>
  <c r="AR61" i="44"/>
  <c r="X64" i="44"/>
  <c r="AH64" i="44"/>
  <c r="AR64" i="44"/>
  <c r="X71" i="44"/>
  <c r="X78" i="44" s="1"/>
  <c r="AC71" i="44"/>
  <c r="AC78" i="44" s="1"/>
  <c r="AH71" i="44"/>
  <c r="AH72" i="44"/>
  <c r="AM72" i="44" s="1"/>
  <c r="AR72" i="44" s="1"/>
  <c r="AR71" i="44"/>
  <c r="X80" i="44"/>
  <c r="AC80" i="44"/>
  <c r="AH80" i="44"/>
  <c r="AM80" i="44"/>
  <c r="X83" i="44"/>
  <c r="AC83" i="44"/>
  <c r="AH83" i="44"/>
  <c r="AM83" i="44"/>
  <c r="AR82" i="44"/>
  <c r="BB83" i="44"/>
  <c r="BB132" i="8" s="1"/>
  <c r="AX132" i="8" s="1"/>
  <c r="AX163" i="8" s="1"/>
  <c r="AX165" i="8" s="1"/>
  <c r="BG83" i="44"/>
  <c r="BG132" i="8" s="1"/>
  <c r="BL83" i="44"/>
  <c r="BQ83" i="44" s="1"/>
  <c r="BQ132" i="8" s="1"/>
  <c r="BQ163" i="8" s="1"/>
  <c r="BQ165" i="8" s="1"/>
  <c r="BB85" i="44"/>
  <c r="BG85" i="44"/>
  <c r="BL85" i="44"/>
  <c r="X85" i="44"/>
  <c r="X86" i="44"/>
  <c r="AC86" i="44"/>
  <c r="AH86" i="44"/>
  <c r="AR85" i="44"/>
  <c r="BQ85" i="44"/>
  <c r="BQ86" i="44"/>
  <c r="BQ87" i="44"/>
  <c r="BQ61" i="9" s="1"/>
  <c r="BO61" i="9" s="1"/>
  <c r="X96" i="44"/>
  <c r="Y96" i="44"/>
  <c r="Z96" i="44"/>
  <c r="AA96" i="44"/>
  <c r="AB96" i="44"/>
  <c r="AC96" i="44"/>
  <c r="AD96" i="44"/>
  <c r="AE96" i="44"/>
  <c r="AF96" i="44"/>
  <c r="AH96" i="44"/>
  <c r="AI96" i="44"/>
  <c r="AJ96" i="44"/>
  <c r="AK96" i="44"/>
  <c r="AM96" i="44"/>
  <c r="AN96" i="44"/>
  <c r="AO96" i="44"/>
  <c r="AP96" i="44"/>
  <c r="AR96" i="44"/>
  <c r="AS96" i="44"/>
  <c r="AT96" i="44"/>
  <c r="AU96" i="44"/>
  <c r="X98" i="44"/>
  <c r="Y98" i="44"/>
  <c r="Z98" i="44"/>
  <c r="AA98" i="44"/>
  <c r="AC98" i="44"/>
  <c r="AD98" i="44"/>
  <c r="AE98" i="44"/>
  <c r="AF98" i="44"/>
  <c r="AG98" i="44"/>
  <c r="AH98" i="44"/>
  <c r="AI98" i="44"/>
  <c r="AJ98" i="44"/>
  <c r="AK98" i="44"/>
  <c r="AM98" i="44"/>
  <c r="AN98" i="44"/>
  <c r="AO98" i="44"/>
  <c r="AP98" i="44"/>
  <c r="AQ98" i="44"/>
  <c r="AS98" i="44"/>
  <c r="AT98" i="44"/>
  <c r="AU98" i="44"/>
  <c r="AV98" i="44"/>
  <c r="AX98" i="44"/>
  <c r="AY98" i="44"/>
  <c r="AZ98" i="44"/>
  <c r="BA98" i="44"/>
  <c r="BC98" i="44"/>
  <c r="BD98" i="44"/>
  <c r="BE98" i="44"/>
  <c r="BF98" i="44"/>
  <c r="BH98" i="44"/>
  <c r="BI98" i="44"/>
  <c r="BJ98" i="44"/>
  <c r="BK98" i="44"/>
  <c r="BM98" i="44"/>
  <c r="BN98" i="44"/>
  <c r="BO98" i="44"/>
  <c r="BP98" i="44"/>
  <c r="AB103" i="44"/>
  <c r="AB104" i="44"/>
  <c r="AB105" i="44"/>
  <c r="AB106" i="44"/>
  <c r="AB107" i="44"/>
  <c r="AB108" i="44"/>
  <c r="AG103" i="44"/>
  <c r="AG104" i="44"/>
  <c r="AG105" i="44"/>
  <c r="AG106" i="44"/>
  <c r="AG107" i="44"/>
  <c r="AG108" i="44"/>
  <c r="AL103" i="44"/>
  <c r="AL104" i="44"/>
  <c r="AL105" i="44"/>
  <c r="AL106" i="44"/>
  <c r="AL107" i="44"/>
  <c r="AL108" i="44"/>
  <c r="AQ103" i="44"/>
  <c r="AQ104" i="44"/>
  <c r="AQ105" i="44"/>
  <c r="AQ106" i="44"/>
  <c r="AQ107" i="44"/>
  <c r="AQ108" i="44"/>
  <c r="X109" i="44"/>
  <c r="X202" i="5" s="1"/>
  <c r="X198" i="5" s="1"/>
  <c r="Y109" i="44"/>
  <c r="Z109" i="44"/>
  <c r="Z202" i="5" s="1"/>
  <c r="Z198" i="5" s="1"/>
  <c r="AA109" i="44"/>
  <c r="AA202" i="5" s="1"/>
  <c r="AA198" i="5" s="1"/>
  <c r="AB196" i="5" s="1"/>
  <c r="AC109" i="44"/>
  <c r="AC202" i="5" s="1"/>
  <c r="AB202" i="5" s="1"/>
  <c r="AB198" i="5" s="1"/>
  <c r="AD109" i="44"/>
  <c r="AD202" i="5" s="1"/>
  <c r="AD198" i="5" s="1"/>
  <c r="AE109" i="44"/>
  <c r="AE202" i="5" s="1"/>
  <c r="AE198" i="5" s="1"/>
  <c r="AF196" i="5" s="1"/>
  <c r="AF109" i="44"/>
  <c r="AF202" i="5" s="1"/>
  <c r="AF198" i="5" s="1"/>
  <c r="AH109" i="44"/>
  <c r="AH202" i="5" s="1"/>
  <c r="AG202" i="5" s="1"/>
  <c r="AG198" i="5" s="1"/>
  <c r="AI109" i="44"/>
  <c r="AI202" i="5" s="1"/>
  <c r="AI198" i="5" s="1"/>
  <c r="AJ196" i="5" s="1"/>
  <c r="AJ109" i="44"/>
  <c r="AJ202" i="5" s="1"/>
  <c r="AJ198" i="5" s="1"/>
  <c r="AK109" i="44"/>
  <c r="AK202" i="5" s="1"/>
  <c r="AK198" i="5" s="1"/>
  <c r="AM109" i="44"/>
  <c r="AM202" i="5" s="1"/>
  <c r="AL202" i="5" s="1"/>
  <c r="AL198" i="5" s="1"/>
  <c r="AN109" i="44"/>
  <c r="AN202" i="5" s="1"/>
  <c r="AN198" i="5" s="1"/>
  <c r="AO109" i="44"/>
  <c r="AO202" i="5" s="1"/>
  <c r="AO198" i="5" s="1"/>
  <c r="AP109" i="44"/>
  <c r="AP202" i="5" s="1"/>
  <c r="AP198" i="5" s="1"/>
  <c r="AR109" i="44"/>
  <c r="AR202" i="5" s="1"/>
  <c r="AQ202" i="5" s="1"/>
  <c r="AQ198" i="5" s="1"/>
  <c r="AS109" i="44"/>
  <c r="AT109" i="44"/>
  <c r="AU109" i="44"/>
  <c r="AQ111" i="44"/>
  <c r="X112" i="44"/>
  <c r="Y112" i="44"/>
  <c r="Y114" i="44" s="1"/>
  <c r="Y183" i="8" s="1"/>
  <c r="Y179" i="8" s="1"/>
  <c r="Z112" i="44"/>
  <c r="Z114" i="44" s="1"/>
  <c r="Z183" i="8" s="1"/>
  <c r="Z179" i="8" s="1"/>
  <c r="AA112" i="44"/>
  <c r="AA114" i="44" s="1"/>
  <c r="AA183" i="8" s="1"/>
  <c r="AA179" i="8" s="1"/>
  <c r="AC112" i="44"/>
  <c r="AD112" i="44"/>
  <c r="AD114" i="44" s="1"/>
  <c r="AD183" i="8" s="1"/>
  <c r="AD179" i="8" s="1"/>
  <c r="AE112" i="44"/>
  <c r="AE114" i="44" s="1"/>
  <c r="AE183" i="8" s="1"/>
  <c r="AE179" i="8" s="1"/>
  <c r="AF112" i="44"/>
  <c r="AF114" i="44" s="1"/>
  <c r="AF183" i="8" s="1"/>
  <c r="AF179" i="8" s="1"/>
  <c r="AH112" i="44"/>
  <c r="AH114" i="44" s="1"/>
  <c r="AH183" i="8" s="1"/>
  <c r="AH179" i="8" s="1"/>
  <c r="AI112" i="44"/>
  <c r="AI114" i="44" s="1"/>
  <c r="AI183" i="8" s="1"/>
  <c r="AI179" i="8" s="1"/>
  <c r="AJ112" i="44"/>
  <c r="AK112" i="44"/>
  <c r="AM112" i="44"/>
  <c r="AL112" i="44" s="1"/>
  <c r="AN112" i="44"/>
  <c r="AN114" i="44" s="1"/>
  <c r="AN183" i="8" s="1"/>
  <c r="AN179" i="8" s="1"/>
  <c r="AO177" i="8" s="1"/>
  <c r="AO112" i="44"/>
  <c r="AO114" i="44" s="1"/>
  <c r="AO183" i="8" s="1"/>
  <c r="AO179" i="8" s="1"/>
  <c r="AP112" i="44"/>
  <c r="AR112" i="44"/>
  <c r="AQ112" i="44" s="1"/>
  <c r="AS112" i="44"/>
  <c r="AS114" i="44" s="1"/>
  <c r="AT112" i="44"/>
  <c r="AT114" i="44" s="1"/>
  <c r="AU112" i="44"/>
  <c r="AU114" i="44" s="1"/>
  <c r="AB111" i="44"/>
  <c r="AB112" i="44"/>
  <c r="AB113" i="44"/>
  <c r="AG111" i="44"/>
  <c r="AG112" i="44"/>
  <c r="AG113" i="44"/>
  <c r="AG114" i="44" s="1"/>
  <c r="AL111" i="44"/>
  <c r="AL113" i="44"/>
  <c r="AR113" i="44"/>
  <c r="AQ113" i="44" s="1"/>
  <c r="X114" i="44"/>
  <c r="X183" i="8" s="1"/>
  <c r="X179" i="8" s="1"/>
  <c r="AC177" i="8" s="1"/>
  <c r="AC114" i="44"/>
  <c r="AC183" i="8" s="1"/>
  <c r="AC179" i="8" s="1"/>
  <c r="AJ114" i="44"/>
  <c r="AJ183" i="8" s="1"/>
  <c r="AJ179" i="8" s="1"/>
  <c r="AK114" i="44"/>
  <c r="AK183" i="8" s="1"/>
  <c r="AK179" i="8" s="1"/>
  <c r="AM114" i="44"/>
  <c r="AM183" i="8" s="1"/>
  <c r="AP114" i="44"/>
  <c r="AP183" i="8" s="1"/>
  <c r="AP179" i="8" s="1"/>
  <c r="AP118" i="44"/>
  <c r="AP123" i="44" s="1"/>
  <c r="AP204" i="5" s="1"/>
  <c r="AU120" i="44"/>
  <c r="AB117" i="44"/>
  <c r="AB118" i="44"/>
  <c r="AB119" i="44"/>
  <c r="AB120" i="44"/>
  <c r="AB121" i="44"/>
  <c r="AB122" i="44"/>
  <c r="AG117" i="44"/>
  <c r="AG118" i="44"/>
  <c r="AG119" i="44"/>
  <c r="AG120" i="44"/>
  <c r="AG121" i="44"/>
  <c r="AG122" i="44"/>
  <c r="AL117" i="44"/>
  <c r="AL118" i="44"/>
  <c r="AL119" i="44"/>
  <c r="AL120" i="44"/>
  <c r="AL121" i="44"/>
  <c r="AL122" i="44"/>
  <c r="AQ117" i="44"/>
  <c r="AQ118" i="44"/>
  <c r="AQ119" i="44"/>
  <c r="AQ120" i="44"/>
  <c r="AQ121" i="44"/>
  <c r="AQ122" i="44"/>
  <c r="X123" i="44"/>
  <c r="X204" i="5" s="1"/>
  <c r="Y123" i="44"/>
  <c r="Y204" i="5" s="1"/>
  <c r="Z123" i="44"/>
  <c r="Z204" i="5" s="1"/>
  <c r="AA123" i="44"/>
  <c r="AA204" i="5" s="1"/>
  <c r="AC123" i="44"/>
  <c r="AC204" i="5" s="1"/>
  <c r="AB204" i="5" s="1"/>
  <c r="AD123" i="44"/>
  <c r="AD204" i="5" s="1"/>
  <c r="AE123" i="44"/>
  <c r="AE204" i="5" s="1"/>
  <c r="AF123" i="44"/>
  <c r="AF204" i="5" s="1"/>
  <c r="AH123" i="44"/>
  <c r="AH204" i="5" s="1"/>
  <c r="AG204" i="5" s="1"/>
  <c r="AI123" i="44"/>
  <c r="AI204" i="5" s="1"/>
  <c r="AJ123" i="44"/>
  <c r="AJ204" i="5" s="1"/>
  <c r="AK123" i="44"/>
  <c r="AK204" i="5" s="1"/>
  <c r="AM123" i="44"/>
  <c r="AM204" i="5" s="1"/>
  <c r="AN123" i="44"/>
  <c r="AO123" i="44"/>
  <c r="AO204" i="5" s="1"/>
  <c r="AR123" i="44"/>
  <c r="AR204" i="5" s="1"/>
  <c r="AS123" i="44"/>
  <c r="AT123" i="44"/>
  <c r="AU123" i="44"/>
  <c r="AQ125" i="44"/>
  <c r="AQ126" i="44"/>
  <c r="AB125" i="44"/>
  <c r="AB126" i="44"/>
  <c r="AB128" i="44" s="1"/>
  <c r="AB127" i="44"/>
  <c r="AG125" i="44"/>
  <c r="AG126" i="44"/>
  <c r="AG127" i="44"/>
  <c r="AG128" i="44" s="1"/>
  <c r="AL125" i="44"/>
  <c r="AL126" i="44"/>
  <c r="AL127" i="44"/>
  <c r="AQ127" i="44"/>
  <c r="AR127" i="44"/>
  <c r="AR128" i="44" s="1"/>
  <c r="AR185" i="8" s="1"/>
  <c r="X128" i="44"/>
  <c r="X185" i="8" s="1"/>
  <c r="Y128" i="44"/>
  <c r="Y185" i="8" s="1"/>
  <c r="Z128" i="44"/>
  <c r="Z185" i="8" s="1"/>
  <c r="AA128" i="44"/>
  <c r="AA185" i="8" s="1"/>
  <c r="AC128" i="44"/>
  <c r="AC185" i="8" s="1"/>
  <c r="AD128" i="44"/>
  <c r="AD185" i="8" s="1"/>
  <c r="AE128" i="44"/>
  <c r="AE185" i="8" s="1"/>
  <c r="AF128" i="44"/>
  <c r="AF185" i="8" s="1"/>
  <c r="AH128" i="44"/>
  <c r="AH185" i="8" s="1"/>
  <c r="AG185" i="8" s="1"/>
  <c r="AI128" i="44"/>
  <c r="AI185" i="8" s="1"/>
  <c r="AJ128" i="44"/>
  <c r="AJ185" i="8" s="1"/>
  <c r="AK128" i="44"/>
  <c r="AK185" i="8" s="1"/>
  <c r="AM128" i="44"/>
  <c r="AM185" i="8" s="1"/>
  <c r="AL185" i="8" s="1"/>
  <c r="AN128" i="44"/>
  <c r="AN185" i="8" s="1"/>
  <c r="AO128" i="44"/>
  <c r="AO185" i="8" s="1"/>
  <c r="AP128" i="44"/>
  <c r="AP185" i="8" s="1"/>
  <c r="AT128" i="44"/>
  <c r="AU128" i="44"/>
  <c r="X131" i="44"/>
  <c r="Y131" i="44"/>
  <c r="Z131" i="44"/>
  <c r="AA131" i="44"/>
  <c r="AC131" i="44"/>
  <c r="AD131" i="44"/>
  <c r="AE131" i="44"/>
  <c r="AF131" i="44"/>
  <c r="AH131" i="44"/>
  <c r="AG131" i="44" s="1"/>
  <c r="AI131" i="44"/>
  <c r="AJ131" i="44"/>
  <c r="AK131" i="44"/>
  <c r="AL131" i="44"/>
  <c r="AM131" i="44"/>
  <c r="AN131" i="44"/>
  <c r="AO131" i="44"/>
  <c r="AP131" i="44"/>
  <c r="AR131" i="44"/>
  <c r="AS131" i="44"/>
  <c r="AT131" i="44"/>
  <c r="AU131" i="44"/>
  <c r="X132" i="44"/>
  <c r="Y132" i="44"/>
  <c r="Z132" i="44"/>
  <c r="AA132" i="44"/>
  <c r="AC132" i="44"/>
  <c r="AB132" i="44" s="1"/>
  <c r="AD132" i="44"/>
  <c r="AE132" i="44"/>
  <c r="AF132" i="44"/>
  <c r="AH132" i="44"/>
  <c r="AG132" i="44" s="1"/>
  <c r="AI132" i="44"/>
  <c r="AJ132" i="44"/>
  <c r="AK132" i="44"/>
  <c r="AM132" i="44"/>
  <c r="AL132" i="44" s="1"/>
  <c r="AN132" i="44"/>
  <c r="AO132" i="44"/>
  <c r="AO137" i="44" s="1"/>
  <c r="AO205" i="5" s="1"/>
  <c r="AP132" i="44"/>
  <c r="AR132" i="44"/>
  <c r="AQ132" i="44" s="1"/>
  <c r="AS132" i="44"/>
  <c r="AT132" i="44"/>
  <c r="X133" i="44"/>
  <c r="Y133" i="44"/>
  <c r="Z133" i="44"/>
  <c r="AA133" i="44"/>
  <c r="AC133" i="44"/>
  <c r="AB133" i="44" s="1"/>
  <c r="AD133" i="44"/>
  <c r="AE133" i="44"/>
  <c r="AF133" i="44"/>
  <c r="AH133" i="44"/>
  <c r="AG133" i="44" s="1"/>
  <c r="AI133" i="44"/>
  <c r="AJ133" i="44"/>
  <c r="AK133" i="44"/>
  <c r="AM133" i="44"/>
  <c r="AL133" i="44" s="1"/>
  <c r="AN133" i="44"/>
  <c r="AO133" i="44"/>
  <c r="AP133" i="44"/>
  <c r="X134" i="44"/>
  <c r="Y134" i="44"/>
  <c r="Z134" i="44"/>
  <c r="AA134" i="44"/>
  <c r="AC134" i="44"/>
  <c r="AB134" i="44" s="1"/>
  <c r="AD134" i="44"/>
  <c r="AE134" i="44"/>
  <c r="AF134" i="44"/>
  <c r="AH134" i="44"/>
  <c r="AG134" i="44" s="1"/>
  <c r="AI134" i="44"/>
  <c r="AJ134" i="44"/>
  <c r="AK134" i="44"/>
  <c r="AM134" i="44"/>
  <c r="AL134" i="44" s="1"/>
  <c r="AN134" i="44"/>
  <c r="AO134" i="44"/>
  <c r="AP134" i="44"/>
  <c r="X135" i="44"/>
  <c r="Y135" i="44"/>
  <c r="Z135" i="44"/>
  <c r="AA135" i="44"/>
  <c r="AC135" i="44"/>
  <c r="AB135" i="44" s="1"/>
  <c r="AD135" i="44"/>
  <c r="AE135" i="44"/>
  <c r="AF135" i="44"/>
  <c r="AH135" i="44"/>
  <c r="AG135" i="44" s="1"/>
  <c r="AI135" i="44"/>
  <c r="AJ135" i="44"/>
  <c r="AK135" i="44"/>
  <c r="AM135" i="44"/>
  <c r="AL135" i="44" s="1"/>
  <c r="AN135" i="44"/>
  <c r="AO135" i="44"/>
  <c r="AP135" i="44"/>
  <c r="AR133" i="44"/>
  <c r="AQ133" i="44" s="1"/>
  <c r="AS133" i="44"/>
  <c r="AT133" i="44"/>
  <c r="AU133" i="44"/>
  <c r="AR134" i="44"/>
  <c r="AQ134" i="44" s="1"/>
  <c r="AS134" i="44"/>
  <c r="AT134" i="44"/>
  <c r="AU134" i="44"/>
  <c r="AR135" i="44"/>
  <c r="AQ135" i="44" s="1"/>
  <c r="AS135" i="44"/>
  <c r="AT135" i="44"/>
  <c r="AU135" i="44"/>
  <c r="AQ136" i="44"/>
  <c r="AR136" i="44"/>
  <c r="AS136" i="44"/>
  <c r="AT136" i="44"/>
  <c r="AU136" i="44"/>
  <c r="X136" i="44"/>
  <c r="Y136" i="44"/>
  <c r="Z136" i="44"/>
  <c r="AA136" i="44"/>
  <c r="AC136" i="44"/>
  <c r="AB136" i="44" s="1"/>
  <c r="AD136" i="44"/>
  <c r="AE136" i="44"/>
  <c r="AF136" i="44"/>
  <c r="AH136" i="44"/>
  <c r="AG136" i="44" s="1"/>
  <c r="AI136" i="44"/>
  <c r="AJ136" i="44"/>
  <c r="AK136" i="44"/>
  <c r="AM136" i="44"/>
  <c r="AL136" i="44" s="1"/>
  <c r="AN136" i="44"/>
  <c r="AO136" i="44"/>
  <c r="X139" i="44"/>
  <c r="Y139" i="44"/>
  <c r="Y142" i="44" s="1"/>
  <c r="Y186" i="8" s="1"/>
  <c r="Z139" i="44"/>
  <c r="AA139" i="44"/>
  <c r="AC139" i="44"/>
  <c r="AB139" i="44" s="1"/>
  <c r="AD139" i="44"/>
  <c r="AE139" i="44"/>
  <c r="AF139" i="44"/>
  <c r="AH139" i="44"/>
  <c r="AG139" i="44" s="1"/>
  <c r="AI139" i="44"/>
  <c r="AJ139" i="44"/>
  <c r="AK139" i="44"/>
  <c r="AM139" i="44"/>
  <c r="AL139" i="44" s="1"/>
  <c r="AN139" i="44"/>
  <c r="AO139" i="44"/>
  <c r="AP139" i="44"/>
  <c r="AR139" i="44"/>
  <c r="AQ139" i="44" s="1"/>
  <c r="AS139" i="44"/>
  <c r="AT139" i="44"/>
  <c r="AU139" i="44"/>
  <c r="X140" i="44"/>
  <c r="Y140" i="44"/>
  <c r="Z140" i="44"/>
  <c r="AA140" i="44"/>
  <c r="AC140" i="44"/>
  <c r="AB140" i="44" s="1"/>
  <c r="AD140" i="44"/>
  <c r="AE140" i="44"/>
  <c r="AF140" i="44"/>
  <c r="AH140" i="44"/>
  <c r="AG140" i="44" s="1"/>
  <c r="AI140" i="44"/>
  <c r="AJ140" i="44"/>
  <c r="AK140" i="44"/>
  <c r="AM140" i="44"/>
  <c r="AL140" i="44" s="1"/>
  <c r="AN140" i="44"/>
  <c r="AO140" i="44"/>
  <c r="AP140" i="44"/>
  <c r="AR140" i="44"/>
  <c r="AQ140" i="44" s="1"/>
  <c r="AS140" i="44"/>
  <c r="AT140" i="44"/>
  <c r="AU140" i="44"/>
  <c r="X141" i="44"/>
  <c r="Y141" i="44"/>
  <c r="Z141" i="44"/>
  <c r="AA141" i="44"/>
  <c r="AC141" i="44"/>
  <c r="AB141" i="44" s="1"/>
  <c r="AD141" i="44"/>
  <c r="AE141" i="44"/>
  <c r="AE142" i="44" s="1"/>
  <c r="AE186" i="8" s="1"/>
  <c r="AF141" i="44"/>
  <c r="AH141" i="44"/>
  <c r="AG141" i="44" s="1"/>
  <c r="AI141" i="44"/>
  <c r="AI142" i="44" s="1"/>
  <c r="AI186" i="8" s="1"/>
  <c r="AI187" i="8" s="1"/>
  <c r="AJ141" i="44"/>
  <c r="AK141" i="44"/>
  <c r="AM141" i="44"/>
  <c r="AL141" i="44" s="1"/>
  <c r="AN141" i="44"/>
  <c r="AN142" i="44" s="1"/>
  <c r="AN186" i="8" s="1"/>
  <c r="AO141" i="44"/>
  <c r="AP141" i="44"/>
  <c r="AQ141" i="44"/>
  <c r="AC142" i="44"/>
  <c r="AC186" i="8" s="1"/>
  <c r="AB186" i="8" s="1"/>
  <c r="AS142" i="44"/>
  <c r="AU142" i="44"/>
  <c r="AB145" i="44"/>
  <c r="AB146" i="44"/>
  <c r="AB147" i="44"/>
  <c r="AB148" i="44"/>
  <c r="AB149" i="44"/>
  <c r="AB150" i="44"/>
  <c r="AG145" i="44"/>
  <c r="AG146" i="44"/>
  <c r="AG147" i="44"/>
  <c r="AG148" i="44"/>
  <c r="AG149" i="44"/>
  <c r="AG150" i="44"/>
  <c r="AL145" i="44"/>
  <c r="AL146" i="44"/>
  <c r="AL147" i="44"/>
  <c r="AL148" i="44"/>
  <c r="AL149" i="44"/>
  <c r="AL150" i="44"/>
  <c r="AQ145" i="44"/>
  <c r="AQ146" i="44"/>
  <c r="AQ147" i="44"/>
  <c r="AQ148" i="44"/>
  <c r="AQ149" i="44"/>
  <c r="AQ150" i="44"/>
  <c r="X151" i="44"/>
  <c r="X212" i="5" s="1"/>
  <c r="Y151" i="44"/>
  <c r="Y212" i="5" s="1"/>
  <c r="Z151" i="44"/>
  <c r="Z212" i="5" s="1"/>
  <c r="AA151" i="44"/>
  <c r="AA212" i="5" s="1"/>
  <c r="AC151" i="44"/>
  <c r="AC212" i="5" s="1"/>
  <c r="AB212" i="5" s="1"/>
  <c r="AD151" i="44"/>
  <c r="AD212" i="5" s="1"/>
  <c r="AE151" i="44"/>
  <c r="AE212" i="5" s="1"/>
  <c r="AF151" i="44"/>
  <c r="AF212" i="5" s="1"/>
  <c r="AH151" i="44"/>
  <c r="AH212" i="5" s="1"/>
  <c r="AG212" i="5" s="1"/>
  <c r="AI151" i="44"/>
  <c r="AI212" i="5" s="1"/>
  <c r="AJ151" i="44"/>
  <c r="AJ212" i="5" s="1"/>
  <c r="AK151" i="44"/>
  <c r="AK212" i="5" s="1"/>
  <c r="AM151" i="44"/>
  <c r="AM212" i="5" s="1"/>
  <c r="AN151" i="44"/>
  <c r="AN212" i="5" s="1"/>
  <c r="AO151" i="44"/>
  <c r="AP151" i="44"/>
  <c r="AP212" i="5" s="1"/>
  <c r="AR151" i="44"/>
  <c r="AR212" i="5" s="1"/>
  <c r="AQ212" i="5" s="1"/>
  <c r="AS151" i="44"/>
  <c r="AT151" i="44"/>
  <c r="AU151" i="44"/>
  <c r="AB153" i="44"/>
  <c r="AB154" i="44"/>
  <c r="AB155" i="44"/>
  <c r="AG153" i="44"/>
  <c r="AG154" i="44"/>
  <c r="AG155" i="44"/>
  <c r="AL153" i="44"/>
  <c r="AL154" i="44"/>
  <c r="AL155" i="44"/>
  <c r="AQ153" i="44"/>
  <c r="AQ156" i="44" s="1"/>
  <c r="AQ154" i="44"/>
  <c r="AQ155" i="44"/>
  <c r="X156" i="44"/>
  <c r="X193" i="8" s="1"/>
  <c r="Y156" i="44"/>
  <c r="Y193" i="8" s="1"/>
  <c r="Z156" i="44"/>
  <c r="Z193" i="8" s="1"/>
  <c r="AA156" i="44"/>
  <c r="AA193" i="8" s="1"/>
  <c r="AC156" i="44"/>
  <c r="AC193" i="8" s="1"/>
  <c r="AB193" i="8" s="1"/>
  <c r="AD156" i="44"/>
  <c r="AD193" i="8" s="1"/>
  <c r="AE156" i="44"/>
  <c r="AE193" i="8" s="1"/>
  <c r="AF156" i="44"/>
  <c r="AH156" i="44"/>
  <c r="AH193" i="8" s="1"/>
  <c r="AG193" i="8" s="1"/>
  <c r="AI156" i="44"/>
  <c r="AI193" i="8" s="1"/>
  <c r="AJ156" i="44"/>
  <c r="AJ193" i="8" s="1"/>
  <c r="AK156" i="44"/>
  <c r="AK193" i="8" s="1"/>
  <c r="AM156" i="44"/>
  <c r="AM193" i="8" s="1"/>
  <c r="AL193" i="8" s="1"/>
  <c r="AN156" i="44"/>
  <c r="AN193" i="8" s="1"/>
  <c r="AO156" i="44"/>
  <c r="AO193" i="8" s="1"/>
  <c r="AP156" i="44"/>
  <c r="AP193" i="8" s="1"/>
  <c r="AR156" i="44"/>
  <c r="AR193" i="8" s="1"/>
  <c r="AS156" i="44"/>
  <c r="AT156" i="44"/>
  <c r="AU156" i="44"/>
  <c r="AB159" i="44"/>
  <c r="AB160" i="44"/>
  <c r="AB161" i="44"/>
  <c r="AB162" i="44"/>
  <c r="AB163" i="44"/>
  <c r="AB164" i="44"/>
  <c r="AG159" i="44"/>
  <c r="AG160" i="44"/>
  <c r="AG161" i="44"/>
  <c r="AG162" i="44"/>
  <c r="AG163" i="44"/>
  <c r="AG164" i="44"/>
  <c r="AL159" i="44"/>
  <c r="AL160" i="44"/>
  <c r="AL161" i="44"/>
  <c r="AL162" i="44"/>
  <c r="AL163" i="44"/>
  <c r="AL164" i="44"/>
  <c r="AQ159" i="44"/>
  <c r="AQ160" i="44"/>
  <c r="AQ188" i="44" s="1"/>
  <c r="AQ161" i="44"/>
  <c r="AQ162" i="44"/>
  <c r="AQ163" i="44"/>
  <c r="AQ164" i="44"/>
  <c r="X165" i="44"/>
  <c r="Y165" i="44"/>
  <c r="Z165" i="44"/>
  <c r="AA165" i="44"/>
  <c r="AC165" i="44"/>
  <c r="AD165" i="44"/>
  <c r="AE165" i="44"/>
  <c r="AF165" i="44"/>
  <c r="AH165" i="44"/>
  <c r="AI165" i="44"/>
  <c r="AJ165" i="44"/>
  <c r="AK165" i="44"/>
  <c r="AM165" i="44"/>
  <c r="AN165" i="44"/>
  <c r="AO165" i="44"/>
  <c r="AP165" i="44"/>
  <c r="AR165" i="44"/>
  <c r="AS165" i="44"/>
  <c r="AT165" i="44"/>
  <c r="AU165" i="44"/>
  <c r="AU193" i="44" s="1"/>
  <c r="AB167" i="44"/>
  <c r="AB168" i="44"/>
  <c r="AB170" i="44" s="1"/>
  <c r="AB169" i="44"/>
  <c r="AG167" i="44"/>
  <c r="AG168" i="44"/>
  <c r="AG169" i="44"/>
  <c r="AG197" i="44" s="1"/>
  <c r="AL167" i="44"/>
  <c r="AL168" i="44"/>
  <c r="AL169" i="44"/>
  <c r="AQ167" i="44"/>
  <c r="AQ195" i="44" s="1"/>
  <c r="AQ168" i="44"/>
  <c r="AQ169" i="44"/>
  <c r="X170" i="44"/>
  <c r="Y170" i="44"/>
  <c r="Z170" i="44"/>
  <c r="AA170" i="44"/>
  <c r="AC170" i="44"/>
  <c r="AD170" i="44"/>
  <c r="AE170" i="44"/>
  <c r="AF170" i="44"/>
  <c r="AH170" i="44"/>
  <c r="AI170" i="44"/>
  <c r="AJ170" i="44"/>
  <c r="AK170" i="44"/>
  <c r="AM170" i="44"/>
  <c r="AN170" i="44"/>
  <c r="AO170" i="44"/>
  <c r="AP170" i="44"/>
  <c r="AR170" i="44"/>
  <c r="AS170" i="44"/>
  <c r="AT170" i="44"/>
  <c r="AU170" i="44"/>
  <c r="AB173" i="44"/>
  <c r="AB174" i="44"/>
  <c r="AB175" i="44"/>
  <c r="AB189" i="44" s="1"/>
  <c r="AB176" i="44"/>
  <c r="AB177" i="44"/>
  <c r="AB178" i="44"/>
  <c r="AG173" i="44"/>
  <c r="AG174" i="44"/>
  <c r="AG175" i="44"/>
  <c r="AG176" i="44"/>
  <c r="AG177" i="44"/>
  <c r="AG191" i="44" s="1"/>
  <c r="AG178" i="44"/>
  <c r="AL173" i="44"/>
  <c r="AL174" i="44"/>
  <c r="AL188" i="44" s="1"/>
  <c r="AL175" i="44"/>
  <c r="AL189" i="44" s="1"/>
  <c r="AL176" i="44"/>
  <c r="AL177" i="44"/>
  <c r="AL191" i="44" s="1"/>
  <c r="AL178" i="44"/>
  <c r="AL192" i="44" s="1"/>
  <c r="AQ173" i="44"/>
  <c r="AQ187" i="44" s="1"/>
  <c r="AQ174" i="44"/>
  <c r="AQ175" i="44"/>
  <c r="AQ176" i="44"/>
  <c r="AQ177" i="44"/>
  <c r="AQ191" i="44" s="1"/>
  <c r="AQ178" i="44"/>
  <c r="X179" i="44"/>
  <c r="X137" i="5" s="1"/>
  <c r="Y179" i="44"/>
  <c r="Y137" i="5" s="1"/>
  <c r="Z179" i="44"/>
  <c r="Z137" i="5" s="1"/>
  <c r="AA179" i="44"/>
  <c r="AA137" i="5" s="1"/>
  <c r="AC179" i="44"/>
  <c r="AC137" i="5" s="1"/>
  <c r="AD179" i="44"/>
  <c r="AD137" i="5" s="1"/>
  <c r="AE179" i="44"/>
  <c r="AE137" i="5" s="1"/>
  <c r="AF179" i="44"/>
  <c r="AF137" i="5" s="1"/>
  <c r="AH179" i="44"/>
  <c r="AH137" i="5" s="1"/>
  <c r="AI179" i="44"/>
  <c r="AI137" i="5" s="1"/>
  <c r="AJ179" i="44"/>
  <c r="AJ137" i="5" s="1"/>
  <c r="AK179" i="44"/>
  <c r="AK137" i="5" s="1"/>
  <c r="AM179" i="44"/>
  <c r="AM137" i="5" s="1"/>
  <c r="AN179" i="44"/>
  <c r="AN137" i="5" s="1"/>
  <c r="AO179" i="44"/>
  <c r="AP179" i="44"/>
  <c r="AP137" i="5" s="1"/>
  <c r="AR179" i="44"/>
  <c r="AR137" i="5" s="1"/>
  <c r="AS179" i="44"/>
  <c r="AT179" i="44"/>
  <c r="AU179" i="44"/>
  <c r="AB181" i="44"/>
  <c r="AB182" i="44"/>
  <c r="AB183" i="44"/>
  <c r="AG181" i="44"/>
  <c r="AG182" i="44"/>
  <c r="AG183" i="44"/>
  <c r="AL181" i="44"/>
  <c r="AL182" i="44"/>
  <c r="AL183" i="44"/>
  <c r="AQ181" i="44"/>
  <c r="AQ182" i="44"/>
  <c r="AQ196" i="44" s="1"/>
  <c r="AQ183" i="44"/>
  <c r="X184" i="44"/>
  <c r="X119" i="8" s="1"/>
  <c r="Y184" i="44"/>
  <c r="Y119" i="8" s="1"/>
  <c r="Z184" i="44"/>
  <c r="Z119" i="8" s="1"/>
  <c r="AA184" i="44"/>
  <c r="AA119" i="8" s="1"/>
  <c r="AC184" i="44"/>
  <c r="AC119" i="8" s="1"/>
  <c r="AD184" i="44"/>
  <c r="AD119" i="8" s="1"/>
  <c r="AE184" i="44"/>
  <c r="AE119" i="8" s="1"/>
  <c r="AF184" i="44"/>
  <c r="AF119" i="8" s="1"/>
  <c r="AH184" i="44"/>
  <c r="AH119" i="8" s="1"/>
  <c r="AI184" i="44"/>
  <c r="AI119" i="8" s="1"/>
  <c r="AJ184" i="44"/>
  <c r="AJ119" i="8" s="1"/>
  <c r="AK184" i="44"/>
  <c r="AK119" i="8" s="1"/>
  <c r="AM184" i="44"/>
  <c r="AM119" i="8" s="1"/>
  <c r="AN184" i="44"/>
  <c r="AN119" i="8" s="1"/>
  <c r="AO184" i="44"/>
  <c r="AO119" i="8" s="1"/>
  <c r="AP184" i="44"/>
  <c r="AP119" i="8" s="1"/>
  <c r="AR184" i="44"/>
  <c r="AR119" i="8" s="1"/>
  <c r="AS184" i="44"/>
  <c r="AS119" i="8" s="1"/>
  <c r="AT184" i="44"/>
  <c r="AT119" i="8" s="1"/>
  <c r="AU184" i="44"/>
  <c r="AU119" i="8" s="1"/>
  <c r="X187" i="44"/>
  <c r="Y187" i="44"/>
  <c r="Z187" i="44"/>
  <c r="AA187" i="44"/>
  <c r="AB187" i="44"/>
  <c r="AC187" i="44"/>
  <c r="AD187" i="44"/>
  <c r="AE187" i="44"/>
  <c r="AF187" i="44"/>
  <c r="AG187" i="44"/>
  <c r="AH187" i="44"/>
  <c r="AI187" i="44"/>
  <c r="AJ187" i="44"/>
  <c r="AK187" i="44"/>
  <c r="AM187" i="44"/>
  <c r="AN187" i="44"/>
  <c r="AO187" i="44"/>
  <c r="AP187" i="44"/>
  <c r="AR187" i="44"/>
  <c r="AS187" i="44"/>
  <c r="AT187" i="44"/>
  <c r="AU187" i="44"/>
  <c r="X188" i="44"/>
  <c r="Y188" i="44"/>
  <c r="Z188" i="44"/>
  <c r="AA188" i="44"/>
  <c r="AC188" i="44"/>
  <c r="AD188" i="44"/>
  <c r="AE188" i="44"/>
  <c r="AF188" i="44"/>
  <c r="AH188" i="44"/>
  <c r="AI188" i="44"/>
  <c r="AJ188" i="44"/>
  <c r="AK188" i="44"/>
  <c r="AM188" i="44"/>
  <c r="AN188" i="44"/>
  <c r="AO188" i="44"/>
  <c r="AP188" i="44"/>
  <c r="AR188" i="44"/>
  <c r="AS188" i="44"/>
  <c r="AT188" i="44"/>
  <c r="AU188" i="44"/>
  <c r="X189" i="44"/>
  <c r="Y189" i="44"/>
  <c r="Z189" i="44"/>
  <c r="AA189" i="44"/>
  <c r="AC189" i="44"/>
  <c r="AD189" i="44"/>
  <c r="AE189" i="44"/>
  <c r="AF189" i="44"/>
  <c r="AG189" i="44"/>
  <c r="AH189" i="44"/>
  <c r="AI189" i="44"/>
  <c r="AJ189" i="44"/>
  <c r="AK189" i="44"/>
  <c r="AM189" i="44"/>
  <c r="AN189" i="44"/>
  <c r="AO189" i="44"/>
  <c r="AP189" i="44"/>
  <c r="AQ189" i="44"/>
  <c r="AR189" i="44"/>
  <c r="AS189" i="44"/>
  <c r="AT189" i="44"/>
  <c r="AU189" i="44"/>
  <c r="X190" i="44"/>
  <c r="Y190" i="44"/>
  <c r="Z190" i="44"/>
  <c r="AA190" i="44"/>
  <c r="AC190" i="44"/>
  <c r="AD190" i="44"/>
  <c r="AE190" i="44"/>
  <c r="AF190" i="44"/>
  <c r="AH190" i="44"/>
  <c r="AI190" i="44"/>
  <c r="AJ190" i="44"/>
  <c r="AK190" i="44"/>
  <c r="AM190" i="44"/>
  <c r="AN190" i="44"/>
  <c r="AO190" i="44"/>
  <c r="AP190" i="44"/>
  <c r="AR190" i="44"/>
  <c r="AS190" i="44"/>
  <c r="AT190" i="44"/>
  <c r="AU190" i="44"/>
  <c r="X191" i="44"/>
  <c r="Y191" i="44"/>
  <c r="Z191" i="44"/>
  <c r="AA191" i="44"/>
  <c r="AB191" i="44"/>
  <c r="AC191" i="44"/>
  <c r="AD191" i="44"/>
  <c r="AE191" i="44"/>
  <c r="AF191" i="44"/>
  <c r="AF193" i="44" s="1"/>
  <c r="AH191" i="44"/>
  <c r="AI191" i="44"/>
  <c r="AJ191" i="44"/>
  <c r="AK191" i="44"/>
  <c r="AM191" i="44"/>
  <c r="AN191" i="44"/>
  <c r="AO191" i="44"/>
  <c r="AP191" i="44"/>
  <c r="AR191" i="44"/>
  <c r="AS191" i="44"/>
  <c r="AT191" i="44"/>
  <c r="AU191" i="44"/>
  <c r="X192" i="44"/>
  <c r="Y192" i="44"/>
  <c r="Z192" i="44"/>
  <c r="AA192" i="44"/>
  <c r="AC192" i="44"/>
  <c r="AD192" i="44"/>
  <c r="AE192" i="44"/>
  <c r="AF192" i="44"/>
  <c r="AG192" i="44"/>
  <c r="AH192" i="44"/>
  <c r="AI192" i="44"/>
  <c r="AJ192" i="44"/>
  <c r="AK192" i="44"/>
  <c r="AM192" i="44"/>
  <c r="AN192" i="44"/>
  <c r="AO192" i="44"/>
  <c r="AP192" i="44"/>
  <c r="AR192" i="44"/>
  <c r="AS192" i="44"/>
  <c r="AT192" i="44"/>
  <c r="AU192" i="44"/>
  <c r="AT193" i="44"/>
  <c r="X195" i="44"/>
  <c r="Y195" i="44"/>
  <c r="Z195" i="44"/>
  <c r="AA195" i="44"/>
  <c r="AC195" i="44"/>
  <c r="AC198" i="44" s="1"/>
  <c r="AD195" i="44"/>
  <c r="AE195" i="44"/>
  <c r="AF195" i="44"/>
  <c r="AH195" i="44"/>
  <c r="AI195" i="44"/>
  <c r="AJ195" i="44"/>
  <c r="AK195" i="44"/>
  <c r="AL195" i="44"/>
  <c r="AM195" i="44"/>
  <c r="AN195" i="44"/>
  <c r="AO195" i="44"/>
  <c r="AP195" i="44"/>
  <c r="AR195" i="44"/>
  <c r="AS195" i="44"/>
  <c r="AT195" i="44"/>
  <c r="AU195" i="44"/>
  <c r="X196" i="44"/>
  <c r="Y196" i="44"/>
  <c r="Z196" i="44"/>
  <c r="AA196" i="44"/>
  <c r="AB196" i="44"/>
  <c r="AC196" i="44"/>
  <c r="AD196" i="44"/>
  <c r="AE196" i="44"/>
  <c r="AF196" i="44"/>
  <c r="AH196" i="44"/>
  <c r="AI196" i="44"/>
  <c r="AJ196" i="44"/>
  <c r="AK196" i="44"/>
  <c r="AK198" i="44" s="1"/>
  <c r="AM196" i="44"/>
  <c r="AN196" i="44"/>
  <c r="AO196" i="44"/>
  <c r="AP196" i="44"/>
  <c r="AP198" i="44" s="1"/>
  <c r="AR196" i="44"/>
  <c r="AS196" i="44"/>
  <c r="AT196" i="44"/>
  <c r="AU196" i="44"/>
  <c r="X197" i="44"/>
  <c r="Y197" i="44"/>
  <c r="Z197" i="44"/>
  <c r="AA197" i="44"/>
  <c r="AB197" i="44"/>
  <c r="AC197" i="44"/>
  <c r="AD197" i="44"/>
  <c r="AD198" i="44" s="1"/>
  <c r="AE197" i="44"/>
  <c r="AF197" i="44"/>
  <c r="AH197" i="44"/>
  <c r="AH198" i="44" s="1"/>
  <c r="AI197" i="44"/>
  <c r="AJ197" i="44"/>
  <c r="AK197" i="44"/>
  <c r="AM197" i="44"/>
  <c r="AM198" i="44" s="1"/>
  <c r="AN197" i="44"/>
  <c r="AO197" i="44"/>
  <c r="AP197" i="44"/>
  <c r="AR197" i="44"/>
  <c r="AS197" i="44" s="1"/>
  <c r="AS198" i="44" s="1"/>
  <c r="AT197" i="44"/>
  <c r="AU197" i="44"/>
  <c r="Y198" i="44"/>
  <c r="Z198" i="44"/>
  <c r="AB201" i="44"/>
  <c r="AB202" i="44"/>
  <c r="AB203" i="44"/>
  <c r="AB204" i="44"/>
  <c r="AB205" i="44"/>
  <c r="AB206" i="44"/>
  <c r="AG201" i="44"/>
  <c r="AG202" i="44"/>
  <c r="AG203" i="44"/>
  <c r="AG204" i="44"/>
  <c r="AG205" i="44"/>
  <c r="AG206" i="44"/>
  <c r="AL201" i="44"/>
  <c r="AL202" i="44"/>
  <c r="AL203" i="44"/>
  <c r="AL204" i="44"/>
  <c r="AL205" i="44"/>
  <c r="AL206" i="44"/>
  <c r="AQ201" i="44"/>
  <c r="AQ202" i="44"/>
  <c r="AQ203" i="44"/>
  <c r="AQ204" i="44"/>
  <c r="AQ205" i="44"/>
  <c r="AQ206" i="44"/>
  <c r="X207" i="44"/>
  <c r="X140" i="5" s="1"/>
  <c r="X136" i="5" s="1"/>
  <c r="Y207" i="44"/>
  <c r="Y140" i="5" s="1"/>
  <c r="Z207" i="44"/>
  <c r="Z140" i="5" s="1"/>
  <c r="AA207" i="44"/>
  <c r="AA140" i="5" s="1"/>
  <c r="AC207" i="44"/>
  <c r="AC140" i="5" s="1"/>
  <c r="AD207" i="44"/>
  <c r="AD140" i="5" s="1"/>
  <c r="AE207" i="44"/>
  <c r="AE140" i="5" s="1"/>
  <c r="AE145" i="5" s="1"/>
  <c r="AF207" i="44"/>
  <c r="AF140" i="5" s="1"/>
  <c r="AH207" i="44"/>
  <c r="AH140" i="5" s="1"/>
  <c r="AI207" i="44"/>
  <c r="AI140" i="5" s="1"/>
  <c r="AJ207" i="44"/>
  <c r="AJ140" i="5" s="1"/>
  <c r="AJ136" i="5" s="1"/>
  <c r="AK207" i="44"/>
  <c r="AK140" i="5" s="1"/>
  <c r="AM207" i="44"/>
  <c r="AM140" i="5" s="1"/>
  <c r="AN207" i="44"/>
  <c r="AN140" i="5" s="1"/>
  <c r="AN136" i="5" s="1"/>
  <c r="AO207" i="44"/>
  <c r="AO140" i="5" s="1"/>
  <c r="AP207" i="44"/>
  <c r="AP140" i="5" s="1"/>
  <c r="AR207" i="44"/>
  <c r="AR140" i="5" s="1"/>
  <c r="AR136" i="5" s="1"/>
  <c r="AS207" i="44"/>
  <c r="AT207" i="44"/>
  <c r="AU207" i="44"/>
  <c r="AB209" i="44"/>
  <c r="AB210" i="44"/>
  <c r="AB211" i="44"/>
  <c r="AG209" i="44"/>
  <c r="AG210" i="44"/>
  <c r="AG211" i="44"/>
  <c r="AL209" i="44"/>
  <c r="AL210" i="44"/>
  <c r="AL211" i="44"/>
  <c r="AQ209" i="44"/>
  <c r="AQ210" i="44"/>
  <c r="AQ211" i="44"/>
  <c r="X212" i="44"/>
  <c r="X122" i="8" s="1"/>
  <c r="Y212" i="44"/>
  <c r="Y122" i="8" s="1"/>
  <c r="Z212" i="44"/>
  <c r="Z122" i="8" s="1"/>
  <c r="Z127" i="8" s="1"/>
  <c r="AA212" i="44"/>
  <c r="AA122" i="8" s="1"/>
  <c r="AA118" i="8" s="1"/>
  <c r="AA120" i="8" s="1"/>
  <c r="AC212" i="44"/>
  <c r="AC122" i="8" s="1"/>
  <c r="AC127" i="8" s="1"/>
  <c r="AD212" i="44"/>
  <c r="AD122" i="8" s="1"/>
  <c r="AD127" i="8" s="1"/>
  <c r="AE212" i="44"/>
  <c r="AE122" i="8" s="1"/>
  <c r="AE118" i="8" s="1"/>
  <c r="AF212" i="44"/>
  <c r="AF122" i="8" s="1"/>
  <c r="AF127" i="8" s="1"/>
  <c r="AH212" i="44"/>
  <c r="AH122" i="8" s="1"/>
  <c r="AH127" i="8" s="1"/>
  <c r="AI212" i="44"/>
  <c r="AI122" i="8" s="1"/>
  <c r="AI118" i="8" s="1"/>
  <c r="AI120" i="8" s="1"/>
  <c r="AJ212" i="44"/>
  <c r="AK212" i="44"/>
  <c r="AK122" i="8" s="1"/>
  <c r="AK137" i="8" s="1"/>
  <c r="AM212" i="44"/>
  <c r="AM122" i="8" s="1"/>
  <c r="AM118" i="8" s="1"/>
  <c r="AN212" i="44"/>
  <c r="AN122" i="8" s="1"/>
  <c r="AO212" i="44"/>
  <c r="AO122" i="8" s="1"/>
  <c r="AP212" i="44"/>
  <c r="AP122" i="8" s="1"/>
  <c r="AP127" i="8" s="1"/>
  <c r="AR212" i="44"/>
  <c r="AR122" i="8" s="1"/>
  <c r="AR118" i="8" s="1"/>
  <c r="AS212" i="44"/>
  <c r="AS122" i="8" s="1"/>
  <c r="AS137" i="8" s="1"/>
  <c r="AT212" i="44"/>
  <c r="AT122" i="8" s="1"/>
  <c r="AT137" i="8" s="1"/>
  <c r="AU212" i="44"/>
  <c r="AU122" i="8" s="1"/>
  <c r="AU137" i="8" s="1"/>
  <c r="B2" i="4"/>
  <c r="H8" i="4"/>
  <c r="M8" i="4"/>
  <c r="R8" i="4"/>
  <c r="W8" i="4"/>
  <c r="AB8" i="4"/>
  <c r="AB8" i="9" s="1"/>
  <c r="AG8" i="4"/>
  <c r="AG8" i="9" s="1"/>
  <c r="AL8" i="4"/>
  <c r="AL8" i="9" s="1"/>
  <c r="AQ8" i="4"/>
  <c r="AQ8" i="9" s="1"/>
  <c r="E9" i="4"/>
  <c r="F9" i="4"/>
  <c r="F10" i="4" s="1"/>
  <c r="G9" i="4"/>
  <c r="G10" i="4" s="1"/>
  <c r="I9" i="4"/>
  <c r="I10" i="4" s="1"/>
  <c r="J9" i="4"/>
  <c r="K9" i="4"/>
  <c r="K10" i="4" s="1"/>
  <c r="L9" i="4"/>
  <c r="N9" i="4"/>
  <c r="N10" i="4" s="1"/>
  <c r="O9" i="4"/>
  <c r="P9" i="4"/>
  <c r="R9" i="4" s="1"/>
  <c r="R10" i="4" s="1"/>
  <c r="Q9" i="4"/>
  <c r="T9" i="4"/>
  <c r="T10" i="4" s="1"/>
  <c r="U9" i="4"/>
  <c r="V9" i="4"/>
  <c r="X9" i="4"/>
  <c r="X9" i="9" s="1"/>
  <c r="Y9" i="4"/>
  <c r="Y9" i="9" s="1"/>
  <c r="Y10" i="9" s="1"/>
  <c r="Z9" i="4"/>
  <c r="Z9" i="9" s="1"/>
  <c r="AA9" i="4"/>
  <c r="AA9" i="9" s="1"/>
  <c r="AC9" i="4"/>
  <c r="AC9" i="9" s="1"/>
  <c r="AD9" i="4"/>
  <c r="AE9" i="4"/>
  <c r="AE9" i="9" s="1"/>
  <c r="AF9" i="4"/>
  <c r="AF9" i="9" s="1"/>
  <c r="AF10" i="9" s="1"/>
  <c r="AH9" i="4"/>
  <c r="AH9" i="9" s="1"/>
  <c r="AI9" i="4"/>
  <c r="AJ9" i="4"/>
  <c r="AK9" i="4"/>
  <c r="AK10" i="4" s="1"/>
  <c r="AM9" i="4"/>
  <c r="AM9" i="9" s="1"/>
  <c r="AN9" i="4"/>
  <c r="AO9" i="4"/>
  <c r="AO9" i="9" s="1"/>
  <c r="AP9" i="4"/>
  <c r="AP9" i="9" s="1"/>
  <c r="AP10" i="9" s="1"/>
  <c r="AR9" i="4"/>
  <c r="AS9" i="4"/>
  <c r="AT9" i="4"/>
  <c r="AT9" i="9" s="1"/>
  <c r="AU9" i="4"/>
  <c r="AU9" i="9" s="1"/>
  <c r="E10" i="4"/>
  <c r="J10" i="4"/>
  <c r="L10" i="4"/>
  <c r="O10" i="4"/>
  <c r="Q10" i="4"/>
  <c r="S10" i="4"/>
  <c r="V10" i="4"/>
  <c r="X10" i="4"/>
  <c r="Z10" i="4"/>
  <c r="AC10" i="4"/>
  <c r="AE10" i="4"/>
  <c r="AF10" i="4"/>
  <c r="AJ10" i="4"/>
  <c r="AM10" i="4"/>
  <c r="AO10" i="4"/>
  <c r="AP10" i="4"/>
  <c r="AT10" i="4"/>
  <c r="E12" i="4"/>
  <c r="F12" i="4"/>
  <c r="G12" i="4"/>
  <c r="I12" i="4"/>
  <c r="I15" i="4" s="1"/>
  <c r="I23" i="4" s="1"/>
  <c r="J12" i="4"/>
  <c r="K12" i="4"/>
  <c r="K15" i="4" s="1"/>
  <c r="K23" i="4" s="1"/>
  <c r="L12" i="4"/>
  <c r="N12" i="4"/>
  <c r="O12" i="4"/>
  <c r="P12" i="4"/>
  <c r="Q12" i="4"/>
  <c r="T12" i="4"/>
  <c r="U12" i="4"/>
  <c r="V12" i="4"/>
  <c r="X12" i="4"/>
  <c r="Y12" i="4"/>
  <c r="Z12" i="4"/>
  <c r="AA12" i="4"/>
  <c r="AD12" i="4"/>
  <c r="AE12" i="4"/>
  <c r="AF12" i="4"/>
  <c r="AH12" i="4"/>
  <c r="AH12" i="9" s="1"/>
  <c r="AI12" i="4"/>
  <c r="AJ12" i="4"/>
  <c r="AK12" i="4"/>
  <c r="AM12" i="4"/>
  <c r="AM15" i="4" s="1"/>
  <c r="AM23" i="4" s="1"/>
  <c r="AN12" i="4"/>
  <c r="AN12" i="9" s="1"/>
  <c r="AO12" i="4"/>
  <c r="AO12" i="9" s="1"/>
  <c r="AP12" i="4"/>
  <c r="AP12" i="9" s="1"/>
  <c r="AR12" i="4"/>
  <c r="AR12" i="9" s="1"/>
  <c r="AS12" i="4"/>
  <c r="AU12" i="4"/>
  <c r="M13" i="4"/>
  <c r="R12" i="4"/>
  <c r="R13" i="4"/>
  <c r="W13" i="4"/>
  <c r="AT12" i="4"/>
  <c r="AT12" i="9" s="1"/>
  <c r="AT13" i="4"/>
  <c r="AT13" i="9" s="1"/>
  <c r="H13" i="4"/>
  <c r="H14" i="4"/>
  <c r="L14" i="4"/>
  <c r="M14" i="4" s="1"/>
  <c r="Q14" i="4"/>
  <c r="R14" i="4" s="1"/>
  <c r="V14" i="4"/>
  <c r="W14" i="4" s="1"/>
  <c r="AB13" i="4"/>
  <c r="AB14" i="4"/>
  <c r="AB14" i="9" s="1"/>
  <c r="AG13" i="4"/>
  <c r="AG13" i="9" s="1"/>
  <c r="AG14" i="4"/>
  <c r="AG14" i="9" s="1"/>
  <c r="AL13" i="4"/>
  <c r="AL14" i="4"/>
  <c r="AQ13" i="4"/>
  <c r="AQ13" i="9" s="1"/>
  <c r="AQ14" i="4"/>
  <c r="AQ14" i="9" s="1"/>
  <c r="BF14" i="9" s="1"/>
  <c r="BK14" i="9" s="1"/>
  <c r="BP14" i="9" s="1"/>
  <c r="E15" i="4"/>
  <c r="F15" i="4"/>
  <c r="F23" i="4" s="1"/>
  <c r="J15" i="4"/>
  <c r="N15" i="4"/>
  <c r="N23" i="4" s="1"/>
  <c r="O15" i="4"/>
  <c r="P15" i="4"/>
  <c r="P23" i="4" s="1"/>
  <c r="S15" i="4"/>
  <c r="T15" i="4"/>
  <c r="T23" i="4" s="1"/>
  <c r="X15" i="4"/>
  <c r="X23" i="4" s="1"/>
  <c r="X30" i="4" s="1"/>
  <c r="Z15" i="4"/>
  <c r="AA15" i="4"/>
  <c r="AA23" i="4" s="1"/>
  <c r="AC15" i="4"/>
  <c r="AC23" i="4" s="1"/>
  <c r="AH15" i="4"/>
  <c r="AH23" i="4" s="1"/>
  <c r="AK15" i="4"/>
  <c r="E17" i="4"/>
  <c r="F17" i="4"/>
  <c r="G17" i="4"/>
  <c r="H17" i="4"/>
  <c r="I17" i="4"/>
  <c r="J17" i="4"/>
  <c r="K17" i="4"/>
  <c r="L17" i="4"/>
  <c r="M17" i="4"/>
  <c r="N17" i="4"/>
  <c r="O17" i="4"/>
  <c r="P17" i="4"/>
  <c r="Q17" i="4"/>
  <c r="R17" i="4"/>
  <c r="E18" i="4"/>
  <c r="F18" i="4"/>
  <c r="G18" i="4"/>
  <c r="H18" i="4"/>
  <c r="I18" i="4"/>
  <c r="J18" i="4"/>
  <c r="K18" i="4"/>
  <c r="L18" i="4"/>
  <c r="M18" i="4"/>
  <c r="N18" i="4"/>
  <c r="O18" i="4"/>
  <c r="P18" i="4"/>
  <c r="Q18" i="4"/>
  <c r="R18" i="4"/>
  <c r="E19" i="4"/>
  <c r="F19" i="4"/>
  <c r="G19" i="4"/>
  <c r="H19" i="4"/>
  <c r="I19" i="4"/>
  <c r="J19" i="4"/>
  <c r="K19" i="4"/>
  <c r="L19" i="4"/>
  <c r="M19" i="4"/>
  <c r="N19" i="4"/>
  <c r="O19" i="4"/>
  <c r="P19" i="4"/>
  <c r="Q19" i="4"/>
  <c r="R19" i="4"/>
  <c r="E20" i="4"/>
  <c r="F20" i="4"/>
  <c r="G20" i="4"/>
  <c r="H20" i="4"/>
  <c r="I20" i="4"/>
  <c r="J20" i="4"/>
  <c r="K20" i="4"/>
  <c r="L20" i="4"/>
  <c r="M20" i="4"/>
  <c r="N20" i="4"/>
  <c r="O20" i="4"/>
  <c r="P20" i="4"/>
  <c r="Q20" i="4"/>
  <c r="R20" i="4"/>
  <c r="S17" i="4"/>
  <c r="T17" i="4"/>
  <c r="U17" i="4"/>
  <c r="V17" i="4"/>
  <c r="W17" i="4"/>
  <c r="X17" i="4"/>
  <c r="Y17" i="4"/>
  <c r="Z17" i="4"/>
  <c r="AA17" i="4"/>
  <c r="AC17" i="4"/>
  <c r="AD17" i="4"/>
  <c r="AE17" i="4"/>
  <c r="AF17" i="4"/>
  <c r="AH17" i="4"/>
  <c r="AI17" i="4"/>
  <c r="AJ17" i="4"/>
  <c r="AK17" i="4"/>
  <c r="AM17" i="4"/>
  <c r="AN17" i="4"/>
  <c r="AO17" i="4"/>
  <c r="AP17" i="4"/>
  <c r="AR17" i="4"/>
  <c r="AT17" i="4"/>
  <c r="AU17" i="4"/>
  <c r="S18" i="4"/>
  <c r="T18" i="4"/>
  <c r="U18" i="4"/>
  <c r="V18" i="4"/>
  <c r="W18" i="4"/>
  <c r="X18" i="4"/>
  <c r="Y18" i="4"/>
  <c r="Z18" i="4"/>
  <c r="AA18" i="4"/>
  <c r="AC18" i="4"/>
  <c r="AD18" i="4"/>
  <c r="AE18" i="4"/>
  <c r="AF18" i="4"/>
  <c r="AH18" i="4"/>
  <c r="AI18" i="4"/>
  <c r="AJ18" i="4"/>
  <c r="AM18" i="4"/>
  <c r="AN18" i="4"/>
  <c r="AO18" i="4"/>
  <c r="AP18" i="4"/>
  <c r="AR18" i="4"/>
  <c r="AS18" i="4"/>
  <c r="AU18" i="4"/>
  <c r="S19" i="4"/>
  <c r="T19" i="4"/>
  <c r="U19" i="4"/>
  <c r="V19" i="4"/>
  <c r="W19" i="4"/>
  <c r="X19" i="4"/>
  <c r="Z19" i="4"/>
  <c r="AA19" i="4"/>
  <c r="AC19" i="4"/>
  <c r="AD19" i="4"/>
  <c r="AE19" i="4"/>
  <c r="AF19" i="4"/>
  <c r="AI19" i="4"/>
  <c r="AJ19" i="4"/>
  <c r="AK19" i="4"/>
  <c r="AM19" i="4"/>
  <c r="AN19" i="4"/>
  <c r="AP19" i="4"/>
  <c r="AR19" i="4"/>
  <c r="AS19" i="4"/>
  <c r="AT19" i="4"/>
  <c r="AU19" i="4"/>
  <c r="S20" i="4"/>
  <c r="T20" i="4"/>
  <c r="U20" i="4"/>
  <c r="V20" i="4"/>
  <c r="W20" i="4"/>
  <c r="X20" i="4"/>
  <c r="AC20" i="4"/>
  <c r="AH20" i="4"/>
  <c r="AM20" i="4"/>
  <c r="AN20" i="4"/>
  <c r="AO20" i="4"/>
  <c r="AR20" i="4"/>
  <c r="AS20" i="4"/>
  <c r="AT20" i="4"/>
  <c r="AU20" i="4"/>
  <c r="S21" i="4"/>
  <c r="T21" i="4"/>
  <c r="U21" i="4"/>
  <c r="V21" i="4"/>
  <c r="W21" i="4"/>
  <c r="AC21" i="4"/>
  <c r="AH21" i="4"/>
  <c r="AN21" i="4"/>
  <c r="AO21" i="4"/>
  <c r="AP21" i="4"/>
  <c r="AQ21" i="4"/>
  <c r="AS21" i="4"/>
  <c r="AT21" i="4"/>
  <c r="AU21" i="4"/>
  <c r="AX21" i="4"/>
  <c r="AY21" i="4"/>
  <c r="AZ21" i="4"/>
  <c r="BA21" i="4"/>
  <c r="BC21" i="4"/>
  <c r="BD21" i="4"/>
  <c r="BE21" i="4"/>
  <c r="BF21" i="4"/>
  <c r="BH21" i="4"/>
  <c r="BI21" i="4"/>
  <c r="BJ21" i="4"/>
  <c r="BK21" i="4"/>
  <c r="BM21" i="4"/>
  <c r="BN21" i="4"/>
  <c r="BO21" i="4"/>
  <c r="BP21" i="4"/>
  <c r="S22" i="4"/>
  <c r="T22" i="4"/>
  <c r="U22" i="4"/>
  <c r="V22" i="4"/>
  <c r="W22" i="4"/>
  <c r="E23" i="4"/>
  <c r="E24" i="4" s="1"/>
  <c r="E25" i="4"/>
  <c r="F25" i="4"/>
  <c r="G25" i="4"/>
  <c r="J23" i="4"/>
  <c r="O23" i="4"/>
  <c r="O24" i="4" s="1"/>
  <c r="S23" i="4"/>
  <c r="Z23" i="4"/>
  <c r="AK23" i="4"/>
  <c r="M26" i="4"/>
  <c r="S26" i="4"/>
  <c r="W26" i="4"/>
  <c r="AB26" i="4"/>
  <c r="AG26" i="4"/>
  <c r="AL26" i="4"/>
  <c r="AQ26" i="4"/>
  <c r="H25" i="4"/>
  <c r="H26" i="4"/>
  <c r="H27" i="4"/>
  <c r="N27" i="4"/>
  <c r="O27" i="4"/>
  <c r="Q27" i="4"/>
  <c r="S27" i="4" s="1"/>
  <c r="S28" i="4" s="1"/>
  <c r="S30" i="4" s="1"/>
  <c r="R27" i="4"/>
  <c r="T27" i="4"/>
  <c r="T28" i="4" s="1"/>
  <c r="U27" i="4"/>
  <c r="V27" i="4"/>
  <c r="X27" i="4"/>
  <c r="Y27" i="4"/>
  <c r="Y28" i="4" s="1"/>
  <c r="Z27" i="4"/>
  <c r="AA27" i="4"/>
  <c r="AC27" i="4"/>
  <c r="AD27" i="4"/>
  <c r="AD28" i="4" s="1"/>
  <c r="AE27" i="4"/>
  <c r="AF27" i="4"/>
  <c r="AH27" i="4"/>
  <c r="AI27" i="4"/>
  <c r="AI28" i="4" s="1"/>
  <c r="AJ27" i="4"/>
  <c r="AK27" i="4"/>
  <c r="AM27" i="4"/>
  <c r="AN27" i="4"/>
  <c r="AN28" i="4" s="1"/>
  <c r="AN19" i="9" s="1"/>
  <c r="AO27" i="4"/>
  <c r="AP27" i="4"/>
  <c r="AR27" i="4"/>
  <c r="AS27" i="4"/>
  <c r="AS28" i="4" s="1"/>
  <c r="AT27" i="4"/>
  <c r="AU27" i="4"/>
  <c r="E28" i="4"/>
  <c r="E30" i="4" s="1"/>
  <c r="E31" i="4" s="1"/>
  <c r="F28" i="4"/>
  <c r="G28" i="4"/>
  <c r="I28" i="4"/>
  <c r="J28" i="4"/>
  <c r="K28" i="4"/>
  <c r="L28" i="4"/>
  <c r="O28" i="4"/>
  <c r="O30" i="4" s="1"/>
  <c r="P28" i="4"/>
  <c r="Q28" i="4"/>
  <c r="R28" i="4"/>
  <c r="U28" i="4"/>
  <c r="V28" i="4"/>
  <c r="X28" i="4"/>
  <c r="X19" i="9" s="1"/>
  <c r="Z28" i="4"/>
  <c r="AA28" i="4"/>
  <c r="AC28" i="4"/>
  <c r="AC19" i="9" s="1"/>
  <c r="AE28" i="4"/>
  <c r="AF28" i="4"/>
  <c r="AH28" i="4"/>
  <c r="AH19" i="9" s="1"/>
  <c r="AJ28" i="4"/>
  <c r="AK28" i="4"/>
  <c r="AM28" i="4"/>
  <c r="AO28" i="4"/>
  <c r="AO19" i="9" s="1"/>
  <c r="AP28" i="4"/>
  <c r="AR28" i="4"/>
  <c r="AT28" i="4"/>
  <c r="AU28" i="4"/>
  <c r="H33" i="4"/>
  <c r="M33" i="4"/>
  <c r="R33" i="4"/>
  <c r="W33" i="4"/>
  <c r="AB33" i="4"/>
  <c r="AG33" i="4"/>
  <c r="AL33" i="4"/>
  <c r="AQ33" i="4"/>
  <c r="H37" i="4"/>
  <c r="M37" i="4"/>
  <c r="R37" i="4"/>
  <c r="W37" i="4"/>
  <c r="AB37" i="4"/>
  <c r="AB28" i="9" s="1"/>
  <c r="AG37" i="4"/>
  <c r="AG28" i="9" s="1"/>
  <c r="AL37" i="4"/>
  <c r="AQ37" i="4"/>
  <c r="AQ28" i="9" s="1"/>
  <c r="BD40" i="4"/>
  <c r="BN40" i="4"/>
  <c r="AX41" i="4"/>
  <c r="AX47" i="4" s="1"/>
  <c r="AX38" i="9" s="1"/>
  <c r="AY41" i="4"/>
  <c r="AY47" i="4" s="1"/>
  <c r="AY38" i="9" s="1"/>
  <c r="AZ41" i="4"/>
  <c r="BA41" i="4"/>
  <c r="BA47" i="4" s="1"/>
  <c r="BA38" i="9" s="1"/>
  <c r="BC41" i="4"/>
  <c r="BD41" i="4"/>
  <c r="BD47" i="4" s="1"/>
  <c r="BD38" i="9" s="1"/>
  <c r="BE41" i="4"/>
  <c r="BF41" i="4"/>
  <c r="BF47" i="4" s="1"/>
  <c r="BF38" i="9" s="1"/>
  <c r="BH41" i="4"/>
  <c r="BH47" i="4" s="1"/>
  <c r="BI41" i="4"/>
  <c r="BJ41" i="4"/>
  <c r="BJ47" i="4" s="1"/>
  <c r="BJ38" i="9" s="1"/>
  <c r="BK41" i="4"/>
  <c r="BK47" i="4" s="1"/>
  <c r="BK38" i="9" s="1"/>
  <c r="BM41" i="4"/>
  <c r="BM47" i="4" s="1"/>
  <c r="BM38" i="9" s="1"/>
  <c r="BN41" i="4"/>
  <c r="BO41" i="4"/>
  <c r="BP41" i="4"/>
  <c r="BP47" i="4" s="1"/>
  <c r="BP38" i="9" s="1"/>
  <c r="AX42" i="4"/>
  <c r="AY42" i="4"/>
  <c r="AZ42" i="4"/>
  <c r="BA42" i="4"/>
  <c r="BC42" i="4"/>
  <c r="BD42" i="4"/>
  <c r="BE42" i="4"/>
  <c r="BF42" i="4"/>
  <c r="BH42" i="4"/>
  <c r="BI42" i="4"/>
  <c r="BJ42" i="4"/>
  <c r="BK42" i="4"/>
  <c r="BM42" i="4"/>
  <c r="BN42" i="4"/>
  <c r="BO42" i="4"/>
  <c r="BP42" i="4"/>
  <c r="AX44" i="4"/>
  <c r="AY44" i="4"/>
  <c r="AZ44" i="4"/>
  <c r="BA44" i="4"/>
  <c r="BC44" i="4"/>
  <c r="BD44" i="4"/>
  <c r="BE44" i="4"/>
  <c r="BF44" i="4"/>
  <c r="BH44" i="4"/>
  <c r="BI44" i="4"/>
  <c r="BJ44" i="4"/>
  <c r="BK44" i="4"/>
  <c r="BM44" i="4"/>
  <c r="BN44" i="4"/>
  <c r="BO44" i="4"/>
  <c r="BP44" i="4"/>
  <c r="S40" i="4"/>
  <c r="S41" i="4"/>
  <c r="S42" i="4"/>
  <c r="S43" i="4"/>
  <c r="H40" i="4"/>
  <c r="H41" i="4"/>
  <c r="H42" i="4"/>
  <c r="H43" i="4"/>
  <c r="H44" i="4"/>
  <c r="M40" i="4"/>
  <c r="M41" i="4"/>
  <c r="M47" i="4" s="1"/>
  <c r="M42" i="4"/>
  <c r="M43" i="4"/>
  <c r="M44" i="4"/>
  <c r="R44" i="4"/>
  <c r="W40" i="4"/>
  <c r="W41" i="4"/>
  <c r="W42" i="4"/>
  <c r="W43" i="4"/>
  <c r="W44" i="4"/>
  <c r="AB40" i="4"/>
  <c r="AB31" i="9" s="1"/>
  <c r="AB41" i="4"/>
  <c r="AB32" i="9" s="1"/>
  <c r="AB42" i="4"/>
  <c r="AB33" i="9" s="1"/>
  <c r="AB43" i="4"/>
  <c r="AB34" i="9" s="1"/>
  <c r="AB44" i="4"/>
  <c r="AB35" i="9" s="1"/>
  <c r="AG40" i="4"/>
  <c r="AG31" i="9" s="1"/>
  <c r="AG41" i="4"/>
  <c r="AG32" i="9" s="1"/>
  <c r="AG42" i="4"/>
  <c r="AG33" i="9" s="1"/>
  <c r="AG43" i="4"/>
  <c r="AG34" i="9" s="1"/>
  <c r="AG44" i="4"/>
  <c r="AG35" i="9" s="1"/>
  <c r="AL40" i="4"/>
  <c r="AL31" i="9" s="1"/>
  <c r="AL41" i="4"/>
  <c r="AL32" i="9" s="1"/>
  <c r="AL42" i="4"/>
  <c r="AL33" i="9" s="1"/>
  <c r="AL43" i="4"/>
  <c r="AL34" i="9" s="1"/>
  <c r="AL44" i="4"/>
  <c r="AL35" i="9" s="1"/>
  <c r="AQ40" i="4"/>
  <c r="AQ31" i="9" s="1"/>
  <c r="BF31" i="9" s="1"/>
  <c r="BK31" i="9" s="1"/>
  <c r="BP31" i="9" s="1"/>
  <c r="AQ41" i="4"/>
  <c r="AQ32" i="9" s="1"/>
  <c r="AQ42" i="4"/>
  <c r="AQ33" i="9" s="1"/>
  <c r="AQ43" i="4"/>
  <c r="AQ34" i="9" s="1"/>
  <c r="AQ44" i="4"/>
  <c r="AQ35" i="9" s="1"/>
  <c r="AO47" i="4"/>
  <c r="AO38" i="9" s="1"/>
  <c r="AP47" i="4"/>
  <c r="AP38" i="9" s="1"/>
  <c r="AR47" i="4"/>
  <c r="AS47" i="4"/>
  <c r="AS38" i="9" s="1"/>
  <c r="AT47" i="4"/>
  <c r="AT38" i="9" s="1"/>
  <c r="AU47" i="4"/>
  <c r="AU38" i="9" s="1"/>
  <c r="BC47" i="4"/>
  <c r="BC38" i="9" s="1"/>
  <c r="BO47" i="4"/>
  <c r="BO38" i="9" s="1"/>
  <c r="E47" i="4"/>
  <c r="F47" i="4"/>
  <c r="G47" i="4"/>
  <c r="H47" i="4"/>
  <c r="I47" i="4"/>
  <c r="J47" i="4"/>
  <c r="K47" i="4"/>
  <c r="N47" i="4" s="1"/>
  <c r="N249" i="4" s="1"/>
  <c r="L47" i="4"/>
  <c r="R47" i="4"/>
  <c r="X47" i="4"/>
  <c r="Y47" i="4"/>
  <c r="Y38" i="9" s="1"/>
  <c r="Z47" i="4"/>
  <c r="Z38" i="9" s="1"/>
  <c r="AA47" i="4"/>
  <c r="AA38" i="9" s="1"/>
  <c r="AC47" i="4"/>
  <c r="AC38" i="9" s="1"/>
  <c r="AH47" i="4"/>
  <c r="AL47" i="4"/>
  <c r="AL38" i="9" s="1"/>
  <c r="E50" i="4"/>
  <c r="F50" i="4"/>
  <c r="G50" i="4"/>
  <c r="I50" i="4"/>
  <c r="J50" i="4"/>
  <c r="K50" i="4"/>
  <c r="L50" i="4"/>
  <c r="O50" i="4"/>
  <c r="P50" i="4"/>
  <c r="Q50" i="4"/>
  <c r="R50" i="4"/>
  <c r="S50" i="4"/>
  <c r="T50" i="4"/>
  <c r="U50" i="4"/>
  <c r="V50" i="4"/>
  <c r="X50" i="4"/>
  <c r="W50" i="4" s="1"/>
  <c r="Y50" i="4"/>
  <c r="Z50" i="4"/>
  <c r="AA50" i="4"/>
  <c r="AC50" i="4"/>
  <c r="AB50" i="4" s="1"/>
  <c r="AD50" i="4"/>
  <c r="AE50" i="4"/>
  <c r="AF50" i="4"/>
  <c r="AH50" i="4"/>
  <c r="AG50" i="4" s="1"/>
  <c r="AI50" i="4"/>
  <c r="AJ50" i="4"/>
  <c r="AK50" i="4"/>
  <c r="AM50" i="4"/>
  <c r="AL50" i="4" s="1"/>
  <c r="AN50" i="4"/>
  <c r="AO50" i="4"/>
  <c r="AP50" i="4"/>
  <c r="AR50" i="4"/>
  <c r="AQ50" i="4" s="1"/>
  <c r="AS50" i="4"/>
  <c r="AT50" i="4"/>
  <c r="AU50" i="4"/>
  <c r="H50" i="4"/>
  <c r="M50" i="4"/>
  <c r="BL58" i="4"/>
  <c r="BQ58" i="4" s="1"/>
  <c r="BL59" i="4"/>
  <c r="BQ59" i="4" s="1"/>
  <c r="H64" i="4"/>
  <c r="M64" i="4"/>
  <c r="R65" i="4" s="1"/>
  <c r="S64" i="4"/>
  <c r="S65" i="4" s="1"/>
  <c r="X64" i="4"/>
  <c r="X65" i="4" s="1"/>
  <c r="AC64" i="4"/>
  <c r="AH64" i="4"/>
  <c r="AM65" i="4" s="1"/>
  <c r="AM64" i="4"/>
  <c r="AR64" i="4"/>
  <c r="AR65" i="4" s="1"/>
  <c r="AX64" i="4"/>
  <c r="AY64" i="4" s="1"/>
  <c r="J65" i="4"/>
  <c r="K65" i="4"/>
  <c r="L65" i="4"/>
  <c r="N65" i="4"/>
  <c r="O65" i="4"/>
  <c r="P65" i="4"/>
  <c r="Q65" i="4"/>
  <c r="T65" i="4"/>
  <c r="U65" i="4"/>
  <c r="V65" i="4"/>
  <c r="W65" i="4"/>
  <c r="Y65" i="4"/>
  <c r="Z65" i="4"/>
  <c r="AA65" i="4"/>
  <c r="AB65" i="4"/>
  <c r="AD65" i="4"/>
  <c r="AE65" i="4"/>
  <c r="AF65" i="4"/>
  <c r="AG65" i="4"/>
  <c r="AI65" i="4"/>
  <c r="AJ65" i="4"/>
  <c r="AK65" i="4"/>
  <c r="AL65" i="4"/>
  <c r="AN65" i="4"/>
  <c r="AO65" i="4"/>
  <c r="AP65" i="4"/>
  <c r="AQ65" i="4"/>
  <c r="AS65" i="4"/>
  <c r="AT65" i="4"/>
  <c r="AU65" i="4"/>
  <c r="BB73" i="4"/>
  <c r="BG73" i="4"/>
  <c r="BL73" i="4"/>
  <c r="Z81" i="4"/>
  <c r="AD81" i="4"/>
  <c r="AE81" i="4"/>
  <c r="AM81" i="4"/>
  <c r="AN81" i="4"/>
  <c r="AS81" i="4"/>
  <c r="X82" i="4"/>
  <c r="Z82" i="4"/>
  <c r="AC82" i="4"/>
  <c r="AD82" i="4"/>
  <c r="AF82" i="4"/>
  <c r="AH82" i="4"/>
  <c r="AI82" i="4"/>
  <c r="AJ82" i="4"/>
  <c r="AK82" i="4"/>
  <c r="AM82" i="4"/>
  <c r="AN82" i="4"/>
  <c r="AP82" i="4"/>
  <c r="AQ82" i="4"/>
  <c r="AT82" i="4"/>
  <c r="AU82" i="4"/>
  <c r="X93" i="4"/>
  <c r="Y93" i="4"/>
  <c r="Z93" i="4"/>
  <c r="AA93" i="4"/>
  <c r="AB93" i="4"/>
  <c r="AC93" i="4"/>
  <c r="AD93" i="4"/>
  <c r="AE93" i="4"/>
  <c r="AF93" i="4"/>
  <c r="AG93" i="4"/>
  <c r="AH93" i="4"/>
  <c r="AI93" i="4"/>
  <c r="AJ93" i="4"/>
  <c r="AM93" i="4"/>
  <c r="AN93" i="4"/>
  <c r="AR93" i="4"/>
  <c r="X94" i="4"/>
  <c r="Y94" i="4"/>
  <c r="Z94" i="4"/>
  <c r="AA94" i="4"/>
  <c r="AB94" i="4"/>
  <c r="AC94" i="4"/>
  <c r="AD94" i="4"/>
  <c r="AE94" i="4"/>
  <c r="AF94" i="4"/>
  <c r="AG94" i="4"/>
  <c r="AH94" i="4"/>
  <c r="AI94" i="4"/>
  <c r="AJ94" i="4"/>
  <c r="AK94" i="4"/>
  <c r="AL94" i="4"/>
  <c r="AM94" i="4"/>
  <c r="AN94" i="4"/>
  <c r="AO94" i="4"/>
  <c r="AP94" i="4"/>
  <c r="AQ94" i="4"/>
  <c r="AR94" i="4"/>
  <c r="X95" i="4"/>
  <c r="Y95" i="4"/>
  <c r="Z95" i="4"/>
  <c r="AA95" i="4"/>
  <c r="AB95" i="4"/>
  <c r="AC95" i="4"/>
  <c r="AD95" i="4"/>
  <c r="AE95" i="4"/>
  <c r="AF95" i="4"/>
  <c r="AG95" i="4"/>
  <c r="AH95" i="4"/>
  <c r="AI95" i="4"/>
  <c r="AJ95" i="4"/>
  <c r="AK95" i="4"/>
  <c r="AM95" i="4"/>
  <c r="AN95" i="4"/>
  <c r="AO95" i="4"/>
  <c r="AP95" i="4"/>
  <c r="AR95" i="4"/>
  <c r="AX95" i="4"/>
  <c r="BB95" i="4"/>
  <c r="BG95" i="4"/>
  <c r="BQ95" i="4"/>
  <c r="X96" i="4"/>
  <c r="AC96" i="4"/>
  <c r="AR96" i="4"/>
  <c r="BB96" i="4"/>
  <c r="BG96" i="4"/>
  <c r="BL96" i="4"/>
  <c r="BQ96" i="4"/>
  <c r="X97" i="4"/>
  <c r="Y97" i="4"/>
  <c r="Z97" i="4"/>
  <c r="AA97" i="4"/>
  <c r="AB97" i="4"/>
  <c r="AC97" i="4"/>
  <c r="AD97" i="4"/>
  <c r="AE97" i="4"/>
  <c r="AH97" i="4"/>
  <c r="AI97" i="4"/>
  <c r="AJ97" i="4"/>
  <c r="AK97" i="4"/>
  <c r="AM97" i="4"/>
  <c r="AN97" i="4"/>
  <c r="AO97" i="4"/>
  <c r="AP97" i="4"/>
  <c r="AQ97" i="4"/>
  <c r="AR97" i="4"/>
  <c r="AX97" i="4"/>
  <c r="AY97" i="4"/>
  <c r="AZ97" i="4"/>
  <c r="BA97" i="4"/>
  <c r="BB97" i="4"/>
  <c r="BC97" i="4"/>
  <c r="BD97" i="4"/>
  <c r="BE97" i="4"/>
  <c r="BF97" i="4"/>
  <c r="BG97" i="4"/>
  <c r="BH97" i="4"/>
  <c r="BI97" i="4"/>
  <c r="BJ97" i="4"/>
  <c r="BK97" i="4"/>
  <c r="BL97" i="4"/>
  <c r="BM97" i="4"/>
  <c r="BN97" i="4"/>
  <c r="BO97" i="4"/>
  <c r="BP97" i="4"/>
  <c r="BQ97" i="4"/>
  <c r="AY98" i="4"/>
  <c r="BK98" i="4"/>
  <c r="BO98" i="4"/>
  <c r="E102" i="4"/>
  <c r="F102" i="4"/>
  <c r="G102" i="4"/>
  <c r="H102" i="4"/>
  <c r="AZ115" i="4"/>
  <c r="AY115" i="4" s="1"/>
  <c r="AX115" i="4" s="1"/>
  <c r="BA115" i="4"/>
  <c r="BF115" i="4"/>
  <c r="BE115" i="4" s="1"/>
  <c r="BD115" i="4" s="1"/>
  <c r="BC115" i="4" s="1"/>
  <c r="BK115" i="4"/>
  <c r="BJ115" i="4" s="1"/>
  <c r="BI115" i="4" s="1"/>
  <c r="BH115" i="4" s="1"/>
  <c r="BP115" i="4"/>
  <c r="BO115" i="4" s="1"/>
  <c r="BN115" i="4" s="1"/>
  <c r="BM115" i="4" s="1"/>
  <c r="BP118" i="4"/>
  <c r="BO118" i="4" s="1"/>
  <c r="X123" i="4"/>
  <c r="Y123" i="4"/>
  <c r="Z123" i="4"/>
  <c r="AA123" i="4"/>
  <c r="AB123" i="4"/>
  <c r="AC123" i="4"/>
  <c r="AD123" i="4"/>
  <c r="AE123" i="4"/>
  <c r="AF123" i="4"/>
  <c r="AG123" i="4"/>
  <c r="AH123" i="4"/>
  <c r="AI123" i="4"/>
  <c r="AJ123" i="4"/>
  <c r="AK123" i="4"/>
  <c r="AL123" i="4"/>
  <c r="AM123" i="4"/>
  <c r="AN123" i="4"/>
  <c r="AO123" i="4"/>
  <c r="AP123" i="4"/>
  <c r="AQ123" i="4"/>
  <c r="AR123" i="4"/>
  <c r="AX123" i="4"/>
  <c r="AY123" i="4"/>
  <c r="AZ123" i="4"/>
  <c r="BA123" i="4"/>
  <c r="BB123" i="4"/>
  <c r="BC123" i="4"/>
  <c r="BD123" i="4"/>
  <c r="BE123" i="4"/>
  <c r="BF123" i="4"/>
  <c r="BG123" i="4"/>
  <c r="BH123" i="4"/>
  <c r="BI123" i="4"/>
  <c r="BJ123" i="4"/>
  <c r="BK123" i="4"/>
  <c r="BL123" i="4"/>
  <c r="BM123" i="4"/>
  <c r="BN123" i="4"/>
  <c r="BO123" i="4"/>
  <c r="BP123" i="4"/>
  <c r="BQ123" i="4"/>
  <c r="X124" i="4"/>
  <c r="Y124" i="4"/>
  <c r="Z124" i="4"/>
  <c r="AA124" i="4"/>
  <c r="AB124" i="4"/>
  <c r="AC124" i="4"/>
  <c r="AD124" i="4"/>
  <c r="AE124" i="4"/>
  <c r="AF124" i="4"/>
  <c r="AG124" i="4"/>
  <c r="AH124" i="4"/>
  <c r="AI124" i="4"/>
  <c r="AJ124" i="4"/>
  <c r="AK124" i="4"/>
  <c r="AL124" i="4"/>
  <c r="AM124" i="4"/>
  <c r="AN124" i="4"/>
  <c r="AO124" i="4"/>
  <c r="AP124" i="4"/>
  <c r="AQ124" i="4"/>
  <c r="AR124" i="4"/>
  <c r="AX124" i="4"/>
  <c r="BB124" i="4"/>
  <c r="BD124" i="4"/>
  <c r="BF124" i="4"/>
  <c r="BG124" i="4"/>
  <c r="BJ124" i="4"/>
  <c r="BL124" i="4"/>
  <c r="X125" i="4"/>
  <c r="Y125" i="4"/>
  <c r="Z125" i="4"/>
  <c r="AA125" i="4"/>
  <c r="AB125" i="4"/>
  <c r="AC125" i="4"/>
  <c r="AD125" i="4"/>
  <c r="AE125" i="4"/>
  <c r="AF125" i="4"/>
  <c r="AG125" i="4"/>
  <c r="AH125" i="4"/>
  <c r="AI125" i="4"/>
  <c r="AJ125" i="4"/>
  <c r="AK125" i="4"/>
  <c r="AL125" i="4"/>
  <c r="AM125" i="4"/>
  <c r="AN125" i="4"/>
  <c r="AO125" i="4"/>
  <c r="AP125" i="4"/>
  <c r="AQ125" i="4"/>
  <c r="AR125" i="4"/>
  <c r="AX125" i="4"/>
  <c r="AY125" i="4"/>
  <c r="AZ125" i="4"/>
  <c r="BA125" i="4"/>
  <c r="BB125" i="4"/>
  <c r="BC125" i="4"/>
  <c r="BD125" i="4"/>
  <c r="BE125" i="4"/>
  <c r="BF125" i="4"/>
  <c r="BG125" i="4"/>
  <c r="BH125" i="4"/>
  <c r="BK125" i="4"/>
  <c r="BL125" i="4"/>
  <c r="BM125" i="4"/>
  <c r="BN125" i="4"/>
  <c r="BO125" i="4"/>
  <c r="BP125" i="4"/>
  <c r="BQ125" i="4"/>
  <c r="E133" i="4"/>
  <c r="F133" i="4"/>
  <c r="G133" i="4"/>
  <c r="I133" i="4"/>
  <c r="H133" i="4" s="1"/>
  <c r="J133" i="4"/>
  <c r="K133" i="4"/>
  <c r="L133" i="4"/>
  <c r="N133" i="4"/>
  <c r="M133" i="4" s="1"/>
  <c r="O133" i="4"/>
  <c r="P133" i="4"/>
  <c r="Q133" i="4"/>
  <c r="S133" i="4"/>
  <c r="R133" i="4" s="1"/>
  <c r="T133" i="4"/>
  <c r="U133" i="4"/>
  <c r="V133" i="4"/>
  <c r="X133" i="4"/>
  <c r="W133" i="4" s="1"/>
  <c r="Y133" i="4"/>
  <c r="Z133" i="4"/>
  <c r="AA133" i="4"/>
  <c r="AC133" i="4"/>
  <c r="AB133" i="4" s="1"/>
  <c r="AD133" i="4"/>
  <c r="AE133" i="4"/>
  <c r="AF133" i="4"/>
  <c r="AH133" i="4"/>
  <c r="AG133" i="4" s="1"/>
  <c r="AI133" i="4"/>
  <c r="AJ133" i="4"/>
  <c r="AK133" i="4"/>
  <c r="AM133" i="4"/>
  <c r="AL133" i="4" s="1"/>
  <c r="AN133" i="4"/>
  <c r="AO133" i="4"/>
  <c r="AP133" i="4"/>
  <c r="AR133" i="4"/>
  <c r="AQ133" i="4" s="1"/>
  <c r="E134" i="4"/>
  <c r="F134" i="4"/>
  <c r="G134" i="4"/>
  <c r="I134" i="4"/>
  <c r="H134" i="4" s="1"/>
  <c r="J134" i="4"/>
  <c r="K134" i="4"/>
  <c r="L134" i="4"/>
  <c r="N134" i="4"/>
  <c r="M134" i="4" s="1"/>
  <c r="O134" i="4"/>
  <c r="P134" i="4"/>
  <c r="Q134" i="4"/>
  <c r="S134" i="4"/>
  <c r="R134" i="4" s="1"/>
  <c r="T134" i="4"/>
  <c r="U134" i="4"/>
  <c r="V134" i="4"/>
  <c r="X134" i="4"/>
  <c r="W134" i="4" s="1"/>
  <c r="Y134" i="4"/>
  <c r="Z134" i="4"/>
  <c r="AA134" i="4"/>
  <c r="AC134" i="4"/>
  <c r="AB134" i="4" s="1"/>
  <c r="AD134" i="4"/>
  <c r="AE134" i="4"/>
  <c r="AF134" i="4"/>
  <c r="AH134" i="4"/>
  <c r="AG134" i="4" s="1"/>
  <c r="AI134" i="4"/>
  <c r="AJ134" i="4"/>
  <c r="AK134" i="4"/>
  <c r="AM134" i="4"/>
  <c r="AL134" i="4" s="1"/>
  <c r="AN134" i="4"/>
  <c r="AO134" i="4"/>
  <c r="AP134" i="4"/>
  <c r="AR134" i="4"/>
  <c r="AQ134" i="4" s="1"/>
  <c r="E135" i="4"/>
  <c r="F135" i="4"/>
  <c r="G135" i="4"/>
  <c r="I135" i="4"/>
  <c r="H135" i="4" s="1"/>
  <c r="J135" i="4"/>
  <c r="K135" i="4"/>
  <c r="L135" i="4"/>
  <c r="N135" i="4"/>
  <c r="M135" i="4" s="1"/>
  <c r="O135" i="4"/>
  <c r="P135" i="4"/>
  <c r="Q135" i="4"/>
  <c r="S135" i="4"/>
  <c r="R135" i="4" s="1"/>
  <c r="T135" i="4"/>
  <c r="U135" i="4"/>
  <c r="V135" i="4"/>
  <c r="X135" i="4"/>
  <c r="W135" i="4" s="1"/>
  <c r="Y135" i="4"/>
  <c r="Z135" i="4"/>
  <c r="AA135" i="4"/>
  <c r="AC135" i="4"/>
  <c r="AB135" i="4" s="1"/>
  <c r="AD135" i="4"/>
  <c r="AE135" i="4"/>
  <c r="AF135" i="4"/>
  <c r="AH135" i="4"/>
  <c r="AG135" i="4" s="1"/>
  <c r="AI135" i="4"/>
  <c r="AJ135" i="4"/>
  <c r="AK135" i="4"/>
  <c r="AM135" i="4"/>
  <c r="AL135" i="4" s="1"/>
  <c r="AN135" i="4"/>
  <c r="AO135" i="4"/>
  <c r="AP135" i="4"/>
  <c r="AR135" i="4"/>
  <c r="AQ135" i="4" s="1"/>
  <c r="E136" i="4"/>
  <c r="F136" i="4"/>
  <c r="G136" i="4"/>
  <c r="I136" i="4"/>
  <c r="H136" i="4" s="1"/>
  <c r="J136" i="4"/>
  <c r="K136" i="4"/>
  <c r="L136" i="4"/>
  <c r="M136" i="4"/>
  <c r="N136" i="4"/>
  <c r="O136" i="4"/>
  <c r="P136" i="4"/>
  <c r="Q136" i="4"/>
  <c r="S136" i="4"/>
  <c r="R136" i="4" s="1"/>
  <c r="T136" i="4"/>
  <c r="U136" i="4"/>
  <c r="V136" i="4"/>
  <c r="X136" i="4"/>
  <c r="W136" i="4" s="1"/>
  <c r="Y136" i="4"/>
  <c r="Z136" i="4"/>
  <c r="AA136" i="4"/>
  <c r="AC136" i="4"/>
  <c r="AB136" i="4" s="1"/>
  <c r="AD136" i="4"/>
  <c r="AE136" i="4"/>
  <c r="AF136" i="4"/>
  <c r="AH136" i="4"/>
  <c r="AG136" i="4" s="1"/>
  <c r="AI136" i="4"/>
  <c r="AJ136" i="4"/>
  <c r="AK136" i="4"/>
  <c r="AM136" i="4"/>
  <c r="AL136" i="4" s="1"/>
  <c r="AN136" i="4"/>
  <c r="AO136" i="4"/>
  <c r="AP136" i="4"/>
  <c r="AR136" i="4"/>
  <c r="AQ136" i="4" s="1"/>
  <c r="AX137" i="4"/>
  <c r="AY137" i="4"/>
  <c r="AZ137" i="4"/>
  <c r="BA137" i="4"/>
  <c r="BC137" i="4"/>
  <c r="BD137" i="4"/>
  <c r="BE137" i="4"/>
  <c r="BF137" i="4"/>
  <c r="BH137" i="4"/>
  <c r="BI137" i="4"/>
  <c r="BJ137" i="4"/>
  <c r="BK137" i="4"/>
  <c r="BM137" i="4"/>
  <c r="BN137" i="4"/>
  <c r="BO137" i="4"/>
  <c r="BP137" i="4"/>
  <c r="AX138" i="4"/>
  <c r="AY138" i="4"/>
  <c r="AZ138" i="4"/>
  <c r="BA138" i="4"/>
  <c r="BC138" i="4"/>
  <c r="BD138" i="4"/>
  <c r="BE138" i="4"/>
  <c r="BF138" i="4"/>
  <c r="BH138" i="4"/>
  <c r="BI138" i="4"/>
  <c r="BJ138" i="4"/>
  <c r="BK138" i="4"/>
  <c r="BM138" i="4"/>
  <c r="BN138" i="4"/>
  <c r="BO138" i="4"/>
  <c r="BP138" i="4"/>
  <c r="CJ133" i="4"/>
  <c r="CJ134" i="4"/>
  <c r="CJ135" i="4"/>
  <c r="CJ136" i="4"/>
  <c r="CO133" i="4"/>
  <c r="CO134" i="4"/>
  <c r="CO135" i="4"/>
  <c r="CO136" i="4"/>
  <c r="CT133" i="4"/>
  <c r="CT134" i="4"/>
  <c r="CT135" i="4"/>
  <c r="CT136" i="4"/>
  <c r="CY133" i="4"/>
  <c r="CY134" i="4"/>
  <c r="CY135" i="4"/>
  <c r="CY136" i="4"/>
  <c r="DD133" i="4"/>
  <c r="DD134" i="4"/>
  <c r="DD135" i="4"/>
  <c r="DD136" i="4"/>
  <c r="DI133" i="4"/>
  <c r="DI134" i="4"/>
  <c r="DI135" i="4"/>
  <c r="DI136" i="4"/>
  <c r="DN133" i="4"/>
  <c r="DN134" i="4"/>
  <c r="DN135" i="4"/>
  <c r="DN136" i="4"/>
  <c r="DS133" i="4"/>
  <c r="DS134" i="4"/>
  <c r="DS135" i="4"/>
  <c r="DS136" i="4"/>
  <c r="CG137" i="4"/>
  <c r="CH137" i="4"/>
  <c r="CI137" i="4"/>
  <c r="CI139" i="4" s="1"/>
  <c r="CI155" i="4" s="1"/>
  <c r="CK137" i="4"/>
  <c r="CL137" i="4"/>
  <c r="J137" i="4" s="1"/>
  <c r="CM137" i="4"/>
  <c r="K137" i="4" s="1"/>
  <c r="CN137" i="4"/>
  <c r="CO137" i="4"/>
  <c r="CP137" i="4"/>
  <c r="N137" i="4" s="1"/>
  <c r="CQ137" i="4"/>
  <c r="O137" i="4" s="1"/>
  <c r="CR137" i="4"/>
  <c r="CR139" i="4" s="1"/>
  <c r="CS137" i="4"/>
  <c r="CU137" i="4"/>
  <c r="S137" i="4" s="1"/>
  <c r="CV137" i="4"/>
  <c r="T137" i="4" s="1"/>
  <c r="CW137" i="4"/>
  <c r="CX137" i="4"/>
  <c r="V137" i="4" s="1"/>
  <c r="CZ137" i="4"/>
  <c r="DA137" i="4"/>
  <c r="DB137" i="4"/>
  <c r="DC137" i="4"/>
  <c r="AA137" i="4" s="1"/>
  <c r="DE137" i="4"/>
  <c r="DF137" i="4"/>
  <c r="AD137" i="4" s="1"/>
  <c r="DG137" i="4"/>
  <c r="DH137" i="4"/>
  <c r="AF137" i="4" s="1"/>
  <c r="DJ137" i="4"/>
  <c r="AH137" i="4" s="1"/>
  <c r="DK137" i="4"/>
  <c r="AI137" i="4" s="1"/>
  <c r="DL137" i="4"/>
  <c r="DM137" i="4"/>
  <c r="DO137" i="4"/>
  <c r="AM137" i="4" s="1"/>
  <c r="DP137" i="4"/>
  <c r="AN137" i="4" s="1"/>
  <c r="DQ137" i="4"/>
  <c r="DR137" i="4"/>
  <c r="DT137" i="4"/>
  <c r="DU137" i="4"/>
  <c r="DV137" i="4"/>
  <c r="DW137" i="4"/>
  <c r="CG138" i="4"/>
  <c r="E138" i="4" s="1"/>
  <c r="CH138" i="4"/>
  <c r="CI138" i="4"/>
  <c r="CK138" i="4"/>
  <c r="I138" i="4" s="1"/>
  <c r="H138" i="4" s="1"/>
  <c r="CL138" i="4"/>
  <c r="CM138" i="4"/>
  <c r="CN138" i="4"/>
  <c r="CP138" i="4"/>
  <c r="CQ138" i="4"/>
  <c r="O138" i="4" s="1"/>
  <c r="CR138" i="4"/>
  <c r="CS138" i="4"/>
  <c r="CU138" i="4"/>
  <c r="CT138" i="4" s="1"/>
  <c r="CV138" i="4"/>
  <c r="T138" i="4" s="1"/>
  <c r="CW138" i="4"/>
  <c r="CX138" i="4"/>
  <c r="CZ138" i="4"/>
  <c r="X138" i="4" s="1"/>
  <c r="DA138" i="4"/>
  <c r="Y138" i="4" s="1"/>
  <c r="DB138" i="4"/>
  <c r="DC138" i="4"/>
  <c r="DE138" i="4"/>
  <c r="AC138" i="4" s="1"/>
  <c r="AB138" i="4" s="1"/>
  <c r="DF138" i="4"/>
  <c r="DG138" i="4"/>
  <c r="DH138" i="4"/>
  <c r="DJ138" i="4"/>
  <c r="DK138" i="4"/>
  <c r="AI138" i="4" s="1"/>
  <c r="DL138" i="4"/>
  <c r="DM138" i="4"/>
  <c r="DN138" i="4"/>
  <c r="DO138" i="4"/>
  <c r="AM138" i="4" s="1"/>
  <c r="DP138" i="4"/>
  <c r="AN138" i="4" s="1"/>
  <c r="DQ138" i="4"/>
  <c r="DR138" i="4"/>
  <c r="DT138" i="4"/>
  <c r="AR138" i="4" s="1"/>
  <c r="DU138" i="4"/>
  <c r="DV138" i="4"/>
  <c r="DW138" i="4"/>
  <c r="CM139" i="4"/>
  <c r="CN139" i="4"/>
  <c r="CQ139" i="4"/>
  <c r="CU139" i="4"/>
  <c r="S139" i="4" s="1"/>
  <c r="CZ139" i="4"/>
  <c r="X139" i="4" s="1"/>
  <c r="DG139" i="4"/>
  <c r="DK139" i="4"/>
  <c r="DO139" i="4"/>
  <c r="AM139" i="4" s="1"/>
  <c r="DT139" i="4"/>
  <c r="AR139" i="4" s="1"/>
  <c r="E141" i="4"/>
  <c r="F141" i="4"/>
  <c r="G141" i="4"/>
  <c r="I141" i="4"/>
  <c r="H141" i="4" s="1"/>
  <c r="J141" i="4"/>
  <c r="K141" i="4"/>
  <c r="L141" i="4"/>
  <c r="N141" i="4"/>
  <c r="M141" i="4" s="1"/>
  <c r="O141" i="4"/>
  <c r="P141" i="4"/>
  <c r="Q141" i="4"/>
  <c r="S141" i="4"/>
  <c r="R141" i="4" s="1"/>
  <c r="T141" i="4"/>
  <c r="U141" i="4"/>
  <c r="V141" i="4"/>
  <c r="X141" i="4"/>
  <c r="X61" i="9" s="1"/>
  <c r="Y141" i="4"/>
  <c r="Z141" i="4"/>
  <c r="AA141" i="4"/>
  <c r="AC141" i="4"/>
  <c r="AD141" i="4"/>
  <c r="AE141" i="4"/>
  <c r="AF141" i="4"/>
  <c r="AH141" i="4"/>
  <c r="AI141" i="4"/>
  <c r="AJ141" i="4"/>
  <c r="AK141" i="4"/>
  <c r="AM141" i="4"/>
  <c r="AN141" i="4"/>
  <c r="AO141" i="4"/>
  <c r="AP141" i="4"/>
  <c r="AP99" i="4" s="1"/>
  <c r="AR141" i="4"/>
  <c r="AX142" i="4"/>
  <c r="AY142" i="4"/>
  <c r="AZ142" i="4"/>
  <c r="BA142" i="4"/>
  <c r="BC142" i="4"/>
  <c r="BD142" i="4"/>
  <c r="BE142" i="4"/>
  <c r="BF142" i="4"/>
  <c r="BH142" i="4"/>
  <c r="BI142" i="4"/>
  <c r="BJ142" i="4"/>
  <c r="BK142" i="4"/>
  <c r="BM142" i="4"/>
  <c r="BN142" i="4"/>
  <c r="BO142" i="4"/>
  <c r="BP142" i="4"/>
  <c r="CJ141" i="4"/>
  <c r="CO141" i="4"/>
  <c r="CT141" i="4"/>
  <c r="CY141" i="4"/>
  <c r="DD141" i="4"/>
  <c r="DI141" i="4"/>
  <c r="DN141" i="4"/>
  <c r="DS141" i="4"/>
  <c r="CG142" i="4"/>
  <c r="CH142" i="4"/>
  <c r="CI142" i="4"/>
  <c r="G142" i="4" s="1"/>
  <c r="G143" i="4" s="1"/>
  <c r="CK142" i="4"/>
  <c r="CL142" i="4"/>
  <c r="J142" i="4" s="1"/>
  <c r="J143" i="4" s="1"/>
  <c r="CM142" i="4"/>
  <c r="CN142" i="4"/>
  <c r="CN143" i="4" s="1"/>
  <c r="CP142" i="4"/>
  <c r="N142" i="4" s="1"/>
  <c r="CQ142" i="4"/>
  <c r="O142" i="4" s="1"/>
  <c r="O143" i="4" s="1"/>
  <c r="CR142" i="4"/>
  <c r="CS142" i="4"/>
  <c r="CU142" i="4"/>
  <c r="S142" i="4" s="1"/>
  <c r="CV142" i="4"/>
  <c r="T142" i="4" s="1"/>
  <c r="CW142" i="4"/>
  <c r="CX142" i="4"/>
  <c r="CX143" i="4" s="1"/>
  <c r="CZ142" i="4"/>
  <c r="DA142" i="4"/>
  <c r="DB142" i="4"/>
  <c r="DB143" i="4" s="1"/>
  <c r="DC142" i="4"/>
  <c r="DE142" i="4"/>
  <c r="DF142" i="4"/>
  <c r="AD142" i="4" s="1"/>
  <c r="AD143" i="4" s="1"/>
  <c r="DG142" i="4"/>
  <c r="DH142" i="4"/>
  <c r="DJ142" i="4"/>
  <c r="AH142" i="4" s="1"/>
  <c r="DK142" i="4"/>
  <c r="AI142" i="4" s="1"/>
  <c r="AI143" i="4" s="1"/>
  <c r="DL142" i="4"/>
  <c r="DM142" i="4"/>
  <c r="DO142" i="4"/>
  <c r="AM142" i="4" s="1"/>
  <c r="DP142" i="4"/>
  <c r="AN142" i="4" s="1"/>
  <c r="DQ142" i="4"/>
  <c r="DR142" i="4"/>
  <c r="DT142" i="4"/>
  <c r="DU142" i="4"/>
  <c r="DV142" i="4"/>
  <c r="DW142" i="4"/>
  <c r="DW143" i="4" s="1"/>
  <c r="CI143" i="4"/>
  <c r="CM143" i="4"/>
  <c r="CP143" i="4"/>
  <c r="N143" i="4" s="1"/>
  <c r="CR143" i="4"/>
  <c r="CU143" i="4"/>
  <c r="S143" i="4" s="1"/>
  <c r="CV143" i="4"/>
  <c r="CZ143" i="4"/>
  <c r="X143" i="4" s="1"/>
  <c r="X63" i="9" s="1"/>
  <c r="X62" i="9" s="1"/>
  <c r="DC143" i="4"/>
  <c r="DG143" i="4"/>
  <c r="DH143" i="4"/>
  <c r="DJ143" i="4"/>
  <c r="AH143" i="4" s="1"/>
  <c r="DK143" i="4"/>
  <c r="DL143" i="4"/>
  <c r="DO143" i="4"/>
  <c r="AM143" i="4" s="1"/>
  <c r="AM63" i="9" s="1"/>
  <c r="DR143" i="4"/>
  <c r="DT143" i="4"/>
  <c r="AR143" i="4" s="1"/>
  <c r="AR63" i="9" s="1"/>
  <c r="DV143" i="4"/>
  <c r="E145" i="4"/>
  <c r="E106" i="4" s="1"/>
  <c r="F145" i="4"/>
  <c r="F106" i="4" s="1"/>
  <c r="G145" i="4"/>
  <c r="G106" i="4" s="1"/>
  <c r="I145" i="4"/>
  <c r="I106" i="4" s="1"/>
  <c r="J145" i="4"/>
  <c r="J106" i="4" s="1"/>
  <c r="K145" i="4"/>
  <c r="K106" i="4" s="1"/>
  <c r="L145" i="4"/>
  <c r="L106" i="4" s="1"/>
  <c r="N145" i="4"/>
  <c r="N106" i="4" s="1"/>
  <c r="O145" i="4"/>
  <c r="O106" i="4" s="1"/>
  <c r="P145" i="4"/>
  <c r="P106" i="4" s="1"/>
  <c r="Q145" i="4"/>
  <c r="Q106" i="4" s="1"/>
  <c r="S145" i="4"/>
  <c r="T145" i="4"/>
  <c r="T106" i="4" s="1"/>
  <c r="U145" i="4"/>
  <c r="U106" i="4" s="1"/>
  <c r="V145" i="4"/>
  <c r="V106" i="4" s="1"/>
  <c r="X145" i="4"/>
  <c r="Y145" i="4"/>
  <c r="Z145" i="4"/>
  <c r="AA145" i="4"/>
  <c r="AC145" i="4"/>
  <c r="AD145" i="4"/>
  <c r="AE145" i="4"/>
  <c r="AF145" i="4"/>
  <c r="AH145" i="4"/>
  <c r="AI145" i="4"/>
  <c r="AJ145" i="4"/>
  <c r="AK145" i="4"/>
  <c r="AM145" i="4"/>
  <c r="AN145" i="4"/>
  <c r="AO145" i="4"/>
  <c r="AP145" i="4"/>
  <c r="AQ145" i="4"/>
  <c r="AR145" i="4"/>
  <c r="CG146" i="4"/>
  <c r="E146" i="4" s="1"/>
  <c r="E107" i="4" s="1"/>
  <c r="CH146" i="4"/>
  <c r="F146" i="4" s="1"/>
  <c r="F107" i="4" s="1"/>
  <c r="CI146" i="4"/>
  <c r="CG147" i="4"/>
  <c r="E147" i="4" s="1"/>
  <c r="CH147" i="4"/>
  <c r="CI147" i="4"/>
  <c r="G147" i="4" s="1"/>
  <c r="CK146" i="4"/>
  <c r="I146" i="4" s="1"/>
  <c r="CL146" i="4"/>
  <c r="J146" i="4" s="1"/>
  <c r="J107" i="4" s="1"/>
  <c r="CM146" i="4"/>
  <c r="CN146" i="4"/>
  <c r="L146" i="4" s="1"/>
  <c r="L107" i="4" s="1"/>
  <c r="CK147" i="4"/>
  <c r="I147" i="4" s="1"/>
  <c r="CL147" i="4"/>
  <c r="CL153" i="4" s="1"/>
  <c r="CM147" i="4"/>
  <c r="CN147" i="4"/>
  <c r="L147" i="4" s="1"/>
  <c r="CP146" i="4"/>
  <c r="N146" i="4" s="1"/>
  <c r="CQ146" i="4"/>
  <c r="O146" i="4" s="1"/>
  <c r="CR146" i="4"/>
  <c r="CS146" i="4"/>
  <c r="Q146" i="4" s="1"/>
  <c r="Q107" i="4" s="1"/>
  <c r="CP147" i="4"/>
  <c r="N147" i="4" s="1"/>
  <c r="CQ147" i="4"/>
  <c r="P147" i="4" s="1"/>
  <c r="CR147" i="4"/>
  <c r="CS147" i="4"/>
  <c r="Q147" i="4" s="1"/>
  <c r="CU146" i="4"/>
  <c r="S146" i="4" s="1"/>
  <c r="CV146" i="4"/>
  <c r="T146" i="4" s="1"/>
  <c r="T107" i="4" s="1"/>
  <c r="CW146" i="4"/>
  <c r="CX146" i="4"/>
  <c r="V146" i="4" s="1"/>
  <c r="V107" i="4" s="1"/>
  <c r="CU147" i="4"/>
  <c r="S147" i="4" s="1"/>
  <c r="CV147" i="4"/>
  <c r="CW147" i="4"/>
  <c r="CX147" i="4"/>
  <c r="V147" i="4" s="1"/>
  <c r="CZ146" i="4"/>
  <c r="X146" i="4" s="1"/>
  <c r="DA146" i="4"/>
  <c r="Y146" i="4" s="1"/>
  <c r="DB146" i="4"/>
  <c r="DC146" i="4"/>
  <c r="AA146" i="4" s="1"/>
  <c r="CZ147" i="4"/>
  <c r="X147" i="4" s="1"/>
  <c r="DA147" i="4"/>
  <c r="Y147" i="4" s="1"/>
  <c r="DB147" i="4"/>
  <c r="DC147" i="4"/>
  <c r="DE146" i="4"/>
  <c r="AC146" i="4" s="1"/>
  <c r="DF146" i="4"/>
  <c r="AD146" i="4" s="1"/>
  <c r="DG146" i="4"/>
  <c r="DH146" i="4"/>
  <c r="AF146" i="4" s="1"/>
  <c r="DJ146" i="4"/>
  <c r="AH146" i="4" s="1"/>
  <c r="DK146" i="4"/>
  <c r="AI146" i="4" s="1"/>
  <c r="DL146" i="4"/>
  <c r="DM146" i="4"/>
  <c r="AK146" i="4" s="1"/>
  <c r="DO146" i="4"/>
  <c r="AM146" i="4" s="1"/>
  <c r="DP146" i="4"/>
  <c r="AN146" i="4" s="1"/>
  <c r="DQ146" i="4"/>
  <c r="DR146" i="4"/>
  <c r="AP146" i="4" s="1"/>
  <c r="DT146" i="4"/>
  <c r="AR146" i="4" s="1"/>
  <c r="DU146" i="4"/>
  <c r="DV146" i="4"/>
  <c r="DW146" i="4"/>
  <c r="F147" i="4"/>
  <c r="J147" i="4"/>
  <c r="O147" i="4"/>
  <c r="T147" i="4"/>
  <c r="AA147" i="4"/>
  <c r="AC147" i="4"/>
  <c r="AD147" i="4"/>
  <c r="AE147" i="4"/>
  <c r="AF147" i="4"/>
  <c r="AH147" i="4"/>
  <c r="AG147" i="4" s="1"/>
  <c r="AI147" i="4"/>
  <c r="AJ147" i="4"/>
  <c r="AK147" i="4"/>
  <c r="AM147" i="4"/>
  <c r="AL147" i="4" s="1"/>
  <c r="AN147" i="4"/>
  <c r="AO147" i="4"/>
  <c r="AP147" i="4"/>
  <c r="AR147" i="4"/>
  <c r="AQ147" i="4" s="1"/>
  <c r="E148" i="4"/>
  <c r="F148" i="4"/>
  <c r="G148" i="4"/>
  <c r="I148" i="4"/>
  <c r="H148" i="4" s="1"/>
  <c r="J148" i="4"/>
  <c r="K148" i="4"/>
  <c r="L148" i="4"/>
  <c r="N148" i="4"/>
  <c r="M148" i="4" s="1"/>
  <c r="O148" i="4"/>
  <c r="P148" i="4"/>
  <c r="Q148" i="4"/>
  <c r="S148" i="4"/>
  <c r="R148" i="4" s="1"/>
  <c r="T148" i="4"/>
  <c r="U148" i="4"/>
  <c r="V148" i="4"/>
  <c r="X148" i="4"/>
  <c r="W148" i="4" s="1"/>
  <c r="Y148" i="4"/>
  <c r="Z148" i="4"/>
  <c r="AA148" i="4"/>
  <c r="AD148" i="4"/>
  <c r="AE148" i="4"/>
  <c r="AF148" i="4"/>
  <c r="AH148" i="4"/>
  <c r="AG148" i="4" s="1"/>
  <c r="AI148" i="4"/>
  <c r="AJ148" i="4"/>
  <c r="AK148" i="4"/>
  <c r="AM148" i="4"/>
  <c r="AL148" i="4" s="1"/>
  <c r="AN148" i="4"/>
  <c r="AO148" i="4"/>
  <c r="AP148" i="4"/>
  <c r="AR148" i="4"/>
  <c r="AQ148" i="4" s="1"/>
  <c r="BB147" i="4"/>
  <c r="BB148" i="4"/>
  <c r="BG147" i="4"/>
  <c r="BG148" i="4"/>
  <c r="BL147" i="4"/>
  <c r="BL148" i="4"/>
  <c r="BQ147" i="4"/>
  <c r="BQ148" i="4"/>
  <c r="DE148" i="4"/>
  <c r="AC148" i="4" s="1"/>
  <c r="AB148" i="4" s="1"/>
  <c r="E149" i="4"/>
  <c r="E67" i="4" s="1"/>
  <c r="F149" i="4"/>
  <c r="F67" i="4" s="1"/>
  <c r="G149" i="4"/>
  <c r="G67" i="4" s="1"/>
  <c r="I149" i="4"/>
  <c r="I67" i="4" s="1"/>
  <c r="J149" i="4"/>
  <c r="J67" i="4" s="1"/>
  <c r="K149" i="4"/>
  <c r="K67" i="4" s="1"/>
  <c r="L149" i="4"/>
  <c r="L67" i="4" s="1"/>
  <c r="N149" i="4"/>
  <c r="O149" i="4"/>
  <c r="O67" i="4" s="1"/>
  <c r="P149" i="4"/>
  <c r="P67" i="4" s="1"/>
  <c r="Q149" i="4"/>
  <c r="Q67" i="4" s="1"/>
  <c r="S149" i="4"/>
  <c r="S67" i="4" s="1"/>
  <c r="T149" i="4"/>
  <c r="T67" i="4" s="1"/>
  <c r="U149" i="4"/>
  <c r="U67" i="4" s="1"/>
  <c r="V149" i="4"/>
  <c r="V67" i="4" s="1"/>
  <c r="X149" i="4"/>
  <c r="X67" i="4" s="1"/>
  <c r="Y149" i="4"/>
  <c r="Z149" i="4"/>
  <c r="AA149" i="4"/>
  <c r="AA67" i="4" s="1"/>
  <c r="AC149" i="4"/>
  <c r="AD149" i="4"/>
  <c r="AE149" i="4"/>
  <c r="AF149" i="4"/>
  <c r="AF67" i="4" s="1"/>
  <c r="AH149" i="4"/>
  <c r="AI149" i="4"/>
  <c r="AI67" i="4" s="1"/>
  <c r="AJ149" i="4"/>
  <c r="AJ67" i="4" s="1"/>
  <c r="AK149" i="4"/>
  <c r="AM149" i="4"/>
  <c r="AN149" i="4"/>
  <c r="AN67" i="4" s="1"/>
  <c r="AO149" i="4"/>
  <c r="AP149" i="4"/>
  <c r="AR149" i="4"/>
  <c r="AR67" i="4" s="1"/>
  <c r="E150" i="4"/>
  <c r="E73" i="4" s="1"/>
  <c r="F150" i="4"/>
  <c r="F73" i="4" s="1"/>
  <c r="G150" i="4"/>
  <c r="G73" i="4" s="1"/>
  <c r="J150" i="4"/>
  <c r="J73" i="4" s="1"/>
  <c r="K150" i="4"/>
  <c r="K73" i="4" s="1"/>
  <c r="L150" i="4"/>
  <c r="L73" i="4" s="1"/>
  <c r="N150" i="4"/>
  <c r="N73" i="4" s="1"/>
  <c r="O150" i="4"/>
  <c r="O73" i="4" s="1"/>
  <c r="P150" i="4"/>
  <c r="P73" i="4" s="1"/>
  <c r="Q150" i="4"/>
  <c r="Q73" i="4" s="1"/>
  <c r="S150" i="4"/>
  <c r="S73" i="4" s="1"/>
  <c r="T150" i="4"/>
  <c r="T73" i="4" s="1"/>
  <c r="U150" i="4"/>
  <c r="U73" i="4" s="1"/>
  <c r="V150" i="4"/>
  <c r="V73" i="4" s="1"/>
  <c r="X150" i="4"/>
  <c r="W150" i="4" s="1"/>
  <c r="W73" i="4" s="1"/>
  <c r="Y150" i="4"/>
  <c r="Z150" i="4"/>
  <c r="AA150" i="4"/>
  <c r="AA73" i="4" s="1"/>
  <c r="AC150" i="4"/>
  <c r="AD150" i="4"/>
  <c r="AE150" i="4"/>
  <c r="AF150" i="4"/>
  <c r="AH150" i="4"/>
  <c r="AI150" i="4"/>
  <c r="AJ150" i="4"/>
  <c r="AK150" i="4"/>
  <c r="AM150" i="4"/>
  <c r="AL150" i="4" s="1"/>
  <c r="AN150" i="4"/>
  <c r="AN73" i="4" s="1"/>
  <c r="AO150" i="4"/>
  <c r="AP150" i="4"/>
  <c r="AR150" i="4"/>
  <c r="AQ150" i="4" s="1"/>
  <c r="E151" i="4"/>
  <c r="F151" i="4"/>
  <c r="G151" i="4"/>
  <c r="I151" i="4"/>
  <c r="H151" i="4" s="1"/>
  <c r="J151" i="4"/>
  <c r="K151" i="4"/>
  <c r="L151" i="4"/>
  <c r="N151" i="4"/>
  <c r="M151" i="4" s="1"/>
  <c r="O151" i="4"/>
  <c r="P151" i="4"/>
  <c r="Q151" i="4"/>
  <c r="S151" i="4"/>
  <c r="R151" i="4" s="1"/>
  <c r="T151" i="4"/>
  <c r="U151" i="4"/>
  <c r="V151" i="4"/>
  <c r="X151" i="4"/>
  <c r="W151" i="4" s="1"/>
  <c r="Y151" i="4"/>
  <c r="Z151" i="4"/>
  <c r="AA151" i="4"/>
  <c r="AC151" i="4"/>
  <c r="AB151" i="4" s="1"/>
  <c r="AD151" i="4"/>
  <c r="AE151" i="4"/>
  <c r="AF151" i="4"/>
  <c r="AH151" i="4"/>
  <c r="AG151" i="4" s="1"/>
  <c r="AI151" i="4"/>
  <c r="AJ151" i="4"/>
  <c r="AK151" i="4"/>
  <c r="AL151" i="4"/>
  <c r="AM151" i="4"/>
  <c r="AN151" i="4"/>
  <c r="AO151" i="4"/>
  <c r="AP151" i="4"/>
  <c r="AR151" i="4"/>
  <c r="AQ151" i="4" s="1"/>
  <c r="E152" i="4"/>
  <c r="F152" i="4"/>
  <c r="G152" i="4"/>
  <c r="I152" i="4"/>
  <c r="H152" i="4" s="1"/>
  <c r="J152" i="4"/>
  <c r="J153" i="4" s="1"/>
  <c r="K152" i="4"/>
  <c r="L152" i="4"/>
  <c r="N152" i="4"/>
  <c r="M152" i="4" s="1"/>
  <c r="O152" i="4"/>
  <c r="P152" i="4"/>
  <c r="Q152" i="4"/>
  <c r="T152" i="4"/>
  <c r="U152" i="4"/>
  <c r="V152" i="4"/>
  <c r="X152" i="4"/>
  <c r="W152" i="4" s="1"/>
  <c r="Y152" i="4"/>
  <c r="Z152" i="4"/>
  <c r="AA152" i="4"/>
  <c r="AD152" i="4"/>
  <c r="AD153" i="4" s="1"/>
  <c r="AE152" i="4"/>
  <c r="AF152" i="4"/>
  <c r="AH152" i="4"/>
  <c r="AG152" i="4" s="1"/>
  <c r="AI152" i="4"/>
  <c r="AJ152" i="4"/>
  <c r="AN152" i="4"/>
  <c r="AO152" i="4"/>
  <c r="AP152" i="4"/>
  <c r="CK150" i="4"/>
  <c r="I150" i="4" s="1"/>
  <c r="CT145" i="4"/>
  <c r="CT146" i="4"/>
  <c r="CT147" i="4"/>
  <c r="CT148" i="4"/>
  <c r="CT149" i="4"/>
  <c r="CT150" i="4"/>
  <c r="CT151" i="4"/>
  <c r="DD145" i="4"/>
  <c r="DD146" i="4"/>
  <c r="DD147" i="4"/>
  <c r="DD148" i="4"/>
  <c r="DD149" i="4"/>
  <c r="DD150" i="4"/>
  <c r="DD151" i="4"/>
  <c r="DN145" i="4"/>
  <c r="DN147" i="4"/>
  <c r="DN148" i="4"/>
  <c r="DN149" i="4"/>
  <c r="DN150" i="4"/>
  <c r="DN151" i="4"/>
  <c r="DS145" i="4"/>
  <c r="DS146" i="4"/>
  <c r="DS147" i="4"/>
  <c r="DS148" i="4"/>
  <c r="DS149" i="4"/>
  <c r="DS150" i="4"/>
  <c r="DS151" i="4"/>
  <c r="CJ145" i="4"/>
  <c r="CJ146" i="4"/>
  <c r="CJ147" i="4"/>
  <c r="CJ148" i="4"/>
  <c r="CJ149" i="4"/>
  <c r="CJ151" i="4"/>
  <c r="CJ152" i="4"/>
  <c r="CO145" i="4"/>
  <c r="CO146" i="4"/>
  <c r="CO147" i="4"/>
  <c r="CO148" i="4"/>
  <c r="CO149" i="4"/>
  <c r="CO150" i="4"/>
  <c r="CO151" i="4"/>
  <c r="CO152" i="4"/>
  <c r="CU152" i="4"/>
  <c r="S152" i="4" s="1"/>
  <c r="R152" i="4" s="1"/>
  <c r="CY145" i="4"/>
  <c r="CY146" i="4"/>
  <c r="CY147" i="4"/>
  <c r="CY148" i="4"/>
  <c r="CY149" i="4"/>
  <c r="CY150" i="4"/>
  <c r="CY151" i="4"/>
  <c r="CY152" i="4"/>
  <c r="DE152" i="4"/>
  <c r="DD152" i="4" s="1"/>
  <c r="DI145" i="4"/>
  <c r="DI146" i="4"/>
  <c r="DI147" i="4"/>
  <c r="DI148" i="4"/>
  <c r="DI149" i="4"/>
  <c r="DI150" i="4"/>
  <c r="DI151" i="4"/>
  <c r="DI152" i="4"/>
  <c r="DM152" i="4"/>
  <c r="AK152" i="4" s="1"/>
  <c r="DO152" i="4"/>
  <c r="DO153" i="4" s="1"/>
  <c r="AM153" i="4" s="1"/>
  <c r="DT152" i="4"/>
  <c r="DS152" i="4" s="1"/>
  <c r="CG153" i="4"/>
  <c r="CH153" i="4"/>
  <c r="CI153" i="4"/>
  <c r="CM153" i="4"/>
  <c r="CM155" i="4" s="1"/>
  <c r="CN153" i="4"/>
  <c r="CP153" i="4"/>
  <c r="N153" i="4" s="1"/>
  <c r="CR153" i="4"/>
  <c r="CS153" i="4"/>
  <c r="CV153" i="4"/>
  <c r="CW153" i="4"/>
  <c r="CX153" i="4"/>
  <c r="CZ153" i="4"/>
  <c r="X153" i="4" s="1"/>
  <c r="DA153" i="4"/>
  <c r="DB153" i="4"/>
  <c r="DC153" i="4"/>
  <c r="DF153" i="4"/>
  <c r="DG153" i="4"/>
  <c r="DG155" i="4" s="1"/>
  <c r="DJ153" i="4"/>
  <c r="AH153" i="4" s="1"/>
  <c r="DK153" i="4"/>
  <c r="DL153" i="4"/>
  <c r="DQ153" i="4"/>
  <c r="DR153" i="4"/>
  <c r="DT153" i="4"/>
  <c r="AR153" i="4" s="1"/>
  <c r="DV153" i="4"/>
  <c r="DW153" i="4"/>
  <c r="E156" i="4"/>
  <c r="I156" i="4" s="1"/>
  <c r="J158" i="4"/>
  <c r="K158" i="4"/>
  <c r="L158" i="4"/>
  <c r="N158" i="4"/>
  <c r="M158" i="4" s="1"/>
  <c r="O158" i="4"/>
  <c r="P158" i="4"/>
  <c r="Q158" i="4"/>
  <c r="S158" i="4"/>
  <c r="R158" i="4" s="1"/>
  <c r="T158" i="4"/>
  <c r="U158" i="4"/>
  <c r="V158" i="4"/>
  <c r="X158" i="4"/>
  <c r="Y158" i="4"/>
  <c r="Z158" i="4"/>
  <c r="AA158" i="4"/>
  <c r="AC158" i="4"/>
  <c r="AB158" i="4" s="1"/>
  <c r="AD158" i="4"/>
  <c r="AE158" i="4"/>
  <c r="AF158" i="4"/>
  <c r="AH158" i="4"/>
  <c r="AG158" i="4" s="1"/>
  <c r="AI158" i="4"/>
  <c r="AJ158" i="4"/>
  <c r="AK158" i="4"/>
  <c r="AM158" i="4"/>
  <c r="AL158" i="4" s="1"/>
  <c r="AN158" i="4"/>
  <c r="AO158" i="4"/>
  <c r="AP158" i="4"/>
  <c r="AR158" i="4"/>
  <c r="CH156" i="4"/>
  <c r="CI156" i="4"/>
  <c r="CK156" i="4"/>
  <c r="DK155" i="4"/>
  <c r="E158" i="4"/>
  <c r="F158" i="4"/>
  <c r="G158" i="4"/>
  <c r="H158" i="4"/>
  <c r="CJ158" i="4"/>
  <c r="CO158" i="4"/>
  <c r="CT158" i="4"/>
  <c r="CY158" i="4"/>
  <c r="DD158" i="4"/>
  <c r="DI158" i="4"/>
  <c r="DN158" i="4"/>
  <c r="DS158" i="4"/>
  <c r="AL164" i="4"/>
  <c r="AQ164" i="4"/>
  <c r="H164" i="4"/>
  <c r="H165" i="4"/>
  <c r="M164" i="4"/>
  <c r="M165" i="4"/>
  <c r="R164" i="4"/>
  <c r="R165" i="4"/>
  <c r="W164" i="4"/>
  <c r="W165" i="4"/>
  <c r="AB164" i="4"/>
  <c r="AB165" i="4"/>
  <c r="AG164" i="4"/>
  <c r="AG165" i="4"/>
  <c r="AM165" i="4"/>
  <c r="AL165" i="4" s="1"/>
  <c r="AO165" i="4"/>
  <c r="AP165" i="4"/>
  <c r="AR165" i="4"/>
  <c r="AQ165" i="4" s="1"/>
  <c r="AS165" i="4"/>
  <c r="AU165" i="4"/>
  <c r="AX165" i="4" s="1"/>
  <c r="AY165" i="4" s="1"/>
  <c r="AZ165" i="4" s="1"/>
  <c r="BA165" i="4" s="1"/>
  <c r="BB165" i="4" s="1"/>
  <c r="BC165" i="4" s="1"/>
  <c r="BD165" i="4" s="1"/>
  <c r="BE165" i="4" s="1"/>
  <c r="BF165" i="4" s="1"/>
  <c r="BG165" i="4" s="1"/>
  <c r="BH165" i="4" s="1"/>
  <c r="BI165" i="4" s="1"/>
  <c r="BJ165" i="4" s="1"/>
  <c r="BK165" i="4" s="1"/>
  <c r="BL165" i="4" s="1"/>
  <c r="BM165" i="4" s="1"/>
  <c r="BN165" i="4" s="1"/>
  <c r="BO165" i="4" s="1"/>
  <c r="BP165" i="4" s="1"/>
  <c r="BQ165" i="4" s="1"/>
  <c r="E166" i="4"/>
  <c r="F166" i="4"/>
  <c r="G166" i="4"/>
  <c r="I166" i="4"/>
  <c r="H166" i="4" s="1"/>
  <c r="J166" i="4"/>
  <c r="K166" i="4"/>
  <c r="L166" i="4"/>
  <c r="N166" i="4"/>
  <c r="M166" i="4" s="1"/>
  <c r="O166" i="4"/>
  <c r="P166" i="4"/>
  <c r="Q166" i="4"/>
  <c r="S166" i="4"/>
  <c r="R166" i="4" s="1"/>
  <c r="T166" i="4"/>
  <c r="U166" i="4"/>
  <c r="V166" i="4"/>
  <c r="X166" i="4"/>
  <c r="W166" i="4" s="1"/>
  <c r="Y166" i="4"/>
  <c r="Z166" i="4"/>
  <c r="Z168" i="4" s="1"/>
  <c r="AA166" i="4"/>
  <c r="AC166" i="4"/>
  <c r="AD166" i="4"/>
  <c r="AE166" i="4"/>
  <c r="AF166" i="4"/>
  <c r="AH166" i="4"/>
  <c r="AH168" i="4" s="1"/>
  <c r="AI166" i="4"/>
  <c r="AJ166" i="4"/>
  <c r="AK166" i="4"/>
  <c r="AL166" i="4"/>
  <c r="AM166" i="4"/>
  <c r="AN166" i="4"/>
  <c r="AO166" i="4"/>
  <c r="AP166" i="4"/>
  <c r="AR166" i="4"/>
  <c r="AQ166" i="4" s="1"/>
  <c r="AS166" i="4"/>
  <c r="AT166" i="4"/>
  <c r="AU166" i="4"/>
  <c r="AX166" i="4" s="1"/>
  <c r="AY166" i="4" s="1"/>
  <c r="AZ166" i="4" s="1"/>
  <c r="BA166" i="4" s="1"/>
  <c r="BB166" i="4" s="1"/>
  <c r="BC166" i="4" s="1"/>
  <c r="BD166" i="4" s="1"/>
  <c r="BE166" i="4" s="1"/>
  <c r="BF166" i="4" s="1"/>
  <c r="BG166" i="4" s="1"/>
  <c r="BH166" i="4" s="1"/>
  <c r="BI166" i="4" s="1"/>
  <c r="BJ166" i="4" s="1"/>
  <c r="BK166" i="4" s="1"/>
  <c r="BL166" i="4" s="1"/>
  <c r="BM166" i="4" s="1"/>
  <c r="BN166" i="4" s="1"/>
  <c r="BO166" i="4" s="1"/>
  <c r="BP166" i="4" s="1"/>
  <c r="BQ166" i="4" s="1"/>
  <c r="E167" i="4"/>
  <c r="F167" i="4"/>
  <c r="G167" i="4"/>
  <c r="I167" i="4"/>
  <c r="H167" i="4" s="1"/>
  <c r="J167" i="4"/>
  <c r="J168" i="4" s="1"/>
  <c r="K167" i="4"/>
  <c r="L167" i="4"/>
  <c r="N167" i="4"/>
  <c r="M167" i="4" s="1"/>
  <c r="O167" i="4"/>
  <c r="O168" i="4" s="1"/>
  <c r="P167" i="4"/>
  <c r="Q167" i="4"/>
  <c r="S167" i="4"/>
  <c r="R167" i="4" s="1"/>
  <c r="T167" i="4"/>
  <c r="U167" i="4"/>
  <c r="V167" i="4"/>
  <c r="X167" i="4"/>
  <c r="X168" i="4" s="1"/>
  <c r="Y167" i="4"/>
  <c r="Z167" i="4"/>
  <c r="AA167" i="4"/>
  <c r="AA168" i="4" s="1"/>
  <c r="AB167" i="4"/>
  <c r="AC167" i="4"/>
  <c r="AD167" i="4"/>
  <c r="AE167" i="4"/>
  <c r="AF167" i="4"/>
  <c r="AF168" i="4" s="1"/>
  <c r="AH167" i="4"/>
  <c r="AG167" i="4" s="1"/>
  <c r="AI167" i="4"/>
  <c r="AJ167" i="4"/>
  <c r="AJ168" i="4" s="1"/>
  <c r="AK167" i="4"/>
  <c r="AM167" i="4"/>
  <c r="AL167" i="4" s="1"/>
  <c r="AN167" i="4"/>
  <c r="AO167" i="4"/>
  <c r="AP167" i="4"/>
  <c r="AR167" i="4"/>
  <c r="AQ167" i="4" s="1"/>
  <c r="AS167" i="4"/>
  <c r="AT167" i="4"/>
  <c r="AT168" i="4" s="1"/>
  <c r="AU167" i="4"/>
  <c r="AX167" i="4" s="1"/>
  <c r="AY167" i="4" s="1"/>
  <c r="AZ167" i="4" s="1"/>
  <c r="BA167" i="4" s="1"/>
  <c r="BB167" i="4" s="1"/>
  <c r="BC167" i="4" s="1"/>
  <c r="BD167" i="4" s="1"/>
  <c r="BE167" i="4" s="1"/>
  <c r="BF167" i="4" s="1"/>
  <c r="BG167" i="4" s="1"/>
  <c r="BH167" i="4" s="1"/>
  <c r="BI167" i="4" s="1"/>
  <c r="BJ167" i="4" s="1"/>
  <c r="BK167" i="4" s="1"/>
  <c r="BL167" i="4" s="1"/>
  <c r="BM167" i="4" s="1"/>
  <c r="BN167" i="4" s="1"/>
  <c r="BO167" i="4" s="1"/>
  <c r="BP167" i="4" s="1"/>
  <c r="BQ167" i="4" s="1"/>
  <c r="V168" i="4"/>
  <c r="AU168" i="4"/>
  <c r="E170" i="4"/>
  <c r="E174" i="4" s="1"/>
  <c r="F170" i="4"/>
  <c r="G170" i="4"/>
  <c r="G174" i="4" s="1"/>
  <c r="I170" i="4"/>
  <c r="I174" i="4" s="1"/>
  <c r="J170" i="4"/>
  <c r="J174" i="4" s="1"/>
  <c r="K170" i="4"/>
  <c r="K174" i="4" s="1"/>
  <c r="L170" i="4"/>
  <c r="N170" i="4"/>
  <c r="M170" i="4" s="1"/>
  <c r="O170" i="4"/>
  <c r="O174" i="4" s="1"/>
  <c r="P170" i="4"/>
  <c r="Q170" i="4"/>
  <c r="Q174" i="4" s="1"/>
  <c r="S170" i="4"/>
  <c r="R170" i="4" s="1"/>
  <c r="T170" i="4"/>
  <c r="T174" i="4" s="1"/>
  <c r="U170" i="4"/>
  <c r="U174" i="4" s="1"/>
  <c r="V170" i="4"/>
  <c r="X170" i="4"/>
  <c r="W170" i="4" s="1"/>
  <c r="Y170" i="4"/>
  <c r="Y174" i="4" s="1"/>
  <c r="Z170" i="4"/>
  <c r="Z174" i="4" s="1"/>
  <c r="AA170" i="4"/>
  <c r="AC170" i="4"/>
  <c r="AB170" i="4" s="1"/>
  <c r="AD170" i="4"/>
  <c r="AD174" i="4" s="1"/>
  <c r="AE170" i="4"/>
  <c r="AF170" i="4"/>
  <c r="AH170" i="4"/>
  <c r="AH174" i="4" s="1"/>
  <c r="AI170" i="4"/>
  <c r="AJ170" i="4"/>
  <c r="AK170" i="4"/>
  <c r="AK174" i="4" s="1"/>
  <c r="AM170" i="4"/>
  <c r="AM174" i="4" s="1"/>
  <c r="AN170" i="4"/>
  <c r="AN174" i="4" s="1"/>
  <c r="AO170" i="4"/>
  <c r="AP170" i="4"/>
  <c r="AR170" i="4"/>
  <c r="AR174" i="4" s="1"/>
  <c r="AS170" i="4"/>
  <c r="AS174" i="4" s="1"/>
  <c r="AT170" i="4"/>
  <c r="AT174" i="4" s="1"/>
  <c r="AU170" i="4"/>
  <c r="AX171" i="4"/>
  <c r="AY171" i="4" s="1"/>
  <c r="AZ171" i="4" s="1"/>
  <c r="BA171" i="4" s="1"/>
  <c r="BB171" i="4" s="1"/>
  <c r="BC171" i="4" s="1"/>
  <c r="BD171" i="4" s="1"/>
  <c r="BE171" i="4" s="1"/>
  <c r="BF171" i="4" s="1"/>
  <c r="BG171" i="4" s="1"/>
  <c r="BH171" i="4" s="1"/>
  <c r="BI171" i="4" s="1"/>
  <c r="BJ171" i="4" s="1"/>
  <c r="BK171" i="4" s="1"/>
  <c r="BL171" i="4" s="1"/>
  <c r="BM171" i="4" s="1"/>
  <c r="BN171" i="4" s="1"/>
  <c r="BO171" i="4" s="1"/>
  <c r="BP171" i="4" s="1"/>
  <c r="BQ171" i="4" s="1"/>
  <c r="AX172" i="4"/>
  <c r="AY172" i="4" s="1"/>
  <c r="AZ172" i="4" s="1"/>
  <c r="BA172" i="4" s="1"/>
  <c r="BB172" i="4" s="1"/>
  <c r="BC172" i="4" s="1"/>
  <c r="BD172" i="4" s="1"/>
  <c r="BE172" i="4" s="1"/>
  <c r="BF172" i="4" s="1"/>
  <c r="BG172" i="4" s="1"/>
  <c r="BH172" i="4" s="1"/>
  <c r="BI172" i="4" s="1"/>
  <c r="BJ172" i="4" s="1"/>
  <c r="BK172" i="4" s="1"/>
  <c r="BL172" i="4" s="1"/>
  <c r="BM172" i="4" s="1"/>
  <c r="BN172" i="4" s="1"/>
  <c r="BO172" i="4" s="1"/>
  <c r="BP172" i="4" s="1"/>
  <c r="BQ172" i="4" s="1"/>
  <c r="H171" i="4"/>
  <c r="H172" i="4"/>
  <c r="H173" i="4"/>
  <c r="M171" i="4"/>
  <c r="M172" i="4"/>
  <c r="M173" i="4"/>
  <c r="R171" i="4"/>
  <c r="R172" i="4"/>
  <c r="R173" i="4"/>
  <c r="W171" i="4"/>
  <c r="W172" i="4"/>
  <c r="W173" i="4"/>
  <c r="AB171" i="4"/>
  <c r="AB172" i="4"/>
  <c r="AB173" i="4"/>
  <c r="AG171" i="4"/>
  <c r="AG172" i="4"/>
  <c r="AG173" i="4"/>
  <c r="AL171" i="4"/>
  <c r="AL172" i="4"/>
  <c r="AL173" i="4"/>
  <c r="AQ171" i="4"/>
  <c r="AQ172" i="4"/>
  <c r="AQ173" i="4"/>
  <c r="F174" i="4"/>
  <c r="L174" i="4"/>
  <c r="P174" i="4"/>
  <c r="V174" i="4"/>
  <c r="AA174" i="4"/>
  <c r="AE174" i="4"/>
  <c r="AF174" i="4"/>
  <c r="AI174" i="4"/>
  <c r="AJ174" i="4"/>
  <c r="AO174" i="4"/>
  <c r="AP174" i="4"/>
  <c r="AU174" i="4"/>
  <c r="AX176" i="4"/>
  <c r="AY176" i="4" s="1"/>
  <c r="H176" i="4"/>
  <c r="H177" i="4"/>
  <c r="M176" i="4"/>
  <c r="M177" i="4"/>
  <c r="R176" i="4"/>
  <c r="R177" i="4"/>
  <c r="W176" i="4"/>
  <c r="W177" i="4"/>
  <c r="AB176" i="4"/>
  <c r="AB177" i="4"/>
  <c r="AG176" i="4"/>
  <c r="AG177" i="4"/>
  <c r="AL176" i="4"/>
  <c r="AL177" i="4"/>
  <c r="AQ176" i="4"/>
  <c r="AQ177" i="4"/>
  <c r="E178" i="4"/>
  <c r="E179" i="4" s="1"/>
  <c r="F178" i="4"/>
  <c r="F179" i="4" s="1"/>
  <c r="G178" i="4"/>
  <c r="G179" i="4" s="1"/>
  <c r="I178" i="4"/>
  <c r="H178" i="4" s="1"/>
  <c r="J178" i="4"/>
  <c r="J179" i="4" s="1"/>
  <c r="K178" i="4"/>
  <c r="K179" i="4" s="1"/>
  <c r="L178" i="4"/>
  <c r="L179" i="4" s="1"/>
  <c r="N178" i="4"/>
  <c r="M178" i="4" s="1"/>
  <c r="O178" i="4"/>
  <c r="O179" i="4" s="1"/>
  <c r="O181" i="4" s="1"/>
  <c r="P178" i="4"/>
  <c r="P179" i="4" s="1"/>
  <c r="Q178" i="4"/>
  <c r="S178" i="4"/>
  <c r="R178" i="4" s="1"/>
  <c r="T178" i="4"/>
  <c r="T179" i="4" s="1"/>
  <c r="U178" i="4"/>
  <c r="V178" i="4"/>
  <c r="V179" i="4" s="1"/>
  <c r="X178" i="4"/>
  <c r="X179" i="4" s="1"/>
  <c r="Y178" i="4"/>
  <c r="Y179" i="4" s="1"/>
  <c r="Z178" i="4"/>
  <c r="Z179" i="4" s="1"/>
  <c r="AA178" i="4"/>
  <c r="AA179" i="4" s="1"/>
  <c r="AC178" i="4"/>
  <c r="AB178" i="4" s="1"/>
  <c r="AD178" i="4"/>
  <c r="AE178" i="4"/>
  <c r="AE179" i="4" s="1"/>
  <c r="AF178" i="4"/>
  <c r="AF179" i="4" s="1"/>
  <c r="AH178" i="4"/>
  <c r="AG178" i="4" s="1"/>
  <c r="AI178" i="4"/>
  <c r="AI179" i="4" s="1"/>
  <c r="AJ178" i="4"/>
  <c r="AJ179" i="4" s="1"/>
  <c r="AK178" i="4"/>
  <c r="AK179" i="4" s="1"/>
  <c r="AM178" i="4"/>
  <c r="AL178" i="4" s="1"/>
  <c r="AN178" i="4"/>
  <c r="AN179" i="4" s="1"/>
  <c r="AO178" i="4"/>
  <c r="AP178" i="4"/>
  <c r="AP179" i="4" s="1"/>
  <c r="AQ178" i="4"/>
  <c r="AR178" i="4"/>
  <c r="AR179" i="4" s="1"/>
  <c r="AS178" i="4"/>
  <c r="AS179" i="4" s="1"/>
  <c r="AT178" i="4"/>
  <c r="AT179" i="4" s="1"/>
  <c r="AU178" i="4"/>
  <c r="Q179" i="4"/>
  <c r="U179" i="4"/>
  <c r="AD179" i="4"/>
  <c r="AO179" i="4"/>
  <c r="AC183" i="4"/>
  <c r="AM183" i="4"/>
  <c r="AL183" i="4" s="1"/>
  <c r="AL214" i="4" s="1"/>
  <c r="AO183" i="4"/>
  <c r="AP183" i="4"/>
  <c r="AR183" i="4"/>
  <c r="AQ183" i="4" s="1"/>
  <c r="AS183" i="4"/>
  <c r="AT183" i="4"/>
  <c r="BQ184" i="4"/>
  <c r="H183" i="4"/>
  <c r="H184" i="4"/>
  <c r="H185" i="4"/>
  <c r="M183" i="4"/>
  <c r="M184" i="4"/>
  <c r="M185" i="4"/>
  <c r="R183" i="4"/>
  <c r="R184" i="4"/>
  <c r="R185" i="4"/>
  <c r="W183" i="4"/>
  <c r="W184" i="4"/>
  <c r="W185" i="4"/>
  <c r="AB183" i="4"/>
  <c r="AB184" i="4"/>
  <c r="AB185" i="4"/>
  <c r="AG183" i="4"/>
  <c r="AG184" i="4"/>
  <c r="AG185" i="4"/>
  <c r="AL184" i="4"/>
  <c r="AL185" i="4"/>
  <c r="AQ184" i="4"/>
  <c r="AQ185" i="4"/>
  <c r="AX185" i="4"/>
  <c r="AY185" i="4" s="1"/>
  <c r="AZ185" i="4" s="1"/>
  <c r="BA185" i="4" s="1"/>
  <c r="BB185" i="4" s="1"/>
  <c r="BC185" i="4" s="1"/>
  <c r="BD185" i="4" s="1"/>
  <c r="BE185" i="4" s="1"/>
  <c r="BF185" i="4" s="1"/>
  <c r="BG185" i="4" s="1"/>
  <c r="BH185" i="4" s="1"/>
  <c r="BI185" i="4" s="1"/>
  <c r="BJ185" i="4" s="1"/>
  <c r="BK185" i="4" s="1"/>
  <c r="BL185" i="4" s="1"/>
  <c r="BM185" i="4" s="1"/>
  <c r="BN185" i="4" s="1"/>
  <c r="BO185" i="4" s="1"/>
  <c r="BP185" i="4" s="1"/>
  <c r="BQ185" i="4" s="1"/>
  <c r="E186" i="4"/>
  <c r="E187" i="4" s="1"/>
  <c r="F186" i="4"/>
  <c r="F187" i="4" s="1"/>
  <c r="G186" i="4"/>
  <c r="G187" i="4" s="1"/>
  <c r="I186" i="4"/>
  <c r="I187" i="4" s="1"/>
  <c r="J186" i="4"/>
  <c r="J187" i="4" s="1"/>
  <c r="K186" i="4"/>
  <c r="K187" i="4" s="1"/>
  <c r="L186" i="4"/>
  <c r="L187" i="4" s="1"/>
  <c r="N186" i="4"/>
  <c r="M186" i="4" s="1"/>
  <c r="O186" i="4"/>
  <c r="O187" i="4" s="1"/>
  <c r="P186" i="4"/>
  <c r="P187" i="4" s="1"/>
  <c r="Q186" i="4"/>
  <c r="Q187" i="4" s="1"/>
  <c r="S186" i="4"/>
  <c r="R186" i="4" s="1"/>
  <c r="T186" i="4"/>
  <c r="T187" i="4" s="1"/>
  <c r="U186" i="4"/>
  <c r="U187" i="4" s="1"/>
  <c r="V186" i="4"/>
  <c r="V187" i="4" s="1"/>
  <c r="X186" i="4"/>
  <c r="W186" i="4" s="1"/>
  <c r="Y186" i="4"/>
  <c r="Y187" i="4" s="1"/>
  <c r="Z186" i="4"/>
  <c r="AA186" i="4"/>
  <c r="AC186" i="4"/>
  <c r="AD186" i="4"/>
  <c r="AD187" i="4" s="1"/>
  <c r="AE186" i="4"/>
  <c r="AE187" i="4" s="1"/>
  <c r="AF186" i="4"/>
  <c r="AF187" i="4" s="1"/>
  <c r="AH186" i="4"/>
  <c r="AG186" i="4" s="1"/>
  <c r="AI186" i="4"/>
  <c r="AJ186" i="4"/>
  <c r="AJ187" i="4" s="1"/>
  <c r="AK186" i="4"/>
  <c r="AK187" i="4" s="1"/>
  <c r="AM186" i="4"/>
  <c r="AL186" i="4" s="1"/>
  <c r="AN186" i="4"/>
  <c r="AN187" i="4" s="1"/>
  <c r="AO186" i="4"/>
  <c r="AO187" i="4" s="1"/>
  <c r="AP186" i="4"/>
  <c r="AR186" i="4"/>
  <c r="AQ186" i="4" s="1"/>
  <c r="AS186" i="4"/>
  <c r="AT186" i="4"/>
  <c r="AT187" i="4" s="1"/>
  <c r="AU186" i="4"/>
  <c r="Z187" i="4"/>
  <c r="AA187" i="4"/>
  <c r="AI187" i="4"/>
  <c r="H189" i="4"/>
  <c r="M189" i="4"/>
  <c r="R189" i="4"/>
  <c r="W189" i="4"/>
  <c r="AB189" i="4"/>
  <c r="AG189" i="4"/>
  <c r="AL189" i="4"/>
  <c r="AQ189" i="4"/>
  <c r="AX192" i="4"/>
  <c r="AY192" i="4" s="1"/>
  <c r="AZ192" i="4" s="1"/>
  <c r="BA192" i="4" s="1"/>
  <c r="BB192" i="4" s="1"/>
  <c r="BC192" i="4" s="1"/>
  <c r="BD192" i="4" s="1"/>
  <c r="BE192" i="4" s="1"/>
  <c r="BF192" i="4" s="1"/>
  <c r="BG192" i="4" s="1"/>
  <c r="BH192" i="4" s="1"/>
  <c r="BI192" i="4" s="1"/>
  <c r="BJ192" i="4" s="1"/>
  <c r="BK192" i="4" s="1"/>
  <c r="BL192" i="4" s="1"/>
  <c r="BM192" i="4" s="1"/>
  <c r="BN192" i="4" s="1"/>
  <c r="BO192" i="4" s="1"/>
  <c r="BP192" i="4" s="1"/>
  <c r="BQ192" i="4" s="1"/>
  <c r="AX193" i="4"/>
  <c r="AY193" i="4" s="1"/>
  <c r="AZ193" i="4" s="1"/>
  <c r="BA193" i="4" s="1"/>
  <c r="BB193" i="4" s="1"/>
  <c r="BC193" i="4" s="1"/>
  <c r="BD193" i="4" s="1"/>
  <c r="BE193" i="4" s="1"/>
  <c r="BF193" i="4" s="1"/>
  <c r="BG193" i="4" s="1"/>
  <c r="BH193" i="4" s="1"/>
  <c r="BI193" i="4" s="1"/>
  <c r="BJ193" i="4" s="1"/>
  <c r="BK193" i="4" s="1"/>
  <c r="BL193" i="4" s="1"/>
  <c r="BM193" i="4" s="1"/>
  <c r="BN193" i="4" s="1"/>
  <c r="BO193" i="4" s="1"/>
  <c r="BP193" i="4" s="1"/>
  <c r="BQ193" i="4" s="1"/>
  <c r="H191" i="4"/>
  <c r="H192" i="4"/>
  <c r="H193" i="4"/>
  <c r="M191" i="4"/>
  <c r="M192" i="4"/>
  <c r="M193" i="4"/>
  <c r="R191" i="4"/>
  <c r="R192" i="4"/>
  <c r="R193" i="4"/>
  <c r="W191" i="4"/>
  <c r="W192" i="4"/>
  <c r="W193" i="4"/>
  <c r="AB191" i="4"/>
  <c r="AB192" i="4"/>
  <c r="AB193" i="4"/>
  <c r="AG191" i="4"/>
  <c r="AG192" i="4"/>
  <c r="AG193" i="4"/>
  <c r="AL191" i="4"/>
  <c r="AL192" i="4"/>
  <c r="AL193" i="4"/>
  <c r="AQ191" i="4"/>
  <c r="AQ192" i="4"/>
  <c r="AQ193" i="4"/>
  <c r="E194" i="4"/>
  <c r="E195" i="4" s="1"/>
  <c r="F194" i="4"/>
  <c r="F195" i="4" s="1"/>
  <c r="G194" i="4"/>
  <c r="G195" i="4" s="1"/>
  <c r="I194" i="4"/>
  <c r="J194" i="4"/>
  <c r="J195" i="4" s="1"/>
  <c r="K194" i="4"/>
  <c r="K195" i="4" s="1"/>
  <c r="L194" i="4"/>
  <c r="N194" i="4"/>
  <c r="M194" i="4" s="1"/>
  <c r="O194" i="4"/>
  <c r="O195" i="4" s="1"/>
  <c r="P194" i="4"/>
  <c r="P195" i="4" s="1"/>
  <c r="Q194" i="4"/>
  <c r="S194" i="4"/>
  <c r="S195" i="4" s="1"/>
  <c r="T194" i="4"/>
  <c r="U194" i="4"/>
  <c r="U195" i="4" s="1"/>
  <c r="V194" i="4"/>
  <c r="V195" i="4" s="1"/>
  <c r="W194" i="4"/>
  <c r="X194" i="4"/>
  <c r="X195" i="4" s="1"/>
  <c r="Y194" i="4"/>
  <c r="Z194" i="4"/>
  <c r="Z195" i="4" s="1"/>
  <c r="AA194" i="4"/>
  <c r="AA195" i="4" s="1"/>
  <c r="AC194" i="4"/>
  <c r="AB194" i="4" s="1"/>
  <c r="AD194" i="4"/>
  <c r="AD195" i="4" s="1"/>
  <c r="AE194" i="4"/>
  <c r="AE195" i="4" s="1"/>
  <c r="AF194" i="4"/>
  <c r="AF195" i="4" s="1"/>
  <c r="AH194" i="4"/>
  <c r="AG194" i="4" s="1"/>
  <c r="AI194" i="4"/>
  <c r="AI195" i="4" s="1"/>
  <c r="AJ194" i="4"/>
  <c r="AK194" i="4"/>
  <c r="AK195" i="4" s="1"/>
  <c r="AK206" i="4" s="1"/>
  <c r="AM194" i="4"/>
  <c r="AM195" i="4" s="1"/>
  <c r="AN194" i="4"/>
  <c r="AN195" i="4" s="1"/>
  <c r="AO194" i="4"/>
  <c r="AO195" i="4" s="1"/>
  <c r="AP194" i="4"/>
  <c r="AP195" i="4" s="1"/>
  <c r="AR194" i="4"/>
  <c r="AQ194" i="4" s="1"/>
  <c r="AS194" i="4"/>
  <c r="AT194" i="4"/>
  <c r="AT195" i="4" s="1"/>
  <c r="AU194" i="4"/>
  <c r="L195" i="4"/>
  <c r="Q195" i="4"/>
  <c r="T195" i="4"/>
  <c r="Y195" i="4"/>
  <c r="AC195" i="4"/>
  <c r="AJ195" i="4"/>
  <c r="AR195" i="4"/>
  <c r="AS195" i="4"/>
  <c r="H197" i="4"/>
  <c r="H219" i="4" s="1"/>
  <c r="M197" i="4"/>
  <c r="R197" i="4"/>
  <c r="W197" i="4"/>
  <c r="AB197" i="4"/>
  <c r="AB219" i="4" s="1"/>
  <c r="AG197" i="4"/>
  <c r="AL197" i="4"/>
  <c r="AQ197" i="4"/>
  <c r="AX197" i="4"/>
  <c r="AY197" i="4" s="1"/>
  <c r="H199" i="4"/>
  <c r="M199" i="4"/>
  <c r="R199" i="4"/>
  <c r="W199" i="4"/>
  <c r="AB199" i="4"/>
  <c r="AG199" i="4"/>
  <c r="AL199" i="4"/>
  <c r="AQ199" i="4"/>
  <c r="AX199" i="4"/>
  <c r="AY199" i="4" s="1"/>
  <c r="AZ199" i="4" s="1"/>
  <c r="BA199" i="4" s="1"/>
  <c r="BB199" i="4" s="1"/>
  <c r="BC199" i="4" s="1"/>
  <c r="BD199" i="4" s="1"/>
  <c r="BE199" i="4" s="1"/>
  <c r="BF199" i="4" s="1"/>
  <c r="BG199" i="4" s="1"/>
  <c r="BH199" i="4" s="1"/>
  <c r="BI199" i="4" s="1"/>
  <c r="BJ199" i="4" s="1"/>
  <c r="BK199" i="4" s="1"/>
  <c r="BL199" i="4" s="1"/>
  <c r="BM199" i="4" s="1"/>
  <c r="BN199" i="4" s="1"/>
  <c r="BO199" i="4" s="1"/>
  <c r="BP199" i="4" s="1"/>
  <c r="BQ199" i="4" s="1"/>
  <c r="H201" i="4"/>
  <c r="H202" i="4"/>
  <c r="M201" i="4"/>
  <c r="M202" i="4"/>
  <c r="R201" i="4"/>
  <c r="R202" i="4"/>
  <c r="W201" i="4"/>
  <c r="W202" i="4"/>
  <c r="AB201" i="4"/>
  <c r="AB202" i="4"/>
  <c r="AD202" i="4"/>
  <c r="AG201" i="4"/>
  <c r="AG202" i="4"/>
  <c r="AL201" i="4"/>
  <c r="AL202" i="4"/>
  <c r="AL204" i="4" s="1"/>
  <c r="AL222" i="4" s="1"/>
  <c r="AQ201" i="4"/>
  <c r="AQ202" i="4"/>
  <c r="E203" i="4"/>
  <c r="F203" i="4"/>
  <c r="G203" i="4"/>
  <c r="G204" i="4" s="1"/>
  <c r="I203" i="4"/>
  <c r="J203" i="4"/>
  <c r="J204" i="4" s="1"/>
  <c r="J206" i="4" s="1"/>
  <c r="K203" i="4"/>
  <c r="K204" i="4" s="1"/>
  <c r="K206" i="4" s="1"/>
  <c r="L203" i="4"/>
  <c r="L204" i="4" s="1"/>
  <c r="N203" i="4"/>
  <c r="M203" i="4" s="1"/>
  <c r="O203" i="4"/>
  <c r="O204" i="4" s="1"/>
  <c r="O206" i="4" s="1"/>
  <c r="O208" i="4" s="1"/>
  <c r="P203" i="4"/>
  <c r="P204" i="4" s="1"/>
  <c r="P206" i="4" s="1"/>
  <c r="Q203" i="4"/>
  <c r="S203" i="4"/>
  <c r="T203" i="4"/>
  <c r="T204" i="4" s="1"/>
  <c r="U203" i="4"/>
  <c r="U204" i="4" s="1"/>
  <c r="V203" i="4"/>
  <c r="X203" i="4"/>
  <c r="X204" i="4" s="1"/>
  <c r="Y203" i="4"/>
  <c r="Y204" i="4" s="1"/>
  <c r="Y206" i="4" s="1"/>
  <c r="Z203" i="4"/>
  <c r="Z204" i="4" s="1"/>
  <c r="AA203" i="4"/>
  <c r="AC203" i="4"/>
  <c r="AD203" i="4"/>
  <c r="AE203" i="4"/>
  <c r="AE204" i="4" s="1"/>
  <c r="AE222" i="4" s="1"/>
  <c r="AF203" i="4"/>
  <c r="AF204" i="4" s="1"/>
  <c r="AH203" i="4"/>
  <c r="AG203" i="4" s="1"/>
  <c r="AI203" i="4"/>
  <c r="AI204" i="4" s="1"/>
  <c r="AJ203" i="4"/>
  <c r="AJ204" i="4" s="1"/>
  <c r="AJ206" i="4" s="1"/>
  <c r="AK203" i="4"/>
  <c r="AK204" i="4" s="1"/>
  <c r="AM203" i="4"/>
  <c r="AL203" i="4" s="1"/>
  <c r="AN203" i="4"/>
  <c r="AN204" i="4" s="1"/>
  <c r="AO203" i="4"/>
  <c r="AO204" i="4" s="1"/>
  <c r="AP203" i="4"/>
  <c r="AR203" i="4"/>
  <c r="AR204" i="4" s="1"/>
  <c r="AS203" i="4"/>
  <c r="AT203" i="4"/>
  <c r="AT204" i="4" s="1"/>
  <c r="AT206" i="4" s="1"/>
  <c r="AU203" i="4"/>
  <c r="AX203" i="4" s="1"/>
  <c r="AY203" i="4" s="1"/>
  <c r="AZ203" i="4" s="1"/>
  <c r="BA203" i="4" s="1"/>
  <c r="BB203" i="4" s="1"/>
  <c r="BC203" i="4" s="1"/>
  <c r="BD203" i="4" s="1"/>
  <c r="BE203" i="4" s="1"/>
  <c r="BF203" i="4" s="1"/>
  <c r="BG203" i="4" s="1"/>
  <c r="BH203" i="4" s="1"/>
  <c r="BI203" i="4" s="1"/>
  <c r="BJ203" i="4" s="1"/>
  <c r="BK203" i="4" s="1"/>
  <c r="BL203" i="4" s="1"/>
  <c r="BM203" i="4" s="1"/>
  <c r="BN203" i="4" s="1"/>
  <c r="BO203" i="4" s="1"/>
  <c r="BP203" i="4" s="1"/>
  <c r="BQ203" i="4" s="1"/>
  <c r="E204" i="4"/>
  <c r="F204" i="4"/>
  <c r="F222" i="4" s="1"/>
  <c r="Q204" i="4"/>
  <c r="Q206" i="4" s="1"/>
  <c r="V204" i="4"/>
  <c r="AA204" i="4"/>
  <c r="AA206" i="4" s="1"/>
  <c r="AP204" i="4"/>
  <c r="AS204" i="4"/>
  <c r="AS222" i="4" s="1"/>
  <c r="AT222" i="4" s="1"/>
  <c r="AU204" i="4"/>
  <c r="AU222" i="4" s="1"/>
  <c r="E212" i="4"/>
  <c r="F212" i="4"/>
  <c r="G212" i="4"/>
  <c r="H212" i="4"/>
  <c r="I212" i="4"/>
  <c r="J212" i="4"/>
  <c r="K212" i="4"/>
  <c r="L212" i="4"/>
  <c r="M212" i="4"/>
  <c r="N212" i="4"/>
  <c r="O212" i="4"/>
  <c r="P212" i="4"/>
  <c r="Q212" i="4"/>
  <c r="R212" i="4"/>
  <c r="S212" i="4"/>
  <c r="T212" i="4"/>
  <c r="U212" i="4"/>
  <c r="V212" i="4"/>
  <c r="W212" i="4"/>
  <c r="X212" i="4"/>
  <c r="Y212" i="4"/>
  <c r="Z212" i="4"/>
  <c r="AA212" i="4"/>
  <c r="AB212" i="4"/>
  <c r="AC212" i="4"/>
  <c r="AD212" i="4"/>
  <c r="AE212" i="4"/>
  <c r="AF212" i="4"/>
  <c r="AG212" i="4"/>
  <c r="AH212" i="4"/>
  <c r="AI212" i="4"/>
  <c r="AJ212" i="4"/>
  <c r="AK212" i="4"/>
  <c r="AL212" i="4"/>
  <c r="AM212" i="4"/>
  <c r="AN212" i="4"/>
  <c r="AO212" i="4"/>
  <c r="AP212" i="4"/>
  <c r="AQ212" i="4"/>
  <c r="AR212" i="4"/>
  <c r="AS212" i="4"/>
  <c r="AU212" i="4"/>
  <c r="E214" i="4"/>
  <c r="F214" i="4"/>
  <c r="G214" i="4"/>
  <c r="H214" i="4"/>
  <c r="I214" i="4"/>
  <c r="J214" i="4"/>
  <c r="J216" i="4" s="1"/>
  <c r="K214" i="4"/>
  <c r="L214" i="4"/>
  <c r="M214" i="4"/>
  <c r="N214" i="4"/>
  <c r="N216" i="4" s="1"/>
  <c r="O214" i="4"/>
  <c r="P214" i="4"/>
  <c r="Q214" i="4"/>
  <c r="R214" i="4"/>
  <c r="R216" i="4" s="1"/>
  <c r="S214" i="4"/>
  <c r="T214" i="4"/>
  <c r="U214" i="4"/>
  <c r="V214" i="4"/>
  <c r="V216" i="4" s="1"/>
  <c r="W214" i="4"/>
  <c r="W216" i="4" s="1"/>
  <c r="X214" i="4"/>
  <c r="Y214" i="4"/>
  <c r="Z214" i="4"/>
  <c r="Z216" i="4" s="1"/>
  <c r="AA214" i="4"/>
  <c r="AB214" i="4"/>
  <c r="AC214" i="4"/>
  <c r="AD214" i="4"/>
  <c r="AD216" i="4" s="1"/>
  <c r="AE214" i="4"/>
  <c r="AF214" i="4"/>
  <c r="AG214" i="4"/>
  <c r="AH214" i="4"/>
  <c r="AH216" i="4" s="1"/>
  <c r="AI214" i="4"/>
  <c r="AJ214" i="4"/>
  <c r="AK214" i="4"/>
  <c r="AM214" i="4"/>
  <c r="AN214" i="4"/>
  <c r="AO214" i="4"/>
  <c r="AP214" i="4"/>
  <c r="AP216" i="4" s="1"/>
  <c r="AQ214" i="4"/>
  <c r="AQ216" i="4" s="1"/>
  <c r="AR214" i="4"/>
  <c r="DJ10" i="3" s="1"/>
  <c r="AS214" i="4"/>
  <c r="AT214" i="4"/>
  <c r="AT216" i="4" s="1"/>
  <c r="AU214" i="4"/>
  <c r="E215" i="4"/>
  <c r="F215" i="4"/>
  <c r="G215" i="4"/>
  <c r="H215" i="4"/>
  <c r="H216" i="4" s="1"/>
  <c r="I215" i="4"/>
  <c r="J215" i="4"/>
  <c r="K215" i="4"/>
  <c r="L215" i="4"/>
  <c r="L216" i="4" s="1"/>
  <c r="M215" i="4"/>
  <c r="N215" i="4"/>
  <c r="O215" i="4"/>
  <c r="P215" i="4"/>
  <c r="P216" i="4" s="1"/>
  <c r="Q215" i="4"/>
  <c r="R215" i="4"/>
  <c r="S215" i="4"/>
  <c r="T215" i="4"/>
  <c r="U215" i="4"/>
  <c r="V215" i="4"/>
  <c r="W215" i="4"/>
  <c r="X215" i="4"/>
  <c r="Y215" i="4"/>
  <c r="Z215" i="4"/>
  <c r="AA215" i="4"/>
  <c r="AB215" i="4"/>
  <c r="AB216" i="4" s="1"/>
  <c r="AC215" i="4"/>
  <c r="AD215" i="4"/>
  <c r="AE215" i="4"/>
  <c r="AF215" i="4"/>
  <c r="AF216" i="4" s="1"/>
  <c r="AG215" i="4"/>
  <c r="AH215" i="4"/>
  <c r="AI215" i="4"/>
  <c r="AJ215" i="4"/>
  <c r="AJ216" i="4" s="1"/>
  <c r="AK215" i="4"/>
  <c r="AL215" i="4"/>
  <c r="AM215" i="4"/>
  <c r="AN215" i="4"/>
  <c r="AO215" i="4"/>
  <c r="AO216" i="4" s="1"/>
  <c r="AP215" i="4"/>
  <c r="AQ215" i="4"/>
  <c r="AR215" i="4"/>
  <c r="AS215" i="4"/>
  <c r="AS216" i="4" s="1"/>
  <c r="AT215" i="4"/>
  <c r="AU215" i="4"/>
  <c r="AI216" i="4"/>
  <c r="E219" i="4"/>
  <c r="F219" i="4"/>
  <c r="G219" i="4"/>
  <c r="I219" i="4"/>
  <c r="J219" i="4"/>
  <c r="K219" i="4"/>
  <c r="L219" i="4"/>
  <c r="M219" i="4"/>
  <c r="N219" i="4"/>
  <c r="O219" i="4"/>
  <c r="P219" i="4"/>
  <c r="Q219" i="4"/>
  <c r="R219" i="4"/>
  <c r="S219" i="4"/>
  <c r="T219" i="4"/>
  <c r="U219" i="4"/>
  <c r="V219" i="4"/>
  <c r="W219" i="4"/>
  <c r="X219" i="4"/>
  <c r="Y219" i="4"/>
  <c r="Z219" i="4"/>
  <c r="AA219" i="4"/>
  <c r="AC219" i="4"/>
  <c r="AD219" i="4"/>
  <c r="AE219" i="4"/>
  <c r="AF219" i="4"/>
  <c r="AG219" i="4"/>
  <c r="AH219" i="4"/>
  <c r="AI219" i="4"/>
  <c r="AJ219" i="4"/>
  <c r="AK219" i="4"/>
  <c r="AL219" i="4"/>
  <c r="AM219" i="4"/>
  <c r="AN219" i="4"/>
  <c r="AO219" i="4"/>
  <c r="AP219" i="4"/>
  <c r="AQ219" i="4"/>
  <c r="AR219" i="4"/>
  <c r="AS219" i="4"/>
  <c r="AT219" i="4"/>
  <c r="AU219" i="4"/>
  <c r="AX219" i="4"/>
  <c r="E222" i="4"/>
  <c r="G222" i="4"/>
  <c r="K222" i="4"/>
  <c r="L222" i="4"/>
  <c r="O222" i="4"/>
  <c r="P222" i="4"/>
  <c r="Q222" i="4"/>
  <c r="V222" i="4"/>
  <c r="X222" i="4"/>
  <c r="AF222" i="4"/>
  <c r="AJ222" i="4"/>
  <c r="AK222" i="4"/>
  <c r="AP222" i="4"/>
  <c r="AR222" i="4"/>
  <c r="S231" i="4"/>
  <c r="X231" i="4"/>
  <c r="H233" i="4"/>
  <c r="I233" i="4"/>
  <c r="J233" i="4"/>
  <c r="K233" i="4"/>
  <c r="L233" i="4"/>
  <c r="M233" i="4"/>
  <c r="N233" i="4"/>
  <c r="O233" i="4"/>
  <c r="P233" i="4"/>
  <c r="Q233" i="4"/>
  <c r="R233" i="4"/>
  <c r="S233" i="4"/>
  <c r="S244" i="4" s="1"/>
  <c r="T233" i="4"/>
  <c r="U233" i="4"/>
  <c r="V233" i="4"/>
  <c r="W233" i="4"/>
  <c r="X233" i="4"/>
  <c r="Y233" i="4"/>
  <c r="Z233" i="4"/>
  <c r="AA233" i="4"/>
  <c r="AB233" i="4"/>
  <c r="AC233" i="4"/>
  <c r="AD233" i="4"/>
  <c r="AE233" i="4"/>
  <c r="AF233" i="4"/>
  <c r="AG233" i="4"/>
  <c r="AH233" i="4"/>
  <c r="AI233" i="4"/>
  <c r="AJ233" i="4"/>
  <c r="AK233" i="4"/>
  <c r="AL233" i="4"/>
  <c r="AM233" i="4"/>
  <c r="AN233" i="4"/>
  <c r="AO233" i="4"/>
  <c r="AP233" i="4"/>
  <c r="AQ233" i="4"/>
  <c r="AR233" i="4"/>
  <c r="AS233" i="4"/>
  <c r="AT233" i="4"/>
  <c r="AU233" i="4"/>
  <c r="E249" i="4"/>
  <c r="F249" i="4"/>
  <c r="G249" i="4"/>
  <c r="H249" i="4"/>
  <c r="I249" i="4"/>
  <c r="J249" i="4"/>
  <c r="K249" i="4"/>
  <c r="L249" i="4"/>
  <c r="M249" i="4"/>
  <c r="O249" i="4"/>
  <c r="P249" i="4"/>
  <c r="Q249" i="4"/>
  <c r="R249" i="4"/>
  <c r="S249" i="4"/>
  <c r="T249" i="4"/>
  <c r="U249" i="4"/>
  <c r="V249" i="4"/>
  <c r="X249" i="4"/>
  <c r="Y249" i="4"/>
  <c r="Z249" i="4"/>
  <c r="AA249" i="4"/>
  <c r="AC249" i="4"/>
  <c r="AD249" i="4"/>
  <c r="AE249" i="4"/>
  <c r="AF249" i="4"/>
  <c r="AH249" i="4"/>
  <c r="AI249" i="4"/>
  <c r="AJ249" i="4"/>
  <c r="AK249" i="4"/>
  <c r="AL249" i="4"/>
  <c r="AM249" i="4"/>
  <c r="AN249" i="4"/>
  <c r="AO249" i="4"/>
  <c r="AP249" i="4"/>
  <c r="AR249" i="4"/>
  <c r="AS249" i="4"/>
  <c r="AT249" i="4"/>
  <c r="AU249" i="4"/>
  <c r="AY249" i="4"/>
  <c r="BA249" i="4"/>
  <c r="BC249" i="4"/>
  <c r="BD249" i="4"/>
  <c r="BF249" i="4"/>
  <c r="BK249" i="4"/>
  <c r="BM249" i="4"/>
  <c r="BP249" i="4"/>
  <c r="I252" i="4"/>
  <c r="H252" i="4" s="1"/>
  <c r="N252" i="4"/>
  <c r="L252" i="4" s="1"/>
  <c r="S252" i="4"/>
  <c r="O252" i="4" s="1"/>
  <c r="P252" i="4" s="1"/>
  <c r="Q252" i="4" s="1"/>
  <c r="R252" i="4" s="1"/>
  <c r="X252" i="4"/>
  <c r="T252" i="4" s="1"/>
  <c r="U252" i="4" s="1"/>
  <c r="V252" i="4" s="1"/>
  <c r="W252" i="4" s="1"/>
  <c r="AC252" i="4"/>
  <c r="Y252" i="4" s="1"/>
  <c r="Z252" i="4" s="1"/>
  <c r="AA252" i="4" s="1"/>
  <c r="AB252" i="4" s="1"/>
  <c r="AH252" i="4"/>
  <c r="AD252" i="4" s="1"/>
  <c r="AE252" i="4" s="1"/>
  <c r="AF252" i="4" s="1"/>
  <c r="AG252" i="4" s="1"/>
  <c r="AM252" i="4"/>
  <c r="AI252" i="4" s="1"/>
  <c r="AJ252" i="4" s="1"/>
  <c r="AK252" i="4" s="1"/>
  <c r="AL252" i="4" s="1"/>
  <c r="AR252" i="4"/>
  <c r="AN252" i="4" s="1"/>
  <c r="AO252" i="4" s="1"/>
  <c r="AP252" i="4" s="1"/>
  <c r="AQ252" i="4" s="1"/>
  <c r="BO252" i="4"/>
  <c r="BP252" i="4"/>
  <c r="BQ252" i="4"/>
  <c r="B2" i="3"/>
  <c r="N5" i="3"/>
  <c r="S5" i="3" s="1"/>
  <c r="X5" i="3" s="1"/>
  <c r="AC5" i="3" s="1"/>
  <c r="AH5" i="3" s="1"/>
  <c r="AM5" i="3" s="1"/>
  <c r="AR5" i="3" s="1"/>
  <c r="AW5" i="3" s="1"/>
  <c r="BB5" i="3" s="1"/>
  <c r="BG5" i="3" s="1"/>
  <c r="BL5" i="3" s="1"/>
  <c r="BQ5" i="3" s="1"/>
  <c r="CF5" i="3"/>
  <c r="CK5" i="3" s="1"/>
  <c r="CP5" i="3" s="1"/>
  <c r="CU5" i="3" s="1"/>
  <c r="CZ5" i="3" s="1"/>
  <c r="DE5" i="3" s="1"/>
  <c r="DJ5" i="3" s="1"/>
  <c r="DO5" i="3" s="1"/>
  <c r="DT5" i="3" s="1"/>
  <c r="DY5" i="3" s="1"/>
  <c r="ED5" i="3" s="1"/>
  <c r="EI5" i="3" s="1"/>
  <c r="CP8" i="3"/>
  <c r="CU8" i="3"/>
  <c r="CZ8" i="3"/>
  <c r="DE8" i="3"/>
  <c r="DJ8" i="3"/>
  <c r="CP10" i="3"/>
  <c r="CP11" i="3"/>
  <c r="CP13" i="3" s="1"/>
  <c r="X54" i="3" s="1"/>
  <c r="CU10" i="3"/>
  <c r="CU11" i="3"/>
  <c r="CU13" i="3" s="1"/>
  <c r="CZ10" i="3"/>
  <c r="CZ11" i="3"/>
  <c r="DE10" i="3"/>
  <c r="DE11" i="3"/>
  <c r="DE13" i="3" s="1"/>
  <c r="DJ11" i="3"/>
  <c r="AC13" i="3"/>
  <c r="AH13" i="3"/>
  <c r="AM12" i="3"/>
  <c r="AM13" i="3"/>
  <c r="CP15" i="3"/>
  <c r="CU15" i="3"/>
  <c r="CZ15" i="3"/>
  <c r="DE15" i="3"/>
  <c r="DJ15" i="3"/>
  <c r="X13" i="3"/>
  <c r="CP17" i="3"/>
  <c r="DJ17" i="3"/>
  <c r="X23" i="3"/>
  <c r="AR23" i="3"/>
  <c r="X30" i="3"/>
  <c r="AC30" i="3"/>
  <c r="AH30" i="3"/>
  <c r="AM30" i="3"/>
  <c r="AR30" i="3"/>
  <c r="X35" i="3"/>
  <c r="X36" i="3"/>
  <c r="X37" i="3"/>
  <c r="AC35" i="3"/>
  <c r="AC36" i="3"/>
  <c r="AC37" i="3"/>
  <c r="AH35" i="3"/>
  <c r="AH36" i="3"/>
  <c r="AH37" i="3"/>
  <c r="AM35" i="3"/>
  <c r="AM36" i="3"/>
  <c r="AM37" i="3"/>
  <c r="AR35" i="3"/>
  <c r="AR36" i="3"/>
  <c r="AR37" i="3"/>
  <c r="CP41" i="3"/>
  <c r="DE41" i="3"/>
  <c r="DJ41" i="3"/>
  <c r="CP44" i="3"/>
  <c r="CP45" i="3"/>
  <c r="CP47" i="3"/>
  <c r="CP46" i="3" s="1"/>
  <c r="CU44" i="3"/>
  <c r="CU45" i="3"/>
  <c r="CU47" i="3"/>
  <c r="CU46" i="3" s="1"/>
  <c r="CZ44" i="3"/>
  <c r="CZ45" i="3"/>
  <c r="CZ47" i="3"/>
  <c r="DE44" i="3"/>
  <c r="DE45" i="3"/>
  <c r="DE47" i="3"/>
  <c r="DJ44" i="3"/>
  <c r="DJ45" i="3"/>
  <c r="DJ47" i="3"/>
  <c r="DJ46" i="3" s="1"/>
  <c r="EI45" i="3"/>
  <c r="AR52" i="3"/>
  <c r="AW52" i="3"/>
  <c r="BB52" i="3"/>
  <c r="BG52" i="3"/>
  <c r="BL52" i="3"/>
  <c r="CP56" i="3"/>
  <c r="CU56" i="3"/>
  <c r="CZ55" i="3"/>
  <c r="CZ56" i="3"/>
  <c r="DE55" i="3"/>
  <c r="DE56" i="3"/>
  <c r="DJ56" i="3"/>
  <c r="CP60" i="3"/>
  <c r="CP61" i="3"/>
  <c r="CP62" i="3"/>
  <c r="CP63" i="3"/>
  <c r="CU60" i="3"/>
  <c r="CU61" i="3"/>
  <c r="CU62" i="3"/>
  <c r="CU63" i="3"/>
  <c r="CZ60" i="3"/>
  <c r="CZ61" i="3"/>
  <c r="CZ62" i="3"/>
  <c r="CZ63" i="3"/>
  <c r="CZ64" i="3"/>
  <c r="DE61" i="3"/>
  <c r="DE62" i="3"/>
  <c r="DE63" i="3"/>
  <c r="DJ61" i="3"/>
  <c r="DJ62" i="3"/>
  <c r="DJ63" i="3"/>
  <c r="BP135" i="47" l="1"/>
  <c r="BW9" i="56"/>
  <c r="BF98" i="8"/>
  <c r="BK113" i="8"/>
  <c r="BJ113" i="8"/>
  <c r="E62" i="10"/>
  <c r="BE62" i="10" s="1"/>
  <c r="BP98" i="8"/>
  <c r="AJ127" i="8"/>
  <c r="BH38" i="9"/>
  <c r="BH249" i="4"/>
  <c r="CZ46" i="3"/>
  <c r="BJ249" i="4"/>
  <c r="BI40" i="4"/>
  <c r="BA131" i="5"/>
  <c r="AX43" i="4"/>
  <c r="AX151" i="4" s="1"/>
  <c r="AY40" i="4"/>
  <c r="DE46" i="3"/>
  <c r="BO249" i="4"/>
  <c r="BE40" i="4"/>
  <c r="AH15" i="9"/>
  <c r="AH17" i="9" s="1"/>
  <c r="AH22" i="4" s="1"/>
  <c r="AO10" i="9"/>
  <c r="Z10" i="9"/>
  <c r="AR78" i="44"/>
  <c r="AX249" i="4"/>
  <c r="BJ40" i="4"/>
  <c r="AZ40" i="4"/>
  <c r="AH10" i="9"/>
  <c r="AC10" i="9"/>
  <c r="X10" i="9"/>
  <c r="AX98" i="8"/>
  <c r="AI38" i="45"/>
  <c r="AI81" i="4" s="1"/>
  <c r="BG148" i="5"/>
  <c r="BK111" i="56"/>
  <c r="BO110" i="56"/>
  <c r="BK109" i="56"/>
  <c r="BO108" i="56"/>
  <c r="BK108" i="56"/>
  <c r="BI54" i="56"/>
  <c r="BM53" i="56"/>
  <c r="BI53" i="56"/>
  <c r="BK49" i="56"/>
  <c r="BJ49" i="56"/>
  <c r="BI49" i="56"/>
  <c r="BH49" i="56"/>
  <c r="BK48" i="56"/>
  <c r="BJ48" i="56"/>
  <c r="BI48" i="56"/>
  <c r="BH48" i="56"/>
  <c r="BK47" i="56"/>
  <c r="BJ47" i="56"/>
  <c r="BI47" i="56"/>
  <c r="BH47" i="56"/>
  <c r="BK46" i="56"/>
  <c r="BJ46" i="56"/>
  <c r="BI46" i="56"/>
  <c r="BH46" i="56"/>
  <c r="BK45" i="56"/>
  <c r="BJ45" i="56"/>
  <c r="BI45" i="56"/>
  <c r="BH45" i="56"/>
  <c r="AV50" i="45"/>
  <c r="AV35" i="44" s="1"/>
  <c r="AW47" i="45"/>
  <c r="BG52" i="45"/>
  <c r="BE13" i="9"/>
  <c r="BE57" i="9" s="1"/>
  <c r="AZ57" i="9"/>
  <c r="AH63" i="9"/>
  <c r="BG138" i="4"/>
  <c r="BA34" i="47"/>
  <c r="BF34" i="47" s="1"/>
  <c r="BK34" i="47" s="1"/>
  <c r="BP34" i="47" s="1"/>
  <c r="AB27" i="47"/>
  <c r="AF22" i="47"/>
  <c r="AS362" i="47"/>
  <c r="AW362" i="47"/>
  <c r="AV256" i="47"/>
  <c r="AW256" i="47" s="1"/>
  <c r="AX256" i="47" s="1"/>
  <c r="AY256" i="47" s="1"/>
  <c r="AZ256" i="47" s="1"/>
  <c r="BA256" i="47" s="1"/>
  <c r="BB256" i="47" s="1"/>
  <c r="BC256" i="47" s="1"/>
  <c r="BD256" i="47" s="1"/>
  <c r="BE256" i="47" s="1"/>
  <c r="BF256" i="47" s="1"/>
  <c r="BG256" i="47" s="1"/>
  <c r="BH256" i="47" s="1"/>
  <c r="BI256" i="47" s="1"/>
  <c r="BJ256" i="47" s="1"/>
  <c r="BK256" i="47" s="1"/>
  <c r="BL256" i="47" s="1"/>
  <c r="BM256" i="47" s="1"/>
  <c r="BN256" i="47" s="1"/>
  <c r="BO256" i="47" s="1"/>
  <c r="BP256" i="47" s="1"/>
  <c r="BQ256" i="47" s="1"/>
  <c r="AS147" i="47"/>
  <c r="AT62" i="47"/>
  <c r="AT206" i="47" s="1"/>
  <c r="AX178" i="4"/>
  <c r="AY178" i="4" s="1"/>
  <c r="AZ178" i="4" s="1"/>
  <c r="BA178" i="4" s="1"/>
  <c r="BB178" i="4" s="1"/>
  <c r="BC178" i="4" s="1"/>
  <c r="BD178" i="4" s="1"/>
  <c r="BE178" i="4" s="1"/>
  <c r="BF178" i="4" s="1"/>
  <c r="BG178" i="4" s="1"/>
  <c r="BH178" i="4" s="1"/>
  <c r="BI178" i="4" s="1"/>
  <c r="BJ178" i="4" s="1"/>
  <c r="BK178" i="4" s="1"/>
  <c r="BL178" i="4" s="1"/>
  <c r="BM178" i="4" s="1"/>
  <c r="BN178" i="4" s="1"/>
  <c r="BO178" i="4" s="1"/>
  <c r="BP178" i="4" s="1"/>
  <c r="BQ178" i="4" s="1"/>
  <c r="X318" i="47"/>
  <c r="AH295" i="47"/>
  <c r="AV44" i="9"/>
  <c r="AV39" i="9"/>
  <c r="AV45" i="9" s="1"/>
  <c r="AV127" i="4"/>
  <c r="AV129" i="4" s="1"/>
  <c r="AV56" i="9"/>
  <c r="AS22" i="47"/>
  <c r="AI22" i="47"/>
  <c r="AI23" i="47" s="1"/>
  <c r="AF350" i="47"/>
  <c r="AQ252" i="47"/>
  <c r="AP252" i="47" s="1"/>
  <c r="AO252" i="47" s="1"/>
  <c r="AN252" i="47" s="1"/>
  <c r="AW252" i="47"/>
  <c r="AV252" i="47" s="1"/>
  <c r="AH190" i="47"/>
  <c r="AG190" i="47" s="1"/>
  <c r="AF190" i="47" s="1"/>
  <c r="AE190" i="47" s="1"/>
  <c r="AD190" i="47" s="1"/>
  <c r="AR94" i="47"/>
  <c r="AW94" i="47"/>
  <c r="AM22" i="47"/>
  <c r="AM388" i="47" s="1"/>
  <c r="AM401" i="47" s="1"/>
  <c r="AH22" i="47"/>
  <c r="AH388" i="47" s="1"/>
  <c r="X22" i="47"/>
  <c r="X388" i="47" s="1"/>
  <c r="X401" i="47" s="1"/>
  <c r="BI135" i="47"/>
  <c r="BI230" i="47"/>
  <c r="BD135" i="47"/>
  <c r="BD230" i="47"/>
  <c r="AO230" i="47"/>
  <c r="AO135" i="47"/>
  <c r="AJ135" i="47"/>
  <c r="AJ230" i="47"/>
  <c r="BE230" i="47"/>
  <c r="AP230" i="47"/>
  <c r="AA135" i="47"/>
  <c r="AJ74" i="47"/>
  <c r="AW73" i="47"/>
  <c r="AV75" i="47"/>
  <c r="AF135" i="47"/>
  <c r="Z70" i="47"/>
  <c r="AE67" i="47"/>
  <c r="AT66" i="47"/>
  <c r="BU53" i="47"/>
  <c r="BP137" i="56"/>
  <c r="BL128" i="56"/>
  <c r="AU230" i="47"/>
  <c r="BD67" i="47"/>
  <c r="BI58" i="47"/>
  <c r="BP138" i="56"/>
  <c r="BO138" i="56"/>
  <c r="BN138" i="56"/>
  <c r="BL138" i="56"/>
  <c r="BK138" i="56"/>
  <c r="BJ138" i="56"/>
  <c r="BH138" i="56"/>
  <c r="BO137" i="56"/>
  <c r="BN137" i="56"/>
  <c r="BM137" i="56"/>
  <c r="BL137" i="56"/>
  <c r="BJ137" i="56"/>
  <c r="BI137" i="56"/>
  <c r="BH137" i="56"/>
  <c r="BP136" i="56"/>
  <c r="BO136" i="56"/>
  <c r="BN136" i="56"/>
  <c r="BM136" i="56"/>
  <c r="BL136" i="56"/>
  <c r="BK136" i="56"/>
  <c r="BJ136" i="56"/>
  <c r="BI136" i="56"/>
  <c r="BH136" i="56"/>
  <c r="BP135" i="56"/>
  <c r="BO135" i="56"/>
  <c r="BM135" i="56"/>
  <c r="BL135" i="56"/>
  <c r="BK135" i="56"/>
  <c r="BI135" i="56"/>
  <c r="BH135" i="56"/>
  <c r="BP134" i="56"/>
  <c r="BO134" i="56"/>
  <c r="BN134" i="56"/>
  <c r="BM134" i="56"/>
  <c r="BL134" i="56"/>
  <c r="BK134" i="56"/>
  <c r="BJ134" i="56"/>
  <c r="BI134" i="56"/>
  <c r="BH134" i="56"/>
  <c r="BO133" i="56"/>
  <c r="BN133" i="56"/>
  <c r="BM133" i="56"/>
  <c r="BK133" i="56"/>
  <c r="BJ133" i="56"/>
  <c r="BI133" i="56"/>
  <c r="BH133" i="56"/>
  <c r="BP132" i="56"/>
  <c r="BO132" i="56"/>
  <c r="BN132" i="56"/>
  <c r="BM132" i="56"/>
  <c r="BL132" i="56"/>
  <c r="BK132" i="56"/>
  <c r="BJ132" i="56"/>
  <c r="BK137" i="56"/>
  <c r="BJ135" i="56"/>
  <c r="BL133" i="56"/>
  <c r="BN129" i="56"/>
  <c r="BH128" i="56"/>
  <c r="BL126" i="56"/>
  <c r="BP124" i="56"/>
  <c r="BJ123" i="56"/>
  <c r="BN121" i="56"/>
  <c r="BH120" i="56"/>
  <c r="AW70" i="47"/>
  <c r="AW230" i="47" s="1"/>
  <c r="BH132" i="56"/>
  <c r="BP129" i="56"/>
  <c r="BO129" i="56"/>
  <c r="BM129" i="56"/>
  <c r="BL129" i="56"/>
  <c r="BK129" i="56"/>
  <c r="BJ129" i="56"/>
  <c r="BI129" i="56"/>
  <c r="BH129" i="56"/>
  <c r="BG129" i="56"/>
  <c r="BP128" i="56"/>
  <c r="BO128" i="56"/>
  <c r="BN128" i="56"/>
  <c r="BM128" i="56"/>
  <c r="BK128" i="56"/>
  <c r="BJ128" i="56"/>
  <c r="BI128" i="56"/>
  <c r="BG128" i="56"/>
  <c r="BP127" i="56"/>
  <c r="BO127" i="56"/>
  <c r="BN127" i="56"/>
  <c r="BM127" i="56"/>
  <c r="BL127" i="56"/>
  <c r="BK127" i="56"/>
  <c r="BJ127" i="56"/>
  <c r="BI127" i="56"/>
  <c r="BH127" i="56"/>
  <c r="BG127" i="56"/>
  <c r="BO126" i="56"/>
  <c r="BN126" i="56"/>
  <c r="BM126" i="56"/>
  <c r="BK126" i="56"/>
  <c r="BJ126" i="56"/>
  <c r="BI126" i="56"/>
  <c r="BH126" i="56"/>
  <c r="BG126" i="56"/>
  <c r="BP125" i="56"/>
  <c r="BO125" i="56"/>
  <c r="BN125" i="56"/>
  <c r="BM125" i="56"/>
  <c r="BL125" i="56"/>
  <c r="BK125" i="56"/>
  <c r="BI125" i="56"/>
  <c r="BH125" i="56"/>
  <c r="BG125" i="56"/>
  <c r="BO124" i="56"/>
  <c r="BN124" i="56"/>
  <c r="BM124" i="56"/>
  <c r="BL124" i="56"/>
  <c r="BK124" i="56"/>
  <c r="BJ124" i="56"/>
  <c r="BI124" i="56"/>
  <c r="BH124" i="56"/>
  <c r="BG124" i="56"/>
  <c r="BP123" i="56"/>
  <c r="BO123" i="56"/>
  <c r="BM123" i="56"/>
  <c r="BL123" i="56"/>
  <c r="BK123" i="56"/>
  <c r="BI123" i="56"/>
  <c r="BH123" i="56"/>
  <c r="BG123" i="56"/>
  <c r="BP122" i="56"/>
  <c r="BO122" i="56"/>
  <c r="BN122" i="56"/>
  <c r="BM122" i="56"/>
  <c r="BL122" i="56"/>
  <c r="BK122" i="56"/>
  <c r="BJ122" i="56"/>
  <c r="BI122" i="56"/>
  <c r="BG122" i="56"/>
  <c r="BP121" i="56"/>
  <c r="BO121" i="56"/>
  <c r="BM121" i="56"/>
  <c r="BL121" i="56"/>
  <c r="BK121" i="56"/>
  <c r="BJ121" i="56"/>
  <c r="BI121" i="56"/>
  <c r="BH121" i="56"/>
  <c r="BG121" i="56"/>
  <c r="BP120" i="56"/>
  <c r="BO120" i="56"/>
  <c r="BN120" i="56"/>
  <c r="BM120" i="56"/>
  <c r="BK120" i="56"/>
  <c r="BJ120" i="56"/>
  <c r="BI120" i="56"/>
  <c r="BG120" i="56"/>
  <c r="BP119" i="56"/>
  <c r="BO119" i="56"/>
  <c r="BN119" i="56"/>
  <c r="BM119" i="56"/>
  <c r="BL119" i="56"/>
  <c r="BK119" i="56"/>
  <c r="BJ119" i="56"/>
  <c r="BI119" i="56"/>
  <c r="BH119" i="56"/>
  <c r="BG119" i="56"/>
  <c r="BO118" i="56"/>
  <c r="BN118" i="56"/>
  <c r="BM118" i="56"/>
  <c r="BL118" i="56"/>
  <c r="BK118" i="56"/>
  <c r="BJ118" i="56"/>
  <c r="BI118" i="56"/>
  <c r="BH118" i="56"/>
  <c r="BG118" i="56"/>
  <c r="BP117" i="56"/>
  <c r="BO117" i="56"/>
  <c r="BN117" i="56"/>
  <c r="BM117" i="56"/>
  <c r="BL117" i="56"/>
  <c r="BK117" i="56"/>
  <c r="BI117" i="56"/>
  <c r="BH117" i="56"/>
  <c r="BG117" i="56"/>
  <c r="BP116" i="56"/>
  <c r="BO116" i="56"/>
  <c r="BN116" i="56"/>
  <c r="BM116" i="56"/>
  <c r="BL116" i="56"/>
  <c r="BK116" i="56"/>
  <c r="BJ116" i="56"/>
  <c r="BI116" i="56"/>
  <c r="BG116" i="56"/>
  <c r="BP115" i="56"/>
  <c r="BO115" i="56"/>
  <c r="BM115" i="56"/>
  <c r="BL115" i="56"/>
  <c r="BK115" i="56"/>
  <c r="BJ115" i="56"/>
  <c r="BI115" i="56"/>
  <c r="BH115" i="56"/>
  <c r="BG115" i="56"/>
  <c r="BO114" i="56"/>
  <c r="BN114" i="56"/>
  <c r="BM114" i="56"/>
  <c r="BK114" i="56"/>
  <c r="BJ114" i="56"/>
  <c r="BI114" i="56"/>
  <c r="BG114" i="56"/>
  <c r="BP111" i="56"/>
  <c r="BO111" i="56"/>
  <c r="BN111" i="56"/>
  <c r="BM111" i="56"/>
  <c r="BL111" i="56"/>
  <c r="BJ111" i="56"/>
  <c r="BI111" i="56"/>
  <c r="BH111" i="56"/>
  <c r="BF111" i="56"/>
  <c r="BE111" i="56"/>
  <c r="BP110" i="56"/>
  <c r="BN110" i="56"/>
  <c r="BM110" i="56"/>
  <c r="BL110" i="56"/>
  <c r="BK110" i="56"/>
  <c r="BJ110" i="56"/>
  <c r="BI110" i="56"/>
  <c r="BH110" i="56"/>
  <c r="BF110" i="56"/>
  <c r="BE110" i="56"/>
  <c r="BP109" i="56"/>
  <c r="BN109" i="56"/>
  <c r="BM109" i="56"/>
  <c r="BL109" i="56"/>
  <c r="BJ109" i="56"/>
  <c r="BI109" i="56"/>
  <c r="BH109" i="56"/>
  <c r="BF109" i="56"/>
  <c r="BE109" i="56"/>
  <c r="BP108" i="56"/>
  <c r="BN108" i="56"/>
  <c r="BM108" i="56"/>
  <c r="BL108" i="56"/>
  <c r="BJ108" i="56"/>
  <c r="BI108" i="56"/>
  <c r="BH108" i="56"/>
  <c r="BF108" i="56"/>
  <c r="BE108" i="56"/>
  <c r="BP107" i="56"/>
  <c r="BO107" i="56"/>
  <c r="BN107" i="56"/>
  <c r="BM107" i="56"/>
  <c r="BL107" i="56"/>
  <c r="BJ107" i="56"/>
  <c r="BI107" i="56"/>
  <c r="BH107" i="56"/>
  <c r="BF107" i="56"/>
  <c r="BE107" i="56"/>
  <c r="BP106" i="56"/>
  <c r="BN106" i="56"/>
  <c r="BM106" i="56"/>
  <c r="BL106" i="56"/>
  <c r="BK106" i="56"/>
  <c r="BJ106" i="56"/>
  <c r="BI106" i="56"/>
  <c r="BH106" i="56"/>
  <c r="BF106" i="56"/>
  <c r="BE106" i="56"/>
  <c r="BP105" i="56"/>
  <c r="BN105" i="56"/>
  <c r="BM105" i="56"/>
  <c r="BL105" i="56"/>
  <c r="BJ105" i="56"/>
  <c r="BI105" i="56"/>
  <c r="BH105" i="56"/>
  <c r="BF105" i="56"/>
  <c r="BE105" i="56"/>
  <c r="BO104" i="56"/>
  <c r="BL104" i="56"/>
  <c r="BK104" i="56"/>
  <c r="BJ104" i="56"/>
  <c r="BH104" i="56"/>
  <c r="BG104" i="56"/>
  <c r="BF104" i="56"/>
  <c r="BO103" i="56"/>
  <c r="BN103" i="56"/>
  <c r="BL103" i="56"/>
  <c r="BK103" i="56"/>
  <c r="BJ103" i="56"/>
  <c r="BI103" i="56"/>
  <c r="BH103" i="56"/>
  <c r="BF103" i="56"/>
  <c r="BE103" i="56"/>
  <c r="BO102" i="56"/>
  <c r="BL102" i="56"/>
  <c r="BK102" i="56"/>
  <c r="BJ102" i="56"/>
  <c r="BH102" i="56"/>
  <c r="BG102" i="56"/>
  <c r="BF102" i="56"/>
  <c r="BO101" i="56"/>
  <c r="BN101" i="56"/>
  <c r="BL101" i="56"/>
  <c r="BJ101" i="56"/>
  <c r="BI101" i="56"/>
  <c r="BH101" i="56"/>
  <c r="BF101" i="56"/>
  <c r="BE101" i="56"/>
  <c r="BO100" i="56"/>
  <c r="BN100" i="56"/>
  <c r="BK100" i="56"/>
  <c r="BJ100" i="56"/>
  <c r="BI100" i="56"/>
  <c r="BH100" i="56"/>
  <c r="BF100" i="56"/>
  <c r="BE100" i="56"/>
  <c r="BP99" i="56"/>
  <c r="BO99" i="56"/>
  <c r="BM99" i="56"/>
  <c r="BL99" i="56"/>
  <c r="BK99" i="56"/>
  <c r="BJ99" i="56"/>
  <c r="BI99" i="56"/>
  <c r="BG99" i="56"/>
  <c r="BF99" i="56"/>
  <c r="BE99" i="56"/>
  <c r="BP98" i="56"/>
  <c r="BO98" i="56"/>
  <c r="BN98" i="56"/>
  <c r="BM98" i="56"/>
  <c r="BK98" i="56"/>
  <c r="BJ98" i="56"/>
  <c r="BI98" i="56"/>
  <c r="BH98" i="56"/>
  <c r="BG98" i="56"/>
  <c r="BF98" i="56"/>
  <c r="BE98" i="56"/>
  <c r="BO97" i="56"/>
  <c r="BN97" i="56"/>
  <c r="BM97" i="56"/>
  <c r="BL97" i="56"/>
  <c r="BK97" i="56"/>
  <c r="BJ97" i="56"/>
  <c r="BI97" i="56"/>
  <c r="BG97" i="56"/>
  <c r="BF97" i="56"/>
  <c r="BE97" i="56"/>
  <c r="BP96" i="56"/>
  <c r="BO96" i="56"/>
  <c r="BN96" i="56"/>
  <c r="BM96" i="56"/>
  <c r="BK96" i="56"/>
  <c r="BJ96" i="56"/>
  <c r="BI96" i="56"/>
  <c r="BH96" i="56"/>
  <c r="BG96" i="56"/>
  <c r="BF96" i="56"/>
  <c r="BE96" i="56"/>
  <c r="BP93" i="56"/>
  <c r="BO93" i="56"/>
  <c r="BN93" i="56"/>
  <c r="BM93" i="56"/>
  <c r="BK93" i="56"/>
  <c r="BJ93" i="56"/>
  <c r="BI93" i="56"/>
  <c r="BH93" i="56"/>
  <c r="BG93" i="56"/>
  <c r="BF93" i="56"/>
  <c r="BE93" i="56"/>
  <c r="BO92" i="56"/>
  <c r="BN92" i="56"/>
  <c r="BM92" i="56"/>
  <c r="BL92" i="56"/>
  <c r="BK92" i="56"/>
  <c r="BJ92" i="56"/>
  <c r="BI92" i="56"/>
  <c r="BG92" i="56"/>
  <c r="BF92" i="56"/>
  <c r="BE92" i="56"/>
  <c r="BP91" i="56"/>
  <c r="BO91" i="56"/>
  <c r="BN91" i="56"/>
  <c r="BM91" i="56"/>
  <c r="BK91" i="56"/>
  <c r="BJ91" i="56"/>
  <c r="BI91" i="56"/>
  <c r="BH91" i="56"/>
  <c r="BG91" i="56"/>
  <c r="BF91" i="56"/>
  <c r="BE91" i="56"/>
  <c r="BO90" i="56"/>
  <c r="BN90" i="56"/>
  <c r="BM90" i="56"/>
  <c r="BL90" i="56"/>
  <c r="BK90" i="56"/>
  <c r="BJ90" i="56"/>
  <c r="BI90" i="56"/>
  <c r="BG90" i="56"/>
  <c r="BF90" i="56"/>
  <c r="BE90" i="56"/>
  <c r="BP89" i="56"/>
  <c r="BW74" i="56" s="1"/>
  <c r="BO89" i="56"/>
  <c r="BN89" i="56"/>
  <c r="BM89" i="56"/>
  <c r="BK89" i="56"/>
  <c r="BJ89" i="56"/>
  <c r="BI89" i="56"/>
  <c r="BH89" i="56"/>
  <c r="BG89" i="56"/>
  <c r="BF89" i="56"/>
  <c r="AW66" i="47"/>
  <c r="AV61" i="47"/>
  <c r="AW74" i="47"/>
  <c r="BE89" i="56"/>
  <c r="BO88" i="56"/>
  <c r="BN88" i="56"/>
  <c r="BM88" i="56"/>
  <c r="BL88" i="56"/>
  <c r="BK88" i="56"/>
  <c r="BJ88" i="56"/>
  <c r="BI88" i="56"/>
  <c r="BG88" i="56"/>
  <c r="BF88" i="56"/>
  <c r="BE88" i="56"/>
  <c r="BP87" i="56"/>
  <c r="BW72" i="56" s="1"/>
  <c r="BO87" i="56"/>
  <c r="BN87" i="56"/>
  <c r="BM87" i="56"/>
  <c r="BK87" i="56"/>
  <c r="BJ87" i="56"/>
  <c r="BI87" i="56"/>
  <c r="BH87" i="56"/>
  <c r="BG87" i="56"/>
  <c r="BF87" i="56"/>
  <c r="BE87" i="56"/>
  <c r="BN86" i="56"/>
  <c r="BM86" i="56"/>
  <c r="BL86" i="56"/>
  <c r="BK86" i="56"/>
  <c r="BJ86" i="56"/>
  <c r="BI86" i="56"/>
  <c r="BH86" i="56"/>
  <c r="BF86" i="56"/>
  <c r="BE86" i="56"/>
  <c r="BO85" i="56"/>
  <c r="BN85" i="56"/>
  <c r="BM85" i="56"/>
  <c r="BL85" i="56"/>
  <c r="BK85" i="56"/>
  <c r="BI85" i="56"/>
  <c r="BH85" i="56"/>
  <c r="BG85" i="56"/>
  <c r="BF85" i="56"/>
  <c r="BE85" i="56"/>
  <c r="BO84" i="56"/>
  <c r="BN84" i="56"/>
  <c r="BM84" i="56"/>
  <c r="BK84" i="56"/>
  <c r="BJ84" i="56"/>
  <c r="BI84" i="56"/>
  <c r="BH84" i="56"/>
  <c r="BG84" i="56"/>
  <c r="BF84" i="56"/>
  <c r="BE84" i="56"/>
  <c r="BO83" i="56"/>
  <c r="BN83" i="56"/>
  <c r="BL83" i="56"/>
  <c r="BK83" i="56"/>
  <c r="BJ83" i="56"/>
  <c r="BI83" i="56"/>
  <c r="BH83" i="56"/>
  <c r="BG83" i="56"/>
  <c r="BF83" i="56"/>
  <c r="BE83" i="56"/>
  <c r="BO82" i="56"/>
  <c r="BN82" i="56"/>
  <c r="BL82" i="56"/>
  <c r="BK82" i="56"/>
  <c r="BJ82" i="56"/>
  <c r="BI82" i="56"/>
  <c r="BH82" i="56"/>
  <c r="BG82" i="56"/>
  <c r="BF82" i="56"/>
  <c r="BE82" i="56"/>
  <c r="BP81" i="56"/>
  <c r="BO81" i="56"/>
  <c r="BM81" i="56"/>
  <c r="BL81" i="56"/>
  <c r="BK81" i="56"/>
  <c r="BJ81" i="56"/>
  <c r="BI81" i="56"/>
  <c r="BH81" i="56"/>
  <c r="BG81" i="56"/>
  <c r="BF81" i="56"/>
  <c r="BE81" i="56"/>
  <c r="BO80" i="56"/>
  <c r="BN80" i="56"/>
  <c r="BM80" i="56"/>
  <c r="BL80" i="56"/>
  <c r="BK80" i="56"/>
  <c r="BJ80" i="56"/>
  <c r="BI80" i="56"/>
  <c r="BH80" i="56"/>
  <c r="BG80" i="56"/>
  <c r="BF80" i="56"/>
  <c r="BP79" i="56"/>
  <c r="BO79" i="56"/>
  <c r="BN79" i="56"/>
  <c r="BM79" i="56"/>
  <c r="BL79" i="56"/>
  <c r="BK79" i="56"/>
  <c r="BJ79" i="56"/>
  <c r="BI79" i="56"/>
  <c r="BH79" i="56"/>
  <c r="BG79" i="56"/>
  <c r="BE79" i="56"/>
  <c r="BP78" i="56"/>
  <c r="BO78" i="56"/>
  <c r="BN78" i="56"/>
  <c r="BM78" i="56"/>
  <c r="BL78" i="56"/>
  <c r="BK78" i="56"/>
  <c r="BJ78" i="56"/>
  <c r="BI78" i="56"/>
  <c r="BG78" i="56"/>
  <c r="BF78" i="56"/>
  <c r="BE78" i="56"/>
  <c r="BP74" i="56"/>
  <c r="BO74" i="56"/>
  <c r="BN74" i="56"/>
  <c r="BM74" i="56"/>
  <c r="BL74" i="56"/>
  <c r="BK74" i="56"/>
  <c r="BJ74" i="56"/>
  <c r="BI74" i="56"/>
  <c r="BG74" i="56"/>
  <c r="BF74" i="56"/>
  <c r="BE74" i="56"/>
  <c r="BP73" i="56"/>
  <c r="BO73" i="56"/>
  <c r="BN73" i="56"/>
  <c r="BM73" i="56"/>
  <c r="BL73" i="56"/>
  <c r="BK73" i="56"/>
  <c r="BJ73" i="56"/>
  <c r="BH73" i="56"/>
  <c r="BG73" i="56"/>
  <c r="BF73" i="56"/>
  <c r="BE73" i="56"/>
  <c r="BP72" i="56"/>
  <c r="BO72" i="56"/>
  <c r="BN72" i="56"/>
  <c r="BM72" i="56"/>
  <c r="BL72" i="56"/>
  <c r="BK72" i="56"/>
  <c r="BI72" i="56"/>
  <c r="BH72" i="56"/>
  <c r="BG72" i="56"/>
  <c r="BF72" i="56"/>
  <c r="BE72" i="56"/>
  <c r="BP68" i="56"/>
  <c r="BO68" i="56"/>
  <c r="BN68" i="56"/>
  <c r="BM68" i="56"/>
  <c r="BL68" i="56"/>
  <c r="BK68" i="56"/>
  <c r="BJ68" i="56"/>
  <c r="BI68" i="56"/>
  <c r="BH68" i="56"/>
  <c r="BF68" i="56"/>
  <c r="BE68" i="56"/>
  <c r="BP67" i="56"/>
  <c r="BO67" i="56"/>
  <c r="BN67" i="56"/>
  <c r="BM67" i="56"/>
  <c r="BL67" i="56"/>
  <c r="BK67" i="56"/>
  <c r="BJ67" i="56"/>
  <c r="BI67" i="56"/>
  <c r="BG67" i="56"/>
  <c r="BF67" i="56"/>
  <c r="BE67" i="56"/>
  <c r="BP66" i="56"/>
  <c r="AW58" i="47"/>
  <c r="AW52" i="47"/>
  <c r="BO66" i="56"/>
  <c r="BN66" i="56"/>
  <c r="BM66" i="56"/>
  <c r="BL66" i="56"/>
  <c r="BK66" i="56"/>
  <c r="BI66" i="56"/>
  <c r="BH66" i="56"/>
  <c r="BF66" i="56"/>
  <c r="BE66" i="56"/>
  <c r="BO65" i="56"/>
  <c r="BM65" i="56"/>
  <c r="BL65" i="56"/>
  <c r="BJ65" i="56"/>
  <c r="BI65" i="56"/>
  <c r="BG65" i="56"/>
  <c r="BE65" i="56"/>
  <c r="BP64" i="56"/>
  <c r="BN64" i="56"/>
  <c r="BM64" i="56"/>
  <c r="BK64" i="56"/>
  <c r="BI64" i="56"/>
  <c r="BH64" i="56"/>
  <c r="BF64" i="56"/>
  <c r="BE64" i="56"/>
  <c r="BO63" i="56"/>
  <c r="BM63" i="56"/>
  <c r="BL63" i="56"/>
  <c r="BJ63" i="56"/>
  <c r="BI63" i="56"/>
  <c r="BG63" i="56"/>
  <c r="BE63" i="56"/>
  <c r="BP62" i="56"/>
  <c r="BN62" i="56"/>
  <c r="BM62" i="56"/>
  <c r="BK62" i="56"/>
  <c r="BI62" i="56"/>
  <c r="BH62" i="56"/>
  <c r="BF62" i="56"/>
  <c r="BE62" i="56"/>
  <c r="BO61" i="56"/>
  <c r="BM61" i="56"/>
  <c r="BL61" i="56"/>
  <c r="BJ61" i="56"/>
  <c r="BI61" i="56"/>
  <c r="BG61" i="56"/>
  <c r="BE61" i="56"/>
  <c r="BP60" i="56"/>
  <c r="BN60" i="56"/>
  <c r="BM60" i="56"/>
  <c r="BK60" i="56"/>
  <c r="BI60" i="56"/>
  <c r="BH60" i="56"/>
  <c r="BF60" i="56"/>
  <c r="BE60" i="56"/>
  <c r="BN59" i="56"/>
  <c r="BM59" i="56"/>
  <c r="BL59" i="56"/>
  <c r="BJ59" i="56"/>
  <c r="BI59" i="56"/>
  <c r="BH59" i="56"/>
  <c r="BG59" i="56"/>
  <c r="BF59" i="56"/>
  <c r="BE59" i="56"/>
  <c r="BO58" i="56"/>
  <c r="BM58" i="56"/>
  <c r="BL58" i="56"/>
  <c r="BK58" i="56"/>
  <c r="BJ58" i="56"/>
  <c r="BI58" i="56"/>
  <c r="BH58" i="56"/>
  <c r="BG58" i="56"/>
  <c r="BE58" i="56"/>
  <c r="BO57" i="56"/>
  <c r="BN57" i="56"/>
  <c r="BM57" i="56"/>
  <c r="BL57" i="56"/>
  <c r="BK57" i="56"/>
  <c r="BJ57" i="56"/>
  <c r="BH57" i="56"/>
  <c r="BG57" i="56"/>
  <c r="BF57" i="56"/>
  <c r="BE57" i="56"/>
  <c r="BP56" i="56"/>
  <c r="BG56" i="56"/>
  <c r="BF56" i="56"/>
  <c r="BZ311" i="10"/>
  <c r="E284" i="10"/>
  <c r="AZ284" i="10" s="1"/>
  <c r="CW104" i="10"/>
  <c r="BY289" i="10"/>
  <c r="DJ60" i="3"/>
  <c r="DE60" i="3"/>
  <c r="CP64" i="3"/>
  <c r="I24" i="4"/>
  <c r="AB38" i="45"/>
  <c r="AB81" i="4" s="1"/>
  <c r="AF38" i="45"/>
  <c r="AF81" i="4" s="1"/>
  <c r="AA38" i="45"/>
  <c r="AA81" i="4" s="1"/>
  <c r="AA38" i="66"/>
  <c r="AA82" i="4" s="1"/>
  <c r="BJ54" i="10"/>
  <c r="BL52" i="9" s="1"/>
  <c r="BL66" i="9" s="1"/>
  <c r="AU113" i="10"/>
  <c r="AT113" i="10" s="1"/>
  <c r="E194" i="10"/>
  <c r="P156" i="10"/>
  <c r="CI303" i="10"/>
  <c r="N272" i="10"/>
  <c r="BH226" i="10"/>
  <c r="DK303" i="10"/>
  <c r="BH335" i="47" s="1"/>
  <c r="BY303" i="10"/>
  <c r="AE52" i="10"/>
  <c r="P52" i="10"/>
  <c r="AB31" i="10"/>
  <c r="Y31" i="10"/>
  <c r="BI30" i="10"/>
  <c r="BI29" i="10"/>
  <c r="BG22" i="10"/>
  <c r="BC22" i="10"/>
  <c r="AN22" i="10"/>
  <c r="P22" i="10"/>
  <c r="CJ328" i="10"/>
  <c r="CJ330" i="10" s="1"/>
  <c r="AE198" i="10"/>
  <c r="BL326" i="10"/>
  <c r="AE205" i="10"/>
  <c r="Y205" i="10"/>
  <c r="AY203" i="10"/>
  <c r="M182" i="10"/>
  <c r="DB104" i="10"/>
  <c r="AM207" i="10"/>
  <c r="AC200" i="10"/>
  <c r="BI199" i="10"/>
  <c r="BI198" i="10"/>
  <c r="BX330" i="10"/>
  <c r="DS328" i="10"/>
  <c r="DS330" i="10" s="1"/>
  <c r="CE328" i="10"/>
  <c r="CE330" i="10" s="1"/>
  <c r="DP303" i="10"/>
  <c r="BM335" i="47" s="1"/>
  <c r="CQ303" i="10"/>
  <c r="CD303" i="10"/>
  <c r="CD313" i="10" s="1"/>
  <c r="BR303" i="10"/>
  <c r="AW298" i="10"/>
  <c r="N297" i="10"/>
  <c r="F278" i="10"/>
  <c r="S276" i="10"/>
  <c r="BL272" i="10"/>
  <c r="AX270" i="10"/>
  <c r="G278" i="10"/>
  <c r="G12" i="10" s="1"/>
  <c r="X250" i="10"/>
  <c r="U250" i="10"/>
  <c r="AJ227" i="10"/>
  <c r="T227" i="10"/>
  <c r="BB224" i="10"/>
  <c r="T224" i="10"/>
  <c r="BB183" i="10"/>
  <c r="Y181" i="10"/>
  <c r="U179" i="10"/>
  <c r="S168" i="10"/>
  <c r="BF167" i="10"/>
  <c r="BM142" i="10"/>
  <c r="DD104" i="10"/>
  <c r="CY104" i="10"/>
  <c r="CI66" i="10"/>
  <c r="AM108" i="10"/>
  <c r="DC104" i="10"/>
  <c r="DA104" i="10"/>
  <c r="CX104" i="10"/>
  <c r="CV104" i="10"/>
  <c r="AW104" i="10"/>
  <c r="BD153" i="10"/>
  <c r="X128" i="10"/>
  <c r="BL126" i="10"/>
  <c r="X124" i="10"/>
  <c r="AH120" i="10"/>
  <c r="BQ120" i="10" s="1"/>
  <c r="BV120" i="10" s="1"/>
  <c r="CA120" i="10" s="1"/>
  <c r="CF120" i="10" s="1"/>
  <c r="CK120" i="10" s="1"/>
  <c r="CP120" i="10" s="1"/>
  <c r="CU120" i="10" s="1"/>
  <c r="CZ120" i="10" s="1"/>
  <c r="DE120" i="10" s="1"/>
  <c r="DJ120" i="10" s="1"/>
  <c r="DO120" i="10" s="1"/>
  <c r="DT120" i="10" s="1"/>
  <c r="DQ120" i="10" s="1"/>
  <c r="BH119" i="10"/>
  <c r="AJ116" i="10"/>
  <c r="BD114" i="10"/>
  <c r="BH58" i="10"/>
  <c r="CJ66" i="10"/>
  <c r="DR303" i="10"/>
  <c r="BO335" i="47" s="1"/>
  <c r="DM303" i="10"/>
  <c r="BJ335" i="47" s="1"/>
  <c r="CS303" i="10"/>
  <c r="CS313" i="10" s="1"/>
  <c r="CL303" i="10"/>
  <c r="CG303" i="10"/>
  <c r="CB303" i="10"/>
  <c r="BW303" i="10"/>
  <c r="BD300" i="10"/>
  <c r="BB300" i="10"/>
  <c r="P299" i="10"/>
  <c r="Q303" i="10"/>
  <c r="BO328" i="10"/>
  <c r="BO330" i="10" s="1"/>
  <c r="DK328" i="10"/>
  <c r="DK330" i="10" s="1"/>
  <c r="CN328" i="10"/>
  <c r="CN330" i="10" s="1"/>
  <c r="BW328" i="10"/>
  <c r="BW330" i="10" s="1"/>
  <c r="DP328" i="10"/>
  <c r="DP330" i="10" s="1"/>
  <c r="CQ328" i="10"/>
  <c r="CQ330" i="10" s="1"/>
  <c r="CB328" i="10"/>
  <c r="CB330" i="10" s="1"/>
  <c r="W326" i="10"/>
  <c r="W328" i="10" s="1"/>
  <c r="X326" i="10"/>
  <c r="X300" i="10"/>
  <c r="Z300" i="10"/>
  <c r="BB248" i="10"/>
  <c r="BD248" i="10"/>
  <c r="BZ278" i="10"/>
  <c r="AM206" i="10"/>
  <c r="AC206" i="10"/>
  <c r="S206" i="10"/>
  <c r="L213" i="10"/>
  <c r="AX143" i="10"/>
  <c r="AW106" i="10"/>
  <c r="AN106" i="10"/>
  <c r="AC79" i="10"/>
  <c r="Y272" i="10"/>
  <c r="BL271" i="10"/>
  <c r="AC260" i="10"/>
  <c r="BM259" i="10"/>
  <c r="AS257" i="10"/>
  <c r="AN257" i="10"/>
  <c r="AC244" i="10"/>
  <c r="AS243" i="10"/>
  <c r="N234" i="10"/>
  <c r="BH233" i="10"/>
  <c r="U232" i="10"/>
  <c r="AE228" i="10"/>
  <c r="S227" i="10"/>
  <c r="BG226" i="10"/>
  <c r="BC226" i="10"/>
  <c r="S224" i="10"/>
  <c r="AO206" i="10"/>
  <c r="AE206" i="10"/>
  <c r="U206" i="10"/>
  <c r="AY205" i="10"/>
  <c r="BG200" i="10"/>
  <c r="BG198" i="10"/>
  <c r="BD189" i="10"/>
  <c r="X182" i="10"/>
  <c r="AQ181" i="10"/>
  <c r="U180" i="10"/>
  <c r="AT165" i="10"/>
  <c r="AX157" i="10"/>
  <c r="P157" i="10"/>
  <c r="O156" i="10"/>
  <c r="AY155" i="10"/>
  <c r="AI149" i="10"/>
  <c r="AE147" i="10"/>
  <c r="Z147" i="10"/>
  <c r="Y146" i="10"/>
  <c r="Y144" i="10"/>
  <c r="AY143" i="10"/>
  <c r="AL136" i="10"/>
  <c r="BM106" i="10"/>
  <c r="AY106" i="10"/>
  <c r="AO106" i="10"/>
  <c r="DJ104" i="10"/>
  <c r="DH104" i="10" s="1"/>
  <c r="AC104" i="10"/>
  <c r="AJ101" i="10"/>
  <c r="AJ93" i="10"/>
  <c r="AT81" i="10"/>
  <c r="N81" i="10"/>
  <c r="AD79" i="10"/>
  <c r="AA66" i="10"/>
  <c r="BW66" i="10"/>
  <c r="AF54" i="10"/>
  <c r="AH51" i="10"/>
  <c r="BQ51" i="10" s="1"/>
  <c r="BV51" i="10" s="1"/>
  <c r="CA51" i="10" s="1"/>
  <c r="CF51" i="10" s="1"/>
  <c r="CK51" i="10" s="1"/>
  <c r="CP51" i="10" s="1"/>
  <c r="CU51" i="10" s="1"/>
  <c r="CZ51" i="10" s="1"/>
  <c r="DE51" i="10" s="1"/>
  <c r="DJ51" i="10" s="1"/>
  <c r="DO51" i="10" s="1"/>
  <c r="DT51" i="10" s="1"/>
  <c r="AD51" i="10"/>
  <c r="P51" i="10"/>
  <c r="BM45" i="10"/>
  <c r="T45" i="10"/>
  <c r="Y45" i="10"/>
  <c r="U45" i="10"/>
  <c r="CG311" i="10"/>
  <c r="N235" i="10"/>
  <c r="CD66" i="10"/>
  <c r="X61" i="10"/>
  <c r="BT311" i="10"/>
  <c r="BN306" i="10"/>
  <c r="Y273" i="10"/>
  <c r="BM261" i="10"/>
  <c r="AO260" i="10"/>
  <c r="BH258" i="10"/>
  <c r="BI257" i="10"/>
  <c r="T257" i="10"/>
  <c r="T235" i="10"/>
  <c r="P235" i="10"/>
  <c r="AY233" i="10"/>
  <c r="BI232" i="10"/>
  <c r="BI202" i="10"/>
  <c r="BM189" i="10"/>
  <c r="BB186" i="10"/>
  <c r="AX185" i="10"/>
  <c r="AH185" i="10"/>
  <c r="BQ185" i="10" s="1"/>
  <c r="BV185" i="10" s="1"/>
  <c r="CA185" i="10" s="1"/>
  <c r="CF185" i="10" s="1"/>
  <c r="CK185" i="10" s="1"/>
  <c r="CP185" i="10" s="1"/>
  <c r="CU185" i="10" s="1"/>
  <c r="CZ185" i="10" s="1"/>
  <c r="AQ179" i="10"/>
  <c r="AE179" i="10"/>
  <c r="AJ169" i="10"/>
  <c r="AE169" i="10"/>
  <c r="R167" i="10"/>
  <c r="Z154" i="10"/>
  <c r="BB153" i="10"/>
  <c r="BD152" i="10"/>
  <c r="Y114" i="10"/>
  <c r="AJ113" i="10"/>
  <c r="BM102" i="10"/>
  <c r="N100" i="10"/>
  <c r="AX99" i="10"/>
  <c r="P99" i="10"/>
  <c r="AJ97" i="10"/>
  <c r="BN85" i="10"/>
  <c r="U58" i="10"/>
  <c r="BL57" i="10"/>
  <c r="AK54" i="10"/>
  <c r="V54" i="10"/>
  <c r="N39" i="10"/>
  <c r="AE25" i="10"/>
  <c r="BG24" i="10"/>
  <c r="S24" i="10"/>
  <c r="BC309" i="10"/>
  <c r="AY309" i="10"/>
  <c r="AD307" i="10"/>
  <c r="T287" i="10"/>
  <c r="BN286" i="10"/>
  <c r="AN285" i="10"/>
  <c r="BL284" i="10"/>
  <c r="AR284" i="10"/>
  <c r="AR283" i="10"/>
  <c r="AC283" i="10"/>
  <c r="X283" i="10"/>
  <c r="AN281" i="10"/>
  <c r="AR269" i="10"/>
  <c r="Y241" i="10"/>
  <c r="O235" i="10"/>
  <c r="BG233" i="10"/>
  <c r="AY232" i="10"/>
  <c r="AX309" i="10"/>
  <c r="AC307" i="10"/>
  <c r="BM273" i="10"/>
  <c r="N273" i="10"/>
  <c r="AW270" i="10"/>
  <c r="AS269" i="10"/>
  <c r="AH269" i="10"/>
  <c r="BQ269" i="10" s="1"/>
  <c r="BV269" i="10" s="1"/>
  <c r="CA269" i="10" s="1"/>
  <c r="CF269" i="10" s="1"/>
  <c r="CK269" i="10" s="1"/>
  <c r="CP269" i="10" s="1"/>
  <c r="CU269" i="10" s="1"/>
  <c r="CZ269" i="10" s="1"/>
  <c r="DE269" i="10" s="1"/>
  <c r="DJ269" i="10" s="1"/>
  <c r="DO269" i="10" s="1"/>
  <c r="DT269" i="10" s="1"/>
  <c r="BL266" i="10"/>
  <c r="AN260" i="10"/>
  <c r="AW259" i="10"/>
  <c r="BH257" i="10"/>
  <c r="AC257" i="10"/>
  <c r="U242" i="10"/>
  <c r="BN241" i="10"/>
  <c r="AX241" i="10"/>
  <c r="Z241" i="10"/>
  <c r="BM240" i="10"/>
  <c r="AD239" i="10"/>
  <c r="CG213" i="10"/>
  <c r="CB213" i="10"/>
  <c r="BR213" i="10"/>
  <c r="CL213" i="10"/>
  <c r="BT213" i="10"/>
  <c r="X190" i="10"/>
  <c r="BL189" i="10"/>
  <c r="AH188" i="10"/>
  <c r="BQ188" i="10" s="1"/>
  <c r="BV188" i="10" s="1"/>
  <c r="CA188" i="10" s="1"/>
  <c r="CF188" i="10" s="1"/>
  <c r="CK188" i="10" s="1"/>
  <c r="CP188" i="10" s="1"/>
  <c r="CU188" i="10" s="1"/>
  <c r="CZ188" i="10" s="1"/>
  <c r="DE188" i="10" s="1"/>
  <c r="DJ188" i="10" s="1"/>
  <c r="DO188" i="10" s="1"/>
  <c r="DT188" i="10" s="1"/>
  <c r="AD187" i="10"/>
  <c r="N187" i="10"/>
  <c r="AC179" i="10"/>
  <c r="AS170" i="10"/>
  <c r="AJ170" i="10"/>
  <c r="BN169" i="10"/>
  <c r="AB169" i="10"/>
  <c r="AB167" i="10"/>
  <c r="T166" i="10"/>
  <c r="P165" i="10"/>
  <c r="BB162" i="10"/>
  <c r="AY158" i="10"/>
  <c r="BC157" i="10"/>
  <c r="BD155" i="10"/>
  <c r="AX155" i="10"/>
  <c r="O154" i="10"/>
  <c r="BN153" i="10"/>
  <c r="BC153" i="10"/>
  <c r="CC194" i="10"/>
  <c r="BF136" i="10"/>
  <c r="P128" i="10"/>
  <c r="U127" i="10"/>
  <c r="P127" i="10"/>
  <c r="BG125" i="10"/>
  <c r="U125" i="10"/>
  <c r="AJ124" i="10"/>
  <c r="BD117" i="10"/>
  <c r="Z117" i="10"/>
  <c r="BL116" i="10"/>
  <c r="AH116" i="10"/>
  <c r="BQ116" i="10" s="1"/>
  <c r="BV116" i="10" s="1"/>
  <c r="CA116" i="10" s="1"/>
  <c r="CF116" i="10" s="1"/>
  <c r="CK116" i="10" s="1"/>
  <c r="CP116" i="10" s="1"/>
  <c r="CU116" i="10" s="1"/>
  <c r="CZ116" i="10" s="1"/>
  <c r="DE116" i="10" s="1"/>
  <c r="DJ116" i="10" s="1"/>
  <c r="DO116" i="10" s="1"/>
  <c r="DT116" i="10" s="1"/>
  <c r="AD116" i="10"/>
  <c r="BD115" i="10"/>
  <c r="AT114" i="10"/>
  <c r="AR101" i="10"/>
  <c r="AH101" i="10"/>
  <c r="BQ101" i="10" s="1"/>
  <c r="BV101" i="10" s="1"/>
  <c r="CA101" i="10" s="1"/>
  <c r="CF101" i="10" s="1"/>
  <c r="CK101" i="10" s="1"/>
  <c r="CP101" i="10" s="1"/>
  <c r="CU101" i="10" s="1"/>
  <c r="CZ101" i="10" s="1"/>
  <c r="DE101" i="10" s="1"/>
  <c r="DJ101" i="10" s="1"/>
  <c r="DO101" i="10" s="1"/>
  <c r="DT101" i="10" s="1"/>
  <c r="N99" i="10"/>
  <c r="AR98" i="10"/>
  <c r="AT96" i="10"/>
  <c r="AO92" i="10"/>
  <c r="AI85" i="10"/>
  <c r="AZ66" i="10"/>
  <c r="AS60" i="10"/>
  <c r="BG58" i="10"/>
  <c r="CQ54" i="10"/>
  <c r="AS31" i="10"/>
  <c r="AV25" i="10"/>
  <c r="AR170" i="10"/>
  <c r="AI170" i="10"/>
  <c r="O165" i="10"/>
  <c r="BB157" i="10"/>
  <c r="BC155" i="10"/>
  <c r="N154" i="10"/>
  <c r="BB117" i="10"/>
  <c r="Y117" i="10"/>
  <c r="BB115" i="10"/>
  <c r="CG66" i="10"/>
  <c r="CB66" i="10"/>
  <c r="BT66" i="10"/>
  <c r="AR60" i="10"/>
  <c r="BN39" i="10"/>
  <c r="X33" i="10"/>
  <c r="U32" i="10"/>
  <c r="BH31" i="10"/>
  <c r="AT31" i="10"/>
  <c r="AW27" i="10"/>
  <c r="BN26" i="10"/>
  <c r="BH26" i="10"/>
  <c r="AR26" i="10"/>
  <c r="AO25" i="10"/>
  <c r="AO23" i="10"/>
  <c r="AI23" i="10"/>
  <c r="AY21" i="10"/>
  <c r="BW289" i="10"/>
  <c r="AQ189" i="47"/>
  <c r="AP189" i="47" s="1"/>
  <c r="AO189" i="47" s="1"/>
  <c r="AN189" i="47" s="1"/>
  <c r="AR189" i="47" s="1"/>
  <c r="AM176" i="47"/>
  <c r="AL176" i="47" s="1"/>
  <c r="AK176" i="47" s="1"/>
  <c r="AJ176" i="47" s="1"/>
  <c r="AJ190" i="47" s="1"/>
  <c r="BQ147" i="47"/>
  <c r="AC147" i="47"/>
  <c r="BB210" i="10"/>
  <c r="CN213" i="10"/>
  <c r="CD213" i="10"/>
  <c r="N208" i="10"/>
  <c r="Z208" i="10"/>
  <c r="N209" i="10"/>
  <c r="Z210" i="10"/>
  <c r="Z209" i="10"/>
  <c r="AE208" i="10"/>
  <c r="AS62" i="10"/>
  <c r="AG75" i="47"/>
  <c r="BE75" i="47"/>
  <c r="BE207" i="47" s="1"/>
  <c r="BL73" i="47"/>
  <c r="BD75" i="47"/>
  <c r="BD207" i="47" s="1"/>
  <c r="BO56" i="56"/>
  <c r="BN56" i="56"/>
  <c r="BL56" i="56"/>
  <c r="BK56" i="56"/>
  <c r="BJ56" i="56"/>
  <c r="BH56" i="56"/>
  <c r="BP55" i="56"/>
  <c r="BO55" i="56"/>
  <c r="BN55" i="56"/>
  <c r="BL55" i="56"/>
  <c r="BK55" i="56"/>
  <c r="BJ55" i="56"/>
  <c r="BH55" i="56"/>
  <c r="BQ81" i="47"/>
  <c r="CA39" i="56"/>
  <c r="BQ80" i="47"/>
  <c r="U206" i="4"/>
  <c r="AB174" i="4"/>
  <c r="AR155" i="4"/>
  <c r="AM155" i="4"/>
  <c r="AN107" i="4"/>
  <c r="AD107" i="4"/>
  <c r="Y107" i="4"/>
  <c r="AS106" i="4"/>
  <c r="AO106" i="4"/>
  <c r="AJ106" i="4"/>
  <c r="AE106" i="4"/>
  <c r="Z106" i="4"/>
  <c r="AK99" i="4"/>
  <c r="AA99" i="4"/>
  <c r="AA61" i="9"/>
  <c r="BL138" i="4"/>
  <c r="J30" i="4"/>
  <c r="J31" i="4" s="1"/>
  <c r="V15" i="4"/>
  <c r="V23" i="4" s="1"/>
  <c r="AS9" i="9"/>
  <c r="AS10" i="4"/>
  <c r="AN10" i="4"/>
  <c r="AN9" i="9"/>
  <c r="AN10" i="9" s="1"/>
  <c r="AI10" i="4"/>
  <c r="AI9" i="9"/>
  <c r="AD10" i="4"/>
  <c r="AD9" i="9"/>
  <c r="AD10" i="9" s="1"/>
  <c r="AN118" i="8"/>
  <c r="AN127" i="8"/>
  <c r="AI136" i="5"/>
  <c r="AI154" i="5"/>
  <c r="AI145" i="5"/>
  <c r="Y136" i="5"/>
  <c r="Y145" i="5"/>
  <c r="Y154" i="5"/>
  <c r="AB207" i="44"/>
  <c r="AB140" i="5" s="1"/>
  <c r="AB145" i="5" s="1"/>
  <c r="X193" i="44"/>
  <c r="AL109" i="44"/>
  <c r="AB182" i="5"/>
  <c r="AB184" i="5" s="1"/>
  <c r="AS108" i="5"/>
  <c r="AS112" i="5"/>
  <c r="AS51" i="5" s="1"/>
  <c r="AN112" i="5"/>
  <c r="AN51" i="5" s="1"/>
  <c r="AN108" i="5"/>
  <c r="AN120" i="5" s="1"/>
  <c r="AI108" i="5"/>
  <c r="AI114" i="5" s="1"/>
  <c r="AI112" i="5"/>
  <c r="AI51" i="5" s="1"/>
  <c r="AD108" i="5"/>
  <c r="AD112" i="5"/>
  <c r="AD51" i="5" s="1"/>
  <c r="AT23" i="5"/>
  <c r="AT18" i="4"/>
  <c r="AR216" i="4"/>
  <c r="AN216" i="4"/>
  <c r="AN206" i="4"/>
  <c r="T206" i="4"/>
  <c r="AN168" i="4"/>
  <c r="AE168" i="4"/>
  <c r="D159" i="4"/>
  <c r="X155" i="4"/>
  <c r="CN155" i="4"/>
  <c r="Z147" i="4"/>
  <c r="K147" i="4"/>
  <c r="AR107" i="4"/>
  <c r="W147" i="4"/>
  <c r="X107" i="4"/>
  <c r="R147" i="4"/>
  <c r="M147" i="4"/>
  <c r="H147" i="4"/>
  <c r="G146" i="4"/>
  <c r="AR106" i="4"/>
  <c r="AN106" i="4"/>
  <c r="AI106" i="4"/>
  <c r="AD106" i="4"/>
  <c r="Y106" i="4"/>
  <c r="CQ143" i="4"/>
  <c r="CL143" i="4"/>
  <c r="AE142" i="4"/>
  <c r="AE143" i="4" s="1"/>
  <c r="K142" i="4"/>
  <c r="K143" i="4" s="1"/>
  <c r="F142" i="4"/>
  <c r="F143" i="4" s="1"/>
  <c r="AT99" i="4"/>
  <c r="AO99" i="4"/>
  <c r="AE99" i="4"/>
  <c r="AE61" i="9"/>
  <c r="Z99" i="4"/>
  <c r="Z61" i="9"/>
  <c r="DP139" i="4"/>
  <c r="DH139" i="4"/>
  <c r="CV139" i="4"/>
  <c r="CV155" i="4" s="1"/>
  <c r="AO138" i="4"/>
  <c r="AK138" i="4"/>
  <c r="AF138" i="4"/>
  <c r="Q138" i="4"/>
  <c r="L138" i="4"/>
  <c r="G138" i="4"/>
  <c r="AJ137" i="4"/>
  <c r="L137" i="4"/>
  <c r="AQ47" i="4"/>
  <c r="AR38" i="9"/>
  <c r="O35" i="4"/>
  <c r="O31" i="4"/>
  <c r="X118" i="8"/>
  <c r="X127" i="8"/>
  <c r="X137" i="8"/>
  <c r="AC154" i="5"/>
  <c r="AC145" i="5"/>
  <c r="AQ179" i="44"/>
  <c r="AQ137" i="5" s="1"/>
  <c r="AB131" i="44"/>
  <c r="AC137" i="44"/>
  <c r="AC205" i="5" s="1"/>
  <c r="AB205" i="5" s="1"/>
  <c r="AE187" i="8"/>
  <c r="G252" i="4"/>
  <c r="AP225" i="4"/>
  <c r="U222" i="4"/>
  <c r="DO15" i="3"/>
  <c r="K216" i="4"/>
  <c r="AC179" i="4"/>
  <c r="I179" i="4"/>
  <c r="Z181" i="4"/>
  <c r="K168" i="4"/>
  <c r="F168" i="4"/>
  <c r="CR155" i="4"/>
  <c r="AP107" i="4"/>
  <c r="AK107" i="4"/>
  <c r="AF107" i="4"/>
  <c r="V153" i="4"/>
  <c r="AQ106" i="4"/>
  <c r="AH106" i="4"/>
  <c r="AC106" i="4"/>
  <c r="X106" i="4"/>
  <c r="AS99" i="4"/>
  <c r="AI99" i="4"/>
  <c r="AI61" i="9"/>
  <c r="AD99" i="4"/>
  <c r="AD61" i="9"/>
  <c r="Y99" i="4"/>
  <c r="Y61" i="9"/>
  <c r="AU12" i="9"/>
  <c r="AU15" i="4"/>
  <c r="AU23" i="4" s="1"/>
  <c r="AJ15" i="4"/>
  <c r="AJ23" i="4" s="1"/>
  <c r="AE15" i="4"/>
  <c r="AE23" i="4" s="1"/>
  <c r="AB12" i="4"/>
  <c r="AK136" i="5"/>
  <c r="AK138" i="5" s="1"/>
  <c r="AK154" i="5"/>
  <c r="AK145" i="5"/>
  <c r="Z193" i="44"/>
  <c r="AW45" i="66"/>
  <c r="AV45" i="66" s="1"/>
  <c r="AU45" i="66" s="1"/>
  <c r="AT45" i="66" s="1"/>
  <c r="AS45" i="66" s="1"/>
  <c r="AZ10" i="44"/>
  <c r="BA110" i="8"/>
  <c r="BE8" i="44"/>
  <c r="BF48" i="8"/>
  <c r="BF51" i="5"/>
  <c r="AQ182" i="5"/>
  <c r="AQ184" i="5" s="1"/>
  <c r="AQ239" i="5"/>
  <c r="AL182" i="5"/>
  <c r="AL239" i="5"/>
  <c r="AG182" i="5"/>
  <c r="AG184" i="5" s="1"/>
  <c r="AG239" i="5"/>
  <c r="AK120" i="5"/>
  <c r="AK122" i="5"/>
  <c r="F252" i="4"/>
  <c r="AN222" i="4"/>
  <c r="AA222" i="4"/>
  <c r="T222" i="4"/>
  <c r="N204" i="4"/>
  <c r="N222" i="4" s="1"/>
  <c r="N225" i="4" s="1"/>
  <c r="G206" i="4"/>
  <c r="AL194" i="4"/>
  <c r="AH187" i="4"/>
  <c r="AP187" i="4"/>
  <c r="AM168" i="4"/>
  <c r="AD168" i="4"/>
  <c r="DU153" i="4"/>
  <c r="DP153" i="4"/>
  <c r="DH153" i="4"/>
  <c r="DH155" i="4" s="1"/>
  <c r="CQ153" i="4"/>
  <c r="DN146" i="4"/>
  <c r="AE146" i="4"/>
  <c r="U147" i="4"/>
  <c r="K146" i="4"/>
  <c r="AT106" i="4"/>
  <c r="AP106" i="4"/>
  <c r="AK106" i="4"/>
  <c r="AF106" i="4"/>
  <c r="AA106" i="4"/>
  <c r="W145" i="4"/>
  <c r="W106" i="4" s="1"/>
  <c r="DP143" i="4"/>
  <c r="CH143" i="4"/>
  <c r="DS142" i="4"/>
  <c r="DS143" i="4" s="1"/>
  <c r="AG142" i="4"/>
  <c r="CY142" i="4"/>
  <c r="CY143" i="4" s="1"/>
  <c r="R142" i="4"/>
  <c r="M142" i="4"/>
  <c r="AM99" i="4"/>
  <c r="AM61" i="9"/>
  <c r="AM62" i="9" s="1"/>
  <c r="AH99" i="4"/>
  <c r="AH61" i="9"/>
  <c r="AH62" i="9" s="1"/>
  <c r="AC99" i="4"/>
  <c r="AC61" i="9"/>
  <c r="DW139" i="4"/>
  <c r="DL139" i="4"/>
  <c r="DL155" i="4" s="1"/>
  <c r="DC139" i="4"/>
  <c r="DC155" i="4" s="1"/>
  <c r="DS137" i="4"/>
  <c r="W47" i="4"/>
  <c r="W249" i="4" s="1"/>
  <c r="X38" i="9"/>
  <c r="M27" i="4"/>
  <c r="N28" i="4"/>
  <c r="AO15" i="4"/>
  <c r="AO23" i="4" s="1"/>
  <c r="AO136" i="5"/>
  <c r="AO138" i="5" s="1"/>
  <c r="AO145" i="5"/>
  <c r="AQ190" i="44"/>
  <c r="AG190" i="44"/>
  <c r="AB192" i="44"/>
  <c r="AB188" i="44"/>
  <c r="AI196" i="8"/>
  <c r="AI188" i="8" s="1"/>
  <c r="Y22" i="8"/>
  <c r="Y29" i="8" s="1"/>
  <c r="Y33" i="8" s="1"/>
  <c r="Y36" i="8" s="1"/>
  <c r="Y155" i="8" s="1"/>
  <c r="Y161" i="8" s="1"/>
  <c r="Y19" i="4"/>
  <c r="AG223" i="5"/>
  <c r="AJ223" i="5"/>
  <c r="AR137" i="8"/>
  <c r="AN137" i="8"/>
  <c r="AI137" i="8"/>
  <c r="AL204" i="8"/>
  <c r="AP204" i="8"/>
  <c r="AL27" i="8"/>
  <c r="AN204" i="8"/>
  <c r="AE204" i="8"/>
  <c r="AB27" i="8"/>
  <c r="AB24" i="9" s="1"/>
  <c r="AB204" i="8"/>
  <c r="AF204" i="8"/>
  <c r="AS19" i="45"/>
  <c r="AX19" i="45" s="1"/>
  <c r="AM19" i="45"/>
  <c r="AM21" i="45" s="1"/>
  <c r="AK182" i="47"/>
  <c r="AJ182" i="47" s="1"/>
  <c r="AI182" i="47" s="1"/>
  <c r="AL189" i="47"/>
  <c r="AG47" i="4"/>
  <c r="AH38" i="9"/>
  <c r="AM19" i="9"/>
  <c r="AF15" i="4"/>
  <c r="AF23" i="4" s="1"/>
  <c r="AB13" i="9"/>
  <c r="AB57" i="9" s="1"/>
  <c r="AS15" i="4"/>
  <c r="AS23" i="4" s="1"/>
  <c r="AS12" i="9"/>
  <c r="BC12" i="9" s="1"/>
  <c r="BH12" i="9" s="1"/>
  <c r="BM12" i="9" s="1"/>
  <c r="W12" i="4"/>
  <c r="X12" i="9"/>
  <c r="AR9" i="9"/>
  <c r="AR10" i="9" s="1"/>
  <c r="AM120" i="8"/>
  <c r="AM136" i="5"/>
  <c r="AM145" i="5"/>
  <c r="AM193" i="44"/>
  <c r="AD193" i="44"/>
  <c r="AO193" i="44"/>
  <c r="AJ193" i="44"/>
  <c r="AH193" i="44"/>
  <c r="AQ197" i="44"/>
  <c r="AL184" i="44"/>
  <c r="AL119" i="8" s="1"/>
  <c r="AG195" i="44"/>
  <c r="AC136" i="5"/>
  <c r="AL212" i="5"/>
  <c r="AM137" i="44"/>
  <c r="AM205" i="5" s="1"/>
  <c r="AL205" i="5" s="1"/>
  <c r="BE116" i="5"/>
  <c r="BB167" i="8"/>
  <c r="AO93" i="8"/>
  <c r="AO48" i="8" s="1"/>
  <c r="AO91" i="8"/>
  <c r="AO96" i="8" s="1"/>
  <c r="AJ96" i="8"/>
  <c r="AJ94" i="8"/>
  <c r="AE93" i="8"/>
  <c r="AE48" i="8" s="1"/>
  <c r="AE91" i="8"/>
  <c r="AE94" i="8" s="1"/>
  <c r="AC81" i="8"/>
  <c r="AC96" i="8"/>
  <c r="AC104" i="8"/>
  <c r="AY57" i="8"/>
  <c r="AX57" i="8" s="1"/>
  <c r="AX113" i="8" s="1"/>
  <c r="AX112" i="8" s="1"/>
  <c r="AZ113" i="8"/>
  <c r="BN98" i="8"/>
  <c r="BI98" i="8"/>
  <c r="BD98" i="8"/>
  <c r="AK30" i="4"/>
  <c r="AF30" i="4"/>
  <c r="AA30" i="4"/>
  <c r="AK18" i="4"/>
  <c r="AT57" i="9"/>
  <c r="AU118" i="8"/>
  <c r="AU120" i="8" s="1"/>
  <c r="AV126" i="8" s="1"/>
  <c r="AY126" i="8" s="1"/>
  <c r="AF136" i="5"/>
  <c r="AF145" i="5"/>
  <c r="AA136" i="5"/>
  <c r="AA154" i="5"/>
  <c r="AA145" i="5"/>
  <c r="AL204" i="5"/>
  <c r="AM206" i="5"/>
  <c r="AL206" i="5" s="1"/>
  <c r="BG74" i="44"/>
  <c r="BG78" i="44" s="1"/>
  <c r="BG75" i="44"/>
  <c r="BG161" i="5"/>
  <c r="E209" i="10" s="1"/>
  <c r="Z165" i="8"/>
  <c r="BM132" i="8"/>
  <c r="AG220" i="8"/>
  <c r="AG163" i="8"/>
  <c r="AB220" i="8"/>
  <c r="AB163" i="8"/>
  <c r="AG19" i="8"/>
  <c r="AG136" i="8" s="1"/>
  <c r="AF136" i="8"/>
  <c r="AF137" i="8" s="1"/>
  <c r="AT38" i="45"/>
  <c r="AT81" i="4" s="1"/>
  <c r="AT78" i="45"/>
  <c r="AS295" i="47"/>
  <c r="AN290" i="47"/>
  <c r="AP15" i="4"/>
  <c r="AP23" i="4" s="1"/>
  <c r="AP30" i="4" s="1"/>
  <c r="AP31" i="4" s="1"/>
  <c r="AQ57" i="9"/>
  <c r="BD12" i="9"/>
  <c r="AT15" i="9"/>
  <c r="AT17" i="9" s="1"/>
  <c r="AT22" i="4" s="1"/>
  <c r="AP15" i="9"/>
  <c r="AP17" i="9" s="1"/>
  <c r="AP22" i="4" s="1"/>
  <c r="AU10" i="4"/>
  <c r="AH10" i="4"/>
  <c r="AA10" i="4"/>
  <c r="AT10" i="9"/>
  <c r="AE120" i="8"/>
  <c r="AE136" i="5"/>
  <c r="AE154" i="5"/>
  <c r="AE196" i="8"/>
  <c r="AE188" i="8" s="1"/>
  <c r="AA142" i="44"/>
  <c r="AA186" i="8" s="1"/>
  <c r="AA187" i="8" s="1"/>
  <c r="AP142" i="44"/>
  <c r="AP186" i="8" s="1"/>
  <c r="AP187" i="8" s="1"/>
  <c r="AK142" i="44"/>
  <c r="AK186" i="8" s="1"/>
  <c r="AK187" i="8" s="1"/>
  <c r="X142" i="44"/>
  <c r="X186" i="8" s="1"/>
  <c r="X187" i="8" s="1"/>
  <c r="AJ137" i="44"/>
  <c r="AJ205" i="5" s="1"/>
  <c r="AJ206" i="5" s="1"/>
  <c r="AQ185" i="8"/>
  <c r="AQ204" i="5"/>
  <c r="AM179" i="8"/>
  <c r="AL183" i="8"/>
  <c r="AL179" i="8" s="1"/>
  <c r="BC132" i="8"/>
  <c r="BG163" i="8"/>
  <c r="AO154" i="5"/>
  <c r="AO204" i="8"/>
  <c r="AD204" i="8"/>
  <c r="AD137" i="8"/>
  <c r="Z137" i="8"/>
  <c r="AB20" i="8"/>
  <c r="AC22" i="8"/>
  <c r="BT51" i="45"/>
  <c r="BB67" i="45" s="1"/>
  <c r="X33" i="44"/>
  <c r="X35" i="44" s="1"/>
  <c r="AI184" i="5"/>
  <c r="AA184" i="5"/>
  <c r="AR176" i="5"/>
  <c r="AM175" i="5"/>
  <c r="AI96" i="5"/>
  <c r="BP73" i="5"/>
  <c r="BP128" i="5" s="1"/>
  <c r="BD73" i="5"/>
  <c r="BD128" i="5" s="1"/>
  <c r="BN51" i="5"/>
  <c r="BJ51" i="5"/>
  <c r="AC23" i="5"/>
  <c r="AC221" i="5" s="1"/>
  <c r="AC234" i="5" s="1"/>
  <c r="AS23" i="5"/>
  <c r="AN23" i="5"/>
  <c r="AI23" i="5"/>
  <c r="AI24" i="5" s="1"/>
  <c r="Y23" i="5"/>
  <c r="X215" i="8"/>
  <c r="AY137" i="8"/>
  <c r="AZ137" i="8" s="1"/>
  <c r="BA137" i="8" s="1"/>
  <c r="BC137" i="8" s="1"/>
  <c r="BD137" i="8" s="1"/>
  <c r="BE137" i="8" s="1"/>
  <c r="BF137" i="8" s="1"/>
  <c r="BH137" i="8" s="1"/>
  <c r="BI137" i="8" s="1"/>
  <c r="BJ137" i="8" s="1"/>
  <c r="BK137" i="8" s="1"/>
  <c r="BM137" i="8" s="1"/>
  <c r="BN137" i="8" s="1"/>
  <c r="BO137" i="8" s="1"/>
  <c r="BP137" i="8" s="1"/>
  <c r="AM137" i="8"/>
  <c r="AH137" i="8"/>
  <c r="BL132" i="8"/>
  <c r="AU110" i="8"/>
  <c r="AU56" i="8" s="1"/>
  <c r="AK110" i="8"/>
  <c r="AK56" i="8" s="1"/>
  <c r="AG110" i="8"/>
  <c r="AG56" i="8" s="1"/>
  <c r="X81" i="8"/>
  <c r="BO56" i="8"/>
  <c r="BO110" i="8" s="1"/>
  <c r="BK56" i="8"/>
  <c r="BK110" i="8" s="1"/>
  <c r="BC56" i="8"/>
  <c r="BC110" i="8" s="1"/>
  <c r="BN48" i="8"/>
  <c r="BJ48" i="8"/>
  <c r="AP29" i="8"/>
  <c r="AH15" i="8"/>
  <c r="AH17" i="8" s="1"/>
  <c r="AR37" i="45"/>
  <c r="AR38" i="45"/>
  <c r="AR81" i="4" s="1"/>
  <c r="AJ37" i="45"/>
  <c r="AJ38" i="45"/>
  <c r="AJ81" i="4" s="1"/>
  <c r="AB37" i="45"/>
  <c r="X37" i="45"/>
  <c r="X38" i="45"/>
  <c r="X81" i="4" s="1"/>
  <c r="X12" i="3" s="1"/>
  <c r="AJ14" i="45"/>
  <c r="AI15" i="45"/>
  <c r="AI17" i="45" s="1"/>
  <c r="AI20" i="4" s="1"/>
  <c r="AI14" i="9"/>
  <c r="AF13" i="9"/>
  <c r="AF57" i="9" s="1"/>
  <c r="AF59" i="45"/>
  <c r="AF58" i="45" s="1"/>
  <c r="AF15" i="45"/>
  <c r="AF17" i="45" s="1"/>
  <c r="AF20" i="4" s="1"/>
  <c r="AA13" i="9"/>
  <c r="AA57" i="9" s="1"/>
  <c r="AA59" i="45"/>
  <c r="AA58" i="45" s="1"/>
  <c r="AA15" i="45"/>
  <c r="AA17" i="45" s="1"/>
  <c r="AA20" i="4" s="1"/>
  <c r="BY266" i="47"/>
  <c r="BX270" i="47"/>
  <c r="BH190" i="5"/>
  <c r="BH124" i="4" s="1"/>
  <c r="AM154" i="5"/>
  <c r="AO184" i="5"/>
  <c r="AJ184" i="5"/>
  <c r="AH239" i="5"/>
  <c r="AE122" i="5"/>
  <c r="Y96" i="5"/>
  <c r="BO73" i="5"/>
  <c r="BO128" i="5" s="1"/>
  <c r="BK73" i="5"/>
  <c r="BK128" i="5" s="1"/>
  <c r="BM51" i="5"/>
  <c r="BI51" i="5"/>
  <c r="AM23" i="5"/>
  <c r="AH23" i="5"/>
  <c r="AM221" i="8"/>
  <c r="AH221" i="8"/>
  <c r="AP137" i="8"/>
  <c r="AL113" i="8"/>
  <c r="AL57" i="8" s="1"/>
  <c r="AH113" i="8"/>
  <c r="AH57" i="8" s="1"/>
  <c r="AF110" i="8"/>
  <c r="AF56" i="8" s="1"/>
  <c r="AR81" i="8"/>
  <c r="AA76" i="8"/>
  <c r="BN56" i="8"/>
  <c r="BN110" i="8" s="1"/>
  <c r="BJ56" i="8"/>
  <c r="BJ110" i="8" s="1"/>
  <c r="BF56" i="8"/>
  <c r="BF110" i="8" s="1"/>
  <c r="BI48" i="8"/>
  <c r="AI10" i="45"/>
  <c r="AJ9" i="45"/>
  <c r="AK9" i="45" s="1"/>
  <c r="AB177" i="47"/>
  <c r="AA177" i="47" s="1"/>
  <c r="Z177" i="47" s="1"/>
  <c r="Y177" i="47" s="1"/>
  <c r="AH177" i="47"/>
  <c r="AH191" i="47" s="1"/>
  <c r="AG191" i="47" s="1"/>
  <c r="AF191" i="47" s="1"/>
  <c r="AE191" i="47" s="1"/>
  <c r="AD191" i="47" s="1"/>
  <c r="AC191" i="47"/>
  <c r="AB191" i="47" s="1"/>
  <c r="AA191" i="47" s="1"/>
  <c r="Z191" i="47" s="1"/>
  <c r="Y191" i="47" s="1"/>
  <c r="AR59" i="44"/>
  <c r="AM59" i="44"/>
  <c r="X59" i="44"/>
  <c r="X51" i="44"/>
  <c r="AM241" i="5"/>
  <c r="AD128" i="5"/>
  <c r="AD73" i="5" s="1"/>
  <c r="AD120" i="5"/>
  <c r="AK90" i="5"/>
  <c r="BN73" i="5"/>
  <c r="BN128" i="5" s="1"/>
  <c r="BJ73" i="5"/>
  <c r="BJ128" i="5" s="1"/>
  <c r="BF73" i="5"/>
  <c r="BF128" i="5" s="1"/>
  <c r="BP51" i="5"/>
  <c r="BH51" i="5"/>
  <c r="AO23" i="5"/>
  <c r="AJ23" i="5"/>
  <c r="AJ24" i="5" s="1"/>
  <c r="AD23" i="5"/>
  <c r="AD24" i="5" s="1"/>
  <c r="AR222" i="8"/>
  <c r="AO165" i="8"/>
  <c r="AJ165" i="8"/>
  <c r="AJ137" i="8"/>
  <c r="AD165" i="8"/>
  <c r="AH102" i="8"/>
  <c r="AL89" i="8"/>
  <c r="AP102" i="8"/>
  <c r="AI79" i="8"/>
  <c r="BI56" i="8"/>
  <c r="BI110" i="8" s="1"/>
  <c r="BE56" i="8"/>
  <c r="BE110" i="8" s="1"/>
  <c r="BP48" i="8"/>
  <c r="AY34" i="8"/>
  <c r="AT34" i="9"/>
  <c r="AN22" i="8"/>
  <c r="AI22" i="8"/>
  <c r="AB15" i="8"/>
  <c r="AB17" i="8" s="1"/>
  <c r="AB19" i="4" s="1"/>
  <c r="AB104" i="8"/>
  <c r="AG104" i="8"/>
  <c r="AL32" i="45"/>
  <c r="AL37" i="45"/>
  <c r="AD350" i="47"/>
  <c r="Y350" i="47"/>
  <c r="AK323" i="47"/>
  <c r="AJ348" i="47"/>
  <c r="AJ61" i="9" s="1"/>
  <c r="BC236" i="47"/>
  <c r="BG320" i="47"/>
  <c r="AA231" i="47"/>
  <c r="Y38" i="45"/>
  <c r="Y81" i="4" s="1"/>
  <c r="AD59" i="45"/>
  <c r="AD58" i="45" s="1"/>
  <c r="AD13" i="9"/>
  <c r="AD57" i="9" s="1"/>
  <c r="AD15" i="45"/>
  <c r="AD17" i="45" s="1"/>
  <c r="AD20" i="4" s="1"/>
  <c r="Y59" i="45"/>
  <c r="Y58" i="45" s="1"/>
  <c r="Y13" i="9"/>
  <c r="Y15" i="45"/>
  <c r="Y17" i="45" s="1"/>
  <c r="Y20" i="4" s="1"/>
  <c r="AT318" i="47"/>
  <c r="AK318" i="47"/>
  <c r="AA350" i="47"/>
  <c r="BN230" i="47"/>
  <c r="AS230" i="47"/>
  <c r="Y230" i="47"/>
  <c r="Y231" i="47" s="1"/>
  <c r="AC190" i="47"/>
  <c r="AB190" i="47" s="1"/>
  <c r="AA190" i="47" s="1"/>
  <c r="Z190" i="47" s="1"/>
  <c r="Y190" i="47" s="1"/>
  <c r="AO147" i="47"/>
  <c r="BN135" i="47"/>
  <c r="BH135" i="47"/>
  <c r="BO75" i="47"/>
  <c r="AZ75" i="47"/>
  <c r="AZ207" i="47" s="1"/>
  <c r="AU75" i="47"/>
  <c r="AU207" i="47" s="1"/>
  <c r="AK75" i="47"/>
  <c r="AK207" i="47" s="1"/>
  <c r="AH74" i="47"/>
  <c r="AA75" i="47"/>
  <c r="BP75" i="47"/>
  <c r="BH75" i="47"/>
  <c r="AS75" i="47"/>
  <c r="AS207" i="47" s="1"/>
  <c r="AN75" i="47"/>
  <c r="AN207" i="47" s="1"/>
  <c r="Y75" i="47"/>
  <c r="BG58" i="47"/>
  <c r="AT24" i="9"/>
  <c r="AM27" i="47"/>
  <c r="AM24" i="9" s="1"/>
  <c r="AI24" i="9"/>
  <c r="AD24" i="9"/>
  <c r="Y24" i="9"/>
  <c r="AO38" i="45"/>
  <c r="AO81" i="4" s="1"/>
  <c r="AU38" i="45"/>
  <c r="AU81" i="4" s="1"/>
  <c r="AP38" i="45"/>
  <c r="AP81" i="4" s="1"/>
  <c r="AH38" i="45"/>
  <c r="AH81" i="4" s="1"/>
  <c r="AC38" i="45"/>
  <c r="AC81" i="4" s="1"/>
  <c r="AE15" i="45"/>
  <c r="AE17" i="45" s="1"/>
  <c r="AE20" i="4" s="1"/>
  <c r="AJ350" i="47"/>
  <c r="AR277" i="47"/>
  <c r="AS277" i="47" s="1"/>
  <c r="AT277" i="47" s="1"/>
  <c r="BQ230" i="47"/>
  <c r="BM230" i="47"/>
  <c r="BC230" i="47"/>
  <c r="BQ135" i="47"/>
  <c r="AH70" i="47"/>
  <c r="AH135" i="47" s="1"/>
  <c r="AZ34" i="47"/>
  <c r="AU34" i="9"/>
  <c r="AS24" i="9"/>
  <c r="AH24" i="9"/>
  <c r="AC24" i="9"/>
  <c r="X24" i="9"/>
  <c r="AN24" i="9"/>
  <c r="AJ22" i="47"/>
  <c r="BC20" i="47"/>
  <c r="AN22" i="47"/>
  <c r="AB10" i="47"/>
  <c r="DL328" i="10"/>
  <c r="DL330" i="10" s="1"/>
  <c r="CM328" i="10"/>
  <c r="CM330" i="10" s="1"/>
  <c r="BS328" i="10"/>
  <c r="BS330" i="10" s="1"/>
  <c r="AF24" i="9"/>
  <c r="AA24" i="9"/>
  <c r="AH401" i="47"/>
  <c r="BG281" i="10"/>
  <c r="BH281" i="10"/>
  <c r="CB278" i="10"/>
  <c r="CB291" i="10" s="1"/>
  <c r="BR278" i="10"/>
  <c r="AV274" i="10"/>
  <c r="AW274" i="10"/>
  <c r="R258" i="10"/>
  <c r="U258" i="10"/>
  <c r="Z253" i="10"/>
  <c r="Y253" i="10"/>
  <c r="Z251" i="10"/>
  <c r="Y251" i="10"/>
  <c r="AM244" i="10"/>
  <c r="AO244" i="10"/>
  <c r="AW231" i="10"/>
  <c r="AY231" i="10"/>
  <c r="AO37" i="45"/>
  <c r="AJ13" i="45"/>
  <c r="AI13" i="9"/>
  <c r="AI57" i="9" s="1"/>
  <c r="AB10" i="45"/>
  <c r="BO230" i="47"/>
  <c r="AN230" i="47"/>
  <c r="BO135" i="47"/>
  <c r="AB231" i="47"/>
  <c r="BB66" i="47"/>
  <c r="AU24" i="9"/>
  <c r="AO24" i="9"/>
  <c r="AE24" i="9"/>
  <c r="Z24" i="9"/>
  <c r="AM10" i="47"/>
  <c r="DS303" i="10"/>
  <c r="BP335" i="47" s="1"/>
  <c r="DN303" i="10"/>
  <c r="BK335" i="47" s="1"/>
  <c r="CT303" i="10"/>
  <c r="CO303" i="10"/>
  <c r="CJ303" i="10"/>
  <c r="CE303" i="10"/>
  <c r="BZ303" i="10"/>
  <c r="BZ313" i="10" s="1"/>
  <c r="BU303" i="10"/>
  <c r="AN299" i="10"/>
  <c r="AN303" i="10" s="1"/>
  <c r="AP329" i="47" s="1"/>
  <c r="AP353" i="47" s="1"/>
  <c r="AP303" i="10"/>
  <c r="AR329" i="47" s="1"/>
  <c r="AR353" i="47" s="1"/>
  <c r="BL297" i="10"/>
  <c r="BO303" i="10"/>
  <c r="BQ329" i="47" s="1"/>
  <c r="BQ353" i="47" s="1"/>
  <c r="BQ359" i="47" s="1"/>
  <c r="AJ307" i="10"/>
  <c r="AJ311" i="10" s="1"/>
  <c r="AL328" i="47" s="1"/>
  <c r="AL352" i="47" s="1"/>
  <c r="AH307" i="10"/>
  <c r="BQ307" i="10" s="1"/>
  <c r="BV307" i="10" s="1"/>
  <c r="CA307" i="10" s="1"/>
  <c r="CF307" i="10" s="1"/>
  <c r="CK307" i="10" s="1"/>
  <c r="CP307" i="10" s="1"/>
  <c r="CU307" i="10" s="1"/>
  <c r="CZ307" i="10" s="1"/>
  <c r="DE307" i="10" s="1"/>
  <c r="AI307" i="10"/>
  <c r="BD298" i="10"/>
  <c r="BE303" i="10"/>
  <c r="BG329" i="47" s="1"/>
  <c r="BG353" i="47" s="1"/>
  <c r="BB298" i="10"/>
  <c r="W284" i="10"/>
  <c r="Z284" i="10"/>
  <c r="AL251" i="10"/>
  <c r="AO251" i="10"/>
  <c r="AG250" i="10"/>
  <c r="AJ250" i="10"/>
  <c r="AG234" i="10"/>
  <c r="AI234" i="10"/>
  <c r="AJ234" i="10"/>
  <c r="BM226" i="10"/>
  <c r="BO278" i="10"/>
  <c r="BQ143" i="8" s="1"/>
  <c r="BQ168" i="8" s="1"/>
  <c r="BQ174" i="8" s="1"/>
  <c r="BY213" i="10"/>
  <c r="BK206" i="10"/>
  <c r="BM206" i="10"/>
  <c r="AB204" i="10"/>
  <c r="AE204" i="10"/>
  <c r="M203" i="10"/>
  <c r="Q213" i="10"/>
  <c r="BH201" i="10"/>
  <c r="BI201" i="10"/>
  <c r="W197" i="10"/>
  <c r="AA213" i="10"/>
  <c r="AC161" i="5" s="1"/>
  <c r="AC186" i="5" s="1"/>
  <c r="AG183" i="10"/>
  <c r="AJ183" i="10"/>
  <c r="BL58" i="47"/>
  <c r="AM52" i="47"/>
  <c r="AQ37" i="47"/>
  <c r="AP24" i="9"/>
  <c r="AA289" i="10"/>
  <c r="AC142" i="8" s="1"/>
  <c r="AC167" i="8" s="1"/>
  <c r="AJ253" i="10"/>
  <c r="AG253" i="10"/>
  <c r="AG252" i="10"/>
  <c r="AJ252" i="10"/>
  <c r="BF249" i="10"/>
  <c r="BI249" i="10"/>
  <c r="AL249" i="10"/>
  <c r="AO249" i="10"/>
  <c r="AE246" i="10"/>
  <c r="AC246" i="10"/>
  <c r="AC226" i="10"/>
  <c r="AE226" i="10"/>
  <c r="CD278" i="10"/>
  <c r="BT278" i="10"/>
  <c r="AV209" i="10"/>
  <c r="AW209" i="10"/>
  <c r="AX209" i="10"/>
  <c r="T207" i="10"/>
  <c r="S207" i="10"/>
  <c r="AQ204" i="10"/>
  <c r="AS204" i="10"/>
  <c r="AG198" i="10"/>
  <c r="AK213" i="10"/>
  <c r="U198" i="10"/>
  <c r="V213" i="10"/>
  <c r="X161" i="5" s="1"/>
  <c r="X186" i="5" s="1"/>
  <c r="AN197" i="10"/>
  <c r="AP213" i="10"/>
  <c r="AM197" i="10"/>
  <c r="CD194" i="10"/>
  <c r="BY194" i="10"/>
  <c r="BT194" i="10"/>
  <c r="BF192" i="10"/>
  <c r="BG192" i="10"/>
  <c r="BH192" i="10"/>
  <c r="R192" i="10"/>
  <c r="S192" i="10"/>
  <c r="T192" i="10"/>
  <c r="W185" i="10"/>
  <c r="X185" i="10"/>
  <c r="Y185" i="10"/>
  <c r="CG194" i="10"/>
  <c r="M158" i="10"/>
  <c r="N158" i="10"/>
  <c r="O158" i="10"/>
  <c r="BA156" i="10"/>
  <c r="BD156" i="10"/>
  <c r="BM155" i="10"/>
  <c r="BN155" i="10"/>
  <c r="AC152" i="10"/>
  <c r="AD152" i="10"/>
  <c r="AE152" i="10"/>
  <c r="AQ143" i="10"/>
  <c r="AS143" i="10"/>
  <c r="AT143" i="10"/>
  <c r="BX194" i="10"/>
  <c r="BS194" i="10"/>
  <c r="CT311" i="10"/>
  <c r="AV308" i="10"/>
  <c r="AW308" i="10"/>
  <c r="AX308" i="10"/>
  <c r="P307" i="10"/>
  <c r="N307" i="10"/>
  <c r="BL300" i="10"/>
  <c r="BN300" i="10"/>
  <c r="CG289" i="10"/>
  <c r="AI283" i="10"/>
  <c r="AI289" i="10" s="1"/>
  <c r="AK142" i="8" s="1"/>
  <c r="AK167" i="8" s="1"/>
  <c r="AK289" i="10"/>
  <c r="AM142" i="8" s="1"/>
  <c r="AM167" i="8" s="1"/>
  <c r="AQ267" i="10"/>
  <c r="AR267" i="10"/>
  <c r="AS267" i="10"/>
  <c r="N250" i="10"/>
  <c r="P250" i="10"/>
  <c r="CJ278" i="10"/>
  <c r="AL228" i="10"/>
  <c r="AO228" i="10"/>
  <c r="BI224" i="10"/>
  <c r="BH224" i="10"/>
  <c r="AF213" i="10"/>
  <c r="AR211" i="10"/>
  <c r="AT211" i="10"/>
  <c r="AV207" i="10"/>
  <c r="AW207" i="10"/>
  <c r="BH203" i="10"/>
  <c r="BI203" i="10"/>
  <c r="BO194" i="10"/>
  <c r="BQ162" i="5" s="1"/>
  <c r="BQ187" i="5" s="1"/>
  <c r="BK186" i="10"/>
  <c r="BL186" i="10"/>
  <c r="AQ183" i="10"/>
  <c r="AR183" i="10"/>
  <c r="AS183" i="10"/>
  <c r="AW149" i="10"/>
  <c r="AY149" i="10"/>
  <c r="AY144" i="10"/>
  <c r="AX144" i="10"/>
  <c r="AQ142" i="10"/>
  <c r="AU194" i="10"/>
  <c r="CJ194" i="10"/>
  <c r="BU194" i="10"/>
  <c r="BZ213" i="10"/>
  <c r="BH205" i="10"/>
  <c r="BI205" i="10"/>
  <c r="AV192" i="10"/>
  <c r="AW192" i="10"/>
  <c r="AY192" i="10"/>
  <c r="AQ188" i="10"/>
  <c r="AR188" i="10"/>
  <c r="M185" i="10"/>
  <c r="P185" i="10"/>
  <c r="M170" i="10"/>
  <c r="N170" i="10"/>
  <c r="AO167" i="10"/>
  <c r="AL167" i="10"/>
  <c r="CI194" i="10"/>
  <c r="BM157" i="10"/>
  <c r="BN157" i="10"/>
  <c r="Y156" i="10"/>
  <c r="Z156" i="10"/>
  <c r="M155" i="10"/>
  <c r="P155" i="10"/>
  <c r="BK144" i="10"/>
  <c r="BM144" i="10"/>
  <c r="AG143" i="10"/>
  <c r="AH143" i="10"/>
  <c r="BQ143" i="10" s="1"/>
  <c r="BV143" i="10" s="1"/>
  <c r="CA143" i="10" s="1"/>
  <c r="CF143" i="10" s="1"/>
  <c r="CK143" i="10" s="1"/>
  <c r="CP143" i="10" s="1"/>
  <c r="CU143" i="10" s="1"/>
  <c r="CZ143" i="10" s="1"/>
  <c r="DE143" i="10" s="1"/>
  <c r="DJ143" i="10" s="1"/>
  <c r="DO143" i="10" s="1"/>
  <c r="DT143" i="10" s="1"/>
  <c r="BT330" i="10"/>
  <c r="BM326" i="10"/>
  <c r="BG326" i="10"/>
  <c r="Y326" i="10"/>
  <c r="S326" i="10"/>
  <c r="AR325" i="10"/>
  <c r="AT309" i="10"/>
  <c r="AH309" i="10"/>
  <c r="BQ309" i="10" s="1"/>
  <c r="BV309" i="10" s="1"/>
  <c r="CA309" i="10" s="1"/>
  <c r="CF309" i="10" s="1"/>
  <c r="CK309" i="10" s="1"/>
  <c r="CP309" i="10" s="1"/>
  <c r="CU309" i="10" s="1"/>
  <c r="CZ309" i="10" s="1"/>
  <c r="DE309" i="10" s="1"/>
  <c r="DJ309" i="10" s="1"/>
  <c r="DO309" i="10" s="1"/>
  <c r="DT309" i="10" s="1"/>
  <c r="BC308" i="10"/>
  <c r="L311" i="10"/>
  <c r="N299" i="10"/>
  <c r="O297" i="10"/>
  <c r="U284" i="10"/>
  <c r="AS283" i="10"/>
  <c r="AN283" i="10"/>
  <c r="BL281" i="10"/>
  <c r="CH278" i="10"/>
  <c r="CC278" i="10"/>
  <c r="BX278" i="10"/>
  <c r="BH276" i="10"/>
  <c r="T276" i="10"/>
  <c r="T259" i="10"/>
  <c r="AW258" i="10"/>
  <c r="BM253" i="10"/>
  <c r="AC253" i="10"/>
  <c r="AN252" i="10"/>
  <c r="U251" i="10"/>
  <c r="AO250" i="10"/>
  <c r="S250" i="10"/>
  <c r="BD249" i="10"/>
  <c r="AS249" i="10"/>
  <c r="AJ249" i="10"/>
  <c r="AS245" i="10"/>
  <c r="AO240" i="10"/>
  <c r="BG235" i="10"/>
  <c r="S233" i="10"/>
  <c r="AM232" i="10"/>
  <c r="O232" i="10"/>
  <c r="BU213" i="10"/>
  <c r="CJ213" i="10"/>
  <c r="AY211" i="10"/>
  <c r="N210" i="10"/>
  <c r="AO205" i="10"/>
  <c r="Y204" i="10"/>
  <c r="U203" i="10"/>
  <c r="AE200" i="10"/>
  <c r="CE194" i="10"/>
  <c r="BZ194" i="10"/>
  <c r="N190" i="10"/>
  <c r="AH177" i="10"/>
  <c r="BQ177" i="10" s="1"/>
  <c r="BV177" i="10" s="1"/>
  <c r="CA177" i="10" s="1"/>
  <c r="CF177" i="10" s="1"/>
  <c r="CK177" i="10" s="1"/>
  <c r="CP177" i="10" s="1"/>
  <c r="CU177" i="10" s="1"/>
  <c r="CZ177" i="10" s="1"/>
  <c r="DE177" i="10" s="1"/>
  <c r="DC177" i="10" s="1"/>
  <c r="AY157" i="10"/>
  <c r="AY156" i="10"/>
  <c r="P154" i="10"/>
  <c r="AT153" i="10"/>
  <c r="O153" i="10"/>
  <c r="AX152" i="10"/>
  <c r="AI152" i="10"/>
  <c r="BN147" i="10"/>
  <c r="BI137" i="10"/>
  <c r="BG137" i="10"/>
  <c r="CN311" i="10"/>
  <c r="CN313" i="10" s="1"/>
  <c r="BY311" i="10"/>
  <c r="L303" i="10"/>
  <c r="CJ289" i="10"/>
  <c r="BM286" i="10"/>
  <c r="BU278" i="10"/>
  <c r="X273" i="10"/>
  <c r="X272" i="10"/>
  <c r="BL259" i="10"/>
  <c r="AW241" i="10"/>
  <c r="S235" i="10"/>
  <c r="BH232" i="10"/>
  <c r="AD208" i="10"/>
  <c r="Y208" i="10"/>
  <c r="CH194" i="10"/>
  <c r="CH215" i="10" s="1"/>
  <c r="BK169" i="10"/>
  <c r="AI169" i="10"/>
  <c r="AH149" i="10"/>
  <c r="BQ149" i="10" s="1"/>
  <c r="BV149" i="10" s="1"/>
  <c r="CA149" i="10" s="1"/>
  <c r="CF149" i="10" s="1"/>
  <c r="CK149" i="10" s="1"/>
  <c r="CP149" i="10" s="1"/>
  <c r="CU149" i="10" s="1"/>
  <c r="CZ149" i="10" s="1"/>
  <c r="BH326" i="10"/>
  <c r="T326" i="10"/>
  <c r="AS325" i="10"/>
  <c r="BX311" i="10"/>
  <c r="AI309" i="10"/>
  <c r="DQ303" i="10"/>
  <c r="BN335" i="47" s="1"/>
  <c r="DL303" i="10"/>
  <c r="BI335" i="47" s="1"/>
  <c r="CR303" i="10"/>
  <c r="CR313" i="10" s="1"/>
  <c r="CM303" i="10"/>
  <c r="CH303" i="10"/>
  <c r="CH313" i="10" s="1"/>
  <c r="CC303" i="10"/>
  <c r="CC313" i="10" s="1"/>
  <c r="BX303" i="10"/>
  <c r="N300" i="10"/>
  <c r="O299" i="10"/>
  <c r="BN298" i="10"/>
  <c r="CI289" i="10"/>
  <c r="BH287" i="10"/>
  <c r="Y287" i="10"/>
  <c r="AN286" i="10"/>
  <c r="BL285" i="10"/>
  <c r="AS285" i="10"/>
  <c r="AT283" i="10"/>
  <c r="AO283" i="10"/>
  <c r="BH282" i="10"/>
  <c r="Y282" i="10"/>
  <c r="BY278" i="10"/>
  <c r="L278" i="10"/>
  <c r="AW271" i="10"/>
  <c r="AR270" i="10"/>
  <c r="AW266" i="10"/>
  <c r="AO246" i="10"/>
  <c r="Y242" i="10"/>
  <c r="AD241" i="10"/>
  <c r="AC240" i="10"/>
  <c r="BH235" i="10"/>
  <c r="S234" i="10"/>
  <c r="T233" i="10"/>
  <c r="P232" i="10"/>
  <c r="O227" i="10"/>
  <c r="BI226" i="10"/>
  <c r="BD226" i="10"/>
  <c r="AO226" i="10"/>
  <c r="BN210" i="10"/>
  <c r="AE210" i="10"/>
  <c r="BM209" i="10"/>
  <c r="AC208" i="10"/>
  <c r="CB194" i="10"/>
  <c r="BW194" i="10"/>
  <c r="BR194" i="10"/>
  <c r="Y172" i="10"/>
  <c r="AV167" i="10"/>
  <c r="N166" i="10"/>
  <c r="AE162" i="10"/>
  <c r="BD158" i="10"/>
  <c r="Z158" i="10"/>
  <c r="N156" i="10"/>
  <c r="BB155" i="10"/>
  <c r="AY154" i="10"/>
  <c r="P153" i="10"/>
  <c r="AY152" i="10"/>
  <c r="AJ152" i="10"/>
  <c r="N152" i="10"/>
  <c r="AD137" i="10"/>
  <c r="W137" i="10"/>
  <c r="N130" i="10"/>
  <c r="BG123" i="10"/>
  <c r="AI122" i="10"/>
  <c r="Z114" i="10"/>
  <c r="AC108" i="10"/>
  <c r="AE107" i="10"/>
  <c r="Y106" i="10"/>
  <c r="AX102" i="10"/>
  <c r="AS101" i="10"/>
  <c r="BL100" i="10"/>
  <c r="AD100" i="10"/>
  <c r="BM99" i="10"/>
  <c r="AR94" i="10"/>
  <c r="O89" i="10"/>
  <c r="AY88" i="10"/>
  <c r="AC80" i="10"/>
  <c r="AJ59" i="10"/>
  <c r="AO57" i="10"/>
  <c r="CD54" i="10"/>
  <c r="AI52" i="10"/>
  <c r="AH50" i="10"/>
  <c r="BQ50" i="10" s="1"/>
  <c r="BV50" i="10" s="1"/>
  <c r="CA50" i="10" s="1"/>
  <c r="CF50" i="10" s="1"/>
  <c r="CK50" i="10" s="1"/>
  <c r="CP50" i="10" s="1"/>
  <c r="CU50" i="10" s="1"/>
  <c r="CZ50" i="10" s="1"/>
  <c r="DE50" i="10" s="1"/>
  <c r="DJ50" i="10" s="1"/>
  <c r="DO50" i="10" s="1"/>
  <c r="DT50" i="10" s="1"/>
  <c r="BH44" i="10"/>
  <c r="Y37" i="10"/>
  <c r="AX35" i="10"/>
  <c r="AO38" i="66"/>
  <c r="AO82" i="4" s="1"/>
  <c r="AK37" i="66"/>
  <c r="AK92" i="66"/>
  <c r="BB137" i="10"/>
  <c r="AC137" i="10"/>
  <c r="AW136" i="10"/>
  <c r="Y134" i="10"/>
  <c r="AC133" i="10"/>
  <c r="AC107" i="10"/>
  <c r="BC88" i="10"/>
  <c r="AX88" i="10"/>
  <c r="Z87" i="10"/>
  <c r="BH62" i="10"/>
  <c r="BM61" i="10"/>
  <c r="BD60" i="10"/>
  <c r="BI58" i="10"/>
  <c r="BD58" i="10"/>
  <c r="AN57" i="10"/>
  <c r="CM54" i="10"/>
  <c r="CH54" i="10"/>
  <c r="CC54" i="10"/>
  <c r="BS54" i="10"/>
  <c r="BG52" i="10"/>
  <c r="AY51" i="10"/>
  <c r="AI51" i="10"/>
  <c r="BD50" i="10"/>
  <c r="AM50" i="10"/>
  <c r="BI45" i="10"/>
  <c r="AW45" i="10"/>
  <c r="AO45" i="10"/>
  <c r="Z45" i="10"/>
  <c r="BN44" i="10"/>
  <c r="X44" i="10"/>
  <c r="AH36" i="10"/>
  <c r="BQ36" i="10" s="1"/>
  <c r="BV36" i="10" s="1"/>
  <c r="CA36" i="10" s="1"/>
  <c r="CF36" i="10" s="1"/>
  <c r="CK36" i="10" s="1"/>
  <c r="CP36" i="10" s="1"/>
  <c r="CU36" i="10" s="1"/>
  <c r="CZ36" i="10" s="1"/>
  <c r="DE36" i="10" s="1"/>
  <c r="DJ36" i="10" s="1"/>
  <c r="DO36" i="10" s="1"/>
  <c r="DT36" i="10" s="1"/>
  <c r="AC33" i="10"/>
  <c r="AS32" i="10"/>
  <c r="BI27" i="10"/>
  <c r="AC27" i="10"/>
  <c r="U26" i="10"/>
  <c r="AJ24" i="10"/>
  <c r="AE22" i="10"/>
  <c r="AS37" i="66"/>
  <c r="AS38" i="66"/>
  <c r="AS82" i="4" s="1"/>
  <c r="AK39" i="66"/>
  <c r="Y37" i="66"/>
  <c r="Y38" i="66"/>
  <c r="Y82" i="4" s="1"/>
  <c r="AG38" i="66"/>
  <c r="AG82" i="4" s="1"/>
  <c r="T127" i="10"/>
  <c r="O127" i="10"/>
  <c r="AR126" i="10"/>
  <c r="BC125" i="10"/>
  <c r="BL124" i="10"/>
  <c r="BI123" i="10"/>
  <c r="BD123" i="10"/>
  <c r="AR123" i="10"/>
  <c r="T117" i="10"/>
  <c r="BD116" i="10"/>
  <c r="AX115" i="10"/>
  <c r="BB114" i="10"/>
  <c r="AS114" i="10"/>
  <c r="X114" i="10"/>
  <c r="AH113" i="10"/>
  <c r="BQ113" i="10" s="1"/>
  <c r="BV113" i="10" s="1"/>
  <c r="CA113" i="10" s="1"/>
  <c r="CF113" i="10" s="1"/>
  <c r="CK113" i="10" s="1"/>
  <c r="CP113" i="10" s="1"/>
  <c r="CU113" i="10" s="1"/>
  <c r="CZ113" i="10" s="1"/>
  <c r="DB113" i="10" s="1"/>
  <c r="AM104" i="10"/>
  <c r="AR102" i="10"/>
  <c r="X100" i="10"/>
  <c r="AS97" i="10"/>
  <c r="BD96" i="10"/>
  <c r="BM95" i="10"/>
  <c r="BD95" i="10"/>
  <c r="Z95" i="10"/>
  <c r="AX94" i="10"/>
  <c r="Y94" i="10"/>
  <c r="BD92" i="10"/>
  <c r="U92" i="10"/>
  <c r="BB88" i="10"/>
  <c r="AT86" i="10"/>
  <c r="Z85" i="10"/>
  <c r="AE80" i="10"/>
  <c r="Z80" i="10"/>
  <c r="N80" i="10"/>
  <c r="AH79" i="10"/>
  <c r="BQ79" i="10" s="1"/>
  <c r="BV79" i="10" s="1"/>
  <c r="CA79" i="10" s="1"/>
  <c r="CF79" i="10" s="1"/>
  <c r="CK79" i="10" s="1"/>
  <c r="CP79" i="10" s="1"/>
  <c r="CU79" i="10" s="1"/>
  <c r="CZ79" i="10" s="1"/>
  <c r="CO66" i="10"/>
  <c r="CE66" i="10"/>
  <c r="Y64" i="10"/>
  <c r="BH45" i="10"/>
  <c r="BM36" i="10"/>
  <c r="AR32" i="10"/>
  <c r="X15" i="66"/>
  <c r="X17" i="66" s="1"/>
  <c r="X50" i="66"/>
  <c r="AE137" i="10"/>
  <c r="Y137" i="10"/>
  <c r="AC136" i="10"/>
  <c r="AW134" i="10"/>
  <c r="O130" i="10"/>
  <c r="BL127" i="10"/>
  <c r="S127" i="10"/>
  <c r="P125" i="10"/>
  <c r="BH123" i="10"/>
  <c r="BC123" i="10"/>
  <c r="AJ122" i="10"/>
  <c r="X122" i="10"/>
  <c r="BB116" i="10"/>
  <c r="CZ92" i="10"/>
  <c r="BN102" i="10"/>
  <c r="Z102" i="10"/>
  <c r="BD99" i="10"/>
  <c r="AX98" i="10"/>
  <c r="BL95" i="10"/>
  <c r="BB95" i="10"/>
  <c r="AH94" i="10"/>
  <c r="BQ94" i="10" s="1"/>
  <c r="BV94" i="10" s="1"/>
  <c r="CA94" i="10" s="1"/>
  <c r="CF94" i="10" s="1"/>
  <c r="CK94" i="10" s="1"/>
  <c r="CP94" i="10" s="1"/>
  <c r="CU94" i="10" s="1"/>
  <c r="CZ94" i="10" s="1"/>
  <c r="DE94" i="10" s="1"/>
  <c r="DJ94" i="10" s="1"/>
  <c r="DO94" i="10" s="1"/>
  <c r="DT94" i="10" s="1"/>
  <c r="S92" i="10"/>
  <c r="P89" i="10"/>
  <c r="BN87" i="10"/>
  <c r="BB82" i="10"/>
  <c r="AD80" i="10"/>
  <c r="Y80" i="10"/>
  <c r="Y79" i="10"/>
  <c r="AN63" i="10"/>
  <c r="Y63" i="10"/>
  <c r="AJ61" i="10"/>
  <c r="T60" i="10"/>
  <c r="BM59" i="10"/>
  <c r="X59" i="10"/>
  <c r="P58" i="10"/>
  <c r="AJ52" i="10"/>
  <c r="BD51" i="10"/>
  <c r="AI50" i="10"/>
  <c r="BL45" i="10"/>
  <c r="AT45" i="10"/>
  <c r="BI44" i="10"/>
  <c r="AW44" i="10"/>
  <c r="AE44" i="10"/>
  <c r="AH39" i="10"/>
  <c r="BQ39" i="10" s="1"/>
  <c r="BV39" i="10" s="1"/>
  <c r="CA39" i="10" s="1"/>
  <c r="CF39" i="10" s="1"/>
  <c r="CK39" i="10" s="1"/>
  <c r="CP39" i="10" s="1"/>
  <c r="CU39" i="10" s="1"/>
  <c r="CZ39" i="10" s="1"/>
  <c r="DE39" i="10" s="1"/>
  <c r="DJ39" i="10" s="1"/>
  <c r="DO39" i="10" s="1"/>
  <c r="DT39" i="10" s="1"/>
  <c r="Z37" i="10"/>
  <c r="N37" i="10"/>
  <c r="AY35" i="10"/>
  <c r="AN31" i="10"/>
  <c r="T29" i="10"/>
  <c r="BN27" i="10"/>
  <c r="Y27" i="10"/>
  <c r="Y26" i="10"/>
  <c r="BD25" i="10"/>
  <c r="X22" i="10"/>
  <c r="BH19" i="10"/>
  <c r="BG55" i="56"/>
  <c r="BF55" i="56"/>
  <c r="BP54" i="56"/>
  <c r="BO54" i="56"/>
  <c r="BN54" i="56"/>
  <c r="BL54" i="56"/>
  <c r="BK54" i="56"/>
  <c r="BJ54" i="56"/>
  <c r="BH54" i="56"/>
  <c r="BG54" i="56"/>
  <c r="BF54" i="56"/>
  <c r="BP53" i="56"/>
  <c r="BO53" i="56"/>
  <c r="BN53" i="56"/>
  <c r="BL53" i="56"/>
  <c r="BK53" i="56"/>
  <c r="BJ53" i="56"/>
  <c r="BH53" i="56"/>
  <c r="BG53" i="56"/>
  <c r="BF53" i="56"/>
  <c r="BF45" i="56"/>
  <c r="BK44" i="56"/>
  <c r="BJ44" i="56"/>
  <c r="BI44" i="56"/>
  <c r="BH44" i="56"/>
  <c r="BG44" i="56"/>
  <c r="BF44" i="56"/>
  <c r="BK43" i="56"/>
  <c r="BJ43" i="56"/>
  <c r="BI43" i="56"/>
  <c r="BH43" i="56"/>
  <c r="BG43" i="56"/>
  <c r="BF43" i="56"/>
  <c r="BK42" i="56"/>
  <c r="BJ42" i="56"/>
  <c r="BI42" i="56"/>
  <c r="BH42" i="56"/>
  <c r="BG42" i="56"/>
  <c r="BF42" i="56"/>
  <c r="BK41" i="56"/>
  <c r="BJ41" i="56"/>
  <c r="BI41" i="56"/>
  <c r="BH41" i="56"/>
  <c r="BG41" i="56"/>
  <c r="BF41" i="56"/>
  <c r="BK40" i="56"/>
  <c r="BJ40" i="56"/>
  <c r="BI40" i="56"/>
  <c r="BH40" i="56"/>
  <c r="BG40" i="56"/>
  <c r="BF40" i="56"/>
  <c r="BK39" i="56"/>
  <c r="BJ39" i="56"/>
  <c r="BI39" i="56"/>
  <c r="BH39" i="56"/>
  <c r="BG39" i="56"/>
  <c r="BF39" i="56"/>
  <c r="BK38" i="56"/>
  <c r="BJ38" i="56"/>
  <c r="BI38" i="56"/>
  <c r="BH38" i="56"/>
  <c r="BG38" i="56"/>
  <c r="BF38" i="56"/>
  <c r="BK37" i="56"/>
  <c r="BJ37" i="56"/>
  <c r="BI37" i="56"/>
  <c r="BH37" i="56"/>
  <c r="BG37" i="56"/>
  <c r="BF37" i="56"/>
  <c r="BK36" i="56"/>
  <c r="BJ36" i="56"/>
  <c r="BI36" i="56"/>
  <c r="BH36" i="56"/>
  <c r="BG36" i="56"/>
  <c r="BF36" i="56"/>
  <c r="BK35" i="56"/>
  <c r="BJ35" i="56"/>
  <c r="BI35" i="56"/>
  <c r="BH35" i="56"/>
  <c r="BG35" i="56"/>
  <c r="BF35" i="56"/>
  <c r="BK34" i="56"/>
  <c r="BJ34" i="56"/>
  <c r="BI34" i="56"/>
  <c r="BH34" i="56"/>
  <c r="BG34" i="56"/>
  <c r="BF34" i="56"/>
  <c r="BK31" i="56"/>
  <c r="BJ31" i="56"/>
  <c r="BI31" i="56"/>
  <c r="BH31" i="56"/>
  <c r="BG31" i="56"/>
  <c r="BF31" i="56"/>
  <c r="BK30" i="56"/>
  <c r="BJ30" i="56"/>
  <c r="BI30" i="56"/>
  <c r="BH30" i="56"/>
  <c r="BG30" i="56"/>
  <c r="BF30" i="56"/>
  <c r="BK29" i="56"/>
  <c r="BJ29" i="56"/>
  <c r="BI29" i="56"/>
  <c r="BH29" i="56"/>
  <c r="BG29" i="56"/>
  <c r="BF29" i="56"/>
  <c r="BK28" i="56"/>
  <c r="BJ28" i="56"/>
  <c r="BI28" i="56"/>
  <c r="BH28" i="56"/>
  <c r="BG28" i="56"/>
  <c r="BF28" i="56"/>
  <c r="BK27" i="56"/>
  <c r="BJ27" i="56"/>
  <c r="BI27" i="56"/>
  <c r="BH27" i="56"/>
  <c r="BG27" i="56"/>
  <c r="BF27" i="56"/>
  <c r="BK26" i="56"/>
  <c r="BJ26" i="56"/>
  <c r="BI26" i="56"/>
  <c r="BH26" i="56"/>
  <c r="BG26" i="56"/>
  <c r="BF26" i="56"/>
  <c r="BK25" i="56"/>
  <c r="BJ25" i="56"/>
  <c r="BI25" i="56"/>
  <c r="BH25" i="56"/>
  <c r="BG25" i="56"/>
  <c r="BF25" i="56"/>
  <c r="BK24" i="56"/>
  <c r="BJ24" i="56"/>
  <c r="BI24" i="56"/>
  <c r="BH24" i="56"/>
  <c r="BG24" i="56"/>
  <c r="BF24" i="56"/>
  <c r="BK23" i="56"/>
  <c r="BJ23" i="56"/>
  <c r="BI23" i="56"/>
  <c r="BH23" i="56"/>
  <c r="BG23" i="56"/>
  <c r="BF23" i="56"/>
  <c r="BK22" i="56"/>
  <c r="BJ22" i="56"/>
  <c r="BI22" i="56"/>
  <c r="BH22" i="56"/>
  <c r="BG22" i="56"/>
  <c r="BF22" i="56"/>
  <c r="BK21" i="56"/>
  <c r="BJ21" i="56"/>
  <c r="BI21" i="56"/>
  <c r="BH21" i="56"/>
  <c r="BG21" i="56"/>
  <c r="BF21" i="56"/>
  <c r="BK20" i="56"/>
  <c r="BJ20" i="56"/>
  <c r="BI20" i="56"/>
  <c r="BH20" i="56"/>
  <c r="BG20" i="56"/>
  <c r="BF20" i="56"/>
  <c r="BK19" i="56"/>
  <c r="BJ19" i="56"/>
  <c r="BI19" i="56"/>
  <c r="BH19" i="56"/>
  <c r="BG19" i="56"/>
  <c r="BF19" i="56"/>
  <c r="BK18" i="56"/>
  <c r="BJ18" i="56"/>
  <c r="BI18" i="56"/>
  <c r="BH18" i="56"/>
  <c r="BG18" i="56"/>
  <c r="BF18" i="56"/>
  <c r="BK17" i="56"/>
  <c r="BJ17" i="56"/>
  <c r="BI17" i="56"/>
  <c r="BH17" i="56"/>
  <c r="BG17" i="56"/>
  <c r="BF17" i="56"/>
  <c r="BK16" i="56"/>
  <c r="BJ16" i="56"/>
  <c r="BI16" i="56"/>
  <c r="BH16" i="56"/>
  <c r="BG16" i="56"/>
  <c r="N11" i="69"/>
  <c r="M26" i="69"/>
  <c r="AU298" i="47" s="1"/>
  <c r="AZ298" i="47" s="1"/>
  <c r="BE298" i="47" s="1"/>
  <c r="AI87" i="66"/>
  <c r="AI92" i="66"/>
  <c r="AG87" i="66"/>
  <c r="AG92" i="66"/>
  <c r="AG91" i="66"/>
  <c r="AI91" i="66"/>
  <c r="AF91" i="66"/>
  <c r="AE91" i="66"/>
  <c r="BB10" i="66"/>
  <c r="AG61" i="66"/>
  <c r="AE38" i="66"/>
  <c r="AE82" i="4" s="1"/>
  <c r="AL32" i="66"/>
  <c r="AL98" i="44" s="1"/>
  <c r="AB32" i="66"/>
  <c r="BF16" i="56"/>
  <c r="BK12" i="56"/>
  <c r="BJ12" i="56"/>
  <c r="BI12" i="56"/>
  <c r="BH12" i="56"/>
  <c r="BG12" i="56"/>
  <c r="BF12" i="56"/>
  <c r="BK11" i="56"/>
  <c r="BJ11" i="56"/>
  <c r="BI11" i="56"/>
  <c r="BH11" i="56"/>
  <c r="BG11" i="56"/>
  <c r="BF11" i="56"/>
  <c r="BK10" i="56"/>
  <c r="BJ10" i="56"/>
  <c r="BI10" i="56"/>
  <c r="BH10" i="56"/>
  <c r="BG10" i="56"/>
  <c r="BF10" i="56"/>
  <c r="BK9" i="56"/>
  <c r="BJ9" i="56"/>
  <c r="BI9" i="56"/>
  <c r="BH9" i="56"/>
  <c r="BG9" i="56"/>
  <c r="BF9" i="56"/>
  <c r="BK8" i="56"/>
  <c r="BJ8" i="56"/>
  <c r="BI8" i="56"/>
  <c r="BH8" i="56"/>
  <c r="BG8" i="56"/>
  <c r="BF8" i="56"/>
  <c r="AB67" i="66"/>
  <c r="AC51" i="66"/>
  <c r="AC42" i="66" s="1"/>
  <c r="F17" i="52"/>
  <c r="C11" i="52"/>
  <c r="AL92" i="66"/>
  <c r="AL38" i="66"/>
  <c r="BL10" i="66"/>
  <c r="BG15" i="66"/>
  <c r="BG17" i="66" s="1"/>
  <c r="BG21" i="4" s="1"/>
  <c r="BB15" i="66"/>
  <c r="BB17" i="66" s="1"/>
  <c r="AF71" i="66"/>
  <c r="AF61" i="9" s="1"/>
  <c r="AJ67" i="66"/>
  <c r="AK67" i="66" s="1"/>
  <c r="AF67" i="66"/>
  <c r="Y67" i="66"/>
  <c r="BQ15" i="66"/>
  <c r="BQ17" i="66" s="1"/>
  <c r="BQ21" i="4" s="1"/>
  <c r="BX76" i="56"/>
  <c r="BX77" i="56"/>
  <c r="BP47" i="56"/>
  <c r="BP43" i="56"/>
  <c r="BP39" i="56"/>
  <c r="BP35" i="56"/>
  <c r="BP31" i="56"/>
  <c r="BP27" i="56"/>
  <c r="BP18" i="56"/>
  <c r="BP10" i="56"/>
  <c r="BO46" i="56"/>
  <c r="BP48" i="56"/>
  <c r="BP44" i="56"/>
  <c r="BP40" i="56"/>
  <c r="BP36" i="56"/>
  <c r="BP28" i="56"/>
  <c r="BP19" i="56"/>
  <c r="BP11" i="56"/>
  <c r="BP46" i="56"/>
  <c r="BP42" i="56"/>
  <c r="BP38" i="56"/>
  <c r="BP34" i="56"/>
  <c r="BP30" i="56"/>
  <c r="BP26" i="56"/>
  <c r="BP17" i="56"/>
  <c r="BP9" i="56"/>
  <c r="BO49" i="56"/>
  <c r="BO45" i="56"/>
  <c r="BO41" i="56"/>
  <c r="BO37" i="56"/>
  <c r="BO29" i="56"/>
  <c r="BO25" i="56"/>
  <c r="BM138" i="56"/>
  <c r="BI138" i="56"/>
  <c r="BO48" i="56"/>
  <c r="BO44" i="56"/>
  <c r="BO40" i="56"/>
  <c r="BO36" i="56"/>
  <c r="BO28" i="56"/>
  <c r="BO24" i="56"/>
  <c r="BO20" i="56"/>
  <c r="BO16" i="56"/>
  <c r="BO12" i="56"/>
  <c r="BO8" i="56"/>
  <c r="BN48" i="56"/>
  <c r="BN44" i="56"/>
  <c r="BN40" i="56"/>
  <c r="BN36" i="56"/>
  <c r="BN28" i="56"/>
  <c r="BN24" i="56"/>
  <c r="BN20" i="56"/>
  <c r="BN16" i="56"/>
  <c r="BN12" i="56"/>
  <c r="BN8" i="56"/>
  <c r="BM48" i="56"/>
  <c r="BM44" i="56"/>
  <c r="BM40" i="56"/>
  <c r="BM36" i="56"/>
  <c r="BM28" i="56"/>
  <c r="BM24" i="56"/>
  <c r="BM20" i="56"/>
  <c r="BM16" i="56"/>
  <c r="BM12" i="56"/>
  <c r="BM8" i="56"/>
  <c r="BL46" i="56"/>
  <c r="BL42" i="56"/>
  <c r="BL38" i="56"/>
  <c r="BL34" i="56"/>
  <c r="BL30" i="56"/>
  <c r="BL26" i="56"/>
  <c r="BL22" i="56"/>
  <c r="BL18" i="56"/>
  <c r="BL10" i="56"/>
  <c r="BE48" i="56"/>
  <c r="BE44" i="56"/>
  <c r="BE40" i="56"/>
  <c r="BE36" i="56"/>
  <c r="BE28" i="56"/>
  <c r="BE24" i="56"/>
  <c r="BE20" i="56"/>
  <c r="BE16" i="56"/>
  <c r="BE12" i="56"/>
  <c r="BE8" i="56"/>
  <c r="BO21" i="56"/>
  <c r="BO17" i="56"/>
  <c r="BO9" i="56"/>
  <c r="BN49" i="56"/>
  <c r="BN45" i="56"/>
  <c r="BN41" i="56"/>
  <c r="BN37" i="56"/>
  <c r="BN29" i="56"/>
  <c r="BN25" i="56"/>
  <c r="BN21" i="56"/>
  <c r="BN17" i="56"/>
  <c r="BN9" i="56"/>
  <c r="BM49" i="56"/>
  <c r="BM45" i="56"/>
  <c r="BM41" i="56"/>
  <c r="BM37" i="56"/>
  <c r="BM29" i="56"/>
  <c r="BM25" i="56"/>
  <c r="BM21" i="56"/>
  <c r="BM17" i="56"/>
  <c r="BM9" i="56"/>
  <c r="BL47" i="56"/>
  <c r="BL43" i="56"/>
  <c r="BL39" i="56"/>
  <c r="BL35" i="56"/>
  <c r="BL31" i="56"/>
  <c r="BL27" i="56"/>
  <c r="BL23" i="56"/>
  <c r="BL19" i="56"/>
  <c r="BL11" i="56"/>
  <c r="BN47" i="56"/>
  <c r="BN43" i="56"/>
  <c r="BN39" i="56"/>
  <c r="BN35" i="56"/>
  <c r="BN31" i="56"/>
  <c r="BN27" i="56"/>
  <c r="BN23" i="56"/>
  <c r="BN19" i="56"/>
  <c r="BN11" i="56"/>
  <c r="BM47" i="56"/>
  <c r="BM43" i="56"/>
  <c r="BM39" i="56"/>
  <c r="BM35" i="56"/>
  <c r="BM31" i="56"/>
  <c r="BM27" i="56"/>
  <c r="BM23" i="56"/>
  <c r="BM19" i="56"/>
  <c r="BM11" i="56"/>
  <c r="BL49" i="56"/>
  <c r="BL45" i="56"/>
  <c r="BL41" i="56"/>
  <c r="BL37" i="56"/>
  <c r="BL29" i="56"/>
  <c r="BL25" i="56"/>
  <c r="BL21" i="56"/>
  <c r="BL17" i="56"/>
  <c r="BL9" i="56"/>
  <c r="BO42" i="56"/>
  <c r="BO38" i="56"/>
  <c r="BO34" i="56"/>
  <c r="BO30" i="56"/>
  <c r="BO26" i="56"/>
  <c r="BO22" i="56"/>
  <c r="BO18" i="56"/>
  <c r="BO10" i="56"/>
  <c r="BL48" i="56"/>
  <c r="BL44" i="56"/>
  <c r="BL40" i="56"/>
  <c r="BL36" i="56"/>
  <c r="BL28" i="56"/>
  <c r="BL24" i="56"/>
  <c r="BL20" i="56"/>
  <c r="BL16" i="56"/>
  <c r="BL12" i="56"/>
  <c r="BL8" i="56"/>
  <c r="BE46" i="56"/>
  <c r="BE42" i="56"/>
  <c r="BE38" i="56"/>
  <c r="BE34" i="56"/>
  <c r="BE30" i="56"/>
  <c r="BE26" i="56"/>
  <c r="BE22" i="56"/>
  <c r="BE18" i="56"/>
  <c r="BE10" i="56"/>
  <c r="CI328" i="10"/>
  <c r="CI330" i="10" s="1"/>
  <c r="V303" i="10"/>
  <c r="X329" i="47" s="1"/>
  <c r="X353" i="47" s="1"/>
  <c r="CN289" i="10"/>
  <c r="BT289" i="10"/>
  <c r="CR328" i="10"/>
  <c r="CR330" i="10" s="1"/>
  <c r="AF311" i="10"/>
  <c r="AB298" i="10"/>
  <c r="AE298" i="10"/>
  <c r="AF303" i="10"/>
  <c r="AH329" i="47" s="1"/>
  <c r="AH353" i="47" s="1"/>
  <c r="AD298" i="10"/>
  <c r="BH297" i="10"/>
  <c r="BJ303" i="10"/>
  <c r="BL329" i="47" s="1"/>
  <c r="BL353" i="47" s="1"/>
  <c r="V328" i="10"/>
  <c r="AN325" i="10"/>
  <c r="AA311" i="10"/>
  <c r="BR311" i="10"/>
  <c r="CL311" i="10"/>
  <c r="CB311" i="10"/>
  <c r="CB313" i="10" s="1"/>
  <c r="BB309" i="10"/>
  <c r="AW309" i="10"/>
  <c r="AC309" i="10"/>
  <c r="BB308" i="10"/>
  <c r="BC306" i="10"/>
  <c r="AK303" i="10"/>
  <c r="AM329" i="47" s="1"/>
  <c r="AM353" i="47" s="1"/>
  <c r="AB300" i="10"/>
  <c r="AD300" i="10"/>
  <c r="AC300" i="10"/>
  <c r="AC298" i="10"/>
  <c r="N298" i="10"/>
  <c r="AQ286" i="10"/>
  <c r="AS286" i="10"/>
  <c r="AR286" i="10"/>
  <c r="BK282" i="10"/>
  <c r="BM282" i="10"/>
  <c r="BL282" i="10"/>
  <c r="AM325" i="10"/>
  <c r="Q311" i="10"/>
  <c r="BU311" i="10"/>
  <c r="BU313" i="10" s="1"/>
  <c r="CO311" i="10"/>
  <c r="CJ311" i="10"/>
  <c r="BB306" i="10"/>
  <c r="AA303" i="10"/>
  <c r="AC329" i="47" s="1"/>
  <c r="AC353" i="47" s="1"/>
  <c r="BT303" i="10"/>
  <c r="P301" i="10"/>
  <c r="N301" i="10"/>
  <c r="X298" i="10"/>
  <c r="Z298" i="10"/>
  <c r="CO289" i="10"/>
  <c r="CE289" i="10"/>
  <c r="BU289" i="10"/>
  <c r="BU291" i="10" s="1"/>
  <c r="BK283" i="10"/>
  <c r="BL283" i="10"/>
  <c r="N276" i="10"/>
  <c r="O276" i="10"/>
  <c r="Q278" i="10"/>
  <c r="X284" i="10"/>
  <c r="AW261" i="10"/>
  <c r="Y261" i="10"/>
  <c r="BI260" i="10"/>
  <c r="X259" i="10"/>
  <c r="AM258" i="10"/>
  <c r="AR253" i="10"/>
  <c r="T252" i="10"/>
  <c r="BM250" i="10"/>
  <c r="AW250" i="10"/>
  <c r="BB235" i="10"/>
  <c r="AM231" i="10"/>
  <c r="S228" i="10"/>
  <c r="BG227" i="10"/>
  <c r="S226" i="10"/>
  <c r="N224" i="10"/>
  <c r="CC213" i="10"/>
  <c r="BX213" i="10"/>
  <c r="AC210" i="10"/>
  <c r="BM208" i="10"/>
  <c r="BM207" i="10"/>
  <c r="AY207" i="10"/>
  <c r="AO207" i="10"/>
  <c r="BG204" i="10"/>
  <c r="AX204" i="10"/>
  <c r="AC204" i="10"/>
  <c r="U202" i="10"/>
  <c r="AC201" i="10"/>
  <c r="BI200" i="10"/>
  <c r="AC199" i="10"/>
  <c r="AC197" i="10"/>
  <c r="AB190" i="10"/>
  <c r="AD190" i="10"/>
  <c r="AQ187" i="10"/>
  <c r="AR187" i="10"/>
  <c r="AS187" i="10"/>
  <c r="AT187" i="10"/>
  <c r="W186" i="10"/>
  <c r="X186" i="10"/>
  <c r="Y186" i="10"/>
  <c r="BK185" i="10"/>
  <c r="BL185" i="10"/>
  <c r="BM185" i="10"/>
  <c r="BN185" i="10"/>
  <c r="T282" i="10"/>
  <c r="BM281" i="10"/>
  <c r="AO281" i="10"/>
  <c r="AC281" i="10"/>
  <c r="BC276" i="10"/>
  <c r="AD273" i="10"/>
  <c r="AD272" i="10"/>
  <c r="AX269" i="10"/>
  <c r="AS268" i="10"/>
  <c r="AH268" i="10"/>
  <c r="BQ268" i="10" s="1"/>
  <c r="BV268" i="10" s="1"/>
  <c r="CA268" i="10" s="1"/>
  <c r="CF268" i="10" s="1"/>
  <c r="CK268" i="10" s="1"/>
  <c r="CP268" i="10" s="1"/>
  <c r="CU268" i="10" s="1"/>
  <c r="CZ268" i="10" s="1"/>
  <c r="DE268" i="10" s="1"/>
  <c r="DJ268" i="10" s="1"/>
  <c r="DO268" i="10" s="1"/>
  <c r="DT268" i="10" s="1"/>
  <c r="AC267" i="10"/>
  <c r="BI258" i="10"/>
  <c r="U257" i="10"/>
  <c r="BL253" i="10"/>
  <c r="AV253" i="10"/>
  <c r="BI252" i="10"/>
  <c r="AW252" i="10"/>
  <c r="AO252" i="10"/>
  <c r="Y252" i="10"/>
  <c r="BI251" i="10"/>
  <c r="AV251" i="10"/>
  <c r="P251" i="10"/>
  <c r="BL250" i="10"/>
  <c r="Y250" i="10"/>
  <c r="T250" i="10"/>
  <c r="AN249" i="10"/>
  <c r="BI248" i="10"/>
  <c r="AO248" i="10"/>
  <c r="AJ248" i="10"/>
  <c r="Y248" i="10"/>
  <c r="AT246" i="10"/>
  <c r="AX245" i="10"/>
  <c r="AD245" i="10"/>
  <c r="AT244" i="10"/>
  <c r="AX243" i="10"/>
  <c r="AD243" i="10"/>
  <c r="AT242" i="10"/>
  <c r="AD242" i="10"/>
  <c r="BI241" i="10"/>
  <c r="AT240" i="10"/>
  <c r="AX239" i="10"/>
  <c r="BC224" i="10"/>
  <c r="AE224" i="10"/>
  <c r="BG203" i="10"/>
  <c r="AX203" i="10"/>
  <c r="BG202" i="10"/>
  <c r="AS202" i="10"/>
  <c r="AC202" i="10"/>
  <c r="S202" i="10"/>
  <c r="BA190" i="10"/>
  <c r="BB190" i="10"/>
  <c r="AT190" i="10"/>
  <c r="AV188" i="10"/>
  <c r="AX188" i="10"/>
  <c r="AS274" i="10"/>
  <c r="AC273" i="10"/>
  <c r="AC272" i="10"/>
  <c r="AS271" i="10"/>
  <c r="AH271" i="10"/>
  <c r="BQ271" i="10" s="1"/>
  <c r="BV271" i="10" s="1"/>
  <c r="CA271" i="10" s="1"/>
  <c r="CF271" i="10" s="1"/>
  <c r="CK271" i="10" s="1"/>
  <c r="CP271" i="10" s="1"/>
  <c r="CU271" i="10" s="1"/>
  <c r="CZ271" i="10" s="1"/>
  <c r="DE271" i="10" s="1"/>
  <c r="DJ271" i="10" s="1"/>
  <c r="DH271" i="10" s="1"/>
  <c r="AW269" i="10"/>
  <c r="AX268" i="10"/>
  <c r="AR268" i="10"/>
  <c r="AS266" i="10"/>
  <c r="AH266" i="10"/>
  <c r="BQ266" i="10" s="1"/>
  <c r="BV266" i="10" s="1"/>
  <c r="CA266" i="10" s="1"/>
  <c r="CF266" i="10" s="1"/>
  <c r="CK266" i="10" s="1"/>
  <c r="CP266" i="10" s="1"/>
  <c r="CU266" i="10" s="1"/>
  <c r="CZ266" i="10" s="1"/>
  <c r="DE266" i="10" s="1"/>
  <c r="DJ266" i="10" s="1"/>
  <c r="DO266" i="10" s="1"/>
  <c r="DQ266" i="10" s="1"/>
  <c r="AR261" i="10"/>
  <c r="AC261" i="10"/>
  <c r="U261" i="10"/>
  <c r="Y260" i="10"/>
  <c r="X249" i="10"/>
  <c r="AS248" i="10"/>
  <c r="AN248" i="10"/>
  <c r="X248" i="10"/>
  <c r="AS246" i="10"/>
  <c r="AO245" i="10"/>
  <c r="AC245" i="10"/>
  <c r="AS244" i="10"/>
  <c r="AO243" i="10"/>
  <c r="AC243" i="10"/>
  <c r="AS242" i="10"/>
  <c r="AS240" i="10"/>
  <c r="BD234" i="10"/>
  <c r="AE234" i="10"/>
  <c r="BC233" i="10"/>
  <c r="P233" i="10"/>
  <c r="BD232" i="10"/>
  <c r="T232" i="10"/>
  <c r="AO231" i="10"/>
  <c r="AJ231" i="10"/>
  <c r="AJ228" i="10"/>
  <c r="O228" i="10"/>
  <c r="BI227" i="10"/>
  <c r="BD227" i="10"/>
  <c r="AO227" i="10"/>
  <c r="AE227" i="10"/>
  <c r="AJ226" i="10"/>
  <c r="O226" i="10"/>
  <c r="BK190" i="10"/>
  <c r="BL190" i="10"/>
  <c r="W189" i="10"/>
  <c r="X189" i="10"/>
  <c r="Y189" i="10"/>
  <c r="Z189" i="10"/>
  <c r="BK188" i="10"/>
  <c r="BN188" i="10"/>
  <c r="M186" i="10"/>
  <c r="N186" i="10"/>
  <c r="P186" i="10"/>
  <c r="BX289" i="10"/>
  <c r="BS289" i="10"/>
  <c r="CM289" i="10"/>
  <c r="X287" i="10"/>
  <c r="BL286" i="10"/>
  <c r="AR285" i="10"/>
  <c r="Y284" i="10"/>
  <c r="T284" i="10"/>
  <c r="X282" i="10"/>
  <c r="CG278" i="10"/>
  <c r="BG276" i="10"/>
  <c r="AX274" i="10"/>
  <c r="BN273" i="10"/>
  <c r="BB273" i="10"/>
  <c r="BM272" i="10"/>
  <c r="BB272" i="10"/>
  <c r="BM271" i="10"/>
  <c r="AX271" i="10"/>
  <c r="AR271" i="10"/>
  <c r="AS270" i="10"/>
  <c r="AH270" i="10"/>
  <c r="BQ270" i="10" s="1"/>
  <c r="BV270" i="10" s="1"/>
  <c r="CA270" i="10" s="1"/>
  <c r="CF270" i="10" s="1"/>
  <c r="CK270" i="10" s="1"/>
  <c r="CP270" i="10" s="1"/>
  <c r="CU270" i="10" s="1"/>
  <c r="CZ270" i="10" s="1"/>
  <c r="DE270" i="10" s="1"/>
  <c r="DJ270" i="10" s="1"/>
  <c r="DO270" i="10" s="1"/>
  <c r="DT270" i="10" s="1"/>
  <c r="AW268" i="10"/>
  <c r="AT267" i="10"/>
  <c r="X267" i="10"/>
  <c r="AX266" i="10"/>
  <c r="AR266" i="10"/>
  <c r="T261" i="10"/>
  <c r="X260" i="10"/>
  <c r="AO259" i="10"/>
  <c r="Y259" i="10"/>
  <c r="S259" i="10"/>
  <c r="BM258" i="10"/>
  <c r="AN258" i="10"/>
  <c r="AC258" i="10"/>
  <c r="T258" i="10"/>
  <c r="AM257" i="10"/>
  <c r="S257" i="10"/>
  <c r="AS253" i="10"/>
  <c r="X253" i="10"/>
  <c r="BA252" i="10"/>
  <c r="AS252" i="10"/>
  <c r="AB252" i="10"/>
  <c r="U252" i="10"/>
  <c r="BD251" i="10"/>
  <c r="T251" i="10"/>
  <c r="AR248" i="10"/>
  <c r="AM248" i="10"/>
  <c r="AX246" i="10"/>
  <c r="AD246" i="10"/>
  <c r="AT245" i="10"/>
  <c r="AX244" i="10"/>
  <c r="AD244" i="10"/>
  <c r="AT243" i="10"/>
  <c r="AX242" i="10"/>
  <c r="Z242" i="10"/>
  <c r="BM241" i="10"/>
  <c r="U241" i="10"/>
  <c r="BN240" i="10"/>
  <c r="AX240" i="10"/>
  <c r="AD240" i="10"/>
  <c r="AO239" i="10"/>
  <c r="AC239" i="10"/>
  <c r="BC235" i="10"/>
  <c r="BC234" i="10"/>
  <c r="BB233" i="10"/>
  <c r="O233" i="10"/>
  <c r="BC232" i="10"/>
  <c r="AN231" i="10"/>
  <c r="AI231" i="10"/>
  <c r="T228" i="10"/>
  <c r="BH227" i="10"/>
  <c r="BC227" i="10"/>
  <c r="T226" i="10"/>
  <c r="BG224" i="10"/>
  <c r="AJ224" i="10"/>
  <c r="O224" i="10"/>
  <c r="CO213" i="10"/>
  <c r="CI213" i="10"/>
  <c r="AH211" i="10"/>
  <c r="BQ211" i="10" s="1"/>
  <c r="BV211" i="10" s="1"/>
  <c r="CA211" i="10" s="1"/>
  <c r="CF211" i="10" s="1"/>
  <c r="CK211" i="10" s="1"/>
  <c r="CP211" i="10" s="1"/>
  <c r="CU211" i="10" s="1"/>
  <c r="CZ211" i="10" s="1"/>
  <c r="DE211" i="10" s="1"/>
  <c r="DJ211" i="10" s="1"/>
  <c r="DO211" i="10" s="1"/>
  <c r="AD210" i="10"/>
  <c r="Y210" i="10"/>
  <c r="AS209" i="10"/>
  <c r="AE209" i="10"/>
  <c r="BN208" i="10"/>
  <c r="BB208" i="10"/>
  <c r="BG205" i="10"/>
  <c r="AW205" i="10"/>
  <c r="AM205" i="10"/>
  <c r="AC205" i="10"/>
  <c r="BI204" i="10"/>
  <c r="AY204" i="10"/>
  <c r="AD204" i="10"/>
  <c r="AS203" i="10"/>
  <c r="AC203" i="10"/>
  <c r="S203" i="10"/>
  <c r="BG201" i="10"/>
  <c r="AE201" i="10"/>
  <c r="BG199" i="10"/>
  <c r="AE199" i="10"/>
  <c r="AM198" i="10"/>
  <c r="AC198" i="10"/>
  <c r="AE197" i="10"/>
  <c r="BM190" i="10"/>
  <c r="BK123" i="10"/>
  <c r="BL123" i="10"/>
  <c r="AS184" i="10"/>
  <c r="AJ184" i="10"/>
  <c r="Z184" i="10"/>
  <c r="BM182" i="10"/>
  <c r="BD182" i="10"/>
  <c r="AT182" i="10"/>
  <c r="AD182" i="10"/>
  <c r="BH180" i="10"/>
  <c r="AY180" i="10"/>
  <c r="AO180" i="10"/>
  <c r="AC180" i="10"/>
  <c r="BK179" i="10"/>
  <c r="AY179" i="10"/>
  <c r="BN177" i="10"/>
  <c r="T177" i="10"/>
  <c r="AO172" i="10"/>
  <c r="BB169" i="10"/>
  <c r="AN169" i="10"/>
  <c r="P169" i="10"/>
  <c r="AJ168" i="10"/>
  <c r="AD168" i="10"/>
  <c r="AJ166" i="10"/>
  <c r="AD166" i="10"/>
  <c r="BF165" i="10"/>
  <c r="BN164" i="10"/>
  <c r="O162" i="10"/>
  <c r="BN158" i="10"/>
  <c r="BC158" i="10"/>
  <c r="AX158" i="10"/>
  <c r="Z157" i="10"/>
  <c r="O157" i="10"/>
  <c r="BN156" i="10"/>
  <c r="BC156" i="10"/>
  <c r="AX156" i="10"/>
  <c r="Z155" i="10"/>
  <c r="O155" i="10"/>
  <c r="BN154" i="10"/>
  <c r="AX154" i="10"/>
  <c r="AH153" i="10"/>
  <c r="BQ153" i="10" s="1"/>
  <c r="BV153" i="10" s="1"/>
  <c r="CA153" i="10" s="1"/>
  <c r="CF153" i="10" s="1"/>
  <c r="CK153" i="10" s="1"/>
  <c r="CP153" i="10" s="1"/>
  <c r="CU153" i="10" s="1"/>
  <c r="CZ153" i="10" s="1"/>
  <c r="DE153" i="10" s="1"/>
  <c r="DB153" i="10" s="1"/>
  <c r="BC152" i="10"/>
  <c r="Z152" i="10"/>
  <c r="BD149" i="10"/>
  <c r="AD149" i="10"/>
  <c r="P149" i="10"/>
  <c r="BI147" i="10"/>
  <c r="AO147" i="10"/>
  <c r="AD147" i="10"/>
  <c r="Y147" i="10"/>
  <c r="AD144" i="10"/>
  <c r="AW142" i="10"/>
  <c r="Z142" i="10"/>
  <c r="N142" i="10"/>
  <c r="AY135" i="10"/>
  <c r="AT135" i="10"/>
  <c r="AE135" i="10"/>
  <c r="Z135" i="10"/>
  <c r="AD134" i="10"/>
  <c r="Z130" i="10"/>
  <c r="AX189" i="10"/>
  <c r="AH189" i="10"/>
  <c r="BQ189" i="10" s="1"/>
  <c r="BV189" i="10" s="1"/>
  <c r="CA189" i="10" s="1"/>
  <c r="CF189" i="10" s="1"/>
  <c r="CK189" i="10" s="1"/>
  <c r="CP189" i="10" s="1"/>
  <c r="CU189" i="10" s="1"/>
  <c r="CZ189" i="10" s="1"/>
  <c r="DE189" i="10" s="1"/>
  <c r="DJ189" i="10" s="1"/>
  <c r="DO189" i="10" s="1"/>
  <c r="DT189" i="10" s="1"/>
  <c r="P189" i="10"/>
  <c r="BB187" i="10"/>
  <c r="AJ187" i="10"/>
  <c r="BD185" i="10"/>
  <c r="AR184" i="10"/>
  <c r="AH184" i="10"/>
  <c r="BQ184" i="10" s="1"/>
  <c r="BV184" i="10" s="1"/>
  <c r="CA184" i="10" s="1"/>
  <c r="CF184" i="10" s="1"/>
  <c r="CK184" i="10" s="1"/>
  <c r="CP184" i="10" s="1"/>
  <c r="CU184" i="10" s="1"/>
  <c r="CZ184" i="10" s="1"/>
  <c r="DE184" i="10" s="1"/>
  <c r="DJ184" i="10" s="1"/>
  <c r="DO184" i="10" s="1"/>
  <c r="DT184" i="10" s="1"/>
  <c r="AD183" i="10"/>
  <c r="N183" i="10"/>
  <c r="BL182" i="10"/>
  <c r="BB182" i="10"/>
  <c r="AN181" i="10"/>
  <c r="AE181" i="10"/>
  <c r="BG180" i="10"/>
  <c r="AW180" i="10"/>
  <c r="M180" i="10"/>
  <c r="AW179" i="10"/>
  <c r="O179" i="10"/>
  <c r="AJ177" i="10"/>
  <c r="BM172" i="10"/>
  <c r="AW172" i="10"/>
  <c r="AN172" i="10"/>
  <c r="AE172" i="10"/>
  <c r="P170" i="10"/>
  <c r="BH169" i="10"/>
  <c r="AL169" i="10"/>
  <c r="AH169" i="10"/>
  <c r="BQ169" i="10" s="1"/>
  <c r="BV169" i="10" s="1"/>
  <c r="CA169" i="10" s="1"/>
  <c r="CF169" i="10" s="1"/>
  <c r="CK169" i="10" s="1"/>
  <c r="CP169" i="10" s="1"/>
  <c r="CU169" i="10" s="1"/>
  <c r="CZ169" i="10" s="1"/>
  <c r="DE169" i="10" s="1"/>
  <c r="DJ169" i="10" s="1"/>
  <c r="DO169" i="10" s="1"/>
  <c r="DT169" i="10" s="1"/>
  <c r="O169" i="10"/>
  <c r="BG168" i="10"/>
  <c r="AR168" i="10"/>
  <c r="AI168" i="10"/>
  <c r="BB167" i="10"/>
  <c r="AQ167" i="10"/>
  <c r="AH167" i="10"/>
  <c r="BQ167" i="10" s="1"/>
  <c r="BV167" i="10" s="1"/>
  <c r="CA167" i="10" s="1"/>
  <c r="CF167" i="10" s="1"/>
  <c r="CK167" i="10" s="1"/>
  <c r="CP167" i="10" s="1"/>
  <c r="CU167" i="10" s="1"/>
  <c r="CZ167" i="10" s="1"/>
  <c r="DE167" i="10" s="1"/>
  <c r="DJ167" i="10" s="1"/>
  <c r="DO167" i="10" s="1"/>
  <c r="DT167" i="10" s="1"/>
  <c r="DR167" i="10" s="1"/>
  <c r="W167" i="10"/>
  <c r="O167" i="10"/>
  <c r="AR166" i="10"/>
  <c r="AI166" i="10"/>
  <c r="P166" i="10"/>
  <c r="AN165" i="10"/>
  <c r="N165" i="10"/>
  <c r="Z164" i="10"/>
  <c r="AX162" i="10"/>
  <c r="AJ162" i="10"/>
  <c r="Z162" i="10"/>
  <c r="N162" i="10"/>
  <c r="BB158" i="10"/>
  <c r="P158" i="10"/>
  <c r="BD157" i="10"/>
  <c r="N157" i="10"/>
  <c r="BB156" i="10"/>
  <c r="N155" i="10"/>
  <c r="AC147" i="10"/>
  <c r="BM146" i="10"/>
  <c r="AS146" i="10"/>
  <c r="AC144" i="10"/>
  <c r="AW143" i="10"/>
  <c r="AE142" i="10"/>
  <c r="Y142" i="10"/>
  <c r="R137" i="10"/>
  <c r="BK136" i="10"/>
  <c r="BA136" i="10"/>
  <c r="AQ136" i="10"/>
  <c r="AG136" i="10"/>
  <c r="AX135" i="10"/>
  <c r="AS135" i="10"/>
  <c r="AD135" i="10"/>
  <c r="Y135" i="10"/>
  <c r="BA134" i="10"/>
  <c r="AC134" i="10"/>
  <c r="R128" i="10"/>
  <c r="S128" i="10"/>
  <c r="T128" i="10"/>
  <c r="Y190" i="10"/>
  <c r="P190" i="10"/>
  <c r="BN189" i="10"/>
  <c r="AS188" i="10"/>
  <c r="AJ188" i="10"/>
  <c r="Z188" i="10"/>
  <c r="BM186" i="10"/>
  <c r="BD186" i="10"/>
  <c r="AT186" i="10"/>
  <c r="AD186" i="10"/>
  <c r="Z185" i="10"/>
  <c r="BN184" i="10"/>
  <c r="AX184" i="10"/>
  <c r="AT183" i="10"/>
  <c r="Y182" i="10"/>
  <c r="P182" i="10"/>
  <c r="BK181" i="10"/>
  <c r="AM181" i="10"/>
  <c r="S181" i="10"/>
  <c r="BM180" i="10"/>
  <c r="AI180" i="10"/>
  <c r="BH177" i="10"/>
  <c r="AR177" i="10"/>
  <c r="AI177" i="10"/>
  <c r="Z177" i="10"/>
  <c r="AM172" i="10"/>
  <c r="AT170" i="10"/>
  <c r="O170" i="10"/>
  <c r="BF169" i="10"/>
  <c r="AH168" i="10"/>
  <c r="BQ168" i="10" s="1"/>
  <c r="BV168" i="10" s="1"/>
  <c r="CA168" i="10" s="1"/>
  <c r="CF168" i="10" s="1"/>
  <c r="CK168" i="10" s="1"/>
  <c r="CP168" i="10" s="1"/>
  <c r="CU168" i="10" s="1"/>
  <c r="CZ168" i="10" s="1"/>
  <c r="DE168" i="10" s="1"/>
  <c r="DJ168" i="10" s="1"/>
  <c r="DO168" i="10" s="1"/>
  <c r="DT168" i="10" s="1"/>
  <c r="N167" i="10"/>
  <c r="AH166" i="10"/>
  <c r="BQ166" i="10" s="1"/>
  <c r="BV166" i="10" s="1"/>
  <c r="CA166" i="10" s="1"/>
  <c r="CF166" i="10" s="1"/>
  <c r="CK166" i="10" s="1"/>
  <c r="CP166" i="10" s="1"/>
  <c r="CU166" i="10" s="1"/>
  <c r="CZ166" i="10" s="1"/>
  <c r="DE166" i="10" s="1"/>
  <c r="DJ166" i="10" s="1"/>
  <c r="DO166" i="10" s="1"/>
  <c r="DT166" i="10" s="1"/>
  <c r="O166" i="10"/>
  <c r="BN165" i="10"/>
  <c r="BH164" i="10"/>
  <c r="X164" i="10"/>
  <c r="BC162" i="10"/>
  <c r="AH144" i="10"/>
  <c r="BQ144" i="10" s="1"/>
  <c r="BV144" i="10" s="1"/>
  <c r="CA144" i="10" s="1"/>
  <c r="CF144" i="10" s="1"/>
  <c r="CK144" i="10" s="1"/>
  <c r="CP144" i="10" s="1"/>
  <c r="CU144" i="10" s="1"/>
  <c r="CZ144" i="10" s="1"/>
  <c r="BN142" i="10"/>
  <c r="BB142" i="10"/>
  <c r="AD142" i="10"/>
  <c r="BC137" i="10"/>
  <c r="AR137" i="10"/>
  <c r="AW135" i="10"/>
  <c r="AC135" i="10"/>
  <c r="BM134" i="10"/>
  <c r="BL128" i="10"/>
  <c r="AI126" i="10"/>
  <c r="BH125" i="10"/>
  <c r="S123" i="10"/>
  <c r="BF120" i="10"/>
  <c r="BB120" i="10"/>
  <c r="AR120" i="10"/>
  <c r="AR119" i="10"/>
  <c r="BL118" i="10"/>
  <c r="N117" i="10"/>
  <c r="BM116" i="10"/>
  <c r="AV116" i="10"/>
  <c r="AH115" i="10"/>
  <c r="BQ115" i="10" s="1"/>
  <c r="BV115" i="10" s="1"/>
  <c r="CA115" i="10" s="1"/>
  <c r="CF115" i="10" s="1"/>
  <c r="CK115" i="10" s="1"/>
  <c r="CP115" i="10" s="1"/>
  <c r="CU115" i="10" s="1"/>
  <c r="CZ115" i="10" s="1"/>
  <c r="DB115" i="10" s="1"/>
  <c r="Y115" i="10"/>
  <c r="T108" i="10"/>
  <c r="AD104" i="10"/>
  <c r="BB100" i="10"/>
  <c r="AS100" i="10"/>
  <c r="Y99" i="10"/>
  <c r="AH98" i="10"/>
  <c r="BQ98" i="10" s="1"/>
  <c r="BV98" i="10" s="1"/>
  <c r="CA98" i="10" s="1"/>
  <c r="CF98" i="10" s="1"/>
  <c r="CK98" i="10" s="1"/>
  <c r="CP98" i="10" s="1"/>
  <c r="CU98" i="10" s="1"/>
  <c r="CZ98" i="10" s="1"/>
  <c r="DE98" i="10" s="1"/>
  <c r="DJ98" i="10" s="1"/>
  <c r="DO98" i="10" s="1"/>
  <c r="DT98" i="10" s="1"/>
  <c r="Y98" i="10"/>
  <c r="P96" i="10"/>
  <c r="BN95" i="10"/>
  <c r="AX95" i="10"/>
  <c r="X95" i="10"/>
  <c r="N95" i="10"/>
  <c r="BM94" i="10"/>
  <c r="AS93" i="10"/>
  <c r="BN89" i="10"/>
  <c r="AX89" i="10"/>
  <c r="AJ89" i="10"/>
  <c r="N89" i="10"/>
  <c r="Z88" i="10"/>
  <c r="AT87" i="10"/>
  <c r="BN86" i="10"/>
  <c r="Z86" i="10"/>
  <c r="AD85" i="10"/>
  <c r="AT84" i="10"/>
  <c r="BN83" i="10"/>
  <c r="AT83" i="10"/>
  <c r="AV81" i="10"/>
  <c r="AW81" i="10"/>
  <c r="W81" i="10"/>
  <c r="Y81" i="10"/>
  <c r="P100" i="10"/>
  <c r="BN99" i="10"/>
  <c r="X99" i="10"/>
  <c r="AT97" i="10"/>
  <c r="AD97" i="10"/>
  <c r="X96" i="10"/>
  <c r="N96" i="10"/>
  <c r="AJ94" i="10"/>
  <c r="Z94" i="10"/>
  <c r="AR93" i="10"/>
  <c r="AH93" i="10"/>
  <c r="BQ93" i="10" s="1"/>
  <c r="BV93" i="10" s="1"/>
  <c r="CA93" i="10" s="1"/>
  <c r="CF93" i="10" s="1"/>
  <c r="CK93" i="10" s="1"/>
  <c r="CP93" i="10" s="1"/>
  <c r="CU93" i="10" s="1"/>
  <c r="CZ93" i="10" s="1"/>
  <c r="DE93" i="10" s="1"/>
  <c r="DJ93" i="10" s="1"/>
  <c r="DO93" i="10" s="1"/>
  <c r="DT93" i="10" s="1"/>
  <c r="BL92" i="10"/>
  <c r="BB92" i="10"/>
  <c r="AN92" i="10"/>
  <c r="BD88" i="10"/>
  <c r="AD84" i="10"/>
  <c r="AD83" i="10"/>
  <c r="BC82" i="10"/>
  <c r="AY81" i="10"/>
  <c r="Z81" i="10"/>
  <c r="O128" i="10"/>
  <c r="T125" i="10"/>
  <c r="O125" i="10"/>
  <c r="AI124" i="10"/>
  <c r="U123" i="10"/>
  <c r="P123" i="10"/>
  <c r="BL122" i="10"/>
  <c r="BD120" i="10"/>
  <c r="AL120" i="10"/>
  <c r="AT119" i="10"/>
  <c r="AN119" i="10"/>
  <c r="P119" i="10"/>
  <c r="BN118" i="10"/>
  <c r="BH118" i="10"/>
  <c r="AJ118" i="10"/>
  <c r="BL117" i="10"/>
  <c r="AR116" i="10"/>
  <c r="BL115" i="10"/>
  <c r="BL114" i="10"/>
  <c r="BI108" i="10"/>
  <c r="AM107" i="10"/>
  <c r="AG82" i="10"/>
  <c r="AH82" i="10"/>
  <c r="BQ82" i="10" s="1"/>
  <c r="BV82" i="10" s="1"/>
  <c r="CA82" i="10" s="1"/>
  <c r="CF82" i="10" s="1"/>
  <c r="CK82" i="10" s="1"/>
  <c r="CP82" i="10" s="1"/>
  <c r="CU82" i="10" s="1"/>
  <c r="CZ82" i="10" s="1"/>
  <c r="DE82" i="10" s="1"/>
  <c r="DJ82" i="10" s="1"/>
  <c r="DO82" i="10" s="1"/>
  <c r="Z82" i="10"/>
  <c r="BK81" i="10"/>
  <c r="BN81" i="10"/>
  <c r="AB81" i="10"/>
  <c r="AC81" i="10"/>
  <c r="AD81" i="10"/>
  <c r="AV79" i="10"/>
  <c r="AX79" i="10"/>
  <c r="AJ126" i="10"/>
  <c r="X126" i="10"/>
  <c r="BI125" i="10"/>
  <c r="BD125" i="10"/>
  <c r="AR125" i="10"/>
  <c r="X125" i="10"/>
  <c r="S125" i="10"/>
  <c r="T123" i="10"/>
  <c r="O123" i="10"/>
  <c r="AR122" i="10"/>
  <c r="BC120" i="10"/>
  <c r="AT120" i="10"/>
  <c r="BB119" i="10"/>
  <c r="AS119" i="10"/>
  <c r="X119" i="10"/>
  <c r="N119" i="10"/>
  <c r="BM118" i="10"/>
  <c r="AR118" i="10"/>
  <c r="AH118" i="10"/>
  <c r="BQ118" i="10" s="1"/>
  <c r="BV118" i="10" s="1"/>
  <c r="CA118" i="10" s="1"/>
  <c r="CF118" i="10" s="1"/>
  <c r="CK118" i="10" s="1"/>
  <c r="CP118" i="10" s="1"/>
  <c r="CU118" i="10" s="1"/>
  <c r="CZ118" i="10" s="1"/>
  <c r="DE118" i="10" s="1"/>
  <c r="DJ118" i="10" s="1"/>
  <c r="DF118" i="10" s="1"/>
  <c r="P117" i="10"/>
  <c r="BN116" i="10"/>
  <c r="AJ115" i="10"/>
  <c r="Z115" i="10"/>
  <c r="N113" i="10"/>
  <c r="BH108" i="10"/>
  <c r="AS108" i="10"/>
  <c r="U108" i="10"/>
  <c r="S106" i="10"/>
  <c r="AE104" i="10"/>
  <c r="AH102" i="10"/>
  <c r="BQ102" i="10" s="1"/>
  <c r="BV102" i="10" s="1"/>
  <c r="CA102" i="10" s="1"/>
  <c r="CF102" i="10" s="1"/>
  <c r="CK102" i="10" s="1"/>
  <c r="CP102" i="10" s="1"/>
  <c r="CU102" i="10" s="1"/>
  <c r="CZ102" i="10" s="1"/>
  <c r="DE102" i="10" s="1"/>
  <c r="DJ102" i="10" s="1"/>
  <c r="DO102" i="10" s="1"/>
  <c r="DT102" i="10" s="1"/>
  <c r="Y102" i="10"/>
  <c r="BD100" i="10"/>
  <c r="AT100" i="10"/>
  <c r="BL99" i="10"/>
  <c r="BB99" i="10"/>
  <c r="Z99" i="10"/>
  <c r="AJ98" i="10"/>
  <c r="Z98" i="10"/>
  <c r="AR97" i="10"/>
  <c r="AH97" i="10"/>
  <c r="BQ97" i="10" s="1"/>
  <c r="BV97" i="10" s="1"/>
  <c r="CA97" i="10" s="1"/>
  <c r="CF97" i="10" s="1"/>
  <c r="CK97" i="10" s="1"/>
  <c r="CP97" i="10" s="1"/>
  <c r="CU97" i="10" s="1"/>
  <c r="CZ97" i="10" s="1"/>
  <c r="DE97" i="10" s="1"/>
  <c r="DJ97" i="10" s="1"/>
  <c r="DO97" i="10" s="1"/>
  <c r="DT97" i="10" s="1"/>
  <c r="BL96" i="10"/>
  <c r="BB96" i="10"/>
  <c r="AS96" i="10"/>
  <c r="AD96" i="10"/>
  <c r="Y95" i="10"/>
  <c r="P95" i="10"/>
  <c r="BN94" i="10"/>
  <c r="AT93" i="10"/>
  <c r="AD93" i="10"/>
  <c r="T92" i="10"/>
  <c r="AY89" i="10"/>
  <c r="AT85" i="10"/>
  <c r="BN84" i="10"/>
  <c r="AI84" i="10"/>
  <c r="Z84" i="10"/>
  <c r="AI83" i="10"/>
  <c r="Z83" i="10"/>
  <c r="AB82" i="10"/>
  <c r="AC82" i="10"/>
  <c r="AD82" i="10"/>
  <c r="AG80" i="10"/>
  <c r="AH80" i="10"/>
  <c r="BQ80" i="10" s="1"/>
  <c r="BV80" i="10" s="1"/>
  <c r="CA80" i="10" s="1"/>
  <c r="CF80" i="10" s="1"/>
  <c r="CK80" i="10" s="1"/>
  <c r="CP80" i="10" s="1"/>
  <c r="CU80" i="10" s="1"/>
  <c r="CZ80" i="10" s="1"/>
  <c r="CX80" i="10" s="1"/>
  <c r="S61" i="10"/>
  <c r="CI54" i="10"/>
  <c r="CE54" i="10"/>
  <c r="AC39" i="10"/>
  <c r="BM38" i="10"/>
  <c r="AD38" i="10"/>
  <c r="N38" i="10"/>
  <c r="BN36" i="10"/>
  <c r="BB36" i="10"/>
  <c r="AD36" i="10"/>
  <c r="Y36" i="10"/>
  <c r="AT35" i="10"/>
  <c r="AH35" i="10"/>
  <c r="BQ35" i="10" s="1"/>
  <c r="BV35" i="10" s="1"/>
  <c r="CA35" i="10" s="1"/>
  <c r="CF35" i="10" s="1"/>
  <c r="CK35" i="10" s="1"/>
  <c r="CP35" i="10" s="1"/>
  <c r="CU35" i="10" s="1"/>
  <c r="CZ35" i="10" s="1"/>
  <c r="DE35" i="10" s="1"/>
  <c r="DJ35" i="10" s="1"/>
  <c r="DO35" i="10" s="1"/>
  <c r="DT35" i="10" s="1"/>
  <c r="AX34" i="10"/>
  <c r="AS34" i="10"/>
  <c r="Y32" i="10"/>
  <c r="AR28" i="10"/>
  <c r="BL27" i="10"/>
  <c r="BD26" i="10"/>
  <c r="AS26" i="10"/>
  <c r="AN26" i="10"/>
  <c r="AJ25" i="10"/>
  <c r="BH24" i="10"/>
  <c r="BC24" i="10"/>
  <c r="X24" i="10"/>
  <c r="O24" i="10"/>
  <c r="BK23" i="10"/>
  <c r="P23" i="10"/>
  <c r="AQ22" i="10"/>
  <c r="BC19" i="10"/>
  <c r="AI19" i="10"/>
  <c r="L54" i="10"/>
  <c r="CG54" i="10"/>
  <c r="AY39" i="10"/>
  <c r="AT39" i="10"/>
  <c r="AC36" i="10"/>
  <c r="AS35" i="10"/>
  <c r="BB34" i="10"/>
  <c r="AW34" i="10"/>
  <c r="AE34" i="10"/>
  <c r="BN33" i="10"/>
  <c r="BB33" i="10"/>
  <c r="BI32" i="10"/>
  <c r="AW32" i="10"/>
  <c r="M32" i="10"/>
  <c r="T31" i="10"/>
  <c r="BN30" i="10"/>
  <c r="BH30" i="10"/>
  <c r="Z30" i="10"/>
  <c r="U30" i="10"/>
  <c r="Y29" i="10"/>
  <c r="X28" i="10"/>
  <c r="U27" i="10"/>
  <c r="BI26" i="10"/>
  <c r="P26" i="10"/>
  <c r="U25" i="10"/>
  <c r="AJ23" i="10"/>
  <c r="BH22" i="10"/>
  <c r="X21" i="10"/>
  <c r="BC20" i="10"/>
  <c r="AR20" i="10"/>
  <c r="AI20" i="10"/>
  <c r="AM19" i="10"/>
  <c r="BH64" i="10"/>
  <c r="AS64" i="10"/>
  <c r="T64" i="10"/>
  <c r="BM63" i="10"/>
  <c r="X63" i="10"/>
  <c r="AN62" i="10"/>
  <c r="Y62" i="10"/>
  <c r="BH61" i="10"/>
  <c r="AO61" i="10"/>
  <c r="U61" i="10"/>
  <c r="P61" i="10"/>
  <c r="BI60" i="10"/>
  <c r="P60" i="10"/>
  <c r="BL59" i="10"/>
  <c r="AO59" i="10"/>
  <c r="T58" i="10"/>
  <c r="X57" i="10"/>
  <c r="AN52" i="10"/>
  <c r="AH52" i="10"/>
  <c r="BQ52" i="10" s="1"/>
  <c r="BV52" i="10" s="1"/>
  <c r="CA52" i="10" s="1"/>
  <c r="CF52" i="10" s="1"/>
  <c r="CK52" i="10" s="1"/>
  <c r="CP52" i="10" s="1"/>
  <c r="CU52" i="10" s="1"/>
  <c r="CZ52" i="10" s="1"/>
  <c r="DE52" i="10" s="1"/>
  <c r="DJ52" i="10" s="1"/>
  <c r="DO52" i="10" s="1"/>
  <c r="DT52" i="10" s="1"/>
  <c r="AM51" i="10"/>
  <c r="AY50" i="10"/>
  <c r="AD50" i="10"/>
  <c r="P50" i="10"/>
  <c r="AC45" i="10"/>
  <c r="X45" i="10"/>
  <c r="BM44" i="10"/>
  <c r="T44" i="10"/>
  <c r="AX39" i="10"/>
  <c r="AS39" i="10"/>
  <c r="Z39" i="10"/>
  <c r="AE37" i="10"/>
  <c r="N34" i="10"/>
  <c r="BM33" i="10"/>
  <c r="AJ33" i="10"/>
  <c r="T33" i="10"/>
  <c r="BN32" i="10"/>
  <c r="BH32" i="10"/>
  <c r="BM30" i="10"/>
  <c r="Y30" i="10"/>
  <c r="T30" i="10"/>
  <c r="BN29" i="10"/>
  <c r="X29" i="10"/>
  <c r="T27" i="10"/>
  <c r="AH81" i="10"/>
  <c r="BQ81" i="10" s="1"/>
  <c r="BV81" i="10" s="1"/>
  <c r="CA81" i="10" s="1"/>
  <c r="CF81" i="10" s="1"/>
  <c r="CK81" i="10" s="1"/>
  <c r="CP81" i="10" s="1"/>
  <c r="CU81" i="10" s="1"/>
  <c r="CZ81" i="10" s="1"/>
  <c r="DE81" i="10" s="1"/>
  <c r="DJ81" i="10" s="1"/>
  <c r="AX80" i="10"/>
  <c r="AE79" i="10"/>
  <c r="Z79" i="10"/>
  <c r="N79" i="10"/>
  <c r="AR64" i="10"/>
  <c r="BL63" i="10"/>
  <c r="AS63" i="10"/>
  <c r="BM62" i="10"/>
  <c r="X62" i="10"/>
  <c r="AM61" i="10"/>
  <c r="T61" i="10"/>
  <c r="BH60" i="10"/>
  <c r="U60" i="10"/>
  <c r="AN59" i="10"/>
  <c r="AR58" i="10"/>
  <c r="BM57" i="10"/>
  <c r="AJ57" i="10"/>
  <c r="AJ44" i="10"/>
  <c r="Z44" i="10"/>
  <c r="S44" i="10"/>
  <c r="BB39" i="10"/>
  <c r="AW39" i="10"/>
  <c r="AE39" i="10"/>
  <c r="AD37" i="10"/>
  <c r="AE36" i="10"/>
  <c r="Z36" i="10"/>
  <c r="N36" i="10"/>
  <c r="AY34" i="10"/>
  <c r="AT34" i="10"/>
  <c r="AH34" i="10"/>
  <c r="BQ34" i="10" s="1"/>
  <c r="BV34" i="10" s="1"/>
  <c r="CA34" i="10" s="1"/>
  <c r="CF34" i="10" s="1"/>
  <c r="CK34" i="10" s="1"/>
  <c r="CP34" i="10" s="1"/>
  <c r="CU34" i="10" s="1"/>
  <c r="CZ34" i="10" s="1"/>
  <c r="DE34" i="10" s="1"/>
  <c r="DJ34" i="10" s="1"/>
  <c r="DO34" i="10" s="1"/>
  <c r="DT34" i="10" s="1"/>
  <c r="Z34" i="10"/>
  <c r="Y33" i="10"/>
  <c r="BM32" i="10"/>
  <c r="AN32" i="10"/>
  <c r="Z32" i="10"/>
  <c r="T32" i="10"/>
  <c r="AO31" i="10"/>
  <c r="X31" i="10"/>
  <c r="AV30" i="10"/>
  <c r="X30" i="10"/>
  <c r="BM27" i="10"/>
  <c r="BH27" i="10"/>
  <c r="X27" i="10"/>
  <c r="BM26" i="10"/>
  <c r="AO26" i="10"/>
  <c r="T26" i="10"/>
  <c r="BC25" i="10"/>
  <c r="P25" i="10"/>
  <c r="BD24" i="10"/>
  <c r="AO24" i="10"/>
  <c r="AN23" i="10"/>
  <c r="BL22" i="10"/>
  <c r="AM22" i="10"/>
  <c r="AE21" i="10"/>
  <c r="BH20" i="10"/>
  <c r="AY20" i="10"/>
  <c r="AN20" i="10"/>
  <c r="BD19" i="10"/>
  <c r="AR19" i="10"/>
  <c r="AJ19" i="10"/>
  <c r="BA61" i="9"/>
  <c r="BA98" i="4" s="1"/>
  <c r="AO15" i="9"/>
  <c r="AO17" i="9" s="1"/>
  <c r="AC15" i="9"/>
  <c r="AC17" i="9" s="1"/>
  <c r="BF61" i="9"/>
  <c r="BF98" i="4" s="1"/>
  <c r="AR15" i="9"/>
  <c r="AR17" i="9" s="1"/>
  <c r="AN15" i="9"/>
  <c r="AN17" i="9" s="1"/>
  <c r="X15" i="9"/>
  <c r="X17" i="9" s="1"/>
  <c r="AN23" i="47"/>
  <c r="AN29" i="47"/>
  <c r="AS390" i="47"/>
  <c r="AL372" i="47"/>
  <c r="AG350" i="47"/>
  <c r="AJ318" i="47"/>
  <c r="BG323" i="47"/>
  <c r="AK230" i="47"/>
  <c r="AB159" i="47"/>
  <c r="AT147" i="47"/>
  <c r="AV146" i="47"/>
  <c r="AV230" i="47" s="1"/>
  <c r="AM73" i="47"/>
  <c r="AC73" i="47"/>
  <c r="BB70" i="47"/>
  <c r="AM58" i="47"/>
  <c r="AH58" i="47"/>
  <c r="AR52" i="47"/>
  <c r="AG27" i="47"/>
  <c r="BB25" i="47"/>
  <c r="BM19" i="47"/>
  <c r="BM20" i="47" s="1"/>
  <c r="AA22" i="47"/>
  <c r="AD22" i="47"/>
  <c r="AR22" i="47"/>
  <c r="AU390" i="47"/>
  <c r="AQ390" i="47"/>
  <c r="AP318" i="47"/>
  <c r="AV292" i="47"/>
  <c r="AU292" i="47" s="1"/>
  <c r="AZ230" i="47"/>
  <c r="AV199" i="47"/>
  <c r="AT146" i="47"/>
  <c r="AT230" i="47" s="1"/>
  <c r="AB135" i="47"/>
  <c r="AL62" i="47"/>
  <c r="AL206" i="47" s="1"/>
  <c r="AL214" i="47" s="1"/>
  <c r="AG62" i="47"/>
  <c r="AB62" i="47"/>
  <c r="X62" i="47"/>
  <c r="AU22" i="47"/>
  <c r="AB372" i="47"/>
  <c r="AI350" i="47"/>
  <c r="AI63" i="9" s="1"/>
  <c r="AI62" i="9" s="1"/>
  <c r="AN257" i="47"/>
  <c r="BI236" i="47"/>
  <c r="BF199" i="47"/>
  <c r="AI75" i="47"/>
  <c r="AI207" i="47" s="1"/>
  <c r="AD75" i="47"/>
  <c r="AU62" i="47"/>
  <c r="AU206" i="47" s="1"/>
  <c r="AU214" i="47" s="1"/>
  <c r="AP62" i="47"/>
  <c r="AP206" i="47" s="1"/>
  <c r="AA62" i="47"/>
  <c r="AL61" i="47"/>
  <c r="AL205" i="47" s="1"/>
  <c r="AL211" i="47" s="1"/>
  <c r="AB61" i="47"/>
  <c r="X61" i="47"/>
  <c r="AI29" i="47"/>
  <c r="AT20" i="47"/>
  <c r="AT22" i="47" s="1"/>
  <c r="AQ19" i="47"/>
  <c r="AQ20" i="47" s="1"/>
  <c r="AE22" i="47"/>
  <c r="AE23" i="47" s="1"/>
  <c r="Z22" i="47"/>
  <c r="AK13" i="45"/>
  <c r="AJ59" i="45"/>
  <c r="AJ58" i="45" s="1"/>
  <c r="AU21" i="45"/>
  <c r="AU26" i="45" s="1"/>
  <c r="AU19" i="45"/>
  <c r="AZ19" i="45" s="1"/>
  <c r="BE19" i="45" s="1"/>
  <c r="BJ19" i="45" s="1"/>
  <c r="BO19" i="45" s="1"/>
  <c r="AC22" i="45"/>
  <c r="AC23" i="3" s="1"/>
  <c r="AC26" i="45"/>
  <c r="AK12" i="45"/>
  <c r="AL12" i="45" s="1"/>
  <c r="AJ15" i="45"/>
  <c r="AJ17" i="45" s="1"/>
  <c r="AJ20" i="4" s="1"/>
  <c r="AH67" i="45"/>
  <c r="AM75" i="45" s="1"/>
  <c r="AQ67" i="45"/>
  <c r="BD67" i="45"/>
  <c r="BP67" i="45"/>
  <c r="AD67" i="45"/>
  <c r="Z67" i="45"/>
  <c r="AI67" i="45"/>
  <c r="BH67" i="45"/>
  <c r="BQ67" i="45"/>
  <c r="BQ50" i="44" s="1"/>
  <c r="AP67" i="45"/>
  <c r="BL67" i="45"/>
  <c r="BL50" i="44" s="1"/>
  <c r="AA67" i="45"/>
  <c r="AL67" i="45"/>
  <c r="AZ67" i="45"/>
  <c r="BI67" i="45"/>
  <c r="BA67" i="45"/>
  <c r="AU78" i="45"/>
  <c r="AE19" i="45"/>
  <c r="AE21" i="45" s="1"/>
  <c r="AE22" i="45" s="1"/>
  <c r="Z15" i="45"/>
  <c r="Z17" i="45" s="1"/>
  <c r="Z20" i="4" s="1"/>
  <c r="AO10" i="45"/>
  <c r="AF19" i="45"/>
  <c r="AF21" i="45" s="1"/>
  <c r="AF22" i="45" s="1"/>
  <c r="AC58" i="45"/>
  <c r="AL38" i="45"/>
  <c r="AL81" i="4" s="1"/>
  <c r="AG15" i="45"/>
  <c r="AG17" i="45" s="1"/>
  <c r="AC68" i="45"/>
  <c r="AG78" i="45"/>
  <c r="X71" i="45"/>
  <c r="AK38" i="45"/>
  <c r="AK81" i="4" s="1"/>
  <c r="AB15" i="45"/>
  <c r="AB17" i="45" s="1"/>
  <c r="AU23" i="8"/>
  <c r="AU29" i="8"/>
  <c r="AA23" i="8"/>
  <c r="AA29" i="8"/>
  <c r="AJ29" i="8"/>
  <c r="AJ23" i="8"/>
  <c r="AE23" i="8"/>
  <c r="AE29" i="8"/>
  <c r="AE60" i="8" s="1"/>
  <c r="Y219" i="8"/>
  <c r="AK204" i="8"/>
  <c r="AG204" i="8"/>
  <c r="BB163" i="8"/>
  <c r="AE137" i="8"/>
  <c r="AA137" i="8"/>
  <c r="BD132" i="8"/>
  <c r="BD95" i="4" s="1"/>
  <c r="AM127" i="8"/>
  <c r="AR120" i="8"/>
  <c r="BA113" i="8"/>
  <c r="AM104" i="8"/>
  <c r="AM105" i="8" s="1"/>
  <c r="AO102" i="8"/>
  <c r="AM96" i="8"/>
  <c r="AK91" i="8"/>
  <c r="AK94" i="8" s="1"/>
  <c r="AN73" i="8"/>
  <c r="BO98" i="8"/>
  <c r="BJ98" i="8"/>
  <c r="AZ98" i="8"/>
  <c r="BB98" i="8" s="1"/>
  <c r="BB222" i="8"/>
  <c r="AO22" i="8"/>
  <c r="AR221" i="8"/>
  <c r="AX220" i="8"/>
  <c r="AQ204" i="8"/>
  <c r="AB183" i="8"/>
  <c r="AB179" i="8" s="1"/>
  <c r="AL136" i="8"/>
  <c r="AQ132" i="8"/>
  <c r="AQ95" i="4" s="1"/>
  <c r="BB129" i="8"/>
  <c r="AI127" i="8"/>
  <c r="AA127" i="8"/>
  <c r="AY113" i="8"/>
  <c r="AY112" i="8" s="1"/>
  <c r="AY14" i="8" s="1"/>
  <c r="AC113" i="8"/>
  <c r="AC57" i="8" s="1"/>
  <c r="AH104" i="8"/>
  <c r="AH105" i="8" s="1"/>
  <c r="AF94" i="8"/>
  <c r="AF93" i="8"/>
  <c r="AF48" i="8" s="1"/>
  <c r="AY89" i="8"/>
  <c r="AY93" i="8" s="1"/>
  <c r="AB89" i="8"/>
  <c r="AT104" i="8"/>
  <c r="AP104" i="8"/>
  <c r="AN74" i="8"/>
  <c r="Z29" i="8"/>
  <c r="AR27" i="8"/>
  <c r="AG27" i="8"/>
  <c r="AF22" i="8"/>
  <c r="Y187" i="8"/>
  <c r="AE127" i="8"/>
  <c r="AO113" i="8"/>
  <c r="AO57" i="8" s="1"/>
  <c r="AU104" i="8"/>
  <c r="AJ102" i="8"/>
  <c r="AF102" i="8"/>
  <c r="AK70" i="8"/>
  <c r="AB77" i="8"/>
  <c r="AQ69" i="8"/>
  <c r="Y23" i="8"/>
  <c r="AM22" i="8"/>
  <c r="AM202" i="8" s="1"/>
  <c r="AM215" i="8" s="1"/>
  <c r="AC120" i="5"/>
  <c r="AC114" i="5"/>
  <c r="AS24" i="5"/>
  <c r="AS30" i="5"/>
  <c r="Y24" i="5"/>
  <c r="Y30" i="5"/>
  <c r="AT24" i="5"/>
  <c r="AT30" i="5"/>
  <c r="AT34" i="5" s="1"/>
  <c r="AT39" i="5" s="1"/>
  <c r="AM24" i="5"/>
  <c r="AM221" i="5"/>
  <c r="AM234" i="5" s="1"/>
  <c r="AH221" i="5"/>
  <c r="AH234" i="5" s="1"/>
  <c r="AH30" i="5"/>
  <c r="AH24" i="5"/>
  <c r="BO74" i="5"/>
  <c r="BP131" i="5"/>
  <c r="AO24" i="5"/>
  <c r="AO30" i="5"/>
  <c r="AH240" i="5"/>
  <c r="AC240" i="5"/>
  <c r="AJ239" i="5"/>
  <c r="AM239" i="5" s="1"/>
  <c r="Z239" i="5"/>
  <c r="AQ223" i="5"/>
  <c r="AI223" i="5"/>
  <c r="AZ190" i="5"/>
  <c r="AP184" i="5"/>
  <c r="BL148" i="5"/>
  <c r="AJ145" i="5"/>
  <c r="AG128" i="5"/>
  <c r="AG73" i="5" s="1"/>
  <c r="AC128" i="5"/>
  <c r="AC73" i="5" s="1"/>
  <c r="AC112" i="5"/>
  <c r="AC51" i="5" s="1"/>
  <c r="AR108" i="5"/>
  <c r="AR120" i="5" s="1"/>
  <c r="AU30" i="5"/>
  <c r="AQ28" i="5"/>
  <c r="AM30" i="5"/>
  <c r="AD30" i="5"/>
  <c r="AG15" i="5"/>
  <c r="AO239" i="5"/>
  <c r="AR239" i="5" s="1"/>
  <c r="AR243" i="5" s="1"/>
  <c r="AY190" i="5"/>
  <c r="AY124" i="4" s="1"/>
  <c r="AB175" i="5"/>
  <c r="AJ154" i="5"/>
  <c r="AF154" i="5"/>
  <c r="AB154" i="5"/>
  <c r="X154" i="5"/>
  <c r="AN145" i="5"/>
  <c r="X145" i="5"/>
  <c r="AH112" i="5"/>
  <c r="AH51" i="5" s="1"/>
  <c r="AL106" i="5"/>
  <c r="AJ120" i="5"/>
  <c r="AT122" i="5"/>
  <c r="AT123" i="5" s="1"/>
  <c r="AP122" i="5"/>
  <c r="AP123" i="5" s="1"/>
  <c r="BI116" i="5"/>
  <c r="AB10" i="5"/>
  <c r="Y254" i="5"/>
  <c r="Y79" i="5" s="1"/>
  <c r="AK223" i="5"/>
  <c r="AO206" i="5"/>
  <c r="BC190" i="5"/>
  <c r="BC124" i="4" s="1"/>
  <c r="AN184" i="5"/>
  <c r="AM176" i="5"/>
  <c r="AC175" i="5"/>
  <c r="AR154" i="5"/>
  <c r="AN154" i="5"/>
  <c r="BM148" i="5"/>
  <c r="BQ148" i="5" s="1"/>
  <c r="AR145" i="5"/>
  <c r="Y138" i="5"/>
  <c r="Y108" i="5"/>
  <c r="Y114" i="5" s="1"/>
  <c r="AQ106" i="5"/>
  <c r="AO93" i="5"/>
  <c r="AK89" i="5"/>
  <c r="AN30" i="5"/>
  <c r="AB15" i="5"/>
  <c r="AB17" i="5" s="1"/>
  <c r="AB18" i="4" s="1"/>
  <c r="AQ122" i="5"/>
  <c r="AG17" i="5"/>
  <c r="AO243" i="5"/>
  <c r="AP238" i="5" s="1"/>
  <c r="AP243" i="5" s="1"/>
  <c r="AQ238" i="5" s="1"/>
  <c r="AQ243" i="5" s="1"/>
  <c r="AE184" i="5"/>
  <c r="AC138" i="5"/>
  <c r="AP131" i="5"/>
  <c r="AP74" i="5" s="1"/>
  <c r="AN96" i="5"/>
  <c r="X23" i="5"/>
  <c r="X221" i="5" s="1"/>
  <c r="X234" i="5" s="1"/>
  <c r="AB212" i="44"/>
  <c r="AB122" i="8" s="1"/>
  <c r="AA198" i="44"/>
  <c r="AR193" i="44"/>
  <c r="AN193" i="44"/>
  <c r="AB179" i="44"/>
  <c r="AB137" i="5" s="1"/>
  <c r="AQ170" i="44"/>
  <c r="AG165" i="44"/>
  <c r="AQ151" i="44"/>
  <c r="AF142" i="44"/>
  <c r="AF186" i="8" s="1"/>
  <c r="AF187" i="8" s="1"/>
  <c r="AU137" i="44"/>
  <c r="Y137" i="44"/>
  <c r="Y205" i="5" s="1"/>
  <c r="Y206" i="5" s="1"/>
  <c r="AI137" i="44"/>
  <c r="AI205" i="5" s="1"/>
  <c r="AI206" i="5" s="1"/>
  <c r="AI215" i="5" s="1"/>
  <c r="AS137" i="44"/>
  <c r="AH78" i="44"/>
  <c r="AY26" i="44"/>
  <c r="AE198" i="44"/>
  <c r="AA193" i="44"/>
  <c r="AQ198" i="44"/>
  <c r="AB165" i="44"/>
  <c r="AT142" i="44"/>
  <c r="AO142" i="44"/>
  <c r="AO186" i="8" s="1"/>
  <c r="AO187" i="8" s="1"/>
  <c r="AO196" i="8" s="1"/>
  <c r="AJ142" i="44"/>
  <c r="AJ186" i="8" s="1"/>
  <c r="AF137" i="44"/>
  <c r="AF205" i="5" s="1"/>
  <c r="AA137" i="44"/>
  <c r="AA205" i="5" s="1"/>
  <c r="AA206" i="5" s="1"/>
  <c r="AA216" i="5" s="1"/>
  <c r="AQ123" i="44"/>
  <c r="X88" i="44"/>
  <c r="AL212" i="44"/>
  <c r="AL122" i="8" s="1"/>
  <c r="AL127" i="8" s="1"/>
  <c r="AQ207" i="44"/>
  <c r="AQ140" i="5" s="1"/>
  <c r="AQ154" i="5" s="1"/>
  <c r="AG207" i="44"/>
  <c r="AG140" i="5" s="1"/>
  <c r="AU198" i="44"/>
  <c r="AI198" i="44"/>
  <c r="AS193" i="44"/>
  <c r="AI193" i="44"/>
  <c r="AE193" i="44"/>
  <c r="AQ184" i="44"/>
  <c r="AQ119" i="8" s="1"/>
  <c r="AG170" i="44"/>
  <c r="AB195" i="44"/>
  <c r="AB198" i="44" s="1"/>
  <c r="AB156" i="44"/>
  <c r="AB151" i="44"/>
  <c r="AD142" i="44"/>
  <c r="AD186" i="8" s="1"/>
  <c r="AD187" i="8" s="1"/>
  <c r="Z142" i="44"/>
  <c r="Z186" i="8" s="1"/>
  <c r="Z187" i="8" s="1"/>
  <c r="AE137" i="44"/>
  <c r="AE205" i="5" s="1"/>
  <c r="AE206" i="5" s="1"/>
  <c r="AE215" i="5" s="1"/>
  <c r="AN137" i="44"/>
  <c r="AN205" i="5" s="1"/>
  <c r="AN206" i="5" s="1"/>
  <c r="X67" i="44"/>
  <c r="AQ212" i="44"/>
  <c r="AQ122" i="8" s="1"/>
  <c r="AQ118" i="8" s="1"/>
  <c r="AO198" i="44"/>
  <c r="AJ198" i="44"/>
  <c r="AF198" i="44"/>
  <c r="X198" i="44"/>
  <c r="AR198" i="44"/>
  <c r="AN198" i="44"/>
  <c r="AT198" i="44"/>
  <c r="AP193" i="44"/>
  <c r="AK193" i="44"/>
  <c r="AC193" i="44"/>
  <c r="Y193" i="44"/>
  <c r="AB184" i="44"/>
  <c r="AB119" i="8" s="1"/>
  <c r="AG179" i="44"/>
  <c r="AG137" i="5" s="1"/>
  <c r="AQ192" i="44"/>
  <c r="AQ165" i="44"/>
  <c r="AG188" i="44"/>
  <c r="AG193" i="44" s="1"/>
  <c r="AB190" i="44"/>
  <c r="AB193" i="44" s="1"/>
  <c r="AK137" i="44"/>
  <c r="AK205" i="5" s="1"/>
  <c r="AK206" i="5" s="1"/>
  <c r="X137" i="44"/>
  <c r="X205" i="5" s="1"/>
  <c r="X206" i="5" s="1"/>
  <c r="AR137" i="44"/>
  <c r="AR205" i="5" s="1"/>
  <c r="AQ205" i="5" s="1"/>
  <c r="AL128" i="44"/>
  <c r="AQ128" i="44"/>
  <c r="AC25" i="44"/>
  <c r="AC243" i="5" s="1"/>
  <c r="AH238" i="5" s="1"/>
  <c r="AH245" i="5" s="1"/>
  <c r="AP217" i="4"/>
  <c r="AP237" i="4"/>
  <c r="AP238" i="4"/>
  <c r="AO222" i="4"/>
  <c r="AO206" i="4"/>
  <c r="Z222" i="4"/>
  <c r="Z206" i="4"/>
  <c r="AK216" i="4"/>
  <c r="AK225" i="4" s="1"/>
  <c r="AG216" i="4"/>
  <c r="AC216" i="4"/>
  <c r="Y216" i="4"/>
  <c r="U216" i="4"/>
  <c r="U225" i="4" s="1"/>
  <c r="Q216" i="4"/>
  <c r="M216" i="4"/>
  <c r="I216" i="4"/>
  <c r="I239" i="4" s="1"/>
  <c r="E216" i="4"/>
  <c r="AE216" i="4"/>
  <c r="AA216" i="4"/>
  <c r="S216" i="4"/>
  <c r="O216" i="4"/>
  <c r="G216" i="4"/>
  <c r="M204" i="4"/>
  <c r="M222" i="4" s="1"/>
  <c r="AU216" i="4"/>
  <c r="AM216" i="4"/>
  <c r="AD204" i="4"/>
  <c r="AX186" i="4"/>
  <c r="AY186" i="4" s="1"/>
  <c r="AZ186" i="4" s="1"/>
  <c r="BA186" i="4" s="1"/>
  <c r="BB186" i="4" s="1"/>
  <c r="BC186" i="4" s="1"/>
  <c r="BD186" i="4" s="1"/>
  <c r="BE186" i="4" s="1"/>
  <c r="BF186" i="4" s="1"/>
  <c r="BG186" i="4" s="1"/>
  <c r="BH186" i="4" s="1"/>
  <c r="BI186" i="4" s="1"/>
  <c r="BJ186" i="4" s="1"/>
  <c r="BK186" i="4" s="1"/>
  <c r="BL186" i="4" s="1"/>
  <c r="BM186" i="4" s="1"/>
  <c r="BN186" i="4" s="1"/>
  <c r="BO186" i="4" s="1"/>
  <c r="BP186" i="4" s="1"/>
  <c r="BQ186" i="4" s="1"/>
  <c r="AU187" i="4"/>
  <c r="AC187" i="4"/>
  <c r="AB186" i="4"/>
  <c r="AK31" i="4"/>
  <c r="AK35" i="4"/>
  <c r="AF35" i="4"/>
  <c r="AF31" i="4"/>
  <c r="N237" i="4"/>
  <c r="X244" i="4"/>
  <c r="CP31" i="3" s="1"/>
  <c r="V225" i="4"/>
  <c r="AG204" i="4"/>
  <c r="AB203" i="4"/>
  <c r="AC204" i="4"/>
  <c r="H203" i="4"/>
  <c r="I204" i="4"/>
  <c r="H194" i="4"/>
  <c r="I195" i="4"/>
  <c r="AG195" i="4"/>
  <c r="E206" i="4"/>
  <c r="AM187" i="4"/>
  <c r="F181" i="4"/>
  <c r="Y168" i="4"/>
  <c r="Y181" i="4" s="1"/>
  <c r="Y208" i="4" s="1"/>
  <c r="AL168" i="4"/>
  <c r="BL137" i="4"/>
  <c r="BG137" i="4"/>
  <c r="BB137" i="4"/>
  <c r="AQ27" i="4"/>
  <c r="K24" i="4"/>
  <c r="AL216" i="4"/>
  <c r="W174" i="4"/>
  <c r="R174" i="4"/>
  <c r="AP168" i="4"/>
  <c r="AS30" i="4"/>
  <c r="AJ30" i="4"/>
  <c r="Z30" i="4"/>
  <c r="Z31" i="4" s="1"/>
  <c r="N30" i="4"/>
  <c r="N231" i="4" s="1"/>
  <c r="N244" i="4" s="1"/>
  <c r="P30" i="4"/>
  <c r="Q15" i="4"/>
  <c r="Q23" i="4" s="1"/>
  <c r="W187" i="4"/>
  <c r="R187" i="4"/>
  <c r="N168" i="4"/>
  <c r="AI168" i="4"/>
  <c r="DD153" i="4"/>
  <c r="AM152" i="4"/>
  <c r="DE64" i="3" s="1"/>
  <c r="W149" i="4"/>
  <c r="W67" i="4" s="1"/>
  <c r="BG142" i="4"/>
  <c r="DY55" i="3" s="1"/>
  <c r="AJ138" i="4"/>
  <c r="U138" i="4"/>
  <c r="K138" i="4"/>
  <c r="BB41" i="4"/>
  <c r="W27" i="4"/>
  <c r="W28" i="4" s="1"/>
  <c r="V30" i="4"/>
  <c r="AC30" i="4"/>
  <c r="L206" i="4"/>
  <c r="AS187" i="4"/>
  <c r="AS206" i="4" s="1"/>
  <c r="V181" i="4"/>
  <c r="AJ181" i="4"/>
  <c r="AJ208" i="4" s="1"/>
  <c r="AE181" i="4"/>
  <c r="S174" i="4"/>
  <c r="P168" i="4"/>
  <c r="L168" i="4"/>
  <c r="CZ155" i="4"/>
  <c r="AP153" i="4"/>
  <c r="F153" i="4"/>
  <c r="R149" i="4"/>
  <c r="R67" i="4" s="1"/>
  <c r="AB147" i="4"/>
  <c r="AP142" i="4"/>
  <c r="AP143" i="4" s="1"/>
  <c r="AA142" i="4"/>
  <c r="AA143" i="4" s="1"/>
  <c r="AA63" i="9" s="1"/>
  <c r="AA62" i="9" s="1"/>
  <c r="AG141" i="4"/>
  <c r="AQ138" i="4"/>
  <c r="AL138" i="4"/>
  <c r="AG137" i="4"/>
  <c r="CY137" i="4"/>
  <c r="AP35" i="4"/>
  <c r="J35" i="4"/>
  <c r="M28" i="4"/>
  <c r="AO30" i="4"/>
  <c r="I30" i="4"/>
  <c r="I231" i="4" s="1"/>
  <c r="I244" i="4" s="1"/>
  <c r="AH30" i="4"/>
  <c r="T30" i="4"/>
  <c r="AM54" i="3"/>
  <c r="AR45" i="3"/>
  <c r="DJ13" i="3"/>
  <c r="AR54" i="3" s="1"/>
  <c r="C13" i="52"/>
  <c r="AH26" i="66"/>
  <c r="AH45" i="66" s="1"/>
  <c r="AH88" i="66"/>
  <c r="AH96" i="66" s="1"/>
  <c r="AH22" i="66"/>
  <c r="AC22" i="66"/>
  <c r="AC26" i="66"/>
  <c r="AC45" i="66" s="1"/>
  <c r="AC88" i="66"/>
  <c r="AC96" i="66" s="1"/>
  <c r="AC67" i="66"/>
  <c r="AW15" i="66"/>
  <c r="AW17" i="66" s="1"/>
  <c r="AF12" i="66"/>
  <c r="AF12" i="9" s="1"/>
  <c r="AF15" i="9" s="1"/>
  <c r="AF17" i="9" s="1"/>
  <c r="AW10" i="66"/>
  <c r="AL53" i="66"/>
  <c r="BG21" i="66"/>
  <c r="Z12" i="66"/>
  <c r="Z12" i="9" s="1"/>
  <c r="Z15" i="9" s="1"/>
  <c r="Z17" i="9" s="1"/>
  <c r="AD12" i="66"/>
  <c r="AD12" i="9" s="1"/>
  <c r="Y12" i="66"/>
  <c r="Y12" i="9" s="1"/>
  <c r="Y15" i="9" s="1"/>
  <c r="Y17" i="9" s="1"/>
  <c r="AE67" i="66"/>
  <c r="AA67" i="66"/>
  <c r="AH39" i="66"/>
  <c r="BL15" i="66"/>
  <c r="BL17" i="66" s="1"/>
  <c r="AR10" i="66"/>
  <c r="AA12" i="66"/>
  <c r="AA12" i="9" s="1"/>
  <c r="AA15" i="9" s="1"/>
  <c r="AA17" i="9" s="1"/>
  <c r="AI67" i="66"/>
  <c r="AG67" i="66"/>
  <c r="AH51" i="66"/>
  <c r="AH42" i="66" s="1"/>
  <c r="AM39" i="66"/>
  <c r="AG12" i="66"/>
  <c r="BQ21" i="66"/>
  <c r="AR15" i="66"/>
  <c r="AR17" i="66" s="1"/>
  <c r="AB12" i="66"/>
  <c r="AM10" i="66"/>
  <c r="AM12" i="66" s="1"/>
  <c r="AM15" i="66" s="1"/>
  <c r="AM17" i="66" s="1"/>
  <c r="AE12" i="66"/>
  <c r="AE12" i="9" s="1"/>
  <c r="AE15" i="9" s="1"/>
  <c r="AE17" i="9" s="1"/>
  <c r="BX78" i="56"/>
  <c r="BX84" i="56"/>
  <c r="BJ328" i="10"/>
  <c r="BJ330" i="10" s="1"/>
  <c r="AA328" i="10"/>
  <c r="DN328" i="10"/>
  <c r="DN330" i="10" s="1"/>
  <c r="CT328" i="10"/>
  <c r="CT330" i="10" s="1"/>
  <c r="CO328" i="10"/>
  <c r="BZ328" i="10"/>
  <c r="BZ330" i="10" s="1"/>
  <c r="BU328" i="10"/>
  <c r="BU330" i="10" s="1"/>
  <c r="BI326" i="10"/>
  <c r="BD326" i="10"/>
  <c r="AR326" i="10"/>
  <c r="AM326" i="10"/>
  <c r="U326" i="10"/>
  <c r="P326" i="10"/>
  <c r="BL325" i="10"/>
  <c r="BG325" i="10"/>
  <c r="AO325" i="10"/>
  <c r="AJ325" i="10"/>
  <c r="X325" i="10"/>
  <c r="S325" i="10"/>
  <c r="AK311" i="10"/>
  <c r="AM328" i="47" s="1"/>
  <c r="AM352" i="47" s="1"/>
  <c r="AM359" i="47" s="1"/>
  <c r="AD309" i="10"/>
  <c r="AY308" i="10"/>
  <c r="AT308" i="10"/>
  <c r="AH308" i="10"/>
  <c r="BQ308" i="10" s="1"/>
  <c r="BV308" i="10" s="1"/>
  <c r="CA308" i="10" s="1"/>
  <c r="CF308" i="10" s="1"/>
  <c r="CK308" i="10" s="1"/>
  <c r="CP308" i="10" s="1"/>
  <c r="CU308" i="10" s="1"/>
  <c r="CZ308" i="10" s="1"/>
  <c r="DE308" i="10" s="1"/>
  <c r="DJ308" i="10" s="1"/>
  <c r="DO308" i="10" s="1"/>
  <c r="DQ308" i="10" s="1"/>
  <c r="AC308" i="10"/>
  <c r="AW307" i="10"/>
  <c r="AE307" i="10"/>
  <c r="Z307" i="10"/>
  <c r="O307" i="10"/>
  <c r="AH306" i="10"/>
  <c r="BQ306" i="10" s="1"/>
  <c r="BV306" i="10" s="1"/>
  <c r="CA306" i="10" s="1"/>
  <c r="CF306" i="10" s="1"/>
  <c r="CK306" i="10" s="1"/>
  <c r="CP306" i="10" s="1"/>
  <c r="CU306" i="10" s="1"/>
  <c r="CZ306" i="10" s="1"/>
  <c r="DE306" i="10" s="1"/>
  <c r="DB306" i="10" s="1"/>
  <c r="AC306" i="10"/>
  <c r="BN301" i="10"/>
  <c r="BB301" i="10"/>
  <c r="AW301" i="10"/>
  <c r="AH301" i="10"/>
  <c r="BQ301" i="10" s="1"/>
  <c r="BV301" i="10" s="1"/>
  <c r="CA301" i="10" s="1"/>
  <c r="CF301" i="10" s="1"/>
  <c r="CK301" i="10" s="1"/>
  <c r="CP301" i="10" s="1"/>
  <c r="CU301" i="10" s="1"/>
  <c r="CZ301" i="10" s="1"/>
  <c r="DA301" i="10" s="1"/>
  <c r="AC301" i="10"/>
  <c r="BC300" i="10"/>
  <c r="O300" i="10"/>
  <c r="BN299" i="10"/>
  <c r="BB299" i="10"/>
  <c r="AW299" i="10"/>
  <c r="AH299" i="10"/>
  <c r="BQ299" i="10" s="1"/>
  <c r="BV299" i="10" s="1"/>
  <c r="CA299" i="10" s="1"/>
  <c r="CF299" i="10" s="1"/>
  <c r="CK299" i="10" s="1"/>
  <c r="CP299" i="10" s="1"/>
  <c r="CU299" i="10" s="1"/>
  <c r="CZ299" i="10" s="1"/>
  <c r="AC299" i="10"/>
  <c r="BC298" i="10"/>
  <c r="AX298" i="10"/>
  <c r="O298" i="10"/>
  <c r="BN297" i="10"/>
  <c r="BB297" i="10"/>
  <c r="AW297" i="10"/>
  <c r="AJ297" i="10"/>
  <c r="AJ303" i="10" s="1"/>
  <c r="AL329" i="47" s="1"/>
  <c r="AL353" i="47" s="1"/>
  <c r="AH297" i="10"/>
  <c r="AM287" i="10"/>
  <c r="AN287" i="10"/>
  <c r="AO287" i="10"/>
  <c r="S286" i="10"/>
  <c r="T286" i="10"/>
  <c r="U286" i="10"/>
  <c r="AM282" i="10"/>
  <c r="AN282" i="10"/>
  <c r="AP289" i="10"/>
  <c r="AR142" i="8" s="1"/>
  <c r="AR167" i="8" s="1"/>
  <c r="AO282" i="10"/>
  <c r="Z276" i="10"/>
  <c r="X276" i="10"/>
  <c r="BE228" i="10"/>
  <c r="BB228" i="10" s="1"/>
  <c r="E278" i="10"/>
  <c r="DR328" i="10"/>
  <c r="DR330" i="10" s="1"/>
  <c r="DM328" i="10"/>
  <c r="DM330" i="10" s="1"/>
  <c r="CS328" i="10"/>
  <c r="CS330" i="10" s="1"/>
  <c r="CD328" i="10"/>
  <c r="CD330" i="10" s="1"/>
  <c r="BY328" i="10"/>
  <c r="BY330" i="10" s="1"/>
  <c r="CH289" i="10"/>
  <c r="CC289" i="10"/>
  <c r="AQ281" i="10"/>
  <c r="AR281" i="10"/>
  <c r="AS281" i="10"/>
  <c r="S281" i="10"/>
  <c r="V289" i="10"/>
  <c r="X142" i="8" s="1"/>
  <c r="X167" i="8" s="1"/>
  <c r="T281" i="10"/>
  <c r="U281" i="10"/>
  <c r="AP328" i="10"/>
  <c r="AP330" i="10" s="1"/>
  <c r="DQ328" i="10"/>
  <c r="DQ330" i="10" s="1"/>
  <c r="CH328" i="10"/>
  <c r="CH330" i="10" s="1"/>
  <c r="CC328" i="10"/>
  <c r="CC330" i="10" s="1"/>
  <c r="AO326" i="10"/>
  <c r="AJ326" i="10"/>
  <c r="BI325" i="10"/>
  <c r="BD325" i="10"/>
  <c r="U325" i="10"/>
  <c r="P325" i="10"/>
  <c r="AL328" i="10"/>
  <c r="AL330" i="10" s="1"/>
  <c r="AI328" i="10"/>
  <c r="O309" i="10"/>
  <c r="BN308" i="10"/>
  <c r="AE308" i="10"/>
  <c r="Z308" i="10"/>
  <c r="O308" i="10"/>
  <c r="BN307" i="10"/>
  <c r="AY307" i="10"/>
  <c r="AT307" i="10"/>
  <c r="DJ307" i="10"/>
  <c r="DN307" i="10" s="1"/>
  <c r="AE306" i="10"/>
  <c r="Z306" i="10"/>
  <c r="O306" i="10"/>
  <c r="AY301" i="10"/>
  <c r="AE301" i="10"/>
  <c r="Z301" i="10"/>
  <c r="AI300" i="10"/>
  <c r="AY299" i="10"/>
  <c r="AE299" i="10"/>
  <c r="Z299" i="10"/>
  <c r="AI298" i="10"/>
  <c r="AY297" i="10"/>
  <c r="AT297" i="10"/>
  <c r="AB297" i="10"/>
  <c r="AC297" i="10"/>
  <c r="Z297" i="10"/>
  <c r="AE287" i="10"/>
  <c r="AC287" i="10"/>
  <c r="AY285" i="10"/>
  <c r="AW285" i="10"/>
  <c r="W285" i="10"/>
  <c r="X285" i="10"/>
  <c r="Y285" i="10"/>
  <c r="Z285" i="10"/>
  <c r="AE282" i="10"/>
  <c r="AE289" i="10" s="1"/>
  <c r="AG142" i="8" s="1"/>
  <c r="AG167" i="8" s="1"/>
  <c r="AF289" i="10"/>
  <c r="AH142" i="8" s="1"/>
  <c r="AH167" i="8" s="1"/>
  <c r="AC282" i="10"/>
  <c r="Q289" i="10"/>
  <c r="BN276" i="10"/>
  <c r="BL276" i="10"/>
  <c r="AH276" i="10"/>
  <c r="BQ276" i="10" s="1"/>
  <c r="BV276" i="10" s="1"/>
  <c r="CA276" i="10" s="1"/>
  <c r="CF276" i="10" s="1"/>
  <c r="CK276" i="10" s="1"/>
  <c r="CP276" i="10" s="1"/>
  <c r="CU276" i="10" s="1"/>
  <c r="CQ276" i="10" s="1"/>
  <c r="AI276" i="10"/>
  <c r="AJ276" i="10"/>
  <c r="AK278" i="10"/>
  <c r="E328" i="10"/>
  <c r="CL328" i="10"/>
  <c r="CL330" i="10" s="1"/>
  <c r="CG328" i="10"/>
  <c r="CG330" i="10" s="1"/>
  <c r="BR328" i="10"/>
  <c r="BR330" i="10" s="1"/>
  <c r="AS326" i="10"/>
  <c r="AN326" i="10"/>
  <c r="BM325" i="10"/>
  <c r="BH325" i="10"/>
  <c r="Y325" i="10"/>
  <c r="T325" i="10"/>
  <c r="L328" i="10"/>
  <c r="L330" i="10" s="1"/>
  <c r="AE309" i="10"/>
  <c r="Z309" i="10"/>
  <c r="N309" i="10"/>
  <c r="AI308" i="10"/>
  <c r="AD308" i="10"/>
  <c r="N308" i="10"/>
  <c r="AX307" i="10"/>
  <c r="AT306" i="10"/>
  <c r="AI306" i="10"/>
  <c r="AD306" i="10"/>
  <c r="N306" i="10"/>
  <c r="BC301" i="10"/>
  <c r="AX301" i="10"/>
  <c r="AI301" i="10"/>
  <c r="AD301" i="10"/>
  <c r="AT300" i="10"/>
  <c r="AH300" i="10"/>
  <c r="BQ300" i="10" s="1"/>
  <c r="BV300" i="10" s="1"/>
  <c r="CA300" i="10" s="1"/>
  <c r="CF300" i="10" s="1"/>
  <c r="CK300" i="10" s="1"/>
  <c r="CP300" i="10" s="1"/>
  <c r="CU300" i="10" s="1"/>
  <c r="CZ300" i="10" s="1"/>
  <c r="DE300" i="10" s="1"/>
  <c r="DF300" i="10" s="1"/>
  <c r="DF303" i="10" s="1"/>
  <c r="BC335" i="47" s="1"/>
  <c r="BC299" i="10"/>
  <c r="AX299" i="10"/>
  <c r="AI299" i="10"/>
  <c r="AD299" i="10"/>
  <c r="AY298" i="10"/>
  <c r="AT298" i="10"/>
  <c r="AH298" i="10"/>
  <c r="BQ298" i="10" s="1"/>
  <c r="BV298" i="10" s="1"/>
  <c r="CA298" i="10" s="1"/>
  <c r="CF298" i="10" s="1"/>
  <c r="CK298" i="10" s="1"/>
  <c r="CP298" i="10" s="1"/>
  <c r="CU298" i="10" s="1"/>
  <c r="CZ298" i="10" s="1"/>
  <c r="DE298" i="10" s="1"/>
  <c r="DJ298" i="10" s="1"/>
  <c r="DO298" i="10" s="1"/>
  <c r="DT298" i="10" s="1"/>
  <c r="BC297" i="10"/>
  <c r="AX297" i="10"/>
  <c r="AE297" i="10"/>
  <c r="AQ287" i="10"/>
  <c r="AR287" i="10"/>
  <c r="AS287" i="10"/>
  <c r="AT287" i="10"/>
  <c r="AY286" i="10"/>
  <c r="AW286" i="10"/>
  <c r="W286" i="10"/>
  <c r="X286" i="10"/>
  <c r="Y286" i="10"/>
  <c r="Z286" i="10"/>
  <c r="S285" i="10"/>
  <c r="T285" i="10"/>
  <c r="U285" i="10"/>
  <c r="AQ282" i="10"/>
  <c r="AR282" i="10"/>
  <c r="AS282" i="10"/>
  <c r="AT282" i="10"/>
  <c r="L289" i="10"/>
  <c r="CE278" i="10"/>
  <c r="AM261" i="10"/>
  <c r="S260" i="10"/>
  <c r="BG253" i="10"/>
  <c r="S253" i="10"/>
  <c r="BG250" i="10"/>
  <c r="S249" i="10"/>
  <c r="S248" i="10"/>
  <c r="BL246" i="10"/>
  <c r="X246" i="10"/>
  <c r="BL245" i="10"/>
  <c r="X245" i="10"/>
  <c r="BL244" i="10"/>
  <c r="X244" i="10"/>
  <c r="BL243" i="10"/>
  <c r="X243" i="10"/>
  <c r="BL242" i="10"/>
  <c r="AR241" i="10"/>
  <c r="X240" i="10"/>
  <c r="BL239" i="10"/>
  <c r="X239" i="10"/>
  <c r="BG228" i="10"/>
  <c r="CE213" i="10"/>
  <c r="BW213" i="10"/>
  <c r="BS213" i="10"/>
  <c r="AC211" i="10"/>
  <c r="AW210" i="10"/>
  <c r="BG207" i="10"/>
  <c r="AC207" i="10"/>
  <c r="U207" i="10"/>
  <c r="BG206" i="10"/>
  <c r="AW206" i="10"/>
  <c r="AM204" i="10"/>
  <c r="AM203" i="10"/>
  <c r="AE203" i="10"/>
  <c r="AM202" i="10"/>
  <c r="AE202" i="10"/>
  <c r="AS201" i="10"/>
  <c r="W201" i="10"/>
  <c r="Y201" i="10"/>
  <c r="AS200" i="10"/>
  <c r="W200" i="10"/>
  <c r="Y200" i="10"/>
  <c r="AS199" i="10"/>
  <c r="W199" i="10"/>
  <c r="Y199" i="10"/>
  <c r="CL289" i="10"/>
  <c r="BR289" i="10"/>
  <c r="BR291" i="10" s="1"/>
  <c r="CI278" i="10"/>
  <c r="BN274" i="10"/>
  <c r="BB274" i="10"/>
  <c r="AE274" i="10"/>
  <c r="Z274" i="10"/>
  <c r="N274" i="10"/>
  <c r="AT273" i="10"/>
  <c r="AT272" i="10"/>
  <c r="Z271" i="10"/>
  <c r="BN270" i="10"/>
  <c r="Z270" i="10"/>
  <c r="BN269" i="10"/>
  <c r="Z269" i="10"/>
  <c r="BN268" i="10"/>
  <c r="Z268" i="10"/>
  <c r="BN267" i="10"/>
  <c r="AH267" i="10"/>
  <c r="BQ267" i="10" s="1"/>
  <c r="BV267" i="10" s="1"/>
  <c r="CA267" i="10" s="1"/>
  <c r="CF267" i="10" s="1"/>
  <c r="CK267" i="10" s="1"/>
  <c r="CP267" i="10" s="1"/>
  <c r="CU267" i="10" s="1"/>
  <c r="CZ267" i="10" s="1"/>
  <c r="DE267" i="10" s="1"/>
  <c r="DF267" i="10" s="1"/>
  <c r="Z266" i="10"/>
  <c r="AO253" i="10"/>
  <c r="AJ235" i="10"/>
  <c r="AE235" i="10"/>
  <c r="BH234" i="10"/>
  <c r="AN234" i="10"/>
  <c r="AE233" i="10"/>
  <c r="AE232" i="10"/>
  <c r="BI231" i="10"/>
  <c r="BD231" i="10"/>
  <c r="U231" i="10"/>
  <c r="P231" i="10"/>
  <c r="AV201" i="10"/>
  <c r="AW201" i="10"/>
  <c r="AN201" i="10"/>
  <c r="AO201" i="10"/>
  <c r="AV200" i="10"/>
  <c r="AW200" i="10"/>
  <c r="AN200" i="10"/>
  <c r="AO200" i="10"/>
  <c r="AV199" i="10"/>
  <c r="AW199" i="10"/>
  <c r="AN199" i="10"/>
  <c r="AO199" i="10"/>
  <c r="AV198" i="10"/>
  <c r="AW198" i="10"/>
  <c r="AY198" i="10"/>
  <c r="BH197" i="10"/>
  <c r="BG197" i="10"/>
  <c r="AV197" i="10"/>
  <c r="AW197" i="10"/>
  <c r="AY197" i="10"/>
  <c r="BZ289" i="10"/>
  <c r="BN285" i="10"/>
  <c r="BI285" i="10"/>
  <c r="BN284" i="10"/>
  <c r="BI284" i="10"/>
  <c r="AT284" i="10"/>
  <c r="AO284" i="10"/>
  <c r="AC284" i="10"/>
  <c r="BN283" i="10"/>
  <c r="BI283" i="10"/>
  <c r="AW283" i="10"/>
  <c r="Z283" i="10"/>
  <c r="U283" i="10"/>
  <c r="Y281" i="10"/>
  <c r="AA278" i="10"/>
  <c r="BS278" i="10"/>
  <c r="BM274" i="10"/>
  <c r="AD274" i="10"/>
  <c r="Y274" i="10"/>
  <c r="AX273" i="10"/>
  <c r="AS273" i="10"/>
  <c r="AH273" i="10"/>
  <c r="BQ273" i="10" s="1"/>
  <c r="BV273" i="10" s="1"/>
  <c r="CA273" i="10" s="1"/>
  <c r="CF273" i="10" s="1"/>
  <c r="CK273" i="10" s="1"/>
  <c r="CP273" i="10" s="1"/>
  <c r="CU273" i="10" s="1"/>
  <c r="CZ273" i="10" s="1"/>
  <c r="DE273" i="10" s="1"/>
  <c r="DJ273" i="10" s="1"/>
  <c r="DO273" i="10" s="1"/>
  <c r="DT273" i="10" s="1"/>
  <c r="AX272" i="10"/>
  <c r="AS272" i="10"/>
  <c r="AH272" i="10"/>
  <c r="BQ272" i="10" s="1"/>
  <c r="BV272" i="10" s="1"/>
  <c r="CA272" i="10" s="1"/>
  <c r="CF272" i="10" s="1"/>
  <c r="CK272" i="10" s="1"/>
  <c r="CP272" i="10" s="1"/>
  <c r="CU272" i="10" s="1"/>
  <c r="CZ272" i="10" s="1"/>
  <c r="DE272" i="10" s="1"/>
  <c r="DJ272" i="10" s="1"/>
  <c r="DO272" i="10" s="1"/>
  <c r="DT272" i="10" s="1"/>
  <c r="AD271" i="10"/>
  <c r="Y271" i="10"/>
  <c r="N271" i="10"/>
  <c r="BM270" i="10"/>
  <c r="BB270" i="10"/>
  <c r="AD270" i="10"/>
  <c r="Y270" i="10"/>
  <c r="N270" i="10"/>
  <c r="BM269" i="10"/>
  <c r="BB269" i="10"/>
  <c r="AD269" i="10"/>
  <c r="Y269" i="10"/>
  <c r="N269" i="10"/>
  <c r="BM268" i="10"/>
  <c r="BB268" i="10"/>
  <c r="AD268" i="10"/>
  <c r="Y268" i="10"/>
  <c r="N268" i="10"/>
  <c r="BM267" i="10"/>
  <c r="BB267" i="10"/>
  <c r="Z267" i="10"/>
  <c r="BN266" i="10"/>
  <c r="BB266" i="10"/>
  <c r="AD266" i="10"/>
  <c r="Y266" i="10"/>
  <c r="N266" i="10"/>
  <c r="BL261" i="10"/>
  <c r="AO261" i="10"/>
  <c r="X261" i="10"/>
  <c r="S261" i="10"/>
  <c r="BM260" i="10"/>
  <c r="BH260" i="10"/>
  <c r="AW260" i="10"/>
  <c r="AM260" i="10"/>
  <c r="U260" i="10"/>
  <c r="AS259" i="10"/>
  <c r="AN259" i="10"/>
  <c r="AC259" i="10"/>
  <c r="BL258" i="10"/>
  <c r="BG258" i="10"/>
  <c r="Y258" i="10"/>
  <c r="S258" i="10"/>
  <c r="BM257" i="10"/>
  <c r="BG257" i="10"/>
  <c r="Y257" i="10"/>
  <c r="BI253" i="10"/>
  <c r="BD253" i="10"/>
  <c r="U253" i="10"/>
  <c r="P253" i="10"/>
  <c r="BM252" i="10"/>
  <c r="BH252" i="10"/>
  <c r="AR252" i="10"/>
  <c r="AM252" i="10"/>
  <c r="X252" i="10"/>
  <c r="S252" i="10"/>
  <c r="BM251" i="10"/>
  <c r="BH251" i="10"/>
  <c r="AS251" i="10"/>
  <c r="AN251" i="10"/>
  <c r="AC251" i="10"/>
  <c r="X251" i="10"/>
  <c r="S251" i="10"/>
  <c r="BI250" i="10"/>
  <c r="AS250" i="10"/>
  <c r="AN250" i="10"/>
  <c r="BM249" i="10"/>
  <c r="BH249" i="10"/>
  <c r="AR249" i="10"/>
  <c r="AM249" i="10"/>
  <c r="U249" i="10"/>
  <c r="P249" i="10"/>
  <c r="BM248" i="10"/>
  <c r="BH248" i="10"/>
  <c r="U248" i="10"/>
  <c r="P248" i="10"/>
  <c r="BN246" i="10"/>
  <c r="BI246" i="10"/>
  <c r="AW246" i="10"/>
  <c r="AR246" i="10"/>
  <c r="Z246" i="10"/>
  <c r="U246" i="10"/>
  <c r="BN245" i="10"/>
  <c r="BI245" i="10"/>
  <c r="AW245" i="10"/>
  <c r="AR245" i="10"/>
  <c r="Z245" i="10"/>
  <c r="U245" i="10"/>
  <c r="BN244" i="10"/>
  <c r="BI244" i="10"/>
  <c r="AW244" i="10"/>
  <c r="AR244" i="10"/>
  <c r="Z244" i="10"/>
  <c r="U244" i="10"/>
  <c r="BN243" i="10"/>
  <c r="BI243" i="10"/>
  <c r="AW243" i="10"/>
  <c r="AR243" i="10"/>
  <c r="Z243" i="10"/>
  <c r="U243" i="10"/>
  <c r="BN242" i="10"/>
  <c r="BI242" i="10"/>
  <c r="AW242" i="10"/>
  <c r="AR242" i="10"/>
  <c r="AC242" i="10"/>
  <c r="X242" i="10"/>
  <c r="BL241" i="10"/>
  <c r="AT241" i="10"/>
  <c r="AO241" i="10"/>
  <c r="AC241" i="10"/>
  <c r="X241" i="10"/>
  <c r="BL240" i="10"/>
  <c r="AW240" i="10"/>
  <c r="AR240" i="10"/>
  <c r="Z240" i="10"/>
  <c r="U240" i="10"/>
  <c r="BN239" i="10"/>
  <c r="BI239" i="10"/>
  <c r="AW239" i="10"/>
  <c r="Z239" i="10"/>
  <c r="U239" i="10"/>
  <c r="AN235" i="10"/>
  <c r="AI235" i="10"/>
  <c r="BG234" i="10"/>
  <c r="BB234" i="10"/>
  <c r="AM234" i="10"/>
  <c r="AH234" i="10"/>
  <c r="BQ234" i="10" s="1"/>
  <c r="BV234" i="10" s="1"/>
  <c r="CA234" i="10" s="1"/>
  <c r="CF234" i="10" s="1"/>
  <c r="CK234" i="10" s="1"/>
  <c r="CP234" i="10" s="1"/>
  <c r="CU234" i="10" s="1"/>
  <c r="CZ234" i="10" s="1"/>
  <c r="DE234" i="10" s="1"/>
  <c r="DJ234" i="10" s="1"/>
  <c r="DO234" i="10" s="1"/>
  <c r="DT234" i="10" s="1"/>
  <c r="P234" i="10"/>
  <c r="AJ233" i="10"/>
  <c r="BG232" i="10"/>
  <c r="AO232" i="10"/>
  <c r="AJ232" i="10"/>
  <c r="S232" i="10"/>
  <c r="BH231" i="10"/>
  <c r="BC231" i="10"/>
  <c r="AE231" i="10"/>
  <c r="T231" i="10"/>
  <c r="O231" i="10"/>
  <c r="BI228" i="10"/>
  <c r="AY228" i="10"/>
  <c r="AN228" i="10"/>
  <c r="AI228" i="10"/>
  <c r="AN227" i="10"/>
  <c r="AI227" i="10"/>
  <c r="AN226" i="10"/>
  <c r="AI226" i="10"/>
  <c r="AN224" i="10"/>
  <c r="AI224" i="10"/>
  <c r="CM213" i="10"/>
  <c r="AX211" i="10"/>
  <c r="AE211" i="10"/>
  <c r="Z211" i="10"/>
  <c r="N211" i="10"/>
  <c r="BM210" i="10"/>
  <c r="AY210" i="10"/>
  <c r="AT210" i="10"/>
  <c r="AH210" i="10"/>
  <c r="BQ210" i="10" s="1"/>
  <c r="BV210" i="10" s="1"/>
  <c r="CA210" i="10" s="1"/>
  <c r="CF210" i="10" s="1"/>
  <c r="CK210" i="10" s="1"/>
  <c r="CP210" i="10" s="1"/>
  <c r="CU210" i="10" s="1"/>
  <c r="CZ210" i="10" s="1"/>
  <c r="DE210" i="10" s="1"/>
  <c r="DJ210" i="10" s="1"/>
  <c r="AD209" i="10"/>
  <c r="Y209" i="10"/>
  <c r="AT208" i="10"/>
  <c r="AH208" i="10"/>
  <c r="BQ208" i="10" s="1"/>
  <c r="BV208" i="10" s="1"/>
  <c r="CA208" i="10" s="1"/>
  <c r="CF208" i="10" s="1"/>
  <c r="CK208" i="10" s="1"/>
  <c r="CP208" i="10" s="1"/>
  <c r="CU208" i="10" s="1"/>
  <c r="CZ208" i="10" s="1"/>
  <c r="AE207" i="10"/>
  <c r="Y207" i="10"/>
  <c r="AS206" i="10"/>
  <c r="BM205" i="10"/>
  <c r="U205" i="10"/>
  <c r="U204" i="10"/>
  <c r="AY202" i="10"/>
  <c r="AY201" i="10"/>
  <c r="AM201" i="10"/>
  <c r="U201" i="10"/>
  <c r="AY200" i="10"/>
  <c r="AM200" i="10"/>
  <c r="U200" i="10"/>
  <c r="AY199" i="10"/>
  <c r="AM199" i="10"/>
  <c r="U199" i="10"/>
  <c r="BI197" i="10"/>
  <c r="AS149" i="10"/>
  <c r="AT149" i="10"/>
  <c r="CD289" i="10"/>
  <c r="BI287" i="10"/>
  <c r="AW287" i="10"/>
  <c r="Z287" i="10"/>
  <c r="U287" i="10"/>
  <c r="AT286" i="10"/>
  <c r="AO286" i="10"/>
  <c r="AC286" i="10"/>
  <c r="BM285" i="10"/>
  <c r="BH285" i="10"/>
  <c r="AT285" i="10"/>
  <c r="AO285" i="10"/>
  <c r="AC285" i="10"/>
  <c r="BM284" i="10"/>
  <c r="BH284" i="10"/>
  <c r="AS284" i="10"/>
  <c r="AN284" i="10"/>
  <c r="BM283" i="10"/>
  <c r="BH283" i="10"/>
  <c r="Y283" i="10"/>
  <c r="T283" i="10"/>
  <c r="BN282" i="10"/>
  <c r="BI282" i="10"/>
  <c r="AW282" i="10"/>
  <c r="Z282" i="10"/>
  <c r="U282" i="10"/>
  <c r="BI281" i="10"/>
  <c r="AW281" i="10"/>
  <c r="X281" i="10"/>
  <c r="V278" i="10"/>
  <c r="BI276" i="10"/>
  <c r="BD276" i="10"/>
  <c r="AR276" i="10"/>
  <c r="U276" i="10"/>
  <c r="P276" i="10"/>
  <c r="BW278" i="10"/>
  <c r="AY274" i="10"/>
  <c r="AT274" i="10"/>
  <c r="AH274" i="10"/>
  <c r="BQ274" i="10" s="1"/>
  <c r="BV274" i="10" s="1"/>
  <c r="CA274" i="10" s="1"/>
  <c r="CF274" i="10" s="1"/>
  <c r="CK274" i="10" s="1"/>
  <c r="CP274" i="10" s="1"/>
  <c r="CU274" i="10" s="1"/>
  <c r="CZ274" i="10" s="1"/>
  <c r="DE274" i="10" s="1"/>
  <c r="DJ274" i="10" s="1"/>
  <c r="DO274" i="10" s="1"/>
  <c r="DT274" i="10" s="1"/>
  <c r="AC274" i="10"/>
  <c r="AW273" i="10"/>
  <c r="AR273" i="10"/>
  <c r="Z273" i="10"/>
  <c r="BN272" i="10"/>
  <c r="AW272" i="10"/>
  <c r="AR272" i="10"/>
  <c r="Z272" i="10"/>
  <c r="BN271" i="10"/>
  <c r="AT271" i="10"/>
  <c r="AC271" i="10"/>
  <c r="X271" i="10"/>
  <c r="BL270" i="10"/>
  <c r="AT270" i="10"/>
  <c r="AC270" i="10"/>
  <c r="X270" i="10"/>
  <c r="BL269" i="10"/>
  <c r="AT269" i="10"/>
  <c r="AC269" i="10"/>
  <c r="X269" i="10"/>
  <c r="BL268" i="10"/>
  <c r="AT268" i="10"/>
  <c r="AC268" i="10"/>
  <c r="X268" i="10"/>
  <c r="BL267" i="10"/>
  <c r="AD267" i="10"/>
  <c r="Y267" i="10"/>
  <c r="N267" i="10"/>
  <c r="BM266" i="10"/>
  <c r="AT266" i="10"/>
  <c r="AC266" i="10"/>
  <c r="X266" i="10"/>
  <c r="AS261" i="10"/>
  <c r="AN261" i="10"/>
  <c r="BL260" i="10"/>
  <c r="BG260" i="10"/>
  <c r="T260" i="10"/>
  <c r="AR259" i="10"/>
  <c r="AM259" i="10"/>
  <c r="U259" i="10"/>
  <c r="AO258" i="10"/>
  <c r="AO257" i="10"/>
  <c r="BH253" i="10"/>
  <c r="T253" i="10"/>
  <c r="BL252" i="10"/>
  <c r="BG252" i="10"/>
  <c r="BL251" i="10"/>
  <c r="BG251" i="10"/>
  <c r="AR251" i="10"/>
  <c r="AM251" i="10"/>
  <c r="BH250" i="10"/>
  <c r="AR250" i="10"/>
  <c r="AM250" i="10"/>
  <c r="BL249" i="10"/>
  <c r="BG249" i="10"/>
  <c r="Y249" i="10"/>
  <c r="T249" i="10"/>
  <c r="BL248" i="10"/>
  <c r="BG248" i="10"/>
  <c r="T248" i="10"/>
  <c r="BM246" i="10"/>
  <c r="Y246" i="10"/>
  <c r="BM245" i="10"/>
  <c r="Y245" i="10"/>
  <c r="BM244" i="10"/>
  <c r="Y244" i="10"/>
  <c r="BM243" i="10"/>
  <c r="Y243" i="10"/>
  <c r="BM242" i="10"/>
  <c r="AS241" i="10"/>
  <c r="Y240" i="10"/>
  <c r="BM239" i="10"/>
  <c r="Y239" i="10"/>
  <c r="BD235" i="10"/>
  <c r="AY235" i="10"/>
  <c r="AM235" i="10"/>
  <c r="AH235" i="10"/>
  <c r="BQ235" i="10" s="1"/>
  <c r="BV235" i="10" s="1"/>
  <c r="CA235" i="10" s="1"/>
  <c r="CF235" i="10" s="1"/>
  <c r="CK235" i="10" s="1"/>
  <c r="CP235" i="10" s="1"/>
  <c r="CU235" i="10" s="1"/>
  <c r="CZ235" i="10" s="1"/>
  <c r="DE235" i="10" s="1"/>
  <c r="DJ235" i="10" s="1"/>
  <c r="DO235" i="10" s="1"/>
  <c r="DT235" i="10" s="1"/>
  <c r="T234" i="10"/>
  <c r="O234" i="10"/>
  <c r="BD233" i="10"/>
  <c r="AI233" i="10"/>
  <c r="AN232" i="10"/>
  <c r="AI232" i="10"/>
  <c r="BG231" i="10"/>
  <c r="S231" i="10"/>
  <c r="BH228" i="10"/>
  <c r="AM228" i="10"/>
  <c r="U228" i="10"/>
  <c r="P228" i="10"/>
  <c r="AY227" i="10"/>
  <c r="AM227" i="10"/>
  <c r="U227" i="10"/>
  <c r="P227" i="10"/>
  <c r="AY226" i="10"/>
  <c r="AM226" i="10"/>
  <c r="U226" i="10"/>
  <c r="P226" i="10"/>
  <c r="BD224" i="10"/>
  <c r="AY224" i="10"/>
  <c r="AM224" i="10"/>
  <c r="AH224" i="10"/>
  <c r="BQ224" i="10" s="1"/>
  <c r="BV224" i="10" s="1"/>
  <c r="CA224" i="10" s="1"/>
  <c r="CF224" i="10" s="1"/>
  <c r="CK224" i="10" s="1"/>
  <c r="CP224" i="10" s="1"/>
  <c r="CU224" i="10" s="1"/>
  <c r="CZ224" i="10" s="1"/>
  <c r="DE224" i="10" s="1"/>
  <c r="DJ224" i="10" s="1"/>
  <c r="DO224" i="10" s="1"/>
  <c r="DT224" i="10" s="1"/>
  <c r="P224" i="10"/>
  <c r="BB211" i="10"/>
  <c r="AW211" i="10"/>
  <c r="AD211" i="10"/>
  <c r="Y211" i="10"/>
  <c r="AX210" i="10"/>
  <c r="AS210" i="10"/>
  <c r="BN209" i="10"/>
  <c r="AY209" i="10"/>
  <c r="AT209" i="10"/>
  <c r="AH209" i="10"/>
  <c r="BQ209" i="10" s="1"/>
  <c r="BV209" i="10" s="1"/>
  <c r="CA209" i="10" s="1"/>
  <c r="CF209" i="10" s="1"/>
  <c r="CK209" i="10" s="1"/>
  <c r="CP209" i="10" s="1"/>
  <c r="CU209" i="10" s="1"/>
  <c r="CZ209" i="10" s="1"/>
  <c r="DE209" i="10" s="1"/>
  <c r="AC209" i="10"/>
  <c r="AS208" i="10"/>
  <c r="BI207" i="10"/>
  <c r="AS207" i="10"/>
  <c r="AD207" i="10"/>
  <c r="BI206" i="10"/>
  <c r="AY206" i="10"/>
  <c r="Y206" i="10"/>
  <c r="AS205" i="10"/>
  <c r="S205" i="10"/>
  <c r="BM204" i="10"/>
  <c r="AW204" i="10"/>
  <c r="AO204" i="10"/>
  <c r="S204" i="10"/>
  <c r="BM203" i="10"/>
  <c r="AW203" i="10"/>
  <c r="AO203" i="10"/>
  <c r="Y203" i="10"/>
  <c r="BM202" i="10"/>
  <c r="AW202" i="10"/>
  <c r="AO202" i="10"/>
  <c r="Y202" i="10"/>
  <c r="BM201" i="10"/>
  <c r="S201" i="10"/>
  <c r="BK200" i="10"/>
  <c r="BM200" i="10"/>
  <c r="S200" i="10"/>
  <c r="BK199" i="10"/>
  <c r="BM199" i="10"/>
  <c r="S199" i="10"/>
  <c r="BK198" i="10"/>
  <c r="BM198" i="10"/>
  <c r="AS198" i="10"/>
  <c r="T198" i="10"/>
  <c r="S198" i="10"/>
  <c r="AS197" i="10"/>
  <c r="R197" i="10"/>
  <c r="S197" i="10"/>
  <c r="T197" i="10"/>
  <c r="AR189" i="10"/>
  <c r="L194" i="10"/>
  <c r="BL187" i="10"/>
  <c r="X187" i="10"/>
  <c r="AR185" i="10"/>
  <c r="BL183" i="10"/>
  <c r="X183" i="10"/>
  <c r="BG179" i="10"/>
  <c r="AM179" i="10"/>
  <c r="BB177" i="10"/>
  <c r="N177" i="10"/>
  <c r="BG172" i="10"/>
  <c r="S172" i="10"/>
  <c r="BL170" i="10"/>
  <c r="BB170" i="10"/>
  <c r="BC169" i="10"/>
  <c r="AV169" i="10"/>
  <c r="W169" i="10"/>
  <c r="BB168" i="10"/>
  <c r="N168" i="10"/>
  <c r="BG167" i="10"/>
  <c r="BC167" i="10"/>
  <c r="AX167" i="10"/>
  <c r="AR167" i="10"/>
  <c r="AM167" i="10"/>
  <c r="AI167" i="10"/>
  <c r="AD167" i="10"/>
  <c r="X167" i="10"/>
  <c r="S167" i="10"/>
  <c r="BB166" i="10"/>
  <c r="AH165" i="10"/>
  <c r="BQ165" i="10" s="1"/>
  <c r="BV165" i="10" s="1"/>
  <c r="CA165" i="10" s="1"/>
  <c r="CF165" i="10" s="1"/>
  <c r="CK165" i="10" s="1"/>
  <c r="CP165" i="10" s="1"/>
  <c r="CU165" i="10" s="1"/>
  <c r="CZ165" i="10" s="1"/>
  <c r="DE165" i="10" s="1"/>
  <c r="DJ165" i="10" s="1"/>
  <c r="DI165" i="10" s="1"/>
  <c r="X165" i="10"/>
  <c r="BB164" i="10"/>
  <c r="AR164" i="10"/>
  <c r="AH164" i="10"/>
  <c r="BQ164" i="10" s="1"/>
  <c r="BV164" i="10" s="1"/>
  <c r="CA164" i="10" s="1"/>
  <c r="CF164" i="10" s="1"/>
  <c r="CK164" i="10" s="1"/>
  <c r="CP164" i="10" s="1"/>
  <c r="CU164" i="10" s="1"/>
  <c r="CW164" i="10" s="1"/>
  <c r="R164" i="10"/>
  <c r="N164" i="10"/>
  <c r="AH158" i="10"/>
  <c r="BQ158" i="10" s="1"/>
  <c r="BV158" i="10" s="1"/>
  <c r="CA158" i="10" s="1"/>
  <c r="CF158" i="10" s="1"/>
  <c r="CK158" i="10" s="1"/>
  <c r="CP158" i="10" s="1"/>
  <c r="CU158" i="10" s="1"/>
  <c r="CZ158" i="10" s="1"/>
  <c r="DE158" i="10" s="1"/>
  <c r="DJ158" i="10" s="1"/>
  <c r="DO158" i="10" s="1"/>
  <c r="DT158" i="10" s="1"/>
  <c r="AH157" i="10"/>
  <c r="BQ157" i="10" s="1"/>
  <c r="BV157" i="10" s="1"/>
  <c r="CA157" i="10" s="1"/>
  <c r="CF157" i="10" s="1"/>
  <c r="CK157" i="10" s="1"/>
  <c r="CP157" i="10" s="1"/>
  <c r="CU157" i="10" s="1"/>
  <c r="CZ157" i="10" s="1"/>
  <c r="DE157" i="10" s="1"/>
  <c r="DJ157" i="10" s="1"/>
  <c r="DO157" i="10" s="1"/>
  <c r="DT157" i="10" s="1"/>
  <c r="AH156" i="10"/>
  <c r="BQ156" i="10" s="1"/>
  <c r="BV156" i="10" s="1"/>
  <c r="CA156" i="10" s="1"/>
  <c r="CF156" i="10" s="1"/>
  <c r="CK156" i="10" s="1"/>
  <c r="CP156" i="10" s="1"/>
  <c r="CU156" i="10" s="1"/>
  <c r="CZ156" i="10" s="1"/>
  <c r="DE156" i="10" s="1"/>
  <c r="DJ156" i="10" s="1"/>
  <c r="DO156" i="10" s="1"/>
  <c r="DT156" i="10" s="1"/>
  <c r="AH155" i="10"/>
  <c r="BQ155" i="10" s="1"/>
  <c r="BV155" i="10" s="1"/>
  <c r="CA155" i="10" s="1"/>
  <c r="CF155" i="10" s="1"/>
  <c r="CK155" i="10" s="1"/>
  <c r="CP155" i="10" s="1"/>
  <c r="CU155" i="10" s="1"/>
  <c r="CZ155" i="10" s="1"/>
  <c r="DE155" i="10" s="1"/>
  <c r="DJ155" i="10" s="1"/>
  <c r="DO155" i="10" s="1"/>
  <c r="DT155" i="10" s="1"/>
  <c r="AH154" i="10"/>
  <c r="BQ154" i="10" s="1"/>
  <c r="BV154" i="10" s="1"/>
  <c r="CA154" i="10" s="1"/>
  <c r="CF154" i="10" s="1"/>
  <c r="CK154" i="10" s="1"/>
  <c r="CP154" i="10" s="1"/>
  <c r="CU154" i="10" s="1"/>
  <c r="CZ154" i="10" s="1"/>
  <c r="DE154" i="10" s="1"/>
  <c r="DJ154" i="10" s="1"/>
  <c r="AI153" i="10"/>
  <c r="AD153" i="10"/>
  <c r="O152" i="10"/>
  <c r="AW147" i="10"/>
  <c r="AC143" i="10"/>
  <c r="AX142" i="10"/>
  <c r="AS142" i="10"/>
  <c r="BD137" i="10"/>
  <c r="AL137" i="10"/>
  <c r="S137" i="10"/>
  <c r="M137" i="10"/>
  <c r="BM136" i="10"/>
  <c r="BG136" i="10"/>
  <c r="BB136" i="10"/>
  <c r="AX136" i="10"/>
  <c r="AS136" i="10"/>
  <c r="AM136" i="10"/>
  <c r="AH136" i="10"/>
  <c r="BQ136" i="10" s="1"/>
  <c r="BV136" i="10" s="1"/>
  <c r="CA136" i="10" s="1"/>
  <c r="CF136" i="10" s="1"/>
  <c r="CK136" i="10" s="1"/>
  <c r="CP136" i="10" s="1"/>
  <c r="CU136" i="10" s="1"/>
  <c r="CZ136" i="10" s="1"/>
  <c r="DE136" i="10" s="1"/>
  <c r="DJ136" i="10" s="1"/>
  <c r="DO136" i="10" s="1"/>
  <c r="DT136" i="10" s="1"/>
  <c r="AD136" i="10"/>
  <c r="Y136" i="10"/>
  <c r="BN134" i="10"/>
  <c r="AX134" i="10"/>
  <c r="AS134" i="10"/>
  <c r="AE134" i="10"/>
  <c r="Z134" i="10"/>
  <c r="BM133" i="10"/>
  <c r="BA133" i="10"/>
  <c r="AW133" i="10"/>
  <c r="AD133" i="10"/>
  <c r="Y133" i="10"/>
  <c r="BB130" i="10"/>
  <c r="AH130" i="10"/>
  <c r="BQ130" i="10" s="1"/>
  <c r="BV130" i="10" s="1"/>
  <c r="CA130" i="10" s="1"/>
  <c r="CF130" i="10" s="1"/>
  <c r="CK130" i="10" s="1"/>
  <c r="CP130" i="10" s="1"/>
  <c r="CU130" i="10" s="1"/>
  <c r="CZ130" i="10" s="1"/>
  <c r="DE130" i="10" s="1"/>
  <c r="BF128" i="10"/>
  <c r="BH128" i="10"/>
  <c r="BG128" i="10"/>
  <c r="AG127" i="10"/>
  <c r="AI127" i="10"/>
  <c r="X127" i="10"/>
  <c r="R126" i="10"/>
  <c r="T126" i="10"/>
  <c r="S126" i="10"/>
  <c r="BF124" i="10"/>
  <c r="BH124" i="10"/>
  <c r="BG124" i="10"/>
  <c r="M122" i="10"/>
  <c r="O122" i="10"/>
  <c r="Y120" i="10"/>
  <c r="X120" i="10"/>
  <c r="Z120" i="10"/>
  <c r="BM119" i="10"/>
  <c r="BL119" i="10"/>
  <c r="BN119" i="10"/>
  <c r="AC114" i="10"/>
  <c r="AD114" i="10"/>
  <c r="AW113" i="10"/>
  <c r="AX113" i="10"/>
  <c r="BA102" i="10"/>
  <c r="BB102" i="10"/>
  <c r="BD102" i="10"/>
  <c r="BA98" i="10"/>
  <c r="BB98" i="10"/>
  <c r="BD98" i="10"/>
  <c r="BK97" i="10"/>
  <c r="BM97" i="10"/>
  <c r="BN97" i="10"/>
  <c r="BL97" i="10"/>
  <c r="AC95" i="10"/>
  <c r="AD95" i="10"/>
  <c r="M94" i="10"/>
  <c r="N94" i="10"/>
  <c r="P94" i="10"/>
  <c r="W93" i="10"/>
  <c r="Y93" i="10"/>
  <c r="Z93" i="10"/>
  <c r="X93" i="10"/>
  <c r="BM192" i="10"/>
  <c r="AO192" i="10"/>
  <c r="Y192" i="10"/>
  <c r="AL128" i="10"/>
  <c r="AN128" i="10"/>
  <c r="AM128" i="10"/>
  <c r="BF127" i="10"/>
  <c r="BH127" i="10"/>
  <c r="BG127" i="10"/>
  <c r="BA126" i="10"/>
  <c r="BC126" i="10"/>
  <c r="AG125" i="10"/>
  <c r="AI125" i="10"/>
  <c r="R124" i="10"/>
  <c r="T124" i="10"/>
  <c r="S124" i="10"/>
  <c r="BF122" i="10"/>
  <c r="BH122" i="10"/>
  <c r="BG122" i="10"/>
  <c r="AB117" i="10"/>
  <c r="AD117" i="10"/>
  <c r="BK113" i="10"/>
  <c r="BM113" i="10"/>
  <c r="BN113" i="10"/>
  <c r="BL113" i="10"/>
  <c r="AB106" i="10"/>
  <c r="AC106" i="10"/>
  <c r="AE106" i="10"/>
  <c r="M102" i="10"/>
  <c r="N102" i="10"/>
  <c r="P102" i="10"/>
  <c r="AC99" i="10"/>
  <c r="AD99" i="10"/>
  <c r="AG96" i="10"/>
  <c r="AH96" i="10"/>
  <c r="BQ96" i="10" s="1"/>
  <c r="BV96" i="10" s="1"/>
  <c r="CA96" i="10" s="1"/>
  <c r="CF96" i="10" s="1"/>
  <c r="CK96" i="10" s="1"/>
  <c r="CP96" i="10" s="1"/>
  <c r="CU96" i="10" s="1"/>
  <c r="CZ96" i="10" s="1"/>
  <c r="DE96" i="10" s="1"/>
  <c r="DJ96" i="10" s="1"/>
  <c r="DO96" i="10" s="1"/>
  <c r="DT96" i="10" s="1"/>
  <c r="AJ96" i="10"/>
  <c r="AQ95" i="10"/>
  <c r="AS95" i="10"/>
  <c r="AT95" i="10"/>
  <c r="AR95" i="10"/>
  <c r="AW93" i="10"/>
  <c r="AX93" i="10"/>
  <c r="DJ89" i="10"/>
  <c r="DF89" i="10" s="1"/>
  <c r="AA194" i="10"/>
  <c r="AN192" i="10"/>
  <c r="AE192" i="10"/>
  <c r="AS190" i="10"/>
  <c r="AJ190" i="10"/>
  <c r="BB189" i="10"/>
  <c r="AT189" i="10"/>
  <c r="AD189" i="10"/>
  <c r="N189" i="10"/>
  <c r="BM188" i="10"/>
  <c r="BD188" i="10"/>
  <c r="Y188" i="10"/>
  <c r="P188" i="10"/>
  <c r="BN187" i="10"/>
  <c r="AX187" i="10"/>
  <c r="AH187" i="10"/>
  <c r="BQ187" i="10" s="1"/>
  <c r="BV187" i="10" s="1"/>
  <c r="CA187" i="10" s="1"/>
  <c r="CF187" i="10" s="1"/>
  <c r="CK187" i="10" s="1"/>
  <c r="CP187" i="10" s="1"/>
  <c r="CU187" i="10" s="1"/>
  <c r="CZ187" i="10" s="1"/>
  <c r="DE187" i="10" s="1"/>
  <c r="DJ187" i="10" s="1"/>
  <c r="DO187" i="10" s="1"/>
  <c r="DT187" i="10" s="1"/>
  <c r="Z187" i="10"/>
  <c r="AS186" i="10"/>
  <c r="AJ186" i="10"/>
  <c r="BB185" i="10"/>
  <c r="AT185" i="10"/>
  <c r="AD185" i="10"/>
  <c r="N185" i="10"/>
  <c r="BM184" i="10"/>
  <c r="BD184" i="10"/>
  <c r="Y184" i="10"/>
  <c r="P184" i="10"/>
  <c r="BN183" i="10"/>
  <c r="AX183" i="10"/>
  <c r="AH183" i="10"/>
  <c r="BQ183" i="10" s="1"/>
  <c r="BV183" i="10" s="1"/>
  <c r="CA183" i="10" s="1"/>
  <c r="CF183" i="10" s="1"/>
  <c r="CK183" i="10" s="1"/>
  <c r="CP183" i="10" s="1"/>
  <c r="CU183" i="10" s="1"/>
  <c r="CZ183" i="10" s="1"/>
  <c r="DC183" i="10" s="1"/>
  <c r="Z183" i="10"/>
  <c r="AS182" i="10"/>
  <c r="AJ182" i="10"/>
  <c r="BI181" i="10"/>
  <c r="AY181" i="10"/>
  <c r="AC181" i="10"/>
  <c r="O181" i="10"/>
  <c r="AN180" i="10"/>
  <c r="Y180" i="10"/>
  <c r="T180" i="10"/>
  <c r="BI179" i="10"/>
  <c r="BC179" i="10"/>
  <c r="AO179" i="10"/>
  <c r="AI179" i="10"/>
  <c r="T179" i="10"/>
  <c r="BL177" i="10"/>
  <c r="BD177" i="10"/>
  <c r="AN177" i="10"/>
  <c r="X177" i="10"/>
  <c r="P177" i="10"/>
  <c r="BI172" i="10"/>
  <c r="AS172" i="10"/>
  <c r="AC172" i="10"/>
  <c r="U172" i="10"/>
  <c r="BN170" i="10"/>
  <c r="AX170" i="10"/>
  <c r="AT169" i="10"/>
  <c r="T169" i="10"/>
  <c r="BL168" i="10"/>
  <c r="BD168" i="10"/>
  <c r="AX168" i="10"/>
  <c r="AM168" i="10"/>
  <c r="X168" i="10"/>
  <c r="P168" i="10"/>
  <c r="BD166" i="10"/>
  <c r="AL166" i="10"/>
  <c r="Z166" i="10"/>
  <c r="BL165" i="10"/>
  <c r="AX165" i="10"/>
  <c r="AR165" i="10"/>
  <c r="AJ165" i="10"/>
  <c r="R165" i="10"/>
  <c r="BL164" i="10"/>
  <c r="BD164" i="10"/>
  <c r="AJ164" i="10"/>
  <c r="AD164" i="10"/>
  <c r="P164" i="10"/>
  <c r="AT162" i="10"/>
  <c r="AI162" i="10"/>
  <c r="AD162" i="10"/>
  <c r="AJ158" i="10"/>
  <c r="AE158" i="10"/>
  <c r="AJ157" i="10"/>
  <c r="AE157" i="10"/>
  <c r="AJ156" i="10"/>
  <c r="AE156" i="10"/>
  <c r="AJ155" i="10"/>
  <c r="AE155" i="10"/>
  <c r="AJ154" i="10"/>
  <c r="AE154" i="10"/>
  <c r="Z153" i="10"/>
  <c r="BN152" i="10"/>
  <c r="BN149" i="10"/>
  <c r="BC149" i="10"/>
  <c r="AX149" i="10"/>
  <c r="Z149" i="10"/>
  <c r="O149" i="10"/>
  <c r="BM147" i="10"/>
  <c r="AY147" i="10"/>
  <c r="AT147" i="10"/>
  <c r="BI146" i="10"/>
  <c r="AE146" i="10"/>
  <c r="AW144" i="10"/>
  <c r="BN143" i="10"/>
  <c r="BB143" i="10"/>
  <c r="AE143" i="10"/>
  <c r="Z143" i="10"/>
  <c r="N143" i="10"/>
  <c r="AH137" i="10"/>
  <c r="BQ137" i="10" s="1"/>
  <c r="BV137" i="10" s="1"/>
  <c r="CA137" i="10" s="1"/>
  <c r="CF137" i="10" s="1"/>
  <c r="CK137" i="10" s="1"/>
  <c r="CP137" i="10" s="1"/>
  <c r="CU137" i="10" s="1"/>
  <c r="CZ137" i="10" s="1"/>
  <c r="DE137" i="10" s="1"/>
  <c r="DJ137" i="10" s="1"/>
  <c r="DO137" i="10" s="1"/>
  <c r="DT137" i="10" s="1"/>
  <c r="BN135" i="10"/>
  <c r="BB135" i="10"/>
  <c r="AY133" i="10"/>
  <c r="AT133" i="10"/>
  <c r="BN130" i="10"/>
  <c r="BD130" i="10"/>
  <c r="AJ130" i="10"/>
  <c r="AE130" i="10"/>
  <c r="BA128" i="10"/>
  <c r="BC128" i="10"/>
  <c r="AO128" i="10"/>
  <c r="BI127" i="10"/>
  <c r="AL127" i="10"/>
  <c r="AN127" i="10"/>
  <c r="AM127" i="10"/>
  <c r="BD126" i="10"/>
  <c r="M126" i="10"/>
  <c r="O126" i="10"/>
  <c r="BL125" i="10"/>
  <c r="AJ125" i="10"/>
  <c r="BA124" i="10"/>
  <c r="BC124" i="10"/>
  <c r="AR124" i="10"/>
  <c r="U124" i="10"/>
  <c r="AG123" i="10"/>
  <c r="AI123" i="10"/>
  <c r="X123" i="10"/>
  <c r="BI122" i="10"/>
  <c r="R122" i="10"/>
  <c r="T122" i="10"/>
  <c r="S122" i="10"/>
  <c r="M120" i="10"/>
  <c r="N120" i="10"/>
  <c r="P120" i="10"/>
  <c r="AQ117" i="10"/>
  <c r="AS117" i="10"/>
  <c r="AT117" i="10"/>
  <c r="AR117" i="10"/>
  <c r="W113" i="10"/>
  <c r="Y113" i="10"/>
  <c r="Z113" i="10"/>
  <c r="X113" i="10"/>
  <c r="R107" i="10"/>
  <c r="T107" i="10"/>
  <c r="U107" i="10"/>
  <c r="S107" i="10"/>
  <c r="AW101" i="10"/>
  <c r="AX101" i="10"/>
  <c r="AG100" i="10"/>
  <c r="AH100" i="10"/>
  <c r="BQ100" i="10" s="1"/>
  <c r="BV100" i="10" s="1"/>
  <c r="CA100" i="10" s="1"/>
  <c r="CF100" i="10" s="1"/>
  <c r="CK100" i="10" s="1"/>
  <c r="CP100" i="10" s="1"/>
  <c r="CU100" i="10" s="1"/>
  <c r="CZ100" i="10" s="1"/>
  <c r="DE100" i="10" s="1"/>
  <c r="DJ100" i="10" s="1"/>
  <c r="DO100" i="10" s="1"/>
  <c r="DT100" i="10" s="1"/>
  <c r="AJ100" i="10"/>
  <c r="AQ99" i="10"/>
  <c r="AS99" i="10"/>
  <c r="AT99" i="10"/>
  <c r="AR99" i="10"/>
  <c r="M98" i="10"/>
  <c r="N98" i="10"/>
  <c r="P98" i="10"/>
  <c r="W97" i="10"/>
  <c r="Y97" i="10"/>
  <c r="Z97" i="10"/>
  <c r="X97" i="10"/>
  <c r="BA94" i="10"/>
  <c r="BB94" i="10"/>
  <c r="BD94" i="10"/>
  <c r="BK93" i="10"/>
  <c r="BM93" i="10"/>
  <c r="BN93" i="10"/>
  <c r="BL93" i="10"/>
  <c r="AO198" i="10"/>
  <c r="Y198" i="10"/>
  <c r="BM197" i="10"/>
  <c r="AO197" i="10"/>
  <c r="Y197" i="10"/>
  <c r="BI192" i="10"/>
  <c r="AS192" i="10"/>
  <c r="AM192" i="10"/>
  <c r="AC192" i="10"/>
  <c r="U192" i="10"/>
  <c r="BN190" i="10"/>
  <c r="AX190" i="10"/>
  <c r="AR190" i="10"/>
  <c r="AH190" i="10"/>
  <c r="BQ190" i="10" s="1"/>
  <c r="BV190" i="10" s="1"/>
  <c r="CA190" i="10" s="1"/>
  <c r="CF190" i="10" s="1"/>
  <c r="CK190" i="10" s="1"/>
  <c r="CP190" i="10" s="1"/>
  <c r="CU190" i="10" s="1"/>
  <c r="CZ190" i="10" s="1"/>
  <c r="DE190" i="10" s="1"/>
  <c r="DJ190" i="10" s="1"/>
  <c r="DO190" i="10" s="1"/>
  <c r="DT190" i="10" s="1"/>
  <c r="Z190" i="10"/>
  <c r="AS189" i="10"/>
  <c r="AJ189" i="10"/>
  <c r="BL188" i="10"/>
  <c r="BB188" i="10"/>
  <c r="AT188" i="10"/>
  <c r="AD188" i="10"/>
  <c r="X188" i="10"/>
  <c r="N188" i="10"/>
  <c r="BM187" i="10"/>
  <c r="BD187" i="10"/>
  <c r="Y187" i="10"/>
  <c r="P187" i="10"/>
  <c r="BN186" i="10"/>
  <c r="AX186" i="10"/>
  <c r="AR186" i="10"/>
  <c r="AH186" i="10"/>
  <c r="BQ186" i="10" s="1"/>
  <c r="BV186" i="10" s="1"/>
  <c r="CA186" i="10" s="1"/>
  <c r="CF186" i="10" s="1"/>
  <c r="CK186" i="10" s="1"/>
  <c r="CP186" i="10" s="1"/>
  <c r="CU186" i="10" s="1"/>
  <c r="CZ186" i="10" s="1"/>
  <c r="Z186" i="10"/>
  <c r="AS185" i="10"/>
  <c r="AJ185" i="10"/>
  <c r="BL184" i="10"/>
  <c r="BB184" i="10"/>
  <c r="AT184" i="10"/>
  <c r="AD184" i="10"/>
  <c r="X184" i="10"/>
  <c r="N184" i="10"/>
  <c r="BM183" i="10"/>
  <c r="BD183" i="10"/>
  <c r="Y183" i="10"/>
  <c r="P183" i="10"/>
  <c r="BN182" i="10"/>
  <c r="AX182" i="10"/>
  <c r="AR182" i="10"/>
  <c r="AH182" i="10"/>
  <c r="BQ182" i="10" s="1"/>
  <c r="BV182" i="10" s="1"/>
  <c r="CA182" i="10" s="1"/>
  <c r="CF182" i="10" s="1"/>
  <c r="CK182" i="10" s="1"/>
  <c r="CP182" i="10" s="1"/>
  <c r="CU182" i="10" s="1"/>
  <c r="CZ182" i="10" s="1"/>
  <c r="DE182" i="10" s="1"/>
  <c r="DJ182" i="10" s="1"/>
  <c r="DO182" i="10" s="1"/>
  <c r="DT182" i="10" s="1"/>
  <c r="Z182" i="10"/>
  <c r="BG181" i="10"/>
  <c r="AW181" i="10"/>
  <c r="AO181" i="10"/>
  <c r="AI181" i="10"/>
  <c r="U181" i="10"/>
  <c r="BI180" i="10"/>
  <c r="AQ180" i="10"/>
  <c r="AM180" i="10"/>
  <c r="AE180" i="10"/>
  <c r="S180" i="10"/>
  <c r="BH179" i="10"/>
  <c r="AN179" i="10"/>
  <c r="S179" i="10"/>
  <c r="BC177" i="10"/>
  <c r="AT177" i="10"/>
  <c r="O177" i="10"/>
  <c r="BH172" i="10"/>
  <c r="AY172" i="10"/>
  <c r="T172" i="10"/>
  <c r="BM170" i="10"/>
  <c r="BD170" i="10"/>
  <c r="AH170" i="10"/>
  <c r="BQ170" i="10" s="1"/>
  <c r="BV170" i="10" s="1"/>
  <c r="CA170" i="10" s="1"/>
  <c r="CF170" i="10" s="1"/>
  <c r="CK170" i="10" s="1"/>
  <c r="CP170" i="10" s="1"/>
  <c r="CU170" i="10" s="1"/>
  <c r="CZ170" i="10" s="1"/>
  <c r="DE170" i="10" s="1"/>
  <c r="DJ170" i="10" s="1"/>
  <c r="DO170" i="10" s="1"/>
  <c r="DT170" i="10" s="1"/>
  <c r="BD169" i="10"/>
  <c r="AY169" i="10"/>
  <c r="AQ169" i="10"/>
  <c r="Z169" i="10"/>
  <c r="R169" i="10"/>
  <c r="N169" i="10"/>
  <c r="BC168" i="10"/>
  <c r="O168" i="10"/>
  <c r="BH167" i="10"/>
  <c r="BD167" i="10"/>
  <c r="AY167" i="10"/>
  <c r="AT167" i="10"/>
  <c r="AN167" i="10"/>
  <c r="AJ167" i="10"/>
  <c r="AE167" i="10"/>
  <c r="Z167" i="10"/>
  <c r="T167" i="10"/>
  <c r="P167" i="10"/>
  <c r="BC166" i="10"/>
  <c r="AT166" i="10"/>
  <c r="X166" i="10"/>
  <c r="AI165" i="10"/>
  <c r="Z165" i="10"/>
  <c r="BC164" i="10"/>
  <c r="AT164" i="10"/>
  <c r="AI164" i="10"/>
  <c r="O164" i="10"/>
  <c r="BN162" i="10"/>
  <c r="BD162" i="10"/>
  <c r="AY162" i="10"/>
  <c r="AH162" i="10"/>
  <c r="BQ162" i="10" s="1"/>
  <c r="BV162" i="10" s="1"/>
  <c r="CA162" i="10" s="1"/>
  <c r="CF162" i="10" s="1"/>
  <c r="CK162" i="10" s="1"/>
  <c r="CP162" i="10" s="1"/>
  <c r="CU162" i="10" s="1"/>
  <c r="CZ162" i="10" s="1"/>
  <c r="DE162" i="10" s="1"/>
  <c r="DJ162" i="10" s="1"/>
  <c r="DO162" i="10" s="1"/>
  <c r="DL162" i="10" s="1"/>
  <c r="P162" i="10"/>
  <c r="AT158" i="10"/>
  <c r="AI158" i="10"/>
  <c r="AD158" i="10"/>
  <c r="AT157" i="10"/>
  <c r="AI157" i="10"/>
  <c r="AD157" i="10"/>
  <c r="AT156" i="10"/>
  <c r="AI156" i="10"/>
  <c r="AD156" i="10"/>
  <c r="AT155" i="10"/>
  <c r="AI155" i="10"/>
  <c r="AD155" i="10"/>
  <c r="AT154" i="10"/>
  <c r="AI154" i="10"/>
  <c r="AD154" i="10"/>
  <c r="AJ153" i="10"/>
  <c r="AE153" i="10"/>
  <c r="N153" i="10"/>
  <c r="BB152" i="10"/>
  <c r="AH152" i="10"/>
  <c r="BQ152" i="10" s="1"/>
  <c r="BV152" i="10" s="1"/>
  <c r="CA152" i="10" s="1"/>
  <c r="CF152" i="10" s="1"/>
  <c r="CK152" i="10" s="1"/>
  <c r="CP152" i="10" s="1"/>
  <c r="CU152" i="10" s="1"/>
  <c r="CZ152" i="10" s="1"/>
  <c r="DB152" i="10" s="1"/>
  <c r="P152" i="10"/>
  <c r="BB149" i="10"/>
  <c r="AJ149" i="10"/>
  <c r="AE149" i="10"/>
  <c r="N149" i="10"/>
  <c r="AX147" i="10"/>
  <c r="AS147" i="10"/>
  <c r="U147" i="10"/>
  <c r="BN146" i="10"/>
  <c r="AO146" i="10"/>
  <c r="AC146" i="10"/>
  <c r="U146" i="10"/>
  <c r="BN144" i="10"/>
  <c r="BB144" i="10"/>
  <c r="AE144" i="10"/>
  <c r="Z144" i="10"/>
  <c r="N144" i="10"/>
  <c r="BM143" i="10"/>
  <c r="AD143" i="10"/>
  <c r="Y143" i="10"/>
  <c r="AY142" i="10"/>
  <c r="AT142" i="10"/>
  <c r="AH142" i="10"/>
  <c r="BQ142" i="10" s="1"/>
  <c r="BV142" i="10" s="1"/>
  <c r="CA142" i="10" s="1"/>
  <c r="CF142" i="10" s="1"/>
  <c r="CK142" i="10" s="1"/>
  <c r="CP142" i="10" s="1"/>
  <c r="CU142" i="10" s="1"/>
  <c r="CZ142" i="10" s="1"/>
  <c r="DE142" i="10" s="1"/>
  <c r="DJ142" i="10" s="1"/>
  <c r="DO142" i="10" s="1"/>
  <c r="AC142" i="10"/>
  <c r="BL137" i="10"/>
  <c r="AM137" i="10"/>
  <c r="AG137" i="10"/>
  <c r="N137" i="10"/>
  <c r="BN136" i="10"/>
  <c r="BI136" i="10"/>
  <c r="BC136" i="10"/>
  <c r="AY136" i="10"/>
  <c r="AT136" i="10"/>
  <c r="AO136" i="10"/>
  <c r="AI136" i="10"/>
  <c r="AE136" i="10"/>
  <c r="BM135" i="10"/>
  <c r="AY134" i="10"/>
  <c r="AT134" i="10"/>
  <c r="BN133" i="10"/>
  <c r="AX133" i="10"/>
  <c r="AS133" i="10"/>
  <c r="AE133" i="10"/>
  <c r="Z133" i="10"/>
  <c r="BC130" i="10"/>
  <c r="AT130" i="10"/>
  <c r="AI130" i="10"/>
  <c r="AD130" i="10"/>
  <c r="AG128" i="10"/>
  <c r="AI128" i="10"/>
  <c r="BA127" i="10"/>
  <c r="BC127" i="10"/>
  <c r="BF126" i="10"/>
  <c r="BH126" i="10"/>
  <c r="BG126" i="10"/>
  <c r="M124" i="10"/>
  <c r="O124" i="10"/>
  <c r="BA122" i="10"/>
  <c r="BC122" i="10"/>
  <c r="BM120" i="10"/>
  <c r="BL120" i="10"/>
  <c r="BN120" i="10"/>
  <c r="W118" i="10"/>
  <c r="Y118" i="10"/>
  <c r="Z118" i="10"/>
  <c r="X118" i="10"/>
  <c r="W116" i="10"/>
  <c r="Y116" i="10"/>
  <c r="Z116" i="10"/>
  <c r="X116" i="10"/>
  <c r="M114" i="10"/>
  <c r="N114" i="10"/>
  <c r="P114" i="10"/>
  <c r="AV108" i="10"/>
  <c r="AW108" i="10"/>
  <c r="AY108" i="10"/>
  <c r="BF107" i="10"/>
  <c r="BH107" i="10"/>
  <c r="BI107" i="10"/>
  <c r="BG107" i="10"/>
  <c r="BF106" i="10"/>
  <c r="BH106" i="10"/>
  <c r="BI106" i="10"/>
  <c r="BG106" i="10"/>
  <c r="N104" i="10"/>
  <c r="O104" i="10"/>
  <c r="BK101" i="10"/>
  <c r="BM101" i="10"/>
  <c r="BN101" i="10"/>
  <c r="BL101" i="10"/>
  <c r="W101" i="10"/>
  <c r="Y101" i="10"/>
  <c r="Z101" i="10"/>
  <c r="X101" i="10"/>
  <c r="AW97" i="10"/>
  <c r="AX97" i="10"/>
  <c r="U128" i="10"/>
  <c r="AI120" i="10"/>
  <c r="AB120" i="10"/>
  <c r="BD119" i="10"/>
  <c r="AH119" i="10"/>
  <c r="BQ119" i="10" s="1"/>
  <c r="BV119" i="10" s="1"/>
  <c r="CA119" i="10" s="1"/>
  <c r="CF119" i="10" s="1"/>
  <c r="CK119" i="10" s="1"/>
  <c r="CP119" i="10" s="1"/>
  <c r="CU119" i="10" s="1"/>
  <c r="CZ119" i="10" s="1"/>
  <c r="DE119" i="10" s="1"/>
  <c r="DJ119" i="10" s="1"/>
  <c r="DO119" i="10" s="1"/>
  <c r="DT119" i="10" s="1"/>
  <c r="Y119" i="10"/>
  <c r="BB118" i="10"/>
  <c r="AS118" i="10"/>
  <c r="AB118" i="10"/>
  <c r="N118" i="10"/>
  <c r="BM117" i="10"/>
  <c r="AV117" i="10"/>
  <c r="AH117" i="10"/>
  <c r="BQ117" i="10" s="1"/>
  <c r="BV117" i="10" s="1"/>
  <c r="CA117" i="10" s="1"/>
  <c r="CF117" i="10" s="1"/>
  <c r="CK117" i="10" s="1"/>
  <c r="CP117" i="10" s="1"/>
  <c r="CU117" i="10" s="1"/>
  <c r="CZ117" i="10" s="1"/>
  <c r="DE117" i="10" s="1"/>
  <c r="DJ117" i="10" s="1"/>
  <c r="DO117" i="10" s="1"/>
  <c r="DT117" i="10" s="1"/>
  <c r="AS116" i="10"/>
  <c r="N116" i="10"/>
  <c r="BM115" i="10"/>
  <c r="N115" i="10"/>
  <c r="BM114" i="10"/>
  <c r="AH114" i="10"/>
  <c r="BQ114" i="10" s="1"/>
  <c r="BV114" i="10" s="1"/>
  <c r="CA114" i="10" s="1"/>
  <c r="CF114" i="10" s="1"/>
  <c r="CK114" i="10" s="1"/>
  <c r="CP114" i="10" s="1"/>
  <c r="CU114" i="10" s="1"/>
  <c r="CZ114" i="10" s="1"/>
  <c r="DE114" i="10" s="1"/>
  <c r="DJ114" i="10" s="1"/>
  <c r="DO114" i="10" s="1"/>
  <c r="DT114" i="10" s="1"/>
  <c r="BB113" i="10"/>
  <c r="AD113" i="10"/>
  <c r="P113" i="10"/>
  <c r="AN108" i="10"/>
  <c r="AE108" i="10"/>
  <c r="BM107" i="10"/>
  <c r="AW107" i="10"/>
  <c r="AN107" i="10"/>
  <c r="Y107" i="10"/>
  <c r="T106" i="10"/>
  <c r="BG104" i="10"/>
  <c r="AX104" i="10"/>
  <c r="AO104" i="10"/>
  <c r="S104" i="10"/>
  <c r="AS102" i="10"/>
  <c r="AJ102" i="10"/>
  <c r="BB101" i="10"/>
  <c r="AT101" i="10"/>
  <c r="AD101" i="10"/>
  <c r="N101" i="10"/>
  <c r="BM100" i="10"/>
  <c r="Y100" i="10"/>
  <c r="AH99" i="10"/>
  <c r="BQ99" i="10" s="1"/>
  <c r="BV99" i="10" s="1"/>
  <c r="CA99" i="10" s="1"/>
  <c r="CF99" i="10" s="1"/>
  <c r="CK99" i="10" s="1"/>
  <c r="CP99" i="10" s="1"/>
  <c r="CU99" i="10" s="1"/>
  <c r="CZ99" i="10" s="1"/>
  <c r="DE99" i="10" s="1"/>
  <c r="DJ99" i="10" s="1"/>
  <c r="DO99" i="10" s="1"/>
  <c r="DT99" i="10" s="1"/>
  <c r="AS98" i="10"/>
  <c r="BB97" i="10"/>
  <c r="N97" i="10"/>
  <c r="BM96" i="10"/>
  <c r="Y96" i="10"/>
  <c r="AH95" i="10"/>
  <c r="BQ95" i="10" s="1"/>
  <c r="BV95" i="10" s="1"/>
  <c r="CA95" i="10" s="1"/>
  <c r="CF95" i="10" s="1"/>
  <c r="CK95" i="10" s="1"/>
  <c r="CP95" i="10" s="1"/>
  <c r="CU95" i="10" s="1"/>
  <c r="CZ95" i="10" s="1"/>
  <c r="DE95" i="10" s="1"/>
  <c r="DJ95" i="10" s="1"/>
  <c r="DO95" i="10" s="1"/>
  <c r="DT95" i="10" s="1"/>
  <c r="AS94" i="10"/>
  <c r="BB93" i="10"/>
  <c r="N93" i="10"/>
  <c r="BM92" i="10"/>
  <c r="Y89" i="10"/>
  <c r="Z89" i="10"/>
  <c r="AS88" i="10"/>
  <c r="AT88" i="10"/>
  <c r="M88" i="10"/>
  <c r="P88" i="10"/>
  <c r="N88" i="10"/>
  <c r="AW87" i="10"/>
  <c r="AY87" i="10"/>
  <c r="M87" i="10"/>
  <c r="P87" i="10"/>
  <c r="N87" i="10"/>
  <c r="AW86" i="10"/>
  <c r="AY86" i="10"/>
  <c r="M86" i="10"/>
  <c r="P86" i="10"/>
  <c r="N86" i="10"/>
  <c r="AW85" i="10"/>
  <c r="AX85" i="10"/>
  <c r="AY85" i="10"/>
  <c r="BA84" i="10"/>
  <c r="BC84" i="10"/>
  <c r="BD84" i="10"/>
  <c r="BB84" i="10"/>
  <c r="M84" i="10"/>
  <c r="O84" i="10"/>
  <c r="P84" i="10"/>
  <c r="N84" i="10"/>
  <c r="M83" i="10"/>
  <c r="N83" i="10"/>
  <c r="O83" i="10"/>
  <c r="BA80" i="10"/>
  <c r="BB80" i="10"/>
  <c r="AI64" i="10"/>
  <c r="AJ64" i="10"/>
  <c r="O62" i="10"/>
  <c r="P62" i="10"/>
  <c r="Q66" i="10"/>
  <c r="AI58" i="10"/>
  <c r="AJ58" i="10"/>
  <c r="AK66" i="10"/>
  <c r="AS89" i="10"/>
  <c r="AT89" i="10"/>
  <c r="AG88" i="10"/>
  <c r="AH88" i="10"/>
  <c r="BQ88" i="10" s="1"/>
  <c r="BV88" i="10" s="1"/>
  <c r="CA88" i="10" s="1"/>
  <c r="CF88" i="10" s="1"/>
  <c r="CK88" i="10" s="1"/>
  <c r="CP88" i="10" s="1"/>
  <c r="CU88" i="10" s="1"/>
  <c r="CX88" i="10" s="1"/>
  <c r="AJ88" i="10"/>
  <c r="AG87" i="10"/>
  <c r="AH87" i="10"/>
  <c r="BQ87" i="10" s="1"/>
  <c r="BV87" i="10" s="1"/>
  <c r="CA87" i="10" s="1"/>
  <c r="CF87" i="10" s="1"/>
  <c r="CK87" i="10" s="1"/>
  <c r="CP87" i="10" s="1"/>
  <c r="CU87" i="10" s="1"/>
  <c r="CZ87" i="10" s="1"/>
  <c r="DE87" i="10" s="1"/>
  <c r="DJ87" i="10" s="1"/>
  <c r="DO87" i="10" s="1"/>
  <c r="DT87" i="10" s="1"/>
  <c r="AJ87" i="10"/>
  <c r="AG86" i="10"/>
  <c r="AH86" i="10"/>
  <c r="BQ86" i="10" s="1"/>
  <c r="BV86" i="10" s="1"/>
  <c r="CA86" i="10" s="1"/>
  <c r="CF86" i="10" s="1"/>
  <c r="CK86" i="10" s="1"/>
  <c r="CP86" i="10" s="1"/>
  <c r="CU86" i="10" s="1"/>
  <c r="CZ86" i="10" s="1"/>
  <c r="DE86" i="10" s="1"/>
  <c r="DJ86" i="10" s="1"/>
  <c r="DO86" i="10" s="1"/>
  <c r="DT86" i="10" s="1"/>
  <c r="AJ86" i="10"/>
  <c r="AW84" i="10"/>
  <c r="AX84" i="10"/>
  <c r="AY84" i="10"/>
  <c r="AW83" i="10"/>
  <c r="AX83" i="10"/>
  <c r="AY83" i="10"/>
  <c r="BK79" i="10"/>
  <c r="BM79" i="10"/>
  <c r="BN79" i="10"/>
  <c r="AF66" i="10"/>
  <c r="AF68" i="10" s="1"/>
  <c r="L66" i="10"/>
  <c r="V66" i="10"/>
  <c r="BD45" i="10"/>
  <c r="BE54" i="10"/>
  <c r="BG52" i="9" s="1"/>
  <c r="BG66" i="9" s="1"/>
  <c r="AC89" i="10"/>
  <c r="AD89" i="10"/>
  <c r="AI88" i="10"/>
  <c r="BA87" i="10"/>
  <c r="BD87" i="10"/>
  <c r="BB87" i="10"/>
  <c r="AI87" i="10"/>
  <c r="BA86" i="10"/>
  <c r="BD86" i="10"/>
  <c r="BB86" i="10"/>
  <c r="AI86" i="10"/>
  <c r="BA85" i="10"/>
  <c r="BD85" i="10"/>
  <c r="BB85" i="10"/>
  <c r="AV82" i="10"/>
  <c r="AX82" i="10"/>
  <c r="AY82" i="10"/>
  <c r="AW82" i="10"/>
  <c r="M82" i="10"/>
  <c r="N82" i="10"/>
  <c r="BK80" i="10"/>
  <c r="BM80" i="10"/>
  <c r="BN80" i="10"/>
  <c r="CH66" i="10"/>
  <c r="CC66" i="10"/>
  <c r="CM66" i="10"/>
  <c r="BX66" i="10"/>
  <c r="BS66" i="10"/>
  <c r="R63" i="10"/>
  <c r="T63" i="10"/>
  <c r="U63" i="10"/>
  <c r="S63" i="10"/>
  <c r="AI60" i="10"/>
  <c r="AJ60" i="10"/>
  <c r="BA52" i="10"/>
  <c r="BD52" i="10"/>
  <c r="BB52" i="10"/>
  <c r="BC52" i="10"/>
  <c r="AP54" i="10"/>
  <c r="CL54" i="10"/>
  <c r="BW54" i="10"/>
  <c r="BR54" i="10"/>
  <c r="AZ54" i="10"/>
  <c r="AJ120" i="10"/>
  <c r="AJ119" i="10"/>
  <c r="Z119" i="10"/>
  <c r="BD118" i="10"/>
  <c r="AT118" i="10"/>
  <c r="P118" i="10"/>
  <c r="BN117" i="10"/>
  <c r="AJ117" i="10"/>
  <c r="X117" i="10"/>
  <c r="AT116" i="10"/>
  <c r="P116" i="10"/>
  <c r="BN115" i="10"/>
  <c r="AD115" i="10"/>
  <c r="X115" i="10"/>
  <c r="P115" i="10"/>
  <c r="BN114" i="10"/>
  <c r="AX114" i="10"/>
  <c r="AR114" i="10"/>
  <c r="AJ114" i="10"/>
  <c r="BD113" i="10"/>
  <c r="BM108" i="10"/>
  <c r="BG108" i="10"/>
  <c r="AO108" i="10"/>
  <c r="Y108" i="10"/>
  <c r="S108" i="10"/>
  <c r="AY107" i="10"/>
  <c r="AO107" i="10"/>
  <c r="AS106" i="10"/>
  <c r="AM106" i="10"/>
  <c r="U106" i="10"/>
  <c r="BI104" i="10"/>
  <c r="AY104" i="10"/>
  <c r="AI104" i="10"/>
  <c r="U104" i="10"/>
  <c r="BL102" i="10"/>
  <c r="AT102" i="10"/>
  <c r="AD102" i="10"/>
  <c r="X102" i="10"/>
  <c r="BD101" i="10"/>
  <c r="P101" i="10"/>
  <c r="BN100" i="10"/>
  <c r="AX100" i="10"/>
  <c r="AR100" i="10"/>
  <c r="Z100" i="10"/>
  <c r="AJ99" i="10"/>
  <c r="AT98" i="10"/>
  <c r="AD98" i="10"/>
  <c r="X98" i="10"/>
  <c r="BD97" i="10"/>
  <c r="P97" i="10"/>
  <c r="BN96" i="10"/>
  <c r="AX96" i="10"/>
  <c r="AR96" i="10"/>
  <c r="Z96" i="10"/>
  <c r="AJ95" i="10"/>
  <c r="BL94" i="10"/>
  <c r="AT94" i="10"/>
  <c r="AD94" i="10"/>
  <c r="X94" i="10"/>
  <c r="BD93" i="10"/>
  <c r="P93" i="10"/>
  <c r="BN92" i="10"/>
  <c r="AX92" i="10"/>
  <c r="AM92" i="10"/>
  <c r="AG89" i="10"/>
  <c r="AI89" i="10"/>
  <c r="AE89" i="10"/>
  <c r="BM88" i="10"/>
  <c r="BN88" i="10"/>
  <c r="AC88" i="10"/>
  <c r="AE88" i="10"/>
  <c r="BC87" i="10"/>
  <c r="AC87" i="10"/>
  <c r="AE87" i="10"/>
  <c r="BC86" i="10"/>
  <c r="AC86" i="10"/>
  <c r="AE86" i="10"/>
  <c r="BC85" i="10"/>
  <c r="M85" i="10"/>
  <c r="O85" i="10"/>
  <c r="P85" i="10"/>
  <c r="N85" i="10"/>
  <c r="AS82" i="10"/>
  <c r="AT82" i="10"/>
  <c r="BA79" i="10"/>
  <c r="BB79" i="10"/>
  <c r="AL64" i="10"/>
  <c r="AN64" i="10"/>
  <c r="AO64" i="10"/>
  <c r="AP66" i="10"/>
  <c r="AM64" i="10"/>
  <c r="BC63" i="10"/>
  <c r="BD63" i="10"/>
  <c r="O63" i="10"/>
  <c r="P63" i="10"/>
  <c r="R62" i="10"/>
  <c r="T62" i="10"/>
  <c r="U62" i="10"/>
  <c r="S62" i="10"/>
  <c r="AQ61" i="10"/>
  <c r="AR61" i="10"/>
  <c r="AS61" i="10"/>
  <c r="BO54" i="10"/>
  <c r="BQ52" i="9" s="1"/>
  <c r="BQ66" i="9" s="1"/>
  <c r="AJ85" i="10"/>
  <c r="AE85" i="10"/>
  <c r="AJ84" i="10"/>
  <c r="AE84" i="10"/>
  <c r="AJ83" i="10"/>
  <c r="AE83" i="10"/>
  <c r="AY80" i="10"/>
  <c r="AY79" i="10"/>
  <c r="BI64" i="10"/>
  <c r="BD64" i="10"/>
  <c r="U64" i="10"/>
  <c r="P64" i="10"/>
  <c r="AO63" i="10"/>
  <c r="AJ63" i="10"/>
  <c r="BI62" i="10"/>
  <c r="AO62" i="10"/>
  <c r="AJ62" i="10"/>
  <c r="BI61" i="10"/>
  <c r="BD61" i="10"/>
  <c r="Y61" i="10"/>
  <c r="BK60" i="10"/>
  <c r="BL60" i="10"/>
  <c r="BC59" i="10"/>
  <c r="BD59" i="10"/>
  <c r="R59" i="10"/>
  <c r="U59" i="10"/>
  <c r="T59" i="10"/>
  <c r="BK58" i="10"/>
  <c r="BL58" i="10"/>
  <c r="BC57" i="10"/>
  <c r="BD57" i="10"/>
  <c r="R57" i="10"/>
  <c r="U57" i="10"/>
  <c r="T57" i="10"/>
  <c r="CB54" i="10"/>
  <c r="CO54" i="10"/>
  <c r="CT54" i="10"/>
  <c r="BZ54" i="10"/>
  <c r="AH85" i="10"/>
  <c r="BQ85" i="10" s="1"/>
  <c r="BV85" i="10" s="1"/>
  <c r="CA85" i="10" s="1"/>
  <c r="CF85" i="10" s="1"/>
  <c r="CK85" i="10" s="1"/>
  <c r="CP85" i="10" s="1"/>
  <c r="CU85" i="10" s="1"/>
  <c r="CZ85" i="10" s="1"/>
  <c r="DE85" i="10" s="1"/>
  <c r="DJ85" i="10" s="1"/>
  <c r="DO85" i="10" s="1"/>
  <c r="DT85" i="10" s="1"/>
  <c r="AH84" i="10"/>
  <c r="BQ84" i="10" s="1"/>
  <c r="BV84" i="10" s="1"/>
  <c r="CA84" i="10" s="1"/>
  <c r="CF84" i="10" s="1"/>
  <c r="CK84" i="10" s="1"/>
  <c r="CP84" i="10" s="1"/>
  <c r="CU84" i="10" s="1"/>
  <c r="CZ84" i="10" s="1"/>
  <c r="DE84" i="10" s="1"/>
  <c r="DJ84" i="10" s="1"/>
  <c r="DO84" i="10" s="1"/>
  <c r="DT84" i="10" s="1"/>
  <c r="AH83" i="10"/>
  <c r="BQ83" i="10" s="1"/>
  <c r="BV83" i="10" s="1"/>
  <c r="CA83" i="10" s="1"/>
  <c r="CF83" i="10" s="1"/>
  <c r="CK83" i="10" s="1"/>
  <c r="CP83" i="10" s="1"/>
  <c r="CU83" i="10" s="1"/>
  <c r="CZ83" i="10" s="1"/>
  <c r="DE83" i="10" s="1"/>
  <c r="DJ83" i="10" s="1"/>
  <c r="BM81" i="10"/>
  <c r="AX81" i="10"/>
  <c r="AS81" i="10"/>
  <c r="AW80" i="10"/>
  <c r="AW79" i="10"/>
  <c r="CL66" i="10"/>
  <c r="BR66" i="10"/>
  <c r="BG64" i="10"/>
  <c r="X64" i="10"/>
  <c r="S64" i="10"/>
  <c r="AR63" i="10"/>
  <c r="AM63" i="10"/>
  <c r="BL62" i="10"/>
  <c r="BG62" i="10"/>
  <c r="AR62" i="10"/>
  <c r="AM62" i="10"/>
  <c r="BL61" i="10"/>
  <c r="BG61" i="10"/>
  <c r="AN61" i="10"/>
  <c r="BF59" i="10"/>
  <c r="BI59" i="10"/>
  <c r="BH59" i="10"/>
  <c r="AQ59" i="10"/>
  <c r="AR59" i="10"/>
  <c r="O59" i="10"/>
  <c r="P59" i="10"/>
  <c r="BF57" i="10"/>
  <c r="BI57" i="10"/>
  <c r="BH57" i="10"/>
  <c r="AQ57" i="10"/>
  <c r="AR57" i="10"/>
  <c r="O57" i="10"/>
  <c r="P57" i="10"/>
  <c r="AX52" i="10"/>
  <c r="AY52" i="10"/>
  <c r="Z50" i="10"/>
  <c r="AA54" i="10"/>
  <c r="BU54" i="10"/>
  <c r="BZ66" i="10"/>
  <c r="BU66" i="10"/>
  <c r="AL60" i="10"/>
  <c r="AO60" i="10"/>
  <c r="AN60" i="10"/>
  <c r="W60" i="10"/>
  <c r="X60" i="10"/>
  <c r="AL58" i="10"/>
  <c r="AO58" i="10"/>
  <c r="AN58" i="10"/>
  <c r="W58" i="10"/>
  <c r="X58" i="10"/>
  <c r="CS54" i="10"/>
  <c r="BY54" i="10"/>
  <c r="BY68" i="10" s="1"/>
  <c r="Y59" i="10"/>
  <c r="AS58" i="10"/>
  <c r="Y57" i="10"/>
  <c r="CN54" i="10"/>
  <c r="CN68" i="10" s="1"/>
  <c r="BT54" i="10"/>
  <c r="BH52" i="10"/>
  <c r="S52" i="10"/>
  <c r="N52" i="10"/>
  <c r="BG51" i="10"/>
  <c r="BB51" i="10"/>
  <c r="AJ51" i="10"/>
  <c r="AE51" i="10"/>
  <c r="S51" i="10"/>
  <c r="N51" i="10"/>
  <c r="BG50" i="10"/>
  <c r="BB50" i="10"/>
  <c r="AJ50" i="10"/>
  <c r="AE50" i="10"/>
  <c r="S50" i="10"/>
  <c r="N50" i="10"/>
  <c r="BN45" i="10"/>
  <c r="AR45" i="10"/>
  <c r="AM44" i="10"/>
  <c r="AH44" i="10"/>
  <c r="BQ44" i="10" s="1"/>
  <c r="BV44" i="10" s="1"/>
  <c r="CA44" i="10" s="1"/>
  <c r="CF44" i="10" s="1"/>
  <c r="CK44" i="10" s="1"/>
  <c r="CP44" i="10" s="1"/>
  <c r="CU44" i="10" s="1"/>
  <c r="CZ44" i="10" s="1"/>
  <c r="CW44" i="10" s="1"/>
  <c r="CW54" i="10" s="1"/>
  <c r="O44" i="10"/>
  <c r="BM40" i="10"/>
  <c r="AD40" i="10"/>
  <c r="Y40" i="10"/>
  <c r="AX38" i="10"/>
  <c r="AS38" i="10"/>
  <c r="W38" i="10"/>
  <c r="Y38" i="10"/>
  <c r="BM37" i="10"/>
  <c r="AV37" i="10"/>
  <c r="AY37" i="10"/>
  <c r="AX37" i="10"/>
  <c r="AG37" i="10"/>
  <c r="AH37" i="10"/>
  <c r="BQ37" i="10" s="1"/>
  <c r="BV37" i="10" s="1"/>
  <c r="CA37" i="10" s="1"/>
  <c r="CF37" i="10" s="1"/>
  <c r="CK37" i="10" s="1"/>
  <c r="CP37" i="10" s="1"/>
  <c r="CU37" i="10" s="1"/>
  <c r="CZ37" i="10" s="1"/>
  <c r="DE37" i="10" s="1"/>
  <c r="DJ37" i="10" s="1"/>
  <c r="DO37" i="10" s="1"/>
  <c r="DT37" i="10" s="1"/>
  <c r="CR54" i="10"/>
  <c r="BX54" i="10"/>
  <c r="N44" i="10"/>
  <c r="AY40" i="10"/>
  <c r="AT40" i="10"/>
  <c r="AH40" i="10"/>
  <c r="BQ40" i="10" s="1"/>
  <c r="BV40" i="10" s="1"/>
  <c r="CA40" i="10" s="1"/>
  <c r="CF40" i="10" s="1"/>
  <c r="CK40" i="10" s="1"/>
  <c r="CP40" i="10" s="1"/>
  <c r="CU40" i="10" s="1"/>
  <c r="CZ40" i="10" s="1"/>
  <c r="DE40" i="10" s="1"/>
  <c r="DJ40" i="10" s="1"/>
  <c r="DO40" i="10" s="1"/>
  <c r="DT40" i="10" s="1"/>
  <c r="AC40" i="10"/>
  <c r="BN38" i="10"/>
  <c r="BB38" i="10"/>
  <c r="AW38" i="10"/>
  <c r="AE38" i="10"/>
  <c r="Z38" i="10"/>
  <c r="AW37" i="10"/>
  <c r="AX40" i="10"/>
  <c r="AS40" i="10"/>
  <c r="AQ37" i="10"/>
  <c r="AT37" i="10"/>
  <c r="AS37" i="10"/>
  <c r="BG60" i="10"/>
  <c r="S60" i="10"/>
  <c r="AM59" i="10"/>
  <c r="S58" i="10"/>
  <c r="AM57" i="10"/>
  <c r="Q54" i="10"/>
  <c r="E54" i="10"/>
  <c r="CJ54" i="10"/>
  <c r="AM52" i="10"/>
  <c r="O52" i="10"/>
  <c r="BC51" i="10"/>
  <c r="AX51" i="10"/>
  <c r="O51" i="10"/>
  <c r="BC50" i="10"/>
  <c r="AX50" i="10"/>
  <c r="O50" i="10"/>
  <c r="AS45" i="10"/>
  <c r="AN45" i="10"/>
  <c r="BL44" i="10"/>
  <c r="AN44" i="10"/>
  <c r="AI44" i="10"/>
  <c r="AD44" i="10"/>
  <c r="P44" i="10"/>
  <c r="BN40" i="10"/>
  <c r="BB40" i="10"/>
  <c r="AW40" i="10"/>
  <c r="AE40" i="10"/>
  <c r="Z40" i="10"/>
  <c r="N40" i="10"/>
  <c r="BM39" i="10"/>
  <c r="AD39" i="10"/>
  <c r="Y39" i="10"/>
  <c r="AY38" i="10"/>
  <c r="AT38" i="10"/>
  <c r="AH38" i="10"/>
  <c r="BQ38" i="10" s="1"/>
  <c r="BV38" i="10" s="1"/>
  <c r="CA38" i="10" s="1"/>
  <c r="CF38" i="10" s="1"/>
  <c r="CK38" i="10" s="1"/>
  <c r="CP38" i="10" s="1"/>
  <c r="CU38" i="10" s="1"/>
  <c r="CZ38" i="10" s="1"/>
  <c r="DE38" i="10" s="1"/>
  <c r="DJ38" i="10" s="1"/>
  <c r="DO38" i="10" s="1"/>
  <c r="DT38" i="10" s="1"/>
  <c r="AC38" i="10"/>
  <c r="BN37" i="10"/>
  <c r="BB37" i="10"/>
  <c r="AW36" i="10"/>
  <c r="BM35" i="10"/>
  <c r="AD35" i="10"/>
  <c r="Y35" i="10"/>
  <c r="AC34" i="10"/>
  <c r="AX33" i="10"/>
  <c r="AS33" i="10"/>
  <c r="AN33" i="10"/>
  <c r="Z33" i="10"/>
  <c r="U33" i="10"/>
  <c r="AT32" i="10"/>
  <c r="AO32" i="10"/>
  <c r="BI31" i="10"/>
  <c r="BA31" i="10"/>
  <c r="Z31" i="10"/>
  <c r="U31" i="10"/>
  <c r="AS30" i="10"/>
  <c r="AN30" i="10"/>
  <c r="BL29" i="10"/>
  <c r="AS29" i="10"/>
  <c r="AN29" i="10"/>
  <c r="U29" i="10"/>
  <c r="M29" i="10"/>
  <c r="BM28" i="10"/>
  <c r="BH28" i="10"/>
  <c r="AS28" i="10"/>
  <c r="AN28" i="10"/>
  <c r="Y28" i="10"/>
  <c r="T28" i="10"/>
  <c r="AR27" i="10"/>
  <c r="BL25" i="10"/>
  <c r="AM25" i="10"/>
  <c r="W25" i="10"/>
  <c r="S25" i="10"/>
  <c r="BI24" i="10"/>
  <c r="AQ24" i="10"/>
  <c r="AM24" i="10"/>
  <c r="U24" i="10"/>
  <c r="P24" i="10"/>
  <c r="BH23" i="10"/>
  <c r="BC23" i="10"/>
  <c r="S23" i="10"/>
  <c r="BD22" i="10"/>
  <c r="AI22" i="10"/>
  <c r="S22" i="10"/>
  <c r="BH21" i="10"/>
  <c r="BC21" i="10"/>
  <c r="AN21" i="10"/>
  <c r="AI21" i="10"/>
  <c r="T21" i="10"/>
  <c r="O21" i="10"/>
  <c r="T20" i="10"/>
  <c r="O20" i="10"/>
  <c r="AO19" i="10"/>
  <c r="T19" i="10"/>
  <c r="O19" i="10"/>
  <c r="AC35" i="10"/>
  <c r="AW33" i="10"/>
  <c r="AR33" i="10"/>
  <c r="AR30" i="10"/>
  <c r="AR29" i="10"/>
  <c r="BL28" i="10"/>
  <c r="T24" i="10"/>
  <c r="BG23" i="10"/>
  <c r="BG21" i="10"/>
  <c r="AM21" i="10"/>
  <c r="S21" i="10"/>
  <c r="BI20" i="10"/>
  <c r="BD20" i="10"/>
  <c r="AO20" i="10"/>
  <c r="AJ20" i="10"/>
  <c r="X20" i="10"/>
  <c r="S20" i="10"/>
  <c r="BI19" i="10"/>
  <c r="AN19" i="10"/>
  <c r="X19" i="10"/>
  <c r="S19" i="10"/>
  <c r="AY36" i="10"/>
  <c r="AT36" i="10"/>
  <c r="BN34" i="10"/>
  <c r="AW31" i="10"/>
  <c r="AO27" i="10"/>
  <c r="BI25" i="10"/>
  <c r="AC37" i="10"/>
  <c r="AX36" i="10"/>
  <c r="AS36" i="10"/>
  <c r="BN35" i="10"/>
  <c r="BB35" i="10"/>
  <c r="AW35" i="10"/>
  <c r="AE35" i="10"/>
  <c r="Z35" i="10"/>
  <c r="N35" i="10"/>
  <c r="BM34" i="10"/>
  <c r="AD34" i="10"/>
  <c r="Y34" i="10"/>
  <c r="AY33" i="10"/>
  <c r="AT33" i="10"/>
  <c r="AO33" i="10"/>
  <c r="AH33" i="10"/>
  <c r="BQ33" i="10" s="1"/>
  <c r="BV33" i="10" s="1"/>
  <c r="CA33" i="10" s="1"/>
  <c r="CF33" i="10" s="1"/>
  <c r="CK33" i="10" s="1"/>
  <c r="CP33" i="10" s="1"/>
  <c r="CU33" i="10" s="1"/>
  <c r="CZ33" i="10" s="1"/>
  <c r="DE33" i="10" s="1"/>
  <c r="DJ33" i="10" s="1"/>
  <c r="DO33" i="10" s="1"/>
  <c r="DT33" i="10" s="1"/>
  <c r="BL32" i="10"/>
  <c r="X32" i="10"/>
  <c r="AR31" i="10"/>
  <c r="BL30" i="10"/>
  <c r="AT30" i="10"/>
  <c r="AO30" i="10"/>
  <c r="BM29" i="10"/>
  <c r="BH29" i="10"/>
  <c r="AT29" i="10"/>
  <c r="AO29" i="10"/>
  <c r="BN28" i="10"/>
  <c r="BI28" i="10"/>
  <c r="AO28" i="10"/>
  <c r="U28" i="10"/>
  <c r="AS27" i="10"/>
  <c r="AN27" i="10"/>
  <c r="BL26" i="10"/>
  <c r="X26" i="10"/>
  <c r="BM25" i="10"/>
  <c r="BH25" i="10"/>
  <c r="BA25" i="10"/>
  <c r="AN25" i="10"/>
  <c r="AI25" i="10"/>
  <c r="T25" i="10"/>
  <c r="O25" i="10"/>
  <c r="AN24" i="10"/>
  <c r="AI24" i="10"/>
  <c r="BI23" i="10"/>
  <c r="BD23" i="10"/>
  <c r="AR23" i="10"/>
  <c r="AM23" i="10"/>
  <c r="T23" i="10"/>
  <c r="O23" i="10"/>
  <c r="AY22" i="10"/>
  <c r="AJ22" i="10"/>
  <c r="T22" i="10"/>
  <c r="O22" i="10"/>
  <c r="BI21" i="10"/>
  <c r="BD21" i="10"/>
  <c r="AO21" i="10"/>
  <c r="AJ21" i="10"/>
  <c r="U21" i="10"/>
  <c r="P21" i="10"/>
  <c r="BG20" i="10"/>
  <c r="AM20" i="10"/>
  <c r="U20" i="10"/>
  <c r="P20" i="10"/>
  <c r="BL19" i="10"/>
  <c r="BG19" i="10"/>
  <c r="U19" i="10"/>
  <c r="P19" i="10"/>
  <c r="BP61" i="9"/>
  <c r="BE61" i="9"/>
  <c r="BE98" i="4" s="1"/>
  <c r="AZ61" i="9"/>
  <c r="AZ98" i="4" s="1"/>
  <c r="BC13" i="9"/>
  <c r="AU10" i="9"/>
  <c r="AM10" i="9"/>
  <c r="AA10" i="9"/>
  <c r="BD61" i="9"/>
  <c r="AS57" i="9"/>
  <c r="AO57" i="9"/>
  <c r="AG57" i="9"/>
  <c r="AC57" i="9"/>
  <c r="Y57" i="9"/>
  <c r="AH21" i="9"/>
  <c r="AI10" i="9"/>
  <c r="AE10" i="9"/>
  <c r="BB31" i="9"/>
  <c r="AV242" i="47"/>
  <c r="AU242" i="47" s="1"/>
  <c r="AT242" i="47" s="1"/>
  <c r="AS242" i="47" s="1"/>
  <c r="AW266" i="47"/>
  <c r="AQ15" i="47"/>
  <c r="AQ17" i="47" s="1"/>
  <c r="AQ341" i="47"/>
  <c r="AQ315" i="47" s="1"/>
  <c r="AQ316" i="47" s="1"/>
  <c r="AQ318" i="47" s="1"/>
  <c r="BY270" i="47"/>
  <c r="BY271" i="47"/>
  <c r="CI247" i="47"/>
  <c r="T212" i="47"/>
  <c r="U209" i="47"/>
  <c r="V209" i="47" s="1"/>
  <c r="V212" i="47" s="1"/>
  <c r="AA197" i="47"/>
  <c r="Z197" i="47" s="1"/>
  <c r="Y197" i="47" s="1"/>
  <c r="AB199" i="47"/>
  <c r="Z29" i="47"/>
  <c r="Z33" i="47" s="1"/>
  <c r="Z36" i="47" s="1"/>
  <c r="Z340" i="47" s="1"/>
  <c r="Z23" i="47"/>
  <c r="AG15" i="47"/>
  <c r="AG159" i="47"/>
  <c r="AG157" i="47" s="1"/>
  <c r="AN348" i="47"/>
  <c r="AN350" i="47" s="1"/>
  <c r="AO323" i="47"/>
  <c r="AN281" i="47"/>
  <c r="AO265" i="47"/>
  <c r="AP265" i="47" s="1"/>
  <c r="AR265" i="47"/>
  <c r="AR237" i="47" s="1"/>
  <c r="CP247" i="47"/>
  <c r="I229" i="47"/>
  <c r="AY75" i="47"/>
  <c r="AY207" i="47" s="1"/>
  <c r="BB74" i="47"/>
  <c r="AM74" i="47"/>
  <c r="AJ75" i="47"/>
  <c r="AJ207" i="47" s="1"/>
  <c r="CM247" i="47"/>
  <c r="AD362" i="47"/>
  <c r="AH362" i="47"/>
  <c r="BN358" i="47"/>
  <c r="BN152" i="4" s="1"/>
  <c r="BM358" i="47"/>
  <c r="BM152" i="4" s="1"/>
  <c r="AU252" i="47"/>
  <c r="AT252" i="47" s="1"/>
  <c r="AS252" i="47" s="1"/>
  <c r="BB252" i="47"/>
  <c r="BG252" i="47" s="1"/>
  <c r="BL252" i="47" s="1"/>
  <c r="CE247" i="47"/>
  <c r="AV241" i="47"/>
  <c r="AU241" i="47" s="1"/>
  <c r="AT241" i="47" s="1"/>
  <c r="AS241" i="47" s="1"/>
  <c r="BB241" i="47"/>
  <c r="BB254" i="47" s="1"/>
  <c r="BU256" i="47" s="1"/>
  <c r="AW254" i="47"/>
  <c r="BU255" i="47" s="1"/>
  <c r="BA236" i="47"/>
  <c r="BB320" i="47"/>
  <c r="AX145" i="47"/>
  <c r="AY145" i="47" s="1"/>
  <c r="BB145" i="47" s="1"/>
  <c r="AV147" i="47"/>
  <c r="AU295" i="47"/>
  <c r="AM295" i="47"/>
  <c r="BJ236" i="47"/>
  <c r="BE236" i="47"/>
  <c r="AL199" i="47"/>
  <c r="BK199" i="47"/>
  <c r="BJ195" i="47"/>
  <c r="BI195" i="47" s="1"/>
  <c r="BA199" i="47"/>
  <c r="AZ195" i="47"/>
  <c r="AQ199" i="47"/>
  <c r="AP195" i="47"/>
  <c r="AO195" i="47" s="1"/>
  <c r="AC174" i="47"/>
  <c r="AB174" i="47" s="1"/>
  <c r="AA174" i="47" s="1"/>
  <c r="X188" i="47"/>
  <c r="AV175" i="47"/>
  <c r="AU175" i="47" s="1"/>
  <c r="BB175" i="47"/>
  <c r="BB189" i="47" s="1"/>
  <c r="BA189" i="47" s="1"/>
  <c r="AZ189" i="47" s="1"/>
  <c r="AY189" i="47" s="1"/>
  <c r="AX189" i="47" s="1"/>
  <c r="AW189" i="47"/>
  <c r="AV189" i="47" s="1"/>
  <c r="AU189" i="47" s="1"/>
  <c r="AT189" i="47" s="1"/>
  <c r="AS189" i="47" s="1"/>
  <c r="BK78" i="47"/>
  <c r="BK80" i="47" s="1"/>
  <c r="BL80" i="47"/>
  <c r="BL79" i="47"/>
  <c r="BL81" i="47"/>
  <c r="AJ23" i="47"/>
  <c r="AJ29" i="47"/>
  <c r="AE350" i="47"/>
  <c r="Z346" i="47"/>
  <c r="AO318" i="47"/>
  <c r="AW93" i="4"/>
  <c r="AG199" i="47"/>
  <c r="AF195" i="47"/>
  <c r="AG177" i="47"/>
  <c r="AF177" i="47" s="1"/>
  <c r="AE177" i="47" s="1"/>
  <c r="AD177" i="47" s="1"/>
  <c r="AR146" i="47"/>
  <c r="AB120" i="47"/>
  <c r="Y120" i="47"/>
  <c r="Z120" i="47"/>
  <c r="AH120" i="47"/>
  <c r="AE120" i="47" s="1"/>
  <c r="X124" i="47"/>
  <c r="BC75" i="47"/>
  <c r="BC207" i="47" s="1"/>
  <c r="BJ19" i="47"/>
  <c r="BE20" i="47"/>
  <c r="AR295" i="47"/>
  <c r="BK236" i="47"/>
  <c r="BF236" i="47"/>
  <c r="AT236" i="47"/>
  <c r="BP199" i="47"/>
  <c r="AH119" i="47"/>
  <c r="AG119" i="47" s="1"/>
  <c r="AF119" i="47" s="1"/>
  <c r="AE119" i="47" s="1"/>
  <c r="AD119" i="47" s="1"/>
  <c r="AB119" i="47"/>
  <c r="AA119" i="47" s="1"/>
  <c r="Z119" i="47" s="1"/>
  <c r="Y119" i="47" s="1"/>
  <c r="BO78" i="47"/>
  <c r="BO81" i="47" s="1"/>
  <c r="BO207" i="47" s="1"/>
  <c r="BP81" i="47"/>
  <c r="BP207" i="47" s="1"/>
  <c r="BP80" i="47"/>
  <c r="AR73" i="47"/>
  <c r="AO75" i="47"/>
  <c r="AO207" i="47" s="1"/>
  <c r="AF61" i="47"/>
  <c r="AH66" i="47"/>
  <c r="W214" i="47"/>
  <c r="AA163" i="47"/>
  <c r="BL147" i="47"/>
  <c r="BG147" i="47"/>
  <c r="BE92" i="47"/>
  <c r="BJ92" i="47" s="1"/>
  <c r="BO92" i="47" s="1"/>
  <c r="AD114" i="47"/>
  <c r="BQ79" i="47"/>
  <c r="BG74" i="47"/>
  <c r="BG73" i="47"/>
  <c r="BL67" i="47"/>
  <c r="BJ62" i="47"/>
  <c r="BJ206" i="47" s="1"/>
  <c r="BE62" i="47"/>
  <c r="BE206" i="47" s="1"/>
  <c r="BE214" i="47" s="1"/>
  <c r="AK62" i="47"/>
  <c r="AK206" i="47" s="1"/>
  <c r="AK214" i="47" s="1"/>
  <c r="AO23" i="47"/>
  <c r="AO29" i="47"/>
  <c r="X23" i="47"/>
  <c r="X29" i="47"/>
  <c r="X33" i="47" s="1"/>
  <c r="X36" i="47" s="1"/>
  <c r="BF19" i="47"/>
  <c r="BA20" i="47"/>
  <c r="AP22" i="47"/>
  <c r="AK22" i="47"/>
  <c r="AH147" i="47"/>
  <c r="AW145" i="47"/>
  <c r="AX75" i="47"/>
  <c r="AX207" i="47" s="1"/>
  <c r="AE75" i="47"/>
  <c r="BL70" i="47"/>
  <c r="AO61" i="47"/>
  <c r="AJ61" i="47"/>
  <c r="AJ205" i="47" s="1"/>
  <c r="AQ25" i="47"/>
  <c r="AQ27" i="47" s="1"/>
  <c r="AR27" i="47"/>
  <c r="AF23" i="47"/>
  <c r="AF29" i="47"/>
  <c r="AD29" i="47"/>
  <c r="AD23" i="47"/>
  <c r="Y22" i="47"/>
  <c r="AB15" i="47"/>
  <c r="AB17" i="47" s="1"/>
  <c r="T214" i="47"/>
  <c r="T215" i="47" s="1"/>
  <c r="AB176" i="47"/>
  <c r="AA176" i="47" s="1"/>
  <c r="Z176" i="47" s="1"/>
  <c r="Y176" i="47" s="1"/>
  <c r="AB163" i="47"/>
  <c r="AM147" i="47"/>
  <c r="AW146" i="47"/>
  <c r="Y139" i="47"/>
  <c r="AH111" i="47"/>
  <c r="AQ92" i="47"/>
  <c r="BA92" i="47" s="1"/>
  <c r="AL92" i="47"/>
  <c r="AL141" i="47" s="1"/>
  <c r="AB92" i="47"/>
  <c r="AB114" i="47" s="1"/>
  <c r="BB73" i="47"/>
  <c r="BF62" i="47"/>
  <c r="BF206" i="47" s="1"/>
  <c r="BF214" i="47" s="1"/>
  <c r="AQ62" i="47"/>
  <c r="AQ206" i="47" s="1"/>
  <c r="AQ214" i="47" s="1"/>
  <c r="AR67" i="47"/>
  <c r="BH61" i="47"/>
  <c r="BG52" i="47"/>
  <c r="AS23" i="47"/>
  <c r="AS29" i="47"/>
  <c r="AU29" i="47"/>
  <c r="AU23" i="47"/>
  <c r="AM29" i="47"/>
  <c r="AM23" i="47"/>
  <c r="AH29" i="47"/>
  <c r="AH23" i="47"/>
  <c r="AC22" i="47"/>
  <c r="AC70" i="47"/>
  <c r="AC135" i="47" s="1"/>
  <c r="BK62" i="47"/>
  <c r="AN62" i="47"/>
  <c r="AN206" i="47" s="1"/>
  <c r="AI62" i="47"/>
  <c r="Y62" i="47"/>
  <c r="BI61" i="47"/>
  <c r="BI205" i="47" s="1"/>
  <c r="AZ61" i="47"/>
  <c r="AP61" i="47"/>
  <c r="AK61" i="47"/>
  <c r="AG61" i="47"/>
  <c r="BB58" i="47"/>
  <c r="AC58" i="47"/>
  <c r="BL52" i="47"/>
  <c r="AH52" i="47"/>
  <c r="AZ20" i="47"/>
  <c r="BG70" i="47"/>
  <c r="AR70" i="47"/>
  <c r="BI62" i="47"/>
  <c r="BI206" i="47" s="1"/>
  <c r="BG67" i="47"/>
  <c r="AF62" i="47"/>
  <c r="AF63" i="47" s="1"/>
  <c r="BK61" i="47"/>
  <c r="BF61" i="47"/>
  <c r="BF205" i="47" s="1"/>
  <c r="BF211" i="47" s="1"/>
  <c r="AX61" i="47"/>
  <c r="AX205" i="47" s="1"/>
  <c r="AX211" i="47" s="1"/>
  <c r="AS61" i="47"/>
  <c r="AN61" i="47"/>
  <c r="AN205" i="47" s="1"/>
  <c r="AN211" i="47" s="1"/>
  <c r="AI61" i="47"/>
  <c r="AI205" i="47" s="1"/>
  <c r="AC66" i="47"/>
  <c r="AR58" i="47"/>
  <c r="AG10" i="47"/>
  <c r="BH62" i="47"/>
  <c r="BH206" i="47" s="1"/>
  <c r="BC62" i="47"/>
  <c r="BC206" i="47" s="1"/>
  <c r="AS62" i="47"/>
  <c r="AO62" i="47"/>
  <c r="AO206" i="47" s="1"/>
  <c r="AJ62" i="47"/>
  <c r="AE62" i="47"/>
  <c r="Z62" i="47"/>
  <c r="BJ61" i="47"/>
  <c r="BJ205" i="47" s="1"/>
  <c r="BE61" i="47"/>
  <c r="BE205" i="47" s="1"/>
  <c r="BE211" i="47" s="1"/>
  <c r="BA61" i="47"/>
  <c r="BA205" i="47" s="1"/>
  <c r="BA211" i="47" s="1"/>
  <c r="AQ61" i="47"/>
  <c r="AQ205" i="47" s="1"/>
  <c r="AQ211" i="47" s="1"/>
  <c r="AL63" i="47"/>
  <c r="AD61" i="47"/>
  <c r="Y61" i="47"/>
  <c r="BB52" i="47"/>
  <c r="AC52" i="47"/>
  <c r="BG25" i="47"/>
  <c r="AG17" i="47"/>
  <c r="AQ10" i="47"/>
  <c r="AO26" i="45"/>
  <c r="AO22" i="45"/>
  <c r="AL13" i="45"/>
  <c r="AK59" i="45"/>
  <c r="AK58" i="45" s="1"/>
  <c r="AH78" i="45"/>
  <c r="AM58" i="45"/>
  <c r="AS49" i="45"/>
  <c r="AQ37" i="45"/>
  <c r="AA19" i="45"/>
  <c r="AH48" i="45"/>
  <c r="AF48" i="45" s="1"/>
  <c r="AL47" i="45"/>
  <c r="AH22" i="45"/>
  <c r="AH23" i="3" s="1"/>
  <c r="BQ222" i="8"/>
  <c r="BG222" i="8"/>
  <c r="AF196" i="8"/>
  <c r="X196" i="8"/>
  <c r="X194" i="8" s="1"/>
  <c r="X232" i="8" s="1"/>
  <c r="AE209" i="8"/>
  <c r="AJ187" i="8"/>
  <c r="AJ196" i="8" s="1"/>
  <c r="AJ191" i="8" s="1"/>
  <c r="AE208" i="8"/>
  <c r="AO209" i="8"/>
  <c r="AB185" i="8"/>
  <c r="AC187" i="8"/>
  <c r="AS104" i="8"/>
  <c r="Y104" i="8"/>
  <c r="AN187" i="8"/>
  <c r="Z104" i="8"/>
  <c r="AN224" i="8"/>
  <c r="AO219" i="8" s="1"/>
  <c r="AO224" i="8" s="1"/>
  <c r="AP219" i="8" s="1"/>
  <c r="AP224" i="8" s="1"/>
  <c r="AQ219" i="8" s="1"/>
  <c r="AH220" i="8"/>
  <c r="AO197" i="8"/>
  <c r="X188" i="8"/>
  <c r="X209" i="8"/>
  <c r="AF165" i="8"/>
  <c r="AN23" i="8"/>
  <c r="AN29" i="8"/>
  <c r="AI29" i="8"/>
  <c r="AI23" i="8"/>
  <c r="AO188" i="8"/>
  <c r="AO208" i="8"/>
  <c r="AI197" i="8"/>
  <c r="AI209" i="8"/>
  <c r="AF188" i="8"/>
  <c r="AD104" i="8"/>
  <c r="AF209" i="8"/>
  <c r="AE197" i="8"/>
  <c r="AK196" i="8"/>
  <c r="AK191" i="8" s="1"/>
  <c r="Y196" i="8"/>
  <c r="Y197" i="8" s="1"/>
  <c r="AC222" i="8"/>
  <c r="BN132" i="8"/>
  <c r="BM220" i="8"/>
  <c r="BE57" i="8"/>
  <c r="BF113" i="8"/>
  <c r="AQ27" i="8"/>
  <c r="AT23" i="8"/>
  <c r="AT29" i="8"/>
  <c r="AL15" i="8"/>
  <c r="AL17" i="8" s="1"/>
  <c r="AL19" i="4" s="1"/>
  <c r="AL109" i="8"/>
  <c r="AL110" i="8" s="1"/>
  <c r="AL56" i="8" s="1"/>
  <c r="AM222" i="8"/>
  <c r="AC221" i="8"/>
  <c r="AI208" i="8"/>
  <c r="AB165" i="8"/>
  <c r="AK165" i="8"/>
  <c r="AG165" i="8"/>
  <c r="Y165" i="8"/>
  <c r="AQ156" i="8"/>
  <c r="AQ124" i="8" s="1"/>
  <c r="AG157" i="8"/>
  <c r="AS118" i="8"/>
  <c r="AO118" i="8"/>
  <c r="AO137" i="8"/>
  <c r="AK118" i="8"/>
  <c r="AK127" i="8"/>
  <c r="AC118" i="8"/>
  <c r="AC137" i="8"/>
  <c r="Y118" i="8"/>
  <c r="Y137" i="8"/>
  <c r="Y127" i="8"/>
  <c r="AP94" i="8"/>
  <c r="AR96" i="8"/>
  <c r="AO94" i="8"/>
  <c r="BA90" i="8"/>
  <c r="BF90" i="8" s="1"/>
  <c r="BK90" i="8" s="1"/>
  <c r="BP90" i="8" s="1"/>
  <c r="Y59" i="8"/>
  <c r="Y60" i="8"/>
  <c r="AO23" i="8"/>
  <c r="AO29" i="8"/>
  <c r="Z59" i="8"/>
  <c r="Z33" i="8"/>
  <c r="Z36" i="8" s="1"/>
  <c r="Z155" i="8" s="1"/>
  <c r="Z161" i="8" s="1"/>
  <c r="AC220" i="8"/>
  <c r="AN113" i="8"/>
  <c r="AN57" i="8" s="1"/>
  <c r="AS113" i="8"/>
  <c r="AS57" i="8" s="1"/>
  <c r="AF113" i="8"/>
  <c r="AF57" i="8" s="1"/>
  <c r="AK113" i="8"/>
  <c r="AK57" i="8" s="1"/>
  <c r="AB112" i="8"/>
  <c r="AG113" i="8" s="1"/>
  <c r="AG57" i="8" s="1"/>
  <c r="AK102" i="8"/>
  <c r="AK104" i="8"/>
  <c r="AP105" i="8" s="1"/>
  <c r="AE96" i="8"/>
  <c r="AE102" i="8"/>
  <c r="AT105" i="8"/>
  <c r="AH81" i="8"/>
  <c r="AD81" i="8" s="1"/>
  <c r="BO57" i="8"/>
  <c r="BP113" i="8"/>
  <c r="AE33" i="8"/>
  <c r="AE36" i="8" s="1"/>
  <c r="AE155" i="8" s="1"/>
  <c r="AE161" i="8" s="1"/>
  <c r="AE59" i="8"/>
  <c r="AP33" i="8"/>
  <c r="AP36" i="8" s="1"/>
  <c r="AP60" i="8"/>
  <c r="AP59" i="8"/>
  <c r="AQ20" i="8"/>
  <c r="AK23" i="8"/>
  <c r="AK29" i="8"/>
  <c r="AQ9" i="8"/>
  <c r="AQ101" i="8" s="1"/>
  <c r="AQ104" i="8" s="1"/>
  <c r="AR101" i="8"/>
  <c r="AR102" i="8" s="1"/>
  <c r="AR10" i="8"/>
  <c r="AB10" i="8"/>
  <c r="BE98" i="8"/>
  <c r="BG98" i="8" s="1"/>
  <c r="AJ33" i="8"/>
  <c r="AJ36" i="8" s="1"/>
  <c r="AJ155" i="8" s="1"/>
  <c r="AJ161" i="8" s="1"/>
  <c r="AJ59" i="8"/>
  <c r="AD29" i="8"/>
  <c r="AF23" i="8"/>
  <c r="AF29" i="8"/>
  <c r="BL222" i="8"/>
  <c r="AH222" i="8"/>
  <c r="AO127" i="8"/>
  <c r="BL98" i="8"/>
  <c r="AT96" i="8"/>
  <c r="Z90" i="8"/>
  <c r="Z91" i="8" s="1"/>
  <c r="Z102" i="8" s="1"/>
  <c r="Y91" i="8"/>
  <c r="Y94" i="8" s="1"/>
  <c r="AX89" i="8"/>
  <c r="AS91" i="8"/>
  <c r="AS96" i="8" s="1"/>
  <c r="AS93" i="8"/>
  <c r="AS48" i="8" s="1"/>
  <c r="AN91" i="8"/>
  <c r="AN93" i="8"/>
  <c r="AN48" i="8" s="1"/>
  <c r="AI91" i="8"/>
  <c r="AI93" i="8"/>
  <c r="AI48" i="8" s="1"/>
  <c r="AD91" i="8"/>
  <c r="AD96" i="8" s="1"/>
  <c r="AD93" i="8"/>
  <c r="AD48" i="8" s="1"/>
  <c r="AJ60" i="8"/>
  <c r="Z60" i="8"/>
  <c r="AS33" i="8"/>
  <c r="AS59" i="8"/>
  <c r="X29" i="8"/>
  <c r="X23" i="8"/>
  <c r="AR22" i="8"/>
  <c r="AM23" i="8"/>
  <c r="AM29" i="8"/>
  <c r="AL10" i="8"/>
  <c r="AL101" i="8"/>
  <c r="AL104" i="8" s="1"/>
  <c r="AL105" i="8" s="1"/>
  <c r="BG129" i="8"/>
  <c r="AP110" i="8"/>
  <c r="AP56" i="8" s="1"/>
  <c r="AH110" i="8"/>
  <c r="AH56" i="8" s="1"/>
  <c r="AD110" i="8"/>
  <c r="AD56" i="8" s="1"/>
  <c r="AL81" i="8"/>
  <c r="AI71" i="8"/>
  <c r="AE76" i="8"/>
  <c r="AK79" i="8"/>
  <c r="AQ76" i="8"/>
  <c r="AN71" i="8"/>
  <c r="AM10" i="8"/>
  <c r="AN120" i="8"/>
  <c r="AN126" i="8" s="1"/>
  <c r="AJ120" i="8"/>
  <c r="AJ126" i="8" s="1"/>
  <c r="X120" i="8"/>
  <c r="X126" i="8" s="1"/>
  <c r="AC110" i="8"/>
  <c r="AC56" i="8" s="1"/>
  <c r="AN102" i="8"/>
  <c r="AG89" i="8"/>
  <c r="AG93" i="8" s="1"/>
  <c r="AG48" i="8" s="1"/>
  <c r="AK69" i="8"/>
  <c r="AK80" i="8"/>
  <c r="AA80" i="8"/>
  <c r="AK74" i="8"/>
  <c r="AL20" i="8"/>
  <c r="AL22" i="8" s="1"/>
  <c r="AG20" i="8"/>
  <c r="AB22" i="8"/>
  <c r="AD202" i="8" s="1"/>
  <c r="AD215" i="8" s="1"/>
  <c r="AL132" i="8"/>
  <c r="AL95" i="4" s="1"/>
  <c r="AR127" i="8"/>
  <c r="AU105" i="8"/>
  <c r="AE105" i="8"/>
  <c r="AP96" i="8"/>
  <c r="AN70" i="8"/>
  <c r="AJ79" i="8"/>
  <c r="AF76" i="8"/>
  <c r="AI80" i="8"/>
  <c r="AA79" i="8"/>
  <c r="AQ77" i="8"/>
  <c r="AN72" i="8"/>
  <c r="AI73" i="8"/>
  <c r="BB241" i="5"/>
  <c r="AN215" i="5"/>
  <c r="AN207" i="5" s="1"/>
  <c r="BG241" i="5"/>
  <c r="X24" i="5"/>
  <c r="X30" i="5"/>
  <c r="AA215" i="5"/>
  <c r="AA213" i="5" s="1"/>
  <c r="AA251" i="5" s="1"/>
  <c r="BL241" i="5"/>
  <c r="AJ215" i="5"/>
  <c r="AJ207" i="5" s="1"/>
  <c r="AL98" i="5"/>
  <c r="BJ74" i="5"/>
  <c r="BK131" i="5"/>
  <c r="AC24" i="5"/>
  <c r="AC30" i="5"/>
  <c r="AQ15" i="5"/>
  <c r="AQ17" i="5" s="1"/>
  <c r="AQ142" i="5"/>
  <c r="AD254" i="5"/>
  <c r="AD79" i="5" s="1"/>
  <c r="BQ241" i="5"/>
  <c r="AC239" i="5"/>
  <c r="BI190" i="5"/>
  <c r="AQ175" i="5"/>
  <c r="AR175" i="5" s="1"/>
  <c r="AH176" i="5"/>
  <c r="BF148" i="5"/>
  <c r="BD148" i="5"/>
  <c r="BE148" i="5"/>
  <c r="AY127" i="5"/>
  <c r="AT128" i="5"/>
  <c r="AT73" i="5" s="1"/>
  <c r="Y120" i="5"/>
  <c r="AP114" i="5"/>
  <c r="AD122" i="5"/>
  <c r="AD123" i="5" s="1"/>
  <c r="AD114" i="5"/>
  <c r="AD96" i="5"/>
  <c r="AI110" i="5"/>
  <c r="AN110" i="5" s="1"/>
  <c r="Z94" i="5"/>
  <c r="Z122" i="5"/>
  <c r="BJ116" i="5"/>
  <c r="AO34" i="5"/>
  <c r="AO39" i="5" s="1"/>
  <c r="AO76" i="5"/>
  <c r="AO77" i="5"/>
  <c r="AU34" i="5"/>
  <c r="AU39" i="5" s="1"/>
  <c r="AU76" i="5"/>
  <c r="AU77" i="5"/>
  <c r="AM34" i="5"/>
  <c r="AM76" i="5"/>
  <c r="AM77" i="5"/>
  <c r="AI30" i="5"/>
  <c r="Z30" i="5"/>
  <c r="AL21" i="5"/>
  <c r="AL153" i="5"/>
  <c r="AR130" i="5"/>
  <c r="AU131" i="5"/>
  <c r="AU74" i="5" s="1"/>
  <c r="AE93" i="5"/>
  <c r="AH122" i="5"/>
  <c r="AH123" i="5" s="1"/>
  <c r="AL254" i="5"/>
  <c r="AI243" i="5"/>
  <c r="AJ238" i="5" s="1"/>
  <c r="AJ243" i="5" s="1"/>
  <c r="AK238" i="5" s="1"/>
  <c r="AK243" i="5" s="1"/>
  <c r="AL238" i="5" s="1"/>
  <c r="AL243" i="5" s="1"/>
  <c r="AM240" i="5"/>
  <c r="AJ213" i="5"/>
  <c r="AJ251" i="5" s="1"/>
  <c r="AL184" i="5"/>
  <c r="AD184" i="5"/>
  <c r="Z184" i="5"/>
  <c r="AH175" i="5"/>
  <c r="BH148" i="5"/>
  <c r="BI148" i="5"/>
  <c r="AP136" i="5"/>
  <c r="AP138" i="5" s="1"/>
  <c r="AP144" i="5" s="1"/>
  <c r="AP154" i="5"/>
  <c r="AH136" i="5"/>
  <c r="AH138" i="5" s="1"/>
  <c r="AH154" i="5"/>
  <c r="AD154" i="5"/>
  <c r="AD136" i="5"/>
  <c r="AD138" i="5" s="1"/>
  <c r="Z136" i="5"/>
  <c r="Z138" i="5" s="1"/>
  <c r="Z144" i="5" s="1"/>
  <c r="Z154" i="5"/>
  <c r="AM127" i="5"/>
  <c r="AP128" i="5"/>
  <c r="AP73" i="5" s="1"/>
  <c r="AK128" i="5"/>
  <c r="AK73" i="5" s="1"/>
  <c r="AL122" i="5"/>
  <c r="AQ123" i="5" s="1"/>
  <c r="AU120" i="5"/>
  <c r="AZ120" i="5" s="1"/>
  <c r="BE120" i="5" s="1"/>
  <c r="AU122" i="5"/>
  <c r="AU123" i="5" s="1"/>
  <c r="AM120" i="5"/>
  <c r="AM122" i="5"/>
  <c r="AM123" i="5" s="1"/>
  <c r="AI120" i="5"/>
  <c r="AI122" i="5"/>
  <c r="AI123" i="5" s="1"/>
  <c r="AE123" i="5"/>
  <c r="AS120" i="5"/>
  <c r="AX120" i="5" s="1"/>
  <c r="BC120" i="5" s="1"/>
  <c r="BH120" i="5" s="1"/>
  <c r="AS114" i="5"/>
  <c r="AF88" i="5"/>
  <c r="AN77" i="5"/>
  <c r="BA68" i="5"/>
  <c r="BF68" i="5" s="1"/>
  <c r="BK68" i="5" s="1"/>
  <c r="AT76" i="5"/>
  <c r="AT77" i="5"/>
  <c r="AF30" i="5"/>
  <c r="AP24" i="5"/>
  <c r="AP30" i="5"/>
  <c r="AK24" i="5"/>
  <c r="AK30" i="5"/>
  <c r="AG10" i="5"/>
  <c r="AG99" i="5"/>
  <c r="AC241" i="5"/>
  <c r="AN213" i="5"/>
  <c r="AN251" i="5" s="1"/>
  <c r="BK190" i="5"/>
  <c r="BE190" i="5"/>
  <c r="BA190" i="5"/>
  <c r="AC176" i="5"/>
  <c r="AP145" i="5"/>
  <c r="AH145" i="5"/>
  <c r="AD145" i="5"/>
  <c r="Z145" i="5"/>
  <c r="AH114" i="5"/>
  <c r="AE96" i="5"/>
  <c r="AE94" i="5"/>
  <c r="AZ131" i="5"/>
  <c r="AZ130" i="5" s="1"/>
  <c r="AY74" i="5"/>
  <c r="BF116" i="5"/>
  <c r="AN24" i="5"/>
  <c r="AR21" i="5"/>
  <c r="BB148" i="5"/>
  <c r="AL131" i="5"/>
  <c r="AL74" i="5" s="1"/>
  <c r="AC131" i="5"/>
  <c r="AC74" i="5" s="1"/>
  <c r="AD131" i="5"/>
  <c r="AD74" i="5" s="1"/>
  <c r="AG106" i="5"/>
  <c r="AL112" i="5" s="1"/>
  <c r="AL51" i="5" s="1"/>
  <c r="Z108" i="5"/>
  <c r="Z114" i="5" s="1"/>
  <c r="AB106" i="5"/>
  <c r="AI93" i="5"/>
  <c r="AK96" i="5"/>
  <c r="AJ30" i="5"/>
  <c r="AE30" i="5"/>
  <c r="AA30" i="5"/>
  <c r="AB20" i="5"/>
  <c r="AB21" i="5" s="1"/>
  <c r="AT131" i="5"/>
  <c r="AT74" i="5" s="1"/>
  <c r="AS128" i="5"/>
  <c r="AS73" i="5" s="1"/>
  <c r="AO128" i="5"/>
  <c r="AO73" i="5" s="1"/>
  <c r="AH120" i="5"/>
  <c r="Z120" i="5"/>
  <c r="AU110" i="5"/>
  <c r="X120" i="5"/>
  <c r="Z98" i="5"/>
  <c r="Y97" i="5"/>
  <c r="AE97" i="5"/>
  <c r="AK86" i="5"/>
  <c r="AQ10" i="5"/>
  <c r="AA107" i="5"/>
  <c r="AB107" i="5" s="1"/>
  <c r="AQ90" i="5"/>
  <c r="AI97" i="5"/>
  <c r="AQ193" i="44"/>
  <c r="AG142" i="44"/>
  <c r="AB142" i="44"/>
  <c r="AL207" i="44"/>
  <c r="AL140" i="5" s="1"/>
  <c r="AL136" i="5" s="1"/>
  <c r="AC33" i="44"/>
  <c r="AL170" i="44"/>
  <c r="AG156" i="44"/>
  <c r="AQ131" i="44"/>
  <c r="AG196" i="44"/>
  <c r="AG198" i="44" s="1"/>
  <c r="AL179" i="44"/>
  <c r="AL137" i="5" s="1"/>
  <c r="AL156" i="44"/>
  <c r="Z137" i="44"/>
  <c r="Z205" i="5" s="1"/>
  <c r="Z206" i="5" s="1"/>
  <c r="Z215" i="5" s="1"/>
  <c r="Z228" i="5" s="1"/>
  <c r="AL123" i="44"/>
  <c r="AL114" i="44"/>
  <c r="AB114" i="44"/>
  <c r="AQ114" i="44"/>
  <c r="AQ109" i="44"/>
  <c r="AG109" i="44"/>
  <c r="AB109" i="44"/>
  <c r="AR80" i="44"/>
  <c r="AR83" i="44" s="1"/>
  <c r="AC59" i="44"/>
  <c r="AC67" i="44" s="1"/>
  <c r="AG212" i="44"/>
  <c r="AG122" i="8" s="1"/>
  <c r="AG137" i="8" s="1"/>
  <c r="AL197" i="44"/>
  <c r="AG184" i="44"/>
  <c r="AG119" i="8" s="1"/>
  <c r="AL190" i="44"/>
  <c r="AL165" i="44"/>
  <c r="AL151" i="44"/>
  <c r="AG151" i="44"/>
  <c r="AR142" i="44"/>
  <c r="AR186" i="8" s="1"/>
  <c r="AR187" i="8" s="1"/>
  <c r="AR196" i="8" s="1"/>
  <c r="AM142" i="44"/>
  <c r="AM186" i="8" s="1"/>
  <c r="AL186" i="8" s="1"/>
  <c r="AL187" i="8" s="1"/>
  <c r="AH142" i="44"/>
  <c r="AH186" i="8" s="1"/>
  <c r="AH187" i="8" s="1"/>
  <c r="AT137" i="44"/>
  <c r="AP137" i="44"/>
  <c r="AP205" i="5" s="1"/>
  <c r="AP206" i="5" s="1"/>
  <c r="AH137" i="44"/>
  <c r="AH205" i="5" s="1"/>
  <c r="AD137" i="44"/>
  <c r="AD205" i="5" s="1"/>
  <c r="AD206" i="5" s="1"/>
  <c r="AG123" i="44"/>
  <c r="AB123" i="44"/>
  <c r="AR88" i="44"/>
  <c r="AC88" i="44"/>
  <c r="AC43" i="44"/>
  <c r="AC51" i="44" s="1"/>
  <c r="AU225" i="4"/>
  <c r="AU226" i="4" s="1"/>
  <c r="AL225" i="4"/>
  <c r="AL238" i="4" s="1"/>
  <c r="AA225" i="4"/>
  <c r="AA226" i="4" s="1"/>
  <c r="G225" i="4"/>
  <c r="G238" i="4" s="1"/>
  <c r="AG222" i="4"/>
  <c r="AN225" i="4"/>
  <c r="AN226" i="4"/>
  <c r="AJ226" i="4"/>
  <c r="AJ225" i="4"/>
  <c r="AJ238" i="4" s="1"/>
  <c r="AF225" i="4"/>
  <c r="AF238" i="4" s="1"/>
  <c r="AU238" i="4"/>
  <c r="V223" i="4"/>
  <c r="AA107" i="4"/>
  <c r="AA153" i="4"/>
  <c r="AJ237" i="4"/>
  <c r="P225" i="4"/>
  <c r="P220" i="4" s="1"/>
  <c r="AP223" i="4"/>
  <c r="N223" i="4"/>
  <c r="X216" i="4"/>
  <c r="AP206" i="4"/>
  <c r="R168" i="4"/>
  <c r="G107" i="4"/>
  <c r="G153" i="4"/>
  <c r="Z225" i="4"/>
  <c r="Y222" i="4"/>
  <c r="G226" i="4"/>
  <c r="T216" i="4"/>
  <c r="AQ203" i="4"/>
  <c r="AQ204" i="4" s="1"/>
  <c r="AT181" i="4"/>
  <c r="AP181" i="4"/>
  <c r="AE107" i="4"/>
  <c r="AE153" i="4"/>
  <c r="K107" i="4"/>
  <c r="K153" i="4"/>
  <c r="AU107" i="4"/>
  <c r="AP226" i="4"/>
  <c r="N226" i="4"/>
  <c r="AE225" i="4"/>
  <c r="K225" i="4"/>
  <c r="K217" i="4" s="1"/>
  <c r="E225" i="4"/>
  <c r="E223" i="4" s="1"/>
  <c r="J222" i="4"/>
  <c r="AH204" i="4"/>
  <c r="AH222" i="4" s="1"/>
  <c r="CZ17" i="3" s="1"/>
  <c r="AF206" i="4"/>
  <c r="AI107" i="4"/>
  <c r="AI153" i="4"/>
  <c r="O107" i="4"/>
  <c r="O153" i="4"/>
  <c r="AB204" i="4"/>
  <c r="AB222" i="4" s="1"/>
  <c r="H204" i="4"/>
  <c r="H222" i="4" s="1"/>
  <c r="AL195" i="4"/>
  <c r="AQ195" i="4"/>
  <c r="W195" i="4"/>
  <c r="S187" i="4"/>
  <c r="AG187" i="4"/>
  <c r="AG206" i="4" s="1"/>
  <c r="M187" i="4"/>
  <c r="AD181" i="4"/>
  <c r="J181" i="4"/>
  <c r="AL179" i="4"/>
  <c r="P181" i="4"/>
  <c r="P208" i="4" s="1"/>
  <c r="K181" i="4"/>
  <c r="K208" i="4" s="1"/>
  <c r="AQ179" i="4"/>
  <c r="N174" i="4"/>
  <c r="T168" i="4"/>
  <c r="T181" i="4" s="1"/>
  <c r="T208" i="4" s="1"/>
  <c r="DO155" i="4"/>
  <c r="DI153" i="4"/>
  <c r="T153" i="4"/>
  <c r="Z142" i="4"/>
  <c r="Z143" i="4" s="1"/>
  <c r="Z63" i="9" s="1"/>
  <c r="Z62" i="9" s="1"/>
  <c r="P142" i="4"/>
  <c r="L142" i="4"/>
  <c r="AE138" i="4"/>
  <c r="AE139" i="4" s="1"/>
  <c r="P138" i="4"/>
  <c r="AI139" i="4"/>
  <c r="AE137" i="4"/>
  <c r="Z137" i="4"/>
  <c r="P137" i="4"/>
  <c r="G137" i="4"/>
  <c r="S138" i="4"/>
  <c r="R138" i="4" s="1"/>
  <c r="AF181" i="4"/>
  <c r="AB179" i="4"/>
  <c r="H179" i="4"/>
  <c r="AE67" i="4"/>
  <c r="AE128" i="4"/>
  <c r="O139" i="4"/>
  <c r="AE206" i="4"/>
  <c r="AE208" i="4" s="1"/>
  <c r="F206" i="4"/>
  <c r="V206" i="4"/>
  <c r="R194" i="4"/>
  <c r="R195" i="4" s="1"/>
  <c r="M195" i="4"/>
  <c r="N187" i="4"/>
  <c r="AA181" i="4"/>
  <c r="AA208" i="4" s="1"/>
  <c r="W178" i="4"/>
  <c r="W179" i="4" s="1"/>
  <c r="R179" i="4"/>
  <c r="AC174" i="4"/>
  <c r="X174" i="4"/>
  <c r="X181" i="4" s="1"/>
  <c r="AQ170" i="4"/>
  <c r="AQ174" i="4" s="1"/>
  <c r="AL170" i="4"/>
  <c r="AL174" i="4" s="1"/>
  <c r="AG170" i="4"/>
  <c r="AG174" i="4" s="1"/>
  <c r="H170" i="4"/>
  <c r="H174" i="4" s="1"/>
  <c r="S168" i="4"/>
  <c r="H168" i="4"/>
  <c r="AK168" i="4"/>
  <c r="AK181" i="4" s="1"/>
  <c r="AK208" i="4" s="1"/>
  <c r="AG166" i="4"/>
  <c r="AC168" i="4"/>
  <c r="DT155" i="4"/>
  <c r="AN153" i="4"/>
  <c r="AU67" i="4"/>
  <c r="AQ149" i="4"/>
  <c r="AQ67" i="4" s="1"/>
  <c r="AM67" i="4"/>
  <c r="AM128" i="4"/>
  <c r="AQ146" i="4"/>
  <c r="AG145" i="4"/>
  <c r="DI142" i="4"/>
  <c r="DI143" i="4" s="1"/>
  <c r="M143" i="4"/>
  <c r="AB141" i="4"/>
  <c r="AB61" i="9" s="1"/>
  <c r="R143" i="4"/>
  <c r="AP137" i="4"/>
  <c r="DI137" i="4"/>
  <c r="M137" i="4"/>
  <c r="BB138" i="4"/>
  <c r="AR137" i="4"/>
  <c r="AQ137" i="4" s="1"/>
  <c r="AQ139" i="4" s="1"/>
  <c r="X137" i="4"/>
  <c r="W137" i="4" s="1"/>
  <c r="W203" i="4"/>
  <c r="W204" i="4" s="1"/>
  <c r="AQ187" i="4"/>
  <c r="AL187" i="4"/>
  <c r="H186" i="4"/>
  <c r="H187" i="4" s="1"/>
  <c r="AB187" i="4"/>
  <c r="AH179" i="4"/>
  <c r="AH181" i="4" s="1"/>
  <c r="N179" i="4"/>
  <c r="N181" i="4" s="1"/>
  <c r="L181" i="4"/>
  <c r="L208" i="4" s="1"/>
  <c r="AR168" i="4"/>
  <c r="AR181" i="4" s="1"/>
  <c r="AQ168" i="4"/>
  <c r="G168" i="4"/>
  <c r="G181" i="4" s="1"/>
  <c r="G208" i="4" s="1"/>
  <c r="CJ156" i="4"/>
  <c r="CJ159" i="4" s="1"/>
  <c r="CU153" i="4"/>
  <c r="CY153" i="4"/>
  <c r="CT152" i="4"/>
  <c r="CT153" i="4" s="1"/>
  <c r="CO153" i="4"/>
  <c r="R150" i="4"/>
  <c r="R73" i="4" s="1"/>
  <c r="AL149" i="4"/>
  <c r="AO146" i="4"/>
  <c r="AJ146" i="4"/>
  <c r="Z146" i="4"/>
  <c r="U146" i="4"/>
  <c r="U107" i="4" s="1"/>
  <c r="P146" i="4"/>
  <c r="P107" i="4" s="1"/>
  <c r="W146" i="4"/>
  <c r="W107" i="4" s="1"/>
  <c r="AB145" i="4"/>
  <c r="DF143" i="4"/>
  <c r="AJ142" i="4"/>
  <c r="AF142" i="4"/>
  <c r="CO142" i="4"/>
  <c r="CO143" i="4" s="1"/>
  <c r="AA138" i="4"/>
  <c r="AQ28" i="4"/>
  <c r="AO31" i="4"/>
  <c r="AO35" i="4"/>
  <c r="P31" i="4"/>
  <c r="P35" i="4"/>
  <c r="Y10" i="4"/>
  <c r="Y15" i="4"/>
  <c r="Y23" i="4" s="1"/>
  <c r="Y30" i="4" s="1"/>
  <c r="X31" i="4"/>
  <c r="X35" i="4"/>
  <c r="S35" i="4"/>
  <c r="S31" i="4"/>
  <c r="S232" i="4" s="1"/>
  <c r="S239" i="4" s="1"/>
  <c r="I31" i="4"/>
  <c r="I232" i="4" s="1"/>
  <c r="I35" i="4"/>
  <c r="AN15" i="4"/>
  <c r="AN23" i="4" s="1"/>
  <c r="AN30" i="4" s="1"/>
  <c r="AL12" i="4"/>
  <c r="AI15" i="4"/>
  <c r="AI23" i="4" s="1"/>
  <c r="AG12" i="4"/>
  <c r="AG12" i="9" s="1"/>
  <c r="AD15" i="4"/>
  <c r="AD23" i="4" s="1"/>
  <c r="AD30" i="4" s="1"/>
  <c r="Q30" i="4"/>
  <c r="Q24" i="4"/>
  <c r="M12" i="4"/>
  <c r="L15" i="4"/>
  <c r="L23" i="4" s="1"/>
  <c r="L30" i="4" s="1"/>
  <c r="H12" i="4"/>
  <c r="G15" i="4"/>
  <c r="G23" i="4" s="1"/>
  <c r="G24" i="4" s="1"/>
  <c r="AQ9" i="4"/>
  <c r="AR10" i="4"/>
  <c r="AR15" i="4"/>
  <c r="AR23" i="4" s="1"/>
  <c r="AR30" i="4" s="1"/>
  <c r="AH65" i="4"/>
  <c r="BA64" i="4"/>
  <c r="BC64" i="4" s="1"/>
  <c r="BC65" i="4" s="1"/>
  <c r="AJ31" i="4"/>
  <c r="AJ35" i="4"/>
  <c r="F24" i="4"/>
  <c r="F30" i="4"/>
  <c r="AQ12" i="4"/>
  <c r="AQ12" i="9" s="1"/>
  <c r="R15" i="4"/>
  <c r="R23" i="4" s="1"/>
  <c r="R30" i="4" s="1"/>
  <c r="R31" i="4" s="1"/>
  <c r="AZ47" i="4"/>
  <c r="E35" i="4"/>
  <c r="AI30" i="4"/>
  <c r="P24" i="4"/>
  <c r="N31" i="4"/>
  <c r="N232" i="4" s="1"/>
  <c r="N239" i="4" s="1"/>
  <c r="N35" i="4"/>
  <c r="V24" i="4"/>
  <c r="T24" i="4"/>
  <c r="L24" i="4"/>
  <c r="N24" i="4"/>
  <c r="J24" i="4"/>
  <c r="AT15" i="4"/>
  <c r="AT23" i="4" s="1"/>
  <c r="P10" i="4"/>
  <c r="W9" i="4"/>
  <c r="W10" i="4" s="1"/>
  <c r="U10" i="4"/>
  <c r="U15" i="4"/>
  <c r="U23" i="4" s="1"/>
  <c r="U30" i="4" s="1"/>
  <c r="BG44" i="4"/>
  <c r="BB44" i="4"/>
  <c r="BG42" i="4"/>
  <c r="BB42" i="4"/>
  <c r="BG41" i="4"/>
  <c r="AE30" i="4"/>
  <c r="H28" i="4"/>
  <c r="S24" i="4"/>
  <c r="AB9" i="4"/>
  <c r="AB9" i="9" s="1"/>
  <c r="AB10" i="9" s="1"/>
  <c r="BL44" i="4"/>
  <c r="BL42" i="4"/>
  <c r="AU30" i="4"/>
  <c r="AU31" i="4" s="1"/>
  <c r="AM30" i="4"/>
  <c r="K30" i="4"/>
  <c r="AL27" i="4"/>
  <c r="AL28" i="4" s="1"/>
  <c r="AG27" i="4"/>
  <c r="AG28" i="4" s="1"/>
  <c r="AL9" i="4"/>
  <c r="AG9" i="4"/>
  <c r="AG9" i="9" s="1"/>
  <c r="AG10" i="9" s="1"/>
  <c r="BQ44" i="4"/>
  <c r="BQ42" i="4"/>
  <c r="AB27" i="4"/>
  <c r="AB28" i="4" s="1"/>
  <c r="M9" i="4"/>
  <c r="H9" i="4"/>
  <c r="AM52" i="3"/>
  <c r="DJ19" i="3"/>
  <c r="CP19" i="3"/>
  <c r="CZ13" i="3"/>
  <c r="CZ19" i="3" s="1"/>
  <c r="C10" i="52"/>
  <c r="AA15" i="66"/>
  <c r="AA17" i="66" s="1"/>
  <c r="AA50" i="66"/>
  <c r="AF87" i="66"/>
  <c r="AF95" i="66" s="1"/>
  <c r="AD92" i="66"/>
  <c r="AD87" i="66"/>
  <c r="AD95" i="66" s="1"/>
  <c r="AB38" i="66"/>
  <c r="AB82" i="4" s="1"/>
  <c r="AE87" i="66"/>
  <c r="AE95" i="66" s="1"/>
  <c r="AG15" i="66"/>
  <c r="AG17" i="66" s="1"/>
  <c r="AG50" i="66"/>
  <c r="AL50" i="66" s="1"/>
  <c r="BQ22" i="66"/>
  <c r="BQ24" i="3" s="1"/>
  <c r="BQ26" i="66"/>
  <c r="BQ30" i="66" s="1"/>
  <c r="AM53" i="66"/>
  <c r="AM54" i="66" s="1"/>
  <c r="AB15" i="66"/>
  <c r="AB17" i="66" s="1"/>
  <c r="AB50" i="66"/>
  <c r="AE50" i="66"/>
  <c r="AE15" i="66"/>
  <c r="AE17" i="66" s="1"/>
  <c r="AF92" i="66"/>
  <c r="AI68" i="66"/>
  <c r="AJ68" i="66"/>
  <c r="AK68" i="66" s="1"/>
  <c r="AL67" i="66"/>
  <c r="AK65" i="66"/>
  <c r="AK60" i="66" s="1"/>
  <c r="AJ91" i="66"/>
  <c r="AJ95" i="66" s="1"/>
  <c r="AK24" i="66"/>
  <c r="AL24" i="66" s="1"/>
  <c r="AF50" i="66"/>
  <c r="AF15" i="66"/>
  <c r="AF17" i="66" s="1"/>
  <c r="BG26" i="66"/>
  <c r="BG30" i="66" s="1"/>
  <c r="BG22" i="66"/>
  <c r="BG24" i="3" s="1"/>
  <c r="AK87" i="66"/>
  <c r="Z15" i="66"/>
  <c r="Z17" i="66" s="1"/>
  <c r="Z50" i="66"/>
  <c r="AD50" i="66"/>
  <c r="AD15" i="66"/>
  <c r="AD17" i="66" s="1"/>
  <c r="Y15" i="66"/>
  <c r="Y17" i="66" s="1"/>
  <c r="Y50" i="66"/>
  <c r="AL71" i="66"/>
  <c r="AL97" i="4" s="1"/>
  <c r="AI28" i="66"/>
  <c r="AI28" i="9" s="1"/>
  <c r="AL14" i="66"/>
  <c r="AL13" i="66"/>
  <c r="AL87" i="66" s="1"/>
  <c r="AK9" i="66"/>
  <c r="AK10" i="66" s="1"/>
  <c r="AJ9" i="66"/>
  <c r="AJ10" i="66" s="1"/>
  <c r="CJ92" i="56"/>
  <c r="CK92" i="56" s="1"/>
  <c r="CL92" i="56" s="1"/>
  <c r="CM92" i="56" s="1"/>
  <c r="CN92" i="56" s="1"/>
  <c r="CO92" i="56" s="1"/>
  <c r="CP92" i="56" s="1"/>
  <c r="CQ92" i="56" s="1"/>
  <c r="CR92" i="56" s="1"/>
  <c r="CS92" i="56" s="1"/>
  <c r="CT92" i="56" s="1"/>
  <c r="CU92" i="56" s="1"/>
  <c r="BY39" i="56"/>
  <c r="CB39" i="56" s="1"/>
  <c r="BX39" i="56" s="1"/>
  <c r="CO52" i="56"/>
  <c r="CP52" i="56" s="1"/>
  <c r="CQ52" i="56" s="1"/>
  <c r="CR52" i="56" s="1"/>
  <c r="CS52" i="56" s="1"/>
  <c r="CT52" i="56" s="1"/>
  <c r="CU52" i="56" s="1"/>
  <c r="CV52" i="56" s="1"/>
  <c r="CW52" i="56" s="1"/>
  <c r="CX52" i="56" s="1"/>
  <c r="CY52" i="56" s="1"/>
  <c r="CZ52" i="56" s="1"/>
  <c r="AM104" i="56"/>
  <c r="AY104" i="56"/>
  <c r="AN104" i="56"/>
  <c r="AZ104" i="56"/>
  <c r="AO104" i="56"/>
  <c r="BA104" i="56"/>
  <c r="AP104" i="56"/>
  <c r="BB104" i="56"/>
  <c r="CS98" i="56"/>
  <c r="CM98" i="56"/>
  <c r="CH98" i="56"/>
  <c r="CC98" i="56"/>
  <c r="BW98" i="56"/>
  <c r="CQ97" i="56"/>
  <c r="CL97" i="56"/>
  <c r="CF97" i="56"/>
  <c r="CA97" i="56"/>
  <c r="CU96" i="56"/>
  <c r="CO96" i="56"/>
  <c r="CJ96" i="56"/>
  <c r="CE96" i="56"/>
  <c r="BY96" i="56"/>
  <c r="CS95" i="56"/>
  <c r="CN95" i="56"/>
  <c r="CH95" i="56"/>
  <c r="CC95" i="56"/>
  <c r="BX95" i="56"/>
  <c r="CQ94" i="56"/>
  <c r="CL94" i="56"/>
  <c r="CG94" i="56"/>
  <c r="CA94" i="56"/>
  <c r="CU93" i="56"/>
  <c r="CP93" i="56"/>
  <c r="CJ93" i="56"/>
  <c r="CE93" i="56"/>
  <c r="BB57" i="56"/>
  <c r="BB58" i="56"/>
  <c r="BB59" i="56"/>
  <c r="BP58" i="47" s="1"/>
  <c r="CA38" i="56"/>
  <c r="AY57" i="56"/>
  <c r="AY58" i="56"/>
  <c r="AY59" i="56"/>
  <c r="BM58" i="47" s="1"/>
  <c r="CA37" i="56"/>
  <c r="AZ57" i="56"/>
  <c r="AZ58" i="56"/>
  <c r="AZ59" i="56"/>
  <c r="BN58" i="47" s="1"/>
  <c r="CA36" i="56"/>
  <c r="BA57" i="56"/>
  <c r="BA58" i="56"/>
  <c r="BA59" i="56"/>
  <c r="BO58" i="47" s="1"/>
  <c r="BX60" i="56"/>
  <c r="BY93" i="56"/>
  <c r="CC93" i="56"/>
  <c r="CG93" i="56"/>
  <c r="CK93" i="56"/>
  <c r="CO93" i="56"/>
  <c r="CS93" i="56"/>
  <c r="BX94" i="56"/>
  <c r="CB94" i="56"/>
  <c r="CF94" i="56"/>
  <c r="CJ94" i="56"/>
  <c r="CN94" i="56"/>
  <c r="CR94" i="56"/>
  <c r="BW95" i="56"/>
  <c r="CA95" i="56"/>
  <c r="CE95" i="56"/>
  <c r="CI95" i="56"/>
  <c r="CM95" i="56"/>
  <c r="CQ95" i="56"/>
  <c r="CU95" i="56"/>
  <c r="BZ96" i="56"/>
  <c r="CD96" i="56"/>
  <c r="CH96" i="56"/>
  <c r="CL96" i="56"/>
  <c r="CP96" i="56"/>
  <c r="CT96" i="56"/>
  <c r="BY97" i="56"/>
  <c r="CC97" i="56"/>
  <c r="CG97" i="56"/>
  <c r="CK97" i="56"/>
  <c r="CO97" i="56"/>
  <c r="CS97" i="56"/>
  <c r="BX98" i="56"/>
  <c r="CB98" i="56"/>
  <c r="CF98" i="56"/>
  <c r="CJ98" i="56"/>
  <c r="CN98" i="56"/>
  <c r="CR98" i="56"/>
  <c r="BX29" i="56"/>
  <c r="BX15" i="56"/>
  <c r="BX23" i="56"/>
  <c r="BY40" i="56"/>
  <c r="CB40" i="56" s="1"/>
  <c r="BX40" i="56" s="1"/>
  <c r="AY328" i="10"/>
  <c r="AY330" i="10" s="1"/>
  <c r="DA306" i="10"/>
  <c r="DK307" i="10"/>
  <c r="AQ328" i="10"/>
  <c r="AQ330" i="10" s="1"/>
  <c r="AU328" i="10"/>
  <c r="AU330" i="10" s="1"/>
  <c r="BF328" i="10"/>
  <c r="BF330" i="10" s="1"/>
  <c r="BC328" i="10"/>
  <c r="BC330" i="10" s="1"/>
  <c r="BK328" i="10"/>
  <c r="BK330" i="10" s="1"/>
  <c r="AE328" i="10"/>
  <c r="R328" i="10"/>
  <c r="R330" i="10" s="1"/>
  <c r="O328" i="10"/>
  <c r="O330" i="10" s="1"/>
  <c r="BE328" i="10"/>
  <c r="BE330" i="10" s="1"/>
  <c r="AK328" i="10"/>
  <c r="AK330" i="10" s="1"/>
  <c r="Q328" i="10"/>
  <c r="Q330" i="10" s="1"/>
  <c r="BN326" i="10"/>
  <c r="BB326" i="10"/>
  <c r="AX326" i="10"/>
  <c r="AT326" i="10"/>
  <c r="AH326" i="10"/>
  <c r="BQ326" i="10" s="1"/>
  <c r="BV326" i="10" s="1"/>
  <c r="CA326" i="10" s="1"/>
  <c r="CF326" i="10" s="1"/>
  <c r="CK326" i="10" s="1"/>
  <c r="CP326" i="10" s="1"/>
  <c r="CU326" i="10" s="1"/>
  <c r="CZ326" i="10" s="1"/>
  <c r="DE326" i="10" s="1"/>
  <c r="DJ326" i="10" s="1"/>
  <c r="DO326" i="10" s="1"/>
  <c r="DT326" i="10" s="1"/>
  <c r="AD326" i="10"/>
  <c r="Z326" i="10"/>
  <c r="N326" i="10"/>
  <c r="BN325" i="10"/>
  <c r="BB325" i="10"/>
  <c r="AX325" i="10"/>
  <c r="AT325" i="10"/>
  <c r="AH325" i="10"/>
  <c r="BQ325" i="10" s="1"/>
  <c r="BV325" i="10" s="1"/>
  <c r="CA325" i="10" s="1"/>
  <c r="CF325" i="10" s="1"/>
  <c r="CK325" i="10" s="1"/>
  <c r="CP325" i="10" s="1"/>
  <c r="CU325" i="10" s="1"/>
  <c r="CZ325" i="10" s="1"/>
  <c r="DE325" i="10" s="1"/>
  <c r="AD325" i="10"/>
  <c r="Z325" i="10"/>
  <c r="N325" i="10"/>
  <c r="BN328" i="10"/>
  <c r="BN330" i="10" s="1"/>
  <c r="BB328" i="10"/>
  <c r="BB330" i="10" s="1"/>
  <c r="AX328" i="10"/>
  <c r="AX330" i="10" s="1"/>
  <c r="BO311" i="10"/>
  <c r="BO313" i="10" s="1"/>
  <c r="CI311" i="10"/>
  <c r="CI313" i="10" s="1"/>
  <c r="AN309" i="10"/>
  <c r="AO309" i="10"/>
  <c r="AM309" i="10"/>
  <c r="T306" i="10"/>
  <c r="U306" i="10"/>
  <c r="S306" i="10"/>
  <c r="BJ311" i="10"/>
  <c r="AR301" i="10"/>
  <c r="AS301" i="10"/>
  <c r="AT301" i="10"/>
  <c r="AQ301" i="10"/>
  <c r="BH303" i="10"/>
  <c r="BJ329" i="47" s="1"/>
  <c r="BJ353" i="47" s="1"/>
  <c r="T303" i="10"/>
  <c r="BG286" i="10"/>
  <c r="BH286" i="10"/>
  <c r="BI286" i="10"/>
  <c r="BJ289" i="10"/>
  <c r="BF286" i="10"/>
  <c r="O289" i="10"/>
  <c r="AL276" i="10"/>
  <c r="AM276" i="10"/>
  <c r="AN276" i="10"/>
  <c r="AO276" i="10"/>
  <c r="AP278" i="10"/>
  <c r="BD271" i="10"/>
  <c r="BA271" i="10"/>
  <c r="BB271" i="10"/>
  <c r="BC271" i="10"/>
  <c r="AV267" i="10"/>
  <c r="AW267" i="10"/>
  <c r="AX267" i="10"/>
  <c r="AY267" i="10"/>
  <c r="BG261" i="10"/>
  <c r="BH261" i="10"/>
  <c r="BI261" i="10"/>
  <c r="BF261" i="10"/>
  <c r="AY257" i="10"/>
  <c r="AV257" i="10"/>
  <c r="AZ278" i="10"/>
  <c r="BB143" i="8" s="1"/>
  <c r="BB168" i="8" s="1"/>
  <c r="AW257" i="10"/>
  <c r="AX257" i="10"/>
  <c r="AZ328" i="10"/>
  <c r="AZ330" i="10" s="1"/>
  <c r="AF328" i="10"/>
  <c r="BA326" i="10"/>
  <c r="AW326" i="10"/>
  <c r="AG326" i="10"/>
  <c r="AC326" i="10"/>
  <c r="M326" i="10"/>
  <c r="BA325" i="10"/>
  <c r="AW325" i="10"/>
  <c r="AG325" i="10"/>
  <c r="AC325" i="10"/>
  <c r="M325" i="10"/>
  <c r="BD307" i="10"/>
  <c r="BD311" i="10" s="1"/>
  <c r="BE311" i="10"/>
  <c r="BA307" i="10"/>
  <c r="BC307" i="10"/>
  <c r="CM311" i="10"/>
  <c r="BH309" i="10"/>
  <c r="BI309" i="10"/>
  <c r="BG309" i="10"/>
  <c r="T308" i="10"/>
  <c r="U308" i="10"/>
  <c r="S308" i="10"/>
  <c r="BH307" i="10"/>
  <c r="BI307" i="10"/>
  <c r="BG307" i="10"/>
  <c r="T307" i="10"/>
  <c r="U307" i="10"/>
  <c r="S307" i="10"/>
  <c r="BH306" i="10"/>
  <c r="BI306" i="10"/>
  <c r="BG306" i="10"/>
  <c r="AN306" i="10"/>
  <c r="AO306" i="10"/>
  <c r="AM306" i="10"/>
  <c r="BF311" i="10"/>
  <c r="BH328" i="47" s="1"/>
  <c r="BH352" i="47" s="1"/>
  <c r="V311" i="10"/>
  <c r="AV300" i="10"/>
  <c r="AV303" i="10" s="1"/>
  <c r="AX329" i="47" s="1"/>
  <c r="AX353" i="47" s="1"/>
  <c r="AZ303" i="10"/>
  <c r="BB329" i="47" s="1"/>
  <c r="BB353" i="47" s="1"/>
  <c r="AW300" i="10"/>
  <c r="AX300" i="10"/>
  <c r="AY300" i="10"/>
  <c r="BC285" i="10"/>
  <c r="BC289" i="10" s="1"/>
  <c r="BE142" i="8" s="1"/>
  <c r="BE167" i="8" s="1"/>
  <c r="BD285" i="10"/>
  <c r="BE289" i="10"/>
  <c r="BA285" i="10"/>
  <c r="BB285" i="10"/>
  <c r="BH266" i="10"/>
  <c r="BI266" i="10"/>
  <c r="BF266" i="10"/>
  <c r="BG266" i="10"/>
  <c r="AQ260" i="10"/>
  <c r="AR260" i="10"/>
  <c r="AS260" i="10"/>
  <c r="AT260" i="10"/>
  <c r="AV326" i="10"/>
  <c r="AB326" i="10"/>
  <c r="AV325" i="10"/>
  <c r="AB325" i="10"/>
  <c r="AV306" i="10"/>
  <c r="AW306" i="10"/>
  <c r="AY306" i="10"/>
  <c r="AZ311" i="10"/>
  <c r="CQ311" i="10"/>
  <c r="BS311" i="10"/>
  <c r="BS313" i="10" s="1"/>
  <c r="AN308" i="10"/>
  <c r="AO308" i="10"/>
  <c r="AM308" i="10"/>
  <c r="AN307" i="10"/>
  <c r="AO307" i="10"/>
  <c r="AM307" i="10"/>
  <c r="AX306" i="10"/>
  <c r="AP311" i="10"/>
  <c r="R311" i="10"/>
  <c r="E303" i="10"/>
  <c r="AU299" i="10"/>
  <c r="DN271" i="10"/>
  <c r="DM266" i="10"/>
  <c r="DN266" i="10"/>
  <c r="DK266" i="10"/>
  <c r="DL266" i="10"/>
  <c r="DT266" i="10"/>
  <c r="BG259" i="10"/>
  <c r="BH259" i="10"/>
  <c r="BI259" i="10"/>
  <c r="BF259" i="10"/>
  <c r="BJ278" i="10"/>
  <c r="DG248" i="10"/>
  <c r="DK248" i="10"/>
  <c r="DO248" i="10"/>
  <c r="DT248" i="10" s="1"/>
  <c r="DH248" i="10"/>
  <c r="DL248" i="10"/>
  <c r="DF248" i="10"/>
  <c r="DN248" i="10"/>
  <c r="DI248" i="10"/>
  <c r="DM248" i="10"/>
  <c r="BL309" i="10"/>
  <c r="BL311" i="10" s="1"/>
  <c r="BN328" i="47" s="1"/>
  <c r="BN352" i="47" s="1"/>
  <c r="BM309" i="10"/>
  <c r="BK309" i="10"/>
  <c r="CE311" i="10"/>
  <c r="BW311" i="10"/>
  <c r="BW313" i="10" s="1"/>
  <c r="T309" i="10"/>
  <c r="U309" i="10"/>
  <c r="S309" i="10"/>
  <c r="BH308" i="10"/>
  <c r="BI308" i="10"/>
  <c r="BG308" i="10"/>
  <c r="AL308" i="10"/>
  <c r="BB307" i="10"/>
  <c r="AL307" i="10"/>
  <c r="AB311" i="10"/>
  <c r="X311" i="10"/>
  <c r="P311" i="10"/>
  <c r="BK287" i="10"/>
  <c r="BL287" i="10"/>
  <c r="BM287" i="10"/>
  <c r="BN287" i="10"/>
  <c r="BO289" i="10"/>
  <c r="DI267" i="10"/>
  <c r="DC267" i="10"/>
  <c r="AQ258" i="10"/>
  <c r="AU278" i="10"/>
  <c r="AW143" i="8" s="1"/>
  <c r="AR258" i="10"/>
  <c r="AS258" i="10"/>
  <c r="AT258" i="10"/>
  <c r="AQ309" i="10"/>
  <c r="W309" i="10"/>
  <c r="BK308" i="10"/>
  <c r="AQ308" i="10"/>
  <c r="W308" i="10"/>
  <c r="BK307" i="10"/>
  <c r="AQ307" i="10"/>
  <c r="W307" i="10"/>
  <c r="BK306" i="10"/>
  <c r="AQ306" i="10"/>
  <c r="W306" i="10"/>
  <c r="BK301" i="10"/>
  <c r="BG301" i="10"/>
  <c r="AM301" i="10"/>
  <c r="W301" i="10"/>
  <c r="S301" i="10"/>
  <c r="BK300" i="10"/>
  <c r="BG300" i="10"/>
  <c r="AQ300" i="10"/>
  <c r="AM300" i="10"/>
  <c r="W300" i="10"/>
  <c r="S300" i="10"/>
  <c r="BK299" i="10"/>
  <c r="BG299" i="10"/>
  <c r="AM299" i="10"/>
  <c r="W299" i="10"/>
  <c r="S299" i="10"/>
  <c r="BK298" i="10"/>
  <c r="BG298" i="10"/>
  <c r="AQ298" i="10"/>
  <c r="AM298" i="10"/>
  <c r="W298" i="10"/>
  <c r="S298" i="10"/>
  <c r="BK297" i="10"/>
  <c r="BG297" i="10"/>
  <c r="AQ297" i="10"/>
  <c r="AM297" i="10"/>
  <c r="W297" i="10"/>
  <c r="S297" i="10"/>
  <c r="BF287" i="10"/>
  <c r="BB287" i="10"/>
  <c r="AX287" i="10"/>
  <c r="AL287" i="10"/>
  <c r="AH287" i="10"/>
  <c r="BQ287" i="10" s="1"/>
  <c r="BV287" i="10" s="1"/>
  <c r="CA287" i="10" s="1"/>
  <c r="CF287" i="10" s="1"/>
  <c r="CK287" i="10" s="1"/>
  <c r="CP287" i="10" s="1"/>
  <c r="CU287" i="10" s="1"/>
  <c r="CZ287" i="10" s="1"/>
  <c r="DE287" i="10" s="1"/>
  <c r="DJ287" i="10" s="1"/>
  <c r="DO287" i="10" s="1"/>
  <c r="DT287" i="10" s="1"/>
  <c r="AD287" i="10"/>
  <c r="R287" i="10"/>
  <c r="N287" i="10"/>
  <c r="BB286" i="10"/>
  <c r="AX286" i="10"/>
  <c r="AL286" i="10"/>
  <c r="AH286" i="10"/>
  <c r="BQ286" i="10" s="1"/>
  <c r="BV286" i="10" s="1"/>
  <c r="CA286" i="10" s="1"/>
  <c r="CF286" i="10" s="1"/>
  <c r="CK286" i="10" s="1"/>
  <c r="CP286" i="10" s="1"/>
  <c r="CU286" i="10" s="1"/>
  <c r="CZ286" i="10" s="1"/>
  <c r="DE286" i="10" s="1"/>
  <c r="DJ286" i="10" s="1"/>
  <c r="DO286" i="10" s="1"/>
  <c r="AD286" i="10"/>
  <c r="R286" i="10"/>
  <c r="N286" i="10"/>
  <c r="BF285" i="10"/>
  <c r="AX285" i="10"/>
  <c r="AL285" i="10"/>
  <c r="AH285" i="10"/>
  <c r="BQ285" i="10" s="1"/>
  <c r="BV285" i="10" s="1"/>
  <c r="CA285" i="10" s="1"/>
  <c r="CF285" i="10" s="1"/>
  <c r="CK285" i="10" s="1"/>
  <c r="CP285" i="10" s="1"/>
  <c r="CU285" i="10" s="1"/>
  <c r="CZ285" i="10" s="1"/>
  <c r="DE285" i="10" s="1"/>
  <c r="DJ285" i="10" s="1"/>
  <c r="AD285" i="10"/>
  <c r="R285" i="10"/>
  <c r="N285" i="10"/>
  <c r="BF284" i="10"/>
  <c r="BB284" i="10"/>
  <c r="AL284" i="10"/>
  <c r="AH284" i="10"/>
  <c r="BQ284" i="10" s="1"/>
  <c r="BV284" i="10" s="1"/>
  <c r="CA284" i="10" s="1"/>
  <c r="CF284" i="10" s="1"/>
  <c r="CK284" i="10" s="1"/>
  <c r="CP284" i="10" s="1"/>
  <c r="CU284" i="10" s="1"/>
  <c r="CZ284" i="10" s="1"/>
  <c r="DE284" i="10" s="1"/>
  <c r="AD284" i="10"/>
  <c r="R284" i="10"/>
  <c r="N284" i="10"/>
  <c r="BF283" i="10"/>
  <c r="BB283" i="10"/>
  <c r="AX283" i="10"/>
  <c r="AL283" i="10"/>
  <c r="AH283" i="10"/>
  <c r="BQ283" i="10" s="1"/>
  <c r="BV283" i="10" s="1"/>
  <c r="CA283" i="10" s="1"/>
  <c r="CF283" i="10" s="1"/>
  <c r="CK283" i="10" s="1"/>
  <c r="CP283" i="10" s="1"/>
  <c r="CU283" i="10" s="1"/>
  <c r="CZ283" i="10" s="1"/>
  <c r="AD283" i="10"/>
  <c r="R283" i="10"/>
  <c r="N283" i="10"/>
  <c r="BF282" i="10"/>
  <c r="BB282" i="10"/>
  <c r="AX282" i="10"/>
  <c r="AL282" i="10"/>
  <c r="AH282" i="10"/>
  <c r="BQ282" i="10" s="1"/>
  <c r="BV282" i="10" s="1"/>
  <c r="CA282" i="10" s="1"/>
  <c r="CF282" i="10" s="1"/>
  <c r="CK282" i="10" s="1"/>
  <c r="CP282" i="10" s="1"/>
  <c r="CU282" i="10" s="1"/>
  <c r="CZ282" i="10" s="1"/>
  <c r="AD282" i="10"/>
  <c r="R282" i="10"/>
  <c r="N282" i="10"/>
  <c r="BN281" i="10"/>
  <c r="BF281" i="10"/>
  <c r="BB281" i="10"/>
  <c r="AX281" i="10"/>
  <c r="AT281" i="10"/>
  <c r="AL281" i="10"/>
  <c r="AH281" i="10"/>
  <c r="BQ281" i="10" s="1"/>
  <c r="BV281" i="10" s="1"/>
  <c r="CA281" i="10" s="1"/>
  <c r="CF281" i="10" s="1"/>
  <c r="CK281" i="10" s="1"/>
  <c r="CP281" i="10" s="1"/>
  <c r="CU281" i="10" s="1"/>
  <c r="CZ281" i="10" s="1"/>
  <c r="AD281" i="10"/>
  <c r="Z281" i="10"/>
  <c r="R281" i="10"/>
  <c r="N281" i="10"/>
  <c r="BM276" i="10"/>
  <c r="BA276" i="10"/>
  <c r="AW276" i="10"/>
  <c r="AS276" i="10"/>
  <c r="AG276" i="10"/>
  <c r="AC276" i="10"/>
  <c r="Y276" i="10"/>
  <c r="M276" i="10"/>
  <c r="BK274" i="10"/>
  <c r="BG274" i="10"/>
  <c r="BC274" i="10"/>
  <c r="AQ274" i="10"/>
  <c r="AM274" i="10"/>
  <c r="AI274" i="10"/>
  <c r="W274" i="10"/>
  <c r="S274" i="10"/>
  <c r="O274" i="10"/>
  <c r="BK273" i="10"/>
  <c r="BG273" i="10"/>
  <c r="BC273" i="10"/>
  <c r="AY273" i="10"/>
  <c r="AM273" i="10"/>
  <c r="AI273" i="10"/>
  <c r="AE273" i="10"/>
  <c r="S273" i="10"/>
  <c r="O273" i="10"/>
  <c r="BG272" i="10"/>
  <c r="BC272" i="10"/>
  <c r="AY272" i="10"/>
  <c r="AM272" i="10"/>
  <c r="AI272" i="10"/>
  <c r="AE272" i="10"/>
  <c r="S272" i="10"/>
  <c r="O272" i="10"/>
  <c r="BG271" i="10"/>
  <c r="AY271" i="10"/>
  <c r="AM271" i="10"/>
  <c r="AI271" i="10"/>
  <c r="AE271" i="10"/>
  <c r="S271" i="10"/>
  <c r="O271" i="10"/>
  <c r="BG270" i="10"/>
  <c r="BC270" i="10"/>
  <c r="AY270" i="10"/>
  <c r="AM270" i="10"/>
  <c r="AI270" i="10"/>
  <c r="AE270" i="10"/>
  <c r="S270" i="10"/>
  <c r="O270" i="10"/>
  <c r="BG269" i="10"/>
  <c r="BC269" i="10"/>
  <c r="AY269" i="10"/>
  <c r="AM269" i="10"/>
  <c r="AI269" i="10"/>
  <c r="AE269" i="10"/>
  <c r="S269" i="10"/>
  <c r="O269" i="10"/>
  <c r="BG268" i="10"/>
  <c r="BC268" i="10"/>
  <c r="AY268" i="10"/>
  <c r="AM268" i="10"/>
  <c r="AI268" i="10"/>
  <c r="AE268" i="10"/>
  <c r="S268" i="10"/>
  <c r="O268" i="10"/>
  <c r="BG267" i="10"/>
  <c r="BC267" i="10"/>
  <c r="AM267" i="10"/>
  <c r="AI267" i="10"/>
  <c r="AE267" i="10"/>
  <c r="S267" i="10"/>
  <c r="O267" i="10"/>
  <c r="BC266" i="10"/>
  <c r="AY266" i="10"/>
  <c r="AM266" i="10"/>
  <c r="AI266" i="10"/>
  <c r="AE266" i="10"/>
  <c r="S266" i="10"/>
  <c r="O266" i="10"/>
  <c r="BN261" i="10"/>
  <c r="BB261" i="10"/>
  <c r="AX261" i="10"/>
  <c r="AT261" i="10"/>
  <c r="AH261" i="10"/>
  <c r="BQ261" i="10" s="1"/>
  <c r="BV261" i="10" s="1"/>
  <c r="CA261" i="10" s="1"/>
  <c r="CF261" i="10" s="1"/>
  <c r="CK261" i="10" s="1"/>
  <c r="CP261" i="10" s="1"/>
  <c r="CU261" i="10" s="1"/>
  <c r="CZ261" i="10" s="1"/>
  <c r="DE261" i="10" s="1"/>
  <c r="DJ261" i="10" s="1"/>
  <c r="DO261" i="10" s="1"/>
  <c r="AD261" i="10"/>
  <c r="Z261" i="10"/>
  <c r="N261" i="10"/>
  <c r="BN260" i="10"/>
  <c r="BB260" i="10"/>
  <c r="AX260" i="10"/>
  <c r="AH260" i="10"/>
  <c r="BQ260" i="10" s="1"/>
  <c r="BV260" i="10" s="1"/>
  <c r="CA260" i="10" s="1"/>
  <c r="CF260" i="10" s="1"/>
  <c r="CK260" i="10" s="1"/>
  <c r="CP260" i="10" s="1"/>
  <c r="CU260" i="10" s="1"/>
  <c r="CZ260" i="10" s="1"/>
  <c r="AD260" i="10"/>
  <c r="Z260" i="10"/>
  <c r="N260" i="10"/>
  <c r="BN259" i="10"/>
  <c r="BB259" i="10"/>
  <c r="AX259" i="10"/>
  <c r="AT259" i="10"/>
  <c r="AH259" i="10"/>
  <c r="BQ259" i="10" s="1"/>
  <c r="BV259" i="10" s="1"/>
  <c r="CA259" i="10" s="1"/>
  <c r="CF259" i="10" s="1"/>
  <c r="CK259" i="10" s="1"/>
  <c r="CP259" i="10" s="1"/>
  <c r="CU259" i="10" s="1"/>
  <c r="CZ259" i="10" s="1"/>
  <c r="AD259" i="10"/>
  <c r="Z259" i="10"/>
  <c r="N259" i="10"/>
  <c r="BN258" i="10"/>
  <c r="BB258" i="10"/>
  <c r="AX258" i="10"/>
  <c r="AH258" i="10"/>
  <c r="BQ258" i="10" s="1"/>
  <c r="BV258" i="10" s="1"/>
  <c r="CA258" i="10" s="1"/>
  <c r="CF258" i="10" s="1"/>
  <c r="CK258" i="10" s="1"/>
  <c r="CP258" i="10" s="1"/>
  <c r="CU258" i="10" s="1"/>
  <c r="CZ258" i="10" s="1"/>
  <c r="AD258" i="10"/>
  <c r="Z258" i="10"/>
  <c r="N258" i="10"/>
  <c r="BN257" i="10"/>
  <c r="BB257" i="10"/>
  <c r="AT257" i="10"/>
  <c r="AH257" i="10"/>
  <c r="BQ257" i="10" s="1"/>
  <c r="BV257" i="10" s="1"/>
  <c r="CA257" i="10" s="1"/>
  <c r="CF257" i="10" s="1"/>
  <c r="CK257" i="10" s="1"/>
  <c r="CP257" i="10" s="1"/>
  <c r="CU257" i="10" s="1"/>
  <c r="CZ257" i="10" s="1"/>
  <c r="DE257" i="10" s="1"/>
  <c r="AD257" i="10"/>
  <c r="Z257" i="10"/>
  <c r="N257" i="10"/>
  <c r="BB253" i="10"/>
  <c r="BC253" i="10"/>
  <c r="N253" i="10"/>
  <c r="O253" i="10"/>
  <c r="AH252" i="10"/>
  <c r="BQ252" i="10" s="1"/>
  <c r="BV252" i="10" s="1"/>
  <c r="CA252" i="10" s="1"/>
  <c r="CF252" i="10" s="1"/>
  <c r="CK252" i="10" s="1"/>
  <c r="CP252" i="10" s="1"/>
  <c r="CU252" i="10" s="1"/>
  <c r="CZ252" i="10" s="1"/>
  <c r="DE252" i="10" s="1"/>
  <c r="DJ252" i="10" s="1"/>
  <c r="DO252" i="10" s="1"/>
  <c r="DT252" i="10" s="1"/>
  <c r="AI252" i="10"/>
  <c r="BB251" i="10"/>
  <c r="BC251" i="10"/>
  <c r="AD251" i="10"/>
  <c r="AE251" i="10"/>
  <c r="AX250" i="10"/>
  <c r="AY250" i="10"/>
  <c r="AB213" i="10"/>
  <c r="AD161" i="5" s="1"/>
  <c r="AD186" i="5" s="1"/>
  <c r="BF301" i="10"/>
  <c r="AL301" i="10"/>
  <c r="R301" i="10"/>
  <c r="BF300" i="10"/>
  <c r="AL300" i="10"/>
  <c r="R300" i="10"/>
  <c r="BF299" i="10"/>
  <c r="AL299" i="10"/>
  <c r="R299" i="10"/>
  <c r="BF298" i="10"/>
  <c r="AL298" i="10"/>
  <c r="R298" i="10"/>
  <c r="BF297" i="10"/>
  <c r="AL297" i="10"/>
  <c r="R297" i="10"/>
  <c r="BA287" i="10"/>
  <c r="AG287" i="10"/>
  <c r="M287" i="10"/>
  <c r="BA286" i="10"/>
  <c r="AG286" i="10"/>
  <c r="M286" i="10"/>
  <c r="AG285" i="10"/>
  <c r="M285" i="10"/>
  <c r="BA284" i="10"/>
  <c r="AG284" i="10"/>
  <c r="M284" i="10"/>
  <c r="BA283" i="10"/>
  <c r="AG283" i="10"/>
  <c r="M283" i="10"/>
  <c r="BA282" i="10"/>
  <c r="AG282" i="10"/>
  <c r="M282" i="10"/>
  <c r="BA281" i="10"/>
  <c r="AG281" i="10"/>
  <c r="M281" i="10"/>
  <c r="AV276" i="10"/>
  <c r="AB276" i="10"/>
  <c r="BF274" i="10"/>
  <c r="AL274" i="10"/>
  <c r="R274" i="10"/>
  <c r="BF273" i="10"/>
  <c r="AL273" i="10"/>
  <c r="R273" i="10"/>
  <c r="BF272" i="10"/>
  <c r="AL272" i="10"/>
  <c r="R272" i="10"/>
  <c r="BF271" i="10"/>
  <c r="AL271" i="10"/>
  <c r="R271" i="10"/>
  <c r="BF270" i="10"/>
  <c r="AL270" i="10"/>
  <c r="R270" i="10"/>
  <c r="BF269" i="10"/>
  <c r="AL269" i="10"/>
  <c r="R269" i="10"/>
  <c r="BF268" i="10"/>
  <c r="AL268" i="10"/>
  <c r="R268" i="10"/>
  <c r="BF267" i="10"/>
  <c r="AL267" i="10"/>
  <c r="R267" i="10"/>
  <c r="AL266" i="10"/>
  <c r="R266" i="10"/>
  <c r="BA261" i="10"/>
  <c r="AG261" i="10"/>
  <c r="M261" i="10"/>
  <c r="BA260" i="10"/>
  <c r="AG260" i="10"/>
  <c r="M260" i="10"/>
  <c r="BA259" i="10"/>
  <c r="AG259" i="10"/>
  <c r="M259" i="10"/>
  <c r="BA258" i="10"/>
  <c r="AG258" i="10"/>
  <c r="M258" i="10"/>
  <c r="BA257" i="10"/>
  <c r="AG257" i="10"/>
  <c r="M257" i="10"/>
  <c r="N252" i="10"/>
  <c r="O252" i="10"/>
  <c r="AH251" i="10"/>
  <c r="BQ251" i="10" s="1"/>
  <c r="BV251" i="10" s="1"/>
  <c r="CA251" i="10" s="1"/>
  <c r="CF251" i="10" s="1"/>
  <c r="CK251" i="10" s="1"/>
  <c r="CP251" i="10" s="1"/>
  <c r="CU251" i="10" s="1"/>
  <c r="CZ251" i="10" s="1"/>
  <c r="DE251" i="10" s="1"/>
  <c r="DJ251" i="10" s="1"/>
  <c r="DO251" i="10" s="1"/>
  <c r="DT251" i="10" s="1"/>
  <c r="AI251" i="10"/>
  <c r="BB250" i="10"/>
  <c r="BC250" i="10"/>
  <c r="AD250" i="10"/>
  <c r="AE250" i="10"/>
  <c r="AC250" i="10"/>
  <c r="AD249" i="10"/>
  <c r="AE249" i="10"/>
  <c r="AC249" i="10"/>
  <c r="BG240" i="10"/>
  <c r="BH240" i="10"/>
  <c r="BI240" i="10"/>
  <c r="BF240" i="10"/>
  <c r="AW234" i="10"/>
  <c r="AX234" i="10"/>
  <c r="AY234" i="10"/>
  <c r="AV234" i="10"/>
  <c r="AS227" i="10"/>
  <c r="AT227" i="10"/>
  <c r="AQ227" i="10"/>
  <c r="AR227" i="10"/>
  <c r="BA309" i="10"/>
  <c r="AS309" i="10"/>
  <c r="AG309" i="10"/>
  <c r="Y309" i="10"/>
  <c r="M309" i="10"/>
  <c r="BM308" i="10"/>
  <c r="BA308" i="10"/>
  <c r="AS308" i="10"/>
  <c r="AG308" i="10"/>
  <c r="Y308" i="10"/>
  <c r="M308" i="10"/>
  <c r="BM307" i="10"/>
  <c r="AS307" i="10"/>
  <c r="AG307" i="10"/>
  <c r="Y307" i="10"/>
  <c r="M307" i="10"/>
  <c r="BM306" i="10"/>
  <c r="BA306" i="10"/>
  <c r="AS306" i="10"/>
  <c r="AG306" i="10"/>
  <c r="Y306" i="10"/>
  <c r="M306" i="10"/>
  <c r="BM301" i="10"/>
  <c r="BI301" i="10"/>
  <c r="BA301" i="10"/>
  <c r="AO301" i="10"/>
  <c r="AG301" i="10"/>
  <c r="Y301" i="10"/>
  <c r="U301" i="10"/>
  <c r="M301" i="10"/>
  <c r="BM300" i="10"/>
  <c r="BI300" i="10"/>
  <c r="BA300" i="10"/>
  <c r="AS300" i="10"/>
  <c r="AO300" i="10"/>
  <c r="AG300" i="10"/>
  <c r="Y300" i="10"/>
  <c r="U300" i="10"/>
  <c r="M300" i="10"/>
  <c r="BM299" i="10"/>
  <c r="BI299" i="10"/>
  <c r="BA299" i="10"/>
  <c r="AO299" i="10"/>
  <c r="AG299" i="10"/>
  <c r="Y299" i="10"/>
  <c r="U299" i="10"/>
  <c r="M299" i="10"/>
  <c r="BM298" i="10"/>
  <c r="BI298" i="10"/>
  <c r="BA298" i="10"/>
  <c r="AS298" i="10"/>
  <c r="AO298" i="10"/>
  <c r="AG298" i="10"/>
  <c r="Y298" i="10"/>
  <c r="U298" i="10"/>
  <c r="M298" i="10"/>
  <c r="BM297" i="10"/>
  <c r="BI297" i="10"/>
  <c r="BA297" i="10"/>
  <c r="AS297" i="10"/>
  <c r="AO297" i="10"/>
  <c r="AG297" i="10"/>
  <c r="Y297" i="10"/>
  <c r="U297" i="10"/>
  <c r="M297" i="10"/>
  <c r="BD287" i="10"/>
  <c r="AV287" i="10"/>
  <c r="AJ287" i="10"/>
  <c r="AB287" i="10"/>
  <c r="P287" i="10"/>
  <c r="BD286" i="10"/>
  <c r="AV286" i="10"/>
  <c r="AJ286" i="10"/>
  <c r="AB286" i="10"/>
  <c r="P286" i="10"/>
  <c r="AV285" i="10"/>
  <c r="AJ285" i="10"/>
  <c r="AB285" i="10"/>
  <c r="P285" i="10"/>
  <c r="BD284" i="10"/>
  <c r="AJ284" i="10"/>
  <c r="AB284" i="10"/>
  <c r="P284" i="10"/>
  <c r="BD283" i="10"/>
  <c r="AV283" i="10"/>
  <c r="AJ283" i="10"/>
  <c r="AB283" i="10"/>
  <c r="P283" i="10"/>
  <c r="BD282" i="10"/>
  <c r="AV282" i="10"/>
  <c r="AJ282" i="10"/>
  <c r="AB282" i="10"/>
  <c r="P282" i="10"/>
  <c r="BD281" i="10"/>
  <c r="AV281" i="10"/>
  <c r="AJ281" i="10"/>
  <c r="AB281" i="10"/>
  <c r="P281" i="10"/>
  <c r="AF278" i="10"/>
  <c r="BK276" i="10"/>
  <c r="AY276" i="10"/>
  <c r="AQ276" i="10"/>
  <c r="AE276" i="10"/>
  <c r="W276" i="10"/>
  <c r="BI274" i="10"/>
  <c r="BA274" i="10"/>
  <c r="AO274" i="10"/>
  <c r="AG274" i="10"/>
  <c r="U274" i="10"/>
  <c r="M274" i="10"/>
  <c r="BI273" i="10"/>
  <c r="BA273" i="10"/>
  <c r="AO273" i="10"/>
  <c r="AG273" i="10"/>
  <c r="U273" i="10"/>
  <c r="M273" i="10"/>
  <c r="BI272" i="10"/>
  <c r="BA272" i="10"/>
  <c r="AO272" i="10"/>
  <c r="AG272" i="10"/>
  <c r="U272" i="10"/>
  <c r="M272" i="10"/>
  <c r="BI271" i="10"/>
  <c r="AO271" i="10"/>
  <c r="AG271" i="10"/>
  <c r="U271" i="10"/>
  <c r="M271" i="10"/>
  <c r="BI270" i="10"/>
  <c r="BA270" i="10"/>
  <c r="AO270" i="10"/>
  <c r="AG270" i="10"/>
  <c r="U270" i="10"/>
  <c r="M270" i="10"/>
  <c r="BI269" i="10"/>
  <c r="BA269" i="10"/>
  <c r="AO269" i="10"/>
  <c r="AG269" i="10"/>
  <c r="U269" i="10"/>
  <c r="M269" i="10"/>
  <c r="BI268" i="10"/>
  <c r="BA268" i="10"/>
  <c r="AO268" i="10"/>
  <c r="AG268" i="10"/>
  <c r="U268" i="10"/>
  <c r="M268" i="10"/>
  <c r="BI267" i="10"/>
  <c r="BA267" i="10"/>
  <c r="AO267" i="10"/>
  <c r="AG267" i="10"/>
  <c r="U267" i="10"/>
  <c r="M267" i="10"/>
  <c r="BA266" i="10"/>
  <c r="AO266" i="10"/>
  <c r="AG266" i="10"/>
  <c r="U266" i="10"/>
  <c r="M266" i="10"/>
  <c r="BD261" i="10"/>
  <c r="AV261" i="10"/>
  <c r="AJ261" i="10"/>
  <c r="AB261" i="10"/>
  <c r="P261" i="10"/>
  <c r="BD260" i="10"/>
  <c r="AV260" i="10"/>
  <c r="AJ260" i="10"/>
  <c r="AB260" i="10"/>
  <c r="P260" i="10"/>
  <c r="BD259" i="10"/>
  <c r="AV259" i="10"/>
  <c r="AJ259" i="10"/>
  <c r="AB259" i="10"/>
  <c r="P259" i="10"/>
  <c r="BD258" i="10"/>
  <c r="AV258" i="10"/>
  <c r="AJ258" i="10"/>
  <c r="AB258" i="10"/>
  <c r="X258" i="10"/>
  <c r="P258" i="10"/>
  <c r="BL257" i="10"/>
  <c r="BD257" i="10"/>
  <c r="AR257" i="10"/>
  <c r="AJ257" i="10"/>
  <c r="AB257" i="10"/>
  <c r="X257" i="10"/>
  <c r="P257" i="10"/>
  <c r="AD253" i="10"/>
  <c r="AE253" i="10"/>
  <c r="AX252" i="10"/>
  <c r="AY252" i="10"/>
  <c r="P252" i="10"/>
  <c r="AJ251" i="10"/>
  <c r="N251" i="10"/>
  <c r="O251" i="10"/>
  <c r="BD250" i="10"/>
  <c r="AH250" i="10"/>
  <c r="BQ250" i="10" s="1"/>
  <c r="BV250" i="10" s="1"/>
  <c r="CA250" i="10" s="1"/>
  <c r="CF250" i="10" s="1"/>
  <c r="CK250" i="10" s="1"/>
  <c r="CP250" i="10" s="1"/>
  <c r="CU250" i="10" s="1"/>
  <c r="CZ250" i="10" s="1"/>
  <c r="DE250" i="10" s="1"/>
  <c r="DJ250" i="10" s="1"/>
  <c r="AI250" i="10"/>
  <c r="AB250" i="10"/>
  <c r="AX249" i="10"/>
  <c r="AY249" i="10"/>
  <c r="AW249" i="10"/>
  <c r="AB249" i="10"/>
  <c r="AD248" i="10"/>
  <c r="AE248" i="10"/>
  <c r="AC248" i="10"/>
  <c r="AQ239" i="10"/>
  <c r="AR239" i="10"/>
  <c r="AS239" i="10"/>
  <c r="AT239" i="10"/>
  <c r="AO233" i="10"/>
  <c r="AL233" i="10"/>
  <c r="AM233" i="10"/>
  <c r="AN233" i="10"/>
  <c r="AS226" i="10"/>
  <c r="AT226" i="10"/>
  <c r="AQ226" i="10"/>
  <c r="AR226" i="10"/>
  <c r="AL253" i="10"/>
  <c r="AM253" i="10"/>
  <c r="AX253" i="10"/>
  <c r="AY253" i="10"/>
  <c r="AH253" i="10"/>
  <c r="BQ253" i="10" s="1"/>
  <c r="BV253" i="10" s="1"/>
  <c r="CA253" i="10" s="1"/>
  <c r="CF253" i="10" s="1"/>
  <c r="CK253" i="10" s="1"/>
  <c r="CP253" i="10" s="1"/>
  <c r="CU253" i="10" s="1"/>
  <c r="AI253" i="10"/>
  <c r="BB252" i="10"/>
  <c r="BC252" i="10"/>
  <c r="AD252" i="10"/>
  <c r="AE252" i="10"/>
  <c r="M252" i="10"/>
  <c r="AX251" i="10"/>
  <c r="AY251" i="10"/>
  <c r="AG251" i="10"/>
  <c r="BA250" i="10"/>
  <c r="AX248" i="10"/>
  <c r="AY248" i="10"/>
  <c r="AW248" i="10"/>
  <c r="AM242" i="10"/>
  <c r="AN242" i="10"/>
  <c r="AO242" i="10"/>
  <c r="AL242" i="10"/>
  <c r="DB234" i="10"/>
  <c r="DF234" i="10"/>
  <c r="DC234" i="10"/>
  <c r="DG234" i="10"/>
  <c r="DD234" i="10"/>
  <c r="DH234" i="10"/>
  <c r="DA234" i="10"/>
  <c r="DI234" i="10"/>
  <c r="M250" i="10"/>
  <c r="BA249" i="10"/>
  <c r="AG249" i="10"/>
  <c r="M249" i="10"/>
  <c r="BA248" i="10"/>
  <c r="AG248" i="10"/>
  <c r="M248" i="10"/>
  <c r="BF246" i="10"/>
  <c r="BB246" i="10"/>
  <c r="AL246" i="10"/>
  <c r="AH246" i="10"/>
  <c r="BQ246" i="10" s="1"/>
  <c r="BV246" i="10" s="1"/>
  <c r="CA246" i="10" s="1"/>
  <c r="CF246" i="10" s="1"/>
  <c r="CK246" i="10" s="1"/>
  <c r="CP246" i="10" s="1"/>
  <c r="CU246" i="10" s="1"/>
  <c r="CZ246" i="10" s="1"/>
  <c r="DE246" i="10" s="1"/>
  <c r="DJ246" i="10" s="1"/>
  <c r="DO246" i="10" s="1"/>
  <c r="DT246" i="10" s="1"/>
  <c r="R246" i="10"/>
  <c r="N246" i="10"/>
  <c r="BF245" i="10"/>
  <c r="BB245" i="10"/>
  <c r="AL245" i="10"/>
  <c r="AH245" i="10"/>
  <c r="BQ245" i="10" s="1"/>
  <c r="BV245" i="10" s="1"/>
  <c r="CA245" i="10" s="1"/>
  <c r="CF245" i="10" s="1"/>
  <c r="CK245" i="10" s="1"/>
  <c r="CP245" i="10" s="1"/>
  <c r="CU245" i="10" s="1"/>
  <c r="CZ245" i="10" s="1"/>
  <c r="DE245" i="10" s="1"/>
  <c r="DJ245" i="10" s="1"/>
  <c r="DO245" i="10" s="1"/>
  <c r="DT245" i="10" s="1"/>
  <c r="R245" i="10"/>
  <c r="N245" i="10"/>
  <c r="BF244" i="10"/>
  <c r="BB244" i="10"/>
  <c r="AL244" i="10"/>
  <c r="AH244" i="10"/>
  <c r="BQ244" i="10" s="1"/>
  <c r="BV244" i="10" s="1"/>
  <c r="CA244" i="10" s="1"/>
  <c r="CF244" i="10" s="1"/>
  <c r="CK244" i="10" s="1"/>
  <c r="CP244" i="10" s="1"/>
  <c r="CU244" i="10" s="1"/>
  <c r="CZ244" i="10" s="1"/>
  <c r="DE244" i="10" s="1"/>
  <c r="DJ244" i="10" s="1"/>
  <c r="DO244" i="10" s="1"/>
  <c r="DT244" i="10" s="1"/>
  <c r="R244" i="10"/>
  <c r="N244" i="10"/>
  <c r="BF243" i="10"/>
  <c r="BB243" i="10"/>
  <c r="AL243" i="10"/>
  <c r="AH243" i="10"/>
  <c r="BQ243" i="10" s="1"/>
  <c r="BV243" i="10" s="1"/>
  <c r="CA243" i="10" s="1"/>
  <c r="CF243" i="10" s="1"/>
  <c r="CK243" i="10" s="1"/>
  <c r="CP243" i="10" s="1"/>
  <c r="CU243" i="10" s="1"/>
  <c r="CZ243" i="10" s="1"/>
  <c r="DE243" i="10" s="1"/>
  <c r="DJ243" i="10" s="1"/>
  <c r="DO243" i="10" s="1"/>
  <c r="DT243" i="10" s="1"/>
  <c r="R243" i="10"/>
  <c r="N243" i="10"/>
  <c r="BF242" i="10"/>
  <c r="BB242" i="10"/>
  <c r="AH242" i="10"/>
  <c r="BQ242" i="10" s="1"/>
  <c r="BV242" i="10" s="1"/>
  <c r="CA242" i="10" s="1"/>
  <c r="CF242" i="10" s="1"/>
  <c r="CK242" i="10" s="1"/>
  <c r="CP242" i="10" s="1"/>
  <c r="CU242" i="10" s="1"/>
  <c r="R242" i="10"/>
  <c r="N242" i="10"/>
  <c r="BF241" i="10"/>
  <c r="BB241" i="10"/>
  <c r="AL241" i="10"/>
  <c r="AH241" i="10"/>
  <c r="BQ241" i="10" s="1"/>
  <c r="BV241" i="10" s="1"/>
  <c r="CA241" i="10" s="1"/>
  <c r="CF241" i="10" s="1"/>
  <c r="CK241" i="10" s="1"/>
  <c r="CP241" i="10" s="1"/>
  <c r="CU241" i="10" s="1"/>
  <c r="CZ241" i="10" s="1"/>
  <c r="DE241" i="10" s="1"/>
  <c r="DJ241" i="10" s="1"/>
  <c r="DO241" i="10" s="1"/>
  <c r="DT241" i="10" s="1"/>
  <c r="R241" i="10"/>
  <c r="N241" i="10"/>
  <c r="BB240" i="10"/>
  <c r="AL240" i="10"/>
  <c r="AH240" i="10"/>
  <c r="BQ240" i="10" s="1"/>
  <c r="BV240" i="10" s="1"/>
  <c r="CA240" i="10" s="1"/>
  <c r="CF240" i="10" s="1"/>
  <c r="CK240" i="10" s="1"/>
  <c r="CP240" i="10" s="1"/>
  <c r="CU240" i="10" s="1"/>
  <c r="CZ240" i="10" s="1"/>
  <c r="DE240" i="10" s="1"/>
  <c r="DJ240" i="10" s="1"/>
  <c r="DO240" i="10" s="1"/>
  <c r="R240" i="10"/>
  <c r="N240" i="10"/>
  <c r="BF239" i="10"/>
  <c r="BB239" i="10"/>
  <c r="AL239" i="10"/>
  <c r="AH239" i="10"/>
  <c r="BQ239" i="10" s="1"/>
  <c r="BV239" i="10" s="1"/>
  <c r="CA239" i="10" s="1"/>
  <c r="CF239" i="10" s="1"/>
  <c r="CK239" i="10" s="1"/>
  <c r="CP239" i="10" s="1"/>
  <c r="CU239" i="10" s="1"/>
  <c r="CZ239" i="10" s="1"/>
  <c r="R239" i="10"/>
  <c r="N239" i="10"/>
  <c r="BL235" i="10"/>
  <c r="AV235" i="10"/>
  <c r="AR235" i="10"/>
  <c r="AB235" i="10"/>
  <c r="X235" i="10"/>
  <c r="BL234" i="10"/>
  <c r="AR234" i="10"/>
  <c r="AB234" i="10"/>
  <c r="X234" i="10"/>
  <c r="BL233" i="10"/>
  <c r="AV233" i="10"/>
  <c r="AR233" i="10"/>
  <c r="AB233" i="10"/>
  <c r="X233" i="10"/>
  <c r="BL232" i="10"/>
  <c r="AV232" i="10"/>
  <c r="AR232" i="10"/>
  <c r="AB232" i="10"/>
  <c r="X232" i="10"/>
  <c r="BL231" i="10"/>
  <c r="AV231" i="10"/>
  <c r="AR231" i="10"/>
  <c r="AB231" i="10"/>
  <c r="X231" i="10"/>
  <c r="BL228" i="10"/>
  <c r="AV228" i="10"/>
  <c r="AR228" i="10"/>
  <c r="AB228" i="10"/>
  <c r="X228" i="10"/>
  <c r="BL227" i="10"/>
  <c r="AV227" i="10"/>
  <c r="AB227" i="10"/>
  <c r="X227" i="10"/>
  <c r="BL226" i="10"/>
  <c r="AV226" i="10"/>
  <c r="AB226" i="10"/>
  <c r="X226" i="10"/>
  <c r="BL224" i="10"/>
  <c r="AV224" i="10"/>
  <c r="AR224" i="10"/>
  <c r="AB224" i="10"/>
  <c r="X224" i="10"/>
  <c r="BG211" i="10"/>
  <c r="BC211" i="10"/>
  <c r="AQ211" i="10"/>
  <c r="AM211" i="10"/>
  <c r="AI211" i="10"/>
  <c r="W211" i="10"/>
  <c r="S211" i="10"/>
  <c r="O211" i="10"/>
  <c r="BK210" i="10"/>
  <c r="BC210" i="10"/>
  <c r="AQ210" i="10"/>
  <c r="AM210" i="10"/>
  <c r="AI210" i="10"/>
  <c r="W210" i="10"/>
  <c r="S210" i="10"/>
  <c r="O210" i="10"/>
  <c r="BK209" i="10"/>
  <c r="BG209" i="10"/>
  <c r="AQ209" i="10"/>
  <c r="AM209" i="10"/>
  <c r="AI209" i="10"/>
  <c r="W209" i="10"/>
  <c r="S209" i="10"/>
  <c r="O209" i="10"/>
  <c r="BK208" i="10"/>
  <c r="BG208" i="10"/>
  <c r="BC208" i="10"/>
  <c r="AQ208" i="10"/>
  <c r="AM208" i="10"/>
  <c r="AI208" i="10"/>
  <c r="W208" i="10"/>
  <c r="S208" i="10"/>
  <c r="O208" i="10"/>
  <c r="AI207" i="10"/>
  <c r="AJ207" i="10"/>
  <c r="AH207" i="10"/>
  <c r="BQ207" i="10" s="1"/>
  <c r="BV207" i="10" s="1"/>
  <c r="CA207" i="10" s="1"/>
  <c r="CF207" i="10" s="1"/>
  <c r="CK207" i="10" s="1"/>
  <c r="CP207" i="10" s="1"/>
  <c r="CU207" i="10" s="1"/>
  <c r="CZ207" i="10" s="1"/>
  <c r="AI203" i="10"/>
  <c r="AJ203" i="10"/>
  <c r="AH203" i="10"/>
  <c r="BQ203" i="10" s="1"/>
  <c r="BV203" i="10" s="1"/>
  <c r="CA203" i="10" s="1"/>
  <c r="CF203" i="10" s="1"/>
  <c r="CK203" i="10" s="1"/>
  <c r="CP203" i="10" s="1"/>
  <c r="CU203" i="10" s="1"/>
  <c r="CZ203" i="10" s="1"/>
  <c r="AI202" i="10"/>
  <c r="AJ202" i="10"/>
  <c r="AH202" i="10"/>
  <c r="BQ202" i="10" s="1"/>
  <c r="BV202" i="10" s="1"/>
  <c r="CA202" i="10" s="1"/>
  <c r="CF202" i="10" s="1"/>
  <c r="CK202" i="10" s="1"/>
  <c r="CP202" i="10" s="1"/>
  <c r="CU202" i="10" s="1"/>
  <c r="CZ202" i="10" s="1"/>
  <c r="AI201" i="10"/>
  <c r="AJ201" i="10"/>
  <c r="AH201" i="10"/>
  <c r="BQ201" i="10" s="1"/>
  <c r="BV201" i="10" s="1"/>
  <c r="CA201" i="10" s="1"/>
  <c r="CF201" i="10" s="1"/>
  <c r="CK201" i="10" s="1"/>
  <c r="CP201" i="10" s="1"/>
  <c r="CU201" i="10" s="1"/>
  <c r="CZ201" i="10" s="1"/>
  <c r="AI200" i="10"/>
  <c r="AJ200" i="10"/>
  <c r="AH200" i="10"/>
  <c r="BQ200" i="10" s="1"/>
  <c r="BV200" i="10" s="1"/>
  <c r="CA200" i="10" s="1"/>
  <c r="CF200" i="10" s="1"/>
  <c r="CK200" i="10" s="1"/>
  <c r="CP200" i="10" s="1"/>
  <c r="CU200" i="10" s="1"/>
  <c r="CZ200" i="10" s="1"/>
  <c r="AI199" i="10"/>
  <c r="AJ199" i="10"/>
  <c r="AH199" i="10"/>
  <c r="BQ199" i="10" s="1"/>
  <c r="BV199" i="10" s="1"/>
  <c r="CA199" i="10" s="1"/>
  <c r="CF199" i="10" s="1"/>
  <c r="CK199" i="10" s="1"/>
  <c r="CP199" i="10" s="1"/>
  <c r="CU199" i="10" s="1"/>
  <c r="CZ199" i="10" s="1"/>
  <c r="AI198" i="10"/>
  <c r="AJ198" i="10"/>
  <c r="AH198" i="10"/>
  <c r="BQ198" i="10" s="1"/>
  <c r="BV198" i="10" s="1"/>
  <c r="CA198" i="10" s="1"/>
  <c r="CF198" i="10" s="1"/>
  <c r="CK198" i="10" s="1"/>
  <c r="CP198" i="10" s="1"/>
  <c r="CU198" i="10" s="1"/>
  <c r="CZ198" i="10" s="1"/>
  <c r="AI197" i="10"/>
  <c r="AJ197" i="10"/>
  <c r="AH197" i="10"/>
  <c r="BA246" i="10"/>
  <c r="AG246" i="10"/>
  <c r="M246" i="10"/>
  <c r="BA245" i="10"/>
  <c r="AG245" i="10"/>
  <c r="M245" i="10"/>
  <c r="BA244" i="10"/>
  <c r="AG244" i="10"/>
  <c r="M244" i="10"/>
  <c r="BA243" i="10"/>
  <c r="AG243" i="10"/>
  <c r="M243" i="10"/>
  <c r="BA242" i="10"/>
  <c r="AG242" i="10"/>
  <c r="M242" i="10"/>
  <c r="BA241" i="10"/>
  <c r="AG241" i="10"/>
  <c r="M241" i="10"/>
  <c r="BA240" i="10"/>
  <c r="AG240" i="10"/>
  <c r="M240" i="10"/>
  <c r="BA239" i="10"/>
  <c r="AG239" i="10"/>
  <c r="M239" i="10"/>
  <c r="BK235" i="10"/>
  <c r="AQ235" i="10"/>
  <c r="W235" i="10"/>
  <c r="BK234" i="10"/>
  <c r="AQ234" i="10"/>
  <c r="W234" i="10"/>
  <c r="BK233" i="10"/>
  <c r="AQ233" i="10"/>
  <c r="W233" i="10"/>
  <c r="BK232" i="10"/>
  <c r="AQ232" i="10"/>
  <c r="W232" i="10"/>
  <c r="BK231" i="10"/>
  <c r="AQ231" i="10"/>
  <c r="W231" i="10"/>
  <c r="BK228" i="10"/>
  <c r="AQ228" i="10"/>
  <c r="W228" i="10"/>
  <c r="BK227" i="10"/>
  <c r="W227" i="10"/>
  <c r="BK226" i="10"/>
  <c r="W226" i="10"/>
  <c r="BK224" i="10"/>
  <c r="AQ224" i="10"/>
  <c r="W224" i="10"/>
  <c r="BF211" i="10"/>
  <c r="AL211" i="10"/>
  <c r="R211" i="10"/>
  <c r="AL210" i="10"/>
  <c r="R210" i="10"/>
  <c r="BF209" i="10"/>
  <c r="AL209" i="10"/>
  <c r="R209" i="10"/>
  <c r="BF208" i="10"/>
  <c r="AL208" i="10"/>
  <c r="R208" i="10"/>
  <c r="AI206" i="10"/>
  <c r="AJ206" i="10"/>
  <c r="AH206" i="10"/>
  <c r="BQ206" i="10" s="1"/>
  <c r="BV206" i="10" s="1"/>
  <c r="CA206" i="10" s="1"/>
  <c r="CF206" i="10" s="1"/>
  <c r="CK206" i="10" s="1"/>
  <c r="CP206" i="10" s="1"/>
  <c r="CU206" i="10" s="1"/>
  <c r="CZ206" i="10" s="1"/>
  <c r="AI205" i="10"/>
  <c r="AJ205" i="10"/>
  <c r="AH205" i="10"/>
  <c r="BQ205" i="10" s="1"/>
  <c r="BV205" i="10" s="1"/>
  <c r="CA205" i="10" s="1"/>
  <c r="CF205" i="10" s="1"/>
  <c r="CK205" i="10" s="1"/>
  <c r="CP205" i="10" s="1"/>
  <c r="CU205" i="10" s="1"/>
  <c r="CZ205" i="10" s="1"/>
  <c r="O204" i="10"/>
  <c r="P204" i="10"/>
  <c r="N204" i="10"/>
  <c r="BC203" i="10"/>
  <c r="BD203" i="10"/>
  <c r="BB203" i="10"/>
  <c r="BK253" i="10"/>
  <c r="AQ253" i="10"/>
  <c r="W253" i="10"/>
  <c r="BK252" i="10"/>
  <c r="AQ252" i="10"/>
  <c r="W252" i="10"/>
  <c r="BK251" i="10"/>
  <c r="AQ251" i="10"/>
  <c r="W251" i="10"/>
  <c r="BK250" i="10"/>
  <c r="AQ250" i="10"/>
  <c r="W250" i="10"/>
  <c r="O250" i="10"/>
  <c r="BK249" i="10"/>
  <c r="BC249" i="10"/>
  <c r="AQ249" i="10"/>
  <c r="AI249" i="10"/>
  <c r="W249" i="10"/>
  <c r="O249" i="10"/>
  <c r="BK248" i="10"/>
  <c r="BC248" i="10"/>
  <c r="AQ248" i="10"/>
  <c r="AI248" i="10"/>
  <c r="W248" i="10"/>
  <c r="O248" i="10"/>
  <c r="BH246" i="10"/>
  <c r="BD246" i="10"/>
  <c r="AV246" i="10"/>
  <c r="AN246" i="10"/>
  <c r="AJ246" i="10"/>
  <c r="AB246" i="10"/>
  <c r="T246" i="10"/>
  <c r="P246" i="10"/>
  <c r="BH245" i="10"/>
  <c r="BD245" i="10"/>
  <c r="AV245" i="10"/>
  <c r="AN245" i="10"/>
  <c r="AJ245" i="10"/>
  <c r="AB245" i="10"/>
  <c r="T245" i="10"/>
  <c r="P245" i="10"/>
  <c r="BH244" i="10"/>
  <c r="BD244" i="10"/>
  <c r="AV244" i="10"/>
  <c r="AN244" i="10"/>
  <c r="AJ244" i="10"/>
  <c r="AB244" i="10"/>
  <c r="T244" i="10"/>
  <c r="P244" i="10"/>
  <c r="BH243" i="10"/>
  <c r="BD243" i="10"/>
  <c r="AV243" i="10"/>
  <c r="AN243" i="10"/>
  <c r="AJ243" i="10"/>
  <c r="AB243" i="10"/>
  <c r="T243" i="10"/>
  <c r="P243" i="10"/>
  <c r="BH242" i="10"/>
  <c r="BD242" i="10"/>
  <c r="AV242" i="10"/>
  <c r="AJ242" i="10"/>
  <c r="AB242" i="10"/>
  <c r="T242" i="10"/>
  <c r="P242" i="10"/>
  <c r="BH241" i="10"/>
  <c r="BD241" i="10"/>
  <c r="AV241" i="10"/>
  <c r="AN241" i="10"/>
  <c r="AJ241" i="10"/>
  <c r="AB241" i="10"/>
  <c r="T241" i="10"/>
  <c r="P241" i="10"/>
  <c r="BD240" i="10"/>
  <c r="AV240" i="10"/>
  <c r="AN240" i="10"/>
  <c r="AJ240" i="10"/>
  <c r="AB240" i="10"/>
  <c r="T240" i="10"/>
  <c r="P240" i="10"/>
  <c r="BH239" i="10"/>
  <c r="BD239" i="10"/>
  <c r="AV239" i="10"/>
  <c r="AN239" i="10"/>
  <c r="AJ239" i="10"/>
  <c r="AB239" i="10"/>
  <c r="T239" i="10"/>
  <c r="P239" i="10"/>
  <c r="BN235" i="10"/>
  <c r="BF235" i="10"/>
  <c r="AX235" i="10"/>
  <c r="AT235" i="10"/>
  <c r="AL235" i="10"/>
  <c r="AD235" i="10"/>
  <c r="Z235" i="10"/>
  <c r="R235" i="10"/>
  <c r="BN234" i="10"/>
  <c r="BF234" i="10"/>
  <c r="AT234" i="10"/>
  <c r="AL234" i="10"/>
  <c r="AD234" i="10"/>
  <c r="Z234" i="10"/>
  <c r="R234" i="10"/>
  <c r="BN233" i="10"/>
  <c r="BF233" i="10"/>
  <c r="AX233" i="10"/>
  <c r="AT233" i="10"/>
  <c r="AH233" i="10"/>
  <c r="BQ233" i="10" s="1"/>
  <c r="BV233" i="10" s="1"/>
  <c r="CA233" i="10" s="1"/>
  <c r="CF233" i="10" s="1"/>
  <c r="CK233" i="10" s="1"/>
  <c r="CP233" i="10" s="1"/>
  <c r="CU233" i="10" s="1"/>
  <c r="AD233" i="10"/>
  <c r="Z233" i="10"/>
  <c r="R233" i="10"/>
  <c r="N233" i="10"/>
  <c r="BN232" i="10"/>
  <c r="BB232" i="10"/>
  <c r="AX232" i="10"/>
  <c r="AT232" i="10"/>
  <c r="AH232" i="10"/>
  <c r="BQ232" i="10" s="1"/>
  <c r="BV232" i="10" s="1"/>
  <c r="CA232" i="10" s="1"/>
  <c r="CF232" i="10" s="1"/>
  <c r="CK232" i="10" s="1"/>
  <c r="CP232" i="10" s="1"/>
  <c r="CU232" i="10" s="1"/>
  <c r="CZ232" i="10" s="1"/>
  <c r="DE232" i="10" s="1"/>
  <c r="DJ232" i="10" s="1"/>
  <c r="DO232" i="10" s="1"/>
  <c r="DT232" i="10" s="1"/>
  <c r="AD232" i="10"/>
  <c r="Z232" i="10"/>
  <c r="N232" i="10"/>
  <c r="BN231" i="10"/>
  <c r="BB231" i="10"/>
  <c r="AX231" i="10"/>
  <c r="AT231" i="10"/>
  <c r="AH231" i="10"/>
  <c r="BQ231" i="10" s="1"/>
  <c r="BV231" i="10" s="1"/>
  <c r="CA231" i="10" s="1"/>
  <c r="CF231" i="10" s="1"/>
  <c r="CK231" i="10" s="1"/>
  <c r="CP231" i="10" s="1"/>
  <c r="CU231" i="10" s="1"/>
  <c r="CZ231" i="10" s="1"/>
  <c r="DE231" i="10" s="1"/>
  <c r="DJ231" i="10" s="1"/>
  <c r="DO231" i="10" s="1"/>
  <c r="DT231" i="10" s="1"/>
  <c r="AD231" i="10"/>
  <c r="Z231" i="10"/>
  <c r="N231" i="10"/>
  <c r="BN228" i="10"/>
  <c r="AX228" i="10"/>
  <c r="AT228" i="10"/>
  <c r="AH228" i="10"/>
  <c r="BQ228" i="10" s="1"/>
  <c r="BV228" i="10" s="1"/>
  <c r="CA228" i="10" s="1"/>
  <c r="CF228" i="10" s="1"/>
  <c r="CK228" i="10" s="1"/>
  <c r="CP228" i="10" s="1"/>
  <c r="CU228" i="10" s="1"/>
  <c r="CZ228" i="10" s="1"/>
  <c r="DE228" i="10" s="1"/>
  <c r="DJ228" i="10" s="1"/>
  <c r="AD228" i="10"/>
  <c r="Z228" i="10"/>
  <c r="N228" i="10"/>
  <c r="BN227" i="10"/>
  <c r="BB227" i="10"/>
  <c r="AX227" i="10"/>
  <c r="AH227" i="10"/>
  <c r="BQ227" i="10" s="1"/>
  <c r="BV227" i="10" s="1"/>
  <c r="CA227" i="10" s="1"/>
  <c r="CF227" i="10" s="1"/>
  <c r="CK227" i="10" s="1"/>
  <c r="CP227" i="10" s="1"/>
  <c r="CU227" i="10" s="1"/>
  <c r="CZ227" i="10" s="1"/>
  <c r="AD227" i="10"/>
  <c r="Z227" i="10"/>
  <c r="N227" i="10"/>
  <c r="BN226" i="10"/>
  <c r="BB226" i="10"/>
  <c r="AX226" i="10"/>
  <c r="AH226" i="10"/>
  <c r="BQ226" i="10" s="1"/>
  <c r="BV226" i="10" s="1"/>
  <c r="CA226" i="10" s="1"/>
  <c r="CF226" i="10" s="1"/>
  <c r="CK226" i="10" s="1"/>
  <c r="CP226" i="10" s="1"/>
  <c r="CU226" i="10" s="1"/>
  <c r="CZ226" i="10" s="1"/>
  <c r="AD226" i="10"/>
  <c r="Z226" i="10"/>
  <c r="N226" i="10"/>
  <c r="BN224" i="10"/>
  <c r="BF224" i="10"/>
  <c r="AX224" i="10"/>
  <c r="AT224" i="10"/>
  <c r="AL224" i="10"/>
  <c r="AD224" i="10"/>
  <c r="Z224" i="10"/>
  <c r="R224" i="10"/>
  <c r="BI211" i="10"/>
  <c r="BA211" i="10"/>
  <c r="AS211" i="10"/>
  <c r="AO211" i="10"/>
  <c r="AG211" i="10"/>
  <c r="U211" i="10"/>
  <c r="M211" i="10"/>
  <c r="BA210" i="10"/>
  <c r="AO210" i="10"/>
  <c r="AG210" i="10"/>
  <c r="U210" i="10"/>
  <c r="M210" i="10"/>
  <c r="BI209" i="10"/>
  <c r="AO209" i="10"/>
  <c r="AG209" i="10"/>
  <c r="U209" i="10"/>
  <c r="M209" i="10"/>
  <c r="BI208" i="10"/>
  <c r="BA208" i="10"/>
  <c r="AO208" i="10"/>
  <c r="AG208" i="10"/>
  <c r="U208" i="10"/>
  <c r="M208" i="10"/>
  <c r="BC207" i="10"/>
  <c r="BD207" i="10"/>
  <c r="BB207" i="10"/>
  <c r="AG206" i="10"/>
  <c r="AG205" i="10"/>
  <c r="AI204" i="10"/>
  <c r="AJ204" i="10"/>
  <c r="AH204" i="10"/>
  <c r="BQ204" i="10" s="1"/>
  <c r="BV204" i="10" s="1"/>
  <c r="CA204" i="10" s="1"/>
  <c r="CF204" i="10" s="1"/>
  <c r="CK204" i="10" s="1"/>
  <c r="CP204" i="10" s="1"/>
  <c r="CU204" i="10" s="1"/>
  <c r="CZ204" i="10" s="1"/>
  <c r="M204" i="10"/>
  <c r="BA203" i="10"/>
  <c r="O203" i="10"/>
  <c r="P203" i="10"/>
  <c r="N203" i="10"/>
  <c r="BC202" i="10"/>
  <c r="BD202" i="10"/>
  <c r="BB202" i="10"/>
  <c r="O202" i="10"/>
  <c r="P202" i="10"/>
  <c r="N202" i="10"/>
  <c r="BC201" i="10"/>
  <c r="BD201" i="10"/>
  <c r="BB201" i="10"/>
  <c r="O201" i="10"/>
  <c r="P201" i="10"/>
  <c r="N201" i="10"/>
  <c r="BC200" i="10"/>
  <c r="BD200" i="10"/>
  <c r="BB200" i="10"/>
  <c r="O200" i="10"/>
  <c r="P200" i="10"/>
  <c r="N200" i="10"/>
  <c r="BC199" i="10"/>
  <c r="BD199" i="10"/>
  <c r="BB199" i="10"/>
  <c r="O199" i="10"/>
  <c r="P199" i="10"/>
  <c r="N199" i="10"/>
  <c r="BC198" i="10"/>
  <c r="BD198" i="10"/>
  <c r="BB198" i="10"/>
  <c r="O198" i="10"/>
  <c r="P198" i="10"/>
  <c r="N198" i="10"/>
  <c r="BC197" i="10"/>
  <c r="BD197" i="10"/>
  <c r="BB197" i="10"/>
  <c r="O207" i="10"/>
  <c r="P207" i="10"/>
  <c r="N207" i="10"/>
  <c r="BC206" i="10"/>
  <c r="BD206" i="10"/>
  <c r="BB206" i="10"/>
  <c r="O206" i="10"/>
  <c r="P206" i="10"/>
  <c r="N206" i="10"/>
  <c r="BC205" i="10"/>
  <c r="BD205" i="10"/>
  <c r="BB205" i="10"/>
  <c r="O205" i="10"/>
  <c r="P205" i="10"/>
  <c r="N205" i="10"/>
  <c r="BC204" i="10"/>
  <c r="BD204" i="10"/>
  <c r="BB204" i="10"/>
  <c r="O197" i="10"/>
  <c r="P197" i="10"/>
  <c r="N197" i="10"/>
  <c r="BN207" i="10"/>
  <c r="BF207" i="10"/>
  <c r="AX207" i="10"/>
  <c r="AT207" i="10"/>
  <c r="AL207" i="10"/>
  <c r="Z207" i="10"/>
  <c r="R207" i="10"/>
  <c r="BN206" i="10"/>
  <c r="BF206" i="10"/>
  <c r="AX206" i="10"/>
  <c r="AT206" i="10"/>
  <c r="AL206" i="10"/>
  <c r="AD206" i="10"/>
  <c r="Z206" i="10"/>
  <c r="R206" i="10"/>
  <c r="BN205" i="10"/>
  <c r="BF205" i="10"/>
  <c r="AX205" i="10"/>
  <c r="AT205" i="10"/>
  <c r="AL205" i="10"/>
  <c r="AD205" i="10"/>
  <c r="Z205" i="10"/>
  <c r="R205" i="10"/>
  <c r="BN204" i="10"/>
  <c r="BF204" i="10"/>
  <c r="AT204" i="10"/>
  <c r="AL204" i="10"/>
  <c r="Z204" i="10"/>
  <c r="R204" i="10"/>
  <c r="BN203" i="10"/>
  <c r="BF203" i="10"/>
  <c r="AT203" i="10"/>
  <c r="AL203" i="10"/>
  <c r="AD203" i="10"/>
  <c r="Z203" i="10"/>
  <c r="R203" i="10"/>
  <c r="BN202" i="10"/>
  <c r="BF202" i="10"/>
  <c r="AX202" i="10"/>
  <c r="AT202" i="10"/>
  <c r="AL202" i="10"/>
  <c r="AD202" i="10"/>
  <c r="Z202" i="10"/>
  <c r="R202" i="10"/>
  <c r="BN201" i="10"/>
  <c r="BF201" i="10"/>
  <c r="AX201" i="10"/>
  <c r="AT201" i="10"/>
  <c r="AL201" i="10"/>
  <c r="AD201" i="10"/>
  <c r="Z201" i="10"/>
  <c r="R201" i="10"/>
  <c r="BN200" i="10"/>
  <c r="BF200" i="10"/>
  <c r="AX200" i="10"/>
  <c r="AT200" i="10"/>
  <c r="AL200" i="10"/>
  <c r="AD200" i="10"/>
  <c r="Z200" i="10"/>
  <c r="R200" i="10"/>
  <c r="BN199" i="10"/>
  <c r="BF199" i="10"/>
  <c r="AX199" i="10"/>
  <c r="AT199" i="10"/>
  <c r="AL199" i="10"/>
  <c r="AD199" i="10"/>
  <c r="Z199" i="10"/>
  <c r="R199" i="10"/>
  <c r="BN198" i="10"/>
  <c r="BF198" i="10"/>
  <c r="AX198" i="10"/>
  <c r="AT198" i="10"/>
  <c r="AL198" i="10"/>
  <c r="AD198" i="10"/>
  <c r="Z198" i="10"/>
  <c r="R198" i="10"/>
  <c r="BN197" i="10"/>
  <c r="BF197" i="10"/>
  <c r="AX197" i="10"/>
  <c r="AT197" i="10"/>
  <c r="AL197" i="10"/>
  <c r="AD197" i="10"/>
  <c r="Z197" i="10"/>
  <c r="AZ194" i="10"/>
  <c r="BB162" i="5" s="1"/>
  <c r="BB187" i="5" s="1"/>
  <c r="AF194" i="10"/>
  <c r="BN192" i="10"/>
  <c r="BB192" i="10"/>
  <c r="AX192" i="10"/>
  <c r="AT192" i="10"/>
  <c r="AH192" i="10"/>
  <c r="BQ192" i="10" s="1"/>
  <c r="BV192" i="10" s="1"/>
  <c r="CA192" i="10" s="1"/>
  <c r="CF192" i="10" s="1"/>
  <c r="CK192" i="10" s="1"/>
  <c r="CP192" i="10" s="1"/>
  <c r="CU192" i="10" s="1"/>
  <c r="CZ192" i="10" s="1"/>
  <c r="DE192" i="10" s="1"/>
  <c r="DJ192" i="10" s="1"/>
  <c r="DO192" i="10" s="1"/>
  <c r="DT192" i="10" s="1"/>
  <c r="AD192" i="10"/>
  <c r="Z192" i="10"/>
  <c r="N192" i="10"/>
  <c r="BG190" i="10"/>
  <c r="BC190" i="10"/>
  <c r="AY190" i="10"/>
  <c r="AM190" i="10"/>
  <c r="AI190" i="10"/>
  <c r="AE190" i="10"/>
  <c r="S190" i="10"/>
  <c r="O190" i="10"/>
  <c r="BG189" i="10"/>
  <c r="BC189" i="10"/>
  <c r="AY189" i="10"/>
  <c r="AM189" i="10"/>
  <c r="AI189" i="10"/>
  <c r="AE189" i="10"/>
  <c r="S189" i="10"/>
  <c r="O189" i="10"/>
  <c r="BG188" i="10"/>
  <c r="BC188" i="10"/>
  <c r="AY188" i="10"/>
  <c r="AM188" i="10"/>
  <c r="AI188" i="10"/>
  <c r="AE188" i="10"/>
  <c r="S188" i="10"/>
  <c r="O188" i="10"/>
  <c r="BG187" i="10"/>
  <c r="BC187" i="10"/>
  <c r="AY187" i="10"/>
  <c r="AM187" i="10"/>
  <c r="AI187" i="10"/>
  <c r="AE187" i="10"/>
  <c r="S187" i="10"/>
  <c r="O187" i="10"/>
  <c r="BG186" i="10"/>
  <c r="BC186" i="10"/>
  <c r="AY186" i="10"/>
  <c r="AM186" i="10"/>
  <c r="AI186" i="10"/>
  <c r="AE186" i="10"/>
  <c r="S186" i="10"/>
  <c r="O186" i="10"/>
  <c r="BG185" i="10"/>
  <c r="BC185" i="10"/>
  <c r="AY185" i="10"/>
  <c r="AM185" i="10"/>
  <c r="AI185" i="10"/>
  <c r="AE185" i="10"/>
  <c r="S185" i="10"/>
  <c r="O185" i="10"/>
  <c r="BG184" i="10"/>
  <c r="BC184" i="10"/>
  <c r="AY184" i="10"/>
  <c r="AM184" i="10"/>
  <c r="AI184" i="10"/>
  <c r="AE184" i="10"/>
  <c r="S184" i="10"/>
  <c r="O184" i="10"/>
  <c r="BG183" i="10"/>
  <c r="BC183" i="10"/>
  <c r="AY183" i="10"/>
  <c r="AM183" i="10"/>
  <c r="AI183" i="10"/>
  <c r="AE183" i="10"/>
  <c r="S183" i="10"/>
  <c r="O183" i="10"/>
  <c r="BG182" i="10"/>
  <c r="BC182" i="10"/>
  <c r="AY182" i="10"/>
  <c r="AM182" i="10"/>
  <c r="AI182" i="10"/>
  <c r="AE182" i="10"/>
  <c r="S182" i="10"/>
  <c r="O182" i="10"/>
  <c r="Z181" i="10"/>
  <c r="X181" i="10"/>
  <c r="Z180" i="10"/>
  <c r="X180" i="10"/>
  <c r="AT179" i="10"/>
  <c r="AR179" i="10"/>
  <c r="Y179" i="10"/>
  <c r="Z179" i="10"/>
  <c r="X179" i="10"/>
  <c r="DM165" i="10"/>
  <c r="DN165" i="10"/>
  <c r="DK165" i="10"/>
  <c r="DH165" i="10"/>
  <c r="BA192" i="10"/>
  <c r="AG192" i="10"/>
  <c r="M192" i="10"/>
  <c r="BF190" i="10"/>
  <c r="AL190" i="10"/>
  <c r="R190" i="10"/>
  <c r="BF189" i="10"/>
  <c r="AL189" i="10"/>
  <c r="R189" i="10"/>
  <c r="BF188" i="10"/>
  <c r="AL188" i="10"/>
  <c r="R188" i="10"/>
  <c r="BF187" i="10"/>
  <c r="AL187" i="10"/>
  <c r="R187" i="10"/>
  <c r="BF186" i="10"/>
  <c r="AL186" i="10"/>
  <c r="DS186" i="10"/>
  <c r="R186" i="10"/>
  <c r="BF185" i="10"/>
  <c r="AL185" i="10"/>
  <c r="DC185" i="10"/>
  <c r="DD185" i="10"/>
  <c r="DA185" i="10"/>
  <c r="CX185" i="10"/>
  <c r="R185" i="10"/>
  <c r="BF184" i="10"/>
  <c r="AL184" i="10"/>
  <c r="R184" i="10"/>
  <c r="BF183" i="10"/>
  <c r="AL183" i="10"/>
  <c r="CY183" i="10"/>
  <c r="CW183" i="10"/>
  <c r="DB183" i="10"/>
  <c r="R183" i="10"/>
  <c r="BF182" i="10"/>
  <c r="AL182" i="10"/>
  <c r="R182" i="10"/>
  <c r="BB181" i="10"/>
  <c r="BD181" i="10"/>
  <c r="BB180" i="10"/>
  <c r="BD180" i="10"/>
  <c r="DG177" i="10"/>
  <c r="DH177" i="10"/>
  <c r="DI177" i="10"/>
  <c r="DF177" i="10"/>
  <c r="AO164" i="10"/>
  <c r="AM164" i="10"/>
  <c r="AL164" i="10"/>
  <c r="AN164" i="10"/>
  <c r="CS164" i="10"/>
  <c r="CT164" i="10"/>
  <c r="CQ164" i="10"/>
  <c r="CR164" i="10"/>
  <c r="DN162" i="10"/>
  <c r="DS162" i="10"/>
  <c r="BL207" i="10"/>
  <c r="AR207" i="10"/>
  <c r="X207" i="10"/>
  <c r="BL206" i="10"/>
  <c r="AR206" i="10"/>
  <c r="X206" i="10"/>
  <c r="BL205" i="10"/>
  <c r="AR205" i="10"/>
  <c r="X205" i="10"/>
  <c r="BL204" i="10"/>
  <c r="AR204" i="10"/>
  <c r="X204" i="10"/>
  <c r="BL203" i="10"/>
  <c r="AR203" i="10"/>
  <c r="X203" i="10"/>
  <c r="BL202" i="10"/>
  <c r="AR202" i="10"/>
  <c r="X202" i="10"/>
  <c r="BL201" i="10"/>
  <c r="AR201" i="10"/>
  <c r="X201" i="10"/>
  <c r="BL200" i="10"/>
  <c r="AR200" i="10"/>
  <c r="X200" i="10"/>
  <c r="BL199" i="10"/>
  <c r="AR199" i="10"/>
  <c r="X199" i="10"/>
  <c r="BL198" i="10"/>
  <c r="AR198" i="10"/>
  <c r="X198" i="10"/>
  <c r="BL197" i="10"/>
  <c r="AR197" i="10"/>
  <c r="X197" i="10"/>
  <c r="BJ194" i="10"/>
  <c r="BL162" i="5" s="1"/>
  <c r="BL187" i="5" s="1"/>
  <c r="AP194" i="10"/>
  <c r="V194" i="10"/>
  <c r="X162" i="5" s="1"/>
  <c r="X187" i="5" s="1"/>
  <c r="BL192" i="10"/>
  <c r="BD192" i="10"/>
  <c r="AR192" i="10"/>
  <c r="AJ192" i="10"/>
  <c r="X192" i="10"/>
  <c r="P192" i="10"/>
  <c r="BI190" i="10"/>
  <c r="AW190" i="10"/>
  <c r="AO190" i="10"/>
  <c r="AC190" i="10"/>
  <c r="U190" i="10"/>
  <c r="BI189" i="10"/>
  <c r="AW189" i="10"/>
  <c r="AO189" i="10"/>
  <c r="AC189" i="10"/>
  <c r="U189" i="10"/>
  <c r="BI188" i="10"/>
  <c r="AW188" i="10"/>
  <c r="AO188" i="10"/>
  <c r="AC188" i="10"/>
  <c r="U188" i="10"/>
  <c r="BI187" i="10"/>
  <c r="AW187" i="10"/>
  <c r="AO187" i="10"/>
  <c r="AC187" i="10"/>
  <c r="U187" i="10"/>
  <c r="BI186" i="10"/>
  <c r="AW186" i="10"/>
  <c r="AO186" i="10"/>
  <c r="AC186" i="10"/>
  <c r="U186" i="10"/>
  <c r="BI185" i="10"/>
  <c r="AW185" i="10"/>
  <c r="AO185" i="10"/>
  <c r="AC185" i="10"/>
  <c r="U185" i="10"/>
  <c r="BI184" i="10"/>
  <c r="AW184" i="10"/>
  <c r="AO184" i="10"/>
  <c r="AC184" i="10"/>
  <c r="U184" i="10"/>
  <c r="BI183" i="10"/>
  <c r="AW183" i="10"/>
  <c r="AO183" i="10"/>
  <c r="AC183" i="10"/>
  <c r="U183" i="10"/>
  <c r="BI182" i="10"/>
  <c r="AW182" i="10"/>
  <c r="AO182" i="10"/>
  <c r="AC182" i="10"/>
  <c r="U182" i="10"/>
  <c r="BC181" i="10"/>
  <c r="AH181" i="10"/>
  <c r="BQ181" i="10" s="1"/>
  <c r="BV181" i="10" s="1"/>
  <c r="CA181" i="10" s="1"/>
  <c r="CF181" i="10" s="1"/>
  <c r="CK181" i="10" s="1"/>
  <c r="CP181" i="10" s="1"/>
  <c r="CU181" i="10" s="1"/>
  <c r="CZ181" i="10" s="1"/>
  <c r="DE181" i="10" s="1"/>
  <c r="DJ181" i="10" s="1"/>
  <c r="DO181" i="10" s="1"/>
  <c r="DT181" i="10" s="1"/>
  <c r="AJ181" i="10"/>
  <c r="N181" i="10"/>
  <c r="P181" i="10"/>
  <c r="BN180" i="10"/>
  <c r="BL180" i="10"/>
  <c r="BC180" i="10"/>
  <c r="AH180" i="10"/>
  <c r="BQ180" i="10" s="1"/>
  <c r="BV180" i="10" s="1"/>
  <c r="CA180" i="10" s="1"/>
  <c r="CF180" i="10" s="1"/>
  <c r="CK180" i="10" s="1"/>
  <c r="CP180" i="10" s="1"/>
  <c r="CU180" i="10" s="1"/>
  <c r="CZ180" i="10" s="1"/>
  <c r="DE180" i="10" s="1"/>
  <c r="DJ180" i="10" s="1"/>
  <c r="DO180" i="10" s="1"/>
  <c r="DT180" i="10" s="1"/>
  <c r="AJ180" i="10"/>
  <c r="BB179" i="10"/>
  <c r="BD179" i="10"/>
  <c r="BM167" i="10"/>
  <c r="BK167" i="10"/>
  <c r="BL167" i="10"/>
  <c r="BN167" i="10"/>
  <c r="DQ167" i="10"/>
  <c r="DS167" i="10"/>
  <c r="BE194" i="10"/>
  <c r="BG162" i="5" s="1"/>
  <c r="BG187" i="5" s="1"/>
  <c r="AK194" i="10"/>
  <c r="Q194" i="10"/>
  <c r="BN181" i="10"/>
  <c r="BL181" i="10"/>
  <c r="BA181" i="10"/>
  <c r="AT181" i="10"/>
  <c r="AR181" i="10"/>
  <c r="BA180" i="10"/>
  <c r="AT180" i="10"/>
  <c r="AR180" i="10"/>
  <c r="N180" i="10"/>
  <c r="P180" i="10"/>
  <c r="BN179" i="10"/>
  <c r="BL179" i="10"/>
  <c r="BH181" i="10"/>
  <c r="AV181" i="10"/>
  <c r="AB181" i="10"/>
  <c r="T181" i="10"/>
  <c r="AV180" i="10"/>
  <c r="AB180" i="10"/>
  <c r="AV179" i="10"/>
  <c r="AJ179" i="10"/>
  <c r="AB179" i="10"/>
  <c r="P179" i="10"/>
  <c r="BM177" i="10"/>
  <c r="BI177" i="10"/>
  <c r="AW177" i="10"/>
  <c r="AS177" i="10"/>
  <c r="AO177" i="10"/>
  <c r="AC177" i="10"/>
  <c r="Y177" i="10"/>
  <c r="U177" i="10"/>
  <c r="BN172" i="10"/>
  <c r="BB172" i="10"/>
  <c r="AX172" i="10"/>
  <c r="AT172" i="10"/>
  <c r="AH172" i="10"/>
  <c r="BQ172" i="10" s="1"/>
  <c r="BV172" i="10" s="1"/>
  <c r="CA172" i="10" s="1"/>
  <c r="CF172" i="10" s="1"/>
  <c r="CK172" i="10" s="1"/>
  <c r="CP172" i="10" s="1"/>
  <c r="CU172" i="10" s="1"/>
  <c r="CZ172" i="10" s="1"/>
  <c r="AD172" i="10"/>
  <c r="Z172" i="10"/>
  <c r="N172" i="10"/>
  <c r="BG170" i="10"/>
  <c r="BC170" i="10"/>
  <c r="AY170" i="10"/>
  <c r="AL170" i="10"/>
  <c r="AB170" i="10"/>
  <c r="W170" i="10"/>
  <c r="R170" i="10"/>
  <c r="BL169" i="10"/>
  <c r="BG169" i="10"/>
  <c r="AX169" i="10"/>
  <c r="AR169" i="10"/>
  <c r="AM169" i="10"/>
  <c r="AD169" i="10"/>
  <c r="X169" i="10"/>
  <c r="S169" i="10"/>
  <c r="BN168" i="10"/>
  <c r="BH168" i="10"/>
  <c r="AY168" i="10"/>
  <c r="AT168" i="10"/>
  <c r="AN168" i="10"/>
  <c r="AE168" i="10"/>
  <c r="Z168" i="10"/>
  <c r="T168" i="10"/>
  <c r="BK166" i="10"/>
  <c r="BF166" i="10"/>
  <c r="U166" i="10"/>
  <c r="S166" i="10"/>
  <c r="AW165" i="10"/>
  <c r="AY165" i="10"/>
  <c r="U164" i="10"/>
  <c r="S164" i="10"/>
  <c r="AS152" i="10"/>
  <c r="AT152" i="10"/>
  <c r="AQ152" i="10"/>
  <c r="AR152" i="10"/>
  <c r="BD147" i="10"/>
  <c r="BA147" i="10"/>
  <c r="BB147" i="10"/>
  <c r="BC147" i="10"/>
  <c r="AS144" i="10"/>
  <c r="AT144" i="10"/>
  <c r="AQ144" i="10"/>
  <c r="AR144" i="10"/>
  <c r="CL194" i="10"/>
  <c r="CM194" i="10"/>
  <c r="CN194" i="10"/>
  <c r="CO194" i="10"/>
  <c r="AV177" i="10"/>
  <c r="AB177" i="10"/>
  <c r="BA172" i="10"/>
  <c r="AG172" i="10"/>
  <c r="M172" i="10"/>
  <c r="BF170" i="10"/>
  <c r="AW166" i="10"/>
  <c r="AY166" i="10"/>
  <c r="AC165" i="10"/>
  <c r="AE165" i="10"/>
  <c r="AW164" i="10"/>
  <c r="AY164" i="10"/>
  <c r="DF154" i="10"/>
  <c r="DG154" i="10"/>
  <c r="DO154" i="10"/>
  <c r="DT154" i="10" s="1"/>
  <c r="DL154" i="10"/>
  <c r="DM154" i="10"/>
  <c r="AV146" i="10"/>
  <c r="AW146" i="10"/>
  <c r="AX146" i="10"/>
  <c r="AY146" i="10"/>
  <c r="AH179" i="10"/>
  <c r="BQ179" i="10" s="1"/>
  <c r="BV179" i="10" s="1"/>
  <c r="CA179" i="10" s="1"/>
  <c r="CF179" i="10" s="1"/>
  <c r="CK179" i="10" s="1"/>
  <c r="CP179" i="10" s="1"/>
  <c r="CU179" i="10" s="1"/>
  <c r="CZ179" i="10" s="1"/>
  <c r="DE179" i="10" s="1"/>
  <c r="DJ179" i="10" s="1"/>
  <c r="DO179" i="10" s="1"/>
  <c r="DT179" i="10" s="1"/>
  <c r="N179" i="10"/>
  <c r="BG177" i="10"/>
  <c r="AY177" i="10"/>
  <c r="AM177" i="10"/>
  <c r="AE177" i="10"/>
  <c r="S177" i="10"/>
  <c r="BL172" i="10"/>
  <c r="BD172" i="10"/>
  <c r="AR172" i="10"/>
  <c r="AJ172" i="10"/>
  <c r="X172" i="10"/>
  <c r="P172" i="10"/>
  <c r="BA165" i="10"/>
  <c r="BC165" i="10"/>
  <c r="BI170" i="10"/>
  <c r="AW170" i="10"/>
  <c r="AN170" i="10"/>
  <c r="AE170" i="10"/>
  <c r="Z170" i="10"/>
  <c r="T170" i="10"/>
  <c r="BK168" i="10"/>
  <c r="BF168" i="10"/>
  <c r="AV168" i="10"/>
  <c r="AQ168" i="10"/>
  <c r="AL168" i="10"/>
  <c r="AB168" i="10"/>
  <c r="W168" i="10"/>
  <c r="R168" i="10"/>
  <c r="BN166" i="10"/>
  <c r="BH166" i="10"/>
  <c r="AX166" i="10"/>
  <c r="AC166" i="10"/>
  <c r="AE166" i="10"/>
  <c r="BD165" i="10"/>
  <c r="AO165" i="10"/>
  <c r="AM165" i="10"/>
  <c r="AD165" i="10"/>
  <c r="BI164" i="10"/>
  <c r="BG164" i="10"/>
  <c r="AX164" i="10"/>
  <c r="AC164" i="10"/>
  <c r="AE164" i="10"/>
  <c r="BI162" i="10"/>
  <c r="BG162" i="10"/>
  <c r="BH162" i="10"/>
  <c r="BA154" i="10"/>
  <c r="BB154" i="10"/>
  <c r="BC154" i="10"/>
  <c r="BD154" i="10"/>
  <c r="AN135" i="10"/>
  <c r="AM135" i="10"/>
  <c r="AL135" i="10"/>
  <c r="AO135" i="10"/>
  <c r="DD130" i="10"/>
  <c r="DG130" i="10"/>
  <c r="AM170" i="10"/>
  <c r="AD170" i="10"/>
  <c r="X170" i="10"/>
  <c r="S170" i="10"/>
  <c r="BL166" i="10"/>
  <c r="BG166" i="10"/>
  <c r="AV166" i="10"/>
  <c r="AO166" i="10"/>
  <c r="AM166" i="10"/>
  <c r="BI165" i="10"/>
  <c r="BG165" i="10"/>
  <c r="BB165" i="10"/>
  <c r="AB165" i="10"/>
  <c r="U165" i="10"/>
  <c r="S165" i="10"/>
  <c r="AV164" i="10"/>
  <c r="AW153" i="10"/>
  <c r="AX153" i="10"/>
  <c r="AY153" i="10"/>
  <c r="AV153" i="10"/>
  <c r="DA149" i="10"/>
  <c r="BL162" i="10"/>
  <c r="AV162" i="10"/>
  <c r="AR162" i="10"/>
  <c r="AN162" i="10"/>
  <c r="AB162" i="10"/>
  <c r="X162" i="10"/>
  <c r="T162" i="10"/>
  <c r="BL158" i="10"/>
  <c r="BH158" i="10"/>
  <c r="AV158" i="10"/>
  <c r="AR158" i="10"/>
  <c r="AN158" i="10"/>
  <c r="AB158" i="10"/>
  <c r="X158" i="10"/>
  <c r="T158" i="10"/>
  <c r="BL157" i="10"/>
  <c r="BH157" i="10"/>
  <c r="AV157" i="10"/>
  <c r="AR157" i="10"/>
  <c r="AN157" i="10"/>
  <c r="AB157" i="10"/>
  <c r="X157" i="10"/>
  <c r="T157" i="10"/>
  <c r="BL156" i="10"/>
  <c r="BH156" i="10"/>
  <c r="AV156" i="10"/>
  <c r="AR156" i="10"/>
  <c r="AN156" i="10"/>
  <c r="AB156" i="10"/>
  <c r="X156" i="10"/>
  <c r="T156" i="10"/>
  <c r="BL155" i="10"/>
  <c r="BH155" i="10"/>
  <c r="AV155" i="10"/>
  <c r="AR155" i="10"/>
  <c r="AN155" i="10"/>
  <c r="AB155" i="10"/>
  <c r="X155" i="10"/>
  <c r="T155" i="10"/>
  <c r="BL154" i="10"/>
  <c r="BH154" i="10"/>
  <c r="AV154" i="10"/>
  <c r="AR154" i="10"/>
  <c r="AN154" i="10"/>
  <c r="AB154" i="10"/>
  <c r="X154" i="10"/>
  <c r="T154" i="10"/>
  <c r="BL153" i="10"/>
  <c r="BH153" i="10"/>
  <c r="AR153" i="10"/>
  <c r="AN153" i="10"/>
  <c r="AB153" i="10"/>
  <c r="X153" i="10"/>
  <c r="T153" i="10"/>
  <c r="BL152" i="10"/>
  <c r="BH152" i="10"/>
  <c r="AV152" i="10"/>
  <c r="AN152" i="10"/>
  <c r="AB152" i="10"/>
  <c r="X152" i="10"/>
  <c r="T152" i="10"/>
  <c r="BL149" i="10"/>
  <c r="BH149" i="10"/>
  <c r="AV149" i="10"/>
  <c r="AR149" i="10"/>
  <c r="AN149" i="10"/>
  <c r="AB149" i="10"/>
  <c r="X149" i="10"/>
  <c r="T149" i="10"/>
  <c r="BK147" i="10"/>
  <c r="BG147" i="10"/>
  <c r="AQ147" i="10"/>
  <c r="AM147" i="10"/>
  <c r="AI147" i="10"/>
  <c r="W147" i="10"/>
  <c r="S147" i="10"/>
  <c r="O147" i="10"/>
  <c r="BK146" i="10"/>
  <c r="BG146" i="10"/>
  <c r="BC146" i="10"/>
  <c r="AQ146" i="10"/>
  <c r="AM146" i="10"/>
  <c r="AI146" i="10"/>
  <c r="W146" i="10"/>
  <c r="S146" i="10"/>
  <c r="O146" i="10"/>
  <c r="BL144" i="10"/>
  <c r="BH144" i="10"/>
  <c r="BD144" i="10"/>
  <c r="AV144" i="10"/>
  <c r="AN144" i="10"/>
  <c r="AJ144" i="10"/>
  <c r="X144" i="10"/>
  <c r="T144" i="10"/>
  <c r="P144" i="10"/>
  <c r="BL143" i="10"/>
  <c r="BH143" i="10"/>
  <c r="BD143" i="10"/>
  <c r="AR143" i="10"/>
  <c r="AN143" i="10"/>
  <c r="AJ143" i="10"/>
  <c r="X143" i="10"/>
  <c r="T143" i="10"/>
  <c r="P143" i="10"/>
  <c r="BL142" i="10"/>
  <c r="BH142" i="10"/>
  <c r="BD142" i="10"/>
  <c r="AR142" i="10"/>
  <c r="AN142" i="10"/>
  <c r="AJ142" i="10"/>
  <c r="X142" i="10"/>
  <c r="T142" i="10"/>
  <c r="P142" i="10"/>
  <c r="BN137" i="10"/>
  <c r="BF137" i="10"/>
  <c r="AX137" i="10"/>
  <c r="AT137" i="10"/>
  <c r="T136" i="10"/>
  <c r="S136" i="10"/>
  <c r="N136" i="10"/>
  <c r="T135" i="10"/>
  <c r="S135" i="10"/>
  <c r="N135" i="10"/>
  <c r="AO134" i="10"/>
  <c r="T134" i="10"/>
  <c r="S134" i="10"/>
  <c r="N134" i="10"/>
  <c r="AO133" i="10"/>
  <c r="T133" i="10"/>
  <c r="S133" i="10"/>
  <c r="N133" i="10"/>
  <c r="AM125" i="10"/>
  <c r="AN125" i="10"/>
  <c r="AO125" i="10"/>
  <c r="AL125" i="10"/>
  <c r="AQ127" i="10"/>
  <c r="AR127" i="10"/>
  <c r="AS127" i="10"/>
  <c r="AT127" i="10"/>
  <c r="DR120" i="10"/>
  <c r="CV113" i="10"/>
  <c r="DC113" i="10"/>
  <c r="AQ166" i="10"/>
  <c r="W166" i="10"/>
  <c r="BK165" i="10"/>
  <c r="AQ165" i="10"/>
  <c r="W165" i="10"/>
  <c r="BK164" i="10"/>
  <c r="AQ164" i="10"/>
  <c r="W164" i="10"/>
  <c r="BK162" i="10"/>
  <c r="AQ162" i="10"/>
  <c r="AM162" i="10"/>
  <c r="W162" i="10"/>
  <c r="S162" i="10"/>
  <c r="BK158" i="10"/>
  <c r="BG158" i="10"/>
  <c r="AQ158" i="10"/>
  <c r="AM158" i="10"/>
  <c r="W158" i="10"/>
  <c r="S158" i="10"/>
  <c r="BK157" i="10"/>
  <c r="BG157" i="10"/>
  <c r="AQ157" i="10"/>
  <c r="AM157" i="10"/>
  <c r="W157" i="10"/>
  <c r="S157" i="10"/>
  <c r="BK156" i="10"/>
  <c r="BG156" i="10"/>
  <c r="AQ156" i="10"/>
  <c r="AM156" i="10"/>
  <c r="W156" i="10"/>
  <c r="S156" i="10"/>
  <c r="BK155" i="10"/>
  <c r="BG155" i="10"/>
  <c r="AQ155" i="10"/>
  <c r="AM155" i="10"/>
  <c r="W155" i="10"/>
  <c r="S155" i="10"/>
  <c r="BK154" i="10"/>
  <c r="BG154" i="10"/>
  <c r="AQ154" i="10"/>
  <c r="AM154" i="10"/>
  <c r="W154" i="10"/>
  <c r="S154" i="10"/>
  <c r="BK153" i="10"/>
  <c r="BG153" i="10"/>
  <c r="AQ153" i="10"/>
  <c r="AM153" i="10"/>
  <c r="W153" i="10"/>
  <c r="S153" i="10"/>
  <c r="BK152" i="10"/>
  <c r="BG152" i="10"/>
  <c r="AM152" i="10"/>
  <c r="W152" i="10"/>
  <c r="S152" i="10"/>
  <c r="BK149" i="10"/>
  <c r="BG149" i="10"/>
  <c r="AQ149" i="10"/>
  <c r="AM149" i="10"/>
  <c r="W149" i="10"/>
  <c r="S149" i="10"/>
  <c r="BF147" i="10"/>
  <c r="AL147" i="10"/>
  <c r="AH147" i="10"/>
  <c r="BQ147" i="10" s="1"/>
  <c r="BV147" i="10" s="1"/>
  <c r="CA147" i="10" s="1"/>
  <c r="CF147" i="10" s="1"/>
  <c r="CK147" i="10" s="1"/>
  <c r="CP147" i="10" s="1"/>
  <c r="CU147" i="10" s="1"/>
  <c r="CZ147" i="10" s="1"/>
  <c r="DE147" i="10" s="1"/>
  <c r="DJ147" i="10" s="1"/>
  <c r="R147" i="10"/>
  <c r="N147" i="10"/>
  <c r="BF146" i="10"/>
  <c r="BB146" i="10"/>
  <c r="AT146" i="10"/>
  <c r="AL146" i="10"/>
  <c r="AH146" i="10"/>
  <c r="BQ146" i="10" s="1"/>
  <c r="BV146" i="10" s="1"/>
  <c r="CA146" i="10" s="1"/>
  <c r="CF146" i="10" s="1"/>
  <c r="CK146" i="10" s="1"/>
  <c r="CP146" i="10" s="1"/>
  <c r="CU146" i="10" s="1"/>
  <c r="CZ146" i="10" s="1"/>
  <c r="DE146" i="10" s="1"/>
  <c r="AD146" i="10"/>
  <c r="Z146" i="10"/>
  <c r="R146" i="10"/>
  <c r="N146" i="10"/>
  <c r="BG144" i="10"/>
  <c r="BC144" i="10"/>
  <c r="AM144" i="10"/>
  <c r="AI144" i="10"/>
  <c r="S144" i="10"/>
  <c r="O144" i="10"/>
  <c r="BG143" i="10"/>
  <c r="BC143" i="10"/>
  <c r="AM143" i="10"/>
  <c r="AI143" i="10"/>
  <c r="S143" i="10"/>
  <c r="O143" i="10"/>
  <c r="BG142" i="10"/>
  <c r="BC142" i="10"/>
  <c r="AM142" i="10"/>
  <c r="AI142" i="10"/>
  <c r="S142" i="10"/>
  <c r="O142" i="10"/>
  <c r="BM137" i="10"/>
  <c r="AW137" i="10"/>
  <c r="AS137" i="10"/>
  <c r="AO137" i="10"/>
  <c r="AI137" i="10"/>
  <c r="Z137" i="10"/>
  <c r="U137" i="10"/>
  <c r="O137" i="10"/>
  <c r="X136" i="10"/>
  <c r="W136" i="10"/>
  <c r="U136" i="10"/>
  <c r="BD135" i="10"/>
  <c r="BC135" i="10"/>
  <c r="U135" i="10"/>
  <c r="BD134" i="10"/>
  <c r="BC134" i="10"/>
  <c r="U134" i="10"/>
  <c r="BD133" i="10"/>
  <c r="BC133" i="10"/>
  <c r="U133" i="10"/>
  <c r="BI130" i="10"/>
  <c r="BG130" i="10"/>
  <c r="BH130" i="10"/>
  <c r="U130" i="10"/>
  <c r="S130" i="10"/>
  <c r="T130" i="10"/>
  <c r="AM124" i="10"/>
  <c r="AN124" i="10"/>
  <c r="AO124" i="10"/>
  <c r="AL124" i="10"/>
  <c r="AL162" i="10"/>
  <c r="R162" i="10"/>
  <c r="BF158" i="10"/>
  <c r="AL158" i="10"/>
  <c r="R158" i="10"/>
  <c r="BF157" i="10"/>
  <c r="AL157" i="10"/>
  <c r="R157" i="10"/>
  <c r="BF156" i="10"/>
  <c r="AL156" i="10"/>
  <c r="R156" i="10"/>
  <c r="BF155" i="10"/>
  <c r="AL155" i="10"/>
  <c r="R155" i="10"/>
  <c r="BF154" i="10"/>
  <c r="AL154" i="10"/>
  <c r="R154" i="10"/>
  <c r="BF153" i="10"/>
  <c r="AL153" i="10"/>
  <c r="R153" i="10"/>
  <c r="BF152" i="10"/>
  <c r="AL152" i="10"/>
  <c r="R152" i="10"/>
  <c r="BF149" i="10"/>
  <c r="AL149" i="10"/>
  <c r="R149" i="10"/>
  <c r="AG147" i="10"/>
  <c r="M147" i="10"/>
  <c r="BA146" i="10"/>
  <c r="AG146" i="10"/>
  <c r="M146" i="10"/>
  <c r="BF144" i="10"/>
  <c r="AL144" i="10"/>
  <c r="R144" i="10"/>
  <c r="BF143" i="10"/>
  <c r="AL143" i="10"/>
  <c r="R143" i="10"/>
  <c r="BF142" i="10"/>
  <c r="AL142" i="10"/>
  <c r="R142" i="10"/>
  <c r="AV137" i="10"/>
  <c r="BH135" i="10"/>
  <c r="BG135" i="10"/>
  <c r="AJ135" i="10"/>
  <c r="AI135" i="10"/>
  <c r="BH134" i="10"/>
  <c r="BG134" i="10"/>
  <c r="AJ134" i="10"/>
  <c r="AI134" i="10"/>
  <c r="BH133" i="10"/>
  <c r="BG133" i="10"/>
  <c r="AJ133" i="10"/>
  <c r="AI133" i="10"/>
  <c r="AO130" i="10"/>
  <c r="AM130" i="10"/>
  <c r="AN130" i="10"/>
  <c r="AQ128" i="10"/>
  <c r="AR128" i="10"/>
  <c r="AS128" i="10"/>
  <c r="AT128" i="10"/>
  <c r="AM123" i="10"/>
  <c r="AN123" i="10"/>
  <c r="AO123" i="10"/>
  <c r="AL123" i="10"/>
  <c r="DI118" i="10"/>
  <c r="P136" i="10"/>
  <c r="O136" i="10"/>
  <c r="BI135" i="10"/>
  <c r="AH135" i="10"/>
  <c r="BQ135" i="10" s="1"/>
  <c r="BV135" i="10" s="1"/>
  <c r="CA135" i="10" s="1"/>
  <c r="CF135" i="10" s="1"/>
  <c r="CK135" i="10" s="1"/>
  <c r="CP135" i="10" s="1"/>
  <c r="CU135" i="10" s="1"/>
  <c r="P135" i="10"/>
  <c r="O135" i="10"/>
  <c r="BI134" i="10"/>
  <c r="AN134" i="10"/>
  <c r="AM134" i="10"/>
  <c r="AH134" i="10"/>
  <c r="BQ134" i="10" s="1"/>
  <c r="BV134" i="10" s="1"/>
  <c r="CA134" i="10" s="1"/>
  <c r="CF134" i="10" s="1"/>
  <c r="CK134" i="10" s="1"/>
  <c r="CP134" i="10" s="1"/>
  <c r="CU134" i="10" s="1"/>
  <c r="CZ134" i="10" s="1"/>
  <c r="DE134" i="10" s="1"/>
  <c r="DJ134" i="10" s="1"/>
  <c r="P134" i="10"/>
  <c r="O134" i="10"/>
  <c r="BI133" i="10"/>
  <c r="AN133" i="10"/>
  <c r="AM133" i="10"/>
  <c r="AH133" i="10"/>
  <c r="BQ133" i="10" s="1"/>
  <c r="BV133" i="10" s="1"/>
  <c r="CA133" i="10" s="1"/>
  <c r="CF133" i="10" s="1"/>
  <c r="CK133" i="10" s="1"/>
  <c r="CP133" i="10" s="1"/>
  <c r="CU133" i="10" s="1"/>
  <c r="CZ133" i="10" s="1"/>
  <c r="DE133" i="10" s="1"/>
  <c r="DJ133" i="10" s="1"/>
  <c r="DO133" i="10" s="1"/>
  <c r="DT133" i="10" s="1"/>
  <c r="P133" i="10"/>
  <c r="O133" i="10"/>
  <c r="AL130" i="10"/>
  <c r="AW130" i="10"/>
  <c r="AY130" i="10"/>
  <c r="AV130" i="10"/>
  <c r="AM126" i="10"/>
  <c r="AN126" i="10"/>
  <c r="AO126" i="10"/>
  <c r="AL126" i="10"/>
  <c r="AM122" i="10"/>
  <c r="AN122" i="10"/>
  <c r="AO122" i="10"/>
  <c r="AL122" i="10"/>
  <c r="DD115" i="10"/>
  <c r="CW115" i="10"/>
  <c r="BK135" i="10"/>
  <c r="AQ135" i="10"/>
  <c r="W135" i="10"/>
  <c r="BK134" i="10"/>
  <c r="AQ134" i="10"/>
  <c r="W134" i="10"/>
  <c r="BK133" i="10"/>
  <c r="AQ133" i="10"/>
  <c r="W133" i="10"/>
  <c r="BL130" i="10"/>
  <c r="AR130" i="10"/>
  <c r="AB130" i="10"/>
  <c r="X130" i="10"/>
  <c r="P130" i="10"/>
  <c r="BN128" i="10"/>
  <c r="BB128" i="10"/>
  <c r="AX128" i="10"/>
  <c r="AH128" i="10"/>
  <c r="BQ128" i="10" s="1"/>
  <c r="BV128" i="10" s="1"/>
  <c r="CA128" i="10" s="1"/>
  <c r="CF128" i="10" s="1"/>
  <c r="CK128" i="10" s="1"/>
  <c r="CP128" i="10" s="1"/>
  <c r="CU128" i="10" s="1"/>
  <c r="CZ128" i="10" s="1"/>
  <c r="AD128" i="10"/>
  <c r="Z128" i="10"/>
  <c r="N128" i="10"/>
  <c r="BN127" i="10"/>
  <c r="BB127" i="10"/>
  <c r="AX127" i="10"/>
  <c r="AH127" i="10"/>
  <c r="BQ127" i="10" s="1"/>
  <c r="BV127" i="10" s="1"/>
  <c r="CA127" i="10" s="1"/>
  <c r="CF127" i="10" s="1"/>
  <c r="CK127" i="10" s="1"/>
  <c r="CP127" i="10" s="1"/>
  <c r="CU127" i="10" s="1"/>
  <c r="CZ127" i="10" s="1"/>
  <c r="AD127" i="10"/>
  <c r="Z127" i="10"/>
  <c r="N127" i="10"/>
  <c r="BN126" i="10"/>
  <c r="BB126" i="10"/>
  <c r="AX126" i="10"/>
  <c r="AT126" i="10"/>
  <c r="AH126" i="10"/>
  <c r="BQ126" i="10" s="1"/>
  <c r="BV126" i="10" s="1"/>
  <c r="CA126" i="10" s="1"/>
  <c r="CF126" i="10" s="1"/>
  <c r="CK126" i="10" s="1"/>
  <c r="CP126" i="10" s="1"/>
  <c r="CU126" i="10" s="1"/>
  <c r="AD126" i="10"/>
  <c r="Z126" i="10"/>
  <c r="N126" i="10"/>
  <c r="BN125" i="10"/>
  <c r="BB125" i="10"/>
  <c r="AX125" i="10"/>
  <c r="AT125" i="10"/>
  <c r="AH125" i="10"/>
  <c r="BQ125" i="10" s="1"/>
  <c r="BV125" i="10" s="1"/>
  <c r="CA125" i="10" s="1"/>
  <c r="CF125" i="10" s="1"/>
  <c r="CK125" i="10" s="1"/>
  <c r="CP125" i="10" s="1"/>
  <c r="CU125" i="10" s="1"/>
  <c r="AD125" i="10"/>
  <c r="Z125" i="10"/>
  <c r="N125" i="10"/>
  <c r="BN124" i="10"/>
  <c r="BB124" i="10"/>
  <c r="AX124" i="10"/>
  <c r="AT124" i="10"/>
  <c r="AH124" i="10"/>
  <c r="BQ124" i="10" s="1"/>
  <c r="BV124" i="10" s="1"/>
  <c r="CA124" i="10" s="1"/>
  <c r="CF124" i="10" s="1"/>
  <c r="CK124" i="10" s="1"/>
  <c r="CP124" i="10" s="1"/>
  <c r="CU124" i="10" s="1"/>
  <c r="AD124" i="10"/>
  <c r="Z124" i="10"/>
  <c r="N124" i="10"/>
  <c r="BN123" i="10"/>
  <c r="BB123" i="10"/>
  <c r="AX123" i="10"/>
  <c r="AT123" i="10"/>
  <c r="AH123" i="10"/>
  <c r="BQ123" i="10" s="1"/>
  <c r="BV123" i="10" s="1"/>
  <c r="CA123" i="10" s="1"/>
  <c r="CF123" i="10" s="1"/>
  <c r="CK123" i="10" s="1"/>
  <c r="CP123" i="10" s="1"/>
  <c r="CU123" i="10" s="1"/>
  <c r="AD123" i="10"/>
  <c r="Z123" i="10"/>
  <c r="N123" i="10"/>
  <c r="BN122" i="10"/>
  <c r="BB122" i="10"/>
  <c r="AX122" i="10"/>
  <c r="AT122" i="10"/>
  <c r="AH122" i="10"/>
  <c r="BQ122" i="10" s="1"/>
  <c r="BV122" i="10" s="1"/>
  <c r="CA122" i="10" s="1"/>
  <c r="CF122" i="10" s="1"/>
  <c r="CK122" i="10" s="1"/>
  <c r="CP122" i="10" s="1"/>
  <c r="CU122" i="10" s="1"/>
  <c r="AD122" i="10"/>
  <c r="Z122" i="10"/>
  <c r="N122" i="10"/>
  <c r="BI120" i="10"/>
  <c r="BG120" i="10"/>
  <c r="AX120" i="10"/>
  <c r="AC120" i="10"/>
  <c r="AE120" i="10"/>
  <c r="BI119" i="10"/>
  <c r="BG119" i="10"/>
  <c r="AD119" i="10"/>
  <c r="AX118" i="10"/>
  <c r="AC118" i="10"/>
  <c r="AE118" i="10"/>
  <c r="T118" i="10"/>
  <c r="AW117" i="10"/>
  <c r="AY117" i="10"/>
  <c r="AN117" i="10"/>
  <c r="U117" i="10"/>
  <c r="S117" i="10"/>
  <c r="BH116" i="10"/>
  <c r="AO116" i="10"/>
  <c r="AM116" i="10"/>
  <c r="AN116" i="10"/>
  <c r="U115" i="10"/>
  <c r="S115" i="10"/>
  <c r="T115" i="10"/>
  <c r="U114" i="10"/>
  <c r="S114" i="10"/>
  <c r="T114" i="10"/>
  <c r="AR107" i="10"/>
  <c r="AT107" i="10"/>
  <c r="AQ107" i="10"/>
  <c r="AJ107" i="10"/>
  <c r="AH107" i="10"/>
  <c r="BQ107" i="10" s="1"/>
  <c r="BV107" i="10" s="1"/>
  <c r="CA107" i="10" s="1"/>
  <c r="CF107" i="10" s="1"/>
  <c r="CK107" i="10" s="1"/>
  <c r="CP107" i="10" s="1"/>
  <c r="CU107" i="10" s="1"/>
  <c r="CZ107" i="10" s="1"/>
  <c r="AI107" i="10"/>
  <c r="BD106" i="10"/>
  <c r="BB106" i="10"/>
  <c r="BC106" i="10"/>
  <c r="DL104" i="10"/>
  <c r="BN104" i="10"/>
  <c r="BL104" i="10"/>
  <c r="BM104" i="10"/>
  <c r="BK130" i="10"/>
  <c r="AQ130" i="10"/>
  <c r="W130" i="10"/>
  <c r="BM128" i="10"/>
  <c r="AW128" i="10"/>
  <c r="AC128" i="10"/>
  <c r="Y128" i="10"/>
  <c r="BM127" i="10"/>
  <c r="AW127" i="10"/>
  <c r="AC127" i="10"/>
  <c r="Y127" i="10"/>
  <c r="BM126" i="10"/>
  <c r="AW126" i="10"/>
  <c r="AS126" i="10"/>
  <c r="AC126" i="10"/>
  <c r="Y126" i="10"/>
  <c r="BM125" i="10"/>
  <c r="AW125" i="10"/>
  <c r="AS125" i="10"/>
  <c r="AC125" i="10"/>
  <c r="Y125" i="10"/>
  <c r="BM124" i="10"/>
  <c r="AW124" i="10"/>
  <c r="AS124" i="10"/>
  <c r="AC124" i="10"/>
  <c r="Y124" i="10"/>
  <c r="BM123" i="10"/>
  <c r="AW123" i="10"/>
  <c r="AS123" i="10"/>
  <c r="AC123" i="10"/>
  <c r="Y123" i="10"/>
  <c r="BM122" i="10"/>
  <c r="AW122" i="10"/>
  <c r="AS122" i="10"/>
  <c r="AC122" i="10"/>
  <c r="Y122" i="10"/>
  <c r="AS115" i="10"/>
  <c r="AQ115" i="10"/>
  <c r="AR115" i="10"/>
  <c r="AO120" i="10"/>
  <c r="AM120" i="10"/>
  <c r="AO119" i="10"/>
  <c r="AM119" i="10"/>
  <c r="BI118" i="10"/>
  <c r="BG118" i="10"/>
  <c r="AC117" i="10"/>
  <c r="AE117" i="10"/>
  <c r="AW116" i="10"/>
  <c r="AY116" i="10"/>
  <c r="BI115" i="10"/>
  <c r="BG115" i="10"/>
  <c r="BH115" i="10"/>
  <c r="AO115" i="10"/>
  <c r="AM115" i="10"/>
  <c r="AN115" i="10"/>
  <c r="AO114" i="10"/>
  <c r="AM114" i="10"/>
  <c r="AN114" i="10"/>
  <c r="U113" i="10"/>
  <c r="S113" i="10"/>
  <c r="T113" i="10"/>
  <c r="P108" i="10"/>
  <c r="N108" i="10"/>
  <c r="O108" i="10"/>
  <c r="Z104" i="10"/>
  <c r="X104" i="10"/>
  <c r="Y104" i="10"/>
  <c r="BB104" i="10"/>
  <c r="BD104" i="10"/>
  <c r="BA104" i="10"/>
  <c r="AS92" i="10"/>
  <c r="AT92" i="10"/>
  <c r="AQ92" i="10"/>
  <c r="AR92" i="10"/>
  <c r="AV128" i="10"/>
  <c r="AB128" i="10"/>
  <c r="AV127" i="10"/>
  <c r="AB127" i="10"/>
  <c r="AV126" i="10"/>
  <c r="AB126" i="10"/>
  <c r="AV125" i="10"/>
  <c r="AB125" i="10"/>
  <c r="AV124" i="10"/>
  <c r="AB124" i="10"/>
  <c r="AV123" i="10"/>
  <c r="AB123" i="10"/>
  <c r="AV122" i="10"/>
  <c r="AB122" i="10"/>
  <c r="U120" i="10"/>
  <c r="S120" i="10"/>
  <c r="AW119" i="10"/>
  <c r="AY119" i="10"/>
  <c r="U119" i="10"/>
  <c r="S119" i="10"/>
  <c r="AO118" i="10"/>
  <c r="AM118" i="10"/>
  <c r="BI117" i="10"/>
  <c r="BG117" i="10"/>
  <c r="BI114" i="10"/>
  <c r="BG114" i="10"/>
  <c r="BH114" i="10"/>
  <c r="BI113" i="10"/>
  <c r="BG113" i="10"/>
  <c r="BH113" i="10"/>
  <c r="AO113" i="10"/>
  <c r="AM113" i="10"/>
  <c r="AN113" i="10"/>
  <c r="AJ108" i="10"/>
  <c r="AH108" i="10"/>
  <c r="BQ108" i="10" s="1"/>
  <c r="BV108" i="10" s="1"/>
  <c r="CA108" i="10" s="1"/>
  <c r="CF108" i="10" s="1"/>
  <c r="CK108" i="10" s="1"/>
  <c r="CP108" i="10" s="1"/>
  <c r="CU108" i="10" s="1"/>
  <c r="CZ108" i="10" s="1"/>
  <c r="DE108" i="10" s="1"/>
  <c r="DJ108" i="10" s="1"/>
  <c r="DO108" i="10" s="1"/>
  <c r="DT108" i="10" s="1"/>
  <c r="AI108" i="10"/>
  <c r="BD107" i="10"/>
  <c r="BB107" i="10"/>
  <c r="BC107" i="10"/>
  <c r="P106" i="10"/>
  <c r="N106" i="10"/>
  <c r="O106" i="10"/>
  <c r="DG104" i="10"/>
  <c r="DK104" i="10"/>
  <c r="DI104" i="10"/>
  <c r="DM104" i="10"/>
  <c r="DF104" i="10"/>
  <c r="DN104" i="10"/>
  <c r="AT104" i="10"/>
  <c r="AR104" i="10"/>
  <c r="AS104" i="10"/>
  <c r="DN89" i="10"/>
  <c r="DG89" i="10"/>
  <c r="DH89" i="10"/>
  <c r="AS113" i="10"/>
  <c r="AQ113" i="10"/>
  <c r="AR113" i="10"/>
  <c r="AW120" i="10"/>
  <c r="AY120" i="10"/>
  <c r="T120" i="10"/>
  <c r="AX119" i="10"/>
  <c r="AC119" i="10"/>
  <c r="AE119" i="10"/>
  <c r="T119" i="10"/>
  <c r="AW118" i="10"/>
  <c r="AY118" i="10"/>
  <c r="AN118" i="10"/>
  <c r="U118" i="10"/>
  <c r="S118" i="10"/>
  <c r="BH117" i="10"/>
  <c r="AO117" i="10"/>
  <c r="AM117" i="10"/>
  <c r="BI116" i="10"/>
  <c r="BG116" i="10"/>
  <c r="U116" i="10"/>
  <c r="S116" i="10"/>
  <c r="T116" i="10"/>
  <c r="BF114" i="10"/>
  <c r="BF113" i="10"/>
  <c r="AL113" i="10"/>
  <c r="BD108" i="10"/>
  <c r="BB108" i="10"/>
  <c r="BC108" i="10"/>
  <c r="AG108" i="10"/>
  <c r="BA107" i="10"/>
  <c r="P107" i="10"/>
  <c r="N107" i="10"/>
  <c r="O107" i="10"/>
  <c r="AJ106" i="10"/>
  <c r="AH106" i="10"/>
  <c r="AI106" i="10"/>
  <c r="M106" i="10"/>
  <c r="AQ104" i="10"/>
  <c r="CV92" i="10"/>
  <c r="BM98" i="10"/>
  <c r="BN98" i="10"/>
  <c r="BK98" i="10"/>
  <c r="BL98" i="10"/>
  <c r="CT88" i="10"/>
  <c r="CQ88" i="10"/>
  <c r="CR88" i="10"/>
  <c r="CS88" i="10"/>
  <c r="AB116" i="10"/>
  <c r="AV115" i="10"/>
  <c r="AB115" i="10"/>
  <c r="AV114" i="10"/>
  <c r="AB114" i="10"/>
  <c r="AV113" i="10"/>
  <c r="AB113" i="10"/>
  <c r="BK108" i="10"/>
  <c r="AQ108" i="10"/>
  <c r="W108" i="10"/>
  <c r="BK107" i="10"/>
  <c r="W107" i="10"/>
  <c r="BK106" i="10"/>
  <c r="AQ106" i="10"/>
  <c r="W106" i="10"/>
  <c r="AG104" i="10"/>
  <c r="M104" i="10"/>
  <c r="BH102" i="10"/>
  <c r="AV102" i="10"/>
  <c r="AN102" i="10"/>
  <c r="AB102" i="10"/>
  <c r="T102" i="10"/>
  <c r="BH101" i="10"/>
  <c r="AV101" i="10"/>
  <c r="AN101" i="10"/>
  <c r="AB101" i="10"/>
  <c r="T101" i="10"/>
  <c r="BH100" i="10"/>
  <c r="AV100" i="10"/>
  <c r="AN100" i="10"/>
  <c r="AB100" i="10"/>
  <c r="T100" i="10"/>
  <c r="BH99" i="10"/>
  <c r="AV99" i="10"/>
  <c r="AN99" i="10"/>
  <c r="AB99" i="10"/>
  <c r="T99" i="10"/>
  <c r="BH98" i="10"/>
  <c r="AV98" i="10"/>
  <c r="AN98" i="10"/>
  <c r="AB98" i="10"/>
  <c r="T98" i="10"/>
  <c r="BH97" i="10"/>
  <c r="AV97" i="10"/>
  <c r="AN97" i="10"/>
  <c r="AB97" i="10"/>
  <c r="T97" i="10"/>
  <c r="BH96" i="10"/>
  <c r="AV96" i="10"/>
  <c r="AN96" i="10"/>
  <c r="AB96" i="10"/>
  <c r="T96" i="10"/>
  <c r="BH95" i="10"/>
  <c r="AV95" i="10"/>
  <c r="AN95" i="10"/>
  <c r="AB95" i="10"/>
  <c r="T95" i="10"/>
  <c r="BH94" i="10"/>
  <c r="AV94" i="10"/>
  <c r="AN94" i="10"/>
  <c r="AB94" i="10"/>
  <c r="T94" i="10"/>
  <c r="BH93" i="10"/>
  <c r="AV93" i="10"/>
  <c r="AN93" i="10"/>
  <c r="AB93" i="10"/>
  <c r="T93" i="10"/>
  <c r="BH92" i="10"/>
  <c r="AV92" i="10"/>
  <c r="AI92" i="10"/>
  <c r="AC92" i="10"/>
  <c r="X92" i="10"/>
  <c r="O92" i="10"/>
  <c r="AO88" i="10"/>
  <c r="AL88" i="10"/>
  <c r="AM88" i="10"/>
  <c r="AN88" i="10"/>
  <c r="AS80" i="10"/>
  <c r="AT80" i="10"/>
  <c r="AQ80" i="10"/>
  <c r="AR80" i="10"/>
  <c r="CY80" i="10"/>
  <c r="CW80" i="10"/>
  <c r="BK120" i="10"/>
  <c r="AQ120" i="10"/>
  <c r="W120" i="10"/>
  <c r="O120" i="10"/>
  <c r="BK119" i="10"/>
  <c r="BC119" i="10"/>
  <c r="AI119" i="10"/>
  <c r="O119" i="10"/>
  <c r="BC118" i="10"/>
  <c r="AI118" i="10"/>
  <c r="O118" i="10"/>
  <c r="BC117" i="10"/>
  <c r="AI117" i="10"/>
  <c r="O117" i="10"/>
  <c r="BC116" i="10"/>
  <c r="AI116" i="10"/>
  <c r="AE116" i="10"/>
  <c r="O116" i="10"/>
  <c r="BC115" i="10"/>
  <c r="AY115" i="10"/>
  <c r="AI115" i="10"/>
  <c r="AE115" i="10"/>
  <c r="O115" i="10"/>
  <c r="BC114" i="10"/>
  <c r="AY114" i="10"/>
  <c r="AI114" i="10"/>
  <c r="AE114" i="10"/>
  <c r="O114" i="10"/>
  <c r="BC113" i="10"/>
  <c r="AY113" i="10"/>
  <c r="AI113" i="10"/>
  <c r="AE113" i="10"/>
  <c r="O113" i="10"/>
  <c r="BN108" i="10"/>
  <c r="AX108" i="10"/>
  <c r="AT108" i="10"/>
  <c r="AD108" i="10"/>
  <c r="Z108" i="10"/>
  <c r="BN107" i="10"/>
  <c r="AX107" i="10"/>
  <c r="AD107" i="10"/>
  <c r="Z107" i="10"/>
  <c r="BN106" i="10"/>
  <c r="AX106" i="10"/>
  <c r="AT106" i="10"/>
  <c r="AD106" i="10"/>
  <c r="Z106" i="10"/>
  <c r="BH104" i="10"/>
  <c r="AN104" i="10"/>
  <c r="AJ104" i="10"/>
  <c r="T104" i="10"/>
  <c r="P104" i="10"/>
  <c r="BG102" i="10"/>
  <c r="BC102" i="10"/>
  <c r="AY102" i="10"/>
  <c r="AM102" i="10"/>
  <c r="AI102" i="10"/>
  <c r="AE102" i="10"/>
  <c r="S102" i="10"/>
  <c r="O102" i="10"/>
  <c r="BG101" i="10"/>
  <c r="BC101" i="10"/>
  <c r="AY101" i="10"/>
  <c r="AM101" i="10"/>
  <c r="AI101" i="10"/>
  <c r="AE101" i="10"/>
  <c r="S101" i="10"/>
  <c r="O101" i="10"/>
  <c r="BG100" i="10"/>
  <c r="BC100" i="10"/>
  <c r="AY100" i="10"/>
  <c r="AM100" i="10"/>
  <c r="AI100" i="10"/>
  <c r="AE100" i="10"/>
  <c r="S100" i="10"/>
  <c r="O100" i="10"/>
  <c r="BG99" i="10"/>
  <c r="BC99" i="10"/>
  <c r="AY99" i="10"/>
  <c r="AM99" i="10"/>
  <c r="AI99" i="10"/>
  <c r="AE99" i="10"/>
  <c r="S99" i="10"/>
  <c r="O99" i="10"/>
  <c r="BG98" i="10"/>
  <c r="BC98" i="10"/>
  <c r="AY98" i="10"/>
  <c r="AM98" i="10"/>
  <c r="AI98" i="10"/>
  <c r="AE98" i="10"/>
  <c r="S98" i="10"/>
  <c r="O98" i="10"/>
  <c r="BG97" i="10"/>
  <c r="BC97" i="10"/>
  <c r="AY97" i="10"/>
  <c r="AM97" i="10"/>
  <c r="AI97" i="10"/>
  <c r="AE97" i="10"/>
  <c r="S97" i="10"/>
  <c r="O97" i="10"/>
  <c r="BG96" i="10"/>
  <c r="BC96" i="10"/>
  <c r="AY96" i="10"/>
  <c r="AM96" i="10"/>
  <c r="AI96" i="10"/>
  <c r="AE96" i="10"/>
  <c r="S96" i="10"/>
  <c r="O96" i="10"/>
  <c r="BG95" i="10"/>
  <c r="BC95" i="10"/>
  <c r="AY95" i="10"/>
  <c r="AM95" i="10"/>
  <c r="AI95" i="10"/>
  <c r="AE95" i="10"/>
  <c r="S95" i="10"/>
  <c r="O95" i="10"/>
  <c r="BG94" i="10"/>
  <c r="BC94" i="10"/>
  <c r="AY94" i="10"/>
  <c r="AM94" i="10"/>
  <c r="AI94" i="10"/>
  <c r="AE94" i="10"/>
  <c r="S94" i="10"/>
  <c r="O94" i="10"/>
  <c r="BG93" i="10"/>
  <c r="BC93" i="10"/>
  <c r="AY93" i="10"/>
  <c r="AM93" i="10"/>
  <c r="AI93" i="10"/>
  <c r="AE93" i="10"/>
  <c r="S93" i="10"/>
  <c r="O93" i="10"/>
  <c r="BG92" i="10"/>
  <c r="BC92" i="10"/>
  <c r="AY92" i="10"/>
  <c r="AG92" i="10"/>
  <c r="AB92" i="10"/>
  <c r="W92" i="10"/>
  <c r="M92" i="10"/>
  <c r="BA83" i="10"/>
  <c r="BB83" i="10"/>
  <c r="BC83" i="10"/>
  <c r="BD83" i="10"/>
  <c r="AS79" i="10"/>
  <c r="AT79" i="10"/>
  <c r="AQ79" i="10"/>
  <c r="AR79" i="10"/>
  <c r="BF102" i="10"/>
  <c r="AL102" i="10"/>
  <c r="R102" i="10"/>
  <c r="BF101" i="10"/>
  <c r="AL101" i="10"/>
  <c r="R101" i="10"/>
  <c r="BF100" i="10"/>
  <c r="AL100" i="10"/>
  <c r="R100" i="10"/>
  <c r="BF99" i="10"/>
  <c r="AL99" i="10"/>
  <c r="R99" i="10"/>
  <c r="BF98" i="10"/>
  <c r="AL98" i="10"/>
  <c r="R98" i="10"/>
  <c r="BF97" i="10"/>
  <c r="AL97" i="10"/>
  <c r="R97" i="10"/>
  <c r="BF96" i="10"/>
  <c r="AL96" i="10"/>
  <c r="R96" i="10"/>
  <c r="BF95" i="10"/>
  <c r="AL95" i="10"/>
  <c r="R95" i="10"/>
  <c r="BF94" i="10"/>
  <c r="AL94" i="10"/>
  <c r="R94" i="10"/>
  <c r="BF93" i="10"/>
  <c r="AL93" i="10"/>
  <c r="R93" i="10"/>
  <c r="BF92" i="10"/>
  <c r="BM82" i="10"/>
  <c r="BN82" i="10"/>
  <c r="BK82" i="10"/>
  <c r="BL82" i="10"/>
  <c r="DT82" i="10"/>
  <c r="AJ92" i="10"/>
  <c r="AE92" i="10"/>
  <c r="Y92" i="10"/>
  <c r="P92" i="10"/>
  <c r="BA89" i="10"/>
  <c r="BB89" i="10"/>
  <c r="BC89" i="10"/>
  <c r="BD89" i="10"/>
  <c r="BA81" i="10"/>
  <c r="BB81" i="10"/>
  <c r="BC81" i="10"/>
  <c r="BD81" i="10"/>
  <c r="BL89" i="10"/>
  <c r="BH89" i="10"/>
  <c r="AV89" i="10"/>
  <c r="AR89" i="10"/>
  <c r="AN89" i="10"/>
  <c r="AB89" i="10"/>
  <c r="X89" i="10"/>
  <c r="T89" i="10"/>
  <c r="BL88" i="10"/>
  <c r="BH88" i="10"/>
  <c r="AV88" i="10"/>
  <c r="AR88" i="10"/>
  <c r="AB88" i="10"/>
  <c r="X88" i="10"/>
  <c r="T88" i="10"/>
  <c r="BL87" i="10"/>
  <c r="BH87" i="10"/>
  <c r="AV87" i="10"/>
  <c r="AR87" i="10"/>
  <c r="AN87" i="10"/>
  <c r="AB87" i="10"/>
  <c r="X87" i="10"/>
  <c r="T87" i="10"/>
  <c r="BL86" i="10"/>
  <c r="BH86" i="10"/>
  <c r="AV86" i="10"/>
  <c r="AR86" i="10"/>
  <c r="AN86" i="10"/>
  <c r="AB86" i="10"/>
  <c r="X86" i="10"/>
  <c r="T86" i="10"/>
  <c r="BL85" i="10"/>
  <c r="BH85" i="10"/>
  <c r="AV85" i="10"/>
  <c r="AR85" i="10"/>
  <c r="AN85" i="10"/>
  <c r="AB85" i="10"/>
  <c r="X85" i="10"/>
  <c r="T85" i="10"/>
  <c r="BL84" i="10"/>
  <c r="BH84" i="10"/>
  <c r="AV84" i="10"/>
  <c r="AR84" i="10"/>
  <c r="AN84" i="10"/>
  <c r="AB84" i="10"/>
  <c r="X84" i="10"/>
  <c r="T84" i="10"/>
  <c r="BL83" i="10"/>
  <c r="BH83" i="10"/>
  <c r="AV83" i="10"/>
  <c r="AR83" i="10"/>
  <c r="AN83" i="10"/>
  <c r="AB83" i="10"/>
  <c r="X83" i="10"/>
  <c r="T83" i="10"/>
  <c r="P83" i="10"/>
  <c r="BH82" i="10"/>
  <c r="BD82" i="10"/>
  <c r="AR82" i="10"/>
  <c r="AN82" i="10"/>
  <c r="AJ82" i="10"/>
  <c r="X82" i="10"/>
  <c r="T82" i="10"/>
  <c r="P82" i="10"/>
  <c r="BL81" i="10"/>
  <c r="BH81" i="10"/>
  <c r="AR81" i="10"/>
  <c r="AN81" i="10"/>
  <c r="AJ81" i="10"/>
  <c r="X81" i="10"/>
  <c r="T81" i="10"/>
  <c r="P81" i="10"/>
  <c r="BL80" i="10"/>
  <c r="BH80" i="10"/>
  <c r="BD80" i="10"/>
  <c r="AN80" i="10"/>
  <c r="AJ80" i="10"/>
  <c r="X80" i="10"/>
  <c r="T80" i="10"/>
  <c r="P80" i="10"/>
  <c r="BL79" i="10"/>
  <c r="BH79" i="10"/>
  <c r="BD79" i="10"/>
  <c r="AN79" i="10"/>
  <c r="AJ79" i="10"/>
  <c r="X79" i="10"/>
  <c r="T79" i="10"/>
  <c r="P79" i="10"/>
  <c r="BK89" i="10"/>
  <c r="BG89" i="10"/>
  <c r="AQ89" i="10"/>
  <c r="AM89" i="10"/>
  <c r="W89" i="10"/>
  <c r="S89" i="10"/>
  <c r="BK88" i="10"/>
  <c r="BG88" i="10"/>
  <c r="AQ88" i="10"/>
  <c r="W88" i="10"/>
  <c r="S88" i="10"/>
  <c r="BK87" i="10"/>
  <c r="BG87" i="10"/>
  <c r="AQ87" i="10"/>
  <c r="AM87" i="10"/>
  <c r="W87" i="10"/>
  <c r="S87" i="10"/>
  <c r="BK86" i="10"/>
  <c r="BG86" i="10"/>
  <c r="AQ86" i="10"/>
  <c r="AM86" i="10"/>
  <c r="W86" i="10"/>
  <c r="S86" i="10"/>
  <c r="BK85" i="10"/>
  <c r="BG85" i="10"/>
  <c r="AQ85" i="10"/>
  <c r="AM85" i="10"/>
  <c r="W85" i="10"/>
  <c r="S85" i="10"/>
  <c r="BK84" i="10"/>
  <c r="BG84" i="10"/>
  <c r="AQ84" i="10"/>
  <c r="AM84" i="10"/>
  <c r="W84" i="10"/>
  <c r="S84" i="10"/>
  <c r="BK83" i="10"/>
  <c r="BG83" i="10"/>
  <c r="AQ83" i="10"/>
  <c r="AM83" i="10"/>
  <c r="W83" i="10"/>
  <c r="S83" i="10"/>
  <c r="BG82" i="10"/>
  <c r="AQ82" i="10"/>
  <c r="AM82" i="10"/>
  <c r="AI82" i="10"/>
  <c r="W82" i="10"/>
  <c r="S82" i="10"/>
  <c r="O82" i="10"/>
  <c r="BG81" i="10"/>
  <c r="AM81" i="10"/>
  <c r="AI81" i="10"/>
  <c r="S81" i="10"/>
  <c r="O81" i="10"/>
  <c r="BG80" i="10"/>
  <c r="BC80" i="10"/>
  <c r="AM80" i="10"/>
  <c r="AI80" i="10"/>
  <c r="S80" i="10"/>
  <c r="O80" i="10"/>
  <c r="BG79" i="10"/>
  <c r="BC79" i="10"/>
  <c r="AM79" i="10"/>
  <c r="AI79" i="10"/>
  <c r="S79" i="10"/>
  <c r="O79" i="10"/>
  <c r="AY61" i="10"/>
  <c r="AV61" i="10"/>
  <c r="AW61" i="10"/>
  <c r="AX61" i="10"/>
  <c r="BF89" i="10"/>
  <c r="AL89" i="10"/>
  <c r="R89" i="10"/>
  <c r="BF88" i="10"/>
  <c r="R88" i="10"/>
  <c r="BF87" i="10"/>
  <c r="AL87" i="10"/>
  <c r="R87" i="10"/>
  <c r="BF86" i="10"/>
  <c r="AL86" i="10"/>
  <c r="R86" i="10"/>
  <c r="BF85" i="10"/>
  <c r="AL85" i="10"/>
  <c r="R85" i="10"/>
  <c r="BF84" i="10"/>
  <c r="AL84" i="10"/>
  <c r="R84" i="10"/>
  <c r="BF83" i="10"/>
  <c r="AL83" i="10"/>
  <c r="R83" i="10"/>
  <c r="BF82" i="10"/>
  <c r="AL82" i="10"/>
  <c r="R82" i="10"/>
  <c r="BF81" i="10"/>
  <c r="AL81" i="10"/>
  <c r="R81" i="10"/>
  <c r="BF80" i="10"/>
  <c r="AL80" i="10"/>
  <c r="R80" i="10"/>
  <c r="BF79" i="10"/>
  <c r="AL79" i="10"/>
  <c r="R79" i="10"/>
  <c r="BB64" i="10"/>
  <c r="AX64" i="10"/>
  <c r="AT64" i="10"/>
  <c r="AH64" i="10"/>
  <c r="BQ64" i="10" s="1"/>
  <c r="BV64" i="10" s="1"/>
  <c r="CA64" i="10" s="1"/>
  <c r="CF64" i="10" s="1"/>
  <c r="CK64" i="10" s="1"/>
  <c r="CP64" i="10" s="1"/>
  <c r="CU64" i="10" s="1"/>
  <c r="CZ64" i="10" s="1"/>
  <c r="DE64" i="10" s="1"/>
  <c r="DJ64" i="10" s="1"/>
  <c r="DO64" i="10" s="1"/>
  <c r="AD64" i="10"/>
  <c r="Z64" i="10"/>
  <c r="N64" i="10"/>
  <c r="BN63" i="10"/>
  <c r="BB63" i="10"/>
  <c r="AX63" i="10"/>
  <c r="AT63" i="10"/>
  <c r="AH63" i="10"/>
  <c r="BQ63" i="10" s="1"/>
  <c r="BV63" i="10" s="1"/>
  <c r="CA63" i="10" s="1"/>
  <c r="CF63" i="10" s="1"/>
  <c r="CK63" i="10" s="1"/>
  <c r="CP63" i="10" s="1"/>
  <c r="CU63" i="10" s="1"/>
  <c r="CZ63" i="10" s="1"/>
  <c r="DE63" i="10" s="1"/>
  <c r="DJ63" i="10" s="1"/>
  <c r="AD63" i="10"/>
  <c r="Z63" i="10"/>
  <c r="N63" i="10"/>
  <c r="BN62" i="10"/>
  <c r="AX62" i="10"/>
  <c r="AT62" i="10"/>
  <c r="AH62" i="10"/>
  <c r="BQ62" i="10" s="1"/>
  <c r="BV62" i="10" s="1"/>
  <c r="CA62" i="10" s="1"/>
  <c r="CF62" i="10" s="1"/>
  <c r="CK62" i="10" s="1"/>
  <c r="CP62" i="10" s="1"/>
  <c r="CU62" i="10" s="1"/>
  <c r="CZ62" i="10" s="1"/>
  <c r="DE62" i="10" s="1"/>
  <c r="AD62" i="10"/>
  <c r="Z62" i="10"/>
  <c r="N62" i="10"/>
  <c r="BN61" i="10"/>
  <c r="BB61" i="10"/>
  <c r="AT61" i="10"/>
  <c r="AH61" i="10"/>
  <c r="BQ61" i="10" s="1"/>
  <c r="BV61" i="10" s="1"/>
  <c r="CA61" i="10" s="1"/>
  <c r="CF61" i="10" s="1"/>
  <c r="CK61" i="10" s="1"/>
  <c r="CP61" i="10" s="1"/>
  <c r="CU61" i="10" s="1"/>
  <c r="CZ61" i="10" s="1"/>
  <c r="DE61" i="10" s="1"/>
  <c r="AD61" i="10"/>
  <c r="Z61" i="10"/>
  <c r="N61" i="10"/>
  <c r="BN60" i="10"/>
  <c r="BB60" i="10"/>
  <c r="AX60" i="10"/>
  <c r="AT60" i="10"/>
  <c r="AH60" i="10"/>
  <c r="BQ60" i="10" s="1"/>
  <c r="BV60" i="10" s="1"/>
  <c r="CA60" i="10" s="1"/>
  <c r="CF60" i="10" s="1"/>
  <c r="CK60" i="10" s="1"/>
  <c r="CP60" i="10" s="1"/>
  <c r="CU60" i="10" s="1"/>
  <c r="CZ60" i="10" s="1"/>
  <c r="AD60" i="10"/>
  <c r="Z60" i="10"/>
  <c r="N60" i="10"/>
  <c r="BN59" i="10"/>
  <c r="BB59" i="10"/>
  <c r="AX59" i="10"/>
  <c r="AT59" i="10"/>
  <c r="AH59" i="10"/>
  <c r="BQ59" i="10" s="1"/>
  <c r="BV59" i="10" s="1"/>
  <c r="CA59" i="10" s="1"/>
  <c r="CF59" i="10" s="1"/>
  <c r="CK59" i="10" s="1"/>
  <c r="CP59" i="10" s="1"/>
  <c r="CU59" i="10" s="1"/>
  <c r="CZ59" i="10" s="1"/>
  <c r="AD59" i="10"/>
  <c r="Z59" i="10"/>
  <c r="N59" i="10"/>
  <c r="BN58" i="10"/>
  <c r="BB58" i="10"/>
  <c r="AX58" i="10"/>
  <c r="AT58" i="10"/>
  <c r="AH58" i="10"/>
  <c r="BQ58" i="10" s="1"/>
  <c r="BV58" i="10" s="1"/>
  <c r="CA58" i="10" s="1"/>
  <c r="CF58" i="10" s="1"/>
  <c r="CK58" i="10" s="1"/>
  <c r="CP58" i="10" s="1"/>
  <c r="CU58" i="10" s="1"/>
  <c r="CZ58" i="10" s="1"/>
  <c r="AD58" i="10"/>
  <c r="Z58" i="10"/>
  <c r="N58" i="10"/>
  <c r="BN57" i="10"/>
  <c r="BB57" i="10"/>
  <c r="AX57" i="10"/>
  <c r="AT57" i="10"/>
  <c r="AH57" i="10"/>
  <c r="BQ57" i="10" s="1"/>
  <c r="BV57" i="10" s="1"/>
  <c r="CA57" i="10" s="1"/>
  <c r="CF57" i="10" s="1"/>
  <c r="CK57" i="10" s="1"/>
  <c r="CP57" i="10" s="1"/>
  <c r="CU57" i="10" s="1"/>
  <c r="CZ57" i="10" s="1"/>
  <c r="AD57" i="10"/>
  <c r="Z57" i="10"/>
  <c r="N57" i="10"/>
  <c r="BA64" i="10"/>
  <c r="AW64" i="10"/>
  <c r="AG64" i="10"/>
  <c r="AC64" i="10"/>
  <c r="M64" i="10"/>
  <c r="BA63" i="10"/>
  <c r="AW63" i="10"/>
  <c r="AG63" i="10"/>
  <c r="AC63" i="10"/>
  <c r="M63" i="10"/>
  <c r="AW62" i="10"/>
  <c r="AG62" i="10"/>
  <c r="AC62" i="10"/>
  <c r="M62" i="10"/>
  <c r="BA61" i="10"/>
  <c r="AG61" i="10"/>
  <c r="AC61" i="10"/>
  <c r="M61" i="10"/>
  <c r="BA60" i="10"/>
  <c r="AW60" i="10"/>
  <c r="AG60" i="10"/>
  <c r="AC60" i="10"/>
  <c r="M60" i="10"/>
  <c r="BA59" i="10"/>
  <c r="AW59" i="10"/>
  <c r="AG59" i="10"/>
  <c r="AC59" i="10"/>
  <c r="M59" i="10"/>
  <c r="BA58" i="10"/>
  <c r="AW58" i="10"/>
  <c r="AG58" i="10"/>
  <c r="AC58" i="10"/>
  <c r="M58" i="10"/>
  <c r="BA57" i="10"/>
  <c r="AW57" i="10"/>
  <c r="AG57" i="10"/>
  <c r="AC57" i="10"/>
  <c r="M57" i="10"/>
  <c r="AV64" i="10"/>
  <c r="AB64" i="10"/>
  <c r="AV63" i="10"/>
  <c r="AB63" i="10"/>
  <c r="AV62" i="10"/>
  <c r="AB62" i="10"/>
  <c r="AB61" i="10"/>
  <c r="AV60" i="10"/>
  <c r="AB60" i="10"/>
  <c r="AV59" i="10"/>
  <c r="AB59" i="10"/>
  <c r="AV58" i="10"/>
  <c r="AB58" i="10"/>
  <c r="AV57" i="10"/>
  <c r="AB57" i="10"/>
  <c r="AR44" i="10"/>
  <c r="AU54" i="10"/>
  <c r="AS44" i="10"/>
  <c r="AT44" i="10"/>
  <c r="AQ44" i="10"/>
  <c r="CX44" i="10"/>
  <c r="CX54" i="10" s="1"/>
  <c r="CV44" i="10"/>
  <c r="CV54" i="10" s="1"/>
  <c r="BM52" i="10"/>
  <c r="BI52" i="10"/>
  <c r="AW52" i="10"/>
  <c r="AS52" i="10"/>
  <c r="AO52" i="10"/>
  <c r="AC52" i="10"/>
  <c r="Y52" i="10"/>
  <c r="U52" i="10"/>
  <c r="BM51" i="10"/>
  <c r="BI51" i="10"/>
  <c r="AW51" i="10"/>
  <c r="AS51" i="10"/>
  <c r="AO51" i="10"/>
  <c r="AC51" i="10"/>
  <c r="Y51" i="10"/>
  <c r="U51" i="10"/>
  <c r="BM50" i="10"/>
  <c r="BI50" i="10"/>
  <c r="AW50" i="10"/>
  <c r="AS50" i="10"/>
  <c r="AO50" i="10"/>
  <c r="AC50" i="10"/>
  <c r="Y50" i="10"/>
  <c r="U50" i="10"/>
  <c r="BG45" i="10"/>
  <c r="BC45" i="10"/>
  <c r="AY45" i="10"/>
  <c r="AM45" i="10"/>
  <c r="AI45" i="10"/>
  <c r="AE45" i="10"/>
  <c r="S45" i="10"/>
  <c r="O45" i="10"/>
  <c r="BG44" i="10"/>
  <c r="BC44" i="10"/>
  <c r="AY44" i="10"/>
  <c r="AL44" i="10"/>
  <c r="AB44" i="10"/>
  <c r="W44" i="10"/>
  <c r="R44" i="10"/>
  <c r="BB30" i="10"/>
  <c r="BC30" i="10"/>
  <c r="BD30" i="10"/>
  <c r="BA30" i="10"/>
  <c r="BL52" i="10"/>
  <c r="AV52" i="10"/>
  <c r="AR52" i="10"/>
  <c r="AB52" i="10"/>
  <c r="X52" i="10"/>
  <c r="T52" i="10"/>
  <c r="BL51" i="10"/>
  <c r="BH51" i="10"/>
  <c r="AR51" i="10"/>
  <c r="AN51" i="10"/>
  <c r="X51" i="10"/>
  <c r="T51" i="10"/>
  <c r="BL50" i="10"/>
  <c r="BH50" i="10"/>
  <c r="AR50" i="10"/>
  <c r="AN50" i="10"/>
  <c r="X50" i="10"/>
  <c r="T50" i="10"/>
  <c r="BB45" i="10"/>
  <c r="AX45" i="10"/>
  <c r="AH45" i="10"/>
  <c r="BQ45" i="10" s="1"/>
  <c r="BV45" i="10" s="1"/>
  <c r="CA45" i="10" s="1"/>
  <c r="CF45" i="10" s="1"/>
  <c r="CK45" i="10" s="1"/>
  <c r="CP45" i="10" s="1"/>
  <c r="CU45" i="10" s="1"/>
  <c r="CZ45" i="10" s="1"/>
  <c r="DE45" i="10" s="1"/>
  <c r="DJ45" i="10" s="1"/>
  <c r="DO45" i="10" s="1"/>
  <c r="DT45" i="10" s="1"/>
  <c r="AD45" i="10"/>
  <c r="N45" i="10"/>
  <c r="BB44" i="10"/>
  <c r="AX44" i="10"/>
  <c r="BK52" i="10"/>
  <c r="AQ52" i="10"/>
  <c r="W52" i="10"/>
  <c r="BK51" i="10"/>
  <c r="AQ51" i="10"/>
  <c r="W51" i="10"/>
  <c r="BK50" i="10"/>
  <c r="AQ50" i="10"/>
  <c r="W50" i="10"/>
  <c r="BA45" i="10"/>
  <c r="AG45" i="10"/>
  <c r="M45" i="10"/>
  <c r="BA44" i="10"/>
  <c r="AW24" i="10"/>
  <c r="AX24" i="10"/>
  <c r="AV24" i="10"/>
  <c r="AY24" i="10"/>
  <c r="BN31" i="10"/>
  <c r="BK31" i="10"/>
  <c r="BL31" i="10"/>
  <c r="BM31" i="10"/>
  <c r="BL40" i="10"/>
  <c r="BH40" i="10"/>
  <c r="BD40" i="10"/>
  <c r="AR40" i="10"/>
  <c r="AN40" i="10"/>
  <c r="AJ40" i="10"/>
  <c r="X40" i="10"/>
  <c r="T40" i="10"/>
  <c r="P40" i="10"/>
  <c r="BL39" i="10"/>
  <c r="BH39" i="10"/>
  <c r="BD39" i="10"/>
  <c r="AR39" i="10"/>
  <c r="AN39" i="10"/>
  <c r="AJ39" i="10"/>
  <c r="X39" i="10"/>
  <c r="T39" i="10"/>
  <c r="P39" i="10"/>
  <c r="BL38" i="10"/>
  <c r="BH38" i="10"/>
  <c r="BD38" i="10"/>
  <c r="AR38" i="10"/>
  <c r="AN38" i="10"/>
  <c r="AJ38" i="10"/>
  <c r="X38" i="10"/>
  <c r="T38" i="10"/>
  <c r="P38" i="10"/>
  <c r="BL37" i="10"/>
  <c r="BH37" i="10"/>
  <c r="BD37" i="10"/>
  <c r="AR37" i="10"/>
  <c r="AN37" i="10"/>
  <c r="AJ37" i="10"/>
  <c r="X37" i="10"/>
  <c r="T37" i="10"/>
  <c r="P37" i="10"/>
  <c r="BL36" i="10"/>
  <c r="BH36" i="10"/>
  <c r="BD36" i="10"/>
  <c r="AR36" i="10"/>
  <c r="AN36" i="10"/>
  <c r="AJ36" i="10"/>
  <c r="X36" i="10"/>
  <c r="T36" i="10"/>
  <c r="P36" i="10"/>
  <c r="BL35" i="10"/>
  <c r="BH35" i="10"/>
  <c r="BD35" i="10"/>
  <c r="AR35" i="10"/>
  <c r="AN35" i="10"/>
  <c r="AJ35" i="10"/>
  <c r="X35" i="10"/>
  <c r="T35" i="10"/>
  <c r="P35" i="10"/>
  <c r="BL34" i="10"/>
  <c r="BH34" i="10"/>
  <c r="BD34" i="10"/>
  <c r="AR34" i="10"/>
  <c r="AN34" i="10"/>
  <c r="AJ34" i="10"/>
  <c r="X34" i="10"/>
  <c r="T34" i="10"/>
  <c r="P34" i="10"/>
  <c r="BL33" i="10"/>
  <c r="BH33" i="10"/>
  <c r="BD33" i="10"/>
  <c r="AL33" i="10"/>
  <c r="AG33" i="10"/>
  <c r="P33" i="10"/>
  <c r="AJ32" i="10"/>
  <c r="N32" i="10"/>
  <c r="O32" i="10"/>
  <c r="AX31" i="10"/>
  <c r="AY31" i="10"/>
  <c r="P31" i="10"/>
  <c r="AJ30" i="10"/>
  <c r="N30" i="10"/>
  <c r="O30" i="10"/>
  <c r="BD29" i="10"/>
  <c r="AH29" i="10"/>
  <c r="BQ29" i="10" s="1"/>
  <c r="BV29" i="10" s="1"/>
  <c r="CA29" i="10" s="1"/>
  <c r="CF29" i="10" s="1"/>
  <c r="CK29" i="10" s="1"/>
  <c r="CP29" i="10" s="1"/>
  <c r="CU29" i="10" s="1"/>
  <c r="CZ29" i="10" s="1"/>
  <c r="DE29" i="10" s="1"/>
  <c r="DJ29" i="10" s="1"/>
  <c r="DO29" i="10" s="1"/>
  <c r="DT29" i="10" s="1"/>
  <c r="AI29" i="10"/>
  <c r="AC29" i="10"/>
  <c r="N29" i="10"/>
  <c r="O29" i="10"/>
  <c r="BD28" i="10"/>
  <c r="AJ28" i="10"/>
  <c r="P28" i="10"/>
  <c r="AX26" i="10"/>
  <c r="AY26" i="10"/>
  <c r="BG40" i="10"/>
  <c r="BC40" i="10"/>
  <c r="AM40" i="10"/>
  <c r="AI40" i="10"/>
  <c r="S40" i="10"/>
  <c r="O40" i="10"/>
  <c r="BG39" i="10"/>
  <c r="BC39" i="10"/>
  <c r="AM39" i="10"/>
  <c r="AI39" i="10"/>
  <c r="S39" i="10"/>
  <c r="O39" i="10"/>
  <c r="BG38" i="10"/>
  <c r="BC38" i="10"/>
  <c r="AM38" i="10"/>
  <c r="AI38" i="10"/>
  <c r="S38" i="10"/>
  <c r="O38" i="10"/>
  <c r="BG37" i="10"/>
  <c r="BC37" i="10"/>
  <c r="AM37" i="10"/>
  <c r="AI37" i="10"/>
  <c r="S37" i="10"/>
  <c r="O37" i="10"/>
  <c r="BG36" i="10"/>
  <c r="BC36" i="10"/>
  <c r="AM36" i="10"/>
  <c r="AI36" i="10"/>
  <c r="S36" i="10"/>
  <c r="O36" i="10"/>
  <c r="BG35" i="10"/>
  <c r="BC35" i="10"/>
  <c r="AM35" i="10"/>
  <c r="AI35" i="10"/>
  <c r="S35" i="10"/>
  <c r="O35" i="10"/>
  <c r="BG34" i="10"/>
  <c r="BC34" i="10"/>
  <c r="AM34" i="10"/>
  <c r="AI34" i="10"/>
  <c r="S34" i="10"/>
  <c r="O34" i="10"/>
  <c r="BG33" i="10"/>
  <c r="BC33" i="10"/>
  <c r="AD33" i="10"/>
  <c r="AE33" i="10"/>
  <c r="AX32" i="10"/>
  <c r="AY32" i="10"/>
  <c r="BB31" i="10"/>
  <c r="BC31" i="10"/>
  <c r="AD31" i="10"/>
  <c r="AE31" i="10"/>
  <c r="AX30" i="10"/>
  <c r="AY30" i="10"/>
  <c r="P30" i="10"/>
  <c r="AJ29" i="10"/>
  <c r="AX27" i="10"/>
  <c r="AY27" i="10"/>
  <c r="AD27" i="10"/>
  <c r="AE27" i="10"/>
  <c r="BB26" i="10"/>
  <c r="BC26" i="10"/>
  <c r="AW26" i="10"/>
  <c r="AG26" i="10"/>
  <c r="AH26" i="10"/>
  <c r="BQ26" i="10" s="1"/>
  <c r="BV26" i="10" s="1"/>
  <c r="CA26" i="10" s="1"/>
  <c r="CF26" i="10" s="1"/>
  <c r="CK26" i="10" s="1"/>
  <c r="CP26" i="10" s="1"/>
  <c r="CU26" i="10" s="1"/>
  <c r="CZ26" i="10" s="1"/>
  <c r="DE26" i="10" s="1"/>
  <c r="DJ26" i="10" s="1"/>
  <c r="DO26" i="10" s="1"/>
  <c r="DT26" i="10" s="1"/>
  <c r="AI26" i="10"/>
  <c r="AC24" i="10"/>
  <c r="AD24" i="10"/>
  <c r="AB24" i="10"/>
  <c r="AE24" i="10"/>
  <c r="BF40" i="10"/>
  <c r="AL40" i="10"/>
  <c r="R40" i="10"/>
  <c r="BF39" i="10"/>
  <c r="AL39" i="10"/>
  <c r="R39" i="10"/>
  <c r="BF38" i="10"/>
  <c r="AL38" i="10"/>
  <c r="R38" i="10"/>
  <c r="BF37" i="10"/>
  <c r="AL37" i="10"/>
  <c r="R37" i="10"/>
  <c r="BF36" i="10"/>
  <c r="AL36" i="10"/>
  <c r="R36" i="10"/>
  <c r="BF35" i="10"/>
  <c r="AL35" i="10"/>
  <c r="R35" i="10"/>
  <c r="BF34" i="10"/>
  <c r="AL34" i="10"/>
  <c r="R34" i="10"/>
  <c r="BF33" i="10"/>
  <c r="BB32" i="10"/>
  <c r="BC32" i="10"/>
  <c r="AD32" i="10"/>
  <c r="AE32" i="10"/>
  <c r="AH31" i="10"/>
  <c r="BQ31" i="10" s="1"/>
  <c r="BV31" i="10" s="1"/>
  <c r="CA31" i="10" s="1"/>
  <c r="CF31" i="10" s="1"/>
  <c r="CK31" i="10" s="1"/>
  <c r="CP31" i="10" s="1"/>
  <c r="CU31" i="10" s="1"/>
  <c r="CZ31" i="10" s="1"/>
  <c r="DE31" i="10" s="1"/>
  <c r="DJ31" i="10" s="1"/>
  <c r="DO31" i="10" s="1"/>
  <c r="DT31" i="10" s="1"/>
  <c r="AI31" i="10"/>
  <c r="AD30" i="10"/>
  <c r="AE30" i="10"/>
  <c r="AX29" i="10"/>
  <c r="AY29" i="10"/>
  <c r="AX28" i="10"/>
  <c r="AY28" i="10"/>
  <c r="AD28" i="10"/>
  <c r="AE28" i="10"/>
  <c r="BB27" i="10"/>
  <c r="BC27" i="10"/>
  <c r="AH27" i="10"/>
  <c r="BQ27" i="10" s="1"/>
  <c r="BV27" i="10" s="1"/>
  <c r="CA27" i="10" s="1"/>
  <c r="CF27" i="10" s="1"/>
  <c r="CK27" i="10" s="1"/>
  <c r="CP27" i="10" s="1"/>
  <c r="CU27" i="10" s="1"/>
  <c r="CZ27" i="10" s="1"/>
  <c r="DE27" i="10" s="1"/>
  <c r="DJ27" i="10" s="1"/>
  <c r="DO27" i="10" s="1"/>
  <c r="DT27" i="10" s="1"/>
  <c r="AI27" i="10"/>
  <c r="N27" i="10"/>
  <c r="O27" i="10"/>
  <c r="AW23" i="10"/>
  <c r="AX23" i="10"/>
  <c r="AV23" i="10"/>
  <c r="AY23" i="10"/>
  <c r="Y23" i="10"/>
  <c r="Z23" i="10"/>
  <c r="W23" i="10"/>
  <c r="X23" i="10"/>
  <c r="N33" i="10"/>
  <c r="O33" i="10"/>
  <c r="BD32" i="10"/>
  <c r="AH32" i="10"/>
  <c r="BQ32" i="10" s="1"/>
  <c r="BV32" i="10" s="1"/>
  <c r="CA32" i="10" s="1"/>
  <c r="CF32" i="10" s="1"/>
  <c r="CK32" i="10" s="1"/>
  <c r="CP32" i="10" s="1"/>
  <c r="CU32" i="10" s="1"/>
  <c r="CZ32" i="10" s="1"/>
  <c r="DE32" i="10" s="1"/>
  <c r="DJ32" i="10" s="1"/>
  <c r="DO32" i="10" s="1"/>
  <c r="DT32" i="10" s="1"/>
  <c r="AI32" i="10"/>
  <c r="AC32" i="10"/>
  <c r="AJ31" i="10"/>
  <c r="N31" i="10"/>
  <c r="O31" i="10"/>
  <c r="AH30" i="10"/>
  <c r="BQ30" i="10" s="1"/>
  <c r="BV30" i="10" s="1"/>
  <c r="CA30" i="10" s="1"/>
  <c r="CF30" i="10" s="1"/>
  <c r="CK30" i="10" s="1"/>
  <c r="CP30" i="10" s="1"/>
  <c r="CU30" i="10" s="1"/>
  <c r="CZ30" i="10" s="1"/>
  <c r="DE30" i="10" s="1"/>
  <c r="DJ30" i="10" s="1"/>
  <c r="AI30" i="10"/>
  <c r="AC30" i="10"/>
  <c r="BB29" i="10"/>
  <c r="BC29" i="10"/>
  <c r="AW29" i="10"/>
  <c r="AD29" i="10"/>
  <c r="AE29" i="10"/>
  <c r="BB28" i="10"/>
  <c r="BC28" i="10"/>
  <c r="AW28" i="10"/>
  <c r="AH28" i="10"/>
  <c r="BQ28" i="10" s="1"/>
  <c r="BV28" i="10" s="1"/>
  <c r="CA28" i="10" s="1"/>
  <c r="CF28" i="10" s="1"/>
  <c r="CK28" i="10" s="1"/>
  <c r="CP28" i="10" s="1"/>
  <c r="CU28" i="10" s="1"/>
  <c r="CZ28" i="10" s="1"/>
  <c r="DE28" i="10" s="1"/>
  <c r="DJ28" i="10" s="1"/>
  <c r="DO28" i="10" s="1"/>
  <c r="DT28" i="10" s="1"/>
  <c r="AI28" i="10"/>
  <c r="AC28" i="10"/>
  <c r="N28" i="10"/>
  <c r="O28" i="10"/>
  <c r="BD27" i="10"/>
  <c r="AJ27" i="10"/>
  <c r="P27" i="10"/>
  <c r="AC26" i="10"/>
  <c r="AD26" i="10"/>
  <c r="AE26" i="10"/>
  <c r="S33" i="10"/>
  <c r="BG32" i="10"/>
  <c r="AM32" i="10"/>
  <c r="S32" i="10"/>
  <c r="BG31" i="10"/>
  <c r="AM31" i="10"/>
  <c r="S31" i="10"/>
  <c r="BG30" i="10"/>
  <c r="AM30" i="10"/>
  <c r="S30" i="10"/>
  <c r="BG29" i="10"/>
  <c r="AM29" i="10"/>
  <c r="W29" i="10"/>
  <c r="S29" i="10"/>
  <c r="BG28" i="10"/>
  <c r="AQ28" i="10"/>
  <c r="AM28" i="10"/>
  <c r="W28" i="10"/>
  <c r="S28" i="10"/>
  <c r="BG27" i="10"/>
  <c r="AQ27" i="10"/>
  <c r="AM27" i="10"/>
  <c r="W27" i="10"/>
  <c r="S27" i="10"/>
  <c r="BG26" i="10"/>
  <c r="AQ26" i="10"/>
  <c r="AM26" i="10"/>
  <c r="W26" i="10"/>
  <c r="S26" i="10"/>
  <c r="O26" i="10"/>
  <c r="BK25" i="10"/>
  <c r="BG25" i="10"/>
  <c r="AS25" i="10"/>
  <c r="AT25" i="10"/>
  <c r="BM24" i="10"/>
  <c r="BN24" i="10"/>
  <c r="AC23" i="10"/>
  <c r="AD23" i="10"/>
  <c r="BL21" i="10"/>
  <c r="AS21" i="10"/>
  <c r="AT21" i="10"/>
  <c r="BM20" i="10"/>
  <c r="BN20" i="10"/>
  <c r="AE20" i="10"/>
  <c r="N26" i="10"/>
  <c r="AW25" i="10"/>
  <c r="AX25" i="10"/>
  <c r="AR25" i="10"/>
  <c r="Y25" i="10"/>
  <c r="Z25" i="10"/>
  <c r="BL24" i="10"/>
  <c r="AS24" i="10"/>
  <c r="AT24" i="10"/>
  <c r="BM23" i="10"/>
  <c r="BN23" i="10"/>
  <c r="AE23" i="10"/>
  <c r="BM22" i="10"/>
  <c r="BN22" i="10"/>
  <c r="AS22" i="10"/>
  <c r="AT22" i="10"/>
  <c r="Y22" i="10"/>
  <c r="Z22" i="10"/>
  <c r="AW21" i="10"/>
  <c r="AX21" i="10"/>
  <c r="AR21" i="10"/>
  <c r="Y21" i="10"/>
  <c r="Z21" i="10"/>
  <c r="BL20" i="10"/>
  <c r="AS20" i="10"/>
  <c r="AT20" i="10"/>
  <c r="AE19" i="10"/>
  <c r="AC19" i="10"/>
  <c r="AD19" i="10"/>
  <c r="AC25" i="10"/>
  <c r="AD25" i="10"/>
  <c r="Y24" i="10"/>
  <c r="Z24" i="10"/>
  <c r="AS23" i="10"/>
  <c r="AT23" i="10"/>
  <c r="AW22" i="10"/>
  <c r="AX22" i="10"/>
  <c r="AC22" i="10"/>
  <c r="AD22" i="10"/>
  <c r="AC21" i="10"/>
  <c r="AD21" i="10"/>
  <c r="AW20" i="10"/>
  <c r="AX20" i="10"/>
  <c r="Y20" i="10"/>
  <c r="Z20" i="10"/>
  <c r="AY19" i="10"/>
  <c r="AW19" i="10"/>
  <c r="AX19" i="10"/>
  <c r="BM21" i="10"/>
  <c r="BN21" i="10"/>
  <c r="AC20" i="10"/>
  <c r="AD20" i="10"/>
  <c r="AH25" i="10"/>
  <c r="BQ25" i="10" s="1"/>
  <c r="BV25" i="10" s="1"/>
  <c r="CA25" i="10" s="1"/>
  <c r="CF25" i="10" s="1"/>
  <c r="CK25" i="10" s="1"/>
  <c r="CP25" i="10" s="1"/>
  <c r="CU25" i="10" s="1"/>
  <c r="CZ25" i="10" s="1"/>
  <c r="DE25" i="10" s="1"/>
  <c r="DJ25" i="10" s="1"/>
  <c r="DO25" i="10" s="1"/>
  <c r="DT25" i="10" s="1"/>
  <c r="N25" i="10"/>
  <c r="BB24" i="10"/>
  <c r="AH24" i="10"/>
  <c r="BQ24" i="10" s="1"/>
  <c r="BV24" i="10" s="1"/>
  <c r="CA24" i="10" s="1"/>
  <c r="CF24" i="10" s="1"/>
  <c r="CK24" i="10" s="1"/>
  <c r="CP24" i="10" s="1"/>
  <c r="CU24" i="10" s="1"/>
  <c r="CZ24" i="10" s="1"/>
  <c r="DE24" i="10" s="1"/>
  <c r="N24" i="10"/>
  <c r="BB23" i="10"/>
  <c r="AH23" i="10"/>
  <c r="BQ23" i="10" s="1"/>
  <c r="BV23" i="10" s="1"/>
  <c r="CA23" i="10" s="1"/>
  <c r="CF23" i="10" s="1"/>
  <c r="CK23" i="10" s="1"/>
  <c r="CP23" i="10" s="1"/>
  <c r="CU23" i="10" s="1"/>
  <c r="CZ23" i="10" s="1"/>
  <c r="DE23" i="10" s="1"/>
  <c r="DJ23" i="10" s="1"/>
  <c r="DO23" i="10" s="1"/>
  <c r="DT23" i="10" s="1"/>
  <c r="R23" i="10"/>
  <c r="N23" i="10"/>
  <c r="BF22" i="10"/>
  <c r="BB22" i="10"/>
  <c r="AL22" i="10"/>
  <c r="AH22" i="10"/>
  <c r="BQ22" i="10" s="1"/>
  <c r="BV22" i="10" s="1"/>
  <c r="CA22" i="10" s="1"/>
  <c r="CF22" i="10" s="1"/>
  <c r="CK22" i="10" s="1"/>
  <c r="CP22" i="10" s="1"/>
  <c r="CU22" i="10" s="1"/>
  <c r="CZ22" i="10" s="1"/>
  <c r="DE22" i="10" s="1"/>
  <c r="DJ22" i="10" s="1"/>
  <c r="DO22" i="10" s="1"/>
  <c r="DT22" i="10" s="1"/>
  <c r="R22" i="10"/>
  <c r="N22" i="10"/>
  <c r="BB21" i="10"/>
  <c r="AH21" i="10"/>
  <c r="BQ21" i="10" s="1"/>
  <c r="BV21" i="10" s="1"/>
  <c r="CA21" i="10" s="1"/>
  <c r="CF21" i="10" s="1"/>
  <c r="CK21" i="10" s="1"/>
  <c r="CP21" i="10" s="1"/>
  <c r="CU21" i="10" s="1"/>
  <c r="CZ21" i="10" s="1"/>
  <c r="DE21" i="10" s="1"/>
  <c r="DJ21" i="10" s="1"/>
  <c r="DO21" i="10" s="1"/>
  <c r="DT21" i="10" s="1"/>
  <c r="N21" i="10"/>
  <c r="BB20" i="10"/>
  <c r="AH20" i="10"/>
  <c r="BQ20" i="10" s="1"/>
  <c r="BV20" i="10" s="1"/>
  <c r="CA20" i="10" s="1"/>
  <c r="CF20" i="10" s="1"/>
  <c r="CK20" i="10" s="1"/>
  <c r="CP20" i="10" s="1"/>
  <c r="CU20" i="10" s="1"/>
  <c r="CZ20" i="10" s="1"/>
  <c r="DE20" i="10" s="1"/>
  <c r="DJ20" i="10" s="1"/>
  <c r="DO20" i="10" s="1"/>
  <c r="DT20" i="10" s="1"/>
  <c r="N20" i="10"/>
  <c r="BN19" i="10"/>
  <c r="BB19" i="10"/>
  <c r="AT19" i="10"/>
  <c r="AH19" i="10"/>
  <c r="Z19" i="10"/>
  <c r="N19" i="10"/>
  <c r="BM19" i="10"/>
  <c r="AS19" i="10"/>
  <c r="Y19" i="10"/>
  <c r="BN61" i="9"/>
  <c r="BJ61" i="9"/>
  <c r="AX61" i="9"/>
  <c r="BJ13" i="9"/>
  <c r="BI12" i="9"/>
  <c r="BM61" i="9"/>
  <c r="BI61" i="9"/>
  <c r="BH61" i="9"/>
  <c r="BH14" i="9"/>
  <c r="BD14" i="9"/>
  <c r="BI14" i="9" s="1"/>
  <c r="BN14" i="9" s="1"/>
  <c r="BB14" i="9"/>
  <c r="BE9" i="9"/>
  <c r="BJ9" i="9" s="1"/>
  <c r="BO9" i="9" s="1"/>
  <c r="AX375" i="47"/>
  <c r="AC362" i="47"/>
  <c r="BO358" i="47"/>
  <c r="AS316" i="47"/>
  <c r="AR290" i="47"/>
  <c r="AQ277" i="47"/>
  <c r="AQ281" i="47" s="1"/>
  <c r="AP281" i="47"/>
  <c r="AN362" i="47"/>
  <c r="AR362" i="47"/>
  <c r="AN316" i="47"/>
  <c r="AR315" i="47"/>
  <c r="BD322" i="47"/>
  <c r="BE322" i="47" s="1"/>
  <c r="BN320" i="47"/>
  <c r="BO320" i="47" s="1"/>
  <c r="BG292" i="47"/>
  <c r="BA292" i="47"/>
  <c r="AQ371" i="47"/>
  <c r="AE362" i="47"/>
  <c r="AT292" i="47"/>
  <c r="AV276" i="47"/>
  <c r="AU276" i="47" s="1"/>
  <c r="AT276" i="47" s="1"/>
  <c r="AS276" i="47" s="1"/>
  <c r="BB276" i="47"/>
  <c r="AU268" i="47"/>
  <c r="AV268" i="47" s="1"/>
  <c r="AW268" i="47" s="1"/>
  <c r="AX268" i="47" s="1"/>
  <c r="AY268" i="47" s="1"/>
  <c r="AZ268" i="47" s="1"/>
  <c r="BA268" i="47" s="1"/>
  <c r="BB268" i="47" s="1"/>
  <c r="BC268" i="47" s="1"/>
  <c r="BD268" i="47" s="1"/>
  <c r="BE268" i="47" s="1"/>
  <c r="BF268" i="47" s="1"/>
  <c r="BG268" i="47" s="1"/>
  <c r="BH268" i="47" s="1"/>
  <c r="BI268" i="47" s="1"/>
  <c r="BJ268" i="47" s="1"/>
  <c r="BK268" i="47" s="1"/>
  <c r="BL268" i="47" s="1"/>
  <c r="BM268" i="47" s="1"/>
  <c r="BN268" i="47" s="1"/>
  <c r="BO268" i="47" s="1"/>
  <c r="BP268" i="47" s="1"/>
  <c r="BQ268" i="47" s="1"/>
  <c r="AI362" i="47"/>
  <c r="BP358" i="47"/>
  <c r="AL318" i="47"/>
  <c r="AT281" i="47"/>
  <c r="AL323" i="47"/>
  <c r="BQ323" i="47"/>
  <c r="AX322" i="47"/>
  <c r="AY322" i="47" s="1"/>
  <c r="BN321" i="47"/>
  <c r="BI321" i="47"/>
  <c r="BJ321" i="47" s="1"/>
  <c r="BD321" i="47"/>
  <c r="BE321" i="47" s="1"/>
  <c r="AY321" i="47"/>
  <c r="AZ321" i="47" s="1"/>
  <c r="BH320" i="47"/>
  <c r="BI320" i="47" s="1"/>
  <c r="AM290" i="47"/>
  <c r="AS281" i="47"/>
  <c r="AO281" i="47"/>
  <c r="AN269" i="47"/>
  <c r="BZ266" i="47"/>
  <c r="AN259" i="47"/>
  <c r="AS253" i="47"/>
  <c r="AP323" i="47"/>
  <c r="BL323" i="47"/>
  <c r="BM322" i="47"/>
  <c r="BC320" i="47"/>
  <c r="BD320" i="47" s="1"/>
  <c r="BH322" i="47"/>
  <c r="BI322" i="47" s="1"/>
  <c r="AX320" i="47"/>
  <c r="AU315" i="47"/>
  <c r="AU316" i="47" s="1"/>
  <c r="AU318" i="47" s="1"/>
  <c r="AI315" i="47"/>
  <c r="AE315" i="47"/>
  <c r="AE316" i="47" s="1"/>
  <c r="AH316" i="47" s="1"/>
  <c r="AH318" i="47" s="1"/>
  <c r="AA315" i="47"/>
  <c r="AA316" i="47" s="1"/>
  <c r="AC316" i="47" s="1"/>
  <c r="AC318" i="47" s="1"/>
  <c r="AQ276" i="47"/>
  <c r="AP276" i="47" s="1"/>
  <c r="AO276" i="47" s="1"/>
  <c r="AN276" i="47" s="1"/>
  <c r="AN283" i="47" s="1"/>
  <c r="BB323" i="47"/>
  <c r="AO269" i="47"/>
  <c r="AO271" i="47" s="1"/>
  <c r="AO273" i="47" s="1"/>
  <c r="AW264" i="47"/>
  <c r="BW243" i="47"/>
  <c r="AW243" i="47"/>
  <c r="AQ242" i="47"/>
  <c r="AP242" i="47" s="1"/>
  <c r="AO242" i="47" s="1"/>
  <c r="AN242" i="47" s="1"/>
  <c r="AM238" i="47"/>
  <c r="BD236" i="47"/>
  <c r="AZ236" i="47"/>
  <c r="AV236" i="47"/>
  <c r="U212" i="47"/>
  <c r="BB207" i="47"/>
  <c r="AM207" i="47"/>
  <c r="BJ199" i="47"/>
  <c r="BN195" i="47"/>
  <c r="BO199" i="47"/>
  <c r="BI199" i="47"/>
  <c r="BH195" i="47"/>
  <c r="BH199" i="47" s="1"/>
  <c r="BD195" i="47"/>
  <c r="BE199" i="47"/>
  <c r="AY195" i="47"/>
  <c r="AZ199" i="47"/>
  <c r="AT195" i="47"/>
  <c r="AU199" i="47"/>
  <c r="AO199" i="47"/>
  <c r="AN195" i="47"/>
  <c r="AN199" i="47" s="1"/>
  <c r="AJ195" i="47"/>
  <c r="AK199" i="47"/>
  <c r="AE195" i="47"/>
  <c r="AF199" i="47"/>
  <c r="Z195" i="47"/>
  <c r="AK189" i="47"/>
  <c r="BU254" i="47"/>
  <c r="CH255" i="47"/>
  <c r="BB242" i="47"/>
  <c r="AY236" i="47"/>
  <c r="AU236" i="47"/>
  <c r="BG207" i="47"/>
  <c r="AO253" i="47"/>
  <c r="BW244" i="47"/>
  <c r="BW246" i="47" s="1"/>
  <c r="AX236" i="47"/>
  <c r="AI176" i="47"/>
  <c r="AI190" i="47" s="1"/>
  <c r="W209" i="47"/>
  <c r="AP199" i="47"/>
  <c r="Z174" i="47"/>
  <c r="AJ211" i="47"/>
  <c r="AI209" i="47"/>
  <c r="X189" i="47"/>
  <c r="X192" i="47" s="1"/>
  <c r="AP182" i="47"/>
  <c r="AO182" i="47" s="1"/>
  <c r="AN182" i="47" s="1"/>
  <c r="AC175" i="47"/>
  <c r="AC178" i="47" s="1"/>
  <c r="AX175" i="47"/>
  <c r="AY175" i="47" s="1"/>
  <c r="AE157" i="47"/>
  <c r="AH159" i="47"/>
  <c r="AB157" i="47"/>
  <c r="X151" i="47"/>
  <c r="X157" i="47"/>
  <c r="AC188" i="47"/>
  <c r="AM159" i="47"/>
  <c r="BC175" i="47"/>
  <c r="BD175" i="47" s="1"/>
  <c r="BG175" i="47"/>
  <c r="BA175" i="47"/>
  <c r="AZ175" i="47" s="1"/>
  <c r="AR136" i="47"/>
  <c r="AH163" i="47"/>
  <c r="Z163" i="47"/>
  <c r="AC159" i="47"/>
  <c r="Z138" i="47"/>
  <c r="AA138" i="47" s="1"/>
  <c r="AB138" i="47" s="1"/>
  <c r="AE136" i="47"/>
  <c r="AP147" i="47"/>
  <c r="AR147" i="47" s="1"/>
  <c r="AH142" i="47"/>
  <c r="AI142" i="47" s="1"/>
  <c r="AA142" i="47"/>
  <c r="AM142" i="47"/>
  <c r="AN142" i="47" s="1"/>
  <c r="AE113" i="47"/>
  <c r="AD113" i="47" s="1"/>
  <c r="AD115" i="47" s="1"/>
  <c r="AF115" i="47"/>
  <c r="AF124" i="47" s="1"/>
  <c r="AC114" i="47"/>
  <c r="AN63" i="47"/>
  <c r="BI63" i="47"/>
  <c r="BI96" i="47"/>
  <c r="AG63" i="47"/>
  <c r="AY92" i="47"/>
  <c r="BB92" i="47" s="1"/>
  <c r="BF92" i="47"/>
  <c r="BN78" i="47"/>
  <c r="BL74" i="47"/>
  <c r="BJ75" i="47"/>
  <c r="BL75" i="47" s="1"/>
  <c r="BL168" i="47" s="1"/>
  <c r="BQ73" i="47"/>
  <c r="AI111" i="47"/>
  <c r="BK81" i="47"/>
  <c r="BK207" i="47" s="1"/>
  <c r="BQ74" i="47"/>
  <c r="BN75" i="47"/>
  <c r="AR74" i="47"/>
  <c r="AP75" i="47"/>
  <c r="AH73" i="47"/>
  <c r="AF75" i="47"/>
  <c r="AH75" i="47" s="1"/>
  <c r="AH168" i="47" s="1"/>
  <c r="BF63" i="47"/>
  <c r="AS63" i="47"/>
  <c r="AM120" i="47"/>
  <c r="AA120" i="47"/>
  <c r="AC121" i="47"/>
  <c r="AB113" i="47"/>
  <c r="AA113" i="47" s="1"/>
  <c r="Z113" i="47" s="1"/>
  <c r="BC92" i="47"/>
  <c r="AT75" i="47"/>
  <c r="AH94" i="47"/>
  <c r="AM94" i="47"/>
  <c r="AG92" i="47"/>
  <c r="AG141" i="47" s="1"/>
  <c r="BB75" i="47"/>
  <c r="BB168" i="47" s="1"/>
  <c r="AM75" i="47"/>
  <c r="AC74" i="47"/>
  <c r="Z75" i="47"/>
  <c r="AC75" i="47" s="1"/>
  <c r="AC168" i="47" s="1"/>
  <c r="AM70" i="47"/>
  <c r="BJ63" i="47"/>
  <c r="BJ96" i="47"/>
  <c r="Y63" i="47"/>
  <c r="AH67" i="47"/>
  <c r="AD62" i="47"/>
  <c r="AH62" i="47" s="1"/>
  <c r="BL66" i="47"/>
  <c r="BL61" i="47"/>
  <c r="BD61" i="47"/>
  <c r="AR66" i="47"/>
  <c r="AR61" i="47"/>
  <c r="BD62" i="47"/>
  <c r="BD206" i="47" s="1"/>
  <c r="AT61" i="47"/>
  <c r="AC67" i="47"/>
  <c r="BG66" i="47"/>
  <c r="BC61" i="47"/>
  <c r="AY61" i="47"/>
  <c r="AU61" i="47"/>
  <c r="AM66" i="47"/>
  <c r="AE61" i="47"/>
  <c r="AE63" i="47" s="1"/>
  <c r="AA61" i="47"/>
  <c r="AA63" i="47" s="1"/>
  <c r="BH34" i="47"/>
  <c r="Z61" i="47"/>
  <c r="Z63" i="47" s="1"/>
  <c r="AM67" i="47"/>
  <c r="Z38" i="47"/>
  <c r="Z97" i="44" s="1"/>
  <c r="Z43" i="47"/>
  <c r="AL10" i="47"/>
  <c r="AL15" i="47"/>
  <c r="AL17" i="47" s="1"/>
  <c r="AY34" i="47"/>
  <c r="AY43" i="4" s="1"/>
  <c r="AY151" i="4" s="1"/>
  <c r="BK19" i="47"/>
  <c r="BF20" i="47"/>
  <c r="BL25" i="47"/>
  <c r="BO19" i="47"/>
  <c r="BO20" i="47" s="1"/>
  <c r="BJ20" i="47"/>
  <c r="BD19" i="47"/>
  <c r="BB19" i="47"/>
  <c r="BB20" i="47" s="1"/>
  <c r="AY20" i="47"/>
  <c r="BN25" i="47"/>
  <c r="BQ25" i="47" s="1"/>
  <c r="AE79" i="45"/>
  <c r="AG79" i="45"/>
  <c r="AD79" i="45"/>
  <c r="AF79" i="45"/>
  <c r="AS58" i="45"/>
  <c r="AC71" i="45"/>
  <c r="AH62" i="45"/>
  <c r="BG47" i="45"/>
  <c r="BD52" i="45"/>
  <c r="BD35" i="44" s="1"/>
  <c r="BF52" i="45"/>
  <c r="BF35" i="44" s="1"/>
  <c r="BC52" i="45"/>
  <c r="BC35" i="44" s="1"/>
  <c r="BE52" i="45"/>
  <c r="BE35" i="44" s="1"/>
  <c r="Y67" i="45"/>
  <c r="AC67" i="45"/>
  <c r="AH75" i="45" s="1"/>
  <c r="AG67" i="45"/>
  <c r="AK67" i="45"/>
  <c r="AO67" i="45"/>
  <c r="AS67" i="45"/>
  <c r="AU67" i="45"/>
  <c r="AY67" i="45"/>
  <c r="BC67" i="45"/>
  <c r="BG67" i="45"/>
  <c r="BG50" i="44" s="1"/>
  <c r="BK67" i="45"/>
  <c r="BO67" i="45"/>
  <c r="X67" i="45"/>
  <c r="X78" i="45" s="1"/>
  <c r="AB67" i="45"/>
  <c r="AF67" i="45"/>
  <c r="AJ67" i="45"/>
  <c r="AN67" i="45"/>
  <c r="AR67" i="45"/>
  <c r="AW75" i="45" s="1"/>
  <c r="AT67" i="45"/>
  <c r="AX67" i="45"/>
  <c r="BB50" i="44"/>
  <c r="BF67" i="45"/>
  <c r="BJ67" i="45"/>
  <c r="BN67" i="45"/>
  <c r="AC78" i="45"/>
  <c r="AB79" i="45" s="1"/>
  <c r="AC62" i="45"/>
  <c r="AZ52" i="45"/>
  <c r="AZ35" i="44" s="1"/>
  <c r="BB47" i="45"/>
  <c r="BA52" i="45"/>
  <c r="BA35" i="44" s="1"/>
  <c r="AX52" i="45"/>
  <c r="AX35" i="44" s="1"/>
  <c r="AY52" i="45"/>
  <c r="AY35" i="44" s="1"/>
  <c r="AM52" i="45"/>
  <c r="BL52" i="45"/>
  <c r="AR50" i="45"/>
  <c r="AM50" i="45"/>
  <c r="BU51" i="45"/>
  <c r="AG48" i="45"/>
  <c r="AQ52" i="45"/>
  <c r="AP52" i="45"/>
  <c r="AN52" i="45"/>
  <c r="AO52" i="45"/>
  <c r="BM67" i="45"/>
  <c r="BE67" i="45"/>
  <c r="AM67" i="45"/>
  <c r="AE67" i="45"/>
  <c r="AY58" i="45"/>
  <c r="Y48" i="45"/>
  <c r="AA48" i="45"/>
  <c r="AB48" i="45"/>
  <c r="Z48" i="45"/>
  <c r="BQ49" i="45"/>
  <c r="AI49" i="45"/>
  <c r="AK49" i="45"/>
  <c r="AL49" i="45"/>
  <c r="AJ49" i="45"/>
  <c r="AH49" i="45"/>
  <c r="AE26" i="45"/>
  <c r="AT19" i="45"/>
  <c r="AT21" i="45" s="1"/>
  <c r="BM12" i="45"/>
  <c r="AP10" i="45"/>
  <c r="AP15" i="45"/>
  <c r="AP17" i="45" s="1"/>
  <c r="AP20" i="4" s="1"/>
  <c r="AP24" i="4" s="1"/>
  <c r="AM48" i="45"/>
  <c r="AG32" i="45"/>
  <c r="AI19" i="45"/>
  <c r="AD19" i="45"/>
  <c r="Y19" i="45"/>
  <c r="X26" i="45"/>
  <c r="BA12" i="45"/>
  <c r="BB12" i="45" s="1"/>
  <c r="BM14" i="45"/>
  <c r="AJ24" i="45"/>
  <c r="BI12" i="45"/>
  <c r="AK10" i="45"/>
  <c r="AG37" i="45"/>
  <c r="AQ32" i="45"/>
  <c r="AQ96" i="44" s="1"/>
  <c r="AK28" i="45"/>
  <c r="AR26" i="45"/>
  <c r="AN26" i="45"/>
  <c r="AF26" i="45"/>
  <c r="BA14" i="45"/>
  <c r="BF14" i="45" s="1"/>
  <c r="BK14" i="45" s="1"/>
  <c r="BP14" i="45" s="1"/>
  <c r="BI14" i="45"/>
  <c r="BN14" i="45" s="1"/>
  <c r="AJ10" i="45"/>
  <c r="AQ9" i="45"/>
  <c r="AQ10" i="45" s="1"/>
  <c r="AL9" i="45"/>
  <c r="AC223" i="8"/>
  <c r="AL235" i="8"/>
  <c r="AQ177" i="8"/>
  <c r="AM177" i="8"/>
  <c r="AI177" i="8"/>
  <c r="AH177" i="8"/>
  <c r="AD177" i="8"/>
  <c r="AM219" i="8"/>
  <c r="AM226" i="8" s="1"/>
  <c r="AI219" i="8"/>
  <c r="Z196" i="8"/>
  <c r="Z188" i="8" s="1"/>
  <c r="AD235" i="8"/>
  <c r="Y235" i="8"/>
  <c r="AH219" i="8"/>
  <c r="AH226" i="8" s="1"/>
  <c r="AD196" i="8"/>
  <c r="AD188" i="8" s="1"/>
  <c r="AF177" i="8"/>
  <c r="AB177" i="8"/>
  <c r="AL196" i="8"/>
  <c r="AL194" i="8" s="1"/>
  <c r="AL232" i="8" s="1"/>
  <c r="AP196" i="8"/>
  <c r="AP188" i="8" s="1"/>
  <c r="AH196" i="8"/>
  <c r="AH197" i="8" s="1"/>
  <c r="AB187" i="8"/>
  <c r="AN177" i="8"/>
  <c r="AR177" i="8"/>
  <c r="AJ177" i="8"/>
  <c r="AE177" i="8"/>
  <c r="AI194" i="8"/>
  <c r="AI232" i="8" s="1"/>
  <c r="AE194" i="8"/>
  <c r="AE232" i="8" s="1"/>
  <c r="AI191" i="8"/>
  <c r="AE191" i="8"/>
  <c r="AL177" i="8"/>
  <c r="AG177" i="8"/>
  <c r="AA177" i="8"/>
  <c r="AZ126" i="8"/>
  <c r="AP177" i="8"/>
  <c r="AK177" i="8"/>
  <c r="Z177" i="8"/>
  <c r="AO194" i="8"/>
  <c r="AO232" i="8" s="1"/>
  <c r="AQ193" i="8"/>
  <c r="AO191" i="8"/>
  <c r="AG186" i="8"/>
  <c r="AG183" i="8"/>
  <c r="AG179" i="8" s="1"/>
  <c r="Y177" i="8"/>
  <c r="AF197" i="8"/>
  <c r="X197" i="8"/>
  <c r="BN163" i="8"/>
  <c r="BN165" i="8" s="1"/>
  <c r="AX14" i="8"/>
  <c r="AS120" i="8"/>
  <c r="AS126" i="8" s="1"/>
  <c r="AO120" i="8"/>
  <c r="AK120" i="8"/>
  <c r="AK126" i="8" s="1"/>
  <c r="AC120" i="8"/>
  <c r="Y120" i="8"/>
  <c r="AL118" i="8"/>
  <c r="AL120" i="8" s="1"/>
  <c r="AL126" i="8" s="1"/>
  <c r="AF118" i="8"/>
  <c r="AF120" i="8" s="1"/>
  <c r="AT113" i="8"/>
  <c r="AT57" i="8" s="1"/>
  <c r="AS110" i="8"/>
  <c r="AS56" i="8" s="1"/>
  <c r="AI110" i="8"/>
  <c r="AI56" i="8" s="1"/>
  <c r="AR104" i="8"/>
  <c r="AR105" i="8" s="1"/>
  <c r="AN104" i="8"/>
  <c r="AN105" i="8" s="1"/>
  <c r="AJ104" i="8"/>
  <c r="AJ105" i="8" s="1"/>
  <c r="AF104" i="8"/>
  <c r="AF105" i="8" s="1"/>
  <c r="AP118" i="8"/>
  <c r="AP120" i="8" s="1"/>
  <c r="Z118" i="8"/>
  <c r="Z120" i="8" s="1"/>
  <c r="AA126" i="8" s="1"/>
  <c r="AM110" i="8"/>
  <c r="AM56" i="8" s="1"/>
  <c r="AG91" i="8"/>
  <c r="AQ89" i="8"/>
  <c r="AZ89" i="8"/>
  <c r="AU91" i="8"/>
  <c r="AU93" i="8"/>
  <c r="AU48" i="8" s="1"/>
  <c r="BO132" i="8"/>
  <c r="BO95" i="4" s="1"/>
  <c r="BL129" i="8"/>
  <c r="AY132" i="8"/>
  <c r="AY95" i="4" s="1"/>
  <c r="BQ129" i="8"/>
  <c r="AT118" i="8"/>
  <c r="AT120" i="8" s="1"/>
  <c r="AU126" i="8" s="1"/>
  <c r="AD118" i="8"/>
  <c r="AD120" i="8" s="1"/>
  <c r="AE126" i="8" s="1"/>
  <c r="AZ112" i="8"/>
  <c r="AU113" i="8"/>
  <c r="AU57" i="8" s="1"/>
  <c r="AQ113" i="8"/>
  <c r="AQ57" i="8" s="1"/>
  <c r="AM113" i="8"/>
  <c r="AM57" i="8" s="1"/>
  <c r="AI113" i="8"/>
  <c r="AI57" i="8" s="1"/>
  <c r="AE113" i="8"/>
  <c r="AE57" i="8" s="1"/>
  <c r="AK96" i="8"/>
  <c r="Y96" i="8"/>
  <c r="AP93" i="8"/>
  <c r="AP48" i="8" s="1"/>
  <c r="AL93" i="8"/>
  <c r="AL48" i="8" s="1"/>
  <c r="AH118" i="8"/>
  <c r="AH120" i="8" s="1"/>
  <c r="AI126" i="8" s="1"/>
  <c r="AT110" i="8"/>
  <c r="AT56" i="8" s="1"/>
  <c r="AS105" i="8"/>
  <c r="AG105" i="8"/>
  <c r="AC105" i="8"/>
  <c r="AX91" i="8"/>
  <c r="AC93" i="8"/>
  <c r="AC48" i="8" s="1"/>
  <c r="X91" i="8"/>
  <c r="X96" i="8" s="1"/>
  <c r="AL91" i="8"/>
  <c r="Z94" i="8"/>
  <c r="AP79" i="8"/>
  <c r="AP80" i="8"/>
  <c r="AP70" i="8"/>
  <c r="AP71" i="8"/>
  <c r="AP72" i="8"/>
  <c r="AP73" i="8"/>
  <c r="AP74" i="8"/>
  <c r="AP69" i="8"/>
  <c r="AP76" i="8"/>
  <c r="AP77" i="8"/>
  <c r="AL71" i="8"/>
  <c r="AL76" i="8"/>
  <c r="AL77" i="8"/>
  <c r="AL70" i="8"/>
  <c r="AL74" i="8"/>
  <c r="AL79" i="8"/>
  <c r="AL80" i="8"/>
  <c r="AL69" i="8"/>
  <c r="AL73" i="8"/>
  <c r="AL72" i="8"/>
  <c r="AG76" i="8"/>
  <c r="AG77" i="8"/>
  <c r="AF79" i="8"/>
  <c r="AF80" i="8"/>
  <c r="AD69" i="8"/>
  <c r="AD70" i="8"/>
  <c r="AD71" i="8"/>
  <c r="AD72" i="8"/>
  <c r="AD73" i="8"/>
  <c r="AD74" i="8"/>
  <c r="AD76" i="8"/>
  <c r="AD77" i="8"/>
  <c r="AD79" i="8"/>
  <c r="AD80" i="8"/>
  <c r="Z69" i="8"/>
  <c r="Z70" i="8"/>
  <c r="Z71" i="8"/>
  <c r="Z72" i="8"/>
  <c r="Z73" i="8"/>
  <c r="Z74" i="8"/>
  <c r="Z76" i="8"/>
  <c r="Z77" i="8"/>
  <c r="Z79" i="8"/>
  <c r="Z80" i="8"/>
  <c r="AP81" i="8"/>
  <c r="Z81" i="8"/>
  <c r="AA90" i="8"/>
  <c r="BD90" i="8"/>
  <c r="AO69" i="8"/>
  <c r="AO70" i="8"/>
  <c r="AG69" i="8"/>
  <c r="AG70" i="8"/>
  <c r="AG71" i="8"/>
  <c r="AG72" i="8"/>
  <c r="AG73" i="8"/>
  <c r="Y69" i="8"/>
  <c r="Y70" i="8"/>
  <c r="Y71" i="8"/>
  <c r="Y72" i="8"/>
  <c r="Y73" i="8"/>
  <c r="Y74" i="8"/>
  <c r="AO81" i="8"/>
  <c r="AK81" i="8"/>
  <c r="AG81" i="8"/>
  <c r="Y81" i="8"/>
  <c r="AO80" i="8"/>
  <c r="AO79" i="8"/>
  <c r="AJ80" i="8"/>
  <c r="AE80" i="8"/>
  <c r="AE79" i="8"/>
  <c r="AK77" i="8"/>
  <c r="AK76" i="8"/>
  <c r="AF77" i="8"/>
  <c r="AA77" i="8"/>
  <c r="AQ74" i="8"/>
  <c r="AQ73" i="8"/>
  <c r="AQ72" i="8"/>
  <c r="AQ71" i="8"/>
  <c r="AQ70" i="8"/>
  <c r="AI74" i="8"/>
  <c r="AK71" i="8"/>
  <c r="AI70" i="8"/>
  <c r="AJ69" i="8"/>
  <c r="AJ70" i="8"/>
  <c r="AJ71" i="8"/>
  <c r="AJ72" i="8"/>
  <c r="AJ73" i="8"/>
  <c r="AJ74" i="8"/>
  <c r="AF69" i="8"/>
  <c r="AF70" i="8"/>
  <c r="AF71" i="8"/>
  <c r="AF72" i="8"/>
  <c r="AF73" i="8"/>
  <c r="AF74" i="8"/>
  <c r="AB69" i="8"/>
  <c r="AB70" i="8"/>
  <c r="AB71" i="8"/>
  <c r="AB72" i="8"/>
  <c r="AB73" i="8"/>
  <c r="AB74" i="8"/>
  <c r="AN81" i="8"/>
  <c r="AJ81" i="8"/>
  <c r="AF81" i="8"/>
  <c r="AB81" i="8"/>
  <c r="AN80" i="8"/>
  <c r="AN79" i="8"/>
  <c r="Y80" i="8"/>
  <c r="Y79" i="8"/>
  <c r="AO77" i="8"/>
  <c r="AO76" i="8"/>
  <c r="AJ77" i="8"/>
  <c r="AJ76" i="8"/>
  <c r="AE77" i="8"/>
  <c r="AN69" i="8"/>
  <c r="AK72" i="8"/>
  <c r="AI69" i="8"/>
  <c r="AE69" i="8"/>
  <c r="AE70" i="8"/>
  <c r="AE71" i="8"/>
  <c r="AE72" i="8"/>
  <c r="AE73" i="8"/>
  <c r="AE74" i="8"/>
  <c r="AA69" i="8"/>
  <c r="AA70" i="8"/>
  <c r="AA71" i="8"/>
  <c r="AA72" i="8"/>
  <c r="AA73" i="8"/>
  <c r="AA74" i="8"/>
  <c r="AQ81" i="8"/>
  <c r="AI81" i="8"/>
  <c r="AE81" i="8"/>
  <c r="AA81" i="8"/>
  <c r="AQ80" i="8"/>
  <c r="AG80" i="8"/>
  <c r="AG79" i="8"/>
  <c r="AB80" i="8"/>
  <c r="AB79" i="8"/>
  <c r="AN77" i="8"/>
  <c r="AN76" i="8"/>
  <c r="AI77" i="8"/>
  <c r="AI76" i="8"/>
  <c r="Y77" i="8"/>
  <c r="Y76" i="8"/>
  <c r="AO74" i="8"/>
  <c r="AO73" i="8"/>
  <c r="AO72" i="8"/>
  <c r="AO71" i="8"/>
  <c r="AK73" i="8"/>
  <c r="AI72" i="8"/>
  <c r="AG74" i="8"/>
  <c r="AE43" i="8"/>
  <c r="AE38" i="8"/>
  <c r="BB34" i="8"/>
  <c r="BD34" i="8"/>
  <c r="BI34" i="8" s="1"/>
  <c r="BN34" i="8" s="1"/>
  <c r="AJ43" i="8"/>
  <c r="AJ38" i="8"/>
  <c r="Z38" i="8"/>
  <c r="Z43" i="8"/>
  <c r="BG34" i="8"/>
  <c r="BH34" i="8"/>
  <c r="Y38" i="8"/>
  <c r="Y95" i="44" s="1"/>
  <c r="Y43" i="8"/>
  <c r="AB29" i="8"/>
  <c r="BM20" i="8"/>
  <c r="AG10" i="8"/>
  <c r="AG15" i="8"/>
  <c r="AG17" i="8" s="1"/>
  <c r="BB25" i="8"/>
  <c r="BG25" i="8" s="1"/>
  <c r="BL25" i="8" s="1"/>
  <c r="BQ25" i="8" s="1"/>
  <c r="BA25" i="8"/>
  <c r="BF25" i="8" s="1"/>
  <c r="BK25" i="8" s="1"/>
  <c r="BP25" i="8" s="1"/>
  <c r="AQ10" i="8"/>
  <c r="AQ15" i="8"/>
  <c r="AQ17" i="8" s="1"/>
  <c r="BD20" i="8"/>
  <c r="AH10" i="8"/>
  <c r="AR245" i="5"/>
  <c r="BE250" i="5"/>
  <c r="AE254" i="5"/>
  <c r="Z254" i="5"/>
  <c r="AM238" i="5"/>
  <c r="AM245" i="5" s="1"/>
  <c r="AP215" i="5"/>
  <c r="AP207" i="5" s="1"/>
  <c r="AD215" i="5"/>
  <c r="AD207" i="5" s="1"/>
  <c r="Y228" i="5"/>
  <c r="Y215" i="5"/>
  <c r="AO215" i="5"/>
  <c r="AO207" i="5" s="1"/>
  <c r="AK215" i="5"/>
  <c r="AK207" i="5" s="1"/>
  <c r="AA196" i="5"/>
  <c r="AH241" i="5"/>
  <c r="Y238" i="5"/>
  <c r="AQ196" i="5"/>
  <c r="AE196" i="5"/>
  <c r="Z196" i="5"/>
  <c r="AP196" i="5"/>
  <c r="AL196" i="5"/>
  <c r="AC206" i="5"/>
  <c r="AO196" i="5"/>
  <c r="AK196" i="5"/>
  <c r="AG196" i="5"/>
  <c r="AC196" i="5"/>
  <c r="Y196" i="5"/>
  <c r="AD144" i="5"/>
  <c r="AH144" i="5"/>
  <c r="AN216" i="5"/>
  <c r="AJ216" i="5"/>
  <c r="AZ148" i="5"/>
  <c r="Y184" i="5"/>
  <c r="BK148" i="5"/>
  <c r="BC148" i="5"/>
  <c r="AR138" i="5"/>
  <c r="AS144" i="5" s="1"/>
  <c r="AN138" i="5"/>
  <c r="AO144" i="5" s="1"/>
  <c r="AJ138" i="5"/>
  <c r="AK144" i="5" s="1"/>
  <c r="AF138" i="5"/>
  <c r="X138" i="5"/>
  <c r="AX127" i="5"/>
  <c r="AX12" i="5" s="1"/>
  <c r="AH127" i="5"/>
  <c r="AH128" i="5" s="1"/>
  <c r="AH73" i="5" s="1"/>
  <c r="AE128" i="5"/>
  <c r="AE73" i="5" s="1"/>
  <c r="BM120" i="5"/>
  <c r="BH116" i="5"/>
  <c r="AG108" i="5"/>
  <c r="BI107" i="5"/>
  <c r="AT108" i="5"/>
  <c r="AT114" i="5" s="1"/>
  <c r="AT112" i="5"/>
  <c r="AT51" i="5" s="1"/>
  <c r="AO108" i="5"/>
  <c r="AO112" i="5"/>
  <c r="AO51" i="5" s="1"/>
  <c r="AE108" i="5"/>
  <c r="AE114" i="5" s="1"/>
  <c r="AE112" i="5"/>
  <c r="AE51" i="5" s="1"/>
  <c r="BJ148" i="5"/>
  <c r="BB145" i="5"/>
  <c r="BC145" i="5" s="1"/>
  <c r="BA144" i="5"/>
  <c r="AM138" i="5"/>
  <c r="AM144" i="5" s="1"/>
  <c r="AI138" i="5"/>
  <c r="AE138" i="5"/>
  <c r="AF144" i="5" s="1"/>
  <c r="AA138" i="5"/>
  <c r="AF131" i="5"/>
  <c r="AF74" i="5" s="1"/>
  <c r="AH130" i="5"/>
  <c r="AH131" i="5" s="1"/>
  <c r="AH74" i="5" s="1"/>
  <c r="BD127" i="5"/>
  <c r="AR127" i="5"/>
  <c r="AQ128" i="5"/>
  <c r="AQ73" i="5" s="1"/>
  <c r="AQ108" i="5"/>
  <c r="AQ114" i="5" s="1"/>
  <c r="AQ112" i="5"/>
  <c r="AQ51" i="5" s="1"/>
  <c r="AL108" i="5"/>
  <c r="AL114" i="5" s="1"/>
  <c r="BF107" i="5"/>
  <c r="BK107" i="5" s="1"/>
  <c r="BP107" i="5" s="1"/>
  <c r="AP86" i="5"/>
  <c r="AO97" i="5"/>
  <c r="AO94" i="5"/>
  <c r="AZ14" i="5"/>
  <c r="BE130" i="5"/>
  <c r="AM130" i="5"/>
  <c r="AJ131" i="5"/>
  <c r="AJ74" i="5" s="1"/>
  <c r="AZ127" i="5"/>
  <c r="AU128" i="5"/>
  <c r="AU73" i="5" s="1"/>
  <c r="BE107" i="5"/>
  <c r="BJ107" i="5" s="1"/>
  <c r="BO107" i="5" s="1"/>
  <c r="BB107" i="5"/>
  <c r="BI74" i="5"/>
  <c r="BJ131" i="5"/>
  <c r="AQ120" i="5"/>
  <c r="AA108" i="5"/>
  <c r="AA114" i="5" s="1"/>
  <c r="AQ93" i="5"/>
  <c r="AQ94" i="5"/>
  <c r="AP94" i="5"/>
  <c r="AP97" i="5"/>
  <c r="AR98" i="5"/>
  <c r="AP98" i="5" s="1"/>
  <c r="AQ87" i="5"/>
  <c r="AQ89" i="5"/>
  <c r="AQ91" i="5"/>
  <c r="AR114" i="5"/>
  <c r="AR122" i="5"/>
  <c r="AR123" i="5" s="1"/>
  <c r="AN93" i="5"/>
  <c r="AN94" i="5"/>
  <c r="AN86" i="5"/>
  <c r="AN87" i="5"/>
  <c r="AN88" i="5"/>
  <c r="AN89" i="5"/>
  <c r="AN90" i="5"/>
  <c r="AN91" i="5"/>
  <c r="AN97" i="5"/>
  <c r="AN98" i="5"/>
  <c r="AN114" i="5"/>
  <c r="AN122" i="5"/>
  <c r="AJ86" i="5"/>
  <c r="AJ87" i="5"/>
  <c r="AJ88" i="5"/>
  <c r="AJ89" i="5"/>
  <c r="AJ90" i="5"/>
  <c r="AJ91" i="5"/>
  <c r="AJ96" i="5"/>
  <c r="AJ98" i="5"/>
  <c r="AO110" i="5"/>
  <c r="AT110" i="5" s="1"/>
  <c r="AY106" i="5" s="1"/>
  <c r="AJ93" i="5"/>
  <c r="AJ97" i="5"/>
  <c r="AJ114" i="5"/>
  <c r="AJ122" i="5"/>
  <c r="AF86" i="5"/>
  <c r="AF87" i="5"/>
  <c r="AF91" i="5"/>
  <c r="AF93" i="5"/>
  <c r="AF89" i="5"/>
  <c r="AF94" i="5"/>
  <c r="AF97" i="5"/>
  <c r="AF90" i="5"/>
  <c r="AF96" i="5"/>
  <c r="AF114" i="5"/>
  <c r="AF122" i="5"/>
  <c r="AB96" i="5"/>
  <c r="AB97" i="5"/>
  <c r="AB86" i="5"/>
  <c r="AB87" i="5"/>
  <c r="AB88" i="5"/>
  <c r="AB89" i="5"/>
  <c r="AB90" i="5"/>
  <c r="AB91" i="5"/>
  <c r="AB93" i="5"/>
  <c r="AB94" i="5"/>
  <c r="AB98" i="5"/>
  <c r="AB122" i="5"/>
  <c r="X98" i="5"/>
  <c r="X114" i="5"/>
  <c r="X122" i="5"/>
  <c r="AC123" i="5" s="1"/>
  <c r="AQ86" i="5"/>
  <c r="AS131" i="5"/>
  <c r="AS74" i="5" s="1"/>
  <c r="AO131" i="5"/>
  <c r="AO74" i="5" s="1"/>
  <c r="AK131" i="5"/>
  <c r="AK74" i="5" s="1"/>
  <c r="AG131" i="5"/>
  <c r="AG74" i="5" s="1"/>
  <c r="AN128" i="5"/>
  <c r="AN73" i="5" s="1"/>
  <c r="AJ128" i="5"/>
  <c r="AJ73" i="5" s="1"/>
  <c r="AF128" i="5"/>
  <c r="AF73" i="5" s="1"/>
  <c r="AZ106" i="5"/>
  <c r="AL96" i="5"/>
  <c r="AL97" i="5"/>
  <c r="AL86" i="5"/>
  <c r="AL87" i="5"/>
  <c r="AL88" i="5"/>
  <c r="AL89" i="5"/>
  <c r="AL90" i="5"/>
  <c r="AL93" i="5"/>
  <c r="AL94" i="5"/>
  <c r="AD93" i="5"/>
  <c r="AD94" i="5"/>
  <c r="AD86" i="5"/>
  <c r="AD87" i="5"/>
  <c r="AD88" i="5"/>
  <c r="AD89" i="5"/>
  <c r="AD90" i="5"/>
  <c r="AD91" i="5"/>
  <c r="Z86" i="5"/>
  <c r="Z87" i="5"/>
  <c r="Z88" i="5"/>
  <c r="Z89" i="5"/>
  <c r="Z90" i="5"/>
  <c r="Z91" i="5"/>
  <c r="AH98" i="5"/>
  <c r="AF98" i="5" s="1"/>
  <c r="AP96" i="5"/>
  <c r="Z93" i="5"/>
  <c r="AL91" i="5"/>
  <c r="AK88" i="5"/>
  <c r="AO86" i="5"/>
  <c r="AO87" i="5"/>
  <c r="AO88" i="5"/>
  <c r="AO89" i="5"/>
  <c r="AO90" i="5"/>
  <c r="AO91" i="5"/>
  <c r="AG96" i="5"/>
  <c r="AG97" i="5"/>
  <c r="AG86" i="5"/>
  <c r="AG87" i="5"/>
  <c r="AG88" i="5"/>
  <c r="AG89" i="5"/>
  <c r="AG90" i="5"/>
  <c r="AG91" i="5"/>
  <c r="AG93" i="5"/>
  <c r="AG94" i="5"/>
  <c r="AA86" i="5"/>
  <c r="AA87" i="5"/>
  <c r="AA88" i="5"/>
  <c r="AA89" i="5"/>
  <c r="AA90" i="5"/>
  <c r="AA91" i="5"/>
  <c r="AA96" i="5"/>
  <c r="AA97" i="5"/>
  <c r="Y93" i="5"/>
  <c r="Y94" i="5"/>
  <c r="Y86" i="5"/>
  <c r="Y87" i="5"/>
  <c r="Y88" i="5"/>
  <c r="Y89" i="5"/>
  <c r="Y90" i="5"/>
  <c r="Y91" i="5"/>
  <c r="AO96" i="5"/>
  <c r="Z96" i="5"/>
  <c r="AK94" i="5"/>
  <c r="AA94" i="5"/>
  <c r="AP91" i="5"/>
  <c r="AP89" i="5"/>
  <c r="AP87" i="5"/>
  <c r="AK91" i="5"/>
  <c r="AK87" i="5"/>
  <c r="AQ96" i="5"/>
  <c r="AE86" i="5"/>
  <c r="AA98" i="5"/>
  <c r="AD98" i="5"/>
  <c r="Y98" i="5"/>
  <c r="AK97" i="5"/>
  <c r="AD97" i="5"/>
  <c r="Z97" i="5"/>
  <c r="AP93" i="5"/>
  <c r="AK93" i="5"/>
  <c r="AA93" i="5"/>
  <c r="AP90" i="5"/>
  <c r="AP88" i="5"/>
  <c r="AI91" i="5"/>
  <c r="AI90" i="5"/>
  <c r="AI89" i="5"/>
  <c r="AI88" i="5"/>
  <c r="AI87" i="5"/>
  <c r="AI86" i="5"/>
  <c r="AX116" i="5"/>
  <c r="BD116" i="5"/>
  <c r="AB40" i="5"/>
  <c r="BA35" i="5"/>
  <c r="BA43" i="4" s="1"/>
  <c r="BA151" i="4" s="1"/>
  <c r="BH35" i="5"/>
  <c r="BA37" i="5"/>
  <c r="AU46" i="5"/>
  <c r="AU41" i="5"/>
  <c r="BA26" i="5"/>
  <c r="BF26" i="5" s="1"/>
  <c r="BK26" i="5" s="1"/>
  <c r="BP26" i="5" s="1"/>
  <c r="AI98" i="5"/>
  <c r="AQ97" i="5"/>
  <c r="AI94" i="5"/>
  <c r="AE91" i="5"/>
  <c r="AE90" i="5"/>
  <c r="AE89" i="5"/>
  <c r="AE88" i="5"/>
  <c r="AE87" i="5"/>
  <c r="BA55" i="5"/>
  <c r="AT46" i="5"/>
  <c r="AG28" i="5"/>
  <c r="BJ26" i="5"/>
  <c r="BO26" i="5" s="1"/>
  <c r="BD20" i="5"/>
  <c r="AL10" i="5"/>
  <c r="AL15" i="5"/>
  <c r="AL17" i="5" s="1"/>
  <c r="BB26" i="5"/>
  <c r="BN26" i="5"/>
  <c r="AB23" i="5"/>
  <c r="BB20" i="5"/>
  <c r="AQ142" i="44"/>
  <c r="AL142" i="44"/>
  <c r="AL137" i="44"/>
  <c r="AB137" i="44"/>
  <c r="AH33" i="44"/>
  <c r="AH67" i="44"/>
  <c r="AH51" i="44"/>
  <c r="AQ137" i="44"/>
  <c r="AG137" i="44"/>
  <c r="AC35" i="44"/>
  <c r="AS127" i="44"/>
  <c r="AS128" i="44" s="1"/>
  <c r="AM78" i="44"/>
  <c r="AL196" i="44"/>
  <c r="AL198" i="44" s="1"/>
  <c r="AL187" i="44"/>
  <c r="AL193" i="44" s="1"/>
  <c r="AR114" i="44"/>
  <c r="AR183" i="8" s="1"/>
  <c r="AR179" i="8" s="1"/>
  <c r="K252" i="4"/>
  <c r="AS225" i="4"/>
  <c r="AS217" i="4" s="1"/>
  <c r="AS226" i="4"/>
  <c r="AO225" i="4"/>
  <c r="AO217" i="4" s="1"/>
  <c r="AG225" i="4"/>
  <c r="AG226" i="4" s="1"/>
  <c r="Y225" i="4"/>
  <c r="Y217" i="4" s="1"/>
  <c r="Y226" i="4"/>
  <c r="Q225" i="4"/>
  <c r="Q217" i="4" s="1"/>
  <c r="M225" i="4"/>
  <c r="M226" i="4" s="1"/>
  <c r="AI206" i="4"/>
  <c r="AI222" i="4"/>
  <c r="AZ197" i="4"/>
  <c r="AY219" i="4"/>
  <c r="J252" i="4"/>
  <c r="AT225" i="4"/>
  <c r="AT223" i="4" s="1"/>
  <c r="AO223" i="4"/>
  <c r="Q223" i="4"/>
  <c r="AR225" i="4"/>
  <c r="AR226" i="4" s="1"/>
  <c r="AB225" i="4"/>
  <c r="AB226" i="4" s="1"/>
  <c r="L225" i="4"/>
  <c r="L217" i="4" s="1"/>
  <c r="M252" i="4"/>
  <c r="E252" i="4"/>
  <c r="AP220" i="4"/>
  <c r="AL220" i="4"/>
  <c r="Z220" i="4"/>
  <c r="V220" i="4"/>
  <c r="N220" i="4"/>
  <c r="G217" i="4"/>
  <c r="F216" i="4"/>
  <c r="AB195" i="4"/>
  <c r="AB206" i="4" s="1"/>
  <c r="H195" i="4"/>
  <c r="AP208" i="4"/>
  <c r="V208" i="4"/>
  <c r="J208" i="4"/>
  <c r="AG179" i="4"/>
  <c r="M179" i="4"/>
  <c r="AZ176" i="4"/>
  <c r="E226" i="4"/>
  <c r="AU223" i="4"/>
  <c r="AE223" i="4"/>
  <c r="AA223" i="4"/>
  <c r="K223" i="4"/>
  <c r="G223" i="4"/>
  <c r="AM204" i="4"/>
  <c r="R203" i="4"/>
  <c r="R204" i="4" s="1"/>
  <c r="S204" i="4"/>
  <c r="H181" i="4"/>
  <c r="AU217" i="4"/>
  <c r="AE217" i="4"/>
  <c r="E217" i="4"/>
  <c r="AT208" i="4"/>
  <c r="Z208" i="4"/>
  <c r="F208" i="4"/>
  <c r="AN181" i="4"/>
  <c r="AN208" i="4" s="1"/>
  <c r="AI181" i="4"/>
  <c r="AH195" i="4"/>
  <c r="AH206" i="4" s="1"/>
  <c r="AH208" i="4" s="1"/>
  <c r="N195" i="4"/>
  <c r="N206" i="4" s="1"/>
  <c r="N208" i="4" s="1"/>
  <c r="AR187" i="4"/>
  <c r="AR206" i="4" s="1"/>
  <c r="X187" i="4"/>
  <c r="X206" i="4" s="1"/>
  <c r="AU179" i="4"/>
  <c r="AU181" i="4" s="1"/>
  <c r="AM179" i="4"/>
  <c r="AM181" i="4" s="1"/>
  <c r="S179" i="4"/>
  <c r="S181" i="4" s="1"/>
  <c r="M174" i="4"/>
  <c r="U168" i="4"/>
  <c r="U181" i="4" s="1"/>
  <c r="U208" i="4" s="1"/>
  <c r="Q168" i="4"/>
  <c r="Q181" i="4" s="1"/>
  <c r="Q208" i="4" s="1"/>
  <c r="I168" i="4"/>
  <c r="I181" i="4" s="1"/>
  <c r="E168" i="4"/>
  <c r="E181" i="4" s="1"/>
  <c r="E208" i="4" s="1"/>
  <c r="AO168" i="4"/>
  <c r="AO181" i="4" s="1"/>
  <c r="AO208" i="4" s="1"/>
  <c r="AS168" i="4"/>
  <c r="AS181" i="4" s="1"/>
  <c r="AS208" i="4" s="1"/>
  <c r="AQ158" i="4"/>
  <c r="W153" i="4"/>
  <c r="W167" i="4"/>
  <c r="W168" i="4" s="1"/>
  <c r="AB166" i="4"/>
  <c r="AB168" i="4" s="1"/>
  <c r="AB181" i="4" s="1"/>
  <c r="AB208" i="4" s="1"/>
  <c r="DS153" i="4"/>
  <c r="AU195" i="4"/>
  <c r="AU206" i="4" s="1"/>
  <c r="AG168" i="4"/>
  <c r="M168" i="4"/>
  <c r="W158" i="4"/>
  <c r="I73" i="4"/>
  <c r="H150" i="4"/>
  <c r="H73" i="4" s="1"/>
  <c r="DM153" i="4"/>
  <c r="DE153" i="4"/>
  <c r="AC153" i="4" s="1"/>
  <c r="CK153" i="4"/>
  <c r="I153" i="4" s="1"/>
  <c r="DN152" i="4"/>
  <c r="DN153" i="4" s="1"/>
  <c r="CJ150" i="4"/>
  <c r="CJ153" i="4" s="1"/>
  <c r="AF153" i="4"/>
  <c r="L153" i="4"/>
  <c r="AC152" i="4"/>
  <c r="AU73" i="4"/>
  <c r="AQ73" i="4"/>
  <c r="AQ126" i="4"/>
  <c r="AM73" i="4"/>
  <c r="AM126" i="4"/>
  <c r="AI73" i="4"/>
  <c r="AI126" i="4"/>
  <c r="AE73" i="4"/>
  <c r="AE126" i="4"/>
  <c r="Z67" i="4"/>
  <c r="Z128" i="4"/>
  <c r="N67" i="4"/>
  <c r="M149" i="4"/>
  <c r="M67" i="4" s="1"/>
  <c r="AH107" i="4"/>
  <c r="AG146" i="4"/>
  <c r="AC107" i="4"/>
  <c r="AB146" i="4"/>
  <c r="N107" i="4"/>
  <c r="M146" i="4"/>
  <c r="M107" i="4" s="1"/>
  <c r="I107" i="4"/>
  <c r="H146" i="4"/>
  <c r="H107" i="4" s="1"/>
  <c r="AU106" i="4"/>
  <c r="AM106" i="4"/>
  <c r="AL145" i="4"/>
  <c r="AO142" i="4"/>
  <c r="AO143" i="4" s="1"/>
  <c r="DQ143" i="4"/>
  <c r="V142" i="4"/>
  <c r="V143" i="4" s="1"/>
  <c r="Q142" i="4"/>
  <c r="Q143" i="4" s="1"/>
  <c r="CS143" i="4"/>
  <c r="CT142" i="4"/>
  <c r="CT143" i="4" s="1"/>
  <c r="I142" i="4"/>
  <c r="H142" i="4" s="1"/>
  <c r="H143" i="4" s="1"/>
  <c r="CJ142" i="4"/>
  <c r="CK143" i="4"/>
  <c r="I143" i="4" s="1"/>
  <c r="BL142" i="4"/>
  <c r="ED55" i="3" s="1"/>
  <c r="AL142" i="4"/>
  <c r="AN99" i="4"/>
  <c r="AN143" i="4"/>
  <c r="AN63" i="9" s="1"/>
  <c r="AP138" i="4"/>
  <c r="DR139" i="4"/>
  <c r="DR155" i="4" s="1"/>
  <c r="DS138" i="4"/>
  <c r="AH138" i="4"/>
  <c r="AG138" i="4" s="1"/>
  <c r="AG139" i="4" s="1"/>
  <c r="DI138" i="4"/>
  <c r="DJ139" i="4"/>
  <c r="J138" i="4"/>
  <c r="J139" i="4" s="1"/>
  <c r="J155" i="4" s="1"/>
  <c r="CL139" i="4"/>
  <c r="CL155" i="4" s="1"/>
  <c r="AL137" i="4"/>
  <c r="AL139" i="4" s="1"/>
  <c r="DA139" i="4"/>
  <c r="Y137" i="4"/>
  <c r="F137" i="4"/>
  <c r="BQ138" i="4"/>
  <c r="BQ137" i="4"/>
  <c r="T139" i="4"/>
  <c r="AN126" i="4"/>
  <c r="AR152" i="4"/>
  <c r="AT73" i="4"/>
  <c r="AP73" i="4"/>
  <c r="AP126" i="4"/>
  <c r="AL73" i="4"/>
  <c r="AL126" i="4"/>
  <c r="AH126" i="4"/>
  <c r="AH73" i="4"/>
  <c r="AD126" i="4"/>
  <c r="AD73" i="4"/>
  <c r="Z73" i="4"/>
  <c r="Z126" i="4"/>
  <c r="AD67" i="4"/>
  <c r="AD128" i="4"/>
  <c r="DU143" i="4"/>
  <c r="U142" i="4"/>
  <c r="U143" i="4" s="1"/>
  <c r="CW143" i="4"/>
  <c r="BQ142" i="4"/>
  <c r="EI55" i="3" s="1"/>
  <c r="AR99" i="4"/>
  <c r="AQ141" i="4"/>
  <c r="P143" i="4"/>
  <c r="L143" i="4"/>
  <c r="DV139" i="4"/>
  <c r="DV155" i="4" s="1"/>
  <c r="V138" i="4"/>
  <c r="V139" i="4" s="1"/>
  <c r="V155" i="4" s="1"/>
  <c r="CX139" i="4"/>
  <c r="CX155" i="4" s="1"/>
  <c r="CY138" i="4"/>
  <c r="CY139" i="4" s="1"/>
  <c r="CY155" i="4" s="1"/>
  <c r="N138" i="4"/>
  <c r="M138" i="4" s="1"/>
  <c r="CO138" i="4"/>
  <c r="CO139" i="4" s="1"/>
  <c r="CO155" i="4" s="1"/>
  <c r="CP139" i="4"/>
  <c r="DM139" i="4"/>
  <c r="AK137" i="4"/>
  <c r="AK139" i="4" s="1"/>
  <c r="DE139" i="4"/>
  <c r="DD137" i="4"/>
  <c r="AC137" i="4"/>
  <c r="AB137" i="4" s="1"/>
  <c r="AB139" i="4" s="1"/>
  <c r="R137" i="4"/>
  <c r="R139" i="4" s="1"/>
  <c r="CG139" i="4"/>
  <c r="E137" i="4"/>
  <c r="E139" i="4" s="1"/>
  <c r="DI139" i="4"/>
  <c r="DI155" i="4" s="1"/>
  <c r="L139" i="4"/>
  <c r="AF139" i="4"/>
  <c r="AA126" i="4"/>
  <c r="AS73" i="4"/>
  <c r="AO73" i="4"/>
  <c r="AO126" i="4"/>
  <c r="AK73" i="4"/>
  <c r="AK126" i="4"/>
  <c r="AG150" i="4"/>
  <c r="AC73" i="4"/>
  <c r="AC126" i="4"/>
  <c r="Y73" i="4"/>
  <c r="Y126" i="4"/>
  <c r="M150" i="4"/>
  <c r="M73" i="4" s="1"/>
  <c r="AT67" i="4"/>
  <c r="AP67" i="4"/>
  <c r="AP128" i="4"/>
  <c r="AL67" i="4"/>
  <c r="AL128" i="4"/>
  <c r="AH67" i="4"/>
  <c r="AH128" i="4"/>
  <c r="AG149" i="4"/>
  <c r="AM107" i="4"/>
  <c r="AL146" i="4"/>
  <c r="Y142" i="4"/>
  <c r="Y143" i="4" s="1"/>
  <c r="Y63" i="9" s="1"/>
  <c r="Y62" i="9" s="1"/>
  <c r="DA143" i="4"/>
  <c r="T143" i="4"/>
  <c r="Z138" i="4"/>
  <c r="Z139" i="4" s="1"/>
  <c r="DB139" i="4"/>
  <c r="DB155" i="4" s="1"/>
  <c r="DQ139" i="4"/>
  <c r="DQ155" i="4" s="1"/>
  <c r="AO137" i="4"/>
  <c r="AO139" i="4" s="1"/>
  <c r="AA139" i="4"/>
  <c r="CS139" i="4"/>
  <c r="CS155" i="4" s="1"/>
  <c r="Q137" i="4"/>
  <c r="Q139" i="4" s="1"/>
  <c r="CK139" i="4"/>
  <c r="CJ137" i="4"/>
  <c r="I137" i="4"/>
  <c r="H137" i="4" s="1"/>
  <c r="H139" i="4" s="1"/>
  <c r="W138" i="4"/>
  <c r="W139" i="4" s="1"/>
  <c r="AN139" i="4"/>
  <c r="AO153" i="4"/>
  <c r="AK153" i="4"/>
  <c r="Y153" i="4"/>
  <c r="U153" i="4"/>
  <c r="Q153" i="4"/>
  <c r="E153" i="4"/>
  <c r="AR73" i="4"/>
  <c r="AR126" i="4"/>
  <c r="AJ73" i="4"/>
  <c r="AJ126" i="4"/>
  <c r="AF73" i="4"/>
  <c r="AF126" i="4"/>
  <c r="AB150" i="4"/>
  <c r="X73" i="4"/>
  <c r="X126" i="4"/>
  <c r="AS107" i="4"/>
  <c r="S107" i="4"/>
  <c r="R146" i="4"/>
  <c r="R107" i="4" s="1"/>
  <c r="S106" i="4"/>
  <c r="R145" i="4"/>
  <c r="AK142" i="4"/>
  <c r="AK143" i="4" s="1"/>
  <c r="DM143" i="4"/>
  <c r="DN142" i="4"/>
  <c r="DN143" i="4" s="1"/>
  <c r="AC142" i="4"/>
  <c r="DD142" i="4"/>
  <c r="DE143" i="4"/>
  <c r="AC143" i="4" s="1"/>
  <c r="AC63" i="9" s="1"/>
  <c r="AC62" i="9" s="1"/>
  <c r="E142" i="4"/>
  <c r="E143" i="4" s="1"/>
  <c r="CG143" i="4"/>
  <c r="DD143" i="4"/>
  <c r="CJ143" i="4"/>
  <c r="BB142" i="4"/>
  <c r="DT55" i="3" s="1"/>
  <c r="AJ99" i="4"/>
  <c r="AJ143" i="4"/>
  <c r="AJ63" i="9" s="1"/>
  <c r="AJ62" i="9" s="1"/>
  <c r="AF99" i="4"/>
  <c r="AF143" i="4"/>
  <c r="AF63" i="9" s="1"/>
  <c r="AF62" i="9" s="1"/>
  <c r="AB99" i="4"/>
  <c r="X99" i="4"/>
  <c r="W141" i="4"/>
  <c r="AD138" i="4"/>
  <c r="AD139" i="4" s="1"/>
  <c r="DF139" i="4"/>
  <c r="DF155" i="4" s="1"/>
  <c r="F138" i="4"/>
  <c r="CH139" i="4"/>
  <c r="CH155" i="4" s="1"/>
  <c r="DU139" i="4"/>
  <c r="DU155" i="4" s="1"/>
  <c r="CW139" i="4"/>
  <c r="CW155" i="4" s="1"/>
  <c r="U137" i="4"/>
  <c r="AJ139" i="4"/>
  <c r="Y139" i="4"/>
  <c r="P139" i="4"/>
  <c r="K139" i="4"/>
  <c r="K155" i="4" s="1"/>
  <c r="G139" i="4"/>
  <c r="G155" i="4" s="1"/>
  <c r="H145" i="4"/>
  <c r="AR142" i="4"/>
  <c r="X142" i="4"/>
  <c r="DN137" i="4"/>
  <c r="DN139" i="4" s="1"/>
  <c r="CT137" i="4"/>
  <c r="CT139" i="4" s="1"/>
  <c r="AN128" i="4"/>
  <c r="AF128" i="4"/>
  <c r="X128" i="4"/>
  <c r="AS67" i="4"/>
  <c r="AO67" i="4"/>
  <c r="AO128" i="4"/>
  <c r="AK67" i="4"/>
  <c r="AK128" i="4"/>
  <c r="AC67" i="4"/>
  <c r="AC128" i="4"/>
  <c r="Y67" i="4"/>
  <c r="Y128" i="4"/>
  <c r="AR128" i="4"/>
  <c r="AJ128" i="4"/>
  <c r="AB149" i="4"/>
  <c r="H149" i="4"/>
  <c r="H67" i="4" s="1"/>
  <c r="M145" i="4"/>
  <c r="AL141" i="4"/>
  <c r="DD138" i="4"/>
  <c r="CJ138" i="4"/>
  <c r="AQ128" i="4"/>
  <c r="AI128" i="4"/>
  <c r="AA128" i="4"/>
  <c r="BC73" i="4"/>
  <c r="AZ64" i="4"/>
  <c r="BB64" i="4" s="1"/>
  <c r="BB30" i="3" s="1"/>
  <c r="AY65" i="4"/>
  <c r="BH73" i="4"/>
  <c r="BI73" i="4" s="1"/>
  <c r="AX73" i="4"/>
  <c r="BN118" i="4"/>
  <c r="AX65" i="4"/>
  <c r="BD64" i="4"/>
  <c r="BF64" i="4"/>
  <c r="AC31" i="4"/>
  <c r="AC35" i="4"/>
  <c r="V31" i="4"/>
  <c r="V35" i="4"/>
  <c r="Q35" i="4"/>
  <c r="Q31" i="4"/>
  <c r="AC65" i="4"/>
  <c r="M65" i="4"/>
  <c r="AB47" i="4"/>
  <c r="AN35" i="4"/>
  <c r="AN31" i="4"/>
  <c r="BB47" i="4"/>
  <c r="BB249" i="4" s="1"/>
  <c r="AI35" i="4"/>
  <c r="AI31" i="4"/>
  <c r="BN47" i="4"/>
  <c r="BQ41" i="4"/>
  <c r="BL41" i="4"/>
  <c r="AH31" i="4"/>
  <c r="AH35" i="4"/>
  <c r="BI47" i="4"/>
  <c r="BI38" i="9" s="1"/>
  <c r="BL38" i="9" s="1"/>
  <c r="BE47" i="4"/>
  <c r="Z35" i="4"/>
  <c r="AB10" i="4"/>
  <c r="AB15" i="4"/>
  <c r="AB23" i="4" s="1"/>
  <c r="AL10" i="4"/>
  <c r="AL15" i="4"/>
  <c r="AL23" i="4" s="1"/>
  <c r="AG10" i="4"/>
  <c r="AG15" i="4"/>
  <c r="AG23" i="4" s="1"/>
  <c r="AU35" i="4"/>
  <c r="R35" i="4"/>
  <c r="M10" i="4"/>
  <c r="M15" i="4"/>
  <c r="M23" i="4" s="1"/>
  <c r="H10" i="4"/>
  <c r="H15" i="4"/>
  <c r="H23" i="4" s="1"/>
  <c r="AH54" i="3"/>
  <c r="AC54" i="3"/>
  <c r="AR33" i="3"/>
  <c r="AM33" i="3"/>
  <c r="AH33" i="3"/>
  <c r="AC33" i="3"/>
  <c r="CL251" i="47"/>
  <c r="BJ78" i="47" l="1"/>
  <c r="BK79" i="47"/>
  <c r="BW291" i="10"/>
  <c r="AY91" i="8"/>
  <c r="BG147" i="5"/>
  <c r="BC147" i="5" s="1"/>
  <c r="BC149" i="5" s="1"/>
  <c r="BG91" i="44"/>
  <c r="BB62" i="10"/>
  <c r="BC62" i="10"/>
  <c r="BE66" i="10"/>
  <c r="BE68" i="10" s="1"/>
  <c r="BA62" i="10"/>
  <c r="BD62" i="10"/>
  <c r="DJ62" i="10"/>
  <c r="BG65" i="9"/>
  <c r="BQ98" i="8"/>
  <c r="AW177" i="8"/>
  <c r="AS177" i="8"/>
  <c r="AR126" i="8"/>
  <c r="AW126" i="8"/>
  <c r="AI207" i="5"/>
  <c r="AI213" i="5"/>
  <c r="AI251" i="5" s="1"/>
  <c r="BG88" i="44"/>
  <c r="AC242" i="5"/>
  <c r="AS15" i="9"/>
  <c r="AS17" i="9" s="1"/>
  <c r="AS22" i="4" s="1"/>
  <c r="AS24" i="4" s="1"/>
  <c r="AI216" i="5"/>
  <c r="AD238" i="5"/>
  <c r="AD243" i="5" s="1"/>
  <c r="AE238" i="5" s="1"/>
  <c r="AH242" i="5"/>
  <c r="V215" i="47"/>
  <c r="V220" i="47" s="1"/>
  <c r="AZ14" i="47"/>
  <c r="AS298" i="47"/>
  <c r="AW76" i="45"/>
  <c r="AV75" i="45"/>
  <c r="AV76" i="45" s="1"/>
  <c r="AT75" i="45"/>
  <c r="AT76" i="45" s="1"/>
  <c r="AU75" i="45"/>
  <c r="AU76" i="45" s="1"/>
  <c r="AS75" i="45"/>
  <c r="AS76" i="45" s="1"/>
  <c r="AE75" i="45"/>
  <c r="AE76" i="45" s="1"/>
  <c r="AF75" i="45"/>
  <c r="AF76" i="45" s="1"/>
  <c r="AG75" i="45"/>
  <c r="AG76" i="45" s="1"/>
  <c r="AH76" i="45"/>
  <c r="AD75" i="45"/>
  <c r="AD76" i="45" s="1"/>
  <c r="AC34" i="44"/>
  <c r="AJ75" i="45"/>
  <c r="AJ76" i="45" s="1"/>
  <c r="AK75" i="45"/>
  <c r="AK76" i="45" s="1"/>
  <c r="AL75" i="45"/>
  <c r="AL76" i="45" s="1"/>
  <c r="AI75" i="45"/>
  <c r="AI76" i="45" s="1"/>
  <c r="AM76" i="45"/>
  <c r="BB75" i="45"/>
  <c r="BG75" i="45"/>
  <c r="AH35" i="44"/>
  <c r="BQ73" i="4"/>
  <c r="BQ190" i="5" s="1"/>
  <c r="BQ161" i="5"/>
  <c r="E211" i="10" s="1"/>
  <c r="AV47" i="45"/>
  <c r="AW61" i="9"/>
  <c r="AW62" i="9" s="1"/>
  <c r="AW91" i="44"/>
  <c r="AV67" i="45"/>
  <c r="AW67" i="45"/>
  <c r="U215" i="47"/>
  <c r="U217" i="47" s="1"/>
  <c r="AV388" i="47"/>
  <c r="AV401" i="47" s="1"/>
  <c r="AW253" i="47"/>
  <c r="AT283" i="47"/>
  <c r="AT285" i="47" s="1"/>
  <c r="AE121" i="47"/>
  <c r="AY15" i="9"/>
  <c r="CB68" i="10"/>
  <c r="AV205" i="47"/>
  <c r="AW75" i="47"/>
  <c r="AV207" i="47"/>
  <c r="Z135" i="47"/>
  <c r="Z230" i="47"/>
  <c r="Z231" i="47" s="1"/>
  <c r="BX68" i="10"/>
  <c r="BY291" i="10"/>
  <c r="CY301" i="10"/>
  <c r="AY303" i="10"/>
  <c r="BA329" i="47" s="1"/>
  <c r="BA353" i="47" s="1"/>
  <c r="CJ313" i="10"/>
  <c r="CD68" i="10"/>
  <c r="AV284" i="10"/>
  <c r="AW284" i="10"/>
  <c r="AY284" i="10"/>
  <c r="AX284" i="10"/>
  <c r="AX289" i="10" s="1"/>
  <c r="AZ142" i="8" s="1"/>
  <c r="AZ167" i="8" s="1"/>
  <c r="AZ289" i="10"/>
  <c r="DQ162" i="10"/>
  <c r="DT162" i="10"/>
  <c r="DC306" i="10"/>
  <c r="DO89" i="10"/>
  <c r="DT89" i="10" s="1"/>
  <c r="DJ306" i="10"/>
  <c r="DO306" i="10" s="1"/>
  <c r="DT306" i="10" s="1"/>
  <c r="DS309" i="10"/>
  <c r="DR309" i="10"/>
  <c r="DR308" i="10"/>
  <c r="DC300" i="10"/>
  <c r="CE291" i="10"/>
  <c r="DK308" i="10"/>
  <c r="DK311" i="10" s="1"/>
  <c r="DK313" i="10" s="1"/>
  <c r="CL68" i="10"/>
  <c r="U139" i="4"/>
  <c r="M139" i="4"/>
  <c r="DS139" i="4"/>
  <c r="DS155" i="4" s="1"/>
  <c r="AP139" i="4"/>
  <c r="O155" i="4"/>
  <c r="AL152" i="4"/>
  <c r="AD15" i="9"/>
  <c r="AD17" i="9" s="1"/>
  <c r="CE313" i="10"/>
  <c r="DI300" i="10"/>
  <c r="DI303" i="10" s="1"/>
  <c r="BF335" i="47" s="1"/>
  <c r="CM313" i="10"/>
  <c r="CO313" i="10"/>
  <c r="M54" i="10"/>
  <c r="R66" i="10"/>
  <c r="DE80" i="10"/>
  <c r="DJ80" i="10" s="1"/>
  <c r="DO80" i="10" s="1"/>
  <c r="DT80" i="10" s="1"/>
  <c r="CV80" i="10"/>
  <c r="DA115" i="10"/>
  <c r="CZ164" i="10"/>
  <c r="DE164" i="10" s="1"/>
  <c r="DJ164" i="10" s="1"/>
  <c r="DI164" i="10" s="1"/>
  <c r="DD267" i="10"/>
  <c r="DP266" i="10"/>
  <c r="DS266" i="10"/>
  <c r="DR266" i="10"/>
  <c r="DD300" i="10"/>
  <c r="DP308" i="10"/>
  <c r="DH306" i="10"/>
  <c r="BN311" i="10"/>
  <c r="CZ276" i="10"/>
  <c r="DE276" i="10" s="1"/>
  <c r="DJ276" i="10" s="1"/>
  <c r="DO276" i="10" s="1"/>
  <c r="DT276" i="10" s="1"/>
  <c r="DE259" i="10"/>
  <c r="DJ259" i="10" s="1"/>
  <c r="DO259" i="10" s="1"/>
  <c r="CV259" i="10"/>
  <c r="CX259" i="10"/>
  <c r="DA259" i="10"/>
  <c r="DC259" i="10"/>
  <c r="CW259" i="10"/>
  <c r="CY259" i="10"/>
  <c r="DB259" i="10"/>
  <c r="DD259" i="10"/>
  <c r="CH11" i="10"/>
  <c r="DD92" i="10"/>
  <c r="DE92" i="10"/>
  <c r="DJ92" i="10" s="1"/>
  <c r="DO92" i="10" s="1"/>
  <c r="DT92" i="10" s="1"/>
  <c r="CX149" i="10"/>
  <c r="DC149" i="10"/>
  <c r="AB54" i="10"/>
  <c r="DC92" i="10"/>
  <c r="CC68" i="10"/>
  <c r="DR119" i="10"/>
  <c r="DP119" i="10"/>
  <c r="DR162" i="10"/>
  <c r="DP162" i="10"/>
  <c r="DM162" i="10"/>
  <c r="DK162" i="10"/>
  <c r="DB130" i="10"/>
  <c r="DF130" i="10"/>
  <c r="DA130" i="10"/>
  <c r="DN154" i="10"/>
  <c r="DK154" i="10"/>
  <c r="DH154" i="10"/>
  <c r="DI154" i="10"/>
  <c r="L215" i="10"/>
  <c r="DA267" i="10"/>
  <c r="DB267" i="10"/>
  <c r="DJ267" i="10"/>
  <c r="DO267" i="10" s="1"/>
  <c r="DT267" i="10" s="1"/>
  <c r="DG267" i="10"/>
  <c r="DH267" i="10"/>
  <c r="DA300" i="10"/>
  <c r="DB300" i="10"/>
  <c r="DJ300" i="10"/>
  <c r="DO300" i="10" s="1"/>
  <c r="DT300" i="10" s="1"/>
  <c r="DG300" i="10"/>
  <c r="DG303" i="10" s="1"/>
  <c r="BD335" i="47" s="1"/>
  <c r="DH300" i="10"/>
  <c r="DH303" i="10" s="1"/>
  <c r="BE335" i="47" s="1"/>
  <c r="DM307" i="10"/>
  <c r="DL307" i="10"/>
  <c r="DI306" i="10"/>
  <c r="DF306" i="10"/>
  <c r="DD306" i="10"/>
  <c r="DG306" i="10"/>
  <c r="DM308" i="10"/>
  <c r="DN308" i="10"/>
  <c r="DN311" i="10" s="1"/>
  <c r="DL308" i="10"/>
  <c r="DL311" i="10" s="1"/>
  <c r="DT308" i="10"/>
  <c r="DS308" i="10"/>
  <c r="DS311" i="10" s="1"/>
  <c r="DB80" i="10"/>
  <c r="DC80" i="10"/>
  <c r="DD80" i="10"/>
  <c r="DA80" i="10"/>
  <c r="CX115" i="10"/>
  <c r="CV115" i="10"/>
  <c r="CY115" i="10"/>
  <c r="DC115" i="10"/>
  <c r="DE115" i="10"/>
  <c r="DJ115" i="10" s="1"/>
  <c r="DO115" i="10" s="1"/>
  <c r="DT115" i="10" s="1"/>
  <c r="CG291" i="10"/>
  <c r="CC11" i="10"/>
  <c r="X303" i="10"/>
  <c r="Z329" i="47" s="1"/>
  <c r="Z353" i="47" s="1"/>
  <c r="BR313" i="10"/>
  <c r="CY185" i="10"/>
  <c r="CV185" i="10"/>
  <c r="CW185" i="10"/>
  <c r="DE185" i="10"/>
  <c r="DJ185" i="10" s="1"/>
  <c r="DO185" i="10" s="1"/>
  <c r="DT185" i="10" s="1"/>
  <c r="DB185" i="10"/>
  <c r="CG313" i="10"/>
  <c r="CQ313" i="10"/>
  <c r="AY311" i="10"/>
  <c r="BA328" i="47" s="1"/>
  <c r="BA352" i="47" s="1"/>
  <c r="AV311" i="10"/>
  <c r="AX328" i="47" s="1"/>
  <c r="AX352" i="47" s="1"/>
  <c r="AW303" i="10"/>
  <c r="AY329" i="47" s="1"/>
  <c r="AY353" i="47" s="1"/>
  <c r="AA68" i="10"/>
  <c r="L68" i="10"/>
  <c r="BZ291" i="10"/>
  <c r="BM328" i="10"/>
  <c r="BM330" i="10" s="1"/>
  <c r="U328" i="10"/>
  <c r="U330" i="10" s="1"/>
  <c r="CC291" i="10"/>
  <c r="BG328" i="10"/>
  <c r="BG330" i="10" s="1"/>
  <c r="CG68" i="10"/>
  <c r="CE68" i="10"/>
  <c r="BT313" i="10"/>
  <c r="Q313" i="10"/>
  <c r="BT291" i="10"/>
  <c r="CB215" i="10"/>
  <c r="AK11" i="10"/>
  <c r="AE213" i="10"/>
  <c r="AG161" i="5" s="1"/>
  <c r="AG186" i="5" s="1"/>
  <c r="CJ291" i="10"/>
  <c r="DP235" i="10"/>
  <c r="DR235" i="10"/>
  <c r="DQ235" i="10"/>
  <c r="DS235" i="10"/>
  <c r="DE186" i="10"/>
  <c r="DJ186" i="10" s="1"/>
  <c r="DO186" i="10" s="1"/>
  <c r="DK186" i="10" s="1"/>
  <c r="CW186" i="10"/>
  <c r="CY186" i="10"/>
  <c r="DB186" i="10"/>
  <c r="DD186" i="10"/>
  <c r="CV186" i="10"/>
  <c r="CX186" i="10"/>
  <c r="DA186" i="10"/>
  <c r="DC186" i="10"/>
  <c r="BU215" i="10"/>
  <c r="DQ166" i="10"/>
  <c r="DS166" i="10"/>
  <c r="DP166" i="10"/>
  <c r="DR166" i="10"/>
  <c r="DO164" i="10"/>
  <c r="DT164" i="10" s="1"/>
  <c r="DG164" i="10"/>
  <c r="DN164" i="10"/>
  <c r="DF164" i="10"/>
  <c r="DM164" i="10"/>
  <c r="DC153" i="10"/>
  <c r="CV152" i="10"/>
  <c r="AM289" i="10"/>
  <c r="AO142" i="8" s="1"/>
  <c r="AO167" i="8" s="1"/>
  <c r="AN213" i="10"/>
  <c r="AP161" i="5" s="1"/>
  <c r="AP186" i="5" s="1"/>
  <c r="BL303" i="10"/>
  <c r="BN329" i="47" s="1"/>
  <c r="BN353" i="47" s="1"/>
  <c r="BN359" i="47" s="1"/>
  <c r="CD11" i="10"/>
  <c r="W66" i="10"/>
  <c r="DD149" i="10"/>
  <c r="DB149" i="10"/>
  <c r="BX215" i="10"/>
  <c r="CB10" i="10"/>
  <c r="F12" i="10"/>
  <c r="DT142" i="10"/>
  <c r="DL142" i="10"/>
  <c r="DN142" i="10"/>
  <c r="DQ142" i="10"/>
  <c r="DS142" i="10"/>
  <c r="DK142" i="10"/>
  <c r="DM142" i="10"/>
  <c r="DP142" i="10"/>
  <c r="DR142" i="10"/>
  <c r="DB144" i="10"/>
  <c r="CY144" i="10"/>
  <c r="CW144" i="10"/>
  <c r="CX144" i="10"/>
  <c r="DE144" i="10"/>
  <c r="DJ144" i="10" s="1"/>
  <c r="DO144" i="10" s="1"/>
  <c r="DT144" i="10" s="1"/>
  <c r="CV144" i="10"/>
  <c r="BU68" i="10"/>
  <c r="CY44" i="10"/>
  <c r="CY54" i="10" s="1"/>
  <c r="DA44" i="10"/>
  <c r="Y66" i="10"/>
  <c r="DB92" i="10"/>
  <c r="CW92" i="10"/>
  <c r="DK118" i="10"/>
  <c r="DS119" i="10"/>
  <c r="DP120" i="10"/>
  <c r="DA153" i="10"/>
  <c r="DC130" i="10"/>
  <c r="DI130" i="10"/>
  <c r="DH130" i="10"/>
  <c r="DJ130" i="10"/>
  <c r="DO130" i="10" s="1"/>
  <c r="DT130" i="10" s="1"/>
  <c r="DE152" i="10"/>
  <c r="DJ152" i="10" s="1"/>
  <c r="DO152" i="10" s="1"/>
  <c r="DT152" i="10" s="1"/>
  <c r="CX152" i="10"/>
  <c r="CV164" i="10"/>
  <c r="CY164" i="10"/>
  <c r="CX164" i="10"/>
  <c r="DJ177" i="10"/>
  <c r="DO177" i="10" s="1"/>
  <c r="DT177" i="10" s="1"/>
  <c r="DB177" i="10"/>
  <c r="DA177" i="10"/>
  <c r="DD177" i="10"/>
  <c r="DM186" i="10"/>
  <c r="DL165" i="10"/>
  <c r="DO165" i="10"/>
  <c r="DT165" i="10" s="1"/>
  <c r="DG165" i="10"/>
  <c r="DF165" i="10"/>
  <c r="L10" i="10"/>
  <c r="V11" i="10"/>
  <c r="CB11" i="10"/>
  <c r="BY11" i="10"/>
  <c r="AC278" i="10"/>
  <c r="AE143" i="8" s="1"/>
  <c r="AE168" i="8" s="1"/>
  <c r="BO291" i="10"/>
  <c r="CX276" i="10"/>
  <c r="BE313" i="10"/>
  <c r="BJ313" i="10"/>
  <c r="T213" i="10"/>
  <c r="L291" i="10"/>
  <c r="AO328" i="10"/>
  <c r="AO330" i="10" s="1"/>
  <c r="CH291" i="10"/>
  <c r="BR215" i="10"/>
  <c r="BY313" i="10"/>
  <c r="CE215" i="10"/>
  <c r="CJ215" i="10"/>
  <c r="DO134" i="10"/>
  <c r="DT134" i="10" s="1"/>
  <c r="DG134" i="10"/>
  <c r="DI134" i="10"/>
  <c r="DL134" i="10"/>
  <c r="DN134" i="10"/>
  <c r="DF134" i="10"/>
  <c r="DH134" i="10"/>
  <c r="DK134" i="10"/>
  <c r="DM134" i="10"/>
  <c r="N303" i="10"/>
  <c r="N311" i="10"/>
  <c r="BT11" i="10"/>
  <c r="P303" i="10"/>
  <c r="P313" i="10" s="1"/>
  <c r="BD303" i="10"/>
  <c r="BF329" i="47" s="1"/>
  <c r="BF353" i="47" s="1"/>
  <c r="AD311" i="10"/>
  <c r="AF328" i="47" s="1"/>
  <c r="AF352" i="47" s="1"/>
  <c r="BX10" i="10"/>
  <c r="CG215" i="10"/>
  <c r="DI271" i="10"/>
  <c r="DF271" i="10"/>
  <c r="DG271" i="10"/>
  <c r="DO271" i="10"/>
  <c r="DT271" i="10" s="1"/>
  <c r="DL271" i="10"/>
  <c r="S328" i="10"/>
  <c r="S330" i="10" s="1"/>
  <c r="CY276" i="10"/>
  <c r="CV276" i="10"/>
  <c r="CS276" i="10"/>
  <c r="CT276" i="10"/>
  <c r="BE278" i="10"/>
  <c r="BG143" i="8" s="1"/>
  <c r="BG168" i="8" s="1"/>
  <c r="BG174" i="8" s="1"/>
  <c r="BA228" i="10"/>
  <c r="BC228" i="10"/>
  <c r="BC278" i="10" s="1"/>
  <c r="CW301" i="10"/>
  <c r="DE301" i="10"/>
  <c r="DJ301" i="10" s="1"/>
  <c r="DO301" i="10" s="1"/>
  <c r="DT301" i="10" s="1"/>
  <c r="DB301" i="10"/>
  <c r="DC301" i="10"/>
  <c r="DD301" i="10"/>
  <c r="AJ66" i="10"/>
  <c r="DO104" i="10"/>
  <c r="DT104" i="10" s="1"/>
  <c r="DG118" i="10"/>
  <c r="DN118" i="10"/>
  <c r="DE113" i="10"/>
  <c r="DJ113" i="10" s="1"/>
  <c r="DO113" i="10" s="1"/>
  <c r="DT113" i="10" s="1"/>
  <c r="CY113" i="10"/>
  <c r="CX113" i="10"/>
  <c r="DS120" i="10"/>
  <c r="DA144" i="10"/>
  <c r="DD144" i="10"/>
  <c r="DC144" i="10"/>
  <c r="DE149" i="10"/>
  <c r="DJ149" i="10" s="1"/>
  <c r="DO149" i="10" s="1"/>
  <c r="DT149" i="10" s="1"/>
  <c r="CW149" i="10"/>
  <c r="CV149" i="10"/>
  <c r="CY149" i="10"/>
  <c r="DD153" i="10"/>
  <c r="DF153" i="10"/>
  <c r="CW152" i="10"/>
  <c r="CY152" i="10"/>
  <c r="DP167" i="10"/>
  <c r="DE183" i="10"/>
  <c r="DJ183" i="10" s="1"/>
  <c r="DO183" i="10" s="1"/>
  <c r="DT183" i="10" s="1"/>
  <c r="CV183" i="10"/>
  <c r="DN186" i="10"/>
  <c r="DP186" i="10"/>
  <c r="AC213" i="10"/>
  <c r="AE161" i="5" s="1"/>
  <c r="AE186" i="5" s="1"/>
  <c r="CJ11" i="10"/>
  <c r="L11" i="10"/>
  <c r="L12" i="10" s="1"/>
  <c r="BD228" i="10"/>
  <c r="BD278" i="10" s="1"/>
  <c r="BF143" i="8" s="1"/>
  <c r="BF168" i="8" s="1"/>
  <c r="CV301" i="10"/>
  <c r="CX301" i="10"/>
  <c r="DK271" i="10"/>
  <c r="DM271" i="10"/>
  <c r="CW276" i="10"/>
  <c r="CR276" i="10"/>
  <c r="AX311" i="10"/>
  <c r="AZ328" i="47" s="1"/>
  <c r="AZ352" i="47" s="1"/>
  <c r="CJ68" i="10"/>
  <c r="Q68" i="10"/>
  <c r="AE303" i="10"/>
  <c r="AG329" i="47" s="1"/>
  <c r="AG353" i="47" s="1"/>
  <c r="DI307" i="10"/>
  <c r="DF307" i="10"/>
  <c r="DH307" i="10"/>
  <c r="DG307" i="10"/>
  <c r="DO307" i="10"/>
  <c r="DT307" i="10" s="1"/>
  <c r="DQ309" i="10"/>
  <c r="DQ311" i="10" s="1"/>
  <c r="DP309" i="10"/>
  <c r="DP311" i="10" s="1"/>
  <c r="CE10" i="10"/>
  <c r="CG10" i="10"/>
  <c r="BT215" i="10"/>
  <c r="CD215" i="10"/>
  <c r="Z311" i="10"/>
  <c r="AB328" i="47" s="1"/>
  <c r="AB352" i="47" s="1"/>
  <c r="AK81" i="66"/>
  <c r="Y278" i="10"/>
  <c r="AA143" i="8" s="1"/>
  <c r="AA168" i="8" s="1"/>
  <c r="O311" i="10"/>
  <c r="BL289" i="10"/>
  <c r="BN142" i="8" s="1"/>
  <c r="BN167" i="8" s="1"/>
  <c r="AY289" i="10"/>
  <c r="BA142" i="8" s="1"/>
  <c r="BA167" i="8" s="1"/>
  <c r="AP11" i="10"/>
  <c r="AW311" i="10"/>
  <c r="AY328" i="47" s="1"/>
  <c r="AY352" i="47" s="1"/>
  <c r="AX303" i="10"/>
  <c r="AZ329" i="47" s="1"/>
  <c r="AZ353" i="47" s="1"/>
  <c r="BI289" i="10"/>
  <c r="BK142" i="8" s="1"/>
  <c r="BK167" i="8" s="1"/>
  <c r="BG289" i="10"/>
  <c r="BI142" i="8" s="1"/>
  <c r="BI167" i="8" s="1"/>
  <c r="AS328" i="10"/>
  <c r="AS330" i="10" s="1"/>
  <c r="AR328" i="10"/>
  <c r="AR330" i="10" s="1"/>
  <c r="BT68" i="10"/>
  <c r="BW68" i="10"/>
  <c r="BS68" i="10"/>
  <c r="CH68" i="10"/>
  <c r="CD291" i="10"/>
  <c r="BS291" i="10"/>
  <c r="CI291" i="10"/>
  <c r="AD303" i="10"/>
  <c r="AF329" i="47" s="1"/>
  <c r="AF353" i="47" s="1"/>
  <c r="T328" i="10"/>
  <c r="T330" i="10" s="1"/>
  <c r="AB303" i="10"/>
  <c r="AD329" i="47" s="1"/>
  <c r="AD353" i="47" s="1"/>
  <c r="O303" i="10"/>
  <c r="BL328" i="10"/>
  <c r="BL330" i="10" s="1"/>
  <c r="CI68" i="10"/>
  <c r="BX291" i="10"/>
  <c r="CL313" i="10"/>
  <c r="BW215" i="10"/>
  <c r="CH10" i="10"/>
  <c r="CI10" i="10"/>
  <c r="CT313" i="10"/>
  <c r="BS10" i="10"/>
  <c r="BY10" i="10"/>
  <c r="DO118" i="10"/>
  <c r="DT118" i="10" s="1"/>
  <c r="DM118" i="10"/>
  <c r="DL118" i="10"/>
  <c r="DH118" i="10"/>
  <c r="BO10" i="10"/>
  <c r="BQ107" i="4" s="1"/>
  <c r="BR10" i="10"/>
  <c r="CC215" i="10"/>
  <c r="CC10" i="10"/>
  <c r="DP98" i="10"/>
  <c r="DR98" i="10"/>
  <c r="DQ98" i="10"/>
  <c r="DS98" i="10"/>
  <c r="CY92" i="10"/>
  <c r="CX92" i="10"/>
  <c r="DA92" i="10"/>
  <c r="CI215" i="10"/>
  <c r="BS215" i="10"/>
  <c r="AG194" i="10"/>
  <c r="AI162" i="5" s="1"/>
  <c r="AI187" i="5" s="1"/>
  <c r="CZ88" i="10"/>
  <c r="DE88" i="10" s="1"/>
  <c r="DJ88" i="10" s="1"/>
  <c r="DO88" i="10" s="1"/>
  <c r="DT88" i="10" s="1"/>
  <c r="BU10" i="10"/>
  <c r="BZ10" i="10"/>
  <c r="AY66" i="10"/>
  <c r="BA51" i="9" s="1"/>
  <c r="BA65" i="9" s="1"/>
  <c r="X194" i="10"/>
  <c r="Z162" i="5" s="1"/>
  <c r="Z187" i="5" s="1"/>
  <c r="AV194" i="10"/>
  <c r="AX162" i="5" s="1"/>
  <c r="AX187" i="5" s="1"/>
  <c r="Y194" i="10"/>
  <c r="AA162" i="5" s="1"/>
  <c r="AA187" i="5" s="1"/>
  <c r="AS194" i="10"/>
  <c r="AU162" i="5" s="1"/>
  <c r="AU187" i="5" s="1"/>
  <c r="W213" i="10"/>
  <c r="Y161" i="5" s="1"/>
  <c r="Y186" i="5" s="1"/>
  <c r="AD213" i="10"/>
  <c r="AF161" i="5" s="1"/>
  <c r="AF186" i="5" s="1"/>
  <c r="AH311" i="10"/>
  <c r="AJ328" i="47" s="1"/>
  <c r="AJ352" i="47" s="1"/>
  <c r="BN303" i="10"/>
  <c r="BP329" i="47" s="1"/>
  <c r="BP353" i="47" s="1"/>
  <c r="BX313" i="10"/>
  <c r="U54" i="10"/>
  <c r="BI54" i="10"/>
  <c r="BK52" i="9" s="1"/>
  <c r="BK66" i="9" s="1"/>
  <c r="DD44" i="10"/>
  <c r="DC44" i="10"/>
  <c r="DB44" i="10"/>
  <c r="DE44" i="10"/>
  <c r="DJ44" i="10" s="1"/>
  <c r="DO44" i="10" s="1"/>
  <c r="DT44" i="10" s="1"/>
  <c r="CD10" i="10"/>
  <c r="CJ10" i="10"/>
  <c r="BR68" i="10"/>
  <c r="CM68" i="10"/>
  <c r="AK68" i="10"/>
  <c r="S213" i="10"/>
  <c r="BT10" i="10"/>
  <c r="V68" i="10"/>
  <c r="AW168" i="8"/>
  <c r="X66" i="10"/>
  <c r="AO54" i="10"/>
  <c r="CY88" i="10"/>
  <c r="CW88" i="10"/>
  <c r="CV88" i="10"/>
  <c r="DM89" i="10"/>
  <c r="DL89" i="10"/>
  <c r="DK89" i="10"/>
  <c r="DI89" i="10"/>
  <c r="DQ119" i="10"/>
  <c r="CW113" i="10"/>
  <c r="DA113" i="10"/>
  <c r="DD113" i="10"/>
  <c r="DI153" i="10"/>
  <c r="DH153" i="10"/>
  <c r="DG153" i="10"/>
  <c r="DJ153" i="10"/>
  <c r="DO153" i="10" s="1"/>
  <c r="DT153" i="10" s="1"/>
  <c r="DA152" i="10"/>
  <c r="DD152" i="10"/>
  <c r="DC152" i="10"/>
  <c r="BW10" i="10"/>
  <c r="CX183" i="10"/>
  <c r="DA183" i="10"/>
  <c r="DD183" i="10"/>
  <c r="DR186" i="10"/>
  <c r="DQ186" i="10"/>
  <c r="DL186" i="10"/>
  <c r="AA10" i="10"/>
  <c r="Y213" i="10"/>
  <c r="AA161" i="5" s="1"/>
  <c r="AA186" i="5" s="1"/>
  <c r="BF278" i="10"/>
  <c r="BH143" i="8" s="1"/>
  <c r="BH168" i="8" s="1"/>
  <c r="BU11" i="10"/>
  <c r="CI11" i="10"/>
  <c r="CI12" i="10" s="1"/>
  <c r="AL359" i="47"/>
  <c r="AN328" i="10"/>
  <c r="AN330" i="10" s="1"/>
  <c r="S289" i="10"/>
  <c r="W289" i="10"/>
  <c r="Y142" i="8" s="1"/>
  <c r="Y167" i="8" s="1"/>
  <c r="CG11" i="10"/>
  <c r="AU144" i="5"/>
  <c r="AT144" i="5"/>
  <c r="BZ11" i="10"/>
  <c r="AA11" i="10"/>
  <c r="BX11" i="10"/>
  <c r="BX12" i="10" s="1"/>
  <c r="BM289" i="10"/>
  <c r="BO142" i="8" s="1"/>
  <c r="BO167" i="8" s="1"/>
  <c r="BK289" i="10"/>
  <c r="BM142" i="8" s="1"/>
  <c r="BM167" i="8" s="1"/>
  <c r="AW289" i="10"/>
  <c r="AY142" i="8" s="1"/>
  <c r="AY167" i="8" s="1"/>
  <c r="BH289" i="10"/>
  <c r="BJ142" i="8" s="1"/>
  <c r="BJ167" i="8" s="1"/>
  <c r="BR11" i="10"/>
  <c r="AF11" i="10"/>
  <c r="CO68" i="10"/>
  <c r="AW316" i="47"/>
  <c r="AW315" i="47"/>
  <c r="Q11" i="10"/>
  <c r="CL11" i="10"/>
  <c r="CN11" i="10"/>
  <c r="CO11" i="10"/>
  <c r="BB311" i="10"/>
  <c r="BD328" i="47" s="1"/>
  <c r="BD352" i="47" s="1"/>
  <c r="BC311" i="10"/>
  <c r="BE328" i="47" s="1"/>
  <c r="BE352" i="47" s="1"/>
  <c r="T217" i="47"/>
  <c r="AA121" i="47"/>
  <c r="AR176" i="47"/>
  <c r="AW176" i="47" s="1"/>
  <c r="AH174" i="47"/>
  <c r="AK190" i="47"/>
  <c r="AL190" i="47"/>
  <c r="AA199" i="47"/>
  <c r="T218" i="47"/>
  <c r="T221" i="47" s="1"/>
  <c r="AM177" i="47"/>
  <c r="AR177" i="47" s="1"/>
  <c r="AW147" i="47"/>
  <c r="AS206" i="47"/>
  <c r="AS205" i="47"/>
  <c r="AW61" i="47"/>
  <c r="AS36" i="8"/>
  <c r="AY116" i="5"/>
  <c r="AP68" i="10"/>
  <c r="BQ58" i="47"/>
  <c r="AS232" i="8"/>
  <c r="AR191" i="8"/>
  <c r="AR194" i="8"/>
  <c r="AR232" i="8" s="1"/>
  <c r="AR197" i="8"/>
  <c r="BQ51" i="3"/>
  <c r="BE249" i="4"/>
  <c r="BE38" i="9"/>
  <c r="BG38" i="9" s="1"/>
  <c r="AQ152" i="4"/>
  <c r="AQ153" i="4" s="1"/>
  <c r="DJ64" i="3"/>
  <c r="AG223" i="4"/>
  <c r="BE20" i="5"/>
  <c r="BA116" i="5"/>
  <c r="AE98" i="5"/>
  <c r="BF37" i="5"/>
  <c r="BG37" i="5" s="1"/>
  <c r="BA40" i="4"/>
  <c r="AK92" i="5"/>
  <c r="AK95" i="5" s="1"/>
  <c r="AG98" i="5"/>
  <c r="AE120" i="5"/>
  <c r="Z207" i="5"/>
  <c r="Z44" i="8"/>
  <c r="Z80" i="4" s="1"/>
  <c r="Z95" i="44"/>
  <c r="AJ44" i="8"/>
  <c r="AJ80" i="4" s="1"/>
  <c r="AJ95" i="44"/>
  <c r="AE44" i="8"/>
  <c r="AE80" i="4" s="1"/>
  <c r="AE95" i="44"/>
  <c r="AO105" i="8"/>
  <c r="AI21" i="45"/>
  <c r="AI19" i="9"/>
  <c r="AA53" i="45"/>
  <c r="AA96" i="4" s="1"/>
  <c r="AA35" i="44"/>
  <c r="AC151" i="47"/>
  <c r="Z139" i="47"/>
  <c r="CK251" i="47"/>
  <c r="BB348" i="47"/>
  <c r="BB350" i="47" s="1"/>
  <c r="BB93" i="4"/>
  <c r="BM98" i="4"/>
  <c r="BN98" i="4"/>
  <c r="BP328" i="47"/>
  <c r="BP352" i="47" s="1"/>
  <c r="AE330" i="10"/>
  <c r="AG76" i="66"/>
  <c r="AD21" i="66"/>
  <c r="AD21" i="4"/>
  <c r="AE21" i="66"/>
  <c r="AE21" i="4"/>
  <c r="AA21" i="66"/>
  <c r="AA21" i="4"/>
  <c r="AG15" i="9"/>
  <c r="AG17" i="9" s="1"/>
  <c r="AB106" i="4"/>
  <c r="R181" i="4"/>
  <c r="AL226" i="4"/>
  <c r="AH206" i="5"/>
  <c r="AG205" i="5"/>
  <c r="BK124" i="4"/>
  <c r="AM203" i="8"/>
  <c r="AM22" i="3"/>
  <c r="AQ183" i="8"/>
  <c r="AM187" i="8"/>
  <c r="AR208" i="8"/>
  <c r="AR209" i="8"/>
  <c r="AH389" i="47"/>
  <c r="AH396" i="47" s="1"/>
  <c r="AH20" i="3"/>
  <c r="AQ24" i="9"/>
  <c r="AD63" i="9"/>
  <c r="AD62" i="9" s="1"/>
  <c r="AK9" i="9"/>
  <c r="AK10" i="9" s="1"/>
  <c r="AA196" i="8"/>
  <c r="AA197" i="8"/>
  <c r="AD155" i="4"/>
  <c r="AB142" i="4"/>
  <c r="AB143" i="4" s="1"/>
  <c r="AB63" i="9" s="1"/>
  <c r="AB62" i="9" s="1"/>
  <c r="CU55" i="3"/>
  <c r="AA155" i="4"/>
  <c r="AR98" i="4"/>
  <c r="AR90" i="44"/>
  <c r="AB152" i="4"/>
  <c r="CU64" i="3"/>
  <c r="W181" i="4"/>
  <c r="AL23" i="5"/>
  <c r="AL18" i="4"/>
  <c r="BQ186" i="5"/>
  <c r="BO211" i="10"/>
  <c r="AQ22" i="8"/>
  <c r="AQ19" i="4"/>
  <c r="AG22" i="8"/>
  <c r="AG19" i="4"/>
  <c r="AG38" i="45"/>
  <c r="AG81" i="4" s="1"/>
  <c r="AG96" i="44"/>
  <c r="Y53" i="45"/>
  <c r="Y35" i="44"/>
  <c r="AL22" i="47"/>
  <c r="AL29" i="47" s="1"/>
  <c r="AL303" i="47" s="1"/>
  <c r="AL17" i="4"/>
  <c r="BH43" i="4"/>
  <c r="BL348" i="47"/>
  <c r="BL350" i="47" s="1"/>
  <c r="BL93" i="4"/>
  <c r="BO152" i="4"/>
  <c r="Z328" i="47"/>
  <c r="Z352" i="47" s="1"/>
  <c r="BJ291" i="10"/>
  <c r="BL143" i="8"/>
  <c r="BL168" i="8" s="1"/>
  <c r="BL174" i="8" s="1"/>
  <c r="AP313" i="10"/>
  <c r="AR328" i="47"/>
  <c r="AR352" i="47" s="1"/>
  <c r="BF328" i="47"/>
  <c r="BF352" i="47" s="1"/>
  <c r="AF330" i="10"/>
  <c r="AH76" i="66"/>
  <c r="AP291" i="10"/>
  <c r="AR143" i="8"/>
  <c r="AR168" i="8" s="1"/>
  <c r="AR174" i="8" s="1"/>
  <c r="AF21" i="66"/>
  <c r="AF21" i="4"/>
  <c r="AG21" i="66"/>
  <c r="AG21" i="4"/>
  <c r="AZ249" i="4"/>
  <c r="AZ38" i="9"/>
  <c r="BB38" i="9" s="1"/>
  <c r="X232" i="4"/>
  <c r="X26" i="3"/>
  <c r="AJ107" i="4"/>
  <c r="BB161" i="5"/>
  <c r="E208" i="10" s="1"/>
  <c r="BB75" i="44"/>
  <c r="BB74" i="44"/>
  <c r="AL154" i="5"/>
  <c r="AC222" i="5"/>
  <c r="AC21" i="3"/>
  <c r="AG127" i="8"/>
  <c r="BN220" i="8"/>
  <c r="BN95" i="4"/>
  <c r="AQ186" i="8"/>
  <c r="AQ187" i="8" s="1"/>
  <c r="AL59" i="45"/>
  <c r="AL58" i="45" s="1"/>
  <c r="AL13" i="9"/>
  <c r="AL57" i="9" s="1"/>
  <c r="AG22" i="47"/>
  <c r="AG17" i="4"/>
  <c r="X389" i="47"/>
  <c r="X20" i="3"/>
  <c r="CM251" i="47"/>
  <c r="AE22" i="4"/>
  <c r="Y22" i="4"/>
  <c r="AM22" i="45"/>
  <c r="AM23" i="3" s="1"/>
  <c r="AM26" i="45"/>
  <c r="AB249" i="4"/>
  <c r="AB38" i="9"/>
  <c r="W142" i="4"/>
  <c r="CP55" i="3"/>
  <c r="AN155" i="4"/>
  <c r="M223" i="4"/>
  <c r="AQ98" i="5"/>
  <c r="AU47" i="5"/>
  <c r="AU79" i="4" s="1"/>
  <c r="AU94" i="44"/>
  <c r="AO98" i="5"/>
  <c r="AJ144" i="5"/>
  <c r="Y21" i="45"/>
  <c r="Y19" i="9"/>
  <c r="Y21" i="9" s="1"/>
  <c r="Z53" i="45"/>
  <c r="Z96" i="4" s="1"/>
  <c r="Z35" i="44"/>
  <c r="CF251" i="47"/>
  <c r="CC251" i="47"/>
  <c r="AX323" i="47"/>
  <c r="BD323" i="47"/>
  <c r="AP348" i="47"/>
  <c r="AP350" i="47" s="1"/>
  <c r="AP93" i="4"/>
  <c r="BQ348" i="47"/>
  <c r="BQ350" i="47" s="1"/>
  <c r="BQ93" i="4"/>
  <c r="BP152" i="4"/>
  <c r="BQ152" i="4" s="1"/>
  <c r="BH98" i="4"/>
  <c r="AX98" i="4"/>
  <c r="BB98" i="4" s="1"/>
  <c r="Y54" i="10"/>
  <c r="BA54" i="10"/>
  <c r="BC52" i="9" s="1"/>
  <c r="BC66" i="9" s="1"/>
  <c r="O66" i="10"/>
  <c r="BS11" i="10"/>
  <c r="CE11" i="10"/>
  <c r="AF291" i="10"/>
  <c r="AH143" i="8"/>
  <c r="AH168" i="8" s="1"/>
  <c r="AH174" i="8" s="1"/>
  <c r="CM11" i="10"/>
  <c r="AD328" i="47"/>
  <c r="AZ313" i="10"/>
  <c r="V313" i="10"/>
  <c r="X328" i="47"/>
  <c r="X352" i="47" s="1"/>
  <c r="AB21" i="66"/>
  <c r="AB21" i="4"/>
  <c r="AW30" i="3"/>
  <c r="AQ10" i="4"/>
  <c r="AQ9" i="9"/>
  <c r="AQ15" i="9" s="1"/>
  <c r="AQ17" i="9" s="1"/>
  <c r="AO107" i="4"/>
  <c r="AG106" i="4"/>
  <c r="AI155" i="4"/>
  <c r="AZ116" i="5"/>
  <c r="AL145" i="5"/>
  <c r="BA124" i="4"/>
  <c r="X203" i="8"/>
  <c r="X210" i="8" s="1"/>
  <c r="X22" i="3"/>
  <c r="AG118" i="8"/>
  <c r="AG120" i="8" s="1"/>
  <c r="AM389" i="47"/>
  <c r="AM396" i="47" s="1"/>
  <c r="AM20" i="3"/>
  <c r="AD22" i="4"/>
  <c r="AG24" i="9"/>
  <c r="CL275" i="47"/>
  <c r="CP275" i="47"/>
  <c r="CN275" i="47"/>
  <c r="CO275" i="47"/>
  <c r="CM275" i="47"/>
  <c r="CI251" i="47"/>
  <c r="CD251" i="47"/>
  <c r="CN251" i="47"/>
  <c r="CH251" i="47"/>
  <c r="CO251" i="47"/>
  <c r="CE251" i="47"/>
  <c r="CP251" i="47"/>
  <c r="AH232" i="4"/>
  <c r="AH239" i="4" s="1"/>
  <c r="CZ25" i="3" s="1"/>
  <c r="AH26" i="3"/>
  <c r="BN249" i="4"/>
  <c r="BN38" i="9"/>
  <c r="BQ38" i="9" s="1"/>
  <c r="AC232" i="4"/>
  <c r="AC239" i="4" s="1"/>
  <c r="CU25" i="3" s="1"/>
  <c r="AC26" i="3"/>
  <c r="AQ142" i="4"/>
  <c r="DJ55" i="3"/>
  <c r="AE155" i="4"/>
  <c r="X98" i="4"/>
  <c r="X90" i="44"/>
  <c r="AL107" i="4"/>
  <c r="AP155" i="4"/>
  <c r="H206" i="4"/>
  <c r="BQ26" i="5"/>
  <c r="Z216" i="5"/>
  <c r="BE20" i="8"/>
  <c r="BJ20" i="8" s="1"/>
  <c r="BO20" i="8" s="1"/>
  <c r="AG126" i="8"/>
  <c r="AJ80" i="45"/>
  <c r="AJ24" i="9"/>
  <c r="AD21" i="45"/>
  <c r="AD19" i="9"/>
  <c r="AD21" i="9" s="1"/>
  <c r="AB53" i="45"/>
  <c r="AB96" i="4" s="1"/>
  <c r="AB98" i="4" s="1"/>
  <c r="AB35" i="44"/>
  <c r="CJ251" i="47"/>
  <c r="CG251" i="47"/>
  <c r="AL348" i="47"/>
  <c r="AL350" i="47" s="1"/>
  <c r="AL93" i="4"/>
  <c r="BI98" i="4"/>
  <c r="BJ98" i="4"/>
  <c r="W330" i="10"/>
  <c r="Y76" i="66"/>
  <c r="Y21" i="66"/>
  <c r="Y21" i="4"/>
  <c r="Z21" i="66"/>
  <c r="Z21" i="4"/>
  <c r="AQ107" i="4"/>
  <c r="AC181" i="4"/>
  <c r="AL138" i="5"/>
  <c r="AL144" i="5" s="1"/>
  <c r="AR23" i="5"/>
  <c r="AR19" i="9"/>
  <c r="BE124" i="4"/>
  <c r="BI124" i="4"/>
  <c r="AQ23" i="5"/>
  <c r="AQ18" i="4"/>
  <c r="X222" i="5"/>
  <c r="X229" i="5" s="1"/>
  <c r="X21" i="3"/>
  <c r="AA21" i="45"/>
  <c r="AA19" i="9"/>
  <c r="AA21" i="9" s="1"/>
  <c r="AA22" i="4"/>
  <c r="Z22" i="4"/>
  <c r="AF22" i="4"/>
  <c r="AT19" i="9"/>
  <c r="BP98" i="4"/>
  <c r="V291" i="10"/>
  <c r="X143" i="8"/>
  <c r="X168" i="8" s="1"/>
  <c r="X174" i="8" s="1"/>
  <c r="AK291" i="10"/>
  <c r="AM143" i="8"/>
  <c r="AM168" i="8" s="1"/>
  <c r="AM174" i="8" s="1"/>
  <c r="AA330" i="10"/>
  <c r="AC76" i="66"/>
  <c r="BL21" i="66"/>
  <c r="BL21" i="4"/>
  <c r="AP63" i="9"/>
  <c r="AG19" i="45"/>
  <c r="AG21" i="45" s="1"/>
  <c r="AG20" i="4"/>
  <c r="AK13" i="9"/>
  <c r="AK57" i="9" s="1"/>
  <c r="AC21" i="9"/>
  <c r="AC22" i="4"/>
  <c r="AC24" i="4" s="1"/>
  <c r="AG95" i="66"/>
  <c r="L313" i="10"/>
  <c r="AJ13" i="9"/>
  <c r="AJ57" i="9" s="1"/>
  <c r="AC12" i="3"/>
  <c r="AK348" i="47"/>
  <c r="AK93" i="4"/>
  <c r="AL78" i="45"/>
  <c r="AM78" i="45" s="1"/>
  <c r="AJ79" i="45" s="1"/>
  <c r="AL96" i="44"/>
  <c r="AR12" i="3"/>
  <c r="BD13" i="9"/>
  <c r="AY57" i="9"/>
  <c r="BB174" i="8"/>
  <c r="AG38" i="9"/>
  <c r="AG249" i="4"/>
  <c r="AC245" i="5"/>
  <c r="AU15" i="9"/>
  <c r="AU17" i="9" s="1"/>
  <c r="O39" i="4"/>
  <c r="O46" i="4" s="1"/>
  <c r="O118" i="4"/>
  <c r="O119" i="4"/>
  <c r="AE63" i="9"/>
  <c r="AE62" i="9" s="1"/>
  <c r="AF206" i="5"/>
  <c r="AA98" i="4"/>
  <c r="AB22" i="47"/>
  <c r="AD388" i="47" s="1"/>
  <c r="AD401" i="47" s="1"/>
  <c r="AB17" i="4"/>
  <c r="AO348" i="47"/>
  <c r="AO93" i="4"/>
  <c r="AQ22" i="47"/>
  <c r="AQ17" i="4"/>
  <c r="BZ68" i="10"/>
  <c r="AA291" i="10"/>
  <c r="AC143" i="8"/>
  <c r="AC168" i="8" s="1"/>
  <c r="AC174" i="8" s="1"/>
  <c r="AI330" i="10"/>
  <c r="AK76" i="66"/>
  <c r="CO330" i="10"/>
  <c r="AL81" i="66"/>
  <c r="AM21" i="66"/>
  <c r="AM21" i="4"/>
  <c r="AC231" i="4"/>
  <c r="AC244" i="4" s="1"/>
  <c r="CU31" i="3" s="1"/>
  <c r="AG23" i="5"/>
  <c r="AG18" i="4"/>
  <c r="BG348" i="47"/>
  <c r="BG350" i="47" s="1"/>
  <c r="BG93" i="4"/>
  <c r="DT211" i="10"/>
  <c r="AF313" i="10"/>
  <c r="AH328" i="47"/>
  <c r="AH352" i="47" s="1"/>
  <c r="AE92" i="66"/>
  <c r="AB98" i="44"/>
  <c r="X21" i="66"/>
  <c r="X21" i="4"/>
  <c r="BZ215" i="10"/>
  <c r="X193" i="5"/>
  <c r="AH12" i="3"/>
  <c r="AV298" i="47"/>
  <c r="BG165" i="8"/>
  <c r="DY45" i="3"/>
  <c r="BE209" i="10"/>
  <c r="BG186" i="5"/>
  <c r="BG193" i="5" s="1"/>
  <c r="AA31" i="4"/>
  <c r="AA35" i="4"/>
  <c r="AS21" i="45"/>
  <c r="AC98" i="4"/>
  <c r="AC90" i="44"/>
  <c r="AM90" i="44"/>
  <c r="DP155" i="4"/>
  <c r="BD8" i="44"/>
  <c r="BE48" i="8"/>
  <c r="BE51" i="5"/>
  <c r="AB12" i="9"/>
  <c r="AB15" i="9" s="1"/>
  <c r="AB17" i="9" s="1"/>
  <c r="AZ68" i="10"/>
  <c r="BB52" i="9"/>
  <c r="BB66" i="9" s="1"/>
  <c r="AE311" i="10"/>
  <c r="AC89" i="66"/>
  <c r="AC24" i="3"/>
  <c r="AG99" i="4"/>
  <c r="AQ120" i="8"/>
  <c r="AG136" i="5"/>
  <c r="AG138" i="5" s="1"/>
  <c r="AG144" i="5" s="1"/>
  <c r="AG145" i="5"/>
  <c r="AG154" i="5"/>
  <c r="AZ124" i="4"/>
  <c r="AH222" i="5"/>
  <c r="AH21" i="3"/>
  <c r="AM222" i="5"/>
  <c r="AM229" i="5" s="1"/>
  <c r="AM21" i="3"/>
  <c r="AL137" i="8"/>
  <c r="BB165" i="8"/>
  <c r="DT45" i="3"/>
  <c r="X21" i="9"/>
  <c r="X26" i="9" s="1"/>
  <c r="X30" i="9" s="1"/>
  <c r="X37" i="9" s="1"/>
  <c r="X22" i="4"/>
  <c r="AN21" i="9"/>
  <c r="AN26" i="9" s="1"/>
  <c r="AN30" i="9" s="1"/>
  <c r="AN37" i="9" s="1"/>
  <c r="AN22" i="4"/>
  <c r="AG71" i="66"/>
  <c r="AG97" i="4" s="1"/>
  <c r="AF97" i="4"/>
  <c r="AL39" i="66"/>
  <c r="AL82" i="4"/>
  <c r="AI95" i="66"/>
  <c r="BY215" i="10"/>
  <c r="BC31" i="9"/>
  <c r="AX40" i="4"/>
  <c r="BE34" i="47"/>
  <c r="AZ43" i="4"/>
  <c r="AK14" i="45"/>
  <c r="AJ14" i="9"/>
  <c r="AH22" i="8"/>
  <c r="AH19" i="4"/>
  <c r="AH24" i="4" s="1"/>
  <c r="AQ137" i="8"/>
  <c r="AC23" i="8"/>
  <c r="AC202" i="8"/>
  <c r="AC215" i="8" s="1"/>
  <c r="AC29" i="8"/>
  <c r="BC163" i="8"/>
  <c r="BC165" i="8" s="1"/>
  <c r="BC220" i="8"/>
  <c r="BC95" i="4"/>
  <c r="AR206" i="5"/>
  <c r="AJ9" i="9"/>
  <c r="AJ10" i="9" s="1"/>
  <c r="AM12" i="9"/>
  <c r="AM15" i="9" s="1"/>
  <c r="AM17" i="9" s="1"/>
  <c r="AF19" i="9"/>
  <c r="AF21" i="9" s="1"/>
  <c r="AM215" i="5"/>
  <c r="BC19" i="45"/>
  <c r="BH19" i="45" s="1"/>
  <c r="Z98" i="4"/>
  <c r="CQ155" i="4"/>
  <c r="AR29" i="47"/>
  <c r="AR33" i="47" s="1"/>
  <c r="AR24" i="9"/>
  <c r="BD98" i="4"/>
  <c r="BG98" i="4" s="1"/>
  <c r="AA215" i="10"/>
  <c r="AC162" i="5"/>
  <c r="AC187" i="5" s="1"/>
  <c r="AR21" i="66"/>
  <c r="AR21" i="4"/>
  <c r="AW21" i="66"/>
  <c r="AH89" i="66"/>
  <c r="AH24" i="3"/>
  <c r="AH231" i="4"/>
  <c r="AH244" i="4" s="1"/>
  <c r="CZ31" i="3" s="1"/>
  <c r="AQ136" i="5"/>
  <c r="AQ138" i="5" s="1"/>
  <c r="AQ145" i="5"/>
  <c r="AB118" i="8"/>
  <c r="AB120" i="8" s="1"/>
  <c r="AB126" i="8" s="1"/>
  <c r="AB127" i="8"/>
  <c r="BL161" i="5"/>
  <c r="E210" i="10" s="1"/>
  <c r="BL75" i="44"/>
  <c r="BL74" i="44"/>
  <c r="AQ127" i="8"/>
  <c r="AB19" i="45"/>
  <c r="AB21" i="45" s="1"/>
  <c r="AB20" i="4"/>
  <c r="Z19" i="45"/>
  <c r="AR21" i="9"/>
  <c r="AR26" i="9" s="1"/>
  <c r="AR30" i="9" s="1"/>
  <c r="AR37" i="9" s="1"/>
  <c r="AR22" i="4"/>
  <c r="AO21" i="9"/>
  <c r="AO22" i="4"/>
  <c r="AO24" i="4" s="1"/>
  <c r="AA313" i="10"/>
  <c r="AC328" i="47"/>
  <c r="AC352" i="47" s="1"/>
  <c r="AC65" i="9" s="1"/>
  <c r="AC51" i="9" s="1"/>
  <c r="V330" i="10"/>
  <c r="X76" i="66"/>
  <c r="BB21" i="66"/>
  <c r="BB21" i="4"/>
  <c r="AB137" i="8"/>
  <c r="BH132" i="8"/>
  <c r="BL163" i="8"/>
  <c r="BL95" i="4"/>
  <c r="BD9" i="9"/>
  <c r="AE19" i="9"/>
  <c r="AE21" i="9" s="1"/>
  <c r="BM163" i="8"/>
  <c r="BM165" i="8" s="1"/>
  <c r="BM95" i="4"/>
  <c r="AU19" i="9"/>
  <c r="BE19" i="9" s="1"/>
  <c r="BJ19" i="9" s="1"/>
  <c r="BO19" i="9" s="1"/>
  <c r="AH90" i="44"/>
  <c r="N217" i="4"/>
  <c r="N238" i="4"/>
  <c r="AY10" i="44"/>
  <c r="AZ110" i="8"/>
  <c r="AZ109" i="8" s="1"/>
  <c r="BB45" i="66"/>
  <c r="BA45" i="66" s="1"/>
  <c r="AZ45" i="66" s="1"/>
  <c r="AY45" i="66" s="1"/>
  <c r="AX45" i="66" s="1"/>
  <c r="BA59" i="8"/>
  <c r="AZ59" i="8" s="1"/>
  <c r="BA76" i="5"/>
  <c r="AZ76" i="5" s="1"/>
  <c r="AY76" i="5" s="1"/>
  <c r="AE24" i="4"/>
  <c r="AQ38" i="9"/>
  <c r="AQ249" i="4"/>
  <c r="AB136" i="5"/>
  <c r="AB138" i="5" s="1"/>
  <c r="AB144" i="5" s="1"/>
  <c r="AS10" i="9"/>
  <c r="AS19" i="9"/>
  <c r="BM194" i="10"/>
  <c r="BO162" i="5" s="1"/>
  <c r="BO187" i="5" s="1"/>
  <c r="AC194" i="10"/>
  <c r="AE162" i="5" s="1"/>
  <c r="AE187" i="5" s="1"/>
  <c r="AE193" i="5" s="1"/>
  <c r="BM278" i="10"/>
  <c r="BW11" i="10"/>
  <c r="AM311" i="10"/>
  <c r="AO328" i="47" s="1"/>
  <c r="AO352" i="47" s="1"/>
  <c r="AY313" i="10"/>
  <c r="AV328" i="10"/>
  <c r="AV330" i="10" s="1"/>
  <c r="N328" i="10"/>
  <c r="N330" i="10" s="1"/>
  <c r="AC311" i="10"/>
  <c r="AE328" i="47" s="1"/>
  <c r="AE352" i="47" s="1"/>
  <c r="AC303" i="10"/>
  <c r="AE329" i="47" s="1"/>
  <c r="AE353" i="47" s="1"/>
  <c r="AI303" i="10"/>
  <c r="AK329" i="47" s="1"/>
  <c r="AK353" i="47" s="1"/>
  <c r="BD328" i="10"/>
  <c r="BD330" i="10" s="1"/>
  <c r="AK313" i="10"/>
  <c r="Z54" i="10"/>
  <c r="BN54" i="10"/>
  <c r="BP52" i="9" s="1"/>
  <c r="BP66" i="9" s="1"/>
  <c r="R54" i="10"/>
  <c r="BF54" i="10"/>
  <c r="BH52" i="9" s="1"/>
  <c r="BH66" i="9" s="1"/>
  <c r="AY54" i="10"/>
  <c r="AQ54" i="10"/>
  <c r="T54" i="10"/>
  <c r="Z66" i="10"/>
  <c r="AW66" i="10"/>
  <c r="AY51" i="9" s="1"/>
  <c r="AY65" i="9" s="1"/>
  <c r="AB66" i="10"/>
  <c r="AB68" i="10" s="1"/>
  <c r="BD66" i="10"/>
  <c r="BF51" i="9" s="1"/>
  <c r="BF65" i="9" s="1"/>
  <c r="R194" i="10"/>
  <c r="O194" i="10"/>
  <c r="BC194" i="10"/>
  <c r="AJ194" i="10"/>
  <c r="AL162" i="5" s="1"/>
  <c r="AL187" i="5" s="1"/>
  <c r="BL194" i="10"/>
  <c r="BN162" i="5" s="1"/>
  <c r="BN187" i="5" s="1"/>
  <c r="AB194" i="10"/>
  <c r="AD162" i="5" s="1"/>
  <c r="BB194" i="10"/>
  <c r="AE194" i="10"/>
  <c r="AG162" i="5" s="1"/>
  <c r="AG187" i="5" s="1"/>
  <c r="M194" i="10"/>
  <c r="BG278" i="10"/>
  <c r="BL313" i="10"/>
  <c r="AD328" i="10"/>
  <c r="AO66" i="10"/>
  <c r="AO68" i="10" s="1"/>
  <c r="AC289" i="10"/>
  <c r="T289" i="10"/>
  <c r="BC303" i="10"/>
  <c r="BE329" i="47" s="1"/>
  <c r="BE353" i="47" s="1"/>
  <c r="Q291" i="10"/>
  <c r="P328" i="10"/>
  <c r="P330" i="10" s="1"/>
  <c r="BN194" i="10"/>
  <c r="BP162" i="5" s="1"/>
  <c r="BP187" i="5" s="1"/>
  <c r="O213" i="10"/>
  <c r="Z278" i="10"/>
  <c r="AB143" i="8" s="1"/>
  <c r="AB168" i="8" s="1"/>
  <c r="M328" i="10"/>
  <c r="M330" i="10" s="1"/>
  <c r="BA328" i="10"/>
  <c r="BA330" i="10" s="1"/>
  <c r="AN66" i="10"/>
  <c r="AO289" i="10"/>
  <c r="AQ142" i="8" s="1"/>
  <c r="AQ167" i="8" s="1"/>
  <c r="BH328" i="10"/>
  <c r="BH330" i="10" s="1"/>
  <c r="BB303" i="10"/>
  <c r="AM328" i="10"/>
  <c r="AM330" i="10" s="1"/>
  <c r="X22" i="9"/>
  <c r="X25" i="3" s="1"/>
  <c r="AN22" i="9"/>
  <c r="AT29" i="47"/>
  <c r="AT23" i="47"/>
  <c r="AV389" i="47" s="1"/>
  <c r="AI33" i="47"/>
  <c r="AI36" i="47" s="1"/>
  <c r="AI303" i="47"/>
  <c r="AB63" i="47"/>
  <c r="AR23" i="47"/>
  <c r="AR388" i="47"/>
  <c r="AR401" i="47" s="1"/>
  <c r="AA23" i="47"/>
  <c r="AA29" i="47"/>
  <c r="AA33" i="47" s="1"/>
  <c r="AA36" i="47" s="1"/>
  <c r="BB135" i="47"/>
  <c r="BB230" i="47"/>
  <c r="AO214" i="47"/>
  <c r="AE29" i="47"/>
  <c r="AN33" i="47"/>
  <c r="AN36" i="47" s="1"/>
  <c r="AN303" i="47"/>
  <c r="Y121" i="47"/>
  <c r="X63" i="47"/>
  <c r="AX146" i="47"/>
  <c r="AG22" i="45"/>
  <c r="AG26" i="45"/>
  <c r="AU49" i="45"/>
  <c r="AE48" i="45"/>
  <c r="AK24" i="45"/>
  <c r="AT49" i="45"/>
  <c r="AD48" i="45"/>
  <c r="AL79" i="45"/>
  <c r="AU22" i="45"/>
  <c r="AH53" i="45"/>
  <c r="AM126" i="8"/>
  <c r="Z96" i="8"/>
  <c r="Y102" i="8"/>
  <c r="AA33" i="8"/>
  <c r="AA60" i="8"/>
  <c r="AA59" i="8"/>
  <c r="AD197" i="8"/>
  <c r="BE132" i="8"/>
  <c r="BE95" i="4" s="1"/>
  <c r="BD163" i="8"/>
  <c r="BD165" i="8" s="1"/>
  <c r="BD220" i="8"/>
  <c r="AQ75" i="8"/>
  <c r="AQ78" i="8" s="1"/>
  <c r="AJ197" i="8"/>
  <c r="AQ163" i="8"/>
  <c r="AQ165" i="8" s="1"/>
  <c r="AQ220" i="8"/>
  <c r="AR220" i="8" s="1"/>
  <c r="AR224" i="8" s="1"/>
  <c r="AU59" i="8"/>
  <c r="AU60" i="8"/>
  <c r="AU33" i="8"/>
  <c r="AU36" i="8" s="1"/>
  <c r="AE210" i="5"/>
  <c r="AE207" i="5"/>
  <c r="AE227" i="5"/>
  <c r="AE228" i="5"/>
  <c r="AE213" i="5"/>
  <c r="AE251" i="5" s="1"/>
  <c r="AE216" i="5"/>
  <c r="BC116" i="5"/>
  <c r="BG116" i="5" s="1"/>
  <c r="AN228" i="5"/>
  <c r="AI221" i="5"/>
  <c r="AI234" i="5" s="1"/>
  <c r="Y76" i="5"/>
  <c r="Y34" i="5"/>
  <c r="Y39" i="5" s="1"/>
  <c r="Y77" i="5"/>
  <c r="AR131" i="5"/>
  <c r="AR74" i="5" s="1"/>
  <c r="AN34" i="5"/>
  <c r="AN39" i="5" s="1"/>
  <c r="AN76" i="5"/>
  <c r="BN74" i="5"/>
  <c r="BO131" i="5"/>
  <c r="AH34" i="5"/>
  <c r="AH39" i="5" s="1"/>
  <c r="AH76" i="5"/>
  <c r="AH77" i="5"/>
  <c r="AT41" i="5"/>
  <c r="AS76" i="5"/>
  <c r="AS77" i="5"/>
  <c r="AS34" i="5"/>
  <c r="AS39" i="5" s="1"/>
  <c r="BG26" i="5"/>
  <c r="AA120" i="5"/>
  <c r="AM128" i="5"/>
  <c r="AM73" i="5" s="1"/>
  <c r="AD34" i="5"/>
  <c r="AD39" i="5" s="1"/>
  <c r="AD76" i="5"/>
  <c r="AD77" i="5"/>
  <c r="U220" i="4"/>
  <c r="U237" i="4"/>
  <c r="U223" i="4"/>
  <c r="U226" i="4"/>
  <c r="U217" i="4"/>
  <c r="AK237" i="4"/>
  <c r="AK223" i="4"/>
  <c r="AK238" i="4"/>
  <c r="AK220" i="4"/>
  <c r="AK226" i="4"/>
  <c r="AK217" i="4"/>
  <c r="AT226" i="4"/>
  <c r="AF226" i="4"/>
  <c r="AJ223" i="4"/>
  <c r="AA238" i="4"/>
  <c r="J39" i="4"/>
  <c r="J46" i="4" s="1"/>
  <c r="J118" i="4"/>
  <c r="J119" i="4"/>
  <c r="AG143" i="4"/>
  <c r="AG63" i="9" s="1"/>
  <c r="I206" i="4"/>
  <c r="I208" i="4" s="1"/>
  <c r="I222" i="4"/>
  <c r="AD206" i="4"/>
  <c r="AD208" i="4" s="1"/>
  <c r="AD222" i="4"/>
  <c r="AR208" i="4"/>
  <c r="AL181" i="4"/>
  <c r="AL206" i="4"/>
  <c r="AL208" i="4" s="1"/>
  <c r="K226" i="4"/>
  <c r="AP39" i="4"/>
  <c r="AP46" i="4" s="1"/>
  <c r="AP119" i="4"/>
  <c r="AP118" i="4"/>
  <c r="V217" i="4"/>
  <c r="V238" i="4"/>
  <c r="V237" i="4"/>
  <c r="AF39" i="4"/>
  <c r="AF46" i="4" s="1"/>
  <c r="AF118" i="4"/>
  <c r="AF119" i="4"/>
  <c r="DD139" i="4"/>
  <c r="DD155" i="4" s="1"/>
  <c r="AN24" i="4"/>
  <c r="AF237" i="4"/>
  <c r="AF217" i="4"/>
  <c r="AC206" i="4"/>
  <c r="AC208" i="4" s="1"/>
  <c r="AC222" i="4"/>
  <c r="AK39" i="4"/>
  <c r="AK46" i="4" s="1"/>
  <c r="AK118" i="4"/>
  <c r="AK119" i="4"/>
  <c r="O225" i="4"/>
  <c r="O238" i="4"/>
  <c r="U238" i="4"/>
  <c r="T35" i="4"/>
  <c r="T31" i="4"/>
  <c r="AS31" i="4"/>
  <c r="AS35" i="4"/>
  <c r="V226" i="4"/>
  <c r="AK91" i="66"/>
  <c r="BZ93" i="56"/>
  <c r="CB93" i="56"/>
  <c r="CI93" i="56"/>
  <c r="CQ93" i="56"/>
  <c r="BY94" i="56"/>
  <c r="CE94" i="56"/>
  <c r="CM94" i="56"/>
  <c r="CT94" i="56"/>
  <c r="CB95" i="56"/>
  <c r="CJ95" i="56"/>
  <c r="CP95" i="56"/>
  <c r="BX96" i="56"/>
  <c r="CF96" i="56"/>
  <c r="CM96" i="56"/>
  <c r="CS96" i="56"/>
  <c r="CB97" i="56"/>
  <c r="CI97" i="56"/>
  <c r="CP97" i="56"/>
  <c r="BY98" i="56"/>
  <c r="CE98" i="56"/>
  <c r="CL98" i="56"/>
  <c r="CT98" i="56"/>
  <c r="BW93" i="56"/>
  <c r="CD93" i="56"/>
  <c r="CL93" i="56"/>
  <c r="CR93" i="56"/>
  <c r="BZ94" i="56"/>
  <c r="CH94" i="56"/>
  <c r="CO94" i="56"/>
  <c r="CU94" i="56"/>
  <c r="CD95" i="56"/>
  <c r="CK95" i="56"/>
  <c r="CR95" i="56"/>
  <c r="CA96" i="56"/>
  <c r="CG96" i="56"/>
  <c r="CN96" i="56"/>
  <c r="BW97" i="56"/>
  <c r="CD97" i="56"/>
  <c r="CJ97" i="56"/>
  <c r="CR97" i="56"/>
  <c r="BZ98" i="56"/>
  <c r="CG98" i="56"/>
  <c r="CO98" i="56"/>
  <c r="CU98" i="56"/>
  <c r="BX93" i="56"/>
  <c r="CF93" i="56"/>
  <c r="CM93" i="56"/>
  <c r="CT93" i="56"/>
  <c r="CC94" i="56"/>
  <c r="CI94" i="56"/>
  <c r="CP94" i="56"/>
  <c r="BY95" i="56"/>
  <c r="CF95" i="56"/>
  <c r="CL95" i="56"/>
  <c r="CT95" i="56"/>
  <c r="CB96" i="56"/>
  <c r="CI96" i="56"/>
  <c r="CQ96" i="56"/>
  <c r="BX97" i="56"/>
  <c r="CE97" i="56"/>
  <c r="CM97" i="56"/>
  <c r="CT97" i="56"/>
  <c r="CA98" i="56"/>
  <c r="CI98" i="56"/>
  <c r="CP98" i="56"/>
  <c r="CA93" i="56"/>
  <c r="CH93" i="56"/>
  <c r="BW101" i="56" s="1"/>
  <c r="BY101" i="56" s="1"/>
  <c r="CN93" i="56"/>
  <c r="BW94" i="56"/>
  <c r="CD94" i="56"/>
  <c r="CK94" i="56"/>
  <c r="CS94" i="56"/>
  <c r="BZ95" i="56"/>
  <c r="CG95" i="56"/>
  <c r="CO95" i="56"/>
  <c r="BW96" i="56"/>
  <c r="CC96" i="56"/>
  <c r="CK96" i="56"/>
  <c r="CR96" i="56"/>
  <c r="BZ97" i="56"/>
  <c r="CH97" i="56"/>
  <c r="BW105" i="56" s="1"/>
  <c r="BY105" i="56" s="1"/>
  <c r="CN97" i="56"/>
  <c r="CU97" i="56"/>
  <c r="CD98" i="56"/>
  <c r="CK98" i="56"/>
  <c r="CQ98" i="56"/>
  <c r="AE66" i="10"/>
  <c r="AI66" i="10"/>
  <c r="AX194" i="10"/>
  <c r="AZ162" i="5" s="1"/>
  <c r="AZ187" i="5" s="1"/>
  <c r="U66" i="10"/>
  <c r="AI311" i="10"/>
  <c r="AK328" i="47" s="1"/>
  <c r="AK352" i="47" s="1"/>
  <c r="Y328" i="10"/>
  <c r="BI328" i="10"/>
  <c r="BI330" i="10" s="1"/>
  <c r="U213" i="10"/>
  <c r="R278" i="10"/>
  <c r="BH278" i="10"/>
  <c r="AL311" i="10"/>
  <c r="AN328" i="47" s="1"/>
  <c r="AN352" i="47" s="1"/>
  <c r="AM66" i="10"/>
  <c r="S66" i="10"/>
  <c r="Y289" i="10"/>
  <c r="AA142" i="8" s="1"/>
  <c r="AA167" i="8" s="1"/>
  <c r="P278" i="10"/>
  <c r="AJ289" i="10"/>
  <c r="AL142" i="8" s="1"/>
  <c r="AL167" i="8" s="1"/>
  <c r="Y303" i="10"/>
  <c r="BA303" i="10"/>
  <c r="BC329" i="47" s="1"/>
  <c r="BC353" i="47" s="1"/>
  <c r="BA311" i="10"/>
  <c r="BC328" i="47" s="1"/>
  <c r="BC352" i="47" s="1"/>
  <c r="N289" i="10"/>
  <c r="S303" i="10"/>
  <c r="BG303" i="10"/>
  <c r="BI329" i="47" s="1"/>
  <c r="BI353" i="47" s="1"/>
  <c r="U289" i="10"/>
  <c r="X289" i="10"/>
  <c r="Z142" i="8" s="1"/>
  <c r="Z167" i="8" s="1"/>
  <c r="AN289" i="10"/>
  <c r="AP142" i="8" s="1"/>
  <c r="AP167" i="8" s="1"/>
  <c r="BQ297" i="10"/>
  <c r="AH303" i="10"/>
  <c r="X328" i="10"/>
  <c r="T194" i="10"/>
  <c r="N194" i="10"/>
  <c r="M213" i="10"/>
  <c r="U278" i="10"/>
  <c r="AG303" i="10"/>
  <c r="AI329" i="47" s="1"/>
  <c r="AI353" i="47" s="1"/>
  <c r="BI303" i="10"/>
  <c r="BK329" i="47" s="1"/>
  <c r="BK353" i="47" s="1"/>
  <c r="BA289" i="10"/>
  <c r="BC142" i="8" s="1"/>
  <c r="BC167" i="8" s="1"/>
  <c r="AL303" i="10"/>
  <c r="AN329" i="47" s="1"/>
  <c r="AN353" i="47" s="1"/>
  <c r="R289" i="10"/>
  <c r="AL289" i="10"/>
  <c r="AN142" i="8" s="1"/>
  <c r="AN167" i="8" s="1"/>
  <c r="BF289" i="10"/>
  <c r="AB328" i="10"/>
  <c r="Z328" i="10"/>
  <c r="P66" i="10"/>
  <c r="T66" i="10"/>
  <c r="Z303" i="10"/>
  <c r="AJ328" i="10"/>
  <c r="BG14" i="9"/>
  <c r="BH13" i="9"/>
  <c r="BC57" i="9"/>
  <c r="AH22" i="9"/>
  <c r="AH25" i="3" s="1"/>
  <c r="AH26" i="9"/>
  <c r="AH30" i="9" s="1"/>
  <c r="AH37" i="9" s="1"/>
  <c r="AH127" i="4" s="1"/>
  <c r="AZ205" i="47"/>
  <c r="AZ211" i="47" s="1"/>
  <c r="AD33" i="47"/>
  <c r="AD36" i="47" s="1"/>
  <c r="AD303" i="47"/>
  <c r="BL135" i="47"/>
  <c r="BL230" i="47"/>
  <c r="AO33" i="47"/>
  <c r="AO36" i="47" s="1"/>
  <c r="AO303" i="47"/>
  <c r="AM61" i="47"/>
  <c r="BJ99" i="47"/>
  <c r="BH63" i="47"/>
  <c r="AA115" i="47"/>
  <c r="AA124" i="47" s="1"/>
  <c r="BF96" i="47"/>
  <c r="BO79" i="47"/>
  <c r="AR62" i="47"/>
  <c r="AB115" i="47"/>
  <c r="AB124" i="47" s="1"/>
  <c r="T220" i="47"/>
  <c r="BF252" i="47"/>
  <c r="BE252" i="47" s="1"/>
  <c r="BD252" i="47" s="1"/>
  <c r="BC252" i="47" s="1"/>
  <c r="BI323" i="47"/>
  <c r="AG29" i="47"/>
  <c r="AG303" i="47" s="1"/>
  <c r="AG23" i="47"/>
  <c r="AG389" i="47" s="1"/>
  <c r="AG396" i="47" s="1"/>
  <c r="AI388" i="47"/>
  <c r="AI401" i="47" s="1"/>
  <c r="AG388" i="47"/>
  <c r="AG401" i="47" s="1"/>
  <c r="AJ388" i="47"/>
  <c r="AJ401" i="47" s="1"/>
  <c r="BC214" i="47"/>
  <c r="AP63" i="47"/>
  <c r="AP205" i="47"/>
  <c r="AC62" i="47"/>
  <c r="AC29" i="47"/>
  <c r="AC388" i="47"/>
  <c r="AC401" i="47" s="1"/>
  <c r="AC23" i="47"/>
  <c r="AM303" i="47"/>
  <c r="AM33" i="47"/>
  <c r="AR303" i="47"/>
  <c r="AP29" i="47"/>
  <c r="AP23" i="47"/>
  <c r="AT388" i="47"/>
  <c r="AT401" i="47" s="1"/>
  <c r="AQ388" i="47"/>
  <c r="AQ401" i="47" s="1"/>
  <c r="AS388" i="47"/>
  <c r="AS401" i="47" s="1"/>
  <c r="Z121" i="47"/>
  <c r="BY256" i="47"/>
  <c r="BY269" i="47" s="1"/>
  <c r="CI256" i="47"/>
  <c r="BZ256" i="47"/>
  <c r="CA256" i="47" s="1"/>
  <c r="CB256" i="47" s="1"/>
  <c r="CC256" i="47" s="1"/>
  <c r="CD256" i="47" s="1"/>
  <c r="CE256" i="47" s="1"/>
  <c r="CF256" i="47" s="1"/>
  <c r="CG256" i="47" s="1"/>
  <c r="CH256" i="47" s="1"/>
  <c r="AQ29" i="47"/>
  <c r="AQ303" i="47" s="1"/>
  <c r="AQ23" i="47"/>
  <c r="AU389" i="47" s="1"/>
  <c r="AU388" i="47"/>
  <c r="AU401" i="47" s="1"/>
  <c r="BK96" i="47"/>
  <c r="BK206" i="47"/>
  <c r="BL206" i="47" s="1"/>
  <c r="AL177" i="47"/>
  <c r="BE96" i="47"/>
  <c r="BE100" i="47" s="1"/>
  <c r="AH151" i="47"/>
  <c r="BO80" i="47"/>
  <c r="BE320" i="47"/>
  <c r="BF320" i="47" s="1"/>
  <c r="BK63" i="47"/>
  <c r="BK205" i="47"/>
  <c r="AR135" i="47"/>
  <c r="AR230" i="47"/>
  <c r="AN214" i="47"/>
  <c r="AR206" i="47"/>
  <c r="AH33" i="47"/>
  <c r="AH303" i="47"/>
  <c r="AU33" i="47"/>
  <c r="AU36" i="47" s="1"/>
  <c r="AU340" i="47" s="1"/>
  <c r="AU346" i="47" s="1"/>
  <c r="AU303" i="47"/>
  <c r="BH205" i="47"/>
  <c r="BH96" i="47"/>
  <c r="AB23" i="47"/>
  <c r="AE389" i="47" s="1"/>
  <c r="AE396" i="47" s="1"/>
  <c r="AB29" i="47"/>
  <c r="AE388" i="47"/>
  <c r="AE401" i="47" s="1"/>
  <c r="AF388" i="47"/>
  <c r="AF401" i="47" s="1"/>
  <c r="AF33" i="47"/>
  <c r="AF36" i="47" s="1"/>
  <c r="AF303" i="47"/>
  <c r="AB121" i="47"/>
  <c r="BX255" i="47"/>
  <c r="BY255" i="47"/>
  <c r="BZ255" i="47" s="1"/>
  <c r="CA255" i="47" s="1"/>
  <c r="CB255" i="47" s="1"/>
  <c r="CC255" i="47" s="1"/>
  <c r="CD255" i="47" s="1"/>
  <c r="CE255" i="47" s="1"/>
  <c r="CF255" i="47" s="1"/>
  <c r="CG255" i="47" s="1"/>
  <c r="AQ265" i="47"/>
  <c r="AQ269" i="47" s="1"/>
  <c r="AQ271" i="47" s="1"/>
  <c r="AQ273" i="47" s="1"/>
  <c r="AP269" i="47"/>
  <c r="AP271" i="47" s="1"/>
  <c r="AP273" i="47" s="1"/>
  <c r="AA139" i="47"/>
  <c r="AJ63" i="47"/>
  <c r="AJ206" i="47"/>
  <c r="AI211" i="47"/>
  <c r="AI212" i="47" s="1"/>
  <c r="AM62" i="47"/>
  <c r="AI206" i="47"/>
  <c r="AI214" i="47" s="1"/>
  <c r="AS265" i="47"/>
  <c r="AW265" i="47"/>
  <c r="AI63" i="47"/>
  <c r="BB61" i="47"/>
  <c r="AQ63" i="47"/>
  <c r="BE63" i="47"/>
  <c r="BL62" i="47"/>
  <c r="BL96" i="47" s="1"/>
  <c r="BG75" i="47"/>
  <c r="BG168" i="47" s="1"/>
  <c r="BA252" i="47"/>
  <c r="AZ252" i="47" s="1"/>
  <c r="AY252" i="47" s="1"/>
  <c r="AX252" i="47" s="1"/>
  <c r="AW135" i="47"/>
  <c r="BG135" i="47"/>
  <c r="BG230" i="47"/>
  <c r="AK63" i="47"/>
  <c r="AK205" i="47"/>
  <c r="AK211" i="47" s="1"/>
  <c r="AS33" i="47"/>
  <c r="AS36" i="47" s="1"/>
  <c r="AS340" i="47" s="1"/>
  <c r="AS346" i="47" s="1"/>
  <c r="AS303" i="47"/>
  <c r="Y29" i="47"/>
  <c r="Y33" i="47" s="1"/>
  <c r="Y36" i="47" s="1"/>
  <c r="Y23" i="47"/>
  <c r="AB388" i="47"/>
  <c r="AB401" i="47" s="1"/>
  <c r="AI389" i="47"/>
  <c r="AI396" i="47" s="1"/>
  <c r="AO63" i="47"/>
  <c r="AO205" i="47"/>
  <c r="AK29" i="47"/>
  <c r="AK23" i="47"/>
  <c r="AK389" i="47" s="1"/>
  <c r="AK396" i="47" s="1"/>
  <c r="AK388" i="47"/>
  <c r="AK401" i="47" s="1"/>
  <c r="X38" i="47"/>
  <c r="X97" i="44" s="1"/>
  <c r="X43" i="47"/>
  <c r="X340" i="47"/>
  <c r="X346" i="47" s="1"/>
  <c r="AG120" i="47"/>
  <c r="AG121" i="47" s="1"/>
  <c r="AF120" i="47"/>
  <c r="AF121" i="47" s="1"/>
  <c r="AH121" i="47"/>
  <c r="AD120" i="47"/>
  <c r="AD121" i="47" s="1"/>
  <c r="AJ33" i="47"/>
  <c r="AJ36" i="47" s="1"/>
  <c r="AJ303" i="47"/>
  <c r="BA241" i="47"/>
  <c r="AZ241" i="47" s="1"/>
  <c r="AY241" i="47" s="1"/>
  <c r="AX241" i="47" s="1"/>
  <c r="BG241" i="47"/>
  <c r="AJ19" i="45"/>
  <c r="AD33" i="8"/>
  <c r="AD59" i="8"/>
  <c r="AD60" i="8"/>
  <c r="BN57" i="8"/>
  <c r="BO113" i="8"/>
  <c r="AN75" i="8"/>
  <c r="AL75" i="8"/>
  <c r="AL78" i="8" s="1"/>
  <c r="BB90" i="8"/>
  <c r="Y191" i="8"/>
  <c r="AK194" i="8"/>
  <c r="AK232" i="8" s="1"/>
  <c r="AL188" i="8"/>
  <c r="Z209" i="8"/>
  <c r="AL23" i="8"/>
  <c r="AP203" i="8" s="1"/>
  <c r="AP210" i="8" s="1"/>
  <c r="AL29" i="8"/>
  <c r="AQ105" i="8"/>
  <c r="AF202" i="8"/>
  <c r="AF215" i="8" s="1"/>
  <c r="BD57" i="8"/>
  <c r="BE113" i="8"/>
  <c r="AK197" i="8"/>
  <c r="AL202" i="8"/>
  <c r="AL215" i="8" s="1"/>
  <c r="AN59" i="8"/>
  <c r="AN33" i="8"/>
  <c r="AN36" i="8" s="1"/>
  <c r="AN60" i="8"/>
  <c r="AR188" i="8"/>
  <c r="AC196" i="8"/>
  <c r="AC209" i="8" s="1"/>
  <c r="X191" i="8"/>
  <c r="X208" i="8"/>
  <c r="AL163" i="8"/>
  <c r="AL165" i="8" s="1"/>
  <c r="AL220" i="8"/>
  <c r="AM220" i="8" s="1"/>
  <c r="X60" i="8"/>
  <c r="X33" i="8"/>
  <c r="X36" i="8" s="1"/>
  <c r="X59" i="8"/>
  <c r="AI94" i="8"/>
  <c r="AI96" i="8"/>
  <c r="AP38" i="8"/>
  <c r="AP43" i="8"/>
  <c r="AP155" i="8"/>
  <c r="AP161" i="8" s="1"/>
  <c r="Y188" i="8"/>
  <c r="Y209" i="8"/>
  <c r="AD105" i="8"/>
  <c r="AI105" i="8"/>
  <c r="AJ188" i="8"/>
  <c r="AJ209" i="8"/>
  <c r="AI75" i="8"/>
  <c r="AI78" i="8" s="1"/>
  <c r="AQ110" i="8"/>
  <c r="AQ56" i="8" s="1"/>
  <c r="Y126" i="8"/>
  <c r="AP126" i="8"/>
  <c r="Y194" i="8"/>
  <c r="Y232" i="8" s="1"/>
  <c r="Z197" i="8"/>
  <c r="AB23" i="8"/>
  <c r="AE202" i="8"/>
  <c r="AE215" i="8" s="1"/>
  <c r="AX93" i="8"/>
  <c r="AM196" i="8"/>
  <c r="AM209" i="8" s="1"/>
  <c r="AM210" i="8"/>
  <c r="AI59" i="8"/>
  <c r="AI60" i="8"/>
  <c r="AI33" i="8"/>
  <c r="AI36" i="8" s="1"/>
  <c r="AP202" i="8"/>
  <c r="AP215" i="8" s="1"/>
  <c r="AN196" i="8"/>
  <c r="AN188" i="8" s="1"/>
  <c r="AJ194" i="8"/>
  <c r="AJ232" i="8" s="1"/>
  <c r="AJ208" i="8"/>
  <c r="AF191" i="8"/>
  <c r="AF208" i="8"/>
  <c r="AM59" i="8"/>
  <c r="AM33" i="8"/>
  <c r="AM60" i="8"/>
  <c r="AK33" i="8"/>
  <c r="AK36" i="8" s="1"/>
  <c r="AK60" i="8"/>
  <c r="AK59" i="8"/>
  <c r="AO33" i="8"/>
  <c r="AO36" i="8" s="1"/>
  <c r="AO60" i="8"/>
  <c r="AO59" i="8"/>
  <c r="AK188" i="8"/>
  <c r="AK208" i="8"/>
  <c r="AL203" i="8"/>
  <c r="AL210" i="8" s="1"/>
  <c r="AK75" i="8"/>
  <c r="AK78" i="8" s="1"/>
  <c r="AX96" i="8"/>
  <c r="AX82" i="8" s="1"/>
  <c r="X102" i="8"/>
  <c r="AQ126" i="8"/>
  <c r="AH126" i="8"/>
  <c r="AT126" i="8"/>
  <c r="AF126" i="8"/>
  <c r="AR23" i="8"/>
  <c r="AR29" i="8"/>
  <c r="AR202" i="8"/>
  <c r="AR215" i="8" s="1"/>
  <c r="AD102" i="8"/>
  <c r="AD94" i="8"/>
  <c r="AN94" i="8"/>
  <c r="AN96" i="8"/>
  <c r="AF60" i="8"/>
  <c r="AF33" i="8"/>
  <c r="AF36" i="8" s="1"/>
  <c r="AF59" i="8"/>
  <c r="AI102" i="8"/>
  <c r="AB202" i="8"/>
  <c r="AB215" i="8" s="1"/>
  <c r="AT60" i="8"/>
  <c r="AT33" i="8"/>
  <c r="AT36" i="8" s="1"/>
  <c r="AT59" i="8"/>
  <c r="AK209" i="8"/>
  <c r="AN202" i="8"/>
  <c r="AN215" i="8" s="1"/>
  <c r="AO202" i="8"/>
  <c r="AO215" i="8" s="1"/>
  <c r="Y208" i="8"/>
  <c r="AS102" i="8"/>
  <c r="AX102" i="8" s="1"/>
  <c r="AF194" i="8"/>
  <c r="AF232" i="8" s="1"/>
  <c r="AR30" i="5"/>
  <c r="AR24" i="5"/>
  <c r="AR221" i="5"/>
  <c r="AR234" i="5" s="1"/>
  <c r="AA34" i="5"/>
  <c r="AA39" i="5" s="1"/>
  <c r="AA76" i="5"/>
  <c r="AA77" i="5"/>
  <c r="AL79" i="5"/>
  <c r="AM254" i="5"/>
  <c r="AO41" i="5"/>
  <c r="AO46" i="5"/>
  <c r="AO174" i="5"/>
  <c r="AO180" i="5" s="1"/>
  <c r="BL26" i="5"/>
  <c r="AQ144" i="5"/>
  <c r="AG112" i="5"/>
  <c r="AG51" i="5" s="1"/>
  <c r="AY148" i="5"/>
  <c r="BA148" i="5"/>
  <c r="AK34" i="5"/>
  <c r="AK39" i="5" s="1"/>
  <c r="AK76" i="5"/>
  <c r="AK77" i="5"/>
  <c r="AP34" i="5"/>
  <c r="AP39" i="5" s="1"/>
  <c r="AP76" i="5"/>
  <c r="AP77" i="5"/>
  <c r="AC34" i="5"/>
  <c r="AC39" i="5" s="1"/>
  <c r="AC76" i="5"/>
  <c r="AC77" i="5"/>
  <c r="AI210" i="5"/>
  <c r="AI227" i="5"/>
  <c r="X76" i="5"/>
  <c r="X77" i="5"/>
  <c r="X34" i="5"/>
  <c r="X39" i="5" s="1"/>
  <c r="X215" i="5"/>
  <c r="X207" i="5" s="1"/>
  <c r="AQ92" i="5"/>
  <c r="AQ95" i="5" s="1"/>
  <c r="AR128" i="5"/>
  <c r="AR73" i="5" s="1"/>
  <c r="AX148" i="5"/>
  <c r="AE76" i="5"/>
  <c r="AE77" i="5"/>
  <c r="AE34" i="5"/>
  <c r="AL110" i="5"/>
  <c r="AQ110" i="5" s="1"/>
  <c r="AG122" i="5"/>
  <c r="AG123" i="5" s="1"/>
  <c r="AF34" i="5"/>
  <c r="AF39" i="5" s="1"/>
  <c r="AF76" i="5"/>
  <c r="AF77" i="5"/>
  <c r="BP68" i="5"/>
  <c r="BK116" i="5"/>
  <c r="BL116" i="5" s="1"/>
  <c r="Z34" i="5"/>
  <c r="Z76" i="5"/>
  <c r="Z77" i="5"/>
  <c r="AM39" i="5"/>
  <c r="AI228" i="5"/>
  <c r="AA210" i="5"/>
  <c r="AA227" i="5"/>
  <c r="AA228" i="5"/>
  <c r="AJ210" i="5"/>
  <c r="AJ227" i="5"/>
  <c r="AJ228" i="5"/>
  <c r="AI92" i="5"/>
  <c r="AL120" i="5"/>
  <c r="AJ34" i="5"/>
  <c r="AJ39" i="5" s="1"/>
  <c r="AJ76" i="5"/>
  <c r="AJ77" i="5"/>
  <c r="AB108" i="5"/>
  <c r="AX74" i="5"/>
  <c r="AX131" i="5" s="1"/>
  <c r="AX130" i="5" s="1"/>
  <c r="AY131" i="5"/>
  <c r="AY130" i="5" s="1"/>
  <c r="AI34" i="5"/>
  <c r="AI39" i="5" s="1"/>
  <c r="AI77" i="5"/>
  <c r="AI76" i="5"/>
  <c r="AQ24" i="5"/>
  <c r="AA207" i="5"/>
  <c r="AN210" i="5"/>
  <c r="AN227" i="5"/>
  <c r="W206" i="4"/>
  <c r="W222" i="4"/>
  <c r="AQ206" i="4"/>
  <c r="AQ222" i="4"/>
  <c r="CT155" i="4"/>
  <c r="CJ139" i="4"/>
  <c r="CJ155" i="4" s="1"/>
  <c r="AK155" i="4"/>
  <c r="AR217" i="4"/>
  <c r="M217" i="4"/>
  <c r="AG217" i="4"/>
  <c r="N39" i="4"/>
  <c r="N46" i="4" s="1"/>
  <c r="N118" i="4"/>
  <c r="N119" i="4"/>
  <c r="Y35" i="4"/>
  <c r="Y31" i="4"/>
  <c r="AO39" i="4"/>
  <c r="AO46" i="4" s="1"/>
  <c r="AO118" i="4"/>
  <c r="AO119" i="4"/>
  <c r="J225" i="4"/>
  <c r="J223" i="4" s="1"/>
  <c r="AE220" i="4"/>
  <c r="AE237" i="4"/>
  <c r="P238" i="4"/>
  <c r="P223" i="4"/>
  <c r="AE238" i="4"/>
  <c r="DN155" i="4"/>
  <c r="AO155" i="4"/>
  <c r="X208" i="4"/>
  <c r="L226" i="4"/>
  <c r="Q226" i="4"/>
  <c r="AO226" i="4"/>
  <c r="K35" i="4"/>
  <c r="K31" i="4"/>
  <c r="U31" i="4"/>
  <c r="U35" i="4"/>
  <c r="U231" i="4"/>
  <c r="U244" i="4" s="1"/>
  <c r="V231" i="4"/>
  <c r="V244" i="4" s="1"/>
  <c r="AJ39" i="4"/>
  <c r="AJ46" i="4" s="1"/>
  <c r="AJ119" i="4"/>
  <c r="AJ118" i="4"/>
  <c r="T231" i="4"/>
  <c r="T244" i="4" s="1"/>
  <c r="R231" i="4"/>
  <c r="R244" i="4" s="1"/>
  <c r="G30" i="4"/>
  <c r="AT107" i="4"/>
  <c r="P153" i="4"/>
  <c r="P155" i="4" s="1"/>
  <c r="AQ181" i="4"/>
  <c r="AF208" i="4"/>
  <c r="Z217" i="4"/>
  <c r="Z237" i="4"/>
  <c r="Z238" i="4"/>
  <c r="AE226" i="4"/>
  <c r="P226" i="4"/>
  <c r="AN217" i="4"/>
  <c r="AN223" i="4"/>
  <c r="AN237" i="4"/>
  <c r="AN220" i="4"/>
  <c r="AA220" i="4"/>
  <c r="AA237" i="4"/>
  <c r="Z223" i="4"/>
  <c r="W208" i="4"/>
  <c r="AM35" i="4"/>
  <c r="AM31" i="4"/>
  <c r="AM231" i="4"/>
  <c r="AM244" i="4" s="1"/>
  <c r="DE31" i="3" s="1"/>
  <c r="AE31" i="4"/>
  <c r="AE35" i="4"/>
  <c r="R24" i="4"/>
  <c r="Y24" i="4"/>
  <c r="E39" i="4"/>
  <c r="E46" i="4" s="1"/>
  <c r="E119" i="4"/>
  <c r="E118" i="4"/>
  <c r="AQ15" i="4"/>
  <c r="AQ23" i="4" s="1"/>
  <c r="L31" i="4"/>
  <c r="L35" i="4"/>
  <c r="W15" i="4"/>
  <c r="W23" i="4" s="1"/>
  <c r="I39" i="4"/>
  <c r="I46" i="4" s="1"/>
  <c r="I118" i="4"/>
  <c r="I119" i="4"/>
  <c r="X39" i="4"/>
  <c r="X46" i="4" s="1"/>
  <c r="X118" i="4"/>
  <c r="X119" i="4"/>
  <c r="X48" i="3" s="1"/>
  <c r="P39" i="4"/>
  <c r="P46" i="4" s="1"/>
  <c r="P118" i="4"/>
  <c r="P119" i="4"/>
  <c r="Z107" i="4"/>
  <c r="Z153" i="4"/>
  <c r="S153" i="4"/>
  <c r="S155" i="4" s="1"/>
  <c r="CU155" i="4"/>
  <c r="AJ153" i="4"/>
  <c r="M206" i="4"/>
  <c r="H225" i="4"/>
  <c r="H226" i="4" s="1"/>
  <c r="E220" i="4"/>
  <c r="E238" i="4"/>
  <c r="E237" i="4"/>
  <c r="Z226" i="4"/>
  <c r="X225" i="4"/>
  <c r="X238" i="4" s="1"/>
  <c r="CP24" i="3" s="1"/>
  <c r="X239" i="4"/>
  <c r="CP25" i="3" s="1"/>
  <c r="P237" i="4"/>
  <c r="P217" i="4"/>
  <c r="AJ217" i="4"/>
  <c r="AJ220" i="4"/>
  <c r="AN238" i="4"/>
  <c r="G220" i="4"/>
  <c r="G237" i="4"/>
  <c r="AU220" i="4"/>
  <c r="AU237" i="4"/>
  <c r="Y155" i="4"/>
  <c r="L155" i="4"/>
  <c r="DA155" i="4"/>
  <c r="AT30" i="4"/>
  <c r="AT24" i="4"/>
  <c r="F31" i="4"/>
  <c r="F35" i="4"/>
  <c r="AR31" i="4"/>
  <c r="AR35" i="4"/>
  <c r="AR231" i="4"/>
  <c r="AR244" i="4" s="1"/>
  <c r="DJ31" i="3" s="1"/>
  <c r="AD31" i="4"/>
  <c r="AD35" i="4"/>
  <c r="S39" i="4"/>
  <c r="S46" i="4" s="1"/>
  <c r="S118" i="4"/>
  <c r="S119" i="4"/>
  <c r="AQ30" i="4"/>
  <c r="U24" i="4"/>
  <c r="AH226" i="4"/>
  <c r="AH223" i="4"/>
  <c r="AH225" i="4"/>
  <c r="K220" i="4"/>
  <c r="K237" i="4"/>
  <c r="K238" i="4"/>
  <c r="T225" i="4"/>
  <c r="T238" i="4" s="1"/>
  <c r="AF220" i="4"/>
  <c r="AF223" i="4"/>
  <c r="AA217" i="4"/>
  <c r="AL217" i="4"/>
  <c r="AL223" i="4"/>
  <c r="AL237" i="4"/>
  <c r="AH52" i="3"/>
  <c r="AI12" i="66"/>
  <c r="AI12" i="9" s="1"/>
  <c r="AI15" i="9" s="1"/>
  <c r="AI17" i="9" s="1"/>
  <c r="AK95" i="66"/>
  <c r="BG32" i="66"/>
  <c r="AL91" i="66"/>
  <c r="AL68" i="66"/>
  <c r="AK63" i="66"/>
  <c r="AK59" i="66" s="1"/>
  <c r="AG22" i="66"/>
  <c r="AG26" i="66"/>
  <c r="AG45" i="66" s="1"/>
  <c r="AA26" i="66"/>
  <c r="AA45" i="66" s="1"/>
  <c r="AA22" i="66"/>
  <c r="AL9" i="66"/>
  <c r="AL10" i="66" s="1"/>
  <c r="Y22" i="66"/>
  <c r="Y26" i="66"/>
  <c r="Y45" i="66" s="1"/>
  <c r="AB26" i="66"/>
  <c r="AB45" i="66" s="1"/>
  <c r="AB22" i="66"/>
  <c r="BQ32" i="66"/>
  <c r="AG88" i="66"/>
  <c r="AG96" i="66" s="1"/>
  <c r="AD22" i="66"/>
  <c r="AD88" i="66"/>
  <c r="AD96" i="66" s="1"/>
  <c r="AE88" i="66"/>
  <c r="AE96" i="66" s="1"/>
  <c r="AD26" i="66"/>
  <c r="AD45" i="66" s="1"/>
  <c r="AF88" i="66"/>
  <c r="AF96" i="66" s="1"/>
  <c r="Z22" i="66"/>
  <c r="Z26" i="66"/>
  <c r="Z45" i="66" s="1"/>
  <c r="AF26" i="66"/>
  <c r="AF45" i="66" s="1"/>
  <c r="AF22" i="66"/>
  <c r="AM67" i="66"/>
  <c r="AE26" i="66"/>
  <c r="AE45" i="66" s="1"/>
  <c r="AE22" i="66"/>
  <c r="AJ28" i="66"/>
  <c r="BW40" i="56"/>
  <c r="CC40" i="56"/>
  <c r="BX54" i="56"/>
  <c r="BP57" i="56"/>
  <c r="BW76" i="56" s="1"/>
  <c r="BY76" i="56" s="1"/>
  <c r="BX25" i="56"/>
  <c r="BX73" i="56"/>
  <c r="BY73" i="56" s="1"/>
  <c r="BY36" i="56"/>
  <c r="CB36" i="56" s="1"/>
  <c r="BX36" i="56" s="1"/>
  <c r="BW102" i="56"/>
  <c r="BY102" i="56" s="1"/>
  <c r="BY37" i="56"/>
  <c r="CB37" i="56" s="1"/>
  <c r="BX37" i="56" s="1"/>
  <c r="BW103" i="56"/>
  <c r="BY103" i="56" s="1"/>
  <c r="BY38" i="56"/>
  <c r="CB38" i="56" s="1"/>
  <c r="BX38" i="56" s="1"/>
  <c r="BW104" i="56"/>
  <c r="BY104" i="56" s="1"/>
  <c r="BW39" i="56"/>
  <c r="CC39" i="56"/>
  <c r="BX53" i="56"/>
  <c r="AM103" i="56"/>
  <c r="AY103" i="56"/>
  <c r="AN103" i="56"/>
  <c r="AZ103" i="56"/>
  <c r="AO103" i="56"/>
  <c r="BA103" i="56"/>
  <c r="AP103" i="56"/>
  <c r="BB103" i="56"/>
  <c r="BX17" i="56"/>
  <c r="BX19" i="56" s="1"/>
  <c r="BX72" i="56"/>
  <c r="BY72" i="56" s="1"/>
  <c r="BP59" i="56"/>
  <c r="BW78" i="56" s="1"/>
  <c r="BY78" i="56" s="1"/>
  <c r="BP104" i="56"/>
  <c r="BX31" i="56"/>
  <c r="BX74" i="56"/>
  <c r="BY74" i="56" s="1"/>
  <c r="BP58" i="56"/>
  <c r="BW77" i="56" s="1"/>
  <c r="BY77" i="56" s="1"/>
  <c r="BM104" i="56"/>
  <c r="BM54" i="10"/>
  <c r="AT54" i="10"/>
  <c r="AL54" i="10"/>
  <c r="DB24" i="10"/>
  <c r="DB54" i="10" s="1"/>
  <c r="DF24" i="10"/>
  <c r="DJ24" i="10"/>
  <c r="DO24" i="10" s="1"/>
  <c r="DT24" i="10" s="1"/>
  <c r="DC24" i="10"/>
  <c r="DG24" i="10"/>
  <c r="DD24" i="10"/>
  <c r="DH24" i="10"/>
  <c r="DA24" i="10"/>
  <c r="DI24" i="10"/>
  <c r="AX54" i="10"/>
  <c r="AZ52" i="9" s="1"/>
  <c r="AZ66" i="9" s="1"/>
  <c r="AC54" i="10"/>
  <c r="BL54" i="10"/>
  <c r="BG54" i="10"/>
  <c r="AJ54" i="10"/>
  <c r="W54" i="10"/>
  <c r="AV54" i="10"/>
  <c r="AX52" i="9" s="1"/>
  <c r="AX66" i="9" s="1"/>
  <c r="AD66" i="10"/>
  <c r="BC66" i="10"/>
  <c r="BE51" i="9" s="1"/>
  <c r="BE65" i="9" s="1"/>
  <c r="AX66" i="10"/>
  <c r="AZ51" i="9" s="1"/>
  <c r="AZ65" i="9" s="1"/>
  <c r="N66" i="10"/>
  <c r="AH66" i="10"/>
  <c r="DH62" i="10"/>
  <c r="DL62" i="10"/>
  <c r="DG62" i="10"/>
  <c r="DK62" i="10"/>
  <c r="DO62" i="10"/>
  <c r="DT62" i="10" s="1"/>
  <c r="DI62" i="10"/>
  <c r="DM62" i="10"/>
  <c r="DF62" i="10"/>
  <c r="DN62" i="10"/>
  <c r="BF194" i="10"/>
  <c r="BH162" i="5" s="1"/>
  <c r="BH187" i="5" s="1"/>
  <c r="AI194" i="10"/>
  <c r="AK162" i="5" s="1"/>
  <c r="AK187" i="5" s="1"/>
  <c r="BD194" i="10"/>
  <c r="BF162" i="5" s="1"/>
  <c r="BF187" i="5" s="1"/>
  <c r="AQ194" i="10"/>
  <c r="AS162" i="5" s="1"/>
  <c r="AD194" i="10"/>
  <c r="AF162" i="5" s="1"/>
  <c r="AF187" i="5" s="1"/>
  <c r="Z194" i="10"/>
  <c r="AB162" i="5" s="1"/>
  <c r="AB187" i="5" s="1"/>
  <c r="DI147" i="10"/>
  <c r="DM147" i="10"/>
  <c r="DF147" i="10"/>
  <c r="DN147" i="10"/>
  <c r="DG147" i="10"/>
  <c r="DK147" i="10"/>
  <c r="DO147" i="10"/>
  <c r="DT147" i="10" s="1"/>
  <c r="DH147" i="10"/>
  <c r="DL147" i="10"/>
  <c r="CL215" i="10"/>
  <c r="CV172" i="10"/>
  <c r="DD172" i="10"/>
  <c r="CW172" i="10"/>
  <c r="DA172" i="10"/>
  <c r="DE172" i="10"/>
  <c r="DJ172" i="10" s="1"/>
  <c r="CX172" i="10"/>
  <c r="DB172" i="10"/>
  <c r="CY172" i="10"/>
  <c r="DC172" i="10"/>
  <c r="AK10" i="10"/>
  <c r="AK215" i="10"/>
  <c r="BJ10" i="10"/>
  <c r="R213" i="10"/>
  <c r="N213" i="10"/>
  <c r="CW204" i="10"/>
  <c r="DA204" i="10"/>
  <c r="DE204" i="10"/>
  <c r="DJ204" i="10" s="1"/>
  <c r="DO204" i="10" s="1"/>
  <c r="DT204" i="10" s="1"/>
  <c r="CX204" i="10"/>
  <c r="DB204" i="10"/>
  <c r="CY204" i="10"/>
  <c r="DC204" i="10"/>
  <c r="CV204" i="10"/>
  <c r="DD204" i="10"/>
  <c r="AO213" i="10"/>
  <c r="AQ161" i="5" s="1"/>
  <c r="AQ186" i="5" s="1"/>
  <c r="AT278" i="10"/>
  <c r="CX227" i="10"/>
  <c r="DB227" i="10"/>
  <c r="CY227" i="10"/>
  <c r="DC227" i="10"/>
  <c r="CV227" i="10"/>
  <c r="DD227" i="10"/>
  <c r="CW227" i="10"/>
  <c r="DA227" i="10"/>
  <c r="DE227" i="10"/>
  <c r="DJ227" i="10" s="1"/>
  <c r="DO227" i="10" s="1"/>
  <c r="DT227" i="10" s="1"/>
  <c r="O278" i="10"/>
  <c r="O291" i="10" s="1"/>
  <c r="AQ278" i="10"/>
  <c r="AS143" i="8" s="1"/>
  <c r="AS168" i="8" s="1"/>
  <c r="AJ213" i="10"/>
  <c r="CW200" i="10"/>
  <c r="DA200" i="10"/>
  <c r="DE200" i="10"/>
  <c r="DJ200" i="10" s="1"/>
  <c r="DO200" i="10" s="1"/>
  <c r="DT200" i="10" s="1"/>
  <c r="CX200" i="10"/>
  <c r="DB200" i="10"/>
  <c r="CY200" i="10"/>
  <c r="DC200" i="10"/>
  <c r="CV200" i="10"/>
  <c r="DD200" i="10"/>
  <c r="CW207" i="10"/>
  <c r="DA207" i="10"/>
  <c r="DE207" i="10"/>
  <c r="DJ207" i="10" s="1"/>
  <c r="DO207" i="10" s="1"/>
  <c r="DT207" i="10" s="1"/>
  <c r="CX207" i="10"/>
  <c r="DB207" i="10"/>
  <c r="CY207" i="10"/>
  <c r="DC207" i="10"/>
  <c r="CV207" i="10"/>
  <c r="DD207" i="10"/>
  <c r="AB278" i="10"/>
  <c r="AD143" i="8" s="1"/>
  <c r="AD168" i="8" s="1"/>
  <c r="CV239" i="10"/>
  <c r="DD239" i="10"/>
  <c r="CW239" i="10"/>
  <c r="DA239" i="10"/>
  <c r="DE239" i="10"/>
  <c r="DJ239" i="10" s="1"/>
  <c r="DO239" i="10" s="1"/>
  <c r="DT239" i="10" s="1"/>
  <c r="CX239" i="10"/>
  <c r="DB239" i="10"/>
  <c r="CY239" i="10"/>
  <c r="DC239" i="10"/>
  <c r="AI278" i="10"/>
  <c r="AS278" i="10"/>
  <c r="AU143" i="8" s="1"/>
  <c r="AU168" i="8" s="1"/>
  <c r="AB289" i="10"/>
  <c r="AD142" i="8" s="1"/>
  <c r="AD167" i="8" s="1"/>
  <c r="AD174" i="8" s="1"/>
  <c r="U303" i="10"/>
  <c r="AG311" i="10"/>
  <c r="AW278" i="10"/>
  <c r="AG289" i="10"/>
  <c r="AI142" i="8" s="1"/>
  <c r="AI167" i="8" s="1"/>
  <c r="R303" i="10"/>
  <c r="AN278" i="10"/>
  <c r="DL261" i="10"/>
  <c r="DP261" i="10"/>
  <c r="DT261" i="10"/>
  <c r="DM261" i="10"/>
  <c r="DQ261" i="10"/>
  <c r="DN261" i="10"/>
  <c r="DR261" i="10"/>
  <c r="DK261" i="10"/>
  <c r="DS261" i="10"/>
  <c r="AH289" i="10"/>
  <c r="AJ142" i="8" s="1"/>
  <c r="AJ167" i="8" s="1"/>
  <c r="BB289" i="10"/>
  <c r="BD142" i="8" s="1"/>
  <c r="BD167" i="8" s="1"/>
  <c r="DH285" i="10"/>
  <c r="DL285" i="10"/>
  <c r="DI285" i="10"/>
  <c r="DM285" i="10"/>
  <c r="DF285" i="10"/>
  <c r="DN285" i="10"/>
  <c r="DG285" i="10"/>
  <c r="DK285" i="10"/>
  <c r="DO285" i="10"/>
  <c r="DT285" i="10" s="1"/>
  <c r="U311" i="10"/>
  <c r="AJ313" i="10"/>
  <c r="BI311" i="10"/>
  <c r="BK328" i="47" s="1"/>
  <c r="BK352" i="47" s="1"/>
  <c r="DD325" i="10"/>
  <c r="DH325" i="10"/>
  <c r="DH328" i="10" s="1"/>
  <c r="DH330" i="10" s="1"/>
  <c r="DA325" i="10"/>
  <c r="DI325" i="10"/>
  <c r="DI328" i="10" s="1"/>
  <c r="DI330" i="10" s="1"/>
  <c r="DB325" i="10"/>
  <c r="DF325" i="10"/>
  <c r="DF328" i="10" s="1"/>
  <c r="DF330" i="10" s="1"/>
  <c r="DJ325" i="10"/>
  <c r="DO325" i="10" s="1"/>
  <c r="DT325" i="10" s="1"/>
  <c r="DC325" i="10"/>
  <c r="DG325" i="10"/>
  <c r="DG328" i="10" s="1"/>
  <c r="DG330" i="10" s="1"/>
  <c r="N54" i="10"/>
  <c r="BB54" i="10"/>
  <c r="BD52" i="9" s="1"/>
  <c r="BD66" i="9" s="1"/>
  <c r="AW54" i="10"/>
  <c r="AE54" i="10"/>
  <c r="BK54" i="10"/>
  <c r="AM54" i="10"/>
  <c r="BD54" i="10"/>
  <c r="BF52" i="9" s="1"/>
  <c r="BF66" i="9" s="1"/>
  <c r="DF30" i="10"/>
  <c r="DN30" i="10"/>
  <c r="DN54" i="10" s="1"/>
  <c r="DG30" i="10"/>
  <c r="DK30" i="10"/>
  <c r="DK54" i="10" s="1"/>
  <c r="DO30" i="10"/>
  <c r="DT30" i="10" s="1"/>
  <c r="DH30" i="10"/>
  <c r="DL30" i="10"/>
  <c r="DL54" i="10" s="1"/>
  <c r="DI30" i="10"/>
  <c r="DM30" i="10"/>
  <c r="DM54" i="10" s="1"/>
  <c r="AI54" i="10"/>
  <c r="BC54" i="10"/>
  <c r="AN54" i="10"/>
  <c r="BA66" i="10"/>
  <c r="AG66" i="10"/>
  <c r="M66" i="10"/>
  <c r="DD61" i="10"/>
  <c r="DH61" i="10"/>
  <c r="DC61" i="10"/>
  <c r="DG61" i="10"/>
  <c r="DA61" i="10"/>
  <c r="DI61" i="10"/>
  <c r="DB61" i="10"/>
  <c r="DJ61" i="10"/>
  <c r="DO61" i="10" s="1"/>
  <c r="DT61" i="10" s="1"/>
  <c r="DF61" i="10"/>
  <c r="AM194" i="10"/>
  <c r="AO162" i="5" s="1"/>
  <c r="W194" i="10"/>
  <c r="Y162" i="5" s="1"/>
  <c r="Y187" i="5" s="1"/>
  <c r="BH194" i="10"/>
  <c r="BJ162" i="5" s="1"/>
  <c r="BJ187" i="5" s="1"/>
  <c r="DR82" i="10"/>
  <c r="DS82" i="10"/>
  <c r="DP82" i="10"/>
  <c r="DQ82" i="10"/>
  <c r="CX79" i="10"/>
  <c r="DB79" i="10"/>
  <c r="CY79" i="10"/>
  <c r="DC79" i="10"/>
  <c r="CV79" i="10"/>
  <c r="DD79" i="10"/>
  <c r="CW79" i="10"/>
  <c r="DA79" i="10"/>
  <c r="DE79" i="10"/>
  <c r="AT194" i="10"/>
  <c r="AV162" i="5" s="1"/>
  <c r="AV187" i="5" s="1"/>
  <c r="AW194" i="10"/>
  <c r="AY162" i="5" s="1"/>
  <c r="AY187" i="5" s="1"/>
  <c r="CV128" i="10"/>
  <c r="DD128" i="10"/>
  <c r="CW128" i="10"/>
  <c r="DA128" i="10"/>
  <c r="DE128" i="10"/>
  <c r="DJ128" i="10" s="1"/>
  <c r="DO128" i="10" s="1"/>
  <c r="DT128" i="10" s="1"/>
  <c r="CX128" i="10"/>
  <c r="DB128" i="10"/>
  <c r="CY128" i="10"/>
  <c r="DC128" i="10"/>
  <c r="CR135" i="10"/>
  <c r="CV135" i="10"/>
  <c r="CZ135" i="10"/>
  <c r="DE135" i="10" s="1"/>
  <c r="DJ135" i="10" s="1"/>
  <c r="DO135" i="10" s="1"/>
  <c r="DT135" i="10" s="1"/>
  <c r="CS135" i="10"/>
  <c r="CW135" i="10"/>
  <c r="CT135" i="10"/>
  <c r="CX135" i="10"/>
  <c r="CQ135" i="10"/>
  <c r="CY135" i="10"/>
  <c r="DA146" i="10"/>
  <c r="DI146" i="10"/>
  <c r="DB146" i="10"/>
  <c r="DF146" i="10"/>
  <c r="DJ146" i="10"/>
  <c r="DO146" i="10" s="1"/>
  <c r="DT146" i="10" s="1"/>
  <c r="DC146" i="10"/>
  <c r="DG146" i="10"/>
  <c r="DD146" i="10"/>
  <c r="DH146" i="10"/>
  <c r="CO215" i="10"/>
  <c r="X213" i="10"/>
  <c r="Z161" i="5" s="1"/>
  <c r="Z186" i="5" s="1"/>
  <c r="Z213" i="10"/>
  <c r="AB161" i="5" s="1"/>
  <c r="AB186" i="5" s="1"/>
  <c r="P213" i="10"/>
  <c r="AX278" i="10"/>
  <c r="BB278" i="10"/>
  <c r="CX226" i="10"/>
  <c r="DB226" i="10"/>
  <c r="CY226" i="10"/>
  <c r="DC226" i="10"/>
  <c r="CV226" i="10"/>
  <c r="DD226" i="10"/>
  <c r="CW226" i="10"/>
  <c r="DA226" i="10"/>
  <c r="DE226" i="10"/>
  <c r="DJ226" i="10" s="1"/>
  <c r="DO226" i="10" s="1"/>
  <c r="DT226" i="10" s="1"/>
  <c r="CW206" i="10"/>
  <c r="DA206" i="10"/>
  <c r="DE206" i="10"/>
  <c r="DJ206" i="10" s="1"/>
  <c r="DO206" i="10" s="1"/>
  <c r="DT206" i="10" s="1"/>
  <c r="CX206" i="10"/>
  <c r="DB206" i="10"/>
  <c r="CY206" i="10"/>
  <c r="DC206" i="10"/>
  <c r="CV206" i="10"/>
  <c r="DD206" i="10"/>
  <c r="BK278" i="10"/>
  <c r="M278" i="10"/>
  <c r="AI213" i="10"/>
  <c r="CW199" i="10"/>
  <c r="DA199" i="10"/>
  <c r="DE199" i="10"/>
  <c r="DJ199" i="10" s="1"/>
  <c r="DO199" i="10" s="1"/>
  <c r="DT199" i="10" s="1"/>
  <c r="CX199" i="10"/>
  <c r="DB199" i="10"/>
  <c r="CY199" i="10"/>
  <c r="DC199" i="10"/>
  <c r="CV199" i="10"/>
  <c r="DD199" i="10"/>
  <c r="CW203" i="10"/>
  <c r="DA203" i="10"/>
  <c r="DE203" i="10"/>
  <c r="DJ203" i="10" s="1"/>
  <c r="DO203" i="10" s="1"/>
  <c r="DT203" i="10" s="1"/>
  <c r="CX203" i="10"/>
  <c r="DB203" i="10"/>
  <c r="CY203" i="10"/>
  <c r="DC203" i="10"/>
  <c r="CV203" i="10"/>
  <c r="DD203" i="10"/>
  <c r="AR278" i="10"/>
  <c r="AT143" i="8" s="1"/>
  <c r="AT168" i="8" s="1"/>
  <c r="CR242" i="10"/>
  <c r="CV242" i="10"/>
  <c r="CZ242" i="10"/>
  <c r="DE242" i="10" s="1"/>
  <c r="DJ242" i="10" s="1"/>
  <c r="DO242" i="10" s="1"/>
  <c r="DT242" i="10" s="1"/>
  <c r="CS242" i="10"/>
  <c r="CW242" i="10"/>
  <c r="CT242" i="10"/>
  <c r="CX242" i="10"/>
  <c r="CQ242" i="10"/>
  <c r="CY242" i="10"/>
  <c r="AH278" i="10"/>
  <c r="CS253" i="10"/>
  <c r="CW253" i="10"/>
  <c r="CT253" i="10"/>
  <c r="CX253" i="10"/>
  <c r="CQ253" i="10"/>
  <c r="CY253" i="10"/>
  <c r="CR253" i="10"/>
  <c r="CV253" i="10"/>
  <c r="CZ253" i="10"/>
  <c r="DE253" i="10" s="1"/>
  <c r="DJ253" i="10" s="1"/>
  <c r="DO253" i="10" s="1"/>
  <c r="DT253" i="10" s="1"/>
  <c r="AM278" i="10"/>
  <c r="DL259" i="10"/>
  <c r="DP259" i="10"/>
  <c r="DT259" i="10"/>
  <c r="DM259" i="10"/>
  <c r="DQ259" i="10"/>
  <c r="DN259" i="10"/>
  <c r="DR259" i="10"/>
  <c r="DK259" i="10"/>
  <c r="DS259" i="10"/>
  <c r="CV260" i="10"/>
  <c r="DD260" i="10"/>
  <c r="CW260" i="10"/>
  <c r="DA260" i="10"/>
  <c r="DE260" i="10"/>
  <c r="DJ260" i="10" s="1"/>
  <c r="DO260" i="10" s="1"/>
  <c r="CX260" i="10"/>
  <c r="DB260" i="10"/>
  <c r="CY260" i="10"/>
  <c r="DC260" i="10"/>
  <c r="CV282" i="10"/>
  <c r="DD282" i="10"/>
  <c r="CW282" i="10"/>
  <c r="DA282" i="10"/>
  <c r="DE282" i="10"/>
  <c r="DJ282" i="10" s="1"/>
  <c r="DO282" i="10" s="1"/>
  <c r="DT282" i="10" s="1"/>
  <c r="CX282" i="10"/>
  <c r="DB282" i="10"/>
  <c r="CY282" i="10"/>
  <c r="DC282" i="10"/>
  <c r="CV283" i="10"/>
  <c r="DD283" i="10"/>
  <c r="CW283" i="10"/>
  <c r="DA283" i="10"/>
  <c r="DE283" i="10"/>
  <c r="DJ283" i="10" s="1"/>
  <c r="DO283" i="10" s="1"/>
  <c r="DT283" i="10" s="1"/>
  <c r="CX283" i="10"/>
  <c r="DB283" i="10"/>
  <c r="CY283" i="10"/>
  <c r="DC283" i="10"/>
  <c r="DD284" i="10"/>
  <c r="DH284" i="10"/>
  <c r="DA284" i="10"/>
  <c r="DI284" i="10"/>
  <c r="DB284" i="10"/>
  <c r="DF284" i="10"/>
  <c r="DJ284" i="10"/>
  <c r="DO284" i="10" s="1"/>
  <c r="DT284" i="10" s="1"/>
  <c r="DC284" i="10"/>
  <c r="DG284" i="10"/>
  <c r="W303" i="10"/>
  <c r="Y329" i="47" s="1"/>
  <c r="BK303" i="10"/>
  <c r="BM329" i="47" s="1"/>
  <c r="BM353" i="47" s="1"/>
  <c r="W311" i="10"/>
  <c r="Y328" i="47" s="1"/>
  <c r="Y352" i="47" s="1"/>
  <c r="T311" i="10"/>
  <c r="T313" i="10" s="1"/>
  <c r="AC328" i="10"/>
  <c r="BH311" i="10"/>
  <c r="AH328" i="10"/>
  <c r="AT328" i="10"/>
  <c r="AT330" i="10" s="1"/>
  <c r="O54" i="10"/>
  <c r="DR31" i="10"/>
  <c r="DR54" i="10" s="1"/>
  <c r="DS31" i="10"/>
  <c r="DS54" i="10" s="1"/>
  <c r="DP31" i="10"/>
  <c r="DP54" i="10" s="1"/>
  <c r="DQ31" i="10"/>
  <c r="DQ54" i="10" s="1"/>
  <c r="CV57" i="10"/>
  <c r="DD57" i="10"/>
  <c r="CW57" i="10"/>
  <c r="DA57" i="10"/>
  <c r="DE57" i="10"/>
  <c r="DJ57" i="10" s="1"/>
  <c r="DO57" i="10" s="1"/>
  <c r="DT57" i="10" s="1"/>
  <c r="CX57" i="10"/>
  <c r="DB57" i="10"/>
  <c r="CY57" i="10"/>
  <c r="DC57" i="10"/>
  <c r="CV58" i="10"/>
  <c r="DD58" i="10"/>
  <c r="CW58" i="10"/>
  <c r="DA58" i="10"/>
  <c r="DE58" i="10"/>
  <c r="DJ58" i="10" s="1"/>
  <c r="DO58" i="10" s="1"/>
  <c r="DT58" i="10" s="1"/>
  <c r="CX58" i="10"/>
  <c r="DB58" i="10"/>
  <c r="CY58" i="10"/>
  <c r="DC58" i="10"/>
  <c r="CV59" i="10"/>
  <c r="DD59" i="10"/>
  <c r="CW59" i="10"/>
  <c r="DA59" i="10"/>
  <c r="DE59" i="10"/>
  <c r="DJ59" i="10" s="1"/>
  <c r="DO59" i="10" s="1"/>
  <c r="DT59" i="10" s="1"/>
  <c r="CX59" i="10"/>
  <c r="DB59" i="10"/>
  <c r="CY59" i="10"/>
  <c r="DC59" i="10"/>
  <c r="CV60" i="10"/>
  <c r="DD60" i="10"/>
  <c r="CW60" i="10"/>
  <c r="DA60" i="10"/>
  <c r="DE60" i="10"/>
  <c r="DJ60" i="10" s="1"/>
  <c r="DO60" i="10" s="1"/>
  <c r="DT60" i="10" s="1"/>
  <c r="CX60" i="10"/>
  <c r="DB60" i="10"/>
  <c r="CY60" i="10"/>
  <c r="DC60" i="10"/>
  <c r="DF83" i="10"/>
  <c r="DN83" i="10"/>
  <c r="DG83" i="10"/>
  <c r="DK83" i="10"/>
  <c r="DO83" i="10"/>
  <c r="DT83" i="10" s="1"/>
  <c r="DH83" i="10"/>
  <c r="DL83" i="10"/>
  <c r="DI83" i="10"/>
  <c r="DM83" i="10"/>
  <c r="BQ106" i="10"/>
  <c r="AH194" i="10"/>
  <c r="AJ162" i="5" s="1"/>
  <c r="U194" i="10"/>
  <c r="CR122" i="10"/>
  <c r="CZ122" i="10"/>
  <c r="CV122" i="10" s="1"/>
  <c r="CS122" i="10"/>
  <c r="CT122" i="10"/>
  <c r="CQ122" i="10"/>
  <c r="CR123" i="10"/>
  <c r="CZ123" i="10"/>
  <c r="CV123" i="10" s="1"/>
  <c r="CS123" i="10"/>
  <c r="CT123" i="10"/>
  <c r="CQ123" i="10"/>
  <c r="CR124" i="10"/>
  <c r="CV124" i="10"/>
  <c r="CZ124" i="10"/>
  <c r="DE124" i="10" s="1"/>
  <c r="DJ124" i="10" s="1"/>
  <c r="CS124" i="10"/>
  <c r="CW124" i="10"/>
  <c r="CT124" i="10"/>
  <c r="CX124" i="10"/>
  <c r="CQ124" i="10"/>
  <c r="CY124" i="10"/>
  <c r="CR125" i="10"/>
  <c r="CV125" i="10"/>
  <c r="CZ125" i="10"/>
  <c r="DE125" i="10" s="1"/>
  <c r="DJ125" i="10" s="1"/>
  <c r="CS125" i="10"/>
  <c r="CW125" i="10"/>
  <c r="CT125" i="10"/>
  <c r="CX125" i="10"/>
  <c r="CQ125" i="10"/>
  <c r="CY125" i="10"/>
  <c r="CR126" i="10"/>
  <c r="CV126" i="10"/>
  <c r="CZ126" i="10"/>
  <c r="DE126" i="10" s="1"/>
  <c r="DJ126" i="10" s="1"/>
  <c r="DO126" i="10" s="1"/>
  <c r="CS126" i="10"/>
  <c r="CW126" i="10"/>
  <c r="CT126" i="10"/>
  <c r="CX126" i="10"/>
  <c r="CQ126" i="10"/>
  <c r="CY126" i="10"/>
  <c r="CV127" i="10"/>
  <c r="DD127" i="10"/>
  <c r="CW127" i="10"/>
  <c r="DA127" i="10"/>
  <c r="DE127" i="10"/>
  <c r="DJ127" i="10" s="1"/>
  <c r="DO127" i="10" s="1"/>
  <c r="DT127" i="10" s="1"/>
  <c r="CX127" i="10"/>
  <c r="DB127" i="10"/>
  <c r="CY127" i="10"/>
  <c r="DC127" i="10"/>
  <c r="DS179" i="10"/>
  <c r="DP179" i="10"/>
  <c r="DQ179" i="10"/>
  <c r="DR179" i="10"/>
  <c r="CM215" i="10"/>
  <c r="V10" i="10"/>
  <c r="V215" i="10"/>
  <c r="AF10" i="10"/>
  <c r="AF215" i="10"/>
  <c r="CW205" i="10"/>
  <c r="DA205" i="10"/>
  <c r="DE205" i="10"/>
  <c r="DJ205" i="10" s="1"/>
  <c r="DO205" i="10" s="1"/>
  <c r="DT205" i="10" s="1"/>
  <c r="CX205" i="10"/>
  <c r="DB205" i="10"/>
  <c r="CY205" i="10"/>
  <c r="DC205" i="10"/>
  <c r="CV205" i="10"/>
  <c r="DD205" i="10"/>
  <c r="CW198" i="10"/>
  <c r="DA198" i="10"/>
  <c r="DE198" i="10"/>
  <c r="DJ198" i="10" s="1"/>
  <c r="DO198" i="10" s="1"/>
  <c r="DT198" i="10" s="1"/>
  <c r="CX198" i="10"/>
  <c r="DB198" i="10"/>
  <c r="CY198" i="10"/>
  <c r="DC198" i="10"/>
  <c r="CV198" i="10"/>
  <c r="DD198" i="10"/>
  <c r="CW202" i="10"/>
  <c r="DA202" i="10"/>
  <c r="DE202" i="10"/>
  <c r="DJ202" i="10" s="1"/>
  <c r="DO202" i="10" s="1"/>
  <c r="DT202" i="10" s="1"/>
  <c r="CX202" i="10"/>
  <c r="DB202" i="10"/>
  <c r="CY202" i="10"/>
  <c r="DC202" i="10"/>
  <c r="CV202" i="10"/>
  <c r="DD202" i="10"/>
  <c r="AV278" i="10"/>
  <c r="AX143" i="8" s="1"/>
  <c r="AX168" i="8" s="1"/>
  <c r="DL240" i="10"/>
  <c r="DP240" i="10"/>
  <c r="DT240" i="10"/>
  <c r="DM240" i="10"/>
  <c r="DQ240" i="10"/>
  <c r="DN240" i="10"/>
  <c r="DR240" i="10"/>
  <c r="DK240" i="10"/>
  <c r="DS240" i="10"/>
  <c r="AG278" i="10"/>
  <c r="AE278" i="10"/>
  <c r="DI250" i="10"/>
  <c r="DM250" i="10"/>
  <c r="DF250" i="10"/>
  <c r="DN250" i="10"/>
  <c r="DG250" i="10"/>
  <c r="DK250" i="10"/>
  <c r="DO250" i="10"/>
  <c r="DT250" i="10" s="1"/>
  <c r="DH250" i="10"/>
  <c r="DL250" i="10"/>
  <c r="AV289" i="10"/>
  <c r="AX142" i="8" s="1"/>
  <c r="AX167" i="8" s="1"/>
  <c r="M311" i="10"/>
  <c r="BM311" i="10"/>
  <c r="BO328" i="47" s="1"/>
  <c r="BO352" i="47" s="1"/>
  <c r="AY278" i="10"/>
  <c r="BI278" i="10"/>
  <c r="BF303" i="10"/>
  <c r="AL278" i="10"/>
  <c r="CV258" i="10"/>
  <c r="DD258" i="10"/>
  <c r="CW258" i="10"/>
  <c r="DA258" i="10"/>
  <c r="DE258" i="10"/>
  <c r="DJ258" i="10" s="1"/>
  <c r="DO258" i="10" s="1"/>
  <c r="CX258" i="10"/>
  <c r="DB258" i="10"/>
  <c r="CY258" i="10"/>
  <c r="DC258" i="10"/>
  <c r="S278" i="10"/>
  <c r="Z289" i="10"/>
  <c r="BN289" i="10"/>
  <c r="BP142" i="8" s="1"/>
  <c r="BP167" i="8" s="1"/>
  <c r="DP287" i="10"/>
  <c r="DQ287" i="10"/>
  <c r="DR287" i="10"/>
  <c r="DS287" i="10"/>
  <c r="AM303" i="10"/>
  <c r="BK311" i="10"/>
  <c r="AO311" i="10"/>
  <c r="AQ328" i="47" s="1"/>
  <c r="AQ352" i="47" s="1"/>
  <c r="S311" i="10"/>
  <c r="AG328" i="10"/>
  <c r="BG311" i="10"/>
  <c r="AS54" i="10"/>
  <c r="BQ19" i="10"/>
  <c r="AH54" i="10"/>
  <c r="AD54" i="10"/>
  <c r="AR54" i="10"/>
  <c r="S54" i="10"/>
  <c r="P54" i="10"/>
  <c r="X54" i="10"/>
  <c r="AG54" i="10"/>
  <c r="BH54" i="10"/>
  <c r="AL66" i="10"/>
  <c r="BB66" i="10"/>
  <c r="AV66" i="10"/>
  <c r="AX51" i="9" s="1"/>
  <c r="AX65" i="9" s="1"/>
  <c r="AC66" i="10"/>
  <c r="AL194" i="10"/>
  <c r="AN162" i="5" s="1"/>
  <c r="AN187" i="5" s="1"/>
  <c r="S194" i="10"/>
  <c r="BG194" i="10"/>
  <c r="BI162" i="5" s="1"/>
  <c r="BI187" i="5" s="1"/>
  <c r="P194" i="10"/>
  <c r="AN194" i="10"/>
  <c r="AP162" i="5" s="1"/>
  <c r="AP187" i="5" s="1"/>
  <c r="DF81" i="10"/>
  <c r="DN81" i="10"/>
  <c r="DG81" i="10"/>
  <c r="DK81" i="10"/>
  <c r="DO81" i="10"/>
  <c r="DT81" i="10" s="1"/>
  <c r="DH81" i="10"/>
  <c r="DL81" i="10"/>
  <c r="DI81" i="10"/>
  <c r="DM81" i="10"/>
  <c r="BA194" i="10"/>
  <c r="BC162" i="5" s="1"/>
  <c r="BC187" i="5" s="1"/>
  <c r="BK194" i="10"/>
  <c r="BM162" i="5" s="1"/>
  <c r="BM187" i="5" s="1"/>
  <c r="AR194" i="10"/>
  <c r="AT162" i="5" s="1"/>
  <c r="AT187" i="5" s="1"/>
  <c r="AY194" i="10"/>
  <c r="BA162" i="5" s="1"/>
  <c r="BA187" i="5" s="1"/>
  <c r="AO194" i="10"/>
  <c r="AQ162" i="5" s="1"/>
  <c r="AQ187" i="5" s="1"/>
  <c r="BI194" i="10"/>
  <c r="BK162" i="5" s="1"/>
  <c r="BK187" i="5" s="1"/>
  <c r="CW107" i="10"/>
  <c r="DA107" i="10"/>
  <c r="DE107" i="10"/>
  <c r="DJ107" i="10" s="1"/>
  <c r="DO107" i="10" s="1"/>
  <c r="DT107" i="10" s="1"/>
  <c r="CY107" i="10"/>
  <c r="DC107" i="10"/>
  <c r="CV107" i="10"/>
  <c r="DD107" i="10"/>
  <c r="CX107" i="10"/>
  <c r="DB107" i="10"/>
  <c r="CN215" i="10"/>
  <c r="Q10" i="10"/>
  <c r="Q215" i="10"/>
  <c r="AP10" i="10"/>
  <c r="AP215" i="10"/>
  <c r="AZ10" i="10"/>
  <c r="AL213" i="10"/>
  <c r="AG213" i="10"/>
  <c r="AD278" i="10"/>
  <c r="AF143" i="8" s="1"/>
  <c r="AF168" i="8" s="1"/>
  <c r="BN278" i="10"/>
  <c r="N278" i="10"/>
  <c r="DF228" i="10"/>
  <c r="DN228" i="10"/>
  <c r="DG228" i="10"/>
  <c r="DK228" i="10"/>
  <c r="DO228" i="10"/>
  <c r="DT228" i="10" s="1"/>
  <c r="DH228" i="10"/>
  <c r="DL228" i="10"/>
  <c r="DI228" i="10"/>
  <c r="DM228" i="10"/>
  <c r="CT233" i="10"/>
  <c r="CX233" i="10"/>
  <c r="CQ233" i="10"/>
  <c r="CY233" i="10"/>
  <c r="CR233" i="10"/>
  <c r="CV233" i="10"/>
  <c r="CZ233" i="10"/>
  <c r="DE233" i="10" s="1"/>
  <c r="CS233" i="10"/>
  <c r="CW233" i="10"/>
  <c r="T278" i="10"/>
  <c r="W278" i="10"/>
  <c r="BQ197" i="10"/>
  <c r="AH213" i="10"/>
  <c r="CW201" i="10"/>
  <c r="DA201" i="10"/>
  <c r="DE201" i="10"/>
  <c r="DJ201" i="10" s="1"/>
  <c r="DO201" i="10" s="1"/>
  <c r="DT201" i="10" s="1"/>
  <c r="CX201" i="10"/>
  <c r="DB201" i="10"/>
  <c r="CY201" i="10"/>
  <c r="DC201" i="10"/>
  <c r="CV201" i="10"/>
  <c r="DD201" i="10"/>
  <c r="AM213" i="10"/>
  <c r="X278" i="10"/>
  <c r="Z143" i="8" s="1"/>
  <c r="Z168" i="8" s="1"/>
  <c r="BL278" i="10"/>
  <c r="AJ278" i="10"/>
  <c r="P289" i="10"/>
  <c r="BD289" i="10"/>
  <c r="BF142" i="8" s="1"/>
  <c r="BF167" i="8" s="1"/>
  <c r="M303" i="10"/>
  <c r="AO303" i="10"/>
  <c r="AQ329" i="47" s="1"/>
  <c r="AQ353" i="47" s="1"/>
  <c r="BM303" i="10"/>
  <c r="BO329" i="47" s="1"/>
  <c r="BO353" i="47" s="1"/>
  <c r="Y311" i="10"/>
  <c r="AA328" i="47" s="1"/>
  <c r="AA352" i="47" s="1"/>
  <c r="M289" i="10"/>
  <c r="AO278" i="10"/>
  <c r="BA278" i="10"/>
  <c r="DD257" i="10"/>
  <c r="DH257" i="10"/>
  <c r="DA257" i="10"/>
  <c r="DI257" i="10"/>
  <c r="DB257" i="10"/>
  <c r="DF257" i="10"/>
  <c r="DJ257" i="10"/>
  <c r="DO257" i="10" s="1"/>
  <c r="DT257" i="10" s="1"/>
  <c r="DC257" i="10"/>
  <c r="DG257" i="10"/>
  <c r="AD289" i="10"/>
  <c r="AF142" i="8" s="1"/>
  <c r="AF167" i="8" s="1"/>
  <c r="CV281" i="10"/>
  <c r="DD281" i="10"/>
  <c r="CW281" i="10"/>
  <c r="DA281" i="10"/>
  <c r="DE281" i="10"/>
  <c r="DJ281" i="10" s="1"/>
  <c r="DO281" i="10" s="1"/>
  <c r="DT281" i="10" s="1"/>
  <c r="CX281" i="10"/>
  <c r="DB281" i="10"/>
  <c r="CY281" i="10"/>
  <c r="DC281" i="10"/>
  <c r="DL286" i="10"/>
  <c r="DP286" i="10"/>
  <c r="DT286" i="10"/>
  <c r="DM286" i="10"/>
  <c r="DQ286" i="10"/>
  <c r="DN286" i="10"/>
  <c r="DR286" i="10"/>
  <c r="DK286" i="10"/>
  <c r="DS286" i="10"/>
  <c r="CW299" i="10"/>
  <c r="DA299" i="10"/>
  <c r="DE299" i="10"/>
  <c r="DJ299" i="10" s="1"/>
  <c r="DO299" i="10" s="1"/>
  <c r="DT299" i="10" s="1"/>
  <c r="CX299" i="10"/>
  <c r="DB299" i="10"/>
  <c r="CY299" i="10"/>
  <c r="CY303" i="10" s="1"/>
  <c r="DC299" i="10"/>
  <c r="CV299" i="10"/>
  <c r="DD299" i="10"/>
  <c r="AR299" i="10"/>
  <c r="AR303" i="10" s="1"/>
  <c r="AT329" i="47" s="1"/>
  <c r="AT353" i="47" s="1"/>
  <c r="AS299" i="10"/>
  <c r="AS303" i="10" s="1"/>
  <c r="AU329" i="47" s="1"/>
  <c r="AU353" i="47" s="1"/>
  <c r="AT299" i="10"/>
  <c r="AT303" i="10" s="1"/>
  <c r="AV329" i="47" s="1"/>
  <c r="AV353" i="47" s="1"/>
  <c r="AQ299" i="10"/>
  <c r="AQ303" i="10" s="1"/>
  <c r="AS329" i="47" s="1"/>
  <c r="AS353" i="47" s="1"/>
  <c r="AU303" i="10"/>
  <c r="AW329" i="47" s="1"/>
  <c r="AW353" i="47" s="1"/>
  <c r="BQ311" i="10"/>
  <c r="AN311" i="10"/>
  <c r="AP328" i="47" s="1"/>
  <c r="AP352" i="47" s="1"/>
  <c r="AW328" i="10"/>
  <c r="AW330" i="10" s="1"/>
  <c r="AZ291" i="10"/>
  <c r="BL14" i="9"/>
  <c r="BM14" i="9"/>
  <c r="BQ14" i="9" s="1"/>
  <c r="BO13" i="9"/>
  <c r="BO57" i="9" s="1"/>
  <c r="BJ57" i="9"/>
  <c r="BN12" i="9"/>
  <c r="AX298" i="47"/>
  <c r="BM34" i="47"/>
  <c r="BG61" i="47"/>
  <c r="BC63" i="47"/>
  <c r="BC96" i="47"/>
  <c r="BC205" i="47"/>
  <c r="AT63" i="47"/>
  <c r="AT205" i="47"/>
  <c r="BD63" i="47"/>
  <c r="BD96" i="47"/>
  <c r="BD205" i="47"/>
  <c r="AD63" i="47"/>
  <c r="AH63" i="47" s="1"/>
  <c r="BL63" i="47"/>
  <c r="AM165" i="47"/>
  <c r="AM168" i="47"/>
  <c r="BI78" i="47"/>
  <c r="BJ79" i="47"/>
  <c r="BJ81" i="47"/>
  <c r="BJ207" i="47" s="1"/>
  <c r="BJ80" i="47"/>
  <c r="Y113" i="47"/>
  <c r="Y115" i="47" s="1"/>
  <c r="Z115" i="47"/>
  <c r="Z124" i="47" s="1"/>
  <c r="AK120" i="47"/>
  <c r="AK121" i="47" s="1"/>
  <c r="AM121" i="47"/>
  <c r="AL120" i="47"/>
  <c r="AL121" i="47" s="1"/>
  <c r="AR120" i="47"/>
  <c r="AJ120" i="47"/>
  <c r="AJ121" i="47" s="1"/>
  <c r="BK214" i="47"/>
  <c r="AG114" i="47"/>
  <c r="BD92" i="47"/>
  <c r="AR63" i="47"/>
  <c r="AE115" i="47"/>
  <c r="AE124" i="47" s="1"/>
  <c r="BJ100" i="47"/>
  <c r="BJ101" i="47" s="1"/>
  <c r="AA141" i="47"/>
  <c r="AB142" i="47"/>
  <c r="AD136" i="47"/>
  <c r="AC138" i="47"/>
  <c r="AB139" i="47"/>
  <c r="AG174" i="47"/>
  <c r="AM174" i="47"/>
  <c r="AH188" i="47"/>
  <c r="AI215" i="47"/>
  <c r="AI229" i="47"/>
  <c r="AI231" i="47" s="1"/>
  <c r="AJ209" i="47"/>
  <c r="BK211" i="47"/>
  <c r="W215" i="47"/>
  <c r="W212" i="47"/>
  <c r="BB243" i="47"/>
  <c r="BA242" i="47"/>
  <c r="AZ242" i="47" s="1"/>
  <c r="AY242" i="47" s="1"/>
  <c r="AX242" i="47" s="1"/>
  <c r="BG242" i="47"/>
  <c r="BB266" i="47"/>
  <c r="BW254" i="47"/>
  <c r="BX254" i="47"/>
  <c r="CG254" i="47"/>
  <c r="Y195" i="47"/>
  <c r="Y199" i="47" s="1"/>
  <c r="Z199" i="47"/>
  <c r="AI195" i="47"/>
  <c r="AI199" i="47" s="1"/>
  <c r="AJ199" i="47"/>
  <c r="AS195" i="47"/>
  <c r="AS199" i="47" s="1"/>
  <c r="AT199" i="47"/>
  <c r="BC195" i="47"/>
  <c r="BC199" i="47" s="1"/>
  <c r="BD199" i="47"/>
  <c r="BM195" i="47"/>
  <c r="BM199" i="47" s="1"/>
  <c r="BN199" i="47"/>
  <c r="BC323" i="47"/>
  <c r="AN271" i="47"/>
  <c r="AR269" i="47"/>
  <c r="AR281" i="47"/>
  <c r="AO283" i="47"/>
  <c r="AO285" i="47" s="1"/>
  <c r="BF321" i="47"/>
  <c r="AZ322" i="47"/>
  <c r="BA322" i="47" s="1"/>
  <c r="BM323" i="47"/>
  <c r="AY375" i="47"/>
  <c r="BG19" i="47"/>
  <c r="BG20" i="47" s="1"/>
  <c r="BD20" i="47"/>
  <c r="BI19" i="47"/>
  <c r="BB34" i="47"/>
  <c r="BD34" i="47"/>
  <c r="BD43" i="4" s="1"/>
  <c r="Z44" i="47"/>
  <c r="Z78" i="4" s="1"/>
  <c r="BG206" i="47"/>
  <c r="BD214" i="47"/>
  <c r="AH61" i="47"/>
  <c r="AM135" i="47"/>
  <c r="AM230" i="47"/>
  <c r="AW168" i="47"/>
  <c r="AT207" i="47"/>
  <c r="AW207" i="47" s="1"/>
  <c r="BQ75" i="47"/>
  <c r="BQ168" i="47" s="1"/>
  <c r="AI114" i="47"/>
  <c r="AJ111" i="47"/>
  <c r="BM78" i="47"/>
  <c r="BN79" i="47"/>
  <c r="BN81" i="47"/>
  <c r="BN207" i="47" s="1"/>
  <c r="BN80" i="47"/>
  <c r="BK92" i="47"/>
  <c r="BF99" i="47"/>
  <c r="BF100" i="47"/>
  <c r="AJ142" i="47"/>
  <c r="AJ141" i="47" s="1"/>
  <c r="AI141" i="47"/>
  <c r="AC157" i="47"/>
  <c r="AH157" i="47"/>
  <c r="AH175" i="47"/>
  <c r="AH178" i="47" s="1"/>
  <c r="AC189" i="47"/>
  <c r="AB189" i="47" s="1"/>
  <c r="AA189" i="47" s="1"/>
  <c r="Z189" i="47" s="1"/>
  <c r="Y189" i="47" s="1"/>
  <c r="AB175" i="47"/>
  <c r="X108" i="47"/>
  <c r="X185" i="47"/>
  <c r="Y174" i="47"/>
  <c r="BB264" i="47"/>
  <c r="AV264" i="47"/>
  <c r="AU264" i="47" s="1"/>
  <c r="AT264" i="47" s="1"/>
  <c r="AS264" i="47" s="1"/>
  <c r="AM315" i="47"/>
  <c r="AI316" i="47"/>
  <c r="AT253" i="47"/>
  <c r="AS237" i="47"/>
  <c r="AS257" i="47"/>
  <c r="AS283" i="47"/>
  <c r="BK321" i="47"/>
  <c r="BJ322" i="47"/>
  <c r="BK322" i="47" s="1"/>
  <c r="AQ323" i="47"/>
  <c r="AS292" i="47"/>
  <c r="BL292" i="47"/>
  <c r="BF292" i="47"/>
  <c r="BP320" i="47"/>
  <c r="BF322" i="47"/>
  <c r="AR316" i="47"/>
  <c r="AR318" i="47" s="1"/>
  <c r="AN318" i="47"/>
  <c r="AP283" i="47"/>
  <c r="AP285" i="47" s="1"/>
  <c r="AQ372" i="47"/>
  <c r="AP388" i="47"/>
  <c r="AP401" i="47" s="1"/>
  <c r="AU63" i="47"/>
  <c r="AU205" i="47"/>
  <c r="AC63" i="47"/>
  <c r="BG62" i="47"/>
  <c r="BC99" i="47"/>
  <c r="BG92" i="47"/>
  <c r="BG94" i="47" s="1"/>
  <c r="BH92" i="47"/>
  <c r="BC100" i="47"/>
  <c r="BE99" i="47"/>
  <c r="BE101" i="47" s="1"/>
  <c r="BB94" i="47"/>
  <c r="AD124" i="47"/>
  <c r="BW247" i="47"/>
  <c r="BW249" i="47" s="1"/>
  <c r="AE199" i="47"/>
  <c r="AD195" i="47"/>
  <c r="AD199" i="47" s="1"/>
  <c r="AY199" i="47"/>
  <c r="AX195" i="47"/>
  <c r="AX199" i="47" s="1"/>
  <c r="AN285" i="47"/>
  <c r="AN238" i="47"/>
  <c r="AN261" i="47"/>
  <c r="BJ320" i="47"/>
  <c r="BJ323" i="47" s="1"/>
  <c r="BH323" i="47"/>
  <c r="BN322" i="47"/>
  <c r="BA276" i="47"/>
  <c r="AZ276" i="47" s="1"/>
  <c r="AY276" i="47" s="1"/>
  <c r="AX276" i="47" s="1"/>
  <c r="BG276" i="47"/>
  <c r="BE14" i="47"/>
  <c r="BJ298" i="47"/>
  <c r="AQ283" i="47"/>
  <c r="AQ285" i="47" s="1"/>
  <c r="BO321" i="47"/>
  <c r="BP321" i="47" s="1"/>
  <c r="BP19" i="47"/>
  <c r="BP20" i="47" s="1"/>
  <c r="BK20" i="47"/>
  <c r="AY205" i="47"/>
  <c r="AC61" i="47"/>
  <c r="AR75" i="47"/>
  <c r="AR168" i="47" s="1"/>
  <c r="AP207" i="47"/>
  <c r="AO142" i="47"/>
  <c r="AN141" i="47"/>
  <c r="AG163" i="47"/>
  <c r="AD163" i="47"/>
  <c r="AE163" i="47"/>
  <c r="AM163" i="47"/>
  <c r="AF163" i="47"/>
  <c r="AS176" i="47"/>
  <c r="AQ176" i="47"/>
  <c r="BH175" i="47"/>
  <c r="BI175" i="47" s="1"/>
  <c r="BL175" i="47"/>
  <c r="BG189" i="47"/>
  <c r="BF189" i="47" s="1"/>
  <c r="BE189" i="47" s="1"/>
  <c r="BD189" i="47" s="1"/>
  <c r="BC189" i="47" s="1"/>
  <c r="BF175" i="47"/>
  <c r="BE175" i="47" s="1"/>
  <c r="AM157" i="47"/>
  <c r="AB188" i="47"/>
  <c r="V218" i="47"/>
  <c r="V221" i="47" s="1"/>
  <c r="V222" i="47" s="1"/>
  <c r="V217" i="47"/>
  <c r="AO237" i="47"/>
  <c r="AP253" i="47"/>
  <c r="AO257" i="47"/>
  <c r="AV243" i="47"/>
  <c r="AU243" i="47" s="1"/>
  <c r="AT243" i="47" s="1"/>
  <c r="AS243" i="47" s="1"/>
  <c r="AW278" i="47"/>
  <c r="BQ252" i="47"/>
  <c r="BP252" i="47" s="1"/>
  <c r="BO252" i="47" s="1"/>
  <c r="BN252" i="47" s="1"/>
  <c r="BM252" i="47" s="1"/>
  <c r="BK252" i="47"/>
  <c r="BJ252" i="47" s="1"/>
  <c r="BI252" i="47" s="1"/>
  <c r="BH252" i="47" s="1"/>
  <c r="AY320" i="47"/>
  <c r="AY323" i="47" s="1"/>
  <c r="AX253" i="47"/>
  <c r="BB253" i="47"/>
  <c r="BZ271" i="47"/>
  <c r="CA266" i="47"/>
  <c r="BZ269" i="47"/>
  <c r="BA321" i="47"/>
  <c r="BE323" i="47"/>
  <c r="AT298" i="47"/>
  <c r="AY298" i="47" s="1"/>
  <c r="AZ292" i="47"/>
  <c r="AS318" i="47"/>
  <c r="BG14" i="45"/>
  <c r="AL28" i="45"/>
  <c r="BQ14" i="45"/>
  <c r="AQ15" i="45"/>
  <c r="AQ17" i="45" s="1"/>
  <c r="AQ20" i="4" s="1"/>
  <c r="AL24" i="45"/>
  <c r="AU47" i="45"/>
  <c r="AU91" i="44" s="1"/>
  <c r="AS47" i="45"/>
  <c r="AT47" i="45"/>
  <c r="AT91" i="44" s="1"/>
  <c r="AV91" i="44"/>
  <c r="AI52" i="45"/>
  <c r="AK52" i="45"/>
  <c r="AJ52" i="45"/>
  <c r="AL52" i="45"/>
  <c r="AY47" i="45"/>
  <c r="BA47" i="45"/>
  <c r="AX47" i="45"/>
  <c r="AZ47" i="45"/>
  <c r="AK79" i="45"/>
  <c r="AI79" i="45"/>
  <c r="AQ38" i="45"/>
  <c r="AQ81" i="4" s="1"/>
  <c r="AQ78" i="45"/>
  <c r="BL14" i="45"/>
  <c r="BM19" i="45"/>
  <c r="Y22" i="45"/>
  <c r="Y26" i="45"/>
  <c r="AK48" i="45"/>
  <c r="AI48" i="45"/>
  <c r="AJ48" i="45"/>
  <c r="AM53" i="45"/>
  <c r="AL48" i="45"/>
  <c r="AY19" i="45"/>
  <c r="AB22" i="45"/>
  <c r="AB26" i="45"/>
  <c r="AJ50" i="45"/>
  <c r="AL50" i="45"/>
  <c r="AI50" i="45"/>
  <c r="AK50" i="45"/>
  <c r="AD26" i="45"/>
  <c r="AD22" i="45"/>
  <c r="AT26" i="45"/>
  <c r="AT22" i="45"/>
  <c r="BO49" i="45"/>
  <c r="BO35" i="44" s="1"/>
  <c r="BQ47" i="45"/>
  <c r="BM49" i="45"/>
  <c r="BM35" i="44" s="1"/>
  <c r="BN49" i="45"/>
  <c r="BN35" i="44" s="1"/>
  <c r="BP49" i="45"/>
  <c r="BP35" i="44" s="1"/>
  <c r="AN50" i="45"/>
  <c r="AN35" i="44" s="1"/>
  <c r="AP50" i="45"/>
  <c r="AP35" i="44" s="1"/>
  <c r="AQ50" i="45"/>
  <c r="AQ35" i="44" s="1"/>
  <c r="AR47" i="45"/>
  <c r="AR61" i="9" s="1"/>
  <c r="AO50" i="45"/>
  <c r="AO35" i="44" s="1"/>
  <c r="BC47" i="45"/>
  <c r="BE47" i="45"/>
  <c r="BF47" i="45"/>
  <c r="BD47" i="45"/>
  <c r="Z79" i="45"/>
  <c r="AL10" i="45"/>
  <c r="BB14" i="45"/>
  <c r="BN12" i="45"/>
  <c r="BF12" i="45"/>
  <c r="AI22" i="45"/>
  <c r="AI26" i="45"/>
  <c r="AP21" i="45"/>
  <c r="AP19" i="45"/>
  <c r="AP19" i="9" s="1"/>
  <c r="AP21" i="9" s="1"/>
  <c r="AP22" i="9" s="1"/>
  <c r="AE49" i="45"/>
  <c r="AE53" i="45" s="1"/>
  <c r="AE96" i="4" s="1"/>
  <c r="AE98" i="4" s="1"/>
  <c r="AG49" i="45"/>
  <c r="AG53" i="45" s="1"/>
  <c r="AG96" i="4" s="1"/>
  <c r="AD49" i="45"/>
  <c r="AD53" i="45" s="1"/>
  <c r="AF49" i="45"/>
  <c r="AF53" i="45" s="1"/>
  <c r="AF96" i="4" s="1"/>
  <c r="AF98" i="4" s="1"/>
  <c r="AZ58" i="45"/>
  <c r="AT50" i="45"/>
  <c r="AU50" i="45"/>
  <c r="AS50" i="45"/>
  <c r="AS35" i="44" s="1"/>
  <c r="BH52" i="45"/>
  <c r="BH35" i="44" s="1"/>
  <c r="BL47" i="45"/>
  <c r="BK52" i="45"/>
  <c r="BK35" i="44" s="1"/>
  <c r="BI52" i="45"/>
  <c r="BI35" i="44" s="1"/>
  <c r="BJ52" i="45"/>
  <c r="BJ35" i="44" s="1"/>
  <c r="AA79" i="45"/>
  <c r="Y79" i="45"/>
  <c r="AE45" i="8"/>
  <c r="AY59" i="8"/>
  <c r="AN78" i="8"/>
  <c r="AB75" i="8"/>
  <c r="AB78" i="8" s="1"/>
  <c r="AJ75" i="8"/>
  <c r="AJ78" i="8" s="1"/>
  <c r="AG75" i="8"/>
  <c r="AG78" i="8" s="1"/>
  <c r="AA91" i="8"/>
  <c r="AB90" i="8"/>
  <c r="AB91" i="8" s="1"/>
  <c r="AP75" i="8"/>
  <c r="AP78" i="8" s="1"/>
  <c r="AY96" i="8"/>
  <c r="AY82" i="8" s="1"/>
  <c r="AY101" i="8"/>
  <c r="AY9" i="8" s="1"/>
  <c r="AK105" i="8"/>
  <c r="AU96" i="8"/>
  <c r="AU102" i="8"/>
  <c r="AZ102" i="8" s="1"/>
  <c r="AG94" i="8"/>
  <c r="AG96" i="8"/>
  <c r="AG102" i="8"/>
  <c r="AC126" i="8"/>
  <c r="AQ196" i="8"/>
  <c r="AH208" i="8"/>
  <c r="AH191" i="8"/>
  <c r="AH194" i="8"/>
  <c r="AH232" i="8" s="1"/>
  <c r="AT232" i="8"/>
  <c r="AL62" i="8"/>
  <c r="AM235" i="8"/>
  <c r="BI20" i="8"/>
  <c r="AB59" i="8"/>
  <c r="AB60" i="8"/>
  <c r="AJ45" i="8"/>
  <c r="AE75" i="8"/>
  <c r="AE78" i="8" s="1"/>
  <c r="Z75" i="8"/>
  <c r="Z78" i="8" s="1"/>
  <c r="AZ14" i="8"/>
  <c r="AZ14" i="4" s="1"/>
  <c r="BE112" i="8"/>
  <c r="Z126" i="8"/>
  <c r="AO126" i="8"/>
  <c r="BA126" i="8"/>
  <c r="AQ197" i="8"/>
  <c r="AB196" i="8"/>
  <c r="AB188" i="8" s="1"/>
  <c r="AL197" i="8"/>
  <c r="AP191" i="8"/>
  <c r="AP194" i="8"/>
  <c r="AP232" i="8" s="1"/>
  <c r="AP208" i="8"/>
  <c r="Y62" i="8"/>
  <c r="Z235" i="8"/>
  <c r="AH209" i="8"/>
  <c r="AM223" i="8"/>
  <c r="Y223" i="8"/>
  <c r="Y224" i="8" s="1"/>
  <c r="Z219" i="8" s="1"/>
  <c r="AQ23" i="8"/>
  <c r="AQ29" i="8"/>
  <c r="AQ202" i="8"/>
  <c r="AQ215" i="8" s="1"/>
  <c r="AG23" i="8"/>
  <c r="AG29" i="8"/>
  <c r="AJ202" i="8"/>
  <c r="AJ215" i="8" s="1"/>
  <c r="AG202" i="8"/>
  <c r="AG215" i="8" s="1"/>
  <c r="AK202" i="8"/>
  <c r="AK215" i="8" s="1"/>
  <c r="AI202" i="8"/>
  <c r="AI215" i="8" s="1"/>
  <c r="Y44" i="8"/>
  <c r="Y80" i="4" s="1"/>
  <c r="BL34" i="8"/>
  <c r="BM34" i="8"/>
  <c r="BQ34" i="8" s="1"/>
  <c r="AK38" i="8"/>
  <c r="AK43" i="8"/>
  <c r="AK155" i="8"/>
  <c r="AK161" i="8" s="1"/>
  <c r="AF75" i="8"/>
  <c r="AF78" i="8" s="1"/>
  <c r="AO75" i="8"/>
  <c r="AO78" i="8" s="1"/>
  <c r="BO163" i="8"/>
  <c r="BO165" i="8" s="1"/>
  <c r="BO220" i="8"/>
  <c r="BE89" i="8"/>
  <c r="AZ91" i="8"/>
  <c r="AZ93" i="8"/>
  <c r="BP132" i="8"/>
  <c r="BP95" i="4" s="1"/>
  <c r="AD126" i="8"/>
  <c r="AG187" i="8"/>
  <c r="AL208" i="8"/>
  <c r="AL191" i="8"/>
  <c r="AD62" i="8"/>
  <c r="AE235" i="8"/>
  <c r="AL209" i="8"/>
  <c r="AA75" i="8"/>
  <c r="AA78" i="8" s="1"/>
  <c r="Y75" i="8"/>
  <c r="Y78" i="8" s="1"/>
  <c r="BG90" i="8"/>
  <c r="BI90" i="8"/>
  <c r="AD75" i="8"/>
  <c r="AD78" i="8" s="1"/>
  <c r="AL94" i="8"/>
  <c r="AL96" i="8"/>
  <c r="AL102" i="8"/>
  <c r="AY163" i="8"/>
  <c r="AY165" i="8" s="1"/>
  <c r="AY220" i="8"/>
  <c r="AQ91" i="8"/>
  <c r="AQ93" i="8"/>
  <c r="AQ48" i="8" s="1"/>
  <c r="AZ132" i="8"/>
  <c r="AZ95" i="4" s="1"/>
  <c r="AX190" i="8"/>
  <c r="AH188" i="8"/>
  <c r="AP197" i="8"/>
  <c r="AD208" i="8"/>
  <c r="AD191" i="8"/>
  <c r="AD194" i="8"/>
  <c r="AD232" i="8" s="1"/>
  <c r="AD209" i="8"/>
  <c r="Z191" i="8"/>
  <c r="Z194" i="8"/>
  <c r="Z232" i="8" s="1"/>
  <c r="Z208" i="8"/>
  <c r="AP209" i="8"/>
  <c r="AH223" i="8"/>
  <c r="AY108" i="5"/>
  <c r="AY112" i="5"/>
  <c r="AD242" i="5"/>
  <c r="AE242" i="5" s="1"/>
  <c r="BB37" i="5"/>
  <c r="Z92" i="5"/>
  <c r="Z95" i="5" s="1"/>
  <c r="AF92" i="5"/>
  <c r="AF95" i="5" s="1"/>
  <c r="AN92" i="5"/>
  <c r="AN95" i="5" s="1"/>
  <c r="BE127" i="5"/>
  <c r="AT120" i="5"/>
  <c r="AY120" i="5" s="1"/>
  <c r="Y144" i="5"/>
  <c r="AC144" i="5"/>
  <c r="AA144" i="5"/>
  <c r="AO228" i="5"/>
  <c r="AK216" i="5"/>
  <c r="AO216" i="5"/>
  <c r="Y210" i="5"/>
  <c r="Y213" i="5"/>
  <c r="Y251" i="5" s="1"/>
  <c r="Y227" i="5"/>
  <c r="AD228" i="5"/>
  <c r="AP210" i="5"/>
  <c r="AP213" i="5"/>
  <c r="AP251" i="5" s="1"/>
  <c r="AP227" i="5"/>
  <c r="AL24" i="5"/>
  <c r="AL30" i="5"/>
  <c r="AN221" i="5"/>
  <c r="AN234" i="5" s="1"/>
  <c r="AO221" i="5"/>
  <c r="AO234" i="5" s="1"/>
  <c r="AL221" i="5"/>
  <c r="AL234" i="5" s="1"/>
  <c r="AP221" i="5"/>
  <c r="AP234" i="5" s="1"/>
  <c r="AH46" i="5"/>
  <c r="AH41" i="5"/>
  <c r="AH94" i="44" s="1"/>
  <c r="BM35" i="5"/>
  <c r="AA92" i="5"/>
  <c r="AA95" i="5" s="1"/>
  <c r="AG92" i="5"/>
  <c r="AG95" i="5" s="1"/>
  <c r="AO92" i="5"/>
  <c r="AO95" i="5" s="1"/>
  <c r="AJ123" i="5"/>
  <c r="AO123" i="5"/>
  <c r="AJ92" i="5"/>
  <c r="AJ95" i="5" s="1"/>
  <c r="BJ120" i="5"/>
  <c r="AP92" i="5"/>
  <c r="AP95" i="5" s="1"/>
  <c r="BD12" i="5"/>
  <c r="BI127" i="5"/>
  <c r="AY14" i="5"/>
  <c r="BD130" i="5"/>
  <c r="AN144" i="5"/>
  <c r="AR144" i="5"/>
  <c r="AO114" i="5"/>
  <c r="AO120" i="5"/>
  <c r="AG114" i="5"/>
  <c r="AG120" i="5"/>
  <c r="AE144" i="5"/>
  <c r="AX209" i="5"/>
  <c r="AK228" i="5"/>
  <c r="Y242" i="5"/>
  <c r="Z242" i="5" s="1"/>
  <c r="AA242" i="5" s="1"/>
  <c r="Y216" i="5"/>
  <c r="AD216" i="5"/>
  <c r="AP228" i="5"/>
  <c r="Z79" i="5"/>
  <c r="AA254" i="5"/>
  <c r="AB24" i="5"/>
  <c r="AB30" i="5"/>
  <c r="AB221" i="5"/>
  <c r="AB234" i="5" s="1"/>
  <c r="AF221" i="5"/>
  <c r="AF234" i="5" s="1"/>
  <c r="AD221" i="5"/>
  <c r="AD234" i="5" s="1"/>
  <c r="AE221" i="5"/>
  <c r="AE234" i="5" s="1"/>
  <c r="AE92" i="5"/>
  <c r="AE95" i="5" s="1"/>
  <c r="AD92" i="5"/>
  <c r="AD95" i="5" s="1"/>
  <c r="AF123" i="5"/>
  <c r="AK123" i="5"/>
  <c r="AN123" i="5"/>
  <c r="AS123" i="5"/>
  <c r="BA120" i="5"/>
  <c r="AM131" i="5"/>
  <c r="AM74" i="5" s="1"/>
  <c r="BE14" i="5"/>
  <c r="BJ130" i="5"/>
  <c r="BD145" i="5"/>
  <c r="BC140" i="5"/>
  <c r="BC153" i="5" s="1"/>
  <c r="BN107" i="5"/>
  <c r="BQ107" i="5" s="1"/>
  <c r="BL107" i="5"/>
  <c r="AI144" i="5"/>
  <c r="Z210" i="5"/>
  <c r="Z213" i="5"/>
  <c r="Z251" i="5" s="1"/>
  <c r="Z227" i="5"/>
  <c r="Y207" i="5"/>
  <c r="AP216" i="5"/>
  <c r="AE79" i="5"/>
  <c r="AF254" i="5"/>
  <c r="BF35" i="5"/>
  <c r="BF43" i="4" s="1"/>
  <c r="BF151" i="4" s="1"/>
  <c r="BB35" i="5"/>
  <c r="AI95" i="5"/>
  <c r="Y92" i="5"/>
  <c r="Y95" i="5" s="1"/>
  <c r="AL92" i="5"/>
  <c r="AL95" i="5" s="1"/>
  <c r="BE106" i="5"/>
  <c r="AZ112" i="5"/>
  <c r="AZ108" i="5"/>
  <c r="AB92" i="5"/>
  <c r="AB95" i="5" s="1"/>
  <c r="BH74" i="5"/>
  <c r="BH131" i="5" s="1"/>
  <c r="BI131" i="5"/>
  <c r="BG107" i="5"/>
  <c r="BC127" i="5"/>
  <c r="AC229" i="5"/>
  <c r="AB206" i="5"/>
  <c r="AC215" i="5"/>
  <c r="AC207" i="5" s="1"/>
  <c r="AK227" i="5"/>
  <c r="AK210" i="5"/>
  <c r="AK213" i="5"/>
  <c r="AK251" i="5" s="1"/>
  <c r="AO227" i="5"/>
  <c r="AO210" i="5"/>
  <c r="AO213" i="5"/>
  <c r="AO251" i="5" s="1"/>
  <c r="AD227" i="5"/>
  <c r="AD210" i="5"/>
  <c r="AD213" i="5"/>
  <c r="AD251" i="5" s="1"/>
  <c r="BF250" i="5"/>
  <c r="AH34" i="44"/>
  <c r="BI150" i="4"/>
  <c r="BI126" i="4" s="1"/>
  <c r="AU39" i="4"/>
  <c r="AU46" i="4" s="1"/>
  <c r="AU118" i="4"/>
  <c r="AU119" i="4"/>
  <c r="AB30" i="4"/>
  <c r="Z39" i="4"/>
  <c r="Z46" i="4" s="1"/>
  <c r="Z118" i="4"/>
  <c r="Z119" i="4"/>
  <c r="U232" i="4"/>
  <c r="U239" i="4" s="1"/>
  <c r="R232" i="4"/>
  <c r="R239" i="4" s="1"/>
  <c r="T232" i="4"/>
  <c r="T239" i="4" s="1"/>
  <c r="AC39" i="4"/>
  <c r="AC46" i="4" s="1"/>
  <c r="AC118" i="4"/>
  <c r="AC119" i="4"/>
  <c r="AC48" i="3" s="1"/>
  <c r="BQ47" i="4"/>
  <c r="BQ249" i="4" s="1"/>
  <c r="BM118" i="4"/>
  <c r="BN252" i="4"/>
  <c r="AY73" i="4"/>
  <c r="BD73" i="4"/>
  <c r="H106" i="4"/>
  <c r="H153" i="4"/>
  <c r="H155" i="4" s="1"/>
  <c r="I139" i="4"/>
  <c r="I155" i="4" s="1"/>
  <c r="CK155" i="4"/>
  <c r="CL156" i="4" s="1"/>
  <c r="CL159" i="4" s="1"/>
  <c r="AG67" i="4"/>
  <c r="AG128" i="4"/>
  <c r="E155" i="4"/>
  <c r="E159" i="4" s="1"/>
  <c r="F156" i="4" s="1"/>
  <c r="DM155" i="4"/>
  <c r="AQ99" i="4"/>
  <c r="AQ143" i="4"/>
  <c r="F139" i="4"/>
  <c r="F155" i="4" s="1"/>
  <c r="AG107" i="4"/>
  <c r="AG153" i="4"/>
  <c r="AU208" i="4"/>
  <c r="AI208" i="4"/>
  <c r="AS223" i="4"/>
  <c r="Y223" i="4"/>
  <c r="AB217" i="4"/>
  <c r="Q237" i="4"/>
  <c r="Q220" i="4"/>
  <c r="Q238" i="4"/>
  <c r="AO237" i="4"/>
  <c r="AO220" i="4"/>
  <c r="AO238" i="4"/>
  <c r="S48" i="4"/>
  <c r="S54" i="4"/>
  <c r="S247" i="4"/>
  <c r="BH150" i="4"/>
  <c r="H24" i="4"/>
  <c r="H30" i="4"/>
  <c r="AL30" i="4"/>
  <c r="AI39" i="4"/>
  <c r="AI46" i="4" s="1"/>
  <c r="AI118" i="4"/>
  <c r="AI119" i="4"/>
  <c r="Q39" i="4"/>
  <c r="Q46" i="4" s="1"/>
  <c r="Q118" i="4"/>
  <c r="Q119" i="4"/>
  <c r="BK64" i="4"/>
  <c r="BH64" i="4"/>
  <c r="BE64" i="4"/>
  <c r="BD65" i="4"/>
  <c r="AZ73" i="4"/>
  <c r="AQ155" i="4"/>
  <c r="N139" i="4"/>
  <c r="N155" i="4" s="1"/>
  <c r="CP155" i="4"/>
  <c r="DO55" i="3"/>
  <c r="AH129" i="4"/>
  <c r="T155" i="4"/>
  <c r="AX177" i="4"/>
  <c r="S206" i="4"/>
  <c r="S222" i="4"/>
  <c r="AG181" i="4"/>
  <c r="AG208" i="4" s="1"/>
  <c r="F225" i="4"/>
  <c r="F238" i="4" s="1"/>
  <c r="AR220" i="4"/>
  <c r="AR223" i="4"/>
  <c r="AR237" i="4"/>
  <c r="DJ23" i="3" s="1"/>
  <c r="AR238" i="4"/>
  <c r="DJ24" i="3" s="1"/>
  <c r="M237" i="4"/>
  <c r="M220" i="4"/>
  <c r="M238" i="4"/>
  <c r="AG237" i="4"/>
  <c r="AG220" i="4"/>
  <c r="AG238" i="4"/>
  <c r="AL99" i="4"/>
  <c r="AL143" i="4"/>
  <c r="W143" i="4"/>
  <c r="W155" i="4" s="1"/>
  <c r="R106" i="4"/>
  <c r="R153" i="4"/>
  <c r="AB73" i="4"/>
  <c r="AB126" i="4"/>
  <c r="Q155" i="4"/>
  <c r="CG155" i="4"/>
  <c r="AC139" i="4"/>
  <c r="DE155" i="4"/>
  <c r="AH139" i="4"/>
  <c r="DJ155" i="4"/>
  <c r="AL106" i="4"/>
  <c r="AL153" i="4"/>
  <c r="AB107" i="4"/>
  <c r="AB153" i="4"/>
  <c r="S208" i="4"/>
  <c r="R222" i="4"/>
  <c r="R206" i="4"/>
  <c r="R208" i="4" s="1"/>
  <c r="BA176" i="4"/>
  <c r="AB220" i="4"/>
  <c r="AB223" i="4"/>
  <c r="AB237" i="4"/>
  <c r="AB238" i="4"/>
  <c r="AI225" i="4"/>
  <c r="AI226" i="4" s="1"/>
  <c r="BL47" i="4"/>
  <c r="BL249" i="4" s="1"/>
  <c r="BI249" i="4"/>
  <c r="V39" i="4"/>
  <c r="V46" i="4" s="1"/>
  <c r="V118" i="4"/>
  <c r="V119" i="4"/>
  <c r="AB67" i="4"/>
  <c r="AB128" i="4"/>
  <c r="M24" i="4"/>
  <c r="M30" i="4"/>
  <c r="R39" i="4"/>
  <c r="R46" i="4" s="1"/>
  <c r="R118" i="4"/>
  <c r="R119" i="4"/>
  <c r="AG30" i="4"/>
  <c r="AH39" i="4"/>
  <c r="AH46" i="4" s="1"/>
  <c r="AH118" i="4"/>
  <c r="AH119" i="4"/>
  <c r="AH48" i="3" s="1"/>
  <c r="AN39" i="4"/>
  <c r="AN46" i="4" s="1"/>
  <c r="AN118" i="4"/>
  <c r="AN119" i="4"/>
  <c r="V232" i="4"/>
  <c r="V239" i="4" s="1"/>
  <c r="BB65" i="4"/>
  <c r="BG47" i="4"/>
  <c r="BG249" i="4" s="1"/>
  <c r="AX150" i="4"/>
  <c r="BJ73" i="4"/>
  <c r="AZ65" i="4"/>
  <c r="BC150" i="4"/>
  <c r="M106" i="4"/>
  <c r="M153" i="4"/>
  <c r="M155" i="4" s="1"/>
  <c r="U155" i="4"/>
  <c r="AG73" i="4"/>
  <c r="AG126" i="4"/>
  <c r="AF155" i="4"/>
  <c r="R155" i="4"/>
  <c r="AG155" i="4"/>
  <c r="AL155" i="4"/>
  <c r="H208" i="4"/>
  <c r="AM206" i="4"/>
  <c r="AM208" i="4" s="1"/>
  <c r="AM222" i="4"/>
  <c r="DE17" i="3" s="1"/>
  <c r="DE19" i="3" s="1"/>
  <c r="M181" i="4"/>
  <c r="M208" i="4" s="1"/>
  <c r="L220" i="4"/>
  <c r="L223" i="4"/>
  <c r="L238" i="4"/>
  <c r="L237" i="4"/>
  <c r="AT217" i="4"/>
  <c r="AT220" i="4"/>
  <c r="AT237" i="4"/>
  <c r="AT238" i="4"/>
  <c r="BA197" i="4"/>
  <c r="AZ219" i="4"/>
  <c r="Y237" i="4"/>
  <c r="Y220" i="4"/>
  <c r="Y238" i="4"/>
  <c r="AS237" i="4"/>
  <c r="AS220" i="4"/>
  <c r="AS238" i="4"/>
  <c r="BD147" i="5" l="1"/>
  <c r="BD149" i="5" s="1"/>
  <c r="T291" i="10"/>
  <c r="AY114" i="5"/>
  <c r="AY99" i="5" s="1"/>
  <c r="BC94" i="4"/>
  <c r="BC182" i="5"/>
  <c r="BC184" i="5" s="1"/>
  <c r="BC239" i="5"/>
  <c r="BY12" i="10"/>
  <c r="AM197" i="8"/>
  <c r="AN127" i="4"/>
  <c r="AN129" i="4" s="1"/>
  <c r="AN39" i="9"/>
  <c r="AN56" i="9"/>
  <c r="AN44" i="9"/>
  <c r="AS21" i="9"/>
  <c r="AS22" i="9" s="1"/>
  <c r="AH229" i="5"/>
  <c r="Y243" i="5"/>
  <c r="Z238" i="5" s="1"/>
  <c r="AR22" i="9"/>
  <c r="AR25" i="3" s="1"/>
  <c r="U220" i="47"/>
  <c r="BG214" i="47"/>
  <c r="U218" i="47"/>
  <c r="U221" i="47" s="1"/>
  <c r="T222" i="47"/>
  <c r="AL35" i="44"/>
  <c r="AZ75" i="45"/>
  <c r="AZ76" i="45" s="1"/>
  <c r="BA75" i="45"/>
  <c r="BA76" i="45" s="1"/>
  <c r="AY75" i="45"/>
  <c r="AY76" i="45" s="1"/>
  <c r="AX75" i="45"/>
  <c r="AX76" i="45" s="1"/>
  <c r="BD15" i="9"/>
  <c r="BE75" i="45"/>
  <c r="BE76" i="45" s="1"/>
  <c r="BF75" i="45"/>
  <c r="BF76" i="45" s="1"/>
  <c r="BD75" i="45"/>
  <c r="BD76" i="45" s="1"/>
  <c r="BC75" i="45"/>
  <c r="BC76" i="45" s="1"/>
  <c r="BH75" i="45"/>
  <c r="BH76" i="45" s="1"/>
  <c r="BI75" i="45"/>
  <c r="BI76" i="45" s="1"/>
  <c r="BK75" i="45"/>
  <c r="BK76" i="45" s="1"/>
  <c r="BJ75" i="45"/>
  <c r="BJ76" i="45" s="1"/>
  <c r="BM75" i="45"/>
  <c r="BM76" i="45" s="1"/>
  <c r="BP75" i="45"/>
  <c r="BP76" i="45" s="1"/>
  <c r="BO75" i="45"/>
  <c r="BO76" i="45" s="1"/>
  <c r="BN75" i="45"/>
  <c r="BN76" i="45" s="1"/>
  <c r="AH71" i="45"/>
  <c r="AH68" i="45"/>
  <c r="AM190" i="47"/>
  <c r="AC192" i="47"/>
  <c r="BM73" i="4"/>
  <c r="BB78" i="44"/>
  <c r="AV211" i="47"/>
  <c r="AK35" i="44"/>
  <c r="BB116" i="5"/>
  <c r="AR127" i="4"/>
  <c r="AR129" i="4" s="1"/>
  <c r="AR39" i="9"/>
  <c r="AR99" i="44" s="1"/>
  <c r="AR44" i="9"/>
  <c r="AR56" i="9"/>
  <c r="X127" i="4"/>
  <c r="X129" i="4" s="1"/>
  <c r="X56" i="9"/>
  <c r="X44" i="9"/>
  <c r="X39" i="9"/>
  <c r="AA26" i="9"/>
  <c r="AA30" i="9" s="1"/>
  <c r="AA37" i="9" s="1"/>
  <c r="AA127" i="4" s="1"/>
  <c r="AA129" i="4" s="1"/>
  <c r="AA22" i="9"/>
  <c r="AL63" i="9"/>
  <c r="AN388" i="47"/>
  <c r="AN401" i="47" s="1"/>
  <c r="AL23" i="47"/>
  <c r="AL388" i="47"/>
  <c r="AL401" i="47" s="1"/>
  <c r="AJ389" i="47"/>
  <c r="AJ396" i="47" s="1"/>
  <c r="DF311" i="10"/>
  <c r="DR311" i="10"/>
  <c r="AO388" i="47"/>
  <c r="AO401" i="47" s="1"/>
  <c r="BA157" i="5"/>
  <c r="AZ157" i="5"/>
  <c r="AS211" i="47"/>
  <c r="AW205" i="47"/>
  <c r="DF66" i="10"/>
  <c r="AV143" i="8"/>
  <c r="AV168" i="8" s="1"/>
  <c r="AV66" i="9" s="1"/>
  <c r="AV52" i="9" s="1"/>
  <c r="AW313" i="10"/>
  <c r="BR12" i="10"/>
  <c r="DH66" i="10"/>
  <c r="DG311" i="10"/>
  <c r="BD334" i="47" s="1"/>
  <c r="DK164" i="10"/>
  <c r="DL164" i="10"/>
  <c r="DH164" i="10"/>
  <c r="AP12" i="10"/>
  <c r="CC12" i="10"/>
  <c r="R68" i="10"/>
  <c r="CH12" i="10"/>
  <c r="CX123" i="10"/>
  <c r="AK12" i="10"/>
  <c r="BH334" i="47"/>
  <c r="M68" i="10"/>
  <c r="AV313" i="10"/>
  <c r="AG193" i="5"/>
  <c r="CX122" i="10"/>
  <c r="DD303" i="10"/>
  <c r="BA335" i="47" s="1"/>
  <c r="CW303" i="10"/>
  <c r="AP193" i="5"/>
  <c r="CY123" i="10"/>
  <c r="CW123" i="10"/>
  <c r="CY122" i="10"/>
  <c r="CW122" i="10"/>
  <c r="CW194" i="10" s="1"/>
  <c r="W11" i="10"/>
  <c r="AA174" i="8"/>
  <c r="CX303" i="10"/>
  <c r="DG289" i="10"/>
  <c r="BD148" i="8" s="1"/>
  <c r="BD313" i="10"/>
  <c r="CD12" i="10"/>
  <c r="DH311" i="10"/>
  <c r="DH313" i="10" s="1"/>
  <c r="AJ215" i="10"/>
  <c r="DC54" i="10"/>
  <c r="AB313" i="10"/>
  <c r="CE12" i="10"/>
  <c r="Z24" i="4"/>
  <c r="DA303" i="10"/>
  <c r="AX335" i="47" s="1"/>
  <c r="S313" i="10"/>
  <c r="BP359" i="47"/>
  <c r="DT260" i="10"/>
  <c r="DK260" i="10"/>
  <c r="DM260" i="10"/>
  <c r="DP260" i="10"/>
  <c r="DR260" i="10"/>
  <c r="DL260" i="10"/>
  <c r="DN260" i="10"/>
  <c r="DQ260" i="10"/>
  <c r="DS260" i="10"/>
  <c r="DT258" i="10"/>
  <c r="DK258" i="10"/>
  <c r="DM258" i="10"/>
  <c r="DP258" i="10"/>
  <c r="DR258" i="10"/>
  <c r="DL258" i="10"/>
  <c r="DN258" i="10"/>
  <c r="DN278" i="10" s="1"/>
  <c r="BK149" i="8" s="1"/>
  <c r="DQ258" i="10"/>
  <c r="DS258" i="10"/>
  <c r="N313" i="10"/>
  <c r="DI311" i="10"/>
  <c r="DI313" i="10" s="1"/>
  <c r="DM311" i="10"/>
  <c r="DM313" i="10" s="1"/>
  <c r="CX278" i="10"/>
  <c r="CG12" i="10"/>
  <c r="BP334" i="47"/>
  <c r="DS313" i="10"/>
  <c r="DC303" i="10"/>
  <c r="AZ335" i="47" s="1"/>
  <c r="DB303" i="10"/>
  <c r="AY335" i="47" s="1"/>
  <c r="BF174" i="8"/>
  <c r="BE10" i="10"/>
  <c r="BG107" i="4" s="1"/>
  <c r="N215" i="10"/>
  <c r="AJ68" i="10"/>
  <c r="DA54" i="10"/>
  <c r="DD54" i="10"/>
  <c r="U68" i="10"/>
  <c r="AD313" i="10"/>
  <c r="AH161" i="5"/>
  <c r="AH186" i="5" s="1"/>
  <c r="AH65" i="9" s="1"/>
  <c r="AH51" i="9" s="1"/>
  <c r="X313" i="10"/>
  <c r="AX313" i="10"/>
  <c r="BN313" i="10"/>
  <c r="DT186" i="10"/>
  <c r="CJ12" i="10"/>
  <c r="AF359" i="47"/>
  <c r="P68" i="10"/>
  <c r="W68" i="10"/>
  <c r="T215" i="10"/>
  <c r="BT12" i="10"/>
  <c r="DJ233" i="10"/>
  <c r="DO233" i="10" s="1"/>
  <c r="DT233" i="10" s="1"/>
  <c r="DA233" i="10"/>
  <c r="DA278" i="10" s="1"/>
  <c r="DC233" i="10"/>
  <c r="DC278" i="10" s="1"/>
  <c r="DF233" i="10"/>
  <c r="DF278" i="10" s="1"/>
  <c r="DH233" i="10"/>
  <c r="DH278" i="10" s="1"/>
  <c r="DB233" i="10"/>
  <c r="DB278" i="10" s="1"/>
  <c r="DD233" i="10"/>
  <c r="DD278" i="10" s="1"/>
  <c r="DG233" i="10"/>
  <c r="DG278" i="10" s="1"/>
  <c r="DI233" i="10"/>
  <c r="DO172" i="10"/>
  <c r="DT172" i="10" s="1"/>
  <c r="DF172" i="10"/>
  <c r="DH172" i="10"/>
  <c r="DK172" i="10"/>
  <c r="DM172" i="10"/>
  <c r="DG172" i="10"/>
  <c r="DI172" i="10"/>
  <c r="DL172" i="10"/>
  <c r="DN172" i="10"/>
  <c r="U11" i="10"/>
  <c r="AE66" i="9"/>
  <c r="AE52" i="9" s="1"/>
  <c r="O11" i="10"/>
  <c r="Y68" i="10"/>
  <c r="CB12" i="10"/>
  <c r="BE291" i="10"/>
  <c r="CV303" i="10"/>
  <c r="DR289" i="10"/>
  <c r="BO148" i="8" s="1"/>
  <c r="AF174" i="8"/>
  <c r="P291" i="10"/>
  <c r="X68" i="10"/>
  <c r="DG313" i="10"/>
  <c r="V12" i="10"/>
  <c r="O68" i="10"/>
  <c r="Y193" i="5"/>
  <c r="AN68" i="10"/>
  <c r="AI68" i="10"/>
  <c r="AE11" i="10"/>
  <c r="BW12" i="10"/>
  <c r="DJ209" i="10"/>
  <c r="DN209" i="10" s="1"/>
  <c r="BS12" i="10"/>
  <c r="BZ12" i="10"/>
  <c r="BU12" i="10"/>
  <c r="O10" i="10"/>
  <c r="O313" i="10"/>
  <c r="DP127" i="10"/>
  <c r="DR127" i="10"/>
  <c r="DQ127" i="10"/>
  <c r="DS127" i="10"/>
  <c r="DO125" i="10"/>
  <c r="DT125" i="10" s="1"/>
  <c r="DF125" i="10"/>
  <c r="DH125" i="10"/>
  <c r="DK125" i="10"/>
  <c r="DM125" i="10"/>
  <c r="DG125" i="10"/>
  <c r="DI125" i="10"/>
  <c r="DL125" i="10"/>
  <c r="DN125" i="10"/>
  <c r="DE123" i="10"/>
  <c r="DJ123" i="10" s="1"/>
  <c r="DO123" i="10" s="1"/>
  <c r="DT123" i="10" s="1"/>
  <c r="DA123" i="10"/>
  <c r="DC123" i="10"/>
  <c r="DB123" i="10"/>
  <c r="DD123" i="10"/>
  <c r="DT126" i="10"/>
  <c r="DK126" i="10"/>
  <c r="DM126" i="10"/>
  <c r="DP126" i="10"/>
  <c r="DR126" i="10"/>
  <c r="DL126" i="10"/>
  <c r="DN126" i="10"/>
  <c r="DQ126" i="10"/>
  <c r="DS126" i="10"/>
  <c r="DO124" i="10"/>
  <c r="DT124" i="10" s="1"/>
  <c r="DF124" i="10"/>
  <c r="DH124" i="10"/>
  <c r="DK124" i="10"/>
  <c r="DM124" i="10"/>
  <c r="DG124" i="10"/>
  <c r="DI124" i="10"/>
  <c r="DL124" i="10"/>
  <c r="DN124" i="10"/>
  <c r="DE122" i="10"/>
  <c r="DJ122" i="10" s="1"/>
  <c r="DO122" i="10" s="1"/>
  <c r="DT122" i="10" s="1"/>
  <c r="DA122" i="10"/>
  <c r="DC122" i="10"/>
  <c r="DB122" i="10"/>
  <c r="DD122" i="10"/>
  <c r="R215" i="10"/>
  <c r="M215" i="10"/>
  <c r="AC10" i="10"/>
  <c r="AB215" i="10"/>
  <c r="Y215" i="10"/>
  <c r="O215" i="10"/>
  <c r="U291" i="10"/>
  <c r="DS289" i="10"/>
  <c r="BP148" i="8" s="1"/>
  <c r="DQ289" i="10"/>
  <c r="BN148" i="8" s="1"/>
  <c r="AB11" i="10"/>
  <c r="Z66" i="9"/>
  <c r="Z52" i="9" s="1"/>
  <c r="AG68" i="10"/>
  <c r="AH68" i="10"/>
  <c r="S291" i="10"/>
  <c r="AF12" i="10"/>
  <c r="AC215" i="10"/>
  <c r="AX10" i="10"/>
  <c r="AZ107" i="4" s="1"/>
  <c r="AZ146" i="4" s="1"/>
  <c r="AE215" i="10"/>
  <c r="AB10" i="10"/>
  <c r="Y65" i="9"/>
  <c r="Y51" i="9" s="1"/>
  <c r="DI289" i="10"/>
  <c r="BF148" i="8" s="1"/>
  <c r="Z193" i="5"/>
  <c r="DI66" i="10"/>
  <c r="AM68" i="10"/>
  <c r="AE68" i="10"/>
  <c r="R10" i="10"/>
  <c r="BC313" i="10"/>
  <c r="AA193" i="5"/>
  <c r="AA12" i="10"/>
  <c r="AW162" i="5"/>
  <c r="AW187" i="5" s="1"/>
  <c r="AW66" i="9" s="1"/>
  <c r="AW52" i="9" s="1"/>
  <c r="AS187" i="5"/>
  <c r="BO359" i="47"/>
  <c r="AF66" i="9"/>
  <c r="AF52" i="9" s="1"/>
  <c r="AC66" i="9"/>
  <c r="AC52" i="9" s="1"/>
  <c r="N291" i="10"/>
  <c r="Y291" i="10"/>
  <c r="BB40" i="4"/>
  <c r="AW318" i="47"/>
  <c r="Q12" i="10"/>
  <c r="BA313" i="10"/>
  <c r="AL313" i="10"/>
  <c r="BF101" i="47"/>
  <c r="AS214" i="47"/>
  <c r="AT35" i="44"/>
  <c r="AU35" i="44"/>
  <c r="AV33" i="8"/>
  <c r="AV36" i="8" s="1"/>
  <c r="AS43" i="8"/>
  <c r="AS38" i="8"/>
  <c r="N68" i="10"/>
  <c r="N11" i="10"/>
  <c r="AQ22" i="4"/>
  <c r="AQ24" i="4" s="1"/>
  <c r="AS26" i="9"/>
  <c r="AS30" i="9" s="1"/>
  <c r="AS37" i="9" s="1"/>
  <c r="AS127" i="4" s="1"/>
  <c r="AS129" i="4" s="1"/>
  <c r="AD22" i="9"/>
  <c r="AD26" i="9"/>
  <c r="AD30" i="9" s="1"/>
  <c r="AD37" i="9" s="1"/>
  <c r="AD61" i="45"/>
  <c r="AD96" i="4"/>
  <c r="AD98" i="4" s="1"/>
  <c r="AE22" i="9"/>
  <c r="AE26" i="9"/>
  <c r="AE30" i="9" s="1"/>
  <c r="AE37" i="9" s="1"/>
  <c r="AE127" i="4" s="1"/>
  <c r="AE129" i="4" s="1"/>
  <c r="AF22" i="9"/>
  <c r="AF26" i="9"/>
  <c r="AF30" i="9" s="1"/>
  <c r="AF37" i="9" s="1"/>
  <c r="BB51" i="3"/>
  <c r="AW51" i="3"/>
  <c r="BC53" i="45"/>
  <c r="BC96" i="4" s="1"/>
  <c r="BC91" i="44"/>
  <c r="AY53" i="45"/>
  <c r="AY96" i="4" s="1"/>
  <c r="AY91" i="44"/>
  <c r="BM348" i="47"/>
  <c r="BM350" i="47" s="1"/>
  <c r="BM93" i="4"/>
  <c r="BA291" i="10"/>
  <c r="BC143" i="8"/>
  <c r="BC168" i="8" s="1"/>
  <c r="BC174" i="8" s="1"/>
  <c r="BL291" i="10"/>
  <c r="BN143" i="8"/>
  <c r="BN168" i="8" s="1"/>
  <c r="BN174" i="8" s="1"/>
  <c r="W291" i="10"/>
  <c r="Y143" i="8"/>
  <c r="Y168" i="8" s="1"/>
  <c r="Y174" i="8" s="1"/>
  <c r="Y176" i="8" s="1"/>
  <c r="Y178" i="8" s="1"/>
  <c r="AL11" i="10"/>
  <c r="AN161" i="5"/>
  <c r="BD51" i="9"/>
  <c r="BD65" i="9" s="1"/>
  <c r="AM313" i="10"/>
  <c r="AO329" i="47"/>
  <c r="AO353" i="47" s="1"/>
  <c r="Z291" i="10"/>
  <c r="AB142" i="8"/>
  <c r="AB167" i="8" s="1"/>
  <c r="AB65" i="9" s="1"/>
  <c r="AB51" i="9" s="1"/>
  <c r="AG291" i="10"/>
  <c r="AI143" i="8"/>
  <c r="AI168" i="8" s="1"/>
  <c r="AI174" i="8" s="1"/>
  <c r="BC291" i="10"/>
  <c r="BE143" i="8"/>
  <c r="BE168" i="8" s="1"/>
  <c r="BE174" i="8" s="1"/>
  <c r="BK291" i="10"/>
  <c r="BM143" i="8"/>
  <c r="BM168" i="8" s="1"/>
  <c r="BM174" i="8" s="1"/>
  <c r="BB291" i="10"/>
  <c r="BD143" i="8"/>
  <c r="BD168" i="8" s="1"/>
  <c r="BD174" i="8" s="1"/>
  <c r="AR162" i="5"/>
  <c r="AR187" i="5" s="1"/>
  <c r="AR66" i="9" s="1"/>
  <c r="AR52" i="9" s="1"/>
  <c r="AO187" i="5"/>
  <c r="BM52" i="9"/>
  <c r="BM66" i="9" s="1"/>
  <c r="BO52" i="9"/>
  <c r="BO66" i="9" s="1"/>
  <c r="AJ12" i="66"/>
  <c r="AJ12" i="9" s="1"/>
  <c r="AJ15" i="9" s="1"/>
  <c r="AJ17" i="9" s="1"/>
  <c r="AJ28" i="9"/>
  <c r="BG98" i="44"/>
  <c r="AM45" i="3"/>
  <c r="T226" i="4"/>
  <c r="AR203" i="8"/>
  <c r="AR210" i="8" s="1"/>
  <c r="AR22" i="3"/>
  <c r="AP44" i="8"/>
  <c r="AP80" i="4" s="1"/>
  <c r="AP95" i="44"/>
  <c r="AJ21" i="45"/>
  <c r="AJ19" i="9"/>
  <c r="AC389" i="47"/>
  <c r="AC396" i="47" s="1"/>
  <c r="AC20" i="3"/>
  <c r="BI348" i="47"/>
  <c r="BI350" i="47" s="1"/>
  <c r="BI93" i="4"/>
  <c r="AN45" i="9"/>
  <c r="AN83" i="4" s="1"/>
  <c r="AN99" i="44"/>
  <c r="AP26" i="9"/>
  <c r="AP30" i="9" s="1"/>
  <c r="AP37" i="9" s="1"/>
  <c r="AP127" i="4" s="1"/>
  <c r="AP129" i="4" s="1"/>
  <c r="Z313" i="10"/>
  <c r="AB329" i="47"/>
  <c r="AB353" i="47" s="1"/>
  <c r="Z330" i="10"/>
  <c r="AB76" i="66"/>
  <c r="X330" i="10"/>
  <c r="Z76" i="66"/>
  <c r="Z174" i="8"/>
  <c r="Z176" i="8" s="1"/>
  <c r="Z178" i="8" s="1"/>
  <c r="AK359" i="47"/>
  <c r="AT47" i="5"/>
  <c r="AT94" i="44"/>
  <c r="AK80" i="45"/>
  <c r="AK24" i="9"/>
  <c r="AD330" i="10"/>
  <c r="AF76" i="66"/>
  <c r="AY68" i="10"/>
  <c r="BA52" i="9"/>
  <c r="BA66" i="9" s="1"/>
  <c r="BE109" i="8"/>
  <c r="BN190" i="5"/>
  <c r="BN124" i="4" s="1"/>
  <c r="BQ124" i="4"/>
  <c r="BO190" i="5"/>
  <c r="BO124" i="4" s="1"/>
  <c r="BM190" i="5"/>
  <c r="BM124" i="4" s="1"/>
  <c r="BP190" i="5"/>
  <c r="AR24" i="4"/>
  <c r="AM21" i="9"/>
  <c r="AM22" i="4"/>
  <c r="AR215" i="5"/>
  <c r="AQ215" i="5" s="1"/>
  <c r="AQ206" i="5"/>
  <c r="AC33" i="8"/>
  <c r="AC36" i="8" s="1"/>
  <c r="AC59" i="8"/>
  <c r="AC60" i="8"/>
  <c r="AG98" i="4"/>
  <c r="BC8" i="44"/>
  <c r="BD48" i="8"/>
  <c r="BD89" i="8" s="1"/>
  <c r="BD51" i="5"/>
  <c r="BD106" i="5" s="1"/>
  <c r="BI106" i="5" s="1"/>
  <c r="AA39" i="4"/>
  <c r="AA46" i="4" s="1"/>
  <c r="AA119" i="4"/>
  <c r="AA118" i="4"/>
  <c r="X24" i="4"/>
  <c r="DP211" i="10"/>
  <c r="DQ211" i="10"/>
  <c r="DR211" i="10"/>
  <c r="DS211" i="10"/>
  <c r="AU21" i="9"/>
  <c r="AU22" i="4"/>
  <c r="AU24" i="4" s="1"/>
  <c r="AZ27" i="4"/>
  <c r="BF20" i="8"/>
  <c r="AB19" i="9"/>
  <c r="AR359" i="47"/>
  <c r="AA188" i="8"/>
  <c r="AA208" i="8"/>
  <c r="AA191" i="8"/>
  <c r="AA209" i="8"/>
  <c r="AA194" i="8"/>
  <c r="AA232" i="8" s="1"/>
  <c r="AH215" i="5"/>
  <c r="AG206" i="5"/>
  <c r="BQ98" i="4"/>
  <c r="BL51" i="3"/>
  <c r="AB155" i="4"/>
  <c r="AC155" i="4"/>
  <c r="CU41" i="3"/>
  <c r="AK44" i="8"/>
  <c r="AK80" i="4" s="1"/>
  <c r="AK95" i="44"/>
  <c r="BD53" i="45"/>
  <c r="BD96" i="4" s="1"/>
  <c r="BD91" i="44"/>
  <c r="BT56" i="45"/>
  <c r="AM85" i="44"/>
  <c r="AM88" i="44" s="1"/>
  <c r="AM96" i="4"/>
  <c r="AM98" i="4" s="1"/>
  <c r="AZ53" i="45"/>
  <c r="AZ96" i="4" s="1"/>
  <c r="AZ91" i="44"/>
  <c r="BB76" i="45"/>
  <c r="BB66" i="44"/>
  <c r="AL80" i="45"/>
  <c r="AL24" i="9"/>
  <c r="AO291" i="10"/>
  <c r="AQ143" i="8"/>
  <c r="AQ168" i="8" s="1"/>
  <c r="AQ66" i="9" s="1"/>
  <c r="AQ52" i="9" s="1"/>
  <c r="AG11" i="10"/>
  <c r="AI161" i="5"/>
  <c r="DF313" i="10"/>
  <c r="BC334" i="47"/>
  <c r="BF313" i="10"/>
  <c r="BH329" i="47"/>
  <c r="BH353" i="47" s="1"/>
  <c r="AE291" i="10"/>
  <c r="AG143" i="8"/>
  <c r="AG168" i="8" s="1"/>
  <c r="AG174" i="8" s="1"/>
  <c r="AH330" i="10"/>
  <c r="AJ76" i="66"/>
  <c r="Y371" i="47"/>
  <c r="Y353" i="47"/>
  <c r="AM291" i="10"/>
  <c r="AO143" i="8"/>
  <c r="AO168" i="8" s="1"/>
  <c r="AO174" i="8" s="1"/>
  <c r="AH291" i="10"/>
  <c r="AJ143" i="8"/>
  <c r="AJ168" i="8" s="1"/>
  <c r="AJ174" i="8" s="1"/>
  <c r="AJ176" i="8" s="1"/>
  <c r="AJ178" i="8" s="1"/>
  <c r="AI11" i="10"/>
  <c r="AK161" i="5"/>
  <c r="AK186" i="5" s="1"/>
  <c r="AK193" i="5" s="1"/>
  <c r="AX291" i="10"/>
  <c r="AZ143" i="8"/>
  <c r="AZ168" i="8" s="1"/>
  <c r="AZ174" i="8" s="1"/>
  <c r="BA68" i="10"/>
  <c r="BC51" i="9"/>
  <c r="BC65" i="9" s="1"/>
  <c r="BI52" i="9"/>
  <c r="BI66" i="9" s="1"/>
  <c r="H223" i="4"/>
  <c r="X45" i="9"/>
  <c r="X99" i="44"/>
  <c r="AB330" i="10"/>
  <c r="AD76" i="66"/>
  <c r="AH313" i="10"/>
  <c r="AJ329" i="47"/>
  <c r="AJ353" i="47" s="1"/>
  <c r="AN359" i="47"/>
  <c r="AE35" i="44"/>
  <c r="BM291" i="10"/>
  <c r="BO143" i="8"/>
  <c r="BO168" i="8" s="1"/>
  <c r="BO174" i="8" s="1"/>
  <c r="BC9" i="9"/>
  <c r="AX15" i="9"/>
  <c r="AX10" i="44"/>
  <c r="AX110" i="8" s="1"/>
  <c r="AX109" i="8" s="1"/>
  <c r="AY110" i="8"/>
  <c r="AY109" i="8" s="1"/>
  <c r="BL165" i="8"/>
  <c r="ED45" i="3"/>
  <c r="AO26" i="9"/>
  <c r="AO30" i="9" s="1"/>
  <c r="AO37" i="9" s="1"/>
  <c r="AO22" i="9"/>
  <c r="Z21" i="45"/>
  <c r="Z19" i="9"/>
  <c r="Z21" i="9" s="1"/>
  <c r="BL78" i="44"/>
  <c r="BM150" i="4"/>
  <c r="BM126" i="4" s="1"/>
  <c r="BN73" i="4"/>
  <c r="AR22" i="66"/>
  <c r="AR24" i="3" s="1"/>
  <c r="AR26" i="66"/>
  <c r="AR30" i="66" s="1"/>
  <c r="BA57" i="9"/>
  <c r="BB13" i="9"/>
  <c r="BB57" i="9" s="1"/>
  <c r="BF13" i="9"/>
  <c r="AH202" i="8"/>
  <c r="AH215" i="8" s="1"/>
  <c r="AH29" i="8"/>
  <c r="AH23" i="8"/>
  <c r="BB43" i="4"/>
  <c r="AZ151" i="4"/>
  <c r="BB151" i="4" s="1"/>
  <c r="BG31" i="9"/>
  <c r="BC40" i="4"/>
  <c r="BH31" i="9"/>
  <c r="AB21" i="9"/>
  <c r="AB22" i="4"/>
  <c r="AB24" i="4" s="1"/>
  <c r="AC193" i="5"/>
  <c r="X22" i="66"/>
  <c r="X88" i="66"/>
  <c r="X96" i="66" s="1"/>
  <c r="X26" i="66"/>
  <c r="X45" i="66" s="1"/>
  <c r="AG24" i="5"/>
  <c r="AJ221" i="5"/>
  <c r="AJ234" i="5" s="1"/>
  <c r="AK221" i="5"/>
  <c r="AK234" i="5" s="1"/>
  <c r="AG221" i="5"/>
  <c r="AG234" i="5" s="1"/>
  <c r="BE12" i="9"/>
  <c r="AZ15" i="9"/>
  <c r="AK350" i="47"/>
  <c r="AK63" i="9" s="1"/>
  <c r="AK61" i="9"/>
  <c r="BL22" i="66"/>
  <c r="BL24" i="3" s="1"/>
  <c r="BL26" i="66"/>
  <c r="BL30" i="66" s="1"/>
  <c r="AA22" i="45"/>
  <c r="AA26" i="45"/>
  <c r="AQ30" i="5"/>
  <c r="AQ221" i="5"/>
  <c r="AQ234" i="5" s="1"/>
  <c r="AF193" i="5"/>
  <c r="AQ10" i="9"/>
  <c r="AW31" i="3"/>
  <c r="AW44" i="3" s="1"/>
  <c r="BB33" i="3"/>
  <c r="AW33" i="3"/>
  <c r="X359" i="47"/>
  <c r="X68" i="9" s="1"/>
  <c r="X65" i="9"/>
  <c r="X51" i="9" s="1"/>
  <c r="AD352" i="47"/>
  <c r="AD371" i="47"/>
  <c r="AD372" i="47" s="1"/>
  <c r="AG30" i="5"/>
  <c r="AF35" i="44"/>
  <c r="BB186" i="5"/>
  <c r="BB193" i="5" s="1"/>
  <c r="BM211" i="10"/>
  <c r="BM213" i="10" s="1"/>
  <c r="BN211" i="10"/>
  <c r="BN213" i="10" s="1"/>
  <c r="BN215" i="10" s="1"/>
  <c r="BO213" i="10"/>
  <c r="BL211" i="10"/>
  <c r="BL213" i="10" s="1"/>
  <c r="BL215" i="10" s="1"/>
  <c r="BK211" i="10"/>
  <c r="BK213" i="10" s="1"/>
  <c r="BM161" i="5" s="1"/>
  <c r="BM186" i="5" s="1"/>
  <c r="BM193" i="5" s="1"/>
  <c r="AG19" i="9"/>
  <c r="AG35" i="44"/>
  <c r="BK37" i="5"/>
  <c r="BF40" i="4"/>
  <c r="BF20" i="5"/>
  <c r="BG20" i="5" s="1"/>
  <c r="BE27" i="4"/>
  <c r="AH155" i="4"/>
  <c r="CZ41" i="3"/>
  <c r="BF53" i="45"/>
  <c r="BF96" i="4" s="1"/>
  <c r="BF91" i="44"/>
  <c r="AP61" i="9"/>
  <c r="AP62" i="9" s="1"/>
  <c r="AR62" i="9"/>
  <c r="AJ35" i="44"/>
  <c r="AX53" i="45"/>
  <c r="AX96" i="4" s="1"/>
  <c r="AX91" i="44"/>
  <c r="BG76" i="45"/>
  <c r="BG66" i="44"/>
  <c r="AY348" i="47"/>
  <c r="AY350" i="47" s="1"/>
  <c r="AY93" i="4"/>
  <c r="BH348" i="47"/>
  <c r="BH350" i="47" s="1"/>
  <c r="BH93" i="4"/>
  <c r="AQ348" i="47"/>
  <c r="AQ93" i="4"/>
  <c r="BD151" i="4"/>
  <c r="AM11" i="10"/>
  <c r="AO161" i="5"/>
  <c r="AO186" i="5" s="1"/>
  <c r="AH11" i="10"/>
  <c r="AJ161" i="5"/>
  <c r="AJ186" i="5" s="1"/>
  <c r="AJ65" i="9" s="1"/>
  <c r="AJ51" i="9" s="1"/>
  <c r="BN291" i="10"/>
  <c r="BP143" i="8"/>
  <c r="BP168" i="8" s="1"/>
  <c r="BP174" i="8" s="1"/>
  <c r="BB107" i="4"/>
  <c r="BG313" i="10"/>
  <c r="BI328" i="47"/>
  <c r="BI352" i="47" s="1"/>
  <c r="AQ65" i="9"/>
  <c r="AQ51" i="9" s="1"/>
  <c r="AQ359" i="47"/>
  <c r="BI291" i="10"/>
  <c r="BK143" i="8"/>
  <c r="BK168" i="8" s="1"/>
  <c r="BK174" i="8" s="1"/>
  <c r="AM162" i="5"/>
  <c r="AM187" i="5" s="1"/>
  <c r="AM66" i="9" s="1"/>
  <c r="AM52" i="9" s="1"/>
  <c r="AJ187" i="5"/>
  <c r="DL313" i="10"/>
  <c r="BI334" i="47"/>
  <c r="BH313" i="10"/>
  <c r="BJ328" i="47"/>
  <c r="BJ352" i="47" s="1"/>
  <c r="AW68" i="10"/>
  <c r="AY52" i="9"/>
  <c r="AY66" i="9" s="1"/>
  <c r="AN291" i="10"/>
  <c r="AP143" i="8"/>
  <c r="AP168" i="8" s="1"/>
  <c r="AP174" i="8" s="1"/>
  <c r="AP176" i="8" s="1"/>
  <c r="AP178" i="8" s="1"/>
  <c r="AW291" i="10"/>
  <c r="AY143" i="8"/>
  <c r="AY168" i="8" s="1"/>
  <c r="AY174" i="8" s="1"/>
  <c r="AJ11" i="10"/>
  <c r="AL161" i="5"/>
  <c r="AL186" i="5" s="1"/>
  <c r="BL107" i="4"/>
  <c r="BN52" i="9"/>
  <c r="BN66" i="9" s="1"/>
  <c r="BG51" i="3"/>
  <c r="Z155" i="4"/>
  <c r="AM232" i="4"/>
  <c r="AM239" i="4" s="1"/>
  <c r="DE25" i="3" s="1"/>
  <c r="AM26" i="3"/>
  <c r="AR222" i="5"/>
  <c r="AR229" i="5" s="1"/>
  <c r="AR21" i="3"/>
  <c r="BF291" i="10"/>
  <c r="BH142" i="8"/>
  <c r="BH167" i="8" s="1"/>
  <c r="BH174" i="8" s="1"/>
  <c r="AH85" i="44"/>
  <c r="AH88" i="44" s="1"/>
  <c r="AH96" i="4"/>
  <c r="AH98" i="4" s="1"/>
  <c r="AD35" i="44"/>
  <c r="BB313" i="10"/>
  <c r="BD329" i="47"/>
  <c r="BD353" i="47" s="1"/>
  <c r="DR313" i="10"/>
  <c r="BO334" i="47"/>
  <c r="AC291" i="10"/>
  <c r="AE142" i="8"/>
  <c r="AE167" i="8" s="1"/>
  <c r="AE174" i="8" s="1"/>
  <c r="AE176" i="8" s="1"/>
  <c r="AE178" i="8" s="1"/>
  <c r="BB10" i="10"/>
  <c r="BD107" i="4" s="1"/>
  <c r="BD146" i="4" s="1"/>
  <c r="BD162" i="5"/>
  <c r="BD187" i="5" s="1"/>
  <c r="BC10" i="10"/>
  <c r="BE162" i="5"/>
  <c r="BE187" i="5" s="1"/>
  <c r="AE359" i="47"/>
  <c r="AO359" i="47"/>
  <c r="BI132" i="8"/>
  <c r="BH220" i="8"/>
  <c r="BH163" i="8"/>
  <c r="BH165" i="8" s="1"/>
  <c r="BH95" i="4"/>
  <c r="BJ132" i="8"/>
  <c r="AM228" i="5"/>
  <c r="AM207" i="5"/>
  <c r="AM216" i="5"/>
  <c r="AM213" i="5"/>
  <c r="AM251" i="5" s="1"/>
  <c r="AL215" i="5"/>
  <c r="AM210" i="5"/>
  <c r="AM227" i="5"/>
  <c r="AC203" i="8"/>
  <c r="AC210" i="8" s="1"/>
  <c r="AC22" i="3"/>
  <c r="BJ34" i="47"/>
  <c r="BE43" i="4"/>
  <c r="BE151" i="4" s="1"/>
  <c r="AC359" i="47"/>
  <c r="BA298" i="47"/>
  <c r="AH359" i="47"/>
  <c r="AM24" i="4"/>
  <c r="AO350" i="47"/>
  <c r="AO63" i="9" s="1"/>
  <c r="O48" i="4"/>
  <c r="O55" i="4" s="1"/>
  <c r="O68" i="4" s="1"/>
  <c r="O247" i="4"/>
  <c r="O54" i="4"/>
  <c r="AC26" i="9"/>
  <c r="AC30" i="9" s="1"/>
  <c r="AC37" i="9" s="1"/>
  <c r="AC22" i="9"/>
  <c r="AC25" i="3" s="1"/>
  <c r="AL61" i="9"/>
  <c r="BD348" i="47"/>
  <c r="BD350" i="47" s="1"/>
  <c r="BD93" i="4"/>
  <c r="Y26" i="9"/>
  <c r="Y30" i="9" s="1"/>
  <c r="Y37" i="9" s="1"/>
  <c r="Y22" i="9"/>
  <c r="Z65" i="9"/>
  <c r="Z51" i="9" s="1"/>
  <c r="Z359" i="47"/>
  <c r="Z361" i="47" s="1"/>
  <c r="Z363" i="47" s="1"/>
  <c r="BH151" i="4"/>
  <c r="BQ193" i="5"/>
  <c r="AQ179" i="8"/>
  <c r="AL9" i="9"/>
  <c r="AL10" i="9" s="1"/>
  <c r="BE53" i="45"/>
  <c r="BE96" i="4" s="1"/>
  <c r="BE91" i="44"/>
  <c r="AI35" i="44"/>
  <c r="BA53" i="45"/>
  <c r="BA96" i="4" s="1"/>
  <c r="BA91" i="44"/>
  <c r="BL76" i="45"/>
  <c r="BL66" i="44"/>
  <c r="BQ76" i="45"/>
  <c r="BQ66" i="44"/>
  <c r="BE348" i="47"/>
  <c r="BE350" i="47" s="1"/>
  <c r="BE93" i="4"/>
  <c r="BJ348" i="47"/>
  <c r="BJ350" i="47" s="1"/>
  <c r="BJ93" i="4"/>
  <c r="BC348" i="47"/>
  <c r="BC350" i="47" s="1"/>
  <c r="BC93" i="4"/>
  <c r="BC99" i="4" s="1"/>
  <c r="BC141" i="4" s="1"/>
  <c r="BM43" i="4"/>
  <c r="DN313" i="10"/>
  <c r="BK334" i="47"/>
  <c r="AP65" i="9"/>
  <c r="AP51" i="9" s="1"/>
  <c r="AP359" i="47"/>
  <c r="AA65" i="9"/>
  <c r="AA51" i="9" s="1"/>
  <c r="AJ291" i="10"/>
  <c r="AL143" i="8"/>
  <c r="AL168" i="8" s="1"/>
  <c r="AL66" i="9" s="1"/>
  <c r="AL52" i="9" s="1"/>
  <c r="BJ52" i="9"/>
  <c r="BJ66" i="9" s="1"/>
  <c r="AG330" i="10"/>
  <c r="AI76" i="66"/>
  <c r="BK313" i="10"/>
  <c r="BM328" i="47"/>
  <c r="BM352" i="47" s="1"/>
  <c r="BM359" i="47" s="1"/>
  <c r="AL291" i="10"/>
  <c r="AN143" i="8"/>
  <c r="AN168" i="8" s="1"/>
  <c r="AN174" i="8" s="1"/>
  <c r="AY291" i="10"/>
  <c r="BA143" i="8"/>
  <c r="BA168" i="8" s="1"/>
  <c r="BA174" i="8" s="1"/>
  <c r="AX174" i="8"/>
  <c r="CQ194" i="10"/>
  <c r="CS194" i="10"/>
  <c r="AC330" i="10"/>
  <c r="AE76" i="66"/>
  <c r="CV278" i="10"/>
  <c r="BC68" i="10"/>
  <c r="BE52" i="9"/>
  <c r="BE66" i="9" s="1"/>
  <c r="AG313" i="10"/>
  <c r="AI328" i="47"/>
  <c r="AI352" i="47" s="1"/>
  <c r="AI291" i="10"/>
  <c r="AK143" i="8"/>
  <c r="AK168" i="8" s="1"/>
  <c r="AK174" i="8" s="1"/>
  <c r="AK176" i="8" s="1"/>
  <c r="AK178" i="8" s="1"/>
  <c r="AQ193" i="5"/>
  <c r="AB193" i="5"/>
  <c r="BQ98" i="44"/>
  <c r="AI21" i="9"/>
  <c r="AI22" i="4"/>
  <c r="AR232" i="4"/>
  <c r="AR239" i="4" s="1"/>
  <c r="DJ25" i="3" s="1"/>
  <c r="AR26" i="3"/>
  <c r="AJ155" i="4"/>
  <c r="J226" i="4"/>
  <c r="AO47" i="5"/>
  <c r="AO79" i="4" s="1"/>
  <c r="AO94" i="44"/>
  <c r="AR45" i="9"/>
  <c r="AJ330" i="10"/>
  <c r="AL76" i="66"/>
  <c r="DQ313" i="10"/>
  <c r="BN334" i="47"/>
  <c r="Y10" i="10"/>
  <c r="AA329" i="47"/>
  <c r="AA353" i="47" s="1"/>
  <c r="AA66" i="9" s="1"/>
  <c r="AA52" i="9" s="1"/>
  <c r="BH291" i="10"/>
  <c r="BJ143" i="8"/>
  <c r="BJ168" i="8" s="1"/>
  <c r="BJ174" i="8" s="1"/>
  <c r="Y330" i="10"/>
  <c r="AA76" i="66"/>
  <c r="AC225" i="4"/>
  <c r="CU17" i="3"/>
  <c r="CU19" i="3" s="1"/>
  <c r="AR389" i="47"/>
  <c r="AR396" i="47" s="1"/>
  <c r="AR20" i="3"/>
  <c r="BG291" i="10"/>
  <c r="BI143" i="8"/>
  <c r="BI168" i="8" s="1"/>
  <c r="BI174" i="8" s="1"/>
  <c r="AD187" i="5"/>
  <c r="AH162" i="5"/>
  <c r="AH187" i="5" s="1"/>
  <c r="AH66" i="9" s="1"/>
  <c r="AH52" i="9" s="1"/>
  <c r="BA118" i="4"/>
  <c r="BB252" i="4"/>
  <c r="BG45" i="66"/>
  <c r="BF45" i="66" s="1"/>
  <c r="BE45" i="66" s="1"/>
  <c r="BD45" i="66" s="1"/>
  <c r="BC45" i="66" s="1"/>
  <c r="BG76" i="5"/>
  <c r="BF76" i="5" s="1"/>
  <c r="BE76" i="5" s="1"/>
  <c r="BD76" i="5" s="1"/>
  <c r="BC76" i="5" s="1"/>
  <c r="BG59" i="8"/>
  <c r="BF59" i="8" s="1"/>
  <c r="BE59" i="8" s="1"/>
  <c r="BD59" i="8" s="1"/>
  <c r="BC59" i="8" s="1"/>
  <c r="BI9" i="9"/>
  <c r="BB22" i="66"/>
  <c r="BB24" i="3" s="1"/>
  <c r="BB26" i="66"/>
  <c r="BB30" i="66" s="1"/>
  <c r="BL186" i="5"/>
  <c r="BL193" i="5" s="1"/>
  <c r="AW26" i="66"/>
  <c r="AW30" i="66" s="1"/>
  <c r="AW22" i="66"/>
  <c r="AW24" i="3" s="1"/>
  <c r="AL14" i="45"/>
  <c r="AK14" i="9"/>
  <c r="AK15" i="45"/>
  <c r="AK17" i="45" s="1"/>
  <c r="AG61" i="9"/>
  <c r="AG62" i="9" s="1"/>
  <c r="AE313" i="10"/>
  <c r="AG328" i="47"/>
  <c r="AG352" i="47" s="1"/>
  <c r="AS22" i="45"/>
  <c r="AS26" i="45"/>
  <c r="BD209" i="10"/>
  <c r="BD213" i="10" s="1"/>
  <c r="BF161" i="5" s="1"/>
  <c r="BF186" i="5" s="1"/>
  <c r="BF193" i="5" s="1"/>
  <c r="BC209" i="10"/>
  <c r="BC213" i="10" s="1"/>
  <c r="BC215" i="10" s="1"/>
  <c r="BE213" i="10"/>
  <c r="BA209" i="10"/>
  <c r="BA213" i="10" s="1"/>
  <c r="BC161" i="5" s="1"/>
  <c r="BC186" i="5" s="1"/>
  <c r="BC193" i="5" s="1"/>
  <c r="BB209" i="10"/>
  <c r="BB213" i="10" s="1"/>
  <c r="BB11" i="10" s="1"/>
  <c r="AM22" i="66"/>
  <c r="AM88" i="66"/>
  <c r="AM26" i="66"/>
  <c r="AF215" i="5"/>
  <c r="AF228" i="5" s="1"/>
  <c r="AF207" i="5"/>
  <c r="BI13" i="9"/>
  <c r="BD57" i="9"/>
  <c r="AT21" i="9"/>
  <c r="BL98" i="4"/>
  <c r="AX348" i="47"/>
  <c r="AX350" i="47" s="1"/>
  <c r="AX93" i="4"/>
  <c r="X66" i="9"/>
  <c r="X52" i="9" s="1"/>
  <c r="BB88" i="44"/>
  <c r="BB91" i="44"/>
  <c r="BB147" i="5"/>
  <c r="AF24" i="4"/>
  <c r="AF65" i="9"/>
  <c r="AF51" i="9" s="1"/>
  <c r="Y61" i="45"/>
  <c r="Y96" i="4"/>
  <c r="Y98" i="4" s="1"/>
  <c r="AR91" i="44"/>
  <c r="AG21" i="9"/>
  <c r="AG22" i="4"/>
  <c r="AG24" i="4" s="1"/>
  <c r="AA24" i="4"/>
  <c r="AD24" i="4"/>
  <c r="DP313" i="10"/>
  <c r="BM334" i="47"/>
  <c r="AD11" i="10"/>
  <c r="M10" i="10"/>
  <c r="CY278" i="10"/>
  <c r="AC11" i="10"/>
  <c r="AD68" i="10"/>
  <c r="R313" i="10"/>
  <c r="X11" i="10"/>
  <c r="U313" i="10"/>
  <c r="T68" i="10"/>
  <c r="AI313" i="10"/>
  <c r="DP289" i="10"/>
  <c r="Y313" i="10"/>
  <c r="X291" i="10"/>
  <c r="DF289" i="10"/>
  <c r="BC148" i="8" s="1"/>
  <c r="DH289" i="10"/>
  <c r="BE148" i="8" s="1"/>
  <c r="DG66" i="10"/>
  <c r="BD68" i="10"/>
  <c r="AC313" i="10"/>
  <c r="M11" i="10"/>
  <c r="BM10" i="10"/>
  <c r="BO107" i="4" s="1"/>
  <c r="BO146" i="4" s="1"/>
  <c r="S68" i="10"/>
  <c r="BI313" i="10"/>
  <c r="R11" i="10"/>
  <c r="Z68" i="10"/>
  <c r="W220" i="47"/>
  <c r="AE33" i="47"/>
  <c r="AE36" i="47" s="1"/>
  <c r="AE303" i="47"/>
  <c r="AI43" i="47"/>
  <c r="AI38" i="47"/>
  <c r="AI340" i="47"/>
  <c r="AI346" i="47" s="1"/>
  <c r="AM63" i="47"/>
  <c r="AT389" i="47"/>
  <c r="AX230" i="47"/>
  <c r="AX147" i="47"/>
  <c r="AY147" i="47" s="1"/>
  <c r="BB147" i="47" s="1"/>
  <c r="AY146" i="47"/>
  <c r="AN340" i="47"/>
  <c r="AN346" i="47" s="1"/>
  <c r="AN43" i="47"/>
  <c r="AN38" i="47"/>
  <c r="AA340" i="47"/>
  <c r="AA346" i="47" s="1"/>
  <c r="AA43" i="47"/>
  <c r="AA38" i="47"/>
  <c r="AT33" i="47"/>
  <c r="AT303" i="47"/>
  <c r="AB389" i="47"/>
  <c r="AB396" i="47" s="1"/>
  <c r="AO203" i="8"/>
  <c r="AO210" i="8" s="1"/>
  <c r="AR226" i="8"/>
  <c r="AU38" i="8"/>
  <c r="AU43" i="8"/>
  <c r="BE220" i="8"/>
  <c r="BF132" i="8"/>
  <c r="BF95" i="4" s="1"/>
  <c r="BE163" i="8"/>
  <c r="BE165" i="8" s="1"/>
  <c r="AA36" i="8"/>
  <c r="AB33" i="8"/>
  <c r="AB36" i="8" s="1"/>
  <c r="AQ224" i="8"/>
  <c r="AL123" i="5"/>
  <c r="BM74" i="5"/>
  <c r="BM131" i="5" s="1"/>
  <c r="BN131" i="5"/>
  <c r="AN41" i="5"/>
  <c r="AN174" i="5"/>
  <c r="AN180" i="5" s="1"/>
  <c r="AN46" i="5"/>
  <c r="Y174" i="5"/>
  <c r="Y180" i="5" s="1"/>
  <c r="Y46" i="5"/>
  <c r="Y41" i="5"/>
  <c r="AY157" i="5"/>
  <c r="AD174" i="5"/>
  <c r="AD180" i="5" s="1"/>
  <c r="AD46" i="5"/>
  <c r="AD41" i="5"/>
  <c r="AS41" i="5"/>
  <c r="AS46" i="5"/>
  <c r="X226" i="4"/>
  <c r="AS39" i="4"/>
  <c r="AS46" i="4" s="1"/>
  <c r="AS118" i="4"/>
  <c r="AS119" i="4"/>
  <c r="AD225" i="4"/>
  <c r="AD223" i="4" s="1"/>
  <c r="F217" i="4"/>
  <c r="AK247" i="4"/>
  <c r="AK48" i="4"/>
  <c r="AK55" i="4" s="1"/>
  <c r="AK54" i="4"/>
  <c r="AF48" i="4"/>
  <c r="AF55" i="4" s="1"/>
  <c r="AF54" i="4"/>
  <c r="AF247" i="4"/>
  <c r="O220" i="4"/>
  <c r="O237" i="4"/>
  <c r="O226" i="4"/>
  <c r="O223" i="4"/>
  <c r="O217" i="4"/>
  <c r="I225" i="4"/>
  <c r="I223" i="4" s="1"/>
  <c r="F226" i="4"/>
  <c r="T39" i="4"/>
  <c r="T46" i="4" s="1"/>
  <c r="T119" i="4"/>
  <c r="T118" i="4"/>
  <c r="AP48" i="4"/>
  <c r="AP55" i="4" s="1"/>
  <c r="AP54" i="4"/>
  <c r="AP247" i="4"/>
  <c r="J54" i="4"/>
  <c r="J247" i="4"/>
  <c r="J48" i="4"/>
  <c r="J55" i="4" s="1"/>
  <c r="AK28" i="66"/>
  <c r="AV291" i="10"/>
  <c r="CT194" i="10"/>
  <c r="CR194" i="10"/>
  <c r="W313" i="10"/>
  <c r="BQ303" i="10"/>
  <c r="BQ313" i="10" s="1"/>
  <c r="BV297" i="10"/>
  <c r="R291" i="10"/>
  <c r="CQ213" i="10"/>
  <c r="CS213" i="10"/>
  <c r="CW278" i="10"/>
  <c r="AH44" i="9"/>
  <c r="AH39" i="9"/>
  <c r="AH56" i="9"/>
  <c r="BM13" i="9"/>
  <c r="BH57" i="9"/>
  <c r="AP56" i="9"/>
  <c r="AA44" i="9"/>
  <c r="AA56" i="9"/>
  <c r="AA39" i="9"/>
  <c r="AE56" i="9"/>
  <c r="BF241" i="47"/>
  <c r="BE241" i="47" s="1"/>
  <c r="BD241" i="47" s="1"/>
  <c r="BC241" i="47" s="1"/>
  <c r="BG254" i="47"/>
  <c r="BU257" i="47" s="1"/>
  <c r="BL241" i="47"/>
  <c r="AJ43" i="47"/>
  <c r="AJ340" i="47"/>
  <c r="AJ346" i="47" s="1"/>
  <c r="AJ38" i="47"/>
  <c r="AJ97" i="44" s="1"/>
  <c r="X44" i="47"/>
  <c r="X78" i="4" s="1"/>
  <c r="X387" i="47"/>
  <c r="X400" i="47" s="1"/>
  <c r="X391" i="47"/>
  <c r="AO211" i="47"/>
  <c r="AR205" i="47"/>
  <c r="AT265" i="47"/>
  <c r="AT269" i="47" s="1"/>
  <c r="AS269" i="47"/>
  <c r="AK177" i="47"/>
  <c r="AL191" i="47"/>
  <c r="AR36" i="47"/>
  <c r="AD389" i="47"/>
  <c r="AM36" i="47"/>
  <c r="AC33" i="47"/>
  <c r="AC303" i="47"/>
  <c r="AR283" i="47"/>
  <c r="AR285" i="47" s="1"/>
  <c r="Y38" i="47"/>
  <c r="Y97" i="44" s="1"/>
  <c r="Y43" i="47"/>
  <c r="Y340" i="47"/>
  <c r="AM205" i="47"/>
  <c r="AF38" i="47"/>
  <c r="AF97" i="44" s="1"/>
  <c r="AF43" i="47"/>
  <c r="AF340" i="47"/>
  <c r="AF346" i="47" s="1"/>
  <c r="AU38" i="47"/>
  <c r="AU43" i="47"/>
  <c r="AU59" i="9"/>
  <c r="AQ177" i="47"/>
  <c r="AS177" i="47"/>
  <c r="AW177" i="47"/>
  <c r="AF389" i="47"/>
  <c r="AF396" i="47" s="1"/>
  <c r="AS389" i="47"/>
  <c r="AM211" i="47"/>
  <c r="AP33" i="47"/>
  <c r="AP36" i="47" s="1"/>
  <c r="AP303" i="47"/>
  <c r="AK33" i="47"/>
  <c r="AK36" i="47" s="1"/>
  <c r="AK303" i="47"/>
  <c r="AS38" i="47"/>
  <c r="AS97" i="44" s="1"/>
  <c r="AS59" i="9"/>
  <c r="AS43" i="47"/>
  <c r="AX265" i="47"/>
  <c r="AV265" i="47"/>
  <c r="AM206" i="47"/>
  <c r="AJ214" i="47"/>
  <c r="AM214" i="47" s="1"/>
  <c r="AQ389" i="47"/>
  <c r="AQ396" i="47" s="1"/>
  <c r="BL205" i="47"/>
  <c r="AH36" i="47"/>
  <c r="AO38" i="47"/>
  <c r="AO97" i="44" s="1"/>
  <c r="AO340" i="47"/>
  <c r="AO346" i="47" s="1"/>
  <c r="AO43" i="47"/>
  <c r="AD38" i="47"/>
  <c r="AD97" i="44" s="1"/>
  <c r="AD340" i="47"/>
  <c r="AD346" i="47" s="1"/>
  <c r="AD43" i="47"/>
  <c r="AI53" i="45"/>
  <c r="AT38" i="8"/>
  <c r="AT95" i="44" s="1"/>
  <c r="AT43" i="8"/>
  <c r="AM36" i="8"/>
  <c r="AL33" i="8"/>
  <c r="AL36" i="8" s="1"/>
  <c r="AI155" i="8"/>
  <c r="AI161" i="8" s="1"/>
  <c r="AI43" i="8"/>
  <c r="AI38" i="8"/>
  <c r="AI95" i="44" s="1"/>
  <c r="BC57" i="8"/>
  <c r="BC113" i="8" s="1"/>
  <c r="BC112" i="8" s="1"/>
  <c r="BD113" i="8"/>
  <c r="BD112" i="8" s="1"/>
  <c r="AD36" i="8"/>
  <c r="AR33" i="8"/>
  <c r="AR59" i="8"/>
  <c r="AR60" i="8"/>
  <c r="AN209" i="8"/>
  <c r="AE203" i="8"/>
  <c r="AE210" i="8" s="1"/>
  <c r="AB203" i="8"/>
  <c r="AB210" i="8" s="1"/>
  <c r="AD203" i="8"/>
  <c r="AD210" i="8" s="1"/>
  <c r="AF203" i="8"/>
  <c r="AF210" i="8" s="1"/>
  <c r="AC188" i="8"/>
  <c r="AC208" i="8"/>
  <c r="AC194" i="8"/>
  <c r="AC232" i="8" s="1"/>
  <c r="AC191" i="8"/>
  <c r="AN203" i="8"/>
  <c r="AN210" i="8" s="1"/>
  <c r="BM57" i="8"/>
  <c r="BM113" i="8" s="1"/>
  <c r="BN113" i="8"/>
  <c r="Z223" i="8"/>
  <c r="AA223" i="8" s="1"/>
  <c r="AF155" i="8"/>
  <c r="AF161" i="8" s="1"/>
  <c r="AF38" i="8"/>
  <c r="AF43" i="8"/>
  <c r="AM188" i="8"/>
  <c r="AM208" i="8"/>
  <c r="AM191" i="8"/>
  <c r="AM194" i="8"/>
  <c r="AM232" i="8" s="1"/>
  <c r="X43" i="8"/>
  <c r="X155" i="8"/>
  <c r="X161" i="8" s="1"/>
  <c r="X38" i="8"/>
  <c r="X95" i="44" s="1"/>
  <c r="AC197" i="8"/>
  <c r="BC102" i="8"/>
  <c r="AX101" i="8"/>
  <c r="AX9" i="8" s="1"/>
  <c r="AO155" i="8"/>
  <c r="AO161" i="8" s="1"/>
  <c r="AO38" i="8"/>
  <c r="AO95" i="44" s="1"/>
  <c r="AO43" i="8"/>
  <c r="AN191" i="8"/>
  <c r="AN197" i="8"/>
  <c r="AN208" i="8"/>
  <c r="AN194" i="8"/>
  <c r="AN232" i="8" s="1"/>
  <c r="AU232" i="8"/>
  <c r="AN155" i="8"/>
  <c r="AN161" i="8" s="1"/>
  <c r="AN38" i="8"/>
  <c r="AN95" i="44" s="1"/>
  <c r="AN43" i="8"/>
  <c r="AL60" i="8"/>
  <c r="AL59" i="8"/>
  <c r="AP41" i="5"/>
  <c r="AP94" i="44" s="1"/>
  <c r="AP174" i="5"/>
  <c r="AP180" i="5" s="1"/>
  <c r="AP46" i="5"/>
  <c r="AM79" i="5"/>
  <c r="AN254" i="5"/>
  <c r="AC228" i="5"/>
  <c r="AI46" i="5"/>
  <c r="AI41" i="5"/>
  <c r="AI94" i="44" s="1"/>
  <c r="AI174" i="5"/>
  <c r="BC130" i="5"/>
  <c r="BC14" i="5" s="1"/>
  <c r="AX14" i="5"/>
  <c r="AJ174" i="5"/>
  <c r="AJ180" i="5" s="1"/>
  <c r="AJ46" i="5"/>
  <c r="AJ41" i="5"/>
  <c r="AJ94" i="44" s="1"/>
  <c r="AE39" i="5"/>
  <c r="AG34" i="5"/>
  <c r="AG39" i="5" s="1"/>
  <c r="X210" i="5"/>
  <c r="X227" i="5"/>
  <c r="X213" i="5"/>
  <c r="X251" i="5" s="1"/>
  <c r="X216" i="5"/>
  <c r="AK41" i="5"/>
  <c r="AK94" i="44" s="1"/>
  <c r="AK46" i="5"/>
  <c r="AK174" i="5"/>
  <c r="AK180" i="5" s="1"/>
  <c r="AB120" i="5"/>
  <c r="AB114" i="5"/>
  <c r="AF41" i="5"/>
  <c r="AF174" i="5"/>
  <c r="AF180" i="5" s="1"/>
  <c r="AF46" i="5"/>
  <c r="AC46" i="5"/>
  <c r="AC41" i="5"/>
  <c r="AC94" i="44" s="1"/>
  <c r="AE243" i="5"/>
  <c r="AF238" i="5" s="1"/>
  <c r="AF242" i="5"/>
  <c r="AG242" i="5" s="1"/>
  <c r="AM41" i="5"/>
  <c r="AM94" i="44" s="1"/>
  <c r="AM46" i="5"/>
  <c r="AB34" i="5"/>
  <c r="AB39" i="5" s="1"/>
  <c r="Z39" i="5"/>
  <c r="X174" i="5"/>
  <c r="X180" i="5" s="1"/>
  <c r="X46" i="5"/>
  <c r="X41" i="5"/>
  <c r="X94" i="44" s="1"/>
  <c r="AQ222" i="5"/>
  <c r="AQ229" i="5" s="1"/>
  <c r="AA174" i="5"/>
  <c r="AA180" i="5" s="1"/>
  <c r="AA46" i="5"/>
  <c r="AA41" i="5"/>
  <c r="AL34" i="5"/>
  <c r="AL39" i="5" s="1"/>
  <c r="X228" i="5"/>
  <c r="AR34" i="5"/>
  <c r="AR77" i="5"/>
  <c r="AR76" i="5"/>
  <c r="T217" i="4"/>
  <c r="T220" i="4"/>
  <c r="T223" i="4"/>
  <c r="T237" i="4"/>
  <c r="X217" i="4"/>
  <c r="X220" i="4"/>
  <c r="X223" i="4"/>
  <c r="X237" i="4"/>
  <c r="CP23" i="3" s="1"/>
  <c r="L118" i="4"/>
  <c r="L39" i="4"/>
  <c r="L46" i="4" s="1"/>
  <c r="L119" i="4"/>
  <c r="AE39" i="4"/>
  <c r="AE46" i="4" s="1"/>
  <c r="AE118" i="4"/>
  <c r="AE119" i="4"/>
  <c r="AM39" i="4"/>
  <c r="AM46" i="4" s="1"/>
  <c r="AM118" i="4"/>
  <c r="AM119" i="4"/>
  <c r="AM48" i="3" s="1"/>
  <c r="U39" i="4"/>
  <c r="U46" i="4" s="1"/>
  <c r="U119" i="4"/>
  <c r="U118" i="4"/>
  <c r="AQ225" i="4"/>
  <c r="AH217" i="4"/>
  <c r="AH237" i="4"/>
  <c r="CZ23" i="3" s="1"/>
  <c r="AH238" i="4"/>
  <c r="CZ24" i="3" s="1"/>
  <c r="AH220" i="4"/>
  <c r="AQ35" i="4"/>
  <c r="AQ31" i="4"/>
  <c r="AS231" i="4"/>
  <c r="AS244" i="4" s="1"/>
  <c r="AQ231" i="4"/>
  <c r="AQ244" i="4" s="1"/>
  <c r="AR39" i="4"/>
  <c r="AR46" i="4" s="1"/>
  <c r="AR118" i="4"/>
  <c r="AR119" i="4"/>
  <c r="AR48" i="3" s="1"/>
  <c r="AT31" i="4"/>
  <c r="AT35" i="4"/>
  <c r="AU231" i="4"/>
  <c r="AU244" i="4" s="1"/>
  <c r="AT231" i="4"/>
  <c r="AT244" i="4" s="1"/>
  <c r="H217" i="4"/>
  <c r="H220" i="4"/>
  <c r="H237" i="4"/>
  <c r="H238" i="4"/>
  <c r="I48" i="4"/>
  <c r="I54" i="4"/>
  <c r="I247" i="4"/>
  <c r="E48" i="4"/>
  <c r="E55" i="4" s="1"/>
  <c r="E68" i="4" s="1"/>
  <c r="E54" i="4"/>
  <c r="E247" i="4"/>
  <c r="G35" i="4"/>
  <c r="G31" i="4"/>
  <c r="J217" i="4"/>
  <c r="J237" i="4"/>
  <c r="J238" i="4"/>
  <c r="J220" i="4"/>
  <c r="AO247" i="4"/>
  <c r="AO48" i="4"/>
  <c r="AO54" i="4"/>
  <c r="AQ208" i="4"/>
  <c r="AD118" i="4"/>
  <c r="AD39" i="4"/>
  <c r="AD46" i="4" s="1"/>
  <c r="AD119" i="4"/>
  <c r="X54" i="4"/>
  <c r="X48" i="4"/>
  <c r="X247" i="4"/>
  <c r="Y39" i="4"/>
  <c r="Y46" i="4" s="1"/>
  <c r="Y118" i="4"/>
  <c r="Y119" i="4"/>
  <c r="W225" i="4"/>
  <c r="F39" i="4"/>
  <c r="F46" i="4" s="1"/>
  <c r="F118" i="4"/>
  <c r="F119" i="4"/>
  <c r="P54" i="4"/>
  <c r="P48" i="4"/>
  <c r="P55" i="4" s="1"/>
  <c r="P68" i="4" s="1"/>
  <c r="P247" i="4"/>
  <c r="W24" i="4"/>
  <c r="W30" i="4"/>
  <c r="AJ48" i="4"/>
  <c r="AJ55" i="4" s="1"/>
  <c r="AJ54" i="4"/>
  <c r="AJ247" i="4"/>
  <c r="K39" i="4"/>
  <c r="K46" i="4" s="1"/>
  <c r="K118" i="4"/>
  <c r="K119" i="4"/>
  <c r="N54" i="4"/>
  <c r="N247" i="4"/>
  <c r="N48" i="4"/>
  <c r="AH45" i="3"/>
  <c r="AC52" i="3"/>
  <c r="AD89" i="66"/>
  <c r="AE89" i="66"/>
  <c r="AG89" i="66"/>
  <c r="AF89" i="66"/>
  <c r="AK61" i="66"/>
  <c r="AL65" i="66" s="1"/>
  <c r="AI50" i="66"/>
  <c r="AI15" i="66"/>
  <c r="AI17" i="66" s="1"/>
  <c r="AL63" i="66"/>
  <c r="AM63" i="66" s="1"/>
  <c r="AM68" i="66"/>
  <c r="AJ50" i="66"/>
  <c r="AJ15" i="66"/>
  <c r="AJ17" i="66" s="1"/>
  <c r="BM103" i="56"/>
  <c r="AM102" i="56"/>
  <c r="AY102" i="56"/>
  <c r="BM67" i="47" s="1"/>
  <c r="AN102" i="56"/>
  <c r="AY67" i="47" s="1"/>
  <c r="AY62" i="47" s="1"/>
  <c r="AZ102" i="56"/>
  <c r="BN67" i="47" s="1"/>
  <c r="BN62" i="47" s="1"/>
  <c r="BN206" i="47" s="1"/>
  <c r="AO102" i="56"/>
  <c r="AZ67" i="47" s="1"/>
  <c r="AZ62" i="47" s="1"/>
  <c r="BA102" i="56"/>
  <c r="BO67" i="47" s="1"/>
  <c r="BO62" i="47" s="1"/>
  <c r="BO206" i="47" s="1"/>
  <c r="BO214" i="47" s="1"/>
  <c r="AP102" i="56"/>
  <c r="BA67" i="47" s="1"/>
  <c r="BA62" i="47" s="1"/>
  <c r="BB102" i="56"/>
  <c r="BP67" i="47" s="1"/>
  <c r="BP62" i="47" s="1"/>
  <c r="BP206" i="47" s="1"/>
  <c r="BP214" i="47" s="1"/>
  <c r="AM100" i="56"/>
  <c r="AY100" i="56"/>
  <c r="AN100" i="56"/>
  <c r="AZ100" i="56"/>
  <c r="AO100" i="56"/>
  <c r="BA100" i="56"/>
  <c r="AP100" i="56"/>
  <c r="BB100" i="56"/>
  <c r="BW38" i="56"/>
  <c r="CC38" i="56"/>
  <c r="BX52" i="56"/>
  <c r="BW36" i="56"/>
  <c r="CC36" i="56"/>
  <c r="BX50" i="56"/>
  <c r="AM101" i="56"/>
  <c r="AY101" i="56"/>
  <c r="AN101" i="56"/>
  <c r="AZ101" i="56"/>
  <c r="AO101" i="56"/>
  <c r="BA101" i="56"/>
  <c r="AP101" i="56"/>
  <c r="BB101" i="56"/>
  <c r="BP103" i="56"/>
  <c r="AY85" i="56"/>
  <c r="AZ85" i="56"/>
  <c r="AZ23" i="56" s="1"/>
  <c r="BA85" i="56"/>
  <c r="BA23" i="56" s="1"/>
  <c r="BB85" i="56"/>
  <c r="BB23" i="56" s="1"/>
  <c r="BX70" i="56"/>
  <c r="CC37" i="56"/>
  <c r="BW37" i="56"/>
  <c r="BX51" i="56"/>
  <c r="AY86" i="56"/>
  <c r="AZ86" i="56"/>
  <c r="AZ24" i="56" s="1"/>
  <c r="BA86" i="56"/>
  <c r="BA24" i="56" s="1"/>
  <c r="BB86" i="56"/>
  <c r="BB24" i="56" s="1"/>
  <c r="BX71" i="56"/>
  <c r="AS10" i="10"/>
  <c r="AN313" i="10"/>
  <c r="AN11" i="10"/>
  <c r="AO10" i="10"/>
  <c r="AO215" i="10"/>
  <c r="AR10" i="10"/>
  <c r="AN10" i="10"/>
  <c r="AN215" i="10"/>
  <c r="AL10" i="10"/>
  <c r="AL215" i="10"/>
  <c r="N10" i="10"/>
  <c r="AG10" i="10"/>
  <c r="Z11" i="10"/>
  <c r="DJ79" i="10"/>
  <c r="CV194" i="10"/>
  <c r="X215" i="10"/>
  <c r="AB291" i="10"/>
  <c r="Z10" i="10"/>
  <c r="Z215" i="10"/>
  <c r="BN10" i="10"/>
  <c r="AI10" i="10"/>
  <c r="AI215" i="10"/>
  <c r="BQ66" i="10"/>
  <c r="AV68" i="10"/>
  <c r="AL68" i="10"/>
  <c r="DI278" i="10"/>
  <c r="BI10" i="10"/>
  <c r="AY10" i="10"/>
  <c r="BK10" i="10"/>
  <c r="BM107" i="4" s="1"/>
  <c r="BM146" i="4" s="1"/>
  <c r="P10" i="10"/>
  <c r="P215" i="10"/>
  <c r="BM313" i="10"/>
  <c r="AH10" i="10"/>
  <c r="AH215" i="10"/>
  <c r="AE10" i="10"/>
  <c r="AJ10" i="10"/>
  <c r="T11" i="10"/>
  <c r="BQ278" i="10"/>
  <c r="X10" i="10"/>
  <c r="DN289" i="10"/>
  <c r="BK148" i="8" s="1"/>
  <c r="DL289" i="10"/>
  <c r="BI148" i="8" s="1"/>
  <c r="BQ289" i="10"/>
  <c r="S11" i="10"/>
  <c r="AD10" i="10"/>
  <c r="AD215" i="10"/>
  <c r="BD10" i="10"/>
  <c r="BF107" i="4" s="1"/>
  <c r="BF146" i="4" s="1"/>
  <c r="BF10" i="10"/>
  <c r="AC68" i="10"/>
  <c r="DH54" i="10"/>
  <c r="BV311" i="10"/>
  <c r="CR213" i="10"/>
  <c r="CT213" i="10"/>
  <c r="BA10" i="10"/>
  <c r="BG10" i="10"/>
  <c r="BI107" i="4" s="1"/>
  <c r="BI146" i="4" s="1"/>
  <c r="BV19" i="10"/>
  <c r="BQ54" i="10"/>
  <c r="M313" i="10"/>
  <c r="U10" i="10"/>
  <c r="U215" i="10"/>
  <c r="BV106" i="10"/>
  <c r="BQ194" i="10"/>
  <c r="BQ328" i="10"/>
  <c r="BQ330" i="10" s="1"/>
  <c r="M291" i="10"/>
  <c r="P11" i="10"/>
  <c r="AT10" i="10"/>
  <c r="AV10" i="10"/>
  <c r="AX107" i="4" s="1"/>
  <c r="AX146" i="4" s="1"/>
  <c r="W10" i="10"/>
  <c r="W215" i="10"/>
  <c r="AQ10" i="10"/>
  <c r="AX68" i="10"/>
  <c r="DF54" i="10"/>
  <c r="DF68" i="10" s="1"/>
  <c r="BV197" i="10"/>
  <c r="BQ213" i="10"/>
  <c r="AD291" i="10"/>
  <c r="AU10" i="10"/>
  <c r="S10" i="10"/>
  <c r="S215" i="10"/>
  <c r="AO313" i="10"/>
  <c r="AG215" i="10"/>
  <c r="BL10" i="10"/>
  <c r="Y11" i="10"/>
  <c r="AW10" i="10"/>
  <c r="AY107" i="4" s="1"/>
  <c r="AY146" i="4" s="1"/>
  <c r="BH10" i="10"/>
  <c r="BJ107" i="4" s="1"/>
  <c r="BJ146" i="4" s="1"/>
  <c r="AM10" i="10"/>
  <c r="AM215" i="10"/>
  <c r="BB68" i="10"/>
  <c r="DK289" i="10"/>
  <c r="DM289" i="10"/>
  <c r="BD291" i="10"/>
  <c r="AO11" i="10"/>
  <c r="T10" i="10"/>
  <c r="DI54" i="10"/>
  <c r="DG54" i="10"/>
  <c r="BN323" i="47"/>
  <c r="AY14" i="47"/>
  <c r="AY14" i="4" s="1"/>
  <c r="BD298" i="47"/>
  <c r="BC253" i="47"/>
  <c r="BG253" i="47"/>
  <c r="AC108" i="47"/>
  <c r="AC185" i="47"/>
  <c r="AP176" i="47"/>
  <c r="AO176" i="47" s="1"/>
  <c r="AN176" i="47" s="1"/>
  <c r="AQ190" i="47"/>
  <c r="AP190" i="47" s="1"/>
  <c r="AO190" i="47" s="1"/>
  <c r="AN190" i="47" s="1"/>
  <c r="AR190" i="47" s="1"/>
  <c r="AK163" i="47"/>
  <c r="AL163" i="47"/>
  <c r="AI163" i="47"/>
  <c r="AR163" i="47"/>
  <c r="AQ163" i="47" s="1"/>
  <c r="AS163" i="47" s="1"/>
  <c r="AJ163" i="47"/>
  <c r="BJ214" i="47"/>
  <c r="BJ211" i="47"/>
  <c r="BK320" i="47"/>
  <c r="BK323" i="47" s="1"/>
  <c r="BE292" i="47"/>
  <c r="AS293" i="47"/>
  <c r="AU253" i="47"/>
  <c r="AV253" i="47" s="1"/>
  <c r="AV257" i="47" s="1"/>
  <c r="AV259" i="47" s="1"/>
  <c r="AV261" i="47" s="1"/>
  <c r="AT237" i="47"/>
  <c r="AT293" i="47" s="1"/>
  <c r="AT257" i="47"/>
  <c r="AT259" i="47" s="1"/>
  <c r="X125" i="47"/>
  <c r="X126" i="47" s="1"/>
  <c r="X106" i="47"/>
  <c r="X132" i="47"/>
  <c r="X131" i="47" s="1"/>
  <c r="X160" i="47"/>
  <c r="AM141" i="47"/>
  <c r="AI115" i="47"/>
  <c r="AT214" i="47"/>
  <c r="BL19" i="47"/>
  <c r="BL20" i="47" s="1"/>
  <c r="BI20" i="47"/>
  <c r="BN19" i="47"/>
  <c r="BX260" i="47"/>
  <c r="BY254" i="47"/>
  <c r="BX268" i="47"/>
  <c r="BX273" i="47" s="1"/>
  <c r="AI217" i="47"/>
  <c r="AI218" i="47"/>
  <c r="AC139" i="47"/>
  <c r="AD138" i="47"/>
  <c r="AE138" i="47" s="1"/>
  <c r="AM151" i="47"/>
  <c r="BD211" i="47"/>
  <c r="BG96" i="47"/>
  <c r="AW298" i="47"/>
  <c r="AO259" i="47"/>
  <c r="AA188" i="47"/>
  <c r="AB192" i="47"/>
  <c r="BB176" i="47"/>
  <c r="AV176" i="47"/>
  <c r="AU176" i="47" s="1"/>
  <c r="AT176" i="47" s="1"/>
  <c r="AW190" i="47"/>
  <c r="AV190" i="47" s="1"/>
  <c r="AU190" i="47" s="1"/>
  <c r="AT190" i="47" s="1"/>
  <c r="AS190" i="47" s="1"/>
  <c r="AO141" i="47"/>
  <c r="AP142" i="47"/>
  <c r="BJ14" i="47"/>
  <c r="BO298" i="47"/>
  <c r="BO14" i="47" s="1"/>
  <c r="BC101" i="47"/>
  <c r="AN389" i="47"/>
  <c r="AN396" i="47" s="1"/>
  <c r="AO389" i="47"/>
  <c r="AO396" i="47" s="1"/>
  <c r="AL389" i="47"/>
  <c r="AL396" i="47" s="1"/>
  <c r="AP389" i="47"/>
  <c r="AP396" i="47" s="1"/>
  <c r="BA264" i="47"/>
  <c r="AZ264" i="47" s="1"/>
  <c r="AY264" i="47" s="1"/>
  <c r="AX264" i="47" s="1"/>
  <c r="BG264" i="47"/>
  <c r="AA175" i="47"/>
  <c r="AB178" i="47"/>
  <c r="BF323" i="47"/>
  <c r="BW268" i="47"/>
  <c r="BW273" i="47" s="1"/>
  <c r="BW260" i="47"/>
  <c r="BA243" i="47"/>
  <c r="AZ243" i="47" s="1"/>
  <c r="AY243" i="47" s="1"/>
  <c r="AX243" i="47" s="1"/>
  <c r="BB278" i="47"/>
  <c r="BY244" i="47" s="1"/>
  <c r="BY246" i="47" s="1"/>
  <c r="AI220" i="47"/>
  <c r="AG188" i="47"/>
  <c r="AG115" i="47"/>
  <c r="AH114" i="47"/>
  <c r="AR165" i="47"/>
  <c r="AW165" i="47" s="1"/>
  <c r="BC211" i="47"/>
  <c r="BG205" i="47"/>
  <c r="CB266" i="47"/>
  <c r="CA269" i="47"/>
  <c r="AY253" i="47"/>
  <c r="AX257" i="47"/>
  <c r="AP237" i="47"/>
  <c r="AQ253" i="47"/>
  <c r="AP257" i="47"/>
  <c r="AP259" i="47" s="1"/>
  <c r="BK175" i="47"/>
  <c r="BJ175" i="47" s="1"/>
  <c r="BQ175" i="47"/>
  <c r="BM175" i="47"/>
  <c r="BN175" i="47" s="1"/>
  <c r="BL189" i="47"/>
  <c r="BK189" i="47" s="1"/>
  <c r="BJ189" i="47" s="1"/>
  <c r="BI189" i="47" s="1"/>
  <c r="BH189" i="47" s="1"/>
  <c r="AP214" i="47"/>
  <c r="AR214" i="47" s="1"/>
  <c r="AP211" i="47"/>
  <c r="AR211" i="47" s="1"/>
  <c r="AR207" i="47"/>
  <c r="BK292" i="47"/>
  <c r="BQ292" i="47"/>
  <c r="AS259" i="47"/>
  <c r="BK99" i="47"/>
  <c r="BP92" i="47"/>
  <c r="BK100" i="47"/>
  <c r="BM80" i="47"/>
  <c r="BM79" i="47"/>
  <c r="BM81" i="47"/>
  <c r="BM207" i="47" s="1"/>
  <c r="BN214" i="47"/>
  <c r="BI34" i="47"/>
  <c r="BI43" i="4" s="1"/>
  <c r="BI151" i="4" s="1"/>
  <c r="BG34" i="47"/>
  <c r="BB265" i="47"/>
  <c r="AJ212" i="47"/>
  <c r="AJ229" i="47"/>
  <c r="AJ231" i="47" s="1"/>
  <c r="AJ215" i="47"/>
  <c r="AK209" i="47"/>
  <c r="AR174" i="47"/>
  <c r="AM178" i="47"/>
  <c r="AL174" i="47"/>
  <c r="AQ120" i="47"/>
  <c r="AQ121" i="47" s="1"/>
  <c r="AN120" i="47"/>
  <c r="AN121" i="47" s="1"/>
  <c r="AP120" i="47"/>
  <c r="AP121" i="47" s="1"/>
  <c r="AR121" i="47"/>
  <c r="AW120" i="47"/>
  <c r="AO120" i="47"/>
  <c r="AO121" i="47" s="1"/>
  <c r="BO322" i="47"/>
  <c r="BO323" i="47" s="1"/>
  <c r="AY292" i="47"/>
  <c r="BX244" i="47"/>
  <c r="BX246" i="47" s="1"/>
  <c r="AW277" i="47"/>
  <c r="BX243" i="47"/>
  <c r="BB205" i="47"/>
  <c r="AY211" i="47"/>
  <c r="BB211" i="47" s="1"/>
  <c r="BF276" i="47"/>
  <c r="BE276" i="47" s="1"/>
  <c r="BD276" i="47" s="1"/>
  <c r="BC276" i="47" s="1"/>
  <c r="BL276" i="47"/>
  <c r="AY318" i="47"/>
  <c r="BM92" i="47"/>
  <c r="BH99" i="47"/>
  <c r="BH100" i="47"/>
  <c r="AU211" i="47"/>
  <c r="AS285" i="47"/>
  <c r="AI318" i="47"/>
  <c r="AM316" i="47"/>
  <c r="AI175" i="47"/>
  <c r="AG175" i="47"/>
  <c r="AF175" i="47" s="1"/>
  <c r="AE175" i="47" s="1"/>
  <c r="AD175" i="47" s="1"/>
  <c r="AH189" i="47"/>
  <c r="AG189" i="47" s="1"/>
  <c r="AF189" i="47" s="1"/>
  <c r="AE189" i="47" s="1"/>
  <c r="AD189" i="47" s="1"/>
  <c r="AK111" i="47"/>
  <c r="AJ114" i="47"/>
  <c r="AJ115" i="47" s="1"/>
  <c r="AJ124" i="47" s="1"/>
  <c r="AZ375" i="47"/>
  <c r="AT271" i="47"/>
  <c r="AT273" i="47" s="1"/>
  <c r="AZ320" i="47"/>
  <c r="AZ323" i="47" s="1"/>
  <c r="AR271" i="47"/>
  <c r="AR273" i="47" s="1"/>
  <c r="AN273" i="47"/>
  <c r="BL242" i="47"/>
  <c r="BG243" i="47"/>
  <c r="BF242" i="47"/>
  <c r="BE242" i="47" s="1"/>
  <c r="BD242" i="47" s="1"/>
  <c r="BC242" i="47" s="1"/>
  <c r="BG266" i="47"/>
  <c r="W218" i="47"/>
  <c r="W221" i="47" s="1"/>
  <c r="W222" i="47" s="1"/>
  <c r="W217" i="47"/>
  <c r="AF174" i="47"/>
  <c r="AC142" i="47"/>
  <c r="AD142" i="47" s="1"/>
  <c r="AB141" i="47"/>
  <c r="AC141" i="47" s="1"/>
  <c r="BI92" i="47"/>
  <c r="BD100" i="47"/>
  <c r="BG100" i="47" s="1"/>
  <c r="BD99" i="47"/>
  <c r="AC115" i="47"/>
  <c r="AC124" i="47" s="1"/>
  <c r="Y124" i="47"/>
  <c r="BI80" i="47"/>
  <c r="BI79" i="47"/>
  <c r="BI81" i="47"/>
  <c r="BI207" i="47" s="1"/>
  <c r="BH78" i="47"/>
  <c r="AT211" i="47"/>
  <c r="BG63" i="47"/>
  <c r="AX14" i="47"/>
  <c r="AX14" i="4" s="1"/>
  <c r="BC298" i="47"/>
  <c r="BB298" i="47"/>
  <c r="AE61" i="45"/>
  <c r="AD71" i="45"/>
  <c r="AD68" i="45"/>
  <c r="BD19" i="45"/>
  <c r="AR78" i="45"/>
  <c r="AQ79" i="45" s="1"/>
  <c r="AU53" i="45"/>
  <c r="AU96" i="4" s="1"/>
  <c r="AQ19" i="45"/>
  <c r="BA58" i="45"/>
  <c r="AP22" i="45"/>
  <c r="AP26" i="45"/>
  <c r="BK12" i="45"/>
  <c r="BG12" i="45"/>
  <c r="AQ47" i="45"/>
  <c r="AQ53" i="45" s="1"/>
  <c r="AQ96" i="4" s="1"/>
  <c r="AO47" i="45"/>
  <c r="AO53" i="45" s="1"/>
  <c r="AO96" i="4" s="1"/>
  <c r="AO98" i="4" s="1"/>
  <c r="AP47" i="45"/>
  <c r="AP53" i="45" s="1"/>
  <c r="AP96" i="4" s="1"/>
  <c r="AP98" i="4" s="1"/>
  <c r="AN47" i="45"/>
  <c r="AR56" i="45"/>
  <c r="BO47" i="45"/>
  <c r="BM47" i="45"/>
  <c r="BN47" i="45"/>
  <c r="BP47" i="45"/>
  <c r="AL53" i="45"/>
  <c r="AL96" i="4" s="1"/>
  <c r="AL98" i="4" s="1"/>
  <c r="AK53" i="45"/>
  <c r="AK96" i="4" s="1"/>
  <c r="AK98" i="4" s="1"/>
  <c r="AV53" i="45"/>
  <c r="AV96" i="4" s="1"/>
  <c r="AV98" i="4" s="1"/>
  <c r="BK47" i="45"/>
  <c r="BI47" i="45"/>
  <c r="BJ47" i="45"/>
  <c r="BH47" i="45"/>
  <c r="AT53" i="45"/>
  <c r="AT96" i="4" s="1"/>
  <c r="AT98" i="4" s="1"/>
  <c r="AJ53" i="45"/>
  <c r="AS53" i="45"/>
  <c r="AS96" i="4" s="1"/>
  <c r="AS98" i="4" s="1"/>
  <c r="BA89" i="8"/>
  <c r="AG59" i="8"/>
  <c r="AG60" i="8"/>
  <c r="AB223" i="8"/>
  <c r="Z62" i="8"/>
  <c r="AA235" i="8"/>
  <c r="AB191" i="8"/>
  <c r="AB194" i="8"/>
  <c r="AB232" i="8" s="1"/>
  <c r="AB208" i="8"/>
  <c r="AX8" i="8"/>
  <c r="AQ191" i="8"/>
  <c r="AQ208" i="8"/>
  <c r="AQ209" i="8"/>
  <c r="AQ188" i="8"/>
  <c r="AB94" i="8"/>
  <c r="AB96" i="8"/>
  <c r="AB102" i="8"/>
  <c r="BN90" i="8"/>
  <c r="BQ90" i="8" s="1"/>
  <c r="BL90" i="8"/>
  <c r="AE62" i="8"/>
  <c r="AF235" i="8"/>
  <c r="BP163" i="8"/>
  <c r="BP165" i="8" s="1"/>
  <c r="BP220" i="8"/>
  <c r="BQ220" i="8" s="1"/>
  <c r="AI203" i="8"/>
  <c r="AI210" i="8" s="1"/>
  <c r="AJ203" i="8"/>
  <c r="AJ210" i="8" s="1"/>
  <c r="AG203" i="8"/>
  <c r="AG210" i="8" s="1"/>
  <c r="AK203" i="8"/>
  <c r="AK210" i="8" s="1"/>
  <c r="AI223" i="8"/>
  <c r="AI224" i="8" s="1"/>
  <c r="AJ219" i="8" s="1"/>
  <c r="AB197" i="8"/>
  <c r="BE14" i="8"/>
  <c r="BE14" i="4" s="1"/>
  <c r="BJ112" i="8"/>
  <c r="BN20" i="8"/>
  <c r="BE102" i="8"/>
  <c r="AZ101" i="8"/>
  <c r="AY8" i="8"/>
  <c r="AY104" i="8"/>
  <c r="AY105" i="8" s="1"/>
  <c r="AA94" i="8"/>
  <c r="AA96" i="8"/>
  <c r="AA102" i="8"/>
  <c r="AD223" i="8"/>
  <c r="AD224" i="8" s="1"/>
  <c r="AE219" i="8" s="1"/>
  <c r="AZ163" i="8"/>
  <c r="AZ165" i="8" s="1"/>
  <c r="AZ220" i="8"/>
  <c r="AG196" i="8"/>
  <c r="AG188" i="8" s="1"/>
  <c r="AQ60" i="8"/>
  <c r="AQ59" i="8"/>
  <c r="AM62" i="8"/>
  <c r="AN235" i="8"/>
  <c r="AZ96" i="8"/>
  <c r="AZ82" i="8" s="1"/>
  <c r="AX59" i="8"/>
  <c r="AY190" i="8"/>
  <c r="AQ94" i="8"/>
  <c r="AQ96" i="8"/>
  <c r="AQ102" i="8"/>
  <c r="BA132" i="8"/>
  <c r="BA95" i="4" s="1"/>
  <c r="BE93" i="8"/>
  <c r="BJ89" i="8"/>
  <c r="BE91" i="8"/>
  <c r="AP45" i="8"/>
  <c r="AQ203" i="8"/>
  <c r="AQ210" i="8" s="1"/>
  <c r="Z224" i="8"/>
  <c r="AA219" i="8" s="1"/>
  <c r="AA224" i="8" s="1"/>
  <c r="AB209" i="8"/>
  <c r="Y236" i="8"/>
  <c r="Y63" i="8" s="1"/>
  <c r="AQ194" i="8"/>
  <c r="AQ232" i="8" s="1"/>
  <c r="AC227" i="5"/>
  <c r="AC210" i="5"/>
  <c r="AC213" i="5"/>
  <c r="AC251" i="5" s="1"/>
  <c r="AB215" i="5"/>
  <c r="AB207" i="5" s="1"/>
  <c r="AZ114" i="5"/>
  <c r="AZ99" i="5" s="1"/>
  <c r="AZ119" i="5"/>
  <c r="AZ9" i="5" s="1"/>
  <c r="AF79" i="5"/>
  <c r="AG254" i="5"/>
  <c r="BD140" i="5"/>
  <c r="BD153" i="5" s="1"/>
  <c r="BE145" i="5"/>
  <c r="AB76" i="5"/>
  <c r="AB77" i="5"/>
  <c r="AB242" i="5"/>
  <c r="Y255" i="5"/>
  <c r="Y80" i="5" s="1"/>
  <c r="BE12" i="5"/>
  <c r="BJ127" i="5"/>
  <c r="AB216" i="5"/>
  <c r="AB228" i="5"/>
  <c r="Z243" i="5"/>
  <c r="AA238" i="5" s="1"/>
  <c r="AA243" i="5" s="1"/>
  <c r="BJ14" i="5"/>
  <c r="BO130" i="5"/>
  <c r="BO14" i="5" s="1"/>
  <c r="BF120" i="5"/>
  <c r="AD222" i="5"/>
  <c r="AD229" i="5" s="1"/>
  <c r="AE222" i="5"/>
  <c r="AE229" i="5" s="1"/>
  <c r="AB222" i="5"/>
  <c r="AB229" i="5" s="1"/>
  <c r="AF222" i="5"/>
  <c r="AF229" i="5" s="1"/>
  <c r="BD14" i="5"/>
  <c r="BI130" i="5"/>
  <c r="AX76" i="5"/>
  <c r="BG250" i="5"/>
  <c r="BH250" i="5" s="1"/>
  <c r="AC216" i="5"/>
  <c r="BC12" i="5"/>
  <c r="BH127" i="5"/>
  <c r="BE108" i="5"/>
  <c r="BE112" i="5"/>
  <c r="BJ106" i="5"/>
  <c r="BD144" i="5"/>
  <c r="AH47" i="5"/>
  <c r="AH79" i="4" s="1"/>
  <c r="AH220" i="5"/>
  <c r="AH224" i="5"/>
  <c r="AL77" i="5"/>
  <c r="AL76" i="5"/>
  <c r="AY119" i="5"/>
  <c r="AY9" i="5" s="1"/>
  <c r="BD120" i="5"/>
  <c r="BK35" i="5"/>
  <c r="BK43" i="4" s="1"/>
  <c r="BK151" i="4" s="1"/>
  <c r="BG35" i="5"/>
  <c r="AA79" i="5"/>
  <c r="AB254" i="5"/>
  <c r="AB79" i="5" s="1"/>
  <c r="AY209" i="5"/>
  <c r="BI12" i="5"/>
  <c r="BN127" i="5"/>
  <c r="BN12" i="5" s="1"/>
  <c r="BO120" i="5"/>
  <c r="AL222" i="5"/>
  <c r="AL229" i="5" s="1"/>
  <c r="AP222" i="5"/>
  <c r="AP229" i="5" s="1"/>
  <c r="AN222" i="5"/>
  <c r="AN229" i="5" s="1"/>
  <c r="AO222" i="5"/>
  <c r="AO229" i="5" s="1"/>
  <c r="BB197" i="4"/>
  <c r="BA219" i="4"/>
  <c r="AN54" i="4"/>
  <c r="AN48" i="4"/>
  <c r="AN247" i="4"/>
  <c r="V48" i="4"/>
  <c r="V54" i="4"/>
  <c r="V247" i="4"/>
  <c r="F223" i="4"/>
  <c r="F220" i="4"/>
  <c r="F237" i="4"/>
  <c r="BP64" i="4"/>
  <c r="BM64" i="4"/>
  <c r="AI48" i="4"/>
  <c r="AI54" i="4"/>
  <c r="AI247" i="4"/>
  <c r="AL31" i="4"/>
  <c r="AL35" i="4"/>
  <c r="AN231" i="4"/>
  <c r="AN244" i="4" s="1"/>
  <c r="AO231" i="4"/>
  <c r="AO244" i="4" s="1"/>
  <c r="AL231" i="4"/>
  <c r="AL244" i="4" s="1"/>
  <c r="AP231" i="4"/>
  <c r="AP244" i="4" s="1"/>
  <c r="BH126" i="4"/>
  <c r="S55" i="4"/>
  <c r="S230" i="4"/>
  <c r="S234" i="4"/>
  <c r="AY150" i="4"/>
  <c r="AY126" i="4" s="1"/>
  <c r="AU48" i="4"/>
  <c r="AU54" i="4"/>
  <c r="AU247" i="4"/>
  <c r="BJ150" i="4"/>
  <c r="BJ126" i="4" s="1"/>
  <c r="AH48" i="4"/>
  <c r="AH54" i="4"/>
  <c r="AH247" i="4"/>
  <c r="AG31" i="4"/>
  <c r="AG35" i="4"/>
  <c r="AI231" i="4"/>
  <c r="AI244" i="4" s="1"/>
  <c r="AJ231" i="4"/>
  <c r="AJ244" i="4" s="1"/>
  <c r="AG231" i="4"/>
  <c r="AG244" i="4" s="1"/>
  <c r="AK231" i="4"/>
  <c r="AK244" i="4" s="1"/>
  <c r="R48" i="4"/>
  <c r="R55" i="4" s="1"/>
  <c r="R54" i="4"/>
  <c r="R247" i="4"/>
  <c r="J56" i="4"/>
  <c r="J68" i="4"/>
  <c r="O56" i="4"/>
  <c r="R225" i="4"/>
  <c r="R226" i="4" s="1"/>
  <c r="AZ150" i="4"/>
  <c r="AZ126" i="4" s="1"/>
  <c r="BE65" i="4"/>
  <c r="BG64" i="4"/>
  <c r="BG30" i="3" s="1"/>
  <c r="CN156" i="4"/>
  <c r="CP156" i="4"/>
  <c r="CM156" i="4"/>
  <c r="CM159" i="4" s="1"/>
  <c r="Z48" i="4"/>
  <c r="Z54" i="4"/>
  <c r="Z247" i="4"/>
  <c r="AM223" i="4"/>
  <c r="AM225" i="4"/>
  <c r="AM226" i="4" s="1"/>
  <c r="AX126" i="4"/>
  <c r="M35" i="4"/>
  <c r="M31" i="4"/>
  <c r="O231" i="4"/>
  <c r="O244" i="4" s="1"/>
  <c r="P231" i="4"/>
  <c r="P244" i="4" s="1"/>
  <c r="M231" i="4"/>
  <c r="M244" i="4" s="1"/>
  <c r="Q231" i="4"/>
  <c r="Q244" i="4" s="1"/>
  <c r="AI217" i="4"/>
  <c r="AI220" i="4"/>
  <c r="AI238" i="4"/>
  <c r="AI237" i="4"/>
  <c r="BB176" i="4"/>
  <c r="AY177" i="4"/>
  <c r="AX179" i="4"/>
  <c r="BH65" i="4"/>
  <c r="BI64" i="4"/>
  <c r="H35" i="4"/>
  <c r="H31" i="4"/>
  <c r="K231" i="4"/>
  <c r="K244" i="4" s="1"/>
  <c r="H231" i="4"/>
  <c r="H244" i="4" s="1"/>
  <c r="L231" i="4"/>
  <c r="L244" i="4" s="1"/>
  <c r="J231" i="4"/>
  <c r="J244" i="4" s="1"/>
  <c r="F159" i="4"/>
  <c r="G156" i="4" s="1"/>
  <c r="G159" i="4" s="1"/>
  <c r="H156" i="4" s="1"/>
  <c r="H159" i="4" s="1"/>
  <c r="J156" i="4"/>
  <c r="N156" i="4"/>
  <c r="N159" i="4" s="1"/>
  <c r="BD150" i="4"/>
  <c r="BD126" i="4" s="1"/>
  <c r="BM252" i="4"/>
  <c r="AB35" i="4"/>
  <c r="AB31" i="4"/>
  <c r="AE231" i="4"/>
  <c r="AE244" i="4" s="1"/>
  <c r="AB231" i="4"/>
  <c r="AB244" i="4" s="1"/>
  <c r="AF231" i="4"/>
  <c r="AF244" i="4" s="1"/>
  <c r="AD231" i="4"/>
  <c r="AD244" i="4" s="1"/>
  <c r="BA73" i="4"/>
  <c r="BC126" i="4"/>
  <c r="AI223" i="4"/>
  <c r="S225" i="4"/>
  <c r="S226" i="4" s="1"/>
  <c r="Q48" i="4"/>
  <c r="Q54" i="4"/>
  <c r="Q247" i="4"/>
  <c r="AC48" i="4"/>
  <c r="AC54" i="4"/>
  <c r="AC247" i="4"/>
  <c r="BK73" i="4"/>
  <c r="BE73" i="4"/>
  <c r="BE147" i="5" l="1"/>
  <c r="BF147" i="5" s="1"/>
  <c r="BF149" i="5" s="1"/>
  <c r="BD94" i="4"/>
  <c r="BD99" i="4" s="1"/>
  <c r="BD141" i="4" s="1"/>
  <c r="BD143" i="4" s="1"/>
  <c r="BD63" i="9" s="1"/>
  <c r="BD62" i="9" s="1"/>
  <c r="BD239" i="5"/>
  <c r="BD182" i="5"/>
  <c r="BD184" i="5" s="1"/>
  <c r="BD108" i="5"/>
  <c r="BD114" i="5" s="1"/>
  <c r="BD112" i="5"/>
  <c r="BE149" i="5"/>
  <c r="AP44" i="9"/>
  <c r="AF216" i="5"/>
  <c r="AP39" i="9"/>
  <c r="U222" i="47"/>
  <c r="AX104" i="8"/>
  <c r="AX105" i="8" s="1"/>
  <c r="AL62" i="9"/>
  <c r="AM91" i="44"/>
  <c r="AW56" i="45"/>
  <c r="BB56" i="45" s="1"/>
  <c r="BG56" i="45" s="1"/>
  <c r="BL56" i="45" s="1"/>
  <c r="BQ56" i="45" s="1"/>
  <c r="AE39" i="9"/>
  <c r="AE45" i="9" s="1"/>
  <c r="AE83" i="4" s="1"/>
  <c r="AG33" i="47"/>
  <c r="AG36" i="47" s="1"/>
  <c r="AE44" i="9"/>
  <c r="AW211" i="47"/>
  <c r="BD157" i="5"/>
  <c r="AX67" i="47"/>
  <c r="AV67" i="47"/>
  <c r="BJ334" i="47"/>
  <c r="AD396" i="47"/>
  <c r="DH68" i="10"/>
  <c r="DK278" i="10"/>
  <c r="BH149" i="8" s="1"/>
  <c r="CY194" i="10"/>
  <c r="CX194" i="10"/>
  <c r="DM278" i="10"/>
  <c r="BJ149" i="8" s="1"/>
  <c r="AP195" i="5"/>
  <c r="AP197" i="5" s="1"/>
  <c r="DF194" i="10"/>
  <c r="BC168" i="5" s="1"/>
  <c r="DS278" i="10"/>
  <c r="BP149" i="8" s="1"/>
  <c r="DR278" i="10"/>
  <c r="BO149" i="8" s="1"/>
  <c r="AP66" i="9"/>
  <c r="AP52" i="9" s="1"/>
  <c r="AB174" i="8"/>
  <c r="DF209" i="10"/>
  <c r="W12" i="10"/>
  <c r="DB194" i="10"/>
  <c r="AY168" i="5" s="1"/>
  <c r="DG209" i="10"/>
  <c r="BE334" i="47"/>
  <c r="DA194" i="10"/>
  <c r="AX168" i="5" s="1"/>
  <c r="DI68" i="10"/>
  <c r="BQ68" i="10"/>
  <c r="BF334" i="47"/>
  <c r="J159" i="4"/>
  <c r="K156" i="4" s="1"/>
  <c r="CP159" i="4"/>
  <c r="CQ156" i="4" s="1"/>
  <c r="CN159" i="4"/>
  <c r="CO156" i="4" s="1"/>
  <c r="CO159" i="4" s="1"/>
  <c r="AR83" i="4"/>
  <c r="AW46" i="9"/>
  <c r="AQ98" i="4"/>
  <c r="DQ278" i="10"/>
  <c r="BN149" i="8" s="1"/>
  <c r="DN194" i="10"/>
  <c r="BK168" i="5" s="1"/>
  <c r="DI194" i="10"/>
  <c r="DI10" i="10" s="1"/>
  <c r="DH194" i="10"/>
  <c r="BE168" i="5" s="1"/>
  <c r="DL278" i="10"/>
  <c r="BI149" i="8" s="1"/>
  <c r="DP278" i="10"/>
  <c r="BM149" i="8" s="1"/>
  <c r="DM194" i="10"/>
  <c r="BJ168" i="5" s="1"/>
  <c r="DQ194" i="10"/>
  <c r="BN168" i="5" s="1"/>
  <c r="DP194" i="10"/>
  <c r="BM168" i="5" s="1"/>
  <c r="AM12" i="10"/>
  <c r="AI66" i="9"/>
  <c r="AI52" i="9" s="1"/>
  <c r="DS194" i="10"/>
  <c r="BP168" i="5" s="1"/>
  <c r="AO176" i="8"/>
  <c r="AO178" i="8" s="1"/>
  <c r="AC12" i="10"/>
  <c r="U12" i="10"/>
  <c r="AH12" i="10"/>
  <c r="AF176" i="8"/>
  <c r="AF178" i="8" s="1"/>
  <c r="AI176" i="8"/>
  <c r="AI178" i="8" s="1"/>
  <c r="BD215" i="10"/>
  <c r="AE12" i="10"/>
  <c r="BK215" i="10"/>
  <c r="AL12" i="10"/>
  <c r="DM209" i="10"/>
  <c r="DH209" i="10"/>
  <c r="BA215" i="10"/>
  <c r="AC68" i="9"/>
  <c r="AC67" i="9" s="1"/>
  <c r="DO209" i="10"/>
  <c r="DT209" i="10" s="1"/>
  <c r="DK209" i="10"/>
  <c r="DL209" i="10"/>
  <c r="DI209" i="10"/>
  <c r="AB12" i="10"/>
  <c r="DG194" i="10"/>
  <c r="BD168" i="5" s="1"/>
  <c r="O12" i="10"/>
  <c r="CS215" i="10"/>
  <c r="R12" i="10"/>
  <c r="DD194" i="10"/>
  <c r="BA168" i="5" s="1"/>
  <c r="DK194" i="10"/>
  <c r="BH168" i="5" s="1"/>
  <c r="Y12" i="10"/>
  <c r="N12" i="10"/>
  <c r="Y195" i="5"/>
  <c r="Y197" i="5" s="1"/>
  <c r="AF68" i="9"/>
  <c r="AF67" i="9" s="1"/>
  <c r="M12" i="10"/>
  <c r="DC194" i="10"/>
  <c r="AZ168" i="5" s="1"/>
  <c r="DL194" i="10"/>
  <c r="BI168" i="5" s="1"/>
  <c r="DR194" i="10"/>
  <c r="BO168" i="5" s="1"/>
  <c r="DG68" i="10"/>
  <c r="DS291" i="10"/>
  <c r="BD11" i="10"/>
  <c r="BF106" i="4" s="1"/>
  <c r="BF145" i="4" s="1"/>
  <c r="AA195" i="5"/>
  <c r="AA197" i="5" s="1"/>
  <c r="AF195" i="5"/>
  <c r="AF197" i="5" s="1"/>
  <c r="AK195" i="5"/>
  <c r="AK197" i="5" s="1"/>
  <c r="AO193" i="5"/>
  <c r="AO195" i="5" s="1"/>
  <c r="AO197" i="5" s="1"/>
  <c r="T12" i="10"/>
  <c r="DN10" i="10"/>
  <c r="BK112" i="4" s="1"/>
  <c r="AJ12" i="10"/>
  <c r="AI12" i="10"/>
  <c r="AG12" i="10"/>
  <c r="AN176" i="8"/>
  <c r="AN178" i="8" s="1"/>
  <c r="CQ215" i="10"/>
  <c r="AA359" i="47"/>
  <c r="AA68" i="9" s="1"/>
  <c r="AA67" i="9" s="1"/>
  <c r="AG66" i="9"/>
  <c r="AG52" i="9" s="1"/>
  <c r="BA11" i="10"/>
  <c r="BC106" i="4" s="1"/>
  <c r="BC145" i="4" s="1"/>
  <c r="DN291" i="10"/>
  <c r="BQ11" i="10"/>
  <c r="AD12" i="10"/>
  <c r="AB185" i="47"/>
  <c r="AT36" i="47"/>
  <c r="AT340" i="47" s="1"/>
  <c r="AT346" i="47" s="1"/>
  <c r="AV33" i="47"/>
  <c r="AV36" i="47" s="1"/>
  <c r="AS95" i="44"/>
  <c r="AS44" i="8"/>
  <c r="AS80" i="4" s="1"/>
  <c r="AV43" i="8"/>
  <c r="AV38" i="8"/>
  <c r="AV44" i="8" s="1"/>
  <c r="AJ193" i="5"/>
  <c r="AJ195" i="5" s="1"/>
  <c r="AJ197" i="5" s="1"/>
  <c r="Z12" i="10"/>
  <c r="BD101" i="47"/>
  <c r="BK132" i="8"/>
  <c r="BK95" i="4" s="1"/>
  <c r="BD106" i="4"/>
  <c r="BD145" i="4" s="1"/>
  <c r="BB12" i="10"/>
  <c r="BK163" i="8"/>
  <c r="BK165" i="8" s="1"/>
  <c r="BK220" i="8"/>
  <c r="AY71" i="4"/>
  <c r="AY72" i="4" s="1"/>
  <c r="BC71" i="4"/>
  <c r="BC72" i="4" s="1"/>
  <c r="BG71" i="4"/>
  <c r="BK71" i="4"/>
  <c r="BO71" i="4"/>
  <c r="BA71" i="4"/>
  <c r="BE71" i="4"/>
  <c r="BI71" i="4"/>
  <c r="BI72" i="4" s="1"/>
  <c r="BM71" i="4"/>
  <c r="BM72" i="4" s="1"/>
  <c r="BQ71" i="4"/>
  <c r="AZ71" i="4"/>
  <c r="AZ72" i="4" s="1"/>
  <c r="BH71" i="4"/>
  <c r="BH72" i="4" s="1"/>
  <c r="BP71" i="4"/>
  <c r="AR51" i="3"/>
  <c r="BB71" i="4"/>
  <c r="BJ71" i="4"/>
  <c r="BJ72" i="4" s="1"/>
  <c r="BD71" i="4"/>
  <c r="BD72" i="4" s="1"/>
  <c r="BL71" i="4"/>
  <c r="AX71" i="4"/>
  <c r="AX72" i="4" s="1"/>
  <c r="BF71" i="4"/>
  <c r="BN71" i="4"/>
  <c r="BH53" i="45"/>
  <c r="BH91" i="44"/>
  <c r="BP53" i="45"/>
  <c r="BP96" i="4" s="1"/>
  <c r="BP91" i="44"/>
  <c r="AM318" i="47"/>
  <c r="BH148" i="8"/>
  <c r="AZ149" i="8"/>
  <c r="BN107" i="4"/>
  <c r="BN146" i="4" s="1"/>
  <c r="DG291" i="10"/>
  <c r="BD149" i="8"/>
  <c r="BA149" i="8"/>
  <c r="BQ67" i="47"/>
  <c r="BM62" i="47"/>
  <c r="AF44" i="8"/>
  <c r="AF95" i="44"/>
  <c r="AI61" i="45"/>
  <c r="AJ61" i="45" s="1"/>
  <c r="AI96" i="4"/>
  <c r="AI98" i="4" s="1"/>
  <c r="X9" i="3"/>
  <c r="AE99" i="44"/>
  <c r="AP45" i="9"/>
  <c r="AP83" i="4" s="1"/>
  <c r="AP99" i="44"/>
  <c r="AH45" i="9"/>
  <c r="AH99" i="44"/>
  <c r="BM148" i="8"/>
  <c r="Y71" i="45"/>
  <c r="Y68" i="45"/>
  <c r="Z61" i="45"/>
  <c r="BF12" i="9"/>
  <c r="BG12" i="9" s="1"/>
  <c r="BJ210" i="10"/>
  <c r="DO210" i="10"/>
  <c r="BA252" i="4"/>
  <c r="AZ118" i="4"/>
  <c r="AI359" i="47"/>
  <c r="AI361" i="47" s="1"/>
  <c r="AI363" i="47" s="1"/>
  <c r="BC143" i="4"/>
  <c r="BC63" i="9" s="1"/>
  <c r="BC62" i="9" s="1"/>
  <c r="AL210" i="5"/>
  <c r="AL207" i="5"/>
  <c r="AL227" i="5"/>
  <c r="AL213" i="5"/>
  <c r="AL251" i="5" s="1"/>
  <c r="AL216" i="5"/>
  <c r="AL228" i="5"/>
  <c r="BC19" i="9"/>
  <c r="AX27" i="4"/>
  <c r="AE68" i="9"/>
  <c r="AN66" i="9"/>
  <c r="AN52" i="9" s="1"/>
  <c r="AL193" i="5"/>
  <c r="AL65" i="9"/>
  <c r="AL51" i="9" s="1"/>
  <c r="AQ350" i="47"/>
  <c r="AQ63" i="9" s="1"/>
  <c r="AQ61" i="9"/>
  <c r="BP37" i="5"/>
  <c r="BK40" i="4"/>
  <c r="BL37" i="5"/>
  <c r="BO161" i="5"/>
  <c r="BO186" i="5" s="1"/>
  <c r="BO193" i="5" s="1"/>
  <c r="BM215" i="10"/>
  <c r="AG76" i="5"/>
  <c r="AG77" i="5"/>
  <c r="AK62" i="9"/>
  <c r="BG40" i="4"/>
  <c r="AH203" i="8"/>
  <c r="AH210" i="8" s="1"/>
  <c r="AH22" i="3"/>
  <c r="BQ78" i="44"/>
  <c r="BL147" i="5"/>
  <c r="BL91" i="44"/>
  <c r="BL88" i="44"/>
  <c r="AO56" i="9"/>
  <c r="AO127" i="4"/>
  <c r="AO129" i="4" s="1"/>
  <c r="AO44" i="9"/>
  <c r="AO39" i="9"/>
  <c r="BC109" i="8"/>
  <c r="BH9" i="9"/>
  <c r="BC15" i="9"/>
  <c r="AJ66" i="9"/>
  <c r="AJ52" i="9" s="1"/>
  <c r="AJ359" i="47"/>
  <c r="X83" i="4"/>
  <c r="X14" i="3" s="1"/>
  <c r="Y359" i="47"/>
  <c r="Y68" i="9" s="1"/>
  <c r="Y66" i="9"/>
  <c r="Y52" i="9" s="1"/>
  <c r="AI186" i="5"/>
  <c r="AI193" i="5" s="1"/>
  <c r="AM161" i="5"/>
  <c r="AM186" i="5" s="1"/>
  <c r="AU66" i="9"/>
  <c r="AU52" i="9" s="1"/>
  <c r="AH228" i="5"/>
  <c r="AG215" i="5"/>
  <c r="AG228" i="5" s="1"/>
  <c r="AH227" i="5"/>
  <c r="AH210" i="5"/>
  <c r="AH216" i="5"/>
  <c r="AH207" i="5"/>
  <c r="AH213" i="5"/>
  <c r="AH251" i="5" s="1"/>
  <c r="BK20" i="8"/>
  <c r="BG20" i="8"/>
  <c r="BD93" i="8"/>
  <c r="BI89" i="8"/>
  <c r="BD91" i="8"/>
  <c r="AK65" i="9"/>
  <c r="AK51" i="9" s="1"/>
  <c r="AW53" i="3"/>
  <c r="AS56" i="9"/>
  <c r="AS58" i="9" s="1"/>
  <c r="AS44" i="9"/>
  <c r="AS39" i="9"/>
  <c r="BJ53" i="45"/>
  <c r="BJ96" i="4" s="1"/>
  <c r="BJ91" i="44"/>
  <c r="BN53" i="45"/>
  <c r="BN96" i="4" s="1"/>
  <c r="BN91" i="44"/>
  <c r="AN53" i="45"/>
  <c r="AN96" i="4" s="1"/>
  <c r="AN98" i="4" s="1"/>
  <c r="AN61" i="9"/>
  <c r="AN62" i="9" s="1"/>
  <c r="AD139" i="47"/>
  <c r="BF348" i="47"/>
  <c r="BF350" i="47" s="1"/>
  <c r="BF93" i="4"/>
  <c r="AX149" i="8"/>
  <c r="BK107" i="4"/>
  <c r="BK146" i="4" s="1"/>
  <c r="DF291" i="10"/>
  <c r="BC149" i="8"/>
  <c r="AZ96" i="47"/>
  <c r="AZ206" i="47"/>
  <c r="AZ214" i="47" s="1"/>
  <c r="AZ63" i="47"/>
  <c r="AX62" i="47"/>
  <c r="AX96" i="47" s="1"/>
  <c r="BB67" i="47"/>
  <c r="X195" i="5"/>
  <c r="X197" i="5" s="1"/>
  <c r="CP38" i="3"/>
  <c r="AO361" i="47"/>
  <c r="AO363" i="47" s="1"/>
  <c r="AO59" i="9"/>
  <c r="AD47" i="5"/>
  <c r="AD94" i="44"/>
  <c r="Y47" i="5"/>
  <c r="Y79" i="4" s="1"/>
  <c r="Y94" i="44"/>
  <c r="AN44" i="47"/>
  <c r="AN78" i="4" s="1"/>
  <c r="AN97" i="44"/>
  <c r="AG26" i="9"/>
  <c r="AG30" i="9" s="1"/>
  <c r="AG37" i="9" s="1"/>
  <c r="AG22" i="9"/>
  <c r="AT26" i="9"/>
  <c r="AT30" i="9" s="1"/>
  <c r="AT37" i="9" s="1"/>
  <c r="AT127" i="4" s="1"/>
  <c r="AT129" i="4" s="1"/>
  <c r="AT22" i="9"/>
  <c r="BI57" i="9"/>
  <c r="BN13" i="9"/>
  <c r="BI15" i="9"/>
  <c r="BE11" i="10"/>
  <c r="BE215" i="10"/>
  <c r="AL14" i="9"/>
  <c r="AL15" i="45"/>
  <c r="AL17" i="45" s="1"/>
  <c r="BN9" i="9"/>
  <c r="Z68" i="9"/>
  <c r="Z67" i="9" s="1"/>
  <c r="BG43" i="4"/>
  <c r="BN161" i="5"/>
  <c r="BN186" i="5" s="1"/>
  <c r="BN193" i="5" s="1"/>
  <c r="AZ208" i="10"/>
  <c r="DE208" i="10"/>
  <c r="X67" i="9"/>
  <c r="BL32" i="66"/>
  <c r="AB22" i="9"/>
  <c r="AB26" i="9"/>
  <c r="AB30" i="9" s="1"/>
  <c r="AB37" i="9" s="1"/>
  <c r="AH59" i="8"/>
  <c r="AH33" i="8"/>
  <c r="AH60" i="8"/>
  <c r="BN72" i="4"/>
  <c r="BO73" i="4"/>
  <c r="BN150" i="4"/>
  <c r="BN126" i="4" s="1"/>
  <c r="Z22" i="9"/>
  <c r="Z26" i="9"/>
  <c r="Z30" i="9" s="1"/>
  <c r="Z37" i="9" s="1"/>
  <c r="X59" i="9"/>
  <c r="Z371" i="47"/>
  <c r="Y372" i="47"/>
  <c r="BC48" i="8"/>
  <c r="BC89" i="8" s="1"/>
  <c r="BC51" i="5"/>
  <c r="AR207" i="5"/>
  <c r="AR228" i="5"/>
  <c r="AR210" i="5"/>
  <c r="AQ207" i="5"/>
  <c r="AR213" i="5"/>
  <c r="AR251" i="5" s="1"/>
  <c r="AR227" i="5"/>
  <c r="AR216" i="5"/>
  <c r="BP124" i="4"/>
  <c r="AK66" i="9"/>
  <c r="AK52" i="9" s="1"/>
  <c r="AL174" i="8"/>
  <c r="AJ22" i="45"/>
  <c r="AJ26" i="45"/>
  <c r="AJ21" i="9"/>
  <c r="AJ22" i="4"/>
  <c r="AO66" i="9"/>
  <c r="AO52" i="9" s="1"/>
  <c r="AN186" i="5"/>
  <c r="AR161" i="5"/>
  <c r="AR186" i="5" s="1"/>
  <c r="BB53" i="3"/>
  <c r="BB31" i="3"/>
  <c r="BB44" i="3" s="1"/>
  <c r="AD127" i="4"/>
  <c r="AD129" i="4" s="1"/>
  <c r="AD44" i="9"/>
  <c r="AD39" i="9"/>
  <c r="AD56" i="9"/>
  <c r="AH10" i="3"/>
  <c r="AE223" i="8"/>
  <c r="AJ96" i="4"/>
  <c r="AJ98" i="4" s="1"/>
  <c r="BI53" i="45"/>
  <c r="BI96" i="4" s="1"/>
  <c r="BI91" i="44"/>
  <c r="BM53" i="45"/>
  <c r="BM96" i="4" s="1"/>
  <c r="BM91" i="44"/>
  <c r="AQ19" i="9"/>
  <c r="AZ348" i="47"/>
  <c r="AZ350" i="47" s="1"/>
  <c r="AZ93" i="4"/>
  <c r="BO348" i="47"/>
  <c r="BO350" i="47" s="1"/>
  <c r="BO93" i="4"/>
  <c r="BC107" i="4"/>
  <c r="BC146" i="4" s="1"/>
  <c r="DI291" i="10"/>
  <c r="BF149" i="8"/>
  <c r="X176" i="8"/>
  <c r="X178" i="8" s="1"/>
  <c r="CP39" i="3"/>
  <c r="CP51" i="3" s="1"/>
  <c r="AU44" i="47"/>
  <c r="AU78" i="4" s="1"/>
  <c r="AU97" i="44"/>
  <c r="AL33" i="47"/>
  <c r="AL36" i="47" s="1"/>
  <c r="AL38" i="47" s="1"/>
  <c r="AJ59" i="9"/>
  <c r="AN47" i="5"/>
  <c r="AN79" i="4" s="1"/>
  <c r="AN94" i="44"/>
  <c r="AN100" i="44" s="1"/>
  <c r="AU44" i="8"/>
  <c r="AU95" i="44"/>
  <c r="AA44" i="47"/>
  <c r="AA78" i="4" s="1"/>
  <c r="AA97" i="44"/>
  <c r="BD19" i="9"/>
  <c r="BD27" i="4" s="1"/>
  <c r="AF210" i="5"/>
  <c r="AF213" i="5"/>
  <c r="AF251" i="5" s="1"/>
  <c r="AF227" i="5"/>
  <c r="AM89" i="66"/>
  <c r="AM24" i="3"/>
  <c r="BC11" i="10"/>
  <c r="BE106" i="4" s="1"/>
  <c r="BE145" i="4" s="1"/>
  <c r="BE161" i="5"/>
  <c r="BE186" i="5" s="1"/>
  <c r="BE193" i="5" s="1"/>
  <c r="BB32" i="66"/>
  <c r="BF118" i="4"/>
  <c r="BG252" i="4"/>
  <c r="BL45" i="66"/>
  <c r="BK45" i="66" s="1"/>
  <c r="BJ45" i="66" s="1"/>
  <c r="BI45" i="66" s="1"/>
  <c r="BH45" i="66" s="1"/>
  <c r="BL59" i="8"/>
  <c r="BK59" i="8" s="1"/>
  <c r="BJ59" i="8" s="1"/>
  <c r="BI59" i="8" s="1"/>
  <c r="BH59" i="8" s="1"/>
  <c r="BL76" i="5"/>
  <c r="BK76" i="5" s="1"/>
  <c r="BJ76" i="5" s="1"/>
  <c r="AD193" i="5"/>
  <c r="AD195" i="5" s="1"/>
  <c r="AD66" i="9"/>
  <c r="AD52" i="9" s="1"/>
  <c r="AS66" i="9"/>
  <c r="AS52" i="9" s="1"/>
  <c r="Y127" i="4"/>
  <c r="Y129" i="4" s="1"/>
  <c r="Y44" i="9"/>
  <c r="Y39" i="9"/>
  <c r="Y56" i="9"/>
  <c r="AC127" i="4"/>
  <c r="AC129" i="4" s="1"/>
  <c r="AC39" i="9"/>
  <c r="AC44" i="9"/>
  <c r="AC56" i="9"/>
  <c r="AO65" i="9"/>
  <c r="AO51" i="9" s="1"/>
  <c r="BE107" i="4"/>
  <c r="BE146" i="4" s="1"/>
  <c r="BG151" i="4"/>
  <c r="BF157" i="5"/>
  <c r="BH20" i="5"/>
  <c r="BO215" i="10"/>
  <c r="AQ76" i="5"/>
  <c r="AQ77" i="5"/>
  <c r="BB12" i="9"/>
  <c r="X89" i="66"/>
  <c r="X24" i="3"/>
  <c r="Z26" i="45"/>
  <c r="Z22" i="45"/>
  <c r="X361" i="47"/>
  <c r="X363" i="47" s="1"/>
  <c r="AH193" i="5"/>
  <c r="AH68" i="9" s="1"/>
  <c r="AH67" i="9" s="1"/>
  <c r="AU26" i="9"/>
  <c r="AU30" i="9" s="1"/>
  <c r="AU37" i="9" s="1"/>
  <c r="AU127" i="4" s="1"/>
  <c r="AU129" i="4" s="1"/>
  <c r="AU22" i="9"/>
  <c r="AA54" i="4"/>
  <c r="AA48" i="4"/>
  <c r="AA55" i="4" s="1"/>
  <c r="AA68" i="4" s="1"/>
  <c r="AA247" i="4"/>
  <c r="AH91" i="44"/>
  <c r="AQ174" i="8"/>
  <c r="AQ68" i="9" s="1"/>
  <c r="AQ67" i="9" s="1"/>
  <c r="AT79" i="4"/>
  <c r="AT48" i="5"/>
  <c r="AF127" i="4"/>
  <c r="AF129" i="4" s="1"/>
  <c r="AF39" i="9"/>
  <c r="AF44" i="9"/>
  <c r="AF56" i="9"/>
  <c r="AY27" i="4"/>
  <c r="BG31" i="3"/>
  <c r="BG44" i="3" s="1"/>
  <c r="BG33" i="3"/>
  <c r="BK53" i="45"/>
  <c r="BK96" i="4" s="1"/>
  <c r="BK91" i="44"/>
  <c r="BO53" i="45"/>
  <c r="BO96" i="4" s="1"/>
  <c r="BO91" i="44"/>
  <c r="BK348" i="47"/>
  <c r="BK350" i="47" s="1"/>
  <c r="BK93" i="4"/>
  <c r="BN348" i="47"/>
  <c r="BN350" i="47" s="1"/>
  <c r="BN93" i="4"/>
  <c r="BJ148" i="8"/>
  <c r="S12" i="10"/>
  <c r="DH291" i="10"/>
  <c r="BE149" i="8"/>
  <c r="BH107" i="4"/>
  <c r="BH146" i="4" s="1"/>
  <c r="AY149" i="8"/>
  <c r="BA107" i="4"/>
  <c r="BA146" i="4" s="1"/>
  <c r="BP107" i="4"/>
  <c r="BP146" i="4" s="1"/>
  <c r="BO184" i="4" s="1"/>
  <c r="BA206" i="47"/>
  <c r="BA214" i="47" s="1"/>
  <c r="BA63" i="47"/>
  <c r="BA96" i="47"/>
  <c r="AY63" i="47"/>
  <c r="AY96" i="47"/>
  <c r="AY206" i="47"/>
  <c r="AY214" i="47" s="1"/>
  <c r="AJ21" i="66"/>
  <c r="AJ21" i="4"/>
  <c r="AI21" i="66"/>
  <c r="AI21" i="4"/>
  <c r="AI24" i="4" s="1"/>
  <c r="AA47" i="5"/>
  <c r="AA94" i="44"/>
  <c r="X100" i="44"/>
  <c r="AF47" i="5"/>
  <c r="AF79" i="4" s="1"/>
  <c r="AF94" i="44"/>
  <c r="AF361" i="47"/>
  <c r="AF363" i="47" s="1"/>
  <c r="AF59" i="9"/>
  <c r="AA45" i="9"/>
  <c r="AA83" i="4" s="1"/>
  <c r="AA99" i="44"/>
  <c r="AK12" i="66"/>
  <c r="AK28" i="9"/>
  <c r="AS47" i="5"/>
  <c r="AS94" i="44"/>
  <c r="AN361" i="47"/>
  <c r="AN363" i="47" s="1"/>
  <c r="AN59" i="9"/>
  <c r="AI44" i="47"/>
  <c r="AI78" i="4" s="1"/>
  <c r="AI97" i="44"/>
  <c r="AZ140" i="5"/>
  <c r="AZ153" i="5" s="1"/>
  <c r="AX140" i="5"/>
  <c r="AX153" i="5" s="1"/>
  <c r="AX147" i="5"/>
  <c r="BA140" i="5"/>
  <c r="AY140" i="5"/>
  <c r="AY153" i="5" s="1"/>
  <c r="BD161" i="5"/>
  <c r="BD186" i="5" s="1"/>
  <c r="BD193" i="5" s="1"/>
  <c r="BB215" i="10"/>
  <c r="AG359" i="47"/>
  <c r="AG68" i="9" s="1"/>
  <c r="AG65" i="9"/>
  <c r="AG51" i="9" s="1"/>
  <c r="AK20" i="4"/>
  <c r="AK19" i="45"/>
  <c r="AW32" i="66"/>
  <c r="AC226" i="4"/>
  <c r="AC223" i="4"/>
  <c r="AC237" i="4"/>
  <c r="CU23" i="3" s="1"/>
  <c r="AC217" i="4"/>
  <c r="AC220" i="4"/>
  <c r="AC238" i="4"/>
  <c r="CU24" i="3" s="1"/>
  <c r="AI22" i="9"/>
  <c r="AI26" i="9"/>
  <c r="AI30" i="9" s="1"/>
  <c r="AI37" i="9" s="1"/>
  <c r="AP68" i="9"/>
  <c r="BM151" i="4"/>
  <c r="AO61" i="9"/>
  <c r="AO62" i="9" s="1"/>
  <c r="BA14" i="47"/>
  <c r="BB14" i="47" s="1"/>
  <c r="BF298" i="47"/>
  <c r="BG298" i="47" s="1"/>
  <c r="BO34" i="47"/>
  <c r="BO43" i="4" s="1"/>
  <c r="BO151" i="4" s="1"/>
  <c r="BJ43" i="4"/>
  <c r="BJ151" i="4" s="1"/>
  <c r="BL151" i="4" s="1"/>
  <c r="BJ95" i="4"/>
  <c r="BJ163" i="8"/>
  <c r="BJ165" i="8" s="1"/>
  <c r="BJ220" i="8"/>
  <c r="BL220" i="8" s="1"/>
  <c r="BI220" i="8"/>
  <c r="BI95" i="4"/>
  <c r="BI163" i="8"/>
  <c r="BI165" i="8" s="1"/>
  <c r="AE65" i="9"/>
  <c r="AE51" i="9" s="1"/>
  <c r="BG53" i="3"/>
  <c r="AT66" i="9"/>
  <c r="AT52" i="9" s="1"/>
  <c r="BP161" i="5"/>
  <c r="BP186" i="5" s="1"/>
  <c r="BP193" i="5" s="1"/>
  <c r="AD359" i="47"/>
  <c r="AD65" i="9"/>
  <c r="AD51" i="9" s="1"/>
  <c r="BA15" i="9"/>
  <c r="BJ12" i="9"/>
  <c r="BE15" i="9"/>
  <c r="AJ222" i="5"/>
  <c r="AJ229" i="5" s="1"/>
  <c r="AI222" i="5"/>
  <c r="AI229" i="5" s="1"/>
  <c r="AK222" i="5"/>
  <c r="AK229" i="5" s="1"/>
  <c r="AG222" i="5"/>
  <c r="AG229" i="5" s="1"/>
  <c r="BH40" i="4"/>
  <c r="BL40" i="4" s="1"/>
  <c r="BL31" i="9"/>
  <c r="BM31" i="9"/>
  <c r="BG13" i="9"/>
  <c r="BG57" i="9" s="1"/>
  <c r="BK13" i="9"/>
  <c r="BF57" i="9"/>
  <c r="AR37" i="66"/>
  <c r="AR32" i="66"/>
  <c r="BD109" i="8"/>
  <c r="BE157" i="5"/>
  <c r="BL53" i="3"/>
  <c r="AG207" i="5"/>
  <c r="AC43" i="8"/>
  <c r="AC155" i="8"/>
  <c r="AC161" i="8" s="1"/>
  <c r="AC38" i="8"/>
  <c r="AM22" i="9"/>
  <c r="AM25" i="3" s="1"/>
  <c r="AM26" i="9"/>
  <c r="AM30" i="9" s="1"/>
  <c r="AM37" i="9" s="1"/>
  <c r="BE12" i="8"/>
  <c r="BJ109" i="8"/>
  <c r="AK68" i="9"/>
  <c r="AB359" i="47"/>
  <c r="AB66" i="9"/>
  <c r="AB52" i="9" s="1"/>
  <c r="AL28" i="66"/>
  <c r="X12" i="10"/>
  <c r="AN12" i="10"/>
  <c r="AT59" i="9"/>
  <c r="AT43" i="47"/>
  <c r="AT38" i="47"/>
  <c r="X150" i="47"/>
  <c r="AQ33" i="47"/>
  <c r="AQ36" i="47" s="1"/>
  <c r="AQ43" i="47" s="1"/>
  <c r="AE340" i="47"/>
  <c r="AE346" i="47" s="1"/>
  <c r="AE43" i="47"/>
  <c r="AE38" i="47"/>
  <c r="AY230" i="47"/>
  <c r="BB146" i="47"/>
  <c r="AA38" i="8"/>
  <c r="AA95" i="44" s="1"/>
  <c r="AA43" i="8"/>
  <c r="AA155" i="8"/>
  <c r="AA161" i="8" s="1"/>
  <c r="AA176" i="8" s="1"/>
  <c r="AA178" i="8" s="1"/>
  <c r="BF163" i="8"/>
  <c r="BF165" i="8" s="1"/>
  <c r="BF220" i="8"/>
  <c r="BG220" i="8" s="1"/>
  <c r="AG209" i="8"/>
  <c r="AB43" i="8"/>
  <c r="AB38" i="8"/>
  <c r="AB155" i="8"/>
  <c r="AB161" i="8" s="1"/>
  <c r="R223" i="4"/>
  <c r="I226" i="4"/>
  <c r="I237" i="4"/>
  <c r="I220" i="4"/>
  <c r="I238" i="4"/>
  <c r="I217" i="4"/>
  <c r="AF68" i="4"/>
  <c r="AF56" i="4"/>
  <c r="T48" i="4"/>
  <c r="T55" i="4" s="1"/>
  <c r="T54" i="4"/>
  <c r="T247" i="4"/>
  <c r="AS247" i="4"/>
  <c r="AS48" i="4"/>
  <c r="AS55" i="4" s="1"/>
  <c r="AS68" i="4" s="1"/>
  <c r="AS54" i="4"/>
  <c r="AP68" i="4"/>
  <c r="AP56" i="4"/>
  <c r="AK56" i="4"/>
  <c r="AK68" i="4"/>
  <c r="AD220" i="4"/>
  <c r="AD226" i="4"/>
  <c r="AD217" i="4"/>
  <c r="AD237" i="4"/>
  <c r="AD238" i="4"/>
  <c r="BQ291" i="10"/>
  <c r="CA297" i="10"/>
  <c r="BV303" i="10"/>
  <c r="BV313" i="10" s="1"/>
  <c r="BM57" i="9"/>
  <c r="Y44" i="47"/>
  <c r="Y78" i="4" s="1"/>
  <c r="AJ220" i="47"/>
  <c r="AH38" i="47"/>
  <c r="AH97" i="44" s="1"/>
  <c r="AH340" i="47"/>
  <c r="AH346" i="47" s="1"/>
  <c r="AH43" i="47"/>
  <c r="AK43" i="47"/>
  <c r="AK38" i="47"/>
  <c r="AK97" i="44" s="1"/>
  <c r="AK340" i="47"/>
  <c r="AK346" i="47" s="1"/>
  <c r="AJ177" i="47"/>
  <c r="AK191" i="47"/>
  <c r="BB177" i="47"/>
  <c r="AV177" i="47"/>
  <c r="AU177" i="47" s="1"/>
  <c r="AT177" i="47" s="1"/>
  <c r="AW191" i="47"/>
  <c r="AV191" i="47" s="1"/>
  <c r="AU191" i="47" s="1"/>
  <c r="AT191" i="47" s="1"/>
  <c r="AS191" i="47" s="1"/>
  <c r="AB33" i="47"/>
  <c r="AB36" i="47" s="1"/>
  <c r="AC36" i="47"/>
  <c r="BK241" i="47"/>
  <c r="BJ241" i="47" s="1"/>
  <c r="BI241" i="47" s="1"/>
  <c r="BH241" i="47" s="1"/>
  <c r="BL254" i="47"/>
  <c r="BU258" i="47" s="1"/>
  <c r="BQ241" i="47"/>
  <c r="AO44" i="47"/>
  <c r="AO78" i="4" s="1"/>
  <c r="AU265" i="47"/>
  <c r="AU269" i="47" s="1"/>
  <c r="AU271" i="47" s="1"/>
  <c r="AU273" i="47" s="1"/>
  <c r="AV269" i="47"/>
  <c r="AV271" i="47" s="1"/>
  <c r="AV273" i="47" s="1"/>
  <c r="AS44" i="47"/>
  <c r="AS78" i="4" s="1"/>
  <c r="AR38" i="47"/>
  <c r="AR97" i="44" s="1"/>
  <c r="AR340" i="47"/>
  <c r="AR346" i="47" s="1"/>
  <c r="AR43" i="47"/>
  <c r="AJ44" i="47"/>
  <c r="AJ78" i="4" s="1"/>
  <c r="CJ257" i="47"/>
  <c r="CA257" i="47"/>
  <c r="BZ257" i="47"/>
  <c r="BZ270" i="47" s="1"/>
  <c r="AF44" i="47"/>
  <c r="AF78" i="4" s="1"/>
  <c r="AQ38" i="47"/>
  <c r="BG211" i="47"/>
  <c r="AD44" i="47"/>
  <c r="AD78" i="4" s="1"/>
  <c r="AG38" i="47"/>
  <c r="AJ391" i="47" s="1"/>
  <c r="AG43" i="47"/>
  <c r="AG340" i="47"/>
  <c r="AG346" i="47" s="1"/>
  <c r="AX269" i="47"/>
  <c r="AX271" i="47" s="1"/>
  <c r="AX273" i="47" s="1"/>
  <c r="AY265" i="47"/>
  <c r="AY269" i="47" s="1"/>
  <c r="AY271" i="47" s="1"/>
  <c r="AY273" i="47" s="1"/>
  <c r="AP43" i="47"/>
  <c r="AP38" i="47"/>
  <c r="AP340" i="47"/>
  <c r="AP346" i="47" s="1"/>
  <c r="AQ191" i="47"/>
  <c r="AP191" i="47" s="1"/>
  <c r="AO191" i="47" s="1"/>
  <c r="AN191" i="47" s="1"/>
  <c r="AR191" i="47" s="1"/>
  <c r="AP177" i="47"/>
  <c r="AO177" i="47" s="1"/>
  <c r="AN177" i="47" s="1"/>
  <c r="Y346" i="47"/>
  <c r="Y378" i="47"/>
  <c r="AM38" i="47"/>
  <c r="AM97" i="44" s="1"/>
  <c r="AM43" i="47"/>
  <c r="AM340" i="47"/>
  <c r="AM346" i="47" s="1"/>
  <c r="AS271" i="47"/>
  <c r="AS273" i="47" s="1"/>
  <c r="AR36" i="8"/>
  <c r="AQ33" i="8"/>
  <c r="AQ36" i="8" s="1"/>
  <c r="AG197" i="8"/>
  <c r="AF223" i="8"/>
  <c r="AN44" i="8"/>
  <c r="AN80" i="4" s="1"/>
  <c r="X205" i="8"/>
  <c r="X44" i="8"/>
  <c r="X201" i="8"/>
  <c r="BD14" i="8"/>
  <c r="BI112" i="8"/>
  <c r="AE224" i="8"/>
  <c r="AF219" i="8" s="1"/>
  <c r="BH102" i="8"/>
  <c r="AL43" i="8"/>
  <c r="AL155" i="8"/>
  <c r="AL161" i="8" s="1"/>
  <c r="AL38" i="8"/>
  <c r="BC14" i="8"/>
  <c r="BH112" i="8"/>
  <c r="AO44" i="8"/>
  <c r="AD155" i="8"/>
  <c r="AD161" i="8" s="1"/>
  <c r="AD176" i="8" s="1"/>
  <c r="AD178" i="8" s="1"/>
  <c r="AD43" i="8"/>
  <c r="AD38" i="8"/>
  <c r="AD95" i="44" s="1"/>
  <c r="AI44" i="8"/>
  <c r="AI80" i="4" s="1"/>
  <c r="AM38" i="8"/>
  <c r="AM95" i="44" s="1"/>
  <c r="AM43" i="8"/>
  <c r="AM155" i="8"/>
  <c r="AM161" i="8" s="1"/>
  <c r="AT44" i="8"/>
  <c r="AT80" i="4" s="1"/>
  <c r="AB174" i="5"/>
  <c r="AB180" i="5" s="1"/>
  <c r="AB195" i="5" s="1"/>
  <c r="AB197" i="5" s="1"/>
  <c r="AB46" i="5"/>
  <c r="AB41" i="5"/>
  <c r="AC47" i="5"/>
  <c r="AC79" i="4" s="1"/>
  <c r="AC220" i="5"/>
  <c r="AC224" i="5"/>
  <c r="AJ47" i="5"/>
  <c r="AJ79" i="4" s="1"/>
  <c r="AQ34" i="5"/>
  <c r="AQ39" i="5" s="1"/>
  <c r="AR39" i="5"/>
  <c r="BH130" i="5"/>
  <c r="Z41" i="5"/>
  <c r="Z94" i="44" s="1"/>
  <c r="Z174" i="5"/>
  <c r="Z46" i="5"/>
  <c r="AE174" i="5"/>
  <c r="AE41" i="5"/>
  <c r="AE94" i="44" s="1"/>
  <c r="AE46" i="5"/>
  <c r="AI47" i="5"/>
  <c r="AI79" i="4" s="1"/>
  <c r="X220" i="5"/>
  <c r="X224" i="5"/>
  <c r="X47" i="5"/>
  <c r="X79" i="4" s="1"/>
  <c r="X10" i="3" s="1"/>
  <c r="AL174" i="5"/>
  <c r="AL180" i="5" s="1"/>
  <c r="AL41" i="5"/>
  <c r="AL46" i="5"/>
  <c r="AK47" i="5"/>
  <c r="AO220" i="5"/>
  <c r="Z255" i="5"/>
  <c r="Z80" i="5" s="1"/>
  <c r="AF243" i="5"/>
  <c r="AG238" i="5" s="1"/>
  <c r="AG243" i="5" s="1"/>
  <c r="AM47" i="5"/>
  <c r="AM224" i="5"/>
  <c r="AM220" i="5"/>
  <c r="AG41" i="5"/>
  <c r="AG174" i="5"/>
  <c r="AG180" i="5" s="1"/>
  <c r="AG195" i="5" s="1"/>
  <c r="AG197" i="5" s="1"/>
  <c r="AG46" i="5"/>
  <c r="AI180" i="5"/>
  <c r="AO254" i="5"/>
  <c r="AN79" i="5"/>
  <c r="AP47" i="5"/>
  <c r="AP79" i="4" s="1"/>
  <c r="AP220" i="5"/>
  <c r="AP224" i="5"/>
  <c r="AP255" i="5" s="1"/>
  <c r="AP80" i="5" s="1"/>
  <c r="W220" i="4"/>
  <c r="W237" i="4"/>
  <c r="W217" i="4"/>
  <c r="W238" i="4"/>
  <c r="Y247" i="4"/>
  <c r="Y48" i="4"/>
  <c r="Y55" i="4" s="1"/>
  <c r="Y54" i="4"/>
  <c r="X55" i="4"/>
  <c r="X68" i="4" s="1"/>
  <c r="X230" i="4"/>
  <c r="X234" i="4"/>
  <c r="G39" i="4"/>
  <c r="G46" i="4" s="1"/>
  <c r="G118" i="4"/>
  <c r="G119" i="4"/>
  <c r="AQ220" i="4"/>
  <c r="AQ237" i="4"/>
  <c r="AQ217" i="4"/>
  <c r="AQ238" i="4"/>
  <c r="U247" i="4"/>
  <c r="U54" i="4"/>
  <c r="U48" i="4"/>
  <c r="U55" i="4" s="1"/>
  <c r="AE48" i="4"/>
  <c r="AE55" i="4" s="1"/>
  <c r="AE68" i="4" s="1"/>
  <c r="AE54" i="4"/>
  <c r="AE247" i="4"/>
  <c r="S223" i="4"/>
  <c r="N55" i="4"/>
  <c r="N230" i="4"/>
  <c r="N234" i="4"/>
  <c r="AJ68" i="4"/>
  <c r="AJ56" i="4"/>
  <c r="F247" i="4"/>
  <c r="F48" i="4"/>
  <c r="F55" i="4" s="1"/>
  <c r="F68" i="4" s="1"/>
  <c r="F54" i="4"/>
  <c r="W226" i="4"/>
  <c r="AO55" i="4"/>
  <c r="AQ232" i="4"/>
  <c r="AQ239" i="4" s="1"/>
  <c r="AS232" i="4"/>
  <c r="AS239" i="4" s="1"/>
  <c r="AQ226" i="4"/>
  <c r="AM48" i="4"/>
  <c r="AM54" i="4"/>
  <c r="AM247" i="4"/>
  <c r="K54" i="4"/>
  <c r="K247" i="4"/>
  <c r="K48" i="4"/>
  <c r="K55" i="4" s="1"/>
  <c r="W31" i="4"/>
  <c r="W35" i="4"/>
  <c r="Y231" i="4"/>
  <c r="Y244" i="4" s="1"/>
  <c r="W231" i="4"/>
  <c r="W244" i="4" s="1"/>
  <c r="Z231" i="4"/>
  <c r="Z244" i="4" s="1"/>
  <c r="AA231" i="4"/>
  <c r="AA244" i="4" s="1"/>
  <c r="I55" i="4"/>
  <c r="I68" i="4" s="1"/>
  <c r="I234" i="4"/>
  <c r="I230" i="4"/>
  <c r="AT39" i="4"/>
  <c r="AT46" i="4" s="1"/>
  <c r="AT119" i="4"/>
  <c r="AT118" i="4"/>
  <c r="AR48" i="4"/>
  <c r="AR54" i="4"/>
  <c r="AR247" i="4"/>
  <c r="AQ39" i="4"/>
  <c r="AQ46" i="4" s="1"/>
  <c r="AQ118" i="4"/>
  <c r="AQ119" i="4"/>
  <c r="L48" i="4"/>
  <c r="L55" i="4" s="1"/>
  <c r="L54" i="4"/>
  <c r="L247" i="4"/>
  <c r="W223" i="4"/>
  <c r="AD48" i="4"/>
  <c r="AD55" i="4" s="1"/>
  <c r="AD54" i="4"/>
  <c r="AD247" i="4"/>
  <c r="AT232" i="4"/>
  <c r="AU232" i="4"/>
  <c r="AU239" i="4" s="1"/>
  <c r="AQ223" i="4"/>
  <c r="X52" i="3"/>
  <c r="X45" i="3" s="1"/>
  <c r="AC45" i="3"/>
  <c r="AJ26" i="66"/>
  <c r="AJ45" i="66" s="1"/>
  <c r="AJ22" i="66"/>
  <c r="AI26" i="66"/>
  <c r="AI45" i="66" s="1"/>
  <c r="AI22" i="66"/>
  <c r="AI88" i="66"/>
  <c r="AI96" i="66" s="1"/>
  <c r="AJ88" i="66"/>
  <c r="AJ96" i="66" s="1"/>
  <c r="AL59" i="66"/>
  <c r="AM65" i="66"/>
  <c r="AL60" i="66"/>
  <c r="AM60" i="66" s="1"/>
  <c r="BM101" i="56"/>
  <c r="AY83" i="56"/>
  <c r="AZ83" i="56"/>
  <c r="AZ21" i="56" s="1"/>
  <c r="BA83" i="56"/>
  <c r="BA21" i="56" s="1"/>
  <c r="BB83" i="56"/>
  <c r="BB21" i="56" s="1"/>
  <c r="BX68" i="56"/>
  <c r="BP100" i="56"/>
  <c r="BP102" i="56"/>
  <c r="AY84" i="56"/>
  <c r="BM66" i="47" s="1"/>
  <c r="AZ84" i="56"/>
  <c r="BA84" i="56"/>
  <c r="BB84" i="56"/>
  <c r="BX69" i="56"/>
  <c r="BM100" i="56"/>
  <c r="BM102" i="56"/>
  <c r="AY24" i="56"/>
  <c r="BP24" i="56" s="1"/>
  <c r="BP86" i="56"/>
  <c r="BW71" i="56" s="1"/>
  <c r="BY71" i="56" s="1"/>
  <c r="AY23" i="56"/>
  <c r="BP23" i="56" s="1"/>
  <c r="BP85" i="56"/>
  <c r="BW70" i="56" s="1"/>
  <c r="BY70" i="56" s="1"/>
  <c r="BP101" i="56"/>
  <c r="AY82" i="56"/>
  <c r="AZ82" i="56"/>
  <c r="AZ20" i="56" s="1"/>
  <c r="BA82" i="56"/>
  <c r="BA20" i="56" s="1"/>
  <c r="BB82" i="56"/>
  <c r="BB20" i="56" s="1"/>
  <c r="BX67" i="56"/>
  <c r="CA19" i="10"/>
  <c r="BV54" i="10"/>
  <c r="CA311" i="10"/>
  <c r="P12" i="10"/>
  <c r="DO79" i="10"/>
  <c r="BV213" i="10"/>
  <c r="CA197" i="10"/>
  <c r="CY10" i="10"/>
  <c r="BV328" i="10"/>
  <c r="BV330" i="10" s="1"/>
  <c r="BQ10" i="10"/>
  <c r="BQ215" i="10"/>
  <c r="DC10" i="10"/>
  <c r="AZ112" i="4" s="1"/>
  <c r="CX10" i="10"/>
  <c r="AO12" i="10"/>
  <c r="CT215" i="10"/>
  <c r="CW10" i="10"/>
  <c r="CA106" i="10"/>
  <c r="BV194" i="10"/>
  <c r="BV289" i="10"/>
  <c r="BV278" i="10"/>
  <c r="BV66" i="10"/>
  <c r="CV10" i="10"/>
  <c r="CR215" i="10"/>
  <c r="BH80" i="47"/>
  <c r="BH81" i="47"/>
  <c r="BH207" i="47" s="1"/>
  <c r="BH79" i="47"/>
  <c r="BI100" i="47"/>
  <c r="BL100" i="47" s="1"/>
  <c r="BN92" i="47"/>
  <c r="BQ92" i="47" s="1"/>
  <c r="BI99" i="47"/>
  <c r="AG178" i="47"/>
  <c r="BL266" i="47"/>
  <c r="BQ242" i="47"/>
  <c r="BL243" i="47"/>
  <c r="BK242" i="47"/>
  <c r="BJ242" i="47" s="1"/>
  <c r="BI242" i="47" s="1"/>
  <c r="BH242" i="47" s="1"/>
  <c r="BA375" i="47"/>
  <c r="AJ175" i="47"/>
  <c r="AJ189" i="47" s="1"/>
  <c r="AI189" i="47"/>
  <c r="BL92" i="47"/>
  <c r="BL94" i="47" s="1"/>
  <c r="AZ318" i="47"/>
  <c r="AX292" i="47"/>
  <c r="AL178" i="47"/>
  <c r="AK174" i="47"/>
  <c r="AL188" i="47"/>
  <c r="AL192" i="47" s="1"/>
  <c r="AJ218" i="47"/>
  <c r="AJ221" i="47" s="1"/>
  <c r="AJ217" i="47"/>
  <c r="BG265" i="47"/>
  <c r="BA265" i="47"/>
  <c r="BC265" i="47"/>
  <c r="BQ207" i="47"/>
  <c r="AS261" i="47"/>
  <c r="AY257" i="47"/>
  <c r="AY259" i="47" s="1"/>
  <c r="AZ253" i="47"/>
  <c r="BB165" i="47"/>
  <c r="AF188" i="47"/>
  <c r="AG192" i="47"/>
  <c r="BA320" i="47"/>
  <c r="BA323" i="47" s="1"/>
  <c r="BG99" i="47"/>
  <c r="BG101" i="47" s="1"/>
  <c r="AA192" i="47"/>
  <c r="Z188" i="47"/>
  <c r="AC132" i="47"/>
  <c r="AC131" i="47" s="1"/>
  <c r="AW305" i="47"/>
  <c r="BQ19" i="47"/>
  <c r="BQ20" i="47" s="1"/>
  <c r="BN20" i="47"/>
  <c r="AT163" i="47"/>
  <c r="AU163" i="47" s="1"/>
  <c r="AV163" i="47" s="1"/>
  <c r="AX163" i="47" s="1"/>
  <c r="BC14" i="47"/>
  <c r="BC14" i="4" s="1"/>
  <c r="BH298" i="47"/>
  <c r="BI214" i="47"/>
  <c r="BI211" i="47"/>
  <c r="AE174" i="47"/>
  <c r="AF178" i="47"/>
  <c r="AK114" i="47"/>
  <c r="AK115" i="47" s="1"/>
  <c r="AK124" i="47" s="1"/>
  <c r="AL111" i="47"/>
  <c r="AM111" i="47" s="1"/>
  <c r="BK276" i="47"/>
  <c r="BJ276" i="47" s="1"/>
  <c r="BI276" i="47" s="1"/>
  <c r="BH276" i="47" s="1"/>
  <c r="BQ276" i="47"/>
  <c r="BP276" i="47" s="1"/>
  <c r="BO276" i="47" s="1"/>
  <c r="BN276" i="47" s="1"/>
  <c r="BM276" i="47" s="1"/>
  <c r="AV277" i="47"/>
  <c r="BB277" i="47"/>
  <c r="BB237" i="47" s="1"/>
  <c r="AX277" i="47"/>
  <c r="AW237" i="47"/>
  <c r="AW293" i="47" s="1"/>
  <c r="BY243" i="47"/>
  <c r="BN34" i="47"/>
  <c r="BL34" i="47"/>
  <c r="BK101" i="47"/>
  <c r="AP238" i="47"/>
  <c r="AP261" i="47"/>
  <c r="CB269" i="47"/>
  <c r="CC266" i="47"/>
  <c r="Z175" i="47"/>
  <c r="AA178" i="47"/>
  <c r="AI221" i="47"/>
  <c r="AI222" i="47" s="1"/>
  <c r="BZ254" i="47"/>
  <c r="BY260" i="47"/>
  <c r="BY268" i="47"/>
  <c r="BY273" i="47" s="1"/>
  <c r="AI124" i="47"/>
  <c r="AU257" i="47"/>
  <c r="AW257" i="47" s="1"/>
  <c r="BD292" i="47"/>
  <c r="BH253" i="47"/>
  <c r="BL253" i="47"/>
  <c r="BP322" i="47"/>
  <c r="BP323" i="47" s="1"/>
  <c r="AE142" i="47"/>
  <c r="AE141" i="47" s="1"/>
  <c r="AD141" i="47"/>
  <c r="BX247" i="47"/>
  <c r="BX249" i="47" s="1"/>
  <c r="AU120" i="47"/>
  <c r="AS120" i="47"/>
  <c r="AV120" i="47"/>
  <c r="BB120" i="47"/>
  <c r="AT120" i="47"/>
  <c r="AS174" i="47"/>
  <c r="AS178" i="47" s="1"/>
  <c r="AW174" i="47"/>
  <c r="AQ174" i="47"/>
  <c r="AR178" i="47"/>
  <c r="BP292" i="47"/>
  <c r="AQ237" i="47"/>
  <c r="AQ257" i="47"/>
  <c r="AQ259" i="47" s="1"/>
  <c r="AR259" i="47" s="1"/>
  <c r="AX259" i="47"/>
  <c r="AG124" i="47"/>
  <c r="AH115" i="47"/>
  <c r="AH124" i="47" s="1"/>
  <c r="AP141" i="47"/>
  <c r="AQ142" i="47"/>
  <c r="BA176" i="47"/>
  <c r="AZ176" i="47" s="1"/>
  <c r="AY176" i="47" s="1"/>
  <c r="AX176" i="47" s="1"/>
  <c r="BG176" i="47"/>
  <c r="BB190" i="47"/>
  <c r="BA190" i="47" s="1"/>
  <c r="AZ190" i="47" s="1"/>
  <c r="AY190" i="47" s="1"/>
  <c r="AX190" i="47" s="1"/>
  <c r="AO238" i="47"/>
  <c r="AO261" i="47"/>
  <c r="BC257" i="47"/>
  <c r="BD253" i="47"/>
  <c r="BF243" i="47"/>
  <c r="BE243" i="47" s="1"/>
  <c r="BD243" i="47" s="1"/>
  <c r="BC243" i="47" s="1"/>
  <c r="BG278" i="47"/>
  <c r="BZ244" i="47" s="1"/>
  <c r="BZ246" i="47" s="1"/>
  <c r="BL99" i="47"/>
  <c r="BH101" i="47"/>
  <c r="AL209" i="47"/>
  <c r="AK212" i="47"/>
  <c r="AK215" i="47"/>
  <c r="AK229" i="47"/>
  <c r="AK231" i="47" s="1"/>
  <c r="BJ292" i="47"/>
  <c r="BP175" i="47"/>
  <c r="BO175" i="47" s="1"/>
  <c r="BQ189" i="47"/>
  <c r="BP189" i="47" s="1"/>
  <c r="BO189" i="47" s="1"/>
  <c r="BN189" i="47" s="1"/>
  <c r="BM189" i="47" s="1"/>
  <c r="AH192" i="47"/>
  <c r="BY247" i="47"/>
  <c r="BB358" i="47"/>
  <c r="BF264" i="47"/>
  <c r="BE264" i="47" s="1"/>
  <c r="BD264" i="47" s="1"/>
  <c r="BC264" i="47" s="1"/>
  <c r="BL264" i="47"/>
  <c r="AF138" i="47"/>
  <c r="AE139" i="47"/>
  <c r="AT238" i="47"/>
  <c r="AT261" i="47"/>
  <c r="Y108" i="47"/>
  <c r="AC125" i="47"/>
  <c r="AC126" i="47" s="1"/>
  <c r="Z108" i="47"/>
  <c r="AA108" i="47"/>
  <c r="AB108" i="47"/>
  <c r="AC106" i="47"/>
  <c r="AC160" i="47"/>
  <c r="AC161" i="47" s="1"/>
  <c r="BD14" i="47"/>
  <c r="BD14" i="4" s="1"/>
  <c r="BI298" i="47"/>
  <c r="AX55" i="45"/>
  <c r="BA19" i="45"/>
  <c r="AQ21" i="45"/>
  <c r="AF61" i="45"/>
  <c r="AE71" i="45"/>
  <c r="AE68" i="45"/>
  <c r="BP12" i="45"/>
  <c r="BL12" i="45"/>
  <c r="BC58" i="45"/>
  <c r="AN79" i="45"/>
  <c r="AP79" i="45"/>
  <c r="AO79" i="45"/>
  <c r="BI19" i="45"/>
  <c r="AZ8" i="8"/>
  <c r="AZ104" i="8"/>
  <c r="AZ105" i="8" s="1"/>
  <c r="AY10" i="8"/>
  <c r="AZ9" i="8"/>
  <c r="AF62" i="8"/>
  <c r="AG235" i="8"/>
  <c r="AA62" i="8"/>
  <c r="AB235" i="8"/>
  <c r="AB62" i="8" s="1"/>
  <c r="BA93" i="8"/>
  <c r="BF89" i="8"/>
  <c r="BA91" i="8"/>
  <c r="BB89" i="8"/>
  <c r="BJ91" i="8"/>
  <c r="BO89" i="8"/>
  <c r="BJ93" i="8"/>
  <c r="BA163" i="8"/>
  <c r="BA165" i="8" s="1"/>
  <c r="BA220" i="8"/>
  <c r="BB220" i="8" s="1"/>
  <c r="BE96" i="8"/>
  <c r="AG223" i="8"/>
  <c r="BJ102" i="8"/>
  <c r="BE101" i="8"/>
  <c r="BE9" i="8" s="1"/>
  <c r="BJ14" i="8"/>
  <c r="BJ14" i="4" s="1"/>
  <c r="BO112" i="8"/>
  <c r="BO14" i="8" s="1"/>
  <c r="BO14" i="4" s="1"/>
  <c r="AJ223" i="8"/>
  <c r="AK223" i="8" s="1"/>
  <c r="BA102" i="8"/>
  <c r="AB219" i="8"/>
  <c r="AB224" i="8" s="1"/>
  <c r="AA236" i="8"/>
  <c r="AA63" i="8" s="1"/>
  <c r="AZ190" i="8"/>
  <c r="AN62" i="8"/>
  <c r="AO235" i="8"/>
  <c r="AG191" i="8"/>
  <c r="AG194" i="8"/>
  <c r="AG232" i="8" s="1"/>
  <c r="AG208" i="8"/>
  <c r="Z236" i="8"/>
  <c r="Z63" i="8" s="1"/>
  <c r="AX10" i="8"/>
  <c r="AZ209" i="5"/>
  <c r="BI14" i="5"/>
  <c r="BN130" i="5"/>
  <c r="BN14" i="5" s="1"/>
  <c r="AB238" i="5"/>
  <c r="AB243" i="5" s="1"/>
  <c r="AA255" i="5"/>
  <c r="AA80" i="5" s="1"/>
  <c r="BE140" i="5"/>
  <c r="BE153" i="5" s="1"/>
  <c r="BF145" i="5"/>
  <c r="AG79" i="5"/>
  <c r="AH254" i="5"/>
  <c r="BE114" i="5"/>
  <c r="BE99" i="5" s="1"/>
  <c r="BE144" i="5"/>
  <c r="BO106" i="5"/>
  <c r="BJ108" i="5"/>
  <c r="BJ112" i="5"/>
  <c r="BI108" i="5"/>
  <c r="BI112" i="5"/>
  <c r="BN106" i="5"/>
  <c r="AX157" i="5"/>
  <c r="AZ8" i="5"/>
  <c r="AZ122" i="5"/>
  <c r="AZ123" i="5" s="1"/>
  <c r="BI120" i="5"/>
  <c r="BD119" i="5"/>
  <c r="BD9" i="5" s="1"/>
  <c r="AH255" i="5"/>
  <c r="AH80" i="5" s="1"/>
  <c r="AH256" i="5"/>
  <c r="AH81" i="5" s="1"/>
  <c r="BH12" i="5"/>
  <c r="BM127" i="5"/>
  <c r="BI250" i="5"/>
  <c r="BK120" i="5"/>
  <c r="AY8" i="5"/>
  <c r="AY122" i="5"/>
  <c r="AY123" i="5" s="1"/>
  <c r="BP35" i="5"/>
  <c r="BL35" i="5"/>
  <c r="AH230" i="5"/>
  <c r="AH233" i="5"/>
  <c r="BE119" i="5"/>
  <c r="BE9" i="5" s="1"/>
  <c r="BD99" i="5"/>
  <c r="BJ12" i="5"/>
  <c r="BO127" i="5"/>
  <c r="BO12" i="5" s="1"/>
  <c r="AB227" i="5"/>
  <c r="AB210" i="5"/>
  <c r="AB213" i="5"/>
  <c r="AB251" i="5" s="1"/>
  <c r="S217" i="4"/>
  <c r="S220" i="4"/>
  <c r="S238" i="4"/>
  <c r="S237" i="4"/>
  <c r="AB39" i="4"/>
  <c r="AB46" i="4" s="1"/>
  <c r="AB118" i="4"/>
  <c r="AB119" i="4"/>
  <c r="L232" i="4"/>
  <c r="L239" i="4" s="1"/>
  <c r="J232" i="4"/>
  <c r="J239" i="4" s="1"/>
  <c r="K232" i="4"/>
  <c r="K239" i="4" s="1"/>
  <c r="H232" i="4"/>
  <c r="H239" i="4" s="1"/>
  <c r="BC176" i="4"/>
  <c r="AM220" i="4"/>
  <c r="AM238" i="4"/>
  <c r="DE24" i="3" s="1"/>
  <c r="AM217" i="4"/>
  <c r="AM237" i="4"/>
  <c r="DE23" i="3" s="1"/>
  <c r="BG65" i="4"/>
  <c r="R217" i="4"/>
  <c r="R220" i="4"/>
  <c r="R238" i="4"/>
  <c r="R237" i="4"/>
  <c r="AG232" i="4"/>
  <c r="AG239" i="4" s="1"/>
  <c r="AK232" i="4"/>
  <c r="AK239" i="4" s="1"/>
  <c r="AI232" i="4"/>
  <c r="AI239" i="4" s="1"/>
  <c r="AJ232" i="4"/>
  <c r="AJ239" i="4" s="1"/>
  <c r="V55" i="4"/>
  <c r="V230" i="4"/>
  <c r="V234" i="4"/>
  <c r="AC55" i="4"/>
  <c r="AC230" i="4"/>
  <c r="AC234" i="4"/>
  <c r="Q55" i="4"/>
  <c r="R230" i="4"/>
  <c r="T230" i="4"/>
  <c r="T234" i="4"/>
  <c r="R234" i="4"/>
  <c r="U234" i="4"/>
  <c r="U230" i="4"/>
  <c r="O156" i="4"/>
  <c r="S156" i="4"/>
  <c r="S159" i="4" s="1"/>
  <c r="H39" i="4"/>
  <c r="H46" i="4" s="1"/>
  <c r="H118" i="4"/>
  <c r="H119" i="4"/>
  <c r="AZ177" i="4"/>
  <c r="AY179" i="4"/>
  <c r="M232" i="4"/>
  <c r="M239" i="4" s="1"/>
  <c r="O232" i="4"/>
  <c r="O239" i="4" s="1"/>
  <c r="P232" i="4"/>
  <c r="P239" i="4" s="1"/>
  <c r="Q232" i="4"/>
  <c r="Q239" i="4" s="1"/>
  <c r="AU55" i="4"/>
  <c r="BE72" i="4"/>
  <c r="BE150" i="4"/>
  <c r="BF73" i="4"/>
  <c r="BA72" i="4"/>
  <c r="BA150" i="4"/>
  <c r="BJ64" i="4"/>
  <c r="BL64" i="4" s="1"/>
  <c r="BL30" i="3" s="1"/>
  <c r="BI65" i="4"/>
  <c r="M39" i="4"/>
  <c r="M46" i="4" s="1"/>
  <c r="M118" i="4"/>
  <c r="M119" i="4"/>
  <c r="Z55" i="4"/>
  <c r="R68" i="4"/>
  <c r="S240" i="4"/>
  <c r="S243" i="4"/>
  <c r="AL39" i="4"/>
  <c r="AL46" i="4" s="1"/>
  <c r="AL118" i="4"/>
  <c r="AL119" i="4"/>
  <c r="AI55" i="4"/>
  <c r="BN64" i="4"/>
  <c r="BM65" i="4"/>
  <c r="AN55" i="4"/>
  <c r="BK72" i="4"/>
  <c r="BL72" i="4" s="1"/>
  <c r="BK150" i="4"/>
  <c r="BK126" i="4" s="1"/>
  <c r="AE232" i="4"/>
  <c r="AE239" i="4" s="1"/>
  <c r="AB232" i="4"/>
  <c r="AB239" i="4" s="1"/>
  <c r="AF232" i="4"/>
  <c r="AF239" i="4" s="1"/>
  <c r="AD232" i="4"/>
  <c r="AD239" i="4" s="1"/>
  <c r="AG39" i="4"/>
  <c r="AG46" i="4" s="1"/>
  <c r="AG118" i="4"/>
  <c r="AG119" i="4"/>
  <c r="AH55" i="4"/>
  <c r="AH230" i="4"/>
  <c r="AH234" i="4"/>
  <c r="S56" i="4"/>
  <c r="S68" i="4"/>
  <c r="X56" i="4"/>
  <c r="AN232" i="4"/>
  <c r="AN239" i="4" s="1"/>
  <c r="AP232" i="4"/>
  <c r="AP239" i="4" s="1"/>
  <c r="AO232" i="4"/>
  <c r="AO239" i="4" s="1"/>
  <c r="AL232" i="4"/>
  <c r="AL239" i="4" s="1"/>
  <c r="BB219" i="4"/>
  <c r="DT15" i="3" s="1"/>
  <c r="BC197" i="4"/>
  <c r="BA12" i="10" l="1"/>
  <c r="BF94" i="4"/>
  <c r="BF99" i="4" s="1"/>
  <c r="BF141" i="4" s="1"/>
  <c r="BF182" i="5"/>
  <c r="BF184" i="5" s="1"/>
  <c r="BF239" i="5"/>
  <c r="BE94" i="4"/>
  <c r="BE99" i="4" s="1"/>
  <c r="BE141" i="4" s="1"/>
  <c r="BE143" i="4" s="1"/>
  <c r="BE182" i="5"/>
  <c r="BE184" i="5" s="1"/>
  <c r="BE239" i="5"/>
  <c r="BG149" i="5"/>
  <c r="AJ24" i="4"/>
  <c r="AJ222" i="47"/>
  <c r="BH96" i="4"/>
  <c r="AJ71" i="45"/>
  <c r="AJ68" i="45"/>
  <c r="AK61" i="45"/>
  <c r="AK68" i="45" s="1"/>
  <c r="AQ340" i="47"/>
  <c r="AQ346" i="47" s="1"/>
  <c r="AL43" i="47"/>
  <c r="AL340" i="47"/>
  <c r="AL346" i="47" s="1"/>
  <c r="AQ62" i="9"/>
  <c r="AV340" i="47"/>
  <c r="AV346" i="47" s="1"/>
  <c r="AV59" i="9" s="1"/>
  <c r="AV58" i="9" s="1"/>
  <c r="AV43" i="47"/>
  <c r="AS238" i="47"/>
  <c r="AR14" i="3"/>
  <c r="AW67" i="47"/>
  <c r="AV62" i="47"/>
  <c r="DR291" i="10"/>
  <c r="BD12" i="10"/>
  <c r="DM291" i="10"/>
  <c r="AP67" i="9"/>
  <c r="DD10" i="10"/>
  <c r="BA112" i="4" s="1"/>
  <c r="DK291" i="10"/>
  <c r="AB176" i="8"/>
  <c r="AB178" i="8" s="1"/>
  <c r="DF10" i="10"/>
  <c r="DL291" i="10"/>
  <c r="AB68" i="9"/>
  <c r="AB67" i="9" s="1"/>
  <c r="DQ291" i="10"/>
  <c r="BV291" i="10"/>
  <c r="BF184" i="4"/>
  <c r="BG184" i="4" s="1"/>
  <c r="DP10" i="10"/>
  <c r="BM112" i="4" s="1"/>
  <c r="DB10" i="10"/>
  <c r="AY112" i="4" s="1"/>
  <c r="DQ10" i="10"/>
  <c r="BN112" i="4" s="1"/>
  <c r="DP291" i="10"/>
  <c r="DH10" i="10"/>
  <c r="BE112" i="4" s="1"/>
  <c r="DS10" i="10"/>
  <c r="BF168" i="5"/>
  <c r="DA10" i="10"/>
  <c r="AX112" i="4" s="1"/>
  <c r="DM10" i="10"/>
  <c r="BJ112" i="4" s="1"/>
  <c r="DG10" i="10"/>
  <c r="BQ12" i="10"/>
  <c r="DL10" i="10"/>
  <c r="BI112" i="4" s="1"/>
  <c r="K159" i="4"/>
  <c r="L156" i="4" s="1"/>
  <c r="O159" i="4"/>
  <c r="P156" i="4" s="1"/>
  <c r="CQ159" i="4"/>
  <c r="CU156" i="4"/>
  <c r="CR156" i="4"/>
  <c r="CR159" i="4" s="1"/>
  <c r="AH48" i="5"/>
  <c r="AA361" i="47"/>
  <c r="AA363" i="47" s="1"/>
  <c r="DK10" i="10"/>
  <c r="BH112" i="4" s="1"/>
  <c r="AF70" i="9"/>
  <c r="AJ68" i="9"/>
  <c r="AJ67" i="9" s="1"/>
  <c r="DR10" i="10"/>
  <c r="BO112" i="4" s="1"/>
  <c r="BG145" i="4"/>
  <c r="DY61" i="3" s="1"/>
  <c r="AJ361" i="47"/>
  <c r="AJ363" i="47" s="1"/>
  <c r="AY184" i="4"/>
  <c r="BJ184" i="4"/>
  <c r="AO68" i="9"/>
  <c r="AO67" i="9" s="1"/>
  <c r="AL195" i="5"/>
  <c r="AL197" i="5" s="1"/>
  <c r="AI195" i="5"/>
  <c r="AD68" i="9"/>
  <c r="AD67" i="9" s="1"/>
  <c r="Y67" i="9"/>
  <c r="BD184" i="4"/>
  <c r="BI184" i="4"/>
  <c r="AL176" i="8"/>
  <c r="AL178" i="8" s="1"/>
  <c r="AK67" i="9"/>
  <c r="AC150" i="47"/>
  <c r="BQ94" i="47"/>
  <c r="AV38" i="47"/>
  <c r="BB72" i="4"/>
  <c r="AK220" i="47"/>
  <c r="BQ35" i="5"/>
  <c r="BP43" i="4"/>
  <c r="BP151" i="4" s="1"/>
  <c r="BJ96" i="8"/>
  <c r="BJ82" i="8" s="1"/>
  <c r="BQ34" i="47"/>
  <c r="BN43" i="4"/>
  <c r="BA348" i="47"/>
  <c r="BA350" i="47" s="1"/>
  <c r="BA93" i="4"/>
  <c r="BM61" i="47"/>
  <c r="AL47" i="5"/>
  <c r="AL79" i="4" s="1"/>
  <c r="AL94" i="44"/>
  <c r="AL220" i="5"/>
  <c r="AB47" i="5"/>
  <c r="AB79" i="4" s="1"/>
  <c r="AB94" i="44"/>
  <c r="AM176" i="8"/>
  <c r="AM178" i="8" s="1"/>
  <c r="DE39" i="3"/>
  <c r="DE51" i="3" s="1"/>
  <c r="AP361" i="47"/>
  <c r="AP363" i="47" s="1"/>
  <c r="AP59" i="9"/>
  <c r="AL361" i="47"/>
  <c r="AL363" i="47" s="1"/>
  <c r="AL59" i="9"/>
  <c r="AB44" i="8"/>
  <c r="AB80" i="4" s="1"/>
  <c r="AB95" i="44"/>
  <c r="AE361" i="47"/>
  <c r="AE363" i="47" s="1"/>
  <c r="AT44" i="47"/>
  <c r="AT78" i="4" s="1"/>
  <c r="AT97" i="44"/>
  <c r="AC176" i="8"/>
  <c r="AC178" i="8" s="1"/>
  <c r="CU39" i="3"/>
  <c r="CU51" i="3" s="1"/>
  <c r="BO12" i="9"/>
  <c r="BJ15" i="9"/>
  <c r="AN58" i="9"/>
  <c r="AS48" i="5"/>
  <c r="AS79" i="4"/>
  <c r="AA100" i="44"/>
  <c r="AY100" i="47"/>
  <c r="AY99" i="47"/>
  <c r="BK157" i="5"/>
  <c r="Y45" i="9"/>
  <c r="Y83" i="4" s="1"/>
  <c r="Y84" i="4" s="1"/>
  <c r="Y99" i="44"/>
  <c r="BK118" i="4"/>
  <c r="BL252" i="4"/>
  <c r="BQ45" i="66"/>
  <c r="BP45" i="66" s="1"/>
  <c r="BO45" i="66" s="1"/>
  <c r="BN45" i="66" s="1"/>
  <c r="BM45" i="66" s="1"/>
  <c r="BQ59" i="8"/>
  <c r="BP59" i="8" s="1"/>
  <c r="BO59" i="8" s="1"/>
  <c r="BN59" i="8" s="1"/>
  <c r="BM59" i="8" s="1"/>
  <c r="BQ76" i="5"/>
  <c r="BP76" i="5" s="1"/>
  <c r="BO76" i="5" s="1"/>
  <c r="BN76" i="5" s="1"/>
  <c r="BM76" i="5" s="1"/>
  <c r="BB98" i="44"/>
  <c r="AU45" i="8"/>
  <c r="AU80" i="4"/>
  <c r="AX184" i="4"/>
  <c r="AR193" i="5"/>
  <c r="AR68" i="9" s="1"/>
  <c r="AR65" i="9"/>
  <c r="AR51" i="9" s="1"/>
  <c r="AJ26" i="9"/>
  <c r="AJ30" i="9" s="1"/>
  <c r="AJ37" i="9" s="1"/>
  <c r="AJ22" i="9"/>
  <c r="BH89" i="8"/>
  <c r="BC93" i="8"/>
  <c r="BC91" i="8"/>
  <c r="X70" i="9"/>
  <c r="X58" i="9"/>
  <c r="BO150" i="4"/>
  <c r="BO126" i="4" s="1"/>
  <c r="BO72" i="4"/>
  <c r="BP73" i="4"/>
  <c r="DB208" i="10"/>
  <c r="DG208" i="10"/>
  <c r="DG213" i="10" s="1"/>
  <c r="DF208" i="10"/>
  <c r="DF213" i="10" s="1"/>
  <c r="DD208" i="10"/>
  <c r="DA208" i="10"/>
  <c r="DJ208" i="10"/>
  <c r="DO208" i="10" s="1"/>
  <c r="DT208" i="10" s="1"/>
  <c r="DH208" i="10"/>
  <c r="DH213" i="10" s="1"/>
  <c r="DI208" i="10"/>
  <c r="DI213" i="10" s="1"/>
  <c r="DC208" i="10"/>
  <c r="BL43" i="4"/>
  <c r="BG106" i="4"/>
  <c r="BE12" i="10"/>
  <c r="AG127" i="4"/>
  <c r="AG129" i="4" s="1"/>
  <c r="AG39" i="9"/>
  <c r="AG56" i="9"/>
  <c r="AG44" i="9"/>
  <c r="AN84" i="4"/>
  <c r="BH184" i="4"/>
  <c r="AQ228" i="5"/>
  <c r="BM9" i="9"/>
  <c r="BH15" i="9"/>
  <c r="BQ91" i="44"/>
  <c r="BQ147" i="5"/>
  <c r="BQ88" i="44"/>
  <c r="BQ37" i="5"/>
  <c r="BP40" i="4"/>
  <c r="AE67" i="9"/>
  <c r="AI65" i="9"/>
  <c r="AI51" i="9" s="1"/>
  <c r="DQ210" i="10"/>
  <c r="DQ213" i="10" s="1"/>
  <c r="DS210" i="10"/>
  <c r="DS213" i="10" s="1"/>
  <c r="DN210" i="10"/>
  <c r="DN213" i="10" s="1"/>
  <c r="DL210" i="10"/>
  <c r="DL213" i="10" s="1"/>
  <c r="DR210" i="10"/>
  <c r="DR213" i="10" s="1"/>
  <c r="DP210" i="10"/>
  <c r="DP213" i="10" s="1"/>
  <c r="DM210" i="10"/>
  <c r="DM213" i="10" s="1"/>
  <c r="DK210" i="10"/>
  <c r="DK213" i="10" s="1"/>
  <c r="DT210" i="10"/>
  <c r="AA59" i="9"/>
  <c r="AH83" i="4"/>
  <c r="AF80" i="4"/>
  <c r="AK45" i="8"/>
  <c r="BB146" i="4"/>
  <c r="DT62" i="3" s="1"/>
  <c r="AM51" i="3"/>
  <c r="AR31" i="3"/>
  <c r="AR44" i="3" s="1"/>
  <c r="AR53" i="3"/>
  <c r="AR55" i="3" s="1"/>
  <c r="AR43" i="3" s="1"/>
  <c r="BB22" i="56"/>
  <c r="BP66" i="47"/>
  <c r="BP61" i="47" s="1"/>
  <c r="AM48" i="5"/>
  <c r="AM79" i="4"/>
  <c r="X80" i="4"/>
  <c r="X11" i="3" s="1"/>
  <c r="AM361" i="47"/>
  <c r="AM363" i="47" s="1"/>
  <c r="Y361" i="47"/>
  <c r="Y363" i="47" s="1"/>
  <c r="Y59" i="9"/>
  <c r="Y70" i="9" s="1"/>
  <c r="AP387" i="47"/>
  <c r="AP397" i="47" s="1"/>
  <c r="AP97" i="44"/>
  <c r="AP100" i="44" s="1"/>
  <c r="AG361" i="47"/>
  <c r="AG363" i="47" s="1"/>
  <c r="AQ44" i="47"/>
  <c r="AQ78" i="4" s="1"/>
  <c r="AQ97" i="44"/>
  <c r="AL44" i="47"/>
  <c r="AL78" i="4" s="1"/>
  <c r="AL97" i="44"/>
  <c r="AK361" i="47"/>
  <c r="AK363" i="47" s="1"/>
  <c r="AK59" i="9"/>
  <c r="AK70" i="9" s="1"/>
  <c r="AH361" i="47"/>
  <c r="AH363" i="47" s="1"/>
  <c r="AM127" i="4"/>
  <c r="AM129" i="4" s="1"/>
  <c r="AM39" i="9"/>
  <c r="AM44" i="9"/>
  <c r="AM56" i="9"/>
  <c r="BI109" i="8"/>
  <c r="BD12" i="8"/>
  <c r="BK57" i="9"/>
  <c r="BL13" i="9"/>
  <c r="BL57" i="9" s="1"/>
  <c r="BP13" i="9"/>
  <c r="BP57" i="9" s="1"/>
  <c r="AF58" i="9"/>
  <c r="AC45" i="9"/>
  <c r="AC99" i="44"/>
  <c r="BI76" i="5"/>
  <c r="BJ157" i="5"/>
  <c r="BI19" i="9"/>
  <c r="BN19" i="9" s="1"/>
  <c r="AD59" i="9"/>
  <c r="AD58" i="9"/>
  <c r="AN193" i="5"/>
  <c r="AN65" i="9"/>
  <c r="AN51" i="9" s="1"/>
  <c r="Z127" i="4"/>
  <c r="Z129" i="4" s="1"/>
  <c r="Z56" i="9"/>
  <c r="Z44" i="9"/>
  <c r="Z39" i="9"/>
  <c r="AB127" i="4"/>
  <c r="AB129" i="4" s="1"/>
  <c r="AB39" i="9"/>
  <c r="AB44" i="9"/>
  <c r="AB56" i="9"/>
  <c r="BL98" i="44"/>
  <c r="AL20" i="4"/>
  <c r="AL19" i="45"/>
  <c r="AT39" i="9"/>
  <c r="AT56" i="9"/>
  <c r="AT58" i="9" s="1"/>
  <c r="AT44" i="9"/>
  <c r="BN184" i="4"/>
  <c r="AD79" i="4"/>
  <c r="AD48" i="5"/>
  <c r="AZ99" i="47"/>
  <c r="AZ100" i="47"/>
  <c r="BD96" i="8"/>
  <c r="BD101" i="8"/>
  <c r="BD9" i="8" s="1"/>
  <c r="BP20" i="8"/>
  <c r="BQ20" i="8" s="1"/>
  <c r="BL20" i="8"/>
  <c r="AO45" i="9"/>
  <c r="AO83" i="4" s="1"/>
  <c r="AO99" i="44"/>
  <c r="AO100" i="44" s="1"/>
  <c r="AL68" i="9"/>
  <c r="AL67" i="9" s="1"/>
  <c r="AI68" i="9"/>
  <c r="BH210" i="10"/>
  <c r="BH213" i="10" s="1"/>
  <c r="BG210" i="10"/>
  <c r="BG213" i="10" s="1"/>
  <c r="BI210" i="10"/>
  <c r="BI213" i="10" s="1"/>
  <c r="BJ213" i="10"/>
  <c r="BF210" i="10"/>
  <c r="BF213" i="10" s="1"/>
  <c r="AA61" i="45"/>
  <c r="Z71" i="45"/>
  <c r="Z68" i="45"/>
  <c r="BL33" i="3"/>
  <c r="BL31" i="3"/>
  <c r="BL44" i="3" s="1"/>
  <c r="BF112" i="4"/>
  <c r="BP112" i="4"/>
  <c r="BA22" i="56"/>
  <c r="BO66" i="47"/>
  <c r="BO61" i="47" s="1"/>
  <c r="AJ220" i="5"/>
  <c r="AG94" i="44"/>
  <c r="AK48" i="5"/>
  <c r="AK79" i="4"/>
  <c r="AN205" i="8"/>
  <c r="AN236" i="8" s="1"/>
  <c r="AN63" i="8" s="1"/>
  <c r="AL95" i="44"/>
  <c r="AL391" i="47"/>
  <c r="AR361" i="47"/>
  <c r="AR363" i="47" s="1"/>
  <c r="AE44" i="47"/>
  <c r="AE78" i="4" s="1"/>
  <c r="AE97" i="44"/>
  <c r="AE100" i="44" s="1"/>
  <c r="AL12" i="66"/>
  <c r="AL28" i="9"/>
  <c r="AR38" i="66"/>
  <c r="AR82" i="4" s="1"/>
  <c r="AR98" i="44"/>
  <c r="AG67" i="9"/>
  <c r="BA153" i="5"/>
  <c r="BB153" i="5" s="1"/>
  <c r="BB140" i="5"/>
  <c r="AK12" i="9"/>
  <c r="AK15" i="9" s="1"/>
  <c r="AK17" i="9" s="1"/>
  <c r="AK15" i="66"/>
  <c r="AK17" i="66" s="1"/>
  <c r="AK50" i="66"/>
  <c r="AM50" i="66" s="1"/>
  <c r="AM51" i="66" s="1"/>
  <c r="AF48" i="5"/>
  <c r="AA79" i="4"/>
  <c r="BA100" i="47"/>
  <c r="BA99" i="47"/>
  <c r="BF252" i="4"/>
  <c r="BE118" i="4"/>
  <c r="AD361" i="47"/>
  <c r="AD363" i="47" s="1"/>
  <c r="BA184" i="4"/>
  <c r="BB184" i="4" s="1"/>
  <c r="BG146" i="4"/>
  <c r="DY62" i="3" s="1"/>
  <c r="AQ21" i="9"/>
  <c r="AD45" i="9"/>
  <c r="AD83" i="4" s="1"/>
  <c r="AD99" i="44"/>
  <c r="AD100" i="44" s="1"/>
  <c r="AV208" i="10"/>
  <c r="AV213" i="10" s="1"/>
  <c r="AZ213" i="10"/>
  <c r="AW208" i="10"/>
  <c r="AW213" i="10" s="1"/>
  <c r="AX208" i="10"/>
  <c r="AX213" i="10" s="1"/>
  <c r="AY208" i="10"/>
  <c r="AY213" i="10" s="1"/>
  <c r="BN57" i="9"/>
  <c r="BN15" i="9"/>
  <c r="BQ146" i="4"/>
  <c r="EI62" i="3" s="1"/>
  <c r="Y100" i="44"/>
  <c r="AX206" i="47"/>
  <c r="AX63" i="47"/>
  <c r="BB63" i="47" s="1"/>
  <c r="BB62" i="47"/>
  <c r="BB96" i="47" s="1"/>
  <c r="BK184" i="4"/>
  <c r="BL184" i="4" s="1"/>
  <c r="BL146" i="4"/>
  <c r="ED62" i="3" s="1"/>
  <c r="AS45" i="9"/>
  <c r="AS83" i="4" s="1"/>
  <c r="AS84" i="4" s="1"/>
  <c r="AS99" i="44"/>
  <c r="AS100" i="44" s="1"/>
  <c r="BI93" i="8"/>
  <c r="BN89" i="8"/>
  <c r="BI91" i="8"/>
  <c r="AM193" i="5"/>
  <c r="AM68" i="9" s="1"/>
  <c r="AM65" i="9"/>
  <c r="AM51" i="9" s="1"/>
  <c r="BH19" i="9"/>
  <c r="BH27" i="4" s="1"/>
  <c r="BC27" i="4"/>
  <c r="AY118" i="4"/>
  <c r="AZ252" i="4"/>
  <c r="X84" i="4"/>
  <c r="AI71" i="45"/>
  <c r="AI68" i="45"/>
  <c r="BM96" i="47"/>
  <c r="BQ62" i="47"/>
  <c r="BM206" i="47"/>
  <c r="BM184" i="4"/>
  <c r="BP348" i="47"/>
  <c r="BP350" i="47" s="1"/>
  <c r="BP93" i="4"/>
  <c r="BD112" i="4"/>
  <c r="BC112" i="4"/>
  <c r="AZ22" i="56"/>
  <c r="BN66" i="47"/>
  <c r="BN61" i="47" s="1"/>
  <c r="AC10" i="3"/>
  <c r="AO45" i="8"/>
  <c r="AO80" i="4"/>
  <c r="AO84" i="4" s="1"/>
  <c r="AG44" i="47"/>
  <c r="AG78" i="4" s="1"/>
  <c r="AG97" i="44"/>
  <c r="AQ361" i="47"/>
  <c r="AQ363" i="47" s="1"/>
  <c r="BO109" i="8"/>
  <c r="BO12" i="8" s="1"/>
  <c r="BJ12" i="8"/>
  <c r="AC95" i="44"/>
  <c r="AC201" i="8"/>
  <c r="AC205" i="8"/>
  <c r="AC44" i="8"/>
  <c r="AC80" i="4" s="1"/>
  <c r="BQ31" i="9"/>
  <c r="BM40" i="4"/>
  <c r="BQ40" i="4" s="1"/>
  <c r="BF9" i="9"/>
  <c r="BF15" i="9" s="1"/>
  <c r="BB9" i="9"/>
  <c r="BK298" i="47"/>
  <c r="BF14" i="47"/>
  <c r="BG14" i="47" s="1"/>
  <c r="AI127" i="4"/>
  <c r="AI129" i="4" s="1"/>
  <c r="AI39" i="9"/>
  <c r="AI56" i="9"/>
  <c r="AI44" i="9"/>
  <c r="AK21" i="45"/>
  <c r="AK19" i="9"/>
  <c r="AX149" i="5"/>
  <c r="AY147" i="5"/>
  <c r="AZ147" i="5" s="1"/>
  <c r="AZ149" i="5" s="1"/>
  <c r="AZ94" i="4" s="1"/>
  <c r="AZ99" i="4" s="1"/>
  <c r="AZ141" i="4" s="1"/>
  <c r="AZ143" i="4" s="1"/>
  <c r="AZ184" i="4"/>
  <c r="AF45" i="9"/>
  <c r="AF83" i="4" s="1"/>
  <c r="AF84" i="4" s="1"/>
  <c r="AF99" i="44"/>
  <c r="AF100" i="44" s="1"/>
  <c r="AU44" i="9"/>
  <c r="AU56" i="9"/>
  <c r="AU58" i="9" s="1"/>
  <c r="AU39" i="9"/>
  <c r="BI20" i="5"/>
  <c r="BC12" i="10"/>
  <c r="AI59" i="9"/>
  <c r="AQ210" i="5"/>
  <c r="AQ213" i="5"/>
  <c r="AQ251" i="5" s="1"/>
  <c r="AQ227" i="5"/>
  <c r="Z372" i="47"/>
  <c r="AA371" i="47"/>
  <c r="AA372" i="47" s="1"/>
  <c r="AH36" i="8"/>
  <c r="AG33" i="8"/>
  <c r="AG36" i="8" s="1"/>
  <c r="AO58" i="9"/>
  <c r="CP50" i="3"/>
  <c r="CP40" i="3"/>
  <c r="CP52" i="3" s="1"/>
  <c r="BE184" i="4"/>
  <c r="AQ216" i="5"/>
  <c r="AG216" i="5"/>
  <c r="AG227" i="5"/>
  <c r="AG210" i="5"/>
  <c r="AG213" i="5"/>
  <c r="AG251" i="5" s="1"/>
  <c r="BH109" i="8"/>
  <c r="BC12" i="8"/>
  <c r="BH147" i="5"/>
  <c r="BI147" i="5" s="1"/>
  <c r="BI149" i="5" s="1"/>
  <c r="BC184" i="4"/>
  <c r="BK12" i="9"/>
  <c r="X15" i="3"/>
  <c r="BB293" i="47"/>
  <c r="AM189" i="47"/>
  <c r="AG387" i="47"/>
  <c r="AO387" i="47"/>
  <c r="AO400" i="47" s="1"/>
  <c r="AT45" i="8"/>
  <c r="AF224" i="8"/>
  <c r="AL205" i="8"/>
  <c r="AA44" i="8"/>
  <c r="AB205" i="8"/>
  <c r="AB236" i="8" s="1"/>
  <c r="AB63" i="8" s="1"/>
  <c r="AB201" i="8"/>
  <c r="AM174" i="5"/>
  <c r="AM180" i="5" s="1"/>
  <c r="AJ224" i="5"/>
  <c r="AJ255" i="5" s="1"/>
  <c r="AJ80" i="5" s="1"/>
  <c r="T68" i="4"/>
  <c r="T56" i="4"/>
  <c r="CF297" i="10"/>
  <c r="CA303" i="10"/>
  <c r="CA313" i="10" s="1"/>
  <c r="AP400" i="47"/>
  <c r="AC43" i="47"/>
  <c r="AC38" i="47"/>
  <c r="AC97" i="44" s="1"/>
  <c r="AC340" i="47"/>
  <c r="AC346" i="47" s="1"/>
  <c r="BG177" i="47"/>
  <c r="BB191" i="47"/>
  <c r="BA191" i="47" s="1"/>
  <c r="AZ191" i="47" s="1"/>
  <c r="AY191" i="47" s="1"/>
  <c r="AX191" i="47" s="1"/>
  <c r="BA177" i="47"/>
  <c r="AZ177" i="47" s="1"/>
  <c r="AY177" i="47" s="1"/>
  <c r="AX177" i="47" s="1"/>
  <c r="AH44" i="47"/>
  <c r="AH78" i="4" s="1"/>
  <c r="AH387" i="47"/>
  <c r="AH391" i="47"/>
  <c r="AG185" i="47"/>
  <c r="AM44" i="47"/>
  <c r="AM78" i="4" s="1"/>
  <c r="AM387" i="47"/>
  <c r="AM391" i="47"/>
  <c r="AJ387" i="47"/>
  <c r="AN387" i="47"/>
  <c r="AT391" i="47"/>
  <c r="AP391" i="47"/>
  <c r="CK258" i="47"/>
  <c r="CK260" i="47" s="1"/>
  <c r="CB258" i="47"/>
  <c r="CA258" i="47"/>
  <c r="CA271" i="47" s="1"/>
  <c r="AI177" i="47"/>
  <c r="AI191" i="47" s="1"/>
  <c r="AJ191" i="47"/>
  <c r="CB257" i="47"/>
  <c r="CA270" i="47"/>
  <c r="AU391" i="47"/>
  <c r="AK44" i="47"/>
  <c r="AK78" i="4" s="1"/>
  <c r="AK391" i="47"/>
  <c r="AK387" i="47"/>
  <c r="AA185" i="47"/>
  <c r="AW269" i="47"/>
  <c r="Y381" i="47"/>
  <c r="Y382" i="47" s="1"/>
  <c r="Z378" i="47"/>
  <c r="AG391" i="47"/>
  <c r="AN391" i="47"/>
  <c r="AL387" i="47"/>
  <c r="AR44" i="47"/>
  <c r="AR391" i="47"/>
  <c r="AR387" i="47"/>
  <c r="AT387" i="47"/>
  <c r="AT400" i="47" s="1"/>
  <c r="AQ391" i="47"/>
  <c r="AP44" i="47"/>
  <c r="AP78" i="4" s="1"/>
  <c r="AP84" i="4" s="1"/>
  <c r="AS391" i="47"/>
  <c r="AS387" i="47"/>
  <c r="AQ387" i="47"/>
  <c r="AW271" i="47"/>
  <c r="AW273" i="47" s="1"/>
  <c r="AH141" i="47"/>
  <c r="AG400" i="47"/>
  <c r="AG397" i="47"/>
  <c r="AI387" i="47"/>
  <c r="AU387" i="47"/>
  <c r="AU400" i="47" s="1"/>
  <c r="AO391" i="47"/>
  <c r="BQ254" i="47"/>
  <c r="BQ253" i="47" s="1"/>
  <c r="BP241" i="47"/>
  <c r="BO241" i="47" s="1"/>
  <c r="BN241" i="47" s="1"/>
  <c r="BM241" i="47" s="1"/>
  <c r="AB38" i="47"/>
  <c r="AB97" i="44" s="1"/>
  <c r="AB43" i="47"/>
  <c r="AB340" i="47"/>
  <c r="AB346" i="47" s="1"/>
  <c r="AI391" i="47"/>
  <c r="AL223" i="8"/>
  <c r="AJ224" i="8"/>
  <c r="AM44" i="8"/>
  <c r="AM80" i="4" s="1"/>
  <c r="AM201" i="8"/>
  <c r="AM205" i="8"/>
  <c r="AD205" i="8"/>
  <c r="AD236" i="8" s="1"/>
  <c r="AD63" i="8" s="1"/>
  <c r="AE201" i="8"/>
  <c r="AD44" i="8"/>
  <c r="AI45" i="8" s="1"/>
  <c r="AE205" i="8"/>
  <c r="AE236" i="8" s="1"/>
  <c r="AE63" i="8" s="1"/>
  <c r="AF205" i="8"/>
  <c r="AD201" i="8"/>
  <c r="AF201" i="8"/>
  <c r="BM102" i="8"/>
  <c r="X214" i="8"/>
  <c r="X211" i="8"/>
  <c r="AQ43" i="8"/>
  <c r="AQ38" i="8"/>
  <c r="AQ95" i="44" s="1"/>
  <c r="AQ155" i="8"/>
  <c r="AQ161" i="8" s="1"/>
  <c r="AQ176" i="8" s="1"/>
  <c r="AQ178" i="8" s="1"/>
  <c r="BN112" i="8"/>
  <c r="BN14" i="8" s="1"/>
  <c r="BI14" i="8"/>
  <c r="X236" i="8"/>
  <c r="X63" i="8" s="1"/>
  <c r="X237" i="8"/>
  <c r="X64" i="8" s="1"/>
  <c r="AR38" i="8"/>
  <c r="AR95" i="44" s="1"/>
  <c r="AR155" i="8"/>
  <c r="AR161" i="8" s="1"/>
  <c r="AR43" i="8"/>
  <c r="AL44" i="8"/>
  <c r="AL80" i="4" s="1"/>
  <c r="AP205" i="8"/>
  <c r="AP236" i="8" s="1"/>
  <c r="AP63" i="8" s="1"/>
  <c r="AP201" i="8"/>
  <c r="AO205" i="8"/>
  <c r="AO236" i="8" s="1"/>
  <c r="AO63" i="8" s="1"/>
  <c r="AL201" i="8"/>
  <c r="AN201" i="8"/>
  <c r="AO201" i="8"/>
  <c r="BH14" i="8"/>
  <c r="BM112" i="8"/>
  <c r="BM14" i="8" s="1"/>
  <c r="AN45" i="8"/>
  <c r="AS45" i="8"/>
  <c r="AJ233" i="5"/>
  <c r="AJ230" i="5"/>
  <c r="AM255" i="5"/>
  <c r="AM80" i="5" s="1"/>
  <c r="AM256" i="5"/>
  <c r="AM81" i="5" s="1"/>
  <c r="X255" i="5"/>
  <c r="X80" i="5" s="1"/>
  <c r="X256" i="5"/>
  <c r="X81" i="5" s="1"/>
  <c r="AE180" i="5"/>
  <c r="AE195" i="5" s="1"/>
  <c r="AE197" i="5" s="1"/>
  <c r="AH174" i="5"/>
  <c r="AH180" i="5" s="1"/>
  <c r="BM130" i="5"/>
  <c r="BH14" i="5"/>
  <c r="AP48" i="5"/>
  <c r="AU48" i="5"/>
  <c r="AM233" i="5"/>
  <c r="AM230" i="5"/>
  <c r="AK224" i="5"/>
  <c r="AK255" i="5" s="1"/>
  <c r="AK80" i="5" s="1"/>
  <c r="AF224" i="5"/>
  <c r="AF255" i="5" s="1"/>
  <c r="AF80" i="5" s="1"/>
  <c r="AE224" i="5"/>
  <c r="AE255" i="5" s="1"/>
  <c r="AE80" i="5" s="1"/>
  <c r="AE220" i="5"/>
  <c r="AE47" i="5"/>
  <c r="AF220" i="5"/>
  <c r="AI224" i="5"/>
  <c r="AI255" i="5" s="1"/>
  <c r="AI80" i="5" s="1"/>
  <c r="AG220" i="5"/>
  <c r="AI220" i="5"/>
  <c r="AG224" i="5"/>
  <c r="AG255" i="5" s="1"/>
  <c r="AG80" i="5" s="1"/>
  <c r="Z47" i="5"/>
  <c r="Z79" i="4" s="1"/>
  <c r="AD224" i="5"/>
  <c r="AD255" i="5" s="1"/>
  <c r="AD80" i="5" s="1"/>
  <c r="AB224" i="5"/>
  <c r="AB255" i="5" s="1"/>
  <c r="AB80" i="5" s="1"/>
  <c r="AB220" i="5"/>
  <c r="AD220" i="5"/>
  <c r="AN220" i="5"/>
  <c r="AO79" i="5"/>
  <c r="AP254" i="5"/>
  <c r="AO233" i="5"/>
  <c r="AO230" i="5"/>
  <c r="X233" i="5"/>
  <c r="X230" i="5"/>
  <c r="AN48" i="5"/>
  <c r="AI48" i="5"/>
  <c r="AR41" i="5"/>
  <c r="AR94" i="44" s="1"/>
  <c r="AR46" i="5"/>
  <c r="AN224" i="5"/>
  <c r="AN255" i="5" s="1"/>
  <c r="AN80" i="5" s="1"/>
  <c r="AC233" i="5"/>
  <c r="AC230" i="5"/>
  <c r="AL230" i="5"/>
  <c r="AL233" i="5"/>
  <c r="AC255" i="5"/>
  <c r="AC80" i="5" s="1"/>
  <c r="AC256" i="5"/>
  <c r="AC81" i="5" s="1"/>
  <c r="BJ114" i="5"/>
  <c r="BJ99" i="5" s="1"/>
  <c r="AP230" i="5"/>
  <c r="AP233" i="5"/>
  <c r="AG47" i="5"/>
  <c r="AK220" i="5"/>
  <c r="AO224" i="5"/>
  <c r="AO255" i="5" s="1"/>
  <c r="AO80" i="5" s="1"/>
  <c r="AL224" i="5"/>
  <c r="AL255" i="5" s="1"/>
  <c r="AL80" i="5" s="1"/>
  <c r="AC174" i="5"/>
  <c r="AC180" i="5" s="1"/>
  <c r="Z180" i="5"/>
  <c r="AQ41" i="5"/>
  <c r="AQ94" i="44" s="1"/>
  <c r="AQ46" i="5"/>
  <c r="AQ174" i="5"/>
  <c r="AO48" i="5"/>
  <c r="AC48" i="5"/>
  <c r="AD68" i="4"/>
  <c r="AD56" i="4"/>
  <c r="L68" i="4"/>
  <c r="AM55" i="4"/>
  <c r="AM68" i="4" s="1"/>
  <c r="AM234" i="4"/>
  <c r="AM230" i="4"/>
  <c r="N56" i="4"/>
  <c r="N68" i="4"/>
  <c r="BL150" i="4"/>
  <c r="AT48" i="4"/>
  <c r="AT54" i="4"/>
  <c r="AT247" i="4"/>
  <c r="W39" i="4"/>
  <c r="W46" i="4" s="1"/>
  <c r="W118" i="4"/>
  <c r="W119" i="4"/>
  <c r="AO56" i="4"/>
  <c r="AO68" i="4"/>
  <c r="U56" i="4"/>
  <c r="U68" i="4"/>
  <c r="G48" i="4"/>
  <c r="G55" i="4" s="1"/>
  <c r="G68" i="4" s="1"/>
  <c r="G54" i="4"/>
  <c r="G247" i="4"/>
  <c r="AR55" i="4"/>
  <c r="AR230" i="4"/>
  <c r="AR234" i="4"/>
  <c r="I240" i="4"/>
  <c r="I243" i="4"/>
  <c r="W232" i="4"/>
  <c r="W239" i="4" s="1"/>
  <c r="Z232" i="4"/>
  <c r="Z239" i="4" s="1"/>
  <c r="Y232" i="4"/>
  <c r="Y239" i="4" s="1"/>
  <c r="AA232" i="4"/>
  <c r="AA239" i="4" s="1"/>
  <c r="Y68" i="4"/>
  <c r="Y56" i="4"/>
  <c r="AQ54" i="4"/>
  <c r="AQ247" i="4"/>
  <c r="AQ48" i="4"/>
  <c r="P56" i="4"/>
  <c r="K68" i="4"/>
  <c r="K56" i="4"/>
  <c r="N243" i="4"/>
  <c r="N240" i="4"/>
  <c r="X240" i="4"/>
  <c r="CP26" i="3" s="1"/>
  <c r="X243" i="4"/>
  <c r="CP30" i="3" s="1"/>
  <c r="AL61" i="66"/>
  <c r="AM59" i="66"/>
  <c r="AM61" i="66" s="1"/>
  <c r="AI89" i="66"/>
  <c r="AJ89" i="66"/>
  <c r="AY21" i="56"/>
  <c r="BP21" i="56" s="1"/>
  <c r="BP83" i="56"/>
  <c r="BW68" i="56" s="1"/>
  <c r="BY68" i="56" s="1"/>
  <c r="AY20" i="56"/>
  <c r="BP20" i="56" s="1"/>
  <c r="BP82" i="56"/>
  <c r="BW67" i="56" s="1"/>
  <c r="BY67" i="56" s="1"/>
  <c r="AY22" i="56"/>
  <c r="BP22" i="56" s="1"/>
  <c r="BP84" i="56"/>
  <c r="BW69" i="56" s="1"/>
  <c r="BY69" i="56" s="1"/>
  <c r="CA66" i="10"/>
  <c r="CA278" i="10"/>
  <c r="CA213" i="10"/>
  <c r="CF197" i="10"/>
  <c r="CA328" i="10"/>
  <c r="CA330" i="10" s="1"/>
  <c r="BV11" i="10"/>
  <c r="BV68" i="10"/>
  <c r="BV10" i="10"/>
  <c r="BV215" i="10"/>
  <c r="DT79" i="10"/>
  <c r="CF311" i="10"/>
  <c r="CF19" i="10"/>
  <c r="CA54" i="10"/>
  <c r="CA289" i="10"/>
  <c r="CF106" i="10"/>
  <c r="CA194" i="10"/>
  <c r="AA106" i="47"/>
  <c r="AA125" i="47"/>
  <c r="AA126" i="47" s="1"/>
  <c r="AA160" i="47"/>
  <c r="BK264" i="47"/>
  <c r="BJ264" i="47" s="1"/>
  <c r="BI264" i="47" s="1"/>
  <c r="BH264" i="47" s="1"/>
  <c r="BQ264" i="47"/>
  <c r="BP264" i="47" s="1"/>
  <c r="BO264" i="47" s="1"/>
  <c r="BN264" i="47" s="1"/>
  <c r="BM264" i="47" s="1"/>
  <c r="BL101" i="47"/>
  <c r="AQ141" i="47"/>
  <c r="AR141" i="47" s="1"/>
  <c r="AR142" i="47"/>
  <c r="AS142" i="47" s="1"/>
  <c r="AQ261" i="47"/>
  <c r="AQ238" i="47"/>
  <c r="AQ178" i="47"/>
  <c r="AQ188" i="47"/>
  <c r="AP174" i="47"/>
  <c r="AY120" i="47"/>
  <c r="BG120" i="47"/>
  <c r="AX120" i="47"/>
  <c r="BA120" i="47"/>
  <c r="AZ120" i="47"/>
  <c r="BY249" i="47"/>
  <c r="AW306" i="47"/>
  <c r="AR257" i="47"/>
  <c r="AV281" i="47"/>
  <c r="AV283" i="47" s="1"/>
  <c r="AV285" i="47" s="1"/>
  <c r="AU277" i="47"/>
  <c r="BZ243" i="47"/>
  <c r="AY163" i="47"/>
  <c r="AZ163" i="47" s="1"/>
  <c r="BA163" i="47" s="1"/>
  <c r="BC163" i="47" s="1"/>
  <c r="AS305" i="47"/>
  <c r="AX305" i="47"/>
  <c r="AW307" i="47"/>
  <c r="AV305" i="47"/>
  <c r="BG165" i="47"/>
  <c r="BA318" i="47"/>
  <c r="BK243" i="47"/>
  <c r="BJ243" i="47" s="1"/>
  <c r="BI243" i="47" s="1"/>
  <c r="BH243" i="47" s="1"/>
  <c r="BL278" i="47"/>
  <c r="CA244" i="47" s="1"/>
  <c r="CA246" i="47" s="1"/>
  <c r="BI101" i="47"/>
  <c r="Z125" i="47"/>
  <c r="Z126" i="47" s="1"/>
  <c r="Z160" i="47"/>
  <c r="Z106" i="47"/>
  <c r="AH108" i="47"/>
  <c r="AH185" i="47"/>
  <c r="AK218" i="47"/>
  <c r="AK217" i="47"/>
  <c r="BZ247" i="47"/>
  <c r="BG358" i="47"/>
  <c r="BE253" i="47"/>
  <c r="BD257" i="47"/>
  <c r="BD259" i="47" s="1"/>
  <c r="AV174" i="47"/>
  <c r="BB174" i="47"/>
  <c r="AW178" i="47"/>
  <c r="AW188" i="47"/>
  <c r="BM253" i="47"/>
  <c r="BC292" i="47"/>
  <c r="BZ260" i="47"/>
  <c r="CA254" i="47"/>
  <c r="BZ268" i="47"/>
  <c r="BZ273" i="47" s="1"/>
  <c r="AA132" i="47"/>
  <c r="AA131" i="47" s="1"/>
  <c r="AL114" i="47"/>
  <c r="AL115" i="47" s="1"/>
  <c r="AN111" i="47"/>
  <c r="AC153" i="47"/>
  <c r="Y188" i="47"/>
  <c r="Y192" i="47" s="1"/>
  <c r="Z192" i="47"/>
  <c r="BA253" i="47"/>
  <c r="AZ257" i="47"/>
  <c r="AZ259" i="47" s="1"/>
  <c r="BD265" i="47"/>
  <c r="BD269" i="47" s="1"/>
  <c r="BD271" i="47" s="1"/>
  <c r="BD273" i="47" s="1"/>
  <c r="BC269" i="47"/>
  <c r="BP242" i="47"/>
  <c r="BO242" i="47" s="1"/>
  <c r="BN242" i="47" s="1"/>
  <c r="BM242" i="47" s="1"/>
  <c r="BQ243" i="47"/>
  <c r="BQ266" i="47"/>
  <c r="BH211" i="47"/>
  <c r="BL211" i="47" s="1"/>
  <c r="BL207" i="47"/>
  <c r="BH214" i="47"/>
  <c r="BL214" i="47" s="1"/>
  <c r="AX358" i="47"/>
  <c r="AZ358" i="47"/>
  <c r="BB359" i="47"/>
  <c r="BA358" i="47"/>
  <c r="AY358" i="47"/>
  <c r="BI292" i="47"/>
  <c r="BC259" i="47"/>
  <c r="AR238" i="47"/>
  <c r="AR261" i="47"/>
  <c r="BF176" i="47"/>
  <c r="BE176" i="47" s="1"/>
  <c r="BD176" i="47" s="1"/>
  <c r="BC176" i="47" s="1"/>
  <c r="BG190" i="47"/>
  <c r="BF190" i="47" s="1"/>
  <c r="BE190" i="47" s="1"/>
  <c r="BD190" i="47" s="1"/>
  <c r="BC190" i="47" s="1"/>
  <c r="BL176" i="47"/>
  <c r="AX261" i="47"/>
  <c r="BI253" i="47"/>
  <c r="BH257" i="47"/>
  <c r="AV237" i="47"/>
  <c r="AV293" i="47" s="1"/>
  <c r="Y175" i="47"/>
  <c r="Y178" i="47" s="1"/>
  <c r="Z178" i="47"/>
  <c r="Z132" i="47" s="1"/>
  <c r="Z131" i="47" s="1"/>
  <c r="CC269" i="47"/>
  <c r="CD266" i="47"/>
  <c r="AX281" i="47"/>
  <c r="AY277" i="47"/>
  <c r="AX237" i="47"/>
  <c r="AX293" i="47" s="1"/>
  <c r="AE178" i="47"/>
  <c r="AD174" i="47"/>
  <c r="AD178" i="47" s="1"/>
  <c r="AE188" i="47"/>
  <c r="AF192" i="47"/>
  <c r="AF185" i="47" s="1"/>
  <c r="AY261" i="47"/>
  <c r="BA269" i="47"/>
  <c r="BA271" i="47" s="1"/>
  <c r="BA273" i="47" s="1"/>
  <c r="AZ265" i="47"/>
  <c r="AZ269" i="47" s="1"/>
  <c r="AL108" i="47"/>
  <c r="AL185" i="47"/>
  <c r="BB375" i="47"/>
  <c r="BI14" i="47"/>
  <c r="BI14" i="4" s="1"/>
  <c r="BN298" i="47"/>
  <c r="BN14" i="47" s="1"/>
  <c r="BN14" i="4" s="1"/>
  <c r="AB125" i="47"/>
  <c r="AB126" i="47" s="1"/>
  <c r="AB106" i="47"/>
  <c r="AB160" i="47"/>
  <c r="AB132" i="47"/>
  <c r="AB131" i="47" s="1"/>
  <c r="Y125" i="47"/>
  <c r="Y126" i="47" s="1"/>
  <c r="Y106" i="47"/>
  <c r="Y160" i="47"/>
  <c r="AG138" i="47"/>
  <c r="AF139" i="47"/>
  <c r="AL215" i="47"/>
  <c r="AM209" i="47"/>
  <c r="AL212" i="47"/>
  <c r="AL229" i="47"/>
  <c r="AL231" i="47" s="1"/>
  <c r="AM231" i="47" s="1"/>
  <c r="BO292" i="47"/>
  <c r="AU259" i="47"/>
  <c r="AW259" i="47" s="1"/>
  <c r="AW261" i="47" s="1"/>
  <c r="BB305" i="47"/>
  <c r="BA277" i="47"/>
  <c r="BC277" i="47"/>
  <c r="BG277" i="47"/>
  <c r="AX316" i="47"/>
  <c r="AX313" i="47" s="1"/>
  <c r="BH14" i="47"/>
  <c r="BL298" i="47"/>
  <c r="BM298" i="47"/>
  <c r="AW163" i="47"/>
  <c r="BH265" i="47"/>
  <c r="BL265" i="47"/>
  <c r="BF265" i="47"/>
  <c r="AJ174" i="47"/>
  <c r="AK178" i="47"/>
  <c r="AK188" i="47"/>
  <c r="AK192" i="47" s="1"/>
  <c r="AG61" i="45"/>
  <c r="AF71" i="45"/>
  <c r="AF68" i="45"/>
  <c r="BF19" i="45"/>
  <c r="BB19" i="45"/>
  <c r="AQ22" i="45"/>
  <c r="AQ26" i="45"/>
  <c r="BN19" i="45"/>
  <c r="BQ12" i="45"/>
  <c r="AY55" i="45"/>
  <c r="AX59" i="45"/>
  <c r="AX61" i="45" s="1"/>
  <c r="BD58" i="45"/>
  <c r="AL61" i="45"/>
  <c r="AK71" i="45"/>
  <c r="AO62" i="8"/>
  <c r="AP235" i="8"/>
  <c r="AK219" i="8"/>
  <c r="AK224" i="8" s="1"/>
  <c r="BJ101" i="8"/>
  <c r="BJ9" i="8" s="1"/>
  <c r="BO102" i="8"/>
  <c r="BB91" i="8"/>
  <c r="BB93" i="8"/>
  <c r="BB48" i="8" s="1"/>
  <c r="BA190" i="8"/>
  <c r="AT94" i="8"/>
  <c r="AS94" i="8"/>
  <c r="AU94" i="8"/>
  <c r="BO93" i="8"/>
  <c r="BO91" i="8"/>
  <c r="AG62" i="8"/>
  <c r="AH235" i="8"/>
  <c r="AZ10" i="8"/>
  <c r="BA101" i="8"/>
  <c r="BF102" i="8"/>
  <c r="BF91" i="8"/>
  <c r="BF93" i="8"/>
  <c r="BK89" i="8"/>
  <c r="BG89" i="8"/>
  <c r="BE82" i="8"/>
  <c r="AG219" i="8"/>
  <c r="AG224" i="8" s="1"/>
  <c r="AF236" i="8"/>
  <c r="AF63" i="8" s="1"/>
  <c r="BP120" i="5"/>
  <c r="BM12" i="5"/>
  <c r="BD8" i="5"/>
  <c r="BD122" i="5"/>
  <c r="BD123" i="5" s="1"/>
  <c r="BE8" i="5"/>
  <c r="BE122" i="5"/>
  <c r="BE123" i="5" s="1"/>
  <c r="AY10" i="5"/>
  <c r="BB157" i="5"/>
  <c r="BC157" i="5"/>
  <c r="BJ119" i="5"/>
  <c r="BJ9" i="5" s="1"/>
  <c r="BF140" i="5"/>
  <c r="BG145" i="5"/>
  <c r="BH145" i="5" s="1"/>
  <c r="BI119" i="5"/>
  <c r="BI9" i="5" s="1"/>
  <c r="BN120" i="5"/>
  <c r="AZ10" i="5"/>
  <c r="BO108" i="5"/>
  <c r="BO112" i="5"/>
  <c r="BA209" i="5"/>
  <c r="BJ250" i="5"/>
  <c r="BN108" i="5"/>
  <c r="BN112" i="5"/>
  <c r="BF144" i="5"/>
  <c r="AH79" i="5"/>
  <c r="AI254" i="5"/>
  <c r="AI79" i="5" s="1"/>
  <c r="BI114" i="5"/>
  <c r="BD197" i="4"/>
  <c r="BC219" i="4"/>
  <c r="AH243" i="4"/>
  <c r="CZ30" i="3" s="1"/>
  <c r="AH240" i="4"/>
  <c r="CZ26" i="3" s="1"/>
  <c r="AG48" i="4"/>
  <c r="AG54" i="4"/>
  <c r="AG247" i="4"/>
  <c r="BN65" i="4"/>
  <c r="BO64" i="4"/>
  <c r="AL48" i="4"/>
  <c r="AL54" i="4"/>
  <c r="AL247" i="4"/>
  <c r="BL65" i="4"/>
  <c r="BJ65" i="4"/>
  <c r="AU56" i="4"/>
  <c r="AU68" i="4"/>
  <c r="CS156" i="4"/>
  <c r="AC243" i="4"/>
  <c r="CU30" i="3" s="1"/>
  <c r="AC240" i="4"/>
  <c r="CU26" i="3" s="1"/>
  <c r="V56" i="4"/>
  <c r="AA56" i="4"/>
  <c r="V68" i="4"/>
  <c r="AH56" i="4"/>
  <c r="AM56" i="4"/>
  <c r="AH68" i="4"/>
  <c r="AI56" i="4"/>
  <c r="AI68" i="4"/>
  <c r="Z56" i="4"/>
  <c r="AE56" i="4"/>
  <c r="Z68" i="4"/>
  <c r="BA126" i="4"/>
  <c r="BB150" i="4"/>
  <c r="H52" i="4"/>
  <c r="H54" i="4" s="1"/>
  <c r="H48" i="4"/>
  <c r="H51" i="4"/>
  <c r="H247" i="4"/>
  <c r="AC56" i="4"/>
  <c r="AC68" i="4"/>
  <c r="BF72" i="4"/>
  <c r="BG72" i="4" s="1"/>
  <c r="BF150" i="4"/>
  <c r="BF126" i="4" s="1"/>
  <c r="BA177" i="4"/>
  <c r="AZ179" i="4"/>
  <c r="X156" i="4"/>
  <c r="X159" i="4" s="1"/>
  <c r="T156" i="4"/>
  <c r="U243" i="4"/>
  <c r="U240" i="4"/>
  <c r="T240" i="4"/>
  <c r="T243" i="4"/>
  <c r="Q56" i="4"/>
  <c r="Q68" i="4"/>
  <c r="V243" i="4"/>
  <c r="V240" i="4"/>
  <c r="BD176" i="4"/>
  <c r="AN56" i="4"/>
  <c r="AN68" i="4"/>
  <c r="AS56" i="4"/>
  <c r="M48" i="4"/>
  <c r="M51" i="4"/>
  <c r="M52" i="4"/>
  <c r="M54" i="4" s="1"/>
  <c r="M247" i="4"/>
  <c r="BE126" i="4"/>
  <c r="R243" i="4"/>
  <c r="R240" i="4"/>
  <c r="AB54" i="4"/>
  <c r="AB48" i="4"/>
  <c r="AB247" i="4"/>
  <c r="BG239" i="5" l="1"/>
  <c r="BF143" i="4"/>
  <c r="BF63" i="9" s="1"/>
  <c r="BF62" i="9" s="1"/>
  <c r="BG141" i="4"/>
  <c r="BG94" i="4"/>
  <c r="BG99" i="4" s="1"/>
  <c r="BG90" i="44" s="1"/>
  <c r="BG182" i="5"/>
  <c r="BE63" i="9"/>
  <c r="BE62" i="9" s="1"/>
  <c r="Y58" i="9"/>
  <c r="BO96" i="8"/>
  <c r="BO82" i="8" s="1"/>
  <c r="AO397" i="47"/>
  <c r="AI58" i="9"/>
  <c r="AV391" i="47"/>
  <c r="AV387" i="47"/>
  <c r="AV400" i="47" s="1"/>
  <c r="AV44" i="47"/>
  <c r="AV78" i="4" s="1"/>
  <c r="AV206" i="47"/>
  <c r="AV63" i="47"/>
  <c r="AW63" i="47" s="1"/>
  <c r="AW62" i="47"/>
  <c r="AD70" i="9"/>
  <c r="AI67" i="9"/>
  <c r="AJ70" i="9"/>
  <c r="P159" i="4"/>
  <c r="Q156" i="4" s="1"/>
  <c r="L159" i="4"/>
  <c r="M156" i="4" s="1"/>
  <c r="M159" i="4" s="1"/>
  <c r="T159" i="4"/>
  <c r="U156" i="4" s="1"/>
  <c r="CS159" i="4"/>
  <c r="CT156" i="4" s="1"/>
  <c r="CT159" i="4" s="1"/>
  <c r="CU159" i="4"/>
  <c r="CV156" i="4" s="1"/>
  <c r="AR78" i="4"/>
  <c r="AW45" i="47"/>
  <c r="AO70" i="9"/>
  <c r="AR67" i="9"/>
  <c r="AR100" i="44"/>
  <c r="AI70" i="9"/>
  <c r="AZ239" i="5"/>
  <c r="AZ182" i="5"/>
  <c r="AZ184" i="5" s="1"/>
  <c r="AZ63" i="9" s="1"/>
  <c r="AZ62" i="9" s="1"/>
  <c r="AH59" i="9"/>
  <c r="BL126" i="4"/>
  <c r="ED60" i="3"/>
  <c r="AD45" i="8"/>
  <c r="AD80" i="4"/>
  <c r="AD84" i="4" s="1"/>
  <c r="AH9" i="3"/>
  <c r="AC361" i="47"/>
  <c r="AC363" i="47" s="1"/>
  <c r="AC59" i="9"/>
  <c r="BP12" i="9"/>
  <c r="BH149" i="5"/>
  <c r="CP53" i="3"/>
  <c r="CP57" i="3" s="1"/>
  <c r="CP65" i="3" s="1"/>
  <c r="AG43" i="8"/>
  <c r="AG155" i="8"/>
  <c r="AG161" i="8" s="1"/>
  <c r="AG38" i="8"/>
  <c r="AI45" i="9"/>
  <c r="AI83" i="4" s="1"/>
  <c r="AI84" i="4" s="1"/>
  <c r="AI99" i="44"/>
  <c r="AI100" i="44" s="1"/>
  <c r="AC100" i="44"/>
  <c r="AM67" i="9"/>
  <c r="AX214" i="47"/>
  <c r="BB214" i="47" s="1"/>
  <c r="BB206" i="47"/>
  <c r="BQ13" i="9"/>
  <c r="BQ57" i="9" s="1"/>
  <c r="AX11" i="10"/>
  <c r="AZ161" i="5"/>
  <c r="AZ186" i="5" s="1"/>
  <c r="AZ193" i="5" s="1"/>
  <c r="AX215" i="10"/>
  <c r="AK21" i="9"/>
  <c r="AK22" i="4"/>
  <c r="BO205" i="47"/>
  <c r="BO211" i="47" s="1"/>
  <c r="BO63" i="47"/>
  <c r="BO96" i="47"/>
  <c r="BH161" i="5"/>
  <c r="BH186" i="5" s="1"/>
  <c r="BH193" i="5" s="1"/>
  <c r="BF215" i="10"/>
  <c r="BJ161" i="5"/>
  <c r="BJ186" i="5" s="1"/>
  <c r="BJ193" i="5" s="1"/>
  <c r="BH215" i="10"/>
  <c r="AT45" i="9"/>
  <c r="AT83" i="4" s="1"/>
  <c r="AT84" i="4" s="1"/>
  <c r="AT99" i="44"/>
  <c r="AL21" i="45"/>
  <c r="AL19" i="9"/>
  <c r="BP96" i="47"/>
  <c r="BP63" i="47"/>
  <c r="BP205" i="47"/>
  <c r="BP211" i="47" s="1"/>
  <c r="BO167" i="5"/>
  <c r="DR215" i="10"/>
  <c r="BN167" i="5"/>
  <c r="DQ215" i="10"/>
  <c r="BM15" i="9"/>
  <c r="AG45" i="9"/>
  <c r="AG83" i="4" s="1"/>
  <c r="AG99" i="44"/>
  <c r="BD167" i="5"/>
  <c r="DG215" i="10"/>
  <c r="DG11" i="10"/>
  <c r="BP72" i="4"/>
  <c r="BQ72" i="4" s="1"/>
  <c r="BP150" i="4"/>
  <c r="AY101" i="47"/>
  <c r="AZ359" i="47"/>
  <c r="AZ152" i="4"/>
  <c r="AE48" i="5"/>
  <c r="AE79" i="4"/>
  <c r="AE84" i="4" s="1"/>
  <c r="AH195" i="5"/>
  <c r="CZ38" i="3"/>
  <c r="AM195" i="5"/>
  <c r="DE38" i="3"/>
  <c r="AF45" i="8"/>
  <c r="AA80" i="4"/>
  <c r="AA84" i="4" s="1"/>
  <c r="AH38" i="8"/>
  <c r="AH155" i="8"/>
  <c r="AH161" i="8" s="1"/>
  <c r="AH43" i="8"/>
  <c r="AK22" i="45"/>
  <c r="AK26" i="45"/>
  <c r="AC11" i="3"/>
  <c r="BM100" i="47"/>
  <c r="BM99" i="47"/>
  <c r="BI101" i="8"/>
  <c r="BI9" i="8" s="1"/>
  <c r="AY161" i="5"/>
  <c r="AY186" i="5" s="1"/>
  <c r="AY193" i="5" s="1"/>
  <c r="AW11" i="10"/>
  <c r="AW215" i="10"/>
  <c r="AL15" i="66"/>
  <c r="AL17" i="66" s="1"/>
  <c r="AL12" i="9"/>
  <c r="AL15" i="9" s="1"/>
  <c r="AL17" i="9" s="1"/>
  <c r="BJ215" i="10"/>
  <c r="BI96" i="8"/>
  <c r="Z45" i="9"/>
  <c r="Z83" i="4" s="1"/>
  <c r="Z84" i="4" s="1"/>
  <c r="Z99" i="44"/>
  <c r="Z100" i="44" s="1"/>
  <c r="BH76" i="5"/>
  <c r="BH157" i="5" s="1"/>
  <c r="BI157" i="5"/>
  <c r="AC83" i="4"/>
  <c r="AC46" i="9"/>
  <c r="AC45" i="8"/>
  <c r="AM31" i="3"/>
  <c r="AH51" i="3"/>
  <c r="AM53" i="3"/>
  <c r="AM55" i="3" s="1"/>
  <c r="AM43" i="3" s="1"/>
  <c r="AH14" i="3"/>
  <c r="BH167" i="5"/>
  <c r="DK215" i="10"/>
  <c r="BI167" i="5"/>
  <c r="DL215" i="10"/>
  <c r="BC96" i="8"/>
  <c r="BC82" i="8" s="1"/>
  <c r="BC101" i="8"/>
  <c r="BC9" i="8" s="1"/>
  <c r="AJ127" i="4"/>
  <c r="AJ129" i="4" s="1"/>
  <c r="AJ56" i="9"/>
  <c r="AJ58" i="9" s="1"/>
  <c r="AJ39" i="9"/>
  <c r="AJ44" i="9"/>
  <c r="BK252" i="4"/>
  <c r="BJ118" i="4"/>
  <c r="AE59" i="9"/>
  <c r="AP70" i="9"/>
  <c r="AP58" i="9"/>
  <c r="AV34" i="66"/>
  <c r="BH14" i="4"/>
  <c r="AY359" i="47"/>
  <c r="AY152" i="4"/>
  <c r="AX359" i="47"/>
  <c r="AX152" i="4"/>
  <c r="Z195" i="5"/>
  <c r="Z197" i="5" s="1"/>
  <c r="AC197" i="5" s="1"/>
  <c r="Z59" i="9"/>
  <c r="Z70" i="9" s="1"/>
  <c r="AR176" i="8"/>
  <c r="AR178" i="8" s="1"/>
  <c r="DJ39" i="3"/>
  <c r="DJ51" i="3" s="1"/>
  <c r="AB361" i="47"/>
  <c r="AB363" i="47" s="1"/>
  <c r="AB59" i="9"/>
  <c r="AB70" i="9" s="1"/>
  <c r="AR9" i="3"/>
  <c r="X47" i="3"/>
  <c r="X49" i="3"/>
  <c r="X32" i="3"/>
  <c r="BJ147" i="5"/>
  <c r="BJ149" i="5" s="1"/>
  <c r="AY149" i="5"/>
  <c r="BA147" i="5"/>
  <c r="BA149" i="5" s="1"/>
  <c r="BK9" i="9"/>
  <c r="BK15" i="9" s="1"/>
  <c r="BG9" i="9"/>
  <c r="AC236" i="8"/>
  <c r="AC63" i="8" s="1"/>
  <c r="AC237" i="8"/>
  <c r="AC64" i="8" s="1"/>
  <c r="AX118" i="4"/>
  <c r="AX252" i="4" s="1"/>
  <c r="AY252" i="4"/>
  <c r="BM19" i="9"/>
  <c r="BN93" i="8"/>
  <c r="BN91" i="8"/>
  <c r="BN101" i="8" s="1"/>
  <c r="BN9" i="8" s="1"/>
  <c r="AX100" i="47"/>
  <c r="BB100" i="47" s="1"/>
  <c r="AX99" i="47"/>
  <c r="AZ11" i="10"/>
  <c r="AZ215" i="10"/>
  <c r="BE252" i="4"/>
  <c r="BD118" i="4"/>
  <c r="BA101" i="47"/>
  <c r="BB154" i="5"/>
  <c r="BK161" i="5"/>
  <c r="BK186" i="5" s="1"/>
  <c r="BK193" i="5" s="1"/>
  <c r="BI215" i="10"/>
  <c r="BD82" i="8"/>
  <c r="AZ101" i="47"/>
  <c r="AN195" i="5"/>
  <c r="AN68" i="9"/>
  <c r="BB15" i="9"/>
  <c r="AM45" i="9"/>
  <c r="AM99" i="44"/>
  <c r="AM100" i="44" s="1"/>
  <c r="AM59" i="9"/>
  <c r="AM70" i="9" s="1"/>
  <c r="AM10" i="3"/>
  <c r="AH46" i="9"/>
  <c r="BJ167" i="5"/>
  <c r="DM215" i="10"/>
  <c r="BK167" i="5"/>
  <c r="DN215" i="10"/>
  <c r="BM147" i="5"/>
  <c r="BM149" i="5" s="1"/>
  <c r="BF167" i="5"/>
  <c r="DI11" i="10"/>
  <c r="DI215" i="10"/>
  <c r="BL12" i="9"/>
  <c r="AL70" i="9"/>
  <c r="BQ66" i="47"/>
  <c r="BN151" i="4"/>
  <c r="BQ151" i="4" s="1"/>
  <c r="EI64" i="3" s="1"/>
  <c r="BQ43" i="4"/>
  <c r="BG150" i="4"/>
  <c r="AW35" i="3"/>
  <c r="BQ52" i="3"/>
  <c r="BB126" i="4"/>
  <c r="DT60" i="3"/>
  <c r="BA359" i="47"/>
  <c r="BA152" i="4"/>
  <c r="AC195" i="5"/>
  <c r="CU38" i="3"/>
  <c r="AG48" i="5"/>
  <c r="AG79" i="4"/>
  <c r="AM11" i="3"/>
  <c r="AM9" i="3"/>
  <c r="BI94" i="4"/>
  <c r="BI99" i="4" s="1"/>
  <c r="BI141" i="4" s="1"/>
  <c r="BI143" i="4" s="1"/>
  <c r="BI182" i="5"/>
  <c r="BI184" i="5" s="1"/>
  <c r="BI239" i="5"/>
  <c r="BH12" i="8"/>
  <c r="BM109" i="8"/>
  <c r="BJ20" i="5"/>
  <c r="BI27" i="4"/>
  <c r="AU45" i="9"/>
  <c r="AU83" i="4" s="1"/>
  <c r="AU84" i="4" s="1"/>
  <c r="AU99" i="44"/>
  <c r="AU100" i="44" s="1"/>
  <c r="AX94" i="4"/>
  <c r="AX99" i="4" s="1"/>
  <c r="AX141" i="4" s="1"/>
  <c r="AX182" i="5"/>
  <c r="AX184" i="5" s="1"/>
  <c r="AX239" i="5"/>
  <c r="BK14" i="47"/>
  <c r="BP298" i="47"/>
  <c r="BP14" i="47" s="1"/>
  <c r="AC211" i="8"/>
  <c r="AC214" i="8"/>
  <c r="BQ61" i="47"/>
  <c r="BQ96" i="47" s="1"/>
  <c r="BN96" i="47"/>
  <c r="BN205" i="47"/>
  <c r="BN211" i="47" s="1"/>
  <c r="BN63" i="47"/>
  <c r="BQ206" i="47"/>
  <c r="BM214" i="47"/>
  <c r="BQ214" i="47" s="1"/>
  <c r="BG143" i="4"/>
  <c r="DY47" i="3"/>
  <c r="BA161" i="5"/>
  <c r="BA186" i="5" s="1"/>
  <c r="BA193" i="5" s="1"/>
  <c r="AY11" i="10"/>
  <c r="AY215" i="10"/>
  <c r="AX161" i="5"/>
  <c r="AX186" i="5" s="1"/>
  <c r="AV215" i="10"/>
  <c r="AV11" i="10"/>
  <c r="AQ26" i="9"/>
  <c r="AQ30" i="9" s="1"/>
  <c r="AQ37" i="9" s="1"/>
  <c r="AQ22" i="9"/>
  <c r="AK21" i="66"/>
  <c r="AK21" i="4"/>
  <c r="AK24" i="4" s="1"/>
  <c r="AR13" i="3"/>
  <c r="AA71" i="45"/>
  <c r="AA68" i="45"/>
  <c r="AB61" i="45"/>
  <c r="BI161" i="5"/>
  <c r="BI186" i="5" s="1"/>
  <c r="BI193" i="5" s="1"/>
  <c r="BG215" i="10"/>
  <c r="AB45" i="9"/>
  <c r="AB83" i="4" s="1"/>
  <c r="AB99" i="44"/>
  <c r="AB100" i="44" s="1"/>
  <c r="BI12" i="8"/>
  <c r="BN109" i="8"/>
  <c r="BN12" i="8" s="1"/>
  <c r="AA70" i="9"/>
  <c r="AA58" i="9"/>
  <c r="BM167" i="5"/>
  <c r="DP215" i="10"/>
  <c r="BP167" i="5"/>
  <c r="DS215" i="10"/>
  <c r="BE167" i="5"/>
  <c r="DH11" i="10"/>
  <c r="DH215" i="10"/>
  <c r="BC167" i="5"/>
  <c r="DF11" i="10"/>
  <c r="DF215" i="10"/>
  <c r="BH93" i="8"/>
  <c r="BM89" i="8"/>
  <c r="BH91" i="8"/>
  <c r="BO15" i="9"/>
  <c r="BQ12" i="9"/>
  <c r="AT100" i="44"/>
  <c r="BM205" i="47"/>
  <c r="BM63" i="47"/>
  <c r="Z185" i="47"/>
  <c r="AK185" i="47"/>
  <c r="Y185" i="47"/>
  <c r="AL220" i="47"/>
  <c r="AM220" i="47" s="1"/>
  <c r="AR45" i="47"/>
  <c r="AB211" i="8"/>
  <c r="AB214" i="8"/>
  <c r="CF303" i="10"/>
  <c r="CF313" i="10" s="1"/>
  <c r="CK297" i="10"/>
  <c r="CA68" i="10"/>
  <c r="BV12" i="10"/>
  <c r="AJ397" i="47"/>
  <c r="AJ400" i="47"/>
  <c r="CA243" i="47"/>
  <c r="AI397" i="47"/>
  <c r="AI400" i="47"/>
  <c r="Y395" i="47"/>
  <c r="Y394" i="47"/>
  <c r="Y376" i="47"/>
  <c r="Y373" i="47"/>
  <c r="CC257" i="47"/>
  <c r="CB270" i="47"/>
  <c r="CC258" i="47"/>
  <c r="CB271" i="47"/>
  <c r="AN400" i="47"/>
  <c r="AN397" i="47"/>
  <c r="AM45" i="47"/>
  <c r="AH400" i="47"/>
  <c r="AH397" i="47"/>
  <c r="BF177" i="47"/>
  <c r="BE177" i="47" s="1"/>
  <c r="BD177" i="47" s="1"/>
  <c r="BC177" i="47" s="1"/>
  <c r="BL177" i="47"/>
  <c r="BG191" i="47"/>
  <c r="BF191" i="47" s="1"/>
  <c r="BE191" i="47" s="1"/>
  <c r="BD191" i="47" s="1"/>
  <c r="BC191" i="47" s="1"/>
  <c r="BW109" i="47"/>
  <c r="BW113" i="47" s="1"/>
  <c r="AS400" i="47"/>
  <c r="AL397" i="47"/>
  <c r="AL400" i="47"/>
  <c r="AM191" i="47"/>
  <c r="AC44" i="47"/>
  <c r="AC391" i="47"/>
  <c r="AC387" i="47"/>
  <c r="AQ397" i="47"/>
  <c r="AQ400" i="47"/>
  <c r="AA378" i="47"/>
  <c r="Z381" i="47"/>
  <c r="BB163" i="47"/>
  <c r="AB44" i="47"/>
  <c r="AB78" i="4" s="1"/>
  <c r="AB84" i="4" s="1"/>
  <c r="AF387" i="47"/>
  <c r="AF391" i="47"/>
  <c r="AB387" i="47"/>
  <c r="AE391" i="47"/>
  <c r="AE387" i="47"/>
  <c r="AD391" i="47"/>
  <c r="AB391" i="47"/>
  <c r="AD387" i="47"/>
  <c r="AR400" i="47"/>
  <c r="AR397" i="47"/>
  <c r="Y379" i="47"/>
  <c r="AK397" i="47"/>
  <c r="AK400" i="47"/>
  <c r="AM397" i="47"/>
  <c r="AM400" i="47"/>
  <c r="AO214" i="8"/>
  <c r="AO211" i="8"/>
  <c r="AP211" i="8"/>
  <c r="AP214" i="8"/>
  <c r="AE211" i="8"/>
  <c r="AE214" i="8"/>
  <c r="AM211" i="8"/>
  <c r="AM214" i="8"/>
  <c r="AL211" i="8"/>
  <c r="AL214" i="8"/>
  <c r="AQ44" i="8"/>
  <c r="AV45" i="8" s="1"/>
  <c r="AQ201" i="8"/>
  <c r="AQ205" i="8"/>
  <c r="AQ236" i="8" s="1"/>
  <c r="AQ63" i="8" s="1"/>
  <c r="AF214" i="8"/>
  <c r="AF211" i="8"/>
  <c r="AN211" i="8"/>
  <c r="AN214" i="8"/>
  <c r="AR44" i="8"/>
  <c r="AW45" i="8" s="1"/>
  <c r="AR205" i="8"/>
  <c r="AR201" i="8"/>
  <c r="AD214" i="8"/>
  <c r="AD211" i="8"/>
  <c r="AM237" i="8"/>
  <c r="AM64" i="8" s="1"/>
  <c r="AM236" i="8"/>
  <c r="AM63" i="8" s="1"/>
  <c r="AR174" i="5"/>
  <c r="AR180" i="5" s="1"/>
  <c r="AQ180" i="5"/>
  <c r="AI233" i="5"/>
  <c r="AI230" i="5"/>
  <c r="AN233" i="5"/>
  <c r="AN230" i="5"/>
  <c r="AE230" i="5"/>
  <c r="AE233" i="5"/>
  <c r="AJ48" i="5"/>
  <c r="AQ47" i="5"/>
  <c r="AV48" i="5" s="1"/>
  <c r="AQ224" i="5"/>
  <c r="AQ255" i="5" s="1"/>
  <c r="AQ80" i="5" s="1"/>
  <c r="AQ220" i="5"/>
  <c r="AL48" i="5"/>
  <c r="AD233" i="5"/>
  <c r="AD230" i="5"/>
  <c r="AR220" i="5"/>
  <c r="AR224" i="5"/>
  <c r="AR47" i="5"/>
  <c r="AQ254" i="5"/>
  <c r="AP79" i="5"/>
  <c r="AG230" i="5"/>
  <c r="AG233" i="5"/>
  <c r="AK233" i="5"/>
  <c r="AK230" i="5"/>
  <c r="AB230" i="5"/>
  <c r="AB233" i="5"/>
  <c r="AF233" i="5"/>
  <c r="AF230" i="5"/>
  <c r="BM14" i="5"/>
  <c r="AR56" i="4"/>
  <c r="AR68" i="4"/>
  <c r="AT55" i="4"/>
  <c r="AT234" i="4"/>
  <c r="AT230" i="4"/>
  <c r="AU234" i="4"/>
  <c r="AU230" i="4"/>
  <c r="AM240" i="4"/>
  <c r="DE26" i="3" s="1"/>
  <c r="AM243" i="4"/>
  <c r="DE30" i="3" s="1"/>
  <c r="L56" i="4"/>
  <c r="W54" i="4"/>
  <c r="W48" i="4"/>
  <c r="W247" i="4"/>
  <c r="AQ55" i="4"/>
  <c r="AQ68" i="4" s="1"/>
  <c r="AS230" i="4"/>
  <c r="AQ230" i="4"/>
  <c r="AQ234" i="4"/>
  <c r="AS234" i="4"/>
  <c r="AR240" i="4"/>
  <c r="DJ26" i="3" s="1"/>
  <c r="AR243" i="4"/>
  <c r="DJ30" i="3" s="1"/>
  <c r="CK106" i="10"/>
  <c r="CF194" i="10"/>
  <c r="CK19" i="10"/>
  <c r="CF54" i="10"/>
  <c r="CF328" i="10"/>
  <c r="CF330" i="10" s="1"/>
  <c r="CA291" i="10"/>
  <c r="CF278" i="10"/>
  <c r="CF289" i="10"/>
  <c r="CK311" i="10"/>
  <c r="CA11" i="10"/>
  <c r="CK197" i="10"/>
  <c r="CF213" i="10"/>
  <c r="CA10" i="10"/>
  <c r="CA215" i="10"/>
  <c r="CF66" i="10"/>
  <c r="AX312" i="47"/>
  <c r="AY316" i="47"/>
  <c r="AY315" i="47" s="1"/>
  <c r="AY13" i="47" s="1"/>
  <c r="BW111" i="47"/>
  <c r="BI265" i="47"/>
  <c r="BI269" i="47" s="1"/>
  <c r="BI271" i="47" s="1"/>
  <c r="BI273" i="47" s="1"/>
  <c r="BH269" i="47"/>
  <c r="BF277" i="47"/>
  <c r="BH277" i="47"/>
  <c r="BL277" i="47"/>
  <c r="BL237" i="47" s="1"/>
  <c r="BG237" i="47"/>
  <c r="BG293" i="47" s="1"/>
  <c r="BA305" i="47"/>
  <c r="BC305" i="47"/>
  <c r="AN209" i="47"/>
  <c r="AM229" i="47"/>
  <c r="AG139" i="47"/>
  <c r="AH138" i="47"/>
  <c r="BC375" i="47"/>
  <c r="AE192" i="47"/>
  <c r="AE185" i="47" s="1"/>
  <c r="AD188" i="47"/>
  <c r="AD192" i="47" s="1"/>
  <c r="AD185" i="47" s="1"/>
  <c r="CE266" i="47"/>
  <c r="CD269" i="47"/>
  <c r="BH259" i="47"/>
  <c r="BQ176" i="47"/>
  <c r="BK176" i="47"/>
  <c r="BJ176" i="47" s="1"/>
  <c r="BI176" i="47" s="1"/>
  <c r="BH176" i="47" s="1"/>
  <c r="BL190" i="47"/>
  <c r="BK190" i="47" s="1"/>
  <c r="BJ190" i="47" s="1"/>
  <c r="BI190" i="47" s="1"/>
  <c r="BH190" i="47" s="1"/>
  <c r="BA237" i="47"/>
  <c r="BA293" i="47" s="1"/>
  <c r="BA257" i="47"/>
  <c r="AL124" i="47"/>
  <c r="AM115" i="47"/>
  <c r="AM124" i="47" s="1"/>
  <c r="CB254" i="47"/>
  <c r="CA260" i="47"/>
  <c r="CA268" i="47"/>
  <c r="CA273" i="47" s="1"/>
  <c r="BB178" i="47"/>
  <c r="BA174" i="47"/>
  <c r="BG174" i="47"/>
  <c r="BB188" i="47"/>
  <c r="BD261" i="47"/>
  <c r="AT305" i="47"/>
  <c r="BZ249" i="47"/>
  <c r="BB306" i="47"/>
  <c r="AP178" i="47"/>
  <c r="AO174" i="47"/>
  <c r="AJ188" i="47"/>
  <c r="AJ192" i="47" s="1"/>
  <c r="AI174" i="47"/>
  <c r="AJ178" i="47"/>
  <c r="BC281" i="47"/>
  <c r="BD277" i="47"/>
  <c r="BD281" i="47" s="1"/>
  <c r="BD283" i="47" s="1"/>
  <c r="BD285" i="47" s="1"/>
  <c r="BC237" i="47"/>
  <c r="BC293" i="47" s="1"/>
  <c r="AM212" i="47"/>
  <c r="AL218" i="47"/>
  <c r="AL221" i="47" s="1"/>
  <c r="AL217" i="47"/>
  <c r="AM217" i="47" s="1"/>
  <c r="AY281" i="47"/>
  <c r="AY283" i="47" s="1"/>
  <c r="AY237" i="47"/>
  <c r="AY293" i="47" s="1"/>
  <c r="BV109" i="47"/>
  <c r="Y132" i="47"/>
  <c r="Y131" i="47" s="1"/>
  <c r="BJ253" i="47"/>
  <c r="BI257" i="47"/>
  <c r="BI259" i="47" s="1"/>
  <c r="BC261" i="47"/>
  <c r="BC271" i="47"/>
  <c r="AU174" i="47"/>
  <c r="AV178" i="47"/>
  <c r="BE257" i="47"/>
  <c r="BF253" i="47"/>
  <c r="AG108" i="47"/>
  <c r="AE108" i="47"/>
  <c r="AE132" i="47" s="1"/>
  <c r="AE131" i="47" s="1"/>
  <c r="AF108" i="47"/>
  <c r="AF132" i="47" s="1"/>
  <c r="AF131" i="47" s="1"/>
  <c r="AD108" i="47"/>
  <c r="AH125" i="47"/>
  <c r="AH126" i="47" s="1"/>
  <c r="AH106" i="47"/>
  <c r="AH160" i="47"/>
  <c r="AH161" i="47" s="1"/>
  <c r="AU305" i="47"/>
  <c r="BD163" i="47"/>
  <c r="BE163" i="47" s="1"/>
  <c r="BF163" i="47" s="1"/>
  <c r="BH163" i="47" s="1"/>
  <c r="AU281" i="47"/>
  <c r="AU237" i="47"/>
  <c r="AU293" i="47" s="1"/>
  <c r="AQ192" i="47"/>
  <c r="AP188" i="47"/>
  <c r="BE265" i="47"/>
  <c r="BE269" i="47" s="1"/>
  <c r="BE271" i="47" s="1"/>
  <c r="BE273" i="47" s="1"/>
  <c r="BF269" i="47"/>
  <c r="BF271" i="47" s="1"/>
  <c r="BF273" i="47" s="1"/>
  <c r="AZ277" i="47"/>
  <c r="AZ281" i="47" s="1"/>
  <c r="AZ283" i="47" s="1"/>
  <c r="AZ285" i="47" s="1"/>
  <c r="BA281" i="47"/>
  <c r="BA283" i="47" s="1"/>
  <c r="BA285" i="47" s="1"/>
  <c r="AL125" i="47"/>
  <c r="AL160" i="47"/>
  <c r="AL106" i="47"/>
  <c r="AX283" i="47"/>
  <c r="AV238" i="47"/>
  <c r="BH292" i="47"/>
  <c r="BP243" i="47"/>
  <c r="BO243" i="47" s="1"/>
  <c r="BN243" i="47" s="1"/>
  <c r="BM243" i="47" s="1"/>
  <c r="BQ278" i="47"/>
  <c r="CB244" i="47" s="1"/>
  <c r="CB246" i="47" s="1"/>
  <c r="BZ251" i="47" s="1"/>
  <c r="AV188" i="47"/>
  <c r="AW192" i="47"/>
  <c r="AW160" i="47" s="1"/>
  <c r="BD237" i="47"/>
  <c r="CA247" i="47"/>
  <c r="BL358" i="47"/>
  <c r="BC120" i="47"/>
  <c r="BD120" i="47"/>
  <c r="BF120" i="47"/>
  <c r="BL120" i="47"/>
  <c r="BE120" i="47"/>
  <c r="AS141" i="47"/>
  <c r="AT142" i="47"/>
  <c r="AM114" i="47"/>
  <c r="AI120" i="47" s="1"/>
  <c r="AI121" i="47" s="1"/>
  <c r="BM265" i="47"/>
  <c r="BQ265" i="47"/>
  <c r="BP265" i="47" s="1"/>
  <c r="BK265" i="47"/>
  <c r="BM14" i="47"/>
  <c r="BQ298" i="47"/>
  <c r="AX315" i="47"/>
  <c r="AU261" i="47"/>
  <c r="BN292" i="47"/>
  <c r="AZ271" i="47"/>
  <c r="BB269" i="47"/>
  <c r="AZ261" i="47"/>
  <c r="AN114" i="47"/>
  <c r="AO111" i="47"/>
  <c r="BG305" i="47"/>
  <c r="BN253" i="47"/>
  <c r="BM257" i="47"/>
  <c r="AM215" i="47"/>
  <c r="BF358" i="47"/>
  <c r="BE358" i="47"/>
  <c r="BG359" i="47"/>
  <c r="BC358" i="47"/>
  <c r="BD358" i="47"/>
  <c r="AK221" i="47"/>
  <c r="BL165" i="47"/>
  <c r="AY305" i="47"/>
  <c r="AV306" i="47"/>
  <c r="AU306" i="47" s="1"/>
  <c r="AS306" i="47"/>
  <c r="AT306" i="47" s="1"/>
  <c r="AX306" i="47"/>
  <c r="AY306" i="47" s="1"/>
  <c r="BE58" i="45"/>
  <c r="AX13" i="45"/>
  <c r="AX15" i="45" s="1"/>
  <c r="AG71" i="45"/>
  <c r="AG68" i="45"/>
  <c r="AM61" i="45"/>
  <c r="AL71" i="45"/>
  <c r="AL68" i="45"/>
  <c r="AN68" i="45" s="1"/>
  <c r="AZ55" i="45"/>
  <c r="AY59" i="45"/>
  <c r="AY61" i="45" s="1"/>
  <c r="BK19" i="45"/>
  <c r="BG19" i="45"/>
  <c r="AH62" i="8"/>
  <c r="AI235" i="8"/>
  <c r="AI62" i="8" s="1"/>
  <c r="AP62" i="8"/>
  <c r="AQ235" i="8"/>
  <c r="BE8" i="8"/>
  <c r="BE104" i="8"/>
  <c r="BE105" i="8" s="1"/>
  <c r="BF101" i="8"/>
  <c r="BK102" i="8"/>
  <c r="BB190" i="8"/>
  <c r="BO101" i="8"/>
  <c r="BG91" i="8"/>
  <c r="BG93" i="8"/>
  <c r="BJ8" i="8"/>
  <c r="BJ104" i="8"/>
  <c r="BA9" i="8"/>
  <c r="BB9" i="8" s="1"/>
  <c r="BB101" i="8"/>
  <c r="BB102" i="8" s="1"/>
  <c r="BP89" i="8"/>
  <c r="BK93" i="8"/>
  <c r="BK91" i="8"/>
  <c r="BL89" i="8"/>
  <c r="AL219" i="8"/>
  <c r="AL224" i="8" s="1"/>
  <c r="AL236" i="8" s="1"/>
  <c r="AL63" i="8" s="1"/>
  <c r="BK250" i="5"/>
  <c r="BO119" i="5"/>
  <c r="BO9" i="5" s="1"/>
  <c r="BG157" i="5"/>
  <c r="BD10" i="5"/>
  <c r="BH140" i="5"/>
  <c r="BH153" i="5" s="1"/>
  <c r="BI145" i="5"/>
  <c r="AW18" i="4"/>
  <c r="BN119" i="5"/>
  <c r="BN9" i="5" s="1"/>
  <c r="BF153" i="5"/>
  <c r="BG140" i="5"/>
  <c r="BJ8" i="5"/>
  <c r="BJ122" i="5"/>
  <c r="BJ123" i="5" s="1"/>
  <c r="BE10" i="5"/>
  <c r="BH144" i="5"/>
  <c r="BB209" i="5"/>
  <c r="BI99" i="5"/>
  <c r="BE176" i="4"/>
  <c r="BB177" i="4"/>
  <c r="BA179" i="4"/>
  <c r="H55" i="4"/>
  <c r="H68" i="4" s="1"/>
  <c r="J234" i="4"/>
  <c r="H230" i="4"/>
  <c r="J230" i="4"/>
  <c r="K234" i="4"/>
  <c r="H234" i="4"/>
  <c r="K230" i="4"/>
  <c r="L234" i="4"/>
  <c r="L230" i="4"/>
  <c r="AL55" i="4"/>
  <c r="AL230" i="4"/>
  <c r="AO230" i="4"/>
  <c r="AN230" i="4"/>
  <c r="AL234" i="4"/>
  <c r="AO234" i="4"/>
  <c r="AN234" i="4"/>
  <c r="AP230" i="4"/>
  <c r="AP234" i="4"/>
  <c r="AB55" i="4"/>
  <c r="AE230" i="4"/>
  <c r="AF230" i="4"/>
  <c r="AE234" i="4"/>
  <c r="AF234" i="4"/>
  <c r="AD234" i="4"/>
  <c r="AB234" i="4"/>
  <c r="AD230" i="4"/>
  <c r="AB230" i="4"/>
  <c r="BO65" i="4"/>
  <c r="BQ64" i="4"/>
  <c r="BQ30" i="3" s="1"/>
  <c r="M55" i="4"/>
  <c r="P230" i="4"/>
  <c r="P234" i="4"/>
  <c r="M234" i="4"/>
  <c r="O230" i="4"/>
  <c r="O234" i="4"/>
  <c r="M230" i="4"/>
  <c r="Q230" i="4"/>
  <c r="Q234" i="4"/>
  <c r="Y156" i="4"/>
  <c r="AC156" i="4"/>
  <c r="AC159" i="4" s="1"/>
  <c r="AX50" i="4"/>
  <c r="AX51" i="4" s="1"/>
  <c r="AG55" i="4"/>
  <c r="AG230" i="4"/>
  <c r="AG234" i="4"/>
  <c r="AK234" i="4"/>
  <c r="AI234" i="4"/>
  <c r="AJ234" i="4"/>
  <c r="AI230" i="4"/>
  <c r="AK230" i="4"/>
  <c r="AJ230" i="4"/>
  <c r="BE197" i="4"/>
  <c r="BD219" i="4"/>
  <c r="BQ23" i="41" l="1"/>
  <c r="BL23" i="41"/>
  <c r="BJ105" i="8"/>
  <c r="BG184" i="5"/>
  <c r="BG63" i="9" s="1"/>
  <c r="BG62" i="9" s="1"/>
  <c r="DY44" i="3"/>
  <c r="DY46" i="3" s="1"/>
  <c r="Z58" i="9"/>
  <c r="AM218" i="47"/>
  <c r="AM32" i="44"/>
  <c r="AR75" i="45"/>
  <c r="BN147" i="5"/>
  <c r="BN149" i="5" s="1"/>
  <c r="BN94" i="4" s="1"/>
  <c r="BN99" i="4" s="1"/>
  <c r="BN141" i="4" s="1"/>
  <c r="BN143" i="4" s="1"/>
  <c r="BL157" i="5"/>
  <c r="AY13" i="45"/>
  <c r="AY15" i="45" s="1"/>
  <c r="AV214" i="47"/>
  <c r="AW206" i="47"/>
  <c r="U159" i="4"/>
  <c r="V156" i="4" s="1"/>
  <c r="Q159" i="4"/>
  <c r="R156" i="4" s="1"/>
  <c r="R159" i="4" s="1"/>
  <c r="Y159" i="4"/>
  <c r="Z156" i="4" s="1"/>
  <c r="CV159" i="4"/>
  <c r="CW156" i="4"/>
  <c r="CZ156" i="4"/>
  <c r="AB58" i="9"/>
  <c r="AC198" i="5"/>
  <c r="AH196" i="5" s="1"/>
  <c r="CF291" i="10"/>
  <c r="AL222" i="47"/>
  <c r="BQ63" i="47"/>
  <c r="BM101" i="47"/>
  <c r="AX34" i="66"/>
  <c r="AX41" i="9"/>
  <c r="AX40" i="47"/>
  <c r="AX34" i="45"/>
  <c r="AX43" i="5"/>
  <c r="AX40" i="8"/>
  <c r="BQ31" i="3"/>
  <c r="BQ44" i="3" s="1"/>
  <c r="BQ33" i="3"/>
  <c r="AW34" i="66"/>
  <c r="AW43" i="5"/>
  <c r="AW36" i="3"/>
  <c r="BE359" i="47"/>
  <c r="BE152" i="4"/>
  <c r="BQ14" i="47"/>
  <c r="BM14" i="4"/>
  <c r="AK22" i="66"/>
  <c r="AK88" i="66"/>
  <c r="AK96" i="66" s="1"/>
  <c r="AK26" i="66"/>
  <c r="AK45" i="66" s="1"/>
  <c r="BM12" i="8"/>
  <c r="BI63" i="9"/>
  <c r="BI62" i="9" s="1"/>
  <c r="BF111" i="4"/>
  <c r="DI12" i="10"/>
  <c r="BM94" i="4"/>
  <c r="BM99" i="4" s="1"/>
  <c r="BM141" i="4" s="1"/>
  <c r="BM182" i="5"/>
  <c r="BM184" i="5" s="1"/>
  <c r="BM239" i="5"/>
  <c r="BA94" i="4"/>
  <c r="BA99" i="4" s="1"/>
  <c r="BA141" i="4" s="1"/>
  <c r="BA143" i="4" s="1"/>
  <c r="BA182" i="5"/>
  <c r="BA184" i="5" s="1"/>
  <c r="BA239" i="5"/>
  <c r="BJ94" i="4"/>
  <c r="BJ99" i="4" s="1"/>
  <c r="BJ141" i="4" s="1"/>
  <c r="BJ143" i="4" s="1"/>
  <c r="BJ239" i="5"/>
  <c r="BJ182" i="5"/>
  <c r="BJ184" i="5" s="1"/>
  <c r="BL14" i="47"/>
  <c r="AE70" i="9"/>
  <c r="AE58" i="9"/>
  <c r="AH31" i="3"/>
  <c r="AH44" i="3" s="1"/>
  <c r="AC51" i="3"/>
  <c r="AH53" i="3"/>
  <c r="AH55" i="3" s="1"/>
  <c r="AH43" i="3" s="1"/>
  <c r="BN96" i="8"/>
  <c r="BN82" i="8" s="1"/>
  <c r="AL21" i="66"/>
  <c r="AL88" i="66" s="1"/>
  <c r="AL21" i="4"/>
  <c r="AY106" i="4"/>
  <c r="AY145" i="4" s="1"/>
  <c r="AW12" i="10"/>
  <c r="BI82" i="8"/>
  <c r="AH176" i="8"/>
  <c r="AH178" i="8" s="1"/>
  <c r="CZ39" i="3"/>
  <c r="CZ51" i="3" s="1"/>
  <c r="CZ50" i="3"/>
  <c r="BD111" i="4"/>
  <c r="DG12" i="10"/>
  <c r="BP99" i="47"/>
  <c r="BP100" i="47"/>
  <c r="BO99" i="47"/>
  <c r="BO100" i="47"/>
  <c r="BF19" i="9"/>
  <c r="BB19" i="9"/>
  <c r="BA27" i="4"/>
  <c r="BD359" i="47"/>
  <c r="BD152" i="4"/>
  <c r="BF359" i="47"/>
  <c r="BF152" i="4"/>
  <c r="AY341" i="47"/>
  <c r="AQ195" i="5"/>
  <c r="AQ197" i="5" s="1"/>
  <c r="AQ59" i="9"/>
  <c r="AQ70" i="9" s="1"/>
  <c r="AR45" i="8"/>
  <c r="AR80" i="4"/>
  <c r="AC45" i="47"/>
  <c r="AC78" i="4"/>
  <c r="BE111" i="4"/>
  <c r="DH12" i="10"/>
  <c r="AX193" i="5"/>
  <c r="BQ53" i="3"/>
  <c r="AM46" i="9"/>
  <c r="AM83" i="4"/>
  <c r="AR46" i="9"/>
  <c r="AN67" i="9"/>
  <c r="AN70" i="9"/>
  <c r="BD8" i="8"/>
  <c r="BD10" i="8" s="1"/>
  <c r="BD104" i="8"/>
  <c r="BD105" i="8" s="1"/>
  <c r="AY94" i="4"/>
  <c r="AY99" i="4" s="1"/>
  <c r="AY141" i="4" s="1"/>
  <c r="AY143" i="4" s="1"/>
  <c r="AY182" i="5"/>
  <c r="AY184" i="5" s="1"/>
  <c r="AY239" i="5"/>
  <c r="BB149" i="5"/>
  <c r="BB152" i="4"/>
  <c r="DT64" i="3" s="1"/>
  <c r="AM44" i="3"/>
  <c r="AC14" i="3"/>
  <c r="AH95" i="44"/>
  <c r="AH100" i="44" s="1"/>
  <c r="AH44" i="8"/>
  <c r="AH201" i="8"/>
  <c r="AH205" i="8"/>
  <c r="AM58" i="9"/>
  <c r="AK26" i="9"/>
  <c r="AK30" i="9" s="1"/>
  <c r="AK37" i="9" s="1"/>
  <c r="AK22" i="9"/>
  <c r="AH70" i="9"/>
  <c r="AH58" i="9"/>
  <c r="BC359" i="47"/>
  <c r="BC152" i="4"/>
  <c r="AR48" i="5"/>
  <c r="AR79" i="4"/>
  <c r="AR195" i="5"/>
  <c r="DJ38" i="3"/>
  <c r="AR59" i="9"/>
  <c r="AQ45" i="8"/>
  <c r="AQ80" i="4"/>
  <c r="BQ205" i="47"/>
  <c r="BM211" i="47"/>
  <c r="BQ211" i="47" s="1"/>
  <c r="BH96" i="8"/>
  <c r="BH82" i="8" s="1"/>
  <c r="BH101" i="8"/>
  <c r="BH9" i="8" s="1"/>
  <c r="BC111" i="4"/>
  <c r="DF12" i="10"/>
  <c r="AB71" i="45"/>
  <c r="AB68" i="45"/>
  <c r="AQ127" i="4"/>
  <c r="AQ129" i="4" s="1"/>
  <c r="AQ44" i="9"/>
  <c r="AQ39" i="9"/>
  <c r="AQ56" i="9"/>
  <c r="AW25" i="3"/>
  <c r="BN99" i="47"/>
  <c r="BN100" i="47"/>
  <c r="AX143" i="4"/>
  <c r="AX63" i="9" s="1"/>
  <c r="AX62" i="9" s="1"/>
  <c r="BK20" i="5"/>
  <c r="BL20" i="5" s="1"/>
  <c r="BJ27" i="4"/>
  <c r="BB106" i="4"/>
  <c r="AZ12" i="10"/>
  <c r="BG15" i="9"/>
  <c r="AJ45" i="9"/>
  <c r="AJ83" i="4" s="1"/>
  <c r="AJ84" i="4" s="1"/>
  <c r="AJ99" i="44"/>
  <c r="AJ100" i="44" s="1"/>
  <c r="BC8" i="8"/>
  <c r="BC10" i="8" s="1"/>
  <c r="BC104" i="8"/>
  <c r="BC105" i="8" s="1"/>
  <c r="DE50" i="3"/>
  <c r="DE40" i="3"/>
  <c r="DE52" i="3" s="1"/>
  <c r="BQ150" i="4"/>
  <c r="BP126" i="4"/>
  <c r="AG95" i="44"/>
  <c r="AG100" i="44" s="1"/>
  <c r="AI205" i="8"/>
  <c r="AI236" i="8" s="1"/>
  <c r="AI63" i="8" s="1"/>
  <c r="AK205" i="8"/>
  <c r="AK236" i="8" s="1"/>
  <c r="AK63" i="8" s="1"/>
  <c r="AI201" i="8"/>
  <c r="AG201" i="8"/>
  <c r="AG44" i="8"/>
  <c r="AJ201" i="8"/>
  <c r="AG205" i="8"/>
  <c r="AG236" i="8" s="1"/>
  <c r="AG63" i="8" s="1"/>
  <c r="AJ205" i="8"/>
  <c r="AJ236" i="8" s="1"/>
  <c r="AJ63" i="8" s="1"/>
  <c r="AK201" i="8"/>
  <c r="BK147" i="5"/>
  <c r="BK149" i="5" s="1"/>
  <c r="BL149" i="5" s="1"/>
  <c r="AC70" i="9"/>
  <c r="AC58" i="9"/>
  <c r="AV35" i="66"/>
  <c r="AM33" i="44"/>
  <c r="AM51" i="44"/>
  <c r="AM67" i="44"/>
  <c r="BD293" i="47"/>
  <c r="BL293" i="47"/>
  <c r="AQ48" i="5"/>
  <c r="AQ79" i="4"/>
  <c r="BM93" i="8"/>
  <c r="BM91" i="8"/>
  <c r="AX106" i="4"/>
  <c r="AX145" i="4" s="1"/>
  <c r="AV12" i="10"/>
  <c r="BA106" i="4"/>
  <c r="BA145" i="4" s="1"/>
  <c r="AY12" i="10"/>
  <c r="CU50" i="3"/>
  <c r="CU40" i="3"/>
  <c r="CU52" i="3" s="1"/>
  <c r="CU53" i="3" s="1"/>
  <c r="CU57" i="3" s="1"/>
  <c r="CU65" i="3" s="1"/>
  <c r="AX194" i="4"/>
  <c r="AY194" i="4" s="1"/>
  <c r="AZ194" i="4" s="1"/>
  <c r="BA194" i="4" s="1"/>
  <c r="BB194" i="4" s="1"/>
  <c r="DO64" i="3"/>
  <c r="BG126" i="4"/>
  <c r="DY60" i="3"/>
  <c r="BO147" i="5"/>
  <c r="BO149" i="5" s="1"/>
  <c r="BC118" i="4"/>
  <c r="BC252" i="4" s="1"/>
  <c r="BD252" i="4"/>
  <c r="AX101" i="47"/>
  <c r="BB99" i="47"/>
  <c r="BB101" i="47" s="1"/>
  <c r="BP9" i="9"/>
  <c r="BP15" i="9" s="1"/>
  <c r="BL9" i="9"/>
  <c r="BI118" i="4"/>
  <c r="BJ252" i="4"/>
  <c r="AL22" i="4"/>
  <c r="AL21" i="9"/>
  <c r="AL22" i="45"/>
  <c r="AL26" i="45"/>
  <c r="AZ106" i="4"/>
  <c r="AZ145" i="4" s="1"/>
  <c r="AX12" i="10"/>
  <c r="AG176" i="8"/>
  <c r="AG178" i="8" s="1"/>
  <c r="AG59" i="9"/>
  <c r="BH94" i="4"/>
  <c r="BH99" i="4" s="1"/>
  <c r="BH141" i="4" s="1"/>
  <c r="BH182" i="5"/>
  <c r="BH184" i="5" s="1"/>
  <c r="BH239" i="5"/>
  <c r="BG163" i="47"/>
  <c r="AH45" i="47"/>
  <c r="CK303" i="10"/>
  <c r="CK313" i="10" s="1"/>
  <c r="CP297" i="10"/>
  <c r="AD397" i="47"/>
  <c r="AD400" i="47"/>
  <c r="Z395" i="47"/>
  <c r="Z373" i="47"/>
  <c r="Z394" i="47"/>
  <c r="Z376" i="47"/>
  <c r="BB281" i="47"/>
  <c r="BW112" i="47"/>
  <c r="AE400" i="47"/>
  <c r="AE397" i="47"/>
  <c r="AF397" i="47"/>
  <c r="AF400" i="47"/>
  <c r="Z379" i="47"/>
  <c r="BL191" i="47"/>
  <c r="BK191" i="47" s="1"/>
  <c r="BJ191" i="47" s="1"/>
  <c r="BI191" i="47" s="1"/>
  <c r="BH191" i="47" s="1"/>
  <c r="BK177" i="47"/>
  <c r="BJ177" i="47" s="1"/>
  <c r="BI177" i="47" s="1"/>
  <c r="BH177" i="47" s="1"/>
  <c r="BQ177" i="47"/>
  <c r="CD258" i="47"/>
  <c r="CC271" i="47"/>
  <c r="AC397" i="47"/>
  <c r="AC400" i="47"/>
  <c r="CA251" i="47"/>
  <c r="AU307" i="47"/>
  <c r="BD238" i="47"/>
  <c r="AB400" i="47"/>
  <c r="AB397" i="47"/>
  <c r="AA381" i="47"/>
  <c r="AA382" i="47" s="1"/>
  <c r="AB378" i="47"/>
  <c r="CD257" i="47"/>
  <c r="CC270" i="47"/>
  <c r="AY313" i="47"/>
  <c r="AZ316" i="47" s="1"/>
  <c r="AZ313" i="47" s="1"/>
  <c r="Z382" i="47"/>
  <c r="AR236" i="8"/>
  <c r="AR63" i="8" s="1"/>
  <c r="AR237" i="8"/>
  <c r="AR64" i="8" s="1"/>
  <c r="AR214" i="8"/>
  <c r="AR211" i="8"/>
  <c r="AQ214" i="8"/>
  <c r="AQ211" i="8"/>
  <c r="AR255" i="5"/>
  <c r="AR80" i="5" s="1"/>
  <c r="AR256" i="5"/>
  <c r="AR81" i="5" s="1"/>
  <c r="AQ230" i="5"/>
  <c r="AQ233" i="5"/>
  <c r="AQ79" i="5"/>
  <c r="AR254" i="5"/>
  <c r="AR233" i="5"/>
  <c r="AR230" i="5"/>
  <c r="AU240" i="4"/>
  <c r="AU243" i="4"/>
  <c r="AT68" i="4"/>
  <c r="AT56" i="4"/>
  <c r="AQ240" i="4"/>
  <c r="AQ243" i="4"/>
  <c r="W55" i="4"/>
  <c r="W230" i="4"/>
  <c r="Z234" i="4"/>
  <c r="W234" i="4"/>
  <c r="Y234" i="4"/>
  <c r="Z230" i="4"/>
  <c r="AA234" i="4"/>
  <c r="Y230" i="4"/>
  <c r="AA230" i="4"/>
  <c r="AS243" i="4"/>
  <c r="AS240" i="4"/>
  <c r="AT243" i="4"/>
  <c r="AT240" i="4"/>
  <c r="CA12" i="10"/>
  <c r="CF68" i="10"/>
  <c r="CK66" i="10"/>
  <c r="CF11" i="10"/>
  <c r="CK289" i="10"/>
  <c r="CP19" i="10"/>
  <c r="CK54" i="10"/>
  <c r="CP197" i="10"/>
  <c r="CK213" i="10"/>
  <c r="CK328" i="10"/>
  <c r="CK330" i="10" s="1"/>
  <c r="CF10" i="10"/>
  <c r="CF215" i="10"/>
  <c r="CP311" i="10"/>
  <c r="CK278" i="10"/>
  <c r="CP106" i="10"/>
  <c r="CK194" i="10"/>
  <c r="BQ165" i="47"/>
  <c r="BO253" i="47"/>
  <c r="BN257" i="47"/>
  <c r="BN259" i="47" s="1"/>
  <c r="AO114" i="47"/>
  <c r="AO115" i="47" s="1"/>
  <c r="AP111" i="47"/>
  <c r="AZ238" i="47"/>
  <c r="AZ273" i="47"/>
  <c r="BB271" i="47"/>
  <c r="BB273" i="47" s="1"/>
  <c r="BK269" i="47"/>
  <c r="BK271" i="47" s="1"/>
  <c r="BK273" i="47" s="1"/>
  <c r="BJ265" i="47"/>
  <c r="BJ269" i="47" s="1"/>
  <c r="BJ271" i="47" s="1"/>
  <c r="BJ273" i="47" s="1"/>
  <c r="AU142" i="47"/>
  <c r="AT141" i="47"/>
  <c r="BK120" i="47"/>
  <c r="BI120" i="47"/>
  <c r="BQ120" i="47"/>
  <c r="BH120" i="47"/>
  <c r="BJ120" i="47"/>
  <c r="AU188" i="47"/>
  <c r="AV192" i="47"/>
  <c r="AV185" i="47" s="1"/>
  <c r="BI163" i="47"/>
  <c r="BJ163" i="47" s="1"/>
  <c r="BK163" i="47" s="1"/>
  <c r="BM163" i="47" s="1"/>
  <c r="AF106" i="47"/>
  <c r="AF125" i="47"/>
  <c r="AF126" i="47" s="1"/>
  <c r="AF160" i="47"/>
  <c r="BE259" i="47"/>
  <c r="CB243" i="47"/>
  <c r="BI261" i="47"/>
  <c r="BV112" i="47"/>
  <c r="BV111" i="47"/>
  <c r="BV113" i="47"/>
  <c r="AJ185" i="47"/>
  <c r="BA306" i="47"/>
  <c r="AZ306" i="47" s="1"/>
  <c r="BC306" i="47"/>
  <c r="BD306" i="47" s="1"/>
  <c r="BB343" i="47"/>
  <c r="BA188" i="47"/>
  <c r="BB192" i="47"/>
  <c r="BB160" i="47" s="1"/>
  <c r="BW251" i="47"/>
  <c r="CB260" i="47"/>
  <c r="CC254" i="47"/>
  <c r="CB268" i="47"/>
  <c r="CB273" i="47" s="1"/>
  <c r="BP176" i="47"/>
  <c r="BO176" i="47" s="1"/>
  <c r="BN176" i="47" s="1"/>
  <c r="BM176" i="47" s="1"/>
  <c r="BQ190" i="47"/>
  <c r="BP190" i="47" s="1"/>
  <c r="BO190" i="47" s="1"/>
  <c r="BN190" i="47" s="1"/>
  <c r="BM190" i="47" s="1"/>
  <c r="BD375" i="47"/>
  <c r="AN212" i="47"/>
  <c r="AO209" i="47"/>
  <c r="AN229" i="47"/>
  <c r="AN231" i="47" s="1"/>
  <c r="AN215" i="47"/>
  <c r="BH271" i="47"/>
  <c r="AX307" i="47"/>
  <c r="AN115" i="47"/>
  <c r="AX13" i="47"/>
  <c r="BP269" i="47"/>
  <c r="BP271" i="47" s="1"/>
  <c r="BP273" i="47" s="1"/>
  <c r="BO265" i="47"/>
  <c r="BO269" i="47" s="1"/>
  <c r="BO271" i="47" s="1"/>
  <c r="BO273" i="47" s="1"/>
  <c r="BJ358" i="47"/>
  <c r="BK358" i="47"/>
  <c r="BH358" i="47"/>
  <c r="BI358" i="47"/>
  <c r="BL359" i="47"/>
  <c r="CB247" i="47"/>
  <c r="CB251" i="47"/>
  <c r="BY251" i="47"/>
  <c r="BX251" i="47"/>
  <c r="AX285" i="47"/>
  <c r="BB283" i="47"/>
  <c r="BB285" i="47" s="1"/>
  <c r="AX238" i="47"/>
  <c r="AO188" i="47"/>
  <c r="AP192" i="47"/>
  <c r="AP185" i="47" s="1"/>
  <c r="AE106" i="47"/>
  <c r="AE125" i="47"/>
  <c r="AE126" i="47" s="1"/>
  <c r="AE160" i="47"/>
  <c r="AZ237" i="47"/>
  <c r="AZ293" i="47" s="1"/>
  <c r="BK253" i="47"/>
  <c r="BJ257" i="47"/>
  <c r="BC283" i="47"/>
  <c r="AN174" i="47"/>
  <c r="AN178" i="47" s="1"/>
  <c r="AO178" i="47"/>
  <c r="CA249" i="47"/>
  <c r="BG306" i="47"/>
  <c r="BL174" i="47"/>
  <c r="BG178" i="47"/>
  <c r="BG188" i="47"/>
  <c r="BF174" i="47"/>
  <c r="AH139" i="47"/>
  <c r="AI138" i="47"/>
  <c r="BB307" i="47"/>
  <c r="BK277" i="47"/>
  <c r="BM277" i="47"/>
  <c r="BQ277" i="47"/>
  <c r="BP277" i="47" s="1"/>
  <c r="AY307" i="47"/>
  <c r="BM259" i="47"/>
  <c r="BG307" i="47"/>
  <c r="BF305" i="47"/>
  <c r="BH305" i="47"/>
  <c r="BN265" i="47"/>
  <c r="BN269" i="47" s="1"/>
  <c r="BN271" i="47" s="1"/>
  <c r="BN273" i="47" s="1"/>
  <c r="BM269" i="47"/>
  <c r="AV160" i="47"/>
  <c r="AQ108" i="47"/>
  <c r="AQ185" i="47"/>
  <c r="AG125" i="47"/>
  <c r="AG126" i="47" s="1"/>
  <c r="AG160" i="47"/>
  <c r="AG106" i="47"/>
  <c r="BG271" i="47"/>
  <c r="BG273" i="47" s="1"/>
  <c r="BC273" i="47"/>
  <c r="AY285" i="47"/>
  <c r="AY238" i="47"/>
  <c r="AS307" i="47"/>
  <c r="AZ174" i="47"/>
  <c r="BA178" i="47"/>
  <c r="BA290" i="47" s="1"/>
  <c r="BL305" i="47"/>
  <c r="AL126" i="47"/>
  <c r="AG132" i="47"/>
  <c r="AG131" i="47" s="1"/>
  <c r="BD305" i="47"/>
  <c r="BI277" i="47"/>
  <c r="BH281" i="47"/>
  <c r="BH237" i="47"/>
  <c r="BH293" i="47" s="1"/>
  <c r="AY312" i="47"/>
  <c r="AM221" i="47"/>
  <c r="AM222" i="47" s="1"/>
  <c r="AM86" i="44" s="1"/>
  <c r="AK222" i="47"/>
  <c r="BM237" i="47"/>
  <c r="BM292" i="47"/>
  <c r="AW108" i="47"/>
  <c r="AW185" i="47"/>
  <c r="AU283" i="47"/>
  <c r="AW281" i="47"/>
  <c r="AV307" i="47"/>
  <c r="AD125" i="47"/>
  <c r="AD126" i="47" s="1"/>
  <c r="AD160" i="47"/>
  <c r="AD106" i="47"/>
  <c r="BF237" i="47"/>
  <c r="BF293" i="47" s="1"/>
  <c r="BF257" i="47"/>
  <c r="BF259" i="47" s="1"/>
  <c r="AU178" i="47"/>
  <c r="AT174" i="47"/>
  <c r="AT178" i="47" s="1"/>
  <c r="BG269" i="47"/>
  <c r="AD132" i="47"/>
  <c r="AD131" i="47" s="1"/>
  <c r="AI178" i="47"/>
  <c r="BX109" i="47" s="1"/>
  <c r="AI188" i="47"/>
  <c r="AT307" i="47"/>
  <c r="BA259" i="47"/>
  <c r="BB257" i="47"/>
  <c r="BH261" i="47"/>
  <c r="CF266" i="47"/>
  <c r="CE269" i="47"/>
  <c r="AZ305" i="47"/>
  <c r="BF281" i="47"/>
  <c r="BF283" i="47" s="1"/>
  <c r="BF285" i="47" s="1"/>
  <c r="BE277" i="47"/>
  <c r="BE281" i="47" s="1"/>
  <c r="BE283" i="47" s="1"/>
  <c r="BE285" i="47" s="1"/>
  <c r="AM62" i="45"/>
  <c r="AM71" i="45"/>
  <c r="AN61" i="45"/>
  <c r="AM68" i="45"/>
  <c r="BA55" i="45"/>
  <c r="AZ59" i="45"/>
  <c r="AZ61" i="45" s="1"/>
  <c r="BF58" i="45"/>
  <c r="BP19" i="45"/>
  <c r="BQ19" i="45" s="1"/>
  <c r="BL19" i="45"/>
  <c r="BL91" i="8"/>
  <c r="BL93" i="8"/>
  <c r="BP102" i="8"/>
  <c r="BK101" i="8"/>
  <c r="BO9" i="8"/>
  <c r="BC190" i="8"/>
  <c r="BF9" i="8"/>
  <c r="BG9" i="8" s="1"/>
  <c r="BG101" i="8"/>
  <c r="BG102" i="8" s="1"/>
  <c r="BE10" i="8"/>
  <c r="BJ10" i="8"/>
  <c r="AQ62" i="8"/>
  <c r="AR235" i="8"/>
  <c r="BO8" i="8"/>
  <c r="BO104" i="8"/>
  <c r="BO105" i="8" s="1"/>
  <c r="BP91" i="8"/>
  <c r="BP93" i="8"/>
  <c r="BQ89" i="8"/>
  <c r="BI144" i="5"/>
  <c r="BI8" i="5"/>
  <c r="BI122" i="5"/>
  <c r="BI123" i="5" s="1"/>
  <c r="BJ10" i="5"/>
  <c r="BC209" i="5"/>
  <c r="BI140" i="5"/>
  <c r="BI153" i="5" s="1"/>
  <c r="BJ145" i="5"/>
  <c r="BG153" i="5"/>
  <c r="BG154" i="5" s="1"/>
  <c r="BL250" i="5"/>
  <c r="BM250" i="5" s="1"/>
  <c r="BN250" i="5" s="1"/>
  <c r="BO250" i="5" s="1"/>
  <c r="BP250" i="5" s="1"/>
  <c r="BQ250" i="5" s="1"/>
  <c r="AI240" i="4"/>
  <c r="AI243" i="4"/>
  <c r="P240" i="4"/>
  <c r="P243" i="4"/>
  <c r="AB240" i="4"/>
  <c r="AB243" i="4"/>
  <c r="AB56" i="4"/>
  <c r="AB68" i="4"/>
  <c r="AL243" i="4"/>
  <c r="AL240" i="4"/>
  <c r="BF197" i="4"/>
  <c r="BE219" i="4"/>
  <c r="AG243" i="4"/>
  <c r="AG240" i="4"/>
  <c r="AX52" i="4"/>
  <c r="AX67" i="4"/>
  <c r="AX149" i="4" s="1"/>
  <c r="O240" i="4"/>
  <c r="O243" i="4"/>
  <c r="M56" i="4"/>
  <c r="M68" i="4"/>
  <c r="R56" i="4"/>
  <c r="AD243" i="4"/>
  <c r="AD240" i="4"/>
  <c r="AL56" i="4"/>
  <c r="AL68" i="4"/>
  <c r="AQ56" i="4"/>
  <c r="L240" i="4"/>
  <c r="L243" i="4"/>
  <c r="BC177" i="4"/>
  <c r="BB179" i="4"/>
  <c r="BF176" i="4"/>
  <c r="AJ240" i="4"/>
  <c r="AJ243" i="4"/>
  <c r="AG56" i="4"/>
  <c r="AG68" i="4"/>
  <c r="AY50" i="4"/>
  <c r="AY51" i="4" s="1"/>
  <c r="Q243" i="4"/>
  <c r="Q240" i="4"/>
  <c r="AF240" i="4"/>
  <c r="AF243" i="4"/>
  <c r="AP243" i="4"/>
  <c r="AP240" i="4"/>
  <c r="AN240" i="4"/>
  <c r="AN243" i="4"/>
  <c r="J243" i="4"/>
  <c r="J240" i="4"/>
  <c r="AK243" i="4"/>
  <c r="AK240" i="4"/>
  <c r="AD156" i="4"/>
  <c r="AH156" i="4"/>
  <c r="AH159" i="4" s="1"/>
  <c r="M243" i="4"/>
  <c r="M240" i="4"/>
  <c r="BQ65" i="4"/>
  <c r="AE240" i="4"/>
  <c r="AE243" i="4"/>
  <c r="AO243" i="4"/>
  <c r="AO240" i="4"/>
  <c r="K240" i="4"/>
  <c r="K243" i="4"/>
  <c r="H240" i="4"/>
  <c r="H243" i="4"/>
  <c r="BG23" i="41" l="1"/>
  <c r="CF22" i="41"/>
  <c r="BN182" i="5"/>
  <c r="BN184" i="5" s="1"/>
  <c r="BG152" i="4"/>
  <c r="DY64" i="3" s="1"/>
  <c r="CZ40" i="3"/>
  <c r="CZ52" i="3" s="1"/>
  <c r="CZ53" i="3" s="1"/>
  <c r="CZ57" i="3" s="1"/>
  <c r="CZ65" i="3" s="1"/>
  <c r="BC194" i="4"/>
  <c r="BD194" i="4" s="1"/>
  <c r="BE194" i="4" s="1"/>
  <c r="BF194" i="4" s="1"/>
  <c r="BG194" i="4" s="1"/>
  <c r="AR76" i="45"/>
  <c r="AO75" i="45"/>
  <c r="AO76" i="45" s="1"/>
  <c r="AP75" i="45"/>
  <c r="AP76" i="45" s="1"/>
  <c r="AQ75" i="45"/>
  <c r="AQ76" i="45" s="1"/>
  <c r="AN75" i="45"/>
  <c r="AN76" i="45" s="1"/>
  <c r="AY63" i="9"/>
  <c r="AY62" i="9" s="1"/>
  <c r="BN63" i="9"/>
  <c r="BN62" i="9" s="1"/>
  <c r="AD196" i="5"/>
  <c r="AD197" i="5" s="1"/>
  <c r="AH197" i="5" s="1"/>
  <c r="AH198" i="5" s="1"/>
  <c r="BN239" i="5"/>
  <c r="BB141" i="4"/>
  <c r="DT47" i="3" s="1"/>
  <c r="AZ13" i="45"/>
  <c r="AZ15" i="45" s="1"/>
  <c r="AW214" i="47"/>
  <c r="Z159" i="4"/>
  <c r="AA156" i="4" s="1"/>
  <c r="V159" i="4"/>
  <c r="W156" i="4" s="1"/>
  <c r="W159" i="4" s="1"/>
  <c r="AD159" i="4"/>
  <c r="AE156" i="4" s="1"/>
  <c r="CW159" i="4"/>
  <c r="CX156" i="4"/>
  <c r="CZ159" i="4"/>
  <c r="DA156" i="4" s="1"/>
  <c r="CK291" i="10"/>
  <c r="BQ100" i="47"/>
  <c r="AQ58" i="9"/>
  <c r="BB239" i="5"/>
  <c r="BA63" i="9"/>
  <c r="BA62" i="9" s="1"/>
  <c r="BP101" i="47"/>
  <c r="BI359" i="47"/>
  <c r="BI152" i="4"/>
  <c r="AA379" i="47"/>
  <c r="BL182" i="5"/>
  <c r="BL94" i="4"/>
  <c r="BL99" i="4" s="1"/>
  <c r="BL90" i="44" s="1"/>
  <c r="AG70" i="9"/>
  <c r="AG58" i="9"/>
  <c r="AL22" i="9"/>
  <c r="AL26" i="9"/>
  <c r="AL30" i="9" s="1"/>
  <c r="AL37" i="9" s="1"/>
  <c r="BB145" i="4"/>
  <c r="DT61" i="3" s="1"/>
  <c r="BK94" i="4"/>
  <c r="BK99" i="4" s="1"/>
  <c r="BK141" i="4" s="1"/>
  <c r="BK143" i="4" s="1"/>
  <c r="BK182" i="5"/>
  <c r="BK184" i="5" s="1"/>
  <c r="BK239" i="5"/>
  <c r="BL239" i="5" s="1"/>
  <c r="AJ211" i="8"/>
  <c r="AJ214" i="8"/>
  <c r="BQ126" i="4"/>
  <c r="EI60" i="3"/>
  <c r="BL15" i="9"/>
  <c r="AR10" i="3"/>
  <c r="AR84" i="4"/>
  <c r="AK127" i="4"/>
  <c r="AK129" i="4" s="1"/>
  <c r="AK56" i="9"/>
  <c r="AK58" i="9" s="1"/>
  <c r="AK39" i="9"/>
  <c r="AK44" i="9"/>
  <c r="AH237" i="8"/>
  <c r="AH64" i="8" s="1"/>
  <c r="AH236" i="8"/>
  <c r="AH63" i="8" s="1"/>
  <c r="AM14" i="3"/>
  <c r="AM15" i="3" s="1"/>
  <c r="AM84" i="4"/>
  <c r="AC9" i="3"/>
  <c r="AC15" i="3" s="1"/>
  <c r="AC42" i="3" s="1"/>
  <c r="AC84" i="4"/>
  <c r="BO101" i="47"/>
  <c r="AL24" i="4"/>
  <c r="BJ63" i="9"/>
  <c r="BJ62" i="9" s="1"/>
  <c r="AY34" i="66"/>
  <c r="AY41" i="9"/>
  <c r="AY34" i="45"/>
  <c r="AY40" i="47"/>
  <c r="AY43" i="5"/>
  <c r="AY40" i="8"/>
  <c r="BH359" i="47"/>
  <c r="BH152" i="4"/>
  <c r="BH194" i="4" s="1"/>
  <c r="BI194" i="4" s="1"/>
  <c r="BH118" i="4"/>
  <c r="BH252" i="4" s="1"/>
  <c r="BI252" i="4"/>
  <c r="BM96" i="8"/>
  <c r="BM82" i="8" s="1"/>
  <c r="BM101" i="8"/>
  <c r="BM9" i="8" s="1"/>
  <c r="AM34" i="44"/>
  <c r="AM35" i="44"/>
  <c r="AV37" i="66"/>
  <c r="AV38" i="66"/>
  <c r="AV82" i="4" s="1"/>
  <c r="AK211" i="8"/>
  <c r="AK214" i="8"/>
  <c r="AG45" i="8"/>
  <c r="AG80" i="4"/>
  <c r="AG84" i="4" s="1"/>
  <c r="AL45" i="8"/>
  <c r="DE53" i="3"/>
  <c r="DE57" i="3" s="1"/>
  <c r="DE65" i="3" s="1"/>
  <c r="AR70" i="9"/>
  <c r="AR58" i="9"/>
  <c r="AH211" i="8"/>
  <c r="AH214" i="8"/>
  <c r="BI8" i="8"/>
  <c r="BI10" i="8" s="1"/>
  <c r="BI104" i="8"/>
  <c r="BI105" i="8" s="1"/>
  <c r="AL26" i="66"/>
  <c r="AL22" i="66"/>
  <c r="AC53" i="3"/>
  <c r="AC55" i="3" s="1"/>
  <c r="AC43" i="3" s="1"/>
  <c r="X51" i="3"/>
  <c r="AC31" i="3"/>
  <c r="AC44" i="3" s="1"/>
  <c r="AW35" i="66"/>
  <c r="AW44" i="5"/>
  <c r="AW37" i="3"/>
  <c r="AX35" i="66"/>
  <c r="AX42" i="9"/>
  <c r="AX41" i="47"/>
  <c r="AX35" i="45"/>
  <c r="AX41" i="8"/>
  <c r="AX44" i="5"/>
  <c r="BK359" i="47"/>
  <c r="BK152" i="4"/>
  <c r="BO94" i="4"/>
  <c r="BO99" i="4" s="1"/>
  <c r="BO141" i="4" s="1"/>
  <c r="BO143" i="4" s="1"/>
  <c r="BO182" i="5"/>
  <c r="BO184" i="5" s="1"/>
  <c r="BO239" i="5"/>
  <c r="AG214" i="8"/>
  <c r="AG211" i="8"/>
  <c r="BM20" i="5"/>
  <c r="DJ50" i="3"/>
  <c r="DJ40" i="3"/>
  <c r="DJ52" i="3" s="1"/>
  <c r="DJ53" i="3" s="1"/>
  <c r="DJ57" i="3" s="1"/>
  <c r="DJ65" i="3" s="1"/>
  <c r="AH80" i="4"/>
  <c r="AH45" i="8"/>
  <c r="AM45" i="8"/>
  <c r="AR11" i="3"/>
  <c r="BK19" i="9"/>
  <c r="BG19" i="9"/>
  <c r="BF27" i="4"/>
  <c r="BG27" i="4" s="1"/>
  <c r="BN104" i="8"/>
  <c r="BN8" i="8"/>
  <c r="BN10" i="8" s="1"/>
  <c r="BJ359" i="47"/>
  <c r="BJ152" i="4"/>
  <c r="BL269" i="47"/>
  <c r="BH143" i="4"/>
  <c r="BH63" i="9" s="1"/>
  <c r="BH62" i="9" s="1"/>
  <c r="BQ9" i="9"/>
  <c r="AI211" i="8"/>
  <c r="AI214" i="8"/>
  <c r="BP147" i="5"/>
  <c r="BP149" i="5" s="1"/>
  <c r="BQ99" i="47"/>
  <c r="BN101" i="47"/>
  <c r="AQ45" i="9"/>
  <c r="AQ83" i="4" s="1"/>
  <c r="AQ84" i="4" s="1"/>
  <c r="AQ99" i="44"/>
  <c r="AQ100" i="44" s="1"/>
  <c r="BH104" i="8"/>
  <c r="BH105" i="8" s="1"/>
  <c r="BH8" i="8"/>
  <c r="BH10" i="8" s="1"/>
  <c r="BB182" i="5"/>
  <c r="BB94" i="4"/>
  <c r="BB99" i="4" s="1"/>
  <c r="BB27" i="4"/>
  <c r="BM143" i="4"/>
  <c r="BM63" i="9" s="1"/>
  <c r="BM62" i="9" s="1"/>
  <c r="AL89" i="66"/>
  <c r="AK89" i="66"/>
  <c r="CF12" i="10"/>
  <c r="BA307" i="47"/>
  <c r="AZ307" i="47"/>
  <c r="AW290" i="47"/>
  <c r="CP303" i="10"/>
  <c r="CP313" i="10" s="1"/>
  <c r="CU297" i="10"/>
  <c r="CK11" i="10"/>
  <c r="CE257" i="47"/>
  <c r="CD270" i="47"/>
  <c r="BM293" i="47"/>
  <c r="BC307" i="47"/>
  <c r="AA373" i="47"/>
  <c r="AA395" i="47"/>
  <c r="AA376" i="47"/>
  <c r="AA394" i="47"/>
  <c r="BP177" i="47"/>
  <c r="BO177" i="47" s="1"/>
  <c r="BN177" i="47" s="1"/>
  <c r="BM177" i="47" s="1"/>
  <c r="BQ191" i="47"/>
  <c r="BP191" i="47" s="1"/>
  <c r="BO191" i="47" s="1"/>
  <c r="BN191" i="47" s="1"/>
  <c r="BM191" i="47" s="1"/>
  <c r="BD307" i="47"/>
  <c r="AB381" i="47"/>
  <c r="AB382" i="47" s="1"/>
  <c r="AC378" i="47"/>
  <c r="CE258" i="47"/>
  <c r="CD271" i="47"/>
  <c r="BP101" i="8"/>
  <c r="BP9" i="8" s="1"/>
  <c r="AR79" i="5"/>
  <c r="Z243" i="4"/>
  <c r="Z240" i="4"/>
  <c r="W240" i="4"/>
  <c r="W243" i="4"/>
  <c r="AA240" i="4"/>
  <c r="AA243" i="4"/>
  <c r="W68" i="4"/>
  <c r="W56" i="4"/>
  <c r="Y243" i="4"/>
  <c r="Y240" i="4"/>
  <c r="CL278" i="10"/>
  <c r="CT278" i="10"/>
  <c r="CM278" i="10"/>
  <c r="CQ278" i="10"/>
  <c r="CN278" i="10"/>
  <c r="CR278" i="10"/>
  <c r="CO278" i="10"/>
  <c r="CS278" i="10"/>
  <c r="CP278" i="10"/>
  <c r="CP213" i="10"/>
  <c r="CU197" i="10"/>
  <c r="CK10" i="10"/>
  <c r="CK215" i="10"/>
  <c r="CU311" i="10"/>
  <c r="CK68" i="10"/>
  <c r="CU106" i="10"/>
  <c r="CP194" i="10"/>
  <c r="CP328" i="10"/>
  <c r="CU19" i="10"/>
  <c r="CP54" i="10"/>
  <c r="CP289" i="10"/>
  <c r="CP66" i="10"/>
  <c r="BA289" i="47"/>
  <c r="BA160" i="47"/>
  <c r="BB161" i="47"/>
  <c r="BA238" i="47"/>
  <c r="BA261" i="47"/>
  <c r="BB259" i="47"/>
  <c r="BF238" i="47"/>
  <c r="BF261" i="47"/>
  <c r="BI281" i="47"/>
  <c r="BI283" i="47" s="1"/>
  <c r="BI237" i="47"/>
  <c r="BI293" i="47" s="1"/>
  <c r="AV295" i="47"/>
  <c r="AW289" i="47"/>
  <c r="AW295" i="47" s="1"/>
  <c r="AU160" i="47"/>
  <c r="BE305" i="47"/>
  <c r="BF178" i="47"/>
  <c r="BF290" i="47" s="1"/>
  <c r="BE174" i="47"/>
  <c r="BH306" i="47"/>
  <c r="BI306" i="47" s="1"/>
  <c r="BF306" i="47"/>
  <c r="BE306" i="47" s="1"/>
  <c r="BG343" i="47"/>
  <c r="BG281" i="47"/>
  <c r="AN188" i="47"/>
  <c r="AO192" i="47"/>
  <c r="AO185" i="47" s="1"/>
  <c r="BL271" i="47"/>
  <c r="BL273" i="47" s="1"/>
  <c r="BH273" i="47"/>
  <c r="AN220" i="47"/>
  <c r="BQ237" i="47"/>
  <c r="BQ293" i="47" s="1"/>
  <c r="AZ312" i="47"/>
  <c r="BA316" i="47"/>
  <c r="BA315" i="47" s="1"/>
  <c r="BA13" i="47" s="1"/>
  <c r="BP281" i="47"/>
  <c r="BP283" i="47" s="1"/>
  <c r="BP285" i="47" s="1"/>
  <c r="BO277" i="47"/>
  <c r="BO281" i="47" s="1"/>
  <c r="BO283" i="47" s="1"/>
  <c r="BO285" i="47" s="1"/>
  <c r="AJ138" i="47"/>
  <c r="AI139" i="47"/>
  <c r="BG192" i="47"/>
  <c r="BF188" i="47"/>
  <c r="CB249" i="47"/>
  <c r="CC249" i="47" s="1"/>
  <c r="CD249" i="47" s="1"/>
  <c r="CE249" i="47" s="1"/>
  <c r="CF249" i="47" s="1"/>
  <c r="BL306" i="47"/>
  <c r="BL307" i="47" s="1"/>
  <c r="BG283" i="47"/>
  <c r="BG285" i="47" s="1"/>
  <c r="BC285" i="47"/>
  <c r="AN218" i="47"/>
  <c r="AN217" i="47"/>
  <c r="BG257" i="47"/>
  <c r="AU192" i="47"/>
  <c r="AU185" i="47" s="1"/>
  <c r="AT188" i="47"/>
  <c r="BO120" i="47"/>
  <c r="BN120" i="47"/>
  <c r="BM120" i="47"/>
  <c r="BP120" i="47"/>
  <c r="AU141" i="47"/>
  <c r="AV142" i="47"/>
  <c r="BN261" i="47"/>
  <c r="AM188" i="47"/>
  <c r="AI192" i="47"/>
  <c r="AY174" i="47"/>
  <c r="AZ178" i="47"/>
  <c r="AZ290" i="47" s="1"/>
  <c r="AQ106" i="47"/>
  <c r="AQ160" i="47"/>
  <c r="AP160" i="47" s="1"/>
  <c r="BN277" i="47"/>
  <c r="BN281" i="47" s="1"/>
  <c r="BN283" i="47" s="1"/>
  <c r="BN285" i="47" s="1"/>
  <c r="BM281" i="47"/>
  <c r="AH132" i="47"/>
  <c r="AH131" i="47" s="1"/>
  <c r="AH150" i="47" s="1"/>
  <c r="BJ259" i="47"/>
  <c r="BE237" i="47"/>
  <c r="BE293" i="47" s="1"/>
  <c r="BE375" i="47"/>
  <c r="CD254" i="47"/>
  <c r="CC260" i="47"/>
  <c r="CC268" i="47"/>
  <c r="CC273" i="47" s="1"/>
  <c r="BB108" i="47"/>
  <c r="BB185" i="47"/>
  <c r="BA343" i="47"/>
  <c r="AY343" i="47"/>
  <c r="AZ343" i="47"/>
  <c r="AX343" i="47"/>
  <c r="BE238" i="47"/>
  <c r="BE261" i="47"/>
  <c r="BG259" i="47"/>
  <c r="BN163" i="47"/>
  <c r="BO163" i="47" s="1"/>
  <c r="BP163" i="47" s="1"/>
  <c r="CF269" i="47"/>
  <c r="CG266" i="47"/>
  <c r="BX113" i="47"/>
  <c r="BY113" i="47" s="1"/>
  <c r="BX112" i="47"/>
  <c r="BY112" i="47" s="1"/>
  <c r="BX111" i="47"/>
  <c r="BY111" i="47" s="1"/>
  <c r="AU285" i="47"/>
  <c r="AW283" i="47"/>
  <c r="AU238" i="47"/>
  <c r="AS108" i="47"/>
  <c r="AU108" i="47"/>
  <c r="AV108" i="47"/>
  <c r="AT108" i="47"/>
  <c r="AZ315" i="47"/>
  <c r="BH283" i="47"/>
  <c r="BM305" i="47"/>
  <c r="BK305" i="47"/>
  <c r="BQ269" i="47"/>
  <c r="BM271" i="47"/>
  <c r="BI305" i="47"/>
  <c r="BI307" i="47" s="1"/>
  <c r="BM261" i="47"/>
  <c r="BK281" i="47"/>
  <c r="BK283" i="47" s="1"/>
  <c r="BK285" i="47" s="1"/>
  <c r="BJ277" i="47"/>
  <c r="BQ174" i="47"/>
  <c r="BK174" i="47"/>
  <c r="BL178" i="47"/>
  <c r="BL188" i="47"/>
  <c r="BK237" i="47"/>
  <c r="BK293" i="47" s="1"/>
  <c r="BK257" i="47"/>
  <c r="BK259" i="47" s="1"/>
  <c r="AX341" i="47"/>
  <c r="AP209" i="47"/>
  <c r="AO212" i="47"/>
  <c r="AO229" i="47"/>
  <c r="AO231" i="47" s="1"/>
  <c r="AO215" i="47"/>
  <c r="AZ188" i="47"/>
  <c r="BA192" i="47"/>
  <c r="BA185" i="47" s="1"/>
  <c r="BL163" i="47"/>
  <c r="AQ111" i="47"/>
  <c r="AR111" i="47" s="1"/>
  <c r="AP114" i="47"/>
  <c r="BO237" i="47"/>
  <c r="BO257" i="47"/>
  <c r="BP253" i="47"/>
  <c r="BC238" i="47"/>
  <c r="BH58" i="45"/>
  <c r="BB55" i="45"/>
  <c r="BC55" i="45" s="1"/>
  <c r="BA59" i="45"/>
  <c r="BA13" i="45" s="1"/>
  <c r="BA15" i="45" s="1"/>
  <c r="AO61" i="45"/>
  <c r="AN71" i="45"/>
  <c r="BQ93" i="8"/>
  <c r="BQ91" i="8"/>
  <c r="AR62" i="8"/>
  <c r="AS235" i="8"/>
  <c r="BD190" i="8"/>
  <c r="BO10" i="8"/>
  <c r="BQ101" i="8"/>
  <c r="BK9" i="8"/>
  <c r="BL9" i="8" s="1"/>
  <c r="BL101" i="8"/>
  <c r="BL102" i="8" s="1"/>
  <c r="BD209" i="5"/>
  <c r="BI10" i="5"/>
  <c r="BJ144" i="5"/>
  <c r="BJ140" i="5"/>
  <c r="BJ153" i="5" s="1"/>
  <c r="BK145" i="5"/>
  <c r="AI156" i="4"/>
  <c r="AM156" i="4"/>
  <c r="AM159" i="4" s="1"/>
  <c r="AZ50" i="4"/>
  <c r="AZ51" i="4" s="1"/>
  <c r="BD177" i="4"/>
  <c r="BC179" i="4"/>
  <c r="BG176" i="4"/>
  <c r="AX128" i="4"/>
  <c r="AX153" i="4"/>
  <c r="AX68" i="9" s="1"/>
  <c r="AX67" i="9" s="1"/>
  <c r="AY52" i="4"/>
  <c r="AY67" i="4"/>
  <c r="AY149" i="4" s="1"/>
  <c r="BG197" i="4"/>
  <c r="BF219" i="4"/>
  <c r="BB23" i="41" l="1"/>
  <c r="BQ102" i="8"/>
  <c r="BQ9" i="8"/>
  <c r="BA61" i="45"/>
  <c r="BS99" i="4"/>
  <c r="BB143" i="4"/>
  <c r="BQ101" i="47"/>
  <c r="AE159" i="4"/>
  <c r="AF156" i="4" s="1"/>
  <c r="AA159" i="4"/>
  <c r="AB156" i="4" s="1"/>
  <c r="AB159" i="4" s="1"/>
  <c r="AI159" i="4"/>
  <c r="AJ156" i="4" s="1"/>
  <c r="DA159" i="4"/>
  <c r="DE156" i="4"/>
  <c r="DB156" i="4"/>
  <c r="CY156" i="4"/>
  <c r="CY159" i="4" s="1"/>
  <c r="CX159" i="4"/>
  <c r="BJ194" i="4"/>
  <c r="BK194" i="4" s="1"/>
  <c r="BL194" i="4" s="1"/>
  <c r="BM194" i="4" s="1"/>
  <c r="BN194" i="4" s="1"/>
  <c r="BO194" i="4" s="1"/>
  <c r="BP194" i="4" s="1"/>
  <c r="BQ194" i="4" s="1"/>
  <c r="BO63" i="9"/>
  <c r="BO62" i="9" s="1"/>
  <c r="BL141" i="4"/>
  <c r="ED47" i="3" s="1"/>
  <c r="BQ15" i="9"/>
  <c r="BN105" i="8"/>
  <c r="BP19" i="9"/>
  <c r="BL19" i="9"/>
  <c r="AH11" i="3"/>
  <c r="AH15" i="3" s="1"/>
  <c r="AH84" i="4"/>
  <c r="BK27" i="4"/>
  <c r="BL27" i="4" s="1"/>
  <c r="AR15" i="3"/>
  <c r="AL127" i="4"/>
  <c r="AL129" i="4" s="1"/>
  <c r="AL39" i="9"/>
  <c r="AL56" i="9"/>
  <c r="AL58" i="9" s="1"/>
  <c r="AL44" i="9"/>
  <c r="AY35" i="66"/>
  <c r="AY42" i="9"/>
  <c r="AY35" i="45"/>
  <c r="AY41" i="47"/>
  <c r="AY44" i="5"/>
  <c r="AY41" i="8"/>
  <c r="BA341" i="47"/>
  <c r="CP330" i="10"/>
  <c r="AM81" i="66"/>
  <c r="BQ149" i="5"/>
  <c r="BP94" i="4"/>
  <c r="BP99" i="4" s="1"/>
  <c r="BP141" i="4" s="1"/>
  <c r="BP143" i="4" s="1"/>
  <c r="BP239" i="5"/>
  <c r="BQ239" i="5" s="1"/>
  <c r="BP182" i="5"/>
  <c r="BP184" i="5" s="1"/>
  <c r="BM27" i="4"/>
  <c r="BN20" i="5"/>
  <c r="AX37" i="66"/>
  <c r="AX38" i="66"/>
  <c r="AX82" i="4" s="1"/>
  <c r="BM104" i="8"/>
  <c r="BM105" i="8" s="1"/>
  <c r="BM8" i="8"/>
  <c r="BM10" i="8" s="1"/>
  <c r="BL184" i="5"/>
  <c r="ED44" i="3"/>
  <c r="BB90" i="44"/>
  <c r="AW37" i="66"/>
  <c r="AW38" i="66"/>
  <c r="X42" i="3"/>
  <c r="X53" i="3"/>
  <c r="X55" i="3" s="1"/>
  <c r="X43" i="3" s="1"/>
  <c r="X31" i="3"/>
  <c r="X44" i="3" s="1"/>
  <c r="AM47" i="3"/>
  <c r="AM32" i="3"/>
  <c r="AM49" i="3"/>
  <c r="AM42" i="3"/>
  <c r="BK63" i="9"/>
  <c r="BK62" i="9" s="1"/>
  <c r="AZ34" i="66"/>
  <c r="AZ41" i="9"/>
  <c r="AZ40" i="47"/>
  <c r="AZ34" i="45"/>
  <c r="AZ40" i="8"/>
  <c r="AZ43" i="5"/>
  <c r="BB184" i="5"/>
  <c r="DT44" i="3"/>
  <c r="DT46" i="3" s="1"/>
  <c r="BL152" i="4"/>
  <c r="ED64" i="3" s="1"/>
  <c r="AC47" i="3"/>
  <c r="AC49" i="3"/>
  <c r="AC32" i="3"/>
  <c r="AK45" i="9"/>
  <c r="AK83" i="4" s="1"/>
  <c r="AK84" i="4" s="1"/>
  <c r="AK99" i="44"/>
  <c r="AK100" i="44" s="1"/>
  <c r="CK12" i="10"/>
  <c r="BH307" i="47"/>
  <c r="CZ297" i="10"/>
  <c r="CU303" i="10"/>
  <c r="CU313" i="10" s="1"/>
  <c r="CF258" i="47"/>
  <c r="CE271" i="47"/>
  <c r="AB376" i="47"/>
  <c r="AB395" i="47"/>
  <c r="AB394" i="47"/>
  <c r="AB373" i="47"/>
  <c r="AD378" i="47"/>
  <c r="AC381" i="47"/>
  <c r="AC382" i="47" s="1"/>
  <c r="AC384" i="47"/>
  <c r="BB316" i="47"/>
  <c r="AH153" i="47"/>
  <c r="AB379" i="47"/>
  <c r="CF257" i="47"/>
  <c r="CE270" i="47"/>
  <c r="BB59" i="45"/>
  <c r="BB58" i="45" s="1"/>
  <c r="AS79" i="5"/>
  <c r="AM196" i="5"/>
  <c r="AI196" i="5"/>
  <c r="AI197" i="5" s="1"/>
  <c r="AM197" i="5" s="1"/>
  <c r="CR66" i="10"/>
  <c r="CR68" i="10" s="1"/>
  <c r="CS66" i="10"/>
  <c r="CS68" i="10" s="1"/>
  <c r="CT66" i="10"/>
  <c r="CT68" i="10" s="1"/>
  <c r="CQ66" i="10"/>
  <c r="CQ68" i="10" s="1"/>
  <c r="CU66" i="10"/>
  <c r="CU328" i="10"/>
  <c r="CU330" i="10" s="1"/>
  <c r="CU213" i="10"/>
  <c r="CZ197" i="10"/>
  <c r="CO291" i="10"/>
  <c r="CO10" i="10"/>
  <c r="CO12" i="10" s="1"/>
  <c r="CQ10" i="10"/>
  <c r="CR289" i="10"/>
  <c r="CS289" i="10"/>
  <c r="CS291" i="10" s="1"/>
  <c r="CT289" i="10"/>
  <c r="CU289" i="10"/>
  <c r="CQ289" i="10"/>
  <c r="CP68" i="10"/>
  <c r="CP10" i="10"/>
  <c r="CP215" i="10"/>
  <c r="CP11" i="10"/>
  <c r="CR10" i="10"/>
  <c r="CM291" i="10"/>
  <c r="CM10" i="10"/>
  <c r="CM12" i="10" s="1"/>
  <c r="CZ19" i="10"/>
  <c r="CU54" i="10"/>
  <c r="CU68" i="10" s="1"/>
  <c r="CZ106" i="10"/>
  <c r="CU194" i="10"/>
  <c r="CP291" i="10"/>
  <c r="CN291" i="10"/>
  <c r="CN10" i="10"/>
  <c r="CN12" i="10" s="1"/>
  <c r="CT10" i="10"/>
  <c r="CS10" i="10"/>
  <c r="CU278" i="10"/>
  <c r="CL291" i="10"/>
  <c r="CL10" i="10"/>
  <c r="CL12" i="10" s="1"/>
  <c r="BF289" i="47"/>
  <c r="BP237" i="47"/>
  <c r="BP293" i="47" s="1"/>
  <c r="BP257" i="47"/>
  <c r="BP259" i="47" s="1"/>
  <c r="BK261" i="47"/>
  <c r="BK238" i="47"/>
  <c r="AW285" i="47"/>
  <c r="AW238" i="47"/>
  <c r="CH266" i="47"/>
  <c r="CG268" i="47"/>
  <c r="CG269" i="47"/>
  <c r="BJ261" i="47"/>
  <c r="BL259" i="47"/>
  <c r="BF307" i="47"/>
  <c r="BO259" i="47"/>
  <c r="AQ114" i="47"/>
  <c r="AS111" i="47"/>
  <c r="AO218" i="47"/>
  <c r="AO221" i="47" s="1"/>
  <c r="AO217" i="47"/>
  <c r="BP174" i="47"/>
  <c r="BQ178" i="47"/>
  <c r="BQ188" i="47"/>
  <c r="BM273" i="47"/>
  <c r="BQ271" i="47"/>
  <c r="BQ273" i="47" s="1"/>
  <c r="BN305" i="47"/>
  <c r="AZ13" i="47"/>
  <c r="BB315" i="47"/>
  <c r="BN237" i="47"/>
  <c r="BN293" i="47" s="1"/>
  <c r="BG261" i="47"/>
  <c r="BG238" i="47"/>
  <c r="CD260" i="47"/>
  <c r="CE254" i="47"/>
  <c r="CD268" i="47"/>
  <c r="CD273" i="47" s="1"/>
  <c r="BN238" i="47"/>
  <c r="AS188" i="47"/>
  <c r="AS192" i="47" s="1"/>
  <c r="AS185" i="47" s="1"/>
  <c r="AT192" i="47"/>
  <c r="AT185" i="47" s="1"/>
  <c r="CG249" i="47"/>
  <c r="CH249" i="47" s="1"/>
  <c r="CI249" i="47" s="1"/>
  <c r="CJ249" i="47" s="1"/>
  <c r="CK249" i="47" s="1"/>
  <c r="CL249" i="47" s="1"/>
  <c r="CM249" i="47" s="1"/>
  <c r="CN249" i="47" s="1"/>
  <c r="CO249" i="47" s="1"/>
  <c r="CP249" i="47" s="1"/>
  <c r="BQ306" i="47"/>
  <c r="AR188" i="47"/>
  <c r="AN192" i="47"/>
  <c r="BE307" i="47"/>
  <c r="BB238" i="47"/>
  <c r="BB261" i="47"/>
  <c r="AZ160" i="47"/>
  <c r="AP115" i="47"/>
  <c r="AR114" i="47"/>
  <c r="AY188" i="47"/>
  <c r="AZ192" i="47"/>
  <c r="AZ185" i="47" s="1"/>
  <c r="BK178" i="47"/>
  <c r="BK290" i="47" s="1"/>
  <c r="BJ174" i="47"/>
  <c r="BG108" i="47"/>
  <c r="BG185" i="47"/>
  <c r="BK188" i="47"/>
  <c r="BL192" i="47"/>
  <c r="BL160" i="47" s="1"/>
  <c r="BJ281" i="47"/>
  <c r="BJ283" i="47" s="1"/>
  <c r="BJ285" i="47" s="1"/>
  <c r="BJ237" i="47"/>
  <c r="BJ293" i="47" s="1"/>
  <c r="AZ289" i="47"/>
  <c r="BA108" i="47"/>
  <c r="AZ108" i="47"/>
  <c r="AX108" i="47"/>
  <c r="AY108" i="47"/>
  <c r="AM192" i="47"/>
  <c r="AI185" i="47"/>
  <c r="AW142" i="47"/>
  <c r="AX142" i="47" s="1"/>
  <c r="AV141" i="47"/>
  <c r="AW141" i="47" s="1"/>
  <c r="BG160" i="47"/>
  <c r="AK138" i="47"/>
  <c r="AJ139" i="47"/>
  <c r="BD174" i="47"/>
  <c r="BE178" i="47"/>
  <c r="BE290" i="47" s="1"/>
  <c r="AU159" i="47"/>
  <c r="AU157" i="47" s="1"/>
  <c r="AT160" i="47"/>
  <c r="BA12" i="47"/>
  <c r="BA295" i="47"/>
  <c r="AP215" i="47"/>
  <c r="AQ209" i="47"/>
  <c r="AP212" i="47"/>
  <c r="AP229" i="47"/>
  <c r="AP231" i="47" s="1"/>
  <c r="BM306" i="47"/>
  <c r="BN306" i="47" s="1"/>
  <c r="BK306" i="47"/>
  <c r="BJ306" i="47" s="1"/>
  <c r="BL343" i="47"/>
  <c r="BI285" i="47"/>
  <c r="BI238" i="47"/>
  <c r="AO220" i="47"/>
  <c r="BJ305" i="47"/>
  <c r="BH285" i="47"/>
  <c r="BH238" i="47"/>
  <c r="BQ163" i="47"/>
  <c r="BF375" i="47"/>
  <c r="BL257" i="47"/>
  <c r="BM283" i="47"/>
  <c r="BQ281" i="47"/>
  <c r="AO160" i="47"/>
  <c r="AY178" i="47"/>
  <c r="AY290" i="47" s="1"/>
  <c r="AX174" i="47"/>
  <c r="AX178" i="47" s="1"/>
  <c r="AX290" i="47" s="1"/>
  <c r="AN221" i="47"/>
  <c r="BE188" i="47"/>
  <c r="BF192" i="47"/>
  <c r="BF185" i="47" s="1"/>
  <c r="BA313" i="47"/>
  <c r="BE343" i="47"/>
  <c r="BC343" i="47"/>
  <c r="BD343" i="47"/>
  <c r="BF343" i="47"/>
  <c r="AV159" i="47"/>
  <c r="AV157" i="47" s="1"/>
  <c r="BD55" i="45"/>
  <c r="BC59" i="45"/>
  <c r="AP61" i="45"/>
  <c r="AO71" i="45"/>
  <c r="AP71" i="45" s="1"/>
  <c r="AO68" i="45"/>
  <c r="AP68" i="45" s="1"/>
  <c r="AQ68" i="45" s="1"/>
  <c r="AS68" i="45" s="1"/>
  <c r="BI58" i="45"/>
  <c r="BE190" i="8"/>
  <c r="AS62" i="8"/>
  <c r="AT235" i="8"/>
  <c r="BE209" i="5"/>
  <c r="BK144" i="5"/>
  <c r="BL145" i="5"/>
  <c r="BM145" i="5" s="1"/>
  <c r="BK140" i="5"/>
  <c r="BH197" i="4"/>
  <c r="BG219" i="4"/>
  <c r="DY15" i="3" s="1"/>
  <c r="AY128" i="4"/>
  <c r="AY153" i="4"/>
  <c r="AY68" i="9" s="1"/>
  <c r="AY67" i="9" s="1"/>
  <c r="AZ52" i="4"/>
  <c r="AZ67" i="4"/>
  <c r="AZ149" i="4" s="1"/>
  <c r="AN156" i="4"/>
  <c r="AR156" i="4"/>
  <c r="AR159" i="4" s="1"/>
  <c r="BA50" i="4"/>
  <c r="BB50" i="4" s="1"/>
  <c r="BB35" i="3" s="1"/>
  <c r="BH176" i="4"/>
  <c r="BE177" i="4"/>
  <c r="BD179" i="4"/>
  <c r="AW23" i="41" l="1"/>
  <c r="AO222" i="47"/>
  <c r="BC61" i="45"/>
  <c r="BD61" i="45" s="1"/>
  <c r="CQ11" i="10"/>
  <c r="CQ12" i="10" s="1"/>
  <c r="BB63" i="9"/>
  <c r="BB62" i="9" s="1"/>
  <c r="BL143" i="4"/>
  <c r="BL63" i="9" s="1"/>
  <c r="BL62" i="9" s="1"/>
  <c r="BP63" i="9"/>
  <c r="BP62" i="9" s="1"/>
  <c r="BB13" i="45"/>
  <c r="BB15" i="45" s="1"/>
  <c r="BK307" i="47"/>
  <c r="CU291" i="10"/>
  <c r="AJ159" i="4"/>
  <c r="AK156" i="4" s="1"/>
  <c r="AF159" i="4"/>
  <c r="AG156" i="4" s="1"/>
  <c r="AG159" i="4" s="1"/>
  <c r="AN159" i="4"/>
  <c r="AO156" i="4" s="1"/>
  <c r="DE159" i="4"/>
  <c r="DF156" i="4" s="1"/>
  <c r="DB159" i="4"/>
  <c r="DC156" i="4"/>
  <c r="AS156" i="4"/>
  <c r="AW156" i="4"/>
  <c r="AW159" i="4" s="1"/>
  <c r="AW82" i="4"/>
  <c r="CT11" i="10"/>
  <c r="CT12" i="10" s="1"/>
  <c r="CT291" i="10"/>
  <c r="CR11" i="10"/>
  <c r="CR12" i="10" s="1"/>
  <c r="ED46" i="3"/>
  <c r="AZ35" i="66"/>
  <c r="AZ42" i="9"/>
  <c r="AZ41" i="47"/>
  <c r="AZ44" i="5"/>
  <c r="AZ41" i="8"/>
  <c r="AZ35" i="45"/>
  <c r="BQ141" i="4"/>
  <c r="AL45" i="9"/>
  <c r="AL83" i="4" s="1"/>
  <c r="AL84" i="4" s="1"/>
  <c r="AL99" i="44"/>
  <c r="AL100" i="44" s="1"/>
  <c r="AH47" i="3"/>
  <c r="AH32" i="3"/>
  <c r="AH49" i="3"/>
  <c r="AH42" i="3"/>
  <c r="BQ19" i="9"/>
  <c r="BO20" i="5"/>
  <c r="BN27" i="4"/>
  <c r="AR42" i="3"/>
  <c r="AR49" i="3"/>
  <c r="AR32" i="3"/>
  <c r="CS11" i="10"/>
  <c r="CS12" i="10" s="1"/>
  <c r="AW13" i="3"/>
  <c r="BQ182" i="5"/>
  <c r="BQ94" i="4"/>
  <c r="BQ99" i="4" s="1"/>
  <c r="BQ90" i="44" s="1"/>
  <c r="AY38" i="66"/>
  <c r="AY82" i="4" s="1"/>
  <c r="AY37" i="66"/>
  <c r="CR291" i="10"/>
  <c r="CQ291" i="10"/>
  <c r="AP220" i="47"/>
  <c r="AC379" i="47"/>
  <c r="CZ303" i="10"/>
  <c r="DE297" i="10"/>
  <c r="CP12" i="10"/>
  <c r="CG257" i="47"/>
  <c r="CF270" i="47"/>
  <c r="BL281" i="47"/>
  <c r="BQ257" i="47"/>
  <c r="AD381" i="47"/>
  <c r="AD379" i="47" s="1"/>
  <c r="AE378" i="47"/>
  <c r="BL283" i="47"/>
  <c r="BL285" i="47" s="1"/>
  <c r="AC394" i="47"/>
  <c r="AC395" i="47"/>
  <c r="AC373" i="47"/>
  <c r="AC376" i="47"/>
  <c r="CG258" i="47"/>
  <c r="CF271" i="47"/>
  <c r="AM198" i="5"/>
  <c r="AT79" i="5"/>
  <c r="CZ278" i="10"/>
  <c r="CU10" i="10"/>
  <c r="CU215" i="10"/>
  <c r="DE106" i="10"/>
  <c r="CZ194" i="10"/>
  <c r="CW197" i="10"/>
  <c r="DA197" i="10"/>
  <c r="DE197" i="10"/>
  <c r="CX197" i="10"/>
  <c r="DB197" i="10"/>
  <c r="CY197" i="10"/>
  <c r="DC197" i="10"/>
  <c r="CV197" i="10"/>
  <c r="DD197" i="10"/>
  <c r="DE19" i="10"/>
  <c r="CZ54" i="10"/>
  <c r="CU11" i="10"/>
  <c r="CV328" i="10"/>
  <c r="CV330" i="10" s="1"/>
  <c r="DD328" i="10"/>
  <c r="DD330" i="10" s="1"/>
  <c r="CW328" i="10"/>
  <c r="CW330" i="10" s="1"/>
  <c r="DA328" i="10"/>
  <c r="DA330" i="10" s="1"/>
  <c r="CZ328" i="10"/>
  <c r="CZ330" i="10" s="1"/>
  <c r="CX328" i="10"/>
  <c r="CX330" i="10" s="1"/>
  <c r="DB328" i="10"/>
  <c r="DB330" i="10" s="1"/>
  <c r="CY328" i="10"/>
  <c r="CY330" i="10" s="1"/>
  <c r="DC328" i="10"/>
  <c r="DC330" i="10" s="1"/>
  <c r="BE289" i="47"/>
  <c r="BD188" i="47"/>
  <c r="BE192" i="47"/>
  <c r="BE185" i="47" s="1"/>
  <c r="BK160" i="47"/>
  <c r="BL161" i="47"/>
  <c r="AN185" i="47"/>
  <c r="AR192" i="47"/>
  <c r="AX289" i="47"/>
  <c r="BB290" i="47"/>
  <c r="AQ215" i="47"/>
  <c r="AR209" i="47"/>
  <c r="AQ212" i="47"/>
  <c r="AR212" i="47" s="1"/>
  <c r="AQ229" i="47"/>
  <c r="AQ231" i="47" s="1"/>
  <c r="AR231" i="47" s="1"/>
  <c r="BB313" i="47"/>
  <c r="BA312" i="47"/>
  <c r="AY289" i="47"/>
  <c r="BM285" i="47"/>
  <c r="BQ283" i="47"/>
  <c r="BQ285" i="47" s="1"/>
  <c r="BM238" i="47"/>
  <c r="AP217" i="47"/>
  <c r="AP218" i="47"/>
  <c r="AK139" i="47"/>
  <c r="AL138" i="47"/>
  <c r="BK192" i="47"/>
  <c r="BK185" i="47" s="1"/>
  <c r="BJ188" i="47"/>
  <c r="BM307" i="47"/>
  <c r="BP188" i="47"/>
  <c r="BQ192" i="47"/>
  <c r="BQ160" i="47" s="1"/>
  <c r="AS114" i="47"/>
  <c r="AT111" i="47"/>
  <c r="BJ238" i="47"/>
  <c r="AN160" i="47"/>
  <c r="BC174" i="47"/>
  <c r="BC178" i="47" s="1"/>
  <c r="BC290" i="47" s="1"/>
  <c r="BD178" i="47"/>
  <c r="BD290" i="47" s="1"/>
  <c r="AY192" i="47"/>
  <c r="AY185" i="47" s="1"/>
  <c r="AX188" i="47"/>
  <c r="AX192" i="47" s="1"/>
  <c r="AX185" i="47" s="1"/>
  <c r="BO174" i="47"/>
  <c r="BP178" i="47"/>
  <c r="BP290" i="47" s="1"/>
  <c r="BP289" i="47" s="1"/>
  <c r="BG375" i="47"/>
  <c r="BJ307" i="47"/>
  <c r="BF160" i="47"/>
  <c r="BG161" i="47"/>
  <c r="AX141" i="47"/>
  <c r="AY142" i="47"/>
  <c r="BO293" i="47"/>
  <c r="BE108" i="47"/>
  <c r="BF108" i="47"/>
  <c r="BC108" i="47"/>
  <c r="BD108" i="47"/>
  <c r="AZ159" i="47"/>
  <c r="AZ157" i="47" s="1"/>
  <c r="AY160" i="47"/>
  <c r="BP306" i="47"/>
  <c r="BO306" i="47" s="1"/>
  <c r="BQ343" i="47"/>
  <c r="CF254" i="47"/>
  <c r="CE260" i="47"/>
  <c r="CE268" i="47"/>
  <c r="CE273" i="47" s="1"/>
  <c r="BN307" i="47"/>
  <c r="AQ115" i="47"/>
  <c r="AQ124" i="47" s="1"/>
  <c r="AQ125" i="47"/>
  <c r="BL261" i="47"/>
  <c r="BP238" i="47"/>
  <c r="BP261" i="47"/>
  <c r="BK289" i="47"/>
  <c r="BI343" i="47"/>
  <c r="BI136" i="4" s="1"/>
  <c r="BK343" i="47"/>
  <c r="BK136" i="4" s="1"/>
  <c r="BH343" i="47"/>
  <c r="BH136" i="4" s="1"/>
  <c r="BJ343" i="47"/>
  <c r="BJ136" i="4" s="1"/>
  <c r="BA159" i="47"/>
  <c r="BA157" i="47" s="1"/>
  <c r="AS160" i="47"/>
  <c r="AS159" i="47" s="1"/>
  <c r="AT159" i="47"/>
  <c r="AT157" i="47" s="1"/>
  <c r="AM108" i="47"/>
  <c r="AM185" i="47"/>
  <c r="AZ12" i="47"/>
  <c r="AZ12" i="4" s="1"/>
  <c r="AZ295" i="47"/>
  <c r="BL108" i="47"/>
  <c r="BL185" i="47"/>
  <c r="AN222" i="47"/>
  <c r="BJ178" i="47"/>
  <c r="BJ290" i="47" s="1"/>
  <c r="BI174" i="47"/>
  <c r="AZ341" i="47"/>
  <c r="BB13" i="47"/>
  <c r="BO261" i="47"/>
  <c r="BO238" i="47"/>
  <c r="BQ259" i="47"/>
  <c r="CI266" i="47"/>
  <c r="CH268" i="47"/>
  <c r="CH269" i="47"/>
  <c r="BF12" i="47"/>
  <c r="BF295" i="47"/>
  <c r="BC13" i="45"/>
  <c r="BC15" i="45" s="1"/>
  <c r="BE55" i="45"/>
  <c r="BD59" i="45"/>
  <c r="BD13" i="45" s="1"/>
  <c r="BD15" i="45" s="1"/>
  <c r="BJ58" i="45"/>
  <c r="AQ71" i="45"/>
  <c r="AP72" i="45"/>
  <c r="AP80" i="45" s="1"/>
  <c r="BF190" i="8"/>
  <c r="AT62" i="8"/>
  <c r="AU235" i="8"/>
  <c r="BM144" i="5"/>
  <c r="BM140" i="5"/>
  <c r="BM153" i="5" s="1"/>
  <c r="BN145" i="5"/>
  <c r="BF209" i="5"/>
  <c r="BL140" i="5"/>
  <c r="BK153" i="5"/>
  <c r="BI176" i="4"/>
  <c r="AZ128" i="4"/>
  <c r="AZ153" i="4"/>
  <c r="AZ68" i="9" s="1"/>
  <c r="AZ67" i="9" s="1"/>
  <c r="BF177" i="4"/>
  <c r="BE179" i="4"/>
  <c r="BC50" i="4"/>
  <c r="BA51" i="4"/>
  <c r="BI197" i="4"/>
  <c r="BH219" i="4"/>
  <c r="AR23" i="41" l="1"/>
  <c r="AW24" i="41"/>
  <c r="BL238" i="47"/>
  <c r="AO159" i="4"/>
  <c r="AP156" i="4" s="1"/>
  <c r="AK159" i="4"/>
  <c r="AL156" i="4" s="1"/>
  <c r="AL159" i="4" s="1"/>
  <c r="AS159" i="4"/>
  <c r="AT156" i="4" s="1"/>
  <c r="DF159" i="4"/>
  <c r="DJ156" i="4"/>
  <c r="DG156" i="4"/>
  <c r="DD156" i="4"/>
  <c r="DD159" i="4" s="1"/>
  <c r="DC159" i="4"/>
  <c r="AQ220" i="47"/>
  <c r="AR220" i="47" s="1"/>
  <c r="AQ126" i="47"/>
  <c r="AP126" i="47" s="1"/>
  <c r="AO126" i="47" s="1"/>
  <c r="AN126" i="47" s="1"/>
  <c r="BA34" i="66"/>
  <c r="BA41" i="9"/>
  <c r="BA40" i="47"/>
  <c r="BA34" i="45"/>
  <c r="BA43" i="5"/>
  <c r="BA40" i="8"/>
  <c r="BB341" i="47"/>
  <c r="BL136" i="4"/>
  <c r="BQ143" i="4"/>
  <c r="EI47" i="3"/>
  <c r="AZ37" i="66"/>
  <c r="AZ38" i="66"/>
  <c r="AZ82" i="4" s="1"/>
  <c r="BQ184" i="5"/>
  <c r="EI44" i="3"/>
  <c r="BP20" i="5"/>
  <c r="BP27" i="4" s="1"/>
  <c r="BO27" i="4"/>
  <c r="BQ20" i="5"/>
  <c r="DE303" i="10"/>
  <c r="BB335" i="47" s="1"/>
  <c r="DJ297" i="10"/>
  <c r="AF378" i="47"/>
  <c r="AE381" i="47"/>
  <c r="AE379" i="47" s="1"/>
  <c r="CH258" i="47"/>
  <c r="CG271" i="47"/>
  <c r="AD382" i="47"/>
  <c r="AD394" i="47"/>
  <c r="AD395" i="47"/>
  <c r="AD373" i="47"/>
  <c r="AD376" i="47"/>
  <c r="CH257" i="47"/>
  <c r="CG260" i="47"/>
  <c r="CG270" i="47"/>
  <c r="CG273" i="47" s="1"/>
  <c r="AU79" i="5"/>
  <c r="AR196" i="5"/>
  <c r="AN196" i="5"/>
  <c r="AN197" i="5" s="1"/>
  <c r="AR197" i="5" s="1"/>
  <c r="DJ106" i="10"/>
  <c r="DE194" i="10"/>
  <c r="BB168" i="5" s="1"/>
  <c r="DE328" i="10"/>
  <c r="DE330" i="10" s="1"/>
  <c r="CU12" i="10"/>
  <c r="DJ19" i="10"/>
  <c r="DE54" i="10"/>
  <c r="DJ197" i="10"/>
  <c r="CZ10" i="10"/>
  <c r="DE278" i="10"/>
  <c r="BB149" i="8" s="1"/>
  <c r="BD289" i="47"/>
  <c r="BC289" i="47"/>
  <c r="BG290" i="47"/>
  <c r="BJ289" i="47"/>
  <c r="CJ266" i="47"/>
  <c r="CI268" i="47"/>
  <c r="CI269" i="47"/>
  <c r="BH174" i="47"/>
  <c r="BH178" i="47" s="1"/>
  <c r="BH290" i="47" s="1"/>
  <c r="BI178" i="47"/>
  <c r="BI290" i="47" s="1"/>
  <c r="BI108" i="47"/>
  <c r="BK108" i="47"/>
  <c r="BK159" i="47" s="1"/>
  <c r="BK157" i="47" s="1"/>
  <c r="BH108" i="47"/>
  <c r="BJ108" i="47"/>
  <c r="AK108" i="47"/>
  <c r="AK132" i="47" s="1"/>
  <c r="AK131" i="47" s="1"/>
  <c r="AJ108" i="47"/>
  <c r="AM106" i="47"/>
  <c r="AI108" i="47"/>
  <c r="AM125" i="47"/>
  <c r="AM126" i="47" s="1"/>
  <c r="AM113" i="47" s="1"/>
  <c r="AM160" i="47"/>
  <c r="AM161" i="47" s="1"/>
  <c r="BO178" i="47"/>
  <c r="BO290" i="47" s="1"/>
  <c r="BO289" i="47" s="1"/>
  <c r="BN174" i="47"/>
  <c r="BO188" i="47"/>
  <c r="BP192" i="47"/>
  <c r="BP185" i="47" s="1"/>
  <c r="AR115" i="47"/>
  <c r="AR124" i="47" s="1"/>
  <c r="BK12" i="47"/>
  <c r="BK295" i="47"/>
  <c r="AX160" i="47"/>
  <c r="AX159" i="47" s="1"/>
  <c r="AY159" i="47"/>
  <c r="AY157" i="47" s="1"/>
  <c r="BF159" i="47"/>
  <c r="BF157" i="47" s="1"/>
  <c r="BE160" i="47"/>
  <c r="AS125" i="47"/>
  <c r="AL139" i="47"/>
  <c r="AL132" i="47" s="1"/>
  <c r="AL131" i="47" s="1"/>
  <c r="AM138" i="47"/>
  <c r="BC188" i="47"/>
  <c r="BC192" i="47" s="1"/>
  <c r="BC185" i="47" s="1"/>
  <c r="BD192" i="47"/>
  <c r="BD185" i="47" s="1"/>
  <c r="AZ142" i="47"/>
  <c r="AY141" i="47"/>
  <c r="BH375" i="47"/>
  <c r="BP160" i="47"/>
  <c r="BQ161" i="47"/>
  <c r="BI188" i="47"/>
  <c r="BJ192" i="47"/>
  <c r="BJ185" i="47" s="1"/>
  <c r="AP221" i="47"/>
  <c r="BB312" i="47"/>
  <c r="BB318" i="47"/>
  <c r="BC318" i="47" s="1"/>
  <c r="BD318" i="47" s="1"/>
  <c r="BE318" i="47" s="1"/>
  <c r="BF318" i="47" s="1"/>
  <c r="BH318" i="47" s="1"/>
  <c r="BI318" i="47" s="1"/>
  <c r="AR229" i="47"/>
  <c r="AS209" i="47"/>
  <c r="AX12" i="47"/>
  <c r="AX12" i="4" s="1"/>
  <c r="BB289" i="47"/>
  <c r="BB295" i="47" s="1"/>
  <c r="AX295" i="47"/>
  <c r="BJ160" i="47"/>
  <c r="BE12" i="47"/>
  <c r="BE12" i="4" s="1"/>
  <c r="BE295" i="47"/>
  <c r="BQ238" i="47"/>
  <c r="BQ261" i="47"/>
  <c r="BP12" i="47"/>
  <c r="BP295" i="47"/>
  <c r="CF260" i="47"/>
  <c r="CF268" i="47"/>
  <c r="CF273" i="47" s="1"/>
  <c r="AW159" i="47"/>
  <c r="AS157" i="47"/>
  <c r="BM343" i="47"/>
  <c r="BM136" i="4" s="1"/>
  <c r="BO343" i="47"/>
  <c r="BO136" i="4" s="1"/>
  <c r="BP343" i="47"/>
  <c r="BP136" i="4" s="1"/>
  <c r="BN343" i="47"/>
  <c r="BN136" i="4" s="1"/>
  <c r="AU111" i="47"/>
  <c r="AT114" i="47"/>
  <c r="BQ108" i="47"/>
  <c r="BQ185" i="47"/>
  <c r="AY12" i="47"/>
  <c r="AY12" i="4" s="1"/>
  <c r="AY295" i="47"/>
  <c r="AQ217" i="47"/>
  <c r="AR217" i="47" s="1"/>
  <c r="AQ218" i="47"/>
  <c r="AQ221" i="47" s="1"/>
  <c r="AR215" i="47"/>
  <c r="AR108" i="47"/>
  <c r="AR185" i="47"/>
  <c r="AS71" i="45"/>
  <c r="AT71" i="45" s="1"/>
  <c r="AU71" i="45" s="1"/>
  <c r="AV71" i="45" s="1"/>
  <c r="AW71" i="45" s="1"/>
  <c r="AR71" i="45"/>
  <c r="BF55" i="45"/>
  <c r="BE59" i="45"/>
  <c r="BE61" i="45" s="1"/>
  <c r="BK58" i="45"/>
  <c r="AR61" i="45"/>
  <c r="AQ72" i="45"/>
  <c r="AR72" i="45" s="1"/>
  <c r="BG190" i="8"/>
  <c r="AU62" i="8"/>
  <c r="AV235" i="8"/>
  <c r="BG209" i="5"/>
  <c r="BN144" i="5"/>
  <c r="BM19" i="5"/>
  <c r="BL153" i="5"/>
  <c r="BL154" i="5" s="1"/>
  <c r="BN140" i="5"/>
  <c r="BN153" i="5" s="1"/>
  <c r="BN19" i="5" s="1"/>
  <c r="BO145" i="5"/>
  <c r="BD50" i="4"/>
  <c r="BD51" i="4" s="1"/>
  <c r="BJ176" i="4"/>
  <c r="BJ197" i="4"/>
  <c r="BI219" i="4"/>
  <c r="BA52" i="4"/>
  <c r="BA67" i="4"/>
  <c r="BA149" i="4" s="1"/>
  <c r="BB51" i="4"/>
  <c r="BC51" i="4"/>
  <c r="BG177" i="4"/>
  <c r="BF179" i="4"/>
  <c r="AM23" i="41" l="1"/>
  <c r="AR24" i="41"/>
  <c r="CK22" i="41"/>
  <c r="CA22" i="41"/>
  <c r="BC316" i="47"/>
  <c r="BC315" i="47" s="1"/>
  <c r="AR32" i="44"/>
  <c r="AR33" i="44" s="1"/>
  <c r="AQ222" i="47"/>
  <c r="AT159" i="4"/>
  <c r="AT212" i="4" s="1"/>
  <c r="AT239" i="4" s="1"/>
  <c r="AP159" i="4"/>
  <c r="AQ156" i="4" s="1"/>
  <c r="AQ159" i="4" s="1"/>
  <c r="DJ159" i="4"/>
  <c r="DK156" i="4" s="1"/>
  <c r="DG159" i="4"/>
  <c r="DH156" i="4"/>
  <c r="EI46" i="3"/>
  <c r="BB52" i="4"/>
  <c r="BA35" i="66"/>
  <c r="BA41" i="47"/>
  <c r="BA42" i="9"/>
  <c r="BA35" i="45"/>
  <c r="BA44" i="5"/>
  <c r="BA41" i="8"/>
  <c r="BB67" i="4"/>
  <c r="BB34" i="66"/>
  <c r="BB41" i="9"/>
  <c r="BB40" i="47"/>
  <c r="BB43" i="5"/>
  <c r="BB34" i="45"/>
  <c r="BB40" i="8"/>
  <c r="BB36" i="3"/>
  <c r="BD34" i="66"/>
  <c r="BD41" i="9"/>
  <c r="BD40" i="47"/>
  <c r="BD34" i="45"/>
  <c r="BD40" i="8"/>
  <c r="BD43" i="5"/>
  <c r="BQ136" i="4"/>
  <c r="BQ27" i="4"/>
  <c r="BQ63" i="9"/>
  <c r="BQ62" i="9" s="1"/>
  <c r="BC34" i="66"/>
  <c r="BC41" i="9"/>
  <c r="BC40" i="47"/>
  <c r="BC34" i="45"/>
  <c r="BC43" i="5"/>
  <c r="BC40" i="8"/>
  <c r="DJ303" i="10"/>
  <c r="DO297" i="10"/>
  <c r="CI258" i="47"/>
  <c r="CH271" i="47"/>
  <c r="CI257" i="47"/>
  <c r="CH260" i="47"/>
  <c r="CH270" i="47"/>
  <c r="AE382" i="47"/>
  <c r="AE394" i="47"/>
  <c r="AE395" i="47"/>
  <c r="AE373" i="47"/>
  <c r="AE376" i="47"/>
  <c r="AF381" i="47"/>
  <c r="AF382" i="47" s="1"/>
  <c r="AG378" i="47"/>
  <c r="AQ80" i="45"/>
  <c r="AR68" i="45" s="1"/>
  <c r="AR198" i="5"/>
  <c r="DE10" i="10"/>
  <c r="BB112" i="4" s="1"/>
  <c r="DJ278" i="10"/>
  <c r="DO106" i="10"/>
  <c r="DJ194" i="10"/>
  <c r="BG168" i="5" s="1"/>
  <c r="DO197" i="10"/>
  <c r="DO19" i="10"/>
  <c r="DJ54" i="10"/>
  <c r="DJ328" i="10"/>
  <c r="DJ330" i="10" s="1"/>
  <c r="BO12" i="47"/>
  <c r="BO12" i="4" s="1"/>
  <c r="BO295" i="47"/>
  <c r="BI289" i="47"/>
  <c r="BL290" i="47"/>
  <c r="BH289" i="47"/>
  <c r="AO108" i="47"/>
  <c r="AR106" i="47"/>
  <c r="AP108" i="47"/>
  <c r="AN108" i="47"/>
  <c r="AR125" i="47"/>
  <c r="AR126" i="47" s="1"/>
  <c r="AR113" i="47" s="1"/>
  <c r="BO160" i="47"/>
  <c r="BA142" i="47"/>
  <c r="AZ141" i="47"/>
  <c r="AN138" i="47"/>
  <c r="AM139" i="47"/>
  <c r="AI125" i="47"/>
  <c r="AI126" i="47" s="1"/>
  <c r="AI106" i="47"/>
  <c r="AI160" i="47"/>
  <c r="AI132" i="47"/>
  <c r="AI131" i="47" s="1"/>
  <c r="BC12" i="47"/>
  <c r="BC12" i="4" s="1"/>
  <c r="BG289" i="47"/>
  <c r="BG295" i="47" s="1"/>
  <c r="BC295" i="47"/>
  <c r="BM108" i="47"/>
  <c r="BP108" i="47"/>
  <c r="BP159" i="47" s="1"/>
  <c r="BP157" i="47" s="1"/>
  <c r="BN108" i="47"/>
  <c r="BO108" i="47"/>
  <c r="AV111" i="47"/>
  <c r="AW111" i="47" s="1"/>
  <c r="AU114" i="47"/>
  <c r="AW157" i="47"/>
  <c r="AW151" i="47"/>
  <c r="BJ318" i="47"/>
  <c r="AR218" i="47"/>
  <c r="BH188" i="47"/>
  <c r="BH192" i="47" s="1"/>
  <c r="BH185" i="47" s="1"/>
  <c r="BI192" i="47"/>
  <c r="BI185" i="47" s="1"/>
  <c r="BO192" i="47"/>
  <c r="BO185" i="47" s="1"/>
  <c r="BN188" i="47"/>
  <c r="BB159" i="47"/>
  <c r="AX157" i="47"/>
  <c r="BN178" i="47"/>
  <c r="BN290" i="47" s="1"/>
  <c r="BN289" i="47" s="1"/>
  <c r="BM174" i="47"/>
  <c r="BM178" i="47" s="1"/>
  <c r="BM290" i="47" s="1"/>
  <c r="AJ125" i="47"/>
  <c r="AJ126" i="47" s="1"/>
  <c r="AJ106" i="47"/>
  <c r="AJ160" i="47"/>
  <c r="AJ132" i="47"/>
  <c r="AJ131" i="47" s="1"/>
  <c r="BJ12" i="47"/>
  <c r="BJ12" i="4" s="1"/>
  <c r="BJ295" i="47"/>
  <c r="BQ305" i="47"/>
  <c r="BJ159" i="47"/>
  <c r="BJ157" i="47" s="1"/>
  <c r="BI160" i="47"/>
  <c r="BB12" i="47"/>
  <c r="AP222" i="47"/>
  <c r="AR221" i="47"/>
  <c r="AR222" i="47" s="1"/>
  <c r="AR86" i="44" s="1"/>
  <c r="BI375" i="47"/>
  <c r="BE159" i="47"/>
  <c r="BE157" i="47" s="1"/>
  <c r="BD160" i="47"/>
  <c r="BD12" i="47"/>
  <c r="BD12" i="4" s="1"/>
  <c r="BD295" i="47"/>
  <c r="AT125" i="47"/>
  <c r="AT209" i="47"/>
  <c r="AS212" i="47"/>
  <c r="AS215" i="47"/>
  <c r="AS229" i="47"/>
  <c r="AS231" i="47" s="1"/>
  <c r="AK125" i="47"/>
  <c r="AK126" i="47" s="1"/>
  <c r="AK160" i="47"/>
  <c r="AK106" i="47"/>
  <c r="CJ269" i="47"/>
  <c r="CK266" i="47"/>
  <c r="CJ268" i="47"/>
  <c r="CJ270" i="47"/>
  <c r="BM58" i="45"/>
  <c r="BE13" i="45"/>
  <c r="BE15" i="45" s="1"/>
  <c r="AX71" i="45"/>
  <c r="AR62" i="45"/>
  <c r="BG55" i="45"/>
  <c r="BH55" i="45" s="1"/>
  <c r="BF59" i="45"/>
  <c r="BF13" i="45" s="1"/>
  <c r="BF15" i="45" s="1"/>
  <c r="BH190" i="8"/>
  <c r="AW235" i="8"/>
  <c r="BO144" i="5"/>
  <c r="BM21" i="5"/>
  <c r="BM176" i="5"/>
  <c r="BP145" i="5"/>
  <c r="BO140" i="5"/>
  <c r="BO153" i="5" s="1"/>
  <c r="BN21" i="5"/>
  <c r="BN176" i="5"/>
  <c r="BH209" i="5"/>
  <c r="BC52" i="4"/>
  <c r="BC67" i="4"/>
  <c r="BC149" i="4" s="1"/>
  <c r="BD67" i="4"/>
  <c r="BD149" i="4" s="1"/>
  <c r="BK176" i="4"/>
  <c r="BE50" i="4"/>
  <c r="BJ219" i="4"/>
  <c r="BK197" i="4"/>
  <c r="BH177" i="4"/>
  <c r="BG179" i="4"/>
  <c r="BA128" i="4"/>
  <c r="BA153" i="4"/>
  <c r="BB149" i="4"/>
  <c r="BQ45" i="41" l="1"/>
  <c r="BL45" i="41"/>
  <c r="BG45" i="41"/>
  <c r="BB45" i="41"/>
  <c r="AW45" i="41"/>
  <c r="AW46" i="41" s="1"/>
  <c r="AR45" i="41"/>
  <c r="AR46" i="41" s="1"/>
  <c r="AM45" i="41"/>
  <c r="AM46" i="41" s="1"/>
  <c r="AM24" i="41"/>
  <c r="AH23" i="41"/>
  <c r="AH24" i="41" s="1"/>
  <c r="CU76" i="41"/>
  <c r="BB34" i="41"/>
  <c r="BB35" i="41" s="1"/>
  <c r="BC313" i="47"/>
  <c r="BD316" i="47" s="1"/>
  <c r="BD313" i="47" s="1"/>
  <c r="BF61" i="45"/>
  <c r="AR67" i="44"/>
  <c r="AR51" i="44"/>
  <c r="AU156" i="4"/>
  <c r="DK159" i="4"/>
  <c r="DL156" i="4"/>
  <c r="DO156" i="4"/>
  <c r="DI156" i="4"/>
  <c r="DI159" i="4" s="1"/>
  <c r="DH159" i="4"/>
  <c r="AW196" i="5"/>
  <c r="AS196" i="5"/>
  <c r="BB128" i="4"/>
  <c r="DT56" i="3"/>
  <c r="BD52" i="4"/>
  <c r="BC35" i="66"/>
  <c r="BC42" i="9"/>
  <c r="BC35" i="45"/>
  <c r="BC41" i="47"/>
  <c r="BC44" i="5"/>
  <c r="BC41" i="8"/>
  <c r="AR34" i="44"/>
  <c r="AR35" i="44"/>
  <c r="BB153" i="4"/>
  <c r="BB68" i="9" s="1"/>
  <c r="BB67" i="9" s="1"/>
  <c r="BA68" i="9"/>
  <c r="BA67" i="9" s="1"/>
  <c r="BA37" i="66"/>
  <c r="BA38" i="66"/>
  <c r="BA82" i="4" s="1"/>
  <c r="BG149" i="8"/>
  <c r="BG335" i="47"/>
  <c r="BB35" i="66"/>
  <c r="BB42" i="9"/>
  <c r="BB41" i="47"/>
  <c r="BB35" i="45"/>
  <c r="BB41" i="8"/>
  <c r="BB44" i="5"/>
  <c r="BB37" i="3"/>
  <c r="DT297" i="10"/>
  <c r="DT303" i="10" s="1"/>
  <c r="DO303" i="10"/>
  <c r="AF379" i="47"/>
  <c r="AF394" i="47"/>
  <c r="AF395" i="47"/>
  <c r="AF376" i="47"/>
  <c r="AF373" i="47"/>
  <c r="CI260" i="47"/>
  <c r="CI270" i="47"/>
  <c r="AG381" i="47"/>
  <c r="AH378" i="47"/>
  <c r="CH273" i="47"/>
  <c r="CJ258" i="47"/>
  <c r="CI271" i="47"/>
  <c r="AX254" i="5"/>
  <c r="DT328" i="10"/>
  <c r="DT330" i="10" s="1"/>
  <c r="DO328" i="10"/>
  <c r="DO330" i="10" s="1"/>
  <c r="DT278" i="10"/>
  <c r="DO278" i="10"/>
  <c r="BL149" i="8" s="1"/>
  <c r="DT19" i="10"/>
  <c r="DT54" i="10" s="1"/>
  <c r="DO54" i="10"/>
  <c r="DJ10" i="10"/>
  <c r="BG112" i="4" s="1"/>
  <c r="DT197" i="10"/>
  <c r="DT106" i="10"/>
  <c r="DT194" i="10" s="1"/>
  <c r="BQ168" i="5" s="1"/>
  <c r="DO194" i="10"/>
  <c r="BL168" i="5" s="1"/>
  <c r="BN12" i="47"/>
  <c r="BN12" i="4" s="1"/>
  <c r="BN295" i="47"/>
  <c r="CK270" i="47"/>
  <c r="CK271" i="47"/>
  <c r="CK268" i="47"/>
  <c r="CK269" i="47"/>
  <c r="AS220" i="47"/>
  <c r="BC160" i="47"/>
  <c r="BC159" i="47" s="1"/>
  <c r="BD159" i="47"/>
  <c r="BD157" i="47" s="1"/>
  <c r="BJ375" i="47"/>
  <c r="BC13" i="47"/>
  <c r="AM132" i="47"/>
  <c r="AM131" i="47" s="1"/>
  <c r="AM150" i="47" s="1"/>
  <c r="BO159" i="47"/>
  <c r="BO157" i="47" s="1"/>
  <c r="BN160" i="47"/>
  <c r="AN125" i="47"/>
  <c r="AN124" i="47" s="1"/>
  <c r="AN107" i="47" s="1"/>
  <c r="AN106" i="47" s="1"/>
  <c r="AN159" i="47"/>
  <c r="BH12" i="47"/>
  <c r="BH12" i="4" s="1"/>
  <c r="BL289" i="47"/>
  <c r="BL295" i="47" s="1"/>
  <c r="BH295" i="47"/>
  <c r="BB157" i="47"/>
  <c r="BB151" i="47"/>
  <c r="BM188" i="47"/>
  <c r="BM192" i="47" s="1"/>
  <c r="BM185" i="47" s="1"/>
  <c r="BN192" i="47"/>
  <c r="BN185" i="47" s="1"/>
  <c r="BK318" i="47"/>
  <c r="AO138" i="47"/>
  <c r="AN139" i="47"/>
  <c r="AN132" i="47" s="1"/>
  <c r="AN131" i="47" s="1"/>
  <c r="BQ307" i="47"/>
  <c r="BP305" i="47"/>
  <c r="BC312" i="47"/>
  <c r="AT215" i="47"/>
  <c r="AU209" i="47"/>
  <c r="AV209" i="47" s="1"/>
  <c r="AT212" i="47"/>
  <c r="AT229" i="47"/>
  <c r="AT231" i="47" s="1"/>
  <c r="AP125" i="47"/>
  <c r="AP124" i="47" s="1"/>
  <c r="AP107" i="47" s="1"/>
  <c r="AP106" i="47" s="1"/>
  <c r="AP159" i="47"/>
  <c r="AP157" i="47" s="1"/>
  <c r="BQ290" i="47"/>
  <c r="BM289" i="47"/>
  <c r="AU125" i="47"/>
  <c r="AS218" i="47"/>
  <c r="AS217" i="47"/>
  <c r="BH160" i="47"/>
  <c r="BH159" i="47" s="1"/>
  <c r="BI159" i="47"/>
  <c r="BI157" i="47" s="1"/>
  <c r="AV114" i="47"/>
  <c r="AX111" i="47"/>
  <c r="BG12" i="47"/>
  <c r="BA141" i="47"/>
  <c r="BB141" i="47" s="1"/>
  <c r="BB142" i="47"/>
  <c r="BC142" i="47" s="1"/>
  <c r="AO125" i="47"/>
  <c r="AO124" i="47" s="1"/>
  <c r="AO107" i="47" s="1"/>
  <c r="AO106" i="47" s="1"/>
  <c r="AO159" i="47"/>
  <c r="AO157" i="47" s="1"/>
  <c r="BI12" i="47"/>
  <c r="BI12" i="4" s="1"/>
  <c r="BI295" i="47"/>
  <c r="BI55" i="45"/>
  <c r="BH59" i="45"/>
  <c r="AY71" i="45"/>
  <c r="BN58" i="45"/>
  <c r="AS72" i="45"/>
  <c r="BG59" i="45"/>
  <c r="AX235" i="8"/>
  <c r="BI190" i="8"/>
  <c r="BP140" i="5"/>
  <c r="BQ145" i="5"/>
  <c r="BI209" i="5"/>
  <c r="BP144" i="5"/>
  <c r="BO19" i="5"/>
  <c r="BI177" i="4"/>
  <c r="BH179" i="4"/>
  <c r="BF50" i="4"/>
  <c r="BG50" i="4" s="1"/>
  <c r="BG35" i="3" s="1"/>
  <c r="BL197" i="4"/>
  <c r="BK219" i="4"/>
  <c r="BE51" i="4"/>
  <c r="BC128" i="4"/>
  <c r="BC153" i="4"/>
  <c r="BC68" i="9" s="1"/>
  <c r="BC67" i="9" s="1"/>
  <c r="BL176" i="4"/>
  <c r="BD128" i="4"/>
  <c r="BD153" i="4"/>
  <c r="BD68" i="9" s="1"/>
  <c r="BD67" i="9" s="1"/>
  <c r="BH61" i="45" l="1"/>
  <c r="AW209" i="47"/>
  <c r="AW229" i="47" s="1"/>
  <c r="AV229" i="47"/>
  <c r="AV231" i="47" s="1"/>
  <c r="AV212" i="47"/>
  <c r="AV215" i="47"/>
  <c r="AU159" i="4"/>
  <c r="AV156" i="4" s="1"/>
  <c r="AV159" i="4" s="1"/>
  <c r="DL159" i="4"/>
  <c r="DM156" i="4"/>
  <c r="DO159" i="4"/>
  <c r="DP156" i="4" s="1"/>
  <c r="CI273" i="47"/>
  <c r="BQ335" i="47"/>
  <c r="BC37" i="66"/>
  <c r="BC38" i="66"/>
  <c r="BC82" i="4" s="1"/>
  <c r="BD35" i="66"/>
  <c r="BD42" i="9"/>
  <c r="BD41" i="47"/>
  <c r="BD35" i="45"/>
  <c r="BD44" i="5"/>
  <c r="BD41" i="8"/>
  <c r="BB37" i="66"/>
  <c r="BB38" i="66"/>
  <c r="BB82" i="4" s="1"/>
  <c r="BB11" i="41" s="1"/>
  <c r="BE34" i="66"/>
  <c r="BE41" i="9"/>
  <c r="BE34" i="45"/>
  <c r="BE40" i="47"/>
  <c r="BE43" i="5"/>
  <c r="BE40" i="8"/>
  <c r="BQ149" i="8"/>
  <c r="BL335" i="47"/>
  <c r="CJ260" i="47"/>
  <c r="CJ271" i="47"/>
  <c r="CJ273" i="47" s="1"/>
  <c r="AG382" i="47"/>
  <c r="AG376" i="47"/>
  <c r="AG395" i="47"/>
  <c r="AG373" i="47"/>
  <c r="AG394" i="47"/>
  <c r="AM153" i="47"/>
  <c r="AG379" i="47"/>
  <c r="AH384" i="47"/>
  <c r="AH381" i="47"/>
  <c r="AI378" i="47"/>
  <c r="AX79" i="5"/>
  <c r="AY254" i="5"/>
  <c r="AX156" i="5"/>
  <c r="AX19" i="5" s="1"/>
  <c r="BF51" i="4"/>
  <c r="DT10" i="10"/>
  <c r="BQ112" i="4" s="1"/>
  <c r="DO10" i="10"/>
  <c r="AV125" i="47"/>
  <c r="AW114" i="47"/>
  <c r="AW125" i="47" s="1"/>
  <c r="AU215" i="47"/>
  <c r="AU212" i="47"/>
  <c r="AU229" i="47"/>
  <c r="AU231" i="47" s="1"/>
  <c r="BD312" i="47"/>
  <c r="BE316" i="47"/>
  <c r="BE315" i="47" s="1"/>
  <c r="BE13" i="47" s="1"/>
  <c r="BL12" i="47"/>
  <c r="BM12" i="47"/>
  <c r="BM12" i="4" s="1"/>
  <c r="BM295" i="47"/>
  <c r="BQ289" i="47"/>
  <c r="BQ295" i="47" s="1"/>
  <c r="BM318" i="47"/>
  <c r="AN157" i="47"/>
  <c r="AR159" i="47"/>
  <c r="BC341" i="47"/>
  <c r="BC157" i="47"/>
  <c r="BG159" i="47"/>
  <c r="AS221" i="47"/>
  <c r="AT218" i="47"/>
  <c r="AT221" i="47" s="1"/>
  <c r="AT217" i="47"/>
  <c r="BH157" i="47"/>
  <c r="BL159" i="47"/>
  <c r="BD315" i="47"/>
  <c r="AP138" i="47"/>
  <c r="AO139" i="47"/>
  <c r="AO132" i="47" s="1"/>
  <c r="AO131" i="47" s="1"/>
  <c r="BC141" i="47"/>
  <c r="BD142" i="47"/>
  <c r="AY111" i="47"/>
  <c r="AX114" i="47"/>
  <c r="AT220" i="47"/>
  <c r="BP307" i="47"/>
  <c r="BO305" i="47"/>
  <c r="BO307" i="47" s="1"/>
  <c r="BM160" i="47"/>
  <c r="BM159" i="47" s="1"/>
  <c r="BN159" i="47"/>
  <c r="BN157" i="47" s="1"/>
  <c r="BK375" i="47"/>
  <c r="CK273" i="47"/>
  <c r="CJ275" i="47" s="1"/>
  <c r="BH13" i="45"/>
  <c r="BH15" i="45" s="1"/>
  <c r="AT68" i="45"/>
  <c r="AT72" i="45"/>
  <c r="AZ71" i="45"/>
  <c r="BO58" i="45"/>
  <c r="BG13" i="45"/>
  <c r="BG15" i="45" s="1"/>
  <c r="BG58" i="45"/>
  <c r="BJ55" i="45"/>
  <c r="BI59" i="45"/>
  <c r="BI13" i="45" s="1"/>
  <c r="BI15" i="45" s="1"/>
  <c r="BJ190" i="8"/>
  <c r="AX62" i="8"/>
  <c r="AY235" i="8"/>
  <c r="BQ140" i="5"/>
  <c r="BP153" i="5"/>
  <c r="BJ209" i="5"/>
  <c r="BO21" i="5"/>
  <c r="BO176" i="5"/>
  <c r="BH50" i="4"/>
  <c r="BH51" i="4" s="1"/>
  <c r="BE52" i="4"/>
  <c r="BE67" i="4"/>
  <c r="BE149" i="4" s="1"/>
  <c r="BM197" i="4"/>
  <c r="BL219" i="4"/>
  <c r="ED15" i="3" s="1"/>
  <c r="BM176" i="4"/>
  <c r="BJ177" i="4"/>
  <c r="BI179" i="4"/>
  <c r="AW231" i="47" l="1"/>
  <c r="BI61" i="45"/>
  <c r="AW215" i="47"/>
  <c r="AW61" i="45"/>
  <c r="AV72" i="45"/>
  <c r="AW72" i="45" s="1"/>
  <c r="AV220" i="47"/>
  <c r="AV218" i="47"/>
  <c r="AV221" i="47" s="1"/>
  <c r="AV217" i="47"/>
  <c r="AW212" i="47"/>
  <c r="CF275" i="47"/>
  <c r="DP159" i="4"/>
  <c r="DQ156" i="4"/>
  <c r="DT156" i="4"/>
  <c r="DN156" i="4"/>
  <c r="DN159" i="4" s="1"/>
  <c r="DM159" i="4"/>
  <c r="AS222" i="47"/>
  <c r="BH34" i="66"/>
  <c r="BH41" i="9"/>
  <c r="BH40" i="47"/>
  <c r="BH34" i="45"/>
  <c r="BH40" i="8"/>
  <c r="BH43" i="5"/>
  <c r="BD37" i="66"/>
  <c r="BD38" i="66"/>
  <c r="BD82" i="4" s="1"/>
  <c r="BE35" i="66"/>
  <c r="BE41" i="47"/>
  <c r="BE35" i="45"/>
  <c r="BE42" i="9"/>
  <c r="BE44" i="5"/>
  <c r="BE41" i="8"/>
  <c r="BL112" i="4"/>
  <c r="BG51" i="4"/>
  <c r="BF34" i="66"/>
  <c r="BF41" i="9"/>
  <c r="BF40" i="47"/>
  <c r="BF43" i="5"/>
  <c r="BF40" i="8"/>
  <c r="BF34" i="45"/>
  <c r="BB13" i="3"/>
  <c r="AX21" i="5"/>
  <c r="CD275" i="47"/>
  <c r="BE313" i="47"/>
  <c r="BF316" i="47" s="1"/>
  <c r="BF313" i="47" s="1"/>
  <c r="AH373" i="47"/>
  <c r="AH394" i="47"/>
  <c r="AH395" i="47"/>
  <c r="AH376" i="47"/>
  <c r="AH379" i="47"/>
  <c r="AH382" i="47"/>
  <c r="CH275" i="47"/>
  <c r="AJ378" i="47"/>
  <c r="AI381" i="47"/>
  <c r="AX176" i="5"/>
  <c r="AZ254" i="5"/>
  <c r="AY79" i="5"/>
  <c r="AY156" i="5"/>
  <c r="AY19" i="5" s="1"/>
  <c r="BF67" i="4"/>
  <c r="BF149" i="4" s="1"/>
  <c r="BG149" i="4" s="1"/>
  <c r="BQ159" i="47"/>
  <c r="BM157" i="47"/>
  <c r="AY114" i="47"/>
  <c r="AZ111" i="47"/>
  <c r="BD13" i="47"/>
  <c r="CG275" i="47"/>
  <c r="BG157" i="47"/>
  <c r="BG151" i="47"/>
  <c r="AR157" i="47"/>
  <c r="AR160" i="47"/>
  <c r="AR151" i="47"/>
  <c r="AU217" i="47"/>
  <c r="AW217" i="47" s="1"/>
  <c r="AU218" i="47"/>
  <c r="AU221" i="47" s="1"/>
  <c r="CK275" i="47"/>
  <c r="BW275" i="47"/>
  <c r="BX275" i="47"/>
  <c r="BZ275" i="47"/>
  <c r="BY275" i="47"/>
  <c r="BV56" i="41" s="1"/>
  <c r="CB275" i="47"/>
  <c r="BL375" i="47"/>
  <c r="AX125" i="47"/>
  <c r="AP139" i="47"/>
  <c r="AP132" i="47" s="1"/>
  <c r="AP131" i="47" s="1"/>
  <c r="AQ138" i="47"/>
  <c r="CC275" i="47"/>
  <c r="CA275" i="47"/>
  <c r="BL157" i="47"/>
  <c r="BL151" i="47"/>
  <c r="BN318" i="47"/>
  <c r="BQ12" i="47"/>
  <c r="BE341" i="47"/>
  <c r="AU220" i="47"/>
  <c r="BE142" i="47"/>
  <c r="BD141" i="47"/>
  <c r="AT222" i="47"/>
  <c r="CI275" i="47"/>
  <c r="CE275" i="47"/>
  <c r="BK55" i="45"/>
  <c r="BJ59" i="45"/>
  <c r="BA71" i="45"/>
  <c r="AU72" i="45"/>
  <c r="BP58" i="45"/>
  <c r="AY62" i="8"/>
  <c r="AZ235" i="8"/>
  <c r="BK190" i="8"/>
  <c r="BK209" i="5"/>
  <c r="BP19" i="5"/>
  <c r="BQ153" i="5"/>
  <c r="BQ154" i="5" s="1"/>
  <c r="BH67" i="4"/>
  <c r="BH149" i="4" s="1"/>
  <c r="BN176" i="4"/>
  <c r="BN197" i="4"/>
  <c r="BM219" i="4"/>
  <c r="BI50" i="4"/>
  <c r="BI51" i="4" s="1"/>
  <c r="BK177" i="4"/>
  <c r="BJ179" i="4"/>
  <c r="BF52" i="4"/>
  <c r="BE128" i="4"/>
  <c r="BE153" i="4"/>
  <c r="BE68" i="9" s="1"/>
  <c r="BE67" i="9" s="1"/>
  <c r="AW220" i="47" l="1"/>
  <c r="AW221" i="47"/>
  <c r="BJ61" i="45"/>
  <c r="AW62" i="45"/>
  <c r="AV222" i="47"/>
  <c r="BE312" i="47"/>
  <c r="DQ159" i="4"/>
  <c r="DR156" i="4"/>
  <c r="DT159" i="4"/>
  <c r="DU156" i="4" s="1"/>
  <c r="AW218" i="47"/>
  <c r="BF128" i="4"/>
  <c r="BF153" i="4"/>
  <c r="BF68" i="9" s="1"/>
  <c r="BF67" i="9" s="1"/>
  <c r="BI34" i="66"/>
  <c r="BI41" i="9"/>
  <c r="BI34" i="45"/>
  <c r="BI40" i="47"/>
  <c r="BI43" i="5"/>
  <c r="BI40" i="8"/>
  <c r="BG52" i="4"/>
  <c r="BF35" i="66"/>
  <c r="BF42" i="9"/>
  <c r="BF41" i="47"/>
  <c r="BF35" i="45"/>
  <c r="BF41" i="8"/>
  <c r="BF44" i="5"/>
  <c r="BG67" i="4"/>
  <c r="BG34" i="66"/>
  <c r="BG40" i="47"/>
  <c r="BG41" i="9"/>
  <c r="BG34" i="45"/>
  <c r="BG43" i="5"/>
  <c r="BG40" i="8"/>
  <c r="BG36" i="3"/>
  <c r="BE37" i="66"/>
  <c r="BE38" i="66"/>
  <c r="BE82" i="4" s="1"/>
  <c r="BG128" i="4"/>
  <c r="DY56" i="3"/>
  <c r="AI373" i="47"/>
  <c r="AI394" i="47"/>
  <c r="AI395" i="47"/>
  <c r="AI376" i="47"/>
  <c r="AJ381" i="47"/>
  <c r="AJ379" i="47" s="1"/>
  <c r="AK378" i="47"/>
  <c r="AI382" i="47"/>
  <c r="AI379" i="47"/>
  <c r="AY21" i="5"/>
  <c r="AY176" i="5"/>
  <c r="AZ156" i="5"/>
  <c r="AZ19" i="5" s="1"/>
  <c r="AZ79" i="5"/>
  <c r="BA254" i="5"/>
  <c r="BF312" i="47"/>
  <c r="BG313" i="47"/>
  <c r="AU222" i="47"/>
  <c r="BM375" i="47"/>
  <c r="BD341" i="47"/>
  <c r="BQ157" i="47"/>
  <c r="BQ151" i="47"/>
  <c r="AX209" i="47"/>
  <c r="AR138" i="47"/>
  <c r="AQ139" i="47"/>
  <c r="AQ132" i="47" s="1"/>
  <c r="AQ131" i="47" s="1"/>
  <c r="BF315" i="47"/>
  <c r="BG316" i="47"/>
  <c r="BA111" i="47"/>
  <c r="AZ114" i="47"/>
  <c r="BE141" i="47"/>
  <c r="BF142" i="47"/>
  <c r="BO318" i="47"/>
  <c r="AR161" i="47"/>
  <c r="AW161" i="47"/>
  <c r="AY125" i="47"/>
  <c r="BB71" i="45"/>
  <c r="BC71" i="45" s="1"/>
  <c r="BJ13" i="45"/>
  <c r="BJ15" i="45" s="1"/>
  <c r="BL55" i="45"/>
  <c r="BM55" i="45" s="1"/>
  <c r="BK59" i="45"/>
  <c r="BK13" i="45" s="1"/>
  <c r="BK15" i="45" s="1"/>
  <c r="AZ62" i="8"/>
  <c r="BA235" i="8"/>
  <c r="BL190" i="8"/>
  <c r="BL209" i="5"/>
  <c r="BP21" i="5"/>
  <c r="BP176" i="5"/>
  <c r="BQ176" i="5" s="1"/>
  <c r="BQ19" i="5"/>
  <c r="BQ21" i="5" s="1"/>
  <c r="BL177" i="4"/>
  <c r="BK179" i="4"/>
  <c r="BO197" i="4"/>
  <c r="BN219" i="4"/>
  <c r="BJ50" i="4"/>
  <c r="BJ51" i="4" s="1"/>
  <c r="BO176" i="4"/>
  <c r="BH52" i="4"/>
  <c r="BI67" i="4"/>
  <c r="BI149" i="4" s="1"/>
  <c r="BH128" i="4"/>
  <c r="AW222" i="47" l="1"/>
  <c r="CZ76" i="41"/>
  <c r="BG34" i="41"/>
  <c r="BK61" i="45"/>
  <c r="BM61" i="45" s="1"/>
  <c r="DY156" i="4"/>
  <c r="DU159" i="4"/>
  <c r="DV156" i="4"/>
  <c r="DV159" i="4" s="1"/>
  <c r="DS156" i="4"/>
  <c r="DS159" i="4" s="1"/>
  <c r="DR159" i="4"/>
  <c r="AW32" i="44"/>
  <c r="BG153" i="4"/>
  <c r="BG68" i="9" s="1"/>
  <c r="BG67" i="9" s="1"/>
  <c r="BG35" i="66"/>
  <c r="BG42" i="9"/>
  <c r="BG35" i="45"/>
  <c r="BG41" i="47"/>
  <c r="BG44" i="5"/>
  <c r="BG41" i="8"/>
  <c r="BG37" i="3"/>
  <c r="BI52" i="4"/>
  <c r="BJ52" i="4" s="1"/>
  <c r="BH35" i="66"/>
  <c r="BH42" i="9"/>
  <c r="BH41" i="47"/>
  <c r="BH35" i="45"/>
  <c r="BH44" i="5"/>
  <c r="BH41" i="8"/>
  <c r="BJ34" i="66"/>
  <c r="BJ41" i="9"/>
  <c r="BJ40" i="47"/>
  <c r="BJ34" i="45"/>
  <c r="BJ43" i="5"/>
  <c r="BJ40" i="8"/>
  <c r="BF37" i="66"/>
  <c r="BF38" i="66"/>
  <c r="BF82" i="4" s="1"/>
  <c r="AK381" i="47"/>
  <c r="AK382" i="47" s="1"/>
  <c r="AL378" i="47"/>
  <c r="AM378" i="47" s="1"/>
  <c r="AK379" i="47"/>
  <c r="BG318" i="47"/>
  <c r="AJ382" i="47"/>
  <c r="AJ394" i="47"/>
  <c r="AJ395" i="47"/>
  <c r="AJ373" i="47"/>
  <c r="AJ376" i="47"/>
  <c r="AZ176" i="5"/>
  <c r="AZ21" i="5"/>
  <c r="BA156" i="5"/>
  <c r="BA19" i="5" s="1"/>
  <c r="BB254" i="5"/>
  <c r="BA79" i="5"/>
  <c r="BF13" i="47"/>
  <c r="BG315" i="47"/>
  <c r="AX215" i="47"/>
  <c r="AY209" i="47"/>
  <c r="AX212" i="47"/>
  <c r="AX229" i="47"/>
  <c r="AX231" i="47" s="1"/>
  <c r="BN375" i="47"/>
  <c r="AZ125" i="47"/>
  <c r="BC111" i="47"/>
  <c r="BA114" i="47"/>
  <c r="BB111" i="47"/>
  <c r="AS138" i="47"/>
  <c r="AR139" i="47"/>
  <c r="BG312" i="47"/>
  <c r="BH316" i="47"/>
  <c r="BP318" i="47"/>
  <c r="BF141" i="47"/>
  <c r="BG141" i="47" s="1"/>
  <c r="BG142" i="47"/>
  <c r="BH142" i="47" s="1"/>
  <c r="BL59" i="45"/>
  <c r="BN55" i="45"/>
  <c r="BM59" i="45"/>
  <c r="BD71" i="45"/>
  <c r="BA62" i="8"/>
  <c r="BB235" i="8"/>
  <c r="BM190" i="8"/>
  <c r="BM209" i="5"/>
  <c r="BJ67" i="4"/>
  <c r="BJ149" i="4" s="1"/>
  <c r="BP176" i="4"/>
  <c r="BP197" i="4"/>
  <c r="BO219" i="4"/>
  <c r="BI128" i="4"/>
  <c r="BM177" i="4"/>
  <c r="BL179" i="4"/>
  <c r="BK50" i="4"/>
  <c r="BL50" i="4" s="1"/>
  <c r="BL35" i="3" s="1"/>
  <c r="BG35" i="41" l="1"/>
  <c r="BN61" i="45"/>
  <c r="DY159" i="4"/>
  <c r="DX157" i="4"/>
  <c r="DX159" i="4" s="1"/>
  <c r="BB19" i="5"/>
  <c r="BB21" i="5" s="1"/>
  <c r="BJ35" i="66"/>
  <c r="BJ42" i="9"/>
  <c r="BJ41" i="47"/>
  <c r="BJ35" i="45"/>
  <c r="BJ41" i="8"/>
  <c r="BJ44" i="5"/>
  <c r="BB156" i="5"/>
  <c r="BH37" i="66"/>
  <c r="BH38" i="66"/>
  <c r="BH82" i="4" s="1"/>
  <c r="BI35" i="66"/>
  <c r="BI42" i="9"/>
  <c r="BI35" i="45"/>
  <c r="BI41" i="47"/>
  <c r="BI44" i="5"/>
  <c r="BI41" i="8"/>
  <c r="BG37" i="66"/>
  <c r="BG38" i="66"/>
  <c r="BG82" i="4" s="1"/>
  <c r="BG11" i="41" s="1"/>
  <c r="AM381" i="47"/>
  <c r="AM379" i="47" s="1"/>
  <c r="AM384" i="47"/>
  <c r="AN378" i="47"/>
  <c r="AK394" i="47"/>
  <c r="AK395" i="47"/>
  <c r="AK376" i="47"/>
  <c r="AK373" i="47"/>
  <c r="BB79" i="5"/>
  <c r="BC254" i="5"/>
  <c r="BA21" i="5"/>
  <c r="BA176" i="5"/>
  <c r="BB176" i="5" s="1"/>
  <c r="BH315" i="47"/>
  <c r="BA125" i="47"/>
  <c r="BB114" i="47"/>
  <c r="BB125" i="47" s="1"/>
  <c r="BO375" i="47"/>
  <c r="AX217" i="47"/>
  <c r="AX218" i="47"/>
  <c r="AR132" i="47"/>
  <c r="AR131" i="47" s="1"/>
  <c r="AR150" i="47" s="1"/>
  <c r="BC114" i="47"/>
  <c r="BD111" i="47"/>
  <c r="BI142" i="47"/>
  <c r="BH141" i="47"/>
  <c r="BH313" i="47"/>
  <c r="AT138" i="47"/>
  <c r="AS139" i="47"/>
  <c r="AS132" i="47" s="1"/>
  <c r="AS131" i="47" s="1"/>
  <c r="AS126" i="47" s="1"/>
  <c r="AS124" i="47" s="1"/>
  <c r="AX220" i="47"/>
  <c r="BF341" i="47"/>
  <c r="BG13" i="47"/>
  <c r="AW86" i="44"/>
  <c r="AY215" i="47"/>
  <c r="AY212" i="47"/>
  <c r="AY229" i="47"/>
  <c r="AY231" i="47" s="1"/>
  <c r="BE71" i="45"/>
  <c r="BM13" i="45"/>
  <c r="BM15" i="45" s="1"/>
  <c r="BO55" i="45"/>
  <c r="BN59" i="45"/>
  <c r="BN13" i="45" s="1"/>
  <c r="BN15" i="45" s="1"/>
  <c r="BL13" i="45"/>
  <c r="BL15" i="45" s="1"/>
  <c r="BL58" i="45"/>
  <c r="AU79" i="45"/>
  <c r="AS79" i="45"/>
  <c r="AT79" i="45"/>
  <c r="BN190" i="8"/>
  <c r="BB62" i="8"/>
  <c r="BC235" i="8"/>
  <c r="BN209" i="5"/>
  <c r="BK51" i="4"/>
  <c r="BN177" i="4"/>
  <c r="BM179" i="4"/>
  <c r="BM50" i="4"/>
  <c r="BQ197" i="4"/>
  <c r="BQ219" i="4" s="1"/>
  <c r="EI15" i="3" s="1"/>
  <c r="BP219" i="4"/>
  <c r="BQ176" i="4"/>
  <c r="BJ128" i="4"/>
  <c r="BO61" i="45" l="1"/>
  <c r="AM382" i="47"/>
  <c r="BJ37" i="66"/>
  <c r="BJ38" i="66"/>
  <c r="BJ82" i="4" s="1"/>
  <c r="BK34" i="66"/>
  <c r="BK40" i="47"/>
  <c r="BK34" i="45"/>
  <c r="BK41" i="9"/>
  <c r="BK43" i="5"/>
  <c r="BK40" i="8"/>
  <c r="BG13" i="3"/>
  <c r="BI37" i="66"/>
  <c r="BI38" i="66"/>
  <c r="BI82" i="4" s="1"/>
  <c r="AN381" i="47"/>
  <c r="AN382" i="47" s="1"/>
  <c r="AO378" i="47"/>
  <c r="AM376" i="47"/>
  <c r="AM394" i="47"/>
  <c r="AM373" i="47"/>
  <c r="AM395" i="47"/>
  <c r="AL381" i="47"/>
  <c r="BC79" i="5"/>
  <c r="BD254" i="5"/>
  <c r="BC156" i="5"/>
  <c r="BC19" i="5" s="1"/>
  <c r="AX8" i="47"/>
  <c r="BH312" i="47"/>
  <c r="BI316" i="47"/>
  <c r="BI313" i="47" s="1"/>
  <c r="AR153" i="47"/>
  <c r="AX221" i="47"/>
  <c r="AX9" i="47" s="1"/>
  <c r="BP375" i="47"/>
  <c r="AY220" i="47"/>
  <c r="BG341" i="47"/>
  <c r="BD114" i="47"/>
  <c r="BE111" i="47"/>
  <c r="AZ212" i="47"/>
  <c r="AZ215" i="47"/>
  <c r="AZ229" i="47"/>
  <c r="AZ231" i="47" s="1"/>
  <c r="BA209" i="47"/>
  <c r="BI141" i="47"/>
  <c r="BJ142" i="47"/>
  <c r="BC125" i="47"/>
  <c r="BH13" i="47"/>
  <c r="AY217" i="47"/>
  <c r="AY218" i="47"/>
  <c r="AY221" i="47" s="1"/>
  <c r="AY9" i="47" s="1"/>
  <c r="AU138" i="47"/>
  <c r="AT139" i="47"/>
  <c r="AT132" i="47" s="1"/>
  <c r="AT131" i="47" s="1"/>
  <c r="AT126" i="47" s="1"/>
  <c r="AT124" i="47" s="1"/>
  <c r="BP55" i="45"/>
  <c r="BO59" i="45"/>
  <c r="BF71" i="45"/>
  <c r="BO190" i="8"/>
  <c r="BC62" i="8"/>
  <c r="BD235" i="8"/>
  <c r="BO209" i="5"/>
  <c r="BO177" i="4"/>
  <c r="BN179" i="4"/>
  <c r="BN50" i="4"/>
  <c r="BN51" i="4" s="1"/>
  <c r="BK52" i="4"/>
  <c r="BK67" i="4"/>
  <c r="BK149" i="4" s="1"/>
  <c r="BL51" i="4"/>
  <c r="BM51" i="4"/>
  <c r="BL67" i="4" l="1"/>
  <c r="BL34" i="66"/>
  <c r="BL41" i="9"/>
  <c r="BL40" i="47"/>
  <c r="BL34" i="45"/>
  <c r="BL40" i="8"/>
  <c r="BL43" i="5"/>
  <c r="BL36" i="3"/>
  <c r="BC21" i="5"/>
  <c r="BL52" i="4"/>
  <c r="BK35" i="66"/>
  <c r="BK42" i="9"/>
  <c r="BK41" i="47"/>
  <c r="BK35" i="45"/>
  <c r="BK44" i="5"/>
  <c r="BK41" i="8"/>
  <c r="BM34" i="66"/>
  <c r="BM41" i="9"/>
  <c r="BM34" i="45"/>
  <c r="BM40" i="47"/>
  <c r="BM43" i="5"/>
  <c r="BM40" i="8"/>
  <c r="BN34" i="66"/>
  <c r="BN41" i="9"/>
  <c r="BN40" i="47"/>
  <c r="BN34" i="45"/>
  <c r="BN43" i="5"/>
  <c r="BN40" i="8"/>
  <c r="AY15" i="47"/>
  <c r="AY9" i="4"/>
  <c r="BC176" i="5"/>
  <c r="AO381" i="47"/>
  <c r="AO379" i="47" s="1"/>
  <c r="AP378" i="47"/>
  <c r="AN394" i="47"/>
  <c r="AN395" i="47"/>
  <c r="AN376" i="47"/>
  <c r="AN373" i="47"/>
  <c r="AL376" i="47"/>
  <c r="AL379" i="47"/>
  <c r="AL394" i="47"/>
  <c r="AL382" i="47"/>
  <c r="AL373" i="47"/>
  <c r="AL395" i="47"/>
  <c r="AN379" i="47"/>
  <c r="BE254" i="5"/>
  <c r="BD156" i="5"/>
  <c r="BD19" i="5" s="1"/>
  <c r="BD79" i="5"/>
  <c r="BI312" i="47"/>
  <c r="BJ316" i="47"/>
  <c r="BJ315" i="47" s="1"/>
  <c r="BJ13" i="47" s="1"/>
  <c r="AY8" i="47"/>
  <c r="AY222" i="47"/>
  <c r="AZ218" i="47"/>
  <c r="AZ221" i="47" s="1"/>
  <c r="AZ9" i="47" s="1"/>
  <c r="AZ217" i="47"/>
  <c r="BK142" i="47"/>
  <c r="BJ141" i="47"/>
  <c r="AZ220" i="47"/>
  <c r="BE114" i="47"/>
  <c r="BF111" i="47"/>
  <c r="BG111" i="47" s="1"/>
  <c r="AX222" i="47"/>
  <c r="AV138" i="47"/>
  <c r="AU139" i="47"/>
  <c r="AU132" i="47" s="1"/>
  <c r="AU131" i="47" s="1"/>
  <c r="AU126" i="47" s="1"/>
  <c r="AU124" i="47" s="1"/>
  <c r="BH341" i="47"/>
  <c r="BB209" i="47"/>
  <c r="BA212" i="47"/>
  <c r="BA215" i="47"/>
  <c r="BA229" i="47"/>
  <c r="BA231" i="47" s="1"/>
  <c r="BB231" i="47" s="1"/>
  <c r="BD125" i="47"/>
  <c r="BQ375" i="47"/>
  <c r="BI315" i="47"/>
  <c r="BQ55" i="45"/>
  <c r="BP59" i="45"/>
  <c r="BP13" i="45" s="1"/>
  <c r="BP15" i="45" s="1"/>
  <c r="BG71" i="45"/>
  <c r="BH71" i="45" s="1"/>
  <c r="BO13" i="45"/>
  <c r="BO15" i="45" s="1"/>
  <c r="BP190" i="8"/>
  <c r="BD62" i="8"/>
  <c r="BE235" i="8"/>
  <c r="BP209" i="5"/>
  <c r="BN67" i="4"/>
  <c r="BN149" i="4" s="1"/>
  <c r="BM52" i="4"/>
  <c r="BM67" i="4"/>
  <c r="BM149" i="4" s="1"/>
  <c r="BP177" i="4"/>
  <c r="BO179" i="4"/>
  <c r="BK128" i="4"/>
  <c r="BL149" i="4"/>
  <c r="BO50" i="4"/>
  <c r="BO51" i="4" s="1"/>
  <c r="DE76" i="41" l="1"/>
  <c r="BL34" i="41"/>
  <c r="BL35" i="41" s="1"/>
  <c r="BP61" i="45"/>
  <c r="BL128" i="4"/>
  <c r="ED56" i="3"/>
  <c r="AV96" i="44"/>
  <c r="AZ15" i="47"/>
  <c r="AZ9" i="4"/>
  <c r="BN52" i="4"/>
  <c r="BO52" i="4" s="1"/>
  <c r="BM35" i="66"/>
  <c r="BM42" i="9"/>
  <c r="BM41" i="47"/>
  <c r="BM35" i="45"/>
  <c r="BM44" i="5"/>
  <c r="BM41" i="8"/>
  <c r="BK37" i="66"/>
  <c r="BK38" i="66"/>
  <c r="BK82" i="4" s="1"/>
  <c r="BO34" i="66"/>
  <c r="BO41" i="9"/>
  <c r="BO34" i="45"/>
  <c r="BO40" i="47"/>
  <c r="BO43" i="5"/>
  <c r="BO40" i="8"/>
  <c r="AX10" i="47"/>
  <c r="AW20" i="3"/>
  <c r="BL35" i="66"/>
  <c r="BL42" i="9"/>
  <c r="BL41" i="47"/>
  <c r="BL44" i="5"/>
  <c r="BL35" i="45"/>
  <c r="BL41" i="8"/>
  <c r="BL37" i="3"/>
  <c r="BQ59" i="45"/>
  <c r="BQ13" i="45" s="1"/>
  <c r="BQ15" i="45" s="1"/>
  <c r="AP381" i="47"/>
  <c r="AP382" i="47" s="1"/>
  <c r="AQ378" i="47"/>
  <c r="AR378" i="47" s="1"/>
  <c r="AP379" i="47"/>
  <c r="BA220" i="47"/>
  <c r="BA8" i="47" s="1"/>
  <c r="AO382" i="47"/>
  <c r="AO373" i="47"/>
  <c r="AO394" i="47"/>
  <c r="AO376" i="47"/>
  <c r="AO395" i="47"/>
  <c r="BD21" i="5"/>
  <c r="BD176" i="5"/>
  <c r="BF254" i="5"/>
  <c r="BE79" i="5"/>
  <c r="BE156" i="5"/>
  <c r="BE19" i="5" s="1"/>
  <c r="BC209" i="47"/>
  <c r="BB229" i="47"/>
  <c r="BH111" i="47"/>
  <c r="BF114" i="47"/>
  <c r="BG114" i="47" s="1"/>
  <c r="BG125" i="47" s="1"/>
  <c r="BK141" i="47"/>
  <c r="BL141" i="47" s="1"/>
  <c r="BL142" i="47"/>
  <c r="BM142" i="47" s="1"/>
  <c r="BJ341" i="47"/>
  <c r="BB212" i="47"/>
  <c r="AV139" i="47"/>
  <c r="AV132" i="47" s="1"/>
  <c r="AV131" i="47" s="1"/>
  <c r="AV126" i="47" s="1"/>
  <c r="AV124" i="47" s="1"/>
  <c r="AW124" i="47" s="1"/>
  <c r="AW138" i="47"/>
  <c r="BE125" i="47"/>
  <c r="AX15" i="47"/>
  <c r="AX17" i="47" s="1"/>
  <c r="AY17" i="47"/>
  <c r="AY10" i="47"/>
  <c r="BI13" i="47"/>
  <c r="BA218" i="47"/>
  <c r="BA221" i="47" s="1"/>
  <c r="BA217" i="47"/>
  <c r="BB217" i="47" s="1"/>
  <c r="BB215" i="47"/>
  <c r="AZ8" i="47"/>
  <c r="AZ222" i="47"/>
  <c r="BJ313" i="47"/>
  <c r="BI71" i="45"/>
  <c r="BQ190" i="8"/>
  <c r="BE62" i="8"/>
  <c r="BF235" i="8"/>
  <c r="BQ209" i="5"/>
  <c r="BQ177" i="4"/>
  <c r="BQ179" i="4" s="1"/>
  <c r="BP179" i="4"/>
  <c r="BO67" i="4"/>
  <c r="BO149" i="4" s="1"/>
  <c r="BP50" i="4"/>
  <c r="BQ50" i="4" s="1"/>
  <c r="BQ35" i="3" s="1"/>
  <c r="BN128" i="4"/>
  <c r="BM128" i="4"/>
  <c r="BB220" i="47" l="1"/>
  <c r="BA222" i="47"/>
  <c r="AX22" i="47"/>
  <c r="AX388" i="47" s="1"/>
  <c r="AX17" i="4"/>
  <c r="BL37" i="66"/>
  <c r="BL38" i="66"/>
  <c r="BL82" i="4" s="1"/>
  <c r="BL11" i="41" s="1"/>
  <c r="BM37" i="66"/>
  <c r="BM38" i="66"/>
  <c r="BM82" i="4" s="1"/>
  <c r="BN35" i="66"/>
  <c r="BN42" i="9"/>
  <c r="BN41" i="47"/>
  <c r="BN35" i="45"/>
  <c r="BN41" i="8"/>
  <c r="BN44" i="5"/>
  <c r="BO35" i="66"/>
  <c r="BO42" i="9"/>
  <c r="BO35" i="45"/>
  <c r="BO41" i="47"/>
  <c r="BO44" i="5"/>
  <c r="BO41" i="8"/>
  <c r="AY22" i="47"/>
  <c r="AY23" i="47" s="1"/>
  <c r="AY17" i="4"/>
  <c r="BQ58" i="45"/>
  <c r="AR384" i="47"/>
  <c r="AS378" i="47"/>
  <c r="AR381" i="47"/>
  <c r="AR382" i="47" s="1"/>
  <c r="BB218" i="47"/>
  <c r="AP395" i="47"/>
  <c r="AP376" i="47"/>
  <c r="AP373" i="47"/>
  <c r="AP394" i="47"/>
  <c r="BF156" i="5"/>
  <c r="BF79" i="5"/>
  <c r="BG254" i="5"/>
  <c r="BE21" i="5"/>
  <c r="BE176" i="5"/>
  <c r="BA9" i="47"/>
  <c r="BB221" i="47"/>
  <c r="BM141" i="47"/>
  <c r="BN142" i="47"/>
  <c r="AV97" i="44"/>
  <c r="AZ17" i="47"/>
  <c r="AZ10" i="47"/>
  <c r="BB8" i="47"/>
  <c r="BC215" i="47"/>
  <c r="BD209" i="47"/>
  <c r="BC212" i="47"/>
  <c r="BC229" i="47"/>
  <c r="BC231" i="47" s="1"/>
  <c r="AV303" i="47"/>
  <c r="BI341" i="47"/>
  <c r="AW139" i="47"/>
  <c r="AX138" i="47"/>
  <c r="BF125" i="47"/>
  <c r="BJ312" i="47"/>
  <c r="BK316" i="47"/>
  <c r="BK313" i="47" s="1"/>
  <c r="BH114" i="47"/>
  <c r="BI111" i="47"/>
  <c r="BJ71" i="45"/>
  <c r="BF62" i="8"/>
  <c r="BG235" i="8"/>
  <c r="BP51" i="4"/>
  <c r="BO128" i="4"/>
  <c r="BB222" i="47" l="1"/>
  <c r="BA10" i="47"/>
  <c r="AX23" i="47"/>
  <c r="AX389" i="47" s="1"/>
  <c r="AY388" i="47"/>
  <c r="BO37" i="66"/>
  <c r="BO38" i="66"/>
  <c r="BO82" i="4" s="1"/>
  <c r="BN37" i="66"/>
  <c r="BN38" i="66"/>
  <c r="BN82" i="4" s="1"/>
  <c r="BL13" i="3"/>
  <c r="AZ22" i="47"/>
  <c r="AZ388" i="47" s="1"/>
  <c r="AZ17" i="4"/>
  <c r="BP34" i="66"/>
  <c r="BP41" i="9"/>
  <c r="BP40" i="47"/>
  <c r="BP34" i="45"/>
  <c r="BP40" i="8"/>
  <c r="BP43" i="5"/>
  <c r="AW12" i="3"/>
  <c r="AR379" i="47"/>
  <c r="AR394" i="47"/>
  <c r="AR376" i="47"/>
  <c r="AQ381" i="47"/>
  <c r="AR373" i="47"/>
  <c r="AR395" i="47"/>
  <c r="AT378" i="47"/>
  <c r="BG79" i="5"/>
  <c r="BH254" i="5"/>
  <c r="BF19" i="5"/>
  <c r="BG156" i="5"/>
  <c r="BL313" i="47"/>
  <c r="BK312" i="47"/>
  <c r="BH125" i="47"/>
  <c r="AY138" i="47"/>
  <c r="AX139" i="47"/>
  <c r="AX132" i="47" s="1"/>
  <c r="AX131" i="47" s="1"/>
  <c r="BD212" i="47"/>
  <c r="BE209" i="47"/>
  <c r="BD229" i="47"/>
  <c r="BD231" i="47" s="1"/>
  <c r="BD215" i="47"/>
  <c r="AW132" i="47"/>
  <c r="AW131" i="47" s="1"/>
  <c r="AW126" i="47" s="1"/>
  <c r="AW303" i="47"/>
  <c r="BC217" i="47"/>
  <c r="BC218" i="47"/>
  <c r="BN141" i="47"/>
  <c r="BO142" i="47"/>
  <c r="BA15" i="47"/>
  <c r="BA17" i="47" s="1"/>
  <c r="BB9" i="47"/>
  <c r="BB15" i="47" s="1"/>
  <c r="BB17" i="47" s="1"/>
  <c r="BI114" i="47"/>
  <c r="BJ111" i="47"/>
  <c r="BK315" i="47"/>
  <c r="BL316" i="47"/>
  <c r="BC220" i="47"/>
  <c r="BK71" i="45"/>
  <c r="AX72" i="45"/>
  <c r="BG62" i="8"/>
  <c r="BH235" i="8"/>
  <c r="BP52" i="4"/>
  <c r="BP67" i="4"/>
  <c r="BP149" i="4" s="1"/>
  <c r="BQ51" i="4"/>
  <c r="AZ23" i="47" l="1"/>
  <c r="AZ389" i="47" s="1"/>
  <c r="AY389" i="47"/>
  <c r="BQ67" i="4"/>
  <c r="BQ34" i="66"/>
  <c r="BQ41" i="9"/>
  <c r="BQ40" i="47"/>
  <c r="BQ34" i="45"/>
  <c r="BQ43" i="5"/>
  <c r="BQ40" i="8"/>
  <c r="BQ36" i="3"/>
  <c r="BB22" i="47"/>
  <c r="BB23" i="47" s="1"/>
  <c r="CU35" i="41" s="1"/>
  <c r="BB17" i="4"/>
  <c r="BQ52" i="4"/>
  <c r="BP35" i="66"/>
  <c r="BP42" i="9"/>
  <c r="BP41" i="47"/>
  <c r="BP44" i="5"/>
  <c r="BP41" i="8"/>
  <c r="BP35" i="45"/>
  <c r="BA22" i="47"/>
  <c r="BA388" i="47" s="1"/>
  <c r="BA17" i="4"/>
  <c r="AQ395" i="47"/>
  <c r="AQ394" i="47"/>
  <c r="AQ379" i="47"/>
  <c r="AQ373" i="47"/>
  <c r="AQ376" i="47"/>
  <c r="AQ382" i="47"/>
  <c r="AW153" i="47"/>
  <c r="AU378" i="47"/>
  <c r="AV378" i="47" s="1"/>
  <c r="AW378" i="47" s="1"/>
  <c r="AW384" i="47" s="1"/>
  <c r="BL318" i="47"/>
  <c r="BH156" i="5"/>
  <c r="BH19" i="5" s="1"/>
  <c r="BH79" i="5"/>
  <c r="BI254" i="5"/>
  <c r="BF176" i="5"/>
  <c r="BG176" i="5" s="1"/>
  <c r="BG19" i="5"/>
  <c r="BG21" i="5" s="1"/>
  <c r="BF21" i="5"/>
  <c r="BC221" i="47"/>
  <c r="BC222" i="47" s="1"/>
  <c r="BC8" i="47"/>
  <c r="BK13" i="47"/>
  <c r="BL315" i="47"/>
  <c r="BB10" i="47"/>
  <c r="BF209" i="47"/>
  <c r="BE212" i="47"/>
  <c r="BE229" i="47"/>
  <c r="BE231" i="47" s="1"/>
  <c r="BE215" i="47"/>
  <c r="AZ138" i="47"/>
  <c r="AY139" i="47"/>
  <c r="AY132" i="47" s="1"/>
  <c r="AY131" i="47" s="1"/>
  <c r="BK111" i="47"/>
  <c r="BL111" i="47" s="1"/>
  <c r="BJ114" i="47"/>
  <c r="BP142" i="47"/>
  <c r="BO141" i="47"/>
  <c r="AW113" i="47"/>
  <c r="AV113" i="47" s="1"/>
  <c r="AW119" i="47"/>
  <c r="BD220" i="47"/>
  <c r="BI125" i="47"/>
  <c r="BD218" i="47"/>
  <c r="BD221" i="47" s="1"/>
  <c r="BD9" i="47" s="1"/>
  <c r="BD217" i="47"/>
  <c r="BL312" i="47"/>
  <c r="BM316" i="47"/>
  <c r="BM313" i="47" s="1"/>
  <c r="BL71" i="45"/>
  <c r="BM71" i="45" s="1"/>
  <c r="AW23" i="3"/>
  <c r="BH62" i="8"/>
  <c r="BI235" i="8"/>
  <c r="BP128" i="4"/>
  <c r="BQ149" i="4"/>
  <c r="CU66" i="41" l="1"/>
  <c r="DF76" i="41"/>
  <c r="BQ34" i="41"/>
  <c r="BQ35" i="41" s="1"/>
  <c r="BA23" i="47"/>
  <c r="BA389" i="47" s="1"/>
  <c r="BB388" i="47"/>
  <c r="BD15" i="47"/>
  <c r="BD9" i="4"/>
  <c r="BQ35" i="66"/>
  <c r="BQ41" i="47"/>
  <c r="BQ42" i="9"/>
  <c r="BQ35" i="45"/>
  <c r="BQ44" i="5"/>
  <c r="BQ41" i="8"/>
  <c r="BQ37" i="3"/>
  <c r="BQ128" i="4"/>
  <c r="EI56" i="3"/>
  <c r="BB389" i="47"/>
  <c r="BB20" i="3"/>
  <c r="BH21" i="5"/>
  <c r="DO31" i="3"/>
  <c r="AW24" i="4"/>
  <c r="BP37" i="66"/>
  <c r="BP38" i="66"/>
  <c r="BP82" i="4" s="1"/>
  <c r="BH176" i="5"/>
  <c r="BI79" i="5"/>
  <c r="BI156" i="5"/>
  <c r="BI19" i="5" s="1"/>
  <c r="BJ254" i="5"/>
  <c r="AU113" i="47"/>
  <c r="AV115" i="47"/>
  <c r="BJ125" i="47"/>
  <c r="BE218" i="47"/>
  <c r="BE221" i="47" s="1"/>
  <c r="BE9" i="47" s="1"/>
  <c r="BE217" i="47"/>
  <c r="BM312" i="47"/>
  <c r="BN316" i="47"/>
  <c r="BN315" i="47" s="1"/>
  <c r="BN13" i="47" s="1"/>
  <c r="BM111" i="47"/>
  <c r="BK114" i="47"/>
  <c r="BL114" i="47" s="1"/>
  <c r="BL125" i="47" s="1"/>
  <c r="BK341" i="47"/>
  <c r="BL13" i="47"/>
  <c r="BD8" i="47"/>
  <c r="BD222" i="47"/>
  <c r="BE220" i="47"/>
  <c r="BM315" i="47"/>
  <c r="AV119" i="47"/>
  <c r="AW121" i="47"/>
  <c r="BQ142" i="47"/>
  <c r="BP141" i="47"/>
  <c r="BQ141" i="47" s="1"/>
  <c r="BA138" i="47"/>
  <c r="AZ139" i="47"/>
  <c r="AZ132" i="47" s="1"/>
  <c r="AZ131" i="47" s="1"/>
  <c r="BF215" i="47"/>
  <c r="BG215" i="47" s="1"/>
  <c r="BG209" i="47"/>
  <c r="BF212" i="47"/>
  <c r="BF229" i="47"/>
  <c r="BF231" i="47" s="1"/>
  <c r="BG231" i="47" s="1"/>
  <c r="BC9" i="47"/>
  <c r="BN71" i="45"/>
  <c r="BI62" i="8"/>
  <c r="BJ235" i="8"/>
  <c r="BC10" i="47" l="1"/>
  <c r="BE15" i="47"/>
  <c r="BE9" i="4"/>
  <c r="BF220" i="47"/>
  <c r="BF8" i="47" s="1"/>
  <c r="AV54" i="4"/>
  <c r="AW26" i="3"/>
  <c r="BQ37" i="66"/>
  <c r="BQ38" i="66"/>
  <c r="BQ82" i="4" s="1"/>
  <c r="BQ11" i="41" s="1"/>
  <c r="BI176" i="5"/>
  <c r="BI21" i="5"/>
  <c r="BK254" i="5"/>
  <c r="BJ79" i="5"/>
  <c r="BJ156" i="5"/>
  <c r="BJ19" i="5" s="1"/>
  <c r="BE8" i="47"/>
  <c r="BE222" i="47"/>
  <c r="BN341" i="47"/>
  <c r="BA139" i="47"/>
  <c r="BA132" i="47" s="1"/>
  <c r="BA131" i="47" s="1"/>
  <c r="BB138" i="47"/>
  <c r="AU119" i="47"/>
  <c r="AV121" i="47"/>
  <c r="AV107" i="47" s="1"/>
  <c r="AV106" i="47" s="1"/>
  <c r="BL341" i="47"/>
  <c r="BH209" i="47"/>
  <c r="BG229" i="47"/>
  <c r="BK125" i="47"/>
  <c r="BN313" i="47"/>
  <c r="AT113" i="47"/>
  <c r="AU115" i="47"/>
  <c r="BC15" i="47"/>
  <c r="BC17" i="47" s="1"/>
  <c r="BF217" i="47"/>
  <c r="BG217" i="47" s="1"/>
  <c r="BF218" i="47"/>
  <c r="BM13" i="47"/>
  <c r="BG212" i="47"/>
  <c r="BD17" i="47"/>
  <c r="BD10" i="47"/>
  <c r="BM114" i="47"/>
  <c r="BN111" i="47"/>
  <c r="BO71" i="45"/>
  <c r="BJ62" i="8"/>
  <c r="BK235" i="8"/>
  <c r="BG220" i="47" l="1"/>
  <c r="BJ21" i="5"/>
  <c r="AV55" i="4"/>
  <c r="AV68" i="4" s="1"/>
  <c r="BD22" i="47"/>
  <c r="BD23" i="47" s="1"/>
  <c r="BD17" i="4"/>
  <c r="BQ13" i="3"/>
  <c r="AW9" i="3"/>
  <c r="BC22" i="47"/>
  <c r="BC388" i="47" s="1"/>
  <c r="BC17" i="4"/>
  <c r="BJ176" i="5"/>
  <c r="BK156" i="5"/>
  <c r="BK79" i="5"/>
  <c r="BL254" i="5"/>
  <c r="AS113" i="47"/>
  <c r="AS115" i="47" s="1"/>
  <c r="AT115" i="47"/>
  <c r="BM125" i="47"/>
  <c r="BN312" i="47"/>
  <c r="BO316" i="47"/>
  <c r="BO313" i="47" s="1"/>
  <c r="AT119" i="47"/>
  <c r="AU121" i="47"/>
  <c r="AU107" i="47" s="1"/>
  <c r="AU106" i="47" s="1"/>
  <c r="BE10" i="47"/>
  <c r="BE17" i="47"/>
  <c r="BM341" i="47"/>
  <c r="BH212" i="47"/>
  <c r="BH215" i="47"/>
  <c r="BH229" i="47"/>
  <c r="BH231" i="47" s="1"/>
  <c r="BI209" i="47"/>
  <c r="BB139" i="47"/>
  <c r="BC138" i="47"/>
  <c r="BO111" i="47"/>
  <c r="BN114" i="47"/>
  <c r="BF221" i="47"/>
  <c r="BG218" i="47"/>
  <c r="BG8" i="47"/>
  <c r="BP71" i="45"/>
  <c r="BK62" i="8"/>
  <c r="BL235" i="8"/>
  <c r="BD388" i="47" l="1"/>
  <c r="BC23" i="47"/>
  <c r="BC389" i="47" s="1"/>
  <c r="DO41" i="3"/>
  <c r="AV56" i="4"/>
  <c r="BE22" i="47"/>
  <c r="BE23" i="47" s="1"/>
  <c r="BE17" i="4"/>
  <c r="BL79" i="5"/>
  <c r="BM254" i="5"/>
  <c r="BK19" i="5"/>
  <c r="BL156" i="5"/>
  <c r="BF9" i="47"/>
  <c r="BG221" i="47"/>
  <c r="BG222" i="47" s="1"/>
  <c r="BF222" i="47"/>
  <c r="BO114" i="47"/>
  <c r="BP111" i="47"/>
  <c r="BP114" i="47" s="1"/>
  <c r="BO312" i="47"/>
  <c r="BP316" i="47"/>
  <c r="BP315" i="47" s="1"/>
  <c r="BP13" i="47" s="1"/>
  <c r="BD138" i="47"/>
  <c r="BC139" i="47"/>
  <c r="BC132" i="47" s="1"/>
  <c r="BC131" i="47" s="1"/>
  <c r="BH218" i="47"/>
  <c r="BH217" i="47"/>
  <c r="BB132" i="47"/>
  <c r="BB131" i="47" s="1"/>
  <c r="BB126" i="47" s="1"/>
  <c r="BB153" i="47"/>
  <c r="BH220" i="47"/>
  <c r="AS119" i="47"/>
  <c r="AS121" i="47" s="1"/>
  <c r="AS107" i="47" s="1"/>
  <c r="AT121" i="47"/>
  <c r="AT107" i="47" s="1"/>
  <c r="AT106" i="47" s="1"/>
  <c r="AW115" i="47"/>
  <c r="BN125" i="47"/>
  <c r="BJ209" i="47"/>
  <c r="BI212" i="47"/>
  <c r="BI215" i="47"/>
  <c r="BI229" i="47"/>
  <c r="BI231" i="47" s="1"/>
  <c r="BO315" i="47"/>
  <c r="BD389" i="47"/>
  <c r="BQ71" i="45"/>
  <c r="BL62" i="8"/>
  <c r="BM235" i="8"/>
  <c r="BE389" i="47" l="1"/>
  <c r="BQ111" i="47"/>
  <c r="BE388" i="47"/>
  <c r="DO30" i="3"/>
  <c r="BP313" i="47"/>
  <c r="BQ313" i="47" s="1"/>
  <c r="BQ312" i="47" s="1"/>
  <c r="BQ316" i="47"/>
  <c r="BI220" i="47"/>
  <c r="BI8" i="47" s="1"/>
  <c r="BM79" i="5"/>
  <c r="BN254" i="5"/>
  <c r="BK21" i="5"/>
  <c r="BK176" i="5"/>
  <c r="BL176" i="5" s="1"/>
  <c r="BL19" i="5"/>
  <c r="BL21" i="5" s="1"/>
  <c r="BA126" i="47"/>
  <c r="BB113" i="47"/>
  <c r="BA113" i="47" s="1"/>
  <c r="BB119" i="47"/>
  <c r="BH221" i="47"/>
  <c r="BH222" i="47" s="1"/>
  <c r="BO13" i="47"/>
  <c r="BQ315" i="47"/>
  <c r="BJ215" i="47"/>
  <c r="BK209" i="47"/>
  <c r="BJ212" i="47"/>
  <c r="BJ229" i="47"/>
  <c r="BJ231" i="47" s="1"/>
  <c r="AS106" i="47"/>
  <c r="AW107" i="47"/>
  <c r="AW106" i="47" s="1"/>
  <c r="AW150" i="47" s="1"/>
  <c r="CP67" i="41" s="1"/>
  <c r="BH8" i="47"/>
  <c r="BD139" i="47"/>
  <c r="BD132" i="47" s="1"/>
  <c r="BD131" i="47" s="1"/>
  <c r="BE138" i="47"/>
  <c r="BP125" i="47"/>
  <c r="BF15" i="47"/>
  <c r="BF17" i="47" s="1"/>
  <c r="BG9" i="47"/>
  <c r="BF10" i="47"/>
  <c r="BI218" i="47"/>
  <c r="BI221" i="47" s="1"/>
  <c r="BI9" i="47" s="1"/>
  <c r="BI217" i="47"/>
  <c r="BP341" i="47"/>
  <c r="BO125" i="47"/>
  <c r="BQ114" i="47"/>
  <c r="BQ125" i="47" s="1"/>
  <c r="BM62" i="8"/>
  <c r="BN235" i="8"/>
  <c r="CF71" i="41" l="1"/>
  <c r="CF73" i="41" s="1"/>
  <c r="CF75" i="41" s="1"/>
  <c r="CF77" i="41" s="1"/>
  <c r="CK71" i="41"/>
  <c r="CK73" i="41" s="1"/>
  <c r="CK75" i="41" s="1"/>
  <c r="CK77" i="41" s="1"/>
  <c r="CP68" i="41"/>
  <c r="CP70" i="41" s="1"/>
  <c r="CA71" i="41"/>
  <c r="CA73" i="41" s="1"/>
  <c r="CA75" i="41" s="1"/>
  <c r="CA77" i="41" s="1"/>
  <c r="CP71" i="41"/>
  <c r="BP312" i="47"/>
  <c r="BF22" i="47"/>
  <c r="BF388" i="47" s="1"/>
  <c r="BF17" i="4"/>
  <c r="BI15" i="47"/>
  <c r="BI17" i="47" s="1"/>
  <c r="BI9" i="4"/>
  <c r="BJ220" i="47"/>
  <c r="BJ8" i="47" s="1"/>
  <c r="BN79" i="5"/>
  <c r="BO254" i="5"/>
  <c r="BG15" i="47"/>
  <c r="BG17" i="47" s="1"/>
  <c r="BG10" i="47"/>
  <c r="BA119" i="47"/>
  <c r="BB121" i="47"/>
  <c r="BI10" i="47"/>
  <c r="BO341" i="47"/>
  <c r="BQ13" i="47"/>
  <c r="AZ113" i="47"/>
  <c r="BA115" i="47"/>
  <c r="BQ318" i="47"/>
  <c r="BE139" i="47"/>
  <c r="BE132" i="47" s="1"/>
  <c r="BE131" i="47" s="1"/>
  <c r="BF138" i="47"/>
  <c r="BK215" i="47"/>
  <c r="BL215" i="47" s="1"/>
  <c r="BL209" i="47"/>
  <c r="BK212" i="47"/>
  <c r="BK229" i="47"/>
  <c r="BK231" i="47" s="1"/>
  <c r="BL231" i="47" s="1"/>
  <c r="BH9" i="47"/>
  <c r="AZ126" i="47"/>
  <c r="BA124" i="47"/>
  <c r="BJ218" i="47"/>
  <c r="BJ221" i="47" s="1"/>
  <c r="BJ9" i="47" s="1"/>
  <c r="BJ217" i="47"/>
  <c r="BI222" i="47"/>
  <c r="BN62" i="8"/>
  <c r="BO235" i="8"/>
  <c r="CP73" i="41" l="1"/>
  <c r="CP75" i="41" s="1"/>
  <c r="CP77" i="41" s="1"/>
  <c r="BF23" i="47"/>
  <c r="BF389" i="47" s="1"/>
  <c r="BJ15" i="47"/>
  <c r="BJ17" i="47" s="1"/>
  <c r="BJ9" i="4"/>
  <c r="BI22" i="47"/>
  <c r="BI23" i="47" s="1"/>
  <c r="BI17" i="4"/>
  <c r="BG22" i="47"/>
  <c r="BG23" i="47" s="1"/>
  <c r="BG17" i="4"/>
  <c r="BO79" i="5"/>
  <c r="BP254" i="5"/>
  <c r="AY126" i="47"/>
  <c r="AZ124" i="47"/>
  <c r="BK220" i="47"/>
  <c r="BL212" i="47"/>
  <c r="AY113" i="47"/>
  <c r="AZ115" i="47"/>
  <c r="BJ222" i="47"/>
  <c r="AZ119" i="47"/>
  <c r="BA121" i="47"/>
  <c r="BA107" i="47" s="1"/>
  <c r="BA106" i="47" s="1"/>
  <c r="BM209" i="47"/>
  <c r="BL229" i="47"/>
  <c r="BQ341" i="47"/>
  <c r="BJ10" i="47"/>
  <c r="BH15" i="47"/>
  <c r="BH17" i="47" s="1"/>
  <c r="BK217" i="47"/>
  <c r="BL217" i="47" s="1"/>
  <c r="BK218" i="47"/>
  <c r="BH10" i="47"/>
  <c r="BF139" i="47"/>
  <c r="BF132" i="47" s="1"/>
  <c r="BF131" i="47" s="1"/>
  <c r="BG138" i="47"/>
  <c r="BO62" i="8"/>
  <c r="BP235" i="8"/>
  <c r="BG388" i="47" l="1"/>
  <c r="BJ22" i="47"/>
  <c r="BJ17" i="4"/>
  <c r="BG389" i="47"/>
  <c r="BG20" i="3"/>
  <c r="BH22" i="47"/>
  <c r="BH23" i="47" s="1"/>
  <c r="BH17" i="4"/>
  <c r="BP79" i="5"/>
  <c r="BQ254" i="5"/>
  <c r="BK8" i="47"/>
  <c r="BL220" i="47"/>
  <c r="BN209" i="47"/>
  <c r="BM212" i="47"/>
  <c r="BM229" i="47"/>
  <c r="BM231" i="47" s="1"/>
  <c r="BM215" i="47"/>
  <c r="AX113" i="47"/>
  <c r="AX115" i="47" s="1"/>
  <c r="AY115" i="47"/>
  <c r="AX126" i="47"/>
  <c r="AX124" i="47" s="1"/>
  <c r="AY124" i="47"/>
  <c r="BH138" i="47"/>
  <c r="BG139" i="47"/>
  <c r="BK221" i="47"/>
  <c r="BK222" i="47" s="1"/>
  <c r="BL218" i="47"/>
  <c r="AY119" i="47"/>
  <c r="AZ121" i="47"/>
  <c r="AZ107" i="47" s="1"/>
  <c r="AZ106" i="47" s="1"/>
  <c r="BP62" i="8"/>
  <c r="BQ235" i="8"/>
  <c r="BQ62" i="8" s="1"/>
  <c r="BH388" i="47" l="1"/>
  <c r="BI388" i="47"/>
  <c r="BJ388" i="47"/>
  <c r="BJ23" i="47"/>
  <c r="BJ389" i="47" s="1"/>
  <c r="BQ70" i="5"/>
  <c r="BQ79" i="5"/>
  <c r="BG132" i="47"/>
  <c r="BG131" i="47" s="1"/>
  <c r="BG126" i="47" s="1"/>
  <c r="BH389" i="47"/>
  <c r="BI389" i="47"/>
  <c r="BI138" i="47"/>
  <c r="BH139" i="47"/>
  <c r="BH132" i="47" s="1"/>
  <c r="BH131" i="47" s="1"/>
  <c r="BB115" i="47"/>
  <c r="BM220" i="47"/>
  <c r="BN215" i="47"/>
  <c r="BO209" i="47"/>
  <c r="BN212" i="47"/>
  <c r="BN229" i="47"/>
  <c r="BN231" i="47" s="1"/>
  <c r="AX119" i="47"/>
  <c r="AX121" i="47" s="1"/>
  <c r="AX107" i="47" s="1"/>
  <c r="AY121" i="47"/>
  <c r="AY107" i="47" s="1"/>
  <c r="AY106" i="47" s="1"/>
  <c r="BK9" i="47"/>
  <c r="BL221" i="47"/>
  <c r="BL222" i="47" s="1"/>
  <c r="BB124" i="47"/>
  <c r="BM218" i="47"/>
  <c r="BM217" i="47"/>
  <c r="BL8" i="47"/>
  <c r="BK10" i="47" l="1"/>
  <c r="BG153" i="47"/>
  <c r="BN220" i="47"/>
  <c r="BN8" i="47" s="1"/>
  <c r="BP70" i="5"/>
  <c r="BP116" i="5" s="1"/>
  <c r="BN70" i="5"/>
  <c r="BN116" i="5" s="1"/>
  <c r="BN114" i="5" s="1"/>
  <c r="BN99" i="5" s="1"/>
  <c r="BO70" i="5"/>
  <c r="BO116" i="5" s="1"/>
  <c r="BO114" i="5" s="1"/>
  <c r="BO99" i="5" s="1"/>
  <c r="BM70" i="5"/>
  <c r="BM116" i="5" s="1"/>
  <c r="BB107" i="47"/>
  <c r="BB106" i="47" s="1"/>
  <c r="BB150" i="47" s="1"/>
  <c r="CU67" i="41" s="1"/>
  <c r="AX106" i="47"/>
  <c r="BK15" i="47"/>
  <c r="BK17" i="47" s="1"/>
  <c r="BL9" i="47"/>
  <c r="BL15" i="47" s="1"/>
  <c r="BL17" i="47" s="1"/>
  <c r="BM8" i="47"/>
  <c r="BJ138" i="47"/>
  <c r="BI139" i="47"/>
  <c r="BI132" i="47" s="1"/>
  <c r="BI131" i="47" s="1"/>
  <c r="BM221" i="47"/>
  <c r="BO215" i="47"/>
  <c r="BP209" i="47"/>
  <c r="BO212" i="47"/>
  <c r="BO229" i="47"/>
  <c r="BO231" i="47" s="1"/>
  <c r="BG113" i="47"/>
  <c r="BF113" i="47" s="1"/>
  <c r="BF126" i="47"/>
  <c r="BG119" i="47"/>
  <c r="BN217" i="47"/>
  <c r="BN218" i="47"/>
  <c r="BN221" i="47" s="1"/>
  <c r="BN9" i="47" s="1"/>
  <c r="CU68" i="41" l="1"/>
  <c r="CU70" i="41" s="1"/>
  <c r="DE71" i="41"/>
  <c r="CU71" i="41"/>
  <c r="CZ71" i="41"/>
  <c r="CZ73" i="41" s="1"/>
  <c r="BL10" i="47"/>
  <c r="BN15" i="47"/>
  <c r="BN17" i="47" s="1"/>
  <c r="BN9" i="4"/>
  <c r="BL22" i="47"/>
  <c r="BL23" i="47" s="1"/>
  <c r="DE35" i="41" s="1"/>
  <c r="BL17" i="4"/>
  <c r="BK22" i="47"/>
  <c r="BK388" i="47" s="1"/>
  <c r="BK17" i="4"/>
  <c r="BQ116" i="5"/>
  <c r="BO8" i="5"/>
  <c r="BO122" i="5"/>
  <c r="BO123" i="5" s="1"/>
  <c r="BN8" i="5"/>
  <c r="BN122" i="5"/>
  <c r="BN123" i="5" s="1"/>
  <c r="BF119" i="47"/>
  <c r="BG121" i="47"/>
  <c r="BO220" i="47"/>
  <c r="BJ139" i="47"/>
  <c r="BJ132" i="47" s="1"/>
  <c r="BJ131" i="47" s="1"/>
  <c r="BK138" i="47"/>
  <c r="BN222" i="47"/>
  <c r="BE126" i="47"/>
  <c r="BF124" i="47"/>
  <c r="BP212" i="47"/>
  <c r="BP215" i="47"/>
  <c r="BQ215" i="47" s="1"/>
  <c r="BP229" i="47"/>
  <c r="BP231" i="47" s="1"/>
  <c r="BQ231" i="47" s="1"/>
  <c r="BQ209" i="47"/>
  <c r="BQ229" i="47" s="1"/>
  <c r="BM9" i="47"/>
  <c r="BM222" i="47"/>
  <c r="BN10" i="47"/>
  <c r="BE113" i="47"/>
  <c r="BF115" i="47"/>
  <c r="BO217" i="47"/>
  <c r="BO218" i="47"/>
  <c r="BO221" i="47" s="1"/>
  <c r="BO9" i="47" s="1"/>
  <c r="CU73" i="41" l="1"/>
  <c r="DE66" i="41"/>
  <c r="DE68" i="41" s="1"/>
  <c r="DE70" i="41" s="1"/>
  <c r="DE73" i="41" s="1"/>
  <c r="BL388" i="47"/>
  <c r="BK23" i="47"/>
  <c r="BK389" i="47" s="1"/>
  <c r="BO15" i="47"/>
  <c r="BO9" i="4"/>
  <c r="BN22" i="47"/>
  <c r="BN23" i="47" s="1"/>
  <c r="BN17" i="4"/>
  <c r="BL389" i="47"/>
  <c r="BL20" i="3"/>
  <c r="BO10" i="5"/>
  <c r="BN10" i="5"/>
  <c r="BD113" i="47"/>
  <c r="BE115" i="47"/>
  <c r="BP218" i="47"/>
  <c r="BP221" i="47" s="1"/>
  <c r="BP9" i="47" s="1"/>
  <c r="BP217" i="47"/>
  <c r="BQ217" i="47" s="1"/>
  <c r="BL138" i="47"/>
  <c r="BK139" i="47"/>
  <c r="BK132" i="47" s="1"/>
  <c r="BK131" i="47" s="1"/>
  <c r="BE119" i="47"/>
  <c r="BF121" i="47"/>
  <c r="BF107" i="47" s="1"/>
  <c r="BF106" i="47" s="1"/>
  <c r="BM15" i="47"/>
  <c r="BM17" i="47" s="1"/>
  <c r="BP220" i="47"/>
  <c r="BQ220" i="47" s="1"/>
  <c r="BQ212" i="47"/>
  <c r="BO8" i="47"/>
  <c r="BO222" i="47"/>
  <c r="BM10" i="47"/>
  <c r="BD126" i="47"/>
  <c r="BE124" i="47"/>
  <c r="BM22" i="47" l="1"/>
  <c r="BM23" i="47" s="1"/>
  <c r="BM17" i="4"/>
  <c r="BP15" i="47"/>
  <c r="BQ218" i="47"/>
  <c r="BQ9" i="47"/>
  <c r="BQ15" i="47" s="1"/>
  <c r="BC126" i="47"/>
  <c r="BC124" i="47" s="1"/>
  <c r="BD124" i="47"/>
  <c r="BL139" i="47"/>
  <c r="BM138" i="47"/>
  <c r="BQ221" i="47"/>
  <c r="BQ222" i="47" s="1"/>
  <c r="BO17" i="47"/>
  <c r="BO10" i="47"/>
  <c r="BP8" i="47"/>
  <c r="BP222" i="47"/>
  <c r="BD119" i="47"/>
  <c r="BE121" i="47"/>
  <c r="BE107" i="47" s="1"/>
  <c r="BE106" i="47" s="1"/>
  <c r="BC113" i="47"/>
  <c r="BC115" i="47" s="1"/>
  <c r="BD115" i="47"/>
  <c r="BM388" i="47" l="1"/>
  <c r="BN388" i="47"/>
  <c r="BO22" i="47"/>
  <c r="BO388" i="47" s="1"/>
  <c r="BO17" i="4"/>
  <c r="BQ8" i="47"/>
  <c r="BQ10" i="47" s="1"/>
  <c r="BG124" i="47"/>
  <c r="BM389" i="47"/>
  <c r="BN389" i="47"/>
  <c r="BC119" i="47"/>
  <c r="BC121" i="47" s="1"/>
  <c r="BC107" i="47" s="1"/>
  <c r="BD121" i="47"/>
  <c r="BD107" i="47" s="1"/>
  <c r="BD106" i="47" s="1"/>
  <c r="BN138" i="47"/>
  <c r="BM139" i="47"/>
  <c r="BM132" i="47" s="1"/>
  <c r="BM131" i="47" s="1"/>
  <c r="BL132" i="47"/>
  <c r="BL131" i="47" s="1"/>
  <c r="BL126" i="47" s="1"/>
  <c r="BG115" i="47"/>
  <c r="BP17" i="47"/>
  <c r="BP10" i="47"/>
  <c r="BO23" i="47" l="1"/>
  <c r="BO389" i="47" s="1"/>
  <c r="BQ17" i="47"/>
  <c r="BQ22" i="47" s="1"/>
  <c r="BP22" i="47"/>
  <c r="BP388" i="47" s="1"/>
  <c r="BP17" i="4"/>
  <c r="BL153" i="47"/>
  <c r="BO138" i="47"/>
  <c r="BN139" i="47"/>
  <c r="BN132" i="47" s="1"/>
  <c r="BN131" i="47" s="1"/>
  <c r="BL119" i="47"/>
  <c r="BK126" i="47"/>
  <c r="BL113" i="47"/>
  <c r="BK113" i="47" s="1"/>
  <c r="BG107" i="47"/>
  <c r="BG106" i="47" s="1"/>
  <c r="BG150" i="47" s="1"/>
  <c r="BC106" i="47"/>
  <c r="BP23" i="47" l="1"/>
  <c r="BP389" i="47" s="1"/>
  <c r="BQ17" i="4"/>
  <c r="BQ388" i="47"/>
  <c r="BQ23" i="47"/>
  <c r="DF35" i="41" s="1"/>
  <c r="BK119" i="47"/>
  <c r="BL121" i="47"/>
  <c r="BJ113" i="47"/>
  <c r="BK115" i="47"/>
  <c r="BJ126" i="47"/>
  <c r="BK124" i="47"/>
  <c r="BP138" i="47"/>
  <c r="BO139" i="47"/>
  <c r="BO132" i="47" s="1"/>
  <c r="BO131" i="47" s="1"/>
  <c r="DF66" i="41" l="1"/>
  <c r="DU44" i="41"/>
  <c r="DN49" i="41" s="1"/>
  <c r="DN48" i="41"/>
  <c r="DU43" i="41"/>
  <c r="DU48" i="41" s="1"/>
  <c r="BQ389" i="47"/>
  <c r="BQ20" i="3"/>
  <c r="BI126" i="47"/>
  <c r="BJ124" i="47"/>
  <c r="BQ138" i="47"/>
  <c r="BQ139" i="47" s="1"/>
  <c r="BP139" i="47"/>
  <c r="BP132" i="47" s="1"/>
  <c r="BP131" i="47" s="1"/>
  <c r="BI113" i="47"/>
  <c r="BJ115" i="47"/>
  <c r="BJ119" i="47"/>
  <c r="BK121" i="47"/>
  <c r="BK107" i="47" s="1"/>
  <c r="BK106" i="47" s="1"/>
  <c r="DU49" i="41" l="1"/>
  <c r="DU50" i="41" s="1"/>
  <c r="DT78" i="41"/>
  <c r="DT73" i="41"/>
  <c r="DT68" i="41"/>
  <c r="DT79" i="41"/>
  <c r="DT66" i="41"/>
  <c r="DT82" i="41"/>
  <c r="DT65" i="41"/>
  <c r="DT77" i="41"/>
  <c r="DT81" i="41"/>
  <c r="DT72" i="41"/>
  <c r="DT74" i="41"/>
  <c r="DT76" i="41"/>
  <c r="DT64" i="41"/>
  <c r="DT75" i="41"/>
  <c r="DT80" i="41"/>
  <c r="DT70" i="41"/>
  <c r="DT71" i="41"/>
  <c r="DT67" i="41"/>
  <c r="DU42" i="41"/>
  <c r="DT69" i="41"/>
  <c r="DT63" i="41"/>
  <c r="DT62" i="41"/>
  <c r="DU77" i="41"/>
  <c r="DV78" i="41" s="1"/>
  <c r="DW79" i="41" s="1"/>
  <c r="DX80" i="41" s="1"/>
  <c r="DY81" i="41" s="1"/>
  <c r="DZ82" i="41" s="1"/>
  <c r="DU62" i="41"/>
  <c r="DV63" i="41" s="1"/>
  <c r="DW64" i="41" s="1"/>
  <c r="DX65" i="41" s="1"/>
  <c r="DY66" i="41" s="1"/>
  <c r="DZ67" i="41" s="1"/>
  <c r="EA68" i="41" s="1"/>
  <c r="EB69" i="41" s="1"/>
  <c r="EC70" i="41" s="1"/>
  <c r="ED71" i="41" s="1"/>
  <c r="EE72" i="41" s="1"/>
  <c r="EF73" i="41" s="1"/>
  <c r="EG74" i="41" s="1"/>
  <c r="EH75" i="41" s="1"/>
  <c r="EI76" i="41" s="1"/>
  <c r="EJ77" i="41" s="1"/>
  <c r="EK78" i="41" s="1"/>
  <c r="EL79" i="41" s="1"/>
  <c r="EM80" i="41" s="1"/>
  <c r="EN81" i="41" s="1"/>
  <c r="EO82" i="41" s="1"/>
  <c r="DU80" i="41"/>
  <c r="DV81" i="41" s="1"/>
  <c r="DW82" i="41" s="1"/>
  <c r="DU66" i="41"/>
  <c r="DV67" i="41" s="1"/>
  <c r="DW68" i="41" s="1"/>
  <c r="DX69" i="41" s="1"/>
  <c r="DY70" i="41" s="1"/>
  <c r="DZ71" i="41" s="1"/>
  <c r="EA72" i="41" s="1"/>
  <c r="EB73" i="41" s="1"/>
  <c r="EC74" i="41" s="1"/>
  <c r="ED75" i="41" s="1"/>
  <c r="EE76" i="41" s="1"/>
  <c r="EF77" i="41" s="1"/>
  <c r="EG78" i="41" s="1"/>
  <c r="EH79" i="41" s="1"/>
  <c r="EI80" i="41" s="1"/>
  <c r="EJ81" i="41" s="1"/>
  <c r="EK82" i="41" s="1"/>
  <c r="DU72" i="41"/>
  <c r="DV73" i="41" s="1"/>
  <c r="DW74" i="41" s="1"/>
  <c r="DX75" i="41" s="1"/>
  <c r="DY76" i="41" s="1"/>
  <c r="DZ77" i="41" s="1"/>
  <c r="EA78" i="41" s="1"/>
  <c r="EB79" i="41" s="1"/>
  <c r="EC80" i="41" s="1"/>
  <c r="ED81" i="41" s="1"/>
  <c r="EE82" i="41" s="1"/>
  <c r="DO62" i="41"/>
  <c r="DO63" i="41" s="1"/>
  <c r="DO64" i="41" s="1"/>
  <c r="DO65" i="41" s="1"/>
  <c r="DO66" i="41" s="1"/>
  <c r="DO67" i="41" s="1"/>
  <c r="DO68" i="41" s="1"/>
  <c r="DO69" i="41" s="1"/>
  <c r="DO70" i="41" s="1"/>
  <c r="DO71" i="41" s="1"/>
  <c r="DO72" i="41" s="1"/>
  <c r="DO73" i="41" s="1"/>
  <c r="DO74" i="41" s="1"/>
  <c r="DO75" i="41" s="1"/>
  <c r="DO76" i="41" s="1"/>
  <c r="DO77" i="41" s="1"/>
  <c r="DO78" i="41" s="1"/>
  <c r="DO79" i="41" s="1"/>
  <c r="DO80" i="41" s="1"/>
  <c r="DO81" i="41" s="1"/>
  <c r="DO82" i="41" s="1"/>
  <c r="DU82" i="41"/>
  <c r="DU75" i="41"/>
  <c r="DV76" i="41" s="1"/>
  <c r="DW77" i="41" s="1"/>
  <c r="DX78" i="41" s="1"/>
  <c r="DY79" i="41" s="1"/>
  <c r="DZ80" i="41" s="1"/>
  <c r="EA81" i="41" s="1"/>
  <c r="EB82" i="41" s="1"/>
  <c r="DU71" i="41"/>
  <c r="DV72" i="41" s="1"/>
  <c r="DW73" i="41" s="1"/>
  <c r="DX74" i="41" s="1"/>
  <c r="DY75" i="41" s="1"/>
  <c r="DZ76" i="41" s="1"/>
  <c r="EA77" i="41" s="1"/>
  <c r="EB78" i="41" s="1"/>
  <c r="EC79" i="41" s="1"/>
  <c r="ED80" i="41" s="1"/>
  <c r="EE81" i="41" s="1"/>
  <c r="EF82" i="41" s="1"/>
  <c r="DU63" i="41"/>
  <c r="DV64" i="41" s="1"/>
  <c r="DW65" i="41" s="1"/>
  <c r="DX66" i="41" s="1"/>
  <c r="DY67" i="41" s="1"/>
  <c r="DZ68" i="41" s="1"/>
  <c r="EA69" i="41" s="1"/>
  <c r="EB70" i="41" s="1"/>
  <c r="EC71" i="41" s="1"/>
  <c r="ED72" i="41" s="1"/>
  <c r="EE73" i="41" s="1"/>
  <c r="EF74" i="41" s="1"/>
  <c r="EG75" i="41" s="1"/>
  <c r="EH76" i="41" s="1"/>
  <c r="EI77" i="41" s="1"/>
  <c r="EJ78" i="41" s="1"/>
  <c r="EK79" i="41" s="1"/>
  <c r="EL80" i="41" s="1"/>
  <c r="EM81" i="41" s="1"/>
  <c r="EN82" i="41" s="1"/>
  <c r="DU73" i="41"/>
  <c r="DV74" i="41" s="1"/>
  <c r="DW75" i="41" s="1"/>
  <c r="DX76" i="41" s="1"/>
  <c r="DY77" i="41" s="1"/>
  <c r="DZ78" i="41" s="1"/>
  <c r="EA79" i="41" s="1"/>
  <c r="EB80" i="41" s="1"/>
  <c r="EC81" i="41" s="1"/>
  <c r="ED82" i="41" s="1"/>
  <c r="DU81" i="41"/>
  <c r="DV82" i="41" s="1"/>
  <c r="DU78" i="41"/>
  <c r="DV79" i="41" s="1"/>
  <c r="DW80" i="41" s="1"/>
  <c r="DX81" i="41" s="1"/>
  <c r="DY82" i="41" s="1"/>
  <c r="DU69" i="41"/>
  <c r="DV70" i="41" s="1"/>
  <c r="DW71" i="41" s="1"/>
  <c r="DX72" i="41" s="1"/>
  <c r="DY73" i="41" s="1"/>
  <c r="DZ74" i="41" s="1"/>
  <c r="EA75" i="41" s="1"/>
  <c r="EB76" i="41" s="1"/>
  <c r="EC77" i="41" s="1"/>
  <c r="ED78" i="41" s="1"/>
  <c r="EE79" i="41" s="1"/>
  <c r="EF80" i="41" s="1"/>
  <c r="EG81" i="41" s="1"/>
  <c r="EH82" i="41" s="1"/>
  <c r="DU65" i="41"/>
  <c r="DV66" i="41" s="1"/>
  <c r="DW67" i="41" s="1"/>
  <c r="DX68" i="41" s="1"/>
  <c r="DY69" i="41" s="1"/>
  <c r="DZ70" i="41" s="1"/>
  <c r="EA71" i="41" s="1"/>
  <c r="EB72" i="41" s="1"/>
  <c r="EC73" i="41" s="1"/>
  <c r="ED74" i="41" s="1"/>
  <c r="EE75" i="41" s="1"/>
  <c r="EF76" i="41" s="1"/>
  <c r="EG77" i="41" s="1"/>
  <c r="EH78" i="41" s="1"/>
  <c r="EI79" i="41" s="1"/>
  <c r="EJ80" i="41" s="1"/>
  <c r="EK81" i="41" s="1"/>
  <c r="EL82" i="41" s="1"/>
  <c r="DU70" i="41"/>
  <c r="DV71" i="41" s="1"/>
  <c r="DW72" i="41" s="1"/>
  <c r="DX73" i="41" s="1"/>
  <c r="DY74" i="41" s="1"/>
  <c r="DZ75" i="41" s="1"/>
  <c r="EA76" i="41" s="1"/>
  <c r="EB77" i="41" s="1"/>
  <c r="EC78" i="41" s="1"/>
  <c r="ED79" i="41" s="1"/>
  <c r="EE80" i="41" s="1"/>
  <c r="EF81" i="41" s="1"/>
  <c r="EG82" i="41" s="1"/>
  <c r="DU79" i="41"/>
  <c r="DV80" i="41" s="1"/>
  <c r="DW81" i="41" s="1"/>
  <c r="DX82" i="41" s="1"/>
  <c r="DU74" i="41"/>
  <c r="DV75" i="41" s="1"/>
  <c r="DW76" i="41" s="1"/>
  <c r="DX77" i="41" s="1"/>
  <c r="DY78" i="41" s="1"/>
  <c r="DZ79" i="41" s="1"/>
  <c r="EA80" i="41" s="1"/>
  <c r="EB81" i="41" s="1"/>
  <c r="EC82" i="41" s="1"/>
  <c r="DU68" i="41"/>
  <c r="DV69" i="41" s="1"/>
  <c r="DW70" i="41" s="1"/>
  <c r="DX71" i="41" s="1"/>
  <c r="DY72" i="41" s="1"/>
  <c r="DZ73" i="41" s="1"/>
  <c r="EA74" i="41" s="1"/>
  <c r="EB75" i="41" s="1"/>
  <c r="EC76" i="41" s="1"/>
  <c r="ED77" i="41" s="1"/>
  <c r="EE78" i="41" s="1"/>
  <c r="EF79" i="41" s="1"/>
  <c r="EG80" i="41" s="1"/>
  <c r="EH81" i="41" s="1"/>
  <c r="EI82" i="41" s="1"/>
  <c r="DU64" i="41"/>
  <c r="DV65" i="41" s="1"/>
  <c r="DW66" i="41" s="1"/>
  <c r="DX67" i="41" s="1"/>
  <c r="DY68" i="41" s="1"/>
  <c r="DZ69" i="41" s="1"/>
  <c r="EA70" i="41" s="1"/>
  <c r="EB71" i="41" s="1"/>
  <c r="EC72" i="41" s="1"/>
  <c r="ED73" i="41" s="1"/>
  <c r="EE74" i="41" s="1"/>
  <c r="EF75" i="41" s="1"/>
  <c r="EG76" i="41" s="1"/>
  <c r="EH77" i="41" s="1"/>
  <c r="EI78" i="41" s="1"/>
  <c r="EJ79" i="41" s="1"/>
  <c r="EK80" i="41" s="1"/>
  <c r="EL81" i="41" s="1"/>
  <c r="EM82" i="41" s="1"/>
  <c r="DU76" i="41"/>
  <c r="DV77" i="41" s="1"/>
  <c r="DW78" i="41" s="1"/>
  <c r="DX79" i="41" s="1"/>
  <c r="DY80" i="41" s="1"/>
  <c r="DZ81" i="41" s="1"/>
  <c r="EA82" i="41" s="1"/>
  <c r="DU67" i="41"/>
  <c r="DV68" i="41" s="1"/>
  <c r="DW69" i="41" s="1"/>
  <c r="DX70" i="41" s="1"/>
  <c r="DY71" i="41" s="1"/>
  <c r="DZ72" i="41" s="1"/>
  <c r="EA73" i="41" s="1"/>
  <c r="EB74" i="41" s="1"/>
  <c r="EC75" i="41" s="1"/>
  <c r="ED76" i="41" s="1"/>
  <c r="EE77" i="41" s="1"/>
  <c r="EF78" i="41" s="1"/>
  <c r="EG79" i="41" s="1"/>
  <c r="EH80" i="41" s="1"/>
  <c r="EI81" i="41" s="1"/>
  <c r="EJ82" i="41" s="1"/>
  <c r="BH113" i="47"/>
  <c r="BH115" i="47" s="1"/>
  <c r="BI115" i="47"/>
  <c r="BI119" i="47"/>
  <c r="BJ121" i="47"/>
  <c r="BJ107" i="47" s="1"/>
  <c r="BJ106" i="47" s="1"/>
  <c r="BQ132" i="47"/>
  <c r="BQ131" i="47" s="1"/>
  <c r="BQ126" i="47" s="1"/>
  <c r="BH126" i="47"/>
  <c r="BH124" i="47" s="1"/>
  <c r="BI124" i="47"/>
  <c r="DO83" i="41" l="1"/>
  <c r="DP82" i="41"/>
  <c r="DQ82" i="41" s="1"/>
  <c r="EP69" i="41"/>
  <c r="DN68" i="41" s="1"/>
  <c r="DP68" i="41" s="1"/>
  <c r="DQ68" i="41" s="1"/>
  <c r="EP70" i="41"/>
  <c r="DN69" i="41" s="1"/>
  <c r="DP69" i="41" s="1"/>
  <c r="DQ69" i="41" s="1"/>
  <c r="EP76" i="41"/>
  <c r="DN75" i="41" s="1"/>
  <c r="DP75" i="41" s="1"/>
  <c r="DQ75" i="41" s="1"/>
  <c r="EP77" i="41"/>
  <c r="DN76" i="41" s="1"/>
  <c r="DP76" i="41" s="1"/>
  <c r="DQ76" i="41" s="1"/>
  <c r="EP79" i="41"/>
  <c r="DN78" i="41" s="1"/>
  <c r="DP78" i="41" s="1"/>
  <c r="DQ78" i="41" s="1"/>
  <c r="EP80" i="41"/>
  <c r="DN79" i="41" s="1"/>
  <c r="DP79" i="41" s="1"/>
  <c r="DQ79" i="41" s="1"/>
  <c r="EP74" i="41"/>
  <c r="DN73" i="41" s="1"/>
  <c r="DP73" i="41" s="1"/>
  <c r="DQ73" i="41" s="1"/>
  <c r="EP65" i="41"/>
  <c r="DN64" i="41" s="1"/>
  <c r="DP64" i="41" s="1"/>
  <c r="DQ64" i="41" s="1"/>
  <c r="EP68" i="41"/>
  <c r="DN67" i="41" s="1"/>
  <c r="DP67" i="41" s="1"/>
  <c r="DQ67" i="41" s="1"/>
  <c r="EP67" i="41"/>
  <c r="DN66" i="41" s="1"/>
  <c r="DP66" i="41" s="1"/>
  <c r="DQ66" i="41" s="1"/>
  <c r="EP75" i="41"/>
  <c r="DN74" i="41" s="1"/>
  <c r="DP74" i="41" s="1"/>
  <c r="DQ74" i="41" s="1"/>
  <c r="EP72" i="41"/>
  <c r="DN71" i="41" s="1"/>
  <c r="DP71" i="41" s="1"/>
  <c r="DQ71" i="41" s="1"/>
  <c r="EP82" i="41"/>
  <c r="DN81" i="41" s="1"/>
  <c r="DP81" i="41" s="1"/>
  <c r="DQ81" i="41" s="1"/>
  <c r="EP73" i="41"/>
  <c r="DN72" i="41" s="1"/>
  <c r="DP72" i="41" s="1"/>
  <c r="DQ72" i="41" s="1"/>
  <c r="EP63" i="41"/>
  <c r="DN62" i="41" s="1"/>
  <c r="DP62" i="41" s="1"/>
  <c r="DQ62" i="41" s="1"/>
  <c r="EP71" i="41"/>
  <c r="DN70" i="41" s="1"/>
  <c r="DP70" i="41" s="1"/>
  <c r="DQ70" i="41" s="1"/>
  <c r="EP64" i="41"/>
  <c r="DN63" i="41" s="1"/>
  <c r="DP63" i="41" s="1"/>
  <c r="DQ63" i="41" s="1"/>
  <c r="EP81" i="41"/>
  <c r="DN80" i="41" s="1"/>
  <c r="DP80" i="41" s="1"/>
  <c r="DQ80" i="41" s="1"/>
  <c r="EP66" i="41"/>
  <c r="DN65" i="41" s="1"/>
  <c r="DP65" i="41" s="1"/>
  <c r="DQ65" i="41" s="1"/>
  <c r="EP78" i="41"/>
  <c r="DN77" i="41" s="1"/>
  <c r="DP77" i="41" s="1"/>
  <c r="DQ77" i="41" s="1"/>
  <c r="BL124" i="47"/>
  <c r="BQ113" i="47"/>
  <c r="BP113" i="47" s="1"/>
  <c r="BQ119" i="47"/>
  <c r="BP126" i="47"/>
  <c r="BL115" i="47"/>
  <c r="BH119" i="47"/>
  <c r="BH121" i="47" s="1"/>
  <c r="BH107" i="47" s="1"/>
  <c r="BI121" i="47"/>
  <c r="BI107" i="47" s="1"/>
  <c r="BI106" i="47" s="1"/>
  <c r="BQ153" i="47"/>
  <c r="DO84" i="41" l="1"/>
  <c r="DP83" i="41"/>
  <c r="DQ83" i="41" s="1"/>
  <c r="BO126" i="47"/>
  <c r="BP124" i="47"/>
  <c r="BP119" i="47"/>
  <c r="BQ121" i="47"/>
  <c r="BH106" i="47"/>
  <c r="BL107" i="47"/>
  <c r="BL106" i="47" s="1"/>
  <c r="BL150" i="47" s="1"/>
  <c r="BO113" i="47"/>
  <c r="BP115" i="47"/>
  <c r="DO85" i="41" l="1"/>
  <c r="DP84" i="41"/>
  <c r="DQ84" i="41" s="1"/>
  <c r="BN126" i="47"/>
  <c r="BO124" i="47"/>
  <c r="BN113" i="47"/>
  <c r="BO115" i="47"/>
  <c r="BO119" i="47"/>
  <c r="BP121" i="47"/>
  <c r="BP107" i="47" s="1"/>
  <c r="BP106" i="47" s="1"/>
  <c r="DO86" i="41" l="1"/>
  <c r="DP85" i="41"/>
  <c r="DQ85" i="41" s="1"/>
  <c r="BM126" i="47"/>
  <c r="BM124" i="47" s="1"/>
  <c r="BN124" i="47"/>
  <c r="BM113" i="47"/>
  <c r="BM115" i="47" s="1"/>
  <c r="BN115" i="47"/>
  <c r="BN119" i="47"/>
  <c r="BO121" i="47"/>
  <c r="BO107" i="47" s="1"/>
  <c r="BO106" i="47" s="1"/>
  <c r="DO87" i="41" l="1"/>
  <c r="DP86" i="41"/>
  <c r="DQ86" i="41" s="1"/>
  <c r="DQ92" i="41" s="1"/>
  <c r="DN52" i="41" s="1"/>
  <c r="BM119" i="47"/>
  <c r="BM121" i="47" s="1"/>
  <c r="BM107" i="47" s="1"/>
  <c r="BN121" i="47"/>
  <c r="BN107" i="47" s="1"/>
  <c r="BN106" i="47" s="1"/>
  <c r="BQ115" i="47"/>
  <c r="BQ124" i="47"/>
  <c r="DO88" i="41" l="1"/>
  <c r="DP87" i="41"/>
  <c r="DQ87" i="41" s="1"/>
  <c r="DU38" i="41"/>
  <c r="DF47" i="41"/>
  <c r="BM106" i="47"/>
  <c r="BQ107" i="47"/>
  <c r="BQ106" i="47" s="1"/>
  <c r="BQ150" i="47" s="1"/>
  <c r="DF67" i="41" s="1"/>
  <c r="DO89" i="41" l="1"/>
  <c r="DP88" i="41"/>
  <c r="DQ88" i="41" s="1"/>
  <c r="DF71" i="41"/>
  <c r="DF68" i="41"/>
  <c r="DF70" i="41" s="1"/>
  <c r="DO56" i="3"/>
  <c r="AW67" i="4"/>
  <c r="DO60" i="3"/>
  <c r="AW73" i="4"/>
  <c r="AW107" i="4"/>
  <c r="DO62" i="3"/>
  <c r="DO61" i="3"/>
  <c r="AW106" i="4"/>
  <c r="BB156" i="4"/>
  <c r="AX156" i="4"/>
  <c r="DO63" i="3"/>
  <c r="DO8" i="3"/>
  <c r="AV107" i="4"/>
  <c r="DO47" i="3"/>
  <c r="AV67" i="4"/>
  <c r="AV106" i="4"/>
  <c r="AV73" i="4"/>
  <c r="AX202" i="4"/>
  <c r="AY202" i="4" s="1"/>
  <c r="AZ202" i="4" s="1"/>
  <c r="BA202" i="4" s="1"/>
  <c r="BB202" i="4" s="1"/>
  <c r="BC202" i="4" s="1"/>
  <c r="BD202" i="4" s="1"/>
  <c r="BE202" i="4" s="1"/>
  <c r="BF202" i="4" s="1"/>
  <c r="BG202" i="4" s="1"/>
  <c r="BH202" i="4" s="1"/>
  <c r="BI202" i="4" s="1"/>
  <c r="BJ202" i="4" s="1"/>
  <c r="BK202" i="4" s="1"/>
  <c r="BL202" i="4" s="1"/>
  <c r="BM202" i="4" s="1"/>
  <c r="BN202" i="4" s="1"/>
  <c r="BO202" i="4" s="1"/>
  <c r="BP202" i="4" s="1"/>
  <c r="BQ202" i="4" s="1"/>
  <c r="DF73" i="41" l="1"/>
  <c r="DO90" i="41"/>
  <c r="DP89" i="41"/>
  <c r="DQ89" i="41" s="1"/>
  <c r="DO11" i="3"/>
  <c r="AX215" i="4"/>
  <c r="DO91" i="41" l="1"/>
  <c r="DP91" i="41" s="1"/>
  <c r="DQ91" i="41" s="1"/>
  <c r="DP90" i="41"/>
  <c r="DQ90" i="41" s="1"/>
  <c r="AW48" i="3"/>
  <c r="AX189" i="4"/>
  <c r="AY215" i="4"/>
  <c r="DO25" i="3"/>
  <c r="DO26" i="3"/>
  <c r="DO10" i="3"/>
  <c r="DO13" i="3" s="1"/>
  <c r="AX110" i="4"/>
  <c r="AY189" i="4" l="1"/>
  <c r="AZ215" i="4"/>
  <c r="AW54" i="3"/>
  <c r="AW55" i="3" s="1"/>
  <c r="AW43" i="3" s="1"/>
  <c r="DO17" i="3"/>
  <c r="DO19" i="3" s="1"/>
  <c r="DO23" i="3" l="1"/>
  <c r="DO24" i="3"/>
  <c r="AR47" i="3"/>
  <c r="AW45" i="3"/>
  <c r="AZ189" i="4"/>
  <c r="BA215" i="4"/>
  <c r="BA189" i="4" l="1"/>
  <c r="BB215" i="4"/>
  <c r="DT11" i="3" l="1"/>
  <c r="BC215" i="4"/>
  <c r="BB189" i="4"/>
  <c r="BC189" i="4" l="1"/>
  <c r="BD215" i="4"/>
  <c r="BD189" i="4" l="1"/>
  <c r="BE215" i="4"/>
  <c r="BE189" i="4" l="1"/>
  <c r="BF215" i="4"/>
  <c r="BF189" i="4" l="1"/>
  <c r="BG215" i="4"/>
  <c r="BG189" i="4" l="1"/>
  <c r="DY11" i="3"/>
  <c r="AW94" i="4" l="1"/>
  <c r="AU147" i="5"/>
  <c r="AT147" i="5"/>
  <c r="DO44" i="3"/>
  <c r="AW71" i="44"/>
  <c r="AW78" i="44" s="1"/>
  <c r="AS147" i="5"/>
  <c r="AT238" i="5"/>
  <c r="AT243" i="5" s="1"/>
  <c r="AT255" i="5" s="1"/>
  <c r="AS80" i="5" l="1"/>
  <c r="AV147" i="5"/>
  <c r="AU238" i="5" l="1"/>
  <c r="AU243" i="5" s="1"/>
  <c r="AU255" i="5" s="1"/>
  <c r="AT80" i="5" l="1"/>
  <c r="AV238" i="5"/>
  <c r="AV243" i="5" s="1"/>
  <c r="AV255" i="5" s="1"/>
  <c r="AV80" i="5" s="1"/>
  <c r="AU80" i="5" l="1"/>
  <c r="AW21" i="3" l="1"/>
  <c r="AV241" i="5" l="1"/>
  <c r="AW46" i="5" l="1"/>
  <c r="AW41" i="5"/>
  <c r="AW241" i="5"/>
  <c r="AV94" i="44" l="1"/>
  <c r="AW245" i="5"/>
  <c r="AX238" i="5"/>
  <c r="BB238" i="5"/>
  <c r="AW94" i="44"/>
  <c r="AW47" i="5"/>
  <c r="DO38" i="3" l="1"/>
  <c r="AW48" i="5"/>
  <c r="AW79" i="4"/>
  <c r="AV79" i="4"/>
  <c r="AW10" i="3" l="1"/>
  <c r="DO50" i="3"/>
  <c r="AS127" i="8" l="1"/>
  <c r="AT127" i="8"/>
  <c r="AW95" i="4"/>
  <c r="AW98" i="4" s="1"/>
  <c r="DO45" i="3"/>
  <c r="DO46" i="3" s="1"/>
  <c r="AU127" i="8"/>
  <c r="AW80" i="44"/>
  <c r="AW83" i="44" s="1"/>
  <c r="AW88" i="44" s="1"/>
  <c r="AX127" i="8" l="1"/>
  <c r="AX122" i="8" l="1"/>
  <c r="AX136" i="8" s="1"/>
  <c r="AY127" i="8"/>
  <c r="AY122" i="8" l="1"/>
  <c r="AY136" i="8" s="1"/>
  <c r="AZ127" i="8"/>
  <c r="AV63" i="9" l="1"/>
  <c r="AV61" i="9"/>
  <c r="AX157" i="8"/>
  <c r="AX26" i="4"/>
  <c r="AU61" i="9"/>
  <c r="AZ122" i="8"/>
  <c r="AZ136" i="8" s="1"/>
  <c r="BA127" i="8"/>
  <c r="AS61" i="9"/>
  <c r="AT61" i="9"/>
  <c r="AY26" i="4"/>
  <c r="AY157" i="8"/>
  <c r="AS224" i="8"/>
  <c r="AT219" i="8" s="1"/>
  <c r="AV62" i="9" l="1"/>
  <c r="AY28" i="4"/>
  <c r="AY135" i="4"/>
  <c r="AT63" i="9"/>
  <c r="AX118" i="8"/>
  <c r="AS63" i="9"/>
  <c r="AU63" i="9"/>
  <c r="AS236" i="8"/>
  <c r="AS63" i="8" s="1"/>
  <c r="AT224" i="8"/>
  <c r="AU219" i="8" s="1"/>
  <c r="BA122" i="8"/>
  <c r="BB127" i="8"/>
  <c r="BC127" i="8" s="1"/>
  <c r="AX28" i="4"/>
  <c r="AX135" i="4"/>
  <c r="AX170" i="4" l="1"/>
  <c r="BB122" i="8"/>
  <c r="BA136" i="8"/>
  <c r="AT236" i="8"/>
  <c r="AT63" i="8" s="1"/>
  <c r="AU224" i="8"/>
  <c r="AV219" i="8" s="1"/>
  <c r="AX124" i="8"/>
  <c r="BC122" i="8"/>
  <c r="BC136" i="8" s="1"/>
  <c r="BD127" i="8"/>
  <c r="AU62" i="9"/>
  <c r="AZ26" i="4"/>
  <c r="AZ157" i="8"/>
  <c r="AS62" i="9"/>
  <c r="AY118" i="8"/>
  <c r="AT62" i="9"/>
  <c r="AW22" i="3"/>
  <c r="BD122" i="8" l="1"/>
  <c r="BD136" i="8" s="1"/>
  <c r="BD19" i="8" s="1"/>
  <c r="BE127" i="8"/>
  <c r="AU236" i="8"/>
  <c r="AU63" i="8" s="1"/>
  <c r="BB136" i="8"/>
  <c r="BB137" i="8" s="1"/>
  <c r="AY170" i="4"/>
  <c r="AZ118" i="8"/>
  <c r="AZ135" i="4"/>
  <c r="AZ28" i="4"/>
  <c r="BC19" i="8"/>
  <c r="AX119" i="8"/>
  <c r="AW224" i="8"/>
  <c r="AW226" i="8" l="1"/>
  <c r="BB219" i="8"/>
  <c r="AX219" i="8"/>
  <c r="AX221" i="8"/>
  <c r="AX156" i="8"/>
  <c r="AX15" i="8"/>
  <c r="AX17" i="8" s="1"/>
  <c r="BA118" i="8"/>
  <c r="BA26" i="4"/>
  <c r="BA157" i="8"/>
  <c r="BB19" i="8"/>
  <c r="BB157" i="8" s="1"/>
  <c r="AV224" i="8"/>
  <c r="BE122" i="8"/>
  <c r="BE136" i="8" s="1"/>
  <c r="BF127" i="8"/>
  <c r="AX120" i="8"/>
  <c r="AY124" i="8" s="1"/>
  <c r="AY119" i="8" s="1"/>
  <c r="BC157" i="8"/>
  <c r="BC26" i="4"/>
  <c r="AV95" i="44"/>
  <c r="AZ170" i="4"/>
  <c r="AW95" i="44"/>
  <c r="BD26" i="4"/>
  <c r="BD157" i="8"/>
  <c r="AW33" i="44" l="1"/>
  <c r="BD135" i="4"/>
  <c r="BD28" i="4"/>
  <c r="BC28" i="4"/>
  <c r="BC135" i="4"/>
  <c r="AY120" i="8"/>
  <c r="AZ124" i="8" s="1"/>
  <c r="BE19" i="8"/>
  <c r="AV83" i="4"/>
  <c r="AV99" i="44"/>
  <c r="AV100" i="44" s="1"/>
  <c r="AX22" i="8"/>
  <c r="AX19" i="4"/>
  <c r="AW80" i="4"/>
  <c r="AW99" i="44"/>
  <c r="AW100" i="44" s="1"/>
  <c r="AV80" i="4"/>
  <c r="BF122" i="8"/>
  <c r="BG127" i="8"/>
  <c r="BH127" i="8" s="1"/>
  <c r="DO39" i="3"/>
  <c r="BA28" i="4"/>
  <c r="BA135" i="4"/>
  <c r="BB135" i="4" s="1"/>
  <c r="BB26" i="4"/>
  <c r="BB28" i="4" s="1"/>
  <c r="BB118" i="8"/>
  <c r="AX224" i="8"/>
  <c r="AY219" i="8" s="1"/>
  <c r="AW34" i="44" l="1"/>
  <c r="AW35" i="44"/>
  <c r="AV84" i="4"/>
  <c r="DO40" i="3"/>
  <c r="DO52" i="3" s="1"/>
  <c r="DO51" i="3"/>
  <c r="AW83" i="4"/>
  <c r="AX23" i="8"/>
  <c r="AX202" i="8"/>
  <c r="AZ156" i="8"/>
  <c r="AZ221" i="8"/>
  <c r="AZ15" i="8"/>
  <c r="AZ17" i="8" s="1"/>
  <c r="BG122" i="8"/>
  <c r="BF136" i="8"/>
  <c r="AY221" i="8"/>
  <c r="AY156" i="8"/>
  <c r="AY15" i="8"/>
  <c r="AY17" i="8" s="1"/>
  <c r="BA170" i="4"/>
  <c r="BC118" i="8"/>
  <c r="BH122" i="8"/>
  <c r="BH136" i="8" s="1"/>
  <c r="BI127" i="8"/>
  <c r="AW11" i="3"/>
  <c r="BE157" i="8"/>
  <c r="BE26" i="4"/>
  <c r="AZ119" i="8"/>
  <c r="AW84" i="4" l="1"/>
  <c r="AZ120" i="8"/>
  <c r="BA124" i="8" s="1"/>
  <c r="BI122" i="8"/>
  <c r="BI136" i="8" s="1"/>
  <c r="BI19" i="8" s="1"/>
  <c r="BJ127" i="8"/>
  <c r="BD118" i="8"/>
  <c r="AZ22" i="8"/>
  <c r="AZ19" i="4"/>
  <c r="AX203" i="8"/>
  <c r="BE28" i="4"/>
  <c r="BE135" i="4"/>
  <c r="BH19" i="8"/>
  <c r="BB170" i="4"/>
  <c r="AY19" i="4"/>
  <c r="AY22" i="8"/>
  <c r="BF19" i="8"/>
  <c r="BG136" i="8"/>
  <c r="BG137" i="8" s="1"/>
  <c r="AW14" i="3"/>
  <c r="AW15" i="3" s="1"/>
  <c r="DO53" i="3"/>
  <c r="DO57" i="3" s="1"/>
  <c r="DO65" i="3" s="1"/>
  <c r="AY224" i="8"/>
  <c r="AZ219" i="8" s="1"/>
  <c r="AZ224" i="8" s="1"/>
  <c r="BA219" i="8" s="1"/>
  <c r="AW49" i="3" l="1"/>
  <c r="AW32" i="3"/>
  <c r="AW42" i="3"/>
  <c r="BF157" i="8"/>
  <c r="BF26" i="4"/>
  <c r="BG19" i="8"/>
  <c r="BG157" i="8" s="1"/>
  <c r="BE118" i="8"/>
  <c r="BJ122" i="8"/>
  <c r="BJ136" i="8" s="1"/>
  <c r="BK127" i="8"/>
  <c r="BB124" i="8"/>
  <c r="AY23" i="8"/>
  <c r="AY202" i="8"/>
  <c r="AZ202" i="8"/>
  <c r="BC170" i="4"/>
  <c r="BH157" i="8"/>
  <c r="BH26" i="4"/>
  <c r="AZ23" i="8"/>
  <c r="BI157" i="8"/>
  <c r="BI26" i="4"/>
  <c r="BA119" i="8"/>
  <c r="BH28" i="4" l="1"/>
  <c r="BH135" i="4"/>
  <c r="BJ19" i="8"/>
  <c r="BF28" i="4"/>
  <c r="BF135" i="4"/>
  <c r="BG135" i="4" s="1"/>
  <c r="BG26" i="4"/>
  <c r="BG28" i="4" s="1"/>
  <c r="BB119" i="8"/>
  <c r="BA120" i="8"/>
  <c r="BI135" i="4"/>
  <c r="BI28" i="4"/>
  <c r="BD170" i="4"/>
  <c r="AZ203" i="8"/>
  <c r="AY203" i="8"/>
  <c r="BA156" i="8"/>
  <c r="BA221" i="8"/>
  <c r="BB13" i="8"/>
  <c r="BK122" i="8"/>
  <c r="BL127" i="8"/>
  <c r="BM127" i="8" s="1"/>
  <c r="BF118" i="8"/>
  <c r="BG118" i="8" l="1"/>
  <c r="BL122" i="8"/>
  <c r="BK136" i="8"/>
  <c r="BB221" i="8"/>
  <c r="BB224" i="8" s="1"/>
  <c r="BB30" i="44" s="1"/>
  <c r="BA224" i="8"/>
  <c r="BE170" i="4"/>
  <c r="BJ26" i="4"/>
  <c r="BJ157" i="8"/>
  <c r="BM122" i="8"/>
  <c r="BM136" i="8" s="1"/>
  <c r="BN127" i="8"/>
  <c r="BB156" i="8"/>
  <c r="BB120" i="8"/>
  <c r="BB126" i="8" s="1"/>
  <c r="BC126" i="8" s="1"/>
  <c r="BC124" i="8" l="1"/>
  <c r="BD126" i="8"/>
  <c r="BM19" i="8"/>
  <c r="BJ28" i="4"/>
  <c r="BJ135" i="4"/>
  <c r="BF170" i="4"/>
  <c r="BK19" i="8"/>
  <c r="BL136" i="8"/>
  <c r="BL137" i="8" s="1"/>
  <c r="BH118" i="8"/>
  <c r="BO127" i="8"/>
  <c r="BN122" i="8"/>
  <c r="BN136" i="8" s="1"/>
  <c r="BN19" i="8" s="1"/>
  <c r="BC219" i="8"/>
  <c r="BG219" i="8"/>
  <c r="BB226" i="8"/>
  <c r="BO122" i="8" l="1"/>
  <c r="BO136" i="8" s="1"/>
  <c r="BO19" i="8" s="1"/>
  <c r="BP127" i="8"/>
  <c r="BI118" i="8"/>
  <c r="BM157" i="8"/>
  <c r="BM26" i="4"/>
  <c r="BE126" i="8"/>
  <c r="BN26" i="4"/>
  <c r="BN157" i="8"/>
  <c r="BK157" i="8"/>
  <c r="BK26" i="4"/>
  <c r="BL19" i="8"/>
  <c r="BL157" i="8" s="1"/>
  <c r="BG170" i="4"/>
  <c r="BC13" i="8"/>
  <c r="BC119" i="8"/>
  <c r="BC120" i="8" l="1"/>
  <c r="BD124" i="8" s="1"/>
  <c r="BC156" i="8"/>
  <c r="BC221" i="8"/>
  <c r="BC15" i="8"/>
  <c r="BC17" i="8" s="1"/>
  <c r="BK135" i="4"/>
  <c r="BL135" i="4" s="1"/>
  <c r="BK28" i="4"/>
  <c r="BL26" i="4"/>
  <c r="BL28" i="4" s="1"/>
  <c r="BN135" i="4"/>
  <c r="BN28" i="4"/>
  <c r="BM135" i="4"/>
  <c r="BM28" i="4"/>
  <c r="BQ127" i="8"/>
  <c r="BP122" i="8"/>
  <c r="BH170" i="4"/>
  <c r="BF126" i="8"/>
  <c r="BJ118" i="8"/>
  <c r="BO157" i="8"/>
  <c r="BO26" i="4"/>
  <c r="BK118" i="8" l="1"/>
  <c r="BC19" i="4"/>
  <c r="BC22" i="8"/>
  <c r="BC224" i="8"/>
  <c r="BD219" i="8" s="1"/>
  <c r="BD13" i="8"/>
  <c r="BO28" i="4"/>
  <c r="BO135" i="4"/>
  <c r="BI170" i="4"/>
  <c r="BP136" i="8"/>
  <c r="BQ122" i="8"/>
  <c r="BD119" i="8"/>
  <c r="BJ170" i="4" l="1"/>
  <c r="BD156" i="8"/>
  <c r="BD221" i="8"/>
  <c r="BD224" i="8" s="1"/>
  <c r="BE219" i="8" s="1"/>
  <c r="BD15" i="8"/>
  <c r="BD17" i="8" s="1"/>
  <c r="BD120" i="8"/>
  <c r="BE124" i="8" s="1"/>
  <c r="BP19" i="8"/>
  <c r="BQ136" i="8"/>
  <c r="BQ137" i="8" s="1"/>
  <c r="BC23" i="8"/>
  <c r="BL118" i="8"/>
  <c r="BE13" i="8" l="1"/>
  <c r="BD22" i="8"/>
  <c r="BD19" i="4"/>
  <c r="BK170" i="4"/>
  <c r="BM118" i="8"/>
  <c r="BP26" i="4"/>
  <c r="BP157" i="8"/>
  <c r="BQ19" i="8"/>
  <c r="BQ157" i="8" s="1"/>
  <c r="BE119" i="8"/>
  <c r="BE120" i="8" l="1"/>
  <c r="BF124" i="8" s="1"/>
  <c r="BF119" i="8" s="1"/>
  <c r="BN118" i="8"/>
  <c r="BL170" i="4"/>
  <c r="BD23" i="8"/>
  <c r="BE156" i="8"/>
  <c r="BE221" i="8"/>
  <c r="BE15" i="8"/>
  <c r="BE17" i="8" s="1"/>
  <c r="BP135" i="4"/>
  <c r="BQ135" i="4" s="1"/>
  <c r="BP28" i="4"/>
  <c r="BQ26" i="4"/>
  <c r="BQ28" i="4" s="1"/>
  <c r="BE22" i="8" l="1"/>
  <c r="BE19" i="4"/>
  <c r="BE224" i="8"/>
  <c r="BF219" i="8" s="1"/>
  <c r="BO118" i="8"/>
  <c r="BG119" i="8"/>
  <c r="BF120" i="8"/>
  <c r="BM170" i="4"/>
  <c r="BF13" i="8"/>
  <c r="BG124" i="8"/>
  <c r="BF221" i="8" l="1"/>
  <c r="BG221" i="8" s="1"/>
  <c r="BG224" i="8" s="1"/>
  <c r="BG30" i="44" s="1"/>
  <c r="BF156" i="8"/>
  <c r="BG13" i="8"/>
  <c r="BG120" i="8"/>
  <c r="BG126" i="8" s="1"/>
  <c r="BH126" i="8" s="1"/>
  <c r="BE23" i="8"/>
  <c r="BN170" i="4"/>
  <c r="BP118" i="8"/>
  <c r="BF224" i="8" l="1"/>
  <c r="BQ118" i="8"/>
  <c r="BO170" i="4"/>
  <c r="BH124" i="8"/>
  <c r="BI126" i="8"/>
  <c r="BG156" i="8"/>
  <c r="BH219" i="8"/>
  <c r="BG226" i="8"/>
  <c r="BL219" i="8"/>
  <c r="BH13" i="8" l="1"/>
  <c r="BH119" i="8"/>
  <c r="BP170" i="4"/>
  <c r="BJ126" i="8"/>
  <c r="BH120" i="8" l="1"/>
  <c r="BI124" i="8" s="1"/>
  <c r="BH156" i="8"/>
  <c r="BH221" i="8"/>
  <c r="BH15" i="8"/>
  <c r="BH17" i="8" s="1"/>
  <c r="BK126" i="8"/>
  <c r="BQ170" i="4"/>
  <c r="BI13" i="8" l="1"/>
  <c r="BH19" i="4"/>
  <c r="BH22" i="8"/>
  <c r="BH224" i="8"/>
  <c r="BI219" i="8" s="1"/>
  <c r="BI119" i="8"/>
  <c r="BH23" i="8" l="1"/>
  <c r="BI221" i="8"/>
  <c r="BI156" i="8"/>
  <c r="BI15" i="8"/>
  <c r="BI17" i="8" s="1"/>
  <c r="BI120" i="8"/>
  <c r="BJ124" i="8" s="1"/>
  <c r="BI19" i="4" l="1"/>
  <c r="BI22" i="8"/>
  <c r="BJ13" i="8"/>
  <c r="BJ119" i="8"/>
  <c r="BI224" i="8"/>
  <c r="BJ219" i="8" s="1"/>
  <c r="BJ120" i="8" l="1"/>
  <c r="BK124" i="8" s="1"/>
  <c r="BJ156" i="8"/>
  <c r="BJ221" i="8"/>
  <c r="BJ15" i="8"/>
  <c r="BJ17" i="8" s="1"/>
  <c r="BI23" i="8"/>
  <c r="BJ19" i="4" l="1"/>
  <c r="BJ22" i="8"/>
  <c r="BK13" i="8"/>
  <c r="BL124" i="8"/>
  <c r="BJ224" i="8"/>
  <c r="BK219" i="8" s="1"/>
  <c r="BK119" i="8"/>
  <c r="BL119" i="8" l="1"/>
  <c r="BK120" i="8"/>
  <c r="BK156" i="8"/>
  <c r="BK221" i="8"/>
  <c r="BL221" i="8" s="1"/>
  <c r="BL224" i="8" s="1"/>
  <c r="BL30" i="44" s="1"/>
  <c r="BL13" i="8"/>
  <c r="BJ23" i="8"/>
  <c r="BQ219" i="8" l="1"/>
  <c r="BL226" i="8"/>
  <c r="BM219" i="8"/>
  <c r="BL120" i="8"/>
  <c r="BL126" i="8" s="1"/>
  <c r="BM126" i="8" s="1"/>
  <c r="BL156" i="8"/>
  <c r="BK224" i="8"/>
  <c r="BM124" i="8" l="1"/>
  <c r="BN126" i="8"/>
  <c r="BO126" i="8" l="1"/>
  <c r="BM13" i="8"/>
  <c r="BM119" i="8"/>
  <c r="BM221" i="8" l="1"/>
  <c r="BM156" i="8"/>
  <c r="BM15" i="8"/>
  <c r="BM17" i="8" s="1"/>
  <c r="BM120" i="8"/>
  <c r="BN124" i="8" s="1"/>
  <c r="BN119" i="8" s="1"/>
  <c r="BP126" i="8"/>
  <c r="BN120" i="8" l="1"/>
  <c r="BO124" i="8" s="1"/>
  <c r="BO13" i="8" s="1"/>
  <c r="BN13" i="8"/>
  <c r="BM19" i="4"/>
  <c r="BM22" i="8"/>
  <c r="BM224" i="8"/>
  <c r="BN219" i="8" s="1"/>
  <c r="BO221" i="8" l="1"/>
  <c r="BO156" i="8"/>
  <c r="BO15" i="8"/>
  <c r="BO17" i="8" s="1"/>
  <c r="BM23" i="8"/>
  <c r="BN156" i="8"/>
  <c r="BN221" i="8"/>
  <c r="BN224" i="8" s="1"/>
  <c r="BO219" i="8" s="1"/>
  <c r="BN15" i="8"/>
  <c r="BN17" i="8" s="1"/>
  <c r="BO119" i="8"/>
  <c r="BO224" i="8" l="1"/>
  <c r="BP219" i="8" s="1"/>
  <c r="BN19" i="4"/>
  <c r="BN22" i="8"/>
  <c r="BO120" i="8"/>
  <c r="BP124" i="8" s="1"/>
  <c r="BO19" i="4"/>
  <c r="BO22" i="8"/>
  <c r="BP13" i="8" l="1"/>
  <c r="BQ124" i="8"/>
  <c r="BO23" i="8"/>
  <c r="BP119" i="8"/>
  <c r="BN23" i="8"/>
  <c r="BP221" i="8" l="1"/>
  <c r="BP156" i="8"/>
  <c r="BQ13" i="8"/>
  <c r="BQ119" i="8"/>
  <c r="BQ120" i="8" s="1"/>
  <c r="BQ126" i="8" s="1"/>
  <c r="BP120" i="8"/>
  <c r="BQ156" i="8" l="1"/>
  <c r="BP224" i="8"/>
  <c r="BQ221" i="8"/>
  <c r="BQ224" i="8" s="1"/>
  <c r="BQ226" i="8" s="1"/>
  <c r="BQ30" i="44" s="1"/>
  <c r="BC106" i="5" l="1"/>
  <c r="BC112" i="5" s="1"/>
  <c r="AX108" i="5"/>
  <c r="BC108" i="5" l="1"/>
  <c r="BC119" i="5" s="1"/>
  <c r="BH106" i="5"/>
  <c r="BH112" i="5" s="1"/>
  <c r="AX119" i="5"/>
  <c r="AX114" i="5"/>
  <c r="BM106" i="5" l="1"/>
  <c r="BM112" i="5" s="1"/>
  <c r="BH108" i="5"/>
  <c r="BH119" i="5" s="1"/>
  <c r="BC114" i="5"/>
  <c r="AX99" i="5"/>
  <c r="AX9" i="5"/>
  <c r="BC9" i="5"/>
  <c r="BM108" i="5" l="1"/>
  <c r="BH114" i="5"/>
  <c r="BC99" i="5"/>
  <c r="BC122" i="5" s="1"/>
  <c r="AX122" i="5"/>
  <c r="AX123" i="5" s="1"/>
  <c r="AX8" i="5"/>
  <c r="BH9" i="5"/>
  <c r="BC9" i="4"/>
  <c r="AX9" i="4"/>
  <c r="BM119" i="5"/>
  <c r="BM114" i="5" l="1"/>
  <c r="BM99" i="5" s="1"/>
  <c r="BM8" i="5" s="1"/>
  <c r="BH99" i="5"/>
  <c r="BH122" i="5" s="1"/>
  <c r="BH123" i="5" s="1"/>
  <c r="BC8" i="5"/>
  <c r="BC10" i="5" s="1"/>
  <c r="BC123" i="5"/>
  <c r="BM9" i="5"/>
  <c r="BH9" i="4"/>
  <c r="AX10" i="5"/>
  <c r="BM122" i="5" l="1"/>
  <c r="BM123" i="5" s="1"/>
  <c r="BH8" i="5"/>
  <c r="BH10" i="5" s="1"/>
  <c r="BM9" i="4"/>
  <c r="BM10" i="5"/>
  <c r="BA106" i="5" l="1"/>
  <c r="BA108" i="5" s="1"/>
  <c r="BF106" i="5" l="1"/>
  <c r="BK106" i="5" s="1"/>
  <c r="BA119" i="5"/>
  <c r="BA114" i="5"/>
  <c r="BB106" i="5"/>
  <c r="BA112" i="5"/>
  <c r="BF108" i="5" l="1"/>
  <c r="BF119" i="5" s="1"/>
  <c r="BG106" i="5"/>
  <c r="BG112" i="5" s="1"/>
  <c r="BF112" i="5"/>
  <c r="BB108" i="5"/>
  <c r="BB112" i="5"/>
  <c r="BK112" i="5"/>
  <c r="BL106" i="5"/>
  <c r="BK108" i="5"/>
  <c r="BP106" i="5"/>
  <c r="BA99" i="5"/>
  <c r="BB119" i="5"/>
  <c r="BA9" i="5"/>
  <c r="BG108" i="5" l="1"/>
  <c r="BF114" i="5"/>
  <c r="BF99" i="5" s="1"/>
  <c r="BB120" i="5"/>
  <c r="BB9" i="5"/>
  <c r="BA9" i="4"/>
  <c r="BB9" i="4" s="1"/>
  <c r="BA122" i="5"/>
  <c r="BA123" i="5" s="1"/>
  <c r="BB99" i="5"/>
  <c r="BA8" i="5"/>
  <c r="BK119" i="5"/>
  <c r="BF9" i="5"/>
  <c r="BG119" i="5"/>
  <c r="BP112" i="5"/>
  <c r="BQ106" i="5"/>
  <c r="BP108" i="5"/>
  <c r="BL112" i="5"/>
  <c r="BL108" i="5"/>
  <c r="BG120" i="5" l="1"/>
  <c r="BF8" i="5"/>
  <c r="BF10" i="5" s="1"/>
  <c r="BF122" i="5"/>
  <c r="BF123" i="5" s="1"/>
  <c r="BG99" i="5"/>
  <c r="BG114" i="5" s="1"/>
  <c r="BK114" i="5"/>
  <c r="BP114" i="5" s="1"/>
  <c r="BP99" i="5" s="1"/>
  <c r="BQ108" i="5"/>
  <c r="BQ112" i="5"/>
  <c r="BA10" i="5"/>
  <c r="BB8" i="5"/>
  <c r="BP119" i="5"/>
  <c r="BF9" i="4"/>
  <c r="BG9" i="4" s="1"/>
  <c r="BG9" i="5"/>
  <c r="BK9" i="5"/>
  <c r="BL119" i="5"/>
  <c r="BL120" i="5" s="1"/>
  <c r="BB122" i="5"/>
  <c r="BB123" i="5" s="1"/>
  <c r="BB114" i="5"/>
  <c r="BG8" i="5" l="1"/>
  <c r="BG10" i="5" s="1"/>
  <c r="BG122" i="5"/>
  <c r="BG123" i="5" s="1"/>
  <c r="BK99" i="5"/>
  <c r="BL99" i="5" s="1"/>
  <c r="BQ99" i="5"/>
  <c r="BP122" i="5"/>
  <c r="BP8" i="5"/>
  <c r="BB10" i="5"/>
  <c r="BL9" i="5"/>
  <c r="BK9" i="4"/>
  <c r="BL9" i="4" s="1"/>
  <c r="BP9" i="5"/>
  <c r="BQ119" i="5"/>
  <c r="BQ120" i="5" s="1"/>
  <c r="BK8" i="5" l="1"/>
  <c r="BK10" i="5" s="1"/>
  <c r="BK122" i="5"/>
  <c r="BK123" i="5" s="1"/>
  <c r="BL114" i="5"/>
  <c r="BL122" i="5"/>
  <c r="BL123" i="5" s="1"/>
  <c r="BP9" i="4"/>
  <c r="BQ9" i="4" s="1"/>
  <c r="BQ9" i="5"/>
  <c r="BP10" i="5"/>
  <c r="BQ8" i="5"/>
  <c r="BQ114" i="5"/>
  <c r="BQ122" i="5"/>
  <c r="BL8" i="5" l="1"/>
  <c r="BL10" i="5" s="1"/>
  <c r="BP123" i="5"/>
  <c r="BQ123" i="5"/>
  <c r="BQ10" i="5"/>
  <c r="BA109" i="8"/>
  <c r="BB109" i="8" s="1"/>
  <c r="BB110" i="8" s="1"/>
  <c r="BA112" i="8"/>
  <c r="BA14" i="8" l="1"/>
  <c r="BB14" i="8" s="1"/>
  <c r="BB112" i="8"/>
  <c r="BB113" i="8" s="1"/>
  <c r="BF112" i="8"/>
  <c r="BF109" i="8"/>
  <c r="BF12" i="8" l="1"/>
  <c r="BG109" i="8"/>
  <c r="BG110" i="8" s="1"/>
  <c r="BK109" i="8"/>
  <c r="BB12" i="8"/>
  <c r="BB15" i="8" s="1"/>
  <c r="BA15" i="8"/>
  <c r="BG112" i="8"/>
  <c r="BG113" i="8" s="1"/>
  <c r="BF14" i="8"/>
  <c r="BG14" i="8" s="1"/>
  <c r="BK112" i="8"/>
  <c r="BL112" i="8" l="1"/>
  <c r="BL113" i="8" s="1"/>
  <c r="BP112" i="8"/>
  <c r="BK14" i="8"/>
  <c r="BL14" i="8" s="1"/>
  <c r="BP109" i="8"/>
  <c r="BK12" i="8"/>
  <c r="BL109" i="8"/>
  <c r="BL110" i="8" s="1"/>
  <c r="BF15" i="8"/>
  <c r="BG12" i="8"/>
  <c r="BG15" i="8" s="1"/>
  <c r="BQ109" i="8" l="1"/>
  <c r="BQ110" i="8" s="1"/>
  <c r="BP12" i="8"/>
  <c r="BQ112" i="8"/>
  <c r="BQ113" i="8" s="1"/>
  <c r="BP14" i="8"/>
  <c r="BQ14" i="8" s="1"/>
  <c r="BK15" i="8"/>
  <c r="BL12" i="8"/>
  <c r="BL15" i="8" s="1"/>
  <c r="BP15" i="8" l="1"/>
  <c r="BQ12" i="8"/>
  <c r="BQ15" i="8" s="1"/>
  <c r="BB362" i="47" l="1"/>
  <c r="AX362" i="47"/>
  <c r="AX371" i="47"/>
  <c r="AY371" i="47" s="1"/>
  <c r="AZ371" i="47" l="1"/>
  <c r="BA371" i="47" l="1"/>
  <c r="BB371" i="47" l="1"/>
  <c r="BC371" i="47" l="1"/>
  <c r="BD371" i="47" l="1"/>
  <c r="BE371" i="47" l="1"/>
  <c r="BF371" i="47" l="1"/>
  <c r="BG371" i="47" l="1"/>
  <c r="BH371" i="47" l="1"/>
  <c r="BI371" i="47" l="1"/>
  <c r="BJ371" i="47" l="1"/>
  <c r="BK371" i="47" l="1"/>
  <c r="BL371" i="47" l="1"/>
  <c r="BM371" i="47" l="1"/>
  <c r="BN371" i="47" l="1"/>
  <c r="BO371" i="47" l="1"/>
  <c r="BP371" i="47" l="1"/>
  <c r="BQ371" i="47" l="1"/>
  <c r="AV372" i="47"/>
  <c r="AV397" i="47" s="1"/>
  <c r="AW372" i="47"/>
  <c r="AW396" i="47" s="1"/>
  <c r="AS372" i="47"/>
  <c r="AX332" i="47"/>
  <c r="AS397" i="47" l="1"/>
  <c r="AS381" i="47"/>
  <c r="AS395" i="47"/>
  <c r="AS396" i="47"/>
  <c r="AW381" i="47"/>
  <c r="AW373" i="47" s="1"/>
  <c r="AV396" i="47"/>
  <c r="AW397" i="47"/>
  <c r="AW395" i="47"/>
  <c r="AW382" i="47" l="1"/>
  <c r="AW379" i="47"/>
  <c r="AW376" i="47"/>
  <c r="AV381" i="47"/>
  <c r="AW394" i="47"/>
  <c r="AS376" i="47"/>
  <c r="AS379" i="47"/>
  <c r="AS394" i="47"/>
  <c r="AS382" i="47"/>
  <c r="AS373" i="47"/>
  <c r="AV379" i="47" l="1"/>
  <c r="AV376" i="47"/>
  <c r="AV394" i="47"/>
  <c r="AV373" i="47"/>
  <c r="AV382" i="47"/>
  <c r="AV395" i="47"/>
  <c r="AW68" i="45"/>
  <c r="AU68" i="45"/>
  <c r="AV68" i="45" s="1"/>
  <c r="AX68" i="45" s="1"/>
  <c r="AX80" i="45" l="1"/>
  <c r="AX24" i="45" s="1"/>
  <c r="AY68" i="45"/>
  <c r="AZ68" i="45" s="1"/>
  <c r="BA68" i="45" l="1"/>
  <c r="BB68" i="45" l="1"/>
  <c r="BC68" i="45"/>
  <c r="BD68" i="45" l="1"/>
  <c r="BE68" i="45" l="1"/>
  <c r="BF68" i="45" l="1"/>
  <c r="BG68" i="45" l="1"/>
  <c r="BH68" i="45"/>
  <c r="BI68" i="45" l="1"/>
  <c r="BJ68" i="45" l="1"/>
  <c r="BK68" i="45" l="1"/>
  <c r="BL68" i="45" l="1"/>
  <c r="BM68" i="45"/>
  <c r="BN68" i="45" l="1"/>
  <c r="BO68" i="45" l="1"/>
  <c r="BP68" i="45" l="1"/>
  <c r="BQ68" i="45" l="1"/>
  <c r="AW96" i="8"/>
  <c r="AV104" i="8"/>
  <c r="AV105" i="8" s="1"/>
  <c r="AW104" i="8"/>
  <c r="AW105" i="8" s="1"/>
  <c r="AV96" i="8"/>
  <c r="BA96" i="8"/>
  <c r="BF96" i="8" l="1"/>
  <c r="BA82" i="8"/>
  <c r="BA104" i="8" l="1"/>
  <c r="BA105" i="8" s="1"/>
  <c r="BA8" i="8"/>
  <c r="BB82" i="8"/>
  <c r="BK96" i="8"/>
  <c r="BF82" i="8"/>
  <c r="BP96" i="8" l="1"/>
  <c r="BP82" i="8" s="1"/>
  <c r="BK82" i="8"/>
  <c r="BA10" i="8"/>
  <c r="BA17" i="8"/>
  <c r="BF8" i="8"/>
  <c r="BG82" i="8"/>
  <c r="BF104" i="8"/>
  <c r="BF105" i="8" s="1"/>
  <c r="BB104" i="8"/>
  <c r="BB105" i="8" s="1"/>
  <c r="BB96" i="8"/>
  <c r="BB8" i="8"/>
  <c r="BB10" i="8" l="1"/>
  <c r="BB17" i="8"/>
  <c r="BP104" i="8"/>
  <c r="BP8" i="8"/>
  <c r="BQ82" i="8"/>
  <c r="BF10" i="8"/>
  <c r="BF17" i="8"/>
  <c r="BA19" i="4"/>
  <c r="BA22" i="8"/>
  <c r="BK8" i="8"/>
  <c r="BL82" i="8"/>
  <c r="BK104" i="8"/>
  <c r="BK105" i="8" s="1"/>
  <c r="BG96" i="8"/>
  <c r="BG104" i="8"/>
  <c r="BG105" i="8" s="1"/>
  <c r="BG8" i="8"/>
  <c r="BK10" i="8" l="1"/>
  <c r="BK17" i="8"/>
  <c r="BF22" i="8"/>
  <c r="BF19" i="4"/>
  <c r="BQ8" i="8"/>
  <c r="BQ104" i="8"/>
  <c r="BQ96" i="8"/>
  <c r="BP105" i="8"/>
  <c r="BG10" i="8"/>
  <c r="BG17" i="8"/>
  <c r="BL96" i="8"/>
  <c r="BL104" i="8"/>
  <c r="BL105" i="8" s="1"/>
  <c r="BL8" i="8"/>
  <c r="BA23" i="8"/>
  <c r="BA202" i="8"/>
  <c r="BD202" i="8"/>
  <c r="BE202" i="8"/>
  <c r="BC202" i="8"/>
  <c r="BP10" i="8"/>
  <c r="BP17" i="8"/>
  <c r="BB19" i="4"/>
  <c r="BB22" i="8"/>
  <c r="BP19" i="4" l="1"/>
  <c r="BP22" i="8"/>
  <c r="BL10" i="8"/>
  <c r="BL17" i="8"/>
  <c r="BQ10" i="8"/>
  <c r="BQ17" i="8"/>
  <c r="BF23" i="8"/>
  <c r="BI202" i="8"/>
  <c r="BF202" i="8"/>
  <c r="BJ202" i="8"/>
  <c r="BH202" i="8"/>
  <c r="BK19" i="4"/>
  <c r="BK22" i="8"/>
  <c r="BB23" i="8"/>
  <c r="BB202" i="8"/>
  <c r="BA203" i="8"/>
  <c r="BE203" i="8"/>
  <c r="BC203" i="8"/>
  <c r="BD203" i="8"/>
  <c r="BG19" i="4"/>
  <c r="BG22" i="8"/>
  <c r="BQ105" i="8"/>
  <c r="BG23" i="8" l="1"/>
  <c r="BG202" i="8"/>
  <c r="BB22" i="3"/>
  <c r="BB203" i="8"/>
  <c r="BF203" i="8"/>
  <c r="BI203" i="8"/>
  <c r="BH203" i="8"/>
  <c r="BJ203" i="8"/>
  <c r="BP202" i="8"/>
  <c r="BP23" i="8"/>
  <c r="BP203" i="8" s="1"/>
  <c r="BK23" i="8"/>
  <c r="BN202" i="8"/>
  <c r="BM202" i="8"/>
  <c r="BK202" i="8"/>
  <c r="BO202" i="8"/>
  <c r="BQ19" i="4"/>
  <c r="BQ22" i="8"/>
  <c r="BL19" i="4"/>
  <c r="BL22" i="8"/>
  <c r="BL202" i="8" l="1"/>
  <c r="BL23" i="8"/>
  <c r="BQ202" i="8"/>
  <c r="BQ23" i="8"/>
  <c r="BK203" i="8"/>
  <c r="BO203" i="8"/>
  <c r="BN203" i="8"/>
  <c r="BM203" i="8"/>
  <c r="BG22" i="3"/>
  <c r="BG203" i="8"/>
  <c r="BQ203" i="8" l="1"/>
  <c r="BQ22" i="3"/>
  <c r="BL203" i="8"/>
  <c r="BL22" i="3"/>
  <c r="AW179" i="8"/>
  <c r="AW232" i="8"/>
  <c r="AW64" i="44" s="1"/>
  <c r="AW67" i="44" s="1"/>
  <c r="AX186" i="8"/>
  <c r="AY186" i="8" s="1"/>
  <c r="AV232" i="8"/>
  <c r="AV236" i="8" s="1"/>
  <c r="AV63" i="8" s="1"/>
  <c r="AV179" i="8"/>
  <c r="AX146" i="8"/>
  <c r="AZ186" i="8" l="1"/>
  <c r="AW237" i="8"/>
  <c r="AW236" i="8"/>
  <c r="AW63" i="8" s="1"/>
  <c r="BB177" i="8"/>
  <c r="AX177" i="8"/>
  <c r="AW64" i="8" l="1"/>
  <c r="AW48" i="44"/>
  <c r="AW51" i="44" s="1"/>
  <c r="BA186" i="8"/>
  <c r="BB186" i="8" l="1"/>
  <c r="BC186" i="8" l="1"/>
  <c r="BD186" i="8" l="1"/>
  <c r="BE186" i="8" l="1"/>
  <c r="BF186" i="8" l="1"/>
  <c r="BG186" i="8" l="1"/>
  <c r="BH186" i="8" l="1"/>
  <c r="BI186" i="8" l="1"/>
  <c r="BJ186" i="8" l="1"/>
  <c r="BK186" i="8" l="1"/>
  <c r="BL186" i="8" l="1"/>
  <c r="BM186" i="8" l="1"/>
  <c r="BN186" i="8" l="1"/>
  <c r="BO186" i="8" l="1"/>
  <c r="BP186" i="8" l="1"/>
  <c r="BQ186" i="8" l="1"/>
  <c r="AU98" i="4"/>
  <c r="AV144" i="5"/>
  <c r="AX136" i="5"/>
  <c r="AY136" i="5" l="1"/>
  <c r="AZ136" i="5" l="1"/>
  <c r="AW144" i="5"/>
  <c r="AX142" i="5"/>
  <c r="AX13" i="5" l="1"/>
  <c r="AX137" i="5"/>
  <c r="BA136" i="5"/>
  <c r="AX175" i="5" l="1"/>
  <c r="AX13" i="4"/>
  <c r="AX15" i="5"/>
  <c r="AX17" i="5" s="1"/>
  <c r="AX240" i="5"/>
  <c r="BB136" i="5"/>
  <c r="AX138" i="5"/>
  <c r="AY142" i="5" s="1"/>
  <c r="AY137" i="5" s="1"/>
  <c r="AY138" i="5" l="1"/>
  <c r="AZ142" i="5" s="1"/>
  <c r="AZ13" i="5" s="1"/>
  <c r="AX18" i="4"/>
  <c r="AX23" i="5"/>
  <c r="AY13" i="5"/>
  <c r="BC136" i="5"/>
  <c r="AX243" i="5"/>
  <c r="AY238" i="5" s="1"/>
  <c r="AX15" i="4"/>
  <c r="AX134" i="4"/>
  <c r="AX173" i="4" l="1"/>
  <c r="AY175" i="5"/>
  <c r="AY13" i="4"/>
  <c r="AY240" i="5"/>
  <c r="AY15" i="5"/>
  <c r="AY17" i="5" s="1"/>
  <c r="AX221" i="5"/>
  <c r="AX24" i="5"/>
  <c r="AZ175" i="5"/>
  <c r="AZ240" i="5"/>
  <c r="AZ13" i="4"/>
  <c r="AZ15" i="5"/>
  <c r="AZ17" i="5" s="1"/>
  <c r="BD136" i="5"/>
  <c r="AZ137" i="5"/>
  <c r="AZ23" i="5" l="1"/>
  <c r="AZ18" i="4"/>
  <c r="AX222" i="5"/>
  <c r="AX174" i="4"/>
  <c r="AZ138" i="5"/>
  <c r="BA142" i="5" s="1"/>
  <c r="BE136" i="5"/>
  <c r="AZ134" i="4"/>
  <c r="AZ15" i="4"/>
  <c r="AY18" i="4"/>
  <c r="AY23" i="5"/>
  <c r="AY15" i="4"/>
  <c r="AY134" i="4"/>
  <c r="AY243" i="5"/>
  <c r="AZ238" i="5" s="1"/>
  <c r="AZ243" i="5" s="1"/>
  <c r="BA238" i="5" s="1"/>
  <c r="AY24" i="5" l="1"/>
  <c r="AZ221" i="5"/>
  <c r="AY221" i="5"/>
  <c r="BF136" i="5"/>
  <c r="BA13" i="5"/>
  <c r="BB142" i="5"/>
  <c r="BA137" i="5"/>
  <c r="AY173" i="4"/>
  <c r="AZ24" i="5"/>
  <c r="BB137" i="5" l="1"/>
  <c r="BA138" i="5"/>
  <c r="BG136" i="5"/>
  <c r="AY174" i="4"/>
  <c r="AZ173" i="4"/>
  <c r="BA175" i="5"/>
  <c r="BB175" i="5" s="1"/>
  <c r="BA13" i="4"/>
  <c r="BA240" i="5"/>
  <c r="BB13" i="5"/>
  <c r="AZ222" i="5"/>
  <c r="AY222" i="5"/>
  <c r="BA134" i="4" l="1"/>
  <c r="BB134" i="4" s="1"/>
  <c r="BB13" i="4"/>
  <c r="AZ174" i="4"/>
  <c r="BB240" i="5"/>
  <c r="BB243" i="5" s="1"/>
  <c r="BB25" i="44" s="1"/>
  <c r="BA243" i="5"/>
  <c r="BH136" i="5"/>
  <c r="BB138" i="5"/>
  <c r="BA173" i="4" l="1"/>
  <c r="BB173" i="4" s="1"/>
  <c r="BC238" i="5"/>
  <c r="BB245" i="5"/>
  <c r="BG238" i="5"/>
  <c r="BC142" i="5"/>
  <c r="BB144" i="5"/>
  <c r="BI136" i="5"/>
  <c r="BA174" i="4" l="1"/>
  <c r="BJ136" i="5"/>
  <c r="BB174" i="4"/>
  <c r="BC13" i="5"/>
  <c r="BC137" i="5"/>
  <c r="BC175" i="5" l="1"/>
  <c r="BC13" i="4"/>
  <c r="BC240" i="5"/>
  <c r="BC15" i="5"/>
  <c r="BC17" i="5" s="1"/>
  <c r="BC138" i="5"/>
  <c r="BD142" i="5" s="1"/>
  <c r="BK136" i="5"/>
  <c r="BD13" i="5" l="1"/>
  <c r="BC243" i="5"/>
  <c r="BD238" i="5" s="1"/>
  <c r="BL136" i="5"/>
  <c r="BD137" i="5"/>
  <c r="BC18" i="4"/>
  <c r="BC23" i="5"/>
  <c r="BC15" i="4"/>
  <c r="BC134" i="4"/>
  <c r="BC24" i="5" l="1"/>
  <c r="BD138" i="5"/>
  <c r="BE142" i="5" s="1"/>
  <c r="BC173" i="4"/>
  <c r="BM136" i="5"/>
  <c r="BD240" i="5"/>
  <c r="BD13" i="4"/>
  <c r="BD175" i="5"/>
  <c r="BD15" i="5"/>
  <c r="BD17" i="5" s="1"/>
  <c r="BC174" i="4" l="1"/>
  <c r="BE13" i="5"/>
  <c r="BD23" i="5"/>
  <c r="BD18" i="4"/>
  <c r="BD134" i="4"/>
  <c r="BD173" i="4" s="1"/>
  <c r="BD15" i="4"/>
  <c r="BN136" i="5"/>
  <c r="BD243" i="5"/>
  <c r="BE238" i="5" s="1"/>
  <c r="BE137" i="5"/>
  <c r="BE138" i="5" l="1"/>
  <c r="BF142" i="5" s="1"/>
  <c r="BD174" i="4"/>
  <c r="BO136" i="5"/>
  <c r="BD24" i="5"/>
  <c r="BE240" i="5"/>
  <c r="BE243" i="5" s="1"/>
  <c r="BF238" i="5" s="1"/>
  <c r="BE13" i="4"/>
  <c r="BE175" i="5"/>
  <c r="BE15" i="5"/>
  <c r="BE17" i="5" s="1"/>
  <c r="BE18" i="4" l="1"/>
  <c r="BE23" i="5"/>
  <c r="BE15" i="4"/>
  <c r="BE134" i="4"/>
  <c r="BF13" i="5"/>
  <c r="BG142" i="5"/>
  <c r="BP136" i="5"/>
  <c r="BF137" i="5"/>
  <c r="BG137" i="5" l="1"/>
  <c r="BF138" i="5"/>
  <c r="BE173" i="4"/>
  <c r="BE24" i="5"/>
  <c r="BQ136" i="5"/>
  <c r="BF240" i="5"/>
  <c r="BF13" i="4"/>
  <c r="BF175" i="5"/>
  <c r="BG175" i="5" s="1"/>
  <c r="BG13" i="5"/>
  <c r="BF243" i="5" l="1"/>
  <c r="BG240" i="5"/>
  <c r="BG243" i="5" s="1"/>
  <c r="BG25" i="44" s="1"/>
  <c r="BF134" i="4"/>
  <c r="BG134" i="4" s="1"/>
  <c r="BG13" i="4"/>
  <c r="BE174" i="4"/>
  <c r="BG138" i="5"/>
  <c r="BF173" i="4" l="1"/>
  <c r="BG173" i="4" s="1"/>
  <c r="BH238" i="5"/>
  <c r="BL238" i="5"/>
  <c r="BG245" i="5"/>
  <c r="BH142" i="5"/>
  <c r="BG144" i="5"/>
  <c r="BF174" i="4" l="1"/>
  <c r="BH13" i="5"/>
  <c r="BH137" i="5"/>
  <c r="BG174" i="4"/>
  <c r="BH13" i="4" l="1"/>
  <c r="BH240" i="5"/>
  <c r="BH175" i="5"/>
  <c r="BH15" i="5"/>
  <c r="BH17" i="5" s="1"/>
  <c r="BH138" i="5"/>
  <c r="BI142" i="5" s="1"/>
  <c r="BI137" i="5" s="1"/>
  <c r="BI138" i="5" l="1"/>
  <c r="BJ142" i="5" s="1"/>
  <c r="BJ13" i="5" s="1"/>
  <c r="BH18" i="4"/>
  <c r="BH23" i="5"/>
  <c r="BH243" i="5"/>
  <c r="BI238" i="5" s="1"/>
  <c r="BI13" i="5"/>
  <c r="BH15" i="4"/>
  <c r="BH134" i="4"/>
  <c r="BH173" i="4" l="1"/>
  <c r="BI175" i="5"/>
  <c r="BI13" i="4"/>
  <c r="BI240" i="5"/>
  <c r="BI243" i="5" s="1"/>
  <c r="BJ238" i="5" s="1"/>
  <c r="BI15" i="5"/>
  <c r="BI17" i="5" s="1"/>
  <c r="BH24" i="5"/>
  <c r="BJ175" i="5"/>
  <c r="BJ13" i="4"/>
  <c r="BJ240" i="5"/>
  <c r="BJ15" i="5"/>
  <c r="BJ17" i="5" s="1"/>
  <c r="BJ137" i="5"/>
  <c r="BJ243" i="5" l="1"/>
  <c r="BK238" i="5" s="1"/>
  <c r="BJ18" i="4"/>
  <c r="BJ23" i="5"/>
  <c r="BJ134" i="4"/>
  <c r="BJ15" i="4"/>
  <c r="BI23" i="5"/>
  <c r="BI18" i="4"/>
  <c r="BI134" i="4"/>
  <c r="BI173" i="4" s="1"/>
  <c r="BI15" i="4"/>
  <c r="BH174" i="4"/>
  <c r="BJ138" i="5"/>
  <c r="BK142" i="5" s="1"/>
  <c r="BK13" i="5" l="1"/>
  <c r="BL142" i="5"/>
  <c r="BI174" i="4"/>
  <c r="BJ173" i="4"/>
  <c r="BI24" i="5"/>
  <c r="BJ24" i="5"/>
  <c r="BK137" i="5"/>
  <c r="BJ174" i="4" l="1"/>
  <c r="BL137" i="5"/>
  <c r="BK138" i="5"/>
  <c r="BK240" i="5"/>
  <c r="BK13" i="4"/>
  <c r="BK175" i="5"/>
  <c r="BL175" i="5" s="1"/>
  <c r="BL13" i="5"/>
  <c r="BK243" i="5" l="1"/>
  <c r="BL240" i="5"/>
  <c r="BL243" i="5" s="1"/>
  <c r="BL25" i="44" s="1"/>
  <c r="BL138" i="5"/>
  <c r="BK134" i="4"/>
  <c r="BL13" i="4"/>
  <c r="BL134" i="4" l="1"/>
  <c r="BK173" i="4"/>
  <c r="BM142" i="5"/>
  <c r="BL144" i="5"/>
  <c r="BM238" i="5"/>
  <c r="BQ238" i="5"/>
  <c r="BL245" i="5"/>
  <c r="BK174" i="4" l="1"/>
  <c r="BL173" i="4"/>
  <c r="BM13" i="5"/>
  <c r="BM137" i="5"/>
  <c r="BM138" i="5" l="1"/>
  <c r="BN142" i="5" s="1"/>
  <c r="BM175" i="5"/>
  <c r="BM13" i="4"/>
  <c r="BM240" i="5"/>
  <c r="BM15" i="5"/>
  <c r="BM17" i="5" s="1"/>
  <c r="BL174" i="4"/>
  <c r="BM18" i="4" l="1"/>
  <c r="BM23" i="5"/>
  <c r="BM134" i="4"/>
  <c r="BM15" i="4"/>
  <c r="BN13" i="5"/>
  <c r="BM243" i="5"/>
  <c r="BN238" i="5" s="1"/>
  <c r="BN137" i="5"/>
  <c r="BN138" i="5" l="1"/>
  <c r="BO142" i="5" s="1"/>
  <c r="BN175" i="5"/>
  <c r="BN13" i="4"/>
  <c r="BN240" i="5"/>
  <c r="BN15" i="5"/>
  <c r="BN17" i="5" s="1"/>
  <c r="BM173" i="4"/>
  <c r="BM24" i="5"/>
  <c r="BM174" i="4" l="1"/>
  <c r="BO13" i="5"/>
  <c r="BN23" i="5"/>
  <c r="BN18" i="4"/>
  <c r="BN134" i="4"/>
  <c r="BN15" i="4"/>
  <c r="BN243" i="5"/>
  <c r="BO238" i="5" s="1"/>
  <c r="BO137" i="5"/>
  <c r="BO138" i="5" l="1"/>
  <c r="BP142" i="5" s="1"/>
  <c r="BP137" i="5" s="1"/>
  <c r="BN24" i="5"/>
  <c r="BO240" i="5"/>
  <c r="BO175" i="5"/>
  <c r="BO13" i="4"/>
  <c r="BO15" i="5"/>
  <c r="BO17" i="5" s="1"/>
  <c r="BN173" i="4"/>
  <c r="BO15" i="4" l="1"/>
  <c r="BO134" i="4"/>
  <c r="BO173" i="4" s="1"/>
  <c r="BQ137" i="5"/>
  <c r="BQ138" i="5" s="1"/>
  <c r="BP138" i="5"/>
  <c r="BN174" i="4"/>
  <c r="BO23" i="5"/>
  <c r="BO18" i="4"/>
  <c r="BP13" i="5"/>
  <c r="BQ142" i="5"/>
  <c r="BO243" i="5"/>
  <c r="BP238" i="5" s="1"/>
  <c r="BQ144" i="5" l="1"/>
  <c r="BO174" i="4"/>
  <c r="BP240" i="5"/>
  <c r="BQ240" i="5" s="1"/>
  <c r="BQ243" i="5" s="1"/>
  <c r="BP175" i="5"/>
  <c r="BQ175" i="5" s="1"/>
  <c r="BP13" i="4"/>
  <c r="BQ13" i="5"/>
  <c r="BO24" i="5"/>
  <c r="BQ245" i="5" l="1"/>
  <c r="BQ25" i="44"/>
  <c r="BP134" i="4"/>
  <c r="BQ13" i="4"/>
  <c r="BP243" i="5"/>
  <c r="BP173" i="4" l="1"/>
  <c r="BQ134" i="4"/>
  <c r="BQ173" i="4" l="1"/>
  <c r="BQ174" i="4" s="1"/>
  <c r="BP174" i="4"/>
  <c r="AX205" i="5"/>
  <c r="AY205" i="5" s="1"/>
  <c r="AV198" i="5"/>
  <c r="AZ205" i="5" l="1"/>
  <c r="BA205" i="5" l="1"/>
  <c r="BB205" i="5" l="1"/>
  <c r="BC205" i="5" l="1"/>
  <c r="BD205" i="5" l="1"/>
  <c r="BE205" i="5" l="1"/>
  <c r="BF205" i="5" l="1"/>
  <c r="BG205" i="5" l="1"/>
  <c r="BH205" i="5" l="1"/>
  <c r="BI205" i="5" l="1"/>
  <c r="BJ205" i="5" l="1"/>
  <c r="BK205" i="5" l="1"/>
  <c r="BL205" i="5" l="1"/>
  <c r="BM205" i="5" l="1"/>
  <c r="BN205" i="5" l="1"/>
  <c r="BO205" i="5" l="1"/>
  <c r="BP205" i="5" l="1"/>
  <c r="BQ205" i="5" l="1"/>
  <c r="AR66" i="10"/>
  <c r="AR68" i="10" s="1"/>
  <c r="AT66" i="10" l="1"/>
  <c r="AT68" i="10" s="1"/>
  <c r="AU66" i="10"/>
  <c r="AU68" i="10" s="1"/>
  <c r="AS66" i="10"/>
  <c r="AS68" i="10" s="1"/>
  <c r="AQ66" i="10"/>
  <c r="AQ68" i="10" s="1"/>
  <c r="DE66" i="10"/>
  <c r="DE68" i="10" s="1"/>
  <c r="CZ66" i="10"/>
  <c r="CZ68" i="10" s="1"/>
  <c r="DB66" i="10"/>
  <c r="DB68" i="10" s="1"/>
  <c r="CX66" i="10"/>
  <c r="CX68" i="10" s="1"/>
  <c r="DA66" i="10"/>
  <c r="DA68" i="10" s="1"/>
  <c r="CW66" i="10"/>
  <c r="CW68" i="10" s="1"/>
  <c r="DC66" i="10"/>
  <c r="DC68" i="10" s="1"/>
  <c r="DD66" i="10"/>
  <c r="DD68" i="10" s="1"/>
  <c r="CV66" i="10"/>
  <c r="CV68" i="10" s="1"/>
  <c r="CY66" i="10"/>
  <c r="CY68" i="10" s="1"/>
  <c r="DJ66" i="10" l="1"/>
  <c r="DJ68" i="10" s="1"/>
  <c r="E213" i="10" l="1"/>
  <c r="AU213" i="10"/>
  <c r="DD213" i="10"/>
  <c r="AQ213" i="10" l="1"/>
  <c r="CZ213" i="10"/>
  <c r="CZ215" i="10" s="1"/>
  <c r="CV213" i="10"/>
  <c r="CV215" i="10" s="1"/>
  <c r="AT213" i="10"/>
  <c r="AV161" i="5" s="1"/>
  <c r="AV186" i="5" s="1"/>
  <c r="AV193" i="5" s="1"/>
  <c r="AV195" i="5" s="1"/>
  <c r="AV197" i="5" s="1"/>
  <c r="DA213" i="10"/>
  <c r="AS213" i="10"/>
  <c r="AS215" i="10" s="1"/>
  <c r="CY213" i="10"/>
  <c r="CY215" i="10" s="1"/>
  <c r="DD215" i="10"/>
  <c r="BA167" i="5"/>
  <c r="AU215" i="10"/>
  <c r="AR213" i="10"/>
  <c r="CW213" i="10"/>
  <c r="DB213" i="10"/>
  <c r="CX213" i="10"/>
  <c r="DC213" i="10"/>
  <c r="AU161" i="5" l="1"/>
  <c r="AU186" i="5" s="1"/>
  <c r="AU193" i="5" s="1"/>
  <c r="AU195" i="5" s="1"/>
  <c r="AU197" i="5" s="1"/>
  <c r="AT215" i="10"/>
  <c r="DA215" i="10"/>
  <c r="AX167" i="5"/>
  <c r="AX27" i="5" s="1"/>
  <c r="AQ215" i="10"/>
  <c r="AS161" i="5"/>
  <c r="AS186" i="5" s="1"/>
  <c r="AS193" i="5" s="1"/>
  <c r="AS195" i="5" s="1"/>
  <c r="AS197" i="5" s="1"/>
  <c r="AZ167" i="5"/>
  <c r="DC215" i="10"/>
  <c r="CX215" i="10"/>
  <c r="CW215" i="10"/>
  <c r="DE213" i="10"/>
  <c r="DB215" i="10"/>
  <c r="AY167" i="5"/>
  <c r="AT161" i="5"/>
  <c r="AR215" i="10"/>
  <c r="AX28" i="5" l="1"/>
  <c r="AX30" i="5" s="1"/>
  <c r="AX223" i="5"/>
  <c r="AX234" i="5" s="1"/>
  <c r="AT186" i="5"/>
  <c r="AT193" i="5" s="1"/>
  <c r="AT195" i="5" s="1"/>
  <c r="AT197" i="5" s="1"/>
  <c r="AW197" i="5" s="1"/>
  <c r="AW161" i="5"/>
  <c r="AW186" i="5" s="1"/>
  <c r="AW193" i="5" s="1"/>
  <c r="AW195" i="5" s="1"/>
  <c r="DJ213" i="10"/>
  <c r="DE215" i="10"/>
  <c r="BB167" i="5"/>
  <c r="AW198" i="5" l="1"/>
  <c r="AX196" i="5" s="1"/>
  <c r="AX32" i="5"/>
  <c r="AX77" i="5" s="1"/>
  <c r="DJ215" i="10"/>
  <c r="BG167" i="5"/>
  <c r="DO213" i="10"/>
  <c r="DT213" i="10"/>
  <c r="BB196" i="5" l="1"/>
  <c r="AX34" i="5"/>
  <c r="AX39" i="5" s="1"/>
  <c r="BL167" i="5"/>
  <c r="DO215" i="10"/>
  <c r="BQ167" i="5"/>
  <c r="DT215" i="10"/>
  <c r="AX41" i="5" l="1"/>
  <c r="AX220" i="5" s="1"/>
  <c r="AX233" i="5" s="1"/>
  <c r="AX46" i="5"/>
  <c r="AX174" i="5"/>
  <c r="AX212" i="5" s="1"/>
  <c r="AX47" i="5" l="1"/>
  <c r="AX48" i="5" s="1"/>
  <c r="AX224" i="5"/>
  <c r="AX94" i="44"/>
  <c r="AX180" i="5"/>
  <c r="AX195" i="5" s="1"/>
  <c r="AX197" i="5" s="1"/>
  <c r="AX198" i="5" s="1"/>
  <c r="AX79" i="4" l="1"/>
  <c r="AX204" i="5"/>
  <c r="AX206" i="5" s="1"/>
  <c r="AX230" i="5" s="1"/>
  <c r="AY196" i="5"/>
  <c r="AX202" i="5"/>
  <c r="AX215" i="5" l="1"/>
  <c r="AX213" i="5" s="1"/>
  <c r="AX251" i="5" s="1"/>
  <c r="AX255" i="5" s="1"/>
  <c r="AX80" i="5" s="1"/>
  <c r="AY165" i="5"/>
  <c r="AY27" i="5" s="1"/>
  <c r="AY223" i="5" s="1"/>
  <c r="AY234" i="5" s="1"/>
  <c r="AX229" i="5"/>
  <c r="AX207" i="5" l="1"/>
  <c r="AX216" i="5"/>
  <c r="AX227" i="5"/>
  <c r="AX210" i="5"/>
  <c r="AX228" i="5"/>
  <c r="AY28" i="5"/>
  <c r="AY30" i="5" s="1"/>
  <c r="AY32" i="5" s="1"/>
  <c r="AY77" i="5" s="1"/>
  <c r="AY34" i="5" l="1"/>
  <c r="AY39" i="5" s="1"/>
  <c r="AY46" i="5" s="1"/>
  <c r="AY174" i="5" l="1"/>
  <c r="AY212" i="5" s="1"/>
  <c r="AY41" i="5"/>
  <c r="AY94" i="44" s="1"/>
  <c r="AY180" i="5" l="1"/>
  <c r="AY195" i="5" s="1"/>
  <c r="AY197" i="5" s="1"/>
  <c r="AY204" i="5" s="1"/>
  <c r="AY220" i="5"/>
  <c r="AY233" i="5" s="1"/>
  <c r="AY47" i="5"/>
  <c r="AY48" i="5" s="1"/>
  <c r="AY224" i="5"/>
  <c r="AY79" i="4" l="1"/>
  <c r="AY198" i="5"/>
  <c r="AZ196" i="5" s="1"/>
  <c r="AY206" i="5"/>
  <c r="AY202" i="5" l="1"/>
  <c r="AZ165" i="5" s="1"/>
  <c r="AZ27" i="5" s="1"/>
  <c r="AY230" i="5"/>
  <c r="AY215" i="5"/>
  <c r="AY229" i="5" l="1"/>
  <c r="AY227" i="5"/>
  <c r="AY210" i="5"/>
  <c r="AY213" i="5"/>
  <c r="AY251" i="5" s="1"/>
  <c r="AY255" i="5" s="1"/>
  <c r="AY80" i="5" s="1"/>
  <c r="AY216" i="5"/>
  <c r="AY207" i="5"/>
  <c r="AY228" i="5"/>
  <c r="AZ28" i="5"/>
  <c r="AZ30" i="5" s="1"/>
  <c r="AZ223" i="5"/>
  <c r="AZ234" i="5" s="1"/>
  <c r="AZ32" i="5" l="1"/>
  <c r="AZ34" i="5" s="1"/>
  <c r="AZ39" i="5" s="1"/>
  <c r="AZ46" i="5" l="1"/>
  <c r="AZ41" i="5"/>
  <c r="AZ174" i="5"/>
  <c r="AZ77" i="5"/>
  <c r="AZ94" i="44" l="1"/>
  <c r="AZ47" i="5"/>
  <c r="AZ220" i="5"/>
  <c r="AZ224" i="5"/>
  <c r="AZ180" i="5"/>
  <c r="AZ195" i="5" s="1"/>
  <c r="AZ197" i="5" s="1"/>
  <c r="AZ212" i="5"/>
  <c r="AZ233" i="5" l="1"/>
  <c r="AZ48" i="5"/>
  <c r="AZ79" i="4"/>
  <c r="AZ198" i="5"/>
  <c r="AZ204" i="5"/>
  <c r="AZ206" i="5" l="1"/>
  <c r="AZ202" i="5"/>
  <c r="BA165" i="5" s="1"/>
  <c r="BA196" i="5"/>
  <c r="BA27" i="5" l="1"/>
  <c r="BB165" i="5"/>
  <c r="AZ229" i="5"/>
  <c r="AZ230" i="5"/>
  <c r="AZ215" i="5"/>
  <c r="AZ210" i="5" l="1"/>
  <c r="AZ227" i="5"/>
  <c r="AZ213" i="5"/>
  <c r="AZ251" i="5" s="1"/>
  <c r="AZ255" i="5" s="1"/>
  <c r="AZ80" i="5" s="1"/>
  <c r="AZ228" i="5"/>
  <c r="AZ216" i="5"/>
  <c r="AZ207" i="5"/>
  <c r="BA28" i="5"/>
  <c r="BA223" i="5"/>
  <c r="BB27" i="5"/>
  <c r="BB28" i="5" l="1"/>
  <c r="BB223" i="5"/>
  <c r="E289" i="10"/>
  <c r="AS289" i="10"/>
  <c r="CX289" i="10"/>
  <c r="DA289" i="10" l="1"/>
  <c r="AX148" i="8" s="1"/>
  <c r="AX26" i="8" s="1"/>
  <c r="AT289" i="10"/>
  <c r="CX291" i="10"/>
  <c r="AS291" i="10"/>
  <c r="AU142" i="8"/>
  <c r="AU167" i="8" s="1"/>
  <c r="AU174" i="8" s="1"/>
  <c r="AU176" i="8" s="1"/>
  <c r="AU178" i="8" s="1"/>
  <c r="AQ289" i="10"/>
  <c r="AR289" i="10"/>
  <c r="CZ289" i="10"/>
  <c r="DD289" i="10"/>
  <c r="CW289" i="10"/>
  <c r="DC289" i="10"/>
  <c r="DB289" i="10"/>
  <c r="AU289" i="10"/>
  <c r="AW142" i="8" s="1"/>
  <c r="CY289" i="10"/>
  <c r="CV289" i="10"/>
  <c r="AV142" i="8" l="1"/>
  <c r="AV167" i="8" s="1"/>
  <c r="AV174" i="8" s="1"/>
  <c r="AV176" i="8" s="1"/>
  <c r="AV178" i="8" s="1"/>
  <c r="DA291" i="10"/>
  <c r="AT291" i="10"/>
  <c r="CV291" i="10"/>
  <c r="AU291" i="10"/>
  <c r="AW167" i="8"/>
  <c r="AW174" i="8" s="1"/>
  <c r="AW176" i="8" s="1"/>
  <c r="AW178" i="8" s="1"/>
  <c r="AZ148" i="8"/>
  <c r="DC291" i="10"/>
  <c r="DE289" i="10"/>
  <c r="CZ291" i="10"/>
  <c r="AQ291" i="10"/>
  <c r="AS142" i="8"/>
  <c r="AS167" i="8" s="1"/>
  <c r="AS174" i="8" s="1"/>
  <c r="AS176" i="8" s="1"/>
  <c r="AS178" i="8" s="1"/>
  <c r="AX204" i="8"/>
  <c r="AX215" i="8" s="1"/>
  <c r="AX27" i="8"/>
  <c r="AX29" i="8" s="1"/>
  <c r="CY291" i="10"/>
  <c r="DB291" i="10"/>
  <c r="AY148" i="8"/>
  <c r="CW291" i="10"/>
  <c r="BA148" i="8"/>
  <c r="DD291" i="10"/>
  <c r="AR291" i="10"/>
  <c r="AT142" i="8"/>
  <c r="AT167" i="8" s="1"/>
  <c r="AT174" i="8" s="1"/>
  <c r="AT176" i="8" s="1"/>
  <c r="AT178" i="8" s="1"/>
  <c r="AX31" i="8" l="1"/>
  <c r="AX33" i="8" s="1"/>
  <c r="AX36" i="8" s="1"/>
  <c r="DE291" i="10"/>
  <c r="BB148" i="8"/>
  <c r="DJ289" i="10"/>
  <c r="AX43" i="8" l="1"/>
  <c r="AX38" i="8"/>
  <c r="AX155" i="8"/>
  <c r="BG148" i="8"/>
  <c r="DJ291" i="10"/>
  <c r="DT289" i="10"/>
  <c r="DO289" i="10"/>
  <c r="AX60" i="8"/>
  <c r="AX201" i="8" l="1"/>
  <c r="AX44" i="8"/>
  <c r="AX205" i="8"/>
  <c r="AX95" i="44"/>
  <c r="DO291" i="10"/>
  <c r="BL148" i="8"/>
  <c r="BQ148" i="8"/>
  <c r="DT291" i="10"/>
  <c r="AX161" i="8"/>
  <c r="AX176" i="8" s="1"/>
  <c r="AX178" i="8" s="1"/>
  <c r="AX193" i="8"/>
  <c r="AX214" i="8" l="1"/>
  <c r="AX179" i="8"/>
  <c r="AX185" i="8"/>
  <c r="AX45" i="8"/>
  <c r="AX80" i="4"/>
  <c r="AX187" i="8" l="1"/>
  <c r="AX183" i="8"/>
  <c r="AY146" i="8" s="1"/>
  <c r="AY177" i="8"/>
  <c r="AY26" i="8" l="1"/>
  <c r="AX210" i="8"/>
  <c r="AX196" i="8"/>
  <c r="AX197" i="8" s="1"/>
  <c r="AX211" i="8"/>
  <c r="AY27" i="8" l="1"/>
  <c r="AY29" i="8" s="1"/>
  <c r="AY204" i="8"/>
  <c r="AY215" i="8" s="1"/>
  <c r="AX208" i="8"/>
  <c r="AX191" i="8"/>
  <c r="AX194" i="8"/>
  <c r="AX232" i="8" s="1"/>
  <c r="AX236" i="8" s="1"/>
  <c r="AX63" i="8" s="1"/>
  <c r="AX188" i="8"/>
  <c r="AX209" i="8"/>
  <c r="AY31" i="8" l="1"/>
  <c r="AY33" i="8" s="1"/>
  <c r="AY36" i="8" s="1"/>
  <c r="AY43" i="8" l="1"/>
  <c r="AY38" i="8"/>
  <c r="AY155" i="8"/>
  <c r="AY60" i="8"/>
  <c r="AY44" i="8" l="1"/>
  <c r="AY95" i="44"/>
  <c r="AY201" i="8"/>
  <c r="AY205" i="8"/>
  <c r="AY161" i="8"/>
  <c r="AY176" i="8" s="1"/>
  <c r="AY178" i="8" s="1"/>
  <c r="AY193" i="8"/>
  <c r="AY179" i="8" l="1"/>
  <c r="AY185" i="8"/>
  <c r="AY214" i="8"/>
  <c r="AY80" i="4"/>
  <c r="AY45" i="8"/>
  <c r="AY187" i="8" l="1"/>
  <c r="AY183" i="8"/>
  <c r="AZ146" i="8" s="1"/>
  <c r="AZ177" i="8"/>
  <c r="AZ26" i="8" l="1"/>
  <c r="AY210" i="8"/>
  <c r="AY211" i="8"/>
  <c r="AY196" i="8"/>
  <c r="AY208" i="8" l="1"/>
  <c r="AY191" i="8"/>
  <c r="AY194" i="8"/>
  <c r="AY232" i="8" s="1"/>
  <c r="AY236" i="8" s="1"/>
  <c r="AY63" i="8" s="1"/>
  <c r="AY197" i="8"/>
  <c r="AY188" i="8"/>
  <c r="AY209" i="8"/>
  <c r="AZ27" i="8"/>
  <c r="AZ29" i="8" s="1"/>
  <c r="AZ204" i="8"/>
  <c r="AZ215" i="8" s="1"/>
  <c r="AZ31" i="8" l="1"/>
  <c r="AZ33" i="8" s="1"/>
  <c r="AZ36" i="8" s="1"/>
  <c r="AZ43" i="8" l="1"/>
  <c r="AZ38" i="8"/>
  <c r="AZ155" i="8"/>
  <c r="AZ60" i="8"/>
  <c r="AZ44" i="8" l="1"/>
  <c r="AZ95" i="44"/>
  <c r="AZ205" i="8"/>
  <c r="AZ201" i="8"/>
  <c r="AZ161" i="8"/>
  <c r="AZ176" i="8" s="1"/>
  <c r="AZ178" i="8" s="1"/>
  <c r="AZ193" i="8"/>
  <c r="AZ214" i="8" l="1"/>
  <c r="AZ179" i="8"/>
  <c r="AZ185" i="8"/>
  <c r="AZ80" i="4"/>
  <c r="AZ45" i="8"/>
  <c r="AZ187" i="8" l="1"/>
  <c r="BA177" i="8"/>
  <c r="AZ183" i="8"/>
  <c r="BA146" i="8" s="1"/>
  <c r="BA26" i="8" l="1"/>
  <c r="BB146" i="8"/>
  <c r="AZ210" i="8"/>
  <c r="AZ196" i="8"/>
  <c r="AZ209" i="8" s="1"/>
  <c r="AZ211" i="8"/>
  <c r="AZ188" i="8" l="1"/>
  <c r="AZ208" i="8"/>
  <c r="AZ191" i="8"/>
  <c r="AZ194" i="8"/>
  <c r="AZ232" i="8" s="1"/>
  <c r="AZ236" i="8" s="1"/>
  <c r="AZ63" i="8" s="1"/>
  <c r="AZ197" i="8"/>
  <c r="BA27" i="8"/>
  <c r="BA29" i="8" s="1"/>
  <c r="BA31" i="8" s="1"/>
  <c r="BA204" i="8"/>
  <c r="BA215" i="8" s="1"/>
  <c r="BB26" i="8"/>
  <c r="BB204" i="8" l="1"/>
  <c r="BB215" i="8" s="1"/>
  <c r="BB27" i="8"/>
  <c r="BB29" i="8" s="1"/>
  <c r="BA60" i="8"/>
  <c r="BB31" i="8"/>
  <c r="BB60" i="8" l="1"/>
  <c r="BB33" i="8"/>
  <c r="BB36" i="8" l="1"/>
  <c r="BA33" i="8"/>
  <c r="BA36" i="8" s="1"/>
  <c r="BA43" i="8" l="1"/>
  <c r="BA38" i="8"/>
  <c r="BA155" i="8"/>
  <c r="BB43" i="8"/>
  <c r="BB155" i="8"/>
  <c r="BB161" i="8" s="1"/>
  <c r="BB38" i="8"/>
  <c r="BB201" i="8" l="1"/>
  <c r="BB95" i="44"/>
  <c r="BB44" i="8"/>
  <c r="BB205" i="8"/>
  <c r="BA95" i="44"/>
  <c r="BA44" i="8"/>
  <c r="BA205" i="8"/>
  <c r="BA201" i="8"/>
  <c r="BB176" i="8"/>
  <c r="DT39" i="3"/>
  <c r="DT51" i="3" s="1"/>
  <c r="BA161" i="8"/>
  <c r="BA176" i="8" s="1"/>
  <c r="BA178" i="8" s="1"/>
  <c r="BA193" i="8"/>
  <c r="BB193" i="8" l="1"/>
  <c r="BA214" i="8"/>
  <c r="BA45" i="8"/>
  <c r="BA80" i="4"/>
  <c r="BA179" i="8"/>
  <c r="BA183" i="8" s="1"/>
  <c r="BB178" i="8"/>
  <c r="BB179" i="8" s="1"/>
  <c r="BA185" i="8"/>
  <c r="BB45" i="8"/>
  <c r="BB80" i="4"/>
  <c r="BB9" i="41" s="1"/>
  <c r="BB214" i="8"/>
  <c r="BB11" i="3" l="1"/>
  <c r="BB183" i="8"/>
  <c r="BG177" i="8"/>
  <c r="BC177" i="8"/>
  <c r="BA187" i="8"/>
  <c r="BB185" i="8"/>
  <c r="BA210" i="8" l="1"/>
  <c r="BA211" i="8"/>
  <c r="BC146" i="8"/>
  <c r="BB187" i="8"/>
  <c r="BC26" i="8" l="1"/>
  <c r="BB210" i="8"/>
  <c r="BB211" i="8"/>
  <c r="BB196" i="8"/>
  <c r="BC204" i="8" l="1"/>
  <c r="BC215" i="8" s="1"/>
  <c r="BC27" i="8"/>
  <c r="BC29" i="8" s="1"/>
  <c r="BB191" i="8"/>
  <c r="BA196" i="8"/>
  <c r="BB208" i="8"/>
  <c r="BB194" i="8"/>
  <c r="BB232" i="8" s="1"/>
  <c r="BB209" i="8"/>
  <c r="BB188" i="8"/>
  <c r="BB197" i="8"/>
  <c r="BB64" i="44" l="1"/>
  <c r="BB237" i="8"/>
  <c r="BB236" i="8"/>
  <c r="BB63" i="8" s="1"/>
  <c r="BA208" i="8"/>
  <c r="BA191" i="8"/>
  <c r="BA194" i="8"/>
  <c r="BA232" i="8" s="1"/>
  <c r="BA236" i="8" s="1"/>
  <c r="BA63" i="8" s="1"/>
  <c r="BA197" i="8"/>
  <c r="BA209" i="8"/>
  <c r="BA188" i="8"/>
  <c r="BC31" i="8"/>
  <c r="BB64" i="8" l="1"/>
  <c r="BB48" i="44"/>
  <c r="BC60" i="8"/>
  <c r="BC33" i="8"/>
  <c r="BC36" i="8" s="1"/>
  <c r="BC43" i="8" l="1"/>
  <c r="BC155" i="8"/>
  <c r="BC38" i="8"/>
  <c r="BC161" i="8" l="1"/>
  <c r="BC176" i="8" s="1"/>
  <c r="BC178" i="8" s="1"/>
  <c r="BC193" i="8"/>
  <c r="BC95" i="44"/>
  <c r="BC201" i="8"/>
  <c r="BC44" i="8"/>
  <c r="BC205" i="8"/>
  <c r="BC80" i="4" l="1"/>
  <c r="BC45" i="8"/>
  <c r="BC214" i="8"/>
  <c r="BC179" i="8"/>
  <c r="BC185" i="8"/>
  <c r="BC187" i="8" l="1"/>
  <c r="BC183" i="8"/>
  <c r="BD146" i="8" s="1"/>
  <c r="BD177" i="8"/>
  <c r="BD26" i="8" l="1"/>
  <c r="BC210" i="8"/>
  <c r="BC196" i="8"/>
  <c r="BC188" i="8" s="1"/>
  <c r="BC211" i="8"/>
  <c r="BC209" i="8" l="1"/>
  <c r="BC191" i="8"/>
  <c r="BC208" i="8"/>
  <c r="BC194" i="8"/>
  <c r="BC232" i="8" s="1"/>
  <c r="BC236" i="8" s="1"/>
  <c r="BC63" i="8" s="1"/>
  <c r="BC197" i="8"/>
  <c r="BD27" i="8"/>
  <c r="BD29" i="8" s="1"/>
  <c r="BD204" i="8"/>
  <c r="BD215" i="8" s="1"/>
  <c r="BD31" i="8" l="1"/>
  <c r="BD33" i="8" s="1"/>
  <c r="BD36" i="8" s="1"/>
  <c r="BD43" i="8" l="1"/>
  <c r="BD38" i="8"/>
  <c r="BD155" i="8"/>
  <c r="BD60" i="8"/>
  <c r="BD44" i="8" l="1"/>
  <c r="BD95" i="44"/>
  <c r="BD201" i="8"/>
  <c r="BD205" i="8"/>
  <c r="BD161" i="8"/>
  <c r="BD176" i="8" s="1"/>
  <c r="BD178" i="8" s="1"/>
  <c r="BD193" i="8"/>
  <c r="BD214" i="8" l="1"/>
  <c r="BD179" i="8"/>
  <c r="BD185" i="8"/>
  <c r="BD80" i="4"/>
  <c r="BD45" i="8"/>
  <c r="BE177" i="8" l="1"/>
  <c r="BD183" i="8"/>
  <c r="BE146" i="8" s="1"/>
  <c r="BD187" i="8"/>
  <c r="BE26" i="8" l="1"/>
  <c r="BD210" i="8"/>
  <c r="BD211" i="8"/>
  <c r="BD196" i="8"/>
  <c r="BD209" i="8" s="1"/>
  <c r="BD208" i="8" l="1"/>
  <c r="BD191" i="8"/>
  <c r="BD194" i="8"/>
  <c r="BD232" i="8" s="1"/>
  <c r="BD236" i="8" s="1"/>
  <c r="BD63" i="8" s="1"/>
  <c r="BD197" i="8"/>
  <c r="BD188" i="8"/>
  <c r="BE27" i="8"/>
  <c r="BE29" i="8" s="1"/>
  <c r="BE204" i="8"/>
  <c r="BE215" i="8" s="1"/>
  <c r="BE31" i="8" l="1"/>
  <c r="BE33" i="8" s="1"/>
  <c r="BE36" i="8" s="1"/>
  <c r="BE38" i="8" l="1"/>
  <c r="BE43" i="8"/>
  <c r="BE155" i="8"/>
  <c r="BE60" i="8"/>
  <c r="BE161" i="8" l="1"/>
  <c r="BE176" i="8" s="1"/>
  <c r="BE178" i="8" s="1"/>
  <c r="BE193" i="8"/>
  <c r="BE95" i="44"/>
  <c r="BE44" i="8"/>
  <c r="BE201" i="8"/>
  <c r="BE205" i="8"/>
  <c r="BE80" i="4" l="1"/>
  <c r="BE45" i="8"/>
  <c r="BE214" i="8"/>
  <c r="BE179" i="8"/>
  <c r="BE185" i="8"/>
  <c r="BE187" i="8" l="1"/>
  <c r="BE183" i="8"/>
  <c r="BF146" i="8" s="1"/>
  <c r="BF177" i="8"/>
  <c r="BF26" i="8" l="1"/>
  <c r="BG146" i="8"/>
  <c r="BE210" i="8"/>
  <c r="BE196" i="8"/>
  <c r="BE188" i="8" s="1"/>
  <c r="BE211" i="8"/>
  <c r="BE191" i="8" l="1"/>
  <c r="BE208" i="8"/>
  <c r="BE194" i="8"/>
  <c r="BE232" i="8" s="1"/>
  <c r="BE236" i="8" s="1"/>
  <c r="BE63" i="8" s="1"/>
  <c r="BE209" i="8"/>
  <c r="BE197" i="8"/>
  <c r="BF27" i="8"/>
  <c r="BF29" i="8" s="1"/>
  <c r="BF31" i="8" s="1"/>
  <c r="BF204" i="8"/>
  <c r="BF215" i="8" s="1"/>
  <c r="BG26" i="8"/>
  <c r="BF60" i="8" l="1"/>
  <c r="BG31" i="8"/>
  <c r="BG204" i="8"/>
  <c r="BG215" i="8" s="1"/>
  <c r="BG27" i="8"/>
  <c r="BG29" i="8" s="1"/>
  <c r="BG33" i="8" l="1"/>
  <c r="BF33" i="8" s="1"/>
  <c r="BF36" i="8" s="1"/>
  <c r="BG60" i="8"/>
  <c r="BG36" i="8" l="1"/>
  <c r="BG38" i="8" s="1"/>
  <c r="BF38" i="8"/>
  <c r="BF43" i="8"/>
  <c r="BF155" i="8"/>
  <c r="BG155" i="8" l="1"/>
  <c r="BG161" i="8" s="1"/>
  <c r="DY39" i="3" s="1"/>
  <c r="DY51" i="3" s="1"/>
  <c r="BG43" i="8"/>
  <c r="BF161" i="8"/>
  <c r="BF176" i="8" s="1"/>
  <c r="BF178" i="8" s="1"/>
  <c r="BF193" i="8"/>
  <c r="BF44" i="8"/>
  <c r="BF95" i="44"/>
  <c r="BF205" i="8"/>
  <c r="BF201" i="8"/>
  <c r="BG44" i="8"/>
  <c r="BG201" i="8"/>
  <c r="BG95" i="44"/>
  <c r="BG205" i="8"/>
  <c r="BG176" i="8" l="1"/>
  <c r="BG193" i="8"/>
  <c r="BG214" i="8"/>
  <c r="BF214" i="8"/>
  <c r="BG80" i="4"/>
  <c r="BG9" i="41" s="1"/>
  <c r="BG45" i="8"/>
  <c r="BF80" i="4"/>
  <c r="BF45" i="8"/>
  <c r="BF179" i="8"/>
  <c r="BF183" i="8" s="1"/>
  <c r="BG178" i="8"/>
  <c r="BF185" i="8"/>
  <c r="BG179" i="8" l="1"/>
  <c r="BG183" i="8" s="1"/>
  <c r="BF187" i="8"/>
  <c r="BG185" i="8"/>
  <c r="BG11" i="3"/>
  <c r="BH177" i="8" l="1"/>
  <c r="BL177" i="8"/>
  <c r="BG187" i="8"/>
  <c r="BH146" i="8"/>
  <c r="BF210" i="8"/>
  <c r="BF211" i="8"/>
  <c r="BH26" i="8" l="1"/>
  <c r="BG210" i="8"/>
  <c r="BG211" i="8"/>
  <c r="BG196" i="8"/>
  <c r="BG197" i="8" s="1"/>
  <c r="BG208" i="8" l="1"/>
  <c r="BG191" i="8"/>
  <c r="BF196" i="8"/>
  <c r="BG194" i="8"/>
  <c r="BG232" i="8" s="1"/>
  <c r="BH204" i="8"/>
  <c r="BH215" i="8" s="1"/>
  <c r="BH27" i="8"/>
  <c r="BH29" i="8" s="1"/>
  <c r="BG188" i="8"/>
  <c r="BG209" i="8"/>
  <c r="BG64" i="44" l="1"/>
  <c r="BG236" i="8"/>
  <c r="BG63" i="8" s="1"/>
  <c r="BG237" i="8"/>
  <c r="BH31" i="8"/>
  <c r="BF191" i="8"/>
  <c r="BF208" i="8"/>
  <c r="BF194" i="8"/>
  <c r="BF232" i="8" s="1"/>
  <c r="BF236" i="8" s="1"/>
  <c r="BF63" i="8" s="1"/>
  <c r="BF197" i="8"/>
  <c r="BF209" i="8"/>
  <c r="BF188" i="8"/>
  <c r="BH60" i="8" l="1"/>
  <c r="BH33" i="8"/>
  <c r="BH36" i="8" s="1"/>
  <c r="BG48" i="44"/>
  <c r="BG64" i="8"/>
  <c r="BH43" i="8" l="1"/>
  <c r="BH38" i="8"/>
  <c r="BH155" i="8"/>
  <c r="BH95" i="44" l="1"/>
  <c r="BH44" i="8"/>
  <c r="BH201" i="8"/>
  <c r="BH205" i="8"/>
  <c r="BH161" i="8"/>
  <c r="BH176" i="8" s="1"/>
  <c r="BH178" i="8" s="1"/>
  <c r="BH193" i="8"/>
  <c r="BH214" i="8" l="1"/>
  <c r="BH179" i="8"/>
  <c r="BH185" i="8"/>
  <c r="BH80" i="4"/>
  <c r="BH45" i="8"/>
  <c r="BH187" i="8" l="1"/>
  <c r="BI177" i="8"/>
  <c r="BH183" i="8"/>
  <c r="BI146" i="8" s="1"/>
  <c r="BI26" i="8" l="1"/>
  <c r="BH210" i="8"/>
  <c r="BH196" i="8"/>
  <c r="BH188" i="8" s="1"/>
  <c r="BH211" i="8"/>
  <c r="BH208" i="8" l="1"/>
  <c r="BH191" i="8"/>
  <c r="BH194" i="8"/>
  <c r="BH232" i="8" s="1"/>
  <c r="BH236" i="8" s="1"/>
  <c r="BH63" i="8" s="1"/>
  <c r="BH197" i="8"/>
  <c r="BH209" i="8"/>
  <c r="BI27" i="8"/>
  <c r="BI29" i="8" s="1"/>
  <c r="BI204" i="8"/>
  <c r="BI215" i="8" s="1"/>
  <c r="BI31" i="8" l="1"/>
  <c r="BI33" i="8" s="1"/>
  <c r="BI36" i="8" s="1"/>
  <c r="BI43" i="8" l="1"/>
  <c r="BI38" i="8"/>
  <c r="BI155" i="8"/>
  <c r="BI60" i="8"/>
  <c r="BI44" i="8" l="1"/>
  <c r="BI95" i="44"/>
  <c r="BI201" i="8"/>
  <c r="BI205" i="8"/>
  <c r="BI161" i="8"/>
  <c r="BI176" i="8" s="1"/>
  <c r="BI178" i="8" s="1"/>
  <c r="BI193" i="8"/>
  <c r="BI179" i="8" l="1"/>
  <c r="BI185" i="8"/>
  <c r="BI214" i="8"/>
  <c r="BI80" i="4"/>
  <c r="BI45" i="8"/>
  <c r="BI187" i="8" l="1"/>
  <c r="BJ177" i="8"/>
  <c r="BI183" i="8"/>
  <c r="BJ146" i="8" s="1"/>
  <c r="BJ26" i="8" l="1"/>
  <c r="BI210" i="8"/>
  <c r="BI211" i="8"/>
  <c r="BI196" i="8"/>
  <c r="BI197" i="8" s="1"/>
  <c r="BI191" i="8" l="1"/>
  <c r="BI208" i="8"/>
  <c r="BI194" i="8"/>
  <c r="BI232" i="8" s="1"/>
  <c r="BI236" i="8" s="1"/>
  <c r="BI63" i="8" s="1"/>
  <c r="BI188" i="8"/>
  <c r="BI209" i="8"/>
  <c r="BJ27" i="8"/>
  <c r="BJ29" i="8" s="1"/>
  <c r="BJ204" i="8"/>
  <c r="BJ215" i="8" s="1"/>
  <c r="BJ31" i="8" l="1"/>
  <c r="BJ33" i="8" s="1"/>
  <c r="BJ36" i="8" s="1"/>
  <c r="BJ38" i="8" l="1"/>
  <c r="BJ43" i="8"/>
  <c r="BJ155" i="8"/>
  <c r="BJ60" i="8"/>
  <c r="BJ161" i="8" l="1"/>
  <c r="BJ176" i="8" s="1"/>
  <c r="BJ178" i="8" s="1"/>
  <c r="BJ193" i="8"/>
  <c r="BJ95" i="44"/>
  <c r="BJ44" i="8"/>
  <c r="BJ201" i="8"/>
  <c r="BJ205" i="8"/>
  <c r="BJ45" i="8" l="1"/>
  <c r="BJ80" i="4"/>
  <c r="BJ214" i="8"/>
  <c r="BJ179" i="8"/>
  <c r="BJ185" i="8"/>
  <c r="BJ187" i="8" l="1"/>
  <c r="BK177" i="8"/>
  <c r="BJ183" i="8"/>
  <c r="BK146" i="8" s="1"/>
  <c r="BK26" i="8" l="1"/>
  <c r="BL146" i="8"/>
  <c r="BJ210" i="8"/>
  <c r="BJ211" i="8"/>
  <c r="BJ196" i="8"/>
  <c r="BJ188" i="8" s="1"/>
  <c r="BJ208" i="8" l="1"/>
  <c r="BJ191" i="8"/>
  <c r="BJ194" i="8"/>
  <c r="BJ232" i="8" s="1"/>
  <c r="BJ236" i="8" s="1"/>
  <c r="BJ63" i="8" s="1"/>
  <c r="BJ209" i="8"/>
  <c r="BJ197" i="8"/>
  <c r="BK27" i="8"/>
  <c r="BK29" i="8" s="1"/>
  <c r="BK31" i="8" s="1"/>
  <c r="BK204" i="8"/>
  <c r="BK215" i="8" s="1"/>
  <c r="BL26" i="8"/>
  <c r="BL204" i="8" l="1"/>
  <c r="BL215" i="8" s="1"/>
  <c r="BL27" i="8"/>
  <c r="BL29" i="8" s="1"/>
  <c r="BK60" i="8"/>
  <c r="BL31" i="8"/>
  <c r="BL60" i="8" l="1"/>
  <c r="BL33" i="8"/>
  <c r="BK33" i="8" l="1"/>
  <c r="BK36" i="8" s="1"/>
  <c r="BL36" i="8"/>
  <c r="BL43" i="8" l="1"/>
  <c r="BL38" i="8"/>
  <c r="BL155" i="8"/>
  <c r="BL161" i="8" s="1"/>
  <c r="BK43" i="8"/>
  <c r="BK38" i="8"/>
  <c r="BK155" i="8"/>
  <c r="BK161" i="8" l="1"/>
  <c r="BK176" i="8" s="1"/>
  <c r="BK178" i="8" s="1"/>
  <c r="BK193" i="8"/>
  <c r="BL201" i="8"/>
  <c r="BL44" i="8"/>
  <c r="BL95" i="44"/>
  <c r="BL205" i="8"/>
  <c r="BK95" i="44"/>
  <c r="BK44" i="8"/>
  <c r="BK201" i="8"/>
  <c r="BK205" i="8"/>
  <c r="BL176" i="8"/>
  <c r="ED39" i="3"/>
  <c r="ED51" i="3" s="1"/>
  <c r="BK80" i="4" l="1"/>
  <c r="BK45" i="8"/>
  <c r="BL80" i="4"/>
  <c r="BL9" i="41" s="1"/>
  <c r="BL45" i="8"/>
  <c r="BL193" i="8"/>
  <c r="BK214" i="8"/>
  <c r="BL214" i="8"/>
  <c r="BK179" i="8"/>
  <c r="BK183" i="8" s="1"/>
  <c r="BL178" i="8"/>
  <c r="BL179" i="8" s="1"/>
  <c r="BK185" i="8"/>
  <c r="BK187" i="8" l="1"/>
  <c r="BL185" i="8"/>
  <c r="BL11" i="3"/>
  <c r="BQ177" i="8"/>
  <c r="BM177" i="8"/>
  <c r="BL183" i="8"/>
  <c r="BL187" i="8" l="1"/>
  <c r="BM146" i="8"/>
  <c r="BK210" i="8"/>
  <c r="BK211" i="8"/>
  <c r="BM26" i="8" l="1"/>
  <c r="BL210" i="8"/>
  <c r="BL211" i="8"/>
  <c r="BL196" i="8"/>
  <c r="BL197" i="8" s="1"/>
  <c r="BL208" i="8" l="1"/>
  <c r="BK196" i="8"/>
  <c r="BL191" i="8"/>
  <c r="BL194" i="8"/>
  <c r="BL232" i="8" s="1"/>
  <c r="BM204" i="8"/>
  <c r="BM215" i="8" s="1"/>
  <c r="BM27" i="8"/>
  <c r="BM29" i="8" s="1"/>
  <c r="BL188" i="8"/>
  <c r="BL209" i="8"/>
  <c r="BL64" i="44" l="1"/>
  <c r="BL237" i="8"/>
  <c r="BL236" i="8"/>
  <c r="BL63" i="8" s="1"/>
  <c r="BK208" i="8"/>
  <c r="BK191" i="8"/>
  <c r="BK194" i="8"/>
  <c r="BK232" i="8" s="1"/>
  <c r="BK236" i="8" s="1"/>
  <c r="BK63" i="8" s="1"/>
  <c r="BK209" i="8"/>
  <c r="BK188" i="8"/>
  <c r="BK197" i="8"/>
  <c r="BM31" i="8"/>
  <c r="BL48" i="44" l="1"/>
  <c r="BL64" i="8"/>
  <c r="BM60" i="8"/>
  <c r="BM33" i="8"/>
  <c r="BM36" i="8" s="1"/>
  <c r="BM43" i="8" l="1"/>
  <c r="BM38" i="8"/>
  <c r="BM155" i="8"/>
  <c r="BM95" i="44" l="1"/>
  <c r="BM44" i="8"/>
  <c r="BM201" i="8"/>
  <c r="BM205" i="8"/>
  <c r="BM161" i="8"/>
  <c r="BM176" i="8" s="1"/>
  <c r="BM178" i="8" s="1"/>
  <c r="BM193" i="8"/>
  <c r="BM214" i="8" l="1"/>
  <c r="BM179" i="8"/>
  <c r="BM185" i="8"/>
  <c r="BM45" i="8"/>
  <c r="BM80" i="4"/>
  <c r="BM187" i="8" l="1"/>
  <c r="BN177" i="8"/>
  <c r="BM183" i="8"/>
  <c r="BN146" i="8" s="1"/>
  <c r="BN26" i="8" l="1"/>
  <c r="BM210" i="8"/>
  <c r="BM211" i="8"/>
  <c r="BM196" i="8"/>
  <c r="BM191" i="8" l="1"/>
  <c r="BM208" i="8"/>
  <c r="BM194" i="8"/>
  <c r="BM232" i="8" s="1"/>
  <c r="BM236" i="8" s="1"/>
  <c r="BM63" i="8" s="1"/>
  <c r="BM188" i="8"/>
  <c r="BM197" i="8"/>
  <c r="BM209" i="8"/>
  <c r="BN27" i="8"/>
  <c r="BN29" i="8" s="1"/>
  <c r="BN204" i="8"/>
  <c r="BN215" i="8" s="1"/>
  <c r="BN31" i="8" l="1"/>
  <c r="BN33" i="8" s="1"/>
  <c r="BN36" i="8" s="1"/>
  <c r="BN38" i="8" l="1"/>
  <c r="BN43" i="8"/>
  <c r="BN155" i="8"/>
  <c r="BN60" i="8"/>
  <c r="BN161" i="8" l="1"/>
  <c r="BN176" i="8" s="1"/>
  <c r="BN178" i="8" s="1"/>
  <c r="BN193" i="8"/>
  <c r="BN95" i="44"/>
  <c r="BN44" i="8"/>
  <c r="BN205" i="8"/>
  <c r="BN201" i="8"/>
  <c r="BN80" i="4" l="1"/>
  <c r="BN45" i="8"/>
  <c r="BN214" i="8"/>
  <c r="BN179" i="8"/>
  <c r="BN185" i="8"/>
  <c r="BN187" i="8" l="1"/>
  <c r="BN183" i="8"/>
  <c r="BO146" i="8" s="1"/>
  <c r="BO177" i="8"/>
  <c r="BO26" i="8" l="1"/>
  <c r="BN210" i="8"/>
  <c r="BN196" i="8"/>
  <c r="BN197" i="8" s="1"/>
  <c r="BN211" i="8"/>
  <c r="BN208" i="8" l="1"/>
  <c r="BN191" i="8"/>
  <c r="BN194" i="8"/>
  <c r="BN232" i="8" s="1"/>
  <c r="BN236" i="8" s="1"/>
  <c r="BN63" i="8" s="1"/>
  <c r="BN188" i="8"/>
  <c r="BN209" i="8"/>
  <c r="BO27" i="8"/>
  <c r="BO29" i="8" s="1"/>
  <c r="BO204" i="8"/>
  <c r="BO215" i="8" s="1"/>
  <c r="BO31" i="8" l="1"/>
  <c r="BO33" i="8" s="1"/>
  <c r="BO36" i="8" s="1"/>
  <c r="BO43" i="8" l="1"/>
  <c r="BO38" i="8"/>
  <c r="BO155" i="8"/>
  <c r="BO60" i="8"/>
  <c r="BO44" i="8" l="1"/>
  <c r="BO95" i="44"/>
  <c r="BO201" i="8"/>
  <c r="BO205" i="8"/>
  <c r="BO161" i="8"/>
  <c r="BO176" i="8" s="1"/>
  <c r="BO178" i="8" s="1"/>
  <c r="BO193" i="8"/>
  <c r="BO179" i="8" l="1"/>
  <c r="BO185" i="8"/>
  <c r="BO214" i="8"/>
  <c r="BO80" i="4"/>
  <c r="BO45" i="8"/>
  <c r="BO187" i="8" l="1"/>
  <c r="BO183" i="8"/>
  <c r="BP146" i="8" s="1"/>
  <c r="BP177" i="8"/>
  <c r="BP26" i="8" l="1"/>
  <c r="BQ146" i="8"/>
  <c r="BO210" i="8"/>
  <c r="BO196" i="8"/>
  <c r="BO188" i="8" s="1"/>
  <c r="BO211" i="8"/>
  <c r="BO197" i="8" l="1"/>
  <c r="BO191" i="8"/>
  <c r="BO208" i="8"/>
  <c r="BO194" i="8"/>
  <c r="BO232" i="8" s="1"/>
  <c r="BO236" i="8" s="1"/>
  <c r="BO63" i="8" s="1"/>
  <c r="BO209" i="8"/>
  <c r="BP27" i="8"/>
  <c r="BP29" i="8" s="1"/>
  <c r="BP31" i="8" s="1"/>
  <c r="BQ26" i="8"/>
  <c r="BP204" i="8"/>
  <c r="BP215" i="8" s="1"/>
  <c r="BQ204" i="8" l="1"/>
  <c r="BQ215" i="8" s="1"/>
  <c r="BQ27" i="8"/>
  <c r="BQ29" i="8" s="1"/>
  <c r="BP60" i="8"/>
  <c r="BQ31" i="8"/>
  <c r="BQ60" i="8" l="1"/>
  <c r="BQ33" i="8"/>
  <c r="BQ36" i="8" l="1"/>
  <c r="BP33" i="8"/>
  <c r="BP36" i="8" s="1"/>
  <c r="BP43" i="8" l="1"/>
  <c r="BP38" i="8"/>
  <c r="BP155" i="8"/>
  <c r="BQ38" i="8"/>
  <c r="BQ43" i="8"/>
  <c r="BQ155" i="8"/>
  <c r="BQ161" i="8" s="1"/>
  <c r="EI39" i="3" l="1"/>
  <c r="EI51" i="3" s="1"/>
  <c r="BQ176" i="8"/>
  <c r="BQ201" i="8"/>
  <c r="BQ95" i="44"/>
  <c r="BQ44" i="8"/>
  <c r="BQ205" i="8"/>
  <c r="BP44" i="8"/>
  <c r="BP95" i="44"/>
  <c r="BP201" i="8"/>
  <c r="BP205" i="8"/>
  <c r="BP161" i="8"/>
  <c r="BP176" i="8" s="1"/>
  <c r="BP178" i="8" s="1"/>
  <c r="BP193" i="8"/>
  <c r="BQ193" i="8" l="1"/>
  <c r="BP179" i="8"/>
  <c r="BP183" i="8" s="1"/>
  <c r="BQ178" i="8"/>
  <c r="BQ179" i="8" s="1"/>
  <c r="BQ183" i="8" s="1"/>
  <c r="BP185" i="8"/>
  <c r="BP214" i="8"/>
  <c r="BP80" i="4"/>
  <c r="BP45" i="8"/>
  <c r="BQ80" i="4"/>
  <c r="BQ9" i="41" s="1"/>
  <c r="BQ45" i="8"/>
  <c r="BQ214" i="8"/>
  <c r="BP187" i="8" l="1"/>
  <c r="BQ185" i="8"/>
  <c r="BQ187" i="8" s="1"/>
  <c r="BQ11" i="3"/>
  <c r="BQ210" i="8" l="1"/>
  <c r="BQ211" i="8"/>
  <c r="BQ196" i="8"/>
  <c r="BP210" i="8"/>
  <c r="BP211" i="8"/>
  <c r="BP196" i="8" l="1"/>
  <c r="BQ191" i="8"/>
  <c r="BQ208" i="8"/>
  <c r="BQ194" i="8"/>
  <c r="BQ232" i="8" s="1"/>
  <c r="BQ209" i="8"/>
  <c r="BQ197" i="8"/>
  <c r="BQ188" i="8"/>
  <c r="BQ64" i="44" l="1"/>
  <c r="BQ237" i="8"/>
  <c r="BQ236" i="8"/>
  <c r="BQ63" i="8" s="1"/>
  <c r="BP191" i="8"/>
  <c r="BP208" i="8"/>
  <c r="BP194" i="8"/>
  <c r="BP232" i="8" s="1"/>
  <c r="BP236" i="8" s="1"/>
  <c r="BP63" i="8" s="1"/>
  <c r="BP197" i="8"/>
  <c r="BP188" i="8"/>
  <c r="BP209" i="8"/>
  <c r="BQ64" i="8" l="1"/>
  <c r="BQ48" i="44"/>
  <c r="E311" i="10"/>
  <c r="AR311" i="10"/>
  <c r="DA311" i="10"/>
  <c r="DA313" i="10" l="1"/>
  <c r="AX334" i="47"/>
  <c r="AX26" i="47" s="1"/>
  <c r="DA11" i="10"/>
  <c r="AR313" i="10"/>
  <c r="AR11" i="10"/>
  <c r="AR12" i="10" s="1"/>
  <c r="AT328" i="47"/>
  <c r="AT352" i="47" s="1"/>
  <c r="CZ311" i="10"/>
  <c r="AU311" i="10"/>
  <c r="AS311" i="10"/>
  <c r="CV311" i="10"/>
  <c r="DB311" i="10"/>
  <c r="CW311" i="10"/>
  <c r="AT311" i="10"/>
  <c r="AQ311" i="10"/>
  <c r="CX311" i="10"/>
  <c r="CY311" i="10"/>
  <c r="DC311" i="10"/>
  <c r="DD311" i="10"/>
  <c r="DC313" i="10" l="1"/>
  <c r="AZ334" i="47"/>
  <c r="DC11" i="10"/>
  <c r="AT313" i="10"/>
  <c r="AT11" i="10"/>
  <c r="AT12" i="10" s="1"/>
  <c r="AV328" i="47"/>
  <c r="AV352" i="47" s="1"/>
  <c r="AY334" i="47"/>
  <c r="DB313" i="10"/>
  <c r="DB11" i="10"/>
  <c r="AS313" i="10"/>
  <c r="AU328" i="47"/>
  <c r="AU352" i="47" s="1"/>
  <c r="AS11" i="10"/>
  <c r="AS12" i="10" s="1"/>
  <c r="DE311" i="10"/>
  <c r="AT371" i="47"/>
  <c r="AT359" i="47"/>
  <c r="AT65" i="9"/>
  <c r="AT51" i="9" s="1"/>
  <c r="AX390" i="47"/>
  <c r="AX401" i="47" s="1"/>
  <c r="AX27" i="47"/>
  <c r="AX29" i="47" s="1"/>
  <c r="CX313" i="10"/>
  <c r="CX11" i="10"/>
  <c r="CX12" i="10" s="1"/>
  <c r="BA334" i="47"/>
  <c r="DD313" i="10"/>
  <c r="DD11" i="10"/>
  <c r="CY313" i="10"/>
  <c r="CY11" i="10"/>
  <c r="CY12" i="10" s="1"/>
  <c r="AQ313" i="10"/>
  <c r="AQ11" i="10"/>
  <c r="AQ12" i="10" s="1"/>
  <c r="AS328" i="47"/>
  <c r="AS352" i="47" s="1"/>
  <c r="CW11" i="10"/>
  <c r="CW12" i="10" s="1"/>
  <c r="CW313" i="10"/>
  <c r="CV313" i="10"/>
  <c r="CV11" i="10"/>
  <c r="CV12" i="10" s="1"/>
  <c r="AU313" i="10"/>
  <c r="AU11" i="10"/>
  <c r="AU12" i="10" s="1"/>
  <c r="AW328" i="47"/>
  <c r="AW352" i="47" s="1"/>
  <c r="CZ11" i="10"/>
  <c r="CZ12" i="10" s="1"/>
  <c r="CZ313" i="10"/>
  <c r="AX111" i="4"/>
  <c r="AX113" i="4" s="1"/>
  <c r="AX33" i="4" s="1"/>
  <c r="AX24" i="9" s="1"/>
  <c r="DA12" i="10"/>
  <c r="AS65" i="9" l="1"/>
  <c r="AS51" i="9" s="1"/>
  <c r="AS359" i="47"/>
  <c r="AT361" i="47"/>
  <c r="AT68" i="9"/>
  <c r="DJ311" i="10"/>
  <c r="AV359" i="47"/>
  <c r="AV65" i="9"/>
  <c r="AV51" i="9" s="1"/>
  <c r="AX233" i="4"/>
  <c r="AW359" i="47"/>
  <c r="AW65" i="9"/>
  <c r="AW51" i="9" s="1"/>
  <c r="DD12" i="10"/>
  <c r="BA111" i="4"/>
  <c r="AX31" i="47"/>
  <c r="AT372" i="47"/>
  <c r="AU371" i="47"/>
  <c r="DE313" i="10"/>
  <c r="BB334" i="47"/>
  <c r="DE11" i="10"/>
  <c r="AU65" i="9"/>
  <c r="AU51" i="9" s="1"/>
  <c r="AU359" i="47"/>
  <c r="AY111" i="4"/>
  <c r="DB12" i="10"/>
  <c r="DC12" i="10"/>
  <c r="AZ111" i="4"/>
  <c r="DT311" i="10" l="1"/>
  <c r="DO311" i="10"/>
  <c r="AT70" i="9"/>
  <c r="AT67" i="9"/>
  <c r="AS68" i="9"/>
  <c r="AS361" i="47"/>
  <c r="AS363" i="47" s="1"/>
  <c r="AU372" i="47"/>
  <c r="AX303" i="47"/>
  <c r="AW68" i="9"/>
  <c r="AW361" i="47"/>
  <c r="AW363" i="47" s="1"/>
  <c r="AU361" i="47"/>
  <c r="AU68" i="9"/>
  <c r="BB111" i="4"/>
  <c r="DE12" i="10"/>
  <c r="AT397" i="47"/>
  <c r="AT381" i="47"/>
  <c r="AT382" i="47" s="1"/>
  <c r="AX33" i="47"/>
  <c r="AX36" i="47" s="1"/>
  <c r="AV68" i="9"/>
  <c r="AV361" i="47"/>
  <c r="DJ313" i="10"/>
  <c r="BG334" i="47"/>
  <c r="DJ11" i="10"/>
  <c r="BG111" i="4" l="1"/>
  <c r="DJ12" i="10"/>
  <c r="AV67" i="9"/>
  <c r="AV70" i="9"/>
  <c r="AU70" i="9"/>
  <c r="AU67" i="9"/>
  <c r="AU397" i="47"/>
  <c r="AU381" i="47"/>
  <c r="BL334" i="47"/>
  <c r="DO313" i="10"/>
  <c r="AT376" i="47"/>
  <c r="AT379" i="47"/>
  <c r="AT394" i="47"/>
  <c r="AX43" i="47"/>
  <c r="AX340" i="47"/>
  <c r="AX38" i="47"/>
  <c r="AT395" i="47"/>
  <c r="AT373" i="47"/>
  <c r="AW70" i="9"/>
  <c r="AW67" i="9"/>
  <c r="AS67" i="9"/>
  <c r="AS70" i="9"/>
  <c r="DT313" i="10"/>
  <c r="BQ334" i="47"/>
  <c r="AU376" i="47" l="1"/>
  <c r="AU379" i="47"/>
  <c r="AU394" i="47"/>
  <c r="AU382" i="47"/>
  <c r="AU395" i="47"/>
  <c r="AX97" i="44"/>
  <c r="AX391" i="47"/>
  <c r="AX387" i="47"/>
  <c r="AX44" i="47"/>
  <c r="AX78" i="4" s="1"/>
  <c r="AX378" i="47"/>
  <c r="AX346" i="47"/>
  <c r="AX361" i="47" s="1"/>
  <c r="AX363" i="47" s="1"/>
  <c r="AU373" i="47"/>
  <c r="AX400" i="47" l="1"/>
  <c r="AX364" i="47"/>
  <c r="AX370" i="47"/>
  <c r="AX372" i="47" l="1"/>
  <c r="AX368" i="47"/>
  <c r="AY362" i="47"/>
  <c r="AX396" i="47" l="1"/>
  <c r="AX397" i="47"/>
  <c r="AX381" i="47"/>
  <c r="AX382" i="47" s="1"/>
  <c r="AX394" i="47" l="1"/>
  <c r="AX376" i="47"/>
  <c r="AX379" i="47"/>
  <c r="AX395" i="47"/>
  <c r="AX373" i="47"/>
  <c r="AV73" i="5" l="1"/>
  <c r="AW73" i="5"/>
  <c r="AV74" i="5"/>
  <c r="AW74" i="5"/>
  <c r="BA127" i="5"/>
  <c r="BA12" i="5" s="1"/>
  <c r="BA130" i="5"/>
  <c r="BA14" i="5" s="1"/>
  <c r="BB130" i="5"/>
  <c r="BB131" i="5" s="1"/>
  <c r="BF130" i="5"/>
  <c r="BK130" i="5" s="1"/>
  <c r="BB127" i="5" l="1"/>
  <c r="BB128" i="5" s="1"/>
  <c r="BF127" i="5"/>
  <c r="BK127" i="5" s="1"/>
  <c r="BL127" i="5" s="1"/>
  <c r="BL130" i="5"/>
  <c r="BK14" i="5"/>
  <c r="BA12" i="4"/>
  <c r="BB12" i="5"/>
  <c r="BA15" i="5"/>
  <c r="BA17" i="5" s="1"/>
  <c r="BA14" i="4"/>
  <c r="BB14" i="4" s="1"/>
  <c r="BB14" i="5"/>
  <c r="BP130" i="5"/>
  <c r="BG130" i="5"/>
  <c r="BG131" i="5" s="1"/>
  <c r="BF14" i="5"/>
  <c r="BK12" i="5" l="1"/>
  <c r="BK12" i="4" s="1"/>
  <c r="BF12" i="5"/>
  <c r="BF15" i="5" s="1"/>
  <c r="BF17" i="5" s="1"/>
  <c r="BP127" i="5"/>
  <c r="BQ127" i="5" s="1"/>
  <c r="BQ128" i="5" s="1"/>
  <c r="BG127" i="5"/>
  <c r="BG128" i="5" s="1"/>
  <c r="BP14" i="5"/>
  <c r="BQ130" i="5"/>
  <c r="BQ131" i="5" s="1"/>
  <c r="BB15" i="5"/>
  <c r="BB17" i="5" s="1"/>
  <c r="BB12" i="4"/>
  <c r="BB15" i="4" s="1"/>
  <c r="BA15" i="4"/>
  <c r="BF14" i="4"/>
  <c r="BG14" i="4" s="1"/>
  <c r="BG14" i="5"/>
  <c r="BK14" i="4"/>
  <c r="BL14" i="4" s="1"/>
  <c r="BL14" i="5"/>
  <c r="BF12" i="4"/>
  <c r="BG12" i="5"/>
  <c r="BL128" i="5"/>
  <c r="BA18" i="4"/>
  <c r="BA23" i="5"/>
  <c r="BL131" i="5"/>
  <c r="BK15" i="5" l="1"/>
  <c r="BK17" i="5" s="1"/>
  <c r="BK23" i="5" s="1"/>
  <c r="BP12" i="5"/>
  <c r="BP12" i="4" s="1"/>
  <c r="BL12" i="5"/>
  <c r="BL15" i="5" s="1"/>
  <c r="BL17" i="5" s="1"/>
  <c r="BL18" i="4" s="1"/>
  <c r="BG15" i="5"/>
  <c r="BG17" i="5" s="1"/>
  <c r="BG18" i="4" s="1"/>
  <c r="BF15" i="4"/>
  <c r="BG12" i="4"/>
  <c r="BG15" i="4" s="1"/>
  <c r="BD221" i="5"/>
  <c r="BA30" i="5"/>
  <c r="BA32" i="5" s="1"/>
  <c r="BA24" i="5"/>
  <c r="BC221" i="5"/>
  <c r="BE221" i="5"/>
  <c r="BA221" i="5"/>
  <c r="BA234" i="5" s="1"/>
  <c r="BB18" i="4"/>
  <c r="BB23" i="5"/>
  <c r="BL12" i="4"/>
  <c r="BL15" i="4" s="1"/>
  <c r="BK15" i="4"/>
  <c r="BF18" i="4"/>
  <c r="BF23" i="5"/>
  <c r="BP14" i="4"/>
  <c r="BQ14" i="4" s="1"/>
  <c r="BQ14" i="5"/>
  <c r="BK18" i="4" l="1"/>
  <c r="BQ12" i="5"/>
  <c r="BQ15" i="5" s="1"/>
  <c r="BQ17" i="5" s="1"/>
  <c r="BP15" i="5"/>
  <c r="BP17" i="5" s="1"/>
  <c r="BP18" i="4" s="1"/>
  <c r="BL23" i="5"/>
  <c r="BL24" i="5" s="1"/>
  <c r="BG23" i="5"/>
  <c r="BG24" i="5" s="1"/>
  <c r="BC222" i="5"/>
  <c r="BA222" i="5"/>
  <c r="BD222" i="5"/>
  <c r="BE222" i="5"/>
  <c r="BP15" i="4"/>
  <c r="BQ12" i="4"/>
  <c r="BQ15" i="4" s="1"/>
  <c r="BH221" i="5"/>
  <c r="BF24" i="5"/>
  <c r="BJ221" i="5"/>
  <c r="BI221" i="5"/>
  <c r="BF221" i="5"/>
  <c r="BA77" i="5"/>
  <c r="BB32" i="5"/>
  <c r="BK24" i="5"/>
  <c r="BM221" i="5"/>
  <c r="BN221" i="5"/>
  <c r="BO221" i="5"/>
  <c r="BK221" i="5"/>
  <c r="BB24" i="5"/>
  <c r="BB30" i="5"/>
  <c r="BB221" i="5"/>
  <c r="BB234" i="5" s="1"/>
  <c r="BP23" i="5" l="1"/>
  <c r="BP24" i="5" s="1"/>
  <c r="BP222" i="5" s="1"/>
  <c r="BL221" i="5"/>
  <c r="BB34" i="5"/>
  <c r="BA34" i="5" s="1"/>
  <c r="BA39" i="5" s="1"/>
  <c r="BG221" i="5"/>
  <c r="BQ18" i="4"/>
  <c r="BQ23" i="5"/>
  <c r="BG21" i="3"/>
  <c r="BG222" i="5"/>
  <c r="BB21" i="3"/>
  <c r="BB222" i="5"/>
  <c r="BL21" i="3"/>
  <c r="BL222" i="5"/>
  <c r="BF222" i="5"/>
  <c r="BJ222" i="5"/>
  <c r="BH222" i="5"/>
  <c r="BI222" i="5"/>
  <c r="BP221" i="5"/>
  <c r="BK222" i="5"/>
  <c r="BO222" i="5"/>
  <c r="BN222" i="5"/>
  <c r="BM222" i="5"/>
  <c r="BB77" i="5"/>
  <c r="BB39" i="5" l="1"/>
  <c r="BB41" i="5" s="1"/>
  <c r="BA41" i="5"/>
  <c r="BA46" i="5"/>
  <c r="BA174" i="5"/>
  <c r="BQ24" i="5"/>
  <c r="BQ221" i="5"/>
  <c r="BB46" i="5" l="1"/>
  <c r="BB94" i="44"/>
  <c r="BB47" i="5"/>
  <c r="BB224" i="5"/>
  <c r="BB220" i="5"/>
  <c r="BB174" i="5"/>
  <c r="BB180" i="5" s="1"/>
  <c r="BA180" i="5"/>
  <c r="BA195" i="5" s="1"/>
  <c r="BA197" i="5" s="1"/>
  <c r="BA212" i="5"/>
  <c r="BQ21" i="3"/>
  <c r="BQ222" i="5"/>
  <c r="BA220" i="5"/>
  <c r="BA94" i="44"/>
  <c r="BA47" i="5"/>
  <c r="BA224" i="5"/>
  <c r="BB233" i="5" l="1"/>
  <c r="BB212" i="5"/>
  <c r="BB79" i="4"/>
  <c r="BB8" i="41" s="1"/>
  <c r="BB48" i="5"/>
  <c r="BA233" i="5"/>
  <c r="BA204" i="5"/>
  <c r="BA198" i="5"/>
  <c r="BA202" i="5" s="1"/>
  <c r="BB197" i="5"/>
  <c r="BA79" i="4"/>
  <c r="BA48" i="5"/>
  <c r="DT38" i="3"/>
  <c r="DT50" i="3" s="1"/>
  <c r="BB195" i="5"/>
  <c r="BB10" i="3" l="1"/>
  <c r="BB198" i="5"/>
  <c r="BB204" i="5"/>
  <c r="BA206" i="5"/>
  <c r="BB206" i="5" l="1"/>
  <c r="BB202" i="5"/>
  <c r="BC165" i="5" s="1"/>
  <c r="BC196" i="5"/>
  <c r="BG196" i="5"/>
  <c r="BA229" i="5"/>
  <c r="BA230" i="5"/>
  <c r="BC27" i="5" l="1"/>
  <c r="BB229" i="5"/>
  <c r="BB230" i="5"/>
  <c r="BB215" i="5"/>
  <c r="BB210" i="5" l="1"/>
  <c r="BB227" i="5"/>
  <c r="BA215" i="5"/>
  <c r="BB213" i="5"/>
  <c r="BB251" i="5" s="1"/>
  <c r="BB207" i="5"/>
  <c r="BB216" i="5"/>
  <c r="BC28" i="5"/>
  <c r="BC30" i="5" s="1"/>
  <c r="BC223" i="5"/>
  <c r="BC234" i="5" s="1"/>
  <c r="BB228" i="5"/>
  <c r="BB59" i="44" l="1"/>
  <c r="BB255" i="5"/>
  <c r="BB256" i="5"/>
  <c r="BB81" i="5" s="1"/>
  <c r="BA210" i="5"/>
  <c r="BA227" i="5"/>
  <c r="BA213" i="5"/>
  <c r="BA251" i="5" s="1"/>
  <c r="BA255" i="5" s="1"/>
  <c r="BA80" i="5" s="1"/>
  <c r="BA207" i="5"/>
  <c r="BA228" i="5"/>
  <c r="BA216" i="5"/>
  <c r="BC32" i="5"/>
  <c r="BC34" i="5" s="1"/>
  <c r="BC39" i="5" s="1"/>
  <c r="BC46" i="5" l="1"/>
  <c r="BC174" i="5"/>
  <c r="BC41" i="5"/>
  <c r="BC77" i="5"/>
  <c r="BB80" i="5"/>
  <c r="BB43" i="44"/>
  <c r="BC224" i="5" l="1"/>
  <c r="BC94" i="44"/>
  <c r="BC47" i="5"/>
  <c r="BC220" i="5"/>
  <c r="BC180" i="5"/>
  <c r="BC195" i="5" s="1"/>
  <c r="BC197" i="5" s="1"/>
  <c r="BC212" i="5"/>
  <c r="BC233" i="5" l="1"/>
  <c r="BC198" i="5"/>
  <c r="BC204" i="5"/>
  <c r="BC79" i="4"/>
  <c r="BC48" i="5"/>
  <c r="BD196" i="5" l="1"/>
  <c r="BC202" i="5"/>
  <c r="BD165" i="5" s="1"/>
  <c r="BC206" i="5"/>
  <c r="BD27" i="5" l="1"/>
  <c r="BC229" i="5"/>
  <c r="BC230" i="5"/>
  <c r="BC215" i="5"/>
  <c r="BC227" i="5" l="1"/>
  <c r="BC210" i="5"/>
  <c r="BC213" i="5"/>
  <c r="BC251" i="5" s="1"/>
  <c r="BC255" i="5" s="1"/>
  <c r="BC80" i="5" s="1"/>
  <c r="BC207" i="5"/>
  <c r="BC216" i="5"/>
  <c r="BC228" i="5"/>
  <c r="BD28" i="5"/>
  <c r="BD30" i="5" s="1"/>
  <c r="BD223" i="5"/>
  <c r="BD234" i="5" s="1"/>
  <c r="BD32" i="5" l="1"/>
  <c r="BD77" i="5" l="1"/>
  <c r="BD34" i="5"/>
  <c r="BD39" i="5" s="1"/>
  <c r="BD41" i="5" l="1"/>
  <c r="BD46" i="5"/>
  <c r="BD174" i="5"/>
  <c r="BD94" i="44" l="1"/>
  <c r="BD47" i="5"/>
  <c r="BD220" i="5"/>
  <c r="BD224" i="5"/>
  <c r="BD180" i="5"/>
  <c r="BD195" i="5" s="1"/>
  <c r="BD197" i="5" s="1"/>
  <c r="BD212" i="5"/>
  <c r="BD198" i="5" l="1"/>
  <c r="BD204" i="5"/>
  <c r="BD233" i="5"/>
  <c r="BD79" i="4"/>
  <c r="BD48" i="5"/>
  <c r="BD206" i="5" l="1"/>
  <c r="BE196" i="5"/>
  <c r="BD202" i="5"/>
  <c r="BE165" i="5" s="1"/>
  <c r="BE27" i="5" l="1"/>
  <c r="BD229" i="5"/>
  <c r="BD230" i="5"/>
  <c r="BD215" i="5"/>
  <c r="BD228" i="5" s="1"/>
  <c r="BE28" i="5" l="1"/>
  <c r="BE30" i="5" s="1"/>
  <c r="BE223" i="5"/>
  <c r="BE234" i="5" s="1"/>
  <c r="BD210" i="5"/>
  <c r="BD227" i="5"/>
  <c r="BD213" i="5"/>
  <c r="BD251" i="5" s="1"/>
  <c r="BD255" i="5" s="1"/>
  <c r="BD80" i="5" s="1"/>
  <c r="BD216" i="5"/>
  <c r="BD207" i="5"/>
  <c r="BE32" i="5" l="1"/>
  <c r="BE34" i="5" s="1"/>
  <c r="BE39" i="5" s="1"/>
  <c r="BE41" i="5" l="1"/>
  <c r="BE46" i="5"/>
  <c r="BE174" i="5"/>
  <c r="BE77" i="5"/>
  <c r="BE180" i="5" l="1"/>
  <c r="BE195" i="5" s="1"/>
  <c r="BE197" i="5" s="1"/>
  <c r="BE212" i="5"/>
  <c r="BE94" i="44"/>
  <c r="BE47" i="5"/>
  <c r="BE220" i="5"/>
  <c r="BE224" i="5"/>
  <c r="BE233" i="5" l="1"/>
  <c r="BE79" i="4"/>
  <c r="BE48" i="5"/>
  <c r="BE198" i="5"/>
  <c r="BE204" i="5"/>
  <c r="BE206" i="5" l="1"/>
  <c r="BF196" i="5"/>
  <c r="BE202" i="5"/>
  <c r="BF165" i="5" s="1"/>
  <c r="BF27" i="5" l="1"/>
  <c r="BG165" i="5"/>
  <c r="BE229" i="5"/>
  <c r="BE230" i="5"/>
  <c r="BE215" i="5"/>
  <c r="BE210" i="5" l="1"/>
  <c r="BE227" i="5"/>
  <c r="BE213" i="5"/>
  <c r="BE251" i="5" s="1"/>
  <c r="BE255" i="5" s="1"/>
  <c r="BE80" i="5" s="1"/>
  <c r="BE216" i="5"/>
  <c r="BE207" i="5"/>
  <c r="BE228" i="5"/>
  <c r="BF28" i="5"/>
  <c r="BF30" i="5" s="1"/>
  <c r="BF32" i="5" s="1"/>
  <c r="BF223" i="5"/>
  <c r="BF234" i="5" s="1"/>
  <c r="BG27" i="5"/>
  <c r="BF77" i="5" l="1"/>
  <c r="BG32" i="5"/>
  <c r="BG28" i="5"/>
  <c r="BG30" i="5" s="1"/>
  <c r="BG223" i="5"/>
  <c r="BG234" i="5" s="1"/>
  <c r="BG34" i="5" l="1"/>
  <c r="BF34" i="5" s="1"/>
  <c r="BF39" i="5" s="1"/>
  <c r="BG77" i="5"/>
  <c r="BG39" i="5" l="1"/>
  <c r="BG46" i="5" s="1"/>
  <c r="BF174" i="5"/>
  <c r="BF41" i="5"/>
  <c r="BF46" i="5"/>
  <c r="BG41" i="5" l="1"/>
  <c r="BG94" i="44" s="1"/>
  <c r="BF94" i="44"/>
  <c r="BF47" i="5"/>
  <c r="BF220" i="5"/>
  <c r="BF224" i="5"/>
  <c r="BF180" i="5"/>
  <c r="BF195" i="5" s="1"/>
  <c r="BF197" i="5" s="1"/>
  <c r="BG174" i="5"/>
  <c r="BG180" i="5" s="1"/>
  <c r="BF212" i="5"/>
  <c r="BG224" i="5" l="1"/>
  <c r="BG47" i="5"/>
  <c r="BG79" i="4" s="1"/>
  <c r="BG8" i="41" s="1"/>
  <c r="BG220" i="5"/>
  <c r="BG233" i="5" s="1"/>
  <c r="BF233" i="5"/>
  <c r="BG212" i="5"/>
  <c r="DY38" i="3"/>
  <c r="DY50" i="3" s="1"/>
  <c r="BG195" i="5"/>
  <c r="BF79" i="4"/>
  <c r="BF48" i="5"/>
  <c r="BF198" i="5"/>
  <c r="BF202" i="5" s="1"/>
  <c r="BG197" i="5"/>
  <c r="BF204" i="5"/>
  <c r="BG198" i="5" l="1"/>
  <c r="BH196" i="5" s="1"/>
  <c r="BG48" i="5"/>
  <c r="BG10" i="3"/>
  <c r="BF206" i="5"/>
  <c r="BG204" i="5"/>
  <c r="BG202" i="5" l="1"/>
  <c r="BH165" i="5" s="1"/>
  <c r="BL196" i="5"/>
  <c r="BG206" i="5"/>
  <c r="BF229" i="5"/>
  <c r="BF230" i="5"/>
  <c r="BG229" i="5" l="1"/>
  <c r="BG230" i="5"/>
  <c r="BG215" i="5"/>
  <c r="BG228" i="5" s="1"/>
  <c r="BH27" i="5"/>
  <c r="BH223" i="5" l="1"/>
  <c r="BH234" i="5" s="1"/>
  <c r="BH28" i="5"/>
  <c r="BH30" i="5" s="1"/>
  <c r="BF215" i="5"/>
  <c r="BG227" i="5"/>
  <c r="BG210" i="5"/>
  <c r="BG213" i="5"/>
  <c r="BG251" i="5" s="1"/>
  <c r="BG216" i="5"/>
  <c r="BG207" i="5"/>
  <c r="BH32" i="5" l="1"/>
  <c r="BH34" i="5" s="1"/>
  <c r="BH39" i="5" s="1"/>
  <c r="BG59" i="44"/>
  <c r="BG255" i="5"/>
  <c r="BG256" i="5"/>
  <c r="BG81" i="5" s="1"/>
  <c r="BF210" i="5"/>
  <c r="BF227" i="5"/>
  <c r="BF213" i="5"/>
  <c r="BF251" i="5" s="1"/>
  <c r="BF255" i="5" s="1"/>
  <c r="BF80" i="5" s="1"/>
  <c r="BF207" i="5"/>
  <c r="BF228" i="5"/>
  <c r="BF216" i="5"/>
  <c r="BG43" i="44" l="1"/>
  <c r="BG80" i="5"/>
  <c r="BH41" i="5"/>
  <c r="BH46" i="5"/>
  <c r="BH174" i="5"/>
  <c r="BH77" i="5"/>
  <c r="BH94" i="44" l="1"/>
  <c r="BH47" i="5"/>
  <c r="BH220" i="5"/>
  <c r="BH224" i="5"/>
  <c r="BH180" i="5"/>
  <c r="BH195" i="5" s="1"/>
  <c r="BH197" i="5" s="1"/>
  <c r="BH212" i="5"/>
  <c r="BH79" i="4" l="1"/>
  <c r="BH48" i="5"/>
  <c r="BH198" i="5"/>
  <c r="BH204" i="5"/>
  <c r="BH233" i="5"/>
  <c r="BH206" i="5" l="1"/>
  <c r="BI196" i="5"/>
  <c r="BH202" i="5"/>
  <c r="BI165" i="5" s="1"/>
  <c r="BI27" i="5" l="1"/>
  <c r="BH229" i="5"/>
  <c r="BH215" i="5"/>
  <c r="BH216" i="5" s="1"/>
  <c r="BH230" i="5"/>
  <c r="BH210" i="5" l="1"/>
  <c r="BH227" i="5"/>
  <c r="BH213" i="5"/>
  <c r="BH251" i="5" s="1"/>
  <c r="BH255" i="5" s="1"/>
  <c r="BH80" i="5" s="1"/>
  <c r="BH207" i="5"/>
  <c r="BH228" i="5"/>
  <c r="BI28" i="5"/>
  <c r="BI30" i="5" s="1"/>
  <c r="BI223" i="5"/>
  <c r="BI234" i="5" s="1"/>
  <c r="BI32" i="5" l="1"/>
  <c r="BI34" i="5" s="1"/>
  <c r="BI39" i="5" s="1"/>
  <c r="BI41" i="5" l="1"/>
  <c r="BI46" i="5"/>
  <c r="BI174" i="5"/>
  <c r="BI77" i="5"/>
  <c r="BI180" i="5" l="1"/>
  <c r="BI195" i="5" s="1"/>
  <c r="BI197" i="5" s="1"/>
  <c r="BI212" i="5"/>
  <c r="BI94" i="44"/>
  <c r="BI47" i="5"/>
  <c r="BI220" i="5"/>
  <c r="BI224" i="5"/>
  <c r="BI233" i="5" l="1"/>
  <c r="BI79" i="4"/>
  <c r="BI48" i="5"/>
  <c r="BI198" i="5"/>
  <c r="BI204" i="5"/>
  <c r="BI206" i="5" l="1"/>
  <c r="BJ196" i="5"/>
  <c r="BI202" i="5"/>
  <c r="BJ165" i="5" s="1"/>
  <c r="BJ27" i="5" l="1"/>
  <c r="BI229" i="5"/>
  <c r="BI230" i="5"/>
  <c r="BI215" i="5"/>
  <c r="BI216" i="5" s="1"/>
  <c r="BI210" i="5" l="1"/>
  <c r="BI227" i="5"/>
  <c r="BI213" i="5"/>
  <c r="BI251" i="5" s="1"/>
  <c r="BI255" i="5" s="1"/>
  <c r="BI80" i="5" s="1"/>
  <c r="BI228" i="5"/>
  <c r="BI207" i="5"/>
  <c r="BJ28" i="5"/>
  <c r="BJ30" i="5" s="1"/>
  <c r="BJ223" i="5"/>
  <c r="BJ234" i="5" s="1"/>
  <c r="BJ32" i="5" l="1"/>
  <c r="BJ77" i="5" l="1"/>
  <c r="BJ34" i="5"/>
  <c r="BJ39" i="5" s="1"/>
  <c r="BJ174" i="5" l="1"/>
  <c r="BJ41" i="5"/>
  <c r="BJ46" i="5"/>
  <c r="BJ94" i="44" l="1"/>
  <c r="BJ47" i="5"/>
  <c r="BJ224" i="5"/>
  <c r="BJ220" i="5"/>
  <c r="BJ180" i="5"/>
  <c r="BJ195" i="5" s="1"/>
  <c r="BJ197" i="5" s="1"/>
  <c r="BJ212" i="5"/>
  <c r="BJ198" i="5" l="1"/>
  <c r="BJ204" i="5"/>
  <c r="BJ233" i="5"/>
  <c r="BJ79" i="4"/>
  <c r="BJ48" i="5"/>
  <c r="BJ206" i="5" l="1"/>
  <c r="BJ202" i="5"/>
  <c r="BK165" i="5" s="1"/>
  <c r="BK196" i="5"/>
  <c r="BK27" i="5" l="1"/>
  <c r="BL165" i="5"/>
  <c r="BJ229" i="5"/>
  <c r="BJ215" i="5"/>
  <c r="BJ207" i="5" s="1"/>
  <c r="BJ230" i="5"/>
  <c r="BJ210" i="5" l="1"/>
  <c r="BJ227" i="5"/>
  <c r="BJ213" i="5"/>
  <c r="BJ251" i="5" s="1"/>
  <c r="BJ255" i="5" s="1"/>
  <c r="BJ80" i="5" s="1"/>
  <c r="BJ216" i="5"/>
  <c r="BJ228" i="5"/>
  <c r="BK28" i="5"/>
  <c r="BK30" i="5" s="1"/>
  <c r="BK32" i="5" s="1"/>
  <c r="BL27" i="5"/>
  <c r="BK223" i="5"/>
  <c r="BK234" i="5" s="1"/>
  <c r="BL223" i="5" l="1"/>
  <c r="BL234" i="5" s="1"/>
  <c r="BL28" i="5"/>
  <c r="BL30" i="5" s="1"/>
  <c r="BK77" i="5"/>
  <c r="BL32" i="5"/>
  <c r="BL77" i="5" l="1"/>
  <c r="BL34" i="5"/>
  <c r="BK34" i="5" l="1"/>
  <c r="BK39" i="5" s="1"/>
  <c r="BL39" i="5"/>
  <c r="BL41" i="5" l="1"/>
  <c r="BL46" i="5"/>
  <c r="BK46" i="5"/>
  <c r="BK174" i="5"/>
  <c r="BK41" i="5"/>
  <c r="BK180" i="5" l="1"/>
  <c r="BK195" i="5" s="1"/>
  <c r="BK197" i="5" s="1"/>
  <c r="BL174" i="5"/>
  <c r="BL180" i="5" s="1"/>
  <c r="BK212" i="5"/>
  <c r="BK94" i="44"/>
  <c r="BK47" i="5"/>
  <c r="BK220" i="5"/>
  <c r="BK224" i="5"/>
  <c r="BL94" i="44"/>
  <c r="BL47" i="5"/>
  <c r="BL224" i="5"/>
  <c r="BL220" i="5"/>
  <c r="BL233" i="5" l="1"/>
  <c r="BL212" i="5"/>
  <c r="BK233" i="5"/>
  <c r="ED38" i="3"/>
  <c r="ED50" i="3" s="1"/>
  <c r="BL195" i="5"/>
  <c r="BL79" i="4"/>
  <c r="BL8" i="41" s="1"/>
  <c r="BL48" i="5"/>
  <c r="BK79" i="4"/>
  <c r="BK48" i="5"/>
  <c r="BK198" i="5"/>
  <c r="BK202" i="5" s="1"/>
  <c r="BL197" i="5"/>
  <c r="BK204" i="5"/>
  <c r="BL198" i="5" l="1"/>
  <c r="BL202" i="5" s="1"/>
  <c r="BL204" i="5"/>
  <c r="BK206" i="5"/>
  <c r="BL10" i="3"/>
  <c r="BQ196" i="5" l="1"/>
  <c r="BM196" i="5"/>
  <c r="BK229" i="5"/>
  <c r="BK230" i="5"/>
  <c r="BL206" i="5"/>
  <c r="BM165" i="5"/>
  <c r="BM27" i="5" l="1"/>
  <c r="BL229" i="5"/>
  <c r="BL230" i="5"/>
  <c r="BL215" i="5"/>
  <c r="BK215" i="5" l="1"/>
  <c r="BL210" i="5"/>
  <c r="BL227" i="5"/>
  <c r="BL213" i="5"/>
  <c r="BL251" i="5" s="1"/>
  <c r="BL216" i="5"/>
  <c r="BL228" i="5"/>
  <c r="BM28" i="5"/>
  <c r="BM30" i="5" s="1"/>
  <c r="BM223" i="5"/>
  <c r="BM234" i="5" s="1"/>
  <c r="BL207" i="5"/>
  <c r="BL59" i="44" l="1"/>
  <c r="BL256" i="5"/>
  <c r="BL81" i="5" s="1"/>
  <c r="BL255" i="5"/>
  <c r="BM32" i="5"/>
  <c r="BK227" i="5"/>
  <c r="BK210" i="5"/>
  <c r="BK213" i="5"/>
  <c r="BK251" i="5" s="1"/>
  <c r="BK255" i="5" s="1"/>
  <c r="BK80" i="5" s="1"/>
  <c r="BK207" i="5"/>
  <c r="BK228" i="5"/>
  <c r="BK216" i="5"/>
  <c r="BM77" i="5" l="1"/>
  <c r="BL43" i="44"/>
  <c r="BL80" i="5"/>
  <c r="BM34" i="5"/>
  <c r="BM39" i="5" s="1"/>
  <c r="BM41" i="5" l="1"/>
  <c r="BM46" i="5"/>
  <c r="BM174" i="5"/>
  <c r="BM180" i="5" l="1"/>
  <c r="BM195" i="5" s="1"/>
  <c r="BM197" i="5" s="1"/>
  <c r="BM212" i="5"/>
  <c r="BM220" i="5"/>
  <c r="BM94" i="44"/>
  <c r="BM47" i="5"/>
  <c r="BM224" i="5"/>
  <c r="BM233" i="5" l="1"/>
  <c r="BM79" i="4"/>
  <c r="BM48" i="5"/>
  <c r="BM198" i="5"/>
  <c r="BM204" i="5"/>
  <c r="BM206" i="5" l="1"/>
  <c r="BN196" i="5"/>
  <c r="BM202" i="5"/>
  <c r="BN165" i="5" s="1"/>
  <c r="BN27" i="5" l="1"/>
  <c r="BM229" i="5"/>
  <c r="BM230" i="5"/>
  <c r="BM215" i="5"/>
  <c r="BM210" i="5" l="1"/>
  <c r="BM227" i="5"/>
  <c r="BM213" i="5"/>
  <c r="BM251" i="5" s="1"/>
  <c r="BM255" i="5" s="1"/>
  <c r="BM80" i="5" s="1"/>
  <c r="BM216" i="5"/>
  <c r="BM228" i="5"/>
  <c r="BM207" i="5"/>
  <c r="BN28" i="5"/>
  <c r="BN30" i="5" s="1"/>
  <c r="BN223" i="5"/>
  <c r="BN234" i="5" s="1"/>
  <c r="BN32" i="5" l="1"/>
  <c r="BN77" i="5" l="1"/>
  <c r="BN34" i="5"/>
  <c r="BN39" i="5" s="1"/>
  <c r="BN174" i="5" l="1"/>
  <c r="BN41" i="5"/>
  <c r="BN46" i="5"/>
  <c r="BN94" i="44" l="1"/>
  <c r="BN47" i="5"/>
  <c r="BN224" i="5"/>
  <c r="BN220" i="5"/>
  <c r="BN180" i="5"/>
  <c r="BN195" i="5" s="1"/>
  <c r="BN197" i="5" s="1"/>
  <c r="BN212" i="5"/>
  <c r="BN233" i="5" l="1"/>
  <c r="BN79" i="4"/>
  <c r="BN48" i="5"/>
  <c r="BN198" i="5"/>
  <c r="BN204" i="5"/>
  <c r="BN202" i="5" l="1"/>
  <c r="BO165" i="5" s="1"/>
  <c r="BO196" i="5"/>
  <c r="BN206" i="5"/>
  <c r="BO27" i="5" l="1"/>
  <c r="BN229" i="5"/>
  <c r="BN230" i="5"/>
  <c r="BN215" i="5"/>
  <c r="BN210" i="5" l="1"/>
  <c r="BN227" i="5"/>
  <c r="BN213" i="5"/>
  <c r="BN251" i="5" s="1"/>
  <c r="BN255" i="5" s="1"/>
  <c r="BN80" i="5" s="1"/>
  <c r="BN207" i="5"/>
  <c r="BN216" i="5"/>
  <c r="BN228" i="5"/>
  <c r="BO28" i="5"/>
  <c r="BO30" i="5" s="1"/>
  <c r="BO223" i="5"/>
  <c r="BO234" i="5" s="1"/>
  <c r="BO32" i="5" l="1"/>
  <c r="BO34" i="5" s="1"/>
  <c r="BO39" i="5" s="1"/>
  <c r="BO46" i="5" l="1"/>
  <c r="BO174" i="5"/>
  <c r="BO41" i="5"/>
  <c r="BO77" i="5"/>
  <c r="BO94" i="44" l="1"/>
  <c r="BO47" i="5"/>
  <c r="BO224" i="5"/>
  <c r="BO220" i="5"/>
  <c r="BO180" i="5"/>
  <c r="BO195" i="5" s="1"/>
  <c r="BO197" i="5" s="1"/>
  <c r="BO212" i="5"/>
  <c r="BO198" i="5" l="1"/>
  <c r="BO204" i="5"/>
  <c r="BO79" i="4"/>
  <c r="BO48" i="5"/>
  <c r="BO233" i="5"/>
  <c r="BO206" i="5" l="1"/>
  <c r="BP196" i="5"/>
  <c r="BO202" i="5"/>
  <c r="BP165" i="5" s="1"/>
  <c r="BP27" i="5" l="1"/>
  <c r="BQ165" i="5"/>
  <c r="BO229" i="5"/>
  <c r="BO230" i="5"/>
  <c r="BO215" i="5"/>
  <c r="BO227" i="5" l="1"/>
  <c r="BO210" i="5"/>
  <c r="BO213" i="5"/>
  <c r="BO251" i="5" s="1"/>
  <c r="BO255" i="5" s="1"/>
  <c r="BO80" i="5" s="1"/>
  <c r="BO228" i="5"/>
  <c r="BO207" i="5"/>
  <c r="BO216" i="5"/>
  <c r="BP28" i="5"/>
  <c r="BP30" i="5" s="1"/>
  <c r="BP32" i="5" s="1"/>
  <c r="BQ27" i="5"/>
  <c r="BP223" i="5"/>
  <c r="BP234" i="5" s="1"/>
  <c r="BQ28" i="5" l="1"/>
  <c r="BQ30" i="5" s="1"/>
  <c r="BQ223" i="5"/>
  <c r="BQ234" i="5" s="1"/>
  <c r="BP77" i="5"/>
  <c r="BQ32" i="5"/>
  <c r="BQ77" i="5" l="1"/>
  <c r="BQ34" i="5"/>
  <c r="BQ39" i="5" l="1"/>
  <c r="BP34" i="5"/>
  <c r="BP39" i="5" s="1"/>
  <c r="BP41" i="5" l="1"/>
  <c r="BP46" i="5"/>
  <c r="BP174" i="5"/>
  <c r="BQ41" i="5"/>
  <c r="BQ46" i="5"/>
  <c r="BQ220" i="5" l="1"/>
  <c r="BQ94" i="44"/>
  <c r="BQ47" i="5"/>
  <c r="BQ224" i="5"/>
  <c r="BP180" i="5"/>
  <c r="BP195" i="5" s="1"/>
  <c r="BP197" i="5" s="1"/>
  <c r="BQ174" i="5"/>
  <c r="BQ180" i="5" s="1"/>
  <c r="BP212" i="5"/>
  <c r="BP94" i="44"/>
  <c r="BP47" i="5"/>
  <c r="BP220" i="5"/>
  <c r="BP224" i="5"/>
  <c r="BP233" i="5" l="1"/>
  <c r="BQ212" i="5"/>
  <c r="BQ79" i="4"/>
  <c r="BQ8" i="41" s="1"/>
  <c r="BQ48" i="5"/>
  <c r="EI38" i="3"/>
  <c r="EI50" i="3" s="1"/>
  <c r="BQ195" i="5"/>
  <c r="BP79" i="4"/>
  <c r="BP48" i="5"/>
  <c r="BP198" i="5"/>
  <c r="BP202" i="5" s="1"/>
  <c r="BQ197" i="5"/>
  <c r="BP204" i="5"/>
  <c r="BQ233" i="5"/>
  <c r="BQ204" i="5" l="1"/>
  <c r="BQ206" i="5" s="1"/>
  <c r="BQ215" i="5" s="1"/>
  <c r="BQ213" i="5" s="1"/>
  <c r="BQ251" i="5" s="1"/>
  <c r="BP206" i="5"/>
  <c r="BQ198" i="5"/>
  <c r="BQ202" i="5" s="1"/>
  <c r="BQ10" i="3"/>
  <c r="BQ59" i="44" l="1"/>
  <c r="BQ256" i="5"/>
  <c r="BQ81" i="5" s="1"/>
  <c r="BQ255" i="5"/>
  <c r="BP229" i="5"/>
  <c r="BP230" i="5"/>
  <c r="BQ210" i="5"/>
  <c r="BP215" i="5"/>
  <c r="BP207" i="5" s="1"/>
  <c r="BQ227" i="5"/>
  <c r="BQ228" i="5"/>
  <c r="BQ216" i="5"/>
  <c r="BQ207" i="5"/>
  <c r="BQ229" i="5"/>
  <c r="BQ230" i="5"/>
  <c r="BQ43" i="44" l="1"/>
  <c r="BQ80" i="5"/>
  <c r="BP210" i="5"/>
  <c r="BP227" i="5"/>
  <c r="BP213" i="5"/>
  <c r="BP251" i="5" s="1"/>
  <c r="BP255" i="5" s="1"/>
  <c r="BP80" i="5" s="1"/>
  <c r="BP228" i="5"/>
  <c r="BP216" i="5"/>
  <c r="AY332" i="47" l="1"/>
  <c r="AY26" i="47" s="1"/>
  <c r="AU362" i="47"/>
  <c r="AT364" i="47"/>
  <c r="AT363" i="47" s="1"/>
  <c r="AT396" i="47"/>
  <c r="AY27" i="47" l="1"/>
  <c r="AY29" i="47" s="1"/>
  <c r="AY390" i="47"/>
  <c r="AY401" i="47" s="1"/>
  <c r="AY31" i="47" l="1"/>
  <c r="AY303" i="47" l="1"/>
  <c r="AY33" i="47"/>
  <c r="AY36" i="47" s="1"/>
  <c r="AY43" i="47" l="1"/>
  <c r="AY340" i="47"/>
  <c r="AY38" i="47"/>
  <c r="AY44" i="47" l="1"/>
  <c r="AY78" i="4" s="1"/>
  <c r="AY387" i="47"/>
  <c r="AY391" i="47"/>
  <c r="AY97" i="44"/>
  <c r="AY346" i="47"/>
  <c r="AY361" i="47" s="1"/>
  <c r="AY363" i="47" s="1"/>
  <c r="AY378" i="47"/>
  <c r="AY400" i="47" l="1"/>
  <c r="AY370" i="47"/>
  <c r="AY364" i="47"/>
  <c r="AZ362" i="47" l="1"/>
  <c r="AY368" i="47"/>
  <c r="AY372" i="47"/>
  <c r="AY396" i="47" l="1"/>
  <c r="AY381" i="47"/>
  <c r="AY373" i="47" s="1"/>
  <c r="AY397" i="47"/>
  <c r="AY382" i="47" l="1"/>
  <c r="AY376" i="47"/>
  <c r="AY394" i="47"/>
  <c r="AY379" i="47"/>
  <c r="AY395" i="47"/>
  <c r="AZ332" i="47"/>
  <c r="AZ26" i="47" s="1"/>
  <c r="AU364" i="47"/>
  <c r="AU363" i="47" s="1"/>
  <c r="AU396" i="47"/>
  <c r="AZ27" i="47" l="1"/>
  <c r="AZ29" i="47" s="1"/>
  <c r="AZ390" i="47"/>
  <c r="AZ401" i="47" s="1"/>
  <c r="AV362" i="47"/>
  <c r="AV363" i="47" s="1"/>
  <c r="AZ31" i="47" l="1"/>
  <c r="AZ303" i="47" l="1"/>
  <c r="AZ33" i="47"/>
  <c r="AZ36" i="47" s="1"/>
  <c r="AZ38" i="47" l="1"/>
  <c r="AZ43" i="47"/>
  <c r="AZ340" i="47"/>
  <c r="AZ378" i="47" l="1"/>
  <c r="AZ346" i="47"/>
  <c r="AZ361" i="47" s="1"/>
  <c r="AZ363" i="47" s="1"/>
  <c r="AZ44" i="47"/>
  <c r="AZ78" i="4" s="1"/>
  <c r="AZ387" i="47"/>
  <c r="AZ391" i="47"/>
  <c r="AZ97" i="44"/>
  <c r="AZ400" i="47" l="1"/>
  <c r="AZ364" i="47"/>
  <c r="AZ370" i="47"/>
  <c r="BA362" i="47" l="1"/>
  <c r="AZ368" i="47"/>
  <c r="BA332" i="47"/>
  <c r="AZ372" i="47"/>
  <c r="BA26" i="47" l="1"/>
  <c r="BB332" i="47"/>
  <c r="AZ396" i="47"/>
  <c r="AZ397" i="47"/>
  <c r="AZ381" i="47"/>
  <c r="AZ382" i="47" s="1"/>
  <c r="AZ376" i="47" l="1"/>
  <c r="AZ394" i="47"/>
  <c r="AZ379" i="47"/>
  <c r="AZ373" i="47"/>
  <c r="AZ395" i="47"/>
  <c r="BA27" i="47"/>
  <c r="BA29" i="47" s="1"/>
  <c r="BB26" i="47"/>
  <c r="CU37" i="41" s="1"/>
  <c r="CU38" i="41" s="1"/>
  <c r="CU39" i="41" s="1"/>
  <c r="CU45" i="41" s="1"/>
  <c r="CU46" i="41" s="1"/>
  <c r="CU50" i="41" s="1"/>
  <c r="BA390" i="47"/>
  <c r="BA401" i="47" s="1"/>
  <c r="BB27" i="47" l="1"/>
  <c r="BB29" i="47" s="1"/>
  <c r="BB390" i="47"/>
  <c r="BB401" i="47" s="1"/>
  <c r="BA31" i="47"/>
  <c r="BA303" i="47" l="1"/>
  <c r="BB31" i="47"/>
  <c r="BB303" i="47" s="1"/>
  <c r="BA33" i="47"/>
  <c r="BA36" i="47" s="1"/>
  <c r="BB33" i="47" l="1"/>
  <c r="BB36" i="47" s="1"/>
  <c r="BB43" i="47" s="1"/>
  <c r="BA43" i="47"/>
  <c r="BA38" i="47"/>
  <c r="BA340" i="47"/>
  <c r="BB340" i="47" l="1"/>
  <c r="BB346" i="47" s="1"/>
  <c r="BB361" i="47" s="1"/>
  <c r="BB38" i="47"/>
  <c r="BB44" i="47" s="1"/>
  <c r="BA346" i="47"/>
  <c r="BA361" i="47" s="1"/>
  <c r="BA363" i="47" s="1"/>
  <c r="BA378" i="47"/>
  <c r="BA44" i="47"/>
  <c r="BA78" i="4" s="1"/>
  <c r="BA97" i="44"/>
  <c r="BA391" i="47"/>
  <c r="BA387" i="47"/>
  <c r="BB97" i="44" l="1"/>
  <c r="BB391" i="47"/>
  <c r="BB387" i="47"/>
  <c r="BB400" i="47" s="1"/>
  <c r="BB378" i="47"/>
  <c r="BA400" i="47"/>
  <c r="BB78" i="4"/>
  <c r="BB7" i="41" s="1"/>
  <c r="BB45" i="47"/>
  <c r="BA364" i="47"/>
  <c r="BA368" i="47" s="1"/>
  <c r="BB363" i="47"/>
  <c r="BB364" i="47" s="1"/>
  <c r="BA370" i="47"/>
  <c r="BA372" i="47" l="1"/>
  <c r="BB370" i="47"/>
  <c r="BC362" i="47"/>
  <c r="BG362" i="47"/>
  <c r="BB368" i="47"/>
  <c r="CU74" i="41" s="1"/>
  <c r="CU75" i="41" s="1"/>
  <c r="CU77" i="41" s="1"/>
  <c r="BB9" i="3"/>
  <c r="BB384" i="47"/>
  <c r="BC332" i="47" l="1"/>
  <c r="BB372" i="47"/>
  <c r="BA396" i="47"/>
  <c r="BA397" i="47"/>
  <c r="BC26" i="47" l="1"/>
  <c r="BB396" i="47"/>
  <c r="BB397" i="47"/>
  <c r="BB381" i="47"/>
  <c r="BB373" i="47" s="1"/>
  <c r="BB376" i="47" l="1"/>
  <c r="BB394" i="47"/>
  <c r="BA381" i="47"/>
  <c r="BB379" i="47"/>
  <c r="BB382" i="47"/>
  <c r="BB395" i="47"/>
  <c r="BC27" i="47"/>
  <c r="BC29" i="47" s="1"/>
  <c r="BC390" i="47"/>
  <c r="BC401" i="47" s="1"/>
  <c r="BA376" i="47" l="1"/>
  <c r="BA394" i="47"/>
  <c r="BA379" i="47"/>
  <c r="BA373" i="47"/>
  <c r="BA382" i="47"/>
  <c r="BA395" i="47"/>
  <c r="BC31" i="47"/>
  <c r="BC303" i="47" l="1"/>
  <c r="BC33" i="47"/>
  <c r="BC36" i="47" s="1"/>
  <c r="BC38" i="47" l="1"/>
  <c r="BC43" i="47"/>
  <c r="BC340" i="47"/>
  <c r="BC346" i="47" l="1"/>
  <c r="BC361" i="47" s="1"/>
  <c r="BC363" i="47" s="1"/>
  <c r="BC378" i="47"/>
  <c r="BC44" i="47"/>
  <c r="BC78" i="4" s="1"/>
  <c r="BC387" i="47"/>
  <c r="BC391" i="47"/>
  <c r="BC97" i="44"/>
  <c r="BC400" i="47" l="1"/>
  <c r="BC364" i="47"/>
  <c r="BC370" i="47"/>
  <c r="BC368" i="47" l="1"/>
  <c r="BD332" i="47" s="1"/>
  <c r="BD362" i="47"/>
  <c r="BC372" i="47"/>
  <c r="BD26" i="47" l="1"/>
  <c r="BC396" i="47"/>
  <c r="BC397" i="47"/>
  <c r="BC381" i="47"/>
  <c r="BC394" i="47" l="1"/>
  <c r="BC376" i="47"/>
  <c r="BC379" i="47"/>
  <c r="BC395" i="47"/>
  <c r="BC373" i="47"/>
  <c r="BC382" i="47"/>
  <c r="BD27" i="47"/>
  <c r="BD29" i="47" s="1"/>
  <c r="BD390" i="47"/>
  <c r="BD401" i="47" s="1"/>
  <c r="BD31" i="47" l="1"/>
  <c r="BD303" i="47" l="1"/>
  <c r="BD33" i="47"/>
  <c r="BD36" i="47" s="1"/>
  <c r="BD38" i="47" l="1"/>
  <c r="BD43" i="47"/>
  <c r="BD340" i="47"/>
  <c r="BD346" i="47" l="1"/>
  <c r="BD361" i="47" s="1"/>
  <c r="BD363" i="47" s="1"/>
  <c r="BD378" i="47"/>
  <c r="BD44" i="47"/>
  <c r="BD78" i="4" s="1"/>
  <c r="BD97" i="44"/>
  <c r="BD387" i="47"/>
  <c r="BD391" i="47"/>
  <c r="BD400" i="47" l="1"/>
  <c r="BD364" i="47"/>
  <c r="BD370" i="47"/>
  <c r="BE362" i="47" l="1"/>
  <c r="BD368" i="47"/>
  <c r="BE332" i="47" s="1"/>
  <c r="BD372" i="47"/>
  <c r="BD396" i="47" l="1"/>
  <c r="BD381" i="47"/>
  <c r="BD373" i="47" s="1"/>
  <c r="BD397" i="47"/>
  <c r="BE26" i="47"/>
  <c r="BD382" i="47" l="1"/>
  <c r="BD395" i="47"/>
  <c r="BE27" i="47"/>
  <c r="BE29" i="47" s="1"/>
  <c r="BE390" i="47"/>
  <c r="BE401" i="47" s="1"/>
  <c r="BD376" i="47"/>
  <c r="BD394" i="47"/>
  <c r="BD379" i="47"/>
  <c r="BE31" i="47" l="1"/>
  <c r="BE33" i="47" s="1"/>
  <c r="BE36" i="47" s="1"/>
  <c r="BE43" i="47" l="1"/>
  <c r="BE38" i="47"/>
  <c r="BE340" i="47"/>
  <c r="BE303" i="47"/>
  <c r="BE346" i="47" l="1"/>
  <c r="BE361" i="47" s="1"/>
  <c r="BE363" i="47" s="1"/>
  <c r="BE378" i="47"/>
  <c r="BE44" i="47"/>
  <c r="BE78" i="4" s="1"/>
  <c r="BE97" i="44"/>
  <c r="BE387" i="47"/>
  <c r="BE391" i="47"/>
  <c r="BE400" i="47" l="1"/>
  <c r="BE364" i="47"/>
  <c r="BE370" i="47"/>
  <c r="BF362" i="47" l="1"/>
  <c r="BE368" i="47"/>
  <c r="BF332" i="47" s="1"/>
  <c r="BE372" i="47"/>
  <c r="BE396" i="47" l="1"/>
  <c r="BE381" i="47"/>
  <c r="BE395" i="47" s="1"/>
  <c r="BE397" i="47"/>
  <c r="BF26" i="47"/>
  <c r="BG332" i="47"/>
  <c r="BE373" i="47" l="1"/>
  <c r="BF27" i="47"/>
  <c r="BF29" i="47" s="1"/>
  <c r="BG26" i="47"/>
  <c r="CZ37" i="41" s="1"/>
  <c r="BF390" i="47"/>
  <c r="BF401" i="47" s="1"/>
  <c r="BE376" i="47"/>
  <c r="BE394" i="47"/>
  <c r="BE379" i="47"/>
  <c r="BE382" i="47"/>
  <c r="CZ38" i="41" l="1"/>
  <c r="CZ39" i="41" s="1"/>
  <c r="CZ45" i="41" s="1"/>
  <c r="CZ46" i="41" s="1"/>
  <c r="CZ50" i="41" s="1"/>
  <c r="BF31" i="47"/>
  <c r="BF33" i="47" s="1"/>
  <c r="BF36" i="47" s="1"/>
  <c r="BG390" i="47"/>
  <c r="BG401" i="47" s="1"/>
  <c r="BG27" i="47"/>
  <c r="BG29" i="47" s="1"/>
  <c r="BF43" i="47" l="1"/>
  <c r="BF38" i="47"/>
  <c r="BF340" i="47"/>
  <c r="BF303" i="47"/>
  <c r="BG31" i="47"/>
  <c r="BG303" i="47" s="1"/>
  <c r="BG33" i="47" l="1"/>
  <c r="BG36" i="47" s="1"/>
  <c r="BF346" i="47"/>
  <c r="BF361" i="47" s="1"/>
  <c r="BF363" i="47" s="1"/>
  <c r="BF378" i="47"/>
  <c r="BF44" i="47"/>
  <c r="BF78" i="4" s="1"/>
  <c r="BF97" i="44"/>
  <c r="BF391" i="47"/>
  <c r="BF387" i="47"/>
  <c r="BF400" i="47" l="1"/>
  <c r="BG378" i="47"/>
  <c r="BG38" i="47"/>
  <c r="BG340" i="47"/>
  <c r="BG346" i="47" s="1"/>
  <c r="BG361" i="47" s="1"/>
  <c r="BG43" i="47"/>
  <c r="BF364" i="47"/>
  <c r="BF368" i="47" s="1"/>
  <c r="BG363" i="47"/>
  <c r="BF370" i="47"/>
  <c r="BG370" i="47" l="1"/>
  <c r="BF372" i="47"/>
  <c r="BG364" i="47"/>
  <c r="BG44" i="47"/>
  <c r="BG387" i="47"/>
  <c r="BG391" i="47"/>
  <c r="BG384" i="47"/>
  <c r="BG97" i="44"/>
  <c r="BG400" i="47" l="1"/>
  <c r="BG78" i="4"/>
  <c r="BG7" i="41" s="1"/>
  <c r="BG45" i="47"/>
  <c r="BL362" i="47"/>
  <c r="BH362" i="47"/>
  <c r="BG368" i="47"/>
  <c r="CZ74" i="41" s="1"/>
  <c r="CZ75" i="41" s="1"/>
  <c r="CZ77" i="41" s="1"/>
  <c r="BF396" i="47"/>
  <c r="BF397" i="47"/>
  <c r="BG372" i="47"/>
  <c r="BH332" i="47"/>
  <c r="BG9" i="3" l="1"/>
  <c r="BH26" i="47"/>
  <c r="BG396" i="47"/>
  <c r="BG381" i="47"/>
  <c r="BG395" i="47" s="1"/>
  <c r="BG397" i="47"/>
  <c r="BF381" i="47" l="1"/>
  <c r="BG376" i="47"/>
  <c r="BG394" i="47"/>
  <c r="BG379" i="47"/>
  <c r="BG373" i="47"/>
  <c r="BG382" i="47"/>
  <c r="BH27" i="47"/>
  <c r="BH29" i="47" s="1"/>
  <c r="BH390" i="47"/>
  <c r="BH401" i="47" s="1"/>
  <c r="BF376" i="47" l="1"/>
  <c r="BF394" i="47"/>
  <c r="BF379" i="47"/>
  <c r="BF373" i="47"/>
  <c r="BF395" i="47"/>
  <c r="BF382" i="47"/>
  <c r="BH31" i="47"/>
  <c r="BH303" i="47" l="1"/>
  <c r="BH33" i="47"/>
  <c r="BH36" i="47" s="1"/>
  <c r="BH38" i="47" l="1"/>
  <c r="BH43" i="47"/>
  <c r="BH340" i="47"/>
  <c r="BH346" i="47" l="1"/>
  <c r="BH361" i="47" s="1"/>
  <c r="BH363" i="47" s="1"/>
  <c r="BH378" i="47"/>
  <c r="BH44" i="47"/>
  <c r="BH78" i="4" s="1"/>
  <c r="BH387" i="47"/>
  <c r="BH391" i="47"/>
  <c r="BH97" i="44"/>
  <c r="BH400" i="47" l="1"/>
  <c r="BH364" i="47"/>
  <c r="BH370" i="47"/>
  <c r="BI362" i="47" l="1"/>
  <c r="BH368" i="47"/>
  <c r="BI332" i="47" s="1"/>
  <c r="BH372" i="47"/>
  <c r="BH396" i="47" l="1"/>
  <c r="BH397" i="47"/>
  <c r="BH381" i="47"/>
  <c r="BH395" i="47" s="1"/>
  <c r="BI26" i="47"/>
  <c r="BH382" i="47" l="1"/>
  <c r="BI27" i="47"/>
  <c r="BI29" i="47" s="1"/>
  <c r="BI390" i="47"/>
  <c r="BI401" i="47" s="1"/>
  <c r="BH376" i="47"/>
  <c r="BH394" i="47"/>
  <c r="BH379" i="47"/>
  <c r="BH373" i="47"/>
  <c r="BI31" i="47" l="1"/>
  <c r="BI33" i="47" s="1"/>
  <c r="BI36" i="47" s="1"/>
  <c r="BI43" i="47" l="1"/>
  <c r="BI38" i="47"/>
  <c r="BI340" i="47"/>
  <c r="BI303" i="47"/>
  <c r="BI346" i="47" l="1"/>
  <c r="BI361" i="47" s="1"/>
  <c r="BI363" i="47" s="1"/>
  <c r="BI378" i="47"/>
  <c r="BI44" i="47"/>
  <c r="BI78" i="4" s="1"/>
  <c r="BI97" i="44"/>
  <c r="BI387" i="47"/>
  <c r="BI391" i="47"/>
  <c r="BI400" i="47" l="1"/>
  <c r="BI364" i="47"/>
  <c r="BI370" i="47"/>
  <c r="BJ362" i="47" l="1"/>
  <c r="BI368" i="47"/>
  <c r="BJ332" i="47"/>
  <c r="BI372" i="47"/>
  <c r="BI396" i="47" l="1"/>
  <c r="BI397" i="47"/>
  <c r="BI381" i="47"/>
  <c r="BI373" i="47" s="1"/>
  <c r="BJ26" i="47"/>
  <c r="BI395" i="47" l="1"/>
  <c r="BJ27" i="47"/>
  <c r="BJ29" i="47" s="1"/>
  <c r="BJ390" i="47"/>
  <c r="BJ401" i="47" s="1"/>
  <c r="BI376" i="47"/>
  <c r="BI394" i="47"/>
  <c r="BI379" i="47"/>
  <c r="BI382" i="47"/>
  <c r="BJ31" i="47" l="1"/>
  <c r="BJ33" i="47" s="1"/>
  <c r="BJ36" i="47" s="1"/>
  <c r="BJ43" i="47" l="1"/>
  <c r="BJ38" i="47"/>
  <c r="BJ340" i="47"/>
  <c r="BJ303" i="47"/>
  <c r="BJ346" i="47" l="1"/>
  <c r="BJ361" i="47" s="1"/>
  <c r="BJ363" i="47" s="1"/>
  <c r="BJ378" i="47"/>
  <c r="BJ44" i="47"/>
  <c r="BJ78" i="4" s="1"/>
  <c r="BJ97" i="44"/>
  <c r="BJ387" i="47"/>
  <c r="BJ391" i="47"/>
  <c r="BJ400" i="47" l="1"/>
  <c r="BJ364" i="47"/>
  <c r="BJ370" i="47"/>
  <c r="BK362" i="47" l="1"/>
  <c r="BJ368" i="47"/>
  <c r="BK332" i="47"/>
  <c r="BJ372" i="47"/>
  <c r="BK26" i="47" l="1"/>
  <c r="BL332" i="47"/>
  <c r="BJ396" i="47"/>
  <c r="BJ397" i="47"/>
  <c r="BJ381" i="47"/>
  <c r="BJ373" i="47" s="1"/>
  <c r="BJ376" i="47" l="1"/>
  <c r="BJ394" i="47"/>
  <c r="BJ379" i="47"/>
  <c r="BJ382" i="47"/>
  <c r="BJ395" i="47"/>
  <c r="BK27" i="47"/>
  <c r="BK29" i="47" s="1"/>
  <c r="BK390" i="47"/>
  <c r="BK401" i="47" s="1"/>
  <c r="BL26" i="47"/>
  <c r="DE37" i="41" s="1"/>
  <c r="DE38" i="41" s="1"/>
  <c r="DE39" i="41" s="1"/>
  <c r="DE45" i="41" s="1"/>
  <c r="DE46" i="41" s="1"/>
  <c r="DE50" i="41" s="1"/>
  <c r="BK31" i="47" l="1"/>
  <c r="BL27" i="47"/>
  <c r="BL29" i="47" s="1"/>
  <c r="BL390" i="47"/>
  <c r="BL401" i="47" s="1"/>
  <c r="BK303" i="47" l="1"/>
  <c r="BL31" i="47"/>
  <c r="BL303" i="47" s="1"/>
  <c r="BK33" i="47"/>
  <c r="BK36" i="47" s="1"/>
  <c r="BK38" i="47" l="1"/>
  <c r="BK340" i="47"/>
  <c r="BK43" i="47"/>
  <c r="BL33" i="47"/>
  <c r="BL36" i="47" s="1"/>
  <c r="BK346" i="47" l="1"/>
  <c r="BK361" i="47" s="1"/>
  <c r="BK363" i="47" s="1"/>
  <c r="BK378" i="47"/>
  <c r="BK44" i="47"/>
  <c r="BK78" i="4" s="1"/>
  <c r="BK97" i="44"/>
  <c r="BK391" i="47"/>
  <c r="BK387" i="47"/>
  <c r="BL38" i="47"/>
  <c r="BL43" i="47"/>
  <c r="BL340" i="47"/>
  <c r="BL346" i="47" s="1"/>
  <c r="BL361" i="47" s="1"/>
  <c r="BL44" i="47" l="1"/>
  <c r="BL387" i="47"/>
  <c r="BL391" i="47"/>
  <c r="BL97" i="44"/>
  <c r="BK400" i="47"/>
  <c r="BL378" i="47"/>
  <c r="BL384" i="47" s="1"/>
  <c r="BK364" i="47"/>
  <c r="BK368" i="47" s="1"/>
  <c r="BL363" i="47"/>
  <c r="BL364" i="47" s="1"/>
  <c r="BK370" i="47"/>
  <c r="BM362" i="47" l="1"/>
  <c r="BQ362" i="47"/>
  <c r="BL368" i="47"/>
  <c r="DE74" i="41" s="1"/>
  <c r="DE75" i="41" s="1"/>
  <c r="DE77" i="41" s="1"/>
  <c r="BL400" i="47"/>
  <c r="BL370" i="47"/>
  <c r="BK372" i="47"/>
  <c r="BL78" i="4"/>
  <c r="BL7" i="41" s="1"/>
  <c r="BL45" i="47"/>
  <c r="BL9" i="3" l="1"/>
  <c r="BK396" i="47"/>
  <c r="BK397" i="47"/>
  <c r="BM332" i="47"/>
  <c r="BL372" i="47"/>
  <c r="BL396" i="47" l="1"/>
  <c r="BL397" i="47"/>
  <c r="BL381" i="47"/>
  <c r="BL373" i="47" s="1"/>
  <c r="BM26" i="47"/>
  <c r="BL382" i="47" l="1"/>
  <c r="BL395" i="47"/>
  <c r="BM27" i="47"/>
  <c r="BM29" i="47" s="1"/>
  <c r="BM390" i="47"/>
  <c r="BM401" i="47" s="1"/>
  <c r="BK381" i="47"/>
  <c r="BL376" i="47"/>
  <c r="BL394" i="47"/>
  <c r="BL379" i="47"/>
  <c r="BK376" i="47" l="1"/>
  <c r="BK394" i="47"/>
  <c r="BK379" i="47"/>
  <c r="BK395" i="47"/>
  <c r="BK382" i="47"/>
  <c r="BK373" i="47"/>
  <c r="BM31" i="47"/>
  <c r="BM33" i="47" s="1"/>
  <c r="BM36" i="47" s="1"/>
  <c r="BM43" i="47" l="1"/>
  <c r="BM38" i="47"/>
  <c r="BM340" i="47"/>
  <c r="BM303" i="47"/>
  <c r="BM346" i="47" l="1"/>
  <c r="BM361" i="47" s="1"/>
  <c r="BM363" i="47" s="1"/>
  <c r="BM378" i="47"/>
  <c r="BM44" i="47"/>
  <c r="BM78" i="4" s="1"/>
  <c r="BM387" i="47"/>
  <c r="BM391" i="47"/>
  <c r="BM97" i="44"/>
  <c r="BM400" i="47" l="1"/>
  <c r="BM364" i="47"/>
  <c r="BM370" i="47"/>
  <c r="BN362" i="47" l="1"/>
  <c r="BM368" i="47"/>
  <c r="BN332" i="47" s="1"/>
  <c r="BM372" i="47"/>
  <c r="BM396" i="47" l="1"/>
  <c r="BM397" i="47"/>
  <c r="BM381" i="47"/>
  <c r="BM373" i="47" s="1"/>
  <c r="BN26" i="47"/>
  <c r="BM395" i="47" l="1"/>
  <c r="BN27" i="47"/>
  <c r="BN29" i="47" s="1"/>
  <c r="BN390" i="47"/>
  <c r="BN401" i="47" s="1"/>
  <c r="BM376" i="47"/>
  <c r="BM394" i="47"/>
  <c r="BM379" i="47"/>
  <c r="BM382" i="47"/>
  <c r="BN31" i="47" l="1"/>
  <c r="BN33" i="47" s="1"/>
  <c r="BN36" i="47" s="1"/>
  <c r="BN43" i="47" l="1"/>
  <c r="BN38" i="47"/>
  <c r="BN340" i="47"/>
  <c r="BN303" i="47"/>
  <c r="BN346" i="47" l="1"/>
  <c r="BN361" i="47" s="1"/>
  <c r="BN363" i="47" s="1"/>
  <c r="BN378" i="47"/>
  <c r="BN44" i="47"/>
  <c r="BN78" i="4" s="1"/>
  <c r="BN97" i="44"/>
  <c r="BN391" i="47"/>
  <c r="BN387" i="47"/>
  <c r="BN400" i="47" l="1"/>
  <c r="BN364" i="47"/>
  <c r="BN370" i="47"/>
  <c r="BO362" i="47" l="1"/>
  <c r="BN368" i="47"/>
  <c r="BO332" i="47" s="1"/>
  <c r="BN372" i="47"/>
  <c r="BO26" i="47" l="1"/>
  <c r="BN396" i="47"/>
  <c r="BN397" i="47"/>
  <c r="BN381" i="47"/>
  <c r="BN376" i="47" l="1"/>
  <c r="BN394" i="47"/>
  <c r="BN379" i="47"/>
  <c r="BN373" i="47"/>
  <c r="BN382" i="47"/>
  <c r="BN395" i="47"/>
  <c r="BO27" i="47"/>
  <c r="BO29" i="47" s="1"/>
  <c r="BO390" i="47"/>
  <c r="BO401" i="47" s="1"/>
  <c r="BO31" i="47" l="1"/>
  <c r="BO303" i="47" l="1"/>
  <c r="BO33" i="47"/>
  <c r="BO36" i="47" s="1"/>
  <c r="BO38" i="47" l="1"/>
  <c r="BO340" i="47"/>
  <c r="BO43" i="47"/>
  <c r="BO346" i="47" l="1"/>
  <c r="BO361" i="47" s="1"/>
  <c r="BO363" i="47" s="1"/>
  <c r="BO378" i="47"/>
  <c r="BO44" i="47"/>
  <c r="BO78" i="4" s="1"/>
  <c r="BO97" i="44"/>
  <c r="BO391" i="47"/>
  <c r="BO387" i="47"/>
  <c r="BO400" i="47" l="1"/>
  <c r="BO364" i="47"/>
  <c r="BO370" i="47"/>
  <c r="BO368" i="47" l="1"/>
  <c r="BP332" i="47" s="1"/>
  <c r="BP362" i="47"/>
  <c r="BO372" i="47"/>
  <c r="BP26" i="47" l="1"/>
  <c r="BQ332" i="47"/>
  <c r="BO396" i="47"/>
  <c r="BO397" i="47"/>
  <c r="BO381" i="47"/>
  <c r="BO382" i="47" s="1"/>
  <c r="BO394" i="47" l="1"/>
  <c r="BO376" i="47"/>
  <c r="BO379" i="47"/>
  <c r="BO395" i="47"/>
  <c r="BO373" i="47"/>
  <c r="BP27" i="47"/>
  <c r="BP29" i="47" s="1"/>
  <c r="BQ26" i="47"/>
  <c r="DF37" i="41" s="1"/>
  <c r="BP390" i="47"/>
  <c r="BP401" i="47" s="1"/>
  <c r="DF38" i="41" l="1"/>
  <c r="DF39" i="41"/>
  <c r="DF45" i="41" s="1"/>
  <c r="DF46" i="41" s="1"/>
  <c r="DF50" i="41" s="1"/>
  <c r="BV55" i="41" s="1"/>
  <c r="BV57" i="41" s="1"/>
  <c r="BQ27" i="47"/>
  <c r="BQ29" i="47" s="1"/>
  <c r="BQ390" i="47"/>
  <c r="BQ401" i="47" s="1"/>
  <c r="BP31" i="47"/>
  <c r="BP33" i="47" s="1"/>
  <c r="BP36" i="47" s="1"/>
  <c r="CZ52" i="41" l="1"/>
  <c r="BV62" i="41"/>
  <c r="CA52" i="41"/>
  <c r="CK52" i="41"/>
  <c r="CP52" i="41"/>
  <c r="BV59" i="41"/>
  <c r="CU52" i="41"/>
  <c r="DE52" i="41"/>
  <c r="CF52" i="41"/>
  <c r="DF52" i="41"/>
  <c r="BP38" i="47"/>
  <c r="BP43" i="47"/>
  <c r="BP340" i="47"/>
  <c r="BP303" i="47"/>
  <c r="BQ31" i="47"/>
  <c r="BQ303" i="47" s="1"/>
  <c r="BQ33" i="47"/>
  <c r="BQ36" i="47" s="1"/>
  <c r="CK53" i="41" l="1"/>
  <c r="CZ53" i="41"/>
  <c r="DE53" i="41"/>
  <c r="CA53" i="41"/>
  <c r="CP53" i="41"/>
  <c r="BV61" i="41"/>
  <c r="CF15" i="41" s="1"/>
  <c r="DF53" i="41"/>
  <c r="CF53" i="41"/>
  <c r="CU53" i="41"/>
  <c r="BQ43" i="47"/>
  <c r="BQ38" i="47"/>
  <c r="BQ340" i="47"/>
  <c r="BQ346" i="47" s="1"/>
  <c r="BQ361" i="47" s="1"/>
  <c r="BP44" i="47"/>
  <c r="BP78" i="4" s="1"/>
  <c r="BP97" i="44"/>
  <c r="BP391" i="47"/>
  <c r="BP387" i="47"/>
  <c r="BP346" i="47"/>
  <c r="BP361" i="47" s="1"/>
  <c r="BP363" i="47" s="1"/>
  <c r="BP378" i="47"/>
  <c r="BQ44" i="47" l="1"/>
  <c r="BQ391" i="47"/>
  <c r="BQ387" i="47"/>
  <c r="BQ97" i="44"/>
  <c r="BP364" i="47"/>
  <c r="BP368" i="47" s="1"/>
  <c r="BQ363" i="47"/>
  <c r="BQ364" i="47" s="1"/>
  <c r="BQ368" i="47" s="1"/>
  <c r="DF74" i="41" s="1"/>
  <c r="DF75" i="41" s="1"/>
  <c r="DF77" i="41" s="1"/>
  <c r="BP370" i="47"/>
  <c r="BQ378" i="47"/>
  <c r="BP400" i="47"/>
  <c r="BP372" i="47" l="1"/>
  <c r="BQ370" i="47"/>
  <c r="BQ372" i="47" s="1"/>
  <c r="BQ381" i="47" s="1"/>
  <c r="BQ379" i="47" s="1"/>
  <c r="BQ400" i="47"/>
  <c r="BQ384" i="47"/>
  <c r="BQ78" i="4"/>
  <c r="BQ7" i="41" s="1"/>
  <c r="BQ45" i="47"/>
  <c r="BQ397" i="47" l="1"/>
  <c r="BQ9" i="3"/>
  <c r="BP396" i="47"/>
  <c r="BP397" i="47"/>
  <c r="BQ376" i="47"/>
  <c r="BQ394" i="47"/>
  <c r="BP381" i="47"/>
  <c r="BQ382" i="47"/>
  <c r="BQ396" i="47"/>
  <c r="BQ395" i="47"/>
  <c r="BQ373" i="47"/>
  <c r="BP376" i="47" l="1"/>
  <c r="BP394" i="47"/>
  <c r="BP379" i="47"/>
  <c r="BP382" i="47"/>
  <c r="BP395" i="47"/>
  <c r="BP373" i="47"/>
  <c r="BB60" i="45" l="1"/>
  <c r="BA72" i="45"/>
  <c r="AY72" i="45"/>
  <c r="AY80" i="45" s="1"/>
  <c r="AY24" i="45" s="1"/>
  <c r="AZ72" i="45"/>
  <c r="AZ80" i="45"/>
  <c r="AZ24" i="45" s="1"/>
  <c r="BA80" i="45" l="1"/>
  <c r="BA24" i="45" s="1"/>
  <c r="BB72" i="45"/>
  <c r="BB61" i="45"/>
  <c r="BB80" i="45" l="1"/>
  <c r="BB24" i="45" s="1"/>
  <c r="BB32" i="44"/>
  <c r="BB62" i="45"/>
  <c r="BC72" i="45" l="1"/>
  <c r="BC80" i="45" s="1"/>
  <c r="BB33" i="44"/>
  <c r="BB51" i="44"/>
  <c r="BB67" i="44"/>
  <c r="AZ78" i="45"/>
  <c r="AZ30" i="45" s="1"/>
  <c r="BA78" i="45"/>
  <c r="BA30" i="45" s="1"/>
  <c r="AX78" i="45"/>
  <c r="AX30" i="45" s="1"/>
  <c r="AY78" i="45"/>
  <c r="AY30" i="45" s="1"/>
  <c r="AX28" i="45" l="1"/>
  <c r="BB30" i="45"/>
  <c r="AX32" i="45"/>
  <c r="AX37" i="45"/>
  <c r="BB34" i="44"/>
  <c r="BB35" i="44"/>
  <c r="BA28" i="45"/>
  <c r="BA26" i="45" s="1"/>
  <c r="BA21" i="45" s="1"/>
  <c r="BA32" i="45"/>
  <c r="BA37" i="45"/>
  <c r="AY28" i="45"/>
  <c r="AY26" i="45" s="1"/>
  <c r="AY21" i="45" s="1"/>
  <c r="AY32" i="45"/>
  <c r="AY37" i="45"/>
  <c r="AZ28" i="45"/>
  <c r="AZ26" i="45" s="1"/>
  <c r="AZ21" i="45" s="1"/>
  <c r="AZ32" i="45"/>
  <c r="AZ37" i="45"/>
  <c r="BC24" i="45"/>
  <c r="BD72" i="45"/>
  <c r="BD80" i="45" s="1"/>
  <c r="BD24" i="45" s="1"/>
  <c r="AZ17" i="45" l="1"/>
  <c r="AZ22" i="45"/>
  <c r="BA17" i="45"/>
  <c r="BA22" i="45"/>
  <c r="BE72" i="45"/>
  <c r="BE80" i="45" s="1"/>
  <c r="BE24" i="45" s="1"/>
  <c r="BB32" i="45"/>
  <c r="BB37" i="45"/>
  <c r="AY17" i="45"/>
  <c r="AY22" i="45"/>
  <c r="AZ38" i="45"/>
  <c r="AZ81" i="4" s="1"/>
  <c r="AZ96" i="44"/>
  <c r="AY38" i="45"/>
  <c r="AY81" i="4" s="1"/>
  <c r="AY96" i="44"/>
  <c r="BB28" i="45"/>
  <c r="BB26" i="45" s="1"/>
  <c r="BB21" i="45" s="1"/>
  <c r="BA38" i="45"/>
  <c r="BA81" i="4" s="1"/>
  <c r="BA96" i="44"/>
  <c r="AX26" i="45"/>
  <c r="AX21" i="45" s="1"/>
  <c r="AX38" i="45"/>
  <c r="AX81" i="4" s="1"/>
  <c r="AX96" i="44"/>
  <c r="BB22" i="45" l="1"/>
  <c r="BB23" i="3" s="1"/>
  <c r="BB17" i="45"/>
  <c r="AY20" i="4"/>
  <c r="AY8" i="45"/>
  <c r="BA20" i="4"/>
  <c r="BA8" i="45"/>
  <c r="BG61" i="45"/>
  <c r="BF72" i="45"/>
  <c r="AX22" i="45"/>
  <c r="AX17" i="45"/>
  <c r="BB38" i="45"/>
  <c r="BB81" i="4" s="1"/>
  <c r="BB10" i="41" s="1"/>
  <c r="BB96" i="44"/>
  <c r="AZ20" i="4"/>
  <c r="AZ8" i="45"/>
  <c r="BG32" i="44" l="1"/>
  <c r="BG62" i="45"/>
  <c r="AX20" i="4"/>
  <c r="AX8" i="45"/>
  <c r="AY10" i="45"/>
  <c r="BB20" i="4"/>
  <c r="BB8" i="45"/>
  <c r="BB10" i="45" s="1"/>
  <c r="BB12" i="3"/>
  <c r="AZ10" i="45"/>
  <c r="BF80" i="45"/>
  <c r="BG72" i="45"/>
  <c r="BA10" i="45"/>
  <c r="AX10" i="45" l="1"/>
  <c r="BG51" i="44"/>
  <c r="BG67" i="44"/>
  <c r="BG33" i="44"/>
  <c r="BD78" i="45"/>
  <c r="BD30" i="45" s="1"/>
  <c r="BE78" i="45"/>
  <c r="BE30" i="45" s="1"/>
  <c r="BF78" i="45"/>
  <c r="BF30" i="45" s="1"/>
  <c r="BC78" i="45"/>
  <c r="BC30" i="45" s="1"/>
  <c r="BF24" i="45"/>
  <c r="BG80" i="45"/>
  <c r="BG24" i="45" s="1"/>
  <c r="BH72" i="45"/>
  <c r="BH80" i="45" s="1"/>
  <c r="BI72" i="45" l="1"/>
  <c r="BI80" i="45" s="1"/>
  <c r="BI24" i="45" s="1"/>
  <c r="BD28" i="45"/>
  <c r="BD26" i="45" s="1"/>
  <c r="BD21" i="45" s="1"/>
  <c r="BD32" i="45"/>
  <c r="BD37" i="45"/>
  <c r="BE28" i="45"/>
  <c r="BE26" i="45" s="1"/>
  <c r="BE21" i="45" s="1"/>
  <c r="BE32" i="45"/>
  <c r="BE37" i="45"/>
  <c r="BC28" i="45"/>
  <c r="BC26" i="45" s="1"/>
  <c r="BC21" i="45" s="1"/>
  <c r="BG30" i="45"/>
  <c r="BC32" i="45"/>
  <c r="BC37" i="45"/>
  <c r="BG34" i="44"/>
  <c r="BG35" i="44"/>
  <c r="BH24" i="45"/>
  <c r="BF28" i="45"/>
  <c r="BF26" i="45" s="1"/>
  <c r="BF21" i="45" s="1"/>
  <c r="BF32" i="45"/>
  <c r="BF37" i="45"/>
  <c r="BE17" i="45" l="1"/>
  <c r="BE22" i="45"/>
  <c r="BF17" i="45"/>
  <c r="BF22" i="45"/>
  <c r="BD17" i="45"/>
  <c r="BD22" i="45"/>
  <c r="BC22" i="45"/>
  <c r="BC17" i="45"/>
  <c r="BD38" i="45"/>
  <c r="BD81" i="4" s="1"/>
  <c r="BD96" i="44"/>
  <c r="BJ72" i="45"/>
  <c r="BJ80" i="45" s="1"/>
  <c r="BF38" i="45"/>
  <c r="BF81" i="4" s="1"/>
  <c r="BF96" i="44"/>
  <c r="BC38" i="45"/>
  <c r="BC81" i="4" s="1"/>
  <c r="BC96" i="44"/>
  <c r="BG32" i="45"/>
  <c r="BG37" i="45"/>
  <c r="BG28" i="45"/>
  <c r="BG26" i="45" s="1"/>
  <c r="BG21" i="45" s="1"/>
  <c r="BE38" i="45"/>
  <c r="BE81" i="4" s="1"/>
  <c r="BE96" i="44"/>
  <c r="BG22" i="45" l="1"/>
  <c r="BG23" i="3" s="1"/>
  <c r="BG17" i="45"/>
  <c r="BL61" i="45"/>
  <c r="BK72" i="45"/>
  <c r="BD20" i="4"/>
  <c r="BD8" i="45"/>
  <c r="BF20" i="4"/>
  <c r="BF8" i="45"/>
  <c r="BG38" i="45"/>
  <c r="BG81" i="4" s="1"/>
  <c r="BG10" i="41" s="1"/>
  <c r="BG96" i="44"/>
  <c r="BJ24" i="45"/>
  <c r="BC20" i="4"/>
  <c r="BC8" i="45"/>
  <c r="BE20" i="4"/>
  <c r="BE8" i="45"/>
  <c r="BF10" i="45" l="1"/>
  <c r="BL72" i="45"/>
  <c r="BK80" i="45"/>
  <c r="BD10" i="45"/>
  <c r="BL32" i="44"/>
  <c r="BL62" i="45"/>
  <c r="BE10" i="45"/>
  <c r="BG12" i="3"/>
  <c r="BC10" i="45"/>
  <c r="BG20" i="4"/>
  <c r="BG8" i="45"/>
  <c r="BG10" i="45" s="1"/>
  <c r="BL73" i="45" l="1"/>
  <c r="BL33" i="44"/>
  <c r="BS34" i="44" s="1"/>
  <c r="BL51" i="44"/>
  <c r="BL67" i="44"/>
  <c r="BH78" i="45"/>
  <c r="BH30" i="45" s="1"/>
  <c r="BI78" i="45"/>
  <c r="BI30" i="45" s="1"/>
  <c r="BJ78" i="45"/>
  <c r="BJ30" i="45" s="1"/>
  <c r="BK78" i="45"/>
  <c r="BK30" i="45" s="1"/>
  <c r="BK24" i="45"/>
  <c r="BL80" i="45"/>
  <c r="BL24" i="45" s="1"/>
  <c r="BM72" i="45"/>
  <c r="BM80" i="45" s="1"/>
  <c r="E63" i="10" l="1"/>
  <c r="BL65" i="9"/>
  <c r="BK28" i="45"/>
  <c r="BK26" i="45" s="1"/>
  <c r="BK21" i="45" s="1"/>
  <c r="BK32" i="45"/>
  <c r="BK37" i="45"/>
  <c r="BJ28" i="45"/>
  <c r="BJ26" i="45" s="1"/>
  <c r="BJ21" i="45" s="1"/>
  <c r="BJ32" i="45"/>
  <c r="BJ37" i="45"/>
  <c r="BH28" i="45"/>
  <c r="BL30" i="45"/>
  <c r="BH32" i="45"/>
  <c r="BH37" i="45"/>
  <c r="BL34" i="44"/>
  <c r="BL35" i="44"/>
  <c r="BN72" i="45"/>
  <c r="BN80" i="45" s="1"/>
  <c r="BN24" i="45" s="1"/>
  <c r="BM24" i="45"/>
  <c r="BI28" i="45"/>
  <c r="BI26" i="45" s="1"/>
  <c r="BI21" i="45" s="1"/>
  <c r="BI32" i="45"/>
  <c r="BI37" i="45"/>
  <c r="BJ63" i="10" l="1"/>
  <c r="DO63" i="10"/>
  <c r="BJ17" i="45"/>
  <c r="BJ22" i="45"/>
  <c r="BI22" i="45"/>
  <c r="BI17" i="45"/>
  <c r="BK17" i="45"/>
  <c r="BK22" i="45"/>
  <c r="BL28" i="45"/>
  <c r="BL26" i="45" s="1"/>
  <c r="BL21" i="45" s="1"/>
  <c r="BJ38" i="45"/>
  <c r="BJ81" i="4" s="1"/>
  <c r="BJ96" i="44"/>
  <c r="BK38" i="45"/>
  <c r="BK81" i="4" s="1"/>
  <c r="BK96" i="44"/>
  <c r="BH26" i="45"/>
  <c r="BH21" i="45" s="1"/>
  <c r="BI38" i="45"/>
  <c r="BI81" i="4" s="1"/>
  <c r="BI96" i="44"/>
  <c r="BH38" i="45"/>
  <c r="BH81" i="4" s="1"/>
  <c r="BH96" i="44"/>
  <c r="BO72" i="45"/>
  <c r="BO80" i="45" s="1"/>
  <c r="BL32" i="45"/>
  <c r="BL37" i="45"/>
  <c r="BF63" i="10" l="1"/>
  <c r="BF66" i="10" s="1"/>
  <c r="BG63" i="10"/>
  <c r="BG66" i="10" s="1"/>
  <c r="BJ66" i="10"/>
  <c r="BI63" i="10"/>
  <c r="BI66" i="10" s="1"/>
  <c r="BH63" i="10"/>
  <c r="BH66" i="10" s="1"/>
  <c r="DT63" i="10"/>
  <c r="DT66" i="10" s="1"/>
  <c r="DR63" i="10"/>
  <c r="DR66" i="10" s="1"/>
  <c r="DQ63" i="10"/>
  <c r="DQ66" i="10" s="1"/>
  <c r="DK63" i="10"/>
  <c r="DK66" i="10" s="1"/>
  <c r="DM63" i="10"/>
  <c r="DM66" i="10" s="1"/>
  <c r="DL63" i="10"/>
  <c r="DL66" i="10" s="1"/>
  <c r="DS63" i="10"/>
  <c r="DS66" i="10" s="1"/>
  <c r="DN63" i="10"/>
  <c r="DN66" i="10" s="1"/>
  <c r="DP63" i="10"/>
  <c r="DP66" i="10" s="1"/>
  <c r="DO66" i="10"/>
  <c r="BI20" i="4"/>
  <c r="BI8" i="45"/>
  <c r="BO24" i="45"/>
  <c r="BL38" i="45"/>
  <c r="BL81" i="4" s="1"/>
  <c r="BL10" i="41" s="1"/>
  <c r="BL96" i="44"/>
  <c r="BL17" i="45"/>
  <c r="BL22" i="45"/>
  <c r="BL23" i="3" s="1"/>
  <c r="BP72" i="45"/>
  <c r="BQ61" i="45"/>
  <c r="BH17" i="45"/>
  <c r="BH22" i="45"/>
  <c r="BK20" i="4"/>
  <c r="BK8" i="45"/>
  <c r="BJ20" i="4"/>
  <c r="BJ8" i="45"/>
  <c r="DQ68" i="10" l="1"/>
  <c r="DQ11" i="10"/>
  <c r="DL68" i="10"/>
  <c r="DL11" i="10"/>
  <c r="DP68" i="10"/>
  <c r="DP11" i="10"/>
  <c r="DM68" i="10"/>
  <c r="DM11" i="10"/>
  <c r="DT68" i="10"/>
  <c r="DT11" i="10"/>
  <c r="BI51" i="9"/>
  <c r="BI65" i="9" s="1"/>
  <c r="BG68" i="10"/>
  <c r="BG11" i="10"/>
  <c r="DS68" i="10"/>
  <c r="DS11" i="10"/>
  <c r="BK51" i="9"/>
  <c r="BK65" i="9" s="1"/>
  <c r="BI68" i="10"/>
  <c r="BI11" i="10"/>
  <c r="DO68" i="10"/>
  <c r="DO11" i="10"/>
  <c r="DR68" i="10"/>
  <c r="DR11" i="10"/>
  <c r="BJ68" i="10"/>
  <c r="BJ11" i="10"/>
  <c r="DN68" i="10"/>
  <c r="DN11" i="10"/>
  <c r="DK68" i="10"/>
  <c r="DK11" i="10"/>
  <c r="BJ51" i="9"/>
  <c r="BJ65" i="9" s="1"/>
  <c r="BH68" i="10"/>
  <c r="BH11" i="10"/>
  <c r="BH51" i="9"/>
  <c r="BH65" i="9" s="1"/>
  <c r="BF68" i="10"/>
  <c r="BF11" i="10"/>
  <c r="BQ32" i="44"/>
  <c r="BQ62" i="45"/>
  <c r="BI10" i="45"/>
  <c r="BQ72" i="45"/>
  <c r="BQ73" i="45" s="1"/>
  <c r="BP80" i="45"/>
  <c r="BL12" i="3"/>
  <c r="BK10" i="45"/>
  <c r="BJ10" i="45"/>
  <c r="BH20" i="4"/>
  <c r="BH8" i="45"/>
  <c r="BL20" i="4"/>
  <c r="BL8" i="45"/>
  <c r="BL10" i="45" s="1"/>
  <c r="BQ65" i="9" l="1"/>
  <c r="E64" i="10"/>
  <c r="BF12" i="10"/>
  <c r="BH106" i="4"/>
  <c r="BH145" i="4" s="1"/>
  <c r="BK111" i="4"/>
  <c r="DN12" i="10"/>
  <c r="BL106" i="4"/>
  <c r="BJ12" i="10"/>
  <c r="DO12" i="10"/>
  <c r="BL111" i="4"/>
  <c r="BP111" i="4"/>
  <c r="DS12" i="10"/>
  <c r="DT12" i="10"/>
  <c r="BQ111" i="4"/>
  <c r="DP12" i="10"/>
  <c r="BM111" i="4"/>
  <c r="BI111" i="4"/>
  <c r="DL12" i="10"/>
  <c r="BH111" i="4"/>
  <c r="DK12" i="10"/>
  <c r="BK106" i="4"/>
  <c r="BK145" i="4" s="1"/>
  <c r="BK153" i="4" s="1"/>
  <c r="BK68" i="9" s="1"/>
  <c r="BK67" i="9" s="1"/>
  <c r="BI12" i="10"/>
  <c r="BI106" i="4"/>
  <c r="BI145" i="4" s="1"/>
  <c r="BI153" i="4" s="1"/>
  <c r="BI68" i="9" s="1"/>
  <c r="BI67" i="9" s="1"/>
  <c r="BG12" i="10"/>
  <c r="BH12" i="10"/>
  <c r="BJ106" i="4"/>
  <c r="BJ145" i="4" s="1"/>
  <c r="BJ153" i="4" s="1"/>
  <c r="BJ68" i="9" s="1"/>
  <c r="BJ67" i="9" s="1"/>
  <c r="DR12" i="10"/>
  <c r="BO111" i="4"/>
  <c r="BJ111" i="4"/>
  <c r="DM12" i="10"/>
  <c r="BN111" i="4"/>
  <c r="DQ12" i="10"/>
  <c r="BH10" i="45"/>
  <c r="BP24" i="45"/>
  <c r="BQ80" i="45"/>
  <c r="BQ24" i="45" s="1"/>
  <c r="BQ33" i="44"/>
  <c r="BQ51" i="44"/>
  <c r="BQ67" i="44"/>
  <c r="BP78" i="45"/>
  <c r="BP30" i="45" s="1"/>
  <c r="BM78" i="45"/>
  <c r="BM30" i="45" s="1"/>
  <c r="BN78" i="45"/>
  <c r="BN30" i="45" s="1"/>
  <c r="BO78" i="45"/>
  <c r="BO30" i="45" s="1"/>
  <c r="BO64" i="10" l="1"/>
  <c r="DT64" i="10"/>
  <c r="E66" i="10"/>
  <c r="BL145" i="4"/>
  <c r="ED61" i="3" s="1"/>
  <c r="BH153" i="4"/>
  <c r="BH215" i="4"/>
  <c r="BN28" i="45"/>
  <c r="BN26" i="45" s="1"/>
  <c r="BN21" i="45" s="1"/>
  <c r="BN32" i="45"/>
  <c r="BN37" i="45"/>
  <c r="BM28" i="45"/>
  <c r="BQ30" i="45"/>
  <c r="BM32" i="45"/>
  <c r="BM37" i="45"/>
  <c r="BP28" i="45"/>
  <c r="BP26" i="45" s="1"/>
  <c r="BP21" i="45" s="1"/>
  <c r="BP32" i="45"/>
  <c r="BP37" i="45"/>
  <c r="BQ34" i="44"/>
  <c r="BQ35" i="44"/>
  <c r="BO28" i="45"/>
  <c r="BO26" i="45" s="1"/>
  <c r="BO21" i="45" s="1"/>
  <c r="BO32" i="45"/>
  <c r="BO37" i="45"/>
  <c r="BK64" i="10" l="1"/>
  <c r="BK66" i="10" s="1"/>
  <c r="BO66" i="10"/>
  <c r="BN64" i="10"/>
  <c r="BN66" i="10" s="1"/>
  <c r="BL64" i="10"/>
  <c r="BL66" i="10" s="1"/>
  <c r="BM64" i="10"/>
  <c r="BM66" i="10" s="1"/>
  <c r="DP64" i="10"/>
  <c r="DQ64" i="10"/>
  <c r="DS64" i="10"/>
  <c r="DR64" i="10"/>
  <c r="BH189" i="4"/>
  <c r="BI215" i="4"/>
  <c r="BH68" i="9"/>
  <c r="BH67" i="9" s="1"/>
  <c r="BL153" i="4"/>
  <c r="BL68" i="9" s="1"/>
  <c r="BL67" i="9" s="1"/>
  <c r="BQ28" i="45"/>
  <c r="BQ26" i="45" s="1"/>
  <c r="BQ21" i="45" s="1"/>
  <c r="BP17" i="45"/>
  <c r="BP22" i="45"/>
  <c r="BO17" i="45"/>
  <c r="BO22" i="45"/>
  <c r="BN22" i="45"/>
  <c r="BN17" i="45"/>
  <c r="BN38" i="45"/>
  <c r="BN81" i="4" s="1"/>
  <c r="BN96" i="44"/>
  <c r="BP38" i="45"/>
  <c r="BP81" i="4" s="1"/>
  <c r="BP96" i="44"/>
  <c r="BM26" i="45"/>
  <c r="BM21" i="45" s="1"/>
  <c r="BM38" i="45"/>
  <c r="BM81" i="4" s="1"/>
  <c r="BM96" i="44"/>
  <c r="BO38" i="45"/>
  <c r="BO81" i="4" s="1"/>
  <c r="BO96" i="44"/>
  <c r="BQ32" i="45"/>
  <c r="BQ37" i="45"/>
  <c r="BL11" i="10" l="1"/>
  <c r="BN51" i="9"/>
  <c r="BN65" i="9" s="1"/>
  <c r="BL68" i="10"/>
  <c r="BP51" i="9"/>
  <c r="BP65" i="9" s="1"/>
  <c r="BN68" i="10"/>
  <c r="BN11" i="10"/>
  <c r="BO11" i="10"/>
  <c r="BO68" i="10"/>
  <c r="BM11" i="10"/>
  <c r="BO51" i="9"/>
  <c r="BO65" i="9" s="1"/>
  <c r="BM68" i="10"/>
  <c r="BK68" i="10"/>
  <c r="BK11" i="10"/>
  <c r="BM51" i="9"/>
  <c r="BM65" i="9" s="1"/>
  <c r="BI189" i="4"/>
  <c r="BJ215" i="4"/>
  <c r="BQ17" i="45"/>
  <c r="BQ22" i="45"/>
  <c r="BQ23" i="3" s="1"/>
  <c r="BN20" i="4"/>
  <c r="BN8" i="45"/>
  <c r="BO20" i="4"/>
  <c r="BO8" i="45"/>
  <c r="BQ38" i="45"/>
  <c r="BQ81" i="4" s="1"/>
  <c r="BQ10" i="41" s="1"/>
  <c r="BQ96" i="44"/>
  <c r="BM22" i="45"/>
  <c r="BM17" i="45"/>
  <c r="BP20" i="4"/>
  <c r="BP8" i="45"/>
  <c r="BQ106" i="4" l="1"/>
  <c r="BO12" i="10"/>
  <c r="BP106" i="4"/>
  <c r="BP145" i="4" s="1"/>
  <c r="BP153" i="4" s="1"/>
  <c r="BP68" i="9" s="1"/>
  <c r="BP67" i="9" s="1"/>
  <c r="BN12" i="10"/>
  <c r="BM106" i="4"/>
  <c r="BM145" i="4" s="1"/>
  <c r="BK12" i="10"/>
  <c r="BM12" i="10"/>
  <c r="BO106" i="4"/>
  <c r="BO145" i="4" s="1"/>
  <c r="BO153" i="4" s="1"/>
  <c r="BO68" i="9" s="1"/>
  <c r="BO67" i="9" s="1"/>
  <c r="BL12" i="10"/>
  <c r="BN106" i="4"/>
  <c r="BN145" i="4" s="1"/>
  <c r="BN153" i="4" s="1"/>
  <c r="BN68" i="9" s="1"/>
  <c r="BN67" i="9" s="1"/>
  <c r="BJ189" i="4"/>
  <c r="BK215" i="4"/>
  <c r="BQ12" i="3"/>
  <c r="BO10" i="45"/>
  <c r="BN10" i="45"/>
  <c r="BP10" i="45"/>
  <c r="BM20" i="4"/>
  <c r="BM8" i="45"/>
  <c r="BQ20" i="4"/>
  <c r="BQ8" i="45"/>
  <c r="BQ10" i="45" s="1"/>
  <c r="BQ145" i="4" l="1"/>
  <c r="EI61" i="3" s="1"/>
  <c r="BM153" i="4"/>
  <c r="BK189" i="4"/>
  <c r="BL189" i="4" s="1"/>
  <c r="BL215" i="4"/>
  <c r="BM10" i="45"/>
  <c r="BM68" i="9" l="1"/>
  <c r="BM67" i="9" s="1"/>
  <c r="BQ153" i="4"/>
  <c r="BQ68" i="9" s="1"/>
  <c r="BQ67" i="9" s="1"/>
  <c r="ED11" i="3"/>
  <c r="BM215" i="4"/>
  <c r="BM189" i="4" l="1"/>
  <c r="BN215" i="4"/>
  <c r="BN189" i="4" l="1"/>
  <c r="BO215" i="4"/>
  <c r="BP215" i="4" l="1"/>
  <c r="BO189" i="4"/>
  <c r="BQ215" i="4" l="1"/>
  <c r="EI11" i="3" s="1"/>
  <c r="BP189" i="4"/>
  <c r="BQ189" i="4" s="1"/>
  <c r="AX8" i="4"/>
  <c r="AX10" i="4" s="1"/>
  <c r="AY8" i="4"/>
  <c r="AZ8" i="4"/>
  <c r="AZ23" i="4" s="1"/>
  <c r="AZ30" i="4" s="1"/>
  <c r="AZ31" i="4" s="1"/>
  <c r="BA8" i="4"/>
  <c r="BA10" i="4" s="1"/>
  <c r="BB8" i="9"/>
  <c r="BB17" i="9" s="1"/>
  <c r="BB22" i="4" s="1"/>
  <c r="BC8" i="9"/>
  <c r="BC8" i="4" s="1"/>
  <c r="BD8" i="9"/>
  <c r="BD8" i="4" s="1"/>
  <c r="BE8" i="9"/>
  <c r="BE8" i="4" s="1"/>
  <c r="BF8" i="9"/>
  <c r="BF8" i="4" s="1"/>
  <c r="AX10" i="9"/>
  <c r="AY10" i="9"/>
  <c r="AZ10" i="9"/>
  <c r="BA10" i="9"/>
  <c r="BC10" i="9"/>
  <c r="BD10" i="9"/>
  <c r="BE10" i="9"/>
  <c r="AX17" i="9"/>
  <c r="AX22" i="4" s="1"/>
  <c r="AY17" i="9"/>
  <c r="AY22" i="4" s="1"/>
  <c r="AZ17" i="9"/>
  <c r="AZ22" i="4" s="1"/>
  <c r="BA17" i="9"/>
  <c r="BA22" i="4" s="1"/>
  <c r="BC17" i="9"/>
  <c r="BC22" i="4" s="1"/>
  <c r="BD17" i="9"/>
  <c r="BD22" i="4" s="1"/>
  <c r="BE17" i="9"/>
  <c r="BE22" i="4" s="1"/>
  <c r="BA21" i="9"/>
  <c r="BA22" i="9" s="1"/>
  <c r="BI8" i="9" l="1"/>
  <c r="BN8" i="9" s="1"/>
  <c r="BF10" i="9"/>
  <c r="BB10" i="9"/>
  <c r="BF17" i="9"/>
  <c r="BF22" i="4" s="1"/>
  <c r="BK8" i="9"/>
  <c r="BA23" i="4"/>
  <c r="BA30" i="4" s="1"/>
  <c r="BA31" i="4" s="1"/>
  <c r="AX23" i="4"/>
  <c r="AX30" i="4" s="1"/>
  <c r="AX231" i="4" s="1"/>
  <c r="AX244" i="4" s="1"/>
  <c r="AX21" i="9"/>
  <c r="BB21" i="9"/>
  <c r="BB22" i="9" s="1"/>
  <c r="BB25" i="3" s="1"/>
  <c r="BD21" i="9"/>
  <c r="BD22" i="9" s="1"/>
  <c r="AZ21" i="9"/>
  <c r="AZ22" i="9" s="1"/>
  <c r="BE21" i="9"/>
  <c r="BE22" i="9" s="1"/>
  <c r="BC21" i="9"/>
  <c r="BC22" i="9" s="1"/>
  <c r="AY21" i="9"/>
  <c r="AY22" i="9" s="1"/>
  <c r="BG8" i="9"/>
  <c r="AZ10" i="4"/>
  <c r="AZ24" i="4"/>
  <c r="BC10" i="4"/>
  <c r="BC23" i="4"/>
  <c r="BC30" i="4" s="1"/>
  <c r="BG8" i="4"/>
  <c r="BB8" i="4"/>
  <c r="AY23" i="4"/>
  <c r="AY30" i="4" s="1"/>
  <c r="AY10" i="4"/>
  <c r="BJ8" i="9"/>
  <c r="BF10" i="4"/>
  <c r="BF23" i="4"/>
  <c r="BF30" i="4" s="1"/>
  <c r="BE10" i="4"/>
  <c r="BE23" i="4"/>
  <c r="BE30" i="4" s="1"/>
  <c r="BP8" i="9"/>
  <c r="BH8" i="9"/>
  <c r="BD10" i="4"/>
  <c r="BD23" i="4"/>
  <c r="BD30" i="4" s="1"/>
  <c r="BF21" i="9" l="1"/>
  <c r="BF22" i="9" s="1"/>
  <c r="BK8" i="4"/>
  <c r="BK17" i="9"/>
  <c r="BK10" i="9"/>
  <c r="BI8" i="4"/>
  <c r="BI17" i="9"/>
  <c r="BI10" i="9"/>
  <c r="AX35" i="4"/>
  <c r="AX37" i="4" s="1"/>
  <c r="AX136" i="4" s="1"/>
  <c r="AX191" i="4" s="1"/>
  <c r="AX195" i="4" s="1"/>
  <c r="BA24" i="4"/>
  <c r="AX31" i="4"/>
  <c r="AX232" i="4" s="1"/>
  <c r="AX24" i="4"/>
  <c r="AX22" i="9"/>
  <c r="AX26" i="9"/>
  <c r="BC24" i="4"/>
  <c r="BG10" i="9"/>
  <c r="BG17" i="9"/>
  <c r="AY24" i="4"/>
  <c r="BF24" i="4"/>
  <c r="BF31" i="4"/>
  <c r="BB10" i="4"/>
  <c r="BB23" i="4"/>
  <c r="BH8" i="4"/>
  <c r="BL8" i="9"/>
  <c r="BH10" i="9"/>
  <c r="BH17" i="9"/>
  <c r="BM8" i="9"/>
  <c r="BG23" i="4"/>
  <c r="BG10" i="4"/>
  <c r="BP8" i="4"/>
  <c r="BP10" i="9"/>
  <c r="BP17" i="9"/>
  <c r="BE31" i="4"/>
  <c r="BE24" i="4"/>
  <c r="BJ8" i="4"/>
  <c r="BO8" i="9"/>
  <c r="BJ10" i="9"/>
  <c r="BJ17" i="9"/>
  <c r="BC31" i="4"/>
  <c r="BD231" i="4"/>
  <c r="BC231" i="4"/>
  <c r="BE231" i="4"/>
  <c r="BF231" i="4"/>
  <c r="BD31" i="4"/>
  <c r="BD24" i="4"/>
  <c r="BN8" i="4"/>
  <c r="BN10" i="9"/>
  <c r="BN17" i="9"/>
  <c r="AY31" i="4"/>
  <c r="AZ231" i="4"/>
  <c r="AY231" i="4"/>
  <c r="BA231" i="4"/>
  <c r="BI23" i="4" l="1"/>
  <c r="BI30" i="4" s="1"/>
  <c r="BI31" i="4" s="1"/>
  <c r="BI10" i="4"/>
  <c r="BK22" i="4"/>
  <c r="BK21" i="9"/>
  <c r="BK22" i="9" s="1"/>
  <c r="BI22" i="4"/>
  <c r="BI21" i="9"/>
  <c r="BI22" i="9" s="1"/>
  <c r="BK10" i="4"/>
  <c r="BK23" i="4"/>
  <c r="BK30" i="4" s="1"/>
  <c r="BK31" i="4" s="1"/>
  <c r="AX28" i="9"/>
  <c r="AX30" i="9" s="1"/>
  <c r="AX37" i="9" s="1"/>
  <c r="AX119" i="4"/>
  <c r="AX39" i="4"/>
  <c r="AX46" i="4" s="1"/>
  <c r="AX48" i="4" s="1"/>
  <c r="AX230" i="4" s="1"/>
  <c r="BG22" i="4"/>
  <c r="BG24" i="4" s="1"/>
  <c r="BG21" i="9"/>
  <c r="BG22" i="9" s="1"/>
  <c r="BG25" i="3" s="1"/>
  <c r="BH22" i="4"/>
  <c r="BH21" i="9"/>
  <c r="BD232" i="4"/>
  <c r="BE232" i="4"/>
  <c r="BF232" i="4"/>
  <c r="BC232" i="4"/>
  <c r="BO8" i="4"/>
  <c r="BO10" i="9"/>
  <c r="BO17" i="9"/>
  <c r="BN22" i="4"/>
  <c r="BN21" i="9"/>
  <c r="BJ10" i="4"/>
  <c r="BJ23" i="4"/>
  <c r="BJ30" i="4" s="1"/>
  <c r="BJ22" i="4"/>
  <c r="BJ21" i="9"/>
  <c r="BL10" i="9"/>
  <c r="BL17" i="9"/>
  <c r="AZ232" i="4"/>
  <c r="BA232" i="4"/>
  <c r="AY232" i="4"/>
  <c r="BN10" i="4"/>
  <c r="BN23" i="4"/>
  <c r="BN30" i="4" s="1"/>
  <c r="BP10" i="4"/>
  <c r="BP23" i="4"/>
  <c r="BP30" i="4" s="1"/>
  <c r="BM8" i="4"/>
  <c r="BQ8" i="9"/>
  <c r="BM10" i="9"/>
  <c r="BM17" i="9"/>
  <c r="BL8" i="4"/>
  <c r="BH10" i="4"/>
  <c r="BH23" i="4"/>
  <c r="BH30" i="4" s="1"/>
  <c r="BG30" i="4"/>
  <c r="BB30" i="4"/>
  <c r="BB24" i="4"/>
  <c r="BP22" i="4"/>
  <c r="BP21" i="9"/>
  <c r="BI24" i="4" l="1"/>
  <c r="BK24" i="4"/>
  <c r="AX201" i="4"/>
  <c r="AX204" i="4" s="1"/>
  <c r="AX54" i="4"/>
  <c r="AX234" i="4"/>
  <c r="AX55" i="4"/>
  <c r="AX56" i="4" s="1"/>
  <c r="AX133" i="4"/>
  <c r="AX222" i="4" s="1"/>
  <c r="AX127" i="4"/>
  <c r="AX129" i="4" s="1"/>
  <c r="AX56" i="9"/>
  <c r="AX44" i="9"/>
  <c r="AX39" i="9"/>
  <c r="AX99" i="44" s="1"/>
  <c r="AX100" i="44" s="1"/>
  <c r="AX247" i="4"/>
  <c r="BP24" i="4"/>
  <c r="BH24" i="4"/>
  <c r="AX243" i="4"/>
  <c r="BQ8" i="4"/>
  <c r="BM10" i="4"/>
  <c r="BM23" i="4"/>
  <c r="BM30" i="4" s="1"/>
  <c r="BN31" i="4"/>
  <c r="BJ31" i="4"/>
  <c r="BM22" i="4"/>
  <c r="BM21" i="9"/>
  <c r="BJ22" i="9"/>
  <c r="BJ24" i="4"/>
  <c r="BO22" i="4"/>
  <c r="BO21" i="9"/>
  <c r="BP22" i="9"/>
  <c r="BL10" i="4"/>
  <c r="BL23" i="4"/>
  <c r="BL30" i="4" s="1"/>
  <c r="BN24" i="4"/>
  <c r="BO10" i="4"/>
  <c r="BO23" i="4"/>
  <c r="BO30" i="4" s="1"/>
  <c r="BH22" i="9"/>
  <c r="BG31" i="4"/>
  <c r="BG231" i="4"/>
  <c r="BP31" i="4"/>
  <c r="BL22" i="4"/>
  <c r="BL24" i="4" s="1"/>
  <c r="BL21" i="9"/>
  <c r="BH31" i="4"/>
  <c r="BH231" i="4"/>
  <c r="BI231" i="4"/>
  <c r="BJ231" i="4"/>
  <c r="BK231" i="4"/>
  <c r="BB31" i="4"/>
  <c r="BB231" i="4"/>
  <c r="BQ10" i="9"/>
  <c r="BQ17" i="9"/>
  <c r="BN22" i="9"/>
  <c r="AX45" i="9" l="1"/>
  <c r="AX83" i="4" s="1"/>
  <c r="AX84" i="4" s="1"/>
  <c r="AX139" i="4"/>
  <c r="AX59" i="9" s="1"/>
  <c r="AX70" i="9" s="1"/>
  <c r="AX68" i="4"/>
  <c r="BM24" i="4"/>
  <c r="BL31" i="4"/>
  <c r="BL231" i="4"/>
  <c r="BG26" i="3"/>
  <c r="BG232" i="4"/>
  <c r="BM22" i="9"/>
  <c r="BO22" i="9"/>
  <c r="BO31" i="4"/>
  <c r="BO24" i="4"/>
  <c r="BQ10" i="4"/>
  <c r="BQ23" i="4"/>
  <c r="BQ30" i="4" s="1"/>
  <c r="BH232" i="4"/>
  <c r="BI232" i="4"/>
  <c r="BJ232" i="4"/>
  <c r="BK232" i="4"/>
  <c r="BQ22" i="4"/>
  <c r="BQ21" i="9"/>
  <c r="BB232" i="4"/>
  <c r="BB26" i="3"/>
  <c r="BL22" i="9"/>
  <c r="BL25" i="3" s="1"/>
  <c r="BM31" i="4"/>
  <c r="BP231" i="4"/>
  <c r="BM231" i="4"/>
  <c r="BN231" i="4"/>
  <c r="BO231" i="4"/>
  <c r="AX155" i="4" l="1"/>
  <c r="AX158" i="4" s="1"/>
  <c r="AX183" i="4" s="1"/>
  <c r="AX187" i="4" s="1"/>
  <c r="AX206" i="4" s="1"/>
  <c r="AX58" i="9"/>
  <c r="BQ24" i="4"/>
  <c r="BL232" i="4"/>
  <c r="BL26" i="3"/>
  <c r="BQ31" i="4"/>
  <c r="BQ231" i="4"/>
  <c r="BP232" i="4"/>
  <c r="BM232" i="4"/>
  <c r="BN232" i="4"/>
  <c r="BO232" i="4"/>
  <c r="BQ22" i="9"/>
  <c r="BQ25" i="3" s="1"/>
  <c r="AX214" i="4" l="1"/>
  <c r="AX216" i="4" s="1"/>
  <c r="AX225" i="4" s="1"/>
  <c r="AX226" i="4" s="1"/>
  <c r="AX159" i="4"/>
  <c r="AY156" i="4" s="1"/>
  <c r="BQ232" i="4"/>
  <c r="BQ26" i="3"/>
  <c r="AX164" i="4" l="1"/>
  <c r="AX168" i="4" s="1"/>
  <c r="AX181" i="4" s="1"/>
  <c r="AX208" i="4" s="1"/>
  <c r="AX212" i="4"/>
  <c r="AX239" i="4" s="1"/>
  <c r="AX237" i="4"/>
  <c r="AX220" i="4"/>
  <c r="AX240" i="4"/>
  <c r="AX217" i="4"/>
  <c r="AX223" i="4"/>
  <c r="AX238" i="4"/>
  <c r="AY110" i="4"/>
  <c r="AY113" i="4" s="1"/>
  <c r="AY33" i="4" s="1"/>
  <c r="AY35" i="4" l="1"/>
  <c r="AY37" i="4" s="1"/>
  <c r="AY39" i="4" s="1"/>
  <c r="AY46" i="4" s="1"/>
  <c r="AY201" i="4" s="1"/>
  <c r="AY204" i="4" s="1"/>
  <c r="AY24" i="9"/>
  <c r="AY26" i="9" s="1"/>
  <c r="AY233" i="4"/>
  <c r="AY244" i="4" s="1"/>
  <c r="AY136" i="4" l="1"/>
  <c r="AY191" i="4" s="1"/>
  <c r="AY195" i="4" s="1"/>
  <c r="AY133" i="4"/>
  <c r="AY222" i="4" s="1"/>
  <c r="AY48" i="4"/>
  <c r="AY234" i="4" s="1"/>
  <c r="AY54" i="4"/>
  <c r="AY119" i="4"/>
  <c r="AY247" i="4"/>
  <c r="AY28" i="9"/>
  <c r="AY30" i="9" s="1"/>
  <c r="AY37" i="9" s="1"/>
  <c r="AY39" i="9" s="1"/>
  <c r="AY230" i="4" l="1"/>
  <c r="AY243" i="4" s="1"/>
  <c r="AY55" i="4"/>
  <c r="AY68" i="4" s="1"/>
  <c r="AY139" i="4"/>
  <c r="AY155" i="4" s="1"/>
  <c r="AY158" i="4" s="1"/>
  <c r="AY44" i="9"/>
  <c r="AY56" i="9"/>
  <c r="AY127" i="4"/>
  <c r="AY129" i="4" s="1"/>
  <c r="AY45" i="9"/>
  <c r="AY83" i="4" s="1"/>
  <c r="AY84" i="4" s="1"/>
  <c r="AY99" i="44"/>
  <c r="AY100" i="44" s="1"/>
  <c r="AY59" i="9" l="1"/>
  <c r="AY70" i="9" s="1"/>
  <c r="AY56" i="4"/>
  <c r="AY183" i="4"/>
  <c r="AY214" i="4"/>
  <c r="AY216" i="4" s="1"/>
  <c r="AY225" i="4" s="1"/>
  <c r="AY159" i="4"/>
  <c r="AY58" i="9" l="1"/>
  <c r="AY240" i="4"/>
  <c r="AY187" i="4"/>
  <c r="AY206" i="4" s="1"/>
  <c r="AZ156" i="4"/>
  <c r="AY164" i="4"/>
  <c r="AY168" i="4" s="1"/>
  <c r="AY181" i="4" s="1"/>
  <c r="AY212" i="4"/>
  <c r="AY239" i="4" s="1"/>
  <c r="AY220" i="4"/>
  <c r="AY237" i="4"/>
  <c r="AY223" i="4"/>
  <c r="AY238" i="4"/>
  <c r="AY217" i="4"/>
  <c r="AY226" i="4"/>
  <c r="AZ110" i="4" l="1"/>
  <c r="AZ113" i="4" s="1"/>
  <c r="AZ33" i="4" s="1"/>
  <c r="AY208" i="4"/>
  <c r="AZ35" i="4" l="1"/>
  <c r="AZ37" i="4" s="1"/>
  <c r="AZ39" i="4" s="1"/>
  <c r="AZ46" i="4" s="1"/>
  <c r="AZ133" i="4" s="1"/>
  <c r="AZ24" i="9"/>
  <c r="AZ26" i="9" s="1"/>
  <c r="AZ233" i="4"/>
  <c r="AZ244" i="4" s="1"/>
  <c r="AZ136" i="4" l="1"/>
  <c r="AZ139" i="4" s="1"/>
  <c r="AZ28" i="9"/>
  <c r="AZ30" i="9" s="1"/>
  <c r="AZ37" i="9" s="1"/>
  <c r="AZ127" i="4" s="1"/>
  <c r="AZ129" i="4" s="1"/>
  <c r="AZ201" i="4"/>
  <c r="AZ204" i="4" s="1"/>
  <c r="AZ54" i="4"/>
  <c r="AZ247" i="4"/>
  <c r="AZ48" i="4"/>
  <c r="AZ55" i="4" s="1"/>
  <c r="AZ119" i="4"/>
  <c r="AZ222" i="4"/>
  <c r="AZ191" i="4" l="1"/>
  <c r="AZ195" i="4" s="1"/>
  <c r="AZ230" i="4"/>
  <c r="AZ243" i="4" s="1"/>
  <c r="AZ234" i="4"/>
  <c r="AZ39" i="9"/>
  <c r="AZ45" i="9" s="1"/>
  <c r="AZ83" i="4" s="1"/>
  <c r="AZ84" i="4" s="1"/>
  <c r="AZ44" i="9"/>
  <c r="AZ56" i="9"/>
  <c r="AZ155" i="4"/>
  <c r="AZ158" i="4" s="1"/>
  <c r="AZ59" i="9"/>
  <c r="AZ56" i="4"/>
  <c r="AZ68" i="4"/>
  <c r="AZ99" i="44" l="1"/>
  <c r="AZ100" i="44" s="1"/>
  <c r="AZ70" i="9"/>
  <c r="AZ58" i="9"/>
  <c r="AZ159" i="4"/>
  <c r="AZ214" i="4"/>
  <c r="AZ183" i="4"/>
  <c r="AZ187" i="4" l="1"/>
  <c r="AZ206" i="4" s="1"/>
  <c r="BA156" i="4"/>
  <c r="AZ164" i="4"/>
  <c r="AZ168" i="4" s="1"/>
  <c r="AZ181" i="4" s="1"/>
  <c r="AZ212" i="4"/>
  <c r="AZ216" i="4"/>
  <c r="AZ208" i="4" l="1"/>
  <c r="BA110" i="4"/>
  <c r="BA113" i="4" s="1"/>
  <c r="BA33" i="4" s="1"/>
  <c r="BA24" i="9" s="1"/>
  <c r="AZ239" i="4"/>
  <c r="AZ240" i="4"/>
  <c r="AZ225" i="4"/>
  <c r="AZ226" i="4" s="1"/>
  <c r="BB110" i="4" l="1"/>
  <c r="BB113" i="4" s="1"/>
  <c r="AZ238" i="4"/>
  <c r="AZ220" i="4"/>
  <c r="AZ237" i="4"/>
  <c r="AZ223" i="4"/>
  <c r="AZ217" i="4"/>
  <c r="BA35" i="4"/>
  <c r="BB33" i="4"/>
  <c r="BA233" i="4"/>
  <c r="BA244" i="4" s="1"/>
  <c r="BB233" i="4" l="1"/>
  <c r="BB244" i="4" s="1"/>
  <c r="DT31" i="3" s="1"/>
  <c r="BB35" i="4"/>
  <c r="BA37" i="4"/>
  <c r="BA39" i="4" s="1"/>
  <c r="BA46" i="4" s="1"/>
  <c r="BA26" i="9"/>
  <c r="BB24" i="9"/>
  <c r="BB26" i="9" s="1"/>
  <c r="BA119" i="4" l="1"/>
  <c r="BA136" i="4"/>
  <c r="BA28" i="9"/>
  <c r="BB28" i="9" s="1"/>
  <c r="BB30" i="9" s="1"/>
  <c r="BB37" i="9" s="1"/>
  <c r="BB37" i="4"/>
  <c r="BB119" i="4" s="1"/>
  <c r="BA48" i="4"/>
  <c r="BA54" i="4"/>
  <c r="BA133" i="4"/>
  <c r="BA247" i="4"/>
  <c r="BA201" i="4"/>
  <c r="BB39" i="4" l="1"/>
  <c r="BB46" i="4" s="1"/>
  <c r="BB54" i="4" s="1"/>
  <c r="BA30" i="9"/>
  <c r="BA37" i="9" s="1"/>
  <c r="BA56" i="9" s="1"/>
  <c r="BB127" i="4"/>
  <c r="BB129" i="4" s="1"/>
  <c r="BB39" i="9"/>
  <c r="BB56" i="9"/>
  <c r="BB44" i="9"/>
  <c r="BA139" i="4"/>
  <c r="BB133" i="4"/>
  <c r="BA222" i="4"/>
  <c r="BB201" i="4"/>
  <c r="BA204" i="4"/>
  <c r="BA55" i="4"/>
  <c r="BA230" i="4"/>
  <c r="BA234" i="4"/>
  <c r="BB136" i="4"/>
  <c r="BA191" i="4"/>
  <c r="BA127" i="4" l="1"/>
  <c r="BA129" i="4" s="1"/>
  <c r="BA39" i="9"/>
  <c r="BA99" i="44" s="1"/>
  <c r="BA100" i="44" s="1"/>
  <c r="BA44" i="9"/>
  <c r="BB48" i="4"/>
  <c r="BB234" i="4" s="1"/>
  <c r="BB247" i="4"/>
  <c r="BB204" i="4"/>
  <c r="BA155" i="4"/>
  <c r="BA158" i="4" s="1"/>
  <c r="BA59" i="9"/>
  <c r="BA243" i="4"/>
  <c r="BB191" i="4"/>
  <c r="BA195" i="4"/>
  <c r="BA56" i="4"/>
  <c r="BA68" i="4"/>
  <c r="BB139" i="4"/>
  <c r="BB45" i="9"/>
  <c r="BB99" i="44"/>
  <c r="BB100" i="44" s="1"/>
  <c r="BA45" i="9" l="1"/>
  <c r="BA83" i="4" s="1"/>
  <c r="BA84" i="4" s="1"/>
  <c r="BB230" i="4"/>
  <c r="BB243" i="4" s="1"/>
  <c r="DT30" i="3" s="1"/>
  <c r="BB55" i="4"/>
  <c r="BB56" i="4" s="1"/>
  <c r="BA58" i="9"/>
  <c r="BA70" i="9"/>
  <c r="BB195" i="4"/>
  <c r="BB222" i="4"/>
  <c r="BA159" i="4"/>
  <c r="BB158" i="4"/>
  <c r="BA214" i="4"/>
  <c r="BA183" i="4"/>
  <c r="BB83" i="4"/>
  <c r="BB12" i="41" s="1"/>
  <c r="BB46" i="9"/>
  <c r="BB155" i="4"/>
  <c r="DT41" i="3"/>
  <c r="DT40" i="3" s="1"/>
  <c r="DT52" i="3" s="1"/>
  <c r="DT53" i="3" s="1"/>
  <c r="DT57" i="3" s="1"/>
  <c r="BB59" i="9"/>
  <c r="BB36" i="41" l="1"/>
  <c r="BB39" i="41" s="1"/>
  <c r="BB41" i="41" s="1"/>
  <c r="BB44" i="41" s="1"/>
  <c r="BB46" i="41" s="1"/>
  <c r="BB13" i="41"/>
  <c r="BB20" i="41" s="1"/>
  <c r="BB22" i="41" s="1"/>
  <c r="BB24" i="41" s="1"/>
  <c r="BB68" i="4"/>
  <c r="BA164" i="4"/>
  <c r="BA212" i="4"/>
  <c r="BB183" i="4"/>
  <c r="BA187" i="4"/>
  <c r="BA206" i="4" s="1"/>
  <c r="DT17" i="3"/>
  <c r="BB58" i="9"/>
  <c r="BB70" i="9"/>
  <c r="BB84" i="4"/>
  <c r="BB14" i="3"/>
  <c r="BB15" i="3" s="1"/>
  <c r="BB214" i="4"/>
  <c r="BA216" i="4"/>
  <c r="BB159" i="4"/>
  <c r="DT63" i="3"/>
  <c r="DT65" i="3" s="1"/>
  <c r="BB187" i="4" l="1"/>
  <c r="BB206" i="4" s="1"/>
  <c r="BB47" i="3"/>
  <c r="X16" i="3"/>
  <c r="BB42" i="3"/>
  <c r="BB32" i="3"/>
  <c r="BB45" i="3"/>
  <c r="AW47" i="3"/>
  <c r="BB216" i="4"/>
  <c r="BA239" i="4"/>
  <c r="BA240" i="4"/>
  <c r="BA225" i="4"/>
  <c r="BA226" i="4" s="1"/>
  <c r="DT10" i="3"/>
  <c r="DT13" i="3" s="1"/>
  <c r="BC156" i="4"/>
  <c r="BG156" i="4"/>
  <c r="BB212" i="4"/>
  <c r="DT8" i="3" s="1"/>
  <c r="BB164" i="4"/>
  <c r="BB168" i="4" s="1"/>
  <c r="BB181" i="4" s="1"/>
  <c r="BA168" i="4"/>
  <c r="BA181" i="4" s="1"/>
  <c r="BA208" i="4" s="1"/>
  <c r="BB208" i="4" l="1"/>
  <c r="BB48" i="3"/>
  <c r="BA237" i="4"/>
  <c r="BA220" i="4"/>
  <c r="BA223" i="4"/>
  <c r="BA238" i="4"/>
  <c r="BA217" i="4"/>
  <c r="BB239" i="4"/>
  <c r="DT25" i="3" s="1"/>
  <c r="BB240" i="4"/>
  <c r="DT26" i="3" s="1"/>
  <c r="BB225" i="4"/>
  <c r="BB217" i="4" s="1"/>
  <c r="BB49" i="3"/>
  <c r="BB54" i="3"/>
  <c r="BB55" i="3" s="1"/>
  <c r="BB43" i="3" s="1"/>
  <c r="DT19" i="3"/>
  <c r="BC110" i="4"/>
  <c r="BC113" i="4" l="1"/>
  <c r="BC33" i="4" s="1"/>
  <c r="BB220" i="4"/>
  <c r="BB237" i="4"/>
  <c r="DT23" i="3" s="1"/>
  <c r="BB223" i="4"/>
  <c r="BB226" i="4"/>
  <c r="BB238" i="4"/>
  <c r="DT24" i="3" s="1"/>
  <c r="BC233" i="4" l="1"/>
  <c r="BC244" i="4" s="1"/>
  <c r="BC24" i="9"/>
  <c r="BC35" i="4"/>
  <c r="BC37" i="4" l="1"/>
  <c r="BC26" i="9"/>
  <c r="BC119" i="4" l="1"/>
  <c r="BC136" i="4"/>
  <c r="BC28" i="9"/>
  <c r="BC30" i="9" s="1"/>
  <c r="BC37" i="9" s="1"/>
  <c r="BC39" i="4"/>
  <c r="BC46" i="4" s="1"/>
  <c r="BC127" i="4" l="1"/>
  <c r="BC129" i="4" s="1"/>
  <c r="BC39" i="9"/>
  <c r="BC44" i="9"/>
  <c r="BC56" i="9"/>
  <c r="BC191" i="4"/>
  <c r="BC48" i="4"/>
  <c r="BC54" i="4"/>
  <c r="BC133" i="4"/>
  <c r="BC247" i="4"/>
  <c r="BC201" i="4"/>
  <c r="BC204" i="4" l="1"/>
  <c r="BC195" i="4"/>
  <c r="BC55" i="4"/>
  <c r="BC230" i="4"/>
  <c r="BC234" i="4"/>
  <c r="BC139" i="4"/>
  <c r="BC222" i="4"/>
  <c r="BC45" i="9"/>
  <c r="BC83" i="4" s="1"/>
  <c r="BC84" i="4" s="1"/>
  <c r="BC99" i="44"/>
  <c r="BC100" i="44" s="1"/>
  <c r="BC56" i="4" l="1"/>
  <c r="BC68" i="4"/>
  <c r="BC243" i="4"/>
  <c r="BC155" i="4"/>
  <c r="BC158" i="4" s="1"/>
  <c r="BC59" i="9"/>
  <c r="BC159" i="4" l="1"/>
  <c r="BC183" i="4"/>
  <c r="BC214" i="4"/>
  <c r="BC58" i="9"/>
  <c r="BC70" i="9"/>
  <c r="BC216" i="4" l="1"/>
  <c r="BC187" i="4"/>
  <c r="BC206" i="4" s="1"/>
  <c r="BD156" i="4"/>
  <c r="BC164" i="4"/>
  <c r="BC168" i="4" s="1"/>
  <c r="BC181" i="4" s="1"/>
  <c r="BC212" i="4"/>
  <c r="BD110" i="4" l="1"/>
  <c r="BD113" i="4" s="1"/>
  <c r="BD33" i="4" s="1"/>
  <c r="BC208" i="4"/>
  <c r="BC239" i="4"/>
  <c r="BC225" i="4"/>
  <c r="BC240" i="4"/>
  <c r="BD24" i="9" l="1"/>
  <c r="BD35" i="4"/>
  <c r="BD233" i="4"/>
  <c r="BD244" i="4" s="1"/>
  <c r="BC220" i="4"/>
  <c r="BC237" i="4"/>
  <c r="BC223" i="4"/>
  <c r="BC217" i="4"/>
  <c r="BC238" i="4"/>
  <c r="BC226" i="4"/>
  <c r="BD26" i="9" l="1"/>
  <c r="BD37" i="4"/>
  <c r="BD39" i="4" s="1"/>
  <c r="BD46" i="4" s="1"/>
  <c r="BD54" i="4" l="1"/>
  <c r="BD48" i="4"/>
  <c r="BD133" i="4"/>
  <c r="BD247" i="4"/>
  <c r="BD201" i="4"/>
  <c r="BD119" i="4"/>
  <c r="BD136" i="4"/>
  <c r="BD28" i="9"/>
  <c r="BD30" i="9" l="1"/>
  <c r="BD37" i="9" s="1"/>
  <c r="BD191" i="4"/>
  <c r="BD139" i="4"/>
  <c r="BD222" i="4"/>
  <c r="BD55" i="4"/>
  <c r="BD234" i="4"/>
  <c r="BD230" i="4"/>
  <c r="BD204" i="4"/>
  <c r="BD56" i="4" l="1"/>
  <c r="BD68" i="4"/>
  <c r="BD195" i="4"/>
  <c r="BD243" i="4"/>
  <c r="BD127" i="4"/>
  <c r="BD129" i="4" s="1"/>
  <c r="BD44" i="9"/>
  <c r="BD39" i="9"/>
  <c r="BD56" i="9"/>
  <c r="BD155" i="4"/>
  <c r="BD158" i="4" s="1"/>
  <c r="BD59" i="9"/>
  <c r="BD159" i="4" l="1"/>
  <c r="BD214" i="4"/>
  <c r="BD183" i="4"/>
  <c r="BD58" i="9"/>
  <c r="BD70" i="9"/>
  <c r="BD45" i="9"/>
  <c r="BD83" i="4" s="1"/>
  <c r="BD84" i="4" s="1"/>
  <c r="BD99" i="44"/>
  <c r="BD100" i="44" s="1"/>
  <c r="BD187" i="4" l="1"/>
  <c r="BD206" i="4" s="1"/>
  <c r="BD216" i="4"/>
  <c r="BE156" i="4"/>
  <c r="BD164" i="4"/>
  <c r="BD168" i="4" s="1"/>
  <c r="BD181" i="4" s="1"/>
  <c r="BD212" i="4"/>
  <c r="BD208" i="4" l="1"/>
  <c r="BD239" i="4"/>
  <c r="BD225" i="4"/>
  <c r="BD226" i="4" s="1"/>
  <c r="BD240" i="4"/>
  <c r="BE110" i="4"/>
  <c r="BD238" i="4" l="1"/>
  <c r="BE113" i="4"/>
  <c r="BE33" i="4" s="1"/>
  <c r="BD220" i="4"/>
  <c r="BD237" i="4"/>
  <c r="BD223" i="4"/>
  <c r="BD217" i="4"/>
  <c r="BE24" i="9" l="1"/>
  <c r="BE35" i="4"/>
  <c r="BE233" i="4"/>
  <c r="BE244" i="4" s="1"/>
  <c r="BE37" i="4" l="1"/>
  <c r="BE39" i="4" s="1"/>
  <c r="BE46" i="4" s="1"/>
  <c r="BE26" i="9"/>
  <c r="BE48" i="4" l="1"/>
  <c r="BE54" i="4"/>
  <c r="BE133" i="4"/>
  <c r="BE247" i="4"/>
  <c r="BE201" i="4"/>
  <c r="BE119" i="4"/>
  <c r="BE136" i="4"/>
  <c r="BE28" i="9"/>
  <c r="BE191" i="4" l="1"/>
  <c r="BE139" i="4"/>
  <c r="BE222" i="4"/>
  <c r="BE204" i="4"/>
  <c r="BE55" i="4"/>
  <c r="BE234" i="4"/>
  <c r="BE230" i="4"/>
  <c r="BE30" i="9"/>
  <c r="BE37" i="9" s="1"/>
  <c r="BE56" i="4" l="1"/>
  <c r="BE68" i="4"/>
  <c r="BE155" i="4"/>
  <c r="BE158" i="4" s="1"/>
  <c r="BE59" i="9"/>
  <c r="BE243" i="4"/>
  <c r="BE127" i="4"/>
  <c r="BE129" i="4" s="1"/>
  <c r="BE39" i="9"/>
  <c r="BE44" i="9"/>
  <c r="BE56" i="9"/>
  <c r="BE195" i="4"/>
  <c r="BE159" i="4" l="1"/>
  <c r="BE214" i="4"/>
  <c r="BE183" i="4"/>
  <c r="BE58" i="9"/>
  <c r="BE70" i="9"/>
  <c r="BE45" i="9"/>
  <c r="BE83" i="4" s="1"/>
  <c r="BE84" i="4" s="1"/>
  <c r="BE99" i="44"/>
  <c r="BE100" i="44" s="1"/>
  <c r="BE187" i="4" l="1"/>
  <c r="BE206" i="4" s="1"/>
  <c r="BE216" i="4"/>
  <c r="BF156" i="4"/>
  <c r="BE164" i="4"/>
  <c r="BE168" i="4" s="1"/>
  <c r="BE181" i="4" s="1"/>
  <c r="BE212" i="4"/>
  <c r="BE208" i="4" l="1"/>
  <c r="BE239" i="4"/>
  <c r="BE240" i="4"/>
  <c r="BE225" i="4"/>
  <c r="BE217" i="4" s="1"/>
  <c r="BF110" i="4"/>
  <c r="BE226" i="4" l="1"/>
  <c r="BF113" i="4"/>
  <c r="BF33" i="4" s="1"/>
  <c r="BG110" i="4"/>
  <c r="BG113" i="4" s="1"/>
  <c r="BE237" i="4"/>
  <c r="BE220" i="4"/>
  <c r="BE223" i="4"/>
  <c r="BE238" i="4"/>
  <c r="BF24" i="9" l="1"/>
  <c r="BF35" i="4"/>
  <c r="BF233" i="4"/>
  <c r="BF244" i="4" s="1"/>
  <c r="BG33" i="4"/>
  <c r="BF26" i="9" l="1"/>
  <c r="BG24" i="9"/>
  <c r="BG26" i="9" s="1"/>
  <c r="BF37" i="4"/>
  <c r="BF39" i="4" s="1"/>
  <c r="BF46" i="4" s="1"/>
  <c r="BG233" i="4"/>
  <c r="BG244" i="4" s="1"/>
  <c r="DY31" i="3" s="1"/>
  <c r="BG35" i="4"/>
  <c r="BF48" i="4" l="1"/>
  <c r="BF54" i="4"/>
  <c r="BF133" i="4"/>
  <c r="BF247" i="4"/>
  <c r="BF201" i="4"/>
  <c r="BF119" i="4"/>
  <c r="BF136" i="4"/>
  <c r="BF28" i="9"/>
  <c r="BG28" i="9" s="1"/>
  <c r="BG30" i="9" s="1"/>
  <c r="BG37" i="9" s="1"/>
  <c r="BG37" i="4"/>
  <c r="BG119" i="4" s="1"/>
  <c r="BG39" i="4" l="1"/>
  <c r="BG46" i="4" s="1"/>
  <c r="BG54" i="4" s="1"/>
  <c r="BF30" i="9"/>
  <c r="BF37" i="9" s="1"/>
  <c r="BF44" i="9" s="1"/>
  <c r="BG127" i="4"/>
  <c r="BG129" i="4" s="1"/>
  <c r="BG39" i="9"/>
  <c r="BG44" i="9"/>
  <c r="BG56" i="9"/>
  <c r="BG136" i="4"/>
  <c r="BF191" i="4"/>
  <c r="BF139" i="4"/>
  <c r="BG133" i="4"/>
  <c r="BF222" i="4"/>
  <c r="BF204" i="4"/>
  <c r="BG201" i="4"/>
  <c r="BF55" i="4"/>
  <c r="BF234" i="4"/>
  <c r="BF230" i="4"/>
  <c r="BF127" i="4" l="1"/>
  <c r="BF129" i="4" s="1"/>
  <c r="BF56" i="9"/>
  <c r="BF39" i="9"/>
  <c r="BF99" i="44" s="1"/>
  <c r="BF100" i="44" s="1"/>
  <c r="BG139" i="4"/>
  <c r="DY41" i="3" s="1"/>
  <c r="DY40" i="3" s="1"/>
  <c r="DY52" i="3" s="1"/>
  <c r="DY53" i="3" s="1"/>
  <c r="DY57" i="3" s="1"/>
  <c r="BG48" i="4"/>
  <c r="BG230" i="4" s="1"/>
  <c r="BG247" i="4"/>
  <c r="BF56" i="4"/>
  <c r="BF68" i="4"/>
  <c r="BG204" i="4"/>
  <c r="BF243" i="4"/>
  <c r="BF155" i="4"/>
  <c r="BF158" i="4" s="1"/>
  <c r="BF59" i="9"/>
  <c r="BF195" i="4"/>
  <c r="BG191" i="4"/>
  <c r="BG45" i="9"/>
  <c r="BG99" i="44"/>
  <c r="BG100" i="44" s="1"/>
  <c r="BF45" i="9" l="1"/>
  <c r="BF83" i="4" s="1"/>
  <c r="BF84" i="4" s="1"/>
  <c r="BG59" i="9"/>
  <c r="BG70" i="9" s="1"/>
  <c r="BG155" i="4"/>
  <c r="BG234" i="4"/>
  <c r="BG55" i="4"/>
  <c r="BG56" i="4" s="1"/>
  <c r="BG222" i="4"/>
  <c r="BF159" i="4"/>
  <c r="BG158" i="4"/>
  <c r="BF183" i="4"/>
  <c r="BF214" i="4"/>
  <c r="BF58" i="9"/>
  <c r="BF70" i="9"/>
  <c r="BG83" i="4"/>
  <c r="BG12" i="41" s="1"/>
  <c r="CA8" i="41" s="1"/>
  <c r="BG46" i="9"/>
  <c r="BG195" i="4"/>
  <c r="BH191" i="4"/>
  <c r="BG243" i="4"/>
  <c r="DY30" i="3" s="1"/>
  <c r="BG36" i="41" l="1"/>
  <c r="BG39" i="41" s="1"/>
  <c r="BG41" i="41" s="1"/>
  <c r="BG44" i="41" s="1"/>
  <c r="BG46" i="41" s="1"/>
  <c r="CA13" i="41"/>
  <c r="CA17" i="41" s="1"/>
  <c r="CA18" i="41" s="1"/>
  <c r="CA21" i="41" s="1"/>
  <c r="CA23" i="41" s="1"/>
  <c r="CK8" i="41"/>
  <c r="CK13" i="41" s="1"/>
  <c r="CK17" i="41" s="1"/>
  <c r="CK18" i="41" s="1"/>
  <c r="CK21" i="41" s="1"/>
  <c r="CK23" i="41" s="1"/>
  <c r="CF8" i="41"/>
  <c r="CF13" i="41" s="1"/>
  <c r="BG13" i="41"/>
  <c r="BG20" i="41" s="1"/>
  <c r="BG22" i="41" s="1"/>
  <c r="BG24" i="41" s="1"/>
  <c r="BG58" i="9"/>
  <c r="BG68" i="4"/>
  <c r="DY17" i="3"/>
  <c r="BG45" i="3" s="1"/>
  <c r="BF216" i="4"/>
  <c r="BG214" i="4"/>
  <c r="BF187" i="4"/>
  <c r="BF206" i="4" s="1"/>
  <c r="BG183" i="4"/>
  <c r="BF164" i="4"/>
  <c r="BF212" i="4"/>
  <c r="BG84" i="4"/>
  <c r="BG14" i="3"/>
  <c r="BG15" i="3" s="1"/>
  <c r="BH195" i="4"/>
  <c r="BI191" i="4"/>
  <c r="BG159" i="4"/>
  <c r="DY63" i="3"/>
  <c r="DY65" i="3" s="1"/>
  <c r="CF17" i="41" l="1"/>
  <c r="CF18" i="41" s="1"/>
  <c r="CF21" i="41" s="1"/>
  <c r="CF23" i="41" s="1"/>
  <c r="CF79" i="41"/>
  <c r="BJ191" i="4"/>
  <c r="BI195" i="4"/>
  <c r="DY10" i="3"/>
  <c r="DY13" i="3" s="1"/>
  <c r="BF168" i="4"/>
  <c r="BF181" i="4" s="1"/>
  <c r="BF208" i="4" s="1"/>
  <c r="BG164" i="4"/>
  <c r="BG168" i="4" s="1"/>
  <c r="BG181" i="4" s="1"/>
  <c r="BG49" i="3" s="1"/>
  <c r="BG216" i="4"/>
  <c r="BF239" i="4"/>
  <c r="BF240" i="4"/>
  <c r="BF225" i="4"/>
  <c r="BF238" i="4" s="1"/>
  <c r="BL156" i="4"/>
  <c r="BH156" i="4"/>
  <c r="BG212" i="4"/>
  <c r="DY8" i="3" s="1"/>
  <c r="BG32" i="3"/>
  <c r="BG42" i="3"/>
  <c r="BG47" i="3"/>
  <c r="BG187" i="4"/>
  <c r="BG206" i="4" s="1"/>
  <c r="CA79" i="41" l="1"/>
  <c r="CK79" i="41"/>
  <c r="CP79" i="41" s="1"/>
  <c r="CU79" i="41" s="1"/>
  <c r="CZ79" i="41" s="1"/>
  <c r="DE79" i="41" s="1"/>
  <c r="DF79" i="41" s="1"/>
  <c r="BH110" i="4"/>
  <c r="BH113" i="4" s="1"/>
  <c r="BH33" i="4" s="1"/>
  <c r="BF226" i="4"/>
  <c r="BF217" i="4"/>
  <c r="DY19" i="3"/>
  <c r="BG54" i="3"/>
  <c r="BG55" i="3" s="1"/>
  <c r="BG43" i="3" s="1"/>
  <c r="BG208" i="4"/>
  <c r="BG48" i="3"/>
  <c r="BF220" i="4"/>
  <c r="BF237" i="4"/>
  <c r="BF223" i="4"/>
  <c r="BG239" i="4"/>
  <c r="DY25" i="3" s="1"/>
  <c r="BG240" i="4"/>
  <c r="DY26" i="3" s="1"/>
  <c r="BG225" i="4"/>
  <c r="BG217" i="4" s="1"/>
  <c r="BJ195" i="4"/>
  <c r="BK191" i="4"/>
  <c r="BG226" i="4" l="1"/>
  <c r="C5" i="18"/>
  <c r="BH233" i="4"/>
  <c r="BH244" i="4" s="1"/>
  <c r="BH24" i="9"/>
  <c r="BH35" i="4"/>
  <c r="BK195" i="4"/>
  <c r="BL191" i="4"/>
  <c r="BG220" i="4"/>
  <c r="BG237" i="4"/>
  <c r="DY23" i="3" s="1"/>
  <c r="BG223" i="4"/>
  <c r="BG238" i="4"/>
  <c r="DY24" i="3" s="1"/>
  <c r="BL195" i="4" l="1"/>
  <c r="BM191" i="4"/>
  <c r="BH37" i="4"/>
  <c r="BH26" i="9"/>
  <c r="BH119" i="4" l="1"/>
  <c r="BH28" i="9"/>
  <c r="BH39" i="4"/>
  <c r="BH46" i="4" s="1"/>
  <c r="BN191" i="4"/>
  <c r="BM195" i="4"/>
  <c r="BH48" i="4" l="1"/>
  <c r="BH54" i="4"/>
  <c r="BH133" i="4"/>
  <c r="BH247" i="4"/>
  <c r="BH201" i="4"/>
  <c r="BN195" i="4"/>
  <c r="BO191" i="4"/>
  <c r="BH30" i="9"/>
  <c r="BH37" i="9" s="1"/>
  <c r="BO195" i="4" l="1"/>
  <c r="BP191" i="4"/>
  <c r="BH139" i="4"/>
  <c r="BH222" i="4"/>
  <c r="BH127" i="4"/>
  <c r="BH129" i="4" s="1"/>
  <c r="BH39" i="9"/>
  <c r="BH44" i="9"/>
  <c r="BH56" i="9"/>
  <c r="BH204" i="4"/>
  <c r="BH55" i="4"/>
  <c r="BH230" i="4"/>
  <c r="BH234" i="4"/>
  <c r="BH155" i="4" l="1"/>
  <c r="BH158" i="4" s="1"/>
  <c r="BH59" i="9"/>
  <c r="BH243" i="4"/>
  <c r="BH56" i="4"/>
  <c r="BH68" i="4"/>
  <c r="BP195" i="4"/>
  <c r="BQ191" i="4"/>
  <c r="BQ195" i="4" s="1"/>
  <c r="BH45" i="9"/>
  <c r="BH83" i="4" s="1"/>
  <c r="BH84" i="4" s="1"/>
  <c r="BH99" i="44"/>
  <c r="BH100" i="44" s="1"/>
  <c r="BH159" i="4" l="1"/>
  <c r="BH214" i="4"/>
  <c r="BH183" i="4"/>
  <c r="BH58" i="9"/>
  <c r="BH70" i="9"/>
  <c r="BH164" i="4" l="1"/>
  <c r="BH168" i="4" s="1"/>
  <c r="BH181" i="4" s="1"/>
  <c r="BH212" i="4"/>
  <c r="BI156" i="4"/>
  <c r="BH187" i="4"/>
  <c r="BH206" i="4" s="1"/>
  <c r="BH216" i="4"/>
  <c r="BI110" i="4" l="1"/>
  <c r="BI113" i="4" s="1"/>
  <c r="BI33" i="4" s="1"/>
  <c r="BH239" i="4"/>
  <c r="BH225" i="4"/>
  <c r="BH226" i="4" s="1"/>
  <c r="BH240" i="4"/>
  <c r="BH208" i="4"/>
  <c r="BH238" i="4" l="1"/>
  <c r="BI24" i="9"/>
  <c r="BI35" i="4"/>
  <c r="BI233" i="4"/>
  <c r="BI244" i="4" s="1"/>
  <c r="BH220" i="4"/>
  <c r="BH237" i="4"/>
  <c r="BH223" i="4"/>
  <c r="BH217" i="4"/>
  <c r="BI26" i="9" l="1"/>
  <c r="BI37" i="4"/>
  <c r="BI39" i="4" s="1"/>
  <c r="BI46" i="4" s="1"/>
  <c r="BI48" i="4" l="1"/>
  <c r="BI54" i="4"/>
  <c r="BI133" i="4"/>
  <c r="BI247" i="4"/>
  <c r="BI201" i="4"/>
  <c r="BI119" i="4"/>
  <c r="BI28" i="9"/>
  <c r="BI139" i="4" l="1"/>
  <c r="BI222" i="4"/>
  <c r="BI204" i="4"/>
  <c r="BI55" i="4"/>
  <c r="BI230" i="4"/>
  <c r="BI234" i="4"/>
  <c r="BI30" i="9"/>
  <c r="BI37" i="9" s="1"/>
  <c r="BI127" i="4" l="1"/>
  <c r="BI129" i="4" s="1"/>
  <c r="BI39" i="9"/>
  <c r="BI44" i="9"/>
  <c r="BI56" i="9"/>
  <c r="BI155" i="4"/>
  <c r="BI158" i="4" s="1"/>
  <c r="BI59" i="9"/>
  <c r="BI243" i="4"/>
  <c r="BI56" i="4"/>
  <c r="BI68" i="4"/>
  <c r="BI58" i="9" l="1"/>
  <c r="BI70" i="9"/>
  <c r="BI159" i="4"/>
  <c r="BI183" i="4"/>
  <c r="BI214" i="4"/>
  <c r="BI45" i="9"/>
  <c r="BI83" i="4" s="1"/>
  <c r="BI84" i="4" s="1"/>
  <c r="BI99" i="44"/>
  <c r="BI100" i="44" s="1"/>
  <c r="BJ156" i="4" l="1"/>
  <c r="BI164" i="4"/>
  <c r="BI168" i="4" s="1"/>
  <c r="BI181" i="4" s="1"/>
  <c r="BI212" i="4"/>
  <c r="BI216" i="4"/>
  <c r="BI187" i="4"/>
  <c r="BI206" i="4" s="1"/>
  <c r="BI208" i="4" l="1"/>
  <c r="BJ110" i="4"/>
  <c r="BJ113" i="4" s="1"/>
  <c r="BJ33" i="4" s="1"/>
  <c r="BI239" i="4"/>
  <c r="BI240" i="4"/>
  <c r="BI225" i="4"/>
  <c r="BI217" i="4" s="1"/>
  <c r="BI237" i="4" l="1"/>
  <c r="BI220" i="4"/>
  <c r="BI223" i="4"/>
  <c r="BI238" i="4"/>
  <c r="BJ24" i="9"/>
  <c r="BJ35" i="4"/>
  <c r="BJ233" i="4"/>
  <c r="BJ244" i="4" s="1"/>
  <c r="BI226" i="4"/>
  <c r="BJ26" i="9" l="1"/>
  <c r="BJ37" i="4"/>
  <c r="BJ119" i="4" l="1"/>
  <c r="BJ28" i="9"/>
  <c r="BJ30" i="9" s="1"/>
  <c r="BJ37" i="9" s="1"/>
  <c r="BJ39" i="4"/>
  <c r="BJ46" i="4" s="1"/>
  <c r="BJ127" i="4" l="1"/>
  <c r="BJ129" i="4" s="1"/>
  <c r="BJ56" i="9"/>
  <c r="BJ39" i="9"/>
  <c r="BJ44" i="9"/>
  <c r="BJ48" i="4"/>
  <c r="BJ54" i="4"/>
  <c r="BJ133" i="4"/>
  <c r="BJ247" i="4"/>
  <c r="BJ201" i="4"/>
  <c r="BJ139" i="4" l="1"/>
  <c r="BJ222" i="4"/>
  <c r="BJ45" i="9"/>
  <c r="BJ83" i="4" s="1"/>
  <c r="BJ84" i="4" s="1"/>
  <c r="BJ99" i="44"/>
  <c r="BJ100" i="44" s="1"/>
  <c r="BJ204" i="4"/>
  <c r="BJ55" i="4"/>
  <c r="BJ234" i="4"/>
  <c r="BJ230" i="4"/>
  <c r="BJ155" i="4" l="1"/>
  <c r="BJ158" i="4" s="1"/>
  <c r="BJ59" i="9"/>
  <c r="BJ56" i="4"/>
  <c r="BJ68" i="4"/>
  <c r="BJ243" i="4"/>
  <c r="BJ58" i="9" l="1"/>
  <c r="BJ70" i="9"/>
  <c r="BJ159" i="4"/>
  <c r="BJ183" i="4"/>
  <c r="BJ214" i="4"/>
  <c r="BJ216" i="4" l="1"/>
  <c r="BJ187" i="4"/>
  <c r="BJ206" i="4" s="1"/>
  <c r="BK156" i="4"/>
  <c r="BJ164" i="4"/>
  <c r="BJ168" i="4" s="1"/>
  <c r="BJ181" i="4" s="1"/>
  <c r="BJ212" i="4"/>
  <c r="BJ208" i="4" l="1"/>
  <c r="BK110" i="4"/>
  <c r="BK113" i="4" s="1"/>
  <c r="BK33" i="4" s="1"/>
  <c r="BJ239" i="4"/>
  <c r="BJ225" i="4"/>
  <c r="BJ238" i="4" s="1"/>
  <c r="BJ240" i="4"/>
  <c r="BL110" i="4" l="1"/>
  <c r="BL113" i="4" s="1"/>
  <c r="BJ226" i="4"/>
  <c r="BJ220" i="4"/>
  <c r="BJ237" i="4"/>
  <c r="BJ223" i="4"/>
  <c r="BJ217" i="4"/>
  <c r="BK24" i="9"/>
  <c r="BK35" i="4"/>
  <c r="BL33" i="4"/>
  <c r="BK233" i="4"/>
  <c r="BK244" i="4" s="1"/>
  <c r="BK26" i="9" l="1"/>
  <c r="BL24" i="9"/>
  <c r="BL26" i="9" s="1"/>
  <c r="BL233" i="4"/>
  <c r="BL244" i="4" s="1"/>
  <c r="ED31" i="3" s="1"/>
  <c r="BL35" i="4"/>
  <c r="BK37" i="4"/>
  <c r="BK39" i="4" s="1"/>
  <c r="BK46" i="4" s="1"/>
  <c r="BK48" i="4" l="1"/>
  <c r="BK54" i="4"/>
  <c r="BK133" i="4"/>
  <c r="BK247" i="4"/>
  <c r="BK201" i="4"/>
  <c r="BK119" i="4"/>
  <c r="BK28" i="9"/>
  <c r="BL28" i="9" s="1"/>
  <c r="BL30" i="9" s="1"/>
  <c r="BL37" i="9" s="1"/>
  <c r="BL37" i="4"/>
  <c r="BL119" i="4" s="1"/>
  <c r="BL127" i="4" l="1"/>
  <c r="BL129" i="4" s="1"/>
  <c r="BL39" i="9"/>
  <c r="BL44" i="9"/>
  <c r="BL56" i="9"/>
  <c r="BL39" i="4"/>
  <c r="BL46" i="4" s="1"/>
  <c r="BK139" i="4"/>
  <c r="BL133" i="4"/>
  <c r="BL139" i="4" s="1"/>
  <c r="BK222" i="4"/>
  <c r="BK30" i="9"/>
  <c r="BK37" i="9" s="1"/>
  <c r="BK204" i="4"/>
  <c r="BL201" i="4"/>
  <c r="BK55" i="4"/>
  <c r="BK234" i="4"/>
  <c r="BK230" i="4"/>
  <c r="BK127" i="4" l="1"/>
  <c r="BK129" i="4" s="1"/>
  <c r="BK39" i="9"/>
  <c r="BK44" i="9"/>
  <c r="BK56" i="9"/>
  <c r="BK68" i="4"/>
  <c r="BK56" i="4"/>
  <c r="BL48" i="4"/>
  <c r="BL54" i="4"/>
  <c r="BL247" i="4"/>
  <c r="BL99" i="44"/>
  <c r="BL100" i="44" s="1"/>
  <c r="BL45" i="9"/>
  <c r="BL155" i="4"/>
  <c r="ED41" i="3"/>
  <c r="ED40" i="3" s="1"/>
  <c r="ED52" i="3" s="1"/>
  <c r="ED53" i="3" s="1"/>
  <c r="ED57" i="3" s="1"/>
  <c r="BL59" i="9"/>
  <c r="BK155" i="4"/>
  <c r="BK158" i="4" s="1"/>
  <c r="BK59" i="9"/>
  <c r="BL204" i="4"/>
  <c r="BK243" i="4"/>
  <c r="BK58" i="9" l="1"/>
  <c r="BK70" i="9"/>
  <c r="BK45" i="9"/>
  <c r="BK83" i="4" s="1"/>
  <c r="BK84" i="4" s="1"/>
  <c r="BK99" i="44"/>
  <c r="BK100" i="44" s="1"/>
  <c r="BL58" i="9"/>
  <c r="BL70" i="9"/>
  <c r="BL222" i="4"/>
  <c r="BK159" i="4"/>
  <c r="BL158" i="4"/>
  <c r="BK214" i="4"/>
  <c r="BK183" i="4"/>
  <c r="BL83" i="4"/>
  <c r="BL12" i="41" s="1"/>
  <c r="BL46" i="9"/>
  <c r="BL55" i="4"/>
  <c r="BL230" i="4"/>
  <c r="BL234" i="4"/>
  <c r="BL36" i="41" l="1"/>
  <c r="BL39" i="41" s="1"/>
  <c r="BL41" i="41" s="1"/>
  <c r="BL44" i="41" s="1"/>
  <c r="BL46" i="41" s="1"/>
  <c r="BL13" i="41"/>
  <c r="BL20" i="41" s="1"/>
  <c r="BL22" i="41" s="1"/>
  <c r="BL24" i="41" s="1"/>
  <c r="BK164" i="4"/>
  <c r="BK212" i="4"/>
  <c r="BK187" i="4"/>
  <c r="BK206" i="4" s="1"/>
  <c r="BL183" i="4"/>
  <c r="ED17" i="3"/>
  <c r="BL45" i="3" s="1"/>
  <c r="BL214" i="4"/>
  <c r="BK216" i="4"/>
  <c r="BL84" i="4"/>
  <c r="BL14" i="3"/>
  <c r="BL15" i="3" s="1"/>
  <c r="BL243" i="4"/>
  <c r="ED30" i="3" s="1"/>
  <c r="BL56" i="4"/>
  <c r="BL68" i="4"/>
  <c r="BL159" i="4"/>
  <c r="ED63" i="3"/>
  <c r="ED65" i="3" s="1"/>
  <c r="BL187" i="4" l="1"/>
  <c r="BL206" i="4" s="1"/>
  <c r="BL32" i="3"/>
  <c r="BL42" i="3"/>
  <c r="BL47" i="3"/>
  <c r="BL216" i="4"/>
  <c r="BK239" i="4"/>
  <c r="BK240" i="4"/>
  <c r="BK225" i="4"/>
  <c r="BK238" i="4" s="1"/>
  <c r="BM156" i="4"/>
  <c r="BL212" i="4"/>
  <c r="ED8" i="3" s="1"/>
  <c r="BQ156" i="4"/>
  <c r="ED10" i="3"/>
  <c r="ED13" i="3" s="1"/>
  <c r="BK168" i="4"/>
  <c r="BK181" i="4" s="1"/>
  <c r="BK208" i="4" s="1"/>
  <c r="BL164" i="4"/>
  <c r="BL168" i="4" s="1"/>
  <c r="BL181" i="4" s="1"/>
  <c r="BL49" i="3" s="1"/>
  <c r="BL239" i="4" l="1"/>
  <c r="ED25" i="3" s="1"/>
  <c r="BL225" i="4"/>
  <c r="BL226" i="4" s="1"/>
  <c r="BL240" i="4"/>
  <c r="ED26" i="3" s="1"/>
  <c r="ED19" i="3"/>
  <c r="BL54" i="3"/>
  <c r="BL55" i="3" s="1"/>
  <c r="BL43" i="3" s="1"/>
  <c r="BK220" i="4"/>
  <c r="BK237" i="4"/>
  <c r="BK223" i="4"/>
  <c r="BK226" i="4"/>
  <c r="BL208" i="4"/>
  <c r="BL48" i="3"/>
  <c r="BK217" i="4"/>
  <c r="BM110" i="4"/>
  <c r="BL238" i="4" l="1"/>
  <c r="ED24" i="3" s="1"/>
  <c r="BM113" i="4"/>
  <c r="BM33" i="4" s="1"/>
  <c r="BL220" i="4"/>
  <c r="BL237" i="4"/>
  <c r="ED23" i="3" s="1"/>
  <c r="BL223" i="4"/>
  <c r="BL217" i="4"/>
  <c r="BM233" i="4" l="1"/>
  <c r="BM244" i="4" s="1"/>
  <c r="BM24" i="9"/>
  <c r="BM35" i="4"/>
  <c r="BM26" i="9" l="1"/>
  <c r="BM37" i="4"/>
  <c r="BM39" i="4" s="1"/>
  <c r="BM46" i="4" s="1"/>
  <c r="BM48" i="4" l="1"/>
  <c r="BM54" i="4"/>
  <c r="BM133" i="4"/>
  <c r="BM247" i="4"/>
  <c r="BM201" i="4"/>
  <c r="BM119" i="4"/>
  <c r="BM28" i="9"/>
  <c r="BM204" i="4" l="1"/>
  <c r="BM55" i="4"/>
  <c r="BM234" i="4"/>
  <c r="BM230" i="4"/>
  <c r="BM139" i="4"/>
  <c r="BM222" i="4"/>
  <c r="BM30" i="9"/>
  <c r="BM37" i="9" s="1"/>
  <c r="BM243" i="4" l="1"/>
  <c r="BM155" i="4"/>
  <c r="BM158" i="4" s="1"/>
  <c r="BM59" i="9"/>
  <c r="BM56" i="4"/>
  <c r="BM68" i="4"/>
  <c r="BM127" i="4"/>
  <c r="BM129" i="4" s="1"/>
  <c r="BM39" i="9"/>
  <c r="BM44" i="9"/>
  <c r="BM56" i="9"/>
  <c r="BM58" i="9" l="1"/>
  <c r="BM70" i="9"/>
  <c r="BM159" i="4"/>
  <c r="BM214" i="4"/>
  <c r="BM183" i="4"/>
  <c r="BM45" i="9"/>
  <c r="BM83" i="4" s="1"/>
  <c r="BM84" i="4" s="1"/>
  <c r="BM99" i="44"/>
  <c r="BM100" i="44" s="1"/>
  <c r="BM187" i="4" l="1"/>
  <c r="BM206" i="4" s="1"/>
  <c r="BM216" i="4"/>
  <c r="BN156" i="4"/>
  <c r="BM212" i="4"/>
  <c r="BM164" i="4"/>
  <c r="BM168" i="4" s="1"/>
  <c r="BM181" i="4" s="1"/>
  <c r="BM208" i="4" l="1"/>
  <c r="BM239" i="4"/>
  <c r="BM240" i="4"/>
  <c r="BM225" i="4"/>
  <c r="BN110" i="4"/>
  <c r="BM237" i="4" l="1"/>
  <c r="BM220" i="4"/>
  <c r="BM223" i="4"/>
  <c r="BM238" i="4"/>
  <c r="BM226" i="4"/>
  <c r="BN113" i="4"/>
  <c r="BN33" i="4" s="1"/>
  <c r="BM217" i="4"/>
  <c r="BN24" i="9" l="1"/>
  <c r="BN35" i="4"/>
  <c r="BN233" i="4"/>
  <c r="BN244" i="4" s="1"/>
  <c r="BN37" i="4" l="1"/>
  <c r="BN39" i="4" s="1"/>
  <c r="BN46" i="4" s="1"/>
  <c r="BN26" i="9"/>
  <c r="BN48" i="4" l="1"/>
  <c r="BN54" i="4"/>
  <c r="BN133" i="4"/>
  <c r="BN247" i="4"/>
  <c r="BN201" i="4"/>
  <c r="BN119" i="4"/>
  <c r="BN28" i="9"/>
  <c r="BN30" i="9" s="1"/>
  <c r="BN37" i="9" s="1"/>
  <c r="BN127" i="4" l="1"/>
  <c r="BN129" i="4" s="1"/>
  <c r="BN44" i="9"/>
  <c r="BN56" i="9"/>
  <c r="BN39" i="9"/>
  <c r="BN55" i="4"/>
  <c r="BN230" i="4"/>
  <c r="BN234" i="4"/>
  <c r="BN204" i="4"/>
  <c r="BN139" i="4"/>
  <c r="BN222" i="4"/>
  <c r="BN45" i="9" l="1"/>
  <c r="BN83" i="4" s="1"/>
  <c r="BN84" i="4" s="1"/>
  <c r="BN99" i="44"/>
  <c r="BN100" i="44" s="1"/>
  <c r="BN155" i="4"/>
  <c r="BN158" i="4" s="1"/>
  <c r="BN59" i="9"/>
  <c r="BN243" i="4"/>
  <c r="BN56" i="4"/>
  <c r="BN68" i="4"/>
  <c r="BN159" i="4" l="1"/>
  <c r="BN183" i="4"/>
  <c r="BN214" i="4"/>
  <c r="BN58" i="9"/>
  <c r="BN70" i="9"/>
  <c r="BO156" i="4" l="1"/>
  <c r="BN164" i="4"/>
  <c r="BN168" i="4" s="1"/>
  <c r="BN181" i="4" s="1"/>
  <c r="BN212" i="4"/>
  <c r="BN216" i="4"/>
  <c r="BN187" i="4"/>
  <c r="BN206" i="4" s="1"/>
  <c r="BO110" i="4" l="1"/>
  <c r="BO113" i="4" s="1"/>
  <c r="BO33" i="4" s="1"/>
  <c r="BN208" i="4"/>
  <c r="BN239" i="4"/>
  <c r="BN225" i="4"/>
  <c r="BN217" i="4" s="1"/>
  <c r="BN240" i="4"/>
  <c r="BN238" i="4" l="1"/>
  <c r="BN226" i="4"/>
  <c r="BO24" i="9"/>
  <c r="BO35" i="4"/>
  <c r="BO233" i="4"/>
  <c r="BO244" i="4" s="1"/>
  <c r="BN220" i="4"/>
  <c r="BN237" i="4"/>
  <c r="BN223" i="4"/>
  <c r="BO37" i="4" l="1"/>
  <c r="BO39" i="4" s="1"/>
  <c r="BO46" i="4" s="1"/>
  <c r="BO26" i="9"/>
  <c r="BO48" i="4" l="1"/>
  <c r="BO54" i="4"/>
  <c r="BO133" i="4"/>
  <c r="BO247" i="4"/>
  <c r="BO201" i="4"/>
  <c r="BO119" i="4"/>
  <c r="BO28" i="9"/>
  <c r="BO139" i="4" l="1"/>
  <c r="BO222" i="4"/>
  <c r="BO30" i="9"/>
  <c r="BO37" i="9" s="1"/>
  <c r="BO204" i="4"/>
  <c r="BO55" i="4"/>
  <c r="BO230" i="4"/>
  <c r="BO234" i="4"/>
  <c r="BO243" i="4" l="1"/>
  <c r="BO127" i="4"/>
  <c r="BO129" i="4" s="1"/>
  <c r="BO39" i="9"/>
  <c r="BO44" i="9"/>
  <c r="BO56" i="9"/>
  <c r="BO56" i="4"/>
  <c r="BO68" i="4"/>
  <c r="BO155" i="4"/>
  <c r="BO158" i="4" s="1"/>
  <c r="BO59" i="9"/>
  <c r="BO58" i="9" l="1"/>
  <c r="BO70" i="9"/>
  <c r="BO45" i="9"/>
  <c r="BO83" i="4" s="1"/>
  <c r="BO84" i="4" s="1"/>
  <c r="BO99" i="44"/>
  <c r="BO100" i="44" s="1"/>
  <c r="BO159" i="4"/>
  <c r="BO214" i="4"/>
  <c r="BO183" i="4"/>
  <c r="BO187" i="4" l="1"/>
  <c r="BO206" i="4" s="1"/>
  <c r="BO216" i="4"/>
  <c r="BO164" i="4"/>
  <c r="BO168" i="4" s="1"/>
  <c r="BO181" i="4" s="1"/>
  <c r="BP156" i="4"/>
  <c r="BO212" i="4"/>
  <c r="BO208" i="4" l="1"/>
  <c r="BO239" i="4"/>
  <c r="BO240" i="4"/>
  <c r="BO225" i="4"/>
  <c r="BP110" i="4"/>
  <c r="BO220" i="4" l="1"/>
  <c r="BO237" i="4"/>
  <c r="BO223" i="4"/>
  <c r="BO217" i="4"/>
  <c r="BO238" i="4"/>
  <c r="BO226" i="4"/>
  <c r="BP113" i="4"/>
  <c r="BP33" i="4" s="1"/>
  <c r="BQ110" i="4"/>
  <c r="BQ113" i="4" s="1"/>
  <c r="BP24" i="9" l="1"/>
  <c r="BP35" i="4"/>
  <c r="BQ33" i="4"/>
  <c r="BP233" i="4"/>
  <c r="BP244" i="4" s="1"/>
  <c r="BP26" i="9" l="1"/>
  <c r="BQ24" i="9"/>
  <c r="BQ26" i="9" s="1"/>
  <c r="BP37" i="4"/>
  <c r="BP39" i="4" s="1"/>
  <c r="BP46" i="4" s="1"/>
  <c r="BQ233" i="4"/>
  <c r="BQ244" i="4" s="1"/>
  <c r="EI31" i="3" s="1"/>
  <c r="BQ35" i="4"/>
  <c r="BP54" i="4" l="1"/>
  <c r="BP48" i="4"/>
  <c r="BP133" i="4"/>
  <c r="BP247" i="4"/>
  <c r="BP201" i="4"/>
  <c r="BP119" i="4"/>
  <c r="BP28" i="9"/>
  <c r="BQ28" i="9" s="1"/>
  <c r="BQ30" i="9" s="1"/>
  <c r="BQ37" i="9" s="1"/>
  <c r="BQ37" i="4"/>
  <c r="BQ119" i="4" s="1"/>
  <c r="BQ39" i="4" l="1"/>
  <c r="BQ46" i="4" s="1"/>
  <c r="BQ48" i="4" s="1"/>
  <c r="BQ127" i="4"/>
  <c r="BQ129" i="4" s="1"/>
  <c r="BQ39" i="9"/>
  <c r="BQ44" i="9"/>
  <c r="BQ56" i="9"/>
  <c r="BP55" i="4"/>
  <c r="BP234" i="4"/>
  <c r="BP230" i="4"/>
  <c r="BP139" i="4"/>
  <c r="BQ133" i="4"/>
  <c r="BQ139" i="4" s="1"/>
  <c r="BP222" i="4"/>
  <c r="BP30" i="9"/>
  <c r="BP37" i="9" s="1"/>
  <c r="BP204" i="4"/>
  <c r="BQ201" i="4"/>
  <c r="BQ204" i="4" s="1"/>
  <c r="BQ247" i="4" l="1"/>
  <c r="BQ54" i="4"/>
  <c r="BP56" i="4"/>
  <c r="BP68" i="4"/>
  <c r="BQ222" i="4"/>
  <c r="BP243" i="4"/>
  <c r="BQ45" i="9"/>
  <c r="BQ99" i="44"/>
  <c r="BQ100" i="44" s="1"/>
  <c r="BQ155" i="4"/>
  <c r="EI41" i="3"/>
  <c r="EI40" i="3" s="1"/>
  <c r="EI52" i="3" s="1"/>
  <c r="EI53" i="3" s="1"/>
  <c r="EI57" i="3" s="1"/>
  <c r="BQ59" i="9"/>
  <c r="BQ55" i="4"/>
  <c r="BQ234" i="4"/>
  <c r="BQ230" i="4"/>
  <c r="BP155" i="4"/>
  <c r="BP158" i="4" s="1"/>
  <c r="BP59" i="9"/>
  <c r="BP127" i="4"/>
  <c r="BP129" i="4" s="1"/>
  <c r="BP39" i="9"/>
  <c r="BP56" i="9"/>
  <c r="BP44" i="9"/>
  <c r="BQ58" i="9" l="1"/>
  <c r="BQ70" i="9"/>
  <c r="BQ83" i="4"/>
  <c r="BQ12" i="41" s="1"/>
  <c r="BQ46" i="9"/>
  <c r="BP99" i="44"/>
  <c r="BP100" i="44" s="1"/>
  <c r="BP45" i="9"/>
  <c r="BP83" i="4" s="1"/>
  <c r="BP84" i="4" s="1"/>
  <c r="BQ243" i="4"/>
  <c r="EI30" i="3" s="1"/>
  <c r="EI17" i="3"/>
  <c r="BQ45" i="3" s="1"/>
  <c r="BP159" i="4"/>
  <c r="BQ158" i="4"/>
  <c r="BP183" i="4"/>
  <c r="BP214" i="4"/>
  <c r="BP58" i="9"/>
  <c r="BP70" i="9"/>
  <c r="BT55" i="4"/>
  <c r="BQ56" i="4"/>
  <c r="BQ68" i="4"/>
  <c r="BQ36" i="41" l="1"/>
  <c r="BQ39" i="41" s="1"/>
  <c r="BQ41" i="41" s="1"/>
  <c r="BQ44" i="41" s="1"/>
  <c r="BQ46" i="41" s="1"/>
  <c r="BQ13" i="41"/>
  <c r="BQ20" i="41" s="1"/>
  <c r="BQ22" i="41" s="1"/>
  <c r="BQ24" i="41" s="1"/>
  <c r="EI63" i="3"/>
  <c r="EI65" i="3" s="1"/>
  <c r="BQ159" i="4"/>
  <c r="BQ212" i="4" s="1"/>
  <c r="EI8" i="3" s="1"/>
  <c r="BP164" i="4"/>
  <c r="BP212" i="4"/>
  <c r="BQ84" i="4"/>
  <c r="BQ14" i="3"/>
  <c r="BQ15" i="3" s="1"/>
  <c r="BP216" i="4"/>
  <c r="BQ214" i="4"/>
  <c r="EI10" i="3" s="1"/>
  <c r="EI13" i="3" s="1"/>
  <c r="BP187" i="4"/>
  <c r="BP206" i="4" s="1"/>
  <c r="BQ183" i="4"/>
  <c r="BQ187" i="4" s="1"/>
  <c r="BQ206" i="4" s="1"/>
  <c r="BP168" i="4" l="1"/>
  <c r="BP181" i="4" s="1"/>
  <c r="BP208" i="4" s="1"/>
  <c r="BQ164" i="4"/>
  <c r="BQ168" i="4" s="1"/>
  <c r="BQ181" i="4" s="1"/>
  <c r="BQ49" i="3" s="1"/>
  <c r="BQ216" i="4"/>
  <c r="BP239" i="4"/>
  <c r="BP225" i="4"/>
  <c r="BP238" i="4" s="1"/>
  <c r="BP240" i="4"/>
  <c r="BQ32" i="3"/>
  <c r="BQ42" i="3"/>
  <c r="BQ47" i="3"/>
  <c r="EI19" i="3"/>
  <c r="BQ54" i="3"/>
  <c r="BQ55" i="3" s="1"/>
  <c r="BQ43" i="3" s="1"/>
  <c r="BP226" i="4" l="1"/>
  <c r="BQ208" i="4"/>
  <c r="BQ48" i="3"/>
  <c r="BP220" i="4"/>
  <c r="BP237" i="4"/>
  <c r="BP223" i="4"/>
  <c r="BP217" i="4"/>
  <c r="BQ239" i="4"/>
  <c r="EI25" i="3" s="1"/>
  <c r="BQ225" i="4"/>
  <c r="BQ238" i="4" s="1"/>
  <c r="EI24" i="3" s="1"/>
  <c r="BQ240" i="4"/>
  <c r="EI26" i="3" s="1"/>
  <c r="BQ237" i="4" l="1"/>
  <c r="EI23" i="3" s="1"/>
  <c r="BQ220" i="4"/>
  <c r="BQ223" i="4"/>
  <c r="BQ226" i="4"/>
  <c r="BQ217" i="4"/>
</calcChain>
</file>

<file path=xl/comments1.xml><?xml version="1.0" encoding="utf-8"?>
<comments xmlns="http://schemas.openxmlformats.org/spreadsheetml/2006/main">
  <authors>
    <author>farrih</author>
  </authors>
  <commentList>
    <comment ref="A1" authorId="0">
      <text>
        <r>
          <rPr>
            <b/>
            <sz val="8"/>
            <color indexed="81"/>
            <rFont val="Tahoma"/>
            <family val="2"/>
          </rPr>
          <t>卟䙄_x0001_＀＀蔼仅_x000D_䕁幐彐䥄彖䱙채_x0018_＀＀_x0018_＀＀_x0008_＀＀_x0001_＀＀_x0001_＀＀_xDDA8_ʯ睼䀓蔼仅	䕁幐牰捩챥_x0018_＀＀_x0018_＀＀_x0008_＀＀_x0001_＀＀_x0001_＀＀㵱휊傣䁃蔼仅_x0011_䕁幐彐佃彍䡓当問챔_x0018_＀＀_x0018_＀＀_x0008_＀＀_x0001_＀＀_x0001_＀＀_xDF3C_赏⺗䁾</t>
        </r>
      </text>
    </comment>
    <comment ref="B1" authorId="0">
      <text>
        <r>
          <rPr>
            <b/>
            <sz val="8"/>
            <color indexed="81"/>
            <rFont val="Tahoma"/>
            <family val="2"/>
          </rPr>
          <t>92</t>
        </r>
      </text>
    </comment>
  </commentList>
</comments>
</file>

<file path=xl/comments2.xml><?xml version="1.0" encoding="utf-8"?>
<comments xmlns="http://schemas.openxmlformats.org/spreadsheetml/2006/main">
  <authors>
    <author>rajeevl</author>
    <author>RL</author>
    <author>Ellison, Ethan C (Research)</author>
    <author>McDermott, Devin (Research)</author>
  </authors>
  <commentList>
    <comment ref="CA8" authorId="0">
      <text>
        <r>
          <rPr>
            <b/>
            <sz val="8"/>
            <color indexed="81"/>
            <rFont val="Tahoma"/>
            <family val="2"/>
          </rPr>
          <t>rajeevl:</t>
        </r>
        <r>
          <rPr>
            <sz val="8"/>
            <color indexed="81"/>
            <rFont val="Tahoma"/>
            <family val="2"/>
          </rPr>
          <t xml:space="preserve">
8.5% ROE</t>
        </r>
      </text>
    </comment>
    <comment ref="CK8" authorId="1">
      <text>
        <r>
          <rPr>
            <b/>
            <sz val="8"/>
            <color indexed="81"/>
            <rFont val="Tahoma"/>
            <family val="2"/>
          </rPr>
          <t>RL:</t>
        </r>
        <r>
          <rPr>
            <sz val="8"/>
            <color indexed="81"/>
            <rFont val="Tahoma"/>
            <family val="2"/>
          </rPr>
          <t xml:space="preserve">
10.5% ROE</t>
        </r>
      </text>
    </comment>
    <comment ref="BB14" authorId="2">
      <text>
        <r>
          <rPr>
            <b/>
            <sz val="9"/>
            <color indexed="81"/>
            <rFont val="Tahoma"/>
            <family val="2"/>
          </rPr>
          <t>Ellison, Ethan C (Research):</t>
        </r>
        <r>
          <rPr>
            <sz val="9"/>
            <color indexed="81"/>
            <rFont val="Tahoma"/>
            <family val="2"/>
          </rPr>
          <t xml:space="preserve">
Thomson Formula:
=TF("AEP","TF.ES.EPS.Mean(period=FY2018)","")</t>
        </r>
      </text>
    </comment>
    <comment ref="DF41" authorId="3">
      <text>
        <r>
          <rPr>
            <b/>
            <sz val="9"/>
            <color indexed="81"/>
            <rFont val="Tahoma"/>
            <family val="2"/>
          </rPr>
          <t>McDermott, Devin (Research):</t>
        </r>
        <r>
          <rPr>
            <sz val="9"/>
            <color indexed="81"/>
            <rFont val="Tahoma"/>
            <family val="2"/>
          </rPr>
          <t xml:space="preserve">
we exclude growth capex in the terminal year</t>
        </r>
      </text>
    </comment>
    <comment ref="CP42" authorId="2">
      <text>
        <r>
          <rPr>
            <b/>
            <sz val="9"/>
            <color indexed="81"/>
            <rFont val="Tahoma"/>
            <family val="2"/>
          </rPr>
          <t>Ellison, Ethan C (Research):</t>
        </r>
        <r>
          <rPr>
            <sz val="9"/>
            <color indexed="81"/>
            <rFont val="Tahoma"/>
            <family val="2"/>
          </rPr>
          <t xml:space="preserve">
Asset sale in 2Q17, 2.17B proceeds</t>
        </r>
      </text>
    </comment>
    <comment ref="BV58" authorId="3">
      <text>
        <r>
          <rPr>
            <b/>
            <sz val="9"/>
            <color indexed="81"/>
            <rFont val="Tahoma"/>
            <family val="2"/>
          </rPr>
          <t>McDermott, Devin (Research):</t>
        </r>
        <r>
          <rPr>
            <sz val="9"/>
            <color indexed="81"/>
            <rFont val="Tahoma"/>
            <family val="2"/>
          </rPr>
          <t xml:space="preserve">
Debt included in asset sale</t>
        </r>
      </text>
    </comment>
  </commentList>
</comments>
</file>

<file path=xl/comments3.xml><?xml version="1.0" encoding="utf-8"?>
<comments xmlns="http://schemas.openxmlformats.org/spreadsheetml/2006/main">
  <authors>
    <author>rajeevl</author>
    <author>farrih</author>
    <author>sunilt</author>
    <author>ancsan</author>
    <author>Tammannavar, Sunil (Research)</author>
    <author>Kapoor, Vishal (Research)</author>
    <author>Magajwala, Vatsal (Research)</author>
    <author>jasoriya</author>
    <author>Kumar S, Ajay (Research)</author>
    <author>$</author>
    <author>Ellison, Ethan C (Research)</author>
    <author>shahviv</author>
  </authors>
  <commentList>
    <comment ref="O27" authorId="0">
      <text>
        <r>
          <rPr>
            <b/>
            <sz val="8"/>
            <color indexed="81"/>
            <rFont val="Tahoma"/>
            <family val="2"/>
          </rPr>
          <t>rajeevl:</t>
        </r>
        <r>
          <rPr>
            <sz val="8"/>
            <color indexed="81"/>
            <rFont val="Tahoma"/>
            <family val="2"/>
          </rPr>
          <t xml:space="preserve">
enron settlement gain and APCo CCS charge</t>
        </r>
      </text>
    </comment>
    <comment ref="Q27" authorId="1">
      <text>
        <r>
          <rPr>
            <sz val="8"/>
            <color indexed="81"/>
            <rFont val="Tahoma"/>
            <family val="2"/>
          </rPr>
          <t>Includes $90m for asset impairment and $9mil for CCS related charges.</t>
        </r>
      </text>
    </comment>
    <comment ref="R27" authorId="1">
      <text>
        <r>
          <rPr>
            <sz val="8"/>
            <color indexed="81"/>
            <rFont val="Tahoma"/>
            <family val="2"/>
          </rPr>
          <t>Includes +$4mil for gain on sale of property, +27mil for one-time maintenance, -$49mil for asset impairment/other charges, +$52mil for one-time interest income,  -$16mil for non-ongoing income taxes.</t>
        </r>
      </text>
    </comment>
    <comment ref="X27" authorId="2">
      <text>
        <r>
          <rPr>
            <sz val="8"/>
            <color indexed="81"/>
            <rFont val="Tahoma"/>
            <family val="2"/>
          </rPr>
          <t>$300m : Asset Impairment and other charges</t>
        </r>
        <r>
          <rPr>
            <sz val="8"/>
            <color indexed="81"/>
            <rFont val="Tahoma"/>
            <family val="2"/>
          </rPr>
          <t xml:space="preserve">
</t>
        </r>
      </text>
    </comment>
    <comment ref="Z27" authorId="2">
      <text>
        <r>
          <rPr>
            <sz val="8"/>
            <color indexed="81"/>
            <rFont val="Tahoma"/>
            <family val="2"/>
          </rPr>
          <t>$154m : Asset Impairment and other charges</t>
        </r>
        <r>
          <rPr>
            <sz val="8"/>
            <color indexed="81"/>
            <rFont val="Tahoma"/>
            <family val="2"/>
          </rPr>
          <t xml:space="preserve">
</t>
        </r>
      </text>
    </comment>
    <comment ref="AA27" authorId="2">
      <text>
        <r>
          <rPr>
            <sz val="8"/>
            <color indexed="81"/>
            <rFont val="Tahoma"/>
            <family val="2"/>
          </rPr>
          <t>$154m : Asset Impairment and other charges</t>
        </r>
        <r>
          <rPr>
            <sz val="8"/>
            <color indexed="81"/>
            <rFont val="Tahoma"/>
            <family val="2"/>
          </rPr>
          <t xml:space="preserve">
</t>
        </r>
      </text>
    </comment>
    <comment ref="AC27" authorId="3">
      <text>
        <r>
          <rPr>
            <sz val="8"/>
            <color indexed="81"/>
            <rFont val="Tahoma"/>
            <family val="2"/>
          </rPr>
          <t>$226mn asset impairment
$12mn gain on sale of property</t>
        </r>
      </text>
    </comment>
    <comment ref="AP27" authorId="4">
      <text>
        <r>
          <rPr>
            <sz val="9"/>
            <color indexed="81"/>
            <rFont val="Tahoma"/>
            <family val="2"/>
          </rPr>
          <t>$2,264.9m : Asset Impairments and Other Related Charges</t>
        </r>
        <r>
          <rPr>
            <sz val="9"/>
            <color indexed="81"/>
            <rFont val="Tahoma"/>
            <family val="2"/>
          </rPr>
          <t xml:space="preserve">
</t>
        </r>
      </text>
    </comment>
    <comment ref="AR27" authorId="5">
      <text>
        <r>
          <rPr>
            <sz val="9"/>
            <color indexed="81"/>
            <rFont val="Tahoma"/>
            <family val="2"/>
          </rPr>
          <t xml:space="preserve">$2,267.8m : Asset Impairments and Other Related Charges
</t>
        </r>
      </text>
    </comment>
    <comment ref="AS27" authorId="6">
      <text>
        <r>
          <rPr>
            <sz val="9"/>
            <color indexed="81"/>
            <rFont val="Tahoma"/>
            <family val="2"/>
          </rPr>
          <t xml:space="preserve">$11.2m:  Assets impairments &amp; other related charges
$226.5m: Gain on sale of merchant generation assets 
</t>
        </r>
      </text>
    </comment>
    <comment ref="AT27" authorId="6">
      <text>
        <r>
          <rPr>
            <sz val="9"/>
            <color indexed="81"/>
            <rFont val="Tahoma"/>
            <family val="2"/>
          </rPr>
          <t xml:space="preserve">$1.9m:  Assets impairments &amp; other related charges
$0.1m: Gain on sale of merchant generation assets 
</t>
        </r>
      </text>
    </comment>
    <comment ref="AU27" authorId="6">
      <text>
        <r>
          <rPr>
            <sz val="9"/>
            <color indexed="81"/>
            <rFont val="Tahoma"/>
            <family val="2"/>
          </rPr>
          <t>$2.5m:  Assets impairments &amp; other related charges
$12.4m : Gain on Sale of Equity Investment</t>
        </r>
      </text>
    </comment>
    <comment ref="Q41" authorId="1">
      <text>
        <r>
          <rPr>
            <sz val="8"/>
            <color indexed="81"/>
            <rFont val="Tahoma"/>
            <family val="2"/>
          </rPr>
          <t>In July 2011, the Supreme Court of Texas overturned a 2006 PUCT order that had denied recovery of capacity auction true-up amounts related to TCC securitized net recoverable stranded generation cost.  Based upon the Supreme Court of Texas’ opinion, TCC recorded $421 million of pretax income ($273 million, net of tax) in Extraordinary Item, Net of Tax on the condensed statements of income in the third quarter of 2011.</t>
        </r>
      </text>
    </comment>
    <comment ref="R47" authorId="1">
      <text>
        <r>
          <rPr>
            <sz val="8"/>
            <color indexed="81"/>
            <rFont val="Tahoma"/>
            <family val="2"/>
          </rPr>
          <t>Accounts for extraordinary loss and items in "Other Income, Net."</t>
        </r>
      </text>
    </comment>
    <comment ref="U47" authorId="3">
      <text>
        <r>
          <rPr>
            <sz val="8"/>
            <color indexed="81"/>
            <rFont val="Tahoma"/>
            <family val="2"/>
          </rPr>
          <t>$8mn (13mn pre tax )Restructuring Program , which is Reflected in Maintenance and Other Operations, and Income Taxes.
3mn is recorded in Appalachian Power Company And Subsidiaries.
3mn is recorded in Ohio Power Company Consolidated.
2mn is recorded in Southwestern Electric Power Company Consolidated.
Source : 8K of 2Q12</t>
        </r>
      </text>
    </comment>
    <comment ref="V47" authorId="2">
      <text>
        <r>
          <rPr>
            <sz val="8"/>
            <color indexed="81"/>
            <rFont val="Tahoma"/>
            <family val="2"/>
          </rPr>
          <t xml:space="preserve">Turk Plant Impairment </t>
        </r>
        <r>
          <rPr>
            <sz val="8"/>
            <color indexed="81"/>
            <rFont val="Tahoma"/>
            <family val="2"/>
          </rPr>
          <t xml:space="preserve">
</t>
        </r>
      </text>
    </comment>
    <comment ref="X47" authorId="2">
      <text>
        <r>
          <rPr>
            <sz val="8"/>
            <color indexed="81"/>
            <rFont val="Tahoma"/>
            <family val="2"/>
          </rPr>
          <t>$30m : Restructuring Program
$9m : Turk Plant Impairment 
$184m : Ohio Plant Impairments 
$15m : UK Windfall Taxes 
Source : 8-K of 4Q12</t>
        </r>
      </text>
    </comment>
    <comment ref="Y47" authorId="2">
      <text>
        <r>
          <rPr>
            <sz val="8"/>
            <color indexed="81"/>
            <rFont val="Tahoma"/>
            <family val="2"/>
          </rPr>
          <t>$5m : Restructuring Program
$19m : Reversal of Storm Deferral - Virginia  
Source : 8-K of 1Q13</t>
        </r>
      </text>
    </comment>
    <comment ref="Z47" authorId="2">
      <text>
        <r>
          <rPr>
            <sz val="8"/>
            <color indexed="81"/>
            <rFont val="Tahoma"/>
            <family val="2"/>
          </rPr>
          <t>$80m : UK Windfall Taxes 
$99m : Muskingum River Plant Unit 5 Impairment  
Source : 8-K of 2Q13</t>
        </r>
      </text>
    </comment>
    <comment ref="AA47" authorId="2">
      <text>
        <r>
          <rPr>
            <sz val="8"/>
            <color indexed="81"/>
            <rFont val="Tahoma"/>
            <family val="2"/>
          </rPr>
          <t>$79m : Turk Plant Impairment 
$21m : Big Sandy FGD Impairment   
Source : 8-K of 3Q13</t>
        </r>
      </text>
    </comment>
    <comment ref="AC47" authorId="7">
      <text>
        <r>
          <rPr>
            <sz val="8"/>
            <color indexed="81"/>
            <rFont val="Tahoma"/>
            <family val="2"/>
          </rPr>
          <t>Restructuring Program: $5 Mn
Reversal of Storm Deferral - Virginia: $19 Mn
UK Windfall Taxes: $(80) Mn
Muskingum River Plant Unit 5 Impairment: $99 Mn
Big Sandy FGD Impairment: $21 Mn
Adjustment to Impairments: $4 Mn
Amos Unit 3 Regulatory Disallowance: $25 Mn
Source: 8-K 4Q13</t>
        </r>
      </text>
    </comment>
    <comment ref="AH47" authorId="8">
      <text>
        <r>
          <rPr>
            <sz val="9"/>
            <color indexed="81"/>
            <rFont val="Tahoma"/>
            <family val="2"/>
          </rPr>
          <t>$6m: Mark-to-Market Impact of Economic Hedging Activities
$35m: Coal Contract Termination
source: 8-K FY2014</t>
        </r>
      </text>
    </comment>
    <comment ref="AI47" authorId="8">
      <text>
        <r>
          <rPr>
            <sz val="9"/>
            <color indexed="81"/>
            <rFont val="Tahoma"/>
            <family val="2"/>
          </rPr>
          <t>$4.0m: Mark-to-Market Impact of Economic Hedging Activities 
Source: 8K 1QFY2015</t>
        </r>
      </text>
    </comment>
    <comment ref="AJ47" authorId="8">
      <text>
        <r>
          <rPr>
            <sz val="9"/>
            <color indexed="81"/>
            <rFont val="Tahoma"/>
            <family val="2"/>
          </rPr>
          <t>$1.0m: Mark-to-Market Impact of Economic Hedging Activities 
Source: 8K 2QFY2015</t>
        </r>
      </text>
    </comment>
    <comment ref="AK47" authorId="9">
      <text>
        <r>
          <rPr>
            <sz val="9"/>
            <color indexed="81"/>
            <rFont val="Tahoma"/>
            <family val="2"/>
          </rPr>
          <t>Mark-to-Market Impact of Economic Hedging
Activities
Source: 8K 3Q15</t>
        </r>
      </text>
    </comment>
    <comment ref="AM47" authorId="9">
      <text>
        <r>
          <rPr>
            <sz val="9"/>
            <color indexed="81"/>
            <rFont val="Tahoma"/>
            <family val="2"/>
          </rPr>
          <t>Disposition of Commercial Barge Operations
Source: 8K 4Q15</t>
        </r>
      </text>
    </comment>
    <comment ref="AO47" authorId="8">
      <text>
        <r>
          <rPr>
            <sz val="9"/>
            <color indexed="81"/>
            <rFont val="Tahoma"/>
            <family val="2"/>
          </rPr>
          <t>$3.7m: Mark-to-Market Impact of Economic Hedging Activities 
$22.9m: Disposition of Commercial Barge Operations
$55.6m: Federal Tax Audit Settlement
Source: 8K 2Q16, dt. 07/28/16.</t>
        </r>
      </text>
    </comment>
    <comment ref="AP47" authorId="8">
      <text>
        <r>
          <rPr>
            <sz val="9"/>
            <color indexed="81"/>
            <rFont val="Tahoma"/>
            <family val="2"/>
          </rPr>
          <t>Includes:
$2.1m: Mark-to-Market Impact of Economic Hedging Activities 
$17.7m: Disposition of Commercial Barge Operations
$43.9m: Capital loss valuation adjustment
$1,465m : Impairment of Certain Merchant Generation Assets
Source: 8K 3Q16, dt. 11/01/16.</t>
        </r>
      </text>
    </comment>
    <comment ref="AR47" authorId="5">
      <text>
        <r>
          <rPr>
            <sz val="9"/>
            <color indexed="81"/>
            <rFont val="Tahoma"/>
            <family val="2"/>
          </rPr>
          <t>Includes:
$6.5m: Mark-to-Market Impact of Economic Hedging Activities 
$0.7m: Disposition of Commercial Barge Operations
$76.8m: Federal Tax Audit Settlement
$43.9m: Capital Loss Valuation Adjustment
$12.9m : UK Windfall Tax
$1466.9m: Impairment of Certain Merchant Generation Assets
Source: 8K 4Q16, dt. 01/26/17.</t>
        </r>
      </text>
    </comment>
    <comment ref="AS47" authorId="8">
      <text>
        <r>
          <rPr>
            <sz val="9"/>
            <color indexed="81"/>
            <rFont val="Tahoma"/>
            <family val="2"/>
          </rPr>
          <t>Includes:
$2.0m: Mark-to-Market Impact of Economic Hedging Activities 
$127.1m: Gain from Competitive generation Asset sale
$7.2m : Impairment of Certain Merchant Generation Assets
Source: 8K 1Q17, dt. 04/27/17.</t>
        </r>
      </text>
    </comment>
    <comment ref="AT47" authorId="8">
      <text>
        <r>
          <rPr>
            <sz val="9"/>
            <color indexed="81"/>
            <rFont val="Tahoma"/>
            <family val="2"/>
          </rPr>
          <t>Includes:
$0.7m: Mark-to-Market Impact of Economic Hedging Activities 
$2.3m: Gain from Competitive generation Asset sale
$3.0m : Impairment of Certain Merchant Generation Assets
Source: 8K 2Q17, dt. 07/27/17.</t>
        </r>
      </text>
    </comment>
    <comment ref="AU47" authorId="8">
      <text>
        <r>
          <rPr>
            <sz val="9"/>
            <color indexed="81"/>
            <rFont val="Tahoma"/>
            <family val="2"/>
          </rPr>
          <t>Includes:
$0.1m: Mark-to-Market Impact of commodity Hedging Activities 
$1.7m : Impairment of Certain Merchant Generation Assets
Source: 8K 3Q17, dt. 27/10/17</t>
        </r>
      </text>
    </comment>
    <comment ref="BB55" authorId="5">
      <text>
        <r>
          <rPr>
            <sz val="9"/>
            <color indexed="81"/>
            <rFont val="Tahoma"/>
            <family val="2"/>
          </rPr>
          <t>Guidance: $3.75 - $3.95
Source: 8K of 4Q17, dated 25/01/18</t>
        </r>
      </text>
    </comment>
    <comment ref="BB58" authorId="5">
      <text>
        <r>
          <rPr>
            <sz val="9"/>
            <color indexed="81"/>
            <rFont val="Tahoma"/>
            <family val="2"/>
          </rPr>
          <t>Guidance: $3.75 - $3.95
Source: 8K of 4Q17, dated 25/01/18</t>
        </r>
      </text>
    </comment>
    <comment ref="BG58" authorId="5">
      <text>
        <r>
          <rPr>
            <sz val="9"/>
            <color indexed="81"/>
            <rFont val="Tahoma"/>
            <family val="2"/>
          </rPr>
          <t>Source: 52nd EEI Financial Conference, November 5 -8, 2017</t>
        </r>
      </text>
    </comment>
    <comment ref="BL58" authorId="5">
      <text>
        <r>
          <rPr>
            <sz val="9"/>
            <color indexed="81"/>
            <rFont val="Tahoma"/>
            <family val="2"/>
          </rPr>
          <t>Guidance: $5% - 7% growth rate
Source: 8K of 2Q17, dated 27/07/17</t>
        </r>
      </text>
    </comment>
    <comment ref="BQ58" authorId="5">
      <text>
        <r>
          <rPr>
            <sz val="9"/>
            <color indexed="81"/>
            <rFont val="Tahoma"/>
            <family val="2"/>
          </rPr>
          <t>Guidance: $5% - 7% growth rate
Source: 8K of 2Q17, dated 27/07/17</t>
        </r>
      </text>
    </comment>
    <comment ref="BB59" authorId="5">
      <text>
        <r>
          <rPr>
            <sz val="9"/>
            <color indexed="81"/>
            <rFont val="Tahoma"/>
            <family val="2"/>
          </rPr>
          <t>Guidance: $3.75 - $3.95
Source: 8K of 4Q17, dated 25/01/18</t>
        </r>
      </text>
    </comment>
    <comment ref="BG59" authorId="5">
      <text>
        <r>
          <rPr>
            <sz val="9"/>
            <color indexed="81"/>
            <rFont val="Tahoma"/>
            <family val="2"/>
          </rPr>
          <t>Source: 52nd EEI Financial Conference, November 5 -8, 2017</t>
        </r>
      </text>
    </comment>
    <comment ref="BL59" authorId="5">
      <text>
        <r>
          <rPr>
            <sz val="9"/>
            <color indexed="81"/>
            <rFont val="Tahoma"/>
            <family val="2"/>
          </rPr>
          <t>Guidance: $5% - 7% growth rate
Source: 8K of 2Q17, dated 27/07/17</t>
        </r>
      </text>
    </comment>
    <comment ref="BQ59" authorId="5">
      <text>
        <r>
          <rPr>
            <sz val="9"/>
            <color indexed="81"/>
            <rFont val="Tahoma"/>
            <family val="2"/>
          </rPr>
          <t>Guidance: $5% - 7% growth rate
Source: 8K of 2Q17, dated 27/07/17</t>
        </r>
      </text>
    </comment>
    <comment ref="BB64" authorId="5">
      <text>
        <r>
          <rPr>
            <sz val="9"/>
            <color indexed="81"/>
            <rFont val="Tahoma"/>
            <family val="2"/>
          </rPr>
          <t>Guidance: $2.48
Source: 52nd EEI Financial Conference, November 5 -8, 2017</t>
        </r>
      </text>
    </comment>
    <comment ref="AW73" authorId="10">
      <text>
        <r>
          <rPr>
            <b/>
            <sz val="9"/>
            <color indexed="81"/>
            <rFont val="Tahoma"/>
            <family val="2"/>
          </rPr>
          <t>Ellison, Ethan C (Research):</t>
        </r>
        <r>
          <rPr>
            <sz val="9"/>
            <color indexed="81"/>
            <rFont val="Tahoma"/>
            <family val="2"/>
          </rPr>
          <t xml:space="preserve">
Turned off DRIP in 4Q16</t>
        </r>
      </text>
    </comment>
    <comment ref="BB73" authorId="10">
      <text>
        <r>
          <rPr>
            <b/>
            <sz val="9"/>
            <color indexed="81"/>
            <rFont val="Tahoma"/>
            <family val="2"/>
          </rPr>
          <t>Ellison, Ethan C (Research):</t>
        </r>
        <r>
          <rPr>
            <sz val="9"/>
            <color indexed="81"/>
            <rFont val="Tahoma"/>
            <family val="2"/>
          </rPr>
          <t xml:space="preserve">
2017 EEI presentation pg. 12</t>
        </r>
      </text>
    </comment>
    <comment ref="BG73" authorId="10">
      <text>
        <r>
          <rPr>
            <b/>
            <sz val="9"/>
            <color indexed="81"/>
            <rFont val="Tahoma"/>
            <family val="2"/>
          </rPr>
          <t>Ellison, Ethan C (Research):</t>
        </r>
        <r>
          <rPr>
            <sz val="9"/>
            <color indexed="81"/>
            <rFont val="Tahoma"/>
            <family val="2"/>
          </rPr>
          <t xml:space="preserve">
2017 EEI presentation pg. 12</t>
        </r>
      </text>
    </comment>
    <comment ref="BL73" authorId="10">
      <text>
        <r>
          <rPr>
            <b/>
            <sz val="9"/>
            <color indexed="81"/>
            <rFont val="Tahoma"/>
            <family val="2"/>
          </rPr>
          <t>Ellison, Ethan C (Research):</t>
        </r>
        <r>
          <rPr>
            <sz val="9"/>
            <color indexed="81"/>
            <rFont val="Tahoma"/>
            <family val="2"/>
          </rPr>
          <t xml:space="preserve">
2017 EEI presentation pg. 12</t>
        </r>
      </text>
    </comment>
    <comment ref="BQ73" authorId="10">
      <text>
        <r>
          <rPr>
            <b/>
            <sz val="9"/>
            <color indexed="81"/>
            <rFont val="Tahoma"/>
            <family val="2"/>
          </rPr>
          <t>Ellison, Ethan C (Research):</t>
        </r>
        <r>
          <rPr>
            <sz val="9"/>
            <color indexed="81"/>
            <rFont val="Tahoma"/>
            <family val="2"/>
          </rPr>
          <t xml:space="preserve">
Assumes wind catcher wind plant is 50/50 equity/debt financed, while gen-tier (2018-2020) is fully debt financed</t>
        </r>
      </text>
    </comment>
    <comment ref="BB99" authorId="5">
      <text>
        <r>
          <rPr>
            <sz val="9"/>
            <color indexed="81"/>
            <rFont val="Tahoma"/>
            <family val="2"/>
          </rPr>
          <t>Guidance: $18.2B  from 2018 - 2020
Source: 52nd EEI Financial Conference, November 5 -8, 2017</t>
        </r>
      </text>
    </comment>
    <comment ref="BG99" authorId="5">
      <text>
        <r>
          <rPr>
            <sz val="9"/>
            <color indexed="81"/>
            <rFont val="Tahoma"/>
            <family val="2"/>
          </rPr>
          <t>Guidance: $18.2B  from 2018 - 2020
Source: 52nd EEI Financial Conference, November 5 -8, 2017</t>
        </r>
      </text>
    </comment>
    <comment ref="BL99" authorId="5">
      <text>
        <r>
          <rPr>
            <sz val="9"/>
            <color indexed="81"/>
            <rFont val="Tahoma"/>
            <family val="2"/>
          </rPr>
          <t>Guidance: $18.2B  from 2018 - 2020
Source: 52nd EEI Financial Conference, November 5 -8, 2017</t>
        </r>
      </text>
    </comment>
    <comment ref="BS99" authorId="10">
      <text>
        <r>
          <rPr>
            <b/>
            <sz val="9"/>
            <color indexed="81"/>
            <rFont val="Tahoma"/>
            <family val="2"/>
          </rPr>
          <t>Ellison, Ethan C (Research):</t>
        </r>
        <r>
          <rPr>
            <sz val="9"/>
            <color indexed="81"/>
            <rFont val="Tahoma"/>
            <family val="2"/>
          </rPr>
          <t xml:space="preserve">
Guide to $17.7B
•3/22/18 Presentation, pg. 9</t>
        </r>
      </text>
    </comment>
    <comment ref="BB136" authorId="10">
      <text>
        <r>
          <rPr>
            <b/>
            <sz val="9"/>
            <color indexed="81"/>
            <rFont val="Tahoma"/>
            <family val="2"/>
          </rPr>
          <t>Ellison, Ethan C (Research):</t>
        </r>
        <r>
          <rPr>
            <sz val="9"/>
            <color indexed="81"/>
            <rFont val="Tahoma"/>
            <family val="2"/>
          </rPr>
          <t xml:space="preserve">
Pay no cash taxes through 2018, partial in 2019, full in 2020</t>
        </r>
      </text>
    </comment>
    <comment ref="BG136" authorId="10">
      <text>
        <r>
          <rPr>
            <b/>
            <sz val="9"/>
            <color indexed="81"/>
            <rFont val="Tahoma"/>
            <family val="2"/>
          </rPr>
          <t>Ellison, Ethan C (Research):</t>
        </r>
        <r>
          <rPr>
            <sz val="9"/>
            <color indexed="81"/>
            <rFont val="Tahoma"/>
            <family val="2"/>
          </rPr>
          <t xml:space="preserve">
Pay no cash taxes through 2018, partial in 2019, full in 2020</t>
        </r>
      </text>
    </comment>
    <comment ref="CP137" authorId="1">
      <text>
        <r>
          <rPr>
            <sz val="8"/>
            <color indexed="81"/>
            <rFont val="Tahoma"/>
            <family val="2"/>
          </rPr>
          <t xml:space="preserve">
Includes -500m for "pension contribution to qualified plan trust," and -253 for "fuel over/under recovery, net."</t>
        </r>
      </text>
    </comment>
    <comment ref="CP138" authorId="1">
      <text>
        <r>
          <rPr>
            <sz val="8"/>
            <color indexed="81"/>
            <rFont val="Tahoma"/>
            <family val="2"/>
          </rPr>
          <t>Includes -866 for accounts receivable, net</t>
        </r>
      </text>
    </comment>
    <comment ref="BB145" authorId="10">
      <text>
        <r>
          <rPr>
            <b/>
            <sz val="9"/>
            <color indexed="81"/>
            <rFont val="Tahoma"/>
            <family val="2"/>
          </rPr>
          <t>Ellison, Ethan C (Research):</t>
        </r>
        <r>
          <rPr>
            <sz val="9"/>
            <color indexed="81"/>
            <rFont val="Tahoma"/>
            <family val="2"/>
          </rPr>
          <t xml:space="preserve">
Forecasting 4,700
3/22/18 Presentation pg. 10</t>
        </r>
      </text>
    </comment>
    <comment ref="BG145" authorId="10">
      <text>
        <r>
          <rPr>
            <b/>
            <sz val="9"/>
            <color indexed="81"/>
            <rFont val="Tahoma"/>
            <family val="2"/>
          </rPr>
          <t>Ellison, Ethan C (Research):</t>
        </r>
        <r>
          <rPr>
            <sz val="9"/>
            <color indexed="81"/>
            <rFont val="Tahoma"/>
            <family val="2"/>
          </rPr>
          <t xml:space="preserve">
Forecasting 5,300
3/22/18 Presentation pg. 10</t>
        </r>
      </text>
    </comment>
    <comment ref="BL145" authorId="10">
      <text>
        <r>
          <rPr>
            <b/>
            <sz val="9"/>
            <color indexed="81"/>
            <rFont val="Tahoma"/>
            <family val="2"/>
          </rPr>
          <t>Ellison, Ethan C (Research):</t>
        </r>
        <r>
          <rPr>
            <sz val="9"/>
            <color indexed="81"/>
            <rFont val="Tahoma"/>
            <family val="2"/>
          </rPr>
          <t xml:space="preserve">
Forecasting 2,200
3/22/18 Presentation pg. 10</t>
        </r>
      </text>
    </comment>
    <comment ref="C146" authorId="3">
      <text>
        <r>
          <rPr>
            <sz val="8"/>
            <color indexed="81"/>
            <rFont val="Tahoma"/>
            <family val="2"/>
          </rPr>
          <t>Includes principal payments for capital lease obligations</t>
        </r>
      </text>
    </comment>
    <comment ref="CU152" authorId="11">
      <text>
        <r>
          <rPr>
            <sz val="8"/>
            <color indexed="81"/>
            <rFont val="Tahoma"/>
            <family val="2"/>
          </rPr>
          <t xml:space="preserve">Includes retirement of cumulative preferred stock
</t>
        </r>
      </text>
    </comment>
    <comment ref="CP156" authorId="1">
      <text>
        <r>
          <rPr>
            <sz val="8"/>
            <color indexed="81"/>
            <rFont val="Tahoma"/>
            <family val="2"/>
          </rPr>
          <t xml:space="preserve">
Placeholder</t>
        </r>
      </text>
    </comment>
    <comment ref="AS203" authorId="6">
      <text>
        <r>
          <rPr>
            <sz val="9"/>
            <color indexed="81"/>
            <rFont val="Tahoma"/>
            <family val="2"/>
          </rPr>
          <t xml:space="preserve">$1.6m Contingently Redeemable Performance share awards
</t>
        </r>
      </text>
    </comment>
    <comment ref="AT203" authorId="6">
      <text>
        <r>
          <rPr>
            <sz val="9"/>
            <color indexed="81"/>
            <rFont val="Tahoma"/>
            <family val="2"/>
          </rPr>
          <t xml:space="preserve">$5.5m Contingently Redeemable Performance share awards
</t>
        </r>
      </text>
    </comment>
    <comment ref="AU203" authorId="6">
      <text>
        <r>
          <rPr>
            <sz val="9"/>
            <color indexed="81"/>
            <rFont val="Tahoma"/>
            <family val="2"/>
          </rPr>
          <t xml:space="preserve">$9.3m Contingently Redeemable Performance share awards
</t>
        </r>
      </text>
    </comment>
    <comment ref="AW203" authorId="6">
      <text>
        <r>
          <rPr>
            <sz val="9"/>
            <color indexed="81"/>
            <rFont val="Tahoma"/>
            <family val="2"/>
          </rPr>
          <t xml:space="preserve">$11.9m Contingently Redeemable Performance share awards
</t>
        </r>
      </text>
    </comment>
  </commentList>
</comments>
</file>

<file path=xl/comments4.xml><?xml version="1.0" encoding="utf-8"?>
<comments xmlns="http://schemas.openxmlformats.org/spreadsheetml/2006/main">
  <authors>
    <author>RL</author>
    <author>Kobus, Jim (Research)</author>
    <author>Ellison, Ethan C (Research)</author>
    <author>Kapoor, Vishal (Research)</author>
    <author>McDermott, Devin (Research)</author>
    <author>Tammannavar, Sunil (Research)</author>
    <author>Kumar S, Ajay (Research)</author>
    <author>K, Hemalatha (Research)</author>
    <author>Magajwala, Vatsal (Research)</author>
    <author xml:space="preserve"> </author>
  </authors>
  <commentList>
    <comment ref="Z8" authorId="0">
      <text>
        <r>
          <rPr>
            <b/>
            <sz val="8"/>
            <color indexed="81"/>
            <rFont val="Tahoma"/>
            <family val="2"/>
          </rPr>
          <t>RL:</t>
        </r>
        <r>
          <rPr>
            <sz val="8"/>
            <color indexed="81"/>
            <rFont val="Tahoma"/>
            <family val="2"/>
          </rPr>
          <t xml:space="preserve">
$0.06 of weather benefit last year</t>
        </r>
      </text>
    </comment>
    <comment ref="AA8" authorId="0">
      <text>
        <r>
          <rPr>
            <b/>
            <sz val="8"/>
            <color indexed="81"/>
            <rFont val="Tahoma"/>
            <family val="2"/>
          </rPr>
          <t>RL:</t>
        </r>
        <r>
          <rPr>
            <sz val="8"/>
            <color indexed="81"/>
            <rFont val="Tahoma"/>
            <family val="2"/>
          </rPr>
          <t xml:space="preserve">
$49mil favorable weather vs normal ($10bil is margin for the year)</t>
        </r>
      </text>
    </comment>
    <comment ref="AB8" authorId="0">
      <text>
        <r>
          <rPr>
            <b/>
            <sz val="8"/>
            <color indexed="81"/>
            <rFont val="Tahoma"/>
            <family val="2"/>
          </rPr>
          <t>RL:</t>
        </r>
        <r>
          <rPr>
            <sz val="8"/>
            <color indexed="81"/>
            <rFont val="Tahoma"/>
            <family val="2"/>
          </rPr>
          <t xml:space="preserve">
$49mil unfavorable weather vs normal ($10bil is margin for the year)</t>
        </r>
      </text>
    </comment>
    <comment ref="AD8" authorId="0">
      <text>
        <r>
          <rPr>
            <b/>
            <sz val="8"/>
            <color indexed="81"/>
            <rFont val="Tahoma"/>
            <family val="2"/>
          </rPr>
          <t>DM:</t>
        </r>
        <r>
          <rPr>
            <sz val="8"/>
            <color indexed="81"/>
            <rFont val="Tahoma"/>
            <family val="2"/>
          </rPr>
          <t xml:space="preserve">
$72mil favorable weather vs normal ($10bil is margin for the year). Net of $10mil favorable in 1Q13.</t>
        </r>
      </text>
    </comment>
    <comment ref="AM8" authorId="1">
      <text>
        <r>
          <rPr>
            <b/>
            <sz val="9"/>
            <color indexed="81"/>
            <rFont val="Tahoma"/>
            <family val="2"/>
          </rPr>
          <t>Kobus, Jim (Research):</t>
        </r>
        <r>
          <rPr>
            <sz val="9"/>
            <color indexed="81"/>
            <rFont val="Tahoma"/>
            <family val="2"/>
          </rPr>
          <t xml:space="preserve">
Guidance = 0.6%</t>
        </r>
      </text>
    </comment>
    <comment ref="AR8" authorId="1">
      <text>
        <r>
          <rPr>
            <b/>
            <sz val="9"/>
            <color indexed="81"/>
            <rFont val="Tahoma"/>
            <family val="2"/>
          </rPr>
          <t>Kobus, Jim (Research):</t>
        </r>
        <r>
          <rPr>
            <sz val="9"/>
            <color indexed="81"/>
            <rFont val="Tahoma"/>
            <family val="2"/>
          </rPr>
          <t xml:space="preserve">
Guidance = 0.9%</t>
        </r>
      </text>
    </comment>
    <comment ref="AW8" authorId="2">
      <text>
        <r>
          <rPr>
            <b/>
            <sz val="9"/>
            <color indexed="81"/>
            <rFont val="Tahoma"/>
            <family val="2"/>
          </rPr>
          <t>Ellison, Ethan C (Research):</t>
        </r>
        <r>
          <rPr>
            <sz val="9"/>
            <color indexed="81"/>
            <rFont val="Tahoma"/>
            <family val="2"/>
          </rPr>
          <t xml:space="preserve">
Guiding to 0.7%
♦10K16 earnings slides pg. 8</t>
        </r>
      </text>
    </comment>
    <comment ref="AW10" authorId="2">
      <text>
        <r>
          <rPr>
            <b/>
            <sz val="9"/>
            <color indexed="81"/>
            <rFont val="Tahoma"/>
            <family val="2"/>
          </rPr>
          <t>Ellison, Ethan C (Research):</t>
        </r>
        <r>
          <rPr>
            <sz val="9"/>
            <color indexed="81"/>
            <rFont val="Tahoma"/>
            <family val="2"/>
          </rPr>
          <t xml:space="preserve">
assume float O&amp;M in response to no sales growth </t>
        </r>
      </text>
    </comment>
    <comment ref="C18" authorId="2">
      <text>
        <r>
          <rPr>
            <b/>
            <sz val="9"/>
            <color indexed="81"/>
            <rFont val="Tahoma"/>
            <family val="2"/>
          </rPr>
          <t>Ellison, Ethan C (Research):</t>
        </r>
        <r>
          <rPr>
            <sz val="9"/>
            <color indexed="81"/>
            <rFont val="Tahoma"/>
            <family val="2"/>
          </rPr>
          <t xml:space="preserve">
From FERC Form 1</t>
        </r>
      </text>
    </comment>
    <comment ref="X18" authorId="2">
      <text>
        <r>
          <rPr>
            <b/>
            <sz val="9"/>
            <color indexed="81"/>
            <rFont val="Tahoma"/>
            <family val="2"/>
          </rPr>
          <t>Ellison, Ethan C (Research):</t>
        </r>
        <r>
          <rPr>
            <sz val="9"/>
            <color indexed="81"/>
            <rFont val="Tahoma"/>
            <family val="2"/>
          </rPr>
          <t xml:space="preserve">
11/9/13 IR presentation pg. 21</t>
        </r>
      </text>
    </comment>
    <comment ref="AC18" authorId="2">
      <text>
        <r>
          <rPr>
            <b/>
            <sz val="9"/>
            <color indexed="81"/>
            <rFont val="Tahoma"/>
            <family val="2"/>
          </rPr>
          <t>Ellison, Ethan C (Research):</t>
        </r>
        <r>
          <rPr>
            <sz val="9"/>
            <color indexed="81"/>
            <rFont val="Tahoma"/>
            <family val="2"/>
          </rPr>
          <t xml:space="preserve">
11/11/14 IR Presentation pg. 11</t>
        </r>
      </text>
    </comment>
    <comment ref="AH18" authorId="2">
      <text>
        <r>
          <rPr>
            <b/>
            <sz val="9"/>
            <color indexed="81"/>
            <rFont val="Tahoma"/>
            <family val="2"/>
          </rPr>
          <t>Ellison, Ethan C (Research):</t>
        </r>
        <r>
          <rPr>
            <sz val="9"/>
            <color indexed="81"/>
            <rFont val="Tahoma"/>
            <family val="2"/>
          </rPr>
          <t xml:space="preserve">
11/8/15 IR Presentation pg. 13</t>
        </r>
      </text>
    </comment>
    <comment ref="AM18" authorId="3">
      <text>
        <r>
          <rPr>
            <sz val="9"/>
            <color indexed="81"/>
            <rFont val="Tahoma"/>
            <family val="2"/>
          </rPr>
          <t>Source:  Rate Base And ROE For All Jurisdictions
https://www.aep.com/investors/CurrentRegulatoryActivity/regulatory/docs/12_31_16_RateBaseandROEforallJurisdictions.pdf
11/8/16 IR presentation slide 12</t>
        </r>
      </text>
    </comment>
    <comment ref="AR18" authorId="3">
      <text>
        <r>
          <rPr>
            <sz val="9"/>
            <color indexed="81"/>
            <rFont val="Tahoma"/>
            <family val="2"/>
          </rPr>
          <t xml:space="preserve">Source:  Rate Base And ROE For All Jurisdictions
https://www.aep.com/investors/CurrentRegulatoryActivity/regulatory/docs/12_31_17ROEand12-31-16RateBaseforallJurisdictions.pdf
</t>
        </r>
        <r>
          <rPr>
            <b/>
            <sz val="9"/>
            <color indexed="81"/>
            <rFont val="Tahoma"/>
            <family val="2"/>
          </rPr>
          <t xml:space="preserve">These figures are from the FERC Form 1; YE 2016
</t>
        </r>
        <r>
          <rPr>
            <sz val="9"/>
            <color indexed="81"/>
            <rFont val="Tahoma"/>
            <family val="2"/>
          </rPr>
          <t xml:space="preserve">
Also 11/5/17 IR presentation pg. 12</t>
        </r>
      </text>
    </comment>
    <comment ref="C19" authorId="4">
      <text>
        <r>
          <rPr>
            <b/>
            <sz val="9"/>
            <color indexed="81"/>
            <rFont val="Tahoma"/>
            <family val="2"/>
          </rPr>
          <t>McDermott, Devin (Research):</t>
        </r>
        <r>
          <rPr>
            <sz val="9"/>
            <color indexed="81"/>
            <rFont val="Tahoma"/>
            <family val="2"/>
          </rPr>
          <t xml:space="preserve">
Includes Wheeling Power</t>
        </r>
      </text>
    </comment>
    <comment ref="AW24" authorId="2">
      <text>
        <r>
          <rPr>
            <b/>
            <sz val="9"/>
            <color indexed="81"/>
            <rFont val="Tahoma"/>
            <family val="2"/>
          </rPr>
          <t>Ellison, Ethan C (Research):</t>
        </r>
        <r>
          <rPr>
            <sz val="9"/>
            <color indexed="81"/>
            <rFont val="Tahoma"/>
            <family val="2"/>
          </rPr>
          <t xml:space="preserve">
2017 EEI Presentation pg.68</t>
        </r>
      </text>
    </comment>
    <comment ref="AM25" authorId="2">
      <text>
        <r>
          <rPr>
            <b/>
            <sz val="9"/>
            <color indexed="81"/>
            <rFont val="Tahoma"/>
            <family val="2"/>
          </rPr>
          <t>Ellison, Ethan C (Research):</t>
        </r>
        <r>
          <rPr>
            <sz val="9"/>
            <color indexed="81"/>
            <rFont val="Tahoma"/>
            <family val="2"/>
          </rPr>
          <t xml:space="preserve">
2016 EEI Slides Gives 2015 rate base proxy = 21.9B</t>
        </r>
      </text>
    </comment>
    <comment ref="AW25" authorId="2">
      <text>
        <r>
          <rPr>
            <b/>
            <sz val="9"/>
            <color indexed="81"/>
            <rFont val="Tahoma"/>
            <family val="2"/>
          </rPr>
          <t>Ellison, Ethan C (Research):</t>
        </r>
        <r>
          <rPr>
            <sz val="9"/>
            <color indexed="81"/>
            <rFont val="Tahoma"/>
            <family val="2"/>
          </rPr>
          <t xml:space="preserve">
2017 rate base = 22.7B (2016 base) + 0.3B (cummulative 16-17) = </t>
        </r>
        <r>
          <rPr>
            <b/>
            <sz val="9"/>
            <color indexed="81"/>
            <rFont val="Tahoma"/>
            <family val="2"/>
          </rPr>
          <t>23B</t>
        </r>
      </text>
    </comment>
    <comment ref="BB25" authorId="2">
      <text>
        <r>
          <rPr>
            <b/>
            <sz val="9"/>
            <color indexed="81"/>
            <rFont val="Tahoma"/>
            <family val="2"/>
          </rPr>
          <t>Ellison, Ethan C (Research):</t>
        </r>
        <r>
          <rPr>
            <sz val="9"/>
            <color indexed="81"/>
            <rFont val="Tahoma"/>
            <family val="2"/>
          </rPr>
          <t xml:space="preserve">
2018 rate base = 22.7B (2016 base) + 2.2B (cummulative 16-18) = </t>
        </r>
        <r>
          <rPr>
            <b/>
            <sz val="9"/>
            <color indexed="81"/>
            <rFont val="Tahoma"/>
            <family val="2"/>
          </rPr>
          <t>24.9B</t>
        </r>
      </text>
    </comment>
    <comment ref="BG25" authorId="2">
      <text>
        <r>
          <rPr>
            <b/>
            <sz val="9"/>
            <color indexed="81"/>
            <rFont val="Tahoma"/>
            <family val="2"/>
          </rPr>
          <t>Ellison, Ethan C (Research):</t>
        </r>
        <r>
          <rPr>
            <sz val="9"/>
            <color indexed="81"/>
            <rFont val="Tahoma"/>
            <family val="2"/>
          </rPr>
          <t xml:space="preserve">
2019 rate base = 22.7B (2016 base) + 3.8B (cummulative 16-19) = </t>
        </r>
        <r>
          <rPr>
            <b/>
            <sz val="9"/>
            <color indexed="81"/>
            <rFont val="Tahoma"/>
            <family val="2"/>
          </rPr>
          <t>26.5B</t>
        </r>
      </text>
    </comment>
    <comment ref="BL25" authorId="2">
      <text>
        <r>
          <rPr>
            <b/>
            <sz val="9"/>
            <color indexed="81"/>
            <rFont val="Tahoma"/>
            <family val="2"/>
          </rPr>
          <t>Ellison, Ethan C (Research):</t>
        </r>
        <r>
          <rPr>
            <sz val="9"/>
            <color indexed="81"/>
            <rFont val="Tahoma"/>
            <family val="2"/>
          </rPr>
          <t xml:space="preserve">
2020 rate base = 22.7B (2016 base) + 5.3B (cummulative 16-20) = ~</t>
        </r>
        <r>
          <rPr>
            <b/>
            <sz val="9"/>
            <color indexed="81"/>
            <rFont val="Tahoma"/>
            <family val="2"/>
          </rPr>
          <t>28B</t>
        </r>
      </text>
    </comment>
    <comment ref="AM30" authorId="2">
      <text>
        <r>
          <rPr>
            <b/>
            <sz val="9"/>
            <color indexed="81"/>
            <rFont val="Tahoma"/>
            <family val="2"/>
          </rPr>
          <t>Ellison, Ethan C (Research):</t>
        </r>
        <r>
          <rPr>
            <sz val="9"/>
            <color indexed="81"/>
            <rFont val="Tahoma"/>
            <family val="2"/>
          </rPr>
          <t xml:space="preserve">
2016 EEI Slides Gives 2015 rate base proxy = 7.8B</t>
        </r>
      </text>
    </comment>
    <comment ref="AW30" authorId="2">
      <text>
        <r>
          <rPr>
            <b/>
            <sz val="9"/>
            <color indexed="81"/>
            <rFont val="Tahoma"/>
            <family val="2"/>
          </rPr>
          <t>Ellison, Ethan C (Research):</t>
        </r>
        <r>
          <rPr>
            <sz val="9"/>
            <color indexed="81"/>
            <rFont val="Tahoma"/>
            <family val="2"/>
          </rPr>
          <t xml:space="preserve">
2017 rate base = 8.6B (2016 base) + 1.1B (cummulative 16-17) = </t>
        </r>
        <r>
          <rPr>
            <b/>
            <sz val="9"/>
            <color indexed="81"/>
            <rFont val="Tahoma"/>
            <family val="2"/>
          </rPr>
          <t>9.7B</t>
        </r>
      </text>
    </comment>
    <comment ref="BB30" authorId="2">
      <text>
        <r>
          <rPr>
            <b/>
            <sz val="9"/>
            <color indexed="81"/>
            <rFont val="Tahoma"/>
            <family val="2"/>
          </rPr>
          <t>Ellison, Ethan C (Research):</t>
        </r>
        <r>
          <rPr>
            <sz val="9"/>
            <color indexed="81"/>
            <rFont val="Tahoma"/>
            <family val="2"/>
          </rPr>
          <t xml:space="preserve">
2018 rate base = 8.6B (2016 base) + 2.2B (cummulative 16-18) = </t>
        </r>
        <r>
          <rPr>
            <b/>
            <sz val="9"/>
            <color indexed="81"/>
            <rFont val="Tahoma"/>
            <family val="2"/>
          </rPr>
          <t>10.8B</t>
        </r>
      </text>
    </comment>
    <comment ref="BG30" authorId="2">
      <text>
        <r>
          <rPr>
            <b/>
            <sz val="9"/>
            <color indexed="81"/>
            <rFont val="Tahoma"/>
            <family val="2"/>
          </rPr>
          <t>Ellison, Ethan C (Research):</t>
        </r>
        <r>
          <rPr>
            <sz val="9"/>
            <color indexed="81"/>
            <rFont val="Tahoma"/>
            <family val="2"/>
          </rPr>
          <t xml:space="preserve">
2019 rate base = 8.6B (2016 base) + 3.4B (cummulative 16-19) = </t>
        </r>
        <r>
          <rPr>
            <b/>
            <sz val="9"/>
            <color indexed="81"/>
            <rFont val="Tahoma"/>
            <family val="2"/>
          </rPr>
          <t>12B</t>
        </r>
      </text>
    </comment>
    <comment ref="BL30" authorId="2">
      <text>
        <r>
          <rPr>
            <b/>
            <sz val="9"/>
            <color indexed="81"/>
            <rFont val="Tahoma"/>
            <family val="2"/>
          </rPr>
          <t>Ellison, Ethan C (Research):</t>
        </r>
        <r>
          <rPr>
            <sz val="9"/>
            <color indexed="81"/>
            <rFont val="Tahoma"/>
            <family val="2"/>
          </rPr>
          <t xml:space="preserve">
2020 rate base = 8.6B (2016 base) + 4.5B (cummulative 16-20) = </t>
        </r>
        <r>
          <rPr>
            <b/>
            <sz val="9"/>
            <color indexed="81"/>
            <rFont val="Tahoma"/>
            <family val="2"/>
          </rPr>
          <t>13.1B</t>
        </r>
      </text>
    </comment>
    <comment ref="AM32" authorId="2">
      <text>
        <r>
          <rPr>
            <b/>
            <sz val="9"/>
            <color indexed="81"/>
            <rFont val="Tahoma"/>
            <family val="2"/>
          </rPr>
          <t>Ellison, Ethan C (Research):</t>
        </r>
        <r>
          <rPr>
            <sz val="9"/>
            <color indexed="81"/>
            <rFont val="Tahoma"/>
            <family val="2"/>
          </rPr>
          <t xml:space="preserve">
2016 EEI Slides Gives 2015 rate base proxy = 3.1B for "Transcos/Transource"</t>
        </r>
      </text>
    </comment>
    <comment ref="AW32" authorId="2">
      <text>
        <r>
          <rPr>
            <b/>
            <sz val="9"/>
            <color indexed="81"/>
            <rFont val="Tahoma"/>
            <family val="2"/>
          </rPr>
          <t>Ellison, Ethan C (Research):</t>
        </r>
        <r>
          <rPr>
            <sz val="9"/>
            <color indexed="81"/>
            <rFont val="Tahoma"/>
            <family val="2"/>
          </rPr>
          <t xml:space="preserve">
2017 rate base = 4.2B (2016 base) + 1.5B (cummulative 16-17) = </t>
        </r>
        <r>
          <rPr>
            <b/>
            <sz val="9"/>
            <color indexed="81"/>
            <rFont val="Tahoma"/>
            <family val="2"/>
          </rPr>
          <t>5.7B</t>
        </r>
      </text>
    </comment>
    <comment ref="BB32" authorId="2">
      <text>
        <r>
          <rPr>
            <b/>
            <sz val="9"/>
            <color indexed="81"/>
            <rFont val="Tahoma"/>
            <family val="2"/>
          </rPr>
          <t>Ellison, Ethan C (Research):</t>
        </r>
        <r>
          <rPr>
            <sz val="9"/>
            <color indexed="81"/>
            <rFont val="Tahoma"/>
            <family val="2"/>
          </rPr>
          <t xml:space="preserve">
2018 rate base = 4.2B (2016 base) + 2.7B (cummulative 16-18) = </t>
        </r>
        <r>
          <rPr>
            <b/>
            <sz val="9"/>
            <color indexed="81"/>
            <rFont val="Tahoma"/>
            <family val="2"/>
          </rPr>
          <t>6.9B</t>
        </r>
      </text>
    </comment>
    <comment ref="BG32" authorId="2">
      <text>
        <r>
          <rPr>
            <b/>
            <sz val="9"/>
            <color indexed="81"/>
            <rFont val="Tahoma"/>
            <family val="2"/>
          </rPr>
          <t>Ellison, Ethan C (Research):</t>
        </r>
        <r>
          <rPr>
            <sz val="9"/>
            <color indexed="81"/>
            <rFont val="Tahoma"/>
            <family val="2"/>
          </rPr>
          <t xml:space="preserve">
2019 rate base = 4.2B (2016 base) + 4.2B (cummulative 16-19) = </t>
        </r>
        <r>
          <rPr>
            <b/>
            <sz val="9"/>
            <color indexed="81"/>
            <rFont val="Tahoma"/>
            <family val="2"/>
          </rPr>
          <t>8.4B</t>
        </r>
      </text>
    </comment>
    <comment ref="BL32" authorId="2">
      <text>
        <r>
          <rPr>
            <b/>
            <sz val="9"/>
            <color indexed="81"/>
            <rFont val="Tahoma"/>
            <family val="2"/>
          </rPr>
          <t>Ellison, Ethan C (Research):</t>
        </r>
        <r>
          <rPr>
            <sz val="9"/>
            <color indexed="81"/>
            <rFont val="Tahoma"/>
            <family val="2"/>
          </rPr>
          <t xml:space="preserve">
2020 rate base = 4.2B (2016 base) + 5.0B (cummulative 16-20) = </t>
        </r>
        <r>
          <rPr>
            <b/>
            <sz val="9"/>
            <color indexed="81"/>
            <rFont val="Tahoma"/>
            <family val="2"/>
          </rPr>
          <t>9.2B</t>
        </r>
      </text>
    </comment>
    <comment ref="AH33" authorId="2">
      <text>
        <r>
          <rPr>
            <b/>
            <sz val="9"/>
            <color indexed="81"/>
            <rFont val="Tahoma"/>
            <family val="2"/>
          </rPr>
          <t>Ellison, Ethan C (Research):</t>
        </r>
        <r>
          <rPr>
            <sz val="9"/>
            <color indexed="81"/>
            <rFont val="Tahoma"/>
            <family val="2"/>
          </rPr>
          <t xml:space="preserve">
Gives 2014 rate base proxy = 30.3B (Barclays 9/7/16)</t>
        </r>
      </text>
    </comment>
    <comment ref="AM33" authorId="2">
      <text>
        <r>
          <rPr>
            <b/>
            <sz val="9"/>
            <color indexed="81"/>
            <rFont val="Tahoma"/>
            <family val="2"/>
          </rPr>
          <t>Ellison, Ethan C (Research):</t>
        </r>
        <r>
          <rPr>
            <sz val="9"/>
            <color indexed="81"/>
            <rFont val="Tahoma"/>
            <family val="2"/>
          </rPr>
          <t xml:space="preserve">
2016 EEI Slides Gives 2015 rate base proxy = 32.8B</t>
        </r>
      </text>
    </comment>
    <comment ref="BB33" authorId="2">
      <text>
        <r>
          <rPr>
            <b/>
            <sz val="9"/>
            <color indexed="81"/>
            <rFont val="Tahoma"/>
            <family val="2"/>
          </rPr>
          <t>Ellison, Ethan C (Research):</t>
        </r>
        <r>
          <rPr>
            <sz val="9"/>
            <color indexed="81"/>
            <rFont val="Tahoma"/>
            <family val="2"/>
          </rPr>
          <t xml:space="preserve">
2018 rate base = 35.5B (2016 base) + 7.1B (cummulative 16-18) = ~</t>
        </r>
        <r>
          <rPr>
            <b/>
            <sz val="9"/>
            <color indexed="81"/>
            <rFont val="Tahoma"/>
            <family val="2"/>
          </rPr>
          <t>42.6B</t>
        </r>
      </text>
    </comment>
    <comment ref="BG33" authorId="2">
      <text>
        <r>
          <rPr>
            <b/>
            <sz val="9"/>
            <color indexed="81"/>
            <rFont val="Tahoma"/>
            <family val="2"/>
          </rPr>
          <t>Ellison, Ethan C (Research):</t>
        </r>
        <r>
          <rPr>
            <sz val="9"/>
            <color indexed="81"/>
            <rFont val="Tahoma"/>
            <family val="2"/>
          </rPr>
          <t xml:space="preserve">
2018 rate base = 35.5B (2016 base) + 11.4B (cummulative 16-18) = ~</t>
        </r>
        <r>
          <rPr>
            <b/>
            <sz val="9"/>
            <color indexed="81"/>
            <rFont val="Tahoma"/>
            <family val="2"/>
          </rPr>
          <t>46.9B</t>
        </r>
      </text>
    </comment>
    <comment ref="BL33" authorId="2">
      <text>
        <r>
          <rPr>
            <b/>
            <sz val="9"/>
            <color indexed="81"/>
            <rFont val="Tahoma"/>
            <family val="2"/>
          </rPr>
          <t>Ellison, Ethan C (Research):</t>
        </r>
        <r>
          <rPr>
            <sz val="9"/>
            <color indexed="81"/>
            <rFont val="Tahoma"/>
            <family val="2"/>
          </rPr>
          <t xml:space="preserve">
2018 rate base = 35.5B (2016 base) + 14.8B (cummulative 16-18) = ~</t>
        </r>
        <r>
          <rPr>
            <b/>
            <sz val="9"/>
            <color indexed="81"/>
            <rFont val="Tahoma"/>
            <family val="2"/>
          </rPr>
          <t>50.3B</t>
        </r>
      </text>
    </comment>
    <comment ref="BS34" authorId="2">
      <text>
        <r>
          <rPr>
            <b/>
            <sz val="9"/>
            <color indexed="81"/>
            <rFont val="Tahoma"/>
            <family val="2"/>
          </rPr>
          <t>Ellison, Ethan C (Research):</t>
        </r>
        <r>
          <rPr>
            <sz val="9"/>
            <color indexed="81"/>
            <rFont val="Tahoma"/>
            <family val="2"/>
          </rPr>
          <t xml:space="preserve">
Guide to 7% CAGR (Barclays 9/7/16)</t>
        </r>
      </text>
    </comment>
    <comment ref="AW43" authorId="2">
      <text>
        <r>
          <rPr>
            <b/>
            <sz val="9"/>
            <color indexed="81"/>
            <rFont val="Tahoma"/>
            <family val="2"/>
          </rPr>
          <t>Ellison, Ethan C (Research):</t>
        </r>
        <r>
          <rPr>
            <sz val="9"/>
            <color indexed="81"/>
            <rFont val="Tahoma"/>
            <family val="2"/>
          </rPr>
          <t xml:space="preserve">
YE ROEs published before YE rate base</t>
        </r>
      </text>
    </comment>
    <comment ref="AW46" authorId="5">
      <text>
        <r>
          <rPr>
            <sz val="9"/>
            <color indexed="81"/>
            <rFont val="Tahoma"/>
            <family val="2"/>
          </rPr>
          <t xml:space="preserve">AEP Texas total is 10%. </t>
        </r>
      </text>
    </comment>
    <comment ref="AW47" authorId="5">
      <text>
        <r>
          <rPr>
            <sz val="9"/>
            <color indexed="81"/>
            <rFont val="Tahoma"/>
            <family val="2"/>
          </rPr>
          <t xml:space="preserve">AEP Texas total is 10%. </t>
        </r>
      </text>
    </comment>
    <comment ref="AW48" authorId="2">
      <text>
        <r>
          <rPr>
            <b/>
            <sz val="9"/>
            <color indexed="81"/>
            <rFont val="Tahoma"/>
            <family val="2"/>
          </rPr>
          <t>Ellison, Ethan C (Research):</t>
        </r>
        <r>
          <rPr>
            <sz val="9"/>
            <color indexed="81"/>
            <rFont val="Tahoma"/>
            <family val="2"/>
          </rPr>
          <t xml:space="preserve">
YE ROEs published before YE rate base</t>
        </r>
      </text>
    </comment>
    <comment ref="AW51" authorId="2">
      <text>
        <r>
          <rPr>
            <b/>
            <sz val="9"/>
            <color indexed="81"/>
            <rFont val="Tahoma"/>
            <family val="2"/>
          </rPr>
          <t>Ellison, Ethan C (Research):</t>
        </r>
        <r>
          <rPr>
            <sz val="9"/>
            <color indexed="81"/>
            <rFont val="Tahoma"/>
            <family val="2"/>
          </rPr>
          <t xml:space="preserve">
YE ROEs published before YE rate base</t>
        </r>
      </text>
    </comment>
    <comment ref="AW71" authorId="2">
      <text>
        <r>
          <rPr>
            <b/>
            <sz val="9"/>
            <color indexed="81"/>
            <rFont val="Tahoma"/>
            <family val="2"/>
          </rPr>
          <t>Ellison, Ethan C (Research):</t>
        </r>
        <r>
          <rPr>
            <sz val="9"/>
            <color indexed="81"/>
            <rFont val="Tahoma"/>
            <family val="2"/>
          </rPr>
          <t xml:space="preserve">
All 2017-2019 Capex forecasts:
2016 EEI slides pg. 52</t>
        </r>
      </text>
    </comment>
    <comment ref="BB71" authorId="2">
      <text>
        <r>
          <rPr>
            <b/>
            <sz val="9"/>
            <color indexed="81"/>
            <rFont val="Tahoma"/>
            <family val="2"/>
          </rPr>
          <t>Ellison, Ethan C (Research):</t>
        </r>
        <r>
          <rPr>
            <sz val="9"/>
            <color indexed="81"/>
            <rFont val="Tahoma"/>
            <family val="2"/>
          </rPr>
          <t xml:space="preserve">
All 2018-2020 Capex forecasts:
2/5/18 IR Presentation</t>
        </r>
      </text>
    </comment>
    <comment ref="BG71" authorId="2">
      <text>
        <r>
          <rPr>
            <b/>
            <sz val="9"/>
            <color indexed="81"/>
            <rFont val="Tahoma"/>
            <family val="2"/>
          </rPr>
          <t>Ellison, Ethan C (Research):</t>
        </r>
        <r>
          <rPr>
            <sz val="9"/>
            <color indexed="81"/>
            <rFont val="Tahoma"/>
            <family val="2"/>
          </rPr>
          <t xml:space="preserve">
All 2018-2020 Capex forecasts:
2/5/18 IR Presentation</t>
        </r>
      </text>
    </comment>
    <comment ref="BL71" authorId="2">
      <text>
        <r>
          <rPr>
            <b/>
            <sz val="9"/>
            <color indexed="81"/>
            <rFont val="Tahoma"/>
            <family val="2"/>
          </rPr>
          <t>Ellison, Ethan C (Research):</t>
        </r>
        <r>
          <rPr>
            <sz val="9"/>
            <color indexed="81"/>
            <rFont val="Tahoma"/>
            <family val="2"/>
          </rPr>
          <t xml:space="preserve">
All 2018-2020 Capex forecasts:
2/5/18 IR Presentation</t>
        </r>
      </text>
    </comment>
    <comment ref="AH72" authorId="6">
      <text>
        <r>
          <rPr>
            <sz val="9"/>
            <color indexed="81"/>
            <rFont val="Tahoma"/>
            <family val="2"/>
          </rPr>
          <t>equated to previous year</t>
        </r>
      </text>
    </comment>
    <comment ref="AM72" authorId="6">
      <text>
        <r>
          <rPr>
            <sz val="9"/>
            <color indexed="81"/>
            <rFont val="Tahoma"/>
            <family val="2"/>
          </rPr>
          <t>equated to previous year</t>
        </r>
      </text>
    </comment>
    <comment ref="AR72" authorId="3">
      <text>
        <r>
          <rPr>
            <sz val="9"/>
            <color indexed="81"/>
            <rFont val="Tahoma"/>
            <family val="2"/>
          </rPr>
          <t>Equated to previous year</t>
        </r>
      </text>
    </comment>
    <comment ref="BB74" authorId="2">
      <text>
        <r>
          <rPr>
            <b/>
            <sz val="9"/>
            <color indexed="81"/>
            <rFont val="Tahoma"/>
            <family val="2"/>
          </rPr>
          <t>Ellison, Ethan C (Research):</t>
        </r>
        <r>
          <rPr>
            <sz val="9"/>
            <color indexed="81"/>
            <rFont val="Tahoma"/>
            <family val="2"/>
          </rPr>
          <t xml:space="preserve">
Inludes W.C.E.C., just gen-tie capex spread appropriately across SWEPCO and PSO, 20% of capex in 2018 and 40% in both 2019 and 2020, </t>
        </r>
        <r>
          <rPr>
            <b/>
            <sz val="9"/>
            <color indexed="81"/>
            <rFont val="Tahoma"/>
            <family val="2"/>
          </rPr>
          <t>we assign 50% probability at this time</t>
        </r>
      </text>
    </comment>
    <comment ref="BG74" authorId="2">
      <text>
        <r>
          <rPr>
            <b/>
            <sz val="9"/>
            <color indexed="81"/>
            <rFont val="Tahoma"/>
            <family val="2"/>
          </rPr>
          <t>Ellison, Ethan C (Research):</t>
        </r>
        <r>
          <rPr>
            <sz val="9"/>
            <color indexed="81"/>
            <rFont val="Tahoma"/>
            <family val="2"/>
          </rPr>
          <t xml:space="preserve">
Inludes W.C.E.C., just gen-tie capex spread appropriately across SWEPCO and PSO, 20% of capex in 2018 and 40% in both 2019 and 2020, </t>
        </r>
        <r>
          <rPr>
            <b/>
            <sz val="9"/>
            <color indexed="81"/>
            <rFont val="Tahoma"/>
            <family val="2"/>
          </rPr>
          <t>we assign 50% probability at this time</t>
        </r>
      </text>
    </comment>
    <comment ref="BL74" authorId="2">
      <text>
        <r>
          <rPr>
            <b/>
            <sz val="9"/>
            <color indexed="81"/>
            <rFont val="Tahoma"/>
            <family val="2"/>
          </rPr>
          <t>Ellison, Ethan C (Research):</t>
        </r>
        <r>
          <rPr>
            <sz val="9"/>
            <color indexed="81"/>
            <rFont val="Tahoma"/>
            <family val="2"/>
          </rPr>
          <t xml:space="preserve">
Inludes W.C.E.C., just gen-tie capex spread appropriately across SWEPCO and PSO, 20% of capex in 2018 and 40% in both 2019 and 2020, </t>
        </r>
        <r>
          <rPr>
            <b/>
            <sz val="9"/>
            <color indexed="81"/>
            <rFont val="Tahoma"/>
            <family val="2"/>
          </rPr>
          <t>we assign 50% probability at this time</t>
        </r>
      </text>
    </comment>
    <comment ref="BB75" authorId="2">
      <text>
        <r>
          <rPr>
            <b/>
            <sz val="9"/>
            <color indexed="81"/>
            <rFont val="Tahoma"/>
            <family val="2"/>
          </rPr>
          <t>Ellison, Ethan C (Research):</t>
        </r>
        <r>
          <rPr>
            <sz val="9"/>
            <color indexed="81"/>
            <rFont val="Tahoma"/>
            <family val="2"/>
          </rPr>
          <t xml:space="preserve">
Inludes W.C.E.C., just gen-tie capex spread appropriately across SWEPCO and PSO, 20% of capex in 2018 and 40% in both 2019 and 2020, </t>
        </r>
        <r>
          <rPr>
            <b/>
            <sz val="9"/>
            <color indexed="81"/>
            <rFont val="Tahoma"/>
            <family val="2"/>
          </rPr>
          <t>we assign 50% probability at this time</t>
        </r>
      </text>
    </comment>
    <comment ref="BG75" authorId="2">
      <text>
        <r>
          <rPr>
            <b/>
            <sz val="9"/>
            <color indexed="81"/>
            <rFont val="Tahoma"/>
            <family val="2"/>
          </rPr>
          <t>Ellison, Ethan C (Research):</t>
        </r>
        <r>
          <rPr>
            <sz val="9"/>
            <color indexed="81"/>
            <rFont val="Tahoma"/>
            <family val="2"/>
          </rPr>
          <t xml:space="preserve">
Inludes W.C.E.C., just gen-tie capex spread appropriately across SWEPCO and PSO, 20% of capex in 2018 and 40% in both 2019 and 2020, </t>
        </r>
        <r>
          <rPr>
            <b/>
            <sz val="9"/>
            <color indexed="81"/>
            <rFont val="Tahoma"/>
            <family val="2"/>
          </rPr>
          <t>we assign 50% probability at this time</t>
        </r>
      </text>
    </comment>
    <comment ref="BL75" authorId="2">
      <text>
        <r>
          <rPr>
            <b/>
            <sz val="9"/>
            <color indexed="81"/>
            <rFont val="Tahoma"/>
            <family val="2"/>
          </rPr>
          <t>Ellison, Ethan C (Research):</t>
        </r>
        <r>
          <rPr>
            <sz val="9"/>
            <color indexed="81"/>
            <rFont val="Tahoma"/>
            <family val="2"/>
          </rPr>
          <t xml:space="preserve">
Inludes W.C.E.C., just gen-tie capex spread appropriately across SWEPCO and PSO, 20% of capex in 2018 and 40% in both 2019 and 2020, </t>
        </r>
        <r>
          <rPr>
            <b/>
            <sz val="9"/>
            <color indexed="81"/>
            <rFont val="Tahoma"/>
            <family val="2"/>
          </rPr>
          <t>we assign 50% probability at this time</t>
        </r>
      </text>
    </comment>
    <comment ref="BQ78" authorId="2">
      <text>
        <r>
          <rPr>
            <b/>
            <sz val="9"/>
            <color indexed="81"/>
            <rFont val="Tahoma"/>
            <family val="2"/>
          </rPr>
          <t>Ellison, Ethan C (Research):</t>
        </r>
        <r>
          <rPr>
            <sz val="9"/>
            <color indexed="81"/>
            <rFont val="Tahoma"/>
            <family val="2"/>
          </rPr>
          <t xml:space="preserve">
This includes the wind plant capex for WCEC</t>
        </r>
      </text>
    </comment>
    <comment ref="AR81" authorId="7">
      <text>
        <r>
          <rPr>
            <sz val="9"/>
            <color indexed="81"/>
            <rFont val="Tahoma"/>
            <family val="2"/>
          </rPr>
          <t xml:space="preserve">Company as started reporting constructure expenditures for TCC and TNC together.
$640.9mn: total AEP texas CAPEX </t>
        </r>
      </text>
    </comment>
    <comment ref="AW81" authorId="3">
      <text>
        <r>
          <rPr>
            <sz val="9"/>
            <color indexed="81"/>
            <rFont val="Tahoma"/>
            <family val="2"/>
          </rPr>
          <t>Equated to FY2016 as the FY2017 results are not yet published.</t>
        </r>
      </text>
    </comment>
    <comment ref="AW82" authorId="3">
      <text>
        <r>
          <rPr>
            <sz val="9"/>
            <color indexed="81"/>
            <rFont val="Tahoma"/>
            <family val="2"/>
          </rPr>
          <t>Equated to FY2016 as the FY2017 results are not yet published.</t>
        </r>
      </text>
    </comment>
    <comment ref="BB82" authorId="2">
      <text>
        <r>
          <rPr>
            <b/>
            <sz val="9"/>
            <color indexed="81"/>
            <rFont val="Tahoma"/>
            <family val="2"/>
          </rPr>
          <t>Ellison, Ethan C (Research):</t>
        </r>
        <r>
          <rPr>
            <sz val="9"/>
            <color indexed="81"/>
            <rFont val="Tahoma"/>
            <family val="2"/>
          </rPr>
          <t xml:space="preserve">
Now just consolidated TCC &amp; TNC as AEP Texas Company</t>
        </r>
      </text>
    </comment>
    <comment ref="BG82" authorId="2">
      <text>
        <r>
          <rPr>
            <b/>
            <sz val="9"/>
            <color indexed="81"/>
            <rFont val="Tahoma"/>
            <family val="2"/>
          </rPr>
          <t>Ellison, Ethan C (Research):</t>
        </r>
        <r>
          <rPr>
            <sz val="9"/>
            <color indexed="81"/>
            <rFont val="Tahoma"/>
            <family val="2"/>
          </rPr>
          <t xml:space="preserve">
Now just consolidated TCC &amp; TNC as AEP Texas Company</t>
        </r>
      </text>
    </comment>
    <comment ref="AW90" authorId="2">
      <text>
        <r>
          <rPr>
            <b/>
            <sz val="9"/>
            <color indexed="81"/>
            <rFont val="Tahoma"/>
            <family val="2"/>
          </rPr>
          <t>Ellison, Ethan C (Research):</t>
        </r>
        <r>
          <rPr>
            <sz val="9"/>
            <color indexed="81"/>
            <rFont val="Tahoma"/>
            <family val="2"/>
          </rPr>
          <t xml:space="preserve">
Lower because of asset sales</t>
        </r>
      </text>
    </comment>
    <comment ref="BB90" authorId="5">
      <text>
        <r>
          <rPr>
            <sz val="9"/>
            <color indexed="81"/>
            <rFont val="Tahoma"/>
            <family val="2"/>
          </rPr>
          <t>Guidance : $8.3 bn
Source : Deutsche 2017 Clean Tech, Utilities &amp; Power Conference dated 05/16/2017</t>
        </r>
      </text>
    </comment>
    <comment ref="BG90" authorId="5">
      <text>
        <r>
          <rPr>
            <sz val="9"/>
            <color indexed="81"/>
            <rFont val="Tahoma"/>
            <family val="2"/>
          </rPr>
          <t>Guidance : $9.9 bn
Source : Deutsche 2017 Clean Tech, Utilities &amp; Power Conference dated 05/16/2017</t>
        </r>
      </text>
    </comment>
    <comment ref="BB91" authorId="2">
      <text>
        <r>
          <rPr>
            <b/>
            <sz val="9"/>
            <color indexed="81"/>
            <rFont val="Tahoma"/>
            <family val="2"/>
          </rPr>
          <t>Ellison, Ethan C (Research):</t>
        </r>
        <r>
          <rPr>
            <sz val="9"/>
            <color indexed="81"/>
            <rFont val="Tahoma"/>
            <family val="2"/>
          </rPr>
          <t xml:space="preserve">
Includes just AEPTHC, no JVs</t>
        </r>
      </text>
    </comment>
    <comment ref="AR112" authorId="8">
      <text>
        <r>
          <rPr>
            <sz val="9"/>
            <color indexed="81"/>
            <rFont val="Tahoma"/>
            <family val="2"/>
          </rPr>
          <t xml:space="preserve">$0.6m: Cash &amp; Cash equivalents
$146.3m: Restricted cash for Securitized Transition funding
</t>
        </r>
        <r>
          <rPr>
            <b/>
            <sz val="9"/>
            <color indexed="81"/>
            <rFont val="Tahoma"/>
            <family val="2"/>
          </rPr>
          <t>Source</t>
        </r>
        <r>
          <rPr>
            <sz val="9"/>
            <color indexed="81"/>
            <rFont val="Tahoma"/>
            <family val="2"/>
          </rPr>
          <t>: https://www.aep.com/investors/FinancialFilingsAndReports/Filings/docs/2017subsidiaries/1Q17-AEPTexas.pdf</t>
        </r>
      </text>
    </comment>
    <comment ref="AS112" authorId="8">
      <text>
        <r>
          <rPr>
            <sz val="9"/>
            <color indexed="81"/>
            <rFont val="Tahoma"/>
            <family val="2"/>
          </rPr>
          <t xml:space="preserve">$0.1m: Cash &amp; Cash equivalents
$100.4m: Restricted cash for Securitized Transition funding
</t>
        </r>
        <r>
          <rPr>
            <b/>
            <sz val="9"/>
            <color indexed="81"/>
            <rFont val="Tahoma"/>
            <family val="2"/>
          </rPr>
          <t>Source</t>
        </r>
        <r>
          <rPr>
            <sz val="9"/>
            <color indexed="81"/>
            <rFont val="Tahoma"/>
            <family val="2"/>
          </rPr>
          <t>: https://www.aep.com/investors/FinancialFilingsAndReports/Filings/docs/2017subsidiaries/1Q17-AEPTexas.pdf</t>
        </r>
      </text>
    </comment>
    <comment ref="AW112" authorId="5">
      <text>
        <r>
          <rPr>
            <sz val="9"/>
            <color indexed="81"/>
            <rFont val="Tahoma"/>
            <family val="2"/>
          </rPr>
          <t xml:space="preserve">Source : https://www.aep.com/investors/FinancialFilingsAndReports/Filings/docs/AEP_10K_2017.pdf
</t>
        </r>
      </text>
    </comment>
    <comment ref="AS117" authorId="9">
      <text>
        <r>
          <rPr>
            <sz val="9"/>
            <color indexed="81"/>
            <rFont val="Tahoma"/>
            <family val="2"/>
          </rPr>
          <t>Advances from Affiliates</t>
        </r>
        <r>
          <rPr>
            <sz val="9"/>
            <color indexed="81"/>
            <rFont val="Tahoma"/>
            <family val="2"/>
          </rPr>
          <t xml:space="preserve">
</t>
        </r>
      </text>
    </comment>
    <comment ref="AU117" authorId="9">
      <text>
        <r>
          <rPr>
            <sz val="9"/>
            <color indexed="81"/>
            <rFont val="Tahoma"/>
            <family val="2"/>
          </rPr>
          <t>Advances from Affiliates</t>
        </r>
        <r>
          <rPr>
            <sz val="9"/>
            <color indexed="81"/>
            <rFont val="Tahoma"/>
            <family val="2"/>
          </rPr>
          <t xml:space="preserve">
</t>
        </r>
      </text>
    </comment>
    <comment ref="AU118" authorId="9">
      <text>
        <r>
          <rPr>
            <sz val="9"/>
            <color indexed="81"/>
            <rFont val="Tahoma"/>
            <family val="2"/>
          </rPr>
          <t>Advances from Affiliates</t>
        </r>
        <r>
          <rPr>
            <sz val="9"/>
            <color indexed="81"/>
            <rFont val="Tahoma"/>
            <family val="2"/>
          </rPr>
          <t xml:space="preserve">
</t>
        </r>
      </text>
    </comment>
    <comment ref="AU119" authorId="9">
      <text>
        <r>
          <rPr>
            <sz val="9"/>
            <color indexed="81"/>
            <rFont val="Tahoma"/>
            <family val="2"/>
          </rPr>
          <t>Advances from Affiliates</t>
        </r>
        <r>
          <rPr>
            <sz val="9"/>
            <color indexed="81"/>
            <rFont val="Tahoma"/>
            <family val="2"/>
          </rPr>
          <t xml:space="preserve">
</t>
        </r>
      </text>
    </comment>
    <comment ref="AU120" authorId="9">
      <text>
        <r>
          <rPr>
            <sz val="9"/>
            <color indexed="81"/>
            <rFont val="Tahoma"/>
            <family val="2"/>
          </rPr>
          <t>Advances from Affiliates - 48.3</t>
        </r>
        <r>
          <rPr>
            <sz val="9"/>
            <color indexed="81"/>
            <rFont val="Tahoma"/>
            <family val="2"/>
          </rPr>
          <t xml:space="preserve">
</t>
        </r>
      </text>
    </comment>
    <comment ref="AU121" authorId="9">
      <text>
        <r>
          <rPr>
            <sz val="9"/>
            <color indexed="81"/>
            <rFont val="Tahoma"/>
            <family val="2"/>
          </rPr>
          <t>Advances from Affiliates</t>
        </r>
        <r>
          <rPr>
            <sz val="9"/>
            <color indexed="81"/>
            <rFont val="Tahoma"/>
            <family val="2"/>
          </rPr>
          <t xml:space="preserve">
</t>
        </r>
      </text>
    </comment>
    <comment ref="AO125" authorId="9">
      <text>
        <r>
          <rPr>
            <sz val="9"/>
            <color indexed="81"/>
            <rFont val="Tahoma"/>
            <family val="2"/>
          </rPr>
          <t>Advances from Affiliates</t>
        </r>
        <r>
          <rPr>
            <sz val="9"/>
            <color indexed="81"/>
            <rFont val="Tahoma"/>
            <family val="2"/>
          </rPr>
          <t xml:space="preserve">
</t>
        </r>
      </text>
    </comment>
    <comment ref="AU125" authorId="9">
      <text>
        <r>
          <rPr>
            <sz val="9"/>
            <color indexed="81"/>
            <rFont val="Tahoma"/>
            <family val="2"/>
          </rPr>
          <t>Advances from Affiliates</t>
        </r>
        <r>
          <rPr>
            <sz val="9"/>
            <color indexed="81"/>
            <rFont val="Tahoma"/>
            <family val="2"/>
          </rPr>
          <t xml:space="preserve">
</t>
        </r>
      </text>
    </comment>
    <comment ref="AO126" authorId="9">
      <text>
        <r>
          <rPr>
            <sz val="9"/>
            <color indexed="81"/>
            <rFont val="Tahoma"/>
            <family val="2"/>
          </rPr>
          <t>Advances from Affiliates</t>
        </r>
        <r>
          <rPr>
            <sz val="9"/>
            <color indexed="81"/>
            <rFont val="Tahoma"/>
            <family val="2"/>
          </rPr>
          <t xml:space="preserve">
</t>
        </r>
      </text>
    </comment>
    <comment ref="AP126" authorId="9">
      <text>
        <r>
          <rPr>
            <sz val="9"/>
            <color indexed="81"/>
            <rFont val="Tahoma"/>
            <family val="2"/>
          </rPr>
          <t>Advances from Affiliates</t>
        </r>
        <r>
          <rPr>
            <sz val="9"/>
            <color indexed="81"/>
            <rFont val="Tahoma"/>
            <family val="2"/>
          </rPr>
          <t xml:space="preserve">
</t>
        </r>
      </text>
    </comment>
    <comment ref="AR126" authorId="8">
      <text>
        <r>
          <rPr>
            <sz val="9"/>
            <color indexed="81"/>
            <rFont val="Tahoma"/>
            <family val="2"/>
          </rPr>
          <t xml:space="preserve">$169.5m: Advances from Affiliates
</t>
        </r>
        <r>
          <rPr>
            <b/>
            <sz val="9"/>
            <color indexed="81"/>
            <rFont val="Tahoma"/>
            <family val="2"/>
          </rPr>
          <t>Source</t>
        </r>
        <r>
          <rPr>
            <sz val="9"/>
            <color indexed="81"/>
            <rFont val="Tahoma"/>
            <family val="2"/>
          </rPr>
          <t>: https://www.aep.com/investors/FinancialFilingsAndReports/Filings/docs/2017subsidiaries/1Q17-AEPTexas.pdf</t>
        </r>
      </text>
    </comment>
    <comment ref="AS126" authorId="8">
      <text>
        <r>
          <rPr>
            <sz val="9"/>
            <color indexed="81"/>
            <rFont val="Tahoma"/>
            <family val="2"/>
          </rPr>
          <t xml:space="preserve">$126.5m: Advances from Affiliates
</t>
        </r>
        <r>
          <rPr>
            <b/>
            <sz val="9"/>
            <color indexed="81"/>
            <rFont val="Tahoma"/>
            <family val="2"/>
          </rPr>
          <t>Source</t>
        </r>
        <r>
          <rPr>
            <sz val="9"/>
            <color indexed="81"/>
            <rFont val="Tahoma"/>
            <family val="2"/>
          </rPr>
          <t>: https://www.aep.com/investors/FinancialFilingsAndReports/Filings/docs/2017subsidiaries/1Q17-AEPTexas.pdf</t>
        </r>
      </text>
    </comment>
    <comment ref="AO127" authorId="9">
      <text>
        <r>
          <rPr>
            <sz val="9"/>
            <color indexed="81"/>
            <rFont val="Tahoma"/>
            <family val="2"/>
          </rPr>
          <t>Advances from Affiliates</t>
        </r>
        <r>
          <rPr>
            <sz val="9"/>
            <color indexed="81"/>
            <rFont val="Tahoma"/>
            <family val="2"/>
          </rPr>
          <t xml:space="preserve">
</t>
        </r>
      </text>
    </comment>
    <comment ref="AP127" authorId="9">
      <text>
        <r>
          <rPr>
            <sz val="9"/>
            <color indexed="81"/>
            <rFont val="Tahoma"/>
            <family val="2"/>
          </rPr>
          <t>Advances from Affiliates</t>
        </r>
        <r>
          <rPr>
            <sz val="9"/>
            <color indexed="81"/>
            <rFont val="Tahoma"/>
            <family val="2"/>
          </rPr>
          <t xml:space="preserve">
</t>
        </r>
      </text>
    </comment>
    <comment ref="AR140" authorId="8">
      <text>
        <r>
          <rPr>
            <sz val="9"/>
            <color indexed="81"/>
            <rFont val="Tahoma"/>
            <family val="2"/>
          </rPr>
          <t xml:space="preserve">$263.1m: Long-term debt due within one year - Nonaffiliated
$2,954.6m: Long term debt - Nonaffiliated
</t>
        </r>
        <r>
          <rPr>
            <b/>
            <sz val="9"/>
            <color indexed="81"/>
            <rFont val="Tahoma"/>
            <family val="2"/>
          </rPr>
          <t>Source</t>
        </r>
        <r>
          <rPr>
            <sz val="9"/>
            <color indexed="81"/>
            <rFont val="Tahoma"/>
            <family val="2"/>
          </rPr>
          <t>: https://www.aep.com/investors/FinancialFilingsAndReports/Filings/docs/2017subsidiaries/1Q17-AEPTexas.pdf</t>
        </r>
      </text>
    </comment>
    <comment ref="AS140" authorId="8">
      <text>
        <r>
          <rPr>
            <sz val="9"/>
            <color indexed="81"/>
            <rFont val="Tahoma"/>
            <family val="2"/>
          </rPr>
          <t xml:space="preserve">$269.7m: Long-term debt due within one year - Nonaffiliated
$2,859.2m: Long term debt - Nonaffiliated
</t>
        </r>
        <r>
          <rPr>
            <b/>
            <sz val="9"/>
            <color indexed="81"/>
            <rFont val="Tahoma"/>
            <family val="2"/>
          </rPr>
          <t>Source</t>
        </r>
        <r>
          <rPr>
            <sz val="9"/>
            <color indexed="81"/>
            <rFont val="Tahoma"/>
            <family val="2"/>
          </rPr>
          <t>: https://www.aep.com/investors/FinancialFilingsAndReports/Filings/docs/2017subsidiaries/1Q17-AEPTexas.pdf</t>
        </r>
      </text>
    </comment>
    <comment ref="AR154" authorId="8">
      <text>
        <r>
          <rPr>
            <sz val="9"/>
            <color indexed="81"/>
            <rFont val="Tahoma"/>
            <family val="2"/>
          </rPr>
          <t xml:space="preserve">$1,657.1m: Total common shareholders equity
</t>
        </r>
        <r>
          <rPr>
            <b/>
            <sz val="9"/>
            <color indexed="81"/>
            <rFont val="Tahoma"/>
            <family val="2"/>
          </rPr>
          <t>Source</t>
        </r>
        <r>
          <rPr>
            <sz val="9"/>
            <color indexed="81"/>
            <rFont val="Tahoma"/>
            <family val="2"/>
          </rPr>
          <t>: https://www.aep.com/investors/FinancialFilingsAndReports/Filings/docs/2017subsidiaries/1Q17-AEPTexas.pdf</t>
        </r>
      </text>
    </comment>
    <comment ref="AS154" authorId="8">
      <text>
        <r>
          <rPr>
            <sz val="9"/>
            <color indexed="81"/>
            <rFont val="Tahoma"/>
            <family val="2"/>
          </rPr>
          <t xml:space="preserve">$1,890.7m: Total common shareholders equity
</t>
        </r>
        <r>
          <rPr>
            <b/>
            <sz val="9"/>
            <color indexed="81"/>
            <rFont val="Tahoma"/>
            <family val="2"/>
          </rPr>
          <t>Source</t>
        </r>
        <r>
          <rPr>
            <sz val="9"/>
            <color indexed="81"/>
            <rFont val="Tahoma"/>
            <family val="2"/>
          </rPr>
          <t>: https://www.aep.com/investors/FinancialFilingsAndReports/Filings/docs/2017subsidiaries/1Q17-AEPTexas.pdf</t>
        </r>
      </text>
    </comment>
    <comment ref="AR168" authorId="8">
      <text>
        <r>
          <rPr>
            <b/>
            <sz val="9"/>
            <color indexed="81"/>
            <rFont val="Tahoma"/>
            <family val="2"/>
          </rPr>
          <t>Source</t>
        </r>
        <r>
          <rPr>
            <sz val="9"/>
            <color indexed="81"/>
            <rFont val="Tahoma"/>
            <family val="2"/>
          </rPr>
          <t>: https://www.aep.com/investors/FinancialFilingsAndReports/Filings/docs/2017subsidiaries/1Q17-AEPTexas.pdf</t>
        </r>
      </text>
    </comment>
    <comment ref="AS168" authorId="8">
      <text>
        <r>
          <rPr>
            <b/>
            <sz val="9"/>
            <color indexed="81"/>
            <rFont val="Tahoma"/>
            <family val="2"/>
          </rPr>
          <t>Source</t>
        </r>
        <r>
          <rPr>
            <sz val="9"/>
            <color indexed="81"/>
            <rFont val="Tahoma"/>
            <family val="2"/>
          </rPr>
          <t>: https://www.aep.com/investors/FinancialFilingsAndReports/Filings/docs/2017subsidiaries/1Q17-AEPTexas.pdf</t>
        </r>
      </text>
    </comment>
    <comment ref="AR182" authorId="8">
      <text>
        <r>
          <rPr>
            <b/>
            <sz val="9"/>
            <color indexed="81"/>
            <rFont val="Tahoma"/>
            <family val="2"/>
          </rPr>
          <t>Source</t>
        </r>
        <r>
          <rPr>
            <sz val="9"/>
            <color indexed="81"/>
            <rFont val="Tahoma"/>
            <family val="2"/>
          </rPr>
          <t>: https://www.aep.com/investors/FinancialFilingsAndReports/Filings/docs/2017subsidiaries/1Q17-AEPTexas.pdf</t>
        </r>
      </text>
    </comment>
    <comment ref="AS182" authorId="8">
      <text>
        <r>
          <rPr>
            <b/>
            <sz val="9"/>
            <color indexed="81"/>
            <rFont val="Tahoma"/>
            <family val="2"/>
          </rPr>
          <t>Source</t>
        </r>
        <r>
          <rPr>
            <sz val="9"/>
            <color indexed="81"/>
            <rFont val="Tahoma"/>
            <family val="2"/>
          </rPr>
          <t>: https://www.aep.com/investors/FinancialFilingsAndReports/Filings/docs/2017subsidiaries/1Q17-AEPTexas.pdf</t>
        </r>
      </text>
    </comment>
    <comment ref="AR210" authorId="8">
      <text>
        <r>
          <rPr>
            <b/>
            <sz val="9"/>
            <color indexed="81"/>
            <rFont val="Tahoma"/>
            <family val="2"/>
          </rPr>
          <t>Source</t>
        </r>
        <r>
          <rPr>
            <sz val="9"/>
            <color indexed="81"/>
            <rFont val="Tahoma"/>
            <family val="2"/>
          </rPr>
          <t>: https://www.aep.com/investors/FinancialFilingsAndReports/Filings/docs/2017subsidiaries/1Q17-AEPTexas.pdf</t>
        </r>
      </text>
    </comment>
    <comment ref="AS210" authorId="8">
      <text>
        <r>
          <rPr>
            <b/>
            <sz val="9"/>
            <color indexed="81"/>
            <rFont val="Tahoma"/>
            <family val="2"/>
          </rPr>
          <t>Source</t>
        </r>
        <r>
          <rPr>
            <sz val="9"/>
            <color indexed="81"/>
            <rFont val="Tahoma"/>
            <family val="2"/>
          </rPr>
          <t>: https://www.aep.com/investors/FinancialFilingsAndReports/Filings/docs/2017subsidiaries/1Q17-AEPTexas.pdf</t>
        </r>
      </text>
    </comment>
  </commentList>
</comments>
</file>

<file path=xl/comments5.xml><?xml version="1.0" encoding="utf-8"?>
<comments xmlns="http://schemas.openxmlformats.org/spreadsheetml/2006/main">
  <authors>
    <author>Ellison, Ethan C (Research)</author>
    <author>sunilt</author>
    <author>Tammannavar, Sunil (Research)</author>
    <author>Kapoor, Vishal (Research)</author>
    <author>K, Hemalatha (Research)</author>
    <author>jasoriya</author>
    <author>Kumar S, Ajay (Research)</author>
    <author>farrih</author>
    <author>Kobus, Jim (Research)</author>
    <author>McDermott, Devin (Research)</author>
  </authors>
  <commentList>
    <comment ref="BB12" authorId="0">
      <text>
        <r>
          <rPr>
            <b/>
            <sz val="9"/>
            <color indexed="81"/>
            <rFont val="Tahoma"/>
            <family val="2"/>
          </rPr>
          <t>Ellison, Ethan C (Research):</t>
        </r>
        <r>
          <rPr>
            <sz val="9"/>
            <color indexed="81"/>
            <rFont val="Tahoma"/>
            <family val="2"/>
          </rPr>
          <t xml:space="preserve">
Guide to ($0.17) O&amp;M drag YoY, ratable across qtrs. Equates to $110m</t>
        </r>
      </text>
    </comment>
    <comment ref="BB13" authorId="0">
      <text>
        <r>
          <rPr>
            <b/>
            <sz val="9"/>
            <color indexed="81"/>
            <rFont val="Tahoma"/>
            <family val="2"/>
          </rPr>
          <t>Ellison, Ethan C (Research):</t>
        </r>
        <r>
          <rPr>
            <sz val="9"/>
            <color indexed="81"/>
            <rFont val="Tahoma"/>
            <family val="2"/>
          </rPr>
          <t xml:space="preserve">
Guide to ($0.07) D&amp;A drag YoY, ratable across qtrs. Equates to $45m</t>
        </r>
      </text>
    </comment>
    <comment ref="X20" authorId="1">
      <text>
        <r>
          <rPr>
            <sz val="8"/>
            <color indexed="81"/>
            <rFont val="Tahoma"/>
            <family val="2"/>
          </rPr>
          <t>$13m : Asset Impairments and Other Related Charges</t>
        </r>
        <r>
          <rPr>
            <sz val="8"/>
            <color indexed="81"/>
            <rFont val="Tahoma"/>
            <family val="2"/>
          </rPr>
          <t xml:space="preserve">
</t>
        </r>
      </text>
    </comment>
    <comment ref="AA20" authorId="1">
      <text>
        <r>
          <rPr>
            <sz val="8"/>
            <color indexed="81"/>
            <rFont val="Tahoma"/>
            <family val="2"/>
          </rPr>
          <t>$144m : Asset Impairments and Other Related Charges</t>
        </r>
        <r>
          <rPr>
            <sz val="8"/>
            <color indexed="81"/>
            <rFont val="Tahoma"/>
            <family val="2"/>
          </rPr>
          <t xml:space="preserve">
</t>
        </r>
      </text>
    </comment>
    <comment ref="AC20" authorId="1">
      <text>
        <r>
          <rPr>
            <sz val="8"/>
            <color indexed="81"/>
            <rFont val="Tahoma"/>
            <family val="2"/>
          </rPr>
          <t>$72m : Asset Impairments and Other Related Charges</t>
        </r>
        <r>
          <rPr>
            <sz val="8"/>
            <color indexed="81"/>
            <rFont val="Tahoma"/>
            <family val="2"/>
          </rPr>
          <t xml:space="preserve">
</t>
        </r>
      </text>
    </comment>
    <comment ref="AP20" authorId="2">
      <text>
        <r>
          <rPr>
            <sz val="9"/>
            <color indexed="81"/>
            <rFont val="Tahoma"/>
            <family val="2"/>
          </rPr>
          <t>$10.5m : Asset Impairments and Other Related Charges</t>
        </r>
        <r>
          <rPr>
            <sz val="9"/>
            <color indexed="81"/>
            <rFont val="Tahoma"/>
            <family val="2"/>
          </rPr>
          <t xml:space="preserve">
</t>
        </r>
      </text>
    </comment>
    <comment ref="AR20" authorId="3">
      <text>
        <r>
          <rPr>
            <sz val="9"/>
            <color indexed="81"/>
            <rFont val="Tahoma"/>
            <family val="2"/>
          </rPr>
          <t xml:space="preserve">$10.5m : Asset Impairments and Other Related Charges
</t>
        </r>
      </text>
    </comment>
    <comment ref="AW20" authorId="4">
      <text>
        <r>
          <rPr>
            <sz val="9"/>
            <color indexed="81"/>
            <rFont val="Tahoma"/>
            <family val="2"/>
          </rPr>
          <t>$33.6mn: Asset Impairments and Other Related Charges
$15.2mn: Carrying Costs Income</t>
        </r>
      </text>
    </comment>
    <comment ref="BA20" authorId="2">
      <text>
        <r>
          <rPr>
            <sz val="9"/>
            <color indexed="81"/>
            <rFont val="Tahoma"/>
            <family val="2"/>
          </rPr>
          <t xml:space="preserve">Reversed $33.6m : Asset Impairments and Other charges
</t>
        </r>
      </text>
    </comment>
    <comment ref="X40" authorId="5">
      <text>
        <r>
          <rPr>
            <sz val="8"/>
            <color indexed="81"/>
            <rFont val="Tahoma"/>
            <family val="2"/>
          </rPr>
          <t>Restructuring Program: $28m
Turk Plant Impairment : $9m
Source: 8-K 4Q13</t>
        </r>
      </text>
    </comment>
    <comment ref="Y40" authorId="1">
      <text>
        <r>
          <rPr>
            <sz val="8"/>
            <color indexed="81"/>
            <rFont val="Tahoma"/>
            <family val="2"/>
          </rPr>
          <t>Reversal of Storm Deferral - Virginia: $19m
Restructuring Program : $3m
Source: 8-K 1Q14</t>
        </r>
      </text>
    </comment>
    <comment ref="AA40" authorId="1">
      <text>
        <r>
          <rPr>
            <sz val="8"/>
            <color indexed="81"/>
            <rFont val="Tahoma"/>
            <family val="2"/>
          </rPr>
          <t>$21m : Big Sandy FGD Impairment   
$79m: Turk impairment
Source : 8-K of 3Q14</t>
        </r>
      </text>
    </comment>
    <comment ref="AC40" authorId="1">
      <text>
        <r>
          <rPr>
            <sz val="8"/>
            <color indexed="81"/>
            <rFont val="Tahoma"/>
            <family val="2"/>
          </rPr>
          <t>Restructuring Program: $5m
Reversal of Storm Deferral - Virginia: $19m
Big Sandy FGD Impairment: $21m
Amos Unit 3 Regulatory Disallowance: $25m
Source : 8-K of 4Q13</t>
        </r>
      </text>
    </comment>
    <comment ref="AP40" authorId="6">
      <text>
        <r>
          <rPr>
            <sz val="9"/>
            <color indexed="81"/>
            <rFont val="Tahoma"/>
            <family val="2"/>
          </rPr>
          <t>$6.8m : Impairment of Certain Merchant Generation Assets
Source: 8K 3Q16, dt. 11/01/16.</t>
        </r>
      </text>
    </comment>
    <comment ref="AR40" authorId="3">
      <text>
        <r>
          <rPr>
            <sz val="9"/>
            <color indexed="81"/>
            <rFont val="Tahoma"/>
            <family val="2"/>
          </rPr>
          <t>$6.8m : Impairment of Certain Merchant Generation Assets
Source: 8K 4Q16, dt. 01/26/17.</t>
        </r>
      </text>
    </comment>
    <comment ref="AW40" authorId="4">
      <text>
        <r>
          <rPr>
            <sz val="9"/>
            <color indexed="81"/>
            <rFont val="Tahoma"/>
            <family val="2"/>
          </rPr>
          <t>Includes:
$4.5: Welsh Unit 2 Disallowance 
$13.5mn: Impairment of Turk Plant 
$2.5mn:  Effects of Tax Reform 
Source: 8-K, 4Q17 dt. 01/25/18.</t>
        </r>
      </text>
    </comment>
    <comment ref="BB47" authorId="0">
      <text>
        <r>
          <rPr>
            <b/>
            <sz val="9"/>
            <color indexed="81"/>
            <rFont val="Tahoma"/>
            <family val="2"/>
          </rPr>
          <t>Ellison, Ethan C (Research):</t>
        </r>
        <r>
          <rPr>
            <sz val="9"/>
            <color indexed="81"/>
            <rFont val="Tahoma"/>
            <family val="2"/>
          </rPr>
          <t xml:space="preserve">
1/12/18 Presentation, slide 29: Guide to $1.86 at midpoint</t>
        </r>
      </text>
    </comment>
    <comment ref="C51" authorId="7">
      <text>
        <r>
          <rPr>
            <sz val="8"/>
            <color indexed="81"/>
            <rFont val="Tahoma"/>
            <family val="2"/>
          </rPr>
          <t xml:space="preserve">Based on Nov. 2011 EEI investor presentation handout pg. 4-5. </t>
        </r>
      </text>
    </comment>
    <comment ref="AX51" authorId="0">
      <text>
        <r>
          <rPr>
            <b/>
            <sz val="9"/>
            <color indexed="81"/>
            <rFont val="Tahoma"/>
            <family val="2"/>
          </rPr>
          <t>Ellison, Ethan C (Research):</t>
        </r>
        <r>
          <rPr>
            <sz val="9"/>
            <color indexed="81"/>
            <rFont val="Tahoma"/>
            <family val="2"/>
          </rPr>
          <t xml:space="preserve">
Adjusted to offset ($0.12) impact from weather realized in 1Q17, with roughly $0.01 from APCO storm in 1Q, net $0.11 benefit</t>
        </r>
      </text>
    </comment>
    <comment ref="AY51" authorId="0">
      <text>
        <r>
          <rPr>
            <b/>
            <sz val="9"/>
            <color indexed="81"/>
            <rFont val="Tahoma"/>
            <family val="2"/>
          </rPr>
          <t>Ellison, Ethan C (Research):</t>
        </r>
        <r>
          <rPr>
            <sz val="9"/>
            <color indexed="81"/>
            <rFont val="Tahoma"/>
            <family val="2"/>
          </rPr>
          <t xml:space="preserve">
Adjusted to offset ($0.02) impact from weather realized in 1Q17</t>
        </r>
      </text>
    </comment>
    <comment ref="AZ51" authorId="0">
      <text>
        <r>
          <rPr>
            <b/>
            <sz val="9"/>
            <color indexed="81"/>
            <rFont val="Tahoma"/>
            <family val="2"/>
          </rPr>
          <t>Ellison, Ethan C (Research):</t>
        </r>
        <r>
          <rPr>
            <sz val="9"/>
            <color indexed="81"/>
            <rFont val="Tahoma"/>
            <family val="2"/>
          </rPr>
          <t xml:space="preserve">
Adjusted to offset ($0.04) impact from weather realized in 1Q17</t>
        </r>
      </text>
    </comment>
    <comment ref="BA51" authorId="0">
      <text>
        <r>
          <rPr>
            <b/>
            <sz val="9"/>
            <color indexed="81"/>
            <rFont val="Tahoma"/>
            <family val="2"/>
          </rPr>
          <t>Ellison, Ethan C (Research):</t>
        </r>
        <r>
          <rPr>
            <sz val="9"/>
            <color indexed="81"/>
            <rFont val="Tahoma"/>
            <family val="2"/>
          </rPr>
          <t xml:space="preserve">
Adjusted to offset +$0.03 impact from weather realized in 1Q17</t>
        </r>
      </text>
    </comment>
    <comment ref="C53" authorId="8">
      <text>
        <r>
          <rPr>
            <b/>
            <sz val="9"/>
            <color indexed="81"/>
            <rFont val="Tahoma"/>
            <family val="2"/>
          </rPr>
          <t>Kobus, Jim (Research):</t>
        </r>
        <r>
          <rPr>
            <sz val="9"/>
            <color indexed="81"/>
            <rFont val="Tahoma"/>
            <family val="2"/>
          </rPr>
          <t xml:space="preserve">
Appalachian Power Co.</t>
        </r>
      </text>
    </comment>
    <comment ref="BB53" authorId="0">
      <text>
        <r>
          <rPr>
            <b/>
            <sz val="9"/>
            <color indexed="81"/>
            <rFont val="Tahoma"/>
            <family val="2"/>
          </rPr>
          <t>Ellison, Ethan C (Research):</t>
        </r>
        <r>
          <rPr>
            <sz val="9"/>
            <color indexed="81"/>
            <rFont val="Tahoma"/>
            <family val="2"/>
          </rPr>
          <t xml:space="preserve">
</t>
        </r>
      </text>
    </comment>
    <comment ref="C54" authorId="8">
      <text>
        <r>
          <rPr>
            <b/>
            <sz val="9"/>
            <color indexed="81"/>
            <rFont val="Tahoma"/>
            <family val="2"/>
          </rPr>
          <t>Kobus, Jim (Research):</t>
        </r>
        <r>
          <rPr>
            <sz val="9"/>
            <color indexed="81"/>
            <rFont val="Tahoma"/>
            <family val="2"/>
          </rPr>
          <t xml:space="preserve">
Appalachian Power Co.</t>
        </r>
      </text>
    </comment>
    <comment ref="C55" authorId="8">
      <text>
        <r>
          <rPr>
            <b/>
            <sz val="9"/>
            <color indexed="81"/>
            <rFont val="Tahoma"/>
            <family val="2"/>
          </rPr>
          <t>Kobus, Jim (Research):</t>
        </r>
        <r>
          <rPr>
            <sz val="9"/>
            <color indexed="81"/>
            <rFont val="Tahoma"/>
            <family val="2"/>
          </rPr>
          <t xml:space="preserve">
Indiana Michigan Power Co.</t>
        </r>
      </text>
    </comment>
    <comment ref="BB55" authorId="0">
      <text>
        <r>
          <rPr>
            <b/>
            <sz val="9"/>
            <color indexed="81"/>
            <rFont val="Tahoma"/>
            <family val="2"/>
          </rPr>
          <t>Ellison, Ethan C (Research):</t>
        </r>
        <r>
          <rPr>
            <sz val="9"/>
            <color indexed="81"/>
            <rFont val="Tahoma"/>
            <family val="2"/>
          </rPr>
          <t xml:space="preserve">
Indiana Michigan Power Company - electric rate increase of $51.7M requested 5/15/17
•2/8/18 ALJ Recommends $48.6M increase</t>
        </r>
      </text>
    </comment>
    <comment ref="C56" authorId="8">
      <text>
        <r>
          <rPr>
            <b/>
            <sz val="9"/>
            <color indexed="81"/>
            <rFont val="Tahoma"/>
            <family val="2"/>
          </rPr>
          <t>Kobus, Jim (Research):</t>
        </r>
        <r>
          <rPr>
            <sz val="9"/>
            <color indexed="81"/>
            <rFont val="Tahoma"/>
            <family val="2"/>
          </rPr>
          <t xml:space="preserve">
Indiana Michigan Power Co.</t>
        </r>
      </text>
    </comment>
    <comment ref="BB56" authorId="0">
      <text>
        <r>
          <rPr>
            <b/>
            <sz val="9"/>
            <color indexed="81"/>
            <rFont val="Tahoma"/>
            <family val="2"/>
          </rPr>
          <t>Ellison, Ethan C (Research):</t>
        </r>
        <r>
          <rPr>
            <sz val="9"/>
            <color indexed="81"/>
            <rFont val="Tahoma"/>
            <family val="2"/>
          </rPr>
          <t xml:space="preserve">
On 7/26/17 Requested $263.2m rate increase
•$89M increased D&amp;A
•New rates expected to be effective 7/18
•2/14/18 settlement filed, $153.4 increase indicated; After consideration of the transfer to base rates of amounts being recovered through certain riders and other rider-related adjustments, the net impact to ratepayers of the stipulated increase would be a </t>
        </r>
        <r>
          <rPr>
            <b/>
            <sz val="9"/>
            <color indexed="81"/>
            <rFont val="Tahoma"/>
            <family val="2"/>
          </rPr>
          <t>$96.8</t>
        </r>
        <r>
          <rPr>
            <sz val="9"/>
            <color indexed="81"/>
            <rFont val="Tahoma"/>
            <family val="2"/>
          </rPr>
          <t xml:space="preserve"> million rate increase.</t>
        </r>
      </text>
    </comment>
    <comment ref="C57" authorId="8">
      <text>
        <r>
          <rPr>
            <b/>
            <sz val="9"/>
            <color indexed="81"/>
            <rFont val="Tahoma"/>
            <family val="2"/>
          </rPr>
          <t>Kobus, Jim (Research):</t>
        </r>
        <r>
          <rPr>
            <sz val="9"/>
            <color indexed="81"/>
            <rFont val="Tahoma"/>
            <family val="2"/>
          </rPr>
          <t xml:space="preserve">
Southwestern Electric Power Co.</t>
        </r>
      </text>
    </comment>
    <comment ref="C58" authorId="8">
      <text>
        <r>
          <rPr>
            <b/>
            <sz val="9"/>
            <color indexed="81"/>
            <rFont val="Tahoma"/>
            <family val="2"/>
          </rPr>
          <t>Kobus, Jim (Research):</t>
        </r>
        <r>
          <rPr>
            <sz val="9"/>
            <color indexed="81"/>
            <rFont val="Tahoma"/>
            <family val="2"/>
          </rPr>
          <t xml:space="preserve">
Southwestern Electric Power Co.</t>
        </r>
      </text>
    </comment>
    <comment ref="C59" authorId="8">
      <text>
        <r>
          <rPr>
            <b/>
            <sz val="9"/>
            <color indexed="81"/>
            <rFont val="Tahoma"/>
            <family val="2"/>
          </rPr>
          <t>Kobus, Jim (Research):</t>
        </r>
        <r>
          <rPr>
            <sz val="9"/>
            <color indexed="81"/>
            <rFont val="Tahoma"/>
            <family val="2"/>
          </rPr>
          <t xml:space="preserve">
AEP Texas Central, AEP Texas North, SWEPCO</t>
        </r>
      </text>
    </comment>
    <comment ref="BB59" authorId="0">
      <text>
        <r>
          <rPr>
            <b/>
            <sz val="9"/>
            <color indexed="81"/>
            <rFont val="Tahoma"/>
            <family val="2"/>
          </rPr>
          <t>Ellison, Ethan C (Research):</t>
        </r>
        <r>
          <rPr>
            <sz val="9"/>
            <color indexed="81"/>
            <rFont val="Tahoma"/>
            <family val="2"/>
          </rPr>
          <t xml:space="preserve">
In December 2016, SWEPCo filed a base rate request with the PUCT for a net increase in Texas annual revenues of $69 million based upon a 10% return on common equity.
• Total of $105.9m requested, but net impact on ratepayers of the requested rate change would be about $69 million after the roll -in to base rates of amounts currently collected through riders
•3/19/18 Final Order $86.9m increase approved = equivalent to a </t>
        </r>
        <r>
          <rPr>
            <b/>
            <sz val="9"/>
            <color indexed="81"/>
            <rFont val="Tahoma"/>
            <family val="2"/>
          </rPr>
          <t>$50 million</t>
        </r>
        <r>
          <rPr>
            <sz val="9"/>
            <color indexed="81"/>
            <rFont val="Tahoma"/>
            <family val="2"/>
          </rPr>
          <t xml:space="preserve"> net increase after the roll in to base rates of amounts being collected through riders
</t>
        </r>
      </text>
    </comment>
    <comment ref="C60" authorId="8">
      <text>
        <r>
          <rPr>
            <b/>
            <sz val="9"/>
            <color indexed="81"/>
            <rFont val="Tahoma"/>
            <family val="2"/>
          </rPr>
          <t>Kobus, Jim (Research):</t>
        </r>
        <r>
          <rPr>
            <sz val="9"/>
            <color indexed="81"/>
            <rFont val="Tahoma"/>
            <family val="2"/>
          </rPr>
          <t xml:space="preserve">
Public Service Co. of OK</t>
        </r>
      </text>
    </comment>
    <comment ref="BB60" authorId="0">
      <text>
        <r>
          <rPr>
            <b/>
            <sz val="9"/>
            <color indexed="81"/>
            <rFont val="Tahoma"/>
            <family val="2"/>
          </rPr>
          <t>Ellison, Ethan C (Research):</t>
        </r>
        <r>
          <rPr>
            <sz val="9"/>
            <color indexed="81"/>
            <rFont val="Tahoma"/>
            <family val="2"/>
          </rPr>
          <t xml:space="preserve">
Public Service Company of Oklahoma total-company electric rate increase of $170m requested on 6/30/17
•9/21/17 - OCC staff recommends $132.1 base rate increase
•Interim rates effective 1/13/18
•2/27/18 Supplemental order issued, revised rate increase authorized for </t>
        </r>
        <r>
          <rPr>
            <b/>
            <sz val="9"/>
            <color indexed="81"/>
            <rFont val="Tahoma"/>
            <family val="2"/>
          </rPr>
          <t>$75.5m</t>
        </r>
        <r>
          <rPr>
            <sz val="9"/>
            <color indexed="81"/>
            <rFont val="Tahoma"/>
            <family val="2"/>
          </rPr>
          <t xml:space="preserve"> increase effective 1/31/18</t>
        </r>
      </text>
    </comment>
    <comment ref="C61" authorId="8">
      <text>
        <r>
          <rPr>
            <b/>
            <sz val="9"/>
            <color indexed="81"/>
            <rFont val="Tahoma"/>
            <family val="2"/>
          </rPr>
          <t>Kobus, Jim (Research):</t>
        </r>
        <r>
          <rPr>
            <sz val="9"/>
            <color indexed="81"/>
            <rFont val="Tahoma"/>
            <family val="2"/>
          </rPr>
          <t xml:space="preserve">
Kentucky Power Co</t>
        </r>
      </text>
    </comment>
    <comment ref="BB61" authorId="0">
      <text>
        <r>
          <rPr>
            <b/>
            <sz val="9"/>
            <color indexed="81"/>
            <rFont val="Tahoma"/>
            <family val="2"/>
          </rPr>
          <t>Ellison, Ethan C (Research):</t>
        </r>
        <r>
          <rPr>
            <sz val="9"/>
            <color indexed="81"/>
            <rFont val="Tahoma"/>
            <family val="2"/>
          </rPr>
          <t xml:space="preserve">
Kentucky Power Co - electric base rate increase of $65.4M requested 6/28/17
•8/7/17 - $60.4m rate increase supported
•10/3/17 - Attorney General recommends $39.9m increase
•11/22/17 Non-unanimous settlement filed = $31.8m increase
•1/18/18 Final order issued, $12.4m increase authorized, new rates effectively immediately</t>
        </r>
      </text>
    </comment>
    <comment ref="BB69" authorId="0">
      <text>
        <r>
          <rPr>
            <b/>
            <sz val="9"/>
            <color indexed="81"/>
            <rFont val="Tahoma"/>
            <family val="2"/>
          </rPr>
          <t>Ellison, Ethan C (Research):</t>
        </r>
        <r>
          <rPr>
            <sz val="9"/>
            <color indexed="81"/>
            <rFont val="Tahoma"/>
            <family val="2"/>
          </rPr>
          <t xml:space="preserve">
Based on pre-adjustment net income and seasonality of pre-tax income</t>
        </r>
      </text>
    </comment>
    <comment ref="BB70" authorId="0">
      <text>
        <r>
          <rPr>
            <b/>
            <sz val="9"/>
            <color indexed="81"/>
            <rFont val="Tahoma"/>
            <family val="2"/>
          </rPr>
          <t>Ellison, Ethan C (Research):</t>
        </r>
        <r>
          <rPr>
            <sz val="9"/>
            <color indexed="81"/>
            <rFont val="Tahoma"/>
            <family val="2"/>
          </rPr>
          <t xml:space="preserve">
Wind Catcher rider revenue only kicks in once wind plant is in operation and turned over to AEP, YE2020. Until then, AFUDC realized on gen-tie as built over 2018-2020</t>
        </r>
      </text>
    </comment>
    <comment ref="BG70" authorId="0">
      <text>
        <r>
          <rPr>
            <b/>
            <sz val="9"/>
            <color indexed="81"/>
            <rFont val="Tahoma"/>
            <family val="2"/>
          </rPr>
          <t>Ellison, Ethan C (Research):</t>
        </r>
        <r>
          <rPr>
            <sz val="9"/>
            <color indexed="81"/>
            <rFont val="Tahoma"/>
            <family val="2"/>
          </rPr>
          <t xml:space="preserve">
Wind Catcher rider revenue only kicks in once wind plant is in operation and turned over to AEP, YE2020. Until then, AFUDC realized on gen-tie as built over 2018-2020</t>
        </r>
      </text>
    </comment>
    <comment ref="BL70" authorId="0">
      <text>
        <r>
          <rPr>
            <b/>
            <sz val="9"/>
            <color indexed="81"/>
            <rFont val="Tahoma"/>
            <family val="2"/>
          </rPr>
          <t>Ellison, Ethan C (Research):</t>
        </r>
        <r>
          <rPr>
            <sz val="9"/>
            <color indexed="81"/>
            <rFont val="Tahoma"/>
            <family val="2"/>
          </rPr>
          <t xml:space="preserve">
Wind Catcher rider revenue only kicks in once wind plant is in operation and turned over to AEP, YE2020. Until then, AFUDC realized on gen-tie as built over 2018-2020</t>
        </r>
      </text>
    </comment>
    <comment ref="BQ70" authorId="0">
      <text>
        <r>
          <rPr>
            <b/>
            <sz val="9"/>
            <color indexed="81"/>
            <rFont val="Tahoma"/>
            <family val="2"/>
          </rPr>
          <t>Ellison, Ethan C (Research):</t>
        </r>
        <r>
          <rPr>
            <sz val="9"/>
            <color indexed="81"/>
            <rFont val="Tahoma"/>
            <family val="2"/>
          </rPr>
          <t xml:space="preserve">
Wind Catcher rider revenue only kicks in once wind plant is in operation and turned over to AEP, YE2020. Until then, AFUDC realized on gen-tie as built over 2018-2020</t>
        </r>
      </text>
    </comment>
    <comment ref="AX73" authorId="0">
      <text>
        <r>
          <rPr>
            <b/>
            <sz val="9"/>
            <color indexed="81"/>
            <rFont val="Tahoma"/>
            <family val="2"/>
          </rPr>
          <t>Ellison, Ethan C (Research):</t>
        </r>
        <r>
          <rPr>
            <sz val="9"/>
            <color indexed="81"/>
            <rFont val="Tahoma"/>
            <family val="2"/>
          </rPr>
          <t xml:space="preserve">
Assumes O&amp;M drag strategically weighted toward Q1 when there is also a strong YoY weather offset</t>
        </r>
      </text>
    </comment>
    <comment ref="BA107" authorId="0">
      <text>
        <r>
          <rPr>
            <b/>
            <sz val="9"/>
            <color indexed="81"/>
            <rFont val="Tahoma"/>
            <family val="2"/>
          </rPr>
          <t>Ellison, Ethan C (Research):</t>
        </r>
        <r>
          <rPr>
            <sz val="9"/>
            <color indexed="81"/>
            <rFont val="Tahoma"/>
            <family val="2"/>
          </rPr>
          <t xml:space="preserve">
Adjusted to reflect ($0.08) drag from decreased wholesale load in 2018 operating guidance</t>
        </r>
      </text>
    </comment>
    <comment ref="AF110" authorId="8">
      <text>
        <r>
          <rPr>
            <b/>
            <sz val="9"/>
            <color indexed="81"/>
            <rFont val="Tahoma"/>
            <family val="2"/>
          </rPr>
          <t>Kobus, Jim (Research):</t>
        </r>
        <r>
          <rPr>
            <sz val="9"/>
            <color indexed="81"/>
            <rFont val="Tahoma"/>
            <family val="2"/>
          </rPr>
          <t xml:space="preserve">
$46m unfavorable vs. normal</t>
        </r>
      </text>
    </comment>
    <comment ref="AG110" authorId="8">
      <text>
        <r>
          <rPr>
            <b/>
            <sz val="9"/>
            <color indexed="81"/>
            <rFont val="Tahoma"/>
            <family val="2"/>
          </rPr>
          <t>Kobus, Jim (Research):</t>
        </r>
        <r>
          <rPr>
            <sz val="9"/>
            <color indexed="81"/>
            <rFont val="Tahoma"/>
            <family val="2"/>
          </rPr>
          <t xml:space="preserve">
$13m favorable vs. normal</t>
        </r>
      </text>
    </comment>
    <comment ref="AI110" authorId="8">
      <text>
        <r>
          <rPr>
            <b/>
            <sz val="9"/>
            <color indexed="81"/>
            <rFont val="Tahoma"/>
            <family val="2"/>
          </rPr>
          <t>Kobus, Jim (Research):</t>
        </r>
        <r>
          <rPr>
            <sz val="9"/>
            <color indexed="81"/>
            <rFont val="Tahoma"/>
            <family val="2"/>
          </rPr>
          <t xml:space="preserve">
$62m favorable vs. normal</t>
        </r>
      </text>
    </comment>
    <comment ref="AJ110" authorId="8">
      <text>
        <r>
          <rPr>
            <b/>
            <sz val="9"/>
            <color indexed="81"/>
            <rFont val="Tahoma"/>
            <family val="2"/>
          </rPr>
          <t>Kobus, Jim (Research):</t>
        </r>
        <r>
          <rPr>
            <sz val="9"/>
            <color indexed="81"/>
            <rFont val="Tahoma"/>
            <family val="2"/>
          </rPr>
          <t xml:space="preserve">
$8m favorable vs. normal</t>
        </r>
      </text>
    </comment>
    <comment ref="AK110" authorId="8">
      <text>
        <r>
          <rPr>
            <b/>
            <sz val="9"/>
            <color indexed="81"/>
            <rFont val="Tahoma"/>
            <family val="2"/>
          </rPr>
          <t>Kobus, Jim (Research):</t>
        </r>
        <r>
          <rPr>
            <sz val="9"/>
            <color indexed="81"/>
            <rFont val="Tahoma"/>
            <family val="2"/>
          </rPr>
          <t xml:space="preserve">
$5m favorable vs. normal</t>
        </r>
      </text>
    </comment>
    <comment ref="AL110" authorId="8">
      <text>
        <r>
          <rPr>
            <b/>
            <sz val="9"/>
            <color indexed="81"/>
            <rFont val="Tahoma"/>
            <family val="2"/>
          </rPr>
          <t>Kobus, Jim (Research):</t>
        </r>
        <r>
          <rPr>
            <sz val="9"/>
            <color indexed="81"/>
            <rFont val="Tahoma"/>
            <family val="2"/>
          </rPr>
          <t xml:space="preserve">
$72m unfavorable vs. normal</t>
        </r>
      </text>
    </comment>
    <comment ref="AN110" authorId="2">
      <text>
        <r>
          <rPr>
            <sz val="9"/>
            <color indexed="81"/>
            <rFont val="Tahoma"/>
            <family val="2"/>
          </rPr>
          <t xml:space="preserve">$21m unfavorable vs. norma
</t>
        </r>
      </text>
    </comment>
    <comment ref="AO110" authorId="2">
      <text>
        <r>
          <rPr>
            <sz val="9"/>
            <color indexed="81"/>
            <rFont val="Tahoma"/>
            <family val="2"/>
          </rPr>
          <t xml:space="preserve">$10m: Favorable vs. Normal
Source: 2Q16 Presentation, Pg.15
</t>
        </r>
      </text>
    </comment>
    <comment ref="AP110" authorId="2">
      <text>
        <r>
          <rPr>
            <sz val="9"/>
            <color indexed="81"/>
            <rFont val="Tahoma"/>
            <family val="2"/>
          </rPr>
          <t>$58m : favorable vs. normal
Source : 3Q16 Earnings presentation dated 11/01/16</t>
        </r>
        <r>
          <rPr>
            <sz val="9"/>
            <color indexed="81"/>
            <rFont val="Tahoma"/>
            <family val="2"/>
          </rPr>
          <t xml:space="preserve">
Derived 2.4% based on proportion of normal 3Q15</t>
        </r>
      </text>
    </comment>
    <comment ref="AQ110" authorId="3">
      <text>
        <r>
          <rPr>
            <sz val="9"/>
            <color indexed="81"/>
            <rFont val="Tahoma"/>
            <family val="2"/>
          </rPr>
          <t>$13m : Unfavorable vs. Normal
Source : 4Q16 Earnings presentation dated 26/01/17
Derived 0.6% based on proportion of normal 4Q15</t>
        </r>
      </text>
    </comment>
    <comment ref="AS110" authorId="3">
      <text>
        <r>
          <rPr>
            <sz val="9"/>
            <color indexed="81"/>
            <rFont val="Tahoma"/>
            <family val="2"/>
          </rPr>
          <t>$80m : Unfavorable vs. Normal
Source : 1Q17 Earnings presentation dated 27/04/17
Derived based on proportion of 1Q16</t>
        </r>
      </text>
    </comment>
    <comment ref="AT110" authorId="3">
      <text>
        <r>
          <rPr>
            <sz val="9"/>
            <color indexed="81"/>
            <rFont val="Tahoma"/>
            <family val="2"/>
          </rPr>
          <t>$15m : Unfavorable vs. Normal
Source : 2Q17 Earnings presentation dated 07/27/17
Derived based on proportion of 2Q16</t>
        </r>
      </text>
    </comment>
    <comment ref="AU110" authorId="3">
      <text>
        <r>
          <rPr>
            <sz val="9"/>
            <color indexed="81"/>
            <rFont val="Tahoma"/>
            <family val="2"/>
          </rPr>
          <t>$23m : Unfavorable vs. Normal
Source : 3Q17 Earnings presentation dated 10/26/17
Derived based on proportion of 3Q16</t>
        </r>
      </text>
    </comment>
    <comment ref="AV110" authorId="3">
      <text>
        <r>
          <rPr>
            <sz val="9"/>
            <color indexed="81"/>
            <rFont val="Tahoma"/>
            <family val="2"/>
          </rPr>
          <t>$18m : Favorable vs. Normal
Source : 4Q17 Earnings presentation dated 26/01/17
Derived 0.8% based on proportion of normal 4Q16</t>
        </r>
      </text>
    </comment>
    <comment ref="AQ127" authorId="0">
      <text>
        <r>
          <rPr>
            <b/>
            <sz val="9"/>
            <color indexed="81"/>
            <rFont val="Tahoma"/>
            <family val="2"/>
          </rPr>
          <t>Ellison, Ethan C (Research):</t>
        </r>
        <r>
          <rPr>
            <sz val="9"/>
            <color indexed="81"/>
            <rFont val="Tahoma"/>
            <family val="2"/>
          </rPr>
          <t xml:space="preserve">
O&amp;M: $37M unfavorable (net of offsets) vs. prior year primarily due to higher forestry expenses and increased charitable contributions
♦4Q16 earnings slide #16</t>
        </r>
      </text>
    </comment>
    <comment ref="AT127" authorId="0">
      <text>
        <r>
          <rPr>
            <b/>
            <sz val="9"/>
            <color indexed="81"/>
            <rFont val="Tahoma"/>
            <family val="2"/>
          </rPr>
          <t>Ellison, Ethan C (Research):</t>
        </r>
        <r>
          <rPr>
            <sz val="9"/>
            <color indexed="81"/>
            <rFont val="Tahoma"/>
            <family val="2"/>
          </rPr>
          <t xml:space="preserve">
O&amp;M: $18M unfavorable (net of offsets) vs. prior year primarily due to increased transmission services, forestry and a favorable land sale in 2016
•2Q17 earnings slide #16</t>
        </r>
      </text>
    </comment>
    <comment ref="AY127" authorId="0">
      <text>
        <r>
          <rPr>
            <b/>
            <sz val="9"/>
            <color indexed="81"/>
            <rFont val="Tahoma"/>
            <family val="2"/>
          </rPr>
          <t>Ellison, Ethan C (Research):</t>
        </r>
        <r>
          <rPr>
            <sz val="9"/>
            <color indexed="81"/>
            <rFont val="Tahoma"/>
            <family val="2"/>
          </rPr>
          <t xml:space="preserve">
assumes normalization after higher O&amp;M in 2Q16</t>
        </r>
      </text>
    </comment>
    <comment ref="BM140" authorId="0">
      <text>
        <r>
          <rPr>
            <b/>
            <sz val="9"/>
            <color indexed="81"/>
            <rFont val="Tahoma"/>
            <family val="2"/>
          </rPr>
          <t>Ellison, Ethan C (Research):</t>
        </r>
        <r>
          <rPr>
            <sz val="9"/>
            <color indexed="81"/>
            <rFont val="Tahoma"/>
            <family val="2"/>
          </rPr>
          <t xml:space="preserve">
Doesn't include AFUDC for the actual wind plant, which is acquired turnkey. Just rider revenues to recover capex in 2021</t>
        </r>
      </text>
    </comment>
    <comment ref="BB161" authorId="0">
      <text>
        <r>
          <rPr>
            <b/>
            <sz val="9"/>
            <color indexed="81"/>
            <rFont val="Tahoma"/>
            <family val="2"/>
          </rPr>
          <t>Ellison, Ethan C (Research):</t>
        </r>
        <r>
          <rPr>
            <sz val="9"/>
            <color indexed="81"/>
            <rFont val="Tahoma"/>
            <family val="2"/>
          </rPr>
          <t xml:space="preserve">
•EEI Presentation: 2018 Debt Issuances and Maturity Overview (pg. 43)
•Includes spend on Wind Catcher, 50% debt, 50% probability. Includes both gen-tie and wind plant components</t>
        </r>
      </text>
    </comment>
    <comment ref="BG161" authorId="0">
      <text>
        <r>
          <rPr>
            <b/>
            <sz val="9"/>
            <color indexed="81"/>
            <rFont val="Tahoma"/>
            <family val="2"/>
          </rPr>
          <t>Ellison, Ethan C (Research):</t>
        </r>
        <r>
          <rPr>
            <sz val="9"/>
            <color indexed="81"/>
            <rFont val="Tahoma"/>
            <family val="2"/>
          </rPr>
          <t xml:space="preserve">
Includes spend on Wind Catcher, 50% debt, 50% probability. Includes both gen-tie and wind plant components</t>
        </r>
      </text>
    </comment>
    <comment ref="BL161" authorId="0">
      <text>
        <r>
          <rPr>
            <b/>
            <sz val="9"/>
            <color indexed="81"/>
            <rFont val="Tahoma"/>
            <family val="2"/>
          </rPr>
          <t>Ellison, Ethan C (Research):</t>
        </r>
        <r>
          <rPr>
            <sz val="9"/>
            <color indexed="81"/>
            <rFont val="Tahoma"/>
            <family val="2"/>
          </rPr>
          <t xml:space="preserve">
Includes spend on Wind Catcher, 50% debt, 50% probability. Includes both gen-tie and wind plant components</t>
        </r>
      </text>
    </comment>
    <comment ref="BQ161" authorId="0">
      <text>
        <r>
          <rPr>
            <b/>
            <sz val="9"/>
            <color indexed="81"/>
            <rFont val="Tahoma"/>
            <family val="2"/>
          </rPr>
          <t>Ellison, Ethan C (Research):</t>
        </r>
        <r>
          <rPr>
            <sz val="9"/>
            <color indexed="81"/>
            <rFont val="Tahoma"/>
            <family val="2"/>
          </rPr>
          <t xml:space="preserve">
Includes spend on Wind Catcher, 50% debt, 50% probability. Includes both gen-tie and wind plant components</t>
        </r>
      </text>
    </comment>
    <comment ref="BQ190" authorId="0">
      <text>
        <r>
          <rPr>
            <b/>
            <sz val="9"/>
            <color indexed="81"/>
            <rFont val="Tahoma"/>
            <family val="2"/>
          </rPr>
          <t>Ellison, Ethan C (Research):</t>
        </r>
        <r>
          <rPr>
            <sz val="9"/>
            <color indexed="81"/>
            <rFont val="Tahoma"/>
            <family val="2"/>
          </rPr>
          <t xml:space="preserve">
Equity raised to fund 50% of WCEC</t>
        </r>
      </text>
    </comment>
    <comment ref="AR242" authorId="9">
      <text>
        <r>
          <rPr>
            <b/>
            <sz val="9"/>
            <color indexed="81"/>
            <rFont val="Tahoma"/>
            <family val="2"/>
          </rPr>
          <t>McDermott, Devin (Research):</t>
        </r>
        <r>
          <rPr>
            <sz val="9"/>
            <color indexed="81"/>
            <rFont val="Tahoma"/>
            <family val="2"/>
          </rPr>
          <t xml:space="preserve">
adjustment to tie to guidance as of 2016 Analyst Day</t>
        </r>
      </text>
    </comment>
    <comment ref="AW242" authorId="9">
      <text>
        <r>
          <rPr>
            <b/>
            <sz val="9"/>
            <color indexed="81"/>
            <rFont val="Tahoma"/>
            <family val="2"/>
          </rPr>
          <t>Ellison, Ethan (Research):</t>
        </r>
        <r>
          <rPr>
            <sz val="9"/>
            <color indexed="81"/>
            <rFont val="Tahoma"/>
            <family val="2"/>
          </rPr>
          <t xml:space="preserve">
adjustment to tie to rate base guidance</t>
        </r>
      </text>
    </comment>
    <comment ref="BB242" authorId="9">
      <text>
        <r>
          <rPr>
            <b/>
            <sz val="9"/>
            <color indexed="81"/>
            <rFont val="Tahoma"/>
            <family val="2"/>
          </rPr>
          <t>Ellison, Ethan (Research):</t>
        </r>
        <r>
          <rPr>
            <sz val="9"/>
            <color indexed="81"/>
            <rFont val="Tahoma"/>
            <family val="2"/>
          </rPr>
          <t xml:space="preserve">
adjustment to tie to rate base guidance</t>
        </r>
      </text>
    </comment>
    <comment ref="BG242" authorId="9">
      <text>
        <r>
          <rPr>
            <b/>
            <sz val="9"/>
            <color indexed="81"/>
            <rFont val="Tahoma"/>
            <family val="2"/>
          </rPr>
          <t>Ellison, Ethan (Research):</t>
        </r>
        <r>
          <rPr>
            <sz val="9"/>
            <color indexed="81"/>
            <rFont val="Tahoma"/>
            <family val="2"/>
          </rPr>
          <t xml:space="preserve">
adjustment to tie to rate base guidance</t>
        </r>
      </text>
    </comment>
    <comment ref="BL242" authorId="9">
      <text>
        <r>
          <rPr>
            <b/>
            <sz val="9"/>
            <color indexed="81"/>
            <rFont val="Tahoma"/>
            <family val="2"/>
          </rPr>
          <t>Ellison, Ethan (Research):</t>
        </r>
        <r>
          <rPr>
            <sz val="9"/>
            <color indexed="81"/>
            <rFont val="Tahoma"/>
            <family val="2"/>
          </rPr>
          <t xml:space="preserve">
adjustment to tie to rate base guidance</t>
        </r>
      </text>
    </comment>
    <comment ref="C243" authorId="7">
      <text>
        <r>
          <rPr>
            <sz val="8"/>
            <color indexed="81"/>
            <rFont val="Tahoma"/>
            <family val="2"/>
          </rPr>
          <t>Derived from RRA rate cases and therefore omits transmission rate base.</t>
        </r>
      </text>
    </comment>
    <comment ref="X243" authorId="5">
      <text>
        <r>
          <rPr>
            <sz val="8"/>
            <color indexed="81"/>
            <rFont val="Tahoma"/>
            <family val="2"/>
          </rPr>
          <t>Source: 2014 EEI Financial Conference Handout</t>
        </r>
      </text>
    </comment>
    <comment ref="AC243" authorId="5">
      <text>
        <r>
          <rPr>
            <sz val="8"/>
            <color indexed="81"/>
            <rFont val="Tahoma"/>
            <family val="2"/>
          </rPr>
          <t>Source: 2014 EEI Financial Conference Handout</t>
        </r>
      </text>
    </comment>
    <comment ref="AH243" authorId="6">
      <text>
        <r>
          <rPr>
            <sz val="9"/>
            <color indexed="81"/>
            <rFont val="Tahoma"/>
            <family val="2"/>
          </rPr>
          <t>Sourced from the web address: http://www.aep.com/investors/CurrentRegulatoryActivity/
File name: Rate Base And ROE For All Jurisdictions</t>
        </r>
      </text>
    </comment>
    <comment ref="AM243" authorId="9">
      <text>
        <r>
          <rPr>
            <b/>
            <sz val="9"/>
            <color indexed="81"/>
            <rFont val="Tahoma"/>
            <family val="2"/>
          </rPr>
          <t>McDermott, Devin (Research):</t>
        </r>
        <r>
          <rPr>
            <sz val="9"/>
            <color indexed="81"/>
            <rFont val="Tahoma"/>
            <family val="2"/>
          </rPr>
          <t xml:space="preserve">
2016 Analyst Day</t>
        </r>
      </text>
    </comment>
    <comment ref="BB243" authorId="0">
      <text>
        <r>
          <rPr>
            <b/>
            <sz val="9"/>
            <color indexed="81"/>
            <rFont val="Tahoma"/>
            <family val="2"/>
          </rPr>
          <t>Ellison, Ethan C (Research):</t>
        </r>
        <r>
          <rPr>
            <sz val="9"/>
            <color indexed="81"/>
            <rFont val="Tahoma"/>
            <family val="2"/>
          </rPr>
          <t xml:space="preserve">
This figures starts to move above guidance given investment in Wind Catcher</t>
        </r>
      </text>
    </comment>
    <comment ref="BG243" authorId="0">
      <text>
        <r>
          <rPr>
            <b/>
            <sz val="9"/>
            <color indexed="81"/>
            <rFont val="Tahoma"/>
            <family val="2"/>
          </rPr>
          <t>Ellison, Ethan C (Research):</t>
        </r>
        <r>
          <rPr>
            <sz val="9"/>
            <color indexed="81"/>
            <rFont val="Tahoma"/>
            <family val="2"/>
          </rPr>
          <t xml:space="preserve">
This figures starts to move above guidance given investment in Wind Catcher</t>
        </r>
      </text>
    </comment>
    <comment ref="BL243" authorId="0">
      <text>
        <r>
          <rPr>
            <b/>
            <sz val="9"/>
            <color indexed="81"/>
            <rFont val="Tahoma"/>
            <family val="2"/>
          </rPr>
          <t>Ellison, Ethan C (Research):</t>
        </r>
        <r>
          <rPr>
            <sz val="9"/>
            <color indexed="81"/>
            <rFont val="Tahoma"/>
            <family val="2"/>
          </rPr>
          <t xml:space="preserve">
This figures starts to move above guidance given investment in Wind Catcher</t>
        </r>
      </text>
    </comment>
    <comment ref="BQ243" authorId="0">
      <text>
        <r>
          <rPr>
            <b/>
            <sz val="9"/>
            <color indexed="81"/>
            <rFont val="Tahoma"/>
            <family val="2"/>
          </rPr>
          <t>Ellison, Ethan C (Research):</t>
        </r>
        <r>
          <rPr>
            <sz val="9"/>
            <color indexed="81"/>
            <rFont val="Tahoma"/>
            <family val="2"/>
          </rPr>
          <t xml:space="preserve">
This figures starts to move above guidance given investment in Wind Catcher</t>
        </r>
      </text>
    </comment>
    <comment ref="C247" authorId="0">
      <text>
        <r>
          <rPr>
            <b/>
            <sz val="9"/>
            <color indexed="81"/>
            <rFont val="Tahoma"/>
            <family val="2"/>
          </rPr>
          <t>Ellison, Ethan C (Research):</t>
        </r>
        <r>
          <rPr>
            <sz val="9"/>
            <color indexed="81"/>
            <rFont val="Tahoma"/>
            <family val="2"/>
          </rPr>
          <t xml:space="preserve">
APCO, Wheeling, I&amp;M, KPCo, PSO, SWEPCO, Kingsport</t>
        </r>
      </text>
    </comment>
    <comment ref="AR247" authorId="0">
      <text>
        <r>
          <rPr>
            <b/>
            <sz val="9"/>
            <color indexed="81"/>
            <rFont val="Tahoma"/>
            <family val="2"/>
          </rPr>
          <t>Ellison, Ethan C (Research):</t>
        </r>
        <r>
          <rPr>
            <sz val="9"/>
            <color indexed="81"/>
            <rFont val="Tahoma"/>
            <family val="2"/>
          </rPr>
          <t xml:space="preserve">
2017 EEI Presentation slides 61-68</t>
        </r>
      </text>
    </comment>
    <comment ref="AW247" authorId="0">
      <text>
        <r>
          <rPr>
            <b/>
            <sz val="9"/>
            <color indexed="81"/>
            <rFont val="Tahoma"/>
            <family val="2"/>
          </rPr>
          <t>Ellison, Ethan C (Research):</t>
        </r>
        <r>
          <rPr>
            <sz val="9"/>
            <color indexed="81"/>
            <rFont val="Tahoma"/>
            <family val="2"/>
          </rPr>
          <t xml:space="preserve">
2017 EEI Presentation slides 61-68</t>
        </r>
      </text>
    </comment>
    <comment ref="BB247" authorId="0">
      <text>
        <r>
          <rPr>
            <b/>
            <sz val="9"/>
            <color indexed="81"/>
            <rFont val="Tahoma"/>
            <family val="2"/>
          </rPr>
          <t>Ellison, Ethan C (Research):</t>
        </r>
        <r>
          <rPr>
            <sz val="9"/>
            <color indexed="81"/>
            <rFont val="Tahoma"/>
            <family val="2"/>
          </rPr>
          <t xml:space="preserve">
2017 EEI Presentation slides 61-68</t>
        </r>
      </text>
    </comment>
    <comment ref="BG247" authorId="0">
      <text>
        <r>
          <rPr>
            <b/>
            <sz val="9"/>
            <color indexed="81"/>
            <rFont val="Tahoma"/>
            <family val="2"/>
          </rPr>
          <t>Ellison, Ethan C (Research):</t>
        </r>
        <r>
          <rPr>
            <sz val="9"/>
            <color indexed="81"/>
            <rFont val="Tahoma"/>
            <family val="2"/>
          </rPr>
          <t xml:space="preserve">
2017 EEI Presentation slides 61-68</t>
        </r>
      </text>
    </comment>
    <comment ref="BL247" authorId="0">
      <text>
        <r>
          <rPr>
            <b/>
            <sz val="9"/>
            <color indexed="81"/>
            <rFont val="Tahoma"/>
            <family val="2"/>
          </rPr>
          <t>Ellison, Ethan C (Research):</t>
        </r>
        <r>
          <rPr>
            <sz val="9"/>
            <color indexed="81"/>
            <rFont val="Tahoma"/>
            <family val="2"/>
          </rPr>
          <t xml:space="preserve">
2017 EEI Presentation slides 61-68</t>
        </r>
      </text>
    </comment>
    <comment ref="AJ250" authorId="6">
      <text>
        <r>
          <rPr>
            <sz val="9"/>
            <color indexed="81"/>
            <rFont val="Tahoma"/>
            <family val="2"/>
          </rPr>
          <t>Rate base (Average), Earned ROE and Equity ratio are sourced from the web address: http://www.aep.com/investors/CurrentRegulatoryActivity/
File name: Rate Base And ROE For All Jurisdictions</t>
        </r>
      </text>
    </comment>
    <comment ref="X254" authorId="5">
      <text>
        <r>
          <rPr>
            <sz val="8"/>
            <color indexed="81"/>
            <rFont val="Tahoma"/>
            <family val="2"/>
          </rPr>
          <t>Source: 2013 fact book as on 09/30/13</t>
        </r>
      </text>
    </comment>
    <comment ref="AC254" authorId="5">
      <text>
        <r>
          <rPr>
            <sz val="8"/>
            <color indexed="81"/>
            <rFont val="Tahoma"/>
            <family val="2"/>
          </rPr>
          <t>Source: 2014 fact book dated 11/11/14 as on 09/30/14</t>
        </r>
      </text>
    </comment>
    <comment ref="AJ254" authorId="6">
      <text>
        <r>
          <rPr>
            <sz val="9"/>
            <color indexed="81"/>
            <rFont val="Tahoma"/>
            <family val="2"/>
          </rPr>
          <t>Rate base (Average), Earned ROE and Equity ratio are sourced from the web address: http://www.aep.com/investors/CurrentRegulatoryActivity/
File name: Rate Base And ROE For All Jurisdictions</t>
        </r>
      </text>
    </comment>
  </commentList>
</comments>
</file>

<file path=xl/comments6.xml><?xml version="1.0" encoding="utf-8"?>
<comments xmlns="http://schemas.openxmlformats.org/spreadsheetml/2006/main">
  <authors>
    <author>Ellison, Ethan C (Research)</author>
    <author>sunilt</author>
    <author>Kapoor, Vishal (Research)</author>
    <author>K, Hemalatha (Research)</author>
    <author>Kobus, Jim (Research)</author>
    <author>McDermott, Devin (Research)</author>
    <author>jasoriya</author>
    <author>Kumar S, Ajay (Research)</author>
  </authors>
  <commentList>
    <comment ref="BB13" authorId="0">
      <text>
        <r>
          <rPr>
            <b/>
            <sz val="9"/>
            <color indexed="81"/>
            <rFont val="Tahoma"/>
            <family val="2"/>
          </rPr>
          <t>Ellison, Ethan C (Research):</t>
        </r>
        <r>
          <rPr>
            <sz val="9"/>
            <color indexed="81"/>
            <rFont val="Tahoma"/>
            <family val="2"/>
          </rPr>
          <t xml:space="preserve">
Guide to ($0.09) D&amp;A drag YoY, ratable across qtrs. Equates to $58m</t>
        </r>
      </text>
    </comment>
    <comment ref="BB19" authorId="0">
      <text>
        <r>
          <rPr>
            <b/>
            <sz val="9"/>
            <color indexed="81"/>
            <rFont val="Tahoma"/>
            <family val="2"/>
          </rPr>
          <t>Ellison, Ethan C (Research):</t>
        </r>
        <r>
          <rPr>
            <sz val="9"/>
            <color indexed="81"/>
            <rFont val="Tahoma"/>
            <family val="2"/>
          </rPr>
          <t xml:space="preserve">
$0.03 AFUDC benefit at T&amp;D YoY in 2018 Operating earnings guidance. 1/12/18 presentation slide 29</t>
        </r>
      </text>
    </comment>
    <comment ref="AD20" authorId="1">
      <text>
        <r>
          <rPr>
            <sz val="8"/>
            <color indexed="81"/>
            <rFont val="Tahoma"/>
            <family val="2"/>
          </rPr>
          <t>$31m : Amortization of Generation Deferrals</t>
        </r>
      </text>
    </comment>
    <comment ref="AE20" authorId="1">
      <text>
        <r>
          <rPr>
            <sz val="8"/>
            <color indexed="81"/>
            <rFont val="Tahoma"/>
            <family val="2"/>
          </rPr>
          <t>$25m : Amortization of Generation Deferrals</t>
        </r>
      </text>
    </comment>
    <comment ref="AF20" authorId="1">
      <text>
        <r>
          <rPr>
            <sz val="8"/>
            <color indexed="81"/>
            <rFont val="Tahoma"/>
            <family val="2"/>
          </rPr>
          <t>$27m : Amortization of Generation Deferrals</t>
        </r>
      </text>
    </comment>
    <comment ref="AH20" authorId="1">
      <text>
        <r>
          <rPr>
            <sz val="8"/>
            <color indexed="81"/>
            <rFont val="Tahoma"/>
            <family val="2"/>
          </rPr>
          <t>$111m : Amortization of Generation Deferrals</t>
        </r>
      </text>
    </comment>
    <comment ref="AI20" authorId="1">
      <text>
        <r>
          <rPr>
            <sz val="8"/>
            <color indexed="81"/>
            <rFont val="Tahoma"/>
            <family val="2"/>
          </rPr>
          <t>$31m : Amortization of Generation Deferrals</t>
        </r>
      </text>
    </comment>
    <comment ref="AJ20" authorId="1">
      <text>
        <r>
          <rPr>
            <sz val="8"/>
            <color indexed="81"/>
            <rFont val="Tahoma"/>
            <family val="2"/>
          </rPr>
          <t>$36m : Amortization of Generation Deferrals</t>
        </r>
      </text>
    </comment>
    <comment ref="AK20" authorId="1">
      <text>
        <r>
          <rPr>
            <sz val="8"/>
            <color indexed="81"/>
            <rFont val="Tahoma"/>
            <family val="2"/>
          </rPr>
          <t>$55m : Amortization of Generation Deferrals</t>
        </r>
      </text>
    </comment>
    <comment ref="AN20" authorId="1">
      <text>
        <r>
          <rPr>
            <sz val="8"/>
            <color indexed="81"/>
            <rFont val="Tahoma"/>
            <family val="2"/>
          </rPr>
          <t>$55.1m : Amortization of Generation Deferrals</t>
        </r>
      </text>
    </comment>
    <comment ref="AO20" authorId="1">
      <text>
        <r>
          <rPr>
            <sz val="8"/>
            <color indexed="81"/>
            <rFont val="Tahoma"/>
            <family val="2"/>
          </rPr>
          <t>$51.8m : Amortization of Generation Deferrals</t>
        </r>
      </text>
    </comment>
    <comment ref="AP20" authorId="1">
      <text>
        <r>
          <rPr>
            <sz val="8"/>
            <color indexed="81"/>
            <rFont val="Tahoma"/>
            <family val="2"/>
          </rPr>
          <t>$66.1m : Amortization of Generation Deferrals</t>
        </r>
      </text>
    </comment>
    <comment ref="AR20" authorId="2">
      <text>
        <r>
          <rPr>
            <sz val="9"/>
            <color indexed="81"/>
            <rFont val="Tahoma"/>
            <family val="2"/>
          </rPr>
          <t>Carrying Costs Income</t>
        </r>
      </text>
    </comment>
    <comment ref="AS20" authorId="1">
      <text>
        <r>
          <rPr>
            <sz val="8"/>
            <color indexed="81"/>
            <rFont val="Tahoma"/>
            <family val="2"/>
          </rPr>
          <t>$60.9m : Amortization of Generation Deferrals</t>
        </r>
      </text>
    </comment>
    <comment ref="AU20" authorId="1">
      <text>
        <r>
          <rPr>
            <sz val="8"/>
            <color indexed="81"/>
            <rFont val="Tahoma"/>
            <family val="2"/>
          </rPr>
          <t>$58.7m : Amortization of Generation Deferrals</t>
        </r>
      </text>
    </comment>
    <comment ref="BB20" authorId="0">
      <text>
        <r>
          <rPr>
            <b/>
            <sz val="9"/>
            <color indexed="81"/>
            <rFont val="Tahoma"/>
            <family val="2"/>
          </rPr>
          <t>Ellison, Ethan C (Research):</t>
        </r>
        <r>
          <rPr>
            <sz val="9"/>
            <color indexed="81"/>
            <rFont val="Tahoma"/>
            <family val="2"/>
          </rPr>
          <t xml:space="preserve">
Adjusted to reflect $0.01 benefit at Other YoY</t>
        </r>
      </text>
    </comment>
    <comment ref="Y37" authorId="1">
      <text>
        <r>
          <rPr>
            <sz val="8"/>
            <color indexed="81"/>
            <rFont val="Tahoma"/>
            <family val="2"/>
          </rPr>
          <t>Restructuring Program 
Source: 8-K 1Q14</t>
        </r>
      </text>
    </comment>
    <comment ref="AW37" authorId="3">
      <text>
        <r>
          <rPr>
            <sz val="9"/>
            <color indexed="81"/>
            <rFont val="Tahoma"/>
            <family val="2"/>
          </rPr>
          <t>Effect of tax reform
Source: 8-K, 4Q17 dt. 01/25/18.</t>
        </r>
      </text>
    </comment>
    <comment ref="BB44" authorId="0">
      <text>
        <r>
          <rPr>
            <b/>
            <sz val="9"/>
            <color indexed="81"/>
            <rFont val="Tahoma"/>
            <family val="2"/>
          </rPr>
          <t>Ellison, Ethan C (Research):</t>
        </r>
        <r>
          <rPr>
            <sz val="9"/>
            <color indexed="81"/>
            <rFont val="Tahoma"/>
            <family val="2"/>
          </rPr>
          <t xml:space="preserve">
1/12/18 Presentation, slide 29: Guide to $1.21 at midpoint</t>
        </r>
      </text>
    </comment>
    <comment ref="BB48" authorId="0">
      <text>
        <r>
          <rPr>
            <b/>
            <sz val="9"/>
            <color indexed="81"/>
            <rFont val="Tahoma"/>
            <family val="2"/>
          </rPr>
          <t>Ellison, Ethan C (Research):</t>
        </r>
        <r>
          <rPr>
            <sz val="9"/>
            <color indexed="81"/>
            <rFont val="Tahoma"/>
            <family val="2"/>
          </rPr>
          <t xml:space="preserve">
Reverses 2017 sales trend to reflect $0.03 benefit YoY from normal load. 1/12/18 presentation slide 29</t>
        </r>
      </text>
    </comment>
    <comment ref="BB50" authorId="4">
      <text>
        <r>
          <rPr>
            <b/>
            <sz val="9"/>
            <color indexed="81"/>
            <rFont val="Tahoma"/>
            <family val="2"/>
          </rPr>
          <t>Ellison, Ethan (Research):</t>
        </r>
        <r>
          <rPr>
            <sz val="9"/>
            <color indexed="81"/>
            <rFont val="Tahoma"/>
            <family val="2"/>
          </rPr>
          <t xml:space="preserve">
OH Distribution Investment Rider (DIR). Adjusted to reflect $0.07 benefit from rate changes. 1/12/18 Presentation slide 29</t>
        </r>
      </text>
    </comment>
    <comment ref="BG50" authorId="4">
      <text>
        <r>
          <rPr>
            <b/>
            <sz val="9"/>
            <color indexed="81"/>
            <rFont val="Tahoma"/>
            <family val="2"/>
          </rPr>
          <t>Kobus, Jim (Research):</t>
        </r>
        <r>
          <rPr>
            <sz val="9"/>
            <color indexed="81"/>
            <rFont val="Tahoma"/>
            <family val="2"/>
          </rPr>
          <t xml:space="preserve">
OH Distribution Investment Rider (DIR)</t>
        </r>
      </text>
    </comment>
    <comment ref="BL50" authorId="4">
      <text>
        <r>
          <rPr>
            <b/>
            <sz val="9"/>
            <color indexed="81"/>
            <rFont val="Tahoma"/>
            <family val="2"/>
          </rPr>
          <t>Kobus, Jim (Research):</t>
        </r>
        <r>
          <rPr>
            <sz val="9"/>
            <color indexed="81"/>
            <rFont val="Tahoma"/>
            <family val="2"/>
          </rPr>
          <t xml:space="preserve">
OH Distribution Investment Rider (DIR)</t>
        </r>
      </text>
    </comment>
    <comment ref="BQ50" authorId="4">
      <text>
        <r>
          <rPr>
            <b/>
            <sz val="9"/>
            <color indexed="81"/>
            <rFont val="Tahoma"/>
            <family val="2"/>
          </rPr>
          <t>Kobus, Jim (Research):</t>
        </r>
        <r>
          <rPr>
            <sz val="9"/>
            <color indexed="81"/>
            <rFont val="Tahoma"/>
            <family val="2"/>
          </rPr>
          <t xml:space="preserve">
OH Distribution Investment Rider (DIR)</t>
        </r>
      </text>
    </comment>
    <comment ref="BB51" authorId="0">
      <text>
        <r>
          <rPr>
            <b/>
            <sz val="9"/>
            <color indexed="81"/>
            <rFont val="Tahoma"/>
            <family val="2"/>
          </rPr>
          <t>Ellison, Ethan C (Research):</t>
        </r>
        <r>
          <rPr>
            <sz val="9"/>
            <color indexed="81"/>
            <rFont val="Tahoma"/>
            <family val="2"/>
          </rPr>
          <t xml:space="preserve">
Reflects $0.06 benefit from ERCOT Trans Revs. 1/12/18 presentation, slide 29</t>
        </r>
      </text>
    </comment>
    <comment ref="BG51" authorId="5">
      <text>
        <r>
          <rPr>
            <b/>
            <sz val="9"/>
            <color indexed="81"/>
            <rFont val="Tahoma"/>
            <family val="2"/>
          </rPr>
          <t>McDermott, Devin (Research):</t>
        </r>
        <r>
          <rPr>
            <sz val="9"/>
            <color indexed="81"/>
            <rFont val="Tahoma"/>
            <family val="2"/>
          </rPr>
          <t xml:space="preserve">
assumed</t>
        </r>
      </text>
    </comment>
    <comment ref="BL51" authorId="5">
      <text>
        <r>
          <rPr>
            <b/>
            <sz val="9"/>
            <color indexed="81"/>
            <rFont val="Tahoma"/>
            <family val="2"/>
          </rPr>
          <t>McDermott, Devin (Research):</t>
        </r>
        <r>
          <rPr>
            <sz val="9"/>
            <color indexed="81"/>
            <rFont val="Tahoma"/>
            <family val="2"/>
          </rPr>
          <t xml:space="preserve">
assumed</t>
        </r>
      </text>
    </comment>
    <comment ref="BQ51" authorId="5">
      <text>
        <r>
          <rPr>
            <b/>
            <sz val="9"/>
            <color indexed="81"/>
            <rFont val="Tahoma"/>
            <family val="2"/>
          </rPr>
          <t>McDermott, Devin (Research):</t>
        </r>
        <r>
          <rPr>
            <sz val="9"/>
            <color indexed="81"/>
            <rFont val="Tahoma"/>
            <family val="2"/>
          </rPr>
          <t xml:space="preserve">
assumed</t>
        </r>
      </text>
    </comment>
    <comment ref="BB53" authorId="0">
      <text>
        <r>
          <rPr>
            <b/>
            <sz val="9"/>
            <color indexed="81"/>
            <rFont val="Tahoma"/>
            <family val="2"/>
          </rPr>
          <t>Ellison, Ethan C (Research):</t>
        </r>
        <r>
          <rPr>
            <sz val="9"/>
            <color indexed="81"/>
            <rFont val="Tahoma"/>
            <family val="2"/>
          </rPr>
          <t xml:space="preserve">
Based on pre-adjustment net income and seasonality of pre-tax income</t>
        </r>
      </text>
    </comment>
    <comment ref="BB56" authorId="0">
      <text>
        <r>
          <rPr>
            <b/>
            <sz val="9"/>
            <color indexed="81"/>
            <rFont val="Tahoma"/>
            <family val="2"/>
          </rPr>
          <t>Ellison, Ethan C (Research):</t>
        </r>
        <r>
          <rPr>
            <sz val="9"/>
            <color indexed="81"/>
            <rFont val="Tahoma"/>
            <family val="2"/>
          </rPr>
          <t xml:space="preserve">
$0.04 O&amp;M benefit at T&amp;D YoY in 2018 Operating earnings guidance. 1/12/18 presentation slide 29</t>
        </r>
      </text>
    </comment>
    <comment ref="AS93" authorId="0">
      <text>
        <r>
          <rPr>
            <b/>
            <sz val="9"/>
            <color indexed="81"/>
            <rFont val="Tahoma"/>
            <family val="2"/>
          </rPr>
          <t>Ellison, Ethan C (Research):</t>
        </r>
        <r>
          <rPr>
            <sz val="9"/>
            <color indexed="81"/>
            <rFont val="Tahoma"/>
            <family val="2"/>
          </rPr>
          <t xml:space="preserve">
($0.02) drag vs. normal</t>
        </r>
      </text>
    </comment>
    <comment ref="AT93" authorId="0">
      <text>
        <r>
          <rPr>
            <b/>
            <sz val="9"/>
            <color indexed="81"/>
            <rFont val="Tahoma"/>
            <family val="2"/>
          </rPr>
          <t>Ellison, Ethan C (Research):</t>
        </r>
        <r>
          <rPr>
            <sz val="9"/>
            <color indexed="81"/>
            <rFont val="Tahoma"/>
            <family val="2"/>
          </rPr>
          <t xml:space="preserve">
($0.01) drag vs. normal</t>
        </r>
      </text>
    </comment>
    <comment ref="AU93" authorId="0">
      <text>
        <r>
          <rPr>
            <b/>
            <sz val="9"/>
            <color indexed="81"/>
            <rFont val="Tahoma"/>
            <family val="2"/>
          </rPr>
          <t>Ellison, Ethan C (Research):</t>
        </r>
        <r>
          <rPr>
            <sz val="9"/>
            <color indexed="81"/>
            <rFont val="Tahoma"/>
            <family val="2"/>
          </rPr>
          <t xml:space="preserve">
($0.01) drag vs. normal</t>
        </r>
      </text>
    </comment>
    <comment ref="AV93" authorId="0">
      <text>
        <r>
          <rPr>
            <b/>
            <sz val="9"/>
            <color indexed="81"/>
            <rFont val="Tahoma"/>
            <family val="2"/>
          </rPr>
          <t>Ellison, Ethan C (Research):</t>
        </r>
        <r>
          <rPr>
            <sz val="9"/>
            <color indexed="81"/>
            <rFont val="Tahoma"/>
            <family val="2"/>
          </rPr>
          <t xml:space="preserve">
$0.02 favorable</t>
        </r>
      </text>
    </comment>
    <comment ref="BB142" authorId="0">
      <text>
        <r>
          <rPr>
            <b/>
            <sz val="9"/>
            <color indexed="81"/>
            <rFont val="Tahoma"/>
            <family val="2"/>
          </rPr>
          <t>Ellison, Ethan C (Research):</t>
        </r>
        <r>
          <rPr>
            <sz val="9"/>
            <color indexed="81"/>
            <rFont val="Tahoma"/>
            <family val="2"/>
          </rPr>
          <t xml:space="preserve">
•EEI Presentation: 2018 Debt Issuances and Maturity Overview (pg. 43) - includes AEP Texas and OPCo
</t>
        </r>
      </text>
    </comment>
    <comment ref="AR223" authorId="5">
      <text>
        <r>
          <rPr>
            <b/>
            <sz val="9"/>
            <color indexed="81"/>
            <rFont val="Tahoma"/>
            <family val="2"/>
          </rPr>
          <t>McDermott, Devin (Research):</t>
        </r>
        <r>
          <rPr>
            <sz val="9"/>
            <color indexed="81"/>
            <rFont val="Tahoma"/>
            <family val="2"/>
          </rPr>
          <t xml:space="preserve">
adjustment to tie to rate base guidance</t>
        </r>
      </text>
    </comment>
    <comment ref="AW223" authorId="5">
      <text>
        <r>
          <rPr>
            <b/>
            <sz val="9"/>
            <color indexed="81"/>
            <rFont val="Tahoma"/>
            <family val="2"/>
          </rPr>
          <t>McDermott, Devin (Research):</t>
        </r>
        <r>
          <rPr>
            <sz val="9"/>
            <color indexed="81"/>
            <rFont val="Tahoma"/>
            <family val="2"/>
          </rPr>
          <t xml:space="preserve">
adjustment to tie to rate base guidance</t>
        </r>
      </text>
    </comment>
    <comment ref="BB223" authorId="5">
      <text>
        <r>
          <rPr>
            <b/>
            <sz val="9"/>
            <color indexed="81"/>
            <rFont val="Tahoma"/>
            <family val="2"/>
          </rPr>
          <t>Ellison, Ethan (Research):</t>
        </r>
        <r>
          <rPr>
            <sz val="9"/>
            <color indexed="81"/>
            <rFont val="Tahoma"/>
            <family val="2"/>
          </rPr>
          <t xml:space="preserve">
adjustment to tie to rate base guidance</t>
        </r>
      </text>
    </comment>
    <comment ref="BG223" authorId="5">
      <text>
        <r>
          <rPr>
            <b/>
            <sz val="9"/>
            <color indexed="81"/>
            <rFont val="Tahoma"/>
            <family val="2"/>
          </rPr>
          <t>Ellison, Ethan (Research):</t>
        </r>
        <r>
          <rPr>
            <sz val="9"/>
            <color indexed="81"/>
            <rFont val="Tahoma"/>
            <family val="2"/>
          </rPr>
          <t xml:space="preserve">
adjustment to tie to rate base guidance</t>
        </r>
      </text>
    </comment>
    <comment ref="BL223" authorId="5">
      <text>
        <r>
          <rPr>
            <b/>
            <sz val="9"/>
            <color indexed="81"/>
            <rFont val="Tahoma"/>
            <family val="2"/>
          </rPr>
          <t>Ellison, Ethan (Research):</t>
        </r>
        <r>
          <rPr>
            <sz val="9"/>
            <color indexed="81"/>
            <rFont val="Tahoma"/>
            <family val="2"/>
          </rPr>
          <t xml:space="preserve">
adjustment to tie to rate base guidance</t>
        </r>
      </text>
    </comment>
    <comment ref="BQ223" authorId="5">
      <text>
        <r>
          <rPr>
            <b/>
            <sz val="9"/>
            <color indexed="81"/>
            <rFont val="Tahoma"/>
            <family val="2"/>
          </rPr>
          <t>Ellison, Ethan (Research):</t>
        </r>
        <r>
          <rPr>
            <sz val="9"/>
            <color indexed="81"/>
            <rFont val="Tahoma"/>
            <family val="2"/>
          </rPr>
          <t xml:space="preserve">
adjustment to tie to rate base guidance</t>
        </r>
      </text>
    </comment>
    <comment ref="X224" authorId="6">
      <text>
        <r>
          <rPr>
            <sz val="8"/>
            <color indexed="81"/>
            <rFont val="Tahoma"/>
            <family val="2"/>
          </rPr>
          <t>Source: 2014 EEI Financial Conference Handout</t>
        </r>
      </text>
    </comment>
    <comment ref="AC224" authorId="6">
      <text>
        <r>
          <rPr>
            <sz val="8"/>
            <color indexed="81"/>
            <rFont val="Tahoma"/>
            <family val="2"/>
          </rPr>
          <t>Source: 2014 EEI Financial Conference Handout</t>
        </r>
      </text>
    </comment>
    <comment ref="AM224" authorId="5">
      <text>
        <r>
          <rPr>
            <b/>
            <sz val="9"/>
            <color indexed="81"/>
            <rFont val="Tahoma"/>
            <family val="2"/>
          </rPr>
          <t>McDermott, Devin (Research):</t>
        </r>
        <r>
          <rPr>
            <sz val="9"/>
            <color indexed="81"/>
            <rFont val="Tahoma"/>
            <family val="2"/>
          </rPr>
          <t xml:space="preserve">
2016 Analyst Day guidance</t>
        </r>
      </text>
    </comment>
    <comment ref="C228" authorId="0">
      <text>
        <r>
          <rPr>
            <b/>
            <sz val="9"/>
            <color indexed="81"/>
            <rFont val="Tahoma"/>
            <family val="2"/>
          </rPr>
          <t>Ellison, Ethan C (Research):</t>
        </r>
        <r>
          <rPr>
            <sz val="9"/>
            <color indexed="81"/>
            <rFont val="Tahoma"/>
            <family val="2"/>
          </rPr>
          <t xml:space="preserve">
Ohio+Texas</t>
        </r>
      </text>
    </comment>
    <comment ref="AR228" authorId="0">
      <text>
        <r>
          <rPr>
            <b/>
            <sz val="9"/>
            <color indexed="81"/>
            <rFont val="Tahoma"/>
            <family val="2"/>
          </rPr>
          <t>Ellison, Ethan C (Research):</t>
        </r>
        <r>
          <rPr>
            <sz val="9"/>
            <color indexed="81"/>
            <rFont val="Tahoma"/>
            <family val="2"/>
          </rPr>
          <t xml:space="preserve">
2017 EEI slides, pages 62 &amp; 67; </t>
        </r>
        <r>
          <rPr>
            <b/>
            <sz val="9"/>
            <color indexed="81"/>
            <rFont val="Tahoma"/>
            <family val="2"/>
          </rPr>
          <t>year-end 2016</t>
        </r>
      </text>
    </comment>
    <comment ref="AJ231" authorId="7">
      <text>
        <r>
          <rPr>
            <sz val="9"/>
            <color indexed="81"/>
            <rFont val="Tahoma"/>
            <family val="2"/>
          </rPr>
          <t>Rate base (Average), Earned ROE and Equity ratio are sourced from the web address: http://www.aep.com/investors/CurrentRegulatoryActivity/
File name: Rate Base And ROE For All Jurisdictions</t>
        </r>
      </text>
    </comment>
    <comment ref="X235" authorId="6">
      <text>
        <r>
          <rPr>
            <sz val="8"/>
            <color indexed="81"/>
            <rFont val="Tahoma"/>
            <family val="2"/>
          </rPr>
          <t>Source: 2013 fact book as on 09/30/13</t>
        </r>
      </text>
    </comment>
    <comment ref="AC235" authorId="6">
      <text>
        <r>
          <rPr>
            <sz val="8"/>
            <color indexed="81"/>
            <rFont val="Tahoma"/>
            <family val="2"/>
          </rPr>
          <t>Source: 2014 fact book dated 11/11/14 as on 09/30/14</t>
        </r>
      </text>
    </comment>
    <comment ref="AJ235" authorId="7">
      <text>
        <r>
          <rPr>
            <sz val="9"/>
            <color indexed="81"/>
            <rFont val="Tahoma"/>
            <family val="2"/>
          </rPr>
          <t>Rate base (Average), Earned ROE and Equity ratio are sourced from the web address: http://www.aep.com/investors/CurrentRegulatoryActivity/
File name: Rate Base And ROE For All Jurisdictions</t>
        </r>
      </text>
    </comment>
  </commentList>
</comments>
</file>

<file path=xl/comments7.xml><?xml version="1.0" encoding="utf-8"?>
<comments xmlns="http://schemas.openxmlformats.org/spreadsheetml/2006/main">
  <authors>
    <author>K, Hemalatha (Research)</author>
    <author>Ellison, Ethan C (Research)</author>
    <author>rajeevl</author>
    <author>McDermott, Devin (Research)</author>
    <author>jasoriya</author>
    <author>Jasoriya, Prateek (Research)</author>
  </authors>
  <commentList>
    <comment ref="AW31" authorId="0">
      <text>
        <r>
          <rPr>
            <sz val="9"/>
            <color indexed="81"/>
            <rFont val="Tahoma"/>
            <family val="2"/>
          </rPr>
          <t>Effect of tax reform
Source: 8-K, 4Q17 dt. 01/25/18.</t>
        </r>
      </text>
    </comment>
    <comment ref="AW38" authorId="1">
      <text>
        <r>
          <rPr>
            <b/>
            <sz val="9"/>
            <color indexed="81"/>
            <rFont val="Tahoma"/>
            <family val="2"/>
          </rPr>
          <t>Ellison, Ethan C (Research):</t>
        </r>
        <r>
          <rPr>
            <sz val="9"/>
            <color indexed="81"/>
            <rFont val="Tahoma"/>
            <family val="2"/>
          </rPr>
          <t xml:space="preserve">
benefitted from eps contribution of FERC 205</t>
        </r>
      </text>
    </comment>
    <comment ref="BB38" authorId="1">
      <text>
        <r>
          <rPr>
            <b/>
            <sz val="9"/>
            <color indexed="81"/>
            <rFont val="Tahoma"/>
            <family val="2"/>
          </rPr>
          <t>Ellison, Ethan C (Research):</t>
        </r>
        <r>
          <rPr>
            <sz val="9"/>
            <color indexed="81"/>
            <rFont val="Tahoma"/>
            <family val="2"/>
          </rPr>
          <t xml:space="preserve">
AEPTHC eps forecast from 2017 EEI presentation (slide #17)
♦</t>
        </r>
        <r>
          <rPr>
            <b/>
            <sz val="9"/>
            <color indexed="81"/>
            <rFont val="Tahoma"/>
            <family val="2"/>
          </rPr>
          <t xml:space="preserve">AEPTHC only </t>
        </r>
        <r>
          <rPr>
            <sz val="9"/>
            <color indexed="81"/>
            <rFont val="Tahoma"/>
            <family val="2"/>
          </rPr>
          <t xml:space="preserve">- excluded investment in the AEP operating companies, JV equity contributions, BOLD and Grid Assurance, and Transource unapproved projects.
♦2018 = $0.70 - $0.73
•1/12/18 Presentation, slide 29: Guide to $0.72 at midpoint
</t>
        </r>
      </text>
    </comment>
    <comment ref="BG38" authorId="1">
      <text>
        <r>
          <rPr>
            <b/>
            <sz val="9"/>
            <color indexed="81"/>
            <rFont val="Tahoma"/>
            <family val="2"/>
          </rPr>
          <t>Ellison, Ethan C (Research):</t>
        </r>
        <r>
          <rPr>
            <sz val="9"/>
            <color indexed="81"/>
            <rFont val="Tahoma"/>
            <family val="2"/>
          </rPr>
          <t xml:space="preserve">
AEPTHC eps forecast from 2017 EEI presentation (slide #17)
♦</t>
        </r>
        <r>
          <rPr>
            <b/>
            <sz val="9"/>
            <color indexed="81"/>
            <rFont val="Tahoma"/>
            <family val="2"/>
          </rPr>
          <t xml:space="preserve">AEPTHC only </t>
        </r>
        <r>
          <rPr>
            <sz val="9"/>
            <color indexed="81"/>
            <rFont val="Tahoma"/>
            <family val="2"/>
          </rPr>
          <t>- excluded investment in the AEP operating companies, JV equity contributions, BOLD and Grid Assurance, and Transource unapproved projects.
♦2019 = $0.82 - $0.85</t>
        </r>
      </text>
    </comment>
    <comment ref="BL38" authorId="1">
      <text>
        <r>
          <rPr>
            <b/>
            <sz val="9"/>
            <color indexed="81"/>
            <rFont val="Tahoma"/>
            <family val="2"/>
          </rPr>
          <t>Ellison, Ethan C (Research):</t>
        </r>
        <r>
          <rPr>
            <sz val="9"/>
            <color indexed="81"/>
            <rFont val="Tahoma"/>
            <family val="2"/>
          </rPr>
          <t xml:space="preserve">
AEPTHC eps forecast from 2/5/18 presentation (slide #15)
♦</t>
        </r>
        <r>
          <rPr>
            <b/>
            <sz val="9"/>
            <color indexed="81"/>
            <rFont val="Tahoma"/>
            <family val="2"/>
          </rPr>
          <t xml:space="preserve">AEPTHC only </t>
        </r>
        <r>
          <rPr>
            <sz val="9"/>
            <color indexed="81"/>
            <rFont val="Tahoma"/>
            <family val="2"/>
          </rPr>
          <t>- excluded investment in the AEP operating companies, JV equity contributions, BOLD and Grid Assurance, and Transource unapproved projects.
♦2020 =</t>
        </r>
        <r>
          <rPr>
            <b/>
            <sz val="9"/>
            <color indexed="81"/>
            <rFont val="Tahoma"/>
            <family val="2"/>
          </rPr>
          <t xml:space="preserve"> $0.96 - $0.99</t>
        </r>
      </text>
    </comment>
    <comment ref="BT45" authorId="1">
      <text>
        <r>
          <rPr>
            <b/>
            <sz val="9"/>
            <color indexed="81"/>
            <rFont val="Tahoma"/>
            <family val="2"/>
          </rPr>
          <t>Ellison, Ethan C (Research):</t>
        </r>
        <r>
          <rPr>
            <sz val="9"/>
            <color indexed="81"/>
            <rFont val="Tahoma"/>
            <family val="2"/>
          </rPr>
          <t xml:space="preserve">
11/5/17 AEP Factbook pg. 101</t>
        </r>
      </text>
    </comment>
    <comment ref="BW45" authorId="1">
      <text>
        <r>
          <rPr>
            <b/>
            <sz val="9"/>
            <color indexed="81"/>
            <rFont val="Tahoma"/>
            <family val="2"/>
          </rPr>
          <t>Ellison, Ethan C (Research):</t>
        </r>
        <r>
          <rPr>
            <sz val="9"/>
            <color indexed="81"/>
            <rFont val="Tahoma"/>
            <family val="2"/>
          </rPr>
          <t xml:space="preserve">
♦ 10K17 pg.27: $3,260
♦ETT is undertaking multiple projects and the completion dates will vary for those projects. ETT’s investment in completed, current and future projects in ERCOT over the next ten years is expected to be</t>
        </r>
        <r>
          <rPr>
            <b/>
            <sz val="9"/>
            <color indexed="81"/>
            <rFont val="Tahoma"/>
            <family val="2"/>
          </rPr>
          <t xml:space="preserve"> $3.3 billion</t>
        </r>
        <r>
          <rPr>
            <sz val="9"/>
            <color indexed="81"/>
            <rFont val="Tahoma"/>
            <family val="2"/>
          </rPr>
          <t>.  Future projects will be evaluated on a case-by-case basis. ETT’s approved return on equity of 9.6% will go into effect in March 2017.</t>
        </r>
      </text>
    </comment>
    <comment ref="BW46" authorId="1">
      <text>
        <r>
          <rPr>
            <b/>
            <sz val="9"/>
            <color indexed="81"/>
            <rFont val="Tahoma"/>
            <family val="2"/>
          </rPr>
          <t>Ellison, Ethan C (Research):</t>
        </r>
        <r>
          <rPr>
            <sz val="9"/>
            <color indexed="81"/>
            <rFont val="Tahoma"/>
            <family val="2"/>
          </rPr>
          <t xml:space="preserve">
The Pioneer project consists of approximately 286 miles of new 765 kV transmission lines, which is estimated to cost $1.1 billion at completion.  Pioneer is developing the first 66-mile segment jointly with Northern Indiana Public Service Company at a total estimated cost of $347 million.  The projected completion date for the first 66-mile segment is June 2018.  The projected completion dates for the remaining segments have not been determined.</t>
        </r>
      </text>
    </comment>
    <comment ref="C47" authorId="1">
      <text>
        <r>
          <rPr>
            <b/>
            <sz val="9"/>
            <color indexed="81"/>
            <rFont val="Tahoma"/>
            <family val="2"/>
          </rPr>
          <t>Ellison, Ethan C (Research):
♦</t>
        </r>
        <r>
          <rPr>
            <sz val="9"/>
            <color indexed="81"/>
            <rFont val="Tahoma"/>
            <family val="2"/>
          </rPr>
          <t xml:space="preserve">OH, WV, IM, OK, KY
</t>
        </r>
      </text>
    </comment>
    <comment ref="AR47" authorId="1">
      <text>
        <r>
          <rPr>
            <b/>
            <sz val="9"/>
            <color indexed="81"/>
            <rFont val="Tahoma"/>
            <family val="2"/>
          </rPr>
          <t>Ellison, Ethan C (Research):</t>
        </r>
        <r>
          <rPr>
            <sz val="9"/>
            <color indexed="81"/>
            <rFont val="Tahoma"/>
            <family val="2"/>
          </rPr>
          <t xml:space="preserve">
2016 Factbook: Guide to 1166</t>
        </r>
      </text>
    </comment>
    <comment ref="AW47" authorId="1">
      <text>
        <r>
          <rPr>
            <b/>
            <sz val="9"/>
            <color indexed="81"/>
            <rFont val="Tahoma"/>
            <family val="2"/>
          </rPr>
          <t>Ellison, Ethan C (Research):</t>
        </r>
        <r>
          <rPr>
            <sz val="9"/>
            <color indexed="81"/>
            <rFont val="Tahoma"/>
            <family val="2"/>
          </rPr>
          <t xml:space="preserve">
2017 Factbook: Guide to 1578</t>
        </r>
      </text>
    </comment>
    <comment ref="BB47" authorId="1">
      <text>
        <r>
          <rPr>
            <b/>
            <sz val="9"/>
            <color indexed="81"/>
            <rFont val="Tahoma"/>
            <family val="2"/>
          </rPr>
          <t>Ellison, Ethan C (Research):</t>
        </r>
        <r>
          <rPr>
            <sz val="9"/>
            <color indexed="81"/>
            <rFont val="Tahoma"/>
            <family val="2"/>
          </rPr>
          <t xml:space="preserve">
2017 Factbook pg. 94: Guide to 1463</t>
        </r>
      </text>
    </comment>
    <comment ref="BG47" authorId="1">
      <text>
        <r>
          <rPr>
            <b/>
            <sz val="9"/>
            <color indexed="81"/>
            <rFont val="Tahoma"/>
            <family val="2"/>
          </rPr>
          <t>Ellison, Ethan C (Research):</t>
        </r>
        <r>
          <rPr>
            <sz val="9"/>
            <color indexed="81"/>
            <rFont val="Tahoma"/>
            <family val="2"/>
          </rPr>
          <t xml:space="preserve">
2017 Factbook pg. 94: Guide to 1433</t>
        </r>
      </text>
    </comment>
    <comment ref="BL47" authorId="1">
      <text>
        <r>
          <rPr>
            <b/>
            <sz val="9"/>
            <color indexed="81"/>
            <rFont val="Tahoma"/>
            <family val="2"/>
          </rPr>
          <t>Ellison, Ethan C (Research):</t>
        </r>
        <r>
          <rPr>
            <sz val="9"/>
            <color indexed="81"/>
            <rFont val="Tahoma"/>
            <family val="2"/>
          </rPr>
          <t xml:space="preserve">
2017 Factbook pg. 94: Guide to 1446</t>
        </r>
      </text>
    </comment>
    <comment ref="BT47" authorId="1">
      <text>
        <r>
          <rPr>
            <b/>
            <sz val="9"/>
            <color indexed="81"/>
            <rFont val="Tahoma"/>
            <family val="2"/>
          </rPr>
          <t>Ellison, Ethan C (Research):</t>
        </r>
        <r>
          <rPr>
            <sz val="9"/>
            <color indexed="81"/>
            <rFont val="Tahoma"/>
            <family val="2"/>
          </rPr>
          <t xml:space="preserve">
10K17 pg. 28: The formula rate mechanism allows for a return on equity of 11.49% based on a capital structure of up to 50% equity for APTCo, IMTCo, KTCo, OHTCo and WVTCo (the East Transcos).  OKTCo and SWTCo (the West Transcos) are allowed a return on equity of 11.2% based on a capital structure of up to 50% equity.</t>
        </r>
      </text>
    </comment>
    <comment ref="BW47" authorId="1">
      <text>
        <r>
          <rPr>
            <b/>
            <sz val="9"/>
            <color indexed="81"/>
            <rFont val="Tahoma"/>
            <family val="2"/>
          </rPr>
          <t>Ellison, Ethan C (Research):</t>
        </r>
        <r>
          <rPr>
            <sz val="9"/>
            <color indexed="81"/>
            <rFont val="Tahoma"/>
            <family val="2"/>
          </rPr>
          <t xml:space="preserve">
10K pg. 26: As of December 31, 2017 , the State Transcos had $5.5 billion of transmission assets in-service with plans to construct approximately $4.3 billion of additional transmission assets through 2020</t>
        </r>
      </text>
    </comment>
    <comment ref="BS48" authorId="1">
      <text>
        <r>
          <rPr>
            <b/>
            <sz val="9"/>
            <color indexed="81"/>
            <rFont val="Tahoma"/>
            <family val="2"/>
          </rPr>
          <t>Ellison, Ethan C (Research):</t>
        </r>
        <r>
          <rPr>
            <sz val="9"/>
            <color indexed="81"/>
            <rFont val="Tahoma"/>
            <family val="2"/>
          </rPr>
          <t xml:space="preserve">
Electric Transmission America (ETA) is a 50/50 JV with Berkshire Hathaway Energy (formerly MidAmerican Energy) and AEP</t>
        </r>
      </text>
    </comment>
    <comment ref="BB49" authorId="1">
      <text>
        <r>
          <rPr>
            <b/>
            <sz val="9"/>
            <color indexed="81"/>
            <rFont val="Tahoma"/>
            <family val="2"/>
          </rPr>
          <t>Ellison, Ethan C (Research):</t>
        </r>
        <r>
          <rPr>
            <sz val="9"/>
            <color indexed="81"/>
            <rFont val="Tahoma"/>
            <family val="2"/>
          </rPr>
          <t xml:space="preserve">
Assumes no spend this year to tie to guidance</t>
        </r>
      </text>
    </comment>
    <comment ref="BG49" authorId="1">
      <text>
        <r>
          <rPr>
            <b/>
            <sz val="9"/>
            <color indexed="81"/>
            <rFont val="Tahoma"/>
            <family val="2"/>
          </rPr>
          <t>Ellison, Ethan C (Research):</t>
        </r>
        <r>
          <rPr>
            <sz val="9"/>
            <color indexed="81"/>
            <rFont val="Tahoma"/>
            <family val="2"/>
          </rPr>
          <t xml:space="preserve">
Assumes no spend this year to tie to guidance</t>
        </r>
      </text>
    </comment>
    <comment ref="BV49" authorId="1">
      <text>
        <r>
          <rPr>
            <b/>
            <sz val="9"/>
            <color indexed="81"/>
            <rFont val="Tahoma"/>
            <family val="2"/>
          </rPr>
          <t>Ellison, Ethan C (Research):</t>
        </r>
        <r>
          <rPr>
            <sz val="9"/>
            <color indexed="81"/>
            <rFont val="Tahoma"/>
            <family val="2"/>
          </rPr>
          <t xml:space="preserve">
As of 10K16</t>
        </r>
      </text>
    </comment>
    <comment ref="BW49" authorId="1">
      <text>
        <r>
          <rPr>
            <b/>
            <sz val="9"/>
            <color indexed="81"/>
            <rFont val="Tahoma"/>
            <family val="2"/>
          </rPr>
          <t>Ellison, Ethan C (Research):</t>
        </r>
        <r>
          <rPr>
            <sz val="9"/>
            <color indexed="81"/>
            <rFont val="Tahoma"/>
            <family val="2"/>
          </rPr>
          <t xml:space="preserve">
Indiana = 400m, Illinois = 1200m</t>
        </r>
      </text>
    </comment>
    <comment ref="BT50" authorId="1">
      <text>
        <r>
          <rPr>
            <b/>
            <sz val="9"/>
            <color indexed="81"/>
            <rFont val="Tahoma"/>
            <family val="2"/>
          </rPr>
          <t>Ellison, Ethan C (Research):</t>
        </r>
        <r>
          <rPr>
            <sz val="9"/>
            <color indexed="81"/>
            <rFont val="Tahoma"/>
            <family val="2"/>
          </rPr>
          <t xml:space="preserve">
♦Transource - MO:                  costs at completion ('16) = 310.5m, total ROE = 11.1%
♦Transource-WV:                    costs at completion ('19) = 72m, total ROE = 10.5%
♦Transource-PA:            costs at completion ('20) = 204m, total ROE = 10.4%</t>
        </r>
        <r>
          <rPr>
            <b/>
            <sz val="9"/>
            <color indexed="81"/>
            <rFont val="Tahoma"/>
            <family val="2"/>
          </rPr>
          <t xml:space="preserve">
</t>
        </r>
        <r>
          <rPr>
            <sz val="9"/>
            <color indexed="81"/>
            <rFont val="Tahoma"/>
            <family val="2"/>
          </rPr>
          <t>♦Transource-MD:            costs at completion ('20) = 26m, total ROE = 10.4%</t>
        </r>
        <r>
          <rPr>
            <b/>
            <sz val="9"/>
            <color indexed="81"/>
            <rFont val="Tahoma"/>
            <family val="2"/>
          </rPr>
          <t xml:space="preserve">
</t>
        </r>
      </text>
    </comment>
    <comment ref="BU50" authorId="2">
      <text>
        <r>
          <rPr>
            <b/>
            <sz val="8"/>
            <color indexed="81"/>
            <rFont val="Tahoma"/>
            <family val="2"/>
          </rPr>
          <t>rajeevl:</t>
        </r>
        <r>
          <rPr>
            <sz val="8"/>
            <color indexed="81"/>
            <rFont val="Tahoma"/>
            <family val="2"/>
          </rPr>
          <t xml:space="preserve">
assumed</t>
        </r>
      </text>
    </comment>
    <comment ref="BW50" authorId="1">
      <text>
        <r>
          <rPr>
            <b/>
            <sz val="9"/>
            <color indexed="81"/>
            <rFont val="Tahoma"/>
            <family val="2"/>
          </rPr>
          <t>Ellison, Ethan C (Research):</t>
        </r>
        <r>
          <rPr>
            <sz val="9"/>
            <color indexed="81"/>
            <rFont val="Tahoma"/>
            <family val="2"/>
          </rPr>
          <t xml:space="preserve">
Missouri: 310.5
W.Virginia: 72
Maryland: 26
Pennsylvania: 204
</t>
        </r>
      </text>
    </comment>
    <comment ref="AW52" authorId="1">
      <text>
        <r>
          <rPr>
            <b/>
            <sz val="9"/>
            <color indexed="81"/>
            <rFont val="Tahoma"/>
            <family val="2"/>
          </rPr>
          <t>Ellison, Ethan C (Research):</t>
        </r>
        <r>
          <rPr>
            <sz val="9"/>
            <color indexed="81"/>
            <rFont val="Tahoma"/>
            <family val="2"/>
          </rPr>
          <t xml:space="preserve">
Assumes no spend this year to tie to guidance</t>
        </r>
      </text>
    </comment>
    <comment ref="AR53" authorId="1">
      <text>
        <r>
          <rPr>
            <b/>
            <sz val="9"/>
            <color indexed="81"/>
            <rFont val="Tahoma"/>
            <family val="2"/>
          </rPr>
          <t>Ellison, Ethan C (Research):</t>
        </r>
        <r>
          <rPr>
            <sz val="9"/>
            <color indexed="81"/>
            <rFont val="Tahoma"/>
            <family val="2"/>
          </rPr>
          <t xml:space="preserve">
2017 Factbook pg. 94 = $1,222</t>
        </r>
      </text>
    </comment>
    <comment ref="AW53" authorId="3">
      <text>
        <r>
          <rPr>
            <b/>
            <sz val="9"/>
            <color indexed="81"/>
            <rFont val="Tahoma"/>
            <family val="2"/>
          </rPr>
          <t>Ellison, Ethan (Research):</t>
        </r>
        <r>
          <rPr>
            <sz val="9"/>
            <color indexed="81"/>
            <rFont val="Tahoma"/>
            <family val="2"/>
          </rPr>
          <t xml:space="preserve">
2017 Factbook pg. 94 = 1578 at AEP Transco
♦4.7B capex at Transmission Holdco from '17-'19 (2016 EEI slides)</t>
        </r>
      </text>
    </comment>
    <comment ref="BB53" authorId="3">
      <text>
        <r>
          <rPr>
            <b/>
            <sz val="9"/>
            <color indexed="81"/>
            <rFont val="Tahoma"/>
            <family val="2"/>
          </rPr>
          <t>Ellison, Ethan (Research):</t>
        </r>
        <r>
          <rPr>
            <sz val="9"/>
            <color indexed="81"/>
            <rFont val="Tahoma"/>
            <family val="2"/>
          </rPr>
          <t xml:space="preserve">
2017 EE slides pg. 60 = 1512
♦4.6B capex at Transmission Holdco from '18-'20 (2017 EEI slides)</t>
        </r>
      </text>
    </comment>
    <comment ref="BG53" authorId="3">
      <text>
        <r>
          <rPr>
            <b/>
            <sz val="9"/>
            <color indexed="81"/>
            <rFont val="Tahoma"/>
            <family val="2"/>
          </rPr>
          <t>Ellison, Ethan (Research):</t>
        </r>
        <r>
          <rPr>
            <sz val="9"/>
            <color indexed="81"/>
            <rFont val="Tahoma"/>
            <family val="2"/>
          </rPr>
          <t xml:space="preserve">
2017 EE slides pg. 60 = 1543
♦4.6B capex at Transmission Holdco from '18-'20 (2017 EEI slides)</t>
        </r>
      </text>
    </comment>
    <comment ref="BL53" authorId="3">
      <text>
        <r>
          <rPr>
            <b/>
            <sz val="9"/>
            <color indexed="81"/>
            <rFont val="Tahoma"/>
            <family val="2"/>
          </rPr>
          <t>Ellison, Ethan (Research):</t>
        </r>
        <r>
          <rPr>
            <sz val="9"/>
            <color indexed="81"/>
            <rFont val="Tahoma"/>
            <family val="2"/>
          </rPr>
          <t xml:space="preserve">
Reduced post 4Q17 update to $1,301 (post tax reform)</t>
        </r>
      </text>
    </comment>
    <comment ref="BQ53" authorId="1">
      <text>
        <r>
          <rPr>
            <b/>
            <sz val="9"/>
            <color indexed="81"/>
            <rFont val="Tahoma"/>
            <family val="2"/>
          </rPr>
          <t>Ellison, Ethan C (Research):</t>
        </r>
        <r>
          <rPr>
            <sz val="9"/>
            <color indexed="81"/>
            <rFont val="Tahoma"/>
            <family val="2"/>
          </rPr>
          <t xml:space="preserve">
assumed</t>
        </r>
      </text>
    </comment>
    <comment ref="BT53" authorId="3">
      <text>
        <r>
          <rPr>
            <b/>
            <sz val="9"/>
            <color indexed="81"/>
            <rFont val="Tahoma"/>
            <family val="2"/>
          </rPr>
          <t>Ellison, Ethan (Research):</t>
        </r>
        <r>
          <rPr>
            <sz val="9"/>
            <color indexed="81"/>
            <rFont val="Tahoma"/>
            <family val="2"/>
          </rPr>
          <t xml:space="preserve">
♦$6.3B capex at Transmission Holdco from '17-'20 (2017 EEI slides)</t>
        </r>
      </text>
    </comment>
    <comment ref="BT54" authorId="3">
      <text>
        <r>
          <rPr>
            <b/>
            <sz val="9"/>
            <color indexed="81"/>
            <rFont val="Tahoma"/>
            <family val="2"/>
          </rPr>
          <t>McDermott, Devin (Research):</t>
        </r>
        <r>
          <rPr>
            <sz val="9"/>
            <color indexed="81"/>
            <rFont val="Tahoma"/>
            <family val="2"/>
          </rPr>
          <t xml:space="preserve">
1Q14 earnings presentation</t>
        </r>
      </text>
    </comment>
    <comment ref="C55" authorId="1">
      <text>
        <r>
          <rPr>
            <b/>
            <sz val="9"/>
            <color indexed="81"/>
            <rFont val="Tahoma"/>
            <family val="2"/>
          </rPr>
          <t>Ellison, Ethan C (Research):</t>
        </r>
        <r>
          <rPr>
            <sz val="9"/>
            <color indexed="81"/>
            <rFont val="Tahoma"/>
            <family val="2"/>
          </rPr>
          <t xml:space="preserve">
Total PP&amp;E</t>
        </r>
      </text>
    </comment>
    <comment ref="AS55" authorId="1">
      <text>
        <r>
          <rPr>
            <b/>
            <sz val="9"/>
            <color indexed="81"/>
            <rFont val="Tahoma"/>
            <family val="2"/>
          </rPr>
          <t>Ellison, Ethan C (Research):</t>
        </r>
        <r>
          <rPr>
            <sz val="9"/>
            <color indexed="81"/>
            <rFont val="Tahoma"/>
            <family val="2"/>
          </rPr>
          <t xml:space="preserve">
Pg. 121
https://www.aep.com/investors/FinancialFilingsAndReports/Filings/docs/AEP10-Q-1st-2017.pdf
</t>
        </r>
      </text>
    </comment>
    <comment ref="BT56" authorId="1">
      <text>
        <r>
          <rPr>
            <b/>
            <sz val="9"/>
            <color indexed="81"/>
            <rFont val="Tahoma"/>
            <family val="2"/>
          </rPr>
          <t>Ellison, Ethan C (Research):</t>
        </r>
        <r>
          <rPr>
            <sz val="9"/>
            <color indexed="81"/>
            <rFont val="Tahoma"/>
            <family val="2"/>
          </rPr>
          <t xml:space="preserve">
♦guide to $11.6B </t>
        </r>
        <r>
          <rPr>
            <sz val="9"/>
            <color indexed="81"/>
            <rFont val="Tahoma"/>
            <family val="2"/>
          </rPr>
          <t>cummulative capex at AEPTHC by 2020
♦2017 EEI Conference slides, pg. 17</t>
        </r>
      </text>
    </comment>
    <comment ref="AQ60" authorId="1">
      <text>
        <r>
          <rPr>
            <b/>
            <sz val="9"/>
            <color indexed="81"/>
            <rFont val="Tahoma"/>
            <family val="2"/>
          </rPr>
          <t>Ellison, Ethan C (Research):</t>
        </r>
        <r>
          <rPr>
            <sz val="9"/>
            <color indexed="81"/>
            <rFont val="Tahoma"/>
            <family val="2"/>
          </rPr>
          <t xml:space="preserve">
Implied "Other"</t>
        </r>
      </text>
    </comment>
    <comment ref="X61" authorId="4">
      <text>
        <r>
          <rPr>
            <sz val="8"/>
            <color indexed="81"/>
            <rFont val="Tahoma"/>
            <family val="2"/>
          </rPr>
          <t>Source: 2013 fact book as on 09/30/13</t>
        </r>
      </text>
    </comment>
    <comment ref="AC61" authorId="4">
      <text>
        <r>
          <rPr>
            <sz val="8"/>
            <color indexed="81"/>
            <rFont val="Tahoma"/>
            <family val="2"/>
          </rPr>
          <t>Source: 2014 fact book dated 11/11/14 as on 09/30/14</t>
        </r>
      </text>
    </comment>
    <comment ref="AH61" authorId="5">
      <text>
        <r>
          <rPr>
            <sz val="9"/>
            <color indexed="81"/>
            <rFont val="Tahoma"/>
            <family val="2"/>
          </rPr>
          <t xml:space="preserve">Source: Rate Base And ROE For All Jurisdictions excel file from website
</t>
        </r>
      </text>
    </comment>
    <comment ref="AM61" authorId="1">
      <text>
        <r>
          <rPr>
            <b/>
            <sz val="9"/>
            <color indexed="81"/>
            <rFont val="Tahoma"/>
            <family val="2"/>
          </rPr>
          <t>Ellison, Ethan C (Research):</t>
        </r>
        <r>
          <rPr>
            <sz val="9"/>
            <color indexed="81"/>
            <rFont val="Tahoma"/>
            <family val="2"/>
          </rPr>
          <t xml:space="preserve">
♦EEI 2015 guide to 3.8b capital investment base</t>
        </r>
      </text>
    </comment>
    <comment ref="AQ61" authorId="1">
      <text>
        <r>
          <rPr>
            <sz val="9"/>
            <color indexed="81"/>
            <rFont val="Tahoma"/>
            <family val="2"/>
          </rPr>
          <t>Net plant in service = 4,286
CWIP = 968
Acc. Dep. = 101.4
= Total Net PP&amp;E = 5,252.6
•10K17 pg. 38</t>
        </r>
      </text>
    </comment>
    <comment ref="AS61" authorId="1">
      <text>
        <r>
          <rPr>
            <b/>
            <sz val="9"/>
            <color indexed="81"/>
            <rFont val="Tahoma"/>
            <family val="2"/>
          </rPr>
          <t>Ellison, Ethan C (Research):</t>
        </r>
        <r>
          <rPr>
            <sz val="9"/>
            <color indexed="81"/>
            <rFont val="Tahoma"/>
            <family val="2"/>
          </rPr>
          <t xml:space="preserve">
Net plant in service = 4,355.9
CWIP = 1,188.8
= Total Net PP&amp;E = 5,544.7
•1Q17 10Q pg. 22</t>
        </r>
      </text>
    </comment>
    <comment ref="AT61" authorId="1">
      <text>
        <r>
          <rPr>
            <b/>
            <sz val="9"/>
            <color indexed="81"/>
            <rFont val="Tahoma"/>
            <family val="2"/>
          </rPr>
          <t>Ellison, Ethan C (Research):</t>
        </r>
        <r>
          <rPr>
            <sz val="9"/>
            <color indexed="81"/>
            <rFont val="Tahoma"/>
            <family val="2"/>
          </rPr>
          <t xml:space="preserve">
Net plant in service = 4,809.2
CWIP = 1,202.9
Acc. Dep. = 137
= Total Net PP&amp;E = 5,875.1
•2Q17 10Q pg. 28</t>
        </r>
      </text>
    </comment>
    <comment ref="AU61" authorId="1">
      <text>
        <r>
          <rPr>
            <sz val="9"/>
            <color indexed="81"/>
            <rFont val="Tahoma"/>
            <family val="2"/>
          </rPr>
          <t>Net plant in service = 5,001.4
CWIP = 1,392.8
Acc. Dep. = 156.6
= Total Net PP&amp;E = 6,237.6
•3Q17 10Q pg. 30</t>
        </r>
      </text>
    </comment>
    <comment ref="AV61" authorId="1">
      <text>
        <r>
          <rPr>
            <sz val="9"/>
            <color indexed="81"/>
            <rFont val="Tahoma"/>
            <family val="2"/>
          </rPr>
          <t>Net plant in service = 5,784.6
CWIP = 1,325.6
Acc. Dep. = 176.6
= Total Net PP&amp;E = 6,933.6
•10K17 pg. 38</t>
        </r>
      </text>
    </comment>
    <comment ref="AR71" authorId="1">
      <text>
        <r>
          <rPr>
            <b/>
            <sz val="9"/>
            <color indexed="81"/>
            <rFont val="Tahoma"/>
            <family val="2"/>
          </rPr>
          <t>Ellison, Ethan C (Research):</t>
        </r>
        <r>
          <rPr>
            <sz val="9"/>
            <color indexed="81"/>
            <rFont val="Tahoma"/>
            <family val="2"/>
          </rPr>
          <t xml:space="preserve">
Total Long-term Debt YE 2016 = 2,055.7</t>
        </r>
      </text>
    </comment>
    <comment ref="AW71" authorId="1">
      <text>
        <r>
          <rPr>
            <b/>
            <sz val="9"/>
            <color indexed="81"/>
            <rFont val="Tahoma"/>
            <family val="2"/>
          </rPr>
          <t>Ellison, Ethan C (Research):</t>
        </r>
        <r>
          <rPr>
            <sz val="9"/>
            <color indexed="81"/>
            <rFont val="Tahoma"/>
            <family val="2"/>
          </rPr>
          <t xml:space="preserve">
Total Long-term Debt YE 2017 = 2,631.3</t>
        </r>
      </text>
    </comment>
    <comment ref="BB72" authorId="1">
      <text>
        <r>
          <rPr>
            <b/>
            <sz val="9"/>
            <color indexed="81"/>
            <rFont val="Tahoma"/>
            <family val="2"/>
          </rPr>
          <t>Ellison, Ethan C (Research):</t>
        </r>
        <r>
          <rPr>
            <sz val="9"/>
            <color indexed="81"/>
            <rFont val="Tahoma"/>
            <family val="2"/>
          </rPr>
          <t xml:space="preserve">
•EEI Presentation: 2018 Debt Issuances and Maturity Overview (pg. 43) - Transco = $625m
</t>
        </r>
      </text>
    </comment>
    <comment ref="BL75" authorId="1">
      <text>
        <r>
          <rPr>
            <b/>
            <sz val="9"/>
            <color indexed="81"/>
            <rFont val="Tahoma"/>
            <family val="2"/>
          </rPr>
          <t>Ellison, Ethan C (Research):</t>
        </r>
        <r>
          <rPr>
            <sz val="9"/>
            <color indexed="81"/>
            <rFont val="Tahoma"/>
            <family val="2"/>
          </rPr>
          <t xml:space="preserve">
Moves toward 50/50 cap structure in out years</t>
        </r>
      </text>
    </comment>
  </commentList>
</comments>
</file>

<file path=xl/comments8.xml><?xml version="1.0" encoding="utf-8"?>
<comments xmlns="http://schemas.openxmlformats.org/spreadsheetml/2006/main">
  <authors>
    <author>sunilt</author>
    <author>Tammannavar, Sunil (Research)</author>
    <author>Kapoor, Vishal (Research)</author>
    <author>Magajwala, Vatsal (Research)</author>
    <author>K, Hemalatha (Research)</author>
    <author>jasoriya</author>
    <author>Kumar S, Ajay (Research)</author>
    <author>$</author>
    <author>Ellison, Ethan C (Research)</author>
    <author>byrd</author>
    <author>RL</author>
    <author>Kobus, Jim (Research)</author>
    <author>McDermott, Devin (Research)</author>
    <author>rajeevl</author>
  </authors>
  <commentList>
    <comment ref="X19" authorId="0">
      <text>
        <r>
          <rPr>
            <sz val="8"/>
            <color indexed="81"/>
            <rFont val="Tahoma"/>
            <family val="2"/>
          </rPr>
          <t>Asset Impairments and Other Related Charges</t>
        </r>
        <r>
          <rPr>
            <sz val="8"/>
            <color indexed="81"/>
            <rFont val="Tahoma"/>
            <family val="2"/>
          </rPr>
          <t xml:space="preserve">
</t>
        </r>
      </text>
    </comment>
    <comment ref="Z19" authorId="0">
      <text>
        <r>
          <rPr>
            <sz val="8"/>
            <color indexed="81"/>
            <rFont val="Tahoma"/>
            <family val="2"/>
          </rPr>
          <t>Asset Impairments and Other Related Charges</t>
        </r>
        <r>
          <rPr>
            <sz val="8"/>
            <color indexed="81"/>
            <rFont val="Tahoma"/>
            <family val="2"/>
          </rPr>
          <t xml:space="preserve">
</t>
        </r>
      </text>
    </comment>
    <comment ref="AC19" authorId="0">
      <text>
        <r>
          <rPr>
            <sz val="8"/>
            <color indexed="81"/>
            <rFont val="Tahoma"/>
            <family val="2"/>
          </rPr>
          <t>Asset Impairments and Other Related Charges</t>
        </r>
        <r>
          <rPr>
            <sz val="8"/>
            <color indexed="81"/>
            <rFont val="Tahoma"/>
            <family val="2"/>
          </rPr>
          <t xml:space="preserve">
</t>
        </r>
      </text>
    </comment>
    <comment ref="AP19" authorId="1">
      <text>
        <r>
          <rPr>
            <sz val="9"/>
            <color indexed="81"/>
            <rFont val="Tahoma"/>
            <family val="2"/>
          </rPr>
          <t>$2,254.4m : Asset Impairments and Other Related Charges</t>
        </r>
        <r>
          <rPr>
            <sz val="9"/>
            <color indexed="81"/>
            <rFont val="Tahoma"/>
            <family val="2"/>
          </rPr>
          <t xml:space="preserve">
</t>
        </r>
      </text>
    </comment>
    <comment ref="AR19" authorId="2">
      <text>
        <r>
          <rPr>
            <sz val="9"/>
            <color indexed="81"/>
            <rFont val="Tahoma"/>
            <family val="2"/>
          </rPr>
          <t xml:space="preserve">$2,257.3m : Asset Impairments and Other Related Charges
</t>
        </r>
      </text>
    </comment>
    <comment ref="AS19" authorId="3">
      <text>
        <r>
          <rPr>
            <sz val="9"/>
            <color indexed="81"/>
            <rFont val="Tahoma"/>
            <family val="2"/>
          </rPr>
          <t>$11.2m - Asset impairments &amp; other related charges
$226.5m - Gain on sale of merchant generation assets</t>
        </r>
      </text>
    </comment>
    <comment ref="AT19" authorId="3">
      <text>
        <r>
          <rPr>
            <sz val="9"/>
            <color indexed="81"/>
            <rFont val="Tahoma"/>
            <family val="2"/>
          </rPr>
          <t>$1.9m - Asset impairments &amp; other related charges
$0.1m - Gain on sale of merchant generation assets</t>
        </r>
      </text>
    </comment>
    <comment ref="AU19" authorId="3">
      <text>
        <r>
          <rPr>
            <sz val="9"/>
            <color indexed="81"/>
            <rFont val="Tahoma"/>
            <family val="2"/>
          </rPr>
          <t xml:space="preserve">$2.5m - Asset impairments &amp; other related charges
</t>
        </r>
      </text>
    </comment>
    <comment ref="AW19" authorId="4">
      <text>
        <r>
          <rPr>
            <sz val="9"/>
            <color indexed="81"/>
            <rFont val="Tahoma"/>
            <family val="2"/>
          </rPr>
          <t xml:space="preserve">
$53.5mn: Asset Impairments and Other Related Charges
$226.4mn: Gain on Sale of Merchant Generation Assets</t>
        </r>
      </text>
    </comment>
    <comment ref="X37" authorId="5">
      <text>
        <r>
          <rPr>
            <sz val="8"/>
            <color indexed="81"/>
            <rFont val="Tahoma"/>
            <family val="2"/>
          </rPr>
          <t>Ohio Plant Impairments 
Source: 8-K 4Q13</t>
        </r>
      </text>
    </comment>
    <comment ref="Y37" authorId="0">
      <text>
        <r>
          <rPr>
            <sz val="8"/>
            <color indexed="81"/>
            <rFont val="Tahoma"/>
            <family val="2"/>
          </rPr>
          <t>Restructuring Program 
Source: 8-K 1Q14</t>
        </r>
      </text>
    </comment>
    <comment ref="Z37" authorId="0">
      <text>
        <r>
          <rPr>
            <sz val="8"/>
            <color indexed="81"/>
            <rFont val="Tahoma"/>
            <family val="2"/>
          </rPr>
          <t>$99m : Muskingum River Plant Unit 5 Impairment  
Source : 8-K of 2Q14</t>
        </r>
      </text>
    </comment>
    <comment ref="AC37" authorId="5">
      <text>
        <r>
          <rPr>
            <sz val="8"/>
            <color indexed="81"/>
            <rFont val="Tahoma"/>
            <family val="2"/>
          </rPr>
          <t>$99m : Muskingum River Plant Unit 5 Impairment  
Restructuring Program: $4m
Source: 8-K 4Q13</t>
        </r>
      </text>
    </comment>
    <comment ref="AH37" authorId="6">
      <text>
        <r>
          <rPr>
            <sz val="9"/>
            <color indexed="81"/>
            <rFont val="Tahoma"/>
            <family val="2"/>
          </rPr>
          <t xml:space="preserve">$6m: Mark-to-Market Impact of Economic Hedging Activities 
$35m: Coal Contract Termination </t>
        </r>
      </text>
    </comment>
    <comment ref="AI37" authorId="6">
      <text>
        <r>
          <rPr>
            <sz val="9"/>
            <color indexed="81"/>
            <rFont val="Tahoma"/>
            <family val="2"/>
          </rPr>
          <t>$4.0m: Mark-to-Market Impact of Economic Hedging Activities 
Source: 8K 1QFY2015</t>
        </r>
      </text>
    </comment>
    <comment ref="AJ37" authorId="6">
      <text>
        <r>
          <rPr>
            <sz val="9"/>
            <color indexed="81"/>
            <rFont val="Tahoma"/>
            <family val="2"/>
          </rPr>
          <t>$1.0m: Mark-to-Market Impact of Economic Hedging Activities 
Source: 8K 2QFY2015</t>
        </r>
      </text>
    </comment>
    <comment ref="AK37" authorId="7">
      <text>
        <r>
          <rPr>
            <sz val="9"/>
            <color indexed="81"/>
            <rFont val="Tahoma"/>
            <family val="2"/>
          </rPr>
          <t>Mark-to-Market Impact of Economic Hedging
Activities
Source: 8K 3Q15</t>
        </r>
      </text>
    </comment>
    <comment ref="AO37" authorId="6">
      <text>
        <r>
          <rPr>
            <sz val="9"/>
            <color indexed="81"/>
            <rFont val="Tahoma"/>
            <family val="2"/>
          </rPr>
          <t>$3.7m: Mark-to-Market Impact of Economic Hedging Activities 
Source: 8K 2Q16, dt. 07/28/16</t>
        </r>
      </text>
    </comment>
    <comment ref="AP37" authorId="6">
      <text>
        <r>
          <rPr>
            <sz val="9"/>
            <color indexed="81"/>
            <rFont val="Tahoma"/>
            <family val="2"/>
          </rPr>
          <t>Includes:
$2.1m: Mark-to-Market Impact of Economic Hedging Activities 
$10.1m: Capital loss valuation adjustment
$1,458.2m : Impairment of Certain Merchant Generation Assets
Source: 8K 3Q16, dt. 11/01/16.</t>
        </r>
      </text>
    </comment>
    <comment ref="AR37" authorId="2">
      <text>
        <r>
          <rPr>
            <sz val="9"/>
            <color indexed="81"/>
            <rFont val="Tahoma"/>
            <family val="2"/>
          </rPr>
          <t>Includes:
$6.5m: Mark-to-Market Impact of Economic Hedging Activities 
$10.1m: Capital loss valuation adjustment
$1,460.1m : Impairment of Certain Merchant Generation Assets
Source: 8K 4Q16, dt. 01/26/17.</t>
        </r>
      </text>
    </comment>
    <comment ref="AS37" authorId="6">
      <text>
        <r>
          <rPr>
            <sz val="9"/>
            <color indexed="81"/>
            <rFont val="Tahoma"/>
            <family val="2"/>
          </rPr>
          <t>Includes:
$2.0m: Mark-to-Market Impact of Economic Hedging Activities 
$127.1m: Gain from Competitive generation Asset sale
$7.2m : Impairment of Certain Merchant Generation Assets
Source: 8K 1Q17, dt. 04/27/17.</t>
        </r>
      </text>
    </comment>
    <comment ref="AT37" authorId="6">
      <text>
        <r>
          <rPr>
            <sz val="9"/>
            <color indexed="81"/>
            <rFont val="Tahoma"/>
            <family val="2"/>
          </rPr>
          <t>Includes:
$0.7m: Mark-to-Market Impact of Economic Hedging Activities 
$2.3m: Gain from Competitive generation Asset sale
$3.0m : Impairment of Certain Merchant Generation Assets
Source: 8K 2Q17, dt. 07/27/17.</t>
        </r>
      </text>
    </comment>
    <comment ref="AU37" authorId="6">
      <text>
        <r>
          <rPr>
            <sz val="9"/>
            <color indexed="81"/>
            <rFont val="Tahoma"/>
            <family val="2"/>
          </rPr>
          <t>Includes:
$0.1m: Mark-to-Market Impact of commodity  Hedging Activities 
$1.7m : Impairment of Certain Merchant Generation Assets
Source: 8K 3Q17, dt. 27/10/17.</t>
        </r>
      </text>
    </comment>
    <comment ref="BB44" authorId="8">
      <text>
        <r>
          <rPr>
            <b/>
            <sz val="9"/>
            <color indexed="81"/>
            <rFont val="Tahoma"/>
            <family val="2"/>
          </rPr>
          <t>Ellison, Ethan C (Research):</t>
        </r>
        <r>
          <rPr>
            <sz val="9"/>
            <color indexed="81"/>
            <rFont val="Tahoma"/>
            <family val="2"/>
          </rPr>
          <t xml:space="preserve">
1/12/18 Presentation, slide 29: Guide to $0.17 at midpoint</t>
        </r>
      </text>
    </comment>
    <comment ref="C74" authorId="9">
      <text>
        <r>
          <rPr>
            <b/>
            <sz val="8"/>
            <color indexed="81"/>
            <rFont val="Tahoma"/>
            <family val="2"/>
          </rPr>
          <t>byrd:</t>
        </r>
        <r>
          <rPr>
            <sz val="8"/>
            <color indexed="81"/>
            <rFont val="Tahoma"/>
            <family val="2"/>
          </rPr>
          <t xml:space="preserve">
we use lower rail costs to reflect cheaper barge rates</t>
        </r>
      </text>
    </comment>
    <comment ref="Y111" authorId="10">
      <text>
        <r>
          <rPr>
            <b/>
            <sz val="8"/>
            <color indexed="81"/>
            <rFont val="Tahoma"/>
            <family val="2"/>
          </rPr>
          <t>RL:</t>
        </r>
        <r>
          <rPr>
            <sz val="8"/>
            <color indexed="81"/>
            <rFont val="Tahoma"/>
            <family val="2"/>
          </rPr>
          <t xml:space="preserve">
provided in earnings presentation</t>
        </r>
      </text>
    </comment>
    <comment ref="Z111" authorId="10">
      <text>
        <r>
          <rPr>
            <b/>
            <sz val="8"/>
            <color indexed="81"/>
            <rFont val="Tahoma"/>
            <family val="2"/>
          </rPr>
          <t>RL:</t>
        </r>
        <r>
          <rPr>
            <sz val="8"/>
            <color indexed="81"/>
            <rFont val="Tahoma"/>
            <family val="2"/>
          </rPr>
          <t xml:space="preserve">
provided in earnings presentation</t>
        </r>
      </text>
    </comment>
    <comment ref="AA111" authorId="10">
      <text>
        <r>
          <rPr>
            <b/>
            <sz val="8"/>
            <color indexed="81"/>
            <rFont val="Tahoma"/>
            <family val="2"/>
          </rPr>
          <t>RL:</t>
        </r>
        <r>
          <rPr>
            <sz val="8"/>
            <color indexed="81"/>
            <rFont val="Tahoma"/>
            <family val="2"/>
          </rPr>
          <t xml:space="preserve">
provided in earnings presentation</t>
        </r>
      </text>
    </comment>
    <comment ref="AB111" authorId="10">
      <text>
        <r>
          <rPr>
            <b/>
            <sz val="8"/>
            <color indexed="81"/>
            <rFont val="Tahoma"/>
            <family val="2"/>
          </rPr>
          <t>RL:</t>
        </r>
        <r>
          <rPr>
            <sz val="8"/>
            <color indexed="81"/>
            <rFont val="Tahoma"/>
            <family val="2"/>
          </rPr>
          <t xml:space="preserve">
provided in earnings presentation</t>
        </r>
      </text>
    </comment>
    <comment ref="AD111" authorId="5">
      <text>
        <r>
          <rPr>
            <sz val="8"/>
            <color indexed="81"/>
            <rFont val="Tahoma"/>
            <family val="2"/>
          </rPr>
          <t>Company has not provided numbers.</t>
        </r>
      </text>
    </comment>
    <comment ref="AE111" authorId="5">
      <text>
        <r>
          <rPr>
            <sz val="8"/>
            <color indexed="81"/>
            <rFont val="Tahoma"/>
            <family val="2"/>
          </rPr>
          <t>Company has not provided numbers.</t>
        </r>
      </text>
    </comment>
    <comment ref="AF111" authorId="5">
      <text>
        <r>
          <rPr>
            <sz val="8"/>
            <color indexed="81"/>
            <rFont val="Tahoma"/>
            <family val="2"/>
          </rPr>
          <t>Company has not provided numbers.</t>
        </r>
      </text>
    </comment>
    <comment ref="AI113" authorId="11">
      <text>
        <r>
          <rPr>
            <b/>
            <sz val="9"/>
            <color indexed="81"/>
            <rFont val="Tahoma"/>
            <family val="2"/>
          </rPr>
          <t>Kobus, Jim (Research):</t>
        </r>
        <r>
          <rPr>
            <sz val="9"/>
            <color indexed="81"/>
            <rFont val="Tahoma"/>
            <family val="2"/>
          </rPr>
          <t xml:space="preserve">
assumption due to cold winter / to hit actuals</t>
        </r>
      </text>
    </comment>
    <comment ref="AK113" authorId="11">
      <text>
        <r>
          <rPr>
            <b/>
            <sz val="9"/>
            <color indexed="81"/>
            <rFont val="Tahoma"/>
            <family val="2"/>
          </rPr>
          <t>Kobus, Jim (Research):</t>
        </r>
        <r>
          <rPr>
            <sz val="9"/>
            <color indexed="81"/>
            <rFont val="Tahoma"/>
            <family val="2"/>
          </rPr>
          <t xml:space="preserve">
assumption to hit actuals</t>
        </r>
      </text>
    </comment>
    <comment ref="AL113" authorId="11">
      <text>
        <r>
          <rPr>
            <b/>
            <sz val="9"/>
            <color indexed="81"/>
            <rFont val="Tahoma"/>
            <family val="2"/>
          </rPr>
          <t>Kobus, Jim (Research):</t>
        </r>
        <r>
          <rPr>
            <sz val="9"/>
            <color indexed="81"/>
            <rFont val="Tahoma"/>
            <family val="2"/>
          </rPr>
          <t xml:space="preserve">
assumption to hit actuals</t>
        </r>
      </text>
    </comment>
    <comment ref="AM113" authorId="12">
      <text>
        <r>
          <rPr>
            <b/>
            <sz val="9"/>
            <color indexed="81"/>
            <rFont val="Tahoma"/>
            <family val="2"/>
          </rPr>
          <t>McDermott, Devin (Research):</t>
        </r>
        <r>
          <rPr>
            <sz val="9"/>
            <color indexed="81"/>
            <rFont val="Tahoma"/>
            <family val="2"/>
          </rPr>
          <t xml:space="preserve">
assumes $2/MWh margin</t>
        </r>
      </text>
    </comment>
    <comment ref="AQ113" authorId="11">
      <text>
        <r>
          <rPr>
            <b/>
            <sz val="9"/>
            <color indexed="81"/>
            <rFont val="Tahoma"/>
            <family val="2"/>
          </rPr>
          <t>Kobus, Jim (Research):</t>
        </r>
        <r>
          <rPr>
            <sz val="9"/>
            <color indexed="81"/>
            <rFont val="Tahoma"/>
            <family val="2"/>
          </rPr>
          <t xml:space="preserve">
assumption to hit actuals</t>
        </r>
      </text>
    </comment>
    <comment ref="AR113" authorId="12">
      <text>
        <r>
          <rPr>
            <b/>
            <sz val="9"/>
            <color indexed="81"/>
            <rFont val="Tahoma"/>
            <family val="2"/>
          </rPr>
          <t>McDermott, Devin (Research):</t>
        </r>
        <r>
          <rPr>
            <sz val="9"/>
            <color indexed="81"/>
            <rFont val="Tahoma"/>
            <family val="2"/>
          </rPr>
          <t xml:space="preserve">
assumes $2/MWh margin</t>
        </r>
      </text>
    </comment>
    <comment ref="AW113" authorId="12">
      <text>
        <r>
          <rPr>
            <b/>
            <sz val="9"/>
            <color indexed="81"/>
            <rFont val="Tahoma"/>
            <family val="2"/>
          </rPr>
          <t>McDermott, Devin (Research):</t>
        </r>
        <r>
          <rPr>
            <sz val="9"/>
            <color indexed="81"/>
            <rFont val="Tahoma"/>
            <family val="2"/>
          </rPr>
          <t xml:space="preserve">
assumes $2/MWh margin</t>
        </r>
      </text>
    </comment>
    <comment ref="BB113" authorId="12">
      <text>
        <r>
          <rPr>
            <b/>
            <sz val="9"/>
            <color indexed="81"/>
            <rFont val="Tahoma"/>
            <family val="2"/>
          </rPr>
          <t>McDermott, Devin (Research):</t>
        </r>
        <r>
          <rPr>
            <sz val="9"/>
            <color indexed="81"/>
            <rFont val="Tahoma"/>
            <family val="2"/>
          </rPr>
          <t xml:space="preserve">
assumes $2/MWh margin</t>
        </r>
      </text>
    </comment>
    <comment ref="BG113" authorId="12">
      <text>
        <r>
          <rPr>
            <b/>
            <sz val="9"/>
            <color indexed="81"/>
            <rFont val="Tahoma"/>
            <family val="2"/>
          </rPr>
          <t>McDermott, Devin (Research):</t>
        </r>
        <r>
          <rPr>
            <sz val="9"/>
            <color indexed="81"/>
            <rFont val="Tahoma"/>
            <family val="2"/>
          </rPr>
          <t xml:space="preserve">
assumes $2/MWh margin</t>
        </r>
      </text>
    </comment>
    <comment ref="BL113" authorId="12">
      <text>
        <r>
          <rPr>
            <b/>
            <sz val="9"/>
            <color indexed="81"/>
            <rFont val="Tahoma"/>
            <family val="2"/>
          </rPr>
          <t>McDermott, Devin (Research):</t>
        </r>
        <r>
          <rPr>
            <sz val="9"/>
            <color indexed="81"/>
            <rFont val="Tahoma"/>
            <family val="2"/>
          </rPr>
          <t xml:space="preserve">
assumes $2/MWh margin</t>
        </r>
      </text>
    </comment>
    <comment ref="BQ113" authorId="12">
      <text>
        <r>
          <rPr>
            <b/>
            <sz val="9"/>
            <color indexed="81"/>
            <rFont val="Tahoma"/>
            <family val="2"/>
          </rPr>
          <t>McDermott, Devin (Research):</t>
        </r>
        <r>
          <rPr>
            <sz val="9"/>
            <color indexed="81"/>
            <rFont val="Tahoma"/>
            <family val="2"/>
          </rPr>
          <t xml:space="preserve">
assumes $2/MWh margin</t>
        </r>
      </text>
    </comment>
    <comment ref="I119" authorId="13">
      <text>
        <r>
          <rPr>
            <b/>
            <sz val="8"/>
            <color indexed="81"/>
            <rFont val="Tahoma"/>
            <family val="2"/>
          </rPr>
          <t>rajeevl:</t>
        </r>
        <r>
          <rPr>
            <sz val="8"/>
            <color indexed="81"/>
            <rFont val="Tahoma"/>
            <family val="2"/>
          </rPr>
          <t xml:space="preserve">
Based on FERC 1</t>
        </r>
      </text>
    </comment>
    <comment ref="AM119" authorId="11">
      <text>
        <r>
          <rPr>
            <b/>
            <sz val="9"/>
            <color indexed="81"/>
            <rFont val="Tahoma"/>
            <family val="2"/>
          </rPr>
          <t>Kobus, Jim (Research):</t>
        </r>
        <r>
          <rPr>
            <sz val="9"/>
            <color indexed="81"/>
            <rFont val="Tahoma"/>
            <family val="2"/>
          </rPr>
          <t xml:space="preserve">
set to hit actuals</t>
        </r>
      </text>
    </comment>
    <comment ref="AR119" authorId="11">
      <text>
        <r>
          <rPr>
            <b/>
            <sz val="9"/>
            <color indexed="81"/>
            <rFont val="Tahoma"/>
            <family val="2"/>
          </rPr>
          <t>Kobus, Jim (Research):</t>
        </r>
        <r>
          <rPr>
            <sz val="9"/>
            <color indexed="81"/>
            <rFont val="Tahoma"/>
            <family val="2"/>
          </rPr>
          <t xml:space="preserve">
set to hit actuals</t>
        </r>
      </text>
    </comment>
    <comment ref="AW119" authorId="12">
      <text>
        <r>
          <rPr>
            <b/>
            <sz val="9"/>
            <color indexed="81"/>
            <rFont val="Tahoma"/>
            <family val="2"/>
          </rPr>
          <t>McDermott, Devin (Research):</t>
        </r>
        <r>
          <rPr>
            <sz val="9"/>
            <color indexed="81"/>
            <rFont val="Tahoma"/>
            <family val="2"/>
          </rPr>
          <t xml:space="preserve">
assumes $8/MWh margin</t>
        </r>
      </text>
    </comment>
    <comment ref="BB119" authorId="12">
      <text>
        <r>
          <rPr>
            <b/>
            <sz val="9"/>
            <color indexed="81"/>
            <rFont val="Tahoma"/>
            <family val="2"/>
          </rPr>
          <t>McDermott, Devin (Research):</t>
        </r>
        <r>
          <rPr>
            <sz val="9"/>
            <color indexed="81"/>
            <rFont val="Tahoma"/>
            <family val="2"/>
          </rPr>
          <t xml:space="preserve">
assumes $8/MWh margin</t>
        </r>
      </text>
    </comment>
    <comment ref="BG119" authorId="12">
      <text>
        <r>
          <rPr>
            <b/>
            <sz val="9"/>
            <color indexed="81"/>
            <rFont val="Tahoma"/>
            <family val="2"/>
          </rPr>
          <t>McDermott, Devin (Research):</t>
        </r>
        <r>
          <rPr>
            <sz val="9"/>
            <color indexed="81"/>
            <rFont val="Tahoma"/>
            <family val="2"/>
          </rPr>
          <t xml:space="preserve">
assumes $8/MWh margin</t>
        </r>
      </text>
    </comment>
    <comment ref="BL119" authorId="12">
      <text>
        <r>
          <rPr>
            <b/>
            <sz val="9"/>
            <color indexed="81"/>
            <rFont val="Tahoma"/>
            <family val="2"/>
          </rPr>
          <t>McDermott, Devin (Research):</t>
        </r>
        <r>
          <rPr>
            <sz val="9"/>
            <color indexed="81"/>
            <rFont val="Tahoma"/>
            <family val="2"/>
          </rPr>
          <t xml:space="preserve">
assumes $8/MWh margin</t>
        </r>
      </text>
    </comment>
    <comment ref="BQ119" authorId="12">
      <text>
        <r>
          <rPr>
            <b/>
            <sz val="9"/>
            <color indexed="81"/>
            <rFont val="Tahoma"/>
            <family val="2"/>
          </rPr>
          <t>McDermott, Devin (Research):</t>
        </r>
        <r>
          <rPr>
            <sz val="9"/>
            <color indexed="81"/>
            <rFont val="Tahoma"/>
            <family val="2"/>
          </rPr>
          <t xml:space="preserve">
assumes $8/MWh margin</t>
        </r>
      </text>
    </comment>
    <comment ref="AZ209" authorId="8">
      <text>
        <r>
          <rPr>
            <b/>
            <sz val="9"/>
            <color indexed="81"/>
            <rFont val="Tahoma"/>
            <family val="2"/>
          </rPr>
          <t>Ellison, Ethan C (Research):</t>
        </r>
        <r>
          <rPr>
            <sz val="9"/>
            <color indexed="81"/>
            <rFont val="Tahoma"/>
            <family val="2"/>
          </rPr>
          <t xml:space="preserve">
Stuart Unit 1 retirement</t>
        </r>
      </text>
    </comment>
    <comment ref="AP230" authorId="12">
      <text>
        <r>
          <rPr>
            <b/>
            <sz val="9"/>
            <color indexed="81"/>
            <rFont val="Tahoma"/>
            <family val="2"/>
          </rPr>
          <t>McDermott, Devin (Research):</t>
        </r>
        <r>
          <rPr>
            <sz val="9"/>
            <color indexed="81"/>
            <rFont val="Tahoma"/>
            <family val="2"/>
          </rPr>
          <t xml:space="preserve">
Includes CP transition auction uplift</t>
        </r>
      </text>
    </comment>
    <comment ref="AU230" authorId="12">
      <text>
        <r>
          <rPr>
            <b/>
            <sz val="9"/>
            <color indexed="81"/>
            <rFont val="Tahoma"/>
            <family val="2"/>
          </rPr>
          <t>McDermott, Devin (Research):</t>
        </r>
        <r>
          <rPr>
            <sz val="9"/>
            <color indexed="81"/>
            <rFont val="Tahoma"/>
            <family val="2"/>
          </rPr>
          <t xml:space="preserve">
Includes CP transition auction uplift</t>
        </r>
      </text>
    </comment>
    <comment ref="AR236" authorId="12">
      <text>
        <r>
          <rPr>
            <b/>
            <sz val="9"/>
            <color indexed="81"/>
            <rFont val="Tahoma"/>
            <family val="2"/>
          </rPr>
          <t>McDermott, Devin (Research):</t>
        </r>
        <r>
          <rPr>
            <sz val="9"/>
            <color indexed="81"/>
            <rFont val="Tahoma"/>
            <family val="2"/>
          </rPr>
          <t xml:space="preserve">
Assumed
</t>
        </r>
      </text>
    </comment>
    <comment ref="AW236" authorId="12">
      <text>
        <r>
          <rPr>
            <b/>
            <sz val="9"/>
            <color indexed="81"/>
            <rFont val="Tahoma"/>
            <family val="2"/>
          </rPr>
          <t>McDermott, Devin (Research):</t>
        </r>
        <r>
          <rPr>
            <sz val="9"/>
            <color indexed="81"/>
            <rFont val="Tahoma"/>
            <family val="2"/>
          </rPr>
          <t xml:space="preserve">
2016 Analyst Day Guidance of $1b 2017-19</t>
        </r>
      </text>
    </comment>
    <comment ref="BB236" authorId="12">
      <text>
        <r>
          <rPr>
            <b/>
            <sz val="9"/>
            <color indexed="81"/>
            <rFont val="Tahoma"/>
            <family val="2"/>
          </rPr>
          <t>McDermott, Devin (Research):</t>
        </r>
        <r>
          <rPr>
            <sz val="9"/>
            <color indexed="81"/>
            <rFont val="Tahoma"/>
            <family val="2"/>
          </rPr>
          <t xml:space="preserve">
2016 Analyst Day Guidance of $1b 2017-19</t>
        </r>
      </text>
    </comment>
    <comment ref="BG236" authorId="12">
      <text>
        <r>
          <rPr>
            <b/>
            <sz val="9"/>
            <color indexed="81"/>
            <rFont val="Tahoma"/>
            <family val="2"/>
          </rPr>
          <t>McDermott, Devin (Research):</t>
        </r>
        <r>
          <rPr>
            <sz val="9"/>
            <color indexed="81"/>
            <rFont val="Tahoma"/>
            <family val="2"/>
          </rPr>
          <t xml:space="preserve">
2016 Analyst Day Guidance of $1b 2017-19</t>
        </r>
      </text>
    </comment>
    <comment ref="BL236" authorId="12">
      <text>
        <r>
          <rPr>
            <b/>
            <sz val="9"/>
            <color indexed="81"/>
            <rFont val="Tahoma"/>
            <family val="2"/>
          </rPr>
          <t>McDermott, Devin (Research):</t>
        </r>
        <r>
          <rPr>
            <sz val="9"/>
            <color indexed="81"/>
            <rFont val="Tahoma"/>
            <family val="2"/>
          </rPr>
          <t xml:space="preserve">
Assumed</t>
        </r>
      </text>
    </comment>
    <comment ref="BW247" authorId="11">
      <text>
        <r>
          <rPr>
            <b/>
            <sz val="9"/>
            <color indexed="81"/>
            <rFont val="Tahoma"/>
            <family val="2"/>
          </rPr>
          <t>Kobus, Jim (Research):</t>
        </r>
        <r>
          <rPr>
            <sz val="9"/>
            <color indexed="81"/>
            <rFont val="Tahoma"/>
            <family val="2"/>
          </rPr>
          <t xml:space="preserve">
assume ITC benefit recognized over 7 years as a result of tax equity deal (5/4/16 slide 23)</t>
        </r>
      </text>
    </comment>
    <comment ref="BX247" authorId="12">
      <text>
        <r>
          <rPr>
            <b/>
            <sz val="9"/>
            <color indexed="81"/>
            <rFont val="Tahoma"/>
            <family val="2"/>
          </rPr>
          <t>McDermott, Devin (Research):</t>
        </r>
        <r>
          <rPr>
            <sz val="9"/>
            <color indexed="81"/>
            <rFont val="Tahoma"/>
            <family val="2"/>
          </rPr>
          <t xml:space="preserve">
ITC earnings impact as per NEE guidance (AEP has not provided guidance). We assume earnings are amortized over the 20 year contract life.</t>
        </r>
      </text>
    </comment>
    <comment ref="AP290" authorId="12">
      <text>
        <r>
          <rPr>
            <b/>
            <sz val="9"/>
            <color indexed="81"/>
            <rFont val="Tahoma"/>
            <family val="2"/>
          </rPr>
          <t>McDermott, Devin (Research):</t>
        </r>
        <r>
          <rPr>
            <sz val="9"/>
            <color indexed="81"/>
            <rFont val="Tahoma"/>
            <family val="2"/>
          </rPr>
          <t xml:space="preserve">
set to target flat O&amp;M for the full year relative to 2015</t>
        </r>
      </text>
    </comment>
    <comment ref="AT296" authorId="12">
      <text>
        <r>
          <rPr>
            <b/>
            <sz val="9"/>
            <color indexed="81"/>
            <rFont val="Tahoma"/>
            <family val="2"/>
          </rPr>
          <t>McDermott, Devin (Research):</t>
        </r>
        <r>
          <rPr>
            <sz val="9"/>
            <color indexed="81"/>
            <rFont val="Tahoma"/>
            <family val="2"/>
          </rPr>
          <t xml:space="preserve">
impact of generation sale</t>
        </r>
      </text>
    </comment>
    <comment ref="AU296" authorId="12">
      <text>
        <r>
          <rPr>
            <b/>
            <sz val="9"/>
            <color indexed="81"/>
            <rFont val="Tahoma"/>
            <family val="2"/>
          </rPr>
          <t>McDermott, Devin (Research):</t>
        </r>
        <r>
          <rPr>
            <sz val="9"/>
            <color indexed="81"/>
            <rFont val="Tahoma"/>
            <family val="2"/>
          </rPr>
          <t xml:space="preserve">
impact of generation sale. Slightly lower given prior adjustment to 3Q16 O&amp;M</t>
        </r>
      </text>
    </comment>
    <comment ref="AV296" authorId="12">
      <text>
        <r>
          <rPr>
            <b/>
            <sz val="9"/>
            <color indexed="81"/>
            <rFont val="Tahoma"/>
            <family val="2"/>
          </rPr>
          <t>McDermott, Devin (Research):</t>
        </r>
        <r>
          <rPr>
            <sz val="9"/>
            <color indexed="81"/>
            <rFont val="Tahoma"/>
            <family val="2"/>
          </rPr>
          <t xml:space="preserve">
impact of generation sale</t>
        </r>
      </text>
    </comment>
    <comment ref="AX296" authorId="12">
      <text>
        <r>
          <rPr>
            <b/>
            <sz val="9"/>
            <color indexed="81"/>
            <rFont val="Tahoma"/>
            <family val="2"/>
          </rPr>
          <t>McDermott, Devin (Research):</t>
        </r>
        <r>
          <rPr>
            <sz val="9"/>
            <color indexed="81"/>
            <rFont val="Tahoma"/>
            <family val="2"/>
          </rPr>
          <t xml:space="preserve">
impact of generation sale</t>
        </r>
      </text>
    </comment>
    <comment ref="AZ296" authorId="8">
      <text>
        <r>
          <rPr>
            <b/>
            <sz val="9"/>
            <color indexed="81"/>
            <rFont val="Tahoma"/>
            <family val="2"/>
          </rPr>
          <t>Ellison, Ethan C (Research):</t>
        </r>
        <r>
          <rPr>
            <sz val="9"/>
            <color indexed="81"/>
            <rFont val="Tahoma"/>
            <family val="2"/>
          </rPr>
          <t xml:space="preserve">
To reflect Stuart retirement, about 20% of remaining capacity</t>
        </r>
      </text>
    </comment>
    <comment ref="BA296" authorId="8">
      <text>
        <r>
          <rPr>
            <b/>
            <sz val="9"/>
            <color indexed="81"/>
            <rFont val="Tahoma"/>
            <family val="2"/>
          </rPr>
          <t>Ellison, Ethan C (Research):</t>
        </r>
        <r>
          <rPr>
            <sz val="9"/>
            <color indexed="81"/>
            <rFont val="Tahoma"/>
            <family val="2"/>
          </rPr>
          <t xml:space="preserve">
To reflect Stuart retirement, about 20% of remaining capacity</t>
        </r>
      </text>
    </comment>
    <comment ref="BC296" authorId="8">
      <text>
        <r>
          <rPr>
            <b/>
            <sz val="9"/>
            <color indexed="81"/>
            <rFont val="Tahoma"/>
            <family val="2"/>
          </rPr>
          <t>Ellison, Ethan C (Research):</t>
        </r>
        <r>
          <rPr>
            <sz val="9"/>
            <color indexed="81"/>
            <rFont val="Tahoma"/>
            <family val="2"/>
          </rPr>
          <t xml:space="preserve">
To reflect Stuart retirement, about 20% of remaining capacity</t>
        </r>
      </text>
    </comment>
    <comment ref="BD296" authorId="8">
      <text>
        <r>
          <rPr>
            <b/>
            <sz val="9"/>
            <color indexed="81"/>
            <rFont val="Tahoma"/>
            <family val="2"/>
          </rPr>
          <t>Ellison, Ethan C (Research):</t>
        </r>
        <r>
          <rPr>
            <sz val="9"/>
            <color indexed="81"/>
            <rFont val="Tahoma"/>
            <family val="2"/>
          </rPr>
          <t xml:space="preserve">
To reflect Stuart retirement, about 20% of remaining capacity</t>
        </r>
      </text>
    </comment>
    <comment ref="AP312" authorId="8">
      <text>
        <r>
          <rPr>
            <b/>
            <sz val="9"/>
            <color indexed="81"/>
            <rFont val="Tahoma"/>
            <family val="2"/>
          </rPr>
          <t>Ellison, Ethan C (Research):</t>
        </r>
        <r>
          <rPr>
            <sz val="9"/>
            <color indexed="81"/>
            <rFont val="Tahoma"/>
            <family val="2"/>
          </rPr>
          <t xml:space="preserve">
includes 1915.3 of Assets Held for Sale</t>
        </r>
      </text>
    </comment>
    <comment ref="AR312" authorId="2">
      <text>
        <r>
          <rPr>
            <sz val="9"/>
            <color indexed="81"/>
            <rFont val="Tahoma"/>
            <family val="2"/>
          </rPr>
          <t>Includes:
$1,951.2m: Assets Held for Sale</t>
        </r>
      </text>
    </comment>
    <comment ref="AS312" authorId="2">
      <text>
        <r>
          <rPr>
            <sz val="9"/>
            <color indexed="81"/>
            <rFont val="Tahoma"/>
            <family val="2"/>
          </rPr>
          <t>Includes:
$9.7m: Assets Held for Sale</t>
        </r>
      </text>
    </comment>
    <comment ref="C313" authorId="13">
      <text>
        <r>
          <rPr>
            <b/>
            <sz val="8"/>
            <color indexed="81"/>
            <rFont val="Tahoma"/>
            <family val="2"/>
          </rPr>
          <t>rajeevl:</t>
        </r>
        <r>
          <rPr>
            <sz val="8"/>
            <color indexed="81"/>
            <rFont val="Tahoma"/>
            <family val="2"/>
          </rPr>
          <t xml:space="preserve">
the split is based on company filing of T&amp;D business</t>
        </r>
      </text>
    </comment>
    <comment ref="C316" authorId="13">
      <text>
        <r>
          <rPr>
            <b/>
            <sz val="8"/>
            <color indexed="81"/>
            <rFont val="Tahoma"/>
            <family val="2"/>
          </rPr>
          <t>rajeevl:</t>
        </r>
        <r>
          <rPr>
            <sz val="8"/>
            <color indexed="81"/>
            <rFont val="Tahoma"/>
            <family val="2"/>
          </rPr>
          <t xml:space="preserve">
the split is based on company filing of T&amp;D business</t>
        </r>
      </text>
    </comment>
    <comment ref="AP316" authorId="12">
      <text>
        <r>
          <rPr>
            <b/>
            <sz val="9"/>
            <color indexed="81"/>
            <rFont val="Tahoma"/>
            <family val="2"/>
          </rPr>
          <t>McDermott, Devin (Research):</t>
        </r>
        <r>
          <rPr>
            <sz val="9"/>
            <color indexed="81"/>
            <rFont val="Tahoma"/>
            <family val="2"/>
          </rPr>
          <t xml:space="preserve">
Originally included impairment of 2300
</t>
        </r>
      </text>
    </comment>
    <comment ref="BB322" authorId="8">
      <text>
        <r>
          <rPr>
            <b/>
            <sz val="9"/>
            <color indexed="81"/>
            <rFont val="Tahoma"/>
            <family val="2"/>
          </rPr>
          <t>Ellison, Ethan C (Research):</t>
        </r>
        <r>
          <rPr>
            <sz val="9"/>
            <color indexed="81"/>
            <rFont val="Tahoma"/>
            <family val="2"/>
          </rPr>
          <t xml:space="preserve">
35% of generation base remains after asset sale</t>
        </r>
      </text>
    </comment>
    <comment ref="BG322" authorId="8">
      <text>
        <r>
          <rPr>
            <b/>
            <sz val="9"/>
            <color indexed="81"/>
            <rFont val="Tahoma"/>
            <family val="2"/>
          </rPr>
          <t>Ellison, Ethan C (Research):</t>
        </r>
        <r>
          <rPr>
            <sz val="9"/>
            <color indexed="81"/>
            <rFont val="Tahoma"/>
            <family val="2"/>
          </rPr>
          <t xml:space="preserve">
35% of generation base remains after asset sale</t>
        </r>
      </text>
    </comment>
    <comment ref="BL322" authorId="8">
      <text>
        <r>
          <rPr>
            <b/>
            <sz val="9"/>
            <color indexed="81"/>
            <rFont val="Tahoma"/>
            <family val="2"/>
          </rPr>
          <t>Ellison, Ethan C (Research):</t>
        </r>
        <r>
          <rPr>
            <sz val="9"/>
            <color indexed="81"/>
            <rFont val="Tahoma"/>
            <family val="2"/>
          </rPr>
          <t xml:space="preserve">
35% of generation base remains after asset sale</t>
        </r>
      </text>
    </comment>
    <comment ref="BQ322" authorId="8">
      <text>
        <r>
          <rPr>
            <b/>
            <sz val="9"/>
            <color indexed="81"/>
            <rFont val="Tahoma"/>
            <family val="2"/>
          </rPr>
          <t>Ellison, Ethan C (Research):</t>
        </r>
        <r>
          <rPr>
            <sz val="9"/>
            <color indexed="81"/>
            <rFont val="Tahoma"/>
            <family val="2"/>
          </rPr>
          <t xml:space="preserve">
35% of generation base remains after asset sale</t>
        </r>
      </text>
    </comment>
    <comment ref="BB328" authorId="8">
      <text>
        <r>
          <rPr>
            <b/>
            <sz val="9"/>
            <color indexed="81"/>
            <rFont val="Tahoma"/>
            <family val="2"/>
          </rPr>
          <t>Ellison, Ethan C (Research):</t>
        </r>
        <r>
          <rPr>
            <sz val="9"/>
            <color indexed="81"/>
            <rFont val="Tahoma"/>
            <family val="2"/>
          </rPr>
          <t xml:space="preserve">
•EEI Presentation: 2018 Debt Issuances and Maturity Overview (pg. 43) - AEG = 150
</t>
        </r>
      </text>
    </comment>
    <comment ref="BB343" authorId="12">
      <text>
        <r>
          <rPr>
            <b/>
            <sz val="9"/>
            <color indexed="81"/>
            <rFont val="Tahoma"/>
            <family val="2"/>
          </rPr>
          <t>McDermott, Devin (Research):</t>
        </r>
        <r>
          <rPr>
            <sz val="9"/>
            <color indexed="81"/>
            <rFont val="Tahoma"/>
            <family val="2"/>
          </rPr>
          <t xml:space="preserve">
Amortized ITC earnings are non-cash</t>
        </r>
      </text>
    </comment>
    <comment ref="BG343" authorId="12">
      <text>
        <r>
          <rPr>
            <b/>
            <sz val="9"/>
            <color indexed="81"/>
            <rFont val="Tahoma"/>
            <family val="2"/>
          </rPr>
          <t>McDermott, Devin (Research):</t>
        </r>
        <r>
          <rPr>
            <sz val="9"/>
            <color indexed="81"/>
            <rFont val="Tahoma"/>
            <family val="2"/>
          </rPr>
          <t xml:space="preserve">
Amortized ITC earnings are non-cash</t>
        </r>
      </text>
    </comment>
    <comment ref="BL343" authorId="12">
      <text>
        <r>
          <rPr>
            <b/>
            <sz val="9"/>
            <color indexed="81"/>
            <rFont val="Tahoma"/>
            <family val="2"/>
          </rPr>
          <t>McDermott, Devin (Research):</t>
        </r>
        <r>
          <rPr>
            <sz val="9"/>
            <color indexed="81"/>
            <rFont val="Tahoma"/>
            <family val="2"/>
          </rPr>
          <t xml:space="preserve">
Amortized ITC earnings are non-cash</t>
        </r>
      </text>
    </comment>
    <comment ref="BQ343" authorId="12">
      <text>
        <r>
          <rPr>
            <b/>
            <sz val="9"/>
            <color indexed="81"/>
            <rFont val="Tahoma"/>
            <family val="2"/>
          </rPr>
          <t>McDermott, Devin (Research):</t>
        </r>
        <r>
          <rPr>
            <sz val="9"/>
            <color indexed="81"/>
            <rFont val="Tahoma"/>
            <family val="2"/>
          </rPr>
          <t xml:space="preserve">
Amortized ITC earnings are non-cash</t>
        </r>
      </text>
    </comment>
    <comment ref="BB356" authorId="12">
      <text>
        <r>
          <rPr>
            <b/>
            <sz val="9"/>
            <color indexed="81"/>
            <rFont val="Tahoma"/>
            <family val="2"/>
          </rPr>
          <t>McDermott, Devin (Research):</t>
        </r>
        <r>
          <rPr>
            <sz val="9"/>
            <color indexed="81"/>
            <rFont val="Tahoma"/>
            <family val="2"/>
          </rPr>
          <t xml:space="preserve">
funding for renewables investment</t>
        </r>
      </text>
    </comment>
    <comment ref="BG356" authorId="12">
      <text>
        <r>
          <rPr>
            <b/>
            <sz val="9"/>
            <color indexed="81"/>
            <rFont val="Tahoma"/>
            <family val="2"/>
          </rPr>
          <t>McDermott, Devin (Research):</t>
        </r>
        <r>
          <rPr>
            <sz val="9"/>
            <color indexed="81"/>
            <rFont val="Tahoma"/>
            <family val="2"/>
          </rPr>
          <t xml:space="preserve">
funding for renewables investment</t>
        </r>
      </text>
    </comment>
    <comment ref="BL356" authorId="12">
      <text>
        <r>
          <rPr>
            <b/>
            <sz val="9"/>
            <color indexed="81"/>
            <rFont val="Tahoma"/>
            <family val="2"/>
          </rPr>
          <t>McDermott, Devin (Research):</t>
        </r>
        <r>
          <rPr>
            <sz val="9"/>
            <color indexed="81"/>
            <rFont val="Tahoma"/>
            <family val="2"/>
          </rPr>
          <t xml:space="preserve">
funding for renewables investment</t>
        </r>
      </text>
    </comment>
    <comment ref="AP371" authorId="8">
      <text>
        <r>
          <rPr>
            <b/>
            <sz val="9"/>
            <color indexed="81"/>
            <rFont val="Tahoma"/>
            <family val="2"/>
          </rPr>
          <t>Ellison, Ethan C (Research):</t>
        </r>
        <r>
          <rPr>
            <sz val="9"/>
            <color indexed="81"/>
            <rFont val="Tahoma"/>
            <family val="2"/>
          </rPr>
          <t xml:space="preserve">
Includes Liabilities held for sale = 231</t>
        </r>
      </text>
    </comment>
    <comment ref="AR371" authorId="2">
      <text>
        <r>
          <rPr>
            <sz val="9"/>
            <color indexed="81"/>
            <rFont val="Tahoma"/>
            <family val="2"/>
          </rPr>
          <t>Includes:
$235.9m: Liabilities Held for Sale</t>
        </r>
      </text>
    </comment>
    <comment ref="AS371" authorId="2">
      <text>
        <r>
          <rPr>
            <sz val="9"/>
            <color indexed="81"/>
            <rFont val="Tahoma"/>
            <family val="2"/>
          </rPr>
          <t>Includes:
$3.5m: Liabilities Held for Sale</t>
        </r>
      </text>
    </comment>
  </commentList>
</comments>
</file>

<file path=xl/comments9.xml><?xml version="1.0" encoding="utf-8"?>
<comments xmlns="http://schemas.openxmlformats.org/spreadsheetml/2006/main">
  <authors>
    <author>Ellison, Ethan C (Research)</author>
  </authors>
  <commentList>
    <comment ref="BB13" authorId="0">
      <text>
        <r>
          <rPr>
            <b/>
            <sz val="9"/>
            <color indexed="81"/>
            <rFont val="Tahoma"/>
            <family val="2"/>
          </rPr>
          <t>Ellison, Ethan C (Research):</t>
        </r>
        <r>
          <rPr>
            <sz val="9"/>
            <color indexed="81"/>
            <rFont val="Tahoma"/>
            <family val="2"/>
          </rPr>
          <t xml:space="preserve">
Adjusted to tie to ($0.06) YoY guidance</t>
        </r>
      </text>
    </comment>
    <comment ref="BB19" authorId="0">
      <text>
        <r>
          <rPr>
            <b/>
            <sz val="9"/>
            <color indexed="81"/>
            <rFont val="Tahoma"/>
            <family val="2"/>
          </rPr>
          <t>Ellison, Ethan C (Research):</t>
        </r>
        <r>
          <rPr>
            <sz val="9"/>
            <color indexed="81"/>
            <rFont val="Tahoma"/>
            <family val="2"/>
          </rPr>
          <t xml:space="preserve">
Guide to Other down ($0.03) YoY. Target $20m decrease</t>
        </r>
      </text>
    </comment>
    <comment ref="BB31" authorId="0">
      <text>
        <r>
          <rPr>
            <b/>
            <sz val="9"/>
            <color indexed="81"/>
            <rFont val="Tahoma"/>
            <family val="2"/>
          </rPr>
          <t>Ellison, Ethan C (Research):</t>
        </r>
        <r>
          <rPr>
            <sz val="9"/>
            <color indexed="81"/>
            <rFont val="Tahoma"/>
            <family val="2"/>
          </rPr>
          <t xml:space="preserve">
Guide to Investment income down ($0.03) YoY. Target $20m decrease</t>
        </r>
      </text>
    </comment>
    <comment ref="BB45" authorId="0">
      <text>
        <r>
          <rPr>
            <b/>
            <sz val="9"/>
            <color indexed="81"/>
            <rFont val="Tahoma"/>
            <family val="2"/>
          </rPr>
          <t>Ellison, Ethan C (Research):</t>
        </r>
        <r>
          <rPr>
            <sz val="9"/>
            <color indexed="81"/>
            <rFont val="Tahoma"/>
            <family val="2"/>
          </rPr>
          <t xml:space="preserve">
1/12/18 Presentation, slide 29: Guide to ($0.11) at midpoint</t>
        </r>
      </text>
    </comment>
    <comment ref="BB51" authorId="0">
      <text>
        <r>
          <rPr>
            <b/>
            <sz val="9"/>
            <color indexed="81"/>
            <rFont val="Tahoma"/>
            <family val="2"/>
          </rPr>
          <t>Ellison, Ethan C (Research):</t>
        </r>
        <r>
          <rPr>
            <sz val="9"/>
            <color indexed="81"/>
            <rFont val="Tahoma"/>
            <family val="2"/>
          </rPr>
          <t xml:space="preserve">
•EEI Presentation: 2018 Debt Issuances and Maturity Overview (pg. 43) - Parent = 750
•Also builds in assumed debt needs at the Transmission Holdco
•Includes additional $1B to meet total "debt capital market needs" 3/22/18 presentation slide 10</t>
        </r>
      </text>
    </comment>
    <comment ref="BG51" authorId="0">
      <text>
        <r>
          <rPr>
            <b/>
            <sz val="9"/>
            <color indexed="81"/>
            <rFont val="Tahoma"/>
            <family val="2"/>
          </rPr>
          <t>Ellison, Ethan C (Research):</t>
        </r>
        <r>
          <rPr>
            <sz val="9"/>
            <color indexed="81"/>
            <rFont val="Tahoma"/>
            <family val="2"/>
          </rPr>
          <t xml:space="preserve">
•Includes incremental gen-tie financing for Wind Catcher
•Build in assumed issuances at AEPTHC</t>
        </r>
      </text>
    </comment>
  </commentList>
</comments>
</file>

<file path=xl/comments10.xml><?xml version="1.0" encoding="utf-8"?>
<comments xmlns="http://schemas.openxmlformats.org/spreadsheetml/2006/main">
  <authors>
    <author>McDermott, Devin (Research)</author>
    <author>farrih</author>
    <author>Ellison, Ethan C (Research)</author>
  </authors>
  <commentList>
    <comment ref="J210" authorId="0">
      <text>
        <r>
          <rPr>
            <b/>
            <sz val="9"/>
            <color indexed="81"/>
            <rFont val="Tahoma"/>
            <family val="2"/>
          </rPr>
          <t>McDermott, Devin (Research):</t>
        </r>
        <r>
          <rPr>
            <sz val="9"/>
            <color indexed="81"/>
            <rFont val="Tahoma"/>
            <family val="2"/>
          </rPr>
          <t xml:space="preserve">
set to be consistent with Wind Catcher spending needs</t>
        </r>
      </text>
    </comment>
    <comment ref="C297" authorId="1">
      <text>
        <r>
          <rPr>
            <sz val="8"/>
            <color indexed="81"/>
            <rFont val="Tahoma"/>
            <family val="2"/>
          </rPr>
          <t>Put date is 7/15/1011</t>
        </r>
      </text>
    </comment>
    <comment ref="E297" authorId="2">
      <text>
        <r>
          <rPr>
            <b/>
            <sz val="9"/>
            <color indexed="81"/>
            <rFont val="Tahoma"/>
            <family val="2"/>
          </rPr>
          <t>Ellison, Ethan C (Research):</t>
        </r>
        <r>
          <rPr>
            <sz val="9"/>
            <color indexed="81"/>
            <rFont val="Tahoma"/>
            <family val="2"/>
          </rPr>
          <t xml:space="preserve">
♦assume company uses portion of gross proceeds to pay down all of G&amp;M level debt
♦Sales proceeds = 2.17B, net proceeds expected to be 1.2B
♦970M in debt reduction = all of G&amp;M debt and some from parent level</t>
        </r>
      </text>
    </comment>
    <comment ref="C298" authorId="1">
      <text>
        <r>
          <rPr>
            <sz val="8"/>
            <color indexed="81"/>
            <rFont val="Tahoma"/>
            <family val="2"/>
          </rPr>
          <t>Put date is 7/15/1011</t>
        </r>
      </text>
    </comment>
    <comment ref="E298" authorId="2">
      <text>
        <r>
          <rPr>
            <b/>
            <sz val="9"/>
            <color indexed="81"/>
            <rFont val="Tahoma"/>
            <family val="2"/>
          </rPr>
          <t>Ellison, Ethan C (Research):</t>
        </r>
        <r>
          <rPr>
            <sz val="9"/>
            <color indexed="81"/>
            <rFont val="Tahoma"/>
            <family val="2"/>
          </rPr>
          <t xml:space="preserve">
♦assume company uses portion of gross proceeds to pay down all of G&amp;M level debt
♦Sales proceeds = 2.17B, net proceeds expected to be 1.2B
♦970M in debt reduction = all of G&amp;M debt and some from parent level</t>
        </r>
      </text>
    </comment>
    <comment ref="E299" authorId="2">
      <text>
        <r>
          <rPr>
            <b/>
            <sz val="9"/>
            <color indexed="81"/>
            <rFont val="Tahoma"/>
            <family val="2"/>
          </rPr>
          <t>Ellison, Ethan C (Research):</t>
        </r>
        <r>
          <rPr>
            <sz val="9"/>
            <color indexed="81"/>
            <rFont val="Tahoma"/>
            <family val="2"/>
          </rPr>
          <t xml:space="preserve">
♦assume company uses portion of gross proceeds to pay down all of G&amp;M level debt
♦Sales proceeds = 2.17B, net proceeds expected to be 1.2B
♦970M in debt reduction = all of G&amp;M debt = $704M, the remainder to "taxes and fees"
</t>
        </r>
      </text>
    </comment>
    <comment ref="J299" authorId="2">
      <text>
        <r>
          <rPr>
            <b/>
            <sz val="9"/>
            <color indexed="81"/>
            <rFont val="Tahoma"/>
            <family val="2"/>
          </rPr>
          <t>Ellison, Ethan C (Research):</t>
        </r>
        <r>
          <rPr>
            <sz val="9"/>
            <color indexed="81"/>
            <rFont val="Tahoma"/>
            <family val="2"/>
          </rPr>
          <t xml:space="preserve">
formerly April - we assume they pay it down with the  asset sales</t>
        </r>
      </text>
    </comment>
    <comment ref="E300" authorId="2">
      <text>
        <r>
          <rPr>
            <b/>
            <sz val="9"/>
            <color indexed="81"/>
            <rFont val="Tahoma"/>
            <family val="2"/>
          </rPr>
          <t>Ellison, Ethan C (Research):</t>
        </r>
        <r>
          <rPr>
            <sz val="9"/>
            <color indexed="81"/>
            <rFont val="Tahoma"/>
            <family val="2"/>
          </rPr>
          <t xml:space="preserve">
♦assume company uses portion of gross proceeds to pay down all of G&amp;M level debt
♦Sales proceeds = 2.17B, net proceeds expected to be 1.2B
♦970M in debt reduction = all of G&amp;M debt and some from parent level</t>
        </r>
      </text>
    </comment>
    <comment ref="E301" authorId="2">
      <text>
        <r>
          <rPr>
            <b/>
            <sz val="9"/>
            <color indexed="81"/>
            <rFont val="Tahoma"/>
            <family val="2"/>
          </rPr>
          <t>Ellison, Ethan C (Research):</t>
        </r>
        <r>
          <rPr>
            <sz val="9"/>
            <color indexed="81"/>
            <rFont val="Tahoma"/>
            <family val="2"/>
          </rPr>
          <t xml:space="preserve">
♦assume company uses portion of gross proceeds to pay down all of G&amp;M level debt
♦Sales proceeds = 2.17B, net proceeds expected to be 1.2B
♦970M in debt reduction = all of G&amp;M debt and some from parent level</t>
        </r>
      </text>
    </comment>
  </commentList>
</comments>
</file>

<file path=xl/comments11.xml><?xml version="1.0" encoding="utf-8"?>
<comments xmlns="http://schemas.openxmlformats.org/spreadsheetml/2006/main">
  <authors>
    <author>McDermott, Devin (Research)</author>
    <author>RL</author>
    <author>mcderdev</author>
    <author>ramrama</author>
  </authors>
  <commentList>
    <comment ref="BY35" authorId="0">
      <text>
        <r>
          <rPr>
            <b/>
            <sz val="9"/>
            <color indexed="81"/>
            <rFont val="Tahoma"/>
            <family val="2"/>
          </rPr>
          <t>McDermott, Devin (Research):</t>
        </r>
        <r>
          <rPr>
            <sz val="9"/>
            <color indexed="81"/>
            <rFont val="Tahoma"/>
            <family val="2"/>
          </rPr>
          <t xml:space="preserve">
Assumption</t>
        </r>
      </text>
    </comment>
    <comment ref="BZ36" authorId="1">
      <text>
        <r>
          <rPr>
            <b/>
            <sz val="8"/>
            <color indexed="81"/>
            <rFont val="Tahoma"/>
            <family val="2"/>
          </rPr>
          <t>RL:</t>
        </r>
        <r>
          <rPr>
            <sz val="8"/>
            <color indexed="81"/>
            <rFont val="Tahoma"/>
            <family val="2"/>
          </rPr>
          <t xml:space="preserve">
this is ventyx 2015 target</t>
        </r>
      </text>
    </comment>
    <comment ref="BZ37" authorId="1">
      <text>
        <r>
          <rPr>
            <b/>
            <sz val="8"/>
            <color indexed="81"/>
            <rFont val="Tahoma"/>
            <family val="2"/>
          </rPr>
          <t>RL:</t>
        </r>
        <r>
          <rPr>
            <sz val="8"/>
            <color indexed="81"/>
            <rFont val="Tahoma"/>
            <family val="2"/>
          </rPr>
          <t xml:space="preserve">
using market as prices would still need to move up to incent new generation from here.</t>
        </r>
      </text>
    </comment>
    <comment ref="BV58" authorId="1">
      <text>
        <r>
          <rPr>
            <b/>
            <sz val="8"/>
            <color indexed="81"/>
            <rFont val="Tahoma"/>
            <family val="2"/>
          </rPr>
          <t>RL:</t>
        </r>
        <r>
          <rPr>
            <sz val="8"/>
            <color indexed="81"/>
            <rFont val="Tahoma"/>
            <family val="2"/>
          </rPr>
          <t xml:space="preserve">
This includes:
- TETCO M3
- TCO
- Lebanon</t>
        </r>
      </text>
    </comment>
    <comment ref="BV59" authorId="1">
      <text>
        <r>
          <rPr>
            <b/>
            <sz val="8"/>
            <color indexed="81"/>
            <rFont val="Tahoma"/>
            <family val="2"/>
          </rPr>
          <t>RL:</t>
        </r>
        <r>
          <rPr>
            <sz val="8"/>
            <color indexed="81"/>
            <rFont val="Tahoma"/>
            <family val="2"/>
          </rPr>
          <t xml:space="preserve">
This includes:
- TETCO M3
- TCO
- Lebanon</t>
        </r>
      </text>
    </comment>
    <comment ref="BV62" authorId="1">
      <text>
        <r>
          <rPr>
            <b/>
            <sz val="8"/>
            <color indexed="81"/>
            <rFont val="Tahoma"/>
            <family val="2"/>
          </rPr>
          <t>RL:</t>
        </r>
        <r>
          <rPr>
            <sz val="8"/>
            <color indexed="81"/>
            <rFont val="Tahoma"/>
            <family val="2"/>
          </rPr>
          <t xml:space="preserve">
This includes:
- TETCO M3
- TCO
- Lebanon</t>
        </r>
      </text>
    </comment>
    <comment ref="BW106" authorId="0">
      <text>
        <r>
          <rPr>
            <b/>
            <sz val="9"/>
            <color indexed="81"/>
            <rFont val="Tahoma"/>
            <family val="2"/>
          </rPr>
          <t>McDermott, Devin (Research):</t>
        </r>
        <r>
          <rPr>
            <sz val="9"/>
            <color indexed="81"/>
            <rFont val="Tahoma"/>
            <family val="2"/>
          </rPr>
          <t xml:space="preserve">
we model IL separately</t>
        </r>
      </text>
    </comment>
    <comment ref="AG257" authorId="2">
      <text>
        <r>
          <rPr>
            <b/>
            <sz val="8"/>
            <color indexed="81"/>
            <rFont val="Tahoma"/>
            <family val="2"/>
          </rPr>
          <t>mcderdev:</t>
        </r>
        <r>
          <rPr>
            <sz val="8"/>
            <color indexed="81"/>
            <rFont val="Tahoma"/>
            <family val="2"/>
          </rPr>
          <t xml:space="preserve">
Updated for 2016/17 auction</t>
        </r>
      </text>
    </comment>
    <comment ref="AG258" authorId="2">
      <text>
        <r>
          <rPr>
            <b/>
            <sz val="8"/>
            <color indexed="81"/>
            <rFont val="Tahoma"/>
            <family val="2"/>
          </rPr>
          <t>mcderdev:</t>
        </r>
        <r>
          <rPr>
            <sz val="8"/>
            <color indexed="81"/>
            <rFont val="Tahoma"/>
            <family val="2"/>
          </rPr>
          <t xml:space="preserve">
Updated for 2016/17 auction</t>
        </r>
      </text>
    </comment>
    <comment ref="AC259" authorId="3">
      <text>
        <r>
          <rPr>
            <b/>
            <sz val="8"/>
            <color indexed="81"/>
            <rFont val="Tahoma"/>
            <family val="2"/>
          </rPr>
          <t>ramrama:</t>
        </r>
        <r>
          <rPr>
            <sz val="8"/>
            <color indexed="81"/>
            <rFont val="Tahoma"/>
            <family val="2"/>
          </rPr>
          <t xml:space="preserve">
Updated for 2015/2016 auction</t>
        </r>
      </text>
    </comment>
    <comment ref="AG259" authorId="2">
      <text>
        <r>
          <rPr>
            <b/>
            <sz val="8"/>
            <color indexed="81"/>
            <rFont val="Tahoma"/>
            <family val="2"/>
          </rPr>
          <t>mcderdev:</t>
        </r>
        <r>
          <rPr>
            <sz val="8"/>
            <color indexed="81"/>
            <rFont val="Tahoma"/>
            <family val="2"/>
          </rPr>
          <t xml:space="preserve">
Updated for 2016/17 Auction</t>
        </r>
      </text>
    </comment>
    <comment ref="AC260" authorId="3">
      <text>
        <r>
          <rPr>
            <b/>
            <sz val="8"/>
            <color indexed="81"/>
            <rFont val="Tahoma"/>
            <family val="2"/>
          </rPr>
          <t>ramrama:</t>
        </r>
        <r>
          <rPr>
            <sz val="8"/>
            <color indexed="81"/>
            <rFont val="Tahoma"/>
            <family val="2"/>
          </rPr>
          <t xml:space="preserve">
Updated for 2015/2016 auction</t>
        </r>
      </text>
    </comment>
    <comment ref="AG260" authorId="2">
      <text>
        <r>
          <rPr>
            <b/>
            <sz val="8"/>
            <color indexed="81"/>
            <rFont val="Tahoma"/>
            <family val="2"/>
          </rPr>
          <t>mcderdev:</t>
        </r>
        <r>
          <rPr>
            <sz val="8"/>
            <color indexed="81"/>
            <rFont val="Tahoma"/>
            <family val="2"/>
          </rPr>
          <t xml:space="preserve">
Updated for 2016/17 Auction</t>
        </r>
      </text>
    </comment>
    <comment ref="AG261" authorId="2">
      <text>
        <r>
          <rPr>
            <b/>
            <sz val="8"/>
            <color indexed="81"/>
            <rFont val="Tahoma"/>
            <family val="2"/>
          </rPr>
          <t>mcderdev:</t>
        </r>
        <r>
          <rPr>
            <sz val="8"/>
            <color indexed="81"/>
            <rFont val="Tahoma"/>
            <family val="2"/>
          </rPr>
          <t xml:space="preserve">
Updated for 2016/17 Auction</t>
        </r>
      </text>
    </comment>
    <comment ref="AG262" authorId="2">
      <text>
        <r>
          <rPr>
            <b/>
            <sz val="8"/>
            <color indexed="81"/>
            <rFont val="Tahoma"/>
            <family val="2"/>
          </rPr>
          <t>mcderdev:</t>
        </r>
        <r>
          <rPr>
            <sz val="8"/>
            <color indexed="81"/>
            <rFont val="Tahoma"/>
            <family val="2"/>
          </rPr>
          <t xml:space="preserve">
Updated for 2016/17 Auction</t>
        </r>
      </text>
    </comment>
    <comment ref="AG263" authorId="2">
      <text>
        <r>
          <rPr>
            <b/>
            <sz val="8"/>
            <color indexed="81"/>
            <rFont val="Tahoma"/>
            <family val="2"/>
          </rPr>
          <t>mcderdev:</t>
        </r>
        <r>
          <rPr>
            <sz val="8"/>
            <color indexed="81"/>
            <rFont val="Tahoma"/>
            <family val="2"/>
          </rPr>
          <t xml:space="preserve">
Updated for 2016/17 Auction</t>
        </r>
      </text>
    </comment>
    <comment ref="AG264" authorId="2">
      <text>
        <r>
          <rPr>
            <b/>
            <sz val="8"/>
            <color indexed="81"/>
            <rFont val="Tahoma"/>
            <family val="2"/>
          </rPr>
          <t>mcderdev:</t>
        </r>
        <r>
          <rPr>
            <sz val="8"/>
            <color indexed="81"/>
            <rFont val="Tahoma"/>
            <family val="2"/>
          </rPr>
          <t xml:space="preserve">
Updated for 2016/17 Auction</t>
        </r>
      </text>
    </comment>
    <comment ref="AG265" authorId="2">
      <text>
        <r>
          <rPr>
            <b/>
            <sz val="8"/>
            <color indexed="81"/>
            <rFont val="Tahoma"/>
            <family val="2"/>
          </rPr>
          <t>mcderdev:</t>
        </r>
        <r>
          <rPr>
            <sz val="8"/>
            <color indexed="81"/>
            <rFont val="Tahoma"/>
            <family val="2"/>
          </rPr>
          <t xml:space="preserve">
Updated for 2016/17 Auction</t>
        </r>
      </text>
    </comment>
    <comment ref="S266" authorId="2">
      <text>
        <r>
          <rPr>
            <b/>
            <sz val="8"/>
            <color indexed="81"/>
            <rFont val="Tahoma"/>
            <family val="2"/>
          </rPr>
          <t>mcderdev:</t>
        </r>
        <r>
          <rPr>
            <sz val="8"/>
            <color indexed="81"/>
            <rFont val="Tahoma"/>
            <family val="2"/>
          </rPr>
          <t xml:space="preserve">
NYISO ROS Winter 2012-13 Strip Auction Clearing Price</t>
        </r>
      </text>
    </comment>
    <comment ref="U266" authorId="2">
      <text>
        <r>
          <rPr>
            <b/>
            <sz val="8"/>
            <color indexed="81"/>
            <rFont val="Tahoma"/>
            <family val="2"/>
          </rPr>
          <t>mcderdev:</t>
        </r>
        <r>
          <rPr>
            <sz val="8"/>
            <color indexed="81"/>
            <rFont val="Tahoma"/>
            <family val="2"/>
          </rPr>
          <t xml:space="preserve">
NYISO ROS Summer 2013 Strip Auction Clearing Price</t>
        </r>
      </text>
    </comment>
    <comment ref="W266" authorId="2">
      <text>
        <r>
          <rPr>
            <b/>
            <sz val="8"/>
            <color indexed="81"/>
            <rFont val="Tahoma"/>
            <family val="2"/>
          </rPr>
          <t>mcderdev:</t>
        </r>
        <r>
          <rPr>
            <sz val="8"/>
            <color indexed="81"/>
            <rFont val="Tahoma"/>
            <family val="2"/>
          </rPr>
          <t xml:space="preserve">
OTC forward capacity quote provided by TFS on 6/14/2013</t>
        </r>
      </text>
    </comment>
    <comment ref="Y266" authorId="2">
      <text>
        <r>
          <rPr>
            <b/>
            <sz val="8"/>
            <color indexed="81"/>
            <rFont val="Tahoma"/>
            <family val="2"/>
          </rPr>
          <t>mcderdev:</t>
        </r>
        <r>
          <rPr>
            <sz val="8"/>
            <color indexed="81"/>
            <rFont val="Tahoma"/>
            <family val="2"/>
          </rPr>
          <t xml:space="preserve">
OTC forward capacity quote provided by TFS on 6/14/2013</t>
        </r>
      </text>
    </comment>
    <comment ref="AA266" authorId="2">
      <text>
        <r>
          <rPr>
            <b/>
            <sz val="8"/>
            <color indexed="81"/>
            <rFont val="Tahoma"/>
            <family val="2"/>
          </rPr>
          <t>mcderdev:</t>
        </r>
        <r>
          <rPr>
            <sz val="8"/>
            <color indexed="81"/>
            <rFont val="Tahoma"/>
            <family val="2"/>
          </rPr>
          <t xml:space="preserve">
OTC forward capacity quote provided by TFS on 6/14/2013</t>
        </r>
      </text>
    </comment>
    <comment ref="AC266" authorId="2">
      <text>
        <r>
          <rPr>
            <b/>
            <sz val="8"/>
            <color indexed="81"/>
            <rFont val="Tahoma"/>
            <family val="2"/>
          </rPr>
          <t>mcderdev:</t>
        </r>
        <r>
          <rPr>
            <sz val="8"/>
            <color indexed="81"/>
            <rFont val="Tahoma"/>
            <family val="2"/>
          </rPr>
          <t xml:space="preserve">
OTC forward capacity quote provided by TFS on 6/14/2013</t>
        </r>
      </text>
    </comment>
    <comment ref="S267" authorId="2">
      <text>
        <r>
          <rPr>
            <b/>
            <sz val="8"/>
            <color indexed="81"/>
            <rFont val="Tahoma"/>
            <family val="2"/>
          </rPr>
          <t>mcderdev:</t>
        </r>
        <r>
          <rPr>
            <sz val="8"/>
            <color indexed="81"/>
            <rFont val="Tahoma"/>
            <family val="2"/>
          </rPr>
          <t xml:space="preserve">
NYISO NYC Winter 2012-13 Strip Auction Clearing Price</t>
        </r>
      </text>
    </comment>
    <comment ref="U267" authorId="2">
      <text>
        <r>
          <rPr>
            <b/>
            <sz val="8"/>
            <color indexed="81"/>
            <rFont val="Tahoma"/>
            <family val="2"/>
          </rPr>
          <t>mcderdev:</t>
        </r>
        <r>
          <rPr>
            <sz val="8"/>
            <color indexed="81"/>
            <rFont val="Tahoma"/>
            <family val="2"/>
          </rPr>
          <t xml:space="preserve">
NYISO NYC Summer 2013 Strip Auction Clearing Price</t>
        </r>
      </text>
    </comment>
    <comment ref="W267" authorId="2">
      <text>
        <r>
          <rPr>
            <b/>
            <sz val="8"/>
            <color indexed="81"/>
            <rFont val="Tahoma"/>
            <family val="2"/>
          </rPr>
          <t>mcderdev:</t>
        </r>
        <r>
          <rPr>
            <sz val="8"/>
            <color indexed="81"/>
            <rFont val="Tahoma"/>
            <family val="2"/>
          </rPr>
          <t xml:space="preserve">
OTC forward capacity quote provided by TFS on 6/14/2013</t>
        </r>
      </text>
    </comment>
    <comment ref="Y267" authorId="2">
      <text>
        <r>
          <rPr>
            <b/>
            <sz val="8"/>
            <color indexed="81"/>
            <rFont val="Tahoma"/>
            <family val="2"/>
          </rPr>
          <t>mcderdev:</t>
        </r>
        <r>
          <rPr>
            <sz val="8"/>
            <color indexed="81"/>
            <rFont val="Tahoma"/>
            <family val="2"/>
          </rPr>
          <t xml:space="preserve">
OTC forward capacity quote provided by TFS on 6/14/2013</t>
        </r>
      </text>
    </comment>
    <comment ref="AA267" authorId="2">
      <text>
        <r>
          <rPr>
            <b/>
            <sz val="8"/>
            <color indexed="81"/>
            <rFont val="Tahoma"/>
            <family val="2"/>
          </rPr>
          <t>mcderdev:</t>
        </r>
        <r>
          <rPr>
            <sz val="8"/>
            <color indexed="81"/>
            <rFont val="Tahoma"/>
            <family val="2"/>
          </rPr>
          <t xml:space="preserve">
OTC forward capacity quote provided by TFS on 6/14/2013</t>
        </r>
      </text>
    </comment>
    <comment ref="AC267" authorId="2">
      <text>
        <r>
          <rPr>
            <b/>
            <sz val="8"/>
            <color indexed="81"/>
            <rFont val="Tahoma"/>
            <family val="2"/>
          </rPr>
          <t>mcderdev:</t>
        </r>
        <r>
          <rPr>
            <sz val="8"/>
            <color indexed="81"/>
            <rFont val="Tahoma"/>
            <family val="2"/>
          </rPr>
          <t xml:space="preserve">
OTC forward capacity quote provided by TFS on 6/14/2013</t>
        </r>
      </text>
    </comment>
    <comment ref="AC268" authorId="3">
      <text>
        <r>
          <rPr>
            <b/>
            <sz val="8"/>
            <color indexed="81"/>
            <rFont val="Tahoma"/>
            <family val="2"/>
          </rPr>
          <t>ramrama:</t>
        </r>
        <r>
          <rPr>
            <sz val="8"/>
            <color indexed="81"/>
            <rFont val="Tahoma"/>
            <family val="2"/>
          </rPr>
          <t xml:space="preserve">
Updated for 2015/2016 auction</t>
        </r>
      </text>
    </comment>
    <comment ref="AG268" authorId="2">
      <text>
        <r>
          <rPr>
            <b/>
            <sz val="8"/>
            <color indexed="81"/>
            <rFont val="Tahoma"/>
            <family val="2"/>
          </rPr>
          <t>mcderdev:</t>
        </r>
        <r>
          <rPr>
            <sz val="8"/>
            <color indexed="81"/>
            <rFont val="Tahoma"/>
            <family val="2"/>
          </rPr>
          <t xml:space="preserve">
Updated for 2016/17 Auction</t>
        </r>
      </text>
    </comment>
    <comment ref="U269" authorId="2">
      <text>
        <r>
          <rPr>
            <b/>
            <sz val="8"/>
            <color indexed="81"/>
            <rFont val="Tahoma"/>
            <family val="2"/>
          </rPr>
          <t>mcderdev:</t>
        </r>
        <r>
          <rPr>
            <sz val="8"/>
            <color indexed="81"/>
            <rFont val="Tahoma"/>
            <family val="2"/>
          </rPr>
          <t xml:space="preserve">
2013/2014 auction clearing price</t>
        </r>
      </text>
    </comment>
    <comment ref="AG270" authorId="2">
      <text>
        <r>
          <rPr>
            <b/>
            <sz val="8"/>
            <color indexed="81"/>
            <rFont val="Tahoma"/>
            <family val="2"/>
          </rPr>
          <t>mcderdev:</t>
        </r>
        <r>
          <rPr>
            <sz val="8"/>
            <color indexed="81"/>
            <rFont val="Tahoma"/>
            <family val="2"/>
          </rPr>
          <t xml:space="preserve">
Updated for 2016/17 auction</t>
        </r>
      </text>
    </comment>
    <comment ref="AG271" authorId="2">
      <text>
        <r>
          <rPr>
            <b/>
            <sz val="8"/>
            <color indexed="81"/>
            <rFont val="Tahoma"/>
            <family val="2"/>
          </rPr>
          <t>mcderdev:</t>
        </r>
        <r>
          <rPr>
            <sz val="8"/>
            <color indexed="81"/>
            <rFont val="Tahoma"/>
            <family val="2"/>
          </rPr>
          <t xml:space="preserve">
Updated for 2016/17 auction</t>
        </r>
      </text>
    </comment>
  </commentList>
</comments>
</file>

<file path=xl/comments12.xml><?xml version="1.0" encoding="utf-8"?>
<comments xmlns="http://schemas.openxmlformats.org/spreadsheetml/2006/main">
  <authors>
    <author>Ellison, Ethan C (Research)</author>
  </authors>
  <commentList>
    <comment ref="C8" authorId="0">
      <text>
        <r>
          <rPr>
            <b/>
            <sz val="9"/>
            <color indexed="81"/>
            <rFont val="Tahoma"/>
            <family val="2"/>
          </rPr>
          <t>Ellison, Ethan C (Research):</t>
        </r>
        <r>
          <rPr>
            <sz val="9"/>
            <color indexed="81"/>
            <rFont val="Tahoma"/>
            <family val="2"/>
          </rPr>
          <t xml:space="preserve">
Sold to Backston/ArcLight</t>
        </r>
      </text>
    </comment>
    <comment ref="C9" authorId="0">
      <text>
        <r>
          <rPr>
            <b/>
            <sz val="9"/>
            <color indexed="81"/>
            <rFont val="Tahoma"/>
            <family val="2"/>
          </rPr>
          <t>Ellison, Ethan C (Research):</t>
        </r>
        <r>
          <rPr>
            <sz val="9"/>
            <color indexed="81"/>
            <rFont val="Tahoma"/>
            <family val="2"/>
          </rPr>
          <t xml:space="preserve">
Owned with Buckeye Power</t>
        </r>
      </text>
    </comment>
    <comment ref="C16" authorId="0">
      <text>
        <r>
          <rPr>
            <b/>
            <sz val="9"/>
            <color indexed="81"/>
            <rFont val="Tahoma"/>
            <family val="2"/>
          </rPr>
          <t>Ellison, Ethan C (Research):</t>
        </r>
        <r>
          <rPr>
            <sz val="9"/>
            <color indexed="81"/>
            <rFont val="Tahoma"/>
            <family val="2"/>
          </rPr>
          <t xml:space="preserve">
In May 2017 AEP purchased DYN's share of Conesville Unit 4, AES still owns 16.5%</t>
        </r>
      </text>
    </comment>
    <comment ref="C19" authorId="0">
      <text>
        <r>
          <rPr>
            <b/>
            <sz val="9"/>
            <color indexed="81"/>
            <rFont val="Tahoma"/>
            <family val="2"/>
          </rPr>
          <t>Ellison, Ethan C (Research):</t>
        </r>
        <r>
          <rPr>
            <sz val="9"/>
            <color indexed="81"/>
            <rFont val="Tahoma"/>
            <family val="2"/>
          </rPr>
          <t xml:space="preserve">
Acquired by DYN Feb 2017</t>
        </r>
      </text>
    </comment>
    <comment ref="C20" authorId="0">
      <text>
        <r>
          <rPr>
            <b/>
            <sz val="9"/>
            <color indexed="81"/>
            <rFont val="Tahoma"/>
            <family val="2"/>
          </rPr>
          <t>Ellison, Ethan C (Research):</t>
        </r>
        <r>
          <rPr>
            <sz val="9"/>
            <color indexed="81"/>
            <rFont val="Tahoma"/>
            <family val="2"/>
          </rPr>
          <t xml:space="preserve">
577 MW unit 2 retired 10/17; unit 1 scheduled for retirement 6/18. AEP owns 26%, AES 35%, DYN 39%</t>
        </r>
      </text>
    </comment>
    <comment ref="C21" authorId="0">
      <text>
        <r>
          <rPr>
            <b/>
            <sz val="9"/>
            <color indexed="81"/>
            <rFont val="Tahoma"/>
            <family val="2"/>
          </rPr>
          <t>Ellison, Ethan C (Research):</t>
        </r>
        <r>
          <rPr>
            <sz val="9"/>
            <color indexed="81"/>
            <rFont val="Tahoma"/>
            <family val="2"/>
          </rPr>
          <t xml:space="preserve">
AEP owns 26%; DYN 39%; Dayton Power &amp; Light (AES) 35%</t>
        </r>
      </text>
    </comment>
    <comment ref="C25" authorId="0">
      <text>
        <r>
          <rPr>
            <b/>
            <sz val="9"/>
            <color indexed="81"/>
            <rFont val="Tahoma"/>
            <family val="2"/>
          </rPr>
          <t>Ellison, Ethan C (Research):</t>
        </r>
        <r>
          <rPr>
            <sz val="9"/>
            <color indexed="81"/>
            <rFont val="Tahoma"/>
            <family val="2"/>
          </rPr>
          <t xml:space="preserve">
AEP Generating Company (AEG): Not included in AEP Generation Resources (AGR)</t>
        </r>
      </text>
    </comment>
  </commentList>
</comments>
</file>

<file path=xl/comments13.xml><?xml version="1.0" encoding="utf-8"?>
<comments xmlns="http://schemas.openxmlformats.org/spreadsheetml/2006/main">
  <authors>
    <author>$</author>
    <author>Kobus, Jim (Research)</author>
  </authors>
  <commentList>
    <comment ref="AM28" authorId="0">
      <text>
        <r>
          <rPr>
            <sz val="9"/>
            <color indexed="81"/>
            <rFont val="Tahoma"/>
            <family val="2"/>
          </rPr>
          <t>$1.5m : Income Taxes
$3.9 m: Equity Earnings
$31m : Discontinued Operations 
Source: 4Q15 Supplemental tables</t>
        </r>
      </text>
    </comment>
    <comment ref="AL70" authorId="1">
      <text>
        <r>
          <rPr>
            <b/>
            <sz val="9"/>
            <color indexed="81"/>
            <rFont val="Tahoma"/>
            <family val="2"/>
          </rPr>
          <t>Kobus, Jim (Research):</t>
        </r>
        <r>
          <rPr>
            <sz val="9"/>
            <color indexed="81"/>
            <rFont val="Tahoma"/>
            <family val="2"/>
          </rPr>
          <t xml:space="preserve">
$400m cash inflow</t>
        </r>
      </text>
    </comment>
  </commentList>
</comments>
</file>

<file path=xl/comments14.xml><?xml version="1.0" encoding="utf-8"?>
<comments xmlns="http://schemas.openxmlformats.org/spreadsheetml/2006/main">
  <authors>
    <author>Michael Dandurand</author>
  </authors>
  <commentList>
    <comment ref="Y8" authorId="0">
      <text>
        <r>
          <rPr>
            <b/>
            <sz val="8"/>
            <color indexed="81"/>
            <rFont val="Tahoma"/>
            <family val="2"/>
          </rPr>
          <t>Michael Dandurand:</t>
        </r>
        <r>
          <rPr>
            <sz val="8"/>
            <color indexed="81"/>
            <rFont val="Tahoma"/>
            <family val="2"/>
          </rPr>
          <t xml:space="preserve">
AEP portion 440MW of 600MW. AEP cost $1.4bn of $1.8bn (2012 EEI Fact Book)</t>
        </r>
      </text>
    </comment>
  </commentList>
</comments>
</file>

<file path=xl/sharedStrings.xml><?xml version="1.0" encoding="utf-8"?>
<sst xmlns="http://schemas.openxmlformats.org/spreadsheetml/2006/main" count="3919" uniqueCount="1766">
  <si>
    <t>Equity Earnings of Unconsolidated Subsidiaries</t>
  </si>
  <si>
    <t>Other Income, Net</t>
  </si>
  <si>
    <t>Total Other Income</t>
  </si>
  <si>
    <t>EBIT</t>
  </si>
  <si>
    <t>EBITDA</t>
  </si>
  <si>
    <t>Interest Expense</t>
  </si>
  <si>
    <t>Total Interest Expense</t>
  </si>
  <si>
    <t>Profit Before Taxes</t>
  </si>
  <si>
    <t>Income Tax</t>
  </si>
  <si>
    <t>Taxes Paid</t>
  </si>
  <si>
    <t>Income After Taxes</t>
  </si>
  <si>
    <t>Preferred Stock Dividend</t>
  </si>
  <si>
    <t>Reported Net Income</t>
  </si>
  <si>
    <t>Adjustments/Non-Recurring Items</t>
  </si>
  <si>
    <t>Mass Hub / Transco Z6</t>
  </si>
  <si>
    <t>PJM East / Tetco M3</t>
  </si>
  <si>
    <t>Adjusted/On-Going Net Income</t>
  </si>
  <si>
    <t>3.55% due 2022</t>
  </si>
  <si>
    <t>2.845% securitization bond due 2024</t>
  </si>
  <si>
    <t>1.976% securitization bond due 2020</t>
  </si>
  <si>
    <t>GAAP Reported EPS (diluted)</t>
  </si>
  <si>
    <t>Adjusted / Operating EPS (diluted)</t>
  </si>
  <si>
    <t>YoY EPS Growth</t>
  </si>
  <si>
    <t>DIVIDEND AND EQUITY ASSUMPTIONS</t>
  </si>
  <si>
    <t>Growth Rate (YoY)</t>
  </si>
  <si>
    <t>Dividends Paid</t>
  </si>
  <si>
    <t>Stock Price Estimate</t>
  </si>
  <si>
    <t>Share Issuance/(Repurchase) - mil shares</t>
  </si>
  <si>
    <t>Share Issuance/(Repurchase)</t>
  </si>
  <si>
    <t>EPS AND CAPEX BY BUSINESS SEGMENT</t>
  </si>
  <si>
    <t>Segment EPS</t>
  </si>
  <si>
    <t>Total EPS</t>
  </si>
  <si>
    <t>Segment CapEx</t>
  </si>
  <si>
    <t>Total CapEx</t>
  </si>
  <si>
    <t>DEBT AND TAX ASSUMPTIONS</t>
  </si>
  <si>
    <t>Long-Term Debt Issuance/Maturity</t>
  </si>
  <si>
    <t>Long-Term Debt Issuance</t>
  </si>
  <si>
    <t>Long-Term Debt Maturity/Redemption</t>
  </si>
  <si>
    <t>Interest on Short Term Debt</t>
  </si>
  <si>
    <t>Increased Interest from LT Debt Issuance</t>
  </si>
  <si>
    <t>Decreased Interest from LT Debt Reduction</t>
  </si>
  <si>
    <t>Net Change in Interest Expense</t>
  </si>
  <si>
    <t>Interest Rate on Short Term Debt/Cash</t>
  </si>
  <si>
    <t>Tax Items</t>
  </si>
  <si>
    <t>Tax Rate (adjusted for AFUDC - Equity)</t>
  </si>
  <si>
    <t>Reported Tax Rate</t>
  </si>
  <si>
    <t>Corporate Dividend Requirement</t>
  </si>
  <si>
    <t>Merchant EBITDA</t>
  </si>
  <si>
    <t>Total</t>
  </si>
  <si>
    <t>YTD CF Data (to calculate quarterly)</t>
  </si>
  <si>
    <t>Updated as of</t>
  </si>
  <si>
    <t>NYMEX Natural Gas - HH</t>
  </si>
  <si>
    <t>NY Zone G / Transco Z6</t>
  </si>
  <si>
    <t>NY Zone J / Transco Z6</t>
  </si>
  <si>
    <t>Cinergy / HH</t>
  </si>
  <si>
    <t>NI Hub / HH</t>
  </si>
  <si>
    <t>ERCOT Houston / HH</t>
  </si>
  <si>
    <t>ERCOT North / HH</t>
  </si>
  <si>
    <t>ERCOT South / HH</t>
  </si>
  <si>
    <t>Palo Verde / SCAL</t>
  </si>
  <si>
    <t>SP 15 / SCAL</t>
  </si>
  <si>
    <t>NP 15 / SCAL</t>
  </si>
  <si>
    <t>Mid C / SCAL</t>
  </si>
  <si>
    <t>CASHFLOW STATEMENT</t>
  </si>
  <si>
    <t>FY2009A</t>
  </si>
  <si>
    <t>1Q18</t>
  </si>
  <si>
    <t>2Q18</t>
  </si>
  <si>
    <t>3Q18</t>
  </si>
  <si>
    <t>4Q18</t>
  </si>
  <si>
    <t>1Q2018E</t>
  </si>
  <si>
    <t>2Q2018E</t>
  </si>
  <si>
    <t>3Q2018E</t>
  </si>
  <si>
    <t>4Q2018E</t>
  </si>
  <si>
    <t>2018E</t>
  </si>
  <si>
    <t>Assumed Issuance 2018</t>
  </si>
  <si>
    <t>FY2010A</t>
  </si>
  <si>
    <t>4Q2011A</t>
  </si>
  <si>
    <t>FY2011A</t>
  </si>
  <si>
    <t>Net Income</t>
  </si>
  <si>
    <t>D&amp;A</t>
  </si>
  <si>
    <t>AFUDC</t>
  </si>
  <si>
    <t>Deferred Income Taxes</t>
  </si>
  <si>
    <t>Working Capital, Net</t>
  </si>
  <si>
    <t>Operating Cash Flow</t>
  </si>
  <si>
    <t>Capital Expenditures</t>
  </si>
  <si>
    <t>Other (includes asset sales)</t>
  </si>
  <si>
    <t>Investing Cash Flow</t>
  </si>
  <si>
    <t>Issuance of LT Debt</t>
  </si>
  <si>
    <t>Retirement of LT Debt</t>
  </si>
  <si>
    <t>Change in ST Debt</t>
  </si>
  <si>
    <t>Common Dividends</t>
  </si>
  <si>
    <t>1Q2012A</t>
  </si>
  <si>
    <t>2Q2012A</t>
  </si>
  <si>
    <t>Preferred Dividends</t>
  </si>
  <si>
    <t>Common Equity Issuance/Buyback</t>
  </si>
  <si>
    <t>Other, Net</t>
  </si>
  <si>
    <t>Financing Cash Flow</t>
  </si>
  <si>
    <t>Net Change in Cash</t>
  </si>
  <si>
    <t>Beginning Cash Balance</t>
  </si>
  <si>
    <t>Ending Cash Balance</t>
  </si>
  <si>
    <t>BALANCE SHEET</t>
  </si>
  <si>
    <t>Cash and Equivalents</t>
  </si>
  <si>
    <t>Accounts Receivable</t>
  </si>
  <si>
    <t>Materials / Supplies / Fuel</t>
  </si>
  <si>
    <t>2013A-2018e EPS CAGR</t>
  </si>
  <si>
    <t>Other Current Assets</t>
  </si>
  <si>
    <t>Total Current Assets</t>
  </si>
  <si>
    <t>Plant in Service</t>
  </si>
  <si>
    <t>Accumulated Depreciation</t>
  </si>
  <si>
    <t>CWIP</t>
  </si>
  <si>
    <t>Net PP&amp;E</t>
  </si>
  <si>
    <t>Goodwill and Other Intangibles, Net</t>
  </si>
  <si>
    <t>Non-Current Regulatory Assets</t>
  </si>
  <si>
    <t>Other Non-Current Assets</t>
  </si>
  <si>
    <t>Total Other Assets</t>
  </si>
  <si>
    <t>Total Assets</t>
  </si>
  <si>
    <t>Current Portion of Long Term Debt</t>
  </si>
  <si>
    <t>Accounts Payable</t>
  </si>
  <si>
    <t>Other Current Liabilities</t>
  </si>
  <si>
    <t>Total Current Liabilities</t>
  </si>
  <si>
    <t>Environmental (only 50% of Rockport included)</t>
  </si>
  <si>
    <t>Other Income</t>
  </si>
  <si>
    <t>Vertically Integrated Utilities</t>
  </si>
  <si>
    <t>Transmission and Distribution Utilities</t>
  </si>
  <si>
    <t>Generation &amp; Marketing</t>
  </si>
  <si>
    <t>Net Income Attributable to Noncontrolling Interests</t>
  </si>
  <si>
    <t>$/kW</t>
  </si>
  <si>
    <t>Other Long-term Debt, due 2018</t>
  </si>
  <si>
    <t>4.4% Senior Unsecured Notes, due 2044</t>
  </si>
  <si>
    <t>Other Long-term Debt, due 2017</t>
  </si>
  <si>
    <t>Preferred Stock Dividends</t>
  </si>
  <si>
    <t>TRANSMISSION PROJECTS</t>
  </si>
  <si>
    <t>Transco</t>
  </si>
  <si>
    <t>Transco (100% AEP)</t>
  </si>
  <si>
    <t>Pioneer (50% AEP / 50% Duke)</t>
  </si>
  <si>
    <t>RITELine (22% AEP / 67% Exelon / 11% MEHC)</t>
  </si>
  <si>
    <t>Prairie Wind (25% AEP / 25% MEHC / 50% WR)</t>
  </si>
  <si>
    <t>On-Line</t>
  </si>
  <si>
    <t>AEP Cost</t>
  </si>
  <si>
    <t>Full Cost</t>
  </si>
  <si>
    <t>2011+</t>
  </si>
  <si>
    <t>2015-18</t>
  </si>
  <si>
    <t>ETT CREZ (50% AEP / 50% MEHC)</t>
  </si>
  <si>
    <t>ETT Non-CREZ (50% AEP / 50% MEHC)</t>
  </si>
  <si>
    <t>2014+</t>
  </si>
  <si>
    <t>AEP (%)</t>
  </si>
  <si>
    <t>Capital Spending</t>
  </si>
  <si>
    <t>Gross Plant</t>
  </si>
  <si>
    <t>RATE ITEMS</t>
  </si>
  <si>
    <t>Debt Costs</t>
  </si>
  <si>
    <t>Ohio</t>
  </si>
  <si>
    <t>Operating Income -Generation &amp; Marketing</t>
  </si>
  <si>
    <t>Operating Income - Vertically Integrated Utilities</t>
  </si>
  <si>
    <t>Operating Income - T&amp;D Utilities</t>
  </si>
  <si>
    <t>Operating Income - Parent and Other</t>
  </si>
  <si>
    <t>EPS -Generation &amp; Marketing</t>
  </si>
  <si>
    <t>EPS - Vertically Integrated Utilities</t>
  </si>
  <si>
    <t>EPS - T&amp;D Utilities</t>
  </si>
  <si>
    <t>EPS - Transco</t>
  </si>
  <si>
    <t>EPS - Parent and Other</t>
  </si>
  <si>
    <t>EARNED ROE</t>
  </si>
  <si>
    <t>EQUITY RATIO</t>
  </si>
  <si>
    <t>Weighted Average</t>
  </si>
  <si>
    <t>Deferred Income Taxes and Credits</t>
  </si>
  <si>
    <t>Deferred Reguatory Liabilities</t>
  </si>
  <si>
    <t>Other Non-Current Liabilities</t>
  </si>
  <si>
    <t>Total Other Liabilities</t>
  </si>
  <si>
    <t>Retained Earnings</t>
  </si>
  <si>
    <t>Paid-In Capital</t>
  </si>
  <si>
    <t>'12/13</t>
  </si>
  <si>
    <t>'13/14</t>
  </si>
  <si>
    <t>'14/15</t>
  </si>
  <si>
    <t>RPM ($/MW-day)</t>
  </si>
  <si>
    <t>Capacity Rate ($/MW-day)</t>
  </si>
  <si>
    <t>Retail Stability Charge ($/mwh)</t>
  </si>
  <si>
    <t>Generation MW (net of retirement/transfer)</t>
  </si>
  <si>
    <t>Deferral Potential w/ Shopping ($mil)</t>
  </si>
  <si>
    <t>OH Deferral Calculation</t>
  </si>
  <si>
    <t>Total Common Equity</t>
  </si>
  <si>
    <t>Total Liabilities and Equity</t>
  </si>
  <si>
    <t>Balance Check</t>
  </si>
  <si>
    <t>CAPITALIZATION</t>
  </si>
  <si>
    <t>Cash &amp; Equivalents</t>
  </si>
  <si>
    <t>Short-Term Debt</t>
  </si>
  <si>
    <t>Long-Term Debt</t>
  </si>
  <si>
    <t xml:space="preserve">      % of Total</t>
  </si>
  <si>
    <t>Preferred Stock</t>
  </si>
  <si>
    <t>CREDIT STATS</t>
  </si>
  <si>
    <t>LTM FFO (Net Income + D&amp;A)</t>
  </si>
  <si>
    <t>LTM EBIT</t>
  </si>
  <si>
    <t>LTM EBITDA</t>
  </si>
  <si>
    <t>LTM Interest Expense</t>
  </si>
  <si>
    <t>LTM Net Income</t>
  </si>
  <si>
    <t>LT Debt  / Total Capitaliztion</t>
  </si>
  <si>
    <t>Total Debt / Total Capitalization</t>
  </si>
  <si>
    <t>Operating Income</t>
  </si>
  <si>
    <t>GAAP Reported EPS</t>
  </si>
  <si>
    <t>Adjusted / Operating EPS</t>
  </si>
  <si>
    <t>ASSUMPTIONS AND DRIVERS</t>
  </si>
  <si>
    <t>O&amp;M Growth (YoY)</t>
  </si>
  <si>
    <t>Taxes Other Than Income (YoY)</t>
  </si>
  <si>
    <t>Allowed ROE</t>
  </si>
  <si>
    <t>Earned ROE (includes AFUDC)</t>
  </si>
  <si>
    <t>Earned ROE (excludes AFUDC)</t>
  </si>
  <si>
    <t>ELECTRIC MARGINS</t>
  </si>
  <si>
    <t>Electric Sales (GWh)</t>
  </si>
  <si>
    <t>Residential</t>
  </si>
  <si>
    <t>Total Retail</t>
  </si>
  <si>
    <t>Total Electric Sales</t>
  </si>
  <si>
    <t>Retail Sales Growth (YoY)</t>
  </si>
  <si>
    <t>Electric Rate Change (YoY)</t>
  </si>
  <si>
    <t>Fuel and Puchased Power Costs</t>
  </si>
  <si>
    <t>Avg Fuel and Purchased Power Rate ($/mwh)</t>
  </si>
  <si>
    <t>Electric Margins</t>
  </si>
  <si>
    <t>Change in Margins (YoY)</t>
  </si>
  <si>
    <t xml:space="preserve">Residential     </t>
  </si>
  <si>
    <t>O&amp;M</t>
  </si>
  <si>
    <t>Total O&amp;M</t>
  </si>
  <si>
    <t>Growth (YoY)</t>
  </si>
  <si>
    <t>PP&amp;E, D&amp;A, AND CAPEX</t>
  </si>
  <si>
    <t>Plant In Service</t>
  </si>
  <si>
    <t>D&amp;A Rate</t>
  </si>
  <si>
    <t>CapEx</t>
  </si>
  <si>
    <t>AFUDC DEBT AND EQUITY</t>
  </si>
  <si>
    <t>AFUDC - Equity as % of CWIP</t>
  </si>
  <si>
    <t>DEBT AND PREFERRED CALCULATIONS</t>
  </si>
  <si>
    <t>CASH FLOW STATEMENT</t>
  </si>
  <si>
    <t>Long-Term Debt (w/ current maturities &amp; leases)</t>
  </si>
  <si>
    <t>PJM Gas Basis ($/mmbtu)</t>
  </si>
  <si>
    <t>RATE BASE AND ROEs</t>
  </si>
  <si>
    <t>Beginning Rate Base</t>
  </si>
  <si>
    <t>Capex</t>
  </si>
  <si>
    <t>Deferred Taxes</t>
  </si>
  <si>
    <t>Group Average P/E (Diversified)</t>
  </si>
  <si>
    <t>Utility P/E (Large Cap)</t>
  </si>
  <si>
    <t>Other Adjustments (AFUDC + Removal Cost)</t>
  </si>
  <si>
    <t>Ending Rate Base</t>
  </si>
  <si>
    <t>Equity Ratio</t>
  </si>
  <si>
    <t>Authorized Equity Ratio</t>
  </si>
  <si>
    <t>Modeled Equity Ratio</t>
  </si>
  <si>
    <t>Total AEP EPS</t>
  </si>
  <si>
    <t>ROEs</t>
  </si>
  <si>
    <t>Authorized/Assumed ROE</t>
  </si>
  <si>
    <t>Modeled ROE (includes AFUDC)</t>
  </si>
  <si>
    <t>UTILITY CAPEX</t>
  </si>
  <si>
    <t>Total AEP Capex</t>
  </si>
  <si>
    <t>4Q2013A</t>
  </si>
  <si>
    <t>2013A</t>
  </si>
  <si>
    <t>FY2013A</t>
  </si>
  <si>
    <t>Transmission Rate Change - Virginia</t>
  </si>
  <si>
    <t>Transmission Rate Change - Indiana</t>
  </si>
  <si>
    <t>Capacity Price ($/mw-day)</t>
  </si>
  <si>
    <t>Blended Unhedged Price (NAPP) - $/ton</t>
  </si>
  <si>
    <t>NPV of Environmental Costs</t>
  </si>
  <si>
    <t>Modeled ROE (excludes AFUDC)</t>
  </si>
  <si>
    <t xml:space="preserve"> </t>
  </si>
  <si>
    <t>Dividend Payout Ratio (Target 60-70%)</t>
  </si>
  <si>
    <t>$mil, unless stated otherwise</t>
  </si>
  <si>
    <t>DEBT CALCULATIONS</t>
  </si>
  <si>
    <t>W/C and Other</t>
  </si>
  <si>
    <t>Other (includes utility capital infusion and equity)</t>
  </si>
  <si>
    <t>Debt Profile</t>
  </si>
  <si>
    <t>Model</t>
  </si>
  <si>
    <t>Mty/Issue</t>
  </si>
  <si>
    <t>Rate</t>
  </si>
  <si>
    <t>Month</t>
  </si>
  <si>
    <t>Principal</t>
  </si>
  <si>
    <t>Interest</t>
  </si>
  <si>
    <t>Equal-weight</t>
  </si>
  <si>
    <t>% Gas on Margin</t>
  </si>
  <si>
    <t>HR Assumption at $4 Gas</t>
  </si>
  <si>
    <t>Target Power Price Move ($/MWh)</t>
  </si>
  <si>
    <t>Assumed Gas ($/mmBtu)</t>
  </si>
  <si>
    <t>Modeled</t>
  </si>
  <si>
    <t>1Q2014A</t>
  </si>
  <si>
    <t>2Q2014A</t>
  </si>
  <si>
    <t>3Q2014A</t>
  </si>
  <si>
    <t>Total Debt Issuances/Maturties and Interst Change</t>
  </si>
  <si>
    <t>Maturities</t>
  </si>
  <si>
    <t>New Issues</t>
  </si>
  <si>
    <t>Net Annual Change</t>
  </si>
  <si>
    <t>Parent &amp; Other</t>
  </si>
  <si>
    <t>Debt Maturities/Retirements</t>
  </si>
  <si>
    <t>Net Issuances (Maturities) and Interest Change</t>
  </si>
  <si>
    <t>DIVERSIFIED P/E VALUATION</t>
  </si>
  <si>
    <t>Tax Rate</t>
  </si>
  <si>
    <t>Currency</t>
  </si>
  <si>
    <t>REVENUE AND COST DRIVERS</t>
  </si>
  <si>
    <t>Electric Sales Growth (%)</t>
  </si>
  <si>
    <t>O&amp;M Growth (%)</t>
  </si>
  <si>
    <t>Taxes Other Than Income Growth (%)</t>
  </si>
  <si>
    <t>Utility New Debt Cost (%)</t>
  </si>
  <si>
    <t>Utility Tax Rate (%)</t>
  </si>
  <si>
    <t>Assumed Return Parameters</t>
  </si>
  <si>
    <t>ESP Benefit vs Market (EPS)</t>
  </si>
  <si>
    <t>Debt Ratio</t>
  </si>
  <si>
    <t>TCC</t>
  </si>
  <si>
    <t>TNC</t>
  </si>
  <si>
    <t>Utility Summary</t>
  </si>
  <si>
    <t>Rider Revenues - Dresden Plant</t>
  </si>
  <si>
    <t>4.6% due 2021 - issued in 2011</t>
  </si>
  <si>
    <t>USD</t>
  </si>
  <si>
    <t>Year</t>
  </si>
  <si>
    <t>NA</t>
  </si>
  <si>
    <t>Total Vertically Integrated Utilities</t>
  </si>
  <si>
    <t xml:space="preserve">Net Income </t>
  </si>
  <si>
    <t>Total Retail (unswitched sales)</t>
  </si>
  <si>
    <t>Unrecorded Goodwill</t>
  </si>
  <si>
    <t>Statutory Tax Rate</t>
  </si>
  <si>
    <t>Implied Volumes (gwh)</t>
  </si>
  <si>
    <t>PCG.N,mscalc:sedolCodeCalc</t>
  </si>
  <si>
    <t>PNW.N,mscalc:targetPrice,,,,USD</t>
  </si>
  <si>
    <t>PCG.N,mscalc:closePriceCurrencyCalc</t>
  </si>
  <si>
    <t>PEG.N,mscalc:closePriceCurrencyCalc</t>
  </si>
  <si>
    <t>PEG.N,mscalc:targetPrice,,,,USD</t>
  </si>
  <si>
    <t>PEG.N,mscalc:sedolCodeCalc</t>
  </si>
  <si>
    <t>PNW.N,mscalc:closePriceCurrencyCalc</t>
  </si>
  <si>
    <t>PNW.N,mscalc:sedolCodeCalc</t>
  </si>
  <si>
    <t>Ticker:</t>
  </si>
  <si>
    <t>Rating:</t>
  </si>
  <si>
    <t>Price Target:</t>
  </si>
  <si>
    <t>Date:</t>
  </si>
  <si>
    <t>Stephen Byrd</t>
  </si>
  <si>
    <t>(212) 761-3865</t>
  </si>
  <si>
    <t>stephen.byrd@morganstanley.com</t>
  </si>
  <si>
    <t>This sheet contains Factset binary data for use with this workbook's =FDS codes.  Modifying the worksheet's contents may damage the workbook's =FDS functionality.</t>
  </si>
  <si>
    <t>Net Income Reported, Model Ware</t>
  </si>
  <si>
    <t>Electric Revenues</t>
  </si>
  <si>
    <t>Commercial</t>
  </si>
  <si>
    <t>Industrial</t>
  </si>
  <si>
    <t>CWIP Rate (% of FY capex)</t>
  </si>
  <si>
    <t>Large Cap Group Average P/E</t>
  </si>
  <si>
    <t>Electric Retail Sales Growth (YoY)</t>
  </si>
  <si>
    <t>Parent Level Equity Issuance</t>
  </si>
  <si>
    <t>PARENT LEVEL CASH FLOWS</t>
  </si>
  <si>
    <t>Other Investing Activities</t>
  </si>
  <si>
    <t>Consensus</t>
  </si>
  <si>
    <t>AEP</t>
  </si>
  <si>
    <t>American Electric Power Company</t>
  </si>
  <si>
    <t>AEP.N</t>
  </si>
  <si>
    <t>AEP.N,mscalc:targetPrice,,,,USD</t>
  </si>
  <si>
    <t>AEP (CONSOLIDATED)</t>
  </si>
  <si>
    <t>Interest Income</t>
  </si>
  <si>
    <t>Retirement of Cumulative Preferred Stock</t>
  </si>
  <si>
    <t>Common Dividends and Capital Infusions</t>
  </si>
  <si>
    <t>Dividends Paid on Cumulative Preferred Stock</t>
  </si>
  <si>
    <t>Total Retail Electric Revenue</t>
  </si>
  <si>
    <t>Wholesale</t>
  </si>
  <si>
    <t>Off-System Sales Including Sales to Affiliates</t>
  </si>
  <si>
    <t>Average</t>
  </si>
  <si>
    <t>Fuel</t>
  </si>
  <si>
    <t>Fuel/Purchased Power</t>
  </si>
  <si>
    <t>Fuel &amp; Purchased Power</t>
  </si>
  <si>
    <t>3Q2011A</t>
  </si>
  <si>
    <t>APCo</t>
  </si>
  <si>
    <t>I&amp;M</t>
  </si>
  <si>
    <t>OPCo</t>
  </si>
  <si>
    <t>SWEPCo</t>
  </si>
  <si>
    <t>Electric Rate Change - Virginia</t>
  </si>
  <si>
    <t>Electric Rate Change - West Virginia</t>
  </si>
  <si>
    <t>Extraordinary Loss, net of tax</t>
  </si>
  <si>
    <t>Change in Commercial Paper and Credit Facility</t>
  </si>
  <si>
    <t>Other PPE, including nuclear fuel and coal mining</t>
  </si>
  <si>
    <t>Employee Benefits &amp; Pension Obligations</t>
  </si>
  <si>
    <t>Cumulative Preferred Stock</t>
  </si>
  <si>
    <t>Parent:</t>
  </si>
  <si>
    <t>4.45% pollution control bond due 2020</t>
  </si>
  <si>
    <t>5.89% senior note due 2018</t>
  </si>
  <si>
    <t>6.76% senior note due 2038</t>
  </si>
  <si>
    <t>5.625% pollution control bond due 2017</t>
  </si>
  <si>
    <t>Growth (%)</t>
  </si>
  <si>
    <t>Ohio Merchant EBITDA</t>
  </si>
  <si>
    <t>Base Spending</t>
  </si>
  <si>
    <t>Current Net Debt (non-utility Ohio debt)</t>
  </si>
  <si>
    <t>AEP Ohio - Merchant Only</t>
  </si>
  <si>
    <t>Power Hedge Benefit</t>
  </si>
  <si>
    <t>Fuel Hedge Benefit</t>
  </si>
  <si>
    <t>Assumed Native Load Sales Price - $/mwh</t>
  </si>
  <si>
    <t>Hedge Impact</t>
  </si>
  <si>
    <t>Full Generation Portfolio</t>
  </si>
  <si>
    <t>POLR Load Sales</t>
  </si>
  <si>
    <t>Full Requirement Contracts</t>
  </si>
  <si>
    <t>OSS and Market</t>
  </si>
  <si>
    <t>Market Energy and Capacity</t>
  </si>
  <si>
    <t>Fuel and Purchased Power Cost</t>
  </si>
  <si>
    <t>Consolidated ROE (%)</t>
  </si>
  <si>
    <t>Implied Utilities EPS</t>
  </si>
  <si>
    <t>Premium/Discount</t>
  </si>
  <si>
    <t>AEP Parent and Other EPS</t>
  </si>
  <si>
    <t>Implied Company Valuation</t>
  </si>
  <si>
    <t>6.3% pollution control bond due 2029</t>
  </si>
  <si>
    <t>5.2% pollution control bond due 2030</t>
  </si>
  <si>
    <t>4.4% pollution control bonddue 2030</t>
  </si>
  <si>
    <t>4.55% pollution control bond due 2030</t>
  </si>
  <si>
    <t>6.65% senior note due 2033</t>
  </si>
  <si>
    <t>Capacity Price Needed</t>
  </si>
  <si>
    <t>$/MW-d</t>
  </si>
  <si>
    <t>5.17% securitization bond due 2018</t>
  </si>
  <si>
    <t>5.306% securitization bond due 2020</t>
  </si>
  <si>
    <t>6.33% senior note due 2037</t>
  </si>
  <si>
    <t>6.0% senior note due 2017</t>
  </si>
  <si>
    <t>7.25% senior note due 2021</t>
  </si>
  <si>
    <t>8.03% senior note due 2029</t>
  </si>
  <si>
    <t>5.625% senior note due 2032</t>
  </si>
  <si>
    <t>8.13% senior note due 2039</t>
  </si>
  <si>
    <t>6.625% senior note due 2037</t>
  </si>
  <si>
    <t>Pollution Control Bonds:</t>
  </si>
  <si>
    <t>3.25% Pollution Control Bonds, due 2019</t>
  </si>
  <si>
    <t>Nuclear Fuel Lease</t>
  </si>
  <si>
    <t>Pollution Control Bonds, due 2026</t>
  </si>
  <si>
    <t>Floating rate due 2036 No. 1</t>
  </si>
  <si>
    <t>Floating rate due 2036 No. 2</t>
  </si>
  <si>
    <t xml:space="preserve">Senior Notes: </t>
  </si>
  <si>
    <t>5.0% due 2017</t>
  </si>
  <si>
    <t>5.95% due 2033</t>
  </si>
  <si>
    <t>5.8% due 2035</t>
  </si>
  <si>
    <t>6.375% due 2036</t>
  </si>
  <si>
    <t>6.7% due 2037</t>
  </si>
  <si>
    <t>7.0% due 2038</t>
  </si>
  <si>
    <t>5.8% due 2038</t>
  </si>
  <si>
    <t>6.05% due 2018</t>
  </si>
  <si>
    <t>6.6% due 2033</t>
  </si>
  <si>
    <t>5.85% due 2035</t>
  </si>
  <si>
    <t>Senior Notes:</t>
  </si>
  <si>
    <t>4.625% due 2025</t>
  </si>
  <si>
    <t>7.0% due 2019</t>
  </si>
  <si>
    <t>6.05% due 2037</t>
  </si>
  <si>
    <t>Guidance - High End</t>
  </si>
  <si>
    <t>Guidance - Low End</t>
  </si>
  <si>
    <t>Floating Rate due 2019</t>
  </si>
  <si>
    <t>Floating Rate due 2021</t>
  </si>
  <si>
    <t>Power Plant Portfolio</t>
  </si>
  <si>
    <t>Rockport</t>
  </si>
  <si>
    <t>Lawrenceburg</t>
  </si>
  <si>
    <t>Buck</t>
  </si>
  <si>
    <t>Byllesby</t>
  </si>
  <si>
    <t>Claytor</t>
  </si>
  <si>
    <t>Leesville</t>
  </si>
  <si>
    <t>London</t>
  </si>
  <si>
    <t>Marmet</t>
  </si>
  <si>
    <t>Niagara</t>
  </si>
  <si>
    <t>Reusens</t>
  </si>
  <si>
    <t>Winfield</t>
  </si>
  <si>
    <t>Smith Mountain</t>
  </si>
  <si>
    <t>Amos (Units 1&amp;2)</t>
  </si>
  <si>
    <t>Clinch River*</t>
  </si>
  <si>
    <t>Glen Lyn*</t>
  </si>
  <si>
    <t>Kanawha River</t>
  </si>
  <si>
    <t>Mountaineer</t>
  </si>
  <si>
    <t>Sporn (Units 1&amp;3)*</t>
  </si>
  <si>
    <t>Dresden</t>
  </si>
  <si>
    <t>Ceredo</t>
  </si>
  <si>
    <t>Big Sandy</t>
  </si>
  <si>
    <t>IN</t>
  </si>
  <si>
    <t>VA</t>
  </si>
  <si>
    <t>WV</t>
  </si>
  <si>
    <t>KY</t>
  </si>
  <si>
    <t>ISO-NE Maine</t>
  </si>
  <si>
    <t>MISO</t>
  </si>
  <si>
    <t>ISO-NE Connecticut</t>
  </si>
  <si>
    <t>ISO-NE NEMA-Boston</t>
  </si>
  <si>
    <t>Steam - Coal</t>
  </si>
  <si>
    <t>Natural Gas</t>
  </si>
  <si>
    <t>Pumped Storage</t>
  </si>
  <si>
    <t>Berrien Springs</t>
  </si>
  <si>
    <t>Buchanan</t>
  </si>
  <si>
    <t>Constantine</t>
  </si>
  <si>
    <t>Elkhart</t>
  </si>
  <si>
    <t>Mottville</t>
  </si>
  <si>
    <t>Twin Branch</t>
  </si>
  <si>
    <t>Tanners Creek*</t>
  </si>
  <si>
    <t>Cook</t>
  </si>
  <si>
    <t>Racine</t>
  </si>
  <si>
    <t>Darby</t>
  </si>
  <si>
    <t>Waterford</t>
  </si>
  <si>
    <t>Cardinal</t>
  </si>
  <si>
    <t>Gavin</t>
  </si>
  <si>
    <t>Muskingum River*</t>
  </si>
  <si>
    <t>Picway*</t>
  </si>
  <si>
    <t>Beckjord (CCD)**</t>
  </si>
  <si>
    <t>Conesville (CCD)**</t>
  </si>
  <si>
    <t>Stuart (CCD)**</t>
  </si>
  <si>
    <t>Zimmer (CCD)**</t>
  </si>
  <si>
    <t>Amos (Unit 3)</t>
  </si>
  <si>
    <t>Kammer</t>
  </si>
  <si>
    <t>Mitchell</t>
  </si>
  <si>
    <t>Sporn (Units 2&amp;4)*</t>
  </si>
  <si>
    <t>MI</t>
  </si>
  <si>
    <t>Steam - Nuclear</t>
  </si>
  <si>
    <t>Oil</t>
  </si>
  <si>
    <t>AEGCo</t>
  </si>
  <si>
    <t>Tulsa</t>
  </si>
  <si>
    <t>Riverside (1&amp;2)</t>
  </si>
  <si>
    <t>Riverside (3&amp;4)</t>
  </si>
  <si>
    <t>Riverside</t>
  </si>
  <si>
    <t>Northeastern (1&amp;2)</t>
  </si>
  <si>
    <t>Northeastern</t>
  </si>
  <si>
    <t>Southwestern (1-3)</t>
  </si>
  <si>
    <t>Southwestern (4&amp;5)</t>
  </si>
  <si>
    <t>Southwestern</t>
  </si>
  <si>
    <t>Comanche</t>
  </si>
  <si>
    <t>Weleetka</t>
  </si>
  <si>
    <t>Northeastern (3&amp;4)</t>
  </si>
  <si>
    <t>Oklaunion</t>
  </si>
  <si>
    <t>Arsenal Hill</t>
  </si>
  <si>
    <t>Lieberman</t>
  </si>
  <si>
    <t>Knox Lee</t>
  </si>
  <si>
    <t>Wilkes</t>
  </si>
  <si>
    <t>Lone Star</t>
  </si>
  <si>
    <t>Stall</t>
  </si>
  <si>
    <t>Mattison</t>
  </si>
  <si>
    <t>Welsh</t>
  </si>
  <si>
    <t>Flint Creek</t>
  </si>
  <si>
    <t>Pirkey</t>
  </si>
  <si>
    <t>Dolet Hills</t>
  </si>
  <si>
    <t>OK</t>
  </si>
  <si>
    <t>TX</t>
  </si>
  <si>
    <t>LA</t>
  </si>
  <si>
    <t>AR</t>
  </si>
  <si>
    <t>Steam - Natural Gas</t>
  </si>
  <si>
    <t>Steam - Lignite</t>
  </si>
  <si>
    <t>Trent Mesa</t>
  </si>
  <si>
    <t>Desert Sky</t>
  </si>
  <si>
    <t>AEPEP</t>
  </si>
  <si>
    <t>Wind</t>
  </si>
  <si>
    <t>WInd</t>
  </si>
  <si>
    <t>Plant</t>
  </si>
  <si>
    <t>Units</t>
  </si>
  <si>
    <t>State</t>
  </si>
  <si>
    <t>Fuel Type</t>
  </si>
  <si>
    <t>MW</t>
  </si>
  <si>
    <t>Start Year</t>
  </si>
  <si>
    <t>Company</t>
  </si>
  <si>
    <t>Coal</t>
  </si>
  <si>
    <t>Retirements</t>
  </si>
  <si>
    <t>Net Coal</t>
  </si>
  <si>
    <t>AEP Domestic Generation (2012 Fact Book)</t>
  </si>
  <si>
    <t>AEP Coal Retirements (2012 Fact Book)</t>
  </si>
  <si>
    <t>Glen Lyn 5</t>
  </si>
  <si>
    <t>Glen Lyn 6</t>
  </si>
  <si>
    <t>Clinch River 3</t>
  </si>
  <si>
    <t>Sporn 1</t>
  </si>
  <si>
    <t>Sporn 3</t>
  </si>
  <si>
    <t>Kanawha River 1</t>
  </si>
  <si>
    <t>Kanawha River 2</t>
  </si>
  <si>
    <t>Tanners Creek 1</t>
  </si>
  <si>
    <t>Tanners Creek 2</t>
  </si>
  <si>
    <t>Tanners Creek 3</t>
  </si>
  <si>
    <t>Big Sandy 1</t>
  </si>
  <si>
    <t>Welsh 2</t>
  </si>
  <si>
    <t>Northeastern 4</t>
  </si>
  <si>
    <t>Conesville 3</t>
  </si>
  <si>
    <t>Muskingum River 1-4</t>
  </si>
  <si>
    <t>Picway 5</t>
  </si>
  <si>
    <t>Sporn 2-4</t>
  </si>
  <si>
    <t>Kammer 1-3</t>
  </si>
  <si>
    <t>Beckjord</t>
  </si>
  <si>
    <t>KPCO</t>
  </si>
  <si>
    <t>AEP Generation Profile</t>
  </si>
  <si>
    <t>Turk</t>
  </si>
  <si>
    <t>5.375% due 2021</t>
  </si>
  <si>
    <t>Notes Payable:</t>
  </si>
  <si>
    <t>6.37% due 2024</t>
  </si>
  <si>
    <t>4.95% due 2018</t>
  </si>
  <si>
    <t>5.55% due 2017</t>
  </si>
  <si>
    <t>5.875% due 2018</t>
  </si>
  <si>
    <t>6.45% due 2019</t>
  </si>
  <si>
    <t>5.375% due 2038</t>
  </si>
  <si>
    <t>4.4% senior unsecured note due 2021</t>
  </si>
  <si>
    <t>Floating rate pollution control bond due 2025</t>
  </si>
  <si>
    <t>5.15% senior note due 2019</t>
  </si>
  <si>
    <t>Floating rate due 2042 No. 1</t>
  </si>
  <si>
    <t>Floating rate due 2042 No. 2</t>
  </si>
  <si>
    <t>6.2% due 2040</t>
  </si>
  <si>
    <t>Seasonal Proportions</t>
  </si>
  <si>
    <t>Avg Fuel Rate ($/mwh)</t>
  </si>
  <si>
    <t>Rate Base</t>
  </si>
  <si>
    <t>,mscalc:closePriceCurrencyCalc</t>
  </si>
  <si>
    <t>,mscalc:sedolCodeCalc</t>
  </si>
  <si>
    <t>,mscalc:targetPrice,,,,USD</t>
  </si>
  <si>
    <t>AEP.N,mscalc:targetPrice</t>
  </si>
  <si>
    <t>$AD$2</t>
  </si>
  <si>
    <t>Price Target</t>
  </si>
  <si>
    <t>Electric Rate Change - Michigan</t>
  </si>
  <si>
    <t>Electric Rate Change - Indiana</t>
  </si>
  <si>
    <t>Fuel, Purchased Electricity and Other</t>
  </si>
  <si>
    <t>Parent / Transco  Net Income / Loss</t>
  </si>
  <si>
    <t>1Q10</t>
  </si>
  <si>
    <t>2Q10</t>
  </si>
  <si>
    <t>3Q10</t>
  </si>
  <si>
    <t>4Q10</t>
  </si>
  <si>
    <t>1Q17</t>
  </si>
  <si>
    <t>2Q17</t>
  </si>
  <si>
    <t>3Q17</t>
  </si>
  <si>
    <t>4Q17</t>
  </si>
  <si>
    <t>OSS Impact</t>
  </si>
  <si>
    <t>AEP Ohio - Merchant (Non T&amp;D) Only</t>
  </si>
  <si>
    <t>Utilities Rate Base ($mil)</t>
  </si>
  <si>
    <t>Utilities Earnings ($mil)</t>
  </si>
  <si>
    <t>NAPP</t>
  </si>
  <si>
    <t>ILB</t>
  </si>
  <si>
    <t>PJM East</t>
  </si>
  <si>
    <t>Coal (Delivery Cost $/t)</t>
  </si>
  <si>
    <t>ATSI</t>
  </si>
  <si>
    <t>RPM ($/mw-day)</t>
  </si>
  <si>
    <t>RPM (%)</t>
  </si>
  <si>
    <t>Count</t>
  </si>
  <si>
    <t>2026242</t>
  </si>
  <si>
    <t>DCF-Driven EV/EBITDA Multiple</t>
  </si>
  <si>
    <t/>
  </si>
  <si>
    <t>Margin from Pool ($/mwh)</t>
  </si>
  <si>
    <t>AEP.N,mscalc:closePriceCurrencyCalc</t>
  </si>
  <si>
    <t>AEP.N,mscalc:sedolCodeCalc</t>
  </si>
  <si>
    <t>Kentucky Power</t>
  </si>
  <si>
    <t>Reconciliation to Adjusted Earnings</t>
  </si>
  <si>
    <t>Natural Gas ($/mmcf)</t>
  </si>
  <si>
    <t>Gas Price Sensitivity (from valuation summary)</t>
  </si>
  <si>
    <t>KPCo</t>
  </si>
  <si>
    <t>4.58% Notes Payable, due 2032</t>
  </si>
  <si>
    <t>2Q2013A</t>
  </si>
  <si>
    <t>3Q2013A</t>
  </si>
  <si>
    <t>4.0% Pollution Control Bonds, due 2030</t>
  </si>
  <si>
    <t>Base and Other Capex</t>
  </si>
  <si>
    <t>Other Adjustments - assumed adjustments</t>
  </si>
  <si>
    <t>Transmission and Other</t>
  </si>
  <si>
    <t>NPV of Hedges</t>
  </si>
  <si>
    <t>Base Capex and Other</t>
  </si>
  <si>
    <t>Transco (includes JVs)</t>
  </si>
  <si>
    <t>Operating Income - Transco</t>
  </si>
  <si>
    <t>Equity Earnings</t>
  </si>
  <si>
    <t>Nuclear</t>
  </si>
  <si>
    <t>Hydro</t>
  </si>
  <si>
    <t>Hedged (%)</t>
  </si>
  <si>
    <t>OPERATING EXPENSES</t>
  </si>
  <si>
    <t>Total WholesaleElectric Revenue</t>
  </si>
  <si>
    <t>Total Revenues Vertically Integrated Utilities Segment</t>
  </si>
  <si>
    <t>AEP Generation Equity Valuation</t>
  </si>
  <si>
    <t>PSO</t>
  </si>
  <si>
    <t>EPS (Utility &amp; Parent Only)</t>
  </si>
  <si>
    <t>Morgan Stanley Price Deck</t>
  </si>
  <si>
    <t>1Q11</t>
  </si>
  <si>
    <t>2Q11</t>
  </si>
  <si>
    <t>3Q11</t>
  </si>
  <si>
    <t>4Q11</t>
  </si>
  <si>
    <t>4Q2012A</t>
  </si>
  <si>
    <t>2012A</t>
  </si>
  <si>
    <t>1Q2013A</t>
  </si>
  <si>
    <t>FY2012A</t>
  </si>
  <si>
    <t>1Q12</t>
  </si>
  <si>
    <t>2Q12</t>
  </si>
  <si>
    <t>3Q12</t>
  </si>
  <si>
    <t>Operating Income - AEP River</t>
  </si>
  <si>
    <t>EPS - AEP River</t>
  </si>
  <si>
    <t>AEP River</t>
  </si>
  <si>
    <t>4Q12</t>
  </si>
  <si>
    <t>1Q13</t>
  </si>
  <si>
    <t>2Q13</t>
  </si>
  <si>
    <t>3Q13</t>
  </si>
  <si>
    <t>4Q13</t>
  </si>
  <si>
    <t>1Q14</t>
  </si>
  <si>
    <t>2Q14</t>
  </si>
  <si>
    <t>3Q14</t>
  </si>
  <si>
    <t>4Q14</t>
  </si>
  <si>
    <t>1Q15</t>
  </si>
  <si>
    <t>2Q15</t>
  </si>
  <si>
    <t>3Q15</t>
  </si>
  <si>
    <t>4Q15</t>
  </si>
  <si>
    <t>1Q16</t>
  </si>
  <si>
    <t>2Q16</t>
  </si>
  <si>
    <t>3Q16</t>
  </si>
  <si>
    <t>4Q16</t>
  </si>
  <si>
    <t>Fuel Prices</t>
  </si>
  <si>
    <t>CAPP Coal</t>
  </si>
  <si>
    <t>PRB Coal</t>
  </si>
  <si>
    <t>Mass Hub</t>
  </si>
  <si>
    <t>NY Zone A</t>
  </si>
  <si>
    <t>NY Zone G</t>
  </si>
  <si>
    <t>NY Zone J</t>
  </si>
  <si>
    <t>PJM West</t>
  </si>
  <si>
    <t>AEP Dayton</t>
  </si>
  <si>
    <t>Cinergy</t>
  </si>
  <si>
    <t>NI Hub</t>
  </si>
  <si>
    <t>ERCOT Houston</t>
  </si>
  <si>
    <t>ERCOT North</t>
  </si>
  <si>
    <t>ERCOT South</t>
  </si>
  <si>
    <t>Palo Verde</t>
  </si>
  <si>
    <t>SP 15</t>
  </si>
  <si>
    <t>NP 15</t>
  </si>
  <si>
    <t>Mid C</t>
  </si>
  <si>
    <t>Natural Gas Basis/Coal Delivery Cost Assumptions</t>
  </si>
  <si>
    <t>$ / mmbtu (Basis Differential to Henry Hub)</t>
  </si>
  <si>
    <t>NY Zone A / Tetco M3</t>
  </si>
  <si>
    <t>PJM West / Tetco M3</t>
  </si>
  <si>
    <t>CAPP Coal (Delivery Cost $/t)</t>
  </si>
  <si>
    <t>Price Uplift</t>
  </si>
  <si>
    <t>Terminal Peak Spark</t>
  </si>
  <si>
    <t>$/mwh</t>
  </si>
  <si>
    <t>Terminal Peak HR</t>
  </si>
  <si>
    <t>btu/kwh</t>
  </si>
  <si>
    <t>MS Power Price Uplift</t>
  </si>
  <si>
    <t>Yes</t>
  </si>
  <si>
    <t>PRB Coal (Delivery Cost $/t)</t>
  </si>
  <si>
    <t>ISO-NE</t>
  </si>
  <si>
    <t>PJM RTO</t>
  </si>
  <si>
    <t>PJM MAAC</t>
  </si>
  <si>
    <t>PJM SW MAAC</t>
  </si>
  <si>
    <t>PJM EMAAC</t>
  </si>
  <si>
    <t>PJM DPL-South</t>
  </si>
  <si>
    <t xml:space="preserve">PJM </t>
  </si>
  <si>
    <t>PSEG North</t>
  </si>
  <si>
    <t>NY ROS</t>
  </si>
  <si>
    <t>NYC</t>
  </si>
  <si>
    <t>CO2</t>
  </si>
  <si>
    <t>RGGI CO2</t>
  </si>
  <si>
    <t>CSAPR 1 SOX</t>
  </si>
  <si>
    <t>CSAPR 2 SOX</t>
  </si>
  <si>
    <t>Net PPE</t>
  </si>
  <si>
    <t>1Q2013</t>
  </si>
  <si>
    <t>2Q2013</t>
  </si>
  <si>
    <t>3Q2013</t>
  </si>
  <si>
    <t>4Q2013</t>
  </si>
  <si>
    <t>1Q2014</t>
  </si>
  <si>
    <t>2Q2014</t>
  </si>
  <si>
    <t>3Q2014</t>
  </si>
  <si>
    <t>4Q2014</t>
  </si>
  <si>
    <t>1Q2015</t>
  </si>
  <si>
    <t>2Q2015</t>
  </si>
  <si>
    <t>3Q2015</t>
  </si>
  <si>
    <t>4Q2015</t>
  </si>
  <si>
    <t>1Q2016</t>
  </si>
  <si>
    <t>2Q2016</t>
  </si>
  <si>
    <t>3Q2016</t>
  </si>
  <si>
    <t>4Q2016</t>
  </si>
  <si>
    <t>1Q2017</t>
  </si>
  <si>
    <t>2Q2017</t>
  </si>
  <si>
    <t>3Q2017</t>
  </si>
  <si>
    <t>4Q2017</t>
  </si>
  <si>
    <t>1Q2018</t>
  </si>
  <si>
    <t>2Q2018</t>
  </si>
  <si>
    <t>3Q2018</t>
  </si>
  <si>
    <t>4Q2018</t>
  </si>
  <si>
    <t>CSAPR 1 NOX</t>
  </si>
  <si>
    <t>CSAPR 2 NOX</t>
  </si>
  <si>
    <t>NOX SEASONAL</t>
  </si>
  <si>
    <t>Utility Valuation</t>
  </si>
  <si>
    <t>Implied Utility / Parent Valuation</t>
  </si>
  <si>
    <t>Total Capex</t>
  </si>
  <si>
    <t>UTILITY RATE BASE AND ROE SENSITIVITY</t>
  </si>
  <si>
    <t>NON-UTILITY DCF VALUATION</t>
  </si>
  <si>
    <t>MERCHANT GENERATION VALUATION ASSUMPTIONS</t>
  </si>
  <si>
    <t>Discounted Cash Flow - Key Assumptions</t>
  </si>
  <si>
    <t>Weighted Average Cost of Capital</t>
  </si>
  <si>
    <t>TERMINAL ASSUMPTIONS</t>
  </si>
  <si>
    <t>Natural Gas ($/mmbtu)</t>
  </si>
  <si>
    <t>PJM RTO Capacity Price ($/mw-day)</t>
  </si>
  <si>
    <t>MS Gas Assumption</t>
  </si>
  <si>
    <t>Power Price Sensitivity ($ / MWh)</t>
  </si>
  <si>
    <t>Gas Basis</t>
  </si>
  <si>
    <t>Market Heat Rates (btu/kwh)</t>
  </si>
  <si>
    <t>AEP Dayton Peak</t>
  </si>
  <si>
    <t>AEP Dayton Off Peak</t>
  </si>
  <si>
    <t>AEP Dayton Peak Power ($/mwh)</t>
  </si>
  <si>
    <t>AEP Dayton Off-Peak Power ($/mwh)</t>
  </si>
  <si>
    <t>Power Prices ($/MWh)</t>
  </si>
  <si>
    <t>AEP Dayton ATC ($/mwh)</t>
  </si>
  <si>
    <t>Coal Prices</t>
  </si>
  <si>
    <t>NAPP Coal Prices - FOB ($/ton)</t>
  </si>
  <si>
    <t>NAPP Transportation Cost - FOB ($/ton)</t>
  </si>
  <si>
    <t>Delivered NAPP Coal Prices ($/ton)</t>
  </si>
  <si>
    <t>Terminal Value Approach Used</t>
  </si>
  <si>
    <t>Operating Cash Flow (pre tax benefits)</t>
  </si>
  <si>
    <t>Cost of Long-Term Debt</t>
  </si>
  <si>
    <t xml:space="preserve">    Approach A - Perp. Growth Rate of</t>
  </si>
  <si>
    <t>Risk-Free Rate</t>
  </si>
  <si>
    <t xml:space="preserve">    Approach B - Terminal EBITDA of</t>
  </si>
  <si>
    <t>Equity Risk Premium</t>
  </si>
  <si>
    <t>Assumed Beta of Merchant Generation</t>
  </si>
  <si>
    <t>Tax Basis as a Multiple of EBITDA</t>
  </si>
  <si>
    <t>Annual Tax D&amp;A as a % of EBITDA</t>
  </si>
  <si>
    <t>Maintenance Capex as a % of EBITDA</t>
  </si>
  <si>
    <t>Levered Free Cash Flow</t>
  </si>
  <si>
    <t>Implied Market Aggregate Value/EBITDA</t>
  </si>
  <si>
    <t>Unlevered Free Cash Flow (ex interest)</t>
  </si>
  <si>
    <t>Implied Equity Value as a Multiple of EBITDA</t>
  </si>
  <si>
    <t>Terminal Value</t>
  </si>
  <si>
    <t>Example EBITDA Level</t>
  </si>
  <si>
    <t>Cash Taxes Paid</t>
  </si>
  <si>
    <t>Free Cash Flow Available to Equity</t>
  </si>
  <si>
    <t>Discounted Value of Cash Flows</t>
  </si>
  <si>
    <t>Debt/EBITDA</t>
  </si>
  <si>
    <t>3Q2012A</t>
  </si>
  <si>
    <t>On-Peak Regional Power Prices ($/MWh)</t>
  </si>
  <si>
    <t>Off-Peak Regional Power Prices ($/MWh)</t>
  </si>
  <si>
    <t>Coal Delivery Costs</t>
  </si>
  <si>
    <t>On-Peak Regional Heat Rates (btu/kWh)</t>
  </si>
  <si>
    <t>Off-Peak Regional Heat Rates (btu/kWh)</t>
  </si>
  <si>
    <t>Capacity Prices ($/MW-day)</t>
  </si>
  <si>
    <t>Emissions Prices ($/ton)</t>
  </si>
  <si>
    <t>AEP Ohio</t>
  </si>
  <si>
    <t>Noncontrolling Interests</t>
  </si>
  <si>
    <t>Implied EV / EBITDA</t>
  </si>
  <si>
    <t>Terminal EBITDA Multiple Calculation</t>
  </si>
  <si>
    <t>Implied FCF / Equity Yield</t>
  </si>
  <si>
    <t>WACC</t>
  </si>
  <si>
    <t>Term. Year Tax Basis as Multiple of EBITDA</t>
  </si>
  <si>
    <t>Cash Flow NPV</t>
  </si>
  <si>
    <t>Inflation Rate</t>
  </si>
  <si>
    <t>Terminal Year Debt/EBITDA</t>
  </si>
  <si>
    <t>Resulting Term. Value EBITDA Multiple</t>
  </si>
  <si>
    <t>Equity Value</t>
  </si>
  <si>
    <t>Equity Value Per Share</t>
  </si>
  <si>
    <t>Cash Taxes</t>
  </si>
  <si>
    <t>Maint. Capex</t>
  </si>
  <si>
    <t>UFCF</t>
  </si>
  <si>
    <t>Discounted</t>
  </si>
  <si>
    <t>MACRS</t>
  </si>
  <si>
    <t xml:space="preserve">Year 1 </t>
  </si>
  <si>
    <t>NON-UTILITY EV / EBITDA VALUATION</t>
  </si>
  <si>
    <t>Hedge Benefit</t>
  </si>
  <si>
    <t>Open EBITDA</t>
  </si>
  <si>
    <t>Assumed Net Debt</t>
  </si>
  <si>
    <t>Project</t>
  </si>
  <si>
    <t>Implied EV</t>
  </si>
  <si>
    <t>Adjusted EV</t>
  </si>
  <si>
    <t>Shares Outstanding</t>
  </si>
  <si>
    <t>Per Share Value</t>
  </si>
  <si>
    <t>Implied in Share Price</t>
  </si>
  <si>
    <t>Valuation Summary</t>
  </si>
  <si>
    <t>$m, unless stated otherwise</t>
  </si>
  <si>
    <t>2010A</t>
  </si>
  <si>
    <t>BULL-BEAR CASE VALUATION</t>
  </si>
  <si>
    <t>BEAR</t>
  </si>
  <si>
    <t>BASE</t>
  </si>
  <si>
    <t>BULL</t>
  </si>
  <si>
    <t>Valuation Year</t>
  </si>
  <si>
    <t>Assumed Premium/Discount</t>
  </si>
  <si>
    <t>Adjusted P/E</t>
  </si>
  <si>
    <t>Implied Valuation</t>
  </si>
  <si>
    <t>Current Stock Price</t>
  </si>
  <si>
    <t>Price Return Potential</t>
  </si>
  <si>
    <t>Dividend</t>
  </si>
  <si>
    <t>Total Return Potential</t>
  </si>
  <si>
    <t>Assumed Allowed Equity Ratio</t>
  </si>
  <si>
    <t>PJM Net Charges</t>
  </si>
  <si>
    <t>Provision for Rate Refund</t>
  </si>
  <si>
    <t>Other Electric Revenues</t>
  </si>
  <si>
    <t>Other Operating Revenues</t>
  </si>
  <si>
    <t>Sales to Affiliates</t>
  </si>
  <si>
    <t>Assumed Earned ROE</t>
  </si>
  <si>
    <t>Projected Diluted Shares Count ($mil)</t>
  </si>
  <si>
    <t>Equity</t>
  </si>
  <si>
    <t>Parent</t>
  </si>
  <si>
    <t>Dividend Yield</t>
  </si>
  <si>
    <t>ROE</t>
  </si>
  <si>
    <t>Dividend Payout Ratio</t>
  </si>
  <si>
    <t>Dividend Growth Rate</t>
  </si>
  <si>
    <t>Dividend Per Share</t>
  </si>
  <si>
    <t>Discount Factor</t>
  </si>
  <si>
    <t>Financial Summary</t>
  </si>
  <si>
    <t>Period Ended</t>
  </si>
  <si>
    <t>EPS AND EBITDA PROFILE</t>
  </si>
  <si>
    <t>CAPITALIZATION PROFILE</t>
  </si>
  <si>
    <t>EPS by Business Segment</t>
  </si>
  <si>
    <t>Cash</t>
  </si>
  <si>
    <t>Short Term Debt</t>
  </si>
  <si>
    <t>Long Term Debt</t>
  </si>
  <si>
    <t>Total Debt</t>
  </si>
  <si>
    <t>Consolidated EPS</t>
  </si>
  <si>
    <t>Preferred Equity</t>
  </si>
  <si>
    <t>Common Equity</t>
  </si>
  <si>
    <t>Total Capitalization</t>
  </si>
  <si>
    <t>Leverage Ratios</t>
  </si>
  <si>
    <t>LT Debt  / Total Cap</t>
  </si>
  <si>
    <t>EBITDA by Business Segment</t>
  </si>
  <si>
    <t xml:space="preserve">Representative FCF Yield to Equity </t>
  </si>
  <si>
    <t>Implied Debt Value as a % of Ent Value</t>
  </si>
  <si>
    <t>T&amp;D Utilities</t>
  </si>
  <si>
    <t>Parent and Other</t>
  </si>
  <si>
    <t>Others</t>
  </si>
  <si>
    <t>Total Revenues</t>
  </si>
  <si>
    <t>Total T&amp;D</t>
  </si>
  <si>
    <t>Gross PP&amp;E</t>
  </si>
  <si>
    <t>Implied Equity Value as a % of Ent Value</t>
  </si>
  <si>
    <t>WACC for Ohio Genco</t>
  </si>
  <si>
    <t>Estimated Ohio Genco WACC</t>
  </si>
  <si>
    <t>FCF Yield on Ohio Gen. Equity</t>
  </si>
  <si>
    <t>Total Debt / Total Cap</t>
  </si>
  <si>
    <t>Net Debt / LTM EBITDA</t>
  </si>
  <si>
    <t>FFO / Total Debt</t>
  </si>
  <si>
    <t>Coverage Ratios</t>
  </si>
  <si>
    <t>Consolidated EBITDA</t>
  </si>
  <si>
    <t>FFO Interest Coverage ((FFO + Int.) / Int.)</t>
  </si>
  <si>
    <t>Pretax Interest Coverage (EBIT / Int.)</t>
  </si>
  <si>
    <t>DIVIDEND AND SHARE COUNT DATA</t>
  </si>
  <si>
    <t>CASH FLOW PROFILE</t>
  </si>
  <si>
    <t>Regulated / Unregulated OCF</t>
  </si>
  <si>
    <t>Consolidated OCF</t>
  </si>
  <si>
    <t>Actual Shares Outstanding</t>
  </si>
  <si>
    <t>Average Shares Outstanding</t>
  </si>
  <si>
    <t>Regulated / Unregulated CapEx</t>
  </si>
  <si>
    <t>Equity - Noncontrolling Interests</t>
  </si>
  <si>
    <t>Diluted Average Shares Outstanding</t>
  </si>
  <si>
    <t>Consolidated CapEx</t>
  </si>
  <si>
    <t>VALUATION PROFILE</t>
  </si>
  <si>
    <t>Free Cash Flow</t>
  </si>
  <si>
    <t>Price to Earnings</t>
  </si>
  <si>
    <t>EV / EBITDA</t>
  </si>
  <si>
    <t>Consolidated FCF (Pre-Dividends)</t>
  </si>
  <si>
    <t>Book Value Per Share</t>
  </si>
  <si>
    <t>Dividends</t>
  </si>
  <si>
    <t>Return on Average Equity</t>
  </si>
  <si>
    <t>Free Cash Flow (Post Dividends)</t>
  </si>
  <si>
    <t>Return on Invested Capital</t>
  </si>
  <si>
    <t>Return on Average Assets</t>
  </si>
  <si>
    <t>Other Financing Activities</t>
  </si>
  <si>
    <t>Equity Issuance / Buyback, Net</t>
  </si>
  <si>
    <t>Current Share Price:</t>
  </si>
  <si>
    <t>LT Debt Issuance</t>
  </si>
  <si>
    <t>Current Shares Outstanding</t>
  </si>
  <si>
    <t>Utilities &amp; Parent (non-merchant)</t>
  </si>
  <si>
    <t>LT Debt Retirement</t>
  </si>
  <si>
    <t>Equity Market Capitalization</t>
  </si>
  <si>
    <t>ST Debt Change, Net</t>
  </si>
  <si>
    <t>Net Debt (Forecasted)</t>
  </si>
  <si>
    <t>Other</t>
  </si>
  <si>
    <t>Enterprise Value</t>
  </si>
  <si>
    <t>Annual Change in Cash</t>
  </si>
  <si>
    <t>4.780% senior note due 2042</t>
  </si>
  <si>
    <t>3.300% senior note due 2022</t>
  </si>
  <si>
    <t>4.000% senior note due 2032</t>
  </si>
  <si>
    <t>4.730% senior note due 2042</t>
  </si>
  <si>
    <t>1.650% senior unsecured notes due 2017</t>
  </si>
  <si>
    <t>2.950% senior unsecured notes due 2022</t>
  </si>
  <si>
    <t>3.200% due 2023</t>
  </si>
  <si>
    <t>3.090% senior note due 2023</t>
  </si>
  <si>
    <t>4.480% senior note due 2043</t>
  </si>
  <si>
    <t>Consolidated</t>
  </si>
  <si>
    <t>1Q2009A</t>
  </si>
  <si>
    <t>2Q2009A</t>
  </si>
  <si>
    <t>3Q2009A</t>
  </si>
  <si>
    <t>4Q2009A</t>
  </si>
  <si>
    <t>1Q2010A</t>
  </si>
  <si>
    <t>2Q2010A</t>
  </si>
  <si>
    <t>3Q2010A</t>
  </si>
  <si>
    <t>4Q2010A</t>
  </si>
  <si>
    <t>1Q2011A</t>
  </si>
  <si>
    <t>2Q2011A</t>
  </si>
  <si>
    <t>INCOME STATEMENT</t>
  </si>
  <si>
    <t>Total Operating Revenue</t>
  </si>
  <si>
    <t>COGS</t>
  </si>
  <si>
    <t>Gross Margin</t>
  </si>
  <si>
    <t>Generation (Non-T&amp;D Revenues)</t>
  </si>
  <si>
    <t>Generation Volumes (gwh)</t>
  </si>
  <si>
    <t>GENERATION (NON-T&amp;D) REVENUES</t>
  </si>
  <si>
    <t>Remaining Revenues (Mkt and OSS)</t>
  </si>
  <si>
    <t>Switched Load</t>
  </si>
  <si>
    <t>Native Load Volumes (gwh)</t>
  </si>
  <si>
    <t>Native Load Revenues</t>
  </si>
  <si>
    <t>Implied Price - $/mwh</t>
  </si>
  <si>
    <t>Fuel &amp; Purchased Power Cost</t>
  </si>
  <si>
    <t>V</t>
  </si>
  <si>
    <t>T&amp;D</t>
  </si>
  <si>
    <t>Ohio Utilities</t>
  </si>
  <si>
    <t>FUEL COSTS AND PURCHASED POWER COSTS</t>
  </si>
  <si>
    <t>Avg Price (w/ native load and mkt) - $/mwh</t>
  </si>
  <si>
    <t>Change in Fuel Price (%)</t>
  </si>
  <si>
    <t>Purchased Power Volumes (gwh)</t>
  </si>
  <si>
    <t>PLANT DISPATCH</t>
  </si>
  <si>
    <t>Gas CC</t>
  </si>
  <si>
    <t>Gas CT</t>
  </si>
  <si>
    <t>Super Critical Coal</t>
  </si>
  <si>
    <t>Sub-Critical Coal</t>
  </si>
  <si>
    <t>MARKET PRICES AND SENSITIVITIES</t>
  </si>
  <si>
    <t>AEP-Dayton / Tetco M3</t>
  </si>
  <si>
    <t>Generation (CF %)</t>
  </si>
  <si>
    <t>Generation (gwh)</t>
  </si>
  <si>
    <t>Generation (Heat Rate) - btu/kwh</t>
  </si>
  <si>
    <t>Sub-Critical Coal / Set for Retirement</t>
  </si>
  <si>
    <t>Sub-Critical Coal / Set for Retirement Plants</t>
  </si>
  <si>
    <t>AEP Dayton Basis</t>
  </si>
  <si>
    <t>PJM Capacity Price ($/mw-day)</t>
  </si>
  <si>
    <t>Assumed Blended Hedged Coal Price - $/ton</t>
  </si>
  <si>
    <t>PJM Capacity - $/mwh</t>
  </si>
  <si>
    <t>Market Price (w/ capacity) - $/mwh</t>
  </si>
  <si>
    <t>Gas/Oil</t>
  </si>
  <si>
    <t>Full Requirement Contract - $/mwh</t>
  </si>
  <si>
    <t>Weekly Price Deck</t>
  </si>
  <si>
    <t>Market Adjustment</t>
  </si>
  <si>
    <t>TEXAS</t>
  </si>
  <si>
    <t>HR Adjusted Gas</t>
  </si>
  <si>
    <t>Market HR</t>
  </si>
  <si>
    <t>MIDWEST</t>
  </si>
  <si>
    <t>Target Peak HR</t>
  </si>
  <si>
    <t>Market Peak HR</t>
  </si>
  <si>
    <t>Differential in Peak HR</t>
  </si>
  <si>
    <t>Appalachian Basis</t>
  </si>
  <si>
    <t>MS Target Basis - PJM/AD</t>
  </si>
  <si>
    <t>Market Basis - PJM</t>
  </si>
  <si>
    <t>Differential (PJM)</t>
  </si>
  <si>
    <t>Market Basis - AD</t>
  </si>
  <si>
    <t>Differential (AD)</t>
  </si>
  <si>
    <t>Target</t>
  </si>
  <si>
    <t>Delta</t>
  </si>
  <si>
    <t>Average Rate ($/mwh)</t>
  </si>
  <si>
    <t>Full Requirement Contract (gwh)</t>
  </si>
  <si>
    <t>Full Requirement Revenues</t>
  </si>
  <si>
    <t>Generation &amp; Marketing Dividend, Net</t>
  </si>
  <si>
    <t>Vertically Integrated Utilities Dividend, Net</t>
  </si>
  <si>
    <t>T&amp;D Utilities Dividend, Net</t>
  </si>
  <si>
    <t>OH</t>
  </si>
  <si>
    <t>Operating and Maintenance</t>
  </si>
  <si>
    <t>Transource Energy (86.5% AEP / 13.5% GXP)</t>
  </si>
  <si>
    <t>Capacity Price Calculation</t>
  </si>
  <si>
    <t>Tier 2 Price ($/mw-day)</t>
  </si>
  <si>
    <t>Blended Price</t>
  </si>
  <si>
    <t>Retail Stability Charge ($mil)</t>
  </si>
  <si>
    <t>Depreciation &amp; Amortization</t>
  </si>
  <si>
    <t>Taxes Other Than Income</t>
  </si>
  <si>
    <t>Operating Expense</t>
  </si>
  <si>
    <t>Total Operating Income</t>
  </si>
  <si>
    <t>Check</t>
  </si>
  <si>
    <t>AFUDC - Equity</t>
  </si>
  <si>
    <t>EBITDA Guidance High</t>
  </si>
  <si>
    <t>EBITDA Guidance Low</t>
  </si>
  <si>
    <t>AEP Generating Co</t>
  </si>
  <si>
    <t>Competitive Operations</t>
  </si>
  <si>
    <t>Wheeling Power Co</t>
  </si>
  <si>
    <t>NM</t>
  </si>
  <si>
    <t>Electric Rate Change - Ohio</t>
  </si>
  <si>
    <t>Electric Rate Change - Texas</t>
  </si>
  <si>
    <t>Transmission Rate Change - Ohio</t>
  </si>
  <si>
    <t>Electric Rate Change - Arkansas</t>
  </si>
  <si>
    <t>Electric Rate Change - Lousiana (formula rates)</t>
  </si>
  <si>
    <t>Electric Rate Change - Oklahoma</t>
  </si>
  <si>
    <t>Transmission Revenues</t>
  </si>
  <si>
    <t>Electric Rate Change - Kentucky</t>
  </si>
  <si>
    <t>Rider Revenues - Environmental (Kentucky)</t>
  </si>
  <si>
    <t>EPS - Generation &amp; Marketing</t>
  </si>
  <si>
    <t>David Arcaro</t>
  </si>
  <si>
    <t>(212) 761-1817</t>
  </si>
  <si>
    <t>david.arcaro@morganstanley.com</t>
  </si>
  <si>
    <t>NY LHV</t>
  </si>
  <si>
    <t>ISO-NE SEMA-RI</t>
  </si>
  <si>
    <t>PJM / Texas Carbon Price ($/ton)</t>
  </si>
  <si>
    <t>Carbon Price Impact</t>
  </si>
  <si>
    <t>Carbon Price ($/Ton)</t>
  </si>
  <si>
    <t>Coal Emissions Rate (ton/MWh)</t>
  </si>
  <si>
    <t>Marginal Gas Emissions Rate (ton/MWh)</t>
  </si>
  <si>
    <t>Gas Price:</t>
  </si>
  <si>
    <t>Texas</t>
  </si>
  <si>
    <t>Power Price Impact</t>
  </si>
  <si>
    <t>Power Price Impact for Model ($/MWh):</t>
  </si>
  <si>
    <t>Heat Rate Adder (btu/kWh)</t>
  </si>
  <si>
    <t>Incl. Carbon</t>
  </si>
  <si>
    <t>PJM/TX Carbon</t>
  </si>
  <si>
    <t>Carbon Allowance Cost ($/Ton)</t>
  </si>
  <si>
    <t>Gas Peaker Allowance Cost ($/MWh)</t>
  </si>
  <si>
    <t>Carbon Intensity (Tons/MWh)</t>
  </si>
  <si>
    <t>CCGT Allowance Cost ($/MWh)</t>
  </si>
  <si>
    <t>Coal Plant Allowance Cost ($/MWh)</t>
  </si>
  <si>
    <t>4Q2014A</t>
  </si>
  <si>
    <t>2014A</t>
  </si>
  <si>
    <t>1Q2015A</t>
  </si>
  <si>
    <t>2Q2015A</t>
  </si>
  <si>
    <t>FY2014A</t>
  </si>
  <si>
    <t>2019E</t>
  </si>
  <si>
    <t>2020E</t>
  </si>
  <si>
    <t>1Q2019E</t>
  </si>
  <si>
    <t>2Q2019E</t>
  </si>
  <si>
    <t>3Q2019E</t>
  </si>
  <si>
    <t>4Q2019E</t>
  </si>
  <si>
    <t>1Q2020E</t>
  </si>
  <si>
    <t>2Q2020E</t>
  </si>
  <si>
    <t>3Q2020E</t>
  </si>
  <si>
    <t>4Q2020E</t>
  </si>
  <si>
    <t>1Q19</t>
  </si>
  <si>
    <t>2Q19</t>
  </si>
  <si>
    <t>3Q19</t>
  </si>
  <si>
    <t>4Q19</t>
  </si>
  <si>
    <t>1Q20</t>
  </si>
  <si>
    <t>2Q20</t>
  </si>
  <si>
    <t>3Q20</t>
  </si>
  <si>
    <t>4Q20</t>
  </si>
  <si>
    <t>Assumed Issuance 2019</t>
  </si>
  <si>
    <t>Assumed Issuance 2020</t>
  </si>
  <si>
    <t>2.73% senior note due 2018</t>
  </si>
  <si>
    <t>4.05% senior note due 2023</t>
  </si>
  <si>
    <t>4.38% senior note due 2028</t>
  </si>
  <si>
    <t>5.32% senior note due 2043</t>
  </si>
  <si>
    <t>5.42% senior note due 2044</t>
  </si>
  <si>
    <t>4.625% due 2021</t>
  </si>
  <si>
    <t>2.008% Senior series A-1 consumer rate relief secured bonds, due 2023</t>
  </si>
  <si>
    <t>3.772% Senior series A-2 consumer rate relief secured bonds, due 2028</t>
  </si>
  <si>
    <t>1.75% due 2025</t>
  </si>
  <si>
    <t>Term Loan, due 2017</t>
  </si>
  <si>
    <t>0.96%, Securitization Bonds, due 2017</t>
  </si>
  <si>
    <t>2.05%, Securitization Bonds, due 2019</t>
  </si>
  <si>
    <t>2.61% senior note due 2019</t>
  </si>
  <si>
    <t>3.81% senior note due 2026</t>
  </si>
  <si>
    <t>4.67% senior note due 2044</t>
  </si>
  <si>
    <t>Senior Unsecured Notes, due 2022</t>
  </si>
  <si>
    <t>Senior Unsecured Notes, due 2025</t>
  </si>
  <si>
    <t>Senior Unsecured Notes, due 2035</t>
  </si>
  <si>
    <t>Senior Unsecured Notes, due 2045</t>
  </si>
  <si>
    <t>PCB, due 2019</t>
  </si>
  <si>
    <t>PJM CP Transition Auction / Base Capacity Adjustment</t>
  </si>
  <si>
    <t>MWs cleared</t>
  </si>
  <si>
    <t>Price Increase Relative to BRA</t>
  </si>
  <si>
    <t>Margin Uplift</t>
  </si>
  <si>
    <t>Differential vs 2019</t>
  </si>
  <si>
    <t>Gas/Power Sensitivity Assumption:</t>
  </si>
  <si>
    <r>
      <t xml:space="preserve">AEP River - </t>
    </r>
    <r>
      <rPr>
        <b/>
        <sz val="12"/>
        <color indexed="60"/>
        <rFont val="Arial"/>
        <family val="2"/>
      </rPr>
      <t>SALE PENDING</t>
    </r>
  </si>
  <si>
    <t>Weather Adjustment</t>
  </si>
  <si>
    <r>
      <t xml:space="preserve">AEP River - </t>
    </r>
    <r>
      <rPr>
        <b/>
        <sz val="10"/>
        <color indexed="60"/>
        <rFont val="Arial"/>
        <family val="2"/>
      </rPr>
      <t>SALE PENDING</t>
    </r>
  </si>
  <si>
    <t>Guidance High Case 2015-18</t>
  </si>
  <si>
    <t>Total AEP Capex (ex JV Contributions)</t>
  </si>
  <si>
    <t>One-Time Items</t>
  </si>
  <si>
    <t>One-Time Adjustment</t>
  </si>
  <si>
    <t>Capacity (MW)</t>
  </si>
  <si>
    <t>Arman Tabatabai</t>
  </si>
  <si>
    <t>(212) 761-6358</t>
  </si>
  <si>
    <t>arman.tabatabai@morganstanley.com</t>
  </si>
  <si>
    <t>3Q2015A</t>
  </si>
  <si>
    <t>4Q2015A</t>
  </si>
  <si>
    <t>2015A</t>
  </si>
  <si>
    <t>Income From Discontinued Operations, Net Of Tax</t>
  </si>
  <si>
    <t>FY2015A</t>
  </si>
  <si>
    <t>One time adjustment for net income</t>
  </si>
  <si>
    <t>3.850% Series G senior unsecured notes, due Oct 1, 2025</t>
  </si>
  <si>
    <t>3.750% Series F senior unsecured notes, due Sept 30, 2025</t>
  </si>
  <si>
    <t>3.270% Series E senior unsecured notes, due Sept 30, 2022</t>
  </si>
  <si>
    <t>1Q2016A</t>
  </si>
  <si>
    <t>4.55% Senior Unsecured Notes due 2046</t>
  </si>
  <si>
    <t>X</t>
  </si>
  <si>
    <t>Ethan C. Ellison</t>
  </si>
  <si>
    <t>(212) 296-5124</t>
  </si>
  <si>
    <t>ethan.ellison@morganstanley.com</t>
  </si>
  <si>
    <t>2Q2016A</t>
  </si>
  <si>
    <t>2014-2018 CAGR</t>
  </si>
  <si>
    <t>Total (ex. JV)</t>
  </si>
  <si>
    <t>PJM &amp; NE COAL ENERGY MARGIN - AT MARKET</t>
  </si>
  <si>
    <t>Fuel Costs</t>
  </si>
  <si>
    <t>Margins</t>
  </si>
  <si>
    <t>AD Hub Baseload Coal</t>
  </si>
  <si>
    <t>Peak Price ($/mwh)</t>
  </si>
  <si>
    <t>Off Peak Price ($/mwh)</t>
  </si>
  <si>
    <t>Fuel Price ($/mwh)</t>
  </si>
  <si>
    <t>Total MW On-Line</t>
  </si>
  <si>
    <t>Peak Capacity Factor (%)</t>
  </si>
  <si>
    <t>Peak Generation (gwh)</t>
  </si>
  <si>
    <t>Off Peak Capacity Factor</t>
  </si>
  <si>
    <t>Off Peak Generation (gwh)</t>
  </si>
  <si>
    <t>Total Capacity Factor (%) - All-Hours</t>
  </si>
  <si>
    <t>Total Generation (gwh)</t>
  </si>
  <si>
    <t>Revenues (Energy Only)</t>
  </si>
  <si>
    <t>CAPACITY MARGIN CALCULATION - AT MARKET</t>
  </si>
  <si>
    <t>RTO</t>
  </si>
  <si>
    <t>MW On-Line</t>
  </si>
  <si>
    <t>Revenues</t>
  </si>
  <si>
    <t>Clearance in Capacity Auctions</t>
  </si>
  <si>
    <t>Plant List</t>
  </si>
  <si>
    <t>Name and Location of Facility</t>
  </si>
  <si>
    <t>LDA</t>
  </si>
  <si>
    <t>Type</t>
  </si>
  <si>
    <t>Segment</t>
  </si>
  <si>
    <t>Power Market</t>
  </si>
  <si>
    <t>Hub</t>
  </si>
  <si>
    <t>% Owned</t>
  </si>
  <si>
    <t>Heat Rate</t>
  </si>
  <si>
    <t>Retirement Date</t>
  </si>
  <si>
    <t>Reactivate?</t>
  </si>
  <si>
    <t>CF</t>
  </si>
  <si>
    <t>Transport Cost</t>
  </si>
  <si>
    <t>Gas</t>
  </si>
  <si>
    <t>PJM</t>
  </si>
  <si>
    <t>American Electric Power</t>
  </si>
  <si>
    <t>O&amp;M AND NON-INCOME TAXES</t>
  </si>
  <si>
    <t>Base O&amp;M</t>
  </si>
  <si>
    <t>Total Growth (YoY)</t>
  </si>
  <si>
    <t>Base O&amp;M Growth</t>
  </si>
  <si>
    <t>Total Taxes Other Than Income</t>
  </si>
  <si>
    <t>Generation D&amp;A</t>
  </si>
  <si>
    <t>Generation D&amp;A Rate</t>
  </si>
  <si>
    <t>Asset Sale/Transfer</t>
  </si>
  <si>
    <t>Generation Base Capex</t>
  </si>
  <si>
    <t>Wholly-owned, AEP Operated</t>
  </si>
  <si>
    <t>Joint Venture, AEP Operated</t>
  </si>
  <si>
    <t>Joint Venture, Operated by Others</t>
  </si>
  <si>
    <t>Capacity/energy entitlements</t>
  </si>
  <si>
    <t>Operating Capacity (MW)</t>
  </si>
  <si>
    <t>O&amp;M Expense per MWh</t>
  </si>
  <si>
    <t>AEP Capacity</t>
  </si>
  <si>
    <t>Misc.</t>
  </si>
  <si>
    <t>Coal, controlled</t>
  </si>
  <si>
    <t>Coal, FGD, Gore HG</t>
  </si>
  <si>
    <r>
      <rPr>
        <b/>
        <sz val="10"/>
        <color indexed="8"/>
        <rFont val="Arial"/>
        <family val="2"/>
      </rPr>
      <t>Cardinal 1</t>
    </r>
    <r>
      <rPr>
        <sz val="10"/>
        <color indexed="8"/>
        <rFont val="Arial"/>
        <family val="2"/>
      </rPr>
      <t>; Jefferson OH</t>
    </r>
  </si>
  <si>
    <r>
      <rPr>
        <b/>
        <sz val="10"/>
        <color indexed="8"/>
        <rFont val="Arial"/>
        <family val="2"/>
      </rPr>
      <t>Conesville 5, 6</t>
    </r>
    <r>
      <rPr>
        <sz val="10"/>
        <color indexed="8"/>
        <rFont val="Arial"/>
        <family val="2"/>
      </rPr>
      <t>; Coshocton, OH</t>
    </r>
  </si>
  <si>
    <r>
      <rPr>
        <b/>
        <sz val="10"/>
        <color indexed="8"/>
        <rFont val="Arial"/>
        <family val="2"/>
      </rPr>
      <t>Conesville 4</t>
    </r>
    <r>
      <rPr>
        <sz val="10"/>
        <color indexed="8"/>
        <rFont val="Arial"/>
        <family val="2"/>
      </rPr>
      <t>; Coshocton, OH</t>
    </r>
  </si>
  <si>
    <t>Gas, CT</t>
  </si>
  <si>
    <r>
      <rPr>
        <b/>
        <sz val="10"/>
        <color indexed="8"/>
        <rFont val="Arial"/>
        <family val="2"/>
      </rPr>
      <t>Darby</t>
    </r>
    <r>
      <rPr>
        <sz val="10"/>
        <color indexed="8"/>
        <rFont val="Arial"/>
        <family val="2"/>
      </rPr>
      <t>; Pickaway, OH</t>
    </r>
  </si>
  <si>
    <r>
      <rPr>
        <b/>
        <sz val="10"/>
        <color indexed="8"/>
        <rFont val="Arial"/>
        <family val="2"/>
      </rPr>
      <t>Gen J M Gavin</t>
    </r>
    <r>
      <rPr>
        <sz val="10"/>
        <color indexed="8"/>
        <rFont val="Arial"/>
        <family val="2"/>
      </rPr>
      <t>; Gallia, OH</t>
    </r>
  </si>
  <si>
    <r>
      <rPr>
        <b/>
        <sz val="10"/>
        <color indexed="8"/>
        <rFont val="Arial"/>
        <family val="2"/>
      </rPr>
      <t>J.M. Stuart</t>
    </r>
    <r>
      <rPr>
        <sz val="10"/>
        <color indexed="8"/>
        <rFont val="Arial"/>
        <family val="2"/>
      </rPr>
      <t>; Adams, OH</t>
    </r>
  </si>
  <si>
    <r>
      <t>J.M. Stuart IC</t>
    </r>
    <r>
      <rPr>
        <sz val="10"/>
        <color indexed="8"/>
        <rFont val="Arial"/>
        <family val="2"/>
      </rPr>
      <t>; Adams, OH</t>
    </r>
  </si>
  <si>
    <r>
      <rPr>
        <b/>
        <sz val="10"/>
        <color indexed="8"/>
        <rFont val="Arial"/>
        <family val="2"/>
      </rPr>
      <t>Racine</t>
    </r>
    <r>
      <rPr>
        <sz val="10"/>
        <color indexed="8"/>
        <rFont val="Arial"/>
        <family val="2"/>
      </rPr>
      <t>; Meigs, OH</t>
    </r>
  </si>
  <si>
    <t>Water</t>
  </si>
  <si>
    <t>N/A</t>
  </si>
  <si>
    <t>Gas, CC, SCR</t>
  </si>
  <si>
    <r>
      <rPr>
        <b/>
        <sz val="10"/>
        <color indexed="8"/>
        <rFont val="Arial"/>
        <family val="2"/>
      </rPr>
      <t>W.H. Zimmer</t>
    </r>
    <r>
      <rPr>
        <sz val="10"/>
        <color indexed="8"/>
        <rFont val="Arial"/>
        <family val="2"/>
      </rPr>
      <t>; Clermont, OH</t>
    </r>
  </si>
  <si>
    <r>
      <rPr>
        <b/>
        <sz val="10"/>
        <color indexed="8"/>
        <rFont val="Arial"/>
        <family val="2"/>
      </rPr>
      <t>Waterford</t>
    </r>
    <r>
      <rPr>
        <sz val="10"/>
        <color indexed="8"/>
        <rFont val="Arial"/>
        <family val="2"/>
      </rPr>
      <t>; Washington, OH</t>
    </r>
  </si>
  <si>
    <t>Incremental Capex (Driven by G&amp;M liquidation)</t>
  </si>
  <si>
    <t>Existing Debt</t>
  </si>
  <si>
    <t>New Debt</t>
  </si>
  <si>
    <t>Existing Debt Cost</t>
  </si>
  <si>
    <t>New Debt Cost</t>
  </si>
  <si>
    <t>Electric Rate Change - Tennessee</t>
  </si>
  <si>
    <t>OVEC (entitlement)</t>
  </si>
  <si>
    <r>
      <rPr>
        <b/>
        <sz val="10"/>
        <rFont val="Arial"/>
        <family val="2"/>
      </rPr>
      <t xml:space="preserve">Lawrenceburg; </t>
    </r>
    <r>
      <rPr>
        <sz val="10"/>
        <rFont val="Arial"/>
        <family val="2"/>
      </rPr>
      <t>Dearborn, IN</t>
    </r>
  </si>
  <si>
    <t>Gross Plant (ex JVs)</t>
  </si>
  <si>
    <t>CONTRACTED RENEWABLES</t>
  </si>
  <si>
    <t>Planned Capital Spend</t>
  </si>
  <si>
    <t>Allocation</t>
  </si>
  <si>
    <t>Utility Scale Solar</t>
  </si>
  <si>
    <t>AEP Onsite Partners (Distributed)</t>
  </si>
  <si>
    <t>Unit Cost</t>
  </si>
  <si>
    <t>Wind ($/kW)</t>
  </si>
  <si>
    <t>Utility Scale Solar ($/kW)</t>
  </si>
  <si>
    <t>AEP Onsite Partners (Distributed) ($/kW)</t>
  </si>
  <si>
    <t>Contracted Wind</t>
  </si>
  <si>
    <t>Assumed PPA Price</t>
  </si>
  <si>
    <t>Assumed Additions (US only)</t>
  </si>
  <si>
    <t>Capacity Factor</t>
  </si>
  <si>
    <t>Production (gwh)</t>
  </si>
  <si>
    <t>Distributed Solar</t>
  </si>
  <si>
    <t>Contracted Revenue</t>
  </si>
  <si>
    <t>Installed Capacity (MW)</t>
  </si>
  <si>
    <t>On-Line Year</t>
  </si>
  <si>
    <t>MWs</t>
  </si>
  <si>
    <t>ITC Percentage</t>
  </si>
  <si>
    <t>Incremental ITC Earnings</t>
  </si>
  <si>
    <t>Reduction in ITC Earnings</t>
  </si>
  <si>
    <t>Total ITC Earnings</t>
  </si>
  <si>
    <t>Wind PTC Detail</t>
  </si>
  <si>
    <t>2016 Additions</t>
  </si>
  <si>
    <t>2017 Additions</t>
  </si>
  <si>
    <t>2018 Additions</t>
  </si>
  <si>
    <t>2019 Additions</t>
  </si>
  <si>
    <t>2020 Additions</t>
  </si>
  <si>
    <t>ITC Cash Flow</t>
  </si>
  <si>
    <t>Total MW</t>
  </si>
  <si>
    <t>PTC Price ($/MWh)</t>
  </si>
  <si>
    <t>Solar ITC Detail</t>
  </si>
  <si>
    <t>PTC</t>
  </si>
  <si>
    <t>ITC</t>
  </si>
  <si>
    <t>Total Income Tax Offset</t>
  </si>
  <si>
    <t>Effective Tax Rate</t>
  </si>
  <si>
    <t>2018 PTC</t>
  </si>
  <si>
    <t>2019 PTC</t>
  </si>
  <si>
    <t>2020 PTC</t>
  </si>
  <si>
    <t>Production (GWH) - Pre-2018 COD</t>
  </si>
  <si>
    <t>Production (GWH) - 2018 COD</t>
  </si>
  <si>
    <t>Production (GWH) - 2019 COD</t>
  </si>
  <si>
    <t>Production (GWH) - 2020 COD</t>
  </si>
  <si>
    <t>Renewables</t>
  </si>
  <si>
    <t>Other (includes ITC)</t>
  </si>
  <si>
    <t>Revenue</t>
  </si>
  <si>
    <t>Purchased Power Cost</t>
  </si>
  <si>
    <t>Purchased Power Price ($/MWh)</t>
  </si>
  <si>
    <t>Margin ($/MWh)</t>
  </si>
  <si>
    <t>RETAIL REVENUES</t>
  </si>
  <si>
    <t>Wind &amp; Solar O&amp;M ($/kW)</t>
  </si>
  <si>
    <t>O&amp;M Growth From Renewables</t>
  </si>
  <si>
    <t>Growth</t>
  </si>
  <si>
    <t>NPV of Tax Assets</t>
  </si>
  <si>
    <t>NPV</t>
  </si>
  <si>
    <t>3Q2016A</t>
  </si>
  <si>
    <t>3.05% Senior Unsecured Notes, due 2026</t>
  </si>
  <si>
    <t>4.11% Senior Unsecured Notes, due 2046</t>
  </si>
  <si>
    <t>2.75% Senior secured Notes, due 2026</t>
  </si>
  <si>
    <t>1Q2021E</t>
  </si>
  <si>
    <t>2Q2021E</t>
  </si>
  <si>
    <t>3Q2021E</t>
  </si>
  <si>
    <t>4Q2021E</t>
  </si>
  <si>
    <t>2021E</t>
  </si>
  <si>
    <t>2021 Forward Gas</t>
  </si>
  <si>
    <t>1Q21</t>
  </si>
  <si>
    <t>2Q21</t>
  </si>
  <si>
    <t>3Q21</t>
  </si>
  <si>
    <t>4Q21</t>
  </si>
  <si>
    <t>Assumed Issuance 2021</t>
  </si>
  <si>
    <t>2015-20</t>
  </si>
  <si>
    <t>Prairie Wind (50% ETA / 50% WR)</t>
  </si>
  <si>
    <t>4Q2016A</t>
  </si>
  <si>
    <t>2016A</t>
  </si>
  <si>
    <t>FY2016A</t>
  </si>
  <si>
    <t>Bank Term Loan, due 2019</t>
  </si>
  <si>
    <t>Bank Term Loan, due 2018</t>
  </si>
  <si>
    <t>WV Economic Dev. Authority, Series 2014A (Mitchell), due 2036</t>
  </si>
  <si>
    <t>4.33% Senior Note, Series B, due 2026</t>
  </si>
  <si>
    <t>5.20% Pollution Control Bonds, due 2030</t>
  </si>
  <si>
    <t>0.880% securitization bond due 2017</t>
  </si>
  <si>
    <t>4.710% Series g senior unsecured notes, due Dec 15, 2035</t>
  </si>
  <si>
    <t>Term Loan , due 2018</t>
  </si>
  <si>
    <t>West Virginia Economic Development Authority, Series 2013A, due 2037</t>
  </si>
  <si>
    <t>5.52% senior note due 2044</t>
  </si>
  <si>
    <t>2.680% Senior Notes, Series C, Tranche A, due 2019</t>
  </si>
  <si>
    <t>3.180% Senior Notes, Series C, Tranche B, due 2021</t>
  </si>
  <si>
    <t>3.560% Senior Notes, Series C, Tranche C, due 2024</t>
  </si>
  <si>
    <t>3.660% Senior Notes, Series C, Tranche D, due 2025</t>
  </si>
  <si>
    <t>3.760% Senior Notes, Series C, Tranche E, due 2025</t>
  </si>
  <si>
    <t>3.810% Senior Notes, Series C, Tranche F, due 2029</t>
  </si>
  <si>
    <t>4.010% Senior Notes, Series C, Tranche G, due 2030</t>
  </si>
  <si>
    <t>4.050% Senior Notes, Series C, Tranche H, due 2034</t>
  </si>
  <si>
    <t>4.530% Senior Notes, Series C, Tranche I, due 2044</t>
  </si>
  <si>
    <t>3.10%, Senior Notes, Series D, due 2026</t>
  </si>
  <si>
    <t>4.00%, Senior Notes, Series D, due 2046</t>
  </si>
  <si>
    <t>4.77% senior note due 2044</t>
  </si>
  <si>
    <t>Total Spending AEPTHC</t>
  </si>
  <si>
    <t>Transcos (100% AEP)</t>
  </si>
  <si>
    <t>2017-19 CapEx</t>
  </si>
  <si>
    <t>Average Rate Base</t>
  </si>
  <si>
    <t>1Q2017A</t>
  </si>
  <si>
    <t>Pollution Control Bonds due 2019</t>
  </si>
  <si>
    <t>Pollution Control Bonds due 2021</t>
  </si>
  <si>
    <t>2019e</t>
  </si>
  <si>
    <t>2Q2017A</t>
  </si>
  <si>
    <t>3.30% Senior Unsecured Notes due 2027</t>
  </si>
  <si>
    <t>3.75% Senior Unsecured Notes due 2047</t>
  </si>
  <si>
    <t>Other Long-term Debt due 2020</t>
  </si>
  <si>
    <t>2.00% Pollution Control Bonds due 2020</t>
  </si>
  <si>
    <t>Other Long-term Debt, due 2020</t>
  </si>
  <si>
    <t>3Q2017A</t>
  </si>
  <si>
    <t>3.10% Senior Unsecured Notes, due 2026 (pertains to AEPTCo)</t>
  </si>
  <si>
    <t>3.75% Senior Unsecured Notes, due 2047 (pertains to AEPTCo)</t>
  </si>
  <si>
    <t>1.75% pollution control bond due 2020 (AEP Texas)</t>
  </si>
  <si>
    <t>2.40% Senior unsecured notes, due 2022 (AEP Texas)</t>
  </si>
  <si>
    <t>3.80% Senior unsecured notes, due 2047 (AEP Texas)</t>
  </si>
  <si>
    <t>3.13% Pollution Control Bonds due 2024</t>
  </si>
  <si>
    <t>3.35% Pollution Control Bonds due 2027</t>
  </si>
  <si>
    <t>3.45% Pollution Control Bonds due 2029</t>
  </si>
  <si>
    <t>4.12% Pollution Control Bonds due 2047</t>
  </si>
  <si>
    <t>Guidance (Year End)</t>
  </si>
  <si>
    <t>Guidance (Year-End)</t>
  </si>
  <si>
    <t>Wind Catcher Energy Connection Capex</t>
  </si>
  <si>
    <t>Wind Catcher Rider Revenue</t>
  </si>
  <si>
    <t>Wind Catcher Energy Connection Capex Scedule</t>
  </si>
  <si>
    <t>Gen-Tie Timing</t>
  </si>
  <si>
    <t>Gen-Tie Capex</t>
  </si>
  <si>
    <t>Overall Probability</t>
  </si>
  <si>
    <t>Wind Plant Capex</t>
  </si>
  <si>
    <t>Wind Plant Timing</t>
  </si>
  <si>
    <t>AFUDC - Wind Catcher - Equity</t>
  </si>
  <si>
    <t>AFUDC - Wind Catcher - Debt</t>
  </si>
  <si>
    <t>83</t>
  </si>
  <si>
    <t>2017A</t>
  </si>
  <si>
    <t>4Q2017A</t>
  </si>
  <si>
    <t>FY2017A</t>
  </si>
  <si>
    <t>3.10% Senior Unsecured Notes, due 2026</t>
  </si>
  <si>
    <t>3.75% Senior Unsecured Notes, due 2047</t>
  </si>
  <si>
    <t>2.150% senior unsecured notes due 2020</t>
  </si>
  <si>
    <t>3.200% senior unsecured notes due 2027</t>
  </si>
  <si>
    <t>1.625% due 2022</t>
  </si>
  <si>
    <t>1.70% due 2041</t>
  </si>
  <si>
    <t>Bank Term Loan due 06/29/2020</t>
  </si>
  <si>
    <t>Term Loan, due 11/04/2019</t>
  </si>
  <si>
    <t>Cash Restated</t>
  </si>
  <si>
    <t>RATE BASE (YEAR END)</t>
  </si>
  <si>
    <t>Deferred Taxes / Other</t>
  </si>
  <si>
    <t>&lt;- 2018-2020 Capex</t>
  </si>
  <si>
    <t>Change in Debt</t>
  </si>
  <si>
    <t>Net Generation (GWh)</t>
  </si>
  <si>
    <t>Tax Reform Adjustment</t>
  </si>
  <si>
    <t>Tax Reform Adjustments</t>
  </si>
  <si>
    <t>Research</t>
  </si>
  <si>
    <t>MSA54148</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</si>
  <si>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</si>
  <si>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</si>
  <si>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</si>
  <si>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</si>
  <si>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</si>
  <si>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</si>
  <si>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</si>
  <si>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Stephen Byrd</t>
  </si>
  <si>
    <t>Date: 24 Apr 2018</t>
  </si>
  <si>
    <t>Ticker: AEP.N</t>
  </si>
  <si>
    <t>Stock Rating: Overweight</t>
  </si>
  <si>
    <t>Industry: Diversified Utilities / IPPs</t>
  </si>
  <si>
    <t>Industry View: Attractive</t>
  </si>
  <si>
    <t>Price as of 24 Apr 2018: 68.88</t>
  </si>
  <si>
    <t>Target Price: 73</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</si>
  <si>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</si>
  <si>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</si>
  <si>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</si>
  <si>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</si>
  <si>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American Electric Power Co.</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</si>
  <si>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</si>
  <si>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</si>
  <si>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</si>
  <si>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</si>
  <si>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</si>
  <si>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</si>
  <si>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</si>
  <si>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</si>
  <si>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</si>
  <si>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</si>
  <si>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</si>
  <si>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</si>
  <si>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</si>
  <si>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</si>
  <si>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</si>
  <si>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</si>
  <si>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</si>
  <si>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</si>
  <si>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</si>
  <si>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</si>
  <si>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</si>
  <si>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</si>
  <si>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</si>
  <si>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</si>
  <si>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</si>
  <si>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</si>
  <si>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</si>
  <si>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</si>
  <si>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</si>
  <si>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</si>
  <si>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</si>
  <si>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</si>
  <si>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</si>
  <si>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</si>
  <si>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</si>
  <si>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</si>
  <si>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</si>
  <si>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</si>
  <si>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</si>
  <si>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</si>
  <si>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</si>
  <si>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</si>
  <si>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</si>
  <si>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</si>
  <si>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</si>
  <si>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</si>
  <si>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</si>
  <si>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</si>
  <si>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</si>
  <si>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</si>
  <si>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</si>
  <si>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</si>
  <si>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</si>
  <si>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</si>
  <si>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</si>
  <si>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</si>
  <si>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</si>
  <si>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</si>
  <si>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</si>
  <si>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</si>
  <si>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</si>
  <si>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</si>
  <si>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</si>
  <si>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</si>
  <si>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</si>
  <si>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</si>
  <si>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</si>
  <si>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</si>
  <si>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</si>
  <si>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</si>
  <si>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</si>
  <si>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</si>
  <si>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</si>
  <si>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</si>
  <si>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</si>
  <si>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</si>
  <si>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</si>
  <si>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</si>
  <si>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</si>
  <si>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</si>
  <si>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</si>
  <si>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</si>
  <si>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</si>
  <si>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</si>
  <si>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</si>
  <si>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</si>
  <si>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</si>
  <si>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</si>
  <si>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</si>
  <si>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</si>
  <si>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</si>
  <si>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</si>
  <si>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</si>
  <si>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</si>
  <si>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</si>
  <si>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</si>
  <si>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</si>
  <si>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</si>
  <si>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</si>
  <si>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</si>
  <si>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</si>
  <si>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</si>
  <si>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</si>
  <si>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</si>
  <si>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</si>
  <si>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</si>
  <si>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</si>
  <si>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</si>
  <si>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</si>
  <si>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</si>
  <si>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</si>
  <si>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</si>
  <si>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</si>
  <si>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</si>
  <si>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</si>
  <si>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</si>
  <si>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</si>
  <si>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</si>
  <si>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</si>
  <si>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</si>
  <si>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</si>
  <si>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</si>
  <si>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</si>
  <si>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</si>
  <si>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</si>
  <si>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</si>
  <si>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</si>
  <si>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</si>
  <si>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</si>
  <si>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</si>
  <si>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</si>
  <si>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</si>
  <si>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</si>
  <si>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</si>
  <si>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</si>
  <si>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</si>
  <si>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</si>
  <si>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</si>
  <si>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</si>
  <si>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</si>
  <si>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</si>
  <si>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</si>
  <si>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</si>
  <si>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</si>
  <si>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</si>
  <si>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</si>
  <si>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</si>
  <si>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</si>
  <si>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</si>
  <si>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</si>
  <si>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</si>
  <si>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</si>
  <si>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</si>
  <si>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</si>
  <si>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</si>
  <si>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</si>
  <si>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</si>
  <si>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</si>
  <si>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</si>
  <si>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</si>
  <si>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</si>
  <si>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</si>
  <si>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</si>
  <si>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</si>
  <si>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</si>
  <si>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</si>
  <si>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</si>
  <si>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</si>
  <si>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</si>
  <si>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</si>
  <si>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</si>
  <si>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</si>
  <si>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</si>
  <si>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</si>
  <si>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</si>
  <si>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</si>
  <si>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American Electric Power Co.</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</si>
  <si>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</si>
  <si>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</si>
  <si>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</si>
  <si>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</si>
  <si>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</si>
  <si>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</si>
  <si>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</si>
  <si>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</si>
  <si>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</si>
  <si>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</si>
  <si>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</si>
  <si>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</si>
  <si>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</si>
  <si>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</si>
  <si>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</si>
  <si>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</si>
  <si>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</si>
  <si>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</si>
  <si>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</si>
  <si>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</si>
  <si>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</si>
  <si>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</si>
  <si>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</si>
  <si>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</si>
  <si>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</si>
  <si>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</si>
  <si>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</si>
  <si>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</si>
  <si>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</si>
  <si>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</si>
  <si>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</si>
  <si>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</si>
  <si>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</si>
  <si>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</si>
  <si>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</si>
  <si>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</si>
  <si>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</si>
  <si>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</si>
  <si>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</si>
  <si>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</si>
  <si>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</si>
  <si>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</si>
  <si>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</si>
  <si>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</si>
  <si>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</si>
  <si>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</si>
  <si>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</si>
  <si>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</si>
  <si>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</si>
  <si>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</si>
  <si>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</si>
  <si>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</si>
  <si>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</si>
  <si>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</si>
  <si>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</si>
  <si>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</si>
  <si>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</si>
  <si>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</si>
  <si>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</si>
  <si>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</si>
  <si>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</si>
  <si>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</si>
  <si>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</si>
  <si>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</si>
  <si>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</si>
  <si>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</si>
  <si>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</si>
  <si>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</si>
  <si>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American Electric Power Co.</t>
  </si>
  <si>
    <t>Within the last 12 months, Morgan Stanley has provided or is providing investment banking services to,</t>
  </si>
  <si>
    <t>or has an investment banking client relationship with, the following company: American Electric Power Co.</t>
  </si>
  <si>
    <t>Within the last 12 months, Morgan Stanley has received compensation for products and services other than</t>
  </si>
  <si>
    <t>investment banking services from American Electric Power Co.</t>
  </si>
  <si>
    <t>In the next 3 months, Morgan Stanley expects to receive or intends to seek compensation for investment</t>
  </si>
  <si>
    <t>banking services from American Electric Power Co.</t>
  </si>
  <si>
    <t>Within the last 12 months, Morgan Stanley has received compensation for investment banking services from</t>
  </si>
  <si>
    <t>American Electric Power Co.</t>
  </si>
  <si>
    <t>Within the last 12 months, Morgan Stanley managed or co-managed a public offering (or 144A offering) of</t>
  </si>
  <si>
    <t>securities of American Electric Power Co.</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</si>
  <si>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</si>
  <si>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</si>
  <si>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</si>
  <si>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</si>
  <si>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</si>
  <si>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Stephen C Byrd.</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</si>
  <si>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</si>
  <si>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</si>
  <si>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</si>
  <si>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</si>
  <si>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</si>
  <si>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</si>
  <si>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</si>
  <si>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</si>
  <si>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</si>
  <si>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</si>
  <si>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</si>
  <si>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</si>
  <si>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</si>
  <si>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</si>
  <si>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</si>
  <si>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</si>
  <si>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</si>
  <si>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</si>
  <si>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</si>
  <si>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</si>
  <si>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</si>
  <si>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</si>
  <si>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</si>
  <si>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</si>
  <si>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DocType</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</si>
  <si>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</si>
  <si>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</si>
  <si>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</si>
  <si>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</si>
  <si>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</si>
  <si>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</si>
  <si>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</si>
  <si>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</si>
  <si>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</si>
  <si>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</si>
  <si>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</si>
  <si>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</si>
  <si>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</si>
  <si>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</si>
  <si>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</si>
  <si>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</si>
  <si>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</si>
  <si>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</si>
  <si>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</si>
  <si>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</si>
  <si>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</si>
  <si>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</si>
  <si>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</si>
  <si>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</si>
  <si>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</si>
  <si>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</si>
  <si>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</si>
  <si>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</si>
  <si>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</si>
  <si>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</si>
  <si>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</si>
  <si>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</si>
  <si>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</si>
  <si>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</si>
  <si>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</si>
  <si>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</si>
  <si>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</si>
  <si>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</si>
  <si>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</si>
  <si>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</si>
  <si>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</si>
  <si>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Attractive</t>
  </si>
  <si>
    <t>Regular Update</t>
  </si>
  <si>
    <t>NorthAmerica</t>
  </si>
  <si>
    <t>elliseth</t>
  </si>
  <si>
    <t>American Electric Power Co</t>
  </si>
  <si>
    <t>L:\UTILITIES\Models\AEP\Published\AEP Model.xlsm</t>
  </si>
  <si>
    <t>[BRO MSA]</t>
  </si>
  <si>
    <t>[PRODUCT MODEL]</t>
  </si>
  <si>
    <t>[EMAIL_ALERT YES]</t>
  </si>
  <si>
    <t>[DISCIPLINE Company]</t>
  </si>
  <si>
    <t>[SUPPRESSED NO]</t>
  </si>
  <si>
    <t>[DOCDAT 2018-04-24]</t>
  </si>
  <si>
    <t>[DOCTIME 17:02]</t>
  </si>
  <si>
    <t>[PSYM AEP.N(S&amp;P) (None)]</t>
  </si>
  <si>
    <t>[COU 1]</t>
  </si>
  <si>
    <t>[ANA ]</t>
  </si>
  <si>
    <t>[HL AEP.N Model]</t>
  </si>
  <si>
    <t>[IND ELECCO]</t>
  </si>
  <si>
    <t>[PANA MSA54148]</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</si>
  <si>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</si>
  <si>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</si>
  <si>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</si>
  <si>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</si>
  <si>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</si>
  <si>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1000</t>
  </si>
  <si>
    <t>3) Set Maximum Change = 0.001</t>
  </si>
  <si>
    <t>Sheet Name</t>
  </si>
  <si>
    <t>Visible Status</t>
  </si>
  <si>
    <t>ImportantDisclosures</t>
  </si>
  <si>
    <t>SheetVisibilityStatus</t>
  </si>
  <si>
    <t>CircularReferenceAlert</t>
  </si>
  <si>
    <t>Cover</t>
  </si>
  <si>
    <t>__FDSCACHE__</t>
  </si>
  <si>
    <t>Valuation</t>
  </si>
  <si>
    <t>Financials</t>
  </si>
  <si>
    <t>Utility Detail</t>
  </si>
  <si>
    <t>Transmission Holdco</t>
  </si>
  <si>
    <t>Debt</t>
  </si>
  <si>
    <t>Market Prices</t>
  </si>
  <si>
    <t>Plant Portfolio</t>
  </si>
  <si>
    <t>IndexInformation</t>
  </si>
  <si>
    <t>ModPubIndex</t>
  </si>
  <si>
    <t>AFOSHEET</t>
  </si>
  <si>
    <t>MW-Cache</t>
  </si>
</sst>
</file>

<file path=xl/styles.xml><?xml version="1.0" encoding="utf-8"?>
<styleSheet xmlns="http://schemas.openxmlformats.org/spreadsheetml/2006/main" xmlns:mc="http://schemas.openxmlformats.org/markup-compatibility/2006" xmlns:x14ac="http://schemas.microsoft.com/office/spreadsheetml/2009/9/ac" mc:Ignorable="x14ac">
  <numFmts count="40">
    <numFmt numFmtId="5" formatCode="&quot;$&quot;#,##0_);\(&quot;$&quot;#,##0\)"/>
    <numFmt numFmtId="6" formatCode="&quot;$&quot;#,##0_);[Red]\(&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F400]h:mm:ss\ AM/PM"/>
    <numFmt numFmtId="165" formatCode="mmm\ yy"/>
    <numFmt numFmtId="166" formatCode="0.0\x"/>
    <numFmt numFmtId="167" formatCode="0.0%"/>
    <numFmt numFmtId="168" formatCode="_(* #,##0_);_(* \(#,##0\);_(* &quot;-&quot;??_);_(@_)"/>
    <numFmt numFmtId="169" formatCode="0&quot;A&quot;"/>
    <numFmt numFmtId="170" formatCode="0&quot;E&quot;"/>
    <numFmt numFmtId="171" formatCode="#,##0.0_);[Red]\(#,##0.0\)"/>
    <numFmt numFmtId="172" formatCode="0000&quot;A&quot;"/>
    <numFmt numFmtId="173" formatCode="0000&quot;E&quot;"/>
    <numFmt numFmtId="174" formatCode="#,##0.0%_);\(#,##0.0%\)"/>
    <numFmt numFmtId="175" formatCode="_(* #,##0.0_);_(* \(#,##0.0\);_(* &quot;-&quot;??_);_(@_)"/>
    <numFmt numFmtId="176" formatCode="0_);\(0\)"/>
    <numFmt numFmtId="177" formatCode="_(* #,##0.000_);_(* \(#,##0.000\);_(* &quot;-&quot;??_);_(@_)"/>
    <numFmt numFmtId="178" formatCode="&quot;$&quot;#,##0.0_);[Red]\(&quot;$&quot;#,##0.0\)"/>
    <numFmt numFmtId="179" formatCode="&quot;$&quot;#,##0.0"/>
    <numFmt numFmtId="180" formatCode="####&quot;A&quot;"/>
    <numFmt numFmtId="181" formatCode="0.0"/>
    <numFmt numFmtId="182" formatCode="0.0_);[Red]\(0.0\)"/>
    <numFmt numFmtId="183" formatCode="0_);[Red]\(0\)"/>
    <numFmt numFmtId="184" formatCode="m/d/yy;@"/>
    <numFmt numFmtId="191" formatCode="#,##0.0"/>
    <numFmt numFmtId="192" formatCode="0.000%"/>
    <numFmt numFmtId="193" formatCode="[$-409]mmmm\ d\,\ yyyy;@"/>
    <numFmt numFmtId="194" formatCode="&quot;$&quot;#,##0.0000_);[Red]\(&quot;$&quot;#,##0.0000\)"/>
    <numFmt numFmtId="195" formatCode="#,##0.000"/>
    <numFmt numFmtId="196" formatCode="&quot;$&quot;#,##0.00000_);\(&quot;$&quot;#,##0.00000\)"/>
    <numFmt numFmtId="197" formatCode="_(* #,##0.00000_);_(* \(#,##0.00000\);_(* &quot;-&quot;??_);_(@_)"/>
    <numFmt numFmtId="198" formatCode="#,##0;[Red]\(#,##0\)"/>
    <numFmt numFmtId="199" formatCode="#,##0.00;[Red]\(#,##0.00\)"/>
    <numFmt numFmtId="200" formatCode="&quot;$&quot;#,##0.00000_);[Red]\(&quot;$&quot;#,##0.00000\)"/>
    <numFmt numFmtId="201" formatCode="_(* #,##0.0000_);_(* \(#,##0.0000\);_(* &quot;-&quot;??_);_(@_)"/>
    <numFmt numFmtId="207" formatCode="mm/dd/yy\ hh:mm"/>
  </numFmts>
  <fonts count="127">
    <font>
      <sz val="10"/>
      <name val="Arial"/>
    </font>
    <font>
      <sz val="10"/>
      <name val="Arial"/>
      <family val="2"/>
    </font>
    <font>
      <sz val="10"/>
      <name val="Arial"/>
      <family val="2"/>
    </font>
    <font>
      <sz val="10"/>
      <name val="Arial"/>
      <family val="2"/>
    </font>
    <font>
      <b/>
      <sz val="14"/>
      <color indexed="9"/>
      <name val="Arial"/>
      <family val="2"/>
    </font>
    <font>
      <b/>
      <sz val="12"/>
      <color indexed="16"/>
      <name val="Arial"/>
      <family val="2"/>
    </font>
    <font>
      <sz val="12"/>
      <color indexed="16"/>
      <name val="Arial"/>
      <family val="2"/>
    </font>
    <font>
      <b/>
      <sz val="12"/>
      <color indexed="12"/>
      <name val="Arial"/>
      <family val="2"/>
    </font>
    <font>
      <b/>
      <sz val="12"/>
      <color indexed="9"/>
      <name val="Arial"/>
      <family val="2"/>
    </font>
    <font>
      <b/>
      <sz val="10"/>
      <color indexed="16"/>
      <name val="Arial"/>
      <family val="2"/>
    </font>
    <font>
      <i/>
      <sz val="10"/>
      <color indexed="9"/>
      <name val="Arial"/>
      <family val="2"/>
    </font>
    <font>
      <sz val="10"/>
      <color indexed="16"/>
      <name val="Arial"/>
      <family val="2"/>
    </font>
    <font>
      <b/>
      <sz val="10"/>
      <color indexed="9"/>
      <name val="Arial"/>
      <family val="2"/>
    </font>
    <font>
      <b/>
      <sz val="8"/>
      <color indexed="16"/>
      <name val="Arial"/>
      <family val="2"/>
    </font>
    <font>
      <sz val="10"/>
      <color indexed="10"/>
      <name val="Arial"/>
      <family val="2"/>
    </font>
    <font>
      <sz val="10"/>
      <color indexed="63"/>
      <name val="Arial"/>
      <family val="2"/>
    </font>
    <font>
      <sz val="10"/>
      <color indexed="12"/>
      <name val="Arial"/>
      <family val="2"/>
    </font>
    <font>
      <b/>
      <sz val="10"/>
      <name val="Arial"/>
      <family val="2"/>
    </font>
    <font>
      <i/>
      <sz val="10"/>
      <name val="Arial"/>
      <family val="2"/>
    </font>
    <font>
      <b/>
      <sz val="10"/>
      <color indexed="63"/>
      <name val="Arial"/>
      <family val="2"/>
    </font>
    <font>
      <sz val="10"/>
      <color indexed="9"/>
      <name val="Arial"/>
      <family val="2"/>
    </font>
    <font>
      <sz val="8"/>
      <name val="Arial"/>
      <family val="2"/>
    </font>
    <font>
      <u/>
      <sz val="10"/>
      <name val="Arial"/>
      <family val="2"/>
    </font>
    <font>
      <sz val="7"/>
      <name val="Arial"/>
      <family val="2"/>
    </font>
    <font>
      <sz val="12"/>
      <name val="Arial"/>
      <family val="2"/>
    </font>
    <font>
      <sz val="10"/>
      <color indexed="46"/>
      <name val="Arial"/>
      <family val="2"/>
    </font>
    <font>
      <sz val="10"/>
      <color indexed="52"/>
      <name val="Arial"/>
      <family val="2"/>
    </font>
    <font>
      <b/>
      <sz val="10"/>
      <color indexed="8"/>
      <name val="Arial"/>
      <family val="2"/>
    </font>
    <font>
      <sz val="10"/>
      <color indexed="8"/>
      <name val="Arial"/>
      <family val="2"/>
    </font>
    <font>
      <i/>
      <sz val="10"/>
      <color indexed="55"/>
      <name val="Arial"/>
      <family val="2"/>
    </font>
    <font>
      <sz val="10"/>
      <color indexed="63"/>
      <name val="Arial"/>
      <family val="2"/>
    </font>
    <font>
      <sz val="10"/>
      <color indexed="60"/>
      <name val="Arial"/>
      <family val="2"/>
    </font>
    <font>
      <sz val="10"/>
      <color indexed="8"/>
      <name val="Arial"/>
      <family val="2"/>
    </font>
    <font>
      <sz val="10"/>
      <color indexed="54"/>
      <name val="Arial"/>
      <family val="2"/>
    </font>
    <font>
      <b/>
      <sz val="10"/>
      <color indexed="52"/>
      <name val="Arial"/>
      <family val="2"/>
    </font>
    <font>
      <b/>
      <u/>
      <sz val="10"/>
      <name val="Arial"/>
      <family val="2"/>
    </font>
    <font>
      <b/>
      <sz val="10"/>
      <color indexed="24"/>
      <name val="Arial"/>
      <family val="2"/>
    </font>
    <font>
      <b/>
      <i/>
      <sz val="10"/>
      <name val="Arial"/>
      <family val="2"/>
    </font>
    <font>
      <sz val="10"/>
      <color indexed="13"/>
      <name val="Arial"/>
      <family val="2"/>
    </font>
    <font>
      <u/>
      <sz val="10"/>
      <color indexed="63"/>
      <name val="Arial"/>
      <family val="2"/>
    </font>
    <font>
      <sz val="8"/>
      <name val="Arial"/>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b/>
      <sz val="10"/>
      <name val="Arial"/>
      <family val="2"/>
    </font>
    <font>
      <sz val="10"/>
      <name val="Arial"/>
      <family val="2"/>
    </font>
    <font>
      <sz val="8"/>
      <color indexed="81"/>
      <name val="Tahoma"/>
      <family val="2"/>
    </font>
    <font>
      <b/>
      <sz val="8"/>
      <color indexed="81"/>
      <name val="Tahoma"/>
      <family val="2"/>
    </font>
    <font>
      <sz val="10"/>
      <color indexed="9"/>
      <name val="Arial"/>
      <family val="2"/>
    </font>
    <font>
      <b/>
      <sz val="18"/>
      <color indexed="9"/>
      <name val="Arial"/>
      <family val="2"/>
    </font>
    <font>
      <sz val="10"/>
      <color indexed="16"/>
      <name val="Arial"/>
      <family val="2"/>
    </font>
    <font>
      <b/>
      <sz val="11"/>
      <color indexed="16"/>
      <name val="Arial"/>
      <family val="2"/>
    </font>
    <font>
      <u/>
      <sz val="10"/>
      <color indexed="52"/>
      <name val="Arial"/>
      <family val="2"/>
    </font>
    <font>
      <b/>
      <u/>
      <sz val="10"/>
      <color indexed="52"/>
      <name val="Arial"/>
      <family val="2"/>
    </font>
    <font>
      <sz val="10"/>
      <name val="MS Sans Serif"/>
      <family val="2"/>
    </font>
    <font>
      <i/>
      <sz val="10"/>
      <color indexed="63"/>
      <name val="Arial"/>
      <family val="2"/>
    </font>
    <font>
      <sz val="8"/>
      <color indexed="22"/>
      <name val="Arial"/>
      <family val="2"/>
    </font>
    <font>
      <b/>
      <u/>
      <sz val="10"/>
      <color indexed="63"/>
      <name val="Arial"/>
      <family val="2"/>
    </font>
    <font>
      <b/>
      <sz val="10"/>
      <color indexed="23"/>
      <name val="Arial"/>
      <family val="2"/>
    </font>
    <font>
      <sz val="10"/>
      <color indexed="52"/>
      <name val="Arial"/>
      <family val="2"/>
    </font>
    <font>
      <b/>
      <sz val="14"/>
      <color indexed="9"/>
      <name val="Arial"/>
      <family val="2"/>
    </font>
    <font>
      <sz val="12"/>
      <color indexed="53"/>
      <name val="Arial"/>
      <family val="2"/>
    </font>
    <font>
      <b/>
      <sz val="10"/>
      <color indexed="16"/>
      <name val="Arial"/>
      <family val="2"/>
    </font>
    <font>
      <sz val="10"/>
      <color indexed="53"/>
      <name val="Arial"/>
      <family val="2"/>
    </font>
    <font>
      <u/>
      <sz val="10"/>
      <name val="Arial"/>
      <family val="2"/>
    </font>
    <font>
      <sz val="10"/>
      <color indexed="11"/>
      <name val="Arial"/>
      <family val="2"/>
    </font>
    <font>
      <b/>
      <sz val="7"/>
      <color indexed="16"/>
      <name val="Arial"/>
      <family val="2"/>
    </font>
    <font>
      <sz val="10"/>
      <color indexed="60"/>
      <name val="Arial"/>
      <family val="2"/>
    </font>
    <font>
      <b/>
      <i/>
      <sz val="10"/>
      <color indexed="9"/>
      <name val="Arial"/>
      <family val="2"/>
    </font>
    <font>
      <i/>
      <sz val="10"/>
      <color indexed="16"/>
      <name val="Arial"/>
      <family val="2"/>
    </font>
    <font>
      <sz val="11"/>
      <name val="Arial"/>
      <family val="2"/>
    </font>
    <font>
      <sz val="7"/>
      <color indexed="22"/>
      <name val="Arial"/>
      <family val="2"/>
    </font>
    <font>
      <sz val="7"/>
      <name val="Arial"/>
      <family val="2"/>
    </font>
    <font>
      <b/>
      <sz val="12"/>
      <color indexed="9"/>
      <name val="Arial"/>
      <family val="2"/>
    </font>
    <font>
      <b/>
      <sz val="10"/>
      <color indexed="63"/>
      <name val="Arial"/>
      <family val="2"/>
    </font>
    <font>
      <sz val="10"/>
      <color indexed="8"/>
      <name val="MS Sans Serif"/>
      <family val="2"/>
    </font>
    <font>
      <sz val="10"/>
      <color indexed="10"/>
      <name val="Arial"/>
      <family val="2"/>
    </font>
    <font>
      <b/>
      <sz val="10"/>
      <color indexed="51"/>
      <name val="Arial"/>
      <family val="2"/>
    </font>
    <font>
      <sz val="10"/>
      <color indexed="51"/>
      <name val="Arial"/>
      <family val="2"/>
    </font>
    <font>
      <b/>
      <sz val="10"/>
      <color indexed="60"/>
      <name val="Arial"/>
      <family val="2"/>
    </font>
    <font>
      <u/>
      <sz val="10"/>
      <color indexed="9"/>
      <name val="Arial"/>
      <family val="2"/>
    </font>
    <font>
      <sz val="12"/>
      <color indexed="53"/>
      <name val="Arial"/>
      <family val="2"/>
    </font>
    <font>
      <i/>
      <sz val="10"/>
      <color indexed="52"/>
      <name val="Arial"/>
      <family val="2"/>
    </font>
    <font>
      <sz val="10"/>
      <name val="Arial"/>
      <family val="2"/>
    </font>
    <font>
      <sz val="9"/>
      <color indexed="81"/>
      <name val="Tahoma"/>
      <family val="2"/>
    </font>
    <font>
      <b/>
      <sz val="9"/>
      <color indexed="81"/>
      <name val="Tahoma"/>
      <family val="2"/>
    </font>
    <font>
      <sz val="10"/>
      <color indexed="24"/>
      <name val="Arial"/>
      <family val="2"/>
    </font>
    <font>
      <sz val="8"/>
      <name val="Arial"/>
      <family val="2"/>
    </font>
    <font>
      <sz val="10"/>
      <name val="Arial"/>
      <family val="2"/>
    </font>
    <font>
      <sz val="12"/>
      <name val="바탕체"/>
      <family val="3"/>
      <charset val="129"/>
    </font>
    <font>
      <sz val="12"/>
      <name val="바탕체"/>
      <family val="3"/>
    </font>
    <font>
      <sz val="10"/>
      <name val="Arial"/>
      <family val="2"/>
    </font>
    <font>
      <sz val="8"/>
      <name val="Arial"/>
      <family val="2"/>
    </font>
    <font>
      <sz val="10"/>
      <color indexed="63"/>
      <name val="Arial"/>
      <family val="2"/>
    </font>
    <font>
      <sz val="10"/>
      <color indexed="52"/>
      <name val="Arial"/>
      <family val="2"/>
    </font>
    <font>
      <b/>
      <sz val="10"/>
      <name val="Arial"/>
      <family val="2"/>
    </font>
    <font>
      <sz val="10"/>
      <name val="Arial"/>
      <family val="2"/>
    </font>
    <font>
      <b/>
      <sz val="12"/>
      <color indexed="60"/>
      <name val="Arial"/>
      <family val="2"/>
    </font>
    <font>
      <sz val="10"/>
      <name val="Arial"/>
      <family val="2"/>
    </font>
    <font>
      <sz val="10"/>
      <color indexed="10"/>
      <name val="Arial"/>
      <family val="2"/>
    </font>
    <font>
      <sz val="10"/>
      <color indexed="24"/>
      <name val="Arial"/>
      <family val="2"/>
    </font>
    <font>
      <sz val="10"/>
      <color indexed="63"/>
      <name val="Arial"/>
      <family val="2"/>
    </font>
    <font>
      <b/>
      <u/>
      <sz val="10"/>
      <color indexed="63"/>
      <name val="Arial"/>
      <family val="2"/>
    </font>
    <font>
      <sz val="10"/>
      <color indexed="22"/>
      <name val="Arial"/>
      <family val="2"/>
    </font>
    <font>
      <sz val="10"/>
      <color indexed="8"/>
      <name val="Arial"/>
      <family val="2"/>
    </font>
    <font>
      <b/>
      <sz val="10"/>
      <color indexed="24"/>
      <name val="Arial"/>
      <family val="2"/>
    </font>
    <font>
      <sz val="9"/>
      <color indexed="0"/>
      <name val="Helvetica"/>
      <family val="2"/>
    </font>
    <font>
      <sz val="10"/>
      <color indexed="0"/>
      <name val="Arial"/>
      <family val="2"/>
    </font>
    <font>
      <b/>
      <sz val="10"/>
      <color indexed="0"/>
      <name val="Arial"/>
      <family val="2"/>
    </font>
    <font>
      <sz val="8"/>
      <color indexed="0"/>
      <name val="Arial"/>
      <family val="2"/>
    </font>
    <font>
      <sz val="10"/>
      <color indexed="63"/>
      <name val="Arial"/>
      <family val="2"/>
    </font>
    <font>
      <b/>
      <sz val="10"/>
      <color indexed="63"/>
      <name val="Arial"/>
      <family val="2"/>
    </font>
    <font>
      <i/>
      <sz val="10"/>
      <color indexed="63"/>
      <name val="Arial"/>
      <family val="2"/>
    </font>
    <font>
      <b/>
      <sz val="10"/>
      <color indexed="60"/>
      <name val="Arial"/>
      <family val="2"/>
    </font>
    <font>
      <sz val="10"/>
      <color indexed="63"/>
      <name val="Arial"/>
      <family val="2"/>
    </font>
    <font>
      <sz val="10"/>
      <color rgb="FF0000FF"/>
      <name val="Arial"/>
      <family val="2"/>
    </font>
    <font>
      <b/>
      <sz val="10"/>
      <color rgb="FF0000FF"/>
      <name val="Arial"/>
      <family val="2"/>
    </font>
    <font>
      <sz val="10"/>
      <color theme="1"/>
      <name val="Arial"/>
      <family val="2"/>
    </font>
    <font>
      <sz val="10"/>
      <name val="Courier"/>
      <family val="3"/>
    </font>
    <font>
      <sz val="10"/>
      <color rgb="FF000000"/>
      <name val="Arial"/>
      <family val="2"/>
    </font>
    <font>
      <b/>
      <sz val="12"/>
      <color rgb="FF000080"/>
      <name val="Arial"/>
      <family val="2"/>
    </font>
    <font>
      <sz val="14"/>
      <name val="Arial"/>
      <family val="2"/>
    </font>
    <font>
      <u/>
      <sz val="14"/>
      <name val="Arial"/>
      <family val="2"/>
    </font>
    <font>
      <b/>
      <u/>
      <sz val="14"/>
      <color indexed="10"/>
      <name val="Arial"/>
      <family val="2"/>
    </font>
    <font>
      <b/>
      <sz val="18"/>
      <name val="Arial"/>
      <family val="2"/>
    </font>
  </fonts>
  <fills count="13">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60"/>
        <bgColor indexed="64"/>
      </patternFill>
    </fill>
    <fill>
      <patternFill patternType="solid">
        <fgColor indexed="9"/>
        <bgColor indexed="64"/>
      </patternFill>
    </fill>
    <fill>
      <patternFill patternType="solid">
        <fgColor indexed="16"/>
        <bgColor indexed="64"/>
      </patternFill>
    </fill>
    <fill>
      <patternFill patternType="solid">
        <fgColor indexed="55"/>
        <bgColor indexed="64"/>
      </patternFill>
    </fill>
    <fill>
      <patternFill patternType="solid">
        <fgColor indexed="53"/>
        <bgColor indexed="64"/>
      </patternFill>
    </fill>
    <fill>
      <patternFill patternType="solid">
        <fgColor indexed="51"/>
        <bgColor indexed="64"/>
      </patternFill>
    </fill>
    <fill>
      <patternFill patternType="solid">
        <fgColor indexed="15"/>
        <bgColor indexed="64"/>
      </patternFill>
    </fill>
    <fill>
      <patternFill patternType="solid">
        <fgColor theme="4" tint="0.79998168889431442"/>
        <bgColor indexed="64"/>
      </patternFill>
    </fill>
    <fill>
      <patternFill patternType="solid">
        <fgColor indexed="65"/>
        <bgColor indexed="64"/>
      </patternFill>
    </fill>
  </fills>
  <borders count="66">
    <border>
      <left/>
      <right/>
      <top/>
      <bottom/>
      <diagonal/>
    </border>
    <border>
      <left style="thin">
        <color indexed="64"/>
      </left>
      <right/>
      <top/>
      <bottom/>
      <diagonal/>
    </border>
    <border>
      <left/>
      <right/>
      <top/>
      <bottom style="thin">
        <color indexed="64"/>
      </bottom>
      <diagonal/>
    </border>
    <border>
      <left/>
      <right/>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8"/>
      </left>
      <right style="thin">
        <color indexed="8"/>
      </right>
      <top style="thin">
        <color indexed="8"/>
      </top>
      <bottom style="thin">
        <color indexed="8"/>
      </bottom>
      <diagonal/>
    </border>
    <border>
      <left/>
      <right/>
      <top/>
      <bottom style="thin">
        <color indexed="8"/>
      </bottom>
      <diagonal/>
    </border>
    <border>
      <left style="medium">
        <color indexed="60"/>
      </left>
      <right/>
      <top/>
      <bottom/>
      <diagonal/>
    </border>
    <border>
      <left/>
      <right/>
      <top style="thin">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right style="thin">
        <color indexed="64"/>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9"/>
      </top>
      <bottom style="thin">
        <color indexed="53"/>
      </bottom>
      <diagonal/>
    </border>
    <border>
      <left style="thin">
        <color indexed="16"/>
      </left>
      <right/>
      <top style="thin">
        <color indexed="9"/>
      </top>
      <bottom style="thin">
        <color indexed="16"/>
      </bottom>
      <diagonal/>
    </border>
    <border>
      <left/>
      <right/>
      <top style="thin">
        <color indexed="9"/>
      </top>
      <bottom style="thin">
        <color indexed="16"/>
      </bottom>
      <diagonal/>
    </border>
    <border>
      <left style="thin">
        <color indexed="64"/>
      </left>
      <right/>
      <top style="thin">
        <color indexed="64"/>
      </top>
      <bottom style="thin">
        <color indexed="16"/>
      </bottom>
      <diagonal/>
    </border>
    <border>
      <left/>
      <right/>
      <top style="thin">
        <color indexed="64"/>
      </top>
      <bottom style="thin">
        <color indexed="16"/>
      </bottom>
      <diagonal/>
    </border>
    <border>
      <left/>
      <right style="thin">
        <color indexed="64"/>
      </right>
      <top style="thin">
        <color indexed="64"/>
      </top>
      <bottom style="thin">
        <color indexed="16"/>
      </bottom>
      <diagonal/>
    </border>
    <border>
      <left/>
      <right style="thin">
        <color indexed="64"/>
      </right>
      <top style="thin">
        <color indexed="64"/>
      </top>
      <bottom/>
      <diagonal/>
    </border>
    <border>
      <left/>
      <right/>
      <top style="thin">
        <color indexed="9"/>
      </top>
      <bottom/>
      <diagonal/>
    </border>
    <border>
      <left/>
      <right style="thin">
        <color indexed="64"/>
      </right>
      <top/>
      <bottom style="thin">
        <color indexed="64"/>
      </bottom>
      <diagonal/>
    </border>
    <border>
      <left/>
      <right/>
      <top style="thin">
        <color indexed="9"/>
      </top>
      <bottom style="thin">
        <color indexed="64"/>
      </bottom>
      <diagonal/>
    </border>
    <border>
      <left/>
      <right style="thin">
        <color indexed="64"/>
      </right>
      <top style="thin">
        <color indexed="9"/>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16"/>
      </left>
      <right/>
      <top/>
      <bottom/>
      <diagonal/>
    </border>
    <border>
      <left/>
      <right/>
      <top style="thin">
        <color indexed="9"/>
      </top>
      <bottom style="thin">
        <color indexed="9"/>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style="dashDot">
        <color indexed="16"/>
      </right>
      <top/>
      <bottom/>
      <diagonal/>
    </border>
    <border>
      <left style="medium">
        <color indexed="16"/>
      </left>
      <right/>
      <top/>
      <bottom/>
      <diagonal/>
    </border>
    <border>
      <left style="medium">
        <color indexed="60"/>
      </left>
      <right/>
      <top style="medium">
        <color indexed="60"/>
      </top>
      <bottom style="thin">
        <color indexed="64"/>
      </bottom>
      <diagonal/>
    </border>
    <border>
      <left/>
      <right/>
      <top style="medium">
        <color indexed="60"/>
      </top>
      <bottom style="thin">
        <color indexed="64"/>
      </bottom>
      <diagonal/>
    </border>
    <border>
      <left style="thin">
        <color indexed="64"/>
      </left>
      <right/>
      <top style="medium">
        <color indexed="60"/>
      </top>
      <bottom/>
      <diagonal/>
    </border>
    <border>
      <left/>
      <right/>
      <top style="medium">
        <color indexed="60"/>
      </top>
      <bottom/>
      <diagonal/>
    </border>
    <border>
      <left/>
      <right style="thin">
        <color indexed="64"/>
      </right>
      <top style="medium">
        <color indexed="60"/>
      </top>
      <bottom/>
      <diagonal/>
    </border>
    <border>
      <left/>
      <right style="medium">
        <color indexed="60"/>
      </right>
      <top style="medium">
        <color indexed="60"/>
      </top>
      <bottom/>
      <diagonal/>
    </border>
    <border>
      <left style="medium">
        <color indexed="60"/>
      </left>
      <right style="dashDot">
        <color indexed="16"/>
      </right>
      <top/>
      <bottom style="medium">
        <color indexed="60"/>
      </bottom>
      <diagonal/>
    </border>
    <border>
      <left/>
      <right style="dashDot">
        <color indexed="16"/>
      </right>
      <top/>
      <bottom style="medium">
        <color indexed="60"/>
      </bottom>
      <diagonal/>
    </border>
    <border>
      <left style="thin">
        <color indexed="16"/>
      </left>
      <right/>
      <top/>
      <bottom style="medium">
        <color indexed="60"/>
      </bottom>
      <diagonal/>
    </border>
    <border>
      <left/>
      <right/>
      <top/>
      <bottom style="medium">
        <color indexed="60"/>
      </bottom>
      <diagonal/>
    </border>
    <border>
      <left/>
      <right style="medium">
        <color indexed="60"/>
      </right>
      <top/>
      <bottom style="medium">
        <color indexed="60"/>
      </bottom>
      <diagonal/>
    </border>
    <border>
      <left style="medium">
        <color indexed="64"/>
      </left>
      <right/>
      <top style="medium">
        <color indexed="64"/>
      </top>
      <bottom style="medium">
        <color indexed="64"/>
      </bottom>
      <diagonal/>
    </border>
    <border>
      <left/>
      <right style="thin">
        <color indexed="64"/>
      </right>
      <top style="medium">
        <color indexed="60"/>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8"/>
      </bottom>
      <diagonal/>
    </border>
    <border>
      <left/>
      <right style="medium">
        <color indexed="60"/>
      </right>
      <top/>
      <bottom/>
      <diagonal/>
    </border>
    <border>
      <left style="medium">
        <color indexed="60"/>
      </left>
      <right/>
      <top style="thin">
        <color indexed="64"/>
      </top>
      <bottom style="thin">
        <color indexed="64"/>
      </bottom>
      <diagonal/>
    </border>
    <border>
      <left/>
      <right style="thin">
        <color indexed="64"/>
      </right>
      <top/>
      <bottom style="medium">
        <color indexed="60"/>
      </bottom>
      <diagonal/>
    </border>
    <border>
      <left style="thin">
        <color indexed="64"/>
      </left>
      <right/>
      <top/>
      <bottom style="medium">
        <color indexed="60"/>
      </bottom>
      <diagonal/>
    </border>
    <border>
      <left style="medium">
        <color indexed="64"/>
      </left>
      <right/>
      <top style="medium">
        <color indexed="64"/>
      </top>
      <bottom/>
      <diagonal/>
    </border>
    <border>
      <left style="medium">
        <color indexed="64"/>
      </left>
      <right/>
      <top/>
      <bottom style="medium">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55">
    <xf numFmtId="0" fontId="0" fillId="0" borderId="0" applyNumberFormat="0" applyFont="0" applyFill="0" applyBorder="0" applyAlignment="0" applyProtection="0"/>
    <xf numFmtId="0" fontId="1" fillId="0" borderId="0"/>
    <xf numFmtId="0" fontId="2" fillId="0" borderId="0"/>
    <xf numFmtId="0" fontId="2" fillId="0" borderId="0"/>
    <xf numFmtId="0" fontId="2" fillId="0" borderId="0">
      <alignment vertical="top"/>
    </xf>
    <xf numFmtId="0" fontId="2" fillId="0" borderId="0">
      <alignment vertical="top"/>
    </xf>
    <xf numFmtId="0" fontId="85"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77" fillId="0" borderId="0" applyNumberFormat="0" applyFont="0" applyFill="0" applyBorder="0" applyAlignment="0" applyProtection="0"/>
    <xf numFmtId="0" fontId="1" fillId="3" borderId="0" applyNumberFormat="0" applyFont="0" applyBorder="0" applyAlignment="0" applyProtection="0"/>
    <xf numFmtId="0" fontId="1" fillId="0" borderId="0"/>
    <xf numFmtId="44" fontId="1" fillId="0" borderId="0" applyFont="0" applyFill="0" applyBorder="0" applyAlignment="0" applyProtection="0"/>
    <xf numFmtId="0" fontId="41" fillId="0" borderId="0"/>
    <xf numFmtId="0" fontId="56" fillId="0" borderId="0"/>
    <xf numFmtId="0" fontId="56" fillId="0" borderId="0"/>
    <xf numFmtId="0" fontId="41" fillId="0" borderId="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2" fillId="0" borderId="0"/>
    <xf numFmtId="0" fontId="2" fillId="0" borderId="0"/>
    <xf numFmtId="0" fontId="2" fillId="0" borderId="0"/>
    <xf numFmtId="43" fontId="85" fillId="0" borderId="0" applyFont="0" applyFill="0" applyBorder="0" applyAlignment="0" applyProtection="0"/>
    <xf numFmtId="41" fontId="85" fillId="0" borderId="0" applyFont="0" applyFill="0" applyBorder="0" applyAlignment="0" applyProtection="0"/>
    <xf numFmtId="38" fontId="85" fillId="0" borderId="0" applyFont="0" applyFill="0" applyBorder="0" applyAlignment="0" applyProtection="0"/>
    <xf numFmtId="38" fontId="2" fillId="0" borderId="0" applyFont="0" applyFill="0" applyBorder="0" applyAlignment="0" applyProtection="0"/>
    <xf numFmtId="43" fontId="2" fillId="0" borderId="0" applyFont="0" applyFill="0" applyBorder="0" applyAlignment="0" applyProtection="0"/>
    <xf numFmtId="44" fontId="85" fillId="0" borderId="0" applyFont="0" applyFill="0" applyBorder="0" applyAlignment="0" applyProtection="0"/>
    <xf numFmtId="6" fontId="85" fillId="0" borderId="0" applyFont="0" applyFill="0" applyBorder="0" applyAlignment="0" applyProtection="0"/>
    <xf numFmtId="44" fontId="2" fillId="0" borderId="0" applyFont="0" applyFill="0" applyBorder="0" applyAlignment="0" applyProtection="0"/>
    <xf numFmtId="0" fontId="2" fillId="0" borderId="0"/>
    <xf numFmtId="0" fontId="77" fillId="0" borderId="0" applyNumberFormat="0" applyFont="0" applyFill="0" applyBorder="0" applyAlignment="0" applyProtection="0"/>
    <xf numFmtId="0" fontId="40" fillId="0" borderId="0"/>
    <xf numFmtId="0" fontId="1" fillId="0" borderId="0" applyNumberFormat="0" applyFont="0" applyFill="0" applyBorder="0" applyAlignment="0" applyProtection="0"/>
    <xf numFmtId="0" fontId="2" fillId="0" borderId="0"/>
    <xf numFmtId="0" fontId="2" fillId="0" borderId="0"/>
    <xf numFmtId="0" fontId="93" fillId="0" borderId="0"/>
    <xf numFmtId="0" fontId="3" fillId="0" borderId="0"/>
    <xf numFmtId="0" fontId="3" fillId="0" borderId="0"/>
    <xf numFmtId="0" fontId="2" fillId="0" borderId="0"/>
    <xf numFmtId="0" fontId="108" fillId="0" borderId="0"/>
    <xf numFmtId="0" fontId="2" fillId="0" borderId="0"/>
    <xf numFmtId="0" fontId="43" fillId="0" borderId="0">
      <alignment vertical="center"/>
    </xf>
    <xf numFmtId="9" fontId="85" fillId="0" borderId="0" applyFont="0" applyFill="0" applyBorder="0" applyAlignment="0" applyProtection="0"/>
    <xf numFmtId="9" fontId="2" fillId="0" borderId="0" applyFont="0" applyFill="0" applyBorder="0" applyAlignment="0" applyProtection="0"/>
    <xf numFmtId="0" fontId="2" fillId="3" borderId="0" applyNumberFormat="0" applyFont="0" applyBorder="0" applyAlignment="0" applyProtection="0"/>
    <xf numFmtId="0" fontId="44" fillId="0" borderId="0"/>
    <xf numFmtId="0" fontId="44" fillId="0" borderId="9">
      <alignment horizontal="centerContinuous"/>
    </xf>
    <xf numFmtId="0" fontId="45" fillId="0" borderId="9"/>
    <xf numFmtId="0" fontId="2" fillId="0" borderId="0" applyFont="0" applyFill="0" applyBorder="0" applyAlignment="0" applyProtection="0"/>
    <xf numFmtId="0" fontId="91" fillId="0" borderId="0" applyFont="0" applyFill="0" applyBorder="0" applyAlignment="0" applyProtection="0"/>
    <xf numFmtId="0" fontId="92" fillId="0" borderId="0"/>
    <xf numFmtId="0" fontId="120" fillId="0" borderId="0"/>
  </cellStyleXfs>
  <cellXfs count="1966">
    <xf numFmtId="0" fontId="0" fillId="0" borderId="0" xfId="0"/>
    <xf numFmtId="0" fontId="1" fillId="0" borderId="0" xfId="1"/>
    <xf numFmtId="9" fontId="2" fillId="2" borderId="0" xfId="6" applyNumberFormat="1" applyFont="1" applyFill="1" applyBorder="1"/>
    <xf numFmtId="9" fontId="2" fillId="2" borderId="15" xfId="6" applyNumberFormat="1" applyFont="1" applyFill="1" applyBorder="1"/>
    <xf numFmtId="38" fontId="3" fillId="0" borderId="2" xfId="26" applyFont="1" applyFill="1" applyBorder="1"/>
    <xf numFmtId="168" fontId="3" fillId="0" borderId="16" xfId="24" applyNumberFormat="1" applyFont="1" applyFill="1" applyBorder="1" applyAlignment="1">
      <alignment horizontal="center"/>
    </xf>
    <xf numFmtId="1" fontId="3" fillId="0" borderId="2" xfId="26" applyNumberFormat="1" applyFont="1" applyFill="1" applyBorder="1" applyAlignment="1">
      <alignment horizontal="center"/>
    </xf>
    <xf numFmtId="167" fontId="3" fillId="0" borderId="2" xfId="45" applyNumberFormat="1" applyFont="1" applyFill="1" applyBorder="1" applyAlignment="1">
      <alignment horizontal="center"/>
    </xf>
    <xf numFmtId="168" fontId="17" fillId="0" borderId="1" xfId="24" applyNumberFormat="1" applyFont="1" applyFill="1" applyBorder="1" applyAlignment="1">
      <alignment horizontal="center"/>
    </xf>
    <xf numFmtId="1" fontId="17" fillId="0" borderId="0" xfId="26" applyNumberFormat="1" applyFont="1" applyFill="1" applyAlignment="1">
      <alignment horizontal="center"/>
    </xf>
    <xf numFmtId="167" fontId="17" fillId="0" borderId="0" xfId="26" applyNumberFormat="1" applyFont="1" applyFill="1" applyAlignment="1">
      <alignment horizontal="center"/>
    </xf>
    <xf numFmtId="38" fontId="17" fillId="0" borderId="0" xfId="26" applyFont="1" applyFill="1" applyBorder="1"/>
    <xf numFmtId="1" fontId="3" fillId="0" borderId="0" xfId="26" applyNumberFormat="1" applyFont="1" applyFill="1" applyAlignment="1">
      <alignment horizontal="center"/>
    </xf>
    <xf numFmtId="167" fontId="3" fillId="0" borderId="0" xfId="26" applyNumberFormat="1" applyFont="1" applyFill="1" applyAlignment="1">
      <alignment horizontal="center"/>
    </xf>
    <xf numFmtId="0" fontId="35" fillId="0" borderId="0" xfId="6" applyFont="1" applyFill="1"/>
    <xf numFmtId="1" fontId="3" fillId="0" borderId="0" xfId="6" applyNumberFormat="1" applyFont="1" applyFill="1" applyAlignment="1">
      <alignment horizontal="center"/>
    </xf>
    <xf numFmtId="1" fontId="15" fillId="0" borderId="0" xfId="26" applyNumberFormat="1" applyFont="1" applyFill="1" applyAlignment="1">
      <alignment horizontal="center"/>
    </xf>
    <xf numFmtId="184" fontId="3" fillId="0" borderId="2" xfId="6" applyNumberFormat="1" applyFont="1" applyFill="1" applyBorder="1"/>
    <xf numFmtId="1" fontId="15" fillId="0" borderId="2" xfId="26" applyNumberFormat="1" applyFont="1" applyFill="1" applyBorder="1" applyAlignment="1">
      <alignment horizontal="center"/>
    </xf>
    <xf numFmtId="1" fontId="26" fillId="0" borderId="2" xfId="26" applyNumberFormat="1" applyFont="1" applyFill="1" applyBorder="1" applyAlignment="1">
      <alignment horizontal="center"/>
    </xf>
    <xf numFmtId="167" fontId="26" fillId="0" borderId="2" xfId="45" applyNumberFormat="1" applyFont="1" applyFill="1" applyBorder="1" applyAlignment="1">
      <alignment horizontal="center"/>
    </xf>
    <xf numFmtId="1" fontId="34" fillId="0" borderId="0" xfId="26" applyNumberFormat="1" applyFont="1" applyFill="1" applyAlignment="1">
      <alignment horizontal="center"/>
    </xf>
    <xf numFmtId="167" fontId="34" fillId="0" borderId="0" xfId="26" applyNumberFormat="1" applyFont="1" applyFill="1" applyAlignment="1">
      <alignment horizontal="center"/>
    </xf>
    <xf numFmtId="0" fontId="3" fillId="0" borderId="2" xfId="6" applyFont="1" applyFill="1" applyBorder="1" applyAlignment="1">
      <alignment horizontal="left"/>
    </xf>
    <xf numFmtId="38" fontId="35" fillId="0" borderId="0" xfId="26" applyFont="1" applyFill="1"/>
    <xf numFmtId="168" fontId="22" fillId="0" borderId="1" xfId="24" applyNumberFormat="1" applyFont="1" applyFill="1" applyBorder="1" applyAlignment="1">
      <alignment horizontal="center"/>
    </xf>
    <xf numFmtId="0" fontId="18" fillId="0" borderId="0" xfId="6" applyFont="1" applyFill="1" applyAlignment="1">
      <alignment horizontal="left"/>
    </xf>
    <xf numFmtId="38" fontId="17" fillId="0" borderId="11" xfId="26" applyFont="1" applyFill="1" applyBorder="1"/>
    <xf numFmtId="1" fontId="34" fillId="0" borderId="11" xfId="26" applyNumberFormat="1" applyFont="1" applyFill="1" applyBorder="1" applyAlignment="1">
      <alignment horizontal="center"/>
    </xf>
    <xf numFmtId="167" fontId="17" fillId="0" borderId="11" xfId="26" applyNumberFormat="1" applyFont="1" applyFill="1" applyBorder="1" applyAlignment="1">
      <alignment horizontal="center"/>
    </xf>
    <xf numFmtId="1" fontId="26" fillId="0" borderId="0" xfId="6" applyNumberFormat="1" applyFont="1" applyFill="1" applyAlignment="1">
      <alignment horizontal="center"/>
    </xf>
    <xf numFmtId="168" fontId="17" fillId="0" borderId="5" xfId="24" applyNumberFormat="1" applyFont="1" applyFill="1" applyBorder="1" applyAlignment="1">
      <alignment horizontal="center"/>
    </xf>
    <xf numFmtId="164" fontId="4" fillId="6" borderId="0" xfId="6" applyNumberFormat="1" applyFont="1" applyFill="1"/>
    <xf numFmtId="164" fontId="5" fillId="6" borderId="0" xfId="6" applyNumberFormat="1" applyFont="1" applyFill="1"/>
    <xf numFmtId="164" fontId="6" fillId="6" borderId="0" xfId="6" applyNumberFormat="1" applyFont="1" applyFill="1"/>
    <xf numFmtId="164" fontId="7" fillId="6" borderId="0" xfId="6" applyNumberFormat="1" applyFont="1" applyFill="1"/>
    <xf numFmtId="164" fontId="8" fillId="6" borderId="0" xfId="6" applyNumberFormat="1" applyFont="1" applyFill="1"/>
    <xf numFmtId="0" fontId="9" fillId="0" borderId="0" xfId="6" applyFont="1"/>
    <xf numFmtId="164" fontId="9" fillId="6" borderId="0" xfId="6" applyNumberFormat="1" applyFont="1" applyFill="1"/>
    <xf numFmtId="164" fontId="10" fillId="6" borderId="0" xfId="6" applyNumberFormat="1" applyFont="1" applyFill="1"/>
    <xf numFmtId="0" fontId="11" fillId="0" borderId="0" xfId="6" applyFont="1"/>
    <xf numFmtId="164" fontId="11" fillId="6" borderId="0" xfId="6" applyNumberFormat="1" applyFont="1" applyFill="1"/>
    <xf numFmtId="165" fontId="9" fillId="0" borderId="0" xfId="6" applyNumberFormat="1" applyFont="1"/>
    <xf numFmtId="165" fontId="12" fillId="0" borderId="0" xfId="6" applyNumberFormat="1" applyFont="1"/>
    <xf numFmtId="165" fontId="13" fillId="0" borderId="0" xfId="6" applyNumberFormat="1" applyFont="1" applyAlignment="1">
      <alignment horizontal="right"/>
    </xf>
    <xf numFmtId="165" fontId="0" fillId="0" borderId="0" xfId="6" applyNumberFormat="1" applyFont="1"/>
    <xf numFmtId="0" fontId="12" fillId="6" borderId="0" xfId="6" applyFont="1" applyFill="1"/>
    <xf numFmtId="0" fontId="0" fillId="6" borderId="0" xfId="6" applyFont="1" applyFill="1"/>
    <xf numFmtId="0" fontId="9" fillId="0" borderId="0" xfId="6" applyFont="1" applyAlignment="1">
      <alignment horizontal="right"/>
    </xf>
    <xf numFmtId="8" fontId="0" fillId="0" borderId="0" xfId="6" applyNumberFormat="1" applyFont="1" applyAlignment="1">
      <alignment horizontal="right"/>
    </xf>
    <xf numFmtId="0" fontId="3" fillId="0" borderId="0" xfId="6" applyFont="1"/>
    <xf numFmtId="166" fontId="14" fillId="0" borderId="0" xfId="6" applyNumberFormat="1" applyFont="1" applyAlignment="1">
      <alignment horizontal="right"/>
    </xf>
    <xf numFmtId="166" fontId="15" fillId="0" borderId="0" xfId="6" applyNumberFormat="1" applyFont="1" applyAlignment="1">
      <alignment horizontal="right"/>
    </xf>
    <xf numFmtId="167" fontId="16" fillId="0" borderId="0" xfId="6" applyNumberFormat="1" applyFont="1" applyAlignment="1">
      <alignment horizontal="right"/>
    </xf>
    <xf numFmtId="167" fontId="15" fillId="0" borderId="0" xfId="6" applyNumberFormat="1" applyFont="1" applyAlignment="1">
      <alignment horizontal="right"/>
    </xf>
    <xf numFmtId="166" fontId="0" fillId="0" borderId="0" xfId="6" applyNumberFormat="1" applyFont="1" applyAlignment="1">
      <alignment horizontal="right"/>
    </xf>
    <xf numFmtId="0" fontId="17" fillId="0" borderId="0" xfId="6" applyFont="1"/>
    <xf numFmtId="0" fontId="17" fillId="2" borderId="17" xfId="6" applyFont="1" applyFill="1" applyBorder="1"/>
    <xf numFmtId="0" fontId="17" fillId="2" borderId="4" xfId="6" applyFont="1" applyFill="1" applyBorder="1"/>
    <xf numFmtId="8" fontId="17" fillId="2" borderId="4" xfId="6" applyNumberFormat="1" applyFont="1" applyFill="1" applyBorder="1" applyAlignment="1">
      <alignment horizontal="right"/>
    </xf>
    <xf numFmtId="8" fontId="17" fillId="2" borderId="18" xfId="6" applyNumberFormat="1" applyFont="1" applyFill="1" applyBorder="1" applyAlignment="1">
      <alignment horizontal="right"/>
    </xf>
    <xf numFmtId="3" fontId="0" fillId="0" borderId="0" xfId="6" applyNumberFormat="1" applyFont="1"/>
    <xf numFmtId="8" fontId="15" fillId="0" borderId="0" xfId="6" applyNumberFormat="1" applyFont="1"/>
    <xf numFmtId="8" fontId="0" fillId="0" borderId="0" xfId="6" applyNumberFormat="1" applyFont="1"/>
    <xf numFmtId="168" fontId="15" fillId="0" borderId="0" xfId="24" applyNumberFormat="1" applyFont="1"/>
    <xf numFmtId="167" fontId="0" fillId="0" borderId="0" xfId="6" applyNumberFormat="1" applyFont="1"/>
    <xf numFmtId="167" fontId="15" fillId="0" borderId="0" xfId="6" applyNumberFormat="1" applyFont="1"/>
    <xf numFmtId="43" fontId="0" fillId="0" borderId="0" xfId="6" applyNumberFormat="1" applyFont="1"/>
    <xf numFmtId="0" fontId="0" fillId="2" borderId="4" xfId="6" applyFont="1" applyFill="1" applyBorder="1"/>
    <xf numFmtId="167" fontId="17" fillId="2" borderId="4" xfId="6" applyNumberFormat="1" applyFont="1" applyFill="1" applyBorder="1"/>
    <xf numFmtId="167" fontId="17" fillId="2" borderId="18" xfId="6" applyNumberFormat="1" applyFont="1" applyFill="1" applyBorder="1"/>
    <xf numFmtId="37" fontId="17" fillId="0" borderId="0" xfId="6" applyNumberFormat="1" applyFont="1"/>
    <xf numFmtId="168" fontId="0" fillId="0" borderId="0" xfId="24" applyNumberFormat="1" applyFont="1"/>
    <xf numFmtId="43" fontId="0" fillId="0" borderId="0" xfId="24" applyFont="1" applyBorder="1"/>
    <xf numFmtId="168" fontId="0" fillId="0" borderId="0" xfId="24" applyNumberFormat="1" applyFont="1" applyBorder="1"/>
    <xf numFmtId="0" fontId="18" fillId="0" borderId="0" xfId="6" applyFont="1"/>
    <xf numFmtId="167" fontId="18" fillId="0" borderId="0" xfId="6" applyNumberFormat="1" applyFont="1"/>
    <xf numFmtId="37" fontId="17" fillId="0" borderId="0" xfId="24" applyNumberFormat="1" applyFont="1"/>
    <xf numFmtId="37" fontId="0" fillId="0" borderId="0" xfId="6" applyNumberFormat="1" applyFont="1"/>
    <xf numFmtId="8" fontId="3" fillId="0" borderId="0" xfId="6" applyNumberFormat="1" applyFont="1"/>
    <xf numFmtId="0" fontId="17" fillId="0" borderId="0" xfId="6" applyFont="1" applyAlignment="1">
      <alignment horizontal="center"/>
    </xf>
    <xf numFmtId="0" fontId="3" fillId="0" borderId="0" xfId="6" applyFont="1" applyAlignment="1">
      <alignment horizontal="left"/>
    </xf>
    <xf numFmtId="9" fontId="0" fillId="0" borderId="0" xfId="6" applyNumberFormat="1" applyFont="1"/>
    <xf numFmtId="0" fontId="0" fillId="0" borderId="0" xfId="6" applyFont="1" applyAlignment="1">
      <alignment horizontal="left"/>
    </xf>
    <xf numFmtId="9" fontId="17" fillId="0" borderId="0" xfId="6" applyNumberFormat="1" applyFont="1"/>
    <xf numFmtId="8" fontId="17" fillId="0" borderId="0" xfId="6" applyNumberFormat="1" applyFont="1"/>
    <xf numFmtId="7" fontId="0" fillId="0" borderId="0" xfId="6" applyNumberFormat="1" applyFont="1"/>
    <xf numFmtId="9" fontId="15" fillId="0" borderId="0" xfId="6" applyNumberFormat="1" applyFont="1"/>
    <xf numFmtId="0" fontId="17" fillId="0" borderId="0" xfId="6" applyFont="1" applyAlignment="1">
      <alignment horizontal="left"/>
    </xf>
    <xf numFmtId="43" fontId="3" fillId="0" borderId="0" xfId="24" applyFont="1"/>
    <xf numFmtId="8" fontId="3" fillId="0" borderId="0" xfId="6" applyNumberFormat="1" applyFont="1" applyAlignment="1">
      <alignment horizontal="right"/>
    </xf>
    <xf numFmtId="165" fontId="9" fillId="0" borderId="19" xfId="6" applyNumberFormat="1" applyFont="1" applyBorder="1"/>
    <xf numFmtId="165" fontId="11" fillId="0" borderId="19" xfId="6" applyNumberFormat="1" applyFont="1" applyBorder="1"/>
    <xf numFmtId="169" fontId="9" fillId="0" borderId="19" xfId="6" applyNumberFormat="1" applyFont="1" applyBorder="1" applyAlignment="1">
      <alignment horizontal="center"/>
    </xf>
    <xf numFmtId="0" fontId="20" fillId="6" borderId="0" xfId="6" applyFont="1" applyFill="1"/>
    <xf numFmtId="4" fontId="0" fillId="0" borderId="0" xfId="6" applyNumberFormat="1" applyFont="1"/>
    <xf numFmtId="0" fontId="21" fillId="0" borderId="0" xfId="6" applyFont="1" applyAlignment="1">
      <alignment horizontal="left"/>
    </xf>
    <xf numFmtId="0" fontId="22" fillId="0" borderId="0" xfId="6" applyFont="1" applyAlignment="1">
      <alignment horizontal="center"/>
    </xf>
    <xf numFmtId="3" fontId="17" fillId="0" borderId="0" xfId="6" applyNumberFormat="1" applyFont="1"/>
    <xf numFmtId="0" fontId="23" fillId="0" borderId="0" xfId="6" applyFont="1" applyAlignment="1">
      <alignment horizontal="left"/>
    </xf>
    <xf numFmtId="38" fontId="3" fillId="0" borderId="0" xfId="26" applyFont="1"/>
    <xf numFmtId="9" fontId="11" fillId="0" borderId="0" xfId="6" applyNumberFormat="1" applyFont="1" applyAlignment="1">
      <alignment horizontal="center"/>
    </xf>
    <xf numFmtId="0" fontId="3" fillId="0" borderId="0" xfId="6" applyFont="1" applyAlignment="1">
      <alignment horizontal="left" indent="1"/>
    </xf>
    <xf numFmtId="0" fontId="17" fillId="2" borderId="17" xfId="6" applyFont="1" applyFill="1" applyBorder="1" applyAlignment="1">
      <alignment horizontal="left"/>
    </xf>
    <xf numFmtId="0" fontId="3" fillId="2" borderId="4" xfId="6" applyFont="1" applyFill="1" applyBorder="1"/>
    <xf numFmtId="7" fontId="17" fillId="2" borderId="4" xfId="6" applyNumberFormat="1" applyFont="1" applyFill="1" applyBorder="1"/>
    <xf numFmtId="7" fontId="17" fillId="2" borderId="18" xfId="6" applyNumberFormat="1" applyFont="1" applyFill="1" applyBorder="1"/>
    <xf numFmtId="9" fontId="3" fillId="0" borderId="0" xfId="6" applyNumberFormat="1" applyFont="1"/>
    <xf numFmtId="166" fontId="3" fillId="0" borderId="0" xfId="6" applyNumberFormat="1" applyFont="1"/>
    <xf numFmtId="168" fontId="3" fillId="0" borderId="0" xfId="24" applyNumberFormat="1" applyFont="1"/>
    <xf numFmtId="168" fontId="17" fillId="2" borderId="4" xfId="24" applyNumberFormat="1" applyFont="1" applyFill="1" applyBorder="1"/>
    <xf numFmtId="168" fontId="17" fillId="0" borderId="0" xfId="24" applyNumberFormat="1" applyFont="1" applyBorder="1"/>
    <xf numFmtId="168" fontId="17" fillId="0" borderId="0" xfId="24" applyNumberFormat="1" applyFont="1"/>
    <xf numFmtId="171" fontId="3" fillId="0" borderId="0" xfId="26" quotePrefix="1" applyNumberFormat="1" applyFont="1" applyAlignment="1">
      <alignment horizontal="left"/>
    </xf>
    <xf numFmtId="167" fontId="3" fillId="0" borderId="0" xfId="6" applyNumberFormat="1" applyFont="1"/>
    <xf numFmtId="168" fontId="17" fillId="2" borderId="18" xfId="24" applyNumberFormat="1" applyFont="1" applyFill="1" applyBorder="1"/>
    <xf numFmtId="168" fontId="3" fillId="0" borderId="0" xfId="24" applyNumberFormat="1" applyFont="1" applyAlignment="1">
      <alignment horizontal="left" indent="1"/>
    </xf>
    <xf numFmtId="168" fontId="9" fillId="0" borderId="0" xfId="24" applyNumberFormat="1" applyFont="1"/>
    <xf numFmtId="168" fontId="9" fillId="0" borderId="0" xfId="24" applyNumberFormat="1" applyFont="1" applyBorder="1"/>
    <xf numFmtId="4" fontId="15" fillId="0" borderId="0" xfId="6" applyNumberFormat="1" applyFont="1"/>
    <xf numFmtId="168" fontId="17" fillId="0" borderId="0" xfId="6" applyNumberFormat="1" applyFont="1"/>
    <xf numFmtId="0" fontId="24" fillId="0" borderId="0" xfId="6" applyFont="1"/>
    <xf numFmtId="0" fontId="25" fillId="0" borderId="0" xfId="6" applyFont="1"/>
    <xf numFmtId="165" fontId="9" fillId="0" borderId="20" xfId="6" applyNumberFormat="1" applyFont="1" applyBorder="1"/>
    <xf numFmtId="165" fontId="9" fillId="0" borderId="21" xfId="6" applyNumberFormat="1" applyFont="1" applyBorder="1"/>
    <xf numFmtId="165" fontId="13" fillId="0" borderId="21" xfId="6" applyNumberFormat="1" applyFont="1" applyBorder="1" applyAlignment="1">
      <alignment horizontal="right"/>
    </xf>
    <xf numFmtId="165" fontId="9" fillId="2" borderId="22" xfId="6" applyNumberFormat="1" applyFont="1" applyFill="1" applyBorder="1" applyAlignment="1">
      <alignment horizontal="right"/>
    </xf>
    <xf numFmtId="165" fontId="9" fillId="2" borderId="23" xfId="6" applyNumberFormat="1" applyFont="1" applyFill="1" applyBorder="1" applyAlignment="1">
      <alignment horizontal="right"/>
    </xf>
    <xf numFmtId="165" fontId="9" fillId="2" borderId="24" xfId="6" applyNumberFormat="1" applyFont="1" applyFill="1" applyBorder="1" applyAlignment="1">
      <alignment horizontal="right"/>
    </xf>
    <xf numFmtId="172" fontId="9" fillId="0" borderId="21" xfId="6" applyNumberFormat="1" applyFont="1" applyBorder="1" applyAlignment="1">
      <alignment horizontal="right"/>
    </xf>
    <xf numFmtId="173" fontId="9" fillId="0" borderId="21" xfId="6" applyNumberFormat="1" applyFont="1" applyBorder="1" applyAlignment="1">
      <alignment horizontal="right"/>
    </xf>
    <xf numFmtId="165" fontId="9" fillId="2" borderId="5" xfId="6" applyNumberFormat="1" applyFont="1" applyFill="1" applyBorder="1" applyAlignment="1">
      <alignment horizontal="right"/>
    </xf>
    <xf numFmtId="165" fontId="9" fillId="2" borderId="11" xfId="6" applyNumberFormat="1" applyFont="1" applyFill="1" applyBorder="1" applyAlignment="1">
      <alignment horizontal="right"/>
    </xf>
    <xf numFmtId="165" fontId="9" fillId="2" borderId="25" xfId="6" applyNumberFormat="1" applyFont="1" applyFill="1" applyBorder="1" applyAlignment="1">
      <alignment horizontal="right"/>
    </xf>
    <xf numFmtId="165" fontId="0" fillId="0" borderId="21" xfId="6" applyNumberFormat="1" applyFont="1" applyBorder="1"/>
    <xf numFmtId="3" fontId="0" fillId="2" borderId="1" xfId="6" applyNumberFormat="1" applyFont="1" applyFill="1" applyBorder="1"/>
    <xf numFmtId="3" fontId="0" fillId="2" borderId="0" xfId="6" applyNumberFormat="1" applyFont="1" applyFill="1"/>
    <xf numFmtId="3" fontId="0" fillId="2" borderId="15" xfId="6" applyNumberFormat="1" applyFont="1" applyFill="1" applyBorder="1"/>
    <xf numFmtId="3" fontId="0" fillId="2" borderId="5" xfId="6" applyNumberFormat="1" applyFont="1" applyFill="1" applyBorder="1"/>
    <xf numFmtId="3" fontId="0" fillId="2" borderId="11" xfId="6" applyNumberFormat="1" applyFont="1" applyFill="1" applyBorder="1"/>
    <xf numFmtId="3" fontId="0" fillId="2" borderId="25" xfId="6" applyNumberFormat="1" applyFont="1" applyFill="1" applyBorder="1"/>
    <xf numFmtId="0" fontId="0" fillId="7" borderId="0" xfId="6" applyFont="1" applyFill="1"/>
    <xf numFmtId="168" fontId="26" fillId="2" borderId="1" xfId="24" applyNumberFormat="1" applyFont="1" applyFill="1" applyBorder="1"/>
    <xf numFmtId="168" fontId="26" fillId="2" borderId="0" xfId="24" applyNumberFormat="1" applyFont="1" applyFill="1"/>
    <xf numFmtId="168" fontId="3" fillId="2" borderId="15" xfId="24" applyNumberFormat="1" applyFont="1" applyFill="1" applyBorder="1"/>
    <xf numFmtId="168" fontId="26" fillId="0" borderId="0" xfId="24" applyNumberFormat="1" applyFont="1"/>
    <xf numFmtId="168" fontId="0" fillId="2" borderId="0" xfId="24" applyNumberFormat="1" applyFont="1" applyFill="1"/>
    <xf numFmtId="168" fontId="0" fillId="2" borderId="15" xfId="24" applyNumberFormat="1" applyFont="1" applyFill="1" applyBorder="1"/>
    <xf numFmtId="168" fontId="0" fillId="2" borderId="1" xfId="24" applyNumberFormat="1" applyFont="1" applyFill="1" applyBorder="1"/>
    <xf numFmtId="168" fontId="17" fillId="2" borderId="1" xfId="24" applyNumberFormat="1" applyFont="1" applyFill="1" applyBorder="1"/>
    <xf numFmtId="168" fontId="17" fillId="2" borderId="0" xfId="24" applyNumberFormat="1" applyFont="1" applyFill="1"/>
    <xf numFmtId="168" fontId="17" fillId="2" borderId="15" xfId="24" applyNumberFormat="1" applyFont="1" applyFill="1" applyBorder="1"/>
    <xf numFmtId="168" fontId="27" fillId="2" borderId="1" xfId="24" applyNumberFormat="1" applyFont="1" applyFill="1" applyBorder="1"/>
    <xf numFmtId="168" fontId="27" fillId="2" borderId="15" xfId="24" applyNumberFormat="1" applyFont="1" applyFill="1" applyBorder="1"/>
    <xf numFmtId="168" fontId="27" fillId="0" borderId="0" xfId="24" applyNumberFormat="1" applyFont="1"/>
    <xf numFmtId="168" fontId="27" fillId="2" borderId="0" xfId="24" applyNumberFormat="1" applyFont="1" applyFill="1"/>
    <xf numFmtId="168" fontId="17" fillId="2" borderId="0" xfId="24" applyNumberFormat="1" applyFont="1" applyFill="1" applyBorder="1"/>
    <xf numFmtId="168" fontId="28" fillId="2" borderId="15" xfId="24" applyNumberFormat="1" applyFont="1" applyFill="1" applyBorder="1"/>
    <xf numFmtId="168" fontId="26" fillId="2" borderId="15" xfId="24" applyNumberFormat="1" applyFont="1" applyFill="1" applyBorder="1"/>
    <xf numFmtId="168" fontId="26" fillId="2" borderId="0" xfId="24" applyNumberFormat="1" applyFont="1" applyFill="1" applyBorder="1"/>
    <xf numFmtId="168" fontId="3" fillId="2" borderId="0" xfId="24" applyNumberFormat="1" applyFont="1" applyFill="1"/>
    <xf numFmtId="168" fontId="3" fillId="2" borderId="1" xfId="24" applyNumberFormat="1" applyFont="1" applyFill="1" applyBorder="1"/>
    <xf numFmtId="168" fontId="3" fillId="2" borderId="0" xfId="24" applyNumberFormat="1" applyFont="1" applyFill="1" applyBorder="1"/>
    <xf numFmtId="168" fontId="0" fillId="2" borderId="0" xfId="24" applyNumberFormat="1" applyFont="1" applyFill="1" applyBorder="1"/>
    <xf numFmtId="38" fontId="17" fillId="0" borderId="0" xfId="26" applyFont="1"/>
    <xf numFmtId="38" fontId="29" fillId="0" borderId="0" xfId="26" applyFont="1"/>
    <xf numFmtId="168" fontId="29" fillId="0" borderId="0" xfId="24" applyNumberFormat="1" applyFont="1"/>
    <xf numFmtId="168" fontId="29" fillId="2" borderId="1" xfId="24" applyNumberFormat="1" applyFont="1" applyFill="1" applyBorder="1"/>
    <xf numFmtId="168" fontId="29" fillId="2" borderId="0" xfId="24" applyNumberFormat="1" applyFont="1" applyFill="1"/>
    <xf numFmtId="168" fontId="29" fillId="2" borderId="15" xfId="24" applyNumberFormat="1" applyFont="1" applyFill="1" applyBorder="1"/>
    <xf numFmtId="0" fontId="29" fillId="0" borderId="0" xfId="6" applyFont="1"/>
    <xf numFmtId="168" fontId="15" fillId="2" borderId="1" xfId="24" applyNumberFormat="1" applyFont="1" applyFill="1" applyBorder="1"/>
    <xf numFmtId="168" fontId="15" fillId="2" borderId="0" xfId="24" applyNumberFormat="1" applyFont="1" applyFill="1" applyBorder="1"/>
    <xf numFmtId="168" fontId="15" fillId="2" borderId="15" xfId="24" applyNumberFormat="1" applyFont="1" applyFill="1" applyBorder="1"/>
    <xf numFmtId="7" fontId="3" fillId="2" borderId="1" xfId="6" applyNumberFormat="1" applyFont="1" applyFill="1" applyBorder="1"/>
    <xf numFmtId="7" fontId="3" fillId="2" borderId="0" xfId="6" applyNumberFormat="1" applyFont="1" applyFill="1"/>
    <xf numFmtId="7" fontId="3" fillId="2" borderId="15" xfId="6" applyNumberFormat="1" applyFont="1" applyFill="1" applyBorder="1"/>
    <xf numFmtId="7" fontId="3" fillId="0" borderId="0" xfId="6" applyNumberFormat="1" applyFont="1"/>
    <xf numFmtId="0" fontId="17" fillId="0" borderId="17" xfId="6" applyFont="1" applyBorder="1"/>
    <xf numFmtId="0" fontId="3" fillId="0" borderId="4" xfId="6" applyFont="1" applyBorder="1"/>
    <xf numFmtId="7" fontId="17" fillId="2" borderId="17" xfId="6" applyNumberFormat="1" applyFont="1" applyFill="1" applyBorder="1"/>
    <xf numFmtId="7" fontId="17" fillId="0" borderId="4" xfId="6" applyNumberFormat="1" applyFont="1" applyBorder="1"/>
    <xf numFmtId="167" fontId="3" fillId="2" borderId="1" xfId="45" applyNumberFormat="1" applyFont="1" applyFill="1" applyBorder="1"/>
    <xf numFmtId="167" fontId="3" fillId="2" borderId="0" xfId="45" applyNumberFormat="1" applyFont="1" applyFill="1" applyBorder="1"/>
    <xf numFmtId="167" fontId="3" fillId="2" borderId="15" xfId="45" applyNumberFormat="1" applyFont="1" applyFill="1" applyBorder="1"/>
    <xf numFmtId="167" fontId="28" fillId="0" borderId="0" xfId="45" applyNumberFormat="1" applyFont="1"/>
    <xf numFmtId="167" fontId="3" fillId="2" borderId="0" xfId="45" applyNumberFormat="1" applyFont="1" applyFill="1"/>
    <xf numFmtId="174" fontId="28" fillId="0" borderId="0" xfId="6" applyNumberFormat="1" applyFont="1"/>
    <xf numFmtId="0" fontId="0" fillId="2" borderId="1" xfId="6" applyFont="1" applyFill="1" applyBorder="1"/>
    <xf numFmtId="0" fontId="0" fillId="2" borderId="0" xfId="6" applyFont="1" applyFill="1"/>
    <xf numFmtId="0" fontId="0" fillId="2" borderId="15" xfId="6" applyFont="1" applyFill="1" applyBorder="1"/>
    <xf numFmtId="4" fontId="17" fillId="0" borderId="0" xfId="6" applyNumberFormat="1" applyFont="1"/>
    <xf numFmtId="0" fontId="17" fillId="2" borderId="1" xfId="6" applyFont="1" applyFill="1" applyBorder="1"/>
    <xf numFmtId="0" fontId="17" fillId="2" borderId="0" xfId="6" applyFont="1" applyFill="1"/>
    <xf numFmtId="0" fontId="17" fillId="2" borderId="15" xfId="6" applyFont="1" applyFill="1" applyBorder="1"/>
    <xf numFmtId="0" fontId="26" fillId="0" borderId="0" xfId="6" applyFont="1"/>
    <xf numFmtId="8" fontId="26" fillId="2" borderId="1" xfId="6" applyNumberFormat="1" applyFont="1" applyFill="1" applyBorder="1"/>
    <xf numFmtId="8" fontId="26" fillId="2" borderId="0" xfId="6" applyNumberFormat="1" applyFont="1" applyFill="1"/>
    <xf numFmtId="8" fontId="0" fillId="2" borderId="15" xfId="6" applyNumberFormat="1" applyFont="1" applyFill="1" applyBorder="1"/>
    <xf numFmtId="8" fontId="0" fillId="2" borderId="0" xfId="6" applyNumberFormat="1" applyFont="1" applyFill="1"/>
    <xf numFmtId="38" fontId="18" fillId="0" borderId="0" xfId="26" applyFont="1"/>
    <xf numFmtId="167" fontId="0" fillId="2" borderId="1" xfId="6" applyNumberFormat="1" applyFont="1" applyFill="1" applyBorder="1"/>
    <xf numFmtId="167" fontId="0" fillId="2" borderId="0" xfId="6" applyNumberFormat="1" applyFont="1" applyFill="1"/>
    <xf numFmtId="167" fontId="0" fillId="2" borderId="15" xfId="6" applyNumberFormat="1" applyFont="1" applyFill="1" applyBorder="1"/>
    <xf numFmtId="9" fontId="0" fillId="2" borderId="1" xfId="6" applyNumberFormat="1" applyFont="1" applyFill="1" applyBorder="1"/>
    <xf numFmtId="9" fontId="0" fillId="2" borderId="0" xfId="6" applyNumberFormat="1" applyFont="1" applyFill="1"/>
    <xf numFmtId="9" fontId="0" fillId="2" borderId="15" xfId="6" applyNumberFormat="1" applyFont="1" applyFill="1" applyBorder="1"/>
    <xf numFmtId="8" fontId="0" fillId="2" borderId="1" xfId="6" applyNumberFormat="1" applyFont="1" applyFill="1" applyBorder="1"/>
    <xf numFmtId="175" fontId="0" fillId="0" borderId="0" xfId="24" applyNumberFormat="1" applyFont="1"/>
    <xf numFmtId="175" fontId="0" fillId="2" borderId="1" xfId="24" applyNumberFormat="1" applyFont="1" applyFill="1" applyBorder="1"/>
    <xf numFmtId="175" fontId="0" fillId="2" borderId="0" xfId="24" applyNumberFormat="1" applyFont="1" applyFill="1" applyBorder="1"/>
    <xf numFmtId="175" fontId="0" fillId="2" borderId="15" xfId="24" applyNumberFormat="1" applyFont="1" applyFill="1" applyBorder="1"/>
    <xf numFmtId="175" fontId="15" fillId="2" borderId="1" xfId="24" applyNumberFormat="1" applyFont="1" applyFill="1" applyBorder="1"/>
    <xf numFmtId="175" fontId="15" fillId="2" borderId="0" xfId="24" applyNumberFormat="1" applyFont="1" applyFill="1"/>
    <xf numFmtId="175" fontId="15" fillId="2" borderId="15" xfId="24" applyNumberFormat="1" applyFont="1" applyFill="1" applyBorder="1"/>
    <xf numFmtId="7" fontId="0" fillId="2" borderId="1" xfId="6" applyNumberFormat="1" applyFont="1" applyFill="1" applyBorder="1"/>
    <xf numFmtId="7" fontId="0" fillId="2" borderId="0" xfId="6" applyNumberFormat="1" applyFont="1" applyFill="1"/>
    <xf numFmtId="7" fontId="0" fillId="2" borderId="15" xfId="6" applyNumberFormat="1" applyFont="1" applyFill="1" applyBorder="1"/>
    <xf numFmtId="7" fontId="17" fillId="2" borderId="1" xfId="6" applyNumberFormat="1" applyFont="1" applyFill="1" applyBorder="1"/>
    <xf numFmtId="7" fontId="17" fillId="2" borderId="0" xfId="6" applyNumberFormat="1" applyFont="1" applyFill="1"/>
    <xf numFmtId="7" fontId="17" fillId="2" borderId="15" xfId="6" applyNumberFormat="1" applyFont="1" applyFill="1" applyBorder="1"/>
    <xf numFmtId="7" fontId="17" fillId="0" borderId="0" xfId="6" applyNumberFormat="1" applyFont="1"/>
    <xf numFmtId="168" fontId="28" fillId="2" borderId="0" xfId="24" applyNumberFormat="1" applyFont="1" applyFill="1"/>
    <xf numFmtId="168" fontId="31" fillId="2" borderId="1" xfId="24" applyNumberFormat="1" applyFont="1" applyFill="1" applyBorder="1"/>
    <xf numFmtId="168" fontId="31" fillId="2" borderId="0" xfId="24" applyNumberFormat="1" applyFont="1" applyFill="1"/>
    <xf numFmtId="4" fontId="3" fillId="2" borderId="1" xfId="6" applyNumberFormat="1" applyFont="1" applyFill="1" applyBorder="1"/>
    <xf numFmtId="4" fontId="3" fillId="2" borderId="0" xfId="6" applyNumberFormat="1" applyFont="1" applyFill="1"/>
    <xf numFmtId="4" fontId="3" fillId="2" borderId="15" xfId="6" applyNumberFormat="1" applyFont="1" applyFill="1" applyBorder="1"/>
    <xf numFmtId="4" fontId="3" fillId="0" borderId="0" xfId="6" applyNumberFormat="1" applyFont="1"/>
    <xf numFmtId="167" fontId="3" fillId="2" borderId="1" xfId="6" applyNumberFormat="1" applyFont="1" applyFill="1" applyBorder="1"/>
    <xf numFmtId="167" fontId="3" fillId="2" borderId="0" xfId="6" applyNumberFormat="1" applyFont="1" applyFill="1"/>
    <xf numFmtId="167" fontId="3" fillId="2" borderId="15" xfId="6" applyNumberFormat="1" applyFont="1" applyFill="1" applyBorder="1"/>
    <xf numFmtId="167" fontId="15" fillId="2" borderId="0" xfId="6" applyNumberFormat="1" applyFont="1" applyFill="1"/>
    <xf numFmtId="167" fontId="15" fillId="2" borderId="15" xfId="6" applyNumberFormat="1" applyFont="1" applyFill="1" applyBorder="1"/>
    <xf numFmtId="3" fontId="11" fillId="2" borderId="1" xfId="6" applyNumberFormat="1" applyFont="1" applyFill="1" applyBorder="1"/>
    <xf numFmtId="3" fontId="11" fillId="2" borderId="0" xfId="6" applyNumberFormat="1" applyFont="1" applyFill="1"/>
    <xf numFmtId="3" fontId="11" fillId="2" borderId="15" xfId="6" applyNumberFormat="1" applyFont="1" applyFill="1" applyBorder="1"/>
    <xf numFmtId="3" fontId="15" fillId="2" borderId="1" xfId="6" applyNumberFormat="1" applyFont="1" applyFill="1" applyBorder="1"/>
    <xf numFmtId="3" fontId="15" fillId="2" borderId="0" xfId="6" applyNumberFormat="1" applyFont="1" applyFill="1"/>
    <xf numFmtId="3" fontId="15" fillId="2" borderId="15" xfId="6" applyNumberFormat="1" applyFont="1" applyFill="1" applyBorder="1"/>
    <xf numFmtId="176" fontId="9" fillId="2" borderId="0" xfId="6" applyNumberFormat="1" applyFont="1" applyFill="1" applyAlignment="1">
      <alignment horizontal="right"/>
    </xf>
    <xf numFmtId="168" fontId="26" fillId="0" borderId="0" xfId="24" applyNumberFormat="1" applyFont="1" applyBorder="1"/>
    <xf numFmtId="168" fontId="3" fillId="0" borderId="0" xfId="24" applyNumberFormat="1" applyFont="1" applyBorder="1"/>
    <xf numFmtId="168" fontId="15" fillId="2" borderId="0" xfId="24" applyNumberFormat="1" applyFont="1" applyFill="1"/>
    <xf numFmtId="168" fontId="28" fillId="2" borderId="1" xfId="24" applyNumberFormat="1" applyFont="1" applyFill="1" applyBorder="1"/>
    <xf numFmtId="168" fontId="28" fillId="0" borderId="0" xfId="24" applyNumberFormat="1" applyFont="1"/>
    <xf numFmtId="168" fontId="0" fillId="0" borderId="0" xfId="6" applyNumberFormat="1" applyFont="1"/>
    <xf numFmtId="168" fontId="0" fillId="6" borderId="0" xfId="24" applyNumberFormat="1" applyFont="1" applyFill="1"/>
    <xf numFmtId="168" fontId="11" fillId="2" borderId="1" xfId="24" applyNumberFormat="1" applyFont="1" applyFill="1" applyBorder="1"/>
    <xf numFmtId="168" fontId="11" fillId="2" borderId="0" xfId="24" applyNumberFormat="1" applyFont="1" applyFill="1" applyBorder="1"/>
    <xf numFmtId="168" fontId="11" fillId="2" borderId="15" xfId="24" applyNumberFormat="1" applyFont="1" applyFill="1" applyBorder="1"/>
    <xf numFmtId="168" fontId="32" fillId="2" borderId="1" xfId="24" applyNumberFormat="1" applyFont="1" applyFill="1" applyBorder="1"/>
    <xf numFmtId="168" fontId="33" fillId="2" borderId="1" xfId="24" applyNumberFormat="1" applyFont="1" applyFill="1" applyBorder="1"/>
    <xf numFmtId="168" fontId="33" fillId="2" borderId="0" xfId="24" applyNumberFormat="1" applyFont="1" applyFill="1" applyBorder="1"/>
    <xf numFmtId="168" fontId="33" fillId="2" borderId="15" xfId="24" applyNumberFormat="1" applyFont="1" applyFill="1" applyBorder="1"/>
    <xf numFmtId="168" fontId="33" fillId="0" borderId="0" xfId="24" applyNumberFormat="1" applyFont="1"/>
    <xf numFmtId="168" fontId="34" fillId="2" borderId="1" xfId="24" applyNumberFormat="1" applyFont="1" applyFill="1" applyBorder="1"/>
    <xf numFmtId="168" fontId="34" fillId="2" borderId="0" xfId="24" applyNumberFormat="1" applyFont="1" applyFill="1"/>
    <xf numFmtId="168" fontId="34" fillId="0" borderId="0" xfId="24" applyNumberFormat="1" applyFont="1"/>
    <xf numFmtId="4" fontId="0" fillId="2" borderId="1" xfId="6" applyNumberFormat="1" applyFont="1" applyFill="1" applyBorder="1"/>
    <xf numFmtId="4" fontId="0" fillId="2" borderId="0" xfId="6" applyNumberFormat="1" applyFont="1" applyFill="1"/>
    <xf numFmtId="38" fontId="35" fillId="0" borderId="0" xfId="26" applyFont="1"/>
    <xf numFmtId="38" fontId="35" fillId="0" borderId="0" xfId="26" applyFont="1" applyAlignment="1">
      <alignment horizontal="right"/>
    </xf>
    <xf numFmtId="4" fontId="14" fillId="2" borderId="1" xfId="6" applyNumberFormat="1" applyFont="1" applyFill="1" applyBorder="1"/>
    <xf numFmtId="4" fontId="14" fillId="2" borderId="0" xfId="6" applyNumberFormat="1" applyFont="1" applyFill="1"/>
    <xf numFmtId="4" fontId="14" fillId="2" borderId="15" xfId="6" applyNumberFormat="1" applyFont="1" applyFill="1" applyBorder="1"/>
    <xf numFmtId="4" fontId="14" fillId="0" borderId="0" xfId="6" applyNumberFormat="1" applyFont="1"/>
    <xf numFmtId="6" fontId="3" fillId="0" borderId="0" xfId="30" applyFont="1"/>
    <xf numFmtId="6" fontId="17" fillId="0" borderId="0" xfId="30" applyFont="1"/>
    <xf numFmtId="9" fontId="18" fillId="0" borderId="0" xfId="45" applyFont="1"/>
    <xf numFmtId="9" fontId="18" fillId="2" borderId="1" xfId="6" applyNumberFormat="1" applyFont="1" applyFill="1" applyBorder="1"/>
    <xf numFmtId="9" fontId="18" fillId="2" borderId="0" xfId="6" applyNumberFormat="1" applyFont="1" applyFill="1"/>
    <xf numFmtId="9" fontId="18" fillId="2" borderId="15" xfId="6" applyNumberFormat="1" applyFont="1" applyFill="1" applyBorder="1"/>
    <xf numFmtId="9" fontId="18" fillId="0" borderId="0" xfId="6" applyNumberFormat="1" applyFont="1"/>
    <xf numFmtId="9" fontId="3" fillId="2" borderId="1" xfId="6" applyNumberFormat="1" applyFont="1" applyFill="1" applyBorder="1"/>
    <xf numFmtId="9" fontId="3" fillId="2" borderId="0" xfId="6" applyNumberFormat="1" applyFont="1" applyFill="1"/>
    <xf numFmtId="9" fontId="3" fillId="2" borderId="15" xfId="6" applyNumberFormat="1" applyFont="1" applyFill="1" applyBorder="1"/>
    <xf numFmtId="166" fontId="3" fillId="2" borderId="15" xfId="6" applyNumberFormat="1" applyFont="1" applyFill="1" applyBorder="1"/>
    <xf numFmtId="166" fontId="3" fillId="2" borderId="1" xfId="6" applyNumberFormat="1" applyFont="1" applyFill="1" applyBorder="1"/>
    <xf numFmtId="166" fontId="3" fillId="2" borderId="0" xfId="6" applyNumberFormat="1" applyFont="1" applyFill="1"/>
    <xf numFmtId="164" fontId="36" fillId="6" borderId="0" xfId="6" applyNumberFormat="1" applyFont="1" applyFill="1"/>
    <xf numFmtId="165" fontId="9" fillId="0" borderId="26" xfId="6" applyNumberFormat="1" applyFont="1" applyBorder="1"/>
    <xf numFmtId="165" fontId="13" fillId="0" borderId="26" xfId="6" applyNumberFormat="1" applyFont="1" applyBorder="1" applyAlignment="1">
      <alignment horizontal="right"/>
    </xf>
    <xf numFmtId="172" fontId="9" fillId="0" borderId="26" xfId="6" applyNumberFormat="1" applyFont="1" applyBorder="1" applyAlignment="1">
      <alignment horizontal="right"/>
    </xf>
    <xf numFmtId="173" fontId="9" fillId="0" borderId="26" xfId="6" applyNumberFormat="1" applyFont="1" applyBorder="1" applyAlignment="1">
      <alignment horizontal="right"/>
    </xf>
    <xf numFmtId="165" fontId="0" fillId="0" borderId="26" xfId="6" applyNumberFormat="1" applyFont="1" applyBorder="1"/>
    <xf numFmtId="177" fontId="0" fillId="0" borderId="0" xfId="24" applyNumberFormat="1" applyFont="1" applyBorder="1"/>
    <xf numFmtId="0" fontId="3" fillId="0" borderId="1" xfId="6" applyFont="1" applyBorder="1"/>
    <xf numFmtId="9" fontId="28" fillId="0" borderId="0" xfId="6" applyNumberFormat="1" applyFont="1"/>
    <xf numFmtId="4" fontId="17" fillId="2" borderId="1" xfId="6" applyNumberFormat="1" applyFont="1" applyFill="1" applyBorder="1"/>
    <xf numFmtId="4" fontId="17" fillId="2" borderId="0" xfId="6" applyNumberFormat="1" applyFont="1" applyFill="1"/>
    <xf numFmtId="4" fontId="17" fillId="2" borderId="15" xfId="6" applyNumberFormat="1" applyFont="1" applyFill="1" applyBorder="1"/>
    <xf numFmtId="0" fontId="3" fillId="0" borderId="5" xfId="6" applyFont="1" applyBorder="1"/>
    <xf numFmtId="0" fontId="0" fillId="0" borderId="11" xfId="6" applyFont="1" applyBorder="1"/>
    <xf numFmtId="4" fontId="17" fillId="2" borderId="5" xfId="6" applyNumberFormat="1" applyFont="1" applyFill="1" applyBorder="1"/>
    <xf numFmtId="4" fontId="17" fillId="2" borderId="11" xfId="6" applyNumberFormat="1" applyFont="1" applyFill="1" applyBorder="1"/>
    <xf numFmtId="4" fontId="17" fillId="2" borderId="25" xfId="6" applyNumberFormat="1" applyFont="1" applyFill="1" applyBorder="1"/>
    <xf numFmtId="4" fontId="17" fillId="0" borderId="11" xfId="6" applyNumberFormat="1" applyFont="1" applyBorder="1"/>
    <xf numFmtId="167" fontId="3" fillId="2" borderId="5" xfId="6" applyNumberFormat="1" applyFont="1" applyFill="1" applyBorder="1"/>
    <xf numFmtId="167" fontId="3" fillId="2" borderId="11" xfId="6" applyNumberFormat="1" applyFont="1" applyFill="1" applyBorder="1"/>
    <xf numFmtId="167" fontId="3" fillId="2" borderId="25" xfId="6" applyNumberFormat="1" applyFont="1" applyFill="1" applyBorder="1"/>
    <xf numFmtId="167" fontId="3" fillId="0" borderId="11" xfId="6" applyNumberFormat="1" applyFont="1" applyBorder="1"/>
    <xf numFmtId="0" fontId="0" fillId="0" borderId="1" xfId="6" applyFont="1" applyBorder="1"/>
    <xf numFmtId="176" fontId="3" fillId="0" borderId="0" xfId="6" applyNumberFormat="1" applyFont="1"/>
    <xf numFmtId="176" fontId="3" fillId="0" borderId="1" xfId="26" applyNumberFormat="1" applyFont="1" applyBorder="1" applyAlignment="1">
      <alignment horizontal="left"/>
    </xf>
    <xf numFmtId="176" fontId="3" fillId="2" borderId="1" xfId="6" applyNumberFormat="1" applyFont="1" applyFill="1" applyBorder="1"/>
    <xf numFmtId="176" fontId="3" fillId="2" borderId="0" xfId="6" applyNumberFormat="1" applyFont="1" applyFill="1"/>
    <xf numFmtId="176" fontId="3" fillId="2" borderId="15" xfId="6" applyNumberFormat="1" applyFont="1" applyFill="1" applyBorder="1"/>
    <xf numFmtId="176" fontId="3" fillId="2" borderId="1" xfId="24" applyNumberFormat="1" applyFont="1" applyFill="1" applyBorder="1"/>
    <xf numFmtId="176" fontId="3" fillId="2" borderId="0" xfId="24" applyNumberFormat="1" applyFont="1" applyFill="1"/>
    <xf numFmtId="176" fontId="3" fillId="2" borderId="15" xfId="24" applyNumberFormat="1" applyFont="1" applyFill="1" applyBorder="1"/>
    <xf numFmtId="176" fontId="15" fillId="0" borderId="0" xfId="24" applyNumberFormat="1" applyFont="1"/>
    <xf numFmtId="171" fontId="3" fillId="0" borderId="1" xfId="26" applyNumberFormat="1" applyFont="1" applyBorder="1" applyAlignment="1">
      <alignment horizontal="left"/>
    </xf>
    <xf numFmtId="38" fontId="3" fillId="0" borderId="1" xfId="26" applyFont="1" applyBorder="1"/>
    <xf numFmtId="171" fontId="3" fillId="0" borderId="16" xfId="26" applyNumberFormat="1" applyFont="1" applyBorder="1" applyAlignment="1">
      <alignment horizontal="left"/>
    </xf>
    <xf numFmtId="0" fontId="0" fillId="0" borderId="2" xfId="6" applyFont="1" applyBorder="1"/>
    <xf numFmtId="4" fontId="17" fillId="2" borderId="16" xfId="6" applyNumberFormat="1" applyFont="1" applyFill="1" applyBorder="1"/>
    <xf numFmtId="4" fontId="17" fillId="2" borderId="2" xfId="6" applyNumberFormat="1" applyFont="1" applyFill="1" applyBorder="1"/>
    <xf numFmtId="4" fontId="17" fillId="2" borderId="27" xfId="6" applyNumberFormat="1" applyFont="1" applyFill="1" applyBorder="1"/>
    <xf numFmtId="167" fontId="3" fillId="0" borderId="2" xfId="6" applyNumberFormat="1" applyFont="1" applyBorder="1"/>
    <xf numFmtId="167" fontId="3" fillId="2" borderId="16" xfId="6" applyNumberFormat="1" applyFont="1" applyFill="1" applyBorder="1"/>
    <xf numFmtId="167" fontId="3" fillId="2" borderId="2" xfId="6" applyNumberFormat="1" applyFont="1" applyFill="1" applyBorder="1"/>
    <xf numFmtId="167" fontId="3" fillId="2" borderId="27" xfId="6" applyNumberFormat="1" applyFont="1" applyFill="1" applyBorder="1"/>
    <xf numFmtId="168" fontId="26" fillId="2" borderId="1" xfId="6" applyNumberFormat="1" applyFont="1" applyFill="1" applyBorder="1"/>
    <xf numFmtId="168" fontId="26" fillId="2" borderId="0" xfId="6" applyNumberFormat="1" applyFont="1" applyFill="1"/>
    <xf numFmtId="168" fontId="3" fillId="2" borderId="15" xfId="6" applyNumberFormat="1" applyFont="1" applyFill="1" applyBorder="1"/>
    <xf numFmtId="168" fontId="26" fillId="0" borderId="0" xfId="6" applyNumberFormat="1" applyFont="1"/>
    <xf numFmtId="168" fontId="17" fillId="2" borderId="15" xfId="6" applyNumberFormat="1" applyFont="1" applyFill="1" applyBorder="1"/>
    <xf numFmtId="9" fontId="3" fillId="0" borderId="0" xfId="25" applyNumberFormat="1" applyFont="1"/>
    <xf numFmtId="178" fontId="17" fillId="2" borderId="1" xfId="29" applyNumberFormat="1" applyFont="1" applyFill="1" applyBorder="1"/>
    <xf numFmtId="178" fontId="17" fillId="2" borderId="0" xfId="29" applyNumberFormat="1" applyFont="1" applyFill="1"/>
    <xf numFmtId="178" fontId="17" fillId="2" borderId="15" xfId="29" applyNumberFormat="1" applyFont="1" applyFill="1" applyBorder="1"/>
    <xf numFmtId="178" fontId="17" fillId="0" borderId="0" xfId="29" applyNumberFormat="1" applyFont="1"/>
    <xf numFmtId="179" fontId="3" fillId="0" borderId="0" xfId="6" applyNumberFormat="1" applyFont="1"/>
    <xf numFmtId="178" fontId="17" fillId="2" borderId="1" xfId="6" applyNumberFormat="1" applyFont="1" applyFill="1" applyBorder="1"/>
    <xf numFmtId="178" fontId="17" fillId="2" borderId="0" xfId="6" applyNumberFormat="1" applyFont="1" applyFill="1"/>
    <xf numFmtId="178" fontId="17" fillId="2" borderId="15" xfId="6" applyNumberFormat="1" applyFont="1" applyFill="1" applyBorder="1"/>
    <xf numFmtId="178" fontId="17" fillId="0" borderId="0" xfId="6" applyNumberFormat="1" applyFont="1"/>
    <xf numFmtId="168" fontId="17" fillId="2" borderId="1" xfId="6" applyNumberFormat="1" applyFont="1" applyFill="1" applyBorder="1"/>
    <xf numFmtId="168" fontId="17" fillId="2" borderId="0" xfId="6" applyNumberFormat="1" applyFont="1" applyFill="1"/>
    <xf numFmtId="4" fontId="37" fillId="2" borderId="1" xfId="6" applyNumberFormat="1" applyFont="1" applyFill="1" applyBorder="1"/>
    <xf numFmtId="4" fontId="37" fillId="2" borderId="0" xfId="6" applyNumberFormat="1" applyFont="1" applyFill="1"/>
    <xf numFmtId="4" fontId="37" fillId="2" borderId="15" xfId="6" applyNumberFormat="1" applyFont="1" applyFill="1" applyBorder="1"/>
    <xf numFmtId="4" fontId="37" fillId="0" borderId="0" xfId="6" applyNumberFormat="1" applyFont="1"/>
    <xf numFmtId="167" fontId="18" fillId="2" borderId="1" xfId="6" applyNumberFormat="1" applyFont="1" applyFill="1" applyBorder="1"/>
    <xf numFmtId="167" fontId="18" fillId="2" borderId="0" xfId="6" applyNumberFormat="1" applyFont="1" applyFill="1"/>
    <xf numFmtId="167" fontId="18" fillId="2" borderId="15" xfId="6" applyNumberFormat="1" applyFont="1" applyFill="1" applyBorder="1"/>
    <xf numFmtId="176" fontId="17" fillId="0" borderId="0" xfId="6" applyNumberFormat="1" applyFont="1"/>
    <xf numFmtId="168" fontId="14" fillId="2" borderId="0" xfId="24" applyNumberFormat="1" applyFont="1" applyFill="1"/>
    <xf numFmtId="176" fontId="18" fillId="0" borderId="0" xfId="6" applyNumberFormat="1" applyFont="1"/>
    <xf numFmtId="4" fontId="18" fillId="2" borderId="1" xfId="6" applyNumberFormat="1" applyFont="1" applyFill="1" applyBorder="1"/>
    <xf numFmtId="4" fontId="18" fillId="2" borderId="0" xfId="6" applyNumberFormat="1" applyFont="1" applyFill="1"/>
    <xf numFmtId="4" fontId="18" fillId="2" borderId="15" xfId="6" applyNumberFormat="1" applyFont="1" applyFill="1" applyBorder="1"/>
    <xf numFmtId="167" fontId="28" fillId="2" borderId="0" xfId="6" applyNumberFormat="1" applyFont="1" applyFill="1"/>
    <xf numFmtId="167" fontId="28" fillId="2" borderId="15" xfId="6" applyNumberFormat="1" applyFont="1" applyFill="1" applyBorder="1"/>
    <xf numFmtId="167" fontId="28" fillId="2" borderId="1" xfId="6" applyNumberFormat="1" applyFont="1" applyFill="1" applyBorder="1"/>
    <xf numFmtId="176" fontId="3" fillId="2" borderId="0" xfId="24" applyNumberFormat="1" applyFont="1" applyFill="1" applyBorder="1"/>
    <xf numFmtId="176" fontId="3" fillId="0" borderId="0" xfId="24" applyNumberFormat="1" applyFont="1"/>
    <xf numFmtId="176" fontId="12" fillId="6" borderId="0" xfId="6" applyNumberFormat="1" applyFont="1" applyFill="1"/>
    <xf numFmtId="176" fontId="0" fillId="6" borderId="0" xfId="6" applyNumberFormat="1" applyFont="1" applyFill="1"/>
    <xf numFmtId="176" fontId="14" fillId="0" borderId="0" xfId="24" applyNumberFormat="1" applyFont="1" applyBorder="1"/>
    <xf numFmtId="38" fontId="3" fillId="0" borderId="0" xfId="26" applyFont="1" applyBorder="1"/>
    <xf numFmtId="168" fontId="14" fillId="2" borderId="1" xfId="24" applyNumberFormat="1" applyFont="1" applyFill="1" applyBorder="1"/>
    <xf numFmtId="168" fontId="14" fillId="2" borderId="0" xfId="24" applyNumberFormat="1" applyFont="1" applyFill="1" applyBorder="1"/>
    <xf numFmtId="168" fontId="14" fillId="2" borderId="15" xfId="24" applyNumberFormat="1" applyFont="1" applyFill="1" applyBorder="1"/>
    <xf numFmtId="168" fontId="14" fillId="0" borderId="0" xfId="24" applyNumberFormat="1" applyFont="1"/>
    <xf numFmtId="176" fontId="3" fillId="0" borderId="0" xfId="26" applyNumberFormat="1" applyFont="1"/>
    <xf numFmtId="168" fontId="19" fillId="2" borderId="1" xfId="24" applyNumberFormat="1" applyFont="1" applyFill="1" applyBorder="1"/>
    <xf numFmtId="167" fontId="15" fillId="2" borderId="1" xfId="6" applyNumberFormat="1" applyFont="1" applyFill="1" applyBorder="1"/>
    <xf numFmtId="167" fontId="28" fillId="0" borderId="0" xfId="6" applyNumberFormat="1" applyFont="1"/>
    <xf numFmtId="168" fontId="17" fillId="2" borderId="16" xfId="24" applyNumberFormat="1" applyFont="1" applyFill="1" applyBorder="1"/>
    <xf numFmtId="168" fontId="17" fillId="2" borderId="2" xfId="24" applyNumberFormat="1" applyFont="1" applyFill="1" applyBorder="1"/>
    <xf numFmtId="168" fontId="17" fillId="2" borderId="27" xfId="24" applyNumberFormat="1" applyFont="1" applyFill="1" applyBorder="1"/>
    <xf numFmtId="164" fontId="6" fillId="6" borderId="0" xfId="6" applyNumberFormat="1" applyFont="1" applyFill="1" applyAlignment="1">
      <alignment horizontal="right"/>
    </xf>
    <xf numFmtId="164" fontId="11" fillId="6" borderId="0" xfId="6" applyNumberFormat="1" applyFont="1" applyFill="1" applyAlignment="1">
      <alignment horizontal="right"/>
    </xf>
    <xf numFmtId="165" fontId="9" fillId="0" borderId="2" xfId="6" applyNumberFormat="1" applyFont="1" applyBorder="1"/>
    <xf numFmtId="0" fontId="9" fillId="0" borderId="16" xfId="26" applyNumberFormat="1" applyFont="1" applyBorder="1" applyAlignment="1">
      <alignment horizontal="center"/>
    </xf>
    <xf numFmtId="0" fontId="9" fillId="0" borderId="2" xfId="26" applyNumberFormat="1" applyFont="1" applyBorder="1" applyAlignment="1">
      <alignment horizontal="center"/>
    </xf>
    <xf numFmtId="167" fontId="9" fillId="0" borderId="2" xfId="26" applyNumberFormat="1" applyFont="1" applyBorder="1" applyAlignment="1">
      <alignment horizontal="center"/>
    </xf>
    <xf numFmtId="38" fontId="9" fillId="0" borderId="2" xfId="26" applyFont="1" applyBorder="1" applyAlignment="1">
      <alignment horizontal="center"/>
    </xf>
    <xf numFmtId="165" fontId="0" fillId="0" borderId="2" xfId="6" applyNumberFormat="1" applyFont="1" applyBorder="1"/>
    <xf numFmtId="180" fontId="9" fillId="0" borderId="28" xfId="6" applyNumberFormat="1" applyFont="1" applyBorder="1" applyAlignment="1">
      <alignment horizontal="right"/>
    </xf>
    <xf numFmtId="165" fontId="9" fillId="2" borderId="17" xfId="6" applyNumberFormat="1" applyFont="1" applyFill="1" applyBorder="1" applyAlignment="1">
      <alignment horizontal="right"/>
    </xf>
    <xf numFmtId="165" fontId="9" fillId="2" borderId="4" xfId="6" applyNumberFormat="1" applyFont="1" applyFill="1" applyBorder="1" applyAlignment="1">
      <alignment horizontal="right"/>
    </xf>
    <xf numFmtId="165" fontId="9" fillId="2" borderId="18" xfId="6" applyNumberFormat="1" applyFont="1" applyFill="1" applyBorder="1" applyAlignment="1">
      <alignment horizontal="right"/>
    </xf>
    <xf numFmtId="173" fontId="9" fillId="0" borderId="28" xfId="6" applyNumberFormat="1" applyFont="1" applyBorder="1" applyAlignment="1">
      <alignment horizontal="right"/>
    </xf>
    <xf numFmtId="0" fontId="9" fillId="0" borderId="29" xfId="6" applyFont="1" applyBorder="1" applyAlignment="1">
      <alignment horizontal="right"/>
    </xf>
    <xf numFmtId="0" fontId="17" fillId="0" borderId="3" xfId="6" applyFont="1" applyBorder="1"/>
    <xf numFmtId="0" fontId="18" fillId="0" borderId="3" xfId="6" applyFont="1" applyBorder="1"/>
    <xf numFmtId="0" fontId="18" fillId="0" borderId="30" xfId="26" applyNumberFormat="1" applyFont="1" applyBorder="1" applyAlignment="1">
      <alignment horizontal="center"/>
    </xf>
    <xf numFmtId="0" fontId="18" fillId="0" borderId="3" xfId="26" applyNumberFormat="1" applyFont="1" applyBorder="1" applyAlignment="1">
      <alignment horizontal="center"/>
    </xf>
    <xf numFmtId="167" fontId="18" fillId="0" borderId="3" xfId="26" applyNumberFormat="1" applyFont="1" applyBorder="1" applyAlignment="1">
      <alignment horizontal="center"/>
    </xf>
    <xf numFmtId="38" fontId="18" fillId="0" borderId="3" xfId="26" applyFont="1" applyBorder="1" applyAlignment="1">
      <alignment horizontal="center"/>
    </xf>
    <xf numFmtId="0" fontId="18" fillId="0" borderId="31" xfId="6" applyFont="1" applyBorder="1" applyAlignment="1">
      <alignment horizontal="left"/>
    </xf>
    <xf numFmtId="0" fontId="18" fillId="0" borderId="3" xfId="6" applyFont="1" applyBorder="1" applyAlignment="1">
      <alignment horizontal="right"/>
    </xf>
    <xf numFmtId="0" fontId="18" fillId="2" borderId="30" xfId="6" applyFont="1" applyFill="1" applyBorder="1" applyAlignment="1">
      <alignment horizontal="right"/>
    </xf>
    <xf numFmtId="0" fontId="18" fillId="2" borderId="3" xfId="6" applyFont="1" applyFill="1" applyBorder="1" applyAlignment="1">
      <alignment horizontal="right"/>
    </xf>
    <xf numFmtId="0" fontId="18" fillId="2" borderId="31" xfId="6" applyFont="1" applyFill="1" applyBorder="1" applyAlignment="1">
      <alignment horizontal="right"/>
    </xf>
    <xf numFmtId="0" fontId="18" fillId="0" borderId="31" xfId="6" applyFont="1" applyBorder="1" applyAlignment="1">
      <alignment horizontal="right"/>
    </xf>
    <xf numFmtId="1" fontId="3" fillId="0" borderId="0" xfId="6" applyNumberFormat="1" applyFont="1" applyAlignment="1">
      <alignment horizontal="center"/>
    </xf>
    <xf numFmtId="167" fontId="3" fillId="0" borderId="0" xfId="6" applyNumberFormat="1" applyFont="1" applyAlignment="1">
      <alignment horizontal="center"/>
    </xf>
    <xf numFmtId="181" fontId="3" fillId="0" borderId="0" xfId="6" applyNumberFormat="1" applyFont="1" applyAlignment="1">
      <alignment horizontal="center"/>
    </xf>
    <xf numFmtId="168" fontId="3" fillId="0" borderId="15" xfId="24" applyNumberFormat="1" applyFont="1" applyBorder="1"/>
    <xf numFmtId="168" fontId="3" fillId="0" borderId="0" xfId="24" applyNumberFormat="1" applyFont="1" applyBorder="1" applyAlignment="1">
      <alignment horizontal="right"/>
    </xf>
    <xf numFmtId="168" fontId="3" fillId="2" borderId="1" xfId="24" applyNumberFormat="1" applyFont="1" applyFill="1" applyBorder="1" applyAlignment="1">
      <alignment horizontal="right"/>
    </xf>
    <xf numFmtId="168" fontId="3" fillId="2" borderId="0" xfId="24" applyNumberFormat="1" applyFont="1" applyFill="1" applyBorder="1" applyAlignment="1">
      <alignment horizontal="right"/>
    </xf>
    <xf numFmtId="168" fontId="3" fillId="2" borderId="15" xfId="24" applyNumberFormat="1" applyFont="1" applyFill="1" applyBorder="1" applyAlignment="1">
      <alignment horizontal="right"/>
    </xf>
    <xf numFmtId="168" fontId="3" fillId="0" borderId="0" xfId="24" applyNumberFormat="1" applyFont="1" applyAlignment="1">
      <alignment horizontal="right"/>
    </xf>
    <xf numFmtId="182" fontId="3" fillId="0" borderId="15" xfId="6" applyNumberFormat="1" applyFont="1" applyBorder="1" applyAlignment="1">
      <alignment horizontal="right"/>
    </xf>
    <xf numFmtId="175" fontId="3" fillId="0" borderId="0" xfId="24" applyNumberFormat="1" applyFont="1" applyBorder="1" applyAlignment="1">
      <alignment horizontal="right"/>
    </xf>
    <xf numFmtId="175" fontId="3" fillId="2" borderId="1" xfId="24" applyNumberFormat="1" applyFont="1" applyFill="1" applyBorder="1" applyAlignment="1">
      <alignment horizontal="right"/>
    </xf>
    <xf numFmtId="175" fontId="3" fillId="2" borderId="0" xfId="24" applyNumberFormat="1" applyFont="1" applyFill="1" applyBorder="1" applyAlignment="1">
      <alignment horizontal="right"/>
    </xf>
    <xf numFmtId="175" fontId="3" fillId="2" borderId="15" xfId="24" applyNumberFormat="1" applyFont="1" applyFill="1" applyBorder="1" applyAlignment="1">
      <alignment horizontal="right"/>
    </xf>
    <xf numFmtId="175" fontId="3" fillId="0" borderId="0" xfId="24" applyNumberFormat="1" applyFont="1" applyAlignment="1">
      <alignment horizontal="right"/>
    </xf>
    <xf numFmtId="168" fontId="3" fillId="2" borderId="0" xfId="24" applyNumberFormat="1" applyFont="1" applyFill="1" applyAlignment="1">
      <alignment horizontal="right"/>
    </xf>
    <xf numFmtId="183" fontId="3" fillId="0" borderId="15" xfId="24" applyNumberFormat="1" applyFont="1" applyBorder="1" applyAlignment="1">
      <alignment horizontal="right"/>
    </xf>
    <xf numFmtId="175" fontId="3" fillId="2" borderId="0" xfId="24" applyNumberFormat="1" applyFont="1" applyFill="1" applyAlignment="1">
      <alignment horizontal="right"/>
    </xf>
    <xf numFmtId="0" fontId="3" fillId="0" borderId="2" xfId="6" applyFont="1" applyBorder="1"/>
    <xf numFmtId="168" fontId="3" fillId="0" borderId="27" xfId="24" applyNumberFormat="1" applyFont="1" applyBorder="1"/>
    <xf numFmtId="168" fontId="3" fillId="0" borderId="2" xfId="24" applyNumberFormat="1" applyFont="1" applyBorder="1" applyAlignment="1">
      <alignment horizontal="right"/>
    </xf>
    <xf numFmtId="168" fontId="3" fillId="2" borderId="16" xfId="24" applyNumberFormat="1" applyFont="1" applyFill="1" applyBorder="1" applyAlignment="1">
      <alignment horizontal="right"/>
    </xf>
    <xf numFmtId="168" fontId="3" fillId="2" borderId="2" xfId="24" applyNumberFormat="1" applyFont="1" applyFill="1" applyBorder="1" applyAlignment="1">
      <alignment horizontal="right"/>
    </xf>
    <xf numFmtId="168" fontId="3" fillId="2" borderId="27" xfId="24" applyNumberFormat="1" applyFont="1" applyFill="1" applyBorder="1" applyAlignment="1">
      <alignment horizontal="right"/>
    </xf>
    <xf numFmtId="182" fontId="3" fillId="0" borderId="27" xfId="24" applyNumberFormat="1" applyFont="1" applyBorder="1" applyAlignment="1">
      <alignment horizontal="right"/>
    </xf>
    <xf numFmtId="175" fontId="3" fillId="0" borderId="2" xfId="24" applyNumberFormat="1" applyFont="1" applyBorder="1" applyAlignment="1">
      <alignment horizontal="right"/>
    </xf>
    <xf numFmtId="175" fontId="3" fillId="2" borderId="16" xfId="24" applyNumberFormat="1" applyFont="1" applyFill="1" applyBorder="1" applyAlignment="1">
      <alignment horizontal="right"/>
    </xf>
    <xf numFmtId="175" fontId="3" fillId="2" borderId="2" xfId="24" applyNumberFormat="1" applyFont="1" applyFill="1" applyBorder="1" applyAlignment="1">
      <alignment horizontal="right"/>
    </xf>
    <xf numFmtId="175" fontId="3" fillId="2" borderId="27" xfId="24" applyNumberFormat="1" applyFont="1" applyFill="1" applyBorder="1" applyAlignment="1">
      <alignment horizontal="right"/>
    </xf>
    <xf numFmtId="168" fontId="17" fillId="0" borderId="1" xfId="24" applyNumberFormat="1" applyFont="1" applyBorder="1" applyAlignment="1">
      <alignment horizontal="right"/>
    </xf>
    <xf numFmtId="168" fontId="17" fillId="0" borderId="0" xfId="24" applyNumberFormat="1" applyFont="1" applyAlignment="1">
      <alignment horizontal="right"/>
    </xf>
    <xf numFmtId="168" fontId="17" fillId="2" borderId="1" xfId="24" applyNumberFormat="1" applyFont="1" applyFill="1" applyBorder="1" applyAlignment="1">
      <alignment horizontal="right"/>
    </xf>
    <xf numFmtId="168" fontId="17" fillId="2" borderId="0" xfId="24" applyNumberFormat="1" applyFont="1" applyFill="1" applyAlignment="1">
      <alignment horizontal="right"/>
    </xf>
    <xf numFmtId="168" fontId="17" fillId="2" borderId="15" xfId="24" applyNumberFormat="1" applyFont="1" applyFill="1" applyBorder="1" applyAlignment="1">
      <alignment horizontal="right"/>
    </xf>
    <xf numFmtId="175" fontId="17" fillId="0" borderId="15" xfId="24" applyNumberFormat="1" applyFont="1" applyBorder="1" applyAlignment="1">
      <alignment horizontal="right"/>
    </xf>
    <xf numFmtId="175" fontId="17" fillId="0" borderId="0" xfId="24" applyNumberFormat="1" applyFont="1" applyAlignment="1">
      <alignment horizontal="right"/>
    </xf>
    <xf numFmtId="175" fontId="17" fillId="2" borderId="1" xfId="24" applyNumberFormat="1" applyFont="1" applyFill="1" applyBorder="1" applyAlignment="1">
      <alignment horizontal="right"/>
    </xf>
    <xf numFmtId="175" fontId="17" fillId="2" borderId="0" xfId="24" applyNumberFormat="1" applyFont="1" applyFill="1" applyAlignment="1">
      <alignment horizontal="right"/>
    </xf>
    <xf numFmtId="175" fontId="17" fillId="2" borderId="15" xfId="24" applyNumberFormat="1" applyFont="1" applyFill="1" applyBorder="1" applyAlignment="1">
      <alignment horizontal="right"/>
    </xf>
    <xf numFmtId="168" fontId="17" fillId="2" borderId="0" xfId="24" applyNumberFormat="1" applyFont="1" applyFill="1" applyBorder="1" applyAlignment="1">
      <alignment horizontal="right"/>
    </xf>
    <xf numFmtId="175" fontId="17" fillId="0" borderId="0" xfId="24" applyNumberFormat="1" applyFont="1" applyBorder="1" applyAlignment="1">
      <alignment horizontal="right"/>
    </xf>
    <xf numFmtId="175" fontId="17" fillId="2" borderId="0" xfId="24" applyNumberFormat="1" applyFont="1" applyFill="1" applyBorder="1" applyAlignment="1">
      <alignment horizontal="right"/>
    </xf>
    <xf numFmtId="0" fontId="3" fillId="0" borderId="3" xfId="6" applyFont="1" applyBorder="1"/>
    <xf numFmtId="168" fontId="3" fillId="0" borderId="3" xfId="24" applyNumberFormat="1" applyFont="1" applyBorder="1"/>
    <xf numFmtId="168" fontId="3" fillId="0" borderId="30" xfId="24" applyNumberFormat="1" applyFont="1" applyBorder="1" applyAlignment="1">
      <alignment horizontal="right"/>
    </xf>
    <xf numFmtId="168" fontId="3" fillId="0" borderId="3" xfId="24" applyNumberFormat="1" applyFont="1" applyBorder="1" applyAlignment="1">
      <alignment horizontal="right"/>
    </xf>
    <xf numFmtId="0" fontId="3" fillId="0" borderId="31" xfId="6" applyFont="1" applyBorder="1" applyAlignment="1">
      <alignment horizontal="right"/>
    </xf>
    <xf numFmtId="175" fontId="3" fillId="0" borderId="3" xfId="24" applyNumberFormat="1" applyFont="1" applyBorder="1" applyAlignment="1">
      <alignment horizontal="right"/>
    </xf>
    <xf numFmtId="38" fontId="3" fillId="0" borderId="15" xfId="6" applyNumberFormat="1" applyFont="1" applyBorder="1" applyAlignment="1">
      <alignment horizontal="right"/>
    </xf>
    <xf numFmtId="168" fontId="22" fillId="0" borderId="15" xfId="24" applyNumberFormat="1" applyFont="1" applyBorder="1" applyAlignment="1">
      <alignment horizontal="center"/>
    </xf>
    <xf numFmtId="38" fontId="3" fillId="0" borderId="15" xfId="26" applyFont="1" applyBorder="1" applyAlignment="1">
      <alignment horizontal="right"/>
    </xf>
    <xf numFmtId="38" fontId="3" fillId="0" borderId="2" xfId="26" applyFont="1" applyBorder="1"/>
    <xf numFmtId="168" fontId="3" fillId="0" borderId="27" xfId="24" applyNumberFormat="1" applyFont="1" applyBorder="1" applyAlignment="1">
      <alignment horizontal="right"/>
    </xf>
    <xf numFmtId="38" fontId="3" fillId="0" borderId="27" xfId="26" applyFont="1" applyBorder="1" applyAlignment="1">
      <alignment horizontal="right"/>
    </xf>
    <xf numFmtId="168" fontId="17" fillId="0" borderId="15" xfId="24" applyNumberFormat="1" applyFont="1" applyBorder="1"/>
    <xf numFmtId="38" fontId="17" fillId="0" borderId="15" xfId="26" applyFont="1" applyBorder="1" applyAlignment="1">
      <alignment horizontal="right"/>
    </xf>
    <xf numFmtId="0" fontId="35" fillId="0" borderId="0" xfId="6" applyFont="1"/>
    <xf numFmtId="0" fontId="3" fillId="0" borderId="2" xfId="6" applyFont="1" applyBorder="1" applyAlignment="1">
      <alignment horizontal="left"/>
    </xf>
    <xf numFmtId="168" fontId="38" fillId="0" borderId="27" xfId="24" applyNumberFormat="1" applyFont="1" applyBorder="1"/>
    <xf numFmtId="168" fontId="38" fillId="0" borderId="2" xfId="24" applyNumberFormat="1" applyFont="1" applyBorder="1" applyAlignment="1">
      <alignment horizontal="right"/>
    </xf>
    <xf numFmtId="168" fontId="38" fillId="2" borderId="16" xfId="24" applyNumberFormat="1" applyFont="1" applyFill="1" applyBorder="1" applyAlignment="1">
      <alignment horizontal="right"/>
    </xf>
    <xf numFmtId="168" fontId="38" fillId="2" borderId="2" xfId="24" applyNumberFormat="1" applyFont="1" applyFill="1" applyBorder="1" applyAlignment="1">
      <alignment horizontal="right"/>
    </xf>
    <xf numFmtId="168" fontId="38" fillId="2" borderId="27" xfId="24" applyNumberFormat="1" applyFont="1" applyFill="1" applyBorder="1" applyAlignment="1">
      <alignment horizontal="right"/>
    </xf>
    <xf numFmtId="38" fontId="38" fillId="0" borderId="27" xfId="6" applyNumberFormat="1" applyFont="1" applyBorder="1" applyAlignment="1">
      <alignment horizontal="right"/>
    </xf>
    <xf numFmtId="38" fontId="17" fillId="0" borderId="15" xfId="6" applyNumberFormat="1" applyFont="1" applyBorder="1" applyAlignment="1">
      <alignment horizontal="right"/>
    </xf>
    <xf numFmtId="168" fontId="17" fillId="0" borderId="0" xfId="24" applyNumberFormat="1" applyFont="1" applyBorder="1" applyAlignment="1">
      <alignment horizontal="right"/>
    </xf>
    <xf numFmtId="168" fontId="3" fillId="0" borderId="31" xfId="24" applyNumberFormat="1" applyFont="1" applyBorder="1"/>
    <xf numFmtId="168" fontId="3" fillId="2" borderId="30" xfId="24" applyNumberFormat="1" applyFont="1" applyFill="1" applyBorder="1" applyAlignment="1">
      <alignment horizontal="right"/>
    </xf>
    <xf numFmtId="168" fontId="3" fillId="2" borderId="3" xfId="24" applyNumberFormat="1" applyFont="1" applyFill="1" applyBorder="1" applyAlignment="1">
      <alignment horizontal="right"/>
    </xf>
    <xf numFmtId="168" fontId="3" fillId="2" borderId="31" xfId="24" applyNumberFormat="1" applyFont="1" applyFill="1" applyBorder="1" applyAlignment="1">
      <alignment horizontal="right"/>
    </xf>
    <xf numFmtId="38" fontId="3" fillId="0" borderId="31" xfId="6" applyNumberFormat="1" applyFont="1" applyBorder="1" applyAlignment="1">
      <alignment horizontal="right"/>
    </xf>
    <xf numFmtId="175" fontId="3" fillId="2" borderId="30" xfId="24" applyNumberFormat="1" applyFont="1" applyFill="1" applyBorder="1" applyAlignment="1">
      <alignment horizontal="right"/>
    </xf>
    <xf numFmtId="175" fontId="3" fillId="2" borderId="3" xfId="24" applyNumberFormat="1" applyFont="1" applyFill="1" applyBorder="1" applyAlignment="1">
      <alignment horizontal="right"/>
    </xf>
    <xf numFmtId="175" fontId="3" fillId="2" borderId="31" xfId="24" applyNumberFormat="1" applyFont="1" applyFill="1" applyBorder="1" applyAlignment="1">
      <alignment horizontal="right"/>
    </xf>
    <xf numFmtId="0" fontId="3" fillId="0" borderId="15" xfId="6" applyFont="1" applyBorder="1" applyAlignment="1">
      <alignment horizontal="center"/>
    </xf>
    <xf numFmtId="0" fontId="3" fillId="0" borderId="15" xfId="6" applyFont="1" applyBorder="1" applyAlignment="1">
      <alignment horizontal="right"/>
    </xf>
    <xf numFmtId="38" fontId="3" fillId="0" borderId="15" xfId="6" applyNumberFormat="1" applyFont="1" applyBorder="1" applyAlignment="1">
      <alignment horizontal="center"/>
    </xf>
    <xf numFmtId="38" fontId="22" fillId="0" borderId="15" xfId="26" applyFont="1" applyBorder="1" applyAlignment="1">
      <alignment horizontal="center"/>
    </xf>
    <xf numFmtId="38" fontId="3" fillId="0" borderId="27" xfId="6" applyNumberFormat="1" applyFont="1" applyBorder="1" applyAlignment="1">
      <alignment horizontal="right"/>
    </xf>
    <xf numFmtId="0" fontId="0" fillId="5" borderId="0" xfId="6" applyFont="1" applyFill="1"/>
    <xf numFmtId="0" fontId="8" fillId="6" borderId="0" xfId="6" applyFont="1" applyFill="1"/>
    <xf numFmtId="49" fontId="0" fillId="0" borderId="0" xfId="6" applyNumberFormat="1" applyFont="1"/>
    <xf numFmtId="9" fontId="0" fillId="0" borderId="0" xfId="45" applyFont="1"/>
    <xf numFmtId="9" fontId="3" fillId="0" borderId="0" xfId="45" applyFont="1"/>
    <xf numFmtId="9" fontId="3" fillId="2" borderId="1" xfId="45" applyFont="1" applyFill="1" applyBorder="1"/>
    <xf numFmtId="9" fontId="3" fillId="2" borderId="0" xfId="45" applyFont="1" applyFill="1"/>
    <xf numFmtId="9" fontId="3" fillId="2" borderId="15" xfId="45" applyFont="1" applyFill="1" applyBorder="1"/>
    <xf numFmtId="9" fontId="28" fillId="0" borderId="0" xfId="45" applyFont="1"/>
    <xf numFmtId="165" fontId="3" fillId="0" borderId="21" xfId="6" applyNumberFormat="1" applyFont="1" applyBorder="1"/>
    <xf numFmtId="37" fontId="3" fillId="0" borderId="0" xfId="6" applyNumberFormat="1" applyFont="1"/>
    <xf numFmtId="168" fontId="17" fillId="0" borderId="0" xfId="24" applyNumberFormat="1" applyFont="1" applyFill="1" applyBorder="1"/>
    <xf numFmtId="167" fontId="3" fillId="0" borderId="0" xfId="45" applyNumberFormat="1" applyFont="1"/>
    <xf numFmtId="0" fontId="0" fillId="0" borderId="0" xfId="6" applyFont="1" applyFill="1"/>
    <xf numFmtId="168" fontId="0" fillId="0" borderId="0" xfId="24" applyNumberFormat="1" applyFont="1" applyFill="1" applyBorder="1"/>
    <xf numFmtId="177" fontId="0" fillId="0" borderId="0" xfId="24" applyNumberFormat="1" applyFont="1" applyFill="1" applyBorder="1"/>
    <xf numFmtId="168" fontId="3" fillId="0" borderId="1" xfId="24" applyNumberFormat="1" applyFont="1" applyBorder="1" applyAlignment="1">
      <alignment horizontal="center"/>
    </xf>
    <xf numFmtId="168" fontId="3" fillId="0" borderId="0" xfId="24" applyNumberFormat="1" applyFont="1" applyBorder="1" applyAlignment="1">
      <alignment horizontal="center"/>
    </xf>
    <xf numFmtId="168" fontId="1" fillId="0" borderId="0" xfId="24" applyNumberFormat="1" applyFont="1" applyBorder="1"/>
    <xf numFmtId="0" fontId="46" fillId="0" borderId="0" xfId="6" applyFont="1"/>
    <xf numFmtId="168" fontId="47" fillId="0" borderId="0" xfId="24" applyNumberFormat="1" applyFont="1"/>
    <xf numFmtId="168" fontId="46" fillId="2" borderId="1" xfId="6" applyNumberFormat="1" applyFont="1" applyFill="1" applyBorder="1"/>
    <xf numFmtId="168" fontId="46" fillId="2" borderId="0" xfId="6" applyNumberFormat="1" applyFont="1" applyFill="1"/>
    <xf numFmtId="168" fontId="46" fillId="2" borderId="15" xfId="6" applyNumberFormat="1" applyFont="1" applyFill="1" applyBorder="1"/>
    <xf numFmtId="168" fontId="46" fillId="0" borderId="0" xfId="6" applyNumberFormat="1" applyFont="1"/>
    <xf numFmtId="168" fontId="46" fillId="2" borderId="0" xfId="24" applyNumberFormat="1" applyFont="1" applyFill="1"/>
    <xf numFmtId="168" fontId="46" fillId="2" borderId="15" xfId="24" applyNumberFormat="1" applyFont="1" applyFill="1" applyBorder="1"/>
    <xf numFmtId="168" fontId="46" fillId="0" borderId="0" xfId="24" applyNumberFormat="1" applyFont="1"/>
    <xf numFmtId="168" fontId="46" fillId="2" borderId="1" xfId="24" applyNumberFormat="1" applyFont="1" applyFill="1" applyBorder="1"/>
    <xf numFmtId="168" fontId="47" fillId="0" borderId="0" xfId="24" applyNumberFormat="1" applyFont="1" applyBorder="1"/>
    <xf numFmtId="0" fontId="47" fillId="0" borderId="0" xfId="6" applyFont="1"/>
    <xf numFmtId="176" fontId="3" fillId="2" borderId="16" xfId="6" applyNumberFormat="1" applyFont="1" applyFill="1" applyBorder="1"/>
    <xf numFmtId="176" fontId="3" fillId="2" borderId="2" xfId="6" applyNumberFormat="1" applyFont="1" applyFill="1" applyBorder="1"/>
    <xf numFmtId="176" fontId="3" fillId="2" borderId="27" xfId="6" applyNumberFormat="1" applyFont="1" applyFill="1" applyBorder="1"/>
    <xf numFmtId="167" fontId="28" fillId="2" borderId="16" xfId="6" applyNumberFormat="1" applyFont="1" applyFill="1" applyBorder="1"/>
    <xf numFmtId="167" fontId="28" fillId="2" borderId="2" xfId="6" applyNumberFormat="1" applyFont="1" applyFill="1" applyBorder="1"/>
    <xf numFmtId="167" fontId="28" fillId="2" borderId="27" xfId="6" applyNumberFormat="1" applyFont="1" applyFill="1" applyBorder="1"/>
    <xf numFmtId="0" fontId="17" fillId="0" borderId="0" xfId="6" applyFont="1" applyFill="1"/>
    <xf numFmtId="0" fontId="50" fillId="6" borderId="0" xfId="6" applyFont="1" applyFill="1"/>
    <xf numFmtId="0" fontId="51" fillId="6" borderId="0" xfId="6" applyFont="1" applyFill="1"/>
    <xf numFmtId="0" fontId="52" fillId="5" borderId="0" xfId="6" applyFont="1" applyFill="1"/>
    <xf numFmtId="0" fontId="9" fillId="5" borderId="0" xfId="6" applyFont="1" applyFill="1"/>
    <xf numFmtId="0" fontId="17" fillId="5" borderId="0" xfId="6" applyFont="1" applyFill="1"/>
    <xf numFmtId="0" fontId="53" fillId="5" borderId="0" xfId="6" applyFont="1" applyFill="1"/>
    <xf numFmtId="0" fontId="24" fillId="0" borderId="0" xfId="6" applyFont="1" applyFill="1"/>
    <xf numFmtId="0" fontId="25" fillId="0" borderId="0" xfId="6" applyFont="1" applyFill="1"/>
    <xf numFmtId="165" fontId="0" fillId="0" borderId="21" xfId="6" applyNumberFormat="1" applyFont="1" applyFill="1" applyBorder="1"/>
    <xf numFmtId="0" fontId="3" fillId="0" borderId="0" xfId="6" applyFont="1" applyFill="1"/>
    <xf numFmtId="0" fontId="29" fillId="0" borderId="0" xfId="6" applyFont="1" applyFill="1"/>
    <xf numFmtId="3" fontId="0" fillId="0" borderId="0" xfId="6" applyNumberFormat="1" applyFont="1" applyFill="1"/>
    <xf numFmtId="3" fontId="3" fillId="0" borderId="0" xfId="6" applyNumberFormat="1" applyFont="1" applyFill="1"/>
    <xf numFmtId="37" fontId="0" fillId="0" borderId="0" xfId="6" applyNumberFormat="1" applyFont="1" applyFill="1"/>
    <xf numFmtId="38" fontId="17" fillId="0" borderId="11" xfId="26" applyFont="1" applyBorder="1"/>
    <xf numFmtId="168" fontId="17" fillId="0" borderId="25" xfId="24" applyNumberFormat="1" applyFont="1" applyBorder="1"/>
    <xf numFmtId="168" fontId="17" fillId="0" borderId="11" xfId="24" applyNumberFormat="1" applyFont="1" applyBorder="1" applyAlignment="1">
      <alignment horizontal="right"/>
    </xf>
    <xf numFmtId="168" fontId="17" fillId="2" borderId="5" xfId="24" applyNumberFormat="1" applyFont="1" applyFill="1" applyBorder="1" applyAlignment="1">
      <alignment horizontal="right"/>
    </xf>
    <xf numFmtId="168" fontId="17" fillId="2" borderId="11" xfId="24" applyNumberFormat="1" applyFont="1" applyFill="1" applyBorder="1" applyAlignment="1">
      <alignment horizontal="right"/>
    </xf>
    <xf numFmtId="168" fontId="17" fillId="2" borderId="25" xfId="24" applyNumberFormat="1" applyFont="1" applyFill="1" applyBorder="1" applyAlignment="1">
      <alignment horizontal="right"/>
    </xf>
    <xf numFmtId="38" fontId="17" fillId="0" borderId="25" xfId="26" applyFont="1" applyBorder="1" applyAlignment="1">
      <alignment horizontal="right"/>
    </xf>
    <xf numFmtId="175" fontId="17" fillId="0" borderId="11" xfId="24" applyNumberFormat="1" applyFont="1" applyBorder="1" applyAlignment="1">
      <alignment horizontal="right"/>
    </xf>
    <xf numFmtId="175" fontId="17" fillId="2" borderId="5" xfId="24" applyNumberFormat="1" applyFont="1" applyFill="1" applyBorder="1" applyAlignment="1">
      <alignment horizontal="right"/>
    </xf>
    <xf numFmtId="175" fontId="17" fillId="2" borderId="11" xfId="24" applyNumberFormat="1" applyFont="1" applyFill="1" applyBorder="1" applyAlignment="1">
      <alignment horizontal="right"/>
    </xf>
    <xf numFmtId="175" fontId="17" fillId="2" borderId="25" xfId="24" applyNumberFormat="1" applyFont="1" applyFill="1" applyBorder="1" applyAlignment="1">
      <alignment horizontal="right"/>
    </xf>
    <xf numFmtId="0" fontId="0" fillId="0" borderId="0" xfId="6" applyFont="1" applyFill="1" applyBorder="1"/>
    <xf numFmtId="4" fontId="17" fillId="2" borderId="0" xfId="6" applyNumberFormat="1" applyFont="1" applyFill="1" applyBorder="1"/>
    <xf numFmtId="4" fontId="17" fillId="0" borderId="0" xfId="6" applyNumberFormat="1" applyFont="1" applyFill="1" applyBorder="1"/>
    <xf numFmtId="168" fontId="26" fillId="0" borderId="0" xfId="24" applyNumberFormat="1" applyFont="1" applyFill="1" applyBorder="1"/>
    <xf numFmtId="0" fontId="17" fillId="0" borderId="0" xfId="6" applyFont="1" applyFill="1" applyBorder="1"/>
    <xf numFmtId="168" fontId="3" fillId="0" borderId="0" xfId="24" applyNumberFormat="1" applyFont="1" applyFill="1" applyBorder="1"/>
    <xf numFmtId="0" fontId="0" fillId="0" borderId="0" xfId="6" applyFont="1" applyAlignment="1">
      <alignment horizontal="center"/>
    </xf>
    <xf numFmtId="8" fontId="1" fillId="2" borderId="1" xfId="6" applyNumberFormat="1" applyFont="1" applyFill="1" applyBorder="1"/>
    <xf numFmtId="38" fontId="3" fillId="0" borderId="0" xfId="26" applyNumberFormat="1" applyFont="1" applyFill="1"/>
    <xf numFmtId="168" fontId="0" fillId="0" borderId="0" xfId="24" applyNumberFormat="1" applyFont="1" applyFill="1"/>
    <xf numFmtId="168" fontId="30" fillId="0" borderId="0" xfId="24" applyNumberFormat="1" applyFont="1" applyFill="1"/>
    <xf numFmtId="9" fontId="17" fillId="0" borderId="0" xfId="24" applyNumberFormat="1" applyFont="1"/>
    <xf numFmtId="0" fontId="3" fillId="0" borderId="0" xfId="6" applyFont="1" applyFill="1" applyBorder="1"/>
    <xf numFmtId="0" fontId="12" fillId="6" borderId="0" xfId="6" applyFont="1" applyFill="1" applyBorder="1"/>
    <xf numFmtId="0" fontId="20" fillId="6" borderId="0" xfId="6" applyFont="1" applyFill="1" applyBorder="1"/>
    <xf numFmtId="7" fontId="17" fillId="0" borderId="0" xfId="6" applyNumberFormat="1" applyFont="1" applyFill="1"/>
    <xf numFmtId="7" fontId="0" fillId="0" borderId="0" xfId="6" applyNumberFormat="1" applyFont="1" applyFill="1"/>
    <xf numFmtId="168" fontId="1" fillId="0" borderId="0" xfId="24" applyNumberFormat="1" applyFont="1" applyFill="1"/>
    <xf numFmtId="0" fontId="1" fillId="0" borderId="0" xfId="6" applyFont="1" applyFill="1"/>
    <xf numFmtId="9" fontId="0" fillId="0" borderId="0" xfId="6" applyNumberFormat="1" applyFont="1" applyFill="1"/>
    <xf numFmtId="168" fontId="1" fillId="0" borderId="0" xfId="24" applyNumberFormat="1" applyFont="1"/>
    <xf numFmtId="43" fontId="0" fillId="0" borderId="0" xfId="6" applyNumberFormat="1" applyFont="1" applyFill="1"/>
    <xf numFmtId="0" fontId="17" fillId="0" borderId="0" xfId="6" applyFont="1" applyAlignment="1">
      <alignment horizontal="right"/>
    </xf>
    <xf numFmtId="168" fontId="30" fillId="0" borderId="0" xfId="24" applyNumberFormat="1" applyFont="1"/>
    <xf numFmtId="168" fontId="30" fillId="2" borderId="15" xfId="24" applyNumberFormat="1" applyFont="1" applyFill="1" applyBorder="1"/>
    <xf numFmtId="168" fontId="30" fillId="2" borderId="0" xfId="24" applyNumberFormat="1" applyFont="1" applyFill="1" applyBorder="1"/>
    <xf numFmtId="174" fontId="0" fillId="0" borderId="0" xfId="24" applyNumberFormat="1" applyFont="1"/>
    <xf numFmtId="168" fontId="1" fillId="0" borderId="0" xfId="24" applyNumberFormat="1" applyFont="1" applyFill="1" applyBorder="1"/>
    <xf numFmtId="0" fontId="1" fillId="0" borderId="0" xfId="6" applyFont="1" applyFill="1" applyBorder="1"/>
    <xf numFmtId="0" fontId="1" fillId="0" borderId="0" xfId="6" applyFont="1"/>
    <xf numFmtId="4" fontId="3" fillId="0" borderId="0" xfId="6" applyNumberFormat="1" applyFont="1" applyFill="1" applyBorder="1"/>
    <xf numFmtId="168" fontId="34" fillId="2" borderId="0" xfId="24" applyNumberFormat="1" applyFont="1" applyFill="1" applyBorder="1"/>
    <xf numFmtId="168" fontId="34" fillId="0" borderId="0" xfId="24" applyNumberFormat="1" applyFont="1" applyFill="1" applyBorder="1"/>
    <xf numFmtId="38" fontId="17" fillId="0" borderId="0" xfId="26" applyNumberFormat="1" applyFont="1"/>
    <xf numFmtId="168" fontId="34" fillId="2" borderId="15" xfId="24" applyNumberFormat="1" applyFont="1" applyFill="1" applyBorder="1"/>
    <xf numFmtId="38" fontId="3" fillId="0" borderId="0" xfId="26" applyNumberFormat="1" applyFont="1"/>
    <xf numFmtId="168" fontId="15" fillId="0" borderId="0" xfId="24" applyNumberFormat="1" applyFont="1" applyFill="1" applyBorder="1"/>
    <xf numFmtId="168" fontId="1" fillId="2" borderId="1" xfId="24" applyNumberFormat="1" applyFont="1" applyFill="1" applyBorder="1"/>
    <xf numFmtId="168" fontId="1" fillId="2" borderId="0" xfId="24" applyNumberFormat="1" applyFont="1" applyFill="1" applyBorder="1"/>
    <xf numFmtId="168" fontId="1" fillId="2" borderId="15" xfId="24" applyNumberFormat="1" applyFont="1" applyFill="1" applyBorder="1"/>
    <xf numFmtId="168" fontId="1" fillId="2" borderId="0" xfId="24" applyNumberFormat="1" applyFont="1" applyFill="1"/>
    <xf numFmtId="177" fontId="1" fillId="0" borderId="0" xfId="24" applyNumberFormat="1" applyFont="1" applyBorder="1"/>
    <xf numFmtId="177" fontId="1" fillId="0" borderId="0" xfId="24" applyNumberFormat="1" applyFont="1" applyFill="1" applyBorder="1"/>
    <xf numFmtId="8" fontId="1" fillId="0" borderId="0" xfId="24" applyNumberFormat="1" applyFont="1"/>
    <xf numFmtId="167" fontId="3" fillId="2" borderId="5" xfId="6" applyNumberFormat="1" applyFont="1" applyFill="1" applyBorder="1" applyAlignment="1">
      <alignment horizontal="right"/>
    </xf>
    <xf numFmtId="167" fontId="3" fillId="2" borderId="11" xfId="6" applyNumberFormat="1" applyFont="1" applyFill="1" applyBorder="1" applyAlignment="1">
      <alignment horizontal="right"/>
    </xf>
    <xf numFmtId="167" fontId="3" fillId="2" borderId="25" xfId="6" applyNumberFormat="1" applyFont="1" applyFill="1" applyBorder="1" applyAlignment="1">
      <alignment horizontal="right"/>
    </xf>
    <xf numFmtId="178" fontId="17" fillId="2" borderId="1" xfId="29" applyNumberFormat="1" applyFont="1" applyFill="1" applyBorder="1" applyAlignment="1">
      <alignment horizontal="right"/>
    </xf>
    <xf numFmtId="178" fontId="17" fillId="2" borderId="0" xfId="29" applyNumberFormat="1" applyFont="1" applyFill="1" applyAlignment="1">
      <alignment horizontal="right"/>
    </xf>
    <xf numFmtId="178" fontId="17" fillId="2" borderId="15" xfId="29" applyNumberFormat="1" applyFont="1" applyFill="1" applyBorder="1" applyAlignment="1">
      <alignment horizontal="right"/>
    </xf>
    <xf numFmtId="178" fontId="17" fillId="2" borderId="1" xfId="6" applyNumberFormat="1" applyFont="1" applyFill="1" applyBorder="1" applyAlignment="1">
      <alignment horizontal="right"/>
    </xf>
    <xf numFmtId="178" fontId="17" fillId="2" borderId="0" xfId="6" applyNumberFormat="1" applyFont="1" applyFill="1" applyAlignment="1">
      <alignment horizontal="right"/>
    </xf>
    <xf numFmtId="178" fontId="17" fillId="2" borderId="15" xfId="6" applyNumberFormat="1" applyFont="1" applyFill="1" applyBorder="1" applyAlignment="1">
      <alignment horizontal="right"/>
    </xf>
    <xf numFmtId="167" fontId="3" fillId="2" borderId="1" xfId="6" applyNumberFormat="1" applyFont="1" applyFill="1" applyBorder="1" applyAlignment="1">
      <alignment horizontal="right"/>
    </xf>
    <xf numFmtId="167" fontId="3" fillId="2" borderId="0" xfId="6" applyNumberFormat="1" applyFont="1" applyFill="1" applyAlignment="1">
      <alignment horizontal="right"/>
    </xf>
    <xf numFmtId="167" fontId="3" fillId="2" borderId="15" xfId="6" applyNumberFormat="1" applyFont="1" applyFill="1" applyBorder="1" applyAlignment="1">
      <alignment horizontal="right"/>
    </xf>
    <xf numFmtId="43" fontId="3" fillId="2" borderId="1" xfId="24" applyFont="1" applyFill="1" applyBorder="1"/>
    <xf numFmtId="43" fontId="3" fillId="2" borderId="0" xfId="24" applyFont="1" applyFill="1"/>
    <xf numFmtId="43" fontId="3" fillId="2" borderId="15" xfId="24" applyFont="1" applyFill="1" applyBorder="1"/>
    <xf numFmtId="0" fontId="0" fillId="0" borderId="0" xfId="6" applyFont="1" applyBorder="1"/>
    <xf numFmtId="0" fontId="1" fillId="0" borderId="0" xfId="34" applyNumberFormat="1" applyFont="1" applyFill="1" applyBorder="1" applyAlignment="1">
      <alignment horizontal="left"/>
    </xf>
    <xf numFmtId="176" fontId="15" fillId="2" borderId="1" xfId="24" applyNumberFormat="1" applyFont="1" applyFill="1" applyBorder="1"/>
    <xf numFmtId="8" fontId="26" fillId="0" borderId="0" xfId="6" applyNumberFormat="1" applyFont="1"/>
    <xf numFmtId="4" fontId="3" fillId="2" borderId="0" xfId="6" applyNumberFormat="1" applyFont="1" applyFill="1" applyBorder="1"/>
    <xf numFmtId="0" fontId="18" fillId="0" borderId="0" xfId="6" applyFont="1" applyAlignment="1">
      <alignment horizontal="left"/>
    </xf>
    <xf numFmtId="168" fontId="26" fillId="2" borderId="1" xfId="24" applyNumberFormat="1" applyFont="1" applyFill="1" applyBorder="1" applyAlignment="1"/>
    <xf numFmtId="7" fontId="28" fillId="0" borderId="0" xfId="6" applyNumberFormat="1" applyFont="1"/>
    <xf numFmtId="8" fontId="32" fillId="2" borderId="15" xfId="6" applyNumberFormat="1" applyFont="1" applyFill="1" applyBorder="1"/>
    <xf numFmtId="0" fontId="1" fillId="0" borderId="0" xfId="6" applyNumberFormat="1" applyFont="1"/>
    <xf numFmtId="1" fontId="26" fillId="0" borderId="0" xfId="26" applyNumberFormat="1" applyFont="1" applyFill="1" applyAlignment="1">
      <alignment horizontal="center"/>
    </xf>
    <xf numFmtId="167" fontId="26" fillId="0" borderId="0" xfId="6" applyNumberFormat="1" applyFont="1" applyFill="1" applyAlignment="1">
      <alignment horizontal="center"/>
    </xf>
    <xf numFmtId="181" fontId="26" fillId="0" borderId="0" xfId="6" applyNumberFormat="1" applyFont="1" applyFill="1" applyAlignment="1">
      <alignment horizontal="center"/>
    </xf>
    <xf numFmtId="0" fontId="18" fillId="0" borderId="0" xfId="34" applyNumberFormat="1" applyFont="1" applyFill="1" applyBorder="1" applyAlignment="1">
      <alignment horizontal="left"/>
    </xf>
    <xf numFmtId="167" fontId="3" fillId="0" borderId="0" xfId="6" applyNumberFormat="1" applyFont="1" applyFill="1" applyAlignment="1">
      <alignment horizontal="center"/>
    </xf>
    <xf numFmtId="181" fontId="26" fillId="0" borderId="0" xfId="26" applyNumberFormat="1" applyFont="1" applyFill="1" applyAlignment="1">
      <alignment horizontal="center"/>
    </xf>
    <xf numFmtId="181" fontId="3" fillId="0" borderId="0" xfId="6" applyNumberFormat="1" applyFont="1" applyFill="1" applyAlignment="1">
      <alignment horizontal="center"/>
    </xf>
    <xf numFmtId="181" fontId="15" fillId="0" borderId="0" xfId="26" applyNumberFormat="1" applyFont="1" applyFill="1" applyAlignment="1">
      <alignment horizontal="center"/>
    </xf>
    <xf numFmtId="181" fontId="3" fillId="0" borderId="2" xfId="26" applyNumberFormat="1" applyFont="1" applyFill="1" applyBorder="1" applyAlignment="1">
      <alignment horizontal="center"/>
    </xf>
    <xf numFmtId="181" fontId="17" fillId="0" borderId="0" xfId="26" applyNumberFormat="1" applyFont="1" applyFill="1" applyAlignment="1">
      <alignment horizontal="center"/>
    </xf>
    <xf numFmtId="181" fontId="3" fillId="0" borderId="0" xfId="26" applyNumberFormat="1" applyFont="1" applyFill="1" applyAlignment="1">
      <alignment horizontal="center"/>
    </xf>
    <xf numFmtId="181" fontId="17" fillId="0" borderId="0" xfId="6" applyNumberFormat="1" applyFont="1" applyFill="1" applyAlignment="1">
      <alignment horizontal="center"/>
    </xf>
    <xf numFmtId="181" fontId="3" fillId="0" borderId="3" xfId="6" applyNumberFormat="1" applyFont="1" applyFill="1" applyBorder="1" applyAlignment="1">
      <alignment horizontal="center"/>
    </xf>
    <xf numFmtId="38" fontId="22" fillId="0" borderId="0" xfId="26" applyFont="1" applyFill="1" applyAlignment="1">
      <alignment horizontal="center"/>
    </xf>
    <xf numFmtId="0" fontId="3" fillId="0" borderId="0" xfId="6" applyFont="1" applyFill="1" applyAlignment="1">
      <alignment horizontal="center"/>
    </xf>
    <xf numFmtId="181" fontId="26" fillId="0" borderId="2" xfId="26" applyNumberFormat="1" applyFont="1" applyFill="1" applyBorder="1" applyAlignment="1">
      <alignment horizontal="center"/>
    </xf>
    <xf numFmtId="181" fontId="19" fillId="0" borderId="0" xfId="26" applyNumberFormat="1" applyFont="1" applyFill="1" applyAlignment="1">
      <alignment horizontal="center"/>
    </xf>
    <xf numFmtId="181" fontId="15" fillId="0" borderId="0" xfId="6" applyNumberFormat="1" applyFont="1" applyFill="1" applyAlignment="1">
      <alignment horizontal="center"/>
    </xf>
    <xf numFmtId="181" fontId="15" fillId="0" borderId="2" xfId="6" applyNumberFormat="1" applyFont="1" applyFill="1" applyBorder="1" applyAlignment="1">
      <alignment horizontal="center"/>
    </xf>
    <xf numFmtId="181" fontId="19" fillId="0" borderId="0" xfId="6" applyNumberFormat="1" applyFont="1" applyFill="1" applyAlignment="1">
      <alignment horizontal="center"/>
    </xf>
    <xf numFmtId="181" fontId="15" fillId="0" borderId="3" xfId="6" applyNumberFormat="1" applyFont="1" applyFill="1" applyBorder="1" applyAlignment="1">
      <alignment horizontal="center"/>
    </xf>
    <xf numFmtId="181" fontId="39" fillId="0" borderId="0" xfId="26" applyNumberFormat="1" applyFont="1" applyFill="1" applyAlignment="1">
      <alignment horizontal="center"/>
    </xf>
    <xf numFmtId="181" fontId="15" fillId="0" borderId="2" xfId="26" applyNumberFormat="1" applyFont="1" applyFill="1" applyBorder="1" applyAlignment="1">
      <alignment horizontal="center"/>
    </xf>
    <xf numFmtId="181" fontId="17" fillId="0" borderId="11" xfId="26" applyNumberFormat="1" applyFont="1" applyFill="1" applyBorder="1" applyAlignment="1">
      <alignment horizontal="center"/>
    </xf>
    <xf numFmtId="167" fontId="3" fillId="2" borderId="1" xfId="24" applyNumberFormat="1" applyFont="1" applyFill="1" applyBorder="1"/>
    <xf numFmtId="167" fontId="3" fillId="2" borderId="0" xfId="24" applyNumberFormat="1" applyFont="1" applyFill="1" applyBorder="1"/>
    <xf numFmtId="167" fontId="3" fillId="2" borderId="15" xfId="24" applyNumberFormat="1" applyFont="1" applyFill="1" applyBorder="1"/>
    <xf numFmtId="43" fontId="0" fillId="2" borderId="0" xfId="24" applyNumberFormat="1" applyFont="1" applyFill="1" applyBorder="1"/>
    <xf numFmtId="175" fontId="3" fillId="2" borderId="15" xfId="24" applyNumberFormat="1" applyFont="1" applyFill="1" applyBorder="1"/>
    <xf numFmtId="175" fontId="3" fillId="2" borderId="1" xfId="24" applyNumberFormat="1" applyFont="1" applyFill="1" applyBorder="1"/>
    <xf numFmtId="175" fontId="3" fillId="0" borderId="0" xfId="24" applyNumberFormat="1" applyFont="1"/>
    <xf numFmtId="0" fontId="3" fillId="0" borderId="0" xfId="6" applyFont="1" applyFill="1" applyBorder="1" applyAlignment="1">
      <alignment horizontal="right"/>
    </xf>
    <xf numFmtId="175" fontId="3" fillId="2" borderId="0" xfId="24" applyNumberFormat="1" applyFont="1" applyFill="1" applyBorder="1"/>
    <xf numFmtId="167" fontId="0" fillId="0" borderId="0" xfId="6" applyNumberFormat="1" applyFont="1" applyFill="1"/>
    <xf numFmtId="168" fontId="58" fillId="6" borderId="0" xfId="24" applyNumberFormat="1" applyFont="1" applyFill="1"/>
    <xf numFmtId="0" fontId="0" fillId="6" borderId="0" xfId="6" applyFont="1" applyFill="1" applyBorder="1"/>
    <xf numFmtId="168" fontId="27" fillId="2" borderId="0" xfId="24" applyNumberFormat="1" applyFont="1" applyFill="1" applyBorder="1"/>
    <xf numFmtId="168" fontId="27" fillId="0" borderId="0" xfId="24" applyNumberFormat="1" applyFont="1" applyFill="1" applyBorder="1"/>
    <xf numFmtId="7" fontId="3" fillId="2" borderId="0" xfId="6" applyNumberFormat="1" applyFont="1" applyFill="1" applyBorder="1"/>
    <xf numFmtId="7" fontId="3" fillId="0" borderId="0" xfId="6" applyNumberFormat="1" applyFont="1" applyFill="1" applyBorder="1"/>
    <xf numFmtId="0" fontId="18" fillId="0" borderId="0" xfId="6" applyFont="1" applyFill="1" applyBorder="1"/>
    <xf numFmtId="9" fontId="3" fillId="2" borderId="0" xfId="6" applyNumberFormat="1" applyFont="1" applyFill="1" applyBorder="1"/>
    <xf numFmtId="9" fontId="3" fillId="0" borderId="0" xfId="6" applyNumberFormat="1" applyFont="1" applyBorder="1"/>
    <xf numFmtId="9" fontId="28" fillId="0" borderId="0" xfId="6" applyNumberFormat="1" applyFont="1" applyBorder="1"/>
    <xf numFmtId="8" fontId="17" fillId="0" borderId="0" xfId="6" applyNumberFormat="1" applyFont="1" applyFill="1" applyBorder="1"/>
    <xf numFmtId="8" fontId="3" fillId="0" borderId="0" xfId="24" applyNumberFormat="1" applyFont="1" applyFill="1" applyBorder="1"/>
    <xf numFmtId="0" fontId="0" fillId="6" borderId="2" xfId="6" applyFont="1" applyFill="1" applyBorder="1"/>
    <xf numFmtId="4" fontId="17" fillId="0" borderId="2" xfId="6" applyNumberFormat="1" applyFont="1" applyFill="1" applyBorder="1"/>
    <xf numFmtId="0" fontId="3" fillId="0" borderId="5" xfId="6" applyFont="1" applyFill="1" applyBorder="1"/>
    <xf numFmtId="0" fontId="0" fillId="0" borderId="11" xfId="6" applyFont="1" applyFill="1" applyBorder="1"/>
    <xf numFmtId="4" fontId="17" fillId="0" borderId="11" xfId="6" applyNumberFormat="1" applyFont="1" applyFill="1" applyBorder="1"/>
    <xf numFmtId="167" fontId="3" fillId="0" borderId="11" xfId="6" applyNumberFormat="1" applyFont="1" applyFill="1" applyBorder="1"/>
    <xf numFmtId="167" fontId="15" fillId="0" borderId="11" xfId="6" applyNumberFormat="1" applyFont="1" applyFill="1" applyBorder="1"/>
    <xf numFmtId="0" fontId="19" fillId="0" borderId="6" xfId="6" applyFont="1" applyFill="1" applyBorder="1"/>
    <xf numFmtId="167" fontId="17" fillId="2" borderId="1" xfId="6" applyNumberFormat="1" applyFont="1" applyFill="1" applyBorder="1"/>
    <xf numFmtId="167" fontId="17" fillId="2" borderId="0" xfId="6" applyNumberFormat="1" applyFont="1" applyFill="1" applyBorder="1"/>
    <xf numFmtId="167" fontId="17" fillId="2" borderId="15" xfId="6" applyNumberFormat="1" applyFont="1" applyFill="1" applyBorder="1"/>
    <xf numFmtId="8" fontId="17" fillId="0" borderId="0" xfId="24" applyNumberFormat="1" applyFont="1" applyFill="1" applyBorder="1"/>
    <xf numFmtId="8" fontId="17" fillId="2" borderId="1" xfId="24" applyNumberFormat="1" applyFont="1" applyFill="1" applyBorder="1"/>
    <xf numFmtId="8" fontId="17" fillId="2" borderId="0" xfId="24" applyNumberFormat="1" applyFont="1" applyFill="1" applyBorder="1"/>
    <xf numFmtId="8" fontId="17" fillId="2" borderId="15" xfId="24" applyNumberFormat="1" applyFont="1" applyFill="1" applyBorder="1"/>
    <xf numFmtId="167" fontId="3" fillId="2" borderId="0" xfId="6" applyNumberFormat="1" applyFont="1" applyFill="1" applyBorder="1"/>
    <xf numFmtId="8" fontId="3" fillId="2" borderId="0" xfId="6" applyNumberFormat="1" applyFont="1" applyFill="1" applyBorder="1"/>
    <xf numFmtId="0" fontId="3" fillId="0" borderId="1" xfId="6" applyFont="1" applyFill="1" applyBorder="1"/>
    <xf numFmtId="167" fontId="3" fillId="0" borderId="0" xfId="6" applyNumberFormat="1" applyFont="1" applyFill="1" applyBorder="1"/>
    <xf numFmtId="167" fontId="15" fillId="0" borderId="0" xfId="6" applyNumberFormat="1" applyFont="1" applyFill="1" applyBorder="1"/>
    <xf numFmtId="8" fontId="3" fillId="2" borderId="1" xfId="24" applyNumberFormat="1" applyFont="1" applyFill="1" applyBorder="1"/>
    <xf numFmtId="8" fontId="3" fillId="2" borderId="0" xfId="24" applyNumberFormat="1" applyFont="1" applyFill="1" applyBorder="1"/>
    <xf numFmtId="8" fontId="3" fillId="2" borderId="15" xfId="24" applyNumberFormat="1" applyFont="1" applyFill="1" applyBorder="1"/>
    <xf numFmtId="7" fontId="3" fillId="2" borderId="1" xfId="24" applyNumberFormat="1" applyFont="1" applyFill="1" applyBorder="1"/>
    <xf numFmtId="7" fontId="3" fillId="2" borderId="0" xfId="24" applyNumberFormat="1" applyFont="1" applyFill="1" applyBorder="1"/>
    <xf numFmtId="7" fontId="3" fillId="2" borderId="15" xfId="24" applyNumberFormat="1" applyFont="1" applyFill="1" applyBorder="1"/>
    <xf numFmtId="7" fontId="3" fillId="0" borderId="0" xfId="24" applyNumberFormat="1" applyFont="1" applyFill="1" applyBorder="1"/>
    <xf numFmtId="38" fontId="3" fillId="0" borderId="1" xfId="26" applyNumberFormat="1" applyFont="1" applyBorder="1"/>
    <xf numFmtId="9" fontId="15" fillId="0" borderId="0" xfId="24" applyNumberFormat="1" applyFont="1" applyFill="1" applyBorder="1"/>
    <xf numFmtId="38" fontId="17" fillId="0" borderId="1" xfId="26" applyNumberFormat="1" applyFont="1" applyBorder="1"/>
    <xf numFmtId="168" fontId="19" fillId="0" borderId="0" xfId="24" applyNumberFormat="1" applyFont="1" applyFill="1" applyBorder="1"/>
    <xf numFmtId="6" fontId="3" fillId="2" borderId="1" xfId="6" applyNumberFormat="1" applyFont="1" applyFill="1" applyBorder="1"/>
    <xf numFmtId="6" fontId="3" fillId="2" borderId="0" xfId="6" applyNumberFormat="1" applyFont="1" applyFill="1" applyBorder="1"/>
    <xf numFmtId="6" fontId="3" fillId="2" borderId="15" xfId="6" applyNumberFormat="1" applyFont="1" applyFill="1" applyBorder="1"/>
    <xf numFmtId="6" fontId="3" fillId="0" borderId="0" xfId="6" applyNumberFormat="1" applyFont="1" applyFill="1" applyBorder="1"/>
    <xf numFmtId="0" fontId="3" fillId="0" borderId="16" xfId="6" applyFont="1" applyFill="1" applyBorder="1"/>
    <xf numFmtId="0" fontId="0" fillId="0" borderId="2" xfId="6" applyFont="1" applyFill="1" applyBorder="1"/>
    <xf numFmtId="167" fontId="3" fillId="0" borderId="2" xfId="6" applyNumberFormat="1" applyFont="1" applyFill="1" applyBorder="1"/>
    <xf numFmtId="167" fontId="15" fillId="0" borderId="2" xfId="6" applyNumberFormat="1" applyFont="1" applyFill="1" applyBorder="1"/>
    <xf numFmtId="9" fontId="15" fillId="0" borderId="0" xfId="6" applyNumberFormat="1" applyFont="1" applyFill="1" applyBorder="1"/>
    <xf numFmtId="176" fontId="3" fillId="0" borderId="0" xfId="6" applyNumberFormat="1" applyFont="1" applyFill="1" applyBorder="1"/>
    <xf numFmtId="176" fontId="17" fillId="0" borderId="0" xfId="6" applyNumberFormat="1" applyFont="1" applyFill="1" applyBorder="1"/>
    <xf numFmtId="167" fontId="15" fillId="2" borderId="0" xfId="6" applyNumberFormat="1" applyFont="1" applyFill="1" applyBorder="1"/>
    <xf numFmtId="167" fontId="28" fillId="2" borderId="0" xfId="6" applyNumberFormat="1" applyFont="1" applyFill="1" applyBorder="1"/>
    <xf numFmtId="176" fontId="3" fillId="0" borderId="0" xfId="24" applyNumberFormat="1" applyFont="1" applyFill="1" applyBorder="1"/>
    <xf numFmtId="176" fontId="3" fillId="2" borderId="0" xfId="6" applyNumberFormat="1" applyFont="1" applyFill="1" applyBorder="1"/>
    <xf numFmtId="176" fontId="12" fillId="6" borderId="0" xfId="6" applyNumberFormat="1" applyFont="1" applyFill="1" applyBorder="1"/>
    <xf numFmtId="176" fontId="20" fillId="6" borderId="0" xfId="6" applyNumberFormat="1" applyFont="1" applyFill="1" applyBorder="1"/>
    <xf numFmtId="176" fontId="0" fillId="6" borderId="0" xfId="6" applyNumberFormat="1" applyFont="1" applyFill="1" applyBorder="1"/>
    <xf numFmtId="176" fontId="14" fillId="0" borderId="0" xfId="24" applyNumberFormat="1" applyFont="1" applyFill="1" applyBorder="1"/>
    <xf numFmtId="168" fontId="34" fillId="0" borderId="0" xfId="24" applyNumberFormat="1" applyFont="1" applyBorder="1"/>
    <xf numFmtId="166" fontId="3" fillId="0" borderId="0" xfId="6" applyNumberFormat="1" applyFont="1" applyFill="1" applyBorder="1"/>
    <xf numFmtId="166" fontId="3" fillId="2" borderId="0" xfId="6" applyNumberFormat="1" applyFont="1" applyFill="1" applyBorder="1"/>
    <xf numFmtId="167" fontId="28" fillId="0" borderId="0" xfId="6" applyNumberFormat="1" applyFont="1" applyFill="1" applyBorder="1"/>
    <xf numFmtId="176" fontId="18" fillId="0" borderId="0" xfId="6" applyNumberFormat="1" applyFont="1" applyAlignment="1">
      <alignment horizontal="right"/>
    </xf>
    <xf numFmtId="0" fontId="61" fillId="0" borderId="0" xfId="6" applyFont="1"/>
    <xf numFmtId="176" fontId="15" fillId="0" borderId="0" xfId="6" applyNumberFormat="1" applyFont="1"/>
    <xf numFmtId="0" fontId="0" fillId="0" borderId="0" xfId="6" applyFont="1" applyAlignment="1"/>
    <xf numFmtId="164" fontId="8" fillId="6" borderId="0" xfId="6" applyNumberFormat="1" applyFont="1" applyFill="1" applyAlignment="1">
      <alignment horizontal="center"/>
    </xf>
    <xf numFmtId="7" fontId="18" fillId="0" borderId="0" xfId="6" applyNumberFormat="1" applyFont="1"/>
    <xf numFmtId="7" fontId="1" fillId="0" borderId="0" xfId="6" applyNumberFormat="1" applyFont="1"/>
    <xf numFmtId="7" fontId="30" fillId="0" borderId="0" xfId="6" applyNumberFormat="1" applyFont="1"/>
    <xf numFmtId="0" fontId="12" fillId="6" borderId="17" xfId="6" applyFont="1" applyFill="1" applyBorder="1"/>
    <xf numFmtId="164" fontId="10" fillId="6" borderId="4" xfId="6" applyNumberFormat="1" applyFont="1" applyFill="1" applyBorder="1"/>
    <xf numFmtId="164" fontId="64" fillId="6" borderId="4" xfId="6" applyNumberFormat="1" applyFont="1" applyFill="1" applyBorder="1"/>
    <xf numFmtId="164" fontId="64" fillId="6" borderId="18" xfId="6" applyNumberFormat="1" applyFont="1" applyFill="1" applyBorder="1"/>
    <xf numFmtId="164" fontId="65" fillId="0" borderId="0" xfId="6" applyNumberFormat="1" applyFont="1" applyFill="1" applyBorder="1"/>
    <xf numFmtId="164" fontId="52" fillId="0" borderId="0" xfId="6" applyNumberFormat="1" applyFont="1" applyFill="1" applyBorder="1"/>
    <xf numFmtId="164" fontId="52" fillId="0" borderId="0" xfId="6" applyNumberFormat="1" applyFont="1" applyFill="1" applyBorder="1" applyAlignment="1">
      <alignment horizontal="right"/>
    </xf>
    <xf numFmtId="164" fontId="70" fillId="0" borderId="0" xfId="6" applyNumberFormat="1" applyFont="1" applyFill="1" applyBorder="1"/>
    <xf numFmtId="3" fontId="0" fillId="0" borderId="0" xfId="6" applyNumberFormat="1" applyFont="1" applyFill="1" applyBorder="1"/>
    <xf numFmtId="0" fontId="66" fillId="0" borderId="0" xfId="6" quotePrefix="1" applyFont="1" applyFill="1" applyAlignment="1">
      <alignment horizontal="right"/>
    </xf>
    <xf numFmtId="9" fontId="18" fillId="0" borderId="0" xfId="45" applyFont="1" applyFill="1"/>
    <xf numFmtId="10" fontId="30" fillId="0" borderId="0" xfId="45" applyNumberFormat="1" applyFont="1" applyFill="1"/>
    <xf numFmtId="167" fontId="30" fillId="0" borderId="0" xfId="45" applyNumberFormat="1" applyFont="1" applyFill="1"/>
    <xf numFmtId="175" fontId="30" fillId="0" borderId="0" xfId="24" applyNumberFormat="1" applyFont="1" applyFill="1"/>
    <xf numFmtId="43" fontId="30" fillId="0" borderId="0" xfId="24" applyFont="1" applyFill="1"/>
    <xf numFmtId="0" fontId="17" fillId="0" borderId="0" xfId="6" applyFont="1" applyFill="1" applyAlignment="1">
      <alignment horizontal="left"/>
    </xf>
    <xf numFmtId="0" fontId="17" fillId="0" borderId="0" xfId="6" applyFont="1" applyFill="1" applyAlignment="1">
      <alignment horizontal="centerContinuous"/>
    </xf>
    <xf numFmtId="0" fontId="0" fillId="0" borderId="0" xfId="6" applyFont="1" applyFill="1" applyAlignment="1">
      <alignment horizontal="centerContinuous"/>
    </xf>
    <xf numFmtId="167" fontId="17" fillId="2" borderId="18" xfId="45" applyNumberFormat="1" applyFont="1" applyFill="1" applyBorder="1"/>
    <xf numFmtId="9" fontId="30" fillId="0" borderId="0" xfId="45" applyFont="1" applyFill="1"/>
    <xf numFmtId="166" fontId="0" fillId="0" borderId="0" xfId="6" applyNumberFormat="1" applyFont="1" applyBorder="1" applyAlignment="1">
      <alignment horizontal="right"/>
    </xf>
    <xf numFmtId="8" fontId="17" fillId="0" borderId="0" xfId="6" applyNumberFormat="1" applyFont="1" applyFill="1" applyBorder="1" applyAlignment="1">
      <alignment horizontal="right"/>
    </xf>
    <xf numFmtId="168" fontId="3" fillId="0" borderId="0" xfId="6" applyNumberFormat="1" applyFont="1"/>
    <xf numFmtId="175" fontId="0" fillId="0" borderId="0" xfId="6" applyNumberFormat="1" applyFont="1" applyFill="1"/>
    <xf numFmtId="9" fontId="1" fillId="0" borderId="0" xfId="45" applyFont="1" applyFill="1"/>
    <xf numFmtId="43" fontId="1" fillId="0" borderId="0" xfId="24" applyNumberFormat="1" applyFont="1"/>
    <xf numFmtId="0" fontId="37" fillId="0" borderId="0" xfId="6" applyFont="1"/>
    <xf numFmtId="166" fontId="37" fillId="0" borderId="0" xfId="24" applyNumberFormat="1" applyFont="1"/>
    <xf numFmtId="9" fontId="37" fillId="0" borderId="0" xfId="24" applyNumberFormat="1" applyFont="1"/>
    <xf numFmtId="175" fontId="17" fillId="2" borderId="18" xfId="6" applyNumberFormat="1" applyFont="1" applyFill="1" applyBorder="1"/>
    <xf numFmtId="43" fontId="1" fillId="0" borderId="0" xfId="24" applyFont="1"/>
    <xf numFmtId="192" fontId="1" fillId="0" borderId="0" xfId="45" applyNumberFormat="1" applyFont="1"/>
    <xf numFmtId="38" fontId="3" fillId="0" borderId="0" xfId="26" applyFont="1" applyFill="1"/>
    <xf numFmtId="38" fontId="17" fillId="0" borderId="0" xfId="26" applyFont="1" applyFill="1"/>
    <xf numFmtId="176" fontId="15" fillId="2" borderId="15" xfId="24" applyNumberFormat="1" applyFont="1" applyFill="1" applyBorder="1"/>
    <xf numFmtId="176" fontId="15" fillId="2" borderId="0" xfId="24" applyNumberFormat="1" applyFont="1" applyFill="1" applyBorder="1"/>
    <xf numFmtId="166" fontId="30" fillId="0" borderId="0" xfId="6" applyNumberFormat="1" applyFont="1" applyAlignment="1">
      <alignment horizontal="right"/>
    </xf>
    <xf numFmtId="167" fontId="30" fillId="0" borderId="0" xfId="6" applyNumberFormat="1" applyFont="1"/>
    <xf numFmtId="7" fontId="0" fillId="2" borderId="0" xfId="6" applyNumberFormat="1" applyFont="1" applyFill="1" applyBorder="1"/>
    <xf numFmtId="167" fontId="18" fillId="0" borderId="0" xfId="45" applyNumberFormat="1" applyFont="1"/>
    <xf numFmtId="167" fontId="15" fillId="0" borderId="0" xfId="24" applyNumberFormat="1" applyFont="1" applyFill="1" applyBorder="1"/>
    <xf numFmtId="167" fontId="3" fillId="0" borderId="0" xfId="24" applyNumberFormat="1" applyFont="1" applyFill="1" applyBorder="1"/>
    <xf numFmtId="167" fontId="30" fillId="0" borderId="0" xfId="24" applyNumberFormat="1" applyFont="1"/>
    <xf numFmtId="167" fontId="1" fillId="0" borderId="0" xfId="24" applyNumberFormat="1" applyFont="1"/>
    <xf numFmtId="9" fontId="15" fillId="2" borderId="1" xfId="6" applyNumberFormat="1" applyFont="1" applyFill="1" applyBorder="1"/>
    <xf numFmtId="167" fontId="3" fillId="0" borderId="0" xfId="6" applyNumberFormat="1" applyFont="1" applyBorder="1"/>
    <xf numFmtId="168" fontId="61" fillId="2" borderId="0" xfId="6" applyNumberFormat="1" applyFont="1" applyFill="1"/>
    <xf numFmtId="176" fontId="3" fillId="0" borderId="0" xfId="6" applyNumberFormat="1" applyFont="1" applyFill="1"/>
    <xf numFmtId="9" fontId="15" fillId="2" borderId="0" xfId="6" applyNumberFormat="1" applyFont="1" applyFill="1"/>
    <xf numFmtId="167" fontId="3" fillId="0" borderId="0" xfId="45" applyNumberFormat="1" applyFont="1" applyFill="1" applyBorder="1"/>
    <xf numFmtId="167" fontId="15" fillId="2" borderId="1" xfId="45" applyNumberFormat="1" applyFont="1" applyFill="1" applyBorder="1"/>
    <xf numFmtId="167" fontId="15" fillId="2" borderId="0" xfId="45" applyNumberFormat="1" applyFont="1" applyFill="1" applyBorder="1"/>
    <xf numFmtId="167" fontId="15" fillId="2" borderId="15" xfId="45" applyNumberFormat="1" applyFont="1" applyFill="1" applyBorder="1"/>
    <xf numFmtId="167" fontId="15" fillId="0" borderId="0" xfId="45" applyNumberFormat="1" applyFont="1" applyFill="1" applyBorder="1"/>
    <xf numFmtId="7" fontId="17" fillId="0" borderId="18" xfId="6" applyNumberFormat="1" applyFont="1" applyBorder="1"/>
    <xf numFmtId="169" fontId="9" fillId="0" borderId="19" xfId="6" applyNumberFormat="1" applyFont="1" applyBorder="1" applyAlignment="1">
      <alignment horizontal="right"/>
    </xf>
    <xf numFmtId="170" fontId="9" fillId="0" borderId="19" xfId="6" applyNumberFormat="1" applyFont="1" applyBorder="1" applyAlignment="1">
      <alignment horizontal="right"/>
    </xf>
    <xf numFmtId="168" fontId="18" fillId="0" borderId="0" xfId="24" applyNumberFormat="1" applyFont="1"/>
    <xf numFmtId="8" fontId="3" fillId="2" borderId="1" xfId="6" applyNumberFormat="1" applyFont="1" applyFill="1" applyBorder="1"/>
    <xf numFmtId="9" fontId="15" fillId="2" borderId="15" xfId="6" applyNumberFormat="1" applyFont="1" applyFill="1" applyBorder="1"/>
    <xf numFmtId="8" fontId="15" fillId="2" borderId="1" xfId="6" applyNumberFormat="1" applyFont="1" applyFill="1" applyBorder="1"/>
    <xf numFmtId="8" fontId="15" fillId="2" borderId="0" xfId="6" applyNumberFormat="1" applyFont="1" applyFill="1" applyBorder="1"/>
    <xf numFmtId="8" fontId="15" fillId="2" borderId="15" xfId="6" applyNumberFormat="1" applyFont="1" applyFill="1" applyBorder="1"/>
    <xf numFmtId="168" fontId="61" fillId="0" borderId="0" xfId="24" applyNumberFormat="1" applyFont="1"/>
    <xf numFmtId="9" fontId="1" fillId="0" borderId="0" xfId="24" applyNumberFormat="1" applyFont="1"/>
    <xf numFmtId="4" fontId="17" fillId="0" borderId="0" xfId="6" applyNumberFormat="1" applyFont="1" applyBorder="1"/>
    <xf numFmtId="4" fontId="17" fillId="0" borderId="15" xfId="6" applyNumberFormat="1" applyFont="1" applyBorder="1"/>
    <xf numFmtId="167" fontId="3" fillId="0" borderId="15" xfId="6" applyNumberFormat="1" applyFont="1" applyBorder="1"/>
    <xf numFmtId="4" fontId="17" fillId="0" borderId="2" xfId="6" applyNumberFormat="1" applyFont="1" applyBorder="1"/>
    <xf numFmtId="4" fontId="17" fillId="0" borderId="27" xfId="6" applyNumberFormat="1" applyFont="1" applyBorder="1"/>
    <xf numFmtId="10" fontId="17" fillId="0" borderId="0" xfId="24" applyNumberFormat="1" applyFont="1"/>
    <xf numFmtId="168" fontId="18" fillId="2" borderId="1" xfId="24" applyNumberFormat="1" applyFont="1" applyFill="1" applyBorder="1"/>
    <xf numFmtId="168" fontId="18" fillId="2" borderId="0" xfId="24" applyNumberFormat="1" applyFont="1" applyFill="1"/>
    <xf numFmtId="168" fontId="18" fillId="2" borderId="15" xfId="24" applyNumberFormat="1" applyFont="1" applyFill="1" applyBorder="1"/>
    <xf numFmtId="0" fontId="71" fillId="0" borderId="0" xfId="6" applyFont="1" applyAlignment="1">
      <alignment horizontal="right"/>
    </xf>
    <xf numFmtId="37" fontId="18" fillId="0" borderId="0" xfId="6" applyNumberFormat="1" applyFont="1"/>
    <xf numFmtId="165" fontId="1" fillId="0" borderId="0" xfId="6" applyNumberFormat="1" applyFont="1"/>
    <xf numFmtId="4" fontId="18" fillId="0" borderId="0" xfId="6" applyNumberFormat="1" applyFont="1"/>
    <xf numFmtId="168" fontId="0" fillId="0" borderId="0" xfId="6" applyNumberFormat="1" applyFont="1" applyFill="1" applyBorder="1"/>
    <xf numFmtId="8" fontId="9" fillId="0" borderId="0" xfId="6" applyNumberFormat="1" applyFont="1" applyAlignment="1">
      <alignment horizontal="right"/>
    </xf>
    <xf numFmtId="0" fontId="17" fillId="2" borderId="5" xfId="6" applyFont="1" applyFill="1" applyBorder="1" applyAlignment="1">
      <alignment horizontal="left"/>
    </xf>
    <xf numFmtId="0" fontId="3" fillId="2" borderId="11" xfId="6" applyFont="1" applyFill="1" applyBorder="1"/>
    <xf numFmtId="7" fontId="17" fillId="2" borderId="11" xfId="6" applyNumberFormat="1" applyFont="1" applyFill="1" applyBorder="1"/>
    <xf numFmtId="7" fontId="17" fillId="2" borderId="25" xfId="6" applyNumberFormat="1" applyFont="1" applyFill="1" applyBorder="1"/>
    <xf numFmtId="0" fontId="0" fillId="2" borderId="2" xfId="6" applyFont="1" applyFill="1" applyBorder="1"/>
    <xf numFmtId="9" fontId="17" fillId="2" borderId="2" xfId="45" applyFont="1" applyFill="1" applyBorder="1"/>
    <xf numFmtId="0" fontId="0" fillId="2" borderId="27" xfId="6" applyFont="1" applyFill="1" applyBorder="1"/>
    <xf numFmtId="14" fontId="8" fillId="6" borderId="0" xfId="6" applyNumberFormat="1" applyFont="1" applyFill="1" applyAlignment="1">
      <alignment horizontal="left"/>
    </xf>
    <xf numFmtId="8" fontId="8" fillId="6" borderId="0" xfId="6" applyNumberFormat="1" applyFont="1" applyFill="1" applyAlignment="1">
      <alignment horizontal="left"/>
    </xf>
    <xf numFmtId="8" fontId="0" fillId="0" borderId="0" xfId="6" applyNumberFormat="1" applyFont="1" applyFill="1" applyBorder="1"/>
    <xf numFmtId="7" fontId="15" fillId="0" borderId="0" xfId="24" applyNumberFormat="1" applyFont="1" applyFill="1" applyBorder="1"/>
    <xf numFmtId="9" fontId="0" fillId="0" borderId="0" xfId="45" applyFont="1" applyFill="1" applyBorder="1"/>
    <xf numFmtId="5" fontId="30" fillId="0" borderId="0" xfId="6" applyNumberFormat="1" applyFont="1"/>
    <xf numFmtId="5" fontId="0" fillId="0" borderId="0" xfId="6" applyNumberFormat="1" applyFont="1"/>
    <xf numFmtId="14" fontId="73" fillId="0" borderId="0" xfId="6" applyNumberFormat="1" applyFont="1" applyFill="1" applyAlignment="1">
      <alignment horizontal="left"/>
    </xf>
    <xf numFmtId="0" fontId="73" fillId="0" borderId="0" xfId="6" applyFont="1"/>
    <xf numFmtId="14" fontId="73" fillId="0" borderId="0" xfId="6" applyNumberFormat="1" applyFont="1" applyFill="1"/>
    <xf numFmtId="165" fontId="74" fillId="0" borderId="0" xfId="6" applyNumberFormat="1" applyFont="1"/>
    <xf numFmtId="167" fontId="0" fillId="0" borderId="32" xfId="6" applyNumberFormat="1" applyFont="1" applyFill="1" applyBorder="1"/>
    <xf numFmtId="167" fontId="0" fillId="0" borderId="0" xfId="6" applyNumberFormat="1" applyFont="1" applyFill="1" applyBorder="1"/>
    <xf numFmtId="167" fontId="61" fillId="0" borderId="0" xfId="6" applyNumberFormat="1" applyFont="1" applyFill="1" applyBorder="1"/>
    <xf numFmtId="7" fontId="19" fillId="0" borderId="0" xfId="6" applyNumberFormat="1" applyFont="1"/>
    <xf numFmtId="168" fontId="3" fillId="0" borderId="0" xfId="24" applyNumberFormat="1" applyFont="1" applyFill="1"/>
    <xf numFmtId="168" fontId="54" fillId="2" borderId="0" xfId="24" applyNumberFormat="1" applyFont="1" applyFill="1" applyBorder="1"/>
    <xf numFmtId="8" fontId="61" fillId="2" borderId="15" xfId="6" applyNumberFormat="1" applyFont="1" applyFill="1" applyBorder="1"/>
    <xf numFmtId="168" fontId="14" fillId="0" borderId="0" xfId="24" applyNumberFormat="1" applyFont="1" applyBorder="1"/>
    <xf numFmtId="43" fontId="0" fillId="2" borderId="1" xfId="24" applyFont="1" applyFill="1" applyBorder="1"/>
    <xf numFmtId="43" fontId="0" fillId="2" borderId="0" xfId="24" applyFont="1" applyFill="1" applyBorder="1"/>
    <xf numFmtId="43" fontId="0" fillId="2" borderId="15" xfId="24" applyFont="1" applyFill="1" applyBorder="1"/>
    <xf numFmtId="43" fontId="0" fillId="0" borderId="0" xfId="24" applyFont="1"/>
    <xf numFmtId="167" fontId="15" fillId="0" borderId="0" xfId="45" applyNumberFormat="1" applyFont="1" applyFill="1" applyAlignment="1">
      <alignment horizontal="center"/>
    </xf>
    <xf numFmtId="168" fontId="26" fillId="0" borderId="0" xfId="24" applyNumberFormat="1" applyFont="1" applyFill="1" applyAlignment="1">
      <alignment horizontal="center"/>
    </xf>
    <xf numFmtId="167" fontId="26" fillId="0" borderId="0" xfId="45" applyNumberFormat="1" applyFont="1" applyFill="1" applyAlignment="1">
      <alignment horizontal="center"/>
    </xf>
    <xf numFmtId="168" fontId="3" fillId="0" borderId="1" xfId="24" applyNumberFormat="1" applyFont="1" applyFill="1" applyBorder="1" applyAlignment="1">
      <alignment horizontal="center"/>
    </xf>
    <xf numFmtId="9" fontId="26" fillId="0" borderId="0" xfId="24" applyNumberFormat="1" applyFont="1"/>
    <xf numFmtId="176" fontId="15" fillId="2" borderId="0" xfId="24" applyNumberFormat="1" applyFont="1" applyFill="1"/>
    <xf numFmtId="6" fontId="3" fillId="2" borderId="1" xfId="24" applyNumberFormat="1" applyFont="1" applyFill="1" applyBorder="1"/>
    <xf numFmtId="6" fontId="3" fillId="2" borderId="15" xfId="24" applyNumberFormat="1" applyFont="1" applyFill="1" applyBorder="1"/>
    <xf numFmtId="6" fontId="15" fillId="0" borderId="0" xfId="6" applyNumberFormat="1" applyFont="1"/>
    <xf numFmtId="6" fontId="17" fillId="0" borderId="0" xfId="6" applyNumberFormat="1" applyFont="1"/>
    <xf numFmtId="9" fontId="15" fillId="0" borderId="0" xfId="24" applyNumberFormat="1" applyFont="1"/>
    <xf numFmtId="10" fontId="0" fillId="0" borderId="0" xfId="6" applyNumberFormat="1" applyFont="1"/>
    <xf numFmtId="0" fontId="53" fillId="5" borderId="0" xfId="6" quotePrefix="1" applyFont="1" applyFill="1"/>
    <xf numFmtId="0" fontId="19" fillId="0" borderId="0" xfId="6" applyFont="1"/>
    <xf numFmtId="7" fontId="19" fillId="0" borderId="0" xfId="24" applyNumberFormat="1" applyFont="1"/>
    <xf numFmtId="7" fontId="17" fillId="0" borderId="0" xfId="24" applyNumberFormat="1" applyFont="1"/>
    <xf numFmtId="166" fontId="17" fillId="0" borderId="0" xfId="6" applyNumberFormat="1" applyFont="1" applyAlignment="1">
      <alignment horizontal="right"/>
    </xf>
    <xf numFmtId="0" fontId="3" fillId="0" borderId="0" xfId="6" applyFont="1" applyFill="1" applyAlignment="1">
      <alignment horizontal="left"/>
    </xf>
    <xf numFmtId="164" fontId="11" fillId="6" borderId="0" xfId="6" applyNumberFormat="1" applyFont="1" applyFill="1" applyAlignment="1">
      <alignment horizontal="center"/>
    </xf>
    <xf numFmtId="0" fontId="3" fillId="0" borderId="0" xfId="6" applyFont="1" applyFill="1" applyBorder="1" applyAlignment="1">
      <alignment horizontal="centerContinuous"/>
    </xf>
    <xf numFmtId="164" fontId="4" fillId="6" borderId="0" xfId="6" applyNumberFormat="1" applyFont="1" applyFill="1" applyAlignment="1">
      <alignment horizontal="center"/>
    </xf>
    <xf numFmtId="164" fontId="5" fillId="6" borderId="0" xfId="6" applyNumberFormat="1" applyFont="1" applyFill="1" applyAlignment="1">
      <alignment horizontal="center"/>
    </xf>
    <xf numFmtId="164" fontId="6" fillId="6" borderId="0" xfId="6" applyNumberFormat="1" applyFont="1" applyFill="1" applyAlignment="1">
      <alignment horizontal="center"/>
    </xf>
    <xf numFmtId="164" fontId="10" fillId="6" borderId="0" xfId="6" applyNumberFormat="1" applyFont="1" applyFill="1" applyAlignment="1">
      <alignment horizontal="center"/>
    </xf>
    <xf numFmtId="164" fontId="9" fillId="6" borderId="0" xfId="6" applyNumberFormat="1" applyFont="1" applyFill="1" applyAlignment="1">
      <alignment horizontal="center"/>
    </xf>
    <xf numFmtId="3" fontId="0" fillId="0" borderId="0" xfId="6" applyNumberFormat="1" applyFont="1" applyAlignment="1">
      <alignment horizontal="center"/>
    </xf>
    <xf numFmtId="0" fontId="79" fillId="8" borderId="0" xfId="6" applyFont="1" applyFill="1"/>
    <xf numFmtId="0" fontId="80" fillId="8" borderId="0" xfId="6" applyFont="1" applyFill="1"/>
    <xf numFmtId="0" fontId="80" fillId="8" borderId="0" xfId="6" applyFont="1" applyFill="1" applyAlignment="1">
      <alignment horizontal="center"/>
    </xf>
    <xf numFmtId="0" fontId="0" fillId="0" borderId="2" xfId="6" applyFont="1" applyBorder="1" applyAlignment="1">
      <alignment horizontal="center"/>
    </xf>
    <xf numFmtId="0" fontId="79" fillId="8" borderId="5" xfId="6" applyFont="1" applyFill="1" applyBorder="1"/>
    <xf numFmtId="0" fontId="80" fillId="8" borderId="11" xfId="6" applyFont="1" applyFill="1" applyBorder="1"/>
    <xf numFmtId="0" fontId="80" fillId="8" borderId="25" xfId="6" applyFont="1" applyFill="1" applyBorder="1"/>
    <xf numFmtId="0" fontId="17" fillId="0" borderId="1" xfId="6" applyFont="1" applyBorder="1"/>
    <xf numFmtId="0" fontId="0" fillId="0" borderId="0" xfId="6" applyFont="1" applyBorder="1" applyAlignment="1">
      <alignment horizontal="center"/>
    </xf>
    <xf numFmtId="0" fontId="17" fillId="0" borderId="0" xfId="6" applyFont="1" applyBorder="1"/>
    <xf numFmtId="0" fontId="17" fillId="0" borderId="15" xfId="6" applyFont="1" applyBorder="1" applyAlignment="1">
      <alignment horizontal="center"/>
    </xf>
    <xf numFmtId="0" fontId="0" fillId="0" borderId="15" xfId="6" applyFont="1" applyBorder="1" applyAlignment="1">
      <alignment horizontal="center"/>
    </xf>
    <xf numFmtId="0" fontId="0" fillId="0" borderId="16" xfId="6" applyFont="1" applyBorder="1"/>
    <xf numFmtId="0" fontId="0" fillId="0" borderId="27" xfId="6" applyFont="1" applyBorder="1" applyAlignment="1">
      <alignment horizontal="center"/>
    </xf>
    <xf numFmtId="0" fontId="17" fillId="0" borderId="27" xfId="6" applyFont="1" applyBorder="1" applyAlignment="1">
      <alignment horizontal="center"/>
    </xf>
    <xf numFmtId="0" fontId="17" fillId="0" borderId="2" xfId="6" applyFont="1" applyBorder="1"/>
    <xf numFmtId="7" fontId="57" fillId="0" borderId="0" xfId="6" applyNumberFormat="1" applyFont="1" applyFill="1"/>
    <xf numFmtId="0" fontId="57" fillId="0" borderId="0" xfId="6" applyFont="1" applyFill="1"/>
    <xf numFmtId="0" fontId="17" fillId="0" borderId="5" xfId="6" applyFont="1" applyBorder="1"/>
    <xf numFmtId="8" fontId="17" fillId="0" borderId="25" xfId="6" applyNumberFormat="1" applyFont="1" applyFill="1" applyBorder="1" applyAlignment="1">
      <alignment horizontal="right"/>
    </xf>
    <xf numFmtId="0" fontId="17" fillId="0" borderId="16" xfId="6" applyFont="1" applyBorder="1"/>
    <xf numFmtId="8" fontId="19" fillId="0" borderId="27" xfId="6" applyNumberFormat="1" applyFont="1" applyFill="1" applyBorder="1" applyAlignment="1">
      <alignment horizontal="right"/>
    </xf>
    <xf numFmtId="0" fontId="3" fillId="0" borderId="1" xfId="26" applyNumberFormat="1" applyFont="1" applyBorder="1"/>
    <xf numFmtId="0" fontId="59" fillId="0" borderId="1" xfId="26" applyNumberFormat="1" applyFont="1" applyBorder="1"/>
    <xf numFmtId="38" fontId="19" fillId="0" borderId="1" xfId="26" applyNumberFormat="1" applyFont="1" applyBorder="1"/>
    <xf numFmtId="0" fontId="0" fillId="0" borderId="1" xfId="6" applyNumberFormat="1" applyFont="1" applyFill="1" applyBorder="1"/>
    <xf numFmtId="6" fontId="3" fillId="2" borderId="0" xfId="24" applyNumberFormat="1" applyFont="1" applyFill="1" applyBorder="1"/>
    <xf numFmtId="6" fontId="3" fillId="0" borderId="0" xfId="24" applyNumberFormat="1" applyFont="1" applyFill="1" applyBorder="1"/>
    <xf numFmtId="167" fontId="17" fillId="2" borderId="2" xfId="6" applyNumberFormat="1" applyFont="1" applyFill="1" applyBorder="1"/>
    <xf numFmtId="167" fontId="17" fillId="0" borderId="0" xfId="6" applyNumberFormat="1" applyFont="1" applyFill="1"/>
    <xf numFmtId="10" fontId="0" fillId="0" borderId="0" xfId="45" applyNumberFormat="1" applyFont="1"/>
    <xf numFmtId="166" fontId="30" fillId="0" borderId="0" xfId="6" applyNumberFormat="1" applyFont="1" applyBorder="1" applyAlignment="1">
      <alignment horizontal="right"/>
    </xf>
    <xf numFmtId="10" fontId="17" fillId="0" borderId="0" xfId="6" applyNumberFormat="1" applyFont="1"/>
    <xf numFmtId="164" fontId="4" fillId="6" borderId="0" xfId="35" applyNumberFormat="1" applyFont="1" applyFill="1"/>
    <xf numFmtId="164" fontId="5" fillId="6" borderId="0" xfId="35" applyNumberFormat="1" applyFont="1" applyFill="1"/>
    <xf numFmtId="164" fontId="5" fillId="6" borderId="0" xfId="40" applyNumberFormat="1" applyFont="1" applyFill="1" applyAlignment="1">
      <alignment horizontal="right"/>
    </xf>
    <xf numFmtId="164" fontId="5" fillId="6" borderId="0" xfId="40" applyNumberFormat="1" applyFont="1" applyFill="1"/>
    <xf numFmtId="164" fontId="83" fillId="6" borderId="0" xfId="40" applyNumberFormat="1" applyFont="1" applyFill="1"/>
    <xf numFmtId="164" fontId="63" fillId="6" borderId="0" xfId="40" applyNumberFormat="1" applyFont="1" applyFill="1"/>
    <xf numFmtId="164" fontId="63" fillId="6" borderId="0" xfId="39" applyNumberFormat="1" applyFont="1" applyFill="1"/>
    <xf numFmtId="164" fontId="8" fillId="6" borderId="0" xfId="39" applyNumberFormat="1" applyFont="1" applyFill="1"/>
    <xf numFmtId="0" fontId="3" fillId="0" borderId="0" xfId="40"/>
    <xf numFmtId="164" fontId="7" fillId="6" borderId="0" xfId="40" applyNumberFormat="1" applyFont="1" applyFill="1" applyBorder="1"/>
    <xf numFmtId="164" fontId="8" fillId="6" borderId="0" xfId="35" applyNumberFormat="1" applyFont="1" applyFill="1"/>
    <xf numFmtId="164" fontId="7" fillId="6" borderId="0" xfId="35" applyNumberFormat="1" applyFont="1" applyFill="1"/>
    <xf numFmtId="164" fontId="6" fillId="6" borderId="0" xfId="40" applyNumberFormat="1" applyFont="1" applyFill="1" applyAlignment="1">
      <alignment horizontal="right"/>
    </xf>
    <xf numFmtId="164" fontId="6" fillId="6" borderId="0" xfId="40" applyNumberFormat="1" applyFont="1" applyFill="1"/>
    <xf numFmtId="164" fontId="9" fillId="6" borderId="0" xfId="40" applyNumberFormat="1" applyFont="1" applyFill="1" applyBorder="1"/>
    <xf numFmtId="164" fontId="64" fillId="6" borderId="0" xfId="40" applyNumberFormat="1" applyFont="1" applyFill="1"/>
    <xf numFmtId="164" fontId="65" fillId="6" borderId="0" xfId="40" applyNumberFormat="1" applyFont="1" applyFill="1"/>
    <xf numFmtId="164" fontId="65" fillId="6" borderId="0" xfId="40" applyNumberFormat="1" applyFont="1" applyFill="1" applyBorder="1"/>
    <xf numFmtId="164" fontId="65" fillId="6" borderId="0" xfId="39" applyNumberFormat="1" applyFont="1" applyFill="1"/>
    <xf numFmtId="165" fontId="9" fillId="0" borderId="33" xfId="40" applyNumberFormat="1" applyFont="1" applyFill="1" applyBorder="1"/>
    <xf numFmtId="165" fontId="9" fillId="0" borderId="21" xfId="40" quotePrefix="1" applyNumberFormat="1" applyFont="1" applyFill="1" applyBorder="1"/>
    <xf numFmtId="165" fontId="81" fillId="0" borderId="34" xfId="40" applyNumberFormat="1" applyFont="1" applyFill="1" applyBorder="1" applyAlignment="1">
      <alignment horizontal="center"/>
    </xf>
    <xf numFmtId="165" fontId="20" fillId="0" borderId="21" xfId="40" applyNumberFormat="1" applyFont="1" applyFill="1" applyBorder="1"/>
    <xf numFmtId="169" fontId="9" fillId="2" borderId="1" xfId="40" applyNumberFormat="1" applyFont="1" applyFill="1" applyBorder="1" applyAlignment="1">
      <alignment horizontal="right"/>
    </xf>
    <xf numFmtId="169" fontId="9" fillId="2" borderId="0" xfId="40" applyNumberFormat="1" applyFont="1" applyFill="1" applyBorder="1" applyAlignment="1">
      <alignment horizontal="right"/>
    </xf>
    <xf numFmtId="170" fontId="9" fillId="2" borderId="15" xfId="40" applyNumberFormat="1" applyFont="1" applyFill="1" applyBorder="1" applyAlignment="1">
      <alignment horizontal="right"/>
    </xf>
    <xf numFmtId="169" fontId="9" fillId="2" borderId="15" xfId="40" applyNumberFormat="1" applyFont="1" applyFill="1" applyBorder="1" applyAlignment="1">
      <alignment horizontal="right"/>
    </xf>
    <xf numFmtId="169" fontId="9" fillId="0" borderId="0" xfId="40" applyNumberFormat="1" applyFont="1" applyFill="1" applyBorder="1" applyAlignment="1">
      <alignment horizontal="center"/>
    </xf>
    <xf numFmtId="169" fontId="60" fillId="0" borderId="0" xfId="40" applyNumberFormat="1" applyFont="1" applyFill="1" applyBorder="1" applyAlignment="1">
      <alignment horizontal="center"/>
    </xf>
    <xf numFmtId="1" fontId="9" fillId="0" borderId="0" xfId="40" applyNumberFormat="1" applyFont="1" applyFill="1" applyBorder="1" applyAlignment="1">
      <alignment horizontal="center"/>
    </xf>
    <xf numFmtId="170" fontId="9" fillId="0" borderId="0" xfId="40" applyNumberFormat="1" applyFont="1" applyFill="1" applyBorder="1" applyAlignment="1">
      <alignment horizontal="center"/>
    </xf>
    <xf numFmtId="0" fontId="11" fillId="0" borderId="0" xfId="40" applyFont="1" applyBorder="1" applyAlignment="1"/>
    <xf numFmtId="0" fontId="9" fillId="0" borderId="35" xfId="40" applyFont="1" applyBorder="1" applyAlignment="1"/>
    <xf numFmtId="0" fontId="11" fillId="0" borderId="0" xfId="40" applyFont="1" applyAlignment="1"/>
    <xf numFmtId="0" fontId="11" fillId="0" borderId="0" xfId="40" applyFont="1"/>
    <xf numFmtId="164" fontId="20" fillId="0" borderId="0" xfId="40" applyNumberFormat="1" applyFont="1"/>
    <xf numFmtId="0" fontId="3" fillId="0" borderId="0" xfId="40" applyFill="1" applyBorder="1"/>
    <xf numFmtId="0" fontId="1" fillId="0" borderId="0" xfId="40" applyFont="1" applyFill="1"/>
    <xf numFmtId="165" fontId="81" fillId="0" borderId="0" xfId="40" applyNumberFormat="1" applyFont="1" applyFill="1" applyBorder="1" applyAlignment="1">
      <alignment horizontal="center"/>
    </xf>
    <xf numFmtId="165" fontId="3" fillId="0" borderId="0" xfId="40" applyNumberFormat="1" applyFont="1" applyFill="1" applyBorder="1"/>
    <xf numFmtId="0" fontId="12" fillId="6" borderId="16" xfId="40" applyFont="1" applyFill="1" applyBorder="1" applyAlignment="1">
      <alignment horizontal="left"/>
    </xf>
    <xf numFmtId="0" fontId="20" fillId="6" borderId="2" xfId="40" applyFont="1" applyFill="1" applyBorder="1" applyAlignment="1">
      <alignment horizontal="left"/>
    </xf>
    <xf numFmtId="0" fontId="20" fillId="6" borderId="4" xfId="40" applyFont="1" applyFill="1" applyBorder="1" applyAlignment="1">
      <alignment horizontal="left"/>
    </xf>
    <xf numFmtId="0" fontId="9" fillId="2" borderId="1" xfId="40" applyFont="1" applyFill="1" applyBorder="1" applyAlignment="1">
      <alignment horizontal="centerContinuous"/>
    </xf>
    <xf numFmtId="0" fontId="11" fillId="2" borderId="0" xfId="40" applyFont="1" applyFill="1" applyBorder="1" applyAlignment="1">
      <alignment horizontal="centerContinuous"/>
    </xf>
    <xf numFmtId="0" fontId="11" fillId="2" borderId="15" xfId="40" applyFont="1" applyFill="1" applyBorder="1" applyAlignment="1">
      <alignment horizontal="centerContinuous"/>
    </xf>
    <xf numFmtId="0" fontId="9" fillId="2" borderId="15" xfId="40" applyFont="1" applyFill="1" applyBorder="1" applyAlignment="1">
      <alignment horizontal="centerContinuous"/>
    </xf>
    <xf numFmtId="0" fontId="9" fillId="2" borderId="0" xfId="40" applyFont="1" applyFill="1" applyBorder="1" applyAlignment="1">
      <alignment horizontal="centerContinuous"/>
    </xf>
    <xf numFmtId="0" fontId="9" fillId="0" borderId="0" xfId="40" applyFont="1" applyFill="1" applyBorder="1" applyAlignment="1">
      <alignment horizontal="centerContinuous"/>
    </xf>
    <xf numFmtId="0" fontId="11" fillId="0" borderId="0" xfId="40" applyFont="1" applyFill="1" applyBorder="1" applyAlignment="1">
      <alignment horizontal="centerContinuous"/>
    </xf>
    <xf numFmtId="0" fontId="3" fillId="0" borderId="0" xfId="40" applyBorder="1" applyAlignment="1"/>
    <xf numFmtId="0" fontId="3" fillId="0" borderId="35" xfId="40" applyBorder="1" applyAlignment="1"/>
    <xf numFmtId="0" fontId="3" fillId="0" borderId="0" xfId="40" applyAlignment="1"/>
    <xf numFmtId="0" fontId="9" fillId="0" borderId="0" xfId="40" applyFont="1" applyFill="1" applyAlignment="1">
      <alignment horizontal="left"/>
    </xf>
    <xf numFmtId="0" fontId="1" fillId="0" borderId="0" xfId="40" applyFont="1" applyFill="1" applyAlignment="1">
      <alignment horizontal="left"/>
    </xf>
    <xf numFmtId="4" fontId="78" fillId="2" borderId="1" xfId="40" applyNumberFormat="1" applyFont="1" applyFill="1" applyBorder="1" applyAlignment="1">
      <alignment horizontal="right"/>
    </xf>
    <xf numFmtId="4" fontId="78" fillId="2" borderId="0" xfId="40" applyNumberFormat="1" applyFont="1" applyFill="1" applyBorder="1" applyAlignment="1">
      <alignment horizontal="right"/>
    </xf>
    <xf numFmtId="4" fontId="78" fillId="2" borderId="15" xfId="40" applyNumberFormat="1" applyFont="1" applyFill="1" applyBorder="1" applyAlignment="1">
      <alignment horizontal="right"/>
    </xf>
    <xf numFmtId="4" fontId="67" fillId="2" borderId="15" xfId="40" applyNumberFormat="1" applyFont="1" applyFill="1" applyBorder="1" applyAlignment="1">
      <alignment horizontal="right"/>
    </xf>
    <xf numFmtId="4" fontId="67" fillId="2" borderId="1" xfId="40" applyNumberFormat="1" applyFont="1" applyFill="1" applyBorder="1" applyAlignment="1">
      <alignment horizontal="right"/>
    </xf>
    <xf numFmtId="4" fontId="67" fillId="2" borderId="0" xfId="40" applyNumberFormat="1" applyFont="1" applyFill="1" applyBorder="1" applyAlignment="1">
      <alignment horizontal="right"/>
    </xf>
    <xf numFmtId="4" fontId="67" fillId="0" borderId="0" xfId="40" applyNumberFormat="1" applyFont="1" applyFill="1" applyBorder="1" applyAlignment="1">
      <alignment horizontal="right"/>
    </xf>
    <xf numFmtId="0" fontId="3" fillId="0" borderId="0" xfId="40" applyBorder="1"/>
    <xf numFmtId="0" fontId="3" fillId="0" borderId="35" xfId="40" applyBorder="1"/>
    <xf numFmtId="4" fontId="1" fillId="2" borderId="1" xfId="40" applyNumberFormat="1" applyFont="1" applyFill="1" applyBorder="1" applyAlignment="1">
      <alignment horizontal="right"/>
    </xf>
    <xf numFmtId="4" fontId="1" fillId="2" borderId="0" xfId="40" applyNumberFormat="1" applyFont="1" applyFill="1" applyBorder="1" applyAlignment="1">
      <alignment horizontal="right"/>
    </xf>
    <xf numFmtId="4" fontId="1" fillId="2" borderId="15" xfId="40" applyNumberFormat="1" applyFont="1" applyFill="1" applyBorder="1" applyAlignment="1">
      <alignment horizontal="right"/>
    </xf>
    <xf numFmtId="4" fontId="30" fillId="0" borderId="0" xfId="40" applyNumberFormat="1" applyFont="1" applyFill="1" applyBorder="1" applyAlignment="1">
      <alignment horizontal="right"/>
    </xf>
    <xf numFmtId="0" fontId="17" fillId="0" borderId="16" xfId="40" applyFont="1" applyBorder="1"/>
    <xf numFmtId="4" fontId="76" fillId="0" borderId="0" xfId="40" applyNumberFormat="1" applyFont="1" applyFill="1" applyBorder="1" applyAlignment="1">
      <alignment horizontal="right"/>
    </xf>
    <xf numFmtId="191" fontId="1" fillId="0" borderId="0" xfId="40" applyNumberFormat="1" applyFont="1" applyFill="1" applyBorder="1" applyAlignment="1">
      <alignment horizontal="center"/>
    </xf>
    <xf numFmtId="0" fontId="3" fillId="0" borderId="36" xfId="40" applyBorder="1"/>
    <xf numFmtId="0" fontId="19" fillId="0" borderId="0" xfId="40" applyFont="1" applyBorder="1"/>
    <xf numFmtId="0" fontId="17" fillId="0" borderId="0" xfId="40" applyFont="1"/>
    <xf numFmtId="0" fontId="76" fillId="0" borderId="0" xfId="40" applyFont="1" applyFill="1" applyBorder="1" applyAlignment="1">
      <alignment horizontal="centerContinuous"/>
    </xf>
    <xf numFmtId="0" fontId="30" fillId="0" borderId="0" xfId="40" applyFont="1" applyFill="1" applyBorder="1" applyAlignment="1">
      <alignment horizontal="centerContinuous"/>
    </xf>
    <xf numFmtId="0" fontId="30" fillId="0" borderId="0" xfId="40" applyFont="1" applyAlignment="1">
      <alignment horizontal="right"/>
    </xf>
    <xf numFmtId="0" fontId="3" fillId="0" borderId="0" xfId="40" applyFont="1" applyFill="1" applyAlignment="1">
      <alignment horizontal="left"/>
    </xf>
    <xf numFmtId="0" fontId="3" fillId="0" borderId="0" xfId="40" applyFont="1" applyBorder="1"/>
    <xf numFmtId="0" fontId="68" fillId="0" borderId="0" xfId="40" applyFont="1" applyFill="1"/>
    <xf numFmtId="0" fontId="1" fillId="0" borderId="0" xfId="40" applyFont="1" applyFill="1" applyBorder="1"/>
    <xf numFmtId="0" fontId="69" fillId="0" borderId="35" xfId="40" applyFont="1" applyBorder="1"/>
    <xf numFmtId="39" fontId="1" fillId="0" borderId="35" xfId="40" applyNumberFormat="1" applyFont="1" applyFill="1" applyBorder="1" applyAlignment="1">
      <alignment horizontal="right"/>
    </xf>
    <xf numFmtId="39" fontId="1" fillId="0" borderId="0" xfId="40" applyNumberFormat="1" applyFont="1" applyFill="1" applyBorder="1" applyAlignment="1">
      <alignment horizontal="right"/>
    </xf>
    <xf numFmtId="3" fontId="1" fillId="2" borderId="1" xfId="40" applyNumberFormat="1" applyFont="1" applyFill="1" applyBorder="1" applyAlignment="1">
      <alignment horizontal="right"/>
    </xf>
    <xf numFmtId="3" fontId="1" fillId="2" borderId="0" xfId="40" applyNumberFormat="1" applyFont="1" applyFill="1" applyBorder="1" applyAlignment="1">
      <alignment horizontal="right"/>
    </xf>
    <xf numFmtId="3" fontId="1" fillId="2" borderId="15" xfId="40" applyNumberFormat="1" applyFont="1" applyFill="1" applyBorder="1" applyAlignment="1">
      <alignment horizontal="right"/>
    </xf>
    <xf numFmtId="3" fontId="30" fillId="0" borderId="0" xfId="40" applyNumberFormat="1" applyFont="1" applyFill="1" applyBorder="1" applyAlignment="1">
      <alignment horizontal="right"/>
    </xf>
    <xf numFmtId="0" fontId="1" fillId="0" borderId="35" xfId="40" applyNumberFormat="1" applyFont="1" applyFill="1" applyBorder="1" applyAlignment="1">
      <alignment horizontal="right"/>
    </xf>
    <xf numFmtId="3" fontId="1" fillId="0" borderId="0" xfId="40" applyNumberFormat="1" applyFont="1" applyBorder="1" applyAlignment="1">
      <alignment horizontal="right"/>
    </xf>
    <xf numFmtId="3" fontId="1" fillId="0" borderId="0" xfId="40" applyNumberFormat="1" applyFont="1" applyFill="1" applyBorder="1" applyAlignment="1">
      <alignment horizontal="right"/>
    </xf>
    <xf numFmtId="0" fontId="1" fillId="0" borderId="0" xfId="40" applyFont="1" applyFill="1" applyBorder="1" applyAlignment="1">
      <alignment horizontal="left"/>
    </xf>
    <xf numFmtId="0" fontId="1" fillId="2" borderId="1" xfId="40" applyFont="1" applyFill="1" applyBorder="1"/>
    <xf numFmtId="4" fontId="1" fillId="0" borderId="0" xfId="40" applyNumberFormat="1" applyFont="1" applyFill="1" applyBorder="1" applyAlignment="1">
      <alignment horizontal="right"/>
    </xf>
    <xf numFmtId="0" fontId="3" fillId="0" borderId="0" xfId="35" applyNumberFormat="1" applyFont="1" applyFill="1" applyBorder="1" applyAlignment="1"/>
    <xf numFmtId="0" fontId="1" fillId="2" borderId="0" xfId="40" applyFont="1" applyFill="1" applyBorder="1"/>
    <xf numFmtId="0" fontId="1" fillId="2" borderId="15" xfId="40" applyFont="1" applyFill="1" applyBorder="1"/>
    <xf numFmtId="0" fontId="3" fillId="6" borderId="37" xfId="40" applyFill="1" applyBorder="1"/>
    <xf numFmtId="0" fontId="3" fillId="6" borderId="37" xfId="40" applyFill="1" applyBorder="1" applyAlignment="1">
      <alignment horizontal="left"/>
    </xf>
    <xf numFmtId="0" fontId="3" fillId="6" borderId="32" xfId="40" applyFill="1" applyBorder="1"/>
    <xf numFmtId="0" fontId="3" fillId="6" borderId="0" xfId="40" applyFill="1" applyBorder="1"/>
    <xf numFmtId="0" fontId="3" fillId="0" borderId="38" xfId="40" applyBorder="1"/>
    <xf numFmtId="0" fontId="12" fillId="6" borderId="39" xfId="40" applyFont="1" applyFill="1" applyBorder="1"/>
    <xf numFmtId="0" fontId="20" fillId="6" borderId="40" xfId="40" applyFont="1" applyFill="1" applyBorder="1"/>
    <xf numFmtId="0" fontId="9" fillId="2" borderId="41" xfId="40" applyFont="1" applyFill="1" applyBorder="1" applyAlignment="1">
      <alignment horizontal="centerContinuous"/>
    </xf>
    <xf numFmtId="0" fontId="11" fillId="2" borderId="42" xfId="40" applyFont="1" applyFill="1" applyBorder="1" applyAlignment="1">
      <alignment horizontal="centerContinuous"/>
    </xf>
    <xf numFmtId="0" fontId="11" fillId="2" borderId="43" xfId="40" applyFont="1" applyFill="1" applyBorder="1" applyAlignment="1">
      <alignment horizontal="centerContinuous"/>
    </xf>
    <xf numFmtId="0" fontId="9" fillId="2" borderId="43" xfId="40" applyFont="1" applyFill="1" applyBorder="1" applyAlignment="1">
      <alignment horizontal="centerContinuous"/>
    </xf>
    <xf numFmtId="0" fontId="9" fillId="2" borderId="42" xfId="40" applyFont="1" applyFill="1" applyBorder="1" applyAlignment="1">
      <alignment horizontal="centerContinuous"/>
    </xf>
    <xf numFmtId="0" fontId="9" fillId="2" borderId="44" xfId="40" applyFont="1" applyFill="1" applyBorder="1" applyAlignment="1">
      <alignment horizontal="centerContinuous"/>
    </xf>
    <xf numFmtId="0" fontId="9" fillId="0" borderId="10" xfId="40" applyFont="1" applyFill="1" applyBorder="1"/>
    <xf numFmtId="0" fontId="1" fillId="0" borderId="10" xfId="40" applyFont="1" applyFill="1" applyBorder="1"/>
    <xf numFmtId="0" fontId="3" fillId="6" borderId="45" xfId="40" applyFill="1" applyBorder="1"/>
    <xf numFmtId="0" fontId="3" fillId="6" borderId="46" xfId="40" applyFill="1" applyBorder="1"/>
    <xf numFmtId="0" fontId="3" fillId="6" borderId="47" xfId="40" applyFill="1" applyBorder="1"/>
    <xf numFmtId="0" fontId="3" fillId="6" borderId="48" xfId="40" applyFill="1" applyBorder="1"/>
    <xf numFmtId="0" fontId="3" fillId="6" borderId="49" xfId="40" applyFill="1" applyBorder="1"/>
    <xf numFmtId="0" fontId="3" fillId="0" borderId="0" xfId="40" applyAlignment="1">
      <alignment horizontal="right"/>
    </xf>
    <xf numFmtId="0" fontId="9" fillId="0" borderId="0" xfId="6" applyFont="1" applyAlignment="1">
      <alignment horizontal="center"/>
    </xf>
    <xf numFmtId="8" fontId="15" fillId="0" borderId="0" xfId="6" applyNumberFormat="1" applyFont="1" applyFill="1" applyBorder="1" applyAlignment="1">
      <alignment horizontal="center"/>
    </xf>
    <xf numFmtId="8" fontId="19" fillId="2" borderId="6" xfId="6" applyNumberFormat="1" applyFont="1" applyFill="1" applyBorder="1" applyAlignment="1">
      <alignment horizontal="center"/>
    </xf>
    <xf numFmtId="6" fontId="15" fillId="0" borderId="0" xfId="6" applyNumberFormat="1" applyFont="1" applyFill="1" applyBorder="1" applyAlignment="1">
      <alignment horizontal="center"/>
    </xf>
    <xf numFmtId="167" fontId="3" fillId="0" borderId="0" xfId="24" applyNumberFormat="1" applyFont="1"/>
    <xf numFmtId="8" fontId="15" fillId="0" borderId="0" xfId="6" applyNumberFormat="1" applyFont="1" applyFill="1" applyBorder="1"/>
    <xf numFmtId="194" fontId="0" fillId="0" borderId="0" xfId="6" applyNumberFormat="1" applyFont="1" applyFill="1" applyBorder="1"/>
    <xf numFmtId="8" fontId="26" fillId="2" borderId="15" xfId="6" applyNumberFormat="1" applyFont="1" applyFill="1" applyBorder="1"/>
    <xf numFmtId="172" fontId="9" fillId="0" borderId="28" xfId="6" applyNumberFormat="1" applyFont="1" applyBorder="1" applyAlignment="1">
      <alignment horizontal="right"/>
    </xf>
    <xf numFmtId="168" fontId="61" fillId="2" borderId="15" xfId="24" applyNumberFormat="1" applyFont="1" applyFill="1" applyBorder="1"/>
    <xf numFmtId="7" fontId="17" fillId="0" borderId="0" xfId="6" applyNumberFormat="1" applyFont="1" applyBorder="1"/>
    <xf numFmtId="0" fontId="0" fillId="0" borderId="1" xfId="6" applyFont="1" applyFill="1" applyBorder="1"/>
    <xf numFmtId="176" fontId="3" fillId="0" borderId="1" xfId="6" applyNumberFormat="1" applyFont="1" applyBorder="1"/>
    <xf numFmtId="165" fontId="81" fillId="0" borderId="50" xfId="40" applyNumberFormat="1" applyFont="1" applyFill="1" applyBorder="1" applyAlignment="1">
      <alignment horizontal="left"/>
    </xf>
    <xf numFmtId="165" fontId="9" fillId="0" borderId="0" xfId="6" applyNumberFormat="1" applyFont="1" applyFill="1" applyBorder="1" applyAlignment="1">
      <alignment horizontal="right"/>
    </xf>
    <xf numFmtId="173" fontId="9" fillId="0" borderId="0" xfId="6" applyNumberFormat="1" applyFont="1" applyFill="1" applyBorder="1" applyAlignment="1">
      <alignment horizontal="right"/>
    </xf>
    <xf numFmtId="165" fontId="9" fillId="0" borderId="0" xfId="6" applyNumberFormat="1" applyFont="1" applyBorder="1"/>
    <xf numFmtId="169" fontId="9" fillId="0" borderId="0" xfId="6" applyNumberFormat="1" applyFont="1" applyBorder="1" applyAlignment="1">
      <alignment horizontal="right"/>
    </xf>
    <xf numFmtId="165" fontId="9" fillId="0" borderId="0" xfId="6" applyNumberFormat="1" applyFont="1" applyBorder="1" applyAlignment="1">
      <alignment horizontal="right"/>
    </xf>
    <xf numFmtId="168" fontId="26" fillId="0" borderId="0" xfId="24" applyNumberFormat="1" applyFont="1" applyFill="1"/>
    <xf numFmtId="0" fontId="18" fillId="2" borderId="1" xfId="6" applyFont="1" applyFill="1" applyBorder="1"/>
    <xf numFmtId="0" fontId="18" fillId="2" borderId="0" xfId="6" applyFont="1" applyFill="1"/>
    <xf numFmtId="0" fontId="18" fillId="2" borderId="15" xfId="6" applyFont="1" applyFill="1" applyBorder="1"/>
    <xf numFmtId="0" fontId="18" fillId="0" borderId="0" xfId="6" applyFont="1" applyFill="1"/>
    <xf numFmtId="8" fontId="84" fillId="0" borderId="0" xfId="6" applyNumberFormat="1" applyFont="1"/>
    <xf numFmtId="0" fontId="84" fillId="2" borderId="1" xfId="6" applyFont="1" applyFill="1" applyBorder="1"/>
    <xf numFmtId="0" fontId="84" fillId="2" borderId="0" xfId="6" applyFont="1" applyFill="1"/>
    <xf numFmtId="0" fontId="84" fillId="2" borderId="15" xfId="6" applyFont="1" applyFill="1" applyBorder="1"/>
    <xf numFmtId="6" fontId="18" fillId="0" borderId="0" xfId="24" applyNumberFormat="1" applyFont="1"/>
    <xf numFmtId="11" fontId="17" fillId="2" borderId="16" xfId="6" applyNumberFormat="1" applyFont="1" applyFill="1" applyBorder="1" applyAlignment="1">
      <alignment horizontal="left"/>
    </xf>
    <xf numFmtId="164" fontId="5" fillId="6" borderId="0" xfId="40" applyNumberFormat="1" applyFont="1" applyFill="1" applyAlignment="1">
      <alignment horizontal="center"/>
    </xf>
    <xf numFmtId="164" fontId="6" fillId="6" borderId="0" xfId="40" applyNumberFormat="1" applyFont="1" applyFill="1" applyAlignment="1">
      <alignment horizontal="center"/>
    </xf>
    <xf numFmtId="164" fontId="10" fillId="6" borderId="0" xfId="33" applyNumberFormat="1" applyFont="1" applyFill="1"/>
    <xf numFmtId="164" fontId="64" fillId="6" borderId="0" xfId="33" applyNumberFormat="1" applyFont="1" applyFill="1"/>
    <xf numFmtId="193" fontId="10" fillId="6" borderId="0" xfId="33" applyNumberFormat="1" applyFont="1" applyFill="1" applyAlignment="1">
      <alignment horizontal="left"/>
    </xf>
    <xf numFmtId="165" fontId="20" fillId="0" borderId="21" xfId="40" applyNumberFormat="1" applyFont="1" applyFill="1" applyBorder="1" applyAlignment="1">
      <alignment horizontal="center"/>
    </xf>
    <xf numFmtId="165" fontId="3" fillId="0" borderId="0" xfId="40" applyNumberFormat="1" applyFont="1" applyFill="1" applyBorder="1" applyAlignment="1">
      <alignment horizontal="center"/>
    </xf>
    <xf numFmtId="0" fontId="20" fillId="6" borderId="18" xfId="40" applyFont="1" applyFill="1" applyBorder="1" applyAlignment="1">
      <alignment horizontal="center"/>
    </xf>
    <xf numFmtId="0" fontId="59" fillId="0" borderId="0" xfId="40" applyFont="1"/>
    <xf numFmtId="0" fontId="66" fillId="0" borderId="0" xfId="40" applyFont="1" applyFill="1" applyBorder="1" applyAlignment="1">
      <alignment horizontal="center"/>
    </xf>
    <xf numFmtId="9" fontId="67" fillId="0" borderId="0" xfId="40" applyNumberFormat="1" applyFont="1" applyFill="1" applyBorder="1" applyAlignment="1">
      <alignment horizontal="right"/>
    </xf>
    <xf numFmtId="8" fontId="3" fillId="0" borderId="25" xfId="40" applyNumberFormat="1" applyFont="1" applyBorder="1"/>
    <xf numFmtId="4" fontId="17" fillId="0" borderId="0" xfId="33" applyNumberFormat="1" applyFont="1" applyFill="1" applyBorder="1" applyAlignment="1">
      <alignment horizontal="right"/>
    </xf>
    <xf numFmtId="0" fontId="3" fillId="0" borderId="1" xfId="40" applyFont="1" applyBorder="1"/>
    <xf numFmtId="8" fontId="3" fillId="0" borderId="15" xfId="40" applyNumberFormat="1" applyFont="1" applyBorder="1"/>
    <xf numFmtId="8" fontId="17" fillId="0" borderId="27" xfId="40" applyNumberFormat="1" applyFont="1" applyBorder="1"/>
    <xf numFmtId="0" fontId="31" fillId="0" borderId="0" xfId="40" applyFont="1"/>
    <xf numFmtId="4" fontId="3" fillId="0" borderId="0" xfId="33" applyNumberFormat="1" applyFont="1" applyFill="1" applyBorder="1" applyAlignment="1">
      <alignment horizontal="right"/>
    </xf>
    <xf numFmtId="0" fontId="3" fillId="0" borderId="0" xfId="40" applyAlignment="1">
      <alignment horizontal="center"/>
    </xf>
    <xf numFmtId="0" fontId="3" fillId="0" borderId="0" xfId="33" applyFont="1" applyFill="1" applyBorder="1" applyAlignment="1">
      <alignment horizontal="centerContinuous"/>
    </xf>
    <xf numFmtId="0" fontId="3" fillId="0" borderId="5" xfId="33" applyFont="1" applyBorder="1"/>
    <xf numFmtId="8" fontId="15" fillId="0" borderId="11" xfId="33" applyNumberFormat="1" applyFont="1" applyFill="1" applyBorder="1"/>
    <xf numFmtId="0" fontId="3" fillId="0" borderId="25" xfId="33" applyFont="1" applyFill="1" applyBorder="1"/>
    <xf numFmtId="4" fontId="3" fillId="0" borderId="0" xfId="33" applyNumberFormat="1" applyFont="1" applyBorder="1" applyAlignment="1">
      <alignment horizontal="right"/>
    </xf>
    <xf numFmtId="9" fontId="3" fillId="0" borderId="0" xfId="33" applyNumberFormat="1" applyFont="1" applyBorder="1" applyAlignment="1">
      <alignment horizontal="right"/>
    </xf>
    <xf numFmtId="0" fontId="3" fillId="0" borderId="1" xfId="33" applyFont="1" applyBorder="1"/>
    <xf numFmtId="0" fontId="3" fillId="0" borderId="15" xfId="33" applyFont="1" applyFill="1" applyBorder="1"/>
    <xf numFmtId="4" fontId="3" fillId="0" borderId="35" xfId="33" applyNumberFormat="1" applyFont="1" applyBorder="1" applyAlignment="1">
      <alignment horizontal="right"/>
    </xf>
    <xf numFmtId="168" fontId="3" fillId="0" borderId="2" xfId="33" applyNumberFormat="1" applyFont="1" applyFill="1" applyBorder="1"/>
    <xf numFmtId="0" fontId="3" fillId="0" borderId="27" xfId="33" applyFont="1" applyFill="1" applyBorder="1"/>
    <xf numFmtId="0" fontId="1" fillId="0" borderId="0" xfId="40" applyFont="1" applyFill="1" applyBorder="1" applyAlignment="1">
      <alignment horizontal="center"/>
    </xf>
    <xf numFmtId="4" fontId="3" fillId="0" borderId="0" xfId="33" applyNumberFormat="1" applyFont="1" applyFill="1" applyBorder="1" applyAlignment="1">
      <alignment horizontal="centerContinuous"/>
    </xf>
    <xf numFmtId="3" fontId="3" fillId="0" borderId="0" xfId="40" applyNumberFormat="1" applyFont="1"/>
    <xf numFmtId="0" fontId="3" fillId="0" borderId="0" xfId="40" applyFont="1"/>
    <xf numFmtId="7" fontId="15" fillId="0" borderId="0" xfId="40" applyNumberFormat="1" applyFont="1"/>
    <xf numFmtId="7" fontId="3" fillId="0" borderId="0" xfId="40" applyNumberFormat="1" applyFont="1"/>
    <xf numFmtId="7" fontId="17" fillId="0" borderId="0" xfId="40" applyNumberFormat="1" applyFont="1"/>
    <xf numFmtId="0" fontId="17" fillId="0" borderId="0" xfId="40" applyFont="1" applyAlignment="1">
      <alignment horizontal="right"/>
    </xf>
    <xf numFmtId="168" fontId="3" fillId="0" borderId="0" xfId="40" applyNumberFormat="1" applyFont="1"/>
    <xf numFmtId="3" fontId="3" fillId="0" borderId="0" xfId="33" applyNumberFormat="1" applyFont="1" applyFill="1" applyBorder="1" applyAlignment="1">
      <alignment horizontal="right"/>
    </xf>
    <xf numFmtId="0" fontId="3" fillId="0" borderId="0" xfId="33" applyNumberFormat="1" applyFont="1" applyFill="1" applyBorder="1" applyAlignment="1"/>
    <xf numFmtId="0" fontId="3" fillId="0" borderId="0" xfId="33" applyNumberFormat="1" applyFont="1" applyFill="1" applyBorder="1" applyAlignment="1">
      <alignment horizontal="left"/>
    </xf>
    <xf numFmtId="0" fontId="3" fillId="0" borderId="0" xfId="33" applyNumberFormat="1" applyFont="1" applyFill="1" applyBorder="1" applyAlignment="1">
      <alignment horizontal="center"/>
    </xf>
    <xf numFmtId="0" fontId="3" fillId="6" borderId="37" xfId="40" applyFill="1" applyBorder="1" applyAlignment="1">
      <alignment horizontal="center"/>
    </xf>
    <xf numFmtId="0" fontId="20" fillId="6" borderId="51" xfId="40" applyFont="1" applyFill="1" applyBorder="1" applyAlignment="1">
      <alignment horizontal="center"/>
    </xf>
    <xf numFmtId="0" fontId="1" fillId="0" borderId="0" xfId="33" applyFont="1" applyFill="1"/>
    <xf numFmtId="3" fontId="1" fillId="2" borderId="1" xfId="0" applyNumberFormat="1" applyFont="1" applyFill="1" applyBorder="1" applyAlignment="1">
      <alignment horizontal="right"/>
    </xf>
    <xf numFmtId="3" fontId="1" fillId="2" borderId="0" xfId="0" applyNumberFormat="1" applyFont="1" applyFill="1" applyBorder="1" applyAlignment="1">
      <alignment horizontal="right"/>
    </xf>
    <xf numFmtId="3" fontId="1" fillId="2" borderId="15" xfId="0" applyNumberFormat="1" applyFont="1" applyFill="1" applyBorder="1" applyAlignment="1">
      <alignment horizontal="right"/>
    </xf>
    <xf numFmtId="0" fontId="1" fillId="0" borderId="0" xfId="33" applyFont="1" applyFill="1" applyBorder="1"/>
    <xf numFmtId="0" fontId="3" fillId="0" borderId="0" xfId="33" applyFont="1" applyFill="1"/>
    <xf numFmtId="4" fontId="1" fillId="2" borderId="1" xfId="0" applyNumberFormat="1" applyFont="1" applyFill="1" applyBorder="1" applyAlignment="1">
      <alignment horizontal="right"/>
    </xf>
    <xf numFmtId="164" fontId="62" fillId="0" borderId="0" xfId="33" applyNumberFormat="1" applyFont="1" applyFill="1"/>
    <xf numFmtId="164" fontId="75" fillId="0" borderId="0" xfId="33" applyNumberFormat="1" applyFont="1" applyFill="1"/>
    <xf numFmtId="0" fontId="3" fillId="0" borderId="10" xfId="33" applyNumberFormat="1" applyFont="1" applyFill="1" applyBorder="1" applyAlignment="1"/>
    <xf numFmtId="164" fontId="10" fillId="0" borderId="0" xfId="33" applyNumberFormat="1" applyFont="1" applyFill="1"/>
    <xf numFmtId="0" fontId="3" fillId="6" borderId="46" xfId="40" applyFill="1" applyBorder="1" applyAlignment="1">
      <alignment horizontal="center"/>
    </xf>
    <xf numFmtId="0" fontId="3" fillId="0" borderId="0" xfId="33" applyFont="1"/>
    <xf numFmtId="0" fontId="3" fillId="0" borderId="0" xfId="33" applyFont="1" applyAlignment="1">
      <alignment horizontal="center"/>
    </xf>
    <xf numFmtId="0" fontId="3" fillId="0" borderId="0" xfId="33" applyFont="1" applyAlignment="1">
      <alignment horizontal="right"/>
    </xf>
    <xf numFmtId="7" fontId="15" fillId="0" borderId="0" xfId="6" applyNumberFormat="1" applyFont="1" applyFill="1" applyBorder="1" applyAlignment="1">
      <alignment horizontal="center"/>
    </xf>
    <xf numFmtId="7" fontId="15" fillId="0" borderId="52" xfId="6" applyNumberFormat="1" applyFont="1" applyFill="1" applyBorder="1" applyAlignment="1">
      <alignment horizontal="center"/>
    </xf>
    <xf numFmtId="6" fontId="15" fillId="0" borderId="7" xfId="6" applyNumberFormat="1" applyFont="1" applyFill="1" applyBorder="1" applyAlignment="1">
      <alignment horizontal="center"/>
    </xf>
    <xf numFmtId="8" fontId="15" fillId="0" borderId="0" xfId="6" applyNumberFormat="1" applyFont="1" applyAlignment="1">
      <alignment horizontal="right"/>
    </xf>
    <xf numFmtId="6" fontId="17" fillId="0" borderId="0" xfId="29" applyNumberFormat="1" applyFont="1"/>
    <xf numFmtId="0" fontId="3" fillId="0" borderId="1" xfId="40" applyBorder="1"/>
    <xf numFmtId="0" fontId="3" fillId="0" borderId="15" xfId="40" applyBorder="1"/>
    <xf numFmtId="0" fontId="3" fillId="0" borderId="17" xfId="40" applyFont="1" applyBorder="1"/>
    <xf numFmtId="0" fontId="3" fillId="0" borderId="4" xfId="40" applyBorder="1"/>
    <xf numFmtId="6" fontId="3" fillId="0" borderId="4" xfId="29" applyNumberFormat="1" applyFont="1" applyBorder="1"/>
    <xf numFmtId="0" fontId="3" fillId="0" borderId="18" xfId="40" applyFont="1" applyBorder="1"/>
    <xf numFmtId="166" fontId="1" fillId="0" borderId="0" xfId="6" applyNumberFormat="1" applyFont="1" applyAlignment="1">
      <alignment horizontal="right"/>
    </xf>
    <xf numFmtId="8" fontId="0" fillId="0" borderId="0" xfId="0" applyNumberFormat="1"/>
    <xf numFmtId="0" fontId="14" fillId="0" borderId="0" xfId="0" applyFont="1"/>
    <xf numFmtId="0" fontId="2" fillId="0" borderId="5" xfId="40" applyFont="1" applyBorder="1"/>
    <xf numFmtId="0" fontId="2" fillId="0" borderId="16" xfId="33" applyFont="1" applyBorder="1"/>
    <xf numFmtId="6" fontId="2" fillId="2" borderId="0" xfId="29" applyNumberFormat="1" applyFont="1" applyFill="1" applyBorder="1"/>
    <xf numFmtId="6" fontId="2" fillId="2" borderId="15" xfId="29" applyNumberFormat="1" applyFont="1" applyFill="1" applyBorder="1"/>
    <xf numFmtId="43" fontId="3" fillId="2" borderId="1" xfId="24" applyNumberFormat="1" applyFont="1" applyFill="1" applyBorder="1"/>
    <xf numFmtId="43" fontId="3" fillId="2" borderId="0" xfId="24" applyNumberFormat="1" applyFont="1" applyFill="1"/>
    <xf numFmtId="43" fontId="3" fillId="2" borderId="15" xfId="24" applyNumberFormat="1" applyFont="1" applyFill="1" applyBorder="1"/>
    <xf numFmtId="0" fontId="2" fillId="0" borderId="0" xfId="0" applyFont="1"/>
    <xf numFmtId="0" fontId="2" fillId="0" borderId="0" xfId="6" applyFont="1" applyFill="1" applyBorder="1"/>
    <xf numFmtId="168" fontId="0" fillId="0" borderId="6" xfId="0" applyNumberFormat="1" applyBorder="1"/>
    <xf numFmtId="8" fontId="57" fillId="0" borderId="0" xfId="6" applyNumberFormat="1" applyFont="1" applyFill="1"/>
    <xf numFmtId="0" fontId="12" fillId="6" borderId="0" xfId="41" applyFont="1" applyFill="1" applyBorder="1"/>
    <xf numFmtId="0" fontId="9" fillId="0" borderId="0" xfId="41" applyFont="1" applyFill="1" applyBorder="1"/>
    <xf numFmtId="0" fontId="90" fillId="0" borderId="0" xfId="41" applyFont="1" applyFill="1" applyBorder="1"/>
    <xf numFmtId="3" fontId="15" fillId="0" borderId="0" xfId="41" applyNumberFormat="1" applyFont="1" applyFill="1" applyBorder="1" applyAlignment="1">
      <alignment horizontal="center"/>
    </xf>
    <xf numFmtId="191" fontId="90" fillId="0" borderId="0" xfId="41" applyNumberFormat="1" applyFont="1" applyFill="1" applyBorder="1" applyAlignment="1">
      <alignment horizontal="center"/>
    </xf>
    <xf numFmtId="0" fontId="11" fillId="6" borderId="0" xfId="41" applyFont="1" applyFill="1" applyBorder="1"/>
    <xf numFmtId="0" fontId="11" fillId="6" borderId="0" xfId="41" applyFont="1" applyFill="1" applyBorder="1" applyAlignment="1">
      <alignment horizontal="center"/>
    </xf>
    <xf numFmtId="0" fontId="17" fillId="0" borderId="0" xfId="41" applyFont="1" applyFill="1" applyBorder="1" applyAlignment="1">
      <alignment horizontal="right"/>
    </xf>
    <xf numFmtId="9" fontId="15" fillId="0" borderId="0" xfId="41" applyNumberFormat="1" applyFont="1" applyFill="1" applyBorder="1" applyAlignment="1">
      <alignment horizontal="center"/>
    </xf>
    <xf numFmtId="0" fontId="2" fillId="0" borderId="0" xfId="41" applyFont="1" applyFill="1" applyBorder="1"/>
    <xf numFmtId="0" fontId="17" fillId="0" borderId="0" xfId="41" applyFont="1" applyFill="1" applyBorder="1"/>
    <xf numFmtId="0" fontId="90" fillId="0" borderId="0" xfId="41" applyFont="1" applyFill="1" applyBorder="1" applyAlignment="1">
      <alignment horizontal="center"/>
    </xf>
    <xf numFmtId="0" fontId="12" fillId="6" borderId="17" xfId="41" applyFont="1" applyFill="1" applyBorder="1"/>
    <xf numFmtId="0" fontId="9" fillId="6" borderId="0" xfId="41" applyFont="1" applyFill="1" applyBorder="1" applyAlignment="1">
      <alignment horizontal="centerContinuous"/>
    </xf>
    <xf numFmtId="0" fontId="9" fillId="6" borderId="0" xfId="41" applyFont="1" applyFill="1" applyBorder="1" applyAlignment="1">
      <alignment horizontal="center"/>
    </xf>
    <xf numFmtId="0" fontId="9" fillId="0" borderId="0" xfId="41" applyFont="1" applyFill="1" applyBorder="1" applyAlignment="1">
      <alignment horizontal="left"/>
    </xf>
    <xf numFmtId="0" fontId="17" fillId="0" borderId="0" xfId="41" applyFont="1" applyFill="1" applyBorder="1" applyAlignment="1">
      <alignment horizontal="center"/>
    </xf>
    <xf numFmtId="0" fontId="90" fillId="6" borderId="0" xfId="41" applyFont="1" applyFill="1" applyBorder="1"/>
    <xf numFmtId="0" fontId="82" fillId="6" borderId="0" xfId="41" applyFont="1" applyFill="1" applyBorder="1" applyAlignment="1">
      <alignment horizontal="center"/>
    </xf>
    <xf numFmtId="166" fontId="2" fillId="0" borderId="0" xfId="6" applyNumberFormat="1" applyFont="1" applyBorder="1" applyAlignment="1">
      <alignment horizontal="right"/>
    </xf>
    <xf numFmtId="4" fontId="2" fillId="2" borderId="1" xfId="41" applyNumberFormat="1" applyFont="1" applyFill="1" applyBorder="1" applyAlignment="1">
      <alignment horizontal="right"/>
    </xf>
    <xf numFmtId="4" fontId="2" fillId="2" borderId="0" xfId="41" applyNumberFormat="1" applyFont="1" applyFill="1" applyBorder="1" applyAlignment="1">
      <alignment horizontal="right"/>
    </xf>
    <xf numFmtId="4" fontId="2" fillId="2" borderId="15" xfId="41" applyNumberFormat="1" applyFont="1" applyFill="1" applyBorder="1" applyAlignment="1">
      <alignment horizontal="right"/>
    </xf>
    <xf numFmtId="4" fontId="15" fillId="2" borderId="1" xfId="41" applyNumberFormat="1" applyFont="1" applyFill="1" applyBorder="1" applyAlignment="1">
      <alignment horizontal="right"/>
    </xf>
    <xf numFmtId="4" fontId="15" fillId="2" borderId="0" xfId="41" applyNumberFormat="1" applyFont="1" applyFill="1" applyBorder="1" applyAlignment="1">
      <alignment horizontal="right"/>
    </xf>
    <xf numFmtId="4" fontId="15" fillId="2" borderId="15" xfId="41" applyNumberFormat="1" applyFont="1" applyFill="1" applyBorder="1" applyAlignment="1">
      <alignment horizontal="right"/>
    </xf>
    <xf numFmtId="0" fontId="17" fillId="2" borderId="1" xfId="41" applyFont="1" applyFill="1" applyBorder="1" applyAlignment="1">
      <alignment horizontal="centerContinuous"/>
    </xf>
    <xf numFmtId="0" fontId="2" fillId="2" borderId="0" xfId="41" applyFont="1" applyFill="1" applyBorder="1" applyAlignment="1">
      <alignment horizontal="centerContinuous"/>
    </xf>
    <xf numFmtId="0" fontId="2" fillId="2" borderId="15" xfId="41" applyFont="1" applyFill="1" applyBorder="1" applyAlignment="1">
      <alignment horizontal="centerContinuous"/>
    </xf>
    <xf numFmtId="0" fontId="15" fillId="2" borderId="15" xfId="41" applyFont="1" applyFill="1" applyBorder="1" applyAlignment="1">
      <alignment horizontal="centerContinuous"/>
    </xf>
    <xf numFmtId="0" fontId="19" fillId="2" borderId="1" xfId="41" applyFont="1" applyFill="1" applyBorder="1" applyAlignment="1">
      <alignment horizontal="centerContinuous"/>
    </xf>
    <xf numFmtId="0" fontId="15" fillId="2" borderId="0" xfId="41" applyFont="1" applyFill="1" applyBorder="1" applyAlignment="1">
      <alignment horizontal="centerContinuous"/>
    </xf>
    <xf numFmtId="0" fontId="19" fillId="2" borderId="15" xfId="41" applyFont="1" applyFill="1" applyBorder="1" applyAlignment="1">
      <alignment horizontal="centerContinuous"/>
    </xf>
    <xf numFmtId="0" fontId="19" fillId="2" borderId="0" xfId="41" applyFont="1" applyFill="1" applyBorder="1" applyAlignment="1">
      <alignment horizontal="centerContinuous"/>
    </xf>
    <xf numFmtId="4" fontId="19" fillId="2" borderId="15" xfId="41" applyNumberFormat="1" applyFont="1" applyFill="1" applyBorder="1" applyAlignment="1">
      <alignment horizontal="right"/>
    </xf>
    <xf numFmtId="2" fontId="2" fillId="2" borderId="1" xfId="41" applyNumberFormat="1" applyFont="1" applyFill="1" applyBorder="1" applyAlignment="1">
      <alignment horizontal="right"/>
    </xf>
    <xf numFmtId="2" fontId="2" fillId="2" borderId="0" xfId="41" applyNumberFormat="1" applyFont="1" applyFill="1" applyBorder="1" applyAlignment="1">
      <alignment horizontal="right"/>
    </xf>
    <xf numFmtId="2" fontId="2" fillId="2" borderId="15" xfId="41" applyNumberFormat="1" applyFont="1" applyFill="1" applyBorder="1" applyAlignment="1">
      <alignment horizontal="right"/>
    </xf>
    <xf numFmtId="2" fontId="15" fillId="2" borderId="0" xfId="41" applyNumberFormat="1" applyFont="1" applyFill="1" applyBorder="1" applyAlignment="1">
      <alignment horizontal="right"/>
    </xf>
    <xf numFmtId="2" fontId="15" fillId="2" borderId="15" xfId="41" applyNumberFormat="1" applyFont="1" applyFill="1" applyBorder="1" applyAlignment="1">
      <alignment horizontal="right"/>
    </xf>
    <xf numFmtId="3" fontId="2" fillId="2" borderId="1" xfId="41" applyNumberFormat="1" applyFont="1" applyFill="1" applyBorder="1" applyAlignment="1">
      <alignment horizontal="right"/>
    </xf>
    <xf numFmtId="3" fontId="2" fillId="2" borderId="0" xfId="41" applyNumberFormat="1" applyFont="1" applyFill="1" applyBorder="1" applyAlignment="1">
      <alignment horizontal="right"/>
    </xf>
    <xf numFmtId="3" fontId="2" fillId="2" borderId="15" xfId="41" applyNumberFormat="1" applyFont="1" applyFill="1" applyBorder="1" applyAlignment="1">
      <alignment horizontal="right"/>
    </xf>
    <xf numFmtId="3" fontId="15" fillId="2" borderId="1" xfId="41" applyNumberFormat="1" applyFont="1" applyFill="1" applyBorder="1" applyAlignment="1">
      <alignment horizontal="right"/>
    </xf>
    <xf numFmtId="3" fontId="15" fillId="2" borderId="0" xfId="41" applyNumberFormat="1" applyFont="1" applyFill="1" applyBorder="1" applyAlignment="1">
      <alignment horizontal="right"/>
    </xf>
    <xf numFmtId="3" fontId="15" fillId="2" borderId="15" xfId="41" applyNumberFormat="1" applyFont="1" applyFill="1" applyBorder="1" applyAlignment="1">
      <alignment horizontal="right"/>
    </xf>
    <xf numFmtId="3" fontId="14" fillId="2" borderId="0" xfId="41" applyNumberFormat="1" applyFont="1" applyFill="1" applyBorder="1" applyAlignment="1">
      <alignment horizontal="right"/>
    </xf>
    <xf numFmtId="4" fontId="3" fillId="0" borderId="0" xfId="40" applyNumberFormat="1"/>
    <xf numFmtId="0" fontId="17" fillId="0" borderId="0" xfId="41" applyFont="1"/>
    <xf numFmtId="8" fontId="2" fillId="0" borderId="0" xfId="41" applyNumberFormat="1"/>
    <xf numFmtId="3" fontId="2" fillId="2" borderId="15" xfId="38" applyNumberFormat="1" applyFont="1" applyFill="1" applyBorder="1" applyAlignment="1">
      <alignment horizontal="right"/>
    </xf>
    <xf numFmtId="3" fontId="2" fillId="2" borderId="0" xfId="38" applyNumberFormat="1" applyFont="1" applyFill="1" applyBorder="1" applyAlignment="1">
      <alignment horizontal="right"/>
    </xf>
    <xf numFmtId="0" fontId="15" fillId="2" borderId="0" xfId="38" applyFont="1" applyFill="1" applyBorder="1" applyAlignment="1">
      <alignment horizontal="centerContinuous"/>
    </xf>
    <xf numFmtId="0" fontId="19" fillId="2" borderId="1" xfId="38" applyFont="1" applyFill="1" applyBorder="1" applyAlignment="1">
      <alignment horizontal="centerContinuous"/>
    </xf>
    <xf numFmtId="0" fontId="15" fillId="2" borderId="15" xfId="38" applyFont="1" applyFill="1" applyBorder="1" applyAlignment="1">
      <alignment horizontal="centerContinuous"/>
    </xf>
    <xf numFmtId="0" fontId="19" fillId="2" borderId="15" xfId="38" applyFont="1" applyFill="1" applyBorder="1" applyAlignment="1">
      <alignment horizontal="centerContinuous"/>
    </xf>
    <xf numFmtId="0" fontId="19" fillId="2" borderId="0" xfId="38" applyFont="1" applyFill="1" applyBorder="1" applyAlignment="1">
      <alignment horizontal="centerContinuous"/>
    </xf>
    <xf numFmtId="3" fontId="93" fillId="2" borderId="0" xfId="38" applyNumberFormat="1" applyFont="1" applyFill="1" applyBorder="1" applyAlignment="1">
      <alignment horizontal="right"/>
    </xf>
    <xf numFmtId="3" fontId="15" fillId="2" borderId="0" xfId="38" applyNumberFormat="1" applyFont="1" applyFill="1" applyBorder="1" applyAlignment="1">
      <alignment horizontal="right"/>
    </xf>
    <xf numFmtId="3" fontId="15" fillId="2" borderId="1" xfId="38" applyNumberFormat="1" applyFont="1" applyFill="1" applyBorder="1" applyAlignment="1">
      <alignment horizontal="right"/>
    </xf>
    <xf numFmtId="3" fontId="15" fillId="2" borderId="15" xfId="38" applyNumberFormat="1" applyFont="1" applyFill="1" applyBorder="1" applyAlignment="1">
      <alignment horizontal="right"/>
    </xf>
    <xf numFmtId="3" fontId="93" fillId="2" borderId="1" xfId="38" applyNumberFormat="1" applyFont="1" applyFill="1" applyBorder="1" applyAlignment="1">
      <alignment horizontal="right"/>
    </xf>
    <xf numFmtId="3" fontId="93" fillId="2" borderId="15" xfId="38" applyNumberFormat="1" applyFont="1" applyFill="1" applyBorder="1" applyAlignment="1">
      <alignment horizontal="right"/>
    </xf>
    <xf numFmtId="0" fontId="17" fillId="2" borderId="1" xfId="38" applyFont="1" applyFill="1" applyBorder="1" applyAlignment="1">
      <alignment horizontal="centerContinuous"/>
    </xf>
    <xf numFmtId="0" fontId="93" fillId="2" borderId="0" xfId="38" applyFont="1" applyFill="1" applyBorder="1" applyAlignment="1">
      <alignment horizontal="centerContinuous"/>
    </xf>
    <xf numFmtId="0" fontId="93" fillId="2" borderId="15" xfId="38" applyFont="1" applyFill="1" applyBorder="1" applyAlignment="1">
      <alignment horizontal="centerContinuous"/>
    </xf>
    <xf numFmtId="3" fontId="14" fillId="2" borderId="0" xfId="38" applyNumberFormat="1" applyFont="1" applyFill="1" applyBorder="1" applyAlignment="1">
      <alignment horizontal="right"/>
    </xf>
    <xf numFmtId="3" fontId="14" fillId="2" borderId="15" xfId="38" applyNumberFormat="1" applyFont="1" applyFill="1" applyBorder="1" applyAlignment="1">
      <alignment horizontal="right"/>
    </xf>
    <xf numFmtId="195" fontId="15" fillId="2" borderId="0" xfId="38" applyNumberFormat="1" applyFont="1" applyFill="1" applyBorder="1" applyAlignment="1">
      <alignment horizontal="right"/>
    </xf>
    <xf numFmtId="0" fontId="93" fillId="0" borderId="0" xfId="41" applyFont="1" applyFill="1" applyBorder="1"/>
    <xf numFmtId="191" fontId="93" fillId="0" borderId="0" xfId="41" applyNumberFormat="1" applyFont="1" applyFill="1" applyBorder="1" applyAlignment="1">
      <alignment horizontal="center"/>
    </xf>
    <xf numFmtId="0" fontId="93" fillId="0" borderId="0" xfId="41" applyFont="1" applyFill="1" applyBorder="1" applyAlignment="1">
      <alignment horizontal="center"/>
    </xf>
    <xf numFmtId="0" fontId="93" fillId="6" borderId="0" xfId="41" applyFont="1" applyFill="1" applyBorder="1"/>
    <xf numFmtId="3" fontId="26" fillId="2" borderId="1" xfId="38" applyNumberFormat="1" applyFont="1" applyFill="1" applyBorder="1" applyAlignment="1">
      <alignment horizontal="right"/>
    </xf>
    <xf numFmtId="3" fontId="26" fillId="2" borderId="0" xfId="38" applyNumberFormat="1" applyFont="1" applyFill="1" applyBorder="1" applyAlignment="1">
      <alignment horizontal="right"/>
    </xf>
    <xf numFmtId="3" fontId="26" fillId="2" borderId="15" xfId="38" applyNumberFormat="1" applyFont="1" applyFill="1" applyBorder="1" applyAlignment="1">
      <alignment horizontal="right"/>
    </xf>
    <xf numFmtId="3" fontId="2" fillId="2" borderId="15" xfId="36" applyNumberFormat="1" applyFont="1" applyFill="1" applyBorder="1" applyAlignment="1">
      <alignment horizontal="right"/>
    </xf>
    <xf numFmtId="3" fontId="2" fillId="2" borderId="0" xfId="36" applyNumberFormat="1" applyFont="1" applyFill="1" applyBorder="1" applyAlignment="1">
      <alignment horizontal="right"/>
    </xf>
    <xf numFmtId="3" fontId="15" fillId="2" borderId="0" xfId="36" applyNumberFormat="1" applyFont="1" applyFill="1" applyBorder="1" applyAlignment="1">
      <alignment horizontal="right"/>
    </xf>
    <xf numFmtId="3" fontId="15" fillId="2" borderId="15" xfId="36" applyNumberFormat="1" applyFont="1" applyFill="1" applyBorder="1" applyAlignment="1">
      <alignment horizontal="right"/>
    </xf>
    <xf numFmtId="3" fontId="26" fillId="2" borderId="0" xfId="36" applyNumberFormat="1" applyFont="1" applyFill="1" applyBorder="1" applyAlignment="1">
      <alignment horizontal="right"/>
    </xf>
    <xf numFmtId="3" fontId="26" fillId="2" borderId="15" xfId="36" applyNumberFormat="1" applyFont="1" applyFill="1" applyBorder="1" applyAlignment="1">
      <alignment horizontal="right"/>
    </xf>
    <xf numFmtId="168" fontId="2" fillId="2" borderId="1" xfId="24" applyNumberFormat="1" applyFont="1" applyFill="1" applyBorder="1"/>
    <xf numFmtId="168" fontId="2" fillId="2" borderId="0" xfId="24" applyNumberFormat="1" applyFont="1" applyFill="1" applyBorder="1"/>
    <xf numFmtId="168" fontId="2" fillId="2" borderId="0" xfId="24" applyNumberFormat="1" applyFont="1" applyFill="1"/>
    <xf numFmtId="168" fontId="2" fillId="2" borderId="15" xfId="24" applyNumberFormat="1" applyFont="1" applyFill="1" applyBorder="1"/>
    <xf numFmtId="168" fontId="2" fillId="0" borderId="0" xfId="24" applyNumberFormat="1" applyFont="1"/>
    <xf numFmtId="176" fontId="2" fillId="2" borderId="1" xfId="6" applyNumberFormat="1" applyFont="1" applyFill="1" applyBorder="1"/>
    <xf numFmtId="176" fontId="2" fillId="2" borderId="0" xfId="6" applyNumberFormat="1" applyFont="1" applyFill="1"/>
    <xf numFmtId="4" fontId="2" fillId="2" borderId="1" xfId="6" applyNumberFormat="1" applyFont="1" applyFill="1" applyBorder="1"/>
    <xf numFmtId="176" fontId="2" fillId="2" borderId="15" xfId="6" applyNumberFormat="1" applyFont="1" applyFill="1" applyBorder="1"/>
    <xf numFmtId="176" fontId="2" fillId="0" borderId="0" xfId="6" applyNumberFormat="1" applyFont="1"/>
    <xf numFmtId="167" fontId="2" fillId="2" borderId="0" xfId="6" applyNumberFormat="1" applyFont="1" applyFill="1"/>
    <xf numFmtId="167" fontId="2" fillId="2" borderId="15" xfId="6" applyNumberFormat="1" applyFont="1" applyFill="1" applyBorder="1"/>
    <xf numFmtId="167" fontId="2" fillId="0" borderId="0" xfId="6" applyNumberFormat="1" applyFont="1"/>
    <xf numFmtId="167" fontId="2" fillId="2" borderId="1" xfId="6" applyNumberFormat="1" applyFont="1" applyFill="1" applyBorder="1"/>
    <xf numFmtId="168" fontId="2" fillId="0" borderId="0" xfId="24" applyNumberFormat="1" applyFont="1" applyFill="1" applyBorder="1"/>
    <xf numFmtId="8" fontId="1" fillId="0" borderId="0" xfId="6" applyNumberFormat="1" applyFont="1"/>
    <xf numFmtId="196" fontId="0" fillId="2" borderId="1" xfId="6" applyNumberFormat="1" applyFont="1" applyFill="1" applyBorder="1"/>
    <xf numFmtId="196" fontId="0" fillId="2" borderId="0" xfId="6" applyNumberFormat="1" applyFont="1" applyFill="1"/>
    <xf numFmtId="196" fontId="0" fillId="2" borderId="15" xfId="6" applyNumberFormat="1" applyFont="1" applyFill="1" applyBorder="1"/>
    <xf numFmtId="168" fontId="47" fillId="2" borderId="15" xfId="24" applyNumberFormat="1" applyFont="1" applyFill="1" applyBorder="1"/>
    <xf numFmtId="0" fontId="0" fillId="0" borderId="0" xfId="0" applyNumberFormat="1" applyFill="1" applyAlignment="1">
      <alignment horizontal="left"/>
    </xf>
    <xf numFmtId="9" fontId="2" fillId="2" borderId="1" xfId="6" applyNumberFormat="1" applyFont="1" applyFill="1" applyBorder="1"/>
    <xf numFmtId="9" fontId="2" fillId="2" borderId="0" xfId="6" applyNumberFormat="1" applyFont="1" applyFill="1"/>
    <xf numFmtId="168" fontId="0" fillId="0" borderId="0" xfId="0" applyNumberFormat="1"/>
    <xf numFmtId="168" fontId="3" fillId="0" borderId="0" xfId="24" applyNumberFormat="1" applyFont="1" applyFill="1" applyBorder="1" applyAlignment="1">
      <alignment horizontal="center"/>
    </xf>
    <xf numFmtId="168" fontId="3" fillId="0" borderId="0" xfId="24" applyNumberFormat="1" applyFont="1" applyFill="1" applyAlignment="1">
      <alignment horizontal="center"/>
    </xf>
    <xf numFmtId="168" fontId="3" fillId="0" borderId="2" xfId="24" applyNumberFormat="1" applyFont="1" applyFill="1" applyBorder="1" applyAlignment="1">
      <alignment horizontal="center"/>
    </xf>
    <xf numFmtId="168" fontId="17" fillId="0" borderId="0" xfId="24" applyNumberFormat="1" applyFont="1" applyFill="1" applyAlignment="1">
      <alignment horizontal="center"/>
    </xf>
    <xf numFmtId="168" fontId="17" fillId="0" borderId="0" xfId="24" applyNumberFormat="1" applyFont="1" applyFill="1" applyBorder="1" applyAlignment="1">
      <alignment horizontal="center"/>
    </xf>
    <xf numFmtId="168" fontId="3" fillId="0" borderId="3" xfId="24" applyNumberFormat="1" applyFont="1" applyFill="1" applyBorder="1" applyAlignment="1">
      <alignment horizontal="center"/>
    </xf>
    <xf numFmtId="10" fontId="3" fillId="0" borderId="0" xfId="24" applyNumberFormat="1" applyFont="1" applyFill="1" applyBorder="1" applyAlignment="1">
      <alignment horizontal="center"/>
    </xf>
    <xf numFmtId="168" fontId="22" fillId="0" borderId="0" xfId="24" applyNumberFormat="1" applyFont="1" applyFill="1" applyBorder="1" applyAlignment="1">
      <alignment horizontal="center"/>
    </xf>
    <xf numFmtId="168" fontId="17" fillId="0" borderId="11" xfId="24" applyNumberFormat="1" applyFont="1" applyFill="1" applyBorder="1" applyAlignment="1">
      <alignment horizontal="center"/>
    </xf>
    <xf numFmtId="9" fontId="30" fillId="0" borderId="0" xfId="6" applyNumberFormat="1" applyFont="1"/>
    <xf numFmtId="168" fontId="47" fillId="2" borderId="1" xfId="24" applyNumberFormat="1" applyFont="1" applyFill="1" applyBorder="1"/>
    <xf numFmtId="168" fontId="47" fillId="2" borderId="0" xfId="24" applyNumberFormat="1" applyFont="1" applyFill="1" applyBorder="1"/>
    <xf numFmtId="168" fontId="47" fillId="2" borderId="0" xfId="24" applyNumberFormat="1" applyFont="1" applyFill="1"/>
    <xf numFmtId="197" fontId="0" fillId="0" borderId="0" xfId="24" applyNumberFormat="1" applyFont="1"/>
    <xf numFmtId="0" fontId="17" fillId="0" borderId="0" xfId="0" applyFont="1"/>
    <xf numFmtId="175" fontId="47" fillId="2" borderId="1" xfId="24" applyNumberFormat="1" applyFont="1" applyFill="1" applyBorder="1"/>
    <xf numFmtId="175" fontId="47" fillId="2" borderId="0" xfId="24" applyNumberFormat="1" applyFont="1" applyFill="1" applyBorder="1"/>
    <xf numFmtId="175" fontId="47" fillId="0" borderId="0" xfId="24" applyNumberFormat="1" applyFont="1"/>
    <xf numFmtId="175" fontId="47" fillId="2" borderId="15" xfId="24" applyNumberFormat="1" applyFont="1" applyFill="1" applyBorder="1"/>
    <xf numFmtId="8" fontId="15" fillId="0" borderId="0" xfId="6" applyNumberFormat="1" applyFont="1" applyFill="1" applyAlignment="1">
      <alignment horizontal="right"/>
    </xf>
    <xf numFmtId="168" fontId="47" fillId="0" borderId="0" xfId="24" applyNumberFormat="1" applyFont="1" applyFill="1" applyBorder="1"/>
    <xf numFmtId="167" fontId="2" fillId="0" borderId="0" xfId="24" applyNumberFormat="1" applyFont="1" applyFill="1" applyBorder="1"/>
    <xf numFmtId="167" fontId="2" fillId="2" borderId="0" xfId="6" applyNumberFormat="1" applyFont="1" applyFill="1" applyBorder="1"/>
    <xf numFmtId="176" fontId="47" fillId="0" borderId="0" xfId="6" applyNumberFormat="1" applyFont="1"/>
    <xf numFmtId="176" fontId="47" fillId="2" borderId="1" xfId="6" applyNumberFormat="1" applyFont="1" applyFill="1" applyBorder="1"/>
    <xf numFmtId="176" fontId="47" fillId="2" borderId="0" xfId="6" applyNumberFormat="1" applyFont="1" applyFill="1"/>
    <xf numFmtId="176" fontId="47" fillId="2" borderId="15" xfId="6" applyNumberFormat="1" applyFont="1" applyFill="1" applyBorder="1"/>
    <xf numFmtId="4" fontId="47" fillId="0" borderId="0" xfId="6" applyNumberFormat="1" applyFont="1"/>
    <xf numFmtId="4" fontId="47" fillId="2" borderId="1" xfId="6" applyNumberFormat="1" applyFont="1" applyFill="1" applyBorder="1"/>
    <xf numFmtId="4" fontId="47" fillId="2" borderId="0" xfId="6" applyNumberFormat="1" applyFont="1" applyFill="1"/>
    <xf numFmtId="4" fontId="47" fillId="2" borderId="15" xfId="6" applyNumberFormat="1" applyFont="1" applyFill="1" applyBorder="1"/>
    <xf numFmtId="167" fontId="26" fillId="0" borderId="0" xfId="6" applyNumberFormat="1" applyFont="1"/>
    <xf numFmtId="168" fontId="2" fillId="0" borderId="0" xfId="24" applyNumberFormat="1" applyFont="1" applyFill="1"/>
    <xf numFmtId="4" fontId="17" fillId="0" borderId="0" xfId="6" applyNumberFormat="1" applyFont="1" applyFill="1"/>
    <xf numFmtId="0" fontId="0" fillId="0" borderId="0" xfId="0" applyBorder="1"/>
    <xf numFmtId="181" fontId="3" fillId="0" borderId="0" xfId="6" applyNumberFormat="1" applyFont="1" applyFill="1" applyBorder="1" applyAlignment="1">
      <alignment horizontal="center"/>
    </xf>
    <xf numFmtId="38" fontId="17" fillId="0" borderId="0" xfId="26" applyFont="1" applyBorder="1"/>
    <xf numFmtId="167" fontId="2" fillId="0" borderId="0" xfId="45" applyNumberFormat="1" applyFont="1" applyFill="1" applyBorder="1"/>
    <xf numFmtId="167" fontId="2" fillId="2" borderId="1" xfId="45" applyNumberFormat="1" applyFont="1" applyFill="1" applyBorder="1"/>
    <xf numFmtId="167" fontId="2" fillId="2" borderId="0" xfId="45" applyNumberFormat="1" applyFont="1" applyFill="1" applyBorder="1"/>
    <xf numFmtId="167" fontId="2" fillId="2" borderId="15" xfId="45" applyNumberFormat="1" applyFont="1" applyFill="1" applyBorder="1"/>
    <xf numFmtId="37" fontId="0" fillId="0" borderId="0" xfId="0" applyNumberFormat="1"/>
    <xf numFmtId="37" fontId="0" fillId="0" borderId="0" xfId="24" applyNumberFormat="1" applyFont="1" applyBorder="1"/>
    <xf numFmtId="37" fontId="0" fillId="0" borderId="0" xfId="24" applyNumberFormat="1" applyFont="1"/>
    <xf numFmtId="37" fontId="17" fillId="0" borderId="0" xfId="24" applyNumberFormat="1" applyFont="1" applyBorder="1"/>
    <xf numFmtId="8" fontId="2" fillId="2" borderId="1" xfId="6" applyNumberFormat="1" applyFont="1" applyFill="1" applyBorder="1"/>
    <xf numFmtId="0" fontId="2" fillId="0" borderId="0" xfId="6" applyFont="1"/>
    <xf numFmtId="168" fontId="2" fillId="2" borderId="15" xfId="6" applyNumberFormat="1" applyFont="1" applyFill="1" applyBorder="1"/>
    <xf numFmtId="10" fontId="1" fillId="0" borderId="0" xfId="24" applyNumberFormat="1" applyFont="1" applyBorder="1"/>
    <xf numFmtId="167" fontId="2" fillId="2" borderId="0" xfId="45" applyNumberFormat="1" applyFont="1" applyFill="1"/>
    <xf numFmtId="9" fontId="2" fillId="2" borderId="1" xfId="24" applyNumberFormat="1" applyFont="1" applyFill="1" applyBorder="1"/>
    <xf numFmtId="8" fontId="2" fillId="2" borderId="0" xfId="6" applyNumberFormat="1" applyFont="1" applyFill="1" applyBorder="1"/>
    <xf numFmtId="8" fontId="2" fillId="2" borderId="15" xfId="6" applyNumberFormat="1" applyFont="1" applyFill="1" applyBorder="1"/>
    <xf numFmtId="4" fontId="2" fillId="0" borderId="0" xfId="6" applyNumberFormat="1" applyFont="1"/>
    <xf numFmtId="8" fontId="2" fillId="0" borderId="0" xfId="6" applyNumberFormat="1" applyFont="1"/>
    <xf numFmtId="4" fontId="2" fillId="2" borderId="15" xfId="6" applyNumberFormat="1" applyFont="1" applyFill="1" applyBorder="1"/>
    <xf numFmtId="9" fontId="2" fillId="2" borderId="15" xfId="24" applyNumberFormat="1" applyFont="1" applyFill="1" applyBorder="1"/>
    <xf numFmtId="9" fontId="2" fillId="0" borderId="0" xfId="6" applyNumberFormat="1" applyFont="1"/>
    <xf numFmtId="9" fontId="1" fillId="2" borderId="1" xfId="24" applyNumberFormat="1" applyFont="1" applyFill="1" applyBorder="1"/>
    <xf numFmtId="9" fontId="1" fillId="2" borderId="0" xfId="24" applyNumberFormat="1" applyFont="1" applyFill="1" applyBorder="1"/>
    <xf numFmtId="9" fontId="1" fillId="2" borderId="15" xfId="24" applyNumberFormat="1" applyFont="1" applyFill="1" applyBorder="1"/>
    <xf numFmtId="8" fontId="2" fillId="2" borderId="0" xfId="6" applyNumberFormat="1" applyFont="1" applyFill="1"/>
    <xf numFmtId="6" fontId="2" fillId="2" borderId="1" xfId="29" applyNumberFormat="1" applyFont="1" applyFill="1" applyBorder="1"/>
    <xf numFmtId="168" fontId="2" fillId="2" borderId="1" xfId="6" applyNumberFormat="1" applyFont="1" applyFill="1" applyBorder="1"/>
    <xf numFmtId="168" fontId="2" fillId="2" borderId="0" xfId="6" applyNumberFormat="1" applyFont="1" applyFill="1"/>
    <xf numFmtId="168" fontId="61" fillId="2" borderId="1" xfId="24" applyNumberFormat="1" applyFont="1" applyFill="1" applyBorder="1"/>
    <xf numFmtId="168" fontId="61" fillId="2" borderId="0" xfId="24" applyNumberFormat="1" applyFont="1" applyFill="1"/>
    <xf numFmtId="168" fontId="61" fillId="0" borderId="0" xfId="24" applyNumberFormat="1" applyFont="1" applyFill="1"/>
    <xf numFmtId="168" fontId="85" fillId="2" borderId="15" xfId="24" applyNumberFormat="1" applyFont="1" applyFill="1" applyBorder="1"/>
    <xf numFmtId="168" fontId="85" fillId="0" borderId="0" xfId="24" applyNumberFormat="1" applyFont="1"/>
    <xf numFmtId="168" fontId="85" fillId="2" borderId="1" xfId="24" applyNumberFormat="1" applyFont="1" applyFill="1" applyBorder="1"/>
    <xf numFmtId="168" fontId="85" fillId="2" borderId="0" xfId="24" applyNumberFormat="1" applyFont="1" applyFill="1"/>
    <xf numFmtId="0" fontId="85" fillId="0" borderId="0" xfId="6" applyFont="1" applyFill="1"/>
    <xf numFmtId="0" fontId="85" fillId="0" borderId="0" xfId="6" applyFont="1"/>
    <xf numFmtId="0" fontId="0" fillId="0" borderId="0" xfId="0" applyFill="1"/>
    <xf numFmtId="9" fontId="18" fillId="2" borderId="15" xfId="6" applyNumberFormat="1" applyFont="1" applyFill="1" applyBorder="1" applyAlignment="1">
      <alignment horizontal="right"/>
    </xf>
    <xf numFmtId="9" fontId="18" fillId="0" borderId="0" xfId="6" applyNumberFormat="1" applyFont="1" applyAlignment="1">
      <alignment horizontal="right"/>
    </xf>
    <xf numFmtId="9" fontId="18" fillId="2" borderId="1" xfId="6" applyNumberFormat="1" applyFont="1" applyFill="1" applyBorder="1" applyAlignment="1">
      <alignment horizontal="right"/>
    </xf>
    <xf numFmtId="9" fontId="18" fillId="2" borderId="0" xfId="6" applyNumberFormat="1" applyFont="1" applyFill="1" applyAlignment="1">
      <alignment horizontal="right"/>
    </xf>
    <xf numFmtId="168" fontId="95" fillId="2" borderId="15" xfId="24" applyNumberFormat="1" applyFont="1" applyFill="1" applyBorder="1"/>
    <xf numFmtId="168" fontId="95" fillId="2" borderId="1" xfId="24" applyNumberFormat="1" applyFont="1" applyFill="1" applyBorder="1"/>
    <xf numFmtId="168" fontId="95" fillId="2" borderId="0" xfId="24" applyNumberFormat="1" applyFont="1" applyFill="1"/>
    <xf numFmtId="0" fontId="9" fillId="0" borderId="0" xfId="6" applyNumberFormat="1" applyFont="1" applyBorder="1" applyAlignment="1">
      <alignment horizontal="right"/>
    </xf>
    <xf numFmtId="0" fontId="9" fillId="0" borderId="0" xfId="6" applyNumberFormat="1" applyFont="1" applyFill="1" applyBorder="1" applyAlignment="1">
      <alignment horizontal="right"/>
    </xf>
    <xf numFmtId="1" fontId="3" fillId="0" borderId="2" xfId="6" applyNumberFormat="1" applyFont="1" applyFill="1" applyBorder="1" applyAlignment="1">
      <alignment horizontal="center"/>
    </xf>
    <xf numFmtId="167" fontId="3" fillId="0" borderId="2" xfId="6" applyNumberFormat="1" applyFont="1" applyFill="1" applyBorder="1" applyAlignment="1">
      <alignment horizontal="center"/>
    </xf>
    <xf numFmtId="181" fontId="3" fillId="0" borderId="2" xfId="6" applyNumberFormat="1" applyFont="1" applyFill="1" applyBorder="1" applyAlignment="1">
      <alignment horizontal="center"/>
    </xf>
    <xf numFmtId="1" fontId="17" fillId="0" borderId="0" xfId="6" applyNumberFormat="1" applyFont="1" applyFill="1" applyAlignment="1">
      <alignment horizontal="center"/>
    </xf>
    <xf numFmtId="167" fontId="17" fillId="0" borderId="0" xfId="6" applyNumberFormat="1" applyFont="1" applyFill="1" applyAlignment="1">
      <alignment horizontal="center"/>
    </xf>
    <xf numFmtId="168" fontId="3" fillId="0" borderId="30" xfId="24" applyNumberFormat="1" applyFont="1" applyFill="1" applyBorder="1" applyAlignment="1">
      <alignment horizontal="center"/>
    </xf>
    <xf numFmtId="1" fontId="3" fillId="0" borderId="3" xfId="6" applyNumberFormat="1" applyFont="1" applyFill="1" applyBorder="1" applyAlignment="1">
      <alignment horizontal="center"/>
    </xf>
    <xf numFmtId="167" fontId="3" fillId="0" borderId="3" xfId="6" applyNumberFormat="1" applyFont="1" applyFill="1" applyBorder="1" applyAlignment="1">
      <alignment horizontal="center"/>
    </xf>
    <xf numFmtId="38" fontId="22" fillId="0" borderId="0" xfId="26" applyFont="1" applyFill="1" applyBorder="1" applyAlignment="1">
      <alignment horizontal="center"/>
    </xf>
    <xf numFmtId="181" fontId="22" fillId="0" borderId="0" xfId="26" applyNumberFormat="1" applyFont="1" applyFill="1" applyAlignment="1">
      <alignment horizontal="center"/>
    </xf>
    <xf numFmtId="1" fontId="34" fillId="0" borderId="0" xfId="6" applyNumberFormat="1" applyFont="1" applyFill="1" applyAlignment="1">
      <alignment horizontal="center"/>
    </xf>
    <xf numFmtId="1" fontId="26" fillId="0" borderId="3" xfId="6" applyNumberFormat="1" applyFont="1" applyFill="1" applyBorder="1" applyAlignment="1">
      <alignment horizontal="center"/>
    </xf>
    <xf numFmtId="0" fontId="26" fillId="0" borderId="0" xfId="6" applyFont="1" applyFill="1" applyAlignment="1">
      <alignment horizontal="center"/>
    </xf>
    <xf numFmtId="167" fontId="22" fillId="0" borderId="0" xfId="26" applyNumberFormat="1" applyFont="1" applyFill="1" applyAlignment="1">
      <alignment horizontal="center"/>
    </xf>
    <xf numFmtId="37" fontId="26" fillId="0" borderId="0" xfId="26" applyNumberFormat="1" applyFont="1" applyFill="1" applyBorder="1" applyAlignment="1">
      <alignment horizontal="center"/>
    </xf>
    <xf numFmtId="167" fontId="26" fillId="0" borderId="0" xfId="24" applyNumberFormat="1" applyFont="1" applyFill="1" applyAlignment="1">
      <alignment horizontal="center"/>
    </xf>
    <xf numFmtId="38" fontId="54" fillId="0" borderId="0" xfId="26" applyFont="1" applyFill="1" applyBorder="1" applyAlignment="1">
      <alignment horizontal="center"/>
    </xf>
    <xf numFmtId="167" fontId="15" fillId="0" borderId="2" xfId="45" applyNumberFormat="1" applyFont="1" applyFill="1" applyBorder="1" applyAlignment="1">
      <alignment horizontal="center"/>
    </xf>
    <xf numFmtId="1" fontId="26" fillId="0" borderId="2" xfId="6" applyNumberFormat="1" applyFont="1" applyFill="1" applyBorder="1" applyAlignment="1">
      <alignment horizontal="center"/>
    </xf>
    <xf numFmtId="167" fontId="38" fillId="0" borderId="2" xfId="6" applyNumberFormat="1" applyFont="1" applyFill="1" applyBorder="1" applyAlignment="1">
      <alignment horizontal="center"/>
    </xf>
    <xf numFmtId="1" fontId="54" fillId="0" borderId="0" xfId="26" applyNumberFormat="1" applyFont="1" applyFill="1" applyAlignment="1">
      <alignment horizontal="center"/>
    </xf>
    <xf numFmtId="1" fontId="55" fillId="0" borderId="0" xfId="26" applyNumberFormat="1" applyFont="1" applyFill="1" applyAlignment="1">
      <alignment horizontal="center"/>
    </xf>
    <xf numFmtId="167" fontId="35" fillId="0" borderId="0" xfId="26" applyNumberFormat="1" applyFont="1" applyFill="1" applyAlignment="1">
      <alignment horizontal="center"/>
    </xf>
    <xf numFmtId="181" fontId="35" fillId="0" borderId="0" xfId="26" applyNumberFormat="1" applyFont="1" applyFill="1" applyAlignment="1">
      <alignment horizontal="center"/>
    </xf>
    <xf numFmtId="1" fontId="26" fillId="0" borderId="0" xfId="6" applyNumberFormat="1" applyFont="1" applyFill="1" applyBorder="1" applyAlignment="1">
      <alignment horizontal="center"/>
    </xf>
    <xf numFmtId="167" fontId="3" fillId="0" borderId="0" xfId="6" applyNumberFormat="1" applyFont="1" applyFill="1" applyBorder="1" applyAlignment="1">
      <alignment horizontal="center"/>
    </xf>
    <xf numFmtId="1" fontId="34" fillId="0" borderId="0" xfId="26" applyNumberFormat="1" applyFont="1" applyFill="1" applyBorder="1" applyAlignment="1">
      <alignment horizontal="center"/>
    </xf>
    <xf numFmtId="167" fontId="17" fillId="0" borderId="0" xfId="26" applyNumberFormat="1" applyFont="1" applyFill="1" applyBorder="1" applyAlignment="1">
      <alignment horizontal="center"/>
    </xf>
    <xf numFmtId="181" fontId="17" fillId="0" borderId="0" xfId="26" applyNumberFormat="1" applyFont="1" applyFill="1" applyBorder="1" applyAlignment="1">
      <alignment horizontal="center"/>
    </xf>
    <xf numFmtId="38" fontId="3" fillId="0" borderId="5" xfId="26" applyFont="1" applyBorder="1"/>
    <xf numFmtId="167" fontId="3" fillId="0" borderId="25" xfId="6" applyNumberFormat="1" applyFont="1" applyBorder="1"/>
    <xf numFmtId="167" fontId="17" fillId="0" borderId="0" xfId="6" applyNumberFormat="1" applyFont="1"/>
    <xf numFmtId="37" fontId="96" fillId="0" borderId="0" xfId="24" applyNumberFormat="1" applyFont="1"/>
    <xf numFmtId="167" fontId="96" fillId="0" borderId="0" xfId="6" applyNumberFormat="1" applyFont="1"/>
    <xf numFmtId="9" fontId="96" fillId="0" borderId="0" xfId="6" applyNumberFormat="1" applyFont="1"/>
    <xf numFmtId="37" fontId="96" fillId="0" borderId="0" xfId="24" applyNumberFormat="1" applyFont="1" applyBorder="1"/>
    <xf numFmtId="168" fontId="96" fillId="0" borderId="0" xfId="24" applyNumberFormat="1" applyFont="1"/>
    <xf numFmtId="37" fontId="0" fillId="0" borderId="0" xfId="24" applyNumberFormat="1" applyFont="1" applyFill="1" applyBorder="1"/>
    <xf numFmtId="168" fontId="97" fillId="0" borderId="0" xfId="24" applyNumberFormat="1" applyFont="1"/>
    <xf numFmtId="168" fontId="98" fillId="0" borderId="0" xfId="24" applyNumberFormat="1" applyFont="1"/>
    <xf numFmtId="0" fontId="98" fillId="0" borderId="0" xfId="0" applyFont="1"/>
    <xf numFmtId="37" fontId="17" fillId="0" borderId="0" xfId="24" applyNumberFormat="1" applyFont="1" applyFill="1" applyBorder="1"/>
    <xf numFmtId="168" fontId="15" fillId="0" borderId="0" xfId="24" applyNumberFormat="1" applyFont="1" applyFill="1"/>
    <xf numFmtId="9" fontId="15" fillId="0" borderId="0" xfId="6" applyNumberFormat="1" applyFont="1" applyFill="1"/>
    <xf numFmtId="3" fontId="101" fillId="0" borderId="0" xfId="6" applyNumberFormat="1" applyFont="1"/>
    <xf numFmtId="3" fontId="101" fillId="2" borderId="1" xfId="6" applyNumberFormat="1" applyFont="1" applyFill="1" applyBorder="1"/>
    <xf numFmtId="3" fontId="101" fillId="2" borderId="0" xfId="6" applyNumberFormat="1" applyFont="1" applyFill="1"/>
    <xf numFmtId="3" fontId="101" fillId="2" borderId="15" xfId="6" applyNumberFormat="1" applyFont="1" applyFill="1" applyBorder="1"/>
    <xf numFmtId="37" fontId="102" fillId="0" borderId="0" xfId="24" applyNumberFormat="1" applyFont="1" applyBorder="1"/>
    <xf numFmtId="0" fontId="102" fillId="0" borderId="0" xfId="0" applyFont="1"/>
    <xf numFmtId="176" fontId="2" fillId="0" borderId="1" xfId="26" applyNumberFormat="1" applyFont="1" applyBorder="1" applyAlignment="1">
      <alignment horizontal="left"/>
    </xf>
    <xf numFmtId="176" fontId="2" fillId="0" borderId="0" xfId="24" applyNumberFormat="1" applyFont="1"/>
    <xf numFmtId="176" fontId="2" fillId="2" borderId="1" xfId="24" applyNumberFormat="1" applyFont="1" applyFill="1" applyBorder="1"/>
    <xf numFmtId="176" fontId="2" fillId="2" borderId="0" xfId="24" applyNumberFormat="1" applyFont="1" applyFill="1"/>
    <xf numFmtId="176" fontId="2" fillId="2" borderId="15" xfId="24" applyNumberFormat="1" applyFont="1" applyFill="1" applyBorder="1"/>
    <xf numFmtId="37" fontId="26" fillId="0" borderId="0" xfId="24" applyNumberFormat="1" applyFont="1"/>
    <xf numFmtId="0" fontId="0" fillId="0" borderId="1" xfId="0" applyBorder="1"/>
    <xf numFmtId="168" fontId="103" fillId="2" borderId="15" xfId="24" applyNumberFormat="1" applyFont="1" applyFill="1" applyBorder="1"/>
    <xf numFmtId="176" fontId="103" fillId="2" borderId="15" xfId="24" applyNumberFormat="1" applyFont="1" applyFill="1" applyBorder="1"/>
    <xf numFmtId="6" fontId="15" fillId="0" borderId="53" xfId="6" applyNumberFormat="1" applyFont="1" applyFill="1" applyBorder="1" applyAlignment="1">
      <alignment horizontal="center"/>
    </xf>
    <xf numFmtId="0" fontId="2" fillId="0" borderId="0" xfId="41"/>
    <xf numFmtId="0" fontId="104" fillId="0" borderId="0" xfId="41" applyFont="1"/>
    <xf numFmtId="0" fontId="2" fillId="0" borderId="0" xfId="41" applyFont="1" applyAlignment="1">
      <alignment horizontal="right"/>
    </xf>
    <xf numFmtId="6" fontId="2" fillId="0" borderId="0" xfId="41" applyNumberFormat="1"/>
    <xf numFmtId="0" fontId="103" fillId="0" borderId="0" xfId="41" applyFont="1"/>
    <xf numFmtId="0" fontId="2" fillId="2" borderId="0" xfId="41" applyFill="1"/>
    <xf numFmtId="8" fontId="2" fillId="2" borderId="0" xfId="41" applyNumberFormat="1" applyFill="1"/>
    <xf numFmtId="0" fontId="2" fillId="0" borderId="0" xfId="41" applyFont="1" applyFill="1" applyAlignment="1">
      <alignment horizontal="left"/>
    </xf>
    <xf numFmtId="9" fontId="88" fillId="0" borderId="0" xfId="46" applyFont="1"/>
    <xf numFmtId="168" fontId="105" fillId="0" borderId="0" xfId="28" applyNumberFormat="1" applyFont="1"/>
    <xf numFmtId="0" fontId="2" fillId="0" borderId="0" xfId="41" applyFont="1"/>
    <xf numFmtId="44" fontId="88" fillId="0" borderId="0" xfId="31" applyFont="1"/>
    <xf numFmtId="168" fontId="2" fillId="0" borderId="0" xfId="28" applyNumberFormat="1" applyFont="1"/>
    <xf numFmtId="44" fontId="88" fillId="4" borderId="0" xfId="31" applyFont="1" applyFill="1"/>
    <xf numFmtId="168" fontId="11" fillId="0" borderId="0" xfId="40" applyNumberFormat="1" applyFont="1"/>
    <xf numFmtId="0" fontId="2" fillId="0" borderId="0" xfId="0" applyFont="1" applyFill="1"/>
    <xf numFmtId="38" fontId="59" fillId="0" borderId="1" xfId="26" applyNumberFormat="1" applyFont="1" applyBorder="1"/>
    <xf numFmtId="0" fontId="0" fillId="0" borderId="0" xfId="0" applyFill="1" applyBorder="1"/>
    <xf numFmtId="0" fontId="0" fillId="2" borderId="1" xfId="0" applyFill="1" applyBorder="1"/>
    <xf numFmtId="0" fontId="0" fillId="2" borderId="0" xfId="0" applyFill="1" applyBorder="1"/>
    <xf numFmtId="0" fontId="88" fillId="0" borderId="0" xfId="0" applyFont="1" applyFill="1" applyBorder="1"/>
    <xf numFmtId="0" fontId="0" fillId="2" borderId="15" xfId="0" applyFill="1" applyBorder="1"/>
    <xf numFmtId="0" fontId="2" fillId="0" borderId="0" xfId="0" applyFont="1" applyFill="1" applyBorder="1"/>
    <xf numFmtId="7" fontId="0" fillId="2" borderId="1" xfId="0" applyNumberFormat="1" applyFill="1" applyBorder="1"/>
    <xf numFmtId="7" fontId="0" fillId="2" borderId="0" xfId="0" applyNumberFormat="1" applyFill="1" applyBorder="1"/>
    <xf numFmtId="7" fontId="0" fillId="2" borderId="15" xfId="0" applyNumberFormat="1" applyFill="1" applyBorder="1"/>
    <xf numFmtId="5" fontId="0" fillId="0" borderId="0" xfId="0" applyNumberFormat="1" applyFill="1" applyBorder="1"/>
    <xf numFmtId="5" fontId="0" fillId="2" borderId="1" xfId="0" applyNumberFormat="1" applyFill="1" applyBorder="1"/>
    <xf numFmtId="5" fontId="0" fillId="2" borderId="0" xfId="0" applyNumberFormat="1" applyFill="1" applyBorder="1"/>
    <xf numFmtId="5" fontId="0" fillId="2" borderId="15" xfId="0" applyNumberFormat="1" applyFill="1" applyBorder="1"/>
    <xf numFmtId="6" fontId="2" fillId="2" borderId="1" xfId="31" applyNumberFormat="1" applyFill="1" applyBorder="1"/>
    <xf numFmtId="6" fontId="2" fillId="2" borderId="0" xfId="31" applyNumberFormat="1" applyFill="1" applyBorder="1"/>
    <xf numFmtId="6" fontId="2" fillId="2" borderId="15" xfId="31" applyNumberFormat="1" applyFill="1" applyBorder="1"/>
    <xf numFmtId="0" fontId="2" fillId="0" borderId="1" xfId="0" applyFont="1" applyFill="1" applyBorder="1"/>
    <xf numFmtId="0" fontId="103" fillId="0" borderId="6" xfId="0" applyFont="1" applyFill="1" applyBorder="1"/>
    <xf numFmtId="171" fontId="2" fillId="0" borderId="1" xfId="26" applyNumberFormat="1" applyFont="1" applyBorder="1" applyAlignment="1">
      <alignment horizontal="left"/>
    </xf>
    <xf numFmtId="176" fontId="106" fillId="0" borderId="0" xfId="24" applyNumberFormat="1" applyFont="1"/>
    <xf numFmtId="9" fontId="103" fillId="2" borderId="1" xfId="24" applyNumberFormat="1" applyFont="1" applyFill="1" applyBorder="1"/>
    <xf numFmtId="9" fontId="103" fillId="2" borderId="0" xfId="24" applyNumberFormat="1" applyFont="1" applyFill="1"/>
    <xf numFmtId="9" fontId="103" fillId="2" borderId="15" xfId="24" applyNumberFormat="1" applyFont="1" applyFill="1" applyBorder="1"/>
    <xf numFmtId="176" fontId="103" fillId="2" borderId="0" xfId="24" applyNumberFormat="1" applyFont="1" applyFill="1"/>
    <xf numFmtId="4" fontId="2" fillId="0" borderId="0" xfId="33" applyNumberFormat="1" applyFont="1" applyFill="1" applyBorder="1" applyAlignment="1">
      <alignment horizontal="right"/>
    </xf>
    <xf numFmtId="0" fontId="2" fillId="0" borderId="0" xfId="33" applyFont="1" applyFill="1" applyBorder="1" applyAlignment="1">
      <alignment horizontal="centerContinuous"/>
    </xf>
    <xf numFmtId="4" fontId="2" fillId="0" borderId="0" xfId="33" applyNumberFormat="1" applyFont="1" applyBorder="1" applyAlignment="1">
      <alignment horizontal="right"/>
    </xf>
    <xf numFmtId="9" fontId="2" fillId="0" borderId="0" xfId="33" applyNumberFormat="1" applyFont="1" applyBorder="1" applyAlignment="1">
      <alignment horizontal="right"/>
    </xf>
    <xf numFmtId="4" fontId="2" fillId="0" borderId="0" xfId="33" applyNumberFormat="1" applyFont="1" applyFill="1" applyBorder="1" applyAlignment="1">
      <alignment horizontal="centerContinuous"/>
    </xf>
    <xf numFmtId="0" fontId="2" fillId="0" borderId="0" xfId="7" applyFont="1" applyFill="1" applyBorder="1" applyAlignment="1">
      <alignment horizontal="centerContinuous"/>
    </xf>
    <xf numFmtId="3" fontId="2" fillId="0" borderId="0" xfId="33" applyNumberFormat="1" applyFont="1" applyFill="1" applyBorder="1" applyAlignment="1">
      <alignment horizontal="right"/>
    </xf>
    <xf numFmtId="168" fontId="96" fillId="0" borderId="0" xfId="24" applyNumberFormat="1" applyFont="1" applyFill="1"/>
    <xf numFmtId="167" fontId="2" fillId="2" borderId="25" xfId="6" applyNumberFormat="1" applyFont="1" applyFill="1" applyBorder="1"/>
    <xf numFmtId="167" fontId="2" fillId="0" borderId="11" xfId="6" applyNumberFormat="1" applyFont="1" applyBorder="1"/>
    <xf numFmtId="167" fontId="2" fillId="0" borderId="0" xfId="6" applyNumberFormat="1" applyFont="1" applyBorder="1"/>
    <xf numFmtId="167" fontId="2" fillId="2" borderId="27" xfId="6" applyNumberFormat="1" applyFont="1" applyFill="1" applyBorder="1"/>
    <xf numFmtId="167" fontId="2" fillId="0" borderId="2" xfId="6" applyNumberFormat="1" applyFont="1" applyBorder="1"/>
    <xf numFmtId="168" fontId="26" fillId="0" borderId="0" xfId="28" applyNumberFormat="1" applyFont="1"/>
    <xf numFmtId="168" fontId="17" fillId="0" borderId="0" xfId="28" applyNumberFormat="1" applyFont="1"/>
    <xf numFmtId="168" fontId="0" fillId="0" borderId="0" xfId="28" applyNumberFormat="1" applyFont="1"/>
    <xf numFmtId="37" fontId="2" fillId="0" borderId="0" xfId="24" applyNumberFormat="1" applyFont="1" applyBorder="1"/>
    <xf numFmtId="37" fontId="26" fillId="0" borderId="0" xfId="24" applyNumberFormat="1" applyFont="1" applyAlignment="1">
      <alignment horizontal="right"/>
    </xf>
    <xf numFmtId="176" fontId="15" fillId="0" borderId="0" xfId="28" applyNumberFormat="1" applyFont="1"/>
    <xf numFmtId="176" fontId="2" fillId="0" borderId="0" xfId="28" applyNumberFormat="1" applyFont="1"/>
    <xf numFmtId="0" fontId="9" fillId="2" borderId="54" xfId="40" applyFont="1" applyFill="1" applyBorder="1" applyAlignment="1">
      <alignment horizontal="centerContinuous"/>
    </xf>
    <xf numFmtId="5" fontId="2" fillId="0" borderId="0" xfId="24" applyNumberFormat="1" applyFont="1" applyFill="1" applyBorder="1"/>
    <xf numFmtId="175" fontId="2" fillId="2" borderId="1" xfId="24" applyNumberFormat="1" applyFont="1" applyFill="1" applyBorder="1"/>
    <xf numFmtId="175" fontId="2" fillId="2" borderId="0" xfId="24" applyNumberFormat="1" applyFont="1" applyFill="1"/>
    <xf numFmtId="175" fontId="2" fillId="2" borderId="15" xfId="24" applyNumberFormat="1" applyFont="1" applyFill="1" applyBorder="1"/>
    <xf numFmtId="167" fontId="15" fillId="0" borderId="0" xfId="6" applyNumberFormat="1" applyFont="1" applyFill="1"/>
    <xf numFmtId="167" fontId="2" fillId="0" borderId="0" xfId="6" applyNumberFormat="1" applyFont="1" applyFill="1"/>
    <xf numFmtId="0" fontId="2" fillId="0" borderId="0" xfId="6" applyFont="1" applyFill="1" applyAlignment="1">
      <alignment horizontal="left"/>
    </xf>
    <xf numFmtId="0" fontId="2" fillId="0" borderId="0" xfId="34" applyNumberFormat="1" applyFont="1" applyFill="1" applyBorder="1" applyAlignment="1">
      <alignment horizontal="left"/>
    </xf>
    <xf numFmtId="0" fontId="2" fillId="0" borderId="0" xfId="6" applyFont="1" applyFill="1"/>
    <xf numFmtId="38" fontId="3" fillId="0" borderId="0" xfId="26" applyFont="1" applyFill="1" applyBorder="1"/>
    <xf numFmtId="8" fontId="57" fillId="0" borderId="0" xfId="6" applyNumberFormat="1" applyFont="1" applyFill="1" applyAlignment="1">
      <alignment horizontal="right"/>
    </xf>
    <xf numFmtId="0" fontId="57" fillId="0" borderId="0" xfId="6" applyFont="1" applyFill="1" applyAlignment="1">
      <alignment horizontal="right"/>
    </xf>
    <xf numFmtId="7" fontId="57" fillId="0" borderId="0" xfId="6" applyNumberFormat="1" applyFont="1" applyFill="1" applyAlignment="1">
      <alignment horizontal="right"/>
    </xf>
    <xf numFmtId="166" fontId="103" fillId="0" borderId="0" xfId="6" applyNumberFormat="1" applyFont="1" applyAlignment="1">
      <alignment horizontal="right"/>
    </xf>
    <xf numFmtId="167" fontId="103" fillId="0" borderId="0" xfId="6" applyNumberFormat="1" applyFont="1" applyAlignment="1">
      <alignment horizontal="right"/>
    </xf>
    <xf numFmtId="3" fontId="15" fillId="2" borderId="54" xfId="38" applyNumberFormat="1" applyFont="1" applyFill="1" applyBorder="1" applyAlignment="1">
      <alignment horizontal="right"/>
    </xf>
    <xf numFmtId="0" fontId="17" fillId="2" borderId="15" xfId="41" applyFont="1" applyFill="1" applyBorder="1" applyAlignment="1">
      <alignment horizontal="centerContinuous"/>
    </xf>
    <xf numFmtId="0" fontId="17" fillId="2" borderId="0" xfId="41" applyFont="1" applyFill="1" applyBorder="1" applyAlignment="1">
      <alignment horizontal="centerContinuous"/>
    </xf>
    <xf numFmtId="3" fontId="26" fillId="2" borderId="54" xfId="36" applyNumberFormat="1" applyFont="1" applyFill="1" applyBorder="1" applyAlignment="1">
      <alignment horizontal="right"/>
    </xf>
    <xf numFmtId="3" fontId="2" fillId="2" borderId="54" xfId="36" applyNumberFormat="1" applyFont="1" applyFill="1" applyBorder="1" applyAlignment="1">
      <alignment horizontal="right"/>
    </xf>
    <xf numFmtId="3" fontId="15" fillId="2" borderId="54" xfId="36" applyNumberFormat="1" applyFont="1" applyFill="1" applyBorder="1" applyAlignment="1">
      <alignment horizontal="right"/>
    </xf>
    <xf numFmtId="3" fontId="14" fillId="2" borderId="54" xfId="38" applyNumberFormat="1" applyFont="1" applyFill="1" applyBorder="1" applyAlignment="1">
      <alignment horizontal="right"/>
    </xf>
    <xf numFmtId="3" fontId="1" fillId="2" borderId="54" xfId="0" applyNumberFormat="1" applyFont="1" applyFill="1" applyBorder="1" applyAlignment="1">
      <alignment horizontal="right"/>
    </xf>
    <xf numFmtId="4" fontId="0" fillId="2" borderId="15" xfId="6" applyNumberFormat="1" applyFont="1" applyFill="1" applyBorder="1"/>
    <xf numFmtId="0" fontId="9" fillId="0" borderId="10" xfId="41" applyFont="1" applyFill="1" applyBorder="1"/>
    <xf numFmtId="0" fontId="93" fillId="0" borderId="10" xfId="41" applyFont="1" applyFill="1" applyBorder="1"/>
    <xf numFmtId="0" fontId="12" fillId="6" borderId="10" xfId="41" applyFont="1" applyFill="1" applyBorder="1"/>
    <xf numFmtId="0" fontId="2" fillId="0" borderId="10" xfId="41" applyFont="1" applyFill="1" applyBorder="1"/>
    <xf numFmtId="0" fontId="12" fillId="6" borderId="55" xfId="41" applyFont="1" applyFill="1" applyBorder="1"/>
    <xf numFmtId="0" fontId="9" fillId="0" borderId="10" xfId="41" applyFont="1" applyFill="1" applyBorder="1" applyAlignment="1">
      <alignment horizontal="left"/>
    </xf>
    <xf numFmtId="0" fontId="2" fillId="0" borderId="0" xfId="32"/>
    <xf numFmtId="4" fontId="0" fillId="0" borderId="0" xfId="0" applyNumberFormat="1"/>
    <xf numFmtId="37" fontId="2" fillId="0" borderId="0" xfId="24" applyNumberFormat="1" applyFont="1" applyFill="1" applyBorder="1" applyAlignment="1">
      <alignment horizontal="right"/>
    </xf>
    <xf numFmtId="0" fontId="0" fillId="0" borderId="0" xfId="0" applyFill="1" applyAlignment="1">
      <alignment horizontal="right"/>
    </xf>
    <xf numFmtId="0" fontId="0" fillId="0" borderId="0" xfId="0" applyAlignment="1">
      <alignment horizontal="right"/>
    </xf>
    <xf numFmtId="0" fontId="17" fillId="0" borderId="0" xfId="7" applyFont="1"/>
    <xf numFmtId="0" fontId="2" fillId="0" borderId="0" xfId="7" applyFont="1"/>
    <xf numFmtId="4" fontId="2" fillId="2" borderId="1" xfId="7" applyNumberFormat="1" applyFont="1" applyFill="1" applyBorder="1"/>
    <xf numFmtId="4" fontId="2" fillId="2" borderId="0" xfId="7" applyNumberFormat="1" applyFont="1" applyFill="1"/>
    <xf numFmtId="4" fontId="2" fillId="2" borderId="15" xfId="7" applyNumberFormat="1" applyFont="1" applyFill="1" applyBorder="1"/>
    <xf numFmtId="4" fontId="2" fillId="0" borderId="0" xfId="7" applyNumberFormat="1" applyFont="1"/>
    <xf numFmtId="8" fontId="15" fillId="2" borderId="15" xfId="7" applyNumberFormat="1" applyFont="1" applyFill="1" applyBorder="1"/>
    <xf numFmtId="8" fontId="2" fillId="0" borderId="0" xfId="7" applyNumberFormat="1" applyFont="1"/>
    <xf numFmtId="8" fontId="2" fillId="2" borderId="15" xfId="7" applyNumberFormat="1" applyFont="1" applyFill="1" applyBorder="1"/>
    <xf numFmtId="8" fontId="2" fillId="2" borderId="1" xfId="7" applyNumberFormat="1" applyFont="1" applyFill="1" applyBorder="1"/>
    <xf numFmtId="168" fontId="17" fillId="0" borderId="0" xfId="28" applyNumberFormat="1" applyFont="1" applyFill="1" applyBorder="1"/>
    <xf numFmtId="37" fontId="17" fillId="2" borderId="0" xfId="28" applyNumberFormat="1" applyFont="1" applyFill="1" applyBorder="1"/>
    <xf numFmtId="37" fontId="17" fillId="2" borderId="15" xfId="28" applyNumberFormat="1" applyFont="1" applyFill="1" applyBorder="1"/>
    <xf numFmtId="37" fontId="17" fillId="2" borderId="1" xfId="28" applyNumberFormat="1" applyFont="1" applyFill="1" applyBorder="1"/>
    <xf numFmtId="8" fontId="2" fillId="0" borderId="0" xfId="0" applyNumberFormat="1" applyFont="1" applyBorder="1"/>
    <xf numFmtId="8" fontId="2" fillId="0" borderId="0" xfId="28" applyNumberFormat="1" applyFont="1" applyFill="1" applyBorder="1"/>
    <xf numFmtId="0" fontId="17" fillId="0" borderId="0" xfId="0" applyFont="1" applyFill="1" applyBorder="1"/>
    <xf numFmtId="168" fontId="2" fillId="0" borderId="0" xfId="28" applyNumberFormat="1" applyFont="1" applyFill="1" applyBorder="1"/>
    <xf numFmtId="168" fontId="2" fillId="2" borderId="1" xfId="28" applyNumberFormat="1" applyFont="1" applyFill="1" applyBorder="1"/>
    <xf numFmtId="168" fontId="2" fillId="2" borderId="0" xfId="28" applyNumberFormat="1" applyFont="1" applyFill="1"/>
    <xf numFmtId="168" fontId="2" fillId="2" borderId="15" xfId="28" applyNumberFormat="1" applyFont="1" applyFill="1" applyBorder="1"/>
    <xf numFmtId="168" fontId="2" fillId="2" borderId="0" xfId="28" applyNumberFormat="1" applyFont="1" applyFill="1" applyBorder="1"/>
    <xf numFmtId="4" fontId="19" fillId="2" borderId="0" xfId="41" applyNumberFormat="1" applyFont="1" applyFill="1" applyBorder="1" applyAlignment="1">
      <alignment horizontal="right"/>
    </xf>
    <xf numFmtId="3" fontId="19" fillId="2" borderId="0" xfId="41" applyNumberFormat="1" applyFont="1" applyFill="1" applyBorder="1" applyAlignment="1">
      <alignment horizontal="right"/>
    </xf>
    <xf numFmtId="3" fontId="19" fillId="2" borderId="15" xfId="41" applyNumberFormat="1" applyFont="1" applyFill="1" applyBorder="1" applyAlignment="1">
      <alignment horizontal="right"/>
    </xf>
    <xf numFmtId="168" fontId="3" fillId="0" borderId="0" xfId="40" applyNumberFormat="1"/>
    <xf numFmtId="0" fontId="35" fillId="0" borderId="0" xfId="41" applyFont="1"/>
    <xf numFmtId="4" fontId="2" fillId="0" borderId="0" xfId="41" applyNumberFormat="1" applyFill="1"/>
    <xf numFmtId="9" fontId="2" fillId="0" borderId="0" xfId="46" applyFont="1"/>
    <xf numFmtId="7" fontId="103" fillId="0" borderId="0" xfId="24" applyNumberFormat="1" applyFont="1" applyFill="1" applyBorder="1"/>
    <xf numFmtId="8" fontId="15" fillId="0" borderId="0" xfId="7" applyNumberFormat="1" applyFont="1"/>
    <xf numFmtId="37" fontId="107" fillId="0" borderId="0" xfId="24" applyNumberFormat="1" applyFont="1" applyBorder="1"/>
    <xf numFmtId="176" fontId="103" fillId="2" borderId="1" xfId="28" applyNumberFormat="1" applyFont="1" applyFill="1" applyBorder="1"/>
    <xf numFmtId="176" fontId="2" fillId="2" borderId="0" xfId="28" applyNumberFormat="1" applyFont="1" applyFill="1"/>
    <xf numFmtId="8" fontId="106" fillId="2" borderId="15" xfId="6" applyNumberFormat="1" applyFont="1" applyFill="1" applyBorder="1"/>
    <xf numFmtId="167" fontId="103" fillId="2" borderId="15" xfId="6" applyNumberFormat="1" applyFont="1" applyFill="1" applyBorder="1"/>
    <xf numFmtId="168" fontId="103" fillId="2" borderId="1" xfId="24" applyNumberFormat="1" applyFont="1" applyFill="1" applyBorder="1"/>
    <xf numFmtId="164" fontId="8" fillId="6" borderId="0" xfId="7" applyNumberFormat="1" applyFont="1" applyFill="1" applyAlignment="1">
      <alignment horizontal="left"/>
    </xf>
    <xf numFmtId="168" fontId="103" fillId="2" borderId="0" xfId="24" applyNumberFormat="1" applyFont="1" applyFill="1" applyBorder="1"/>
    <xf numFmtId="168" fontId="106" fillId="0" borderId="0" xfId="24" applyNumberFormat="1" applyFont="1" applyFill="1" applyBorder="1"/>
    <xf numFmtId="176" fontId="103" fillId="2" borderId="15" xfId="28" applyNumberFormat="1" applyFont="1" applyFill="1" applyBorder="1"/>
    <xf numFmtId="167" fontId="103" fillId="0" borderId="0" xfId="6" applyNumberFormat="1" applyFont="1"/>
    <xf numFmtId="164" fontId="12" fillId="6" borderId="0" xfId="7" applyNumberFormat="1" applyFont="1" applyFill="1" applyAlignment="1">
      <alignment horizontal="left"/>
    </xf>
    <xf numFmtId="168" fontId="17" fillId="0" borderId="8" xfId="6" applyNumberFormat="1" applyFont="1" applyFill="1" applyBorder="1"/>
    <xf numFmtId="9" fontId="103" fillId="0" borderId="0" xfId="24" applyNumberFormat="1" applyFont="1"/>
    <xf numFmtId="167" fontId="103" fillId="2" borderId="0" xfId="24" applyNumberFormat="1" applyFont="1" applyFill="1"/>
    <xf numFmtId="167" fontId="103" fillId="2" borderId="15" xfId="24" applyNumberFormat="1" applyFont="1" applyFill="1" applyBorder="1"/>
    <xf numFmtId="167" fontId="103" fillId="0" borderId="0" xfId="24" applyNumberFormat="1" applyFont="1"/>
    <xf numFmtId="167" fontId="103" fillId="2" borderId="1" xfId="24" applyNumberFormat="1" applyFont="1" applyFill="1" applyBorder="1"/>
    <xf numFmtId="167" fontId="103" fillId="2" borderId="0" xfId="24" applyNumberFormat="1" applyFont="1" applyFill="1" applyBorder="1"/>
    <xf numFmtId="10" fontId="30" fillId="0" borderId="0" xfId="24" applyNumberFormat="1" applyFont="1"/>
    <xf numFmtId="168" fontId="17" fillId="2" borderId="15" xfId="28" applyNumberFormat="1" applyFont="1" applyFill="1" applyBorder="1"/>
    <xf numFmtId="168" fontId="2" fillId="0" borderId="0" xfId="28" applyNumberFormat="1" applyFont="1" applyBorder="1"/>
    <xf numFmtId="9" fontId="18" fillId="2" borderId="15" xfId="7" applyNumberFormat="1" applyFont="1" applyFill="1" applyBorder="1"/>
    <xf numFmtId="9" fontId="18" fillId="0" borderId="0" xfId="7" applyNumberFormat="1" applyFont="1"/>
    <xf numFmtId="176" fontId="2" fillId="2" borderId="15" xfId="7" applyNumberFormat="1" applyFont="1" applyFill="1" applyBorder="1"/>
    <xf numFmtId="176" fontId="2" fillId="0" borderId="0" xfId="7" applyNumberFormat="1" applyFont="1"/>
    <xf numFmtId="176" fontId="15" fillId="0" borderId="0" xfId="7" applyNumberFormat="1" applyFont="1"/>
    <xf numFmtId="37" fontId="26" fillId="0" borderId="0" xfId="28" applyNumberFormat="1" applyFont="1" applyBorder="1"/>
    <xf numFmtId="37" fontId="17" fillId="0" borderId="0" xfId="28" applyNumberFormat="1" applyFont="1" applyBorder="1"/>
    <xf numFmtId="37" fontId="0" fillId="0" borderId="0" xfId="28" applyNumberFormat="1" applyFont="1" applyBorder="1"/>
    <xf numFmtId="37" fontId="2" fillId="0" borderId="0" xfId="28" applyNumberFormat="1" applyFont="1" applyFill="1" applyBorder="1" applyAlignment="1">
      <alignment horizontal="right"/>
    </xf>
    <xf numFmtId="37" fontId="17" fillId="0" borderId="0" xfId="28" applyNumberFormat="1" applyFont="1" applyFill="1" applyBorder="1"/>
    <xf numFmtId="168" fontId="26" fillId="0" borderId="0" xfId="28" applyNumberFormat="1" applyFont="1" applyFill="1"/>
    <xf numFmtId="168" fontId="2" fillId="0" borderId="1" xfId="28" applyNumberFormat="1" applyFont="1" applyFill="1" applyBorder="1" applyAlignment="1">
      <alignment horizontal="center"/>
    </xf>
    <xf numFmtId="168" fontId="26" fillId="0" borderId="0" xfId="28" applyNumberFormat="1" applyFont="1" applyFill="1" applyAlignment="1">
      <alignment horizontal="center"/>
    </xf>
    <xf numFmtId="167" fontId="26" fillId="0" borderId="0" xfId="46" applyNumberFormat="1" applyFont="1" applyFill="1" applyAlignment="1">
      <alignment horizontal="center"/>
    </xf>
    <xf numFmtId="167" fontId="15" fillId="0" borderId="0" xfId="46" applyNumberFormat="1" applyFont="1" applyFill="1" applyAlignment="1">
      <alignment horizontal="center"/>
    </xf>
    <xf numFmtId="168" fontId="2" fillId="0" borderId="0" xfId="28" applyNumberFormat="1" applyFont="1" applyFill="1" applyBorder="1" applyAlignment="1">
      <alignment horizontal="center"/>
    </xf>
    <xf numFmtId="168" fontId="26" fillId="0" borderId="0" xfId="7" applyNumberFormat="1" applyFont="1" applyFill="1"/>
    <xf numFmtId="176" fontId="9" fillId="2" borderId="0" xfId="7" applyNumberFormat="1" applyFont="1" applyFill="1" applyAlignment="1">
      <alignment horizontal="right"/>
    </xf>
    <xf numFmtId="168" fontId="14" fillId="0" borderId="0" xfId="28" applyNumberFormat="1" applyFont="1"/>
    <xf numFmtId="168" fontId="26" fillId="0" borderId="0" xfId="28" applyNumberFormat="1" applyFont="1" applyBorder="1"/>
    <xf numFmtId="176" fontId="103" fillId="0" borderId="0" xfId="28" applyNumberFormat="1" applyFont="1"/>
    <xf numFmtId="176" fontId="106" fillId="0" borderId="0" xfId="28" applyNumberFormat="1" applyFont="1"/>
    <xf numFmtId="176" fontId="2" fillId="2" borderId="1" xfId="28" applyNumberFormat="1" applyFont="1" applyFill="1" applyBorder="1"/>
    <xf numFmtId="176" fontId="2" fillId="2" borderId="15" xfId="28" applyNumberFormat="1" applyFont="1" applyFill="1" applyBorder="1"/>
    <xf numFmtId="176" fontId="106" fillId="2" borderId="1" xfId="28" applyNumberFormat="1" applyFont="1" applyFill="1" applyBorder="1"/>
    <xf numFmtId="176" fontId="106" fillId="2" borderId="0" xfId="28" applyNumberFormat="1" applyFont="1" applyFill="1"/>
    <xf numFmtId="176" fontId="106" fillId="2" borderId="15" xfId="28" applyNumberFormat="1" applyFont="1" applyFill="1" applyBorder="1"/>
    <xf numFmtId="176" fontId="103" fillId="2" borderId="0" xfId="28" applyNumberFormat="1" applyFont="1" applyFill="1"/>
    <xf numFmtId="168" fontId="17" fillId="2" borderId="1" xfId="28" applyNumberFormat="1" applyFont="1" applyFill="1" applyBorder="1"/>
    <xf numFmtId="168" fontId="17" fillId="2" borderId="0" xfId="28" applyNumberFormat="1" applyFont="1" applyFill="1"/>
    <xf numFmtId="168" fontId="15" fillId="2" borderId="1" xfId="28" applyNumberFormat="1" applyFont="1" applyFill="1" applyBorder="1"/>
    <xf numFmtId="168" fontId="15" fillId="2" borderId="0" xfId="28" applyNumberFormat="1" applyFont="1" applyFill="1" applyBorder="1"/>
    <xf numFmtId="168" fontId="15" fillId="2" borderId="15" xfId="28" applyNumberFormat="1" applyFont="1" applyFill="1" applyBorder="1"/>
    <xf numFmtId="168" fontId="34" fillId="2" borderId="1" xfId="28" applyNumberFormat="1" applyFont="1" applyFill="1" applyBorder="1"/>
    <xf numFmtId="168" fontId="34" fillId="2" borderId="0" xfId="28" applyNumberFormat="1" applyFont="1" applyFill="1" applyBorder="1"/>
    <xf numFmtId="168" fontId="34" fillId="2" borderId="15" xfId="28" applyNumberFormat="1" applyFont="1" applyFill="1" applyBorder="1"/>
    <xf numFmtId="168" fontId="34" fillId="0" borderId="0" xfId="28" applyNumberFormat="1" applyFont="1" applyFill="1" applyBorder="1"/>
    <xf numFmtId="168" fontId="17" fillId="2" borderId="0" xfId="28" applyNumberFormat="1" applyFont="1" applyFill="1" applyBorder="1"/>
    <xf numFmtId="167" fontId="2" fillId="2" borderId="1" xfId="7" applyNumberFormat="1" applyFont="1" applyFill="1" applyBorder="1"/>
    <xf numFmtId="167" fontId="103" fillId="2" borderId="0" xfId="7" applyNumberFormat="1" applyFont="1" applyFill="1"/>
    <xf numFmtId="167" fontId="2" fillId="2" borderId="0" xfId="7" applyNumberFormat="1" applyFont="1" applyFill="1"/>
    <xf numFmtId="167" fontId="2" fillId="2" borderId="15" xfId="7" applyNumberFormat="1" applyFont="1" applyFill="1" applyBorder="1"/>
    <xf numFmtId="167" fontId="2" fillId="0" borderId="0" xfId="7" applyNumberFormat="1" applyFont="1"/>
    <xf numFmtId="167" fontId="28" fillId="2" borderId="1" xfId="7" applyNumberFormat="1" applyFont="1" applyFill="1" applyBorder="1"/>
    <xf numFmtId="167" fontId="28" fillId="2" borderId="0" xfId="7" applyNumberFormat="1" applyFont="1" applyFill="1"/>
    <xf numFmtId="167" fontId="28" fillId="2" borderId="15" xfId="7" applyNumberFormat="1" applyFont="1" applyFill="1" applyBorder="1"/>
    <xf numFmtId="167" fontId="28" fillId="0" borderId="0" xfId="7" applyNumberFormat="1" applyFont="1"/>
    <xf numFmtId="167" fontId="15" fillId="2" borderId="1" xfId="7" applyNumberFormat="1" applyFont="1" applyFill="1" applyBorder="1"/>
    <xf numFmtId="167" fontId="15" fillId="2" borderId="0" xfId="7" applyNumberFormat="1" applyFont="1" applyFill="1"/>
    <xf numFmtId="167" fontId="15" fillId="2" borderId="15" xfId="7" applyNumberFormat="1" applyFont="1" applyFill="1" applyBorder="1"/>
    <xf numFmtId="167" fontId="15" fillId="0" borderId="0" xfId="7" applyNumberFormat="1" applyFont="1"/>
    <xf numFmtId="8" fontId="2" fillId="2" borderId="0" xfId="7" applyNumberFormat="1" applyFont="1" applyFill="1" applyBorder="1"/>
    <xf numFmtId="8" fontId="2" fillId="2" borderId="1" xfId="28" applyNumberFormat="1" applyFont="1" applyFill="1" applyBorder="1"/>
    <xf numFmtId="8" fontId="2" fillId="2" borderId="0" xfId="28" applyNumberFormat="1" applyFont="1" applyFill="1" applyBorder="1"/>
    <xf numFmtId="8" fontId="2" fillId="2" borderId="15" xfId="28" applyNumberFormat="1" applyFont="1" applyFill="1" applyBorder="1"/>
    <xf numFmtId="8" fontId="17" fillId="2" borderId="1" xfId="28" applyNumberFormat="1" applyFont="1" applyFill="1" applyBorder="1"/>
    <xf numFmtId="8" fontId="17" fillId="2" borderId="0" xfId="28" applyNumberFormat="1" applyFont="1" applyFill="1" applyBorder="1"/>
    <xf numFmtId="8" fontId="17" fillId="2" borderId="15" xfId="28" applyNumberFormat="1" applyFont="1" applyFill="1" applyBorder="1"/>
    <xf numFmtId="8" fontId="17" fillId="0" borderId="0" xfId="28" applyNumberFormat="1" applyFont="1" applyFill="1" applyBorder="1"/>
    <xf numFmtId="168" fontId="2" fillId="0" borderId="0" xfId="28" applyNumberFormat="1" applyFont="1" applyFill="1"/>
    <xf numFmtId="167" fontId="15" fillId="0" borderId="0" xfId="45" applyNumberFormat="1" applyFont="1"/>
    <xf numFmtId="9" fontId="15" fillId="0" borderId="0" xfId="7" applyNumberFormat="1" applyFont="1"/>
    <xf numFmtId="178" fontId="2" fillId="0" borderId="0" xfId="7" applyNumberFormat="1" applyFont="1"/>
    <xf numFmtId="178" fontId="2" fillId="2" borderId="1" xfId="7" applyNumberFormat="1" applyFont="1" applyFill="1" applyBorder="1"/>
    <xf numFmtId="178" fontId="2" fillId="2" borderId="0" xfId="7" applyNumberFormat="1" applyFont="1" applyFill="1"/>
    <xf numFmtId="178" fontId="2" fillId="2" borderId="15" xfId="7" applyNumberFormat="1" applyFont="1" applyFill="1" applyBorder="1"/>
    <xf numFmtId="9" fontId="2" fillId="0" borderId="0" xfId="7" applyNumberFormat="1" applyFont="1"/>
    <xf numFmtId="9" fontId="2" fillId="2" borderId="1" xfId="7" applyNumberFormat="1" applyFont="1" applyFill="1" applyBorder="1"/>
    <xf numFmtId="9" fontId="2" fillId="2" borderId="0" xfId="7" applyNumberFormat="1" applyFont="1" applyFill="1" applyBorder="1"/>
    <xf numFmtId="9" fontId="2" fillId="2" borderId="15" xfId="7" applyNumberFormat="1" applyFont="1" applyFill="1" applyBorder="1"/>
    <xf numFmtId="176" fontId="106" fillId="2" borderId="0" xfId="28" applyNumberFormat="1" applyFont="1" applyFill="1" applyBorder="1"/>
    <xf numFmtId="3" fontId="15" fillId="0" borderId="0" xfId="6" applyNumberFormat="1" applyFont="1"/>
    <xf numFmtId="4" fontId="2" fillId="2" borderId="1" xfId="37" applyNumberFormat="1" applyFont="1" applyFill="1" applyBorder="1" applyAlignment="1">
      <alignment horizontal="right"/>
    </xf>
    <xf numFmtId="4" fontId="2" fillId="2" borderId="0" xfId="37" applyNumberFormat="1" applyFont="1" applyFill="1" applyBorder="1" applyAlignment="1">
      <alignment horizontal="right"/>
    </xf>
    <xf numFmtId="4" fontId="2" fillId="2" borderId="15" xfId="37" applyNumberFormat="1" applyFont="1" applyFill="1" applyBorder="1" applyAlignment="1">
      <alignment horizontal="right"/>
    </xf>
    <xf numFmtId="4" fontId="15" fillId="2" borderId="0" xfId="37" applyNumberFormat="1" applyFont="1" applyFill="1" applyBorder="1" applyAlignment="1">
      <alignment horizontal="right"/>
    </xf>
    <xf numFmtId="4" fontId="15" fillId="2" borderId="15" xfId="37" applyNumberFormat="1" applyFont="1" applyFill="1" applyBorder="1" applyAlignment="1">
      <alignment horizontal="right"/>
    </xf>
    <xf numFmtId="4" fontId="15" fillId="2" borderId="1" xfId="37" applyNumberFormat="1" applyFont="1" applyFill="1" applyBorder="1" applyAlignment="1">
      <alignment horizontal="right"/>
    </xf>
    <xf numFmtId="0" fontId="17" fillId="2" borderId="1" xfId="37" applyFont="1" applyFill="1" applyBorder="1" applyAlignment="1">
      <alignment horizontal="centerContinuous"/>
    </xf>
    <xf numFmtId="0" fontId="2" fillId="2" borderId="0" xfId="37" applyFont="1" applyFill="1" applyBorder="1" applyAlignment="1">
      <alignment horizontal="centerContinuous"/>
    </xf>
    <xf numFmtId="0" fontId="2" fillId="2" borderId="15" xfId="37" applyFont="1" applyFill="1" applyBorder="1" applyAlignment="1">
      <alignment horizontal="centerContinuous"/>
    </xf>
    <xf numFmtId="0" fontId="15" fillId="2" borderId="0" xfId="37" applyFont="1" applyFill="1" applyBorder="1" applyAlignment="1">
      <alignment horizontal="centerContinuous"/>
    </xf>
    <xf numFmtId="0" fontId="15" fillId="2" borderId="1" xfId="37" applyFont="1" applyFill="1" applyBorder="1" applyAlignment="1">
      <alignment horizontal="centerContinuous"/>
    </xf>
    <xf numFmtId="0" fontId="15" fillId="2" borderId="15" xfId="37" applyFont="1" applyFill="1" applyBorder="1" applyAlignment="1">
      <alignment horizontal="centerContinuous"/>
    </xf>
    <xf numFmtId="0" fontId="19" fillId="2" borderId="0" xfId="37" applyFont="1" applyFill="1" applyBorder="1" applyAlignment="1">
      <alignment horizontal="centerContinuous"/>
    </xf>
    <xf numFmtId="0" fontId="19" fillId="2" borderId="15" xfId="37" applyFont="1" applyFill="1" applyBorder="1" applyAlignment="1">
      <alignment horizontal="centerContinuous"/>
    </xf>
    <xf numFmtId="0" fontId="2" fillId="2" borderId="1" xfId="37" applyFont="1" applyFill="1" applyBorder="1" applyAlignment="1">
      <alignment horizontal="centerContinuous"/>
    </xf>
    <xf numFmtId="2" fontId="2" fillId="2" borderId="1" xfId="37" applyNumberFormat="1" applyFont="1" applyFill="1" applyBorder="1" applyAlignment="1">
      <alignment horizontal="right"/>
    </xf>
    <xf numFmtId="2" fontId="2" fillId="2" borderId="0" xfId="37" applyNumberFormat="1" applyFont="1" applyFill="1" applyBorder="1" applyAlignment="1">
      <alignment horizontal="right"/>
    </xf>
    <xf numFmtId="2" fontId="2" fillId="2" borderId="15" xfId="37" applyNumberFormat="1" applyFont="1" applyFill="1" applyBorder="1" applyAlignment="1">
      <alignment horizontal="right"/>
    </xf>
    <xf numFmtId="2" fontId="15" fillId="2" borderId="0" xfId="37" applyNumberFormat="1" applyFont="1" applyFill="1" applyBorder="1" applyAlignment="1">
      <alignment horizontal="right"/>
    </xf>
    <xf numFmtId="2" fontId="15" fillId="2" borderId="15" xfId="37" applyNumberFormat="1" applyFont="1" applyFill="1" applyBorder="1" applyAlignment="1">
      <alignment horizontal="right"/>
    </xf>
    <xf numFmtId="3" fontId="2" fillId="2" borderId="1" xfId="37" applyNumberFormat="1" applyFont="1" applyFill="1" applyBorder="1" applyAlignment="1">
      <alignment horizontal="right"/>
    </xf>
    <xf numFmtId="3" fontId="2" fillId="2" borderId="0" xfId="37" applyNumberFormat="1" applyFont="1" applyFill="1" applyBorder="1" applyAlignment="1">
      <alignment horizontal="right"/>
    </xf>
    <xf numFmtId="3" fontId="2" fillId="2" borderId="15" xfId="37" applyNumberFormat="1" applyFont="1" applyFill="1" applyBorder="1" applyAlignment="1">
      <alignment horizontal="right"/>
    </xf>
    <xf numFmtId="3" fontId="15" fillId="2" borderId="0" xfId="37" applyNumberFormat="1" applyFont="1" applyFill="1" applyBorder="1" applyAlignment="1">
      <alignment horizontal="right"/>
    </xf>
    <xf numFmtId="3" fontId="15" fillId="2" borderId="15" xfId="37" applyNumberFormat="1" applyFont="1" applyFill="1" applyBorder="1" applyAlignment="1">
      <alignment horizontal="right"/>
    </xf>
    <xf numFmtId="37" fontId="17" fillId="0" borderId="0" xfId="0" applyNumberFormat="1" applyFont="1"/>
    <xf numFmtId="0" fontId="12" fillId="6" borderId="17" xfId="0" applyFont="1" applyFill="1" applyBorder="1"/>
    <xf numFmtId="3" fontId="0" fillId="2" borderId="1" xfId="0" applyNumberFormat="1" applyFill="1" applyBorder="1"/>
    <xf numFmtId="3" fontId="0" fillId="2" borderId="0" xfId="0" applyNumberFormat="1" applyFill="1" applyBorder="1"/>
    <xf numFmtId="3" fontId="0" fillId="2" borderId="15" xfId="0" applyNumberFormat="1" applyFill="1" applyBorder="1"/>
    <xf numFmtId="4" fontId="17" fillId="0" borderId="0" xfId="0" applyNumberFormat="1" applyFont="1" applyFill="1" applyBorder="1"/>
    <xf numFmtId="0" fontId="2" fillId="0" borderId="0" xfId="43" applyFill="1" applyBorder="1"/>
    <xf numFmtId="37" fontId="2" fillId="2" borderId="1" xfId="0" applyNumberFormat="1" applyFont="1" applyFill="1" applyBorder="1"/>
    <xf numFmtId="37" fontId="2" fillId="2" borderId="0" xfId="0" applyNumberFormat="1" applyFont="1" applyFill="1" applyBorder="1"/>
    <xf numFmtId="37" fontId="2" fillId="2" borderId="15" xfId="0" applyNumberFormat="1" applyFont="1" applyFill="1" applyBorder="1"/>
    <xf numFmtId="38" fontId="59" fillId="0" borderId="0" xfId="27" applyNumberFormat="1" applyFont="1" applyBorder="1"/>
    <xf numFmtId="0" fontId="2" fillId="2" borderId="1" xfId="43" applyFill="1" applyBorder="1"/>
    <xf numFmtId="0" fontId="2" fillId="2" borderId="0" xfId="43" applyFill="1" applyBorder="1"/>
    <xf numFmtId="0" fontId="2" fillId="2" borderId="15" xfId="43" applyFill="1" applyBorder="1"/>
    <xf numFmtId="0" fontId="2" fillId="0" borderId="0" xfId="43" applyFont="1" applyFill="1" applyBorder="1"/>
    <xf numFmtId="7" fontId="2" fillId="2" borderId="1" xfId="43" applyNumberFormat="1" applyFill="1" applyBorder="1"/>
    <xf numFmtId="7" fontId="2" fillId="2" borderId="0" xfId="43" applyNumberFormat="1" applyFill="1" applyBorder="1"/>
    <xf numFmtId="7" fontId="2" fillId="2" borderId="15" xfId="43" applyNumberFormat="1" applyFill="1" applyBorder="1"/>
    <xf numFmtId="7" fontId="2" fillId="0" borderId="0" xfId="43" applyNumberFormat="1" applyFill="1" applyBorder="1"/>
    <xf numFmtId="8" fontId="0" fillId="0" borderId="0" xfId="0" applyNumberFormat="1" applyFill="1" applyBorder="1"/>
    <xf numFmtId="7" fontId="0" fillId="0" borderId="0" xfId="0" applyNumberFormat="1" applyFill="1" applyBorder="1"/>
    <xf numFmtId="168" fontId="15" fillId="0" borderId="18" xfId="28" applyNumberFormat="1" applyFont="1" applyFill="1" applyBorder="1"/>
    <xf numFmtId="168" fontId="15" fillId="0" borderId="0" xfId="28" applyNumberFormat="1" applyFont="1" applyFill="1" applyBorder="1"/>
    <xf numFmtId="0" fontId="17" fillId="0" borderId="0" xfId="43" applyFont="1" applyFill="1" applyBorder="1"/>
    <xf numFmtId="9" fontId="15" fillId="0" borderId="18" xfId="43" applyNumberFormat="1" applyFont="1" applyFill="1" applyBorder="1"/>
    <xf numFmtId="9" fontId="2" fillId="2" borderId="1" xfId="43" applyNumberFormat="1" applyFill="1" applyBorder="1"/>
    <xf numFmtId="9" fontId="2" fillId="2" borderId="0" xfId="43" applyNumberFormat="1" applyFill="1" applyBorder="1"/>
    <xf numFmtId="9" fontId="2" fillId="2" borderId="15" xfId="43" applyNumberFormat="1" applyFill="1" applyBorder="1"/>
    <xf numFmtId="9" fontId="2" fillId="0" borderId="0" xfId="43" applyNumberFormat="1" applyFill="1" applyBorder="1"/>
    <xf numFmtId="9" fontId="15" fillId="2" borderId="1" xfId="8" applyNumberFormat="1" applyFont="1" applyFill="1" applyBorder="1"/>
    <xf numFmtId="9" fontId="15" fillId="2" borderId="15" xfId="0" applyNumberFormat="1" applyFont="1" applyFill="1" applyBorder="1"/>
    <xf numFmtId="37" fontId="2" fillId="2" borderId="1" xfId="43" applyNumberFormat="1" applyFill="1" applyBorder="1"/>
    <xf numFmtId="37" fontId="2" fillId="2" borderId="0" xfId="43" applyNumberFormat="1" applyFill="1" applyBorder="1"/>
    <xf numFmtId="37" fontId="2" fillId="2" borderId="15" xfId="43" applyNumberFormat="1" applyFill="1" applyBorder="1"/>
    <xf numFmtId="37" fontId="2" fillId="0" borderId="0" xfId="43" applyNumberFormat="1" applyFill="1" applyBorder="1"/>
    <xf numFmtId="9" fontId="2" fillId="0" borderId="0" xfId="43" applyNumberFormat="1" applyFont="1" applyFill="1" applyBorder="1"/>
    <xf numFmtId="0" fontId="17" fillId="2" borderId="1" xfId="43" applyFont="1" applyFill="1" applyBorder="1"/>
    <xf numFmtId="0" fontId="17" fillId="2" borderId="0" xfId="43" applyFont="1" applyFill="1" applyBorder="1"/>
    <xf numFmtId="0" fontId="17" fillId="2" borderId="15" xfId="43" applyFont="1" applyFill="1" applyBorder="1"/>
    <xf numFmtId="168" fontId="17" fillId="0" borderId="0" xfId="43" applyNumberFormat="1" applyFont="1" applyFill="1" applyBorder="1"/>
    <xf numFmtId="0" fontId="20" fillId="6" borderId="4" xfId="0" applyFont="1" applyFill="1" applyBorder="1"/>
    <xf numFmtId="0" fontId="80" fillId="6" borderId="4" xfId="0" applyFont="1" applyFill="1" applyBorder="1"/>
    <xf numFmtId="0" fontId="59" fillId="0" borderId="0" xfId="9" applyFont="1" applyFill="1" applyBorder="1"/>
    <xf numFmtId="0" fontId="80" fillId="0" borderId="0" xfId="9" applyFont="1" applyFill="1" applyBorder="1"/>
    <xf numFmtId="37" fontId="2" fillId="2" borderId="1" xfId="28" applyNumberFormat="1" applyFont="1" applyFill="1" applyBorder="1"/>
    <xf numFmtId="37" fontId="2" fillId="2" borderId="0" xfId="28" applyNumberFormat="1" applyFont="1" applyFill="1" applyBorder="1"/>
    <xf numFmtId="37" fontId="2" fillId="2" borderId="15" xfId="28" applyNumberFormat="1" applyFont="1" applyFill="1" applyBorder="1"/>
    <xf numFmtId="37" fontId="2" fillId="0" borderId="0" xfId="28" applyNumberFormat="1" applyFont="1" applyFill="1" applyBorder="1"/>
    <xf numFmtId="5" fontId="2" fillId="2" borderId="1" xfId="28" applyNumberFormat="1" applyFont="1" applyFill="1" applyBorder="1"/>
    <xf numFmtId="5" fontId="2" fillId="2" borderId="0" xfId="28" applyNumberFormat="1" applyFont="1" applyFill="1" applyBorder="1"/>
    <xf numFmtId="5" fontId="2" fillId="2" borderId="15" xfId="28" applyNumberFormat="1" applyFont="1" applyFill="1" applyBorder="1"/>
    <xf numFmtId="5" fontId="2" fillId="0" borderId="0" xfId="28" applyNumberFormat="1" applyFont="1" applyFill="1" applyBorder="1"/>
    <xf numFmtId="5" fontId="2" fillId="2" borderId="1" xfId="0" applyNumberFormat="1" applyFont="1" applyFill="1" applyBorder="1"/>
    <xf numFmtId="5" fontId="2" fillId="2" borderId="0" xfId="0" applyNumberFormat="1" applyFont="1" applyFill="1" applyBorder="1"/>
    <xf numFmtId="5" fontId="2" fillId="2" borderId="15" xfId="0" applyNumberFormat="1" applyFont="1" applyFill="1" applyBorder="1"/>
    <xf numFmtId="0" fontId="17" fillId="0" borderId="0" xfId="9" applyFont="1" applyFill="1" applyBorder="1"/>
    <xf numFmtId="9" fontId="19" fillId="0" borderId="6" xfId="9" applyNumberFormat="1" applyFont="1" applyFill="1" applyBorder="1"/>
    <xf numFmtId="3" fontId="17" fillId="0" borderId="0" xfId="0" applyNumberFormat="1" applyFont="1" applyFill="1" applyBorder="1"/>
    <xf numFmtId="164" fontId="4" fillId="6" borderId="0" xfId="32" applyNumberFormat="1" applyFont="1" applyFill="1"/>
    <xf numFmtId="164" fontId="6" fillId="6" borderId="0" xfId="32" applyNumberFormat="1" applyFont="1" applyFill="1" applyBorder="1"/>
    <xf numFmtId="164" fontId="6" fillId="6" borderId="0" xfId="32" applyNumberFormat="1" applyFont="1" applyFill="1"/>
    <xf numFmtId="164" fontId="6" fillId="6" borderId="0" xfId="32" applyNumberFormat="1" applyFont="1" applyFill="1" applyAlignment="1">
      <alignment horizontal="right"/>
    </xf>
    <xf numFmtId="0" fontId="2" fillId="6" borderId="0" xfId="32" applyFill="1"/>
    <xf numFmtId="164" fontId="4" fillId="6" borderId="0" xfId="32" applyNumberFormat="1" applyFont="1" applyFill="1" applyBorder="1" applyAlignment="1"/>
    <xf numFmtId="164" fontId="7" fillId="6" borderId="0" xfId="32" applyNumberFormat="1" applyFont="1" applyFill="1"/>
    <xf numFmtId="164" fontId="8" fillId="6" borderId="0" xfId="32" applyNumberFormat="1" applyFont="1" applyFill="1"/>
    <xf numFmtId="164" fontId="9" fillId="6" borderId="0" xfId="32" applyNumberFormat="1" applyFont="1" applyFill="1"/>
    <xf numFmtId="164" fontId="10" fillId="6" borderId="0" xfId="32" applyNumberFormat="1" applyFont="1" applyFill="1"/>
    <xf numFmtId="164" fontId="11" fillId="6" borderId="0" xfId="32" applyNumberFormat="1" applyFont="1" applyFill="1" applyBorder="1"/>
    <xf numFmtId="164" fontId="11" fillId="6" borderId="0" xfId="32" applyNumberFormat="1" applyFont="1" applyFill="1"/>
    <xf numFmtId="164" fontId="11" fillId="6" borderId="0" xfId="32" applyNumberFormat="1" applyFont="1" applyFill="1" applyAlignment="1">
      <alignment horizontal="right"/>
    </xf>
    <xf numFmtId="0" fontId="109" fillId="0" borderId="0" xfId="42" applyFont="1"/>
    <xf numFmtId="0" fontId="109" fillId="0" borderId="0" xfId="42" applyFont="1" applyAlignment="1">
      <alignment horizontal="right"/>
    </xf>
    <xf numFmtId="0" fontId="110" fillId="0" borderId="0" xfId="42" applyFont="1"/>
    <xf numFmtId="0" fontId="27" fillId="0" borderId="0" xfId="42" applyFont="1" applyFill="1" applyAlignment="1" applyProtection="1"/>
    <xf numFmtId="0" fontId="27" fillId="0" borderId="0" xfId="42" applyFont="1" applyBorder="1" applyAlignment="1">
      <alignment horizontal="right"/>
    </xf>
    <xf numFmtId="0" fontId="27" fillId="0" borderId="0" xfId="42" applyFont="1" applyFill="1" applyAlignment="1" applyProtection="1">
      <alignment horizontal="right"/>
    </xf>
    <xf numFmtId="0" fontId="27" fillId="0" borderId="0" xfId="42" applyFont="1" applyAlignment="1">
      <alignment horizontal="right"/>
    </xf>
    <xf numFmtId="0" fontId="27" fillId="0" borderId="0" xfId="42" applyFont="1" applyFill="1" applyBorder="1" applyAlignment="1" applyProtection="1">
      <alignment horizontal="right"/>
    </xf>
    <xf numFmtId="0" fontId="110" fillId="0" borderId="0" xfId="42" applyFont="1" applyAlignment="1">
      <alignment horizontal="right"/>
    </xf>
    <xf numFmtId="0" fontId="28" fillId="0" borderId="0" xfId="42" applyFont="1" applyFill="1" applyAlignment="1" applyProtection="1"/>
    <xf numFmtId="0" fontId="28" fillId="0" borderId="0" xfId="42" applyFont="1" applyFill="1" applyAlignment="1" applyProtection="1">
      <alignment horizontal="right"/>
    </xf>
    <xf numFmtId="0" fontId="28" fillId="0" borderId="0" xfId="42" applyFont="1" applyAlignment="1">
      <alignment horizontal="right"/>
    </xf>
    <xf numFmtId="9" fontId="28" fillId="0" borderId="0" xfId="42" applyNumberFormat="1" applyFont="1" applyFill="1" applyAlignment="1" applyProtection="1">
      <alignment horizontal="right"/>
    </xf>
    <xf numFmtId="198" fontId="28" fillId="0" borderId="0" xfId="42" applyNumberFormat="1" applyFont="1" applyFill="1" applyAlignment="1" applyProtection="1">
      <alignment horizontal="right"/>
    </xf>
    <xf numFmtId="168" fontId="28" fillId="0" borderId="0" xfId="28" applyNumberFormat="1" applyFont="1" applyFill="1" applyAlignment="1" applyProtection="1">
      <alignment horizontal="right"/>
    </xf>
    <xf numFmtId="168" fontId="28" fillId="0" borderId="0" xfId="28" applyNumberFormat="1" applyFont="1" applyAlignment="1">
      <alignment horizontal="right"/>
    </xf>
    <xf numFmtId="3" fontId="28" fillId="0" borderId="0" xfId="42" applyNumberFormat="1" applyFont="1" applyFill="1" applyAlignment="1" applyProtection="1">
      <alignment horizontal="right"/>
    </xf>
    <xf numFmtId="0" fontId="28" fillId="0" borderId="0" xfId="32" applyFont="1" applyFill="1" applyAlignment="1" applyProtection="1">
      <alignment horizontal="right"/>
    </xf>
    <xf numFmtId="199" fontId="28" fillId="0" borderId="0" xfId="42" applyNumberFormat="1" applyFont="1" applyFill="1" applyAlignment="1" applyProtection="1">
      <alignment horizontal="right"/>
    </xf>
    <xf numFmtId="0" fontId="28" fillId="0" borderId="0" xfId="32" applyFont="1" applyFill="1" applyAlignment="1" applyProtection="1"/>
    <xf numFmtId="9" fontId="28" fillId="0" borderId="0" xfId="32" applyNumberFormat="1" applyFont="1" applyFill="1" applyAlignment="1" applyProtection="1">
      <alignment horizontal="right"/>
    </xf>
    <xf numFmtId="198" fontId="28" fillId="0" borderId="0" xfId="32" applyNumberFormat="1" applyFont="1" applyFill="1" applyAlignment="1" applyProtection="1">
      <alignment horizontal="right"/>
    </xf>
    <xf numFmtId="14" fontId="109" fillId="0" borderId="0" xfId="42" applyNumberFormat="1" applyFont="1" applyAlignment="1">
      <alignment horizontal="right"/>
    </xf>
    <xf numFmtId="199" fontId="28" fillId="0" borderId="0" xfId="32" applyNumberFormat="1" applyFont="1" applyFill="1" applyAlignment="1" applyProtection="1">
      <alignment horizontal="right"/>
    </xf>
    <xf numFmtId="0" fontId="2" fillId="0" borderId="0" xfId="32" applyFont="1"/>
    <xf numFmtId="0" fontId="2" fillId="0" borderId="0" xfId="32" applyFont="1" applyAlignment="1">
      <alignment horizontal="right"/>
    </xf>
    <xf numFmtId="3" fontId="2" fillId="0" borderId="0" xfId="32" applyNumberFormat="1" applyFont="1" applyAlignment="1">
      <alignment horizontal="right"/>
    </xf>
    <xf numFmtId="0" fontId="109" fillId="0" borderId="0" xfId="32" applyFont="1" applyFill="1" applyAlignment="1" applyProtection="1">
      <alignment horizontal="right"/>
    </xf>
    <xf numFmtId="3" fontId="28" fillId="0" borderId="0" xfId="42" applyNumberFormat="1" applyFont="1" applyAlignment="1">
      <alignment horizontal="right"/>
    </xf>
    <xf numFmtId="0" fontId="28" fillId="0" borderId="0" xfId="32" applyFont="1" applyFill="1" applyBorder="1" applyAlignment="1" applyProtection="1"/>
    <xf numFmtId="168" fontId="109" fillId="0" borderId="0" xfId="28" applyNumberFormat="1" applyFont="1" applyAlignment="1">
      <alignment horizontal="right"/>
    </xf>
    <xf numFmtId="0" fontId="111" fillId="0" borderId="0" xfId="42" applyFont="1" applyAlignment="1">
      <alignment horizontal="right"/>
    </xf>
    <xf numFmtId="0" fontId="111" fillId="0" borderId="0" xfId="42" applyFont="1"/>
    <xf numFmtId="0" fontId="12" fillId="6" borderId="0" xfId="7" applyFont="1" applyFill="1"/>
    <xf numFmtId="0" fontId="0" fillId="6" borderId="0" xfId="7" applyFont="1" applyFill="1"/>
    <xf numFmtId="4" fontId="17" fillId="2" borderId="1" xfId="7" applyNumberFormat="1" applyFont="1" applyFill="1" applyBorder="1"/>
    <xf numFmtId="4" fontId="17" fillId="2" borderId="0" xfId="7" applyNumberFormat="1" applyFont="1" applyFill="1"/>
    <xf numFmtId="4" fontId="17" fillId="2" borderId="15" xfId="7" applyNumberFormat="1" applyFont="1" applyFill="1" applyBorder="1"/>
    <xf numFmtId="4" fontId="17" fillId="0" borderId="0" xfId="7" applyNumberFormat="1" applyFont="1"/>
    <xf numFmtId="168" fontId="17" fillId="0" borderId="0" xfId="28" applyNumberFormat="1" applyFont="1" applyBorder="1"/>
    <xf numFmtId="176" fontId="17" fillId="0" borderId="0" xfId="7" applyNumberFormat="1" applyFont="1"/>
    <xf numFmtId="43" fontId="2" fillId="2" borderId="0" xfId="28" applyNumberFormat="1" applyFont="1" applyFill="1"/>
    <xf numFmtId="0" fontId="18" fillId="0" borderId="0" xfId="7" applyFont="1"/>
    <xf numFmtId="176" fontId="18" fillId="0" borderId="0" xfId="7" applyNumberFormat="1" applyFont="1"/>
    <xf numFmtId="4" fontId="18" fillId="2" borderId="1" xfId="7" applyNumberFormat="1" applyFont="1" applyFill="1" applyBorder="1"/>
    <xf numFmtId="4" fontId="18" fillId="2" borderId="0" xfId="7" applyNumberFormat="1" applyFont="1" applyFill="1"/>
    <xf numFmtId="4" fontId="18" fillId="2" borderId="15" xfId="7" applyNumberFormat="1" applyFont="1" applyFill="1" applyBorder="1"/>
    <xf numFmtId="9" fontId="18" fillId="2" borderId="1" xfId="7" applyNumberFormat="1" applyFont="1" applyFill="1" applyBorder="1"/>
    <xf numFmtId="9" fontId="18" fillId="2" borderId="0" xfId="7" applyNumberFormat="1" applyFont="1" applyFill="1"/>
    <xf numFmtId="9" fontId="57" fillId="0" borderId="0" xfId="7" applyNumberFormat="1" applyFont="1"/>
    <xf numFmtId="9" fontId="2" fillId="2" borderId="1" xfId="46" applyFont="1" applyFill="1" applyBorder="1"/>
    <xf numFmtId="9" fontId="2" fillId="2" borderId="0" xfId="46" applyFont="1" applyFill="1"/>
    <xf numFmtId="9" fontId="2" fillId="2" borderId="15" xfId="46" applyFont="1" applyFill="1" applyBorder="1"/>
    <xf numFmtId="168" fontId="34" fillId="2" borderId="0" xfId="28" applyNumberFormat="1" applyFont="1" applyFill="1"/>
    <xf numFmtId="168" fontId="34" fillId="0" borderId="0" xfId="28" applyNumberFormat="1" applyFont="1"/>
    <xf numFmtId="175" fontId="2" fillId="2" borderId="1" xfId="28" applyNumberFormat="1" applyFont="1" applyFill="1" applyBorder="1"/>
    <xf numFmtId="175" fontId="2" fillId="2" borderId="0" xfId="28" applyNumberFormat="1" applyFont="1" applyFill="1" applyBorder="1"/>
    <xf numFmtId="175" fontId="2" fillId="2" borderId="15" xfId="28" applyNumberFormat="1" applyFont="1" applyFill="1" applyBorder="1"/>
    <xf numFmtId="175" fontId="2" fillId="0" borderId="0" xfId="28" applyNumberFormat="1" applyFont="1"/>
    <xf numFmtId="176" fontId="2" fillId="2" borderId="1" xfId="7" applyNumberFormat="1" applyFont="1" applyFill="1" applyBorder="1"/>
    <xf numFmtId="176" fontId="2" fillId="2" borderId="0" xfId="7" applyNumberFormat="1" applyFont="1" applyFill="1"/>
    <xf numFmtId="168" fontId="15" fillId="0" borderId="0" xfId="28" applyNumberFormat="1" applyFont="1"/>
    <xf numFmtId="8" fontId="2" fillId="0" borderId="0" xfId="28" applyNumberFormat="1" applyFont="1" applyBorder="1"/>
    <xf numFmtId="176" fontId="17" fillId="0" borderId="0" xfId="7" applyNumberFormat="1" applyFont="1" applyFill="1"/>
    <xf numFmtId="168" fontId="27" fillId="2" borderId="1" xfId="28" applyNumberFormat="1" applyFont="1" applyFill="1" applyBorder="1"/>
    <xf numFmtId="168" fontId="27" fillId="2" borderId="0" xfId="28" applyNumberFormat="1" applyFont="1" applyFill="1"/>
    <xf numFmtId="168" fontId="27" fillId="2" borderId="15" xfId="28" applyNumberFormat="1" applyFont="1" applyFill="1" applyBorder="1"/>
    <xf numFmtId="168" fontId="27" fillId="0" borderId="0" xfId="28" applyNumberFormat="1" applyFont="1"/>
    <xf numFmtId="176" fontId="12" fillId="6" borderId="0" xfId="7" applyNumberFormat="1" applyFont="1" applyFill="1"/>
    <xf numFmtId="176" fontId="0" fillId="6" borderId="0" xfId="7" applyNumberFormat="1" applyFont="1" applyFill="1"/>
    <xf numFmtId="38" fontId="17" fillId="0" borderId="0" xfId="27" applyFont="1"/>
    <xf numFmtId="38" fontId="2" fillId="0" borderId="0" xfId="27" applyFont="1"/>
    <xf numFmtId="167" fontId="15" fillId="0" borderId="0" xfId="28" applyNumberFormat="1" applyFont="1" applyFill="1" applyBorder="1"/>
    <xf numFmtId="168" fontId="28" fillId="0" borderId="0" xfId="28" applyNumberFormat="1" applyFont="1"/>
    <xf numFmtId="168" fontId="28" fillId="2" borderId="1" xfId="28" applyNumberFormat="1" applyFont="1" applyFill="1" applyBorder="1"/>
    <xf numFmtId="168" fontId="26" fillId="2" borderId="1" xfId="28" applyNumberFormat="1" applyFont="1" applyFill="1" applyBorder="1"/>
    <xf numFmtId="168" fontId="26" fillId="2" borderId="0" xfId="28" applyNumberFormat="1" applyFont="1" applyFill="1" applyBorder="1"/>
    <xf numFmtId="168" fontId="26" fillId="2" borderId="15" xfId="28" applyNumberFormat="1" applyFont="1" applyFill="1" applyBorder="1"/>
    <xf numFmtId="168" fontId="26" fillId="2" borderId="0" xfId="28" applyNumberFormat="1" applyFont="1" applyFill="1"/>
    <xf numFmtId="43" fontId="2" fillId="2" borderId="1" xfId="28" applyFont="1" applyFill="1" applyBorder="1"/>
    <xf numFmtId="43" fontId="2" fillId="2" borderId="0" xfId="28" applyFont="1" applyFill="1"/>
    <xf numFmtId="43" fontId="2" fillId="2" borderId="15" xfId="28" applyFont="1" applyFill="1" applyBorder="1"/>
    <xf numFmtId="43" fontId="2" fillId="0" borderId="0" xfId="28" applyFont="1"/>
    <xf numFmtId="168" fontId="14" fillId="2" borderId="1" xfId="28" applyNumberFormat="1" applyFont="1" applyFill="1" applyBorder="1"/>
    <xf numFmtId="168" fontId="14" fillId="2" borderId="0" xfId="28" applyNumberFormat="1" applyFont="1" applyFill="1" applyBorder="1"/>
    <xf numFmtId="168" fontId="14" fillId="2" borderId="15" xfId="28" applyNumberFormat="1" applyFont="1" applyFill="1" applyBorder="1"/>
    <xf numFmtId="168" fontId="14" fillId="2" borderId="0" xfId="28" applyNumberFormat="1" applyFont="1" applyFill="1"/>
    <xf numFmtId="9" fontId="18" fillId="0" borderId="0" xfId="46" applyFont="1"/>
    <xf numFmtId="176" fontId="2" fillId="0" borderId="0" xfId="27" applyNumberFormat="1" applyFont="1"/>
    <xf numFmtId="4" fontId="18" fillId="0" borderId="0" xfId="7" applyNumberFormat="1" applyFont="1"/>
    <xf numFmtId="167" fontId="18" fillId="0" borderId="0" xfId="7" applyNumberFormat="1" applyFont="1"/>
    <xf numFmtId="9" fontId="2" fillId="2" borderId="0" xfId="7" applyNumberFormat="1" applyFont="1" applyFill="1"/>
    <xf numFmtId="166" fontId="2" fillId="2" borderId="15" xfId="7" applyNumberFormat="1" applyFont="1" applyFill="1" applyBorder="1"/>
    <xf numFmtId="166" fontId="2" fillId="0" borderId="0" xfId="7" applyNumberFormat="1" applyFont="1"/>
    <xf numFmtId="166" fontId="2" fillId="2" borderId="1" xfId="7" applyNumberFormat="1" applyFont="1" applyFill="1" applyBorder="1"/>
    <xf numFmtId="166" fontId="2" fillId="2" borderId="0" xfId="7" applyNumberFormat="1" applyFont="1" applyFill="1"/>
    <xf numFmtId="0" fontId="28" fillId="9" borderId="0" xfId="42" applyFont="1" applyFill="1" applyAlignment="1" applyProtection="1"/>
    <xf numFmtId="10" fontId="109" fillId="0" borderId="0" xfId="42" applyNumberFormat="1" applyFont="1" applyAlignment="1">
      <alignment horizontal="right"/>
    </xf>
    <xf numFmtId="168" fontId="28" fillId="0" borderId="0" xfId="24" applyNumberFormat="1" applyFont="1" applyFill="1" applyAlignment="1" applyProtection="1">
      <alignment horizontal="right"/>
    </xf>
    <xf numFmtId="1" fontId="0" fillId="0" borderId="0" xfId="0" applyNumberFormat="1"/>
    <xf numFmtId="176" fontId="15" fillId="0" borderId="0" xfId="28" applyNumberFormat="1" applyFont="1" applyFill="1"/>
    <xf numFmtId="37" fontId="17" fillId="0" borderId="0" xfId="24" applyNumberFormat="1" applyFont="1" applyFill="1"/>
    <xf numFmtId="167" fontId="30" fillId="0" borderId="0" xfId="24" applyNumberFormat="1" applyFont="1" applyFill="1"/>
    <xf numFmtId="37" fontId="102" fillId="0" borderId="0" xfId="24" applyNumberFormat="1" applyFont="1" applyFill="1" applyBorder="1"/>
    <xf numFmtId="0" fontId="102" fillId="0" borderId="0" xfId="0" applyFont="1" applyFill="1"/>
    <xf numFmtId="37" fontId="100" fillId="0" borderId="0" xfId="24" applyNumberFormat="1" applyFont="1" applyFill="1" applyBorder="1"/>
    <xf numFmtId="37" fontId="0" fillId="0" borderId="0" xfId="0" applyNumberFormat="1" applyFill="1"/>
    <xf numFmtId="37" fontId="0" fillId="0" borderId="0" xfId="24" applyNumberFormat="1" applyFont="1" applyFill="1"/>
    <xf numFmtId="0" fontId="0" fillId="0" borderId="3" xfId="0" applyBorder="1"/>
    <xf numFmtId="1" fontId="0" fillId="0" borderId="3" xfId="0" applyNumberFormat="1" applyBorder="1"/>
    <xf numFmtId="9" fontId="0" fillId="0" borderId="3" xfId="45" applyFont="1" applyBorder="1"/>
    <xf numFmtId="9" fontId="28" fillId="0" borderId="3" xfId="42" applyNumberFormat="1" applyFont="1" applyFill="1" applyBorder="1" applyAlignment="1" applyProtection="1">
      <alignment horizontal="right"/>
    </xf>
    <xf numFmtId="0" fontId="2" fillId="0" borderId="0" xfId="9" applyFont="1" applyFill="1" applyBorder="1"/>
    <xf numFmtId="0" fontId="28" fillId="9" borderId="3" xfId="42" applyFont="1" applyFill="1" applyBorder="1" applyAlignment="1" applyProtection="1"/>
    <xf numFmtId="168" fontId="113" fillId="0" borderId="6" xfId="24" applyNumberFormat="1" applyFont="1" applyBorder="1"/>
    <xf numFmtId="9" fontId="112" fillId="0" borderId="0" xfId="45" applyFont="1"/>
    <xf numFmtId="9" fontId="2" fillId="0" borderId="0" xfId="45" applyFont="1"/>
    <xf numFmtId="9" fontId="2" fillId="2" borderId="1" xfId="45" applyFont="1" applyFill="1" applyBorder="1"/>
    <xf numFmtId="9" fontId="2" fillId="2" borderId="0" xfId="45" applyFont="1" applyFill="1" applyBorder="1"/>
    <xf numFmtId="9" fontId="2" fillId="2" borderId="15" xfId="45" applyFont="1" applyFill="1" applyBorder="1"/>
    <xf numFmtId="168" fontId="112" fillId="0" borderId="0" xfId="24" applyNumberFormat="1" applyFont="1"/>
    <xf numFmtId="0" fontId="59" fillId="0" borderId="0" xfId="7" applyFont="1" applyFill="1" applyBorder="1"/>
    <xf numFmtId="0" fontId="0" fillId="0" borderId="0" xfId="7" applyFont="1" applyFill="1" applyBorder="1"/>
    <xf numFmtId="4" fontId="17" fillId="2" borderId="0" xfId="7" applyNumberFormat="1" applyFont="1" applyFill="1" applyBorder="1"/>
    <xf numFmtId="4" fontId="17" fillId="0" borderId="0" xfId="7" applyNumberFormat="1" applyFont="1" applyFill="1" applyBorder="1"/>
    <xf numFmtId="0" fontId="2" fillId="0" borderId="0" xfId="7" applyFont="1" applyFill="1" applyBorder="1"/>
    <xf numFmtId="4" fontId="2" fillId="2" borderId="0" xfId="7" applyNumberFormat="1" applyFont="1" applyFill="1" applyBorder="1"/>
    <xf numFmtId="4" fontId="2" fillId="0" borderId="0" xfId="7" applyNumberFormat="1" applyFont="1" applyFill="1" applyBorder="1"/>
    <xf numFmtId="8" fontId="15" fillId="0" borderId="0" xfId="28" applyNumberFormat="1" applyFont="1" applyFill="1" applyBorder="1"/>
    <xf numFmtId="8" fontId="2" fillId="0" borderId="0" xfId="7" applyNumberFormat="1" applyFont="1" applyFill="1" applyBorder="1"/>
    <xf numFmtId="9" fontId="15" fillId="0" borderId="0" xfId="7" applyNumberFormat="1" applyFont="1" applyFill="1" applyBorder="1"/>
    <xf numFmtId="9" fontId="2" fillId="0" borderId="0" xfId="7" applyNumberFormat="1" applyFont="1" applyFill="1" applyBorder="1"/>
    <xf numFmtId="9" fontId="112" fillId="2" borderId="1" xfId="7" applyNumberFormat="1" applyFont="1" applyFill="1" applyBorder="1"/>
    <xf numFmtId="0" fontId="17" fillId="0" borderId="0" xfId="7" applyFont="1" applyFill="1" applyBorder="1"/>
    <xf numFmtId="4" fontId="2" fillId="2" borderId="0" xfId="6" applyNumberFormat="1" applyFont="1" applyFill="1"/>
    <xf numFmtId="0" fontId="12" fillId="6" borderId="0" xfId="8" applyFont="1" applyFill="1" applyBorder="1"/>
    <xf numFmtId="0" fontId="17" fillId="0" borderId="0" xfId="43" applyFont="1" applyFill="1" applyBorder="1" applyAlignment="1">
      <alignment horizontal="left"/>
    </xf>
    <xf numFmtId="1" fontId="2" fillId="0" borderId="0" xfId="7" applyNumberFormat="1" applyFont="1" applyFill="1" applyBorder="1"/>
    <xf numFmtId="168" fontId="0" fillId="0" borderId="0" xfId="7" applyNumberFormat="1" applyFont="1" applyFill="1" applyBorder="1"/>
    <xf numFmtId="168" fontId="17" fillId="0" borderId="0" xfId="7" applyNumberFormat="1" applyFont="1" applyFill="1" applyBorder="1"/>
    <xf numFmtId="9" fontId="112" fillId="0" borderId="0" xfId="7" applyNumberFormat="1" applyFont="1" applyFill="1" applyBorder="1"/>
    <xf numFmtId="8" fontId="15" fillId="0" borderId="0" xfId="7" applyNumberFormat="1" applyFont="1" applyFill="1" applyBorder="1"/>
    <xf numFmtId="168" fontId="112" fillId="0" borderId="0" xfId="28" applyNumberFormat="1" applyFont="1" applyFill="1" applyBorder="1"/>
    <xf numFmtId="168" fontId="2" fillId="0" borderId="0" xfId="6" applyNumberFormat="1" applyFont="1" applyAlignment="1">
      <alignment horizontal="center"/>
    </xf>
    <xf numFmtId="176" fontId="17" fillId="0" borderId="0" xfId="7" applyNumberFormat="1" applyFont="1" applyFill="1" applyBorder="1"/>
    <xf numFmtId="176" fontId="2" fillId="0" borderId="0" xfId="7" applyNumberFormat="1" applyFont="1" applyFill="1" applyBorder="1"/>
    <xf numFmtId="43" fontId="3" fillId="0" borderId="0" xfId="6" applyNumberFormat="1" applyFont="1"/>
    <xf numFmtId="9" fontId="18" fillId="2" borderId="1" xfId="46" applyFont="1" applyFill="1" applyBorder="1"/>
    <xf numFmtId="9" fontId="18" fillId="2" borderId="0" xfId="46" applyFont="1" applyFill="1"/>
    <xf numFmtId="9" fontId="18" fillId="2" borderId="15" xfId="46" applyFont="1" applyFill="1" applyBorder="1"/>
    <xf numFmtId="168" fontId="112" fillId="0" borderId="0" xfId="28" applyNumberFormat="1" applyFont="1"/>
    <xf numFmtId="43" fontId="17" fillId="0" borderId="0" xfId="24" applyNumberFormat="1" applyFont="1"/>
    <xf numFmtId="176" fontId="17" fillId="0" borderId="0" xfId="6" applyNumberFormat="1" applyFont="1" applyFill="1"/>
    <xf numFmtId="176" fontId="17" fillId="2" borderId="1" xfId="6" applyNumberFormat="1" applyFont="1" applyFill="1" applyBorder="1"/>
    <xf numFmtId="176" fontId="17" fillId="2" borderId="0" xfId="6" applyNumberFormat="1" applyFont="1" applyFill="1"/>
    <xf numFmtId="176" fontId="17" fillId="2" borderId="15" xfId="6" applyNumberFormat="1" applyFont="1" applyFill="1" applyBorder="1"/>
    <xf numFmtId="4" fontId="15" fillId="2" borderId="54" xfId="37" applyNumberFormat="1" applyFont="1" applyFill="1" applyBorder="1" applyAlignment="1">
      <alignment horizontal="right"/>
    </xf>
    <xf numFmtId="0" fontId="19" fillId="2" borderId="54" xfId="37" applyFont="1" applyFill="1" applyBorder="1" applyAlignment="1">
      <alignment horizontal="centerContinuous"/>
    </xf>
    <xf numFmtId="2" fontId="15" fillId="2" borderId="54" xfId="37" applyNumberFormat="1" applyFont="1" applyFill="1" applyBorder="1" applyAlignment="1">
      <alignment horizontal="right"/>
    </xf>
    <xf numFmtId="3" fontId="15" fillId="2" borderId="54" xfId="37" applyNumberFormat="1" applyFont="1" applyFill="1" applyBorder="1" applyAlignment="1">
      <alignment horizontal="right"/>
    </xf>
    <xf numFmtId="3" fontId="26" fillId="2" borderId="1" xfId="36" applyNumberFormat="1" applyFont="1" applyFill="1" applyBorder="1" applyAlignment="1">
      <alignment horizontal="right"/>
    </xf>
    <xf numFmtId="3" fontId="2" fillId="2" borderId="1" xfId="36" applyNumberFormat="1" applyFont="1" applyFill="1" applyBorder="1" applyAlignment="1">
      <alignment horizontal="right"/>
    </xf>
    <xf numFmtId="3" fontId="15" fillId="2" borderId="1" xfId="36" applyNumberFormat="1" applyFont="1" applyFill="1" applyBorder="1" applyAlignment="1">
      <alignment horizontal="right"/>
    </xf>
    <xf numFmtId="3" fontId="14" fillId="2" borderId="1" xfId="38" applyNumberFormat="1" applyFont="1" applyFill="1" applyBorder="1" applyAlignment="1">
      <alignment horizontal="right"/>
    </xf>
    <xf numFmtId="0" fontId="3" fillId="6" borderId="56" xfId="40" applyFill="1" applyBorder="1"/>
    <xf numFmtId="0" fontId="3" fillId="6" borderId="57" xfId="40" applyFill="1" applyBorder="1"/>
    <xf numFmtId="0" fontId="0" fillId="2" borderId="0" xfId="0" applyFill="1"/>
    <xf numFmtId="168" fontId="15" fillId="0" borderId="0" xfId="24" applyNumberFormat="1" applyFont="1" applyFill="1" applyBorder="1" applyAlignment="1">
      <alignment horizontal="left" indent="1"/>
    </xf>
    <xf numFmtId="0" fontId="2" fillId="10" borderId="0" xfId="0" applyFont="1" applyFill="1" applyBorder="1"/>
    <xf numFmtId="6" fontId="2" fillId="2" borderId="1" xfId="6" applyNumberFormat="1" applyFont="1" applyFill="1" applyBorder="1"/>
    <xf numFmtId="6" fontId="2" fillId="2" borderId="0" xfId="6" applyNumberFormat="1" applyFont="1" applyFill="1"/>
    <xf numFmtId="6" fontId="2" fillId="2" borderId="15" xfId="6" applyNumberFormat="1" applyFont="1" applyFill="1" applyBorder="1"/>
    <xf numFmtId="9" fontId="0" fillId="2" borderId="0" xfId="45" applyFont="1" applyFill="1"/>
    <xf numFmtId="9" fontId="114" fillId="2" borderId="1" xfId="7" applyNumberFormat="1" applyFont="1" applyFill="1" applyBorder="1"/>
    <xf numFmtId="7" fontId="115" fillId="0" borderId="0" xfId="24" applyNumberFormat="1" applyFont="1" applyFill="1" applyBorder="1"/>
    <xf numFmtId="200" fontId="0" fillId="0" borderId="0" xfId="0" applyNumberFormat="1"/>
    <xf numFmtId="167" fontId="116" fillId="0" borderId="0" xfId="6" applyNumberFormat="1" applyFont="1"/>
    <xf numFmtId="167" fontId="3" fillId="0" borderId="0" xfId="6" applyNumberFormat="1" applyFont="1" applyFill="1"/>
    <xf numFmtId="167" fontId="2" fillId="2" borderId="15" xfId="46" applyNumberFormat="1" applyFont="1" applyFill="1" applyBorder="1"/>
    <xf numFmtId="167" fontId="2" fillId="2" borderId="0" xfId="46" applyNumberFormat="1" applyFont="1" applyFill="1" applyBorder="1"/>
    <xf numFmtId="167" fontId="2" fillId="2" borderId="0" xfId="7" applyNumberFormat="1" applyFont="1" applyFill="1" applyBorder="1"/>
    <xf numFmtId="168" fontId="26" fillId="0" borderId="1" xfId="24" applyNumberFormat="1" applyFont="1" applyFill="1" applyBorder="1" applyAlignment="1">
      <alignment horizontal="center"/>
    </xf>
    <xf numFmtId="201" fontId="0" fillId="0" borderId="0" xfId="0" applyNumberFormat="1"/>
    <xf numFmtId="167" fontId="117" fillId="2" borderId="1" xfId="6" applyNumberFormat="1" applyFont="1" applyFill="1" applyBorder="1"/>
    <xf numFmtId="0" fontId="117" fillId="0" borderId="0" xfId="0" applyFont="1"/>
    <xf numFmtId="201" fontId="0" fillId="0" borderId="0" xfId="6" applyNumberFormat="1" applyFont="1" applyFill="1"/>
    <xf numFmtId="0" fontId="0" fillId="0" borderId="35" xfId="0" applyBorder="1"/>
    <xf numFmtId="0" fontId="0" fillId="0" borderId="36" xfId="0" applyBorder="1"/>
    <xf numFmtId="9" fontId="117" fillId="0" borderId="0" xfId="45" applyFont="1" applyBorder="1"/>
    <xf numFmtId="9" fontId="0" fillId="0" borderId="0" xfId="45" applyFont="1" applyBorder="1"/>
    <xf numFmtId="0" fontId="0" fillId="11" borderId="59" xfId="0" applyFill="1" applyBorder="1"/>
    <xf numFmtId="9" fontId="17" fillId="11" borderId="3" xfId="45" applyFont="1" applyFill="1" applyBorder="1"/>
    <xf numFmtId="0" fontId="0" fillId="0" borderId="14" xfId="0" applyBorder="1"/>
    <xf numFmtId="9" fontId="0" fillId="0" borderId="36" xfId="45" applyFont="1" applyBorder="1"/>
    <xf numFmtId="168" fontId="117" fillId="0" borderId="36" xfId="24" applyNumberFormat="1" applyFont="1" applyBorder="1"/>
    <xf numFmtId="177" fontId="0" fillId="0" borderId="0" xfId="24" applyNumberFormat="1" applyFont="1"/>
    <xf numFmtId="0" fontId="0" fillId="0" borderId="0" xfId="0"/>
    <xf numFmtId="0" fontId="1" fillId="0" borderId="0" xfId="6" applyFont="1" applyFill="1" applyAlignment="1">
      <alignment horizontal="left"/>
    </xf>
    <xf numFmtId="168" fontId="1" fillId="0" borderId="1" xfId="28" applyNumberFormat="1" applyFont="1" applyFill="1" applyBorder="1" applyAlignment="1">
      <alignment horizontal="center"/>
    </xf>
    <xf numFmtId="168" fontId="1" fillId="0" borderId="1" xfId="24" applyNumberFormat="1" applyFont="1" applyFill="1" applyBorder="1" applyAlignment="1">
      <alignment horizontal="center"/>
    </xf>
    <xf numFmtId="168" fontId="1" fillId="0" borderId="0" xfId="24" applyNumberFormat="1" applyFont="1" applyFill="1" applyAlignment="1">
      <alignment horizontal="center"/>
    </xf>
    <xf numFmtId="167" fontId="1" fillId="0" borderId="0" xfId="45" applyNumberFormat="1" applyFont="1" applyFill="1" applyAlignment="1">
      <alignment horizontal="center"/>
    </xf>
    <xf numFmtId="0" fontId="1" fillId="0" borderId="0" xfId="6" applyFont="1" applyFill="1" applyAlignment="1"/>
    <xf numFmtId="0" fontId="1" fillId="0" borderId="0" xfId="6" applyFont="1" applyAlignment="1">
      <alignment horizontal="left"/>
    </xf>
    <xf numFmtId="168" fontId="1" fillId="0" borderId="0" xfId="28" applyNumberFormat="1" applyFont="1" applyFill="1" applyBorder="1" applyAlignment="1">
      <alignment horizontal="center"/>
    </xf>
    <xf numFmtId="0" fontId="1" fillId="0" borderId="0" xfId="7" applyFont="1" applyFill="1" applyAlignment="1">
      <alignment horizontal="left"/>
    </xf>
    <xf numFmtId="0" fontId="1" fillId="0" borderId="0" xfId="7" applyFont="1" applyAlignment="1">
      <alignment horizontal="left"/>
    </xf>
    <xf numFmtId="168" fontId="1" fillId="0" borderId="0" xfId="24" applyNumberFormat="1" applyFont="1" applyFill="1" applyBorder="1" applyAlignment="1">
      <alignment horizontal="center"/>
    </xf>
    <xf numFmtId="0" fontId="0" fillId="0" borderId="0" xfId="0"/>
    <xf numFmtId="168" fontId="26" fillId="0" borderId="1" xfId="28" applyNumberFormat="1" applyFont="1" applyFill="1" applyBorder="1" applyAlignment="1">
      <alignment horizontal="center"/>
    </xf>
    <xf numFmtId="0" fontId="0" fillId="0" borderId="0" xfId="0"/>
    <xf numFmtId="168" fontId="117" fillId="0" borderId="0" xfId="28" applyNumberFormat="1" applyFont="1"/>
    <xf numFmtId="168" fontId="1" fillId="2" borderId="1" xfId="28" applyNumberFormat="1" applyFont="1" applyFill="1" applyBorder="1"/>
    <xf numFmtId="168" fontId="1" fillId="2" borderId="0" xfId="28" applyNumberFormat="1" applyFont="1" applyFill="1" applyBorder="1"/>
    <xf numFmtId="168" fontId="1" fillId="2" borderId="15" xfId="28" applyNumberFormat="1" applyFont="1" applyFill="1" applyBorder="1"/>
    <xf numFmtId="167" fontId="117" fillId="2" borderId="1" xfId="45" applyNumberFormat="1" applyFont="1" applyFill="1" applyBorder="1"/>
    <xf numFmtId="167" fontId="17" fillId="0" borderId="0" xfId="45" applyNumberFormat="1" applyFont="1"/>
    <xf numFmtId="168" fontId="117" fillId="2" borderId="15" xfId="24" applyNumberFormat="1" applyFont="1" applyFill="1" applyBorder="1"/>
    <xf numFmtId="168" fontId="117" fillId="2" borderId="1" xfId="24" applyNumberFormat="1" applyFont="1" applyFill="1" applyBorder="1"/>
    <xf numFmtId="168" fontId="117" fillId="2" borderId="0" xfId="24" applyNumberFormat="1" applyFont="1" applyFill="1" applyBorder="1"/>
    <xf numFmtId="167" fontId="117" fillId="0" borderId="0" xfId="24" applyNumberFormat="1" applyFont="1" applyFill="1" applyBorder="1"/>
    <xf numFmtId="193" fontId="10" fillId="6" borderId="0" xfId="6" applyNumberFormat="1" applyFont="1" applyFill="1" applyAlignment="1">
      <alignment horizontal="left"/>
    </xf>
    <xf numFmtId="37" fontId="117" fillId="0" borderId="0" xfId="24" applyNumberFormat="1" applyFont="1" applyAlignment="1">
      <alignment horizontal="right"/>
    </xf>
    <xf numFmtId="168" fontId="117" fillId="2" borderId="0" xfId="24" applyNumberFormat="1" applyFont="1" applyFill="1"/>
    <xf numFmtId="167" fontId="117" fillId="0" borderId="0" xfId="6" applyNumberFormat="1" applyFont="1" applyBorder="1"/>
    <xf numFmtId="167" fontId="117" fillId="0" borderId="11" xfId="6" applyNumberFormat="1" applyFont="1" applyBorder="1"/>
    <xf numFmtId="168" fontId="118" fillId="2" borderId="0" xfId="28" applyNumberFormat="1" applyFont="1" applyFill="1" applyBorder="1"/>
    <xf numFmtId="171" fontId="1" fillId="0" borderId="1" xfId="26" applyNumberFormat="1" applyFont="1" applyBorder="1" applyAlignment="1">
      <alignment horizontal="left"/>
    </xf>
    <xf numFmtId="167" fontId="117" fillId="0" borderId="0" xfId="24" applyNumberFormat="1" applyFont="1"/>
    <xf numFmtId="176" fontId="1" fillId="0" borderId="1" xfId="26" applyNumberFormat="1" applyFont="1" applyBorder="1" applyAlignment="1">
      <alignment horizontal="left"/>
    </xf>
    <xf numFmtId="176" fontId="117" fillId="2" borderId="1" xfId="28" applyNumberFormat="1" applyFont="1" applyFill="1" applyBorder="1"/>
    <xf numFmtId="176" fontId="117" fillId="2" borderId="0" xfId="28" applyNumberFormat="1" applyFont="1" applyFill="1"/>
    <xf numFmtId="176" fontId="117" fillId="2" borderId="15" xfId="28" applyNumberFormat="1" applyFont="1" applyFill="1" applyBorder="1"/>
    <xf numFmtId="176" fontId="119" fillId="0" borderId="0" xfId="28" applyNumberFormat="1" applyFont="1"/>
    <xf numFmtId="167" fontId="117" fillId="2" borderId="1" xfId="7" applyNumberFormat="1" applyFont="1" applyFill="1" applyBorder="1"/>
    <xf numFmtId="167" fontId="117" fillId="2" borderId="5" xfId="45" applyNumberFormat="1" applyFont="1" applyFill="1" applyBorder="1"/>
    <xf numFmtId="195" fontId="17" fillId="2" borderId="1" xfId="6" applyNumberFormat="1" applyFont="1" applyFill="1" applyBorder="1"/>
    <xf numFmtId="167" fontId="117" fillId="2" borderId="11" xfId="45" applyNumberFormat="1" applyFont="1" applyFill="1" applyBorder="1"/>
    <xf numFmtId="167" fontId="117" fillId="2" borderId="25" xfId="45" applyNumberFormat="1" applyFont="1" applyFill="1" applyBorder="1"/>
    <xf numFmtId="167" fontId="117" fillId="2" borderId="5" xfId="6" applyNumberFormat="1" applyFont="1" applyFill="1" applyBorder="1"/>
    <xf numFmtId="167" fontId="117" fillId="2" borderId="11" xfId="6" applyNumberFormat="1" applyFont="1" applyFill="1" applyBorder="1"/>
    <xf numFmtId="167" fontId="117" fillId="2" borderId="25" xfId="6" applyNumberFormat="1" applyFont="1" applyFill="1" applyBorder="1"/>
    <xf numFmtId="167" fontId="117" fillId="2" borderId="0" xfId="6" applyNumberFormat="1" applyFont="1" applyFill="1"/>
    <xf numFmtId="167" fontId="117" fillId="2" borderId="15" xfId="6" applyNumberFormat="1" applyFont="1" applyFill="1" applyBorder="1"/>
    <xf numFmtId="0" fontId="12" fillId="6" borderId="58" xfId="6" applyFont="1" applyFill="1" applyBorder="1" applyAlignment="1">
      <alignment horizontal="center"/>
    </xf>
    <xf numFmtId="0" fontId="12" fillId="6" borderId="12" xfId="6" applyFont="1" applyFill="1" applyBorder="1" applyAlignment="1">
      <alignment horizontal="center"/>
    </xf>
    <xf numFmtId="0" fontId="12" fillId="6" borderId="13" xfId="6" applyFont="1" applyFill="1" applyBorder="1" applyAlignment="1">
      <alignment horizontal="center"/>
    </xf>
    <xf numFmtId="0" fontId="1" fillId="12" borderId="0" xfId="54" applyFont="1" applyFill="1" applyAlignment="1">
      <alignment vertical="top"/>
    </xf>
    <xf numFmtId="0" fontId="1" fillId="12" borderId="0" xfId="1" applyFill="1" applyAlignment="1">
      <alignment vertical="top"/>
    </xf>
    <xf numFmtId="0" fontId="1" fillId="12" borderId="0" xfId="1" applyFill="1"/>
    <xf numFmtId="0" fontId="72" fillId="12" borderId="0" xfId="54" applyFont="1" applyFill="1" applyAlignment="1">
      <alignment horizontal="left" vertical="top"/>
    </xf>
    <xf numFmtId="0" fontId="1" fillId="12" borderId="0" xfId="1" applyFont="1" applyFill="1" applyAlignment="1">
      <alignment vertical="top"/>
    </xf>
    <xf numFmtId="0" fontId="18" fillId="12" borderId="0" xfId="54" applyFont="1" applyFill="1" applyAlignment="1">
      <alignment vertical="top"/>
    </xf>
    <xf numFmtId="0" fontId="0" fillId="12" borderId="0" xfId="0" applyFill="1" applyAlignment="1">
      <alignment vertical="top"/>
    </xf>
    <xf numFmtId="0" fontId="121" fillId="12" borderId="0" xfId="0" applyFont="1" applyFill="1" applyAlignment="1">
      <alignment vertical="top"/>
    </xf>
    <xf numFmtId="0" fontId="122" fillId="12" borderId="0" xfId="0" applyFont="1" applyFill="1" applyAlignment="1">
      <alignment vertical="top"/>
    </xf>
    <xf numFmtId="0" fontId="122" fillId="12" borderId="0" xfId="0" applyFont="1" applyFill="1" applyAlignment="1">
      <alignment vertical="top"/>
    </xf>
    <xf numFmtId="0" fontId="121" fillId="12" borderId="0" xfId="0" applyFont="1" applyFill="1" applyAlignment="1">
      <alignment vertical="top"/>
    </xf>
    <xf numFmtId="0" fontId="0" fillId="12" borderId="0" xfId="0" applyFill="1" applyAlignment="1">
      <alignment vertical="top"/>
    </xf>
    <xf numFmtId="0" fontId="0" fillId="12" borderId="64" xfId="0" applyFill="1" applyBorder="1" applyAlignment="1">
      <alignment vertical="top"/>
    </xf>
    <xf numFmtId="0" fontId="121" fillId="12" borderId="60" xfId="0" applyFont="1" applyFill="1" applyBorder="1" applyAlignment="1">
      <alignment vertical="top"/>
    </xf>
    <xf numFmtId="0" fontId="121" fillId="12" borderId="61" xfId="0" applyFont="1" applyFill="1" applyBorder="1" applyAlignment="1">
      <alignment vertical="top"/>
    </xf>
    <xf numFmtId="0" fontId="121" fillId="12" borderId="62" xfId="0" applyFont="1" applyFill="1" applyBorder="1" applyAlignment="1">
      <alignment vertical="top"/>
    </xf>
    <xf numFmtId="0" fontId="121" fillId="12" borderId="63" xfId="0" applyFont="1" applyFill="1" applyBorder="1" applyAlignment="1">
      <alignment vertical="top"/>
    </xf>
    <xf numFmtId="9" fontId="121" fillId="12" borderId="60" xfId="0" applyNumberFormat="1" applyFont="1" applyFill="1" applyBorder="1" applyAlignment="1">
      <alignment vertical="top"/>
    </xf>
    <xf numFmtId="3" fontId="121" fillId="12" borderId="60" xfId="0" applyNumberFormat="1" applyFont="1" applyFill="1" applyBorder="1" applyAlignment="1">
      <alignment vertical="top"/>
    </xf>
    <xf numFmtId="0" fontId="0" fillId="12" borderId="65" xfId="0" applyFill="1" applyBorder="1" applyAlignment="1">
      <alignment vertical="top"/>
    </xf>
    <xf numFmtId="2" fontId="1" fillId="0" borderId="0" xfId="1" applyNumberFormat="1" applyAlignment="1">
      <alignment horizontal="left"/>
    </xf>
    <xf numFmtId="0" fontId="1" fillId="0" borderId="0" xfId="1" applyNumberFormat="1" applyAlignment="1">
      <alignment horizontal="left"/>
    </xf>
    <xf numFmtId="1" fontId="1" fillId="0" borderId="0" xfId="1" applyNumberFormat="1" applyAlignment="1">
      <alignment horizontal="left"/>
    </xf>
    <xf numFmtId="0" fontId="1" fillId="0" borderId="0" xfId="1" applyFont="1"/>
    <xf numFmtId="207" fontId="1" fillId="0" borderId="0" xfId="1" applyNumberFormat="1" applyAlignment="1">
      <alignment horizontal="left"/>
    </xf>
    <xf numFmtId="49" fontId="1" fillId="0" borderId="0" xfId="1" applyNumberFormat="1"/>
    <xf numFmtId="0" fontId="123" fillId="0" borderId="0" xfId="1" applyFont="1" applyAlignment="1">
      <alignment wrapText="1"/>
    </xf>
    <xf numFmtId="0" fontId="123" fillId="0" borderId="0" xfId="1" applyFont="1" applyAlignment="1">
      <alignment horizontal="left" wrapText="1" indent="3"/>
    </xf>
    <xf numFmtId="0" fontId="123" fillId="0" borderId="0" xfId="1" applyFont="1" applyAlignment="1">
      <alignment horizontal="left" wrapText="1" indent="1"/>
    </xf>
    <xf numFmtId="0" fontId="125" fillId="0" borderId="0" xfId="1" applyFont="1" applyAlignment="1">
      <alignment wrapText="1"/>
    </xf>
    <xf numFmtId="49" fontId="0" fillId="0" borderId="0" xfId="0" applyNumberFormat="1"/>
  </cellXfs>
  <cellStyles count="55">
    <cellStyle name=" 1" xfId="2"/>
    <cellStyle name=" 1 2" xfId="3"/>
    <cellStyle name=" 2" xfId="4"/>
    <cellStyle name=" 2 2" xfId="5"/>
    <cellStyle name="******************************************" xfId="6"/>
    <cellStyle name="****************************************** 2" xfId="7"/>
    <cellStyle name="****************************************** 2 2" xfId="8"/>
    <cellStyle name="****************************************** 3" xfId="9"/>
    <cellStyle name="_SUMMARY " xfId="11"/>
    <cellStyle name="0_Capex &amp; Depreciation " xfId="13"/>
    <cellStyle name="0_P&amp;L-adj " xfId="14"/>
    <cellStyle name="0_Quarterly " xfId="15"/>
    <cellStyle name="0_Valuing BP " xfId="16"/>
    <cellStyle name="ÅëÈ­ [0]_cover " xfId="17"/>
    <cellStyle name="ÅëÈ­_cover " xfId="18"/>
    <cellStyle name="ÄÞ¸¶ [0]_cover " xfId="19"/>
    <cellStyle name="ÄÞ¸¶_cover " xfId="20"/>
    <cellStyle name="c_HardInc " xfId="21"/>
    <cellStyle name="C￥AØ_¿μ¾÷CoE² " xfId="22"/>
    <cellStyle name="Ç¥ÁØ_cover " xfId="23"/>
    <cellStyle name="Comma" xfId="24" builtinId="3"/>
    <cellStyle name="Comma [0]" xfId="25" builtinId="6"/>
    <cellStyle name="Comma [0]_FORECAST" xfId="26"/>
    <cellStyle name="Comma [0]_FORECAST 3" xfId="27"/>
    <cellStyle name="Comma 10" xfId="28"/>
    <cellStyle name="Currency" xfId="29" builtinId="4"/>
    <cellStyle name="Currency [0]_FORECAST" xfId="30"/>
    <cellStyle name="Currency 2" xfId="31"/>
    <cellStyle name="Currency 3" xfId="12"/>
    <cellStyle name="Normal" xfId="0" builtinId="0"/>
    <cellStyle name="Normal 11" xfId="32"/>
    <cellStyle name="Normal 2" xfId="1"/>
    <cellStyle name="Normal_AEP Model WIP 02.01.13" xfId="33"/>
    <cellStyle name="Normal_Debt" xfId="34"/>
    <cellStyle name="Normal_DisclaimerSheet Samples" xfId="54"/>
    <cellStyle name="Normal_MS Price Deck 3.30.12" xfId="35"/>
    <cellStyle name="Normal_NEE Model 1.10.12 2" xfId="36"/>
    <cellStyle name="Normal_NEE Model 1.10.12 2 2" xfId="37"/>
    <cellStyle name="Normal_NEE Model 1.10.12 3" xfId="38"/>
    <cellStyle name="Normal_NEE Model 1.10.12_FE Model 01.31.13 WIP v2" xfId="39"/>
    <cellStyle name="Normal_NEE Model 1.10.12_FE Model 02.01.13 WIP" xfId="40"/>
    <cellStyle name="Normal_NEE Model 1.10.12_FE Model 02.01.13 WIP 2" xfId="41"/>
    <cellStyle name="Normal_NRGEnergyInc(1)" xfId="42"/>
    <cellStyle name="Normal_PEG Model 6.14.12" xfId="43"/>
    <cellStyle name="p " xfId="44"/>
    <cellStyle name="Percent" xfId="45" builtinId="5"/>
    <cellStyle name="Percent 10" xfId="46"/>
    <cellStyle name="RRSInstruction" xfId="47"/>
    <cellStyle name="RRSInstruction 2" xfId="10"/>
    <cellStyle name="s_HardInc " xfId="48"/>
    <cellStyle name="s_Valuation " xfId="49"/>
    <cellStyle name="ssp " xfId="50"/>
    <cellStyle name="콤마 [0]_ 2팀층별 " xfId="51"/>
    <cellStyle name="콤마_ 2팀층별 " xfId="52"/>
    <cellStyle name="표준_0N-HANDLING " xfId="53"/>
  </cellStyles>
  <dxfs count="1">
    <dxf>
      <font>
        <i val="0"/>
        <condense val="0"/>
        <extend val="0"/>
        <color indexed="63"/>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125A31"/>
      <rgbColor rgb="00E2E7E8"/>
      <rgbColor rgb="009DC9DC"/>
      <rgbColor rgb="00B2122B"/>
      <rgbColor rgb="00FC7114"/>
      <rgbColor rgb="00F8CD14"/>
      <rgbColor rgb="00003366"/>
      <rgbColor rgb="004091BF"/>
      <rgbColor rgb="00FCAE91"/>
      <rgbColor rgb="002270AB"/>
      <rgbColor rgb="00E3EEDE"/>
      <rgbColor rgb="0069ADCA"/>
      <rgbColor rgb="00CED5D7"/>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800080"/>
      <rgbColor rgb="00FFFFCC"/>
      <rgbColor rgb="0097A5BB"/>
      <rgbColor rgb="00F7BEBF"/>
      <rgbColor rgb="00EFC1D2"/>
      <rgbColor rgb="00EFC49F"/>
      <rgbColor rgb="00ECD7B2"/>
      <rgbColor rgb="00A6DAC5"/>
      <rgbColor rgb="00C7E5BE"/>
      <rgbColor rgb="00A1D399"/>
      <rgbColor rgb="0041A95C"/>
      <rgbColor rgb="00E5EEF7"/>
      <rgbColor rgb="00238B45"/>
      <rgbColor rgb="001B4694"/>
      <rgbColor rgb="00C6D9E2"/>
      <rgbColor rgb="00969696"/>
      <rgbColor rgb="00FB9A7A"/>
      <rgbColor rgb="0074BE74"/>
      <rgbColor rgb="00EE7F81"/>
      <rgbColor rgb="00F26163"/>
      <rgbColor rgb="00FF0000"/>
      <rgbColor rgb="00A55628"/>
      <rgbColor rgb="00FDCDB8"/>
      <rgbColor rgb="000000FF"/>
    </indexed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externalLinks/externalLink1.xml" Type="http://schemas.openxmlformats.org/officeDocument/2006/relationships/externalLink"/>
<Relationship Id="rId25" Target="externalLinks/externalLink2.xml" Type="http://schemas.openxmlformats.org/officeDocument/2006/relationships/externalLink"/>
<Relationship Id="rId26" Target="externalLinks/externalLink3.xml" Type="http://schemas.openxmlformats.org/officeDocument/2006/relationships/externalLink"/>
<Relationship Id="rId27" Target="externalLinks/externalLink4.xml" Type="http://schemas.openxmlformats.org/officeDocument/2006/relationships/externalLink"/>
<Relationship Id="rId28" Target="externalLinks/externalLink5.xml" Type="http://schemas.openxmlformats.org/officeDocument/2006/relationships/externalLink"/>
<Relationship Id="rId29" Target="externalLinks/externalLink6.xml" Type="http://schemas.openxmlformats.org/officeDocument/2006/relationships/externalLink"/>
<Relationship Id="rId3" Target="worksheets/sheet3.xml" Type="http://schemas.openxmlformats.org/officeDocument/2006/relationships/worksheet"/>
<Relationship Id="rId30" Target="externalLinks/externalLink7.xml" Type="http://schemas.openxmlformats.org/officeDocument/2006/relationships/externalLink"/>
<Relationship Id="rId31" Target="externalLinks/externalLink8.xml" Type="http://schemas.openxmlformats.org/officeDocument/2006/relationships/externalLink"/>
<Relationship Id="rId32" Target="externalLinks/externalLink9.xml" Type="http://schemas.openxmlformats.org/officeDocument/2006/relationships/externalLink"/>
<Relationship Id="rId33" Target="externalLinks/externalLink10.xml" Type="http://schemas.openxmlformats.org/officeDocument/2006/relationships/externalLink"/>
<Relationship Id="rId34" Target="externalLinks/externalLink11.xml" Type="http://schemas.openxmlformats.org/officeDocument/2006/relationships/externalLink"/>
<Relationship Id="rId35" Target="externalLinks/externalLink12.xml" Type="http://schemas.openxmlformats.org/officeDocument/2006/relationships/externalLink"/>
<Relationship Id="rId36" Target="externalLinks/externalLink13.xml" Type="http://schemas.openxmlformats.org/officeDocument/2006/relationships/externalLink"/>
<Relationship Id="rId37" Target="externalLinks/externalLink14.xml" Type="http://schemas.openxmlformats.org/officeDocument/2006/relationships/externalLink"/>
<Relationship Id="rId38" Target="externalLinks/externalLink15.xml" Type="http://schemas.openxmlformats.org/officeDocument/2006/relationships/externalLink"/>
<Relationship Id="rId39" Target="externalLinks/externalLink16.xml" Type="http://schemas.openxmlformats.org/officeDocument/2006/relationships/externalLink"/>
<Relationship Id="rId4" Target="worksheets/sheet4.xml" Type="http://schemas.openxmlformats.org/officeDocument/2006/relationships/worksheet"/>
<Relationship Id="rId40" Target="externalLinks/externalLink17.xml" Type="http://schemas.openxmlformats.org/officeDocument/2006/relationships/externalLink"/>
<Relationship Id="rId41" Target="externalLinks/externalLink18.xml" Type="http://schemas.openxmlformats.org/officeDocument/2006/relationships/externalLink"/>
<Relationship Id="rId42" Target="externalLinks/externalLink19.xml" Type="http://schemas.openxmlformats.org/officeDocument/2006/relationships/externalLink"/>
<Relationship Id="rId43" Target="externalLinks/externalLink20.xml" Type="http://schemas.openxmlformats.org/officeDocument/2006/relationships/externalLink"/>
<Relationship Id="rId44" Target="externalLinks/externalLink21.xml" Type="http://schemas.openxmlformats.org/officeDocument/2006/relationships/externalLink"/>
<Relationship Id="rId45" Target="externalLinks/externalLink22.xml" Type="http://schemas.openxmlformats.org/officeDocument/2006/relationships/externalLink"/>
<Relationship Id="rId46" Target="externalLinks/externalLink23.xml" Type="http://schemas.openxmlformats.org/officeDocument/2006/relationships/externalLink"/>
<Relationship Id="rId47" Target="externalLinks/externalLink24.xml" Type="http://schemas.openxmlformats.org/officeDocument/2006/relationships/externalLink"/>
<Relationship Id="rId48" Target="theme/theme1.xml" Type="http://schemas.openxmlformats.org/officeDocument/2006/relationships/theme"/>
<Relationship Id="rId49" Target="styles.xml" Type="http://schemas.openxmlformats.org/officeDocument/2006/relationships/styles"/>
<Relationship Id="rId5" Target="worksheets/sheet5.xml" Type="http://schemas.openxmlformats.org/officeDocument/2006/relationships/worksheet"/>
<Relationship Id="rId50" Target="sharedStrings.xml" Type="http://schemas.openxmlformats.org/officeDocument/2006/relationships/sharedStrings"/>
<Relationship Id="rId51" Target="calcChain.xml" Type="http://schemas.openxmlformats.org/officeDocument/2006/relationships/calcChain"/>
<Relationship Id="rId52" Target="../customXml/item1.xml" Type="http://schemas.openxmlformats.org/officeDocument/2006/relationships/customXml"/>
<Relationship Id="rId53" Target="../customXml/item2.xml" Type="http://schemas.openxmlformats.org/officeDocument/2006/relationships/customXml"/>
<Relationship Id="rId54" Target="vbaProject.bin" Type="http://schemas.microsoft.com/office/2006/relationships/vbaProjec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3.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4.xml.rels><?xml version="1.0" encoding="UTF-8" standalone="yes"?>
<Relationships xmlns="http://schemas.openxmlformats.org/package/2006/relationships">
<Relationship Id="rId1" Target="../media/image5.png" Type="http://schemas.openxmlformats.org/officeDocument/2006/relationships/image"/>
</Relationships>

</file>

<file path=xl/drawings/_rels/drawing5.xml.rels><?xml version="1.0" encoding="UTF-8" standalone="yes"?>
<Relationships xmlns="http://schemas.openxmlformats.org/package/2006/relationships">
<Relationship Id="rId1" Target="../media/image5.png" Type="http://schemas.openxmlformats.org/officeDocument/2006/relationships/image"/>
</Relationships>

</file>

<file path=xl/drawings/_rels/drawing6.xml.rels><?xml version="1.0" encoding="UTF-8" standalone="yes"?>
<Relationships xmlns="http://schemas.openxmlformats.org/package/2006/relationships">
<Relationship Id="rId1" Target="../media/image5.png" Type="http://schemas.openxmlformats.org/officeDocument/2006/relationships/image"/>
</Relationships>

</file>

<file path=xl/drawings/_rels/drawing7.xml.rels><?xml version="1.0" encoding="UTF-8" standalone="yes"?>
<Relationships xmlns="http://schemas.openxmlformats.org/package/2006/relationships">
<Relationship Id="rId1" Target="../media/image5.png" Type="http://schemas.openxmlformats.org/officeDocument/2006/relationships/image"/>
</Relationships>

</file>

<file path=xl/drawings/_rels/drawing8.xml.rels><?xml version="1.0" encoding="UTF-8" standalone="yes"?>
<Relationships xmlns="http://schemas.openxmlformats.org/package/2006/relationships">
<Relationship Id="rId1" Target="../media/image5.png" Type="http://schemas.openxmlformats.org/officeDocument/2006/relationships/image"/>
</Relationships>

</file>

<file path=xl/drawings/_rels/drawing9.xml.rels><?xml version="1.0" encoding="UTF-8" standalone="yes"?>
<Relationships xmlns="http://schemas.openxmlformats.org/package/2006/relationships">
<Relationship Id="rId1" Target="../media/image5.png" Type="http://schemas.openxmlformats.org/officeDocument/2006/relationships/image"/>
</Relationships>

</file>

<file path=xl/drawings/_rels/drawing10.xml.rels><?xml version="1.0" encoding="UTF-8" standalone="yes"?>
<Relationships xmlns="http://schemas.openxmlformats.org/package/2006/relationships">
<Relationship Id="rId1" Target="../media/image5.png" Type="http://schemas.openxmlformats.org/officeDocument/2006/relationships/image"/>
</Relationships>

</file>

<file path=xl/drawings/_rels/drawing11.xml.rels><?xml version="1.0" encoding="UTF-8" standalone="yes"?>
<Relationships xmlns="http://schemas.openxmlformats.org/package/2006/relationships">
<Relationship Id="rId1" Target="../media/image5.png" Type="http://schemas.openxmlformats.org/officeDocument/2006/relationships/image"/>
</Relationships>

</file>

<file path=xl/drawings/_rels/drawing12.xml.rels><?xml version="1.0" encoding="UTF-8" standalone="yes"?>
<Relationships xmlns="http://schemas.openxmlformats.org/package/2006/relationships">
<Relationship Id="rId1" Target="../media/image5.png" Type="http://schemas.openxmlformats.org/officeDocument/2006/relationships/image"/>
</Relationships>

</file>

<file path=xl/drawings/_rels/drawing13.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14.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15.xml.rels><?xml version="1.0" encoding="UTF-8" standalone="yes"?>
<Relationships xmlns="http://schemas.openxmlformats.org/package/2006/relationships">
<Relationship Id="rId1" Target="../media/image5.png" Type="http://schemas.openxmlformats.org/officeDocument/2006/relationships/image"/>
</Relationships>

</file>

<file path=xl/drawings/_rels/drawing16.xml.rels><?xml version="1.0" encoding="UTF-8" standalone="yes"?>
<Relationships xmlns="http://schemas.openxmlformats.org/package/2006/relationships">
<Relationship Id="rId1" Target="../media/image5.pn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180</xdr:row>
      <xdr:rowOff>0</xdr:rowOff>
    </xdr:from>
    <xdr:to>
      <xdr:col>7</xdr:col>
      <xdr:colOff>390525</xdr:colOff>
      <xdr:row>203</xdr:row>
      <xdr:rowOff>104775</xdr:rowOff>
    </xdr:to>
    <xdr:pic>
      <xdr:nvPicPr>
        <xdr:cNvPr id="4284417" name="Picture 1" descr="C:\Users\elliseth\AppData\Local\Temp\MercuryPriceRatingHistoryChart\AEP.N_2018_04_23_18_43_05.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77490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11</xdr:row>
          <xdr:rowOff>152400</xdr:rowOff>
        </xdr:from>
        <xdr:to>
          <xdr:col>1</xdr:col>
          <xdr:colOff>2819400</xdr:colOff>
          <xdr:row>14</xdr:row>
          <xdr:rowOff>152400</xdr:rowOff>
        </xdr:to>
        <xdr:sp macro="" textlink="">
          <xdr:nvSpPr>
            <xdr:cNvPr id="4285441" name="Button 1" hidden="1">
              <a:extLst>
                <a:ext uri="{63B3BB69-23CF-44E3-9099-C40C66FF867C}">
                  <a14:compatExt spid="_x0000_s4285441"/>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Apply Circular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3067050</xdr:colOff>
          <xdr:row>11</xdr:row>
          <xdr:rowOff>152400</xdr:rowOff>
        </xdr:from>
        <xdr:to>
          <xdr:col>2</xdr:col>
          <xdr:colOff>0</xdr:colOff>
          <xdr:row>14</xdr:row>
          <xdr:rowOff>152400</xdr:rowOff>
        </xdr:to>
        <xdr:sp macro="" textlink="">
          <xdr:nvSpPr>
            <xdr:cNvPr id="4285442" name="Button 2" hidden="1">
              <a:extLst>
                <a:ext uri="{63B3BB69-23CF-44E3-9099-C40C66FF867C}">
                  <a14:compatExt spid="_x0000_s4285442"/>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Just Display Sheets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600075</xdr:colOff>
      <xdr:row>2</xdr:row>
      <xdr:rowOff>38100</xdr:rowOff>
    </xdr:from>
    <xdr:to>
      <xdr:col>10</xdr:col>
      <xdr:colOff>257175</xdr:colOff>
      <xdr:row>4</xdr:row>
      <xdr:rowOff>0</xdr:rowOff>
    </xdr:to>
    <xdr:pic>
      <xdr:nvPicPr>
        <xdr:cNvPr id="4088100" name="Picture 2"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38750" y="561975"/>
          <a:ext cx="2867025"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88</xdr:col>
      <xdr:colOff>295275</xdr:colOff>
      <xdr:row>1</xdr:row>
      <xdr:rowOff>28575</xdr:rowOff>
    </xdr:from>
    <xdr:to>
      <xdr:col>113</xdr:col>
      <xdr:colOff>552450</xdr:colOff>
      <xdr:row>2</xdr:row>
      <xdr:rowOff>123825</xdr:rowOff>
    </xdr:to>
    <xdr:pic>
      <xdr:nvPicPr>
        <xdr:cNvPr id="4089124" name="Picture 6"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82550" y="219075"/>
          <a:ext cx="299085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28</xdr:col>
      <xdr:colOff>0</xdr:colOff>
      <xdr:row>1</xdr:row>
      <xdr:rowOff>47625</xdr:rowOff>
    </xdr:from>
    <xdr:to>
      <xdr:col>49</xdr:col>
      <xdr:colOff>0</xdr:colOff>
      <xdr:row>2</xdr:row>
      <xdr:rowOff>142875</xdr:rowOff>
    </xdr:to>
    <xdr:pic>
      <xdr:nvPicPr>
        <xdr:cNvPr id="3921379" name="Picture 82"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43575" y="238125"/>
          <a:ext cx="3000375"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24</xdr:col>
      <xdr:colOff>0</xdr:colOff>
      <xdr:row>1</xdr:row>
      <xdr:rowOff>47625</xdr:rowOff>
    </xdr:from>
    <xdr:to>
      <xdr:col>49</xdr:col>
      <xdr:colOff>0</xdr:colOff>
      <xdr:row>2</xdr:row>
      <xdr:rowOff>142875</xdr:rowOff>
    </xdr:to>
    <xdr:pic>
      <xdr:nvPicPr>
        <xdr:cNvPr id="4090174" name="Picture 6"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95725" y="238125"/>
          <a:ext cx="3000375"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23</xdr:col>
      <xdr:colOff>590550</xdr:colOff>
      <xdr:row>1</xdr:row>
      <xdr:rowOff>57150</xdr:rowOff>
    </xdr:from>
    <xdr:to>
      <xdr:col>48</xdr:col>
      <xdr:colOff>447675</xdr:colOff>
      <xdr:row>2</xdr:row>
      <xdr:rowOff>152400</xdr:rowOff>
    </xdr:to>
    <xdr:pic>
      <xdr:nvPicPr>
        <xdr:cNvPr id="3998252" name="Picture 121"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52875" y="247650"/>
          <a:ext cx="304800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28</xdr:col>
      <xdr:colOff>0</xdr:colOff>
      <xdr:row>1</xdr:row>
      <xdr:rowOff>38100</xdr:rowOff>
    </xdr:from>
    <xdr:to>
      <xdr:col>49</xdr:col>
      <xdr:colOff>0</xdr:colOff>
      <xdr:row>2</xdr:row>
      <xdr:rowOff>133350</xdr:rowOff>
    </xdr:to>
    <xdr:pic>
      <xdr:nvPicPr>
        <xdr:cNvPr id="4318290" name="Picture 121"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62400" y="228600"/>
          <a:ext cx="3000375"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28</xdr:col>
      <xdr:colOff>0</xdr:colOff>
      <xdr:row>1</xdr:row>
      <xdr:rowOff>38100</xdr:rowOff>
    </xdr:from>
    <xdr:to>
      <xdr:col>48</xdr:col>
      <xdr:colOff>542925</xdr:colOff>
      <xdr:row>2</xdr:row>
      <xdr:rowOff>133350</xdr:rowOff>
    </xdr:to>
    <xdr:pic>
      <xdr:nvPicPr>
        <xdr:cNvPr id="4361477" name="Picture 1"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57625" y="228600"/>
          <a:ext cx="299085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23</xdr:col>
      <xdr:colOff>590550</xdr:colOff>
      <xdr:row>1</xdr:row>
      <xdr:rowOff>57150</xdr:rowOff>
    </xdr:from>
    <xdr:to>
      <xdr:col>48</xdr:col>
      <xdr:colOff>571500</xdr:colOff>
      <xdr:row>2</xdr:row>
      <xdr:rowOff>152400</xdr:rowOff>
    </xdr:to>
    <xdr:pic>
      <xdr:nvPicPr>
        <xdr:cNvPr id="3457933" name="Picture 121"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7875" y="247650"/>
          <a:ext cx="3019425"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23</xdr:col>
      <xdr:colOff>590550</xdr:colOff>
      <xdr:row>1</xdr:row>
      <xdr:rowOff>57150</xdr:rowOff>
    </xdr:from>
    <xdr:to>
      <xdr:col>48</xdr:col>
      <xdr:colOff>590550</xdr:colOff>
      <xdr:row>2</xdr:row>
      <xdr:rowOff>152400</xdr:rowOff>
    </xdr:to>
    <xdr:pic>
      <xdr:nvPicPr>
        <xdr:cNvPr id="4091172" name="Picture 1"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247650"/>
          <a:ext cx="3000375"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4</xdr:col>
      <xdr:colOff>142875</xdr:colOff>
      <xdr:row>1</xdr:row>
      <xdr:rowOff>85725</xdr:rowOff>
    </xdr:from>
    <xdr:to>
      <xdr:col>9</xdr:col>
      <xdr:colOff>38100</xdr:colOff>
      <xdr:row>2</xdr:row>
      <xdr:rowOff>180975</xdr:rowOff>
    </xdr:to>
    <xdr:pic>
      <xdr:nvPicPr>
        <xdr:cNvPr id="4092489" name="Picture 4"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91050" y="276225"/>
          <a:ext cx="299085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142875</xdr:colOff>
      <xdr:row>1</xdr:row>
      <xdr:rowOff>85725</xdr:rowOff>
    </xdr:from>
    <xdr:to>
      <xdr:col>9</xdr:col>
      <xdr:colOff>38100</xdr:colOff>
      <xdr:row>2</xdr:row>
      <xdr:rowOff>180975</xdr:rowOff>
    </xdr:to>
    <xdr:pic>
      <xdr:nvPicPr>
        <xdr:cNvPr id="4092490" name="Picture 4"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91050" y="276225"/>
          <a:ext cx="299085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19</xdr:col>
      <xdr:colOff>342900</xdr:colOff>
      <xdr:row>0</xdr:row>
      <xdr:rowOff>133350</xdr:rowOff>
    </xdr:from>
    <xdr:to>
      <xdr:col>24</xdr:col>
      <xdr:colOff>438150</xdr:colOff>
      <xdr:row>1</xdr:row>
      <xdr:rowOff>180975</xdr:rowOff>
    </xdr:to>
    <xdr:pic>
      <xdr:nvPicPr>
        <xdr:cNvPr id="4093220" name="Picture 1"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29400" y="133350"/>
          <a:ext cx="30003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190500</xdr:colOff>
      <xdr:row>1</xdr:row>
      <xdr:rowOff>38100</xdr:rowOff>
    </xdr:from>
    <xdr:to>
      <xdr:col>6</xdr:col>
      <xdr:colOff>400050</xdr:colOff>
      <xdr:row>2</xdr:row>
      <xdr:rowOff>133350</xdr:rowOff>
    </xdr:to>
    <xdr:pic>
      <xdr:nvPicPr>
        <xdr:cNvPr id="4094244" name="Picture 13"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71850" y="228600"/>
          <a:ext cx="3000375"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28</xdr:col>
      <xdr:colOff>0</xdr:colOff>
      <xdr:row>1</xdr:row>
      <xdr:rowOff>38100</xdr:rowOff>
    </xdr:from>
    <xdr:to>
      <xdr:col>49</xdr:col>
      <xdr:colOff>0</xdr:colOff>
      <xdr:row>2</xdr:row>
      <xdr:rowOff>133350</xdr:rowOff>
    </xdr:to>
    <xdr:pic>
      <xdr:nvPicPr>
        <xdr:cNvPr id="4095268" name="Picture 121"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10025" y="228600"/>
          <a:ext cx="3000375"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8</xdr:col>
      <xdr:colOff>400050</xdr:colOff>
      <xdr:row>0</xdr:row>
      <xdr:rowOff>171450</xdr:rowOff>
    </xdr:from>
    <xdr:to>
      <xdr:col>12</xdr:col>
      <xdr:colOff>800100</xdr:colOff>
      <xdr:row>2</xdr:row>
      <xdr:rowOff>76200</xdr:rowOff>
    </xdr:to>
    <xdr:pic>
      <xdr:nvPicPr>
        <xdr:cNvPr id="4096292" name="Picture 4"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00700" y="171450"/>
          <a:ext cx="300990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
<Relationship Id="rId1" Target="file://///msad/root/na/ny/users/johndasc/Docs/ID/Charts/Chart_Gallery/From%20Vlad/B11_BarSingle_AverageLine.xls" TargetMode="External" Type="http://schemas.openxmlformats.org/officeDocument/2006/relationships/externalLinkPath"/>
</Relationships>

</file>

<file path=xl/externalLinks/_rels/externalLink2.xml.rels><?xml version="1.0" encoding="UTF-8" standalone="yes"?>
<Relationships xmlns="http://schemas.openxmlformats.org/package/2006/relationships">
<Relationship Id="rId1" Target="NA/NY/LIB/ER/UTILITIES/Models/Rebuild/NVE/NVE%2010.4.11.xls" TargetMode="External" Type="http://schemas.microsoft.com/office/2006/relationships/xlExternalLinkPath/xlAlternateStartup"/>
</Relationships>

</file>

<file path=xl/externalLinks/_rels/externalLink3.xml.rels><?xml version="1.0" encoding="UTF-8" standalone="yes"?>
<Relationships xmlns="http://schemas.openxmlformats.org/package/2006/relationships">
<Relationship Id="rId1" Target="file://///msad/root/NA/NY/LIB/ER/UTILITIES/Models/Rebuild/NVE/NVE%2010.4.11.xls" TargetMode="External" Type="http://schemas.openxmlformats.org/officeDocument/2006/relationships/externalLinkPath"/>
</Relationships>

</file>

<file path=xl/externalLinks/_rels/externalLink4.xml.rels><?xml version="1.0" encoding="UTF-8" standalone="yes"?>
<Relationships xmlns="http://schemas.openxmlformats.org/package/2006/relationships">
<Relationship Id="rId1" Target="NA/NY/LIB/ER/UTILITIES/Models/Rebuild/NVE/NVE%20Model%2011.14.11.xls" TargetMode="External" Type="http://schemas.microsoft.com/office/2006/relationships/xlExternalLinkPath/xlAlternateStartup"/>
</Relationships>

</file>

<file path=xl/externalLinks/_rels/externalLink5.xml.rels><?xml version="1.0" encoding="UTF-8" standalone="yes"?>
<Relationships xmlns="http://schemas.openxmlformats.org/package/2006/relationships">
<Relationship Id="rId1" Target="file://///msad/root/NA/NY/LIB/ER/UTILITIES/Models/Rebuild/NVE/NVE%20Model%2011.14.11.xls" TargetMode="External" Type="http://schemas.openxmlformats.org/officeDocument/2006/relationships/externalLinkPath"/>
</Relationships>

</file>

<file path=xl/externalLinks/_rels/externalLink6.xml.rels><?xml version="1.0" encoding="UTF-8" standalone="yes"?>
<Relationships xmlns="http://schemas.openxmlformats.org/package/2006/relationships">
<Relationship Id="rId1" Target="UTILITIES/Models/CPN/CPN%20Model%2011.6.12%20WIP%20v2.xls" TargetMode="External" Type="http://schemas.microsoft.com/office/2006/relationships/xlExternalLinkPath/xlAlternateStartup"/>
</Relationships>

</file>

<file path=xl/externalLinks/_rels/externalLink7.xml.rels><?xml version="1.0" encoding="UTF-8" standalone="yes"?>
<Relationships xmlns="http://schemas.openxmlformats.org/package/2006/relationships">
<Relationship Id="rId1" Target="UTILITIES/Models/CPN/CPN%20Model%2011.6.12%20WIP%20v2.xls"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UTILITIES/Models/Rebuild/EIX/EMG%205.xls" TargetMode="External" Type="http://schemas.microsoft.com/office/2006/relationships/xlExternalLinkPath/xlStartup"/>
</Relationships>

</file>

<file path=xl/externalLinks/_rels/externalLink9.xml.rels><?xml version="1.0" encoding="UTF-8" standalone="yes"?>
<Relationships xmlns="http://schemas.openxmlformats.org/package/2006/relationships">
<Relationship Id="rId1" Target="C/UTILITY/Power/Utilities/WEC/Models/Initiation/Previous%20JPM%20WEC%20Model%2007%20Apr%2004.xls" TargetMode="External" Type="http://schemas.microsoft.com/office/2006/relationships/xlExternalLinkPath/xlStartup"/>
</Relationships>

</file>

<file path=xl/externalLinks/_rels/externalLink10.xml.rels><?xml version="1.0" encoding="UTF-8" standalone="yes"?>
<Relationships xmlns="http://schemas.openxmlformats.org/package/2006/relationships">
<Relationship Id="rId1" Target="C/UTILITY/Power/Utilities/WEC/Models/Initiation/Previous%20JPM%20WEC%20Model%2007%20Apr%2004.xls" TargetMode="External" Type="http://schemas.microsoft.com/office/2006/relationships/xlExternalLinkPath/xlAlternateStartup"/>
</Relationships>

</file>

<file path=xl/externalLinks/_rels/externalLink11.xml.rels><?xml version="1.0" encoding="UTF-8" standalone="yes"?>
<Relationships xmlns="http://schemas.openxmlformats.org/package/2006/relationships">
<Relationship Id="rId1" Target="C/UTILITY/Power/Models/Working/PNW%20Model%20Jen.xls" TargetMode="External" Type="http://schemas.microsoft.com/office/2006/relationships/xlExternalLinkPath/xlStartup"/>
</Relationships>

</file>

<file path=xl/externalLinks/_rels/externalLink12.xml.rels><?xml version="1.0" encoding="UTF-8" standalone="yes"?>
<Relationships xmlns="http://schemas.openxmlformats.org/package/2006/relationships">
<Relationship Id="rId1" Target="C/UTILITY/Power/Models/Working/PNW%20Model%20Jen.xls" TargetMode="External" Type="http://schemas.microsoft.com/office/2006/relationships/xlExternalLinkPath/xlAlternateStartup"/>
</Relationships>

</file>

<file path=xl/externalLinks/_rels/externalLink13.xml.rels><?xml version="1.0" encoding="UTF-8" standalone="yes"?>
<Relationships xmlns="http://schemas.openxmlformats.org/package/2006/relationships">
<Relationship Id="rId1" Target="file://///Msad/root/NA/NY/LIB/ER/UTILITIES/Models/DUK/Published/Previously%20Published/DUK%20Model%20(July%20Monthly).xls" TargetMode="External" Type="http://schemas.openxmlformats.org/officeDocument/2006/relationships/externalLinkPath"/>
</Relationships>

</file>

<file path=xl/externalLinks/_rels/externalLink14.xml.rels><?xml version="1.0" encoding="UTF-8" standalone="yes"?>
<Relationships xmlns="http://schemas.openxmlformats.org/package/2006/relationships">
<Relationship Id="rId1" Target="UTILITIES/Models/DYN/DYN%20Model%20WIP.xls" TargetMode="External" Type="http://schemas.microsoft.com/office/2006/relationships/xlExternalLinkPath/xlAlternateStartup"/>
</Relationships>

</file>

<file path=xl/externalLinks/_rels/externalLink15.xml.rels><?xml version="1.0" encoding="UTF-8" standalone="yes"?>
<Relationships xmlns="http://schemas.openxmlformats.org/package/2006/relationships">
<Relationship Id="rId1" Target="Volumes/NO%20NAME/UTILITY/Power/Utilities/WEC/Models/Initiation/Previous%20JPM%20WEC%20Model%2007%20Apr%2004.xls" TargetMode="External" Type="http://schemas.microsoft.com/office/2006/relationships/xlExternalLinkPath/xlStartup"/>
</Relationships>

</file>

<file path=xl/externalLinks/_rels/externalLink16.xml.rels><?xml version="1.0" encoding="UTF-8" standalone="yes"?>
<Relationships xmlns="http://schemas.openxmlformats.org/package/2006/relationships">
<Relationship Id="rId1" Target="Volumes/NO%20NAME/UTILITY/Power/Utilities/WEC/Models/Initiation/Previous%20JPM%20WEC%20Model%2007%20Apr%2004.xls" TargetMode="External" Type="http://schemas.microsoft.com/office/2006/relationships/xlExternalLinkPath/xlAlternateStartup"/>
</Relationships>

</file>

<file path=xl/externalLinks/_rels/externalLink17.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18.xml.rels><?xml version="1.0" encoding="UTF-8" standalone="yes"?>
<Relationships xmlns="http://schemas.openxmlformats.org/package/2006/relationships">
<Relationship Id="rId1" Target="file://///consltdb3/JOBS/F/RefCase%20Spring%202006/Northeast/Report/Tables&amp;Figures/Table%205-4%20Northeast%20Market%20Area%20Summary.xls" TargetMode="External" Type="http://schemas.openxmlformats.org/officeDocument/2006/relationships/externalLinkPath"/>
</Relationships>

</file>

<file path=xl/externalLinks/_rels/externalLink19.xml.rels><?xml version="1.0" encoding="UTF-8" standalone="yes"?>
<Relationships xmlns="http://schemas.openxmlformats.org/package/2006/relationships">
<Relationship Id="rId1" Target="UTILITIES/Price%20Deck/MS%20New%20Price%20Deck%20122811.xls" TargetMode="External" Type="http://schemas.microsoft.com/office/2006/relationships/xlExternalLinkPath/xlStartup"/>
</Relationships>

</file>

<file path=xl/externalLinks/_rels/externalLink20.xml.rels><?xml version="1.0" encoding="UTF-8" standalone="yes"?>
<Relationships xmlns="http://schemas.openxmlformats.org/package/2006/relationships">
<Relationship Id="rId1" Target="Price%20Deck/MS%20New%20Price%20Deck%20092211.xls" TargetMode="External" Type="http://schemas.microsoft.com/office/2006/relationships/xlExternalLinkPath/xlStartup"/>
</Relationships>

</file>

<file path=xl/externalLinks/_rels/externalLink21.xml.rels><?xml version="1.0" encoding="UTF-8" standalone="yes"?>
<Relationships xmlns="http://schemas.openxmlformats.org/package/2006/relationships">
<Relationship Id="rId1" Target="Price%20Deck/MS%20New%20Price%20Deck%20100711.xls" TargetMode="External" Type="http://schemas.microsoft.com/office/2006/relationships/xlExternalLinkPath/xlStartup"/>
</Relationships>

</file>

<file path=xl/externalLinks/_rels/externalLink22.xml.rels><?xml version="1.0" encoding="UTF-8" standalone="yes"?>
<Relationships xmlns="http://schemas.openxmlformats.org/package/2006/relationships">
<Relationship Id="rId1" Target="Program%20Files/MSERXlAddins/Model/ERModelPublish.xla" TargetMode="External" Type="http://schemas.microsoft.com/office/2006/relationships/xlExternalLinkPath/xlStartup"/>
</Relationships>

</file>

<file path=xl/externalLinks/_rels/externalLink23.xml.rels><?xml version="1.0" encoding="UTF-8" standalone="yes"?>
<Relationships xmlns="http://schemas.openxmlformats.org/package/2006/relationships">
<Relationship Id="rId1" Target="Utilities/Models/AEE/AEE%20Model%201.14.11v1%20temp.xls" TargetMode="External" Type="http://schemas.microsoft.com/office/2006/relationships/xlExternalLinkPath/xlStartup"/>
</Relationships>

</file>

<file path=xl/externalLinks/_rels/externalLink24.xml.rels><?xml version="1.0" encoding="UTF-8" standalone="yes"?>
<Relationships xmlns="http://schemas.openxmlformats.org/package/2006/relationships">
<Relationship Id="rId1" Target="TEMPLATE/Excel/LINKTAB.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Cash Flow"/>
      <sheetName val="upside_downside"/>
      <sheetName val="Income Statement"/>
      <sheetName val="Balance Sheet"/>
      <sheetName val="RI"/>
      <sheetName val="BULLBEAR"/>
      <sheetName val="Sheet2"/>
      <sheetName val="DCF"/>
      <sheetName val="MWA RR"/>
      <sheetName val="NonQtr"/>
      <sheetName val="REVENUE BY GEOGRAPHY"/>
      <sheetName val="Data 20d"/>
      <sheetName val="Data"/>
      <sheetName val="Risk-Reward_View_Chart"/>
      <sheetName val="Valsum"/>
      <sheetName val="Interims"/>
      <sheetName val="Financial Statements"/>
      <sheetName val="Inputs"/>
      <sheetName val="Good 12-00 (2)"/>
      <sheetName val="Good 11-36"/>
      <sheetName val="Good 11-50"/>
      <sheetName val="Sheet3 (5)"/>
      <sheetName val="FX"/>
      <sheetName val="Summary"/>
      <sheetName val="Floater Demand"/>
      <sheetName val="CPB"/>
      <sheetName val="Total_Food_Promo"/>
      <sheetName val="CPB_2yr"/>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WP Detail "/>
      <sheetName val="Model"/>
      <sheetName val="Sheet4"/>
      <sheetName val="ForeignStake"/>
      <sheetName val="WPZ"/>
      <sheetName val="TPP"/>
      <sheetName val="EPE"/>
      <sheetName val="WMZ"/>
      <sheetName val="HEP"/>
      <sheetName val="MGG"/>
      <sheetName val="ETE"/>
      <sheetName val="BGH"/>
      <sheetName val="SEP"/>
      <sheetName val="TCLP"/>
      <sheetName val="SXL"/>
      <sheetName val="WES"/>
      <sheetName val="rev change analysis"/>
      <sheetName val="rev contribution analysi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 Capital"/>
      <sheetName val="New Business"/>
      <sheetName val="Basket_June09_2010"/>
      <sheetName val="C1070"/>
      <sheetName val="Basket_Jan09"/>
      <sheetName val="Basket_2010"/>
      <sheetName val="Inflation v Price 6mth lag"/>
      <sheetName val="Basket_2011"/>
      <sheetName val="Basket_June09"/>
      <sheetName val="Basket_June09_Futures"/>
      <sheetName val="Commodities Exposure"/>
      <sheetName val="Charts"/>
      <sheetName val="Pension"/>
      <sheetName val="Walk"/>
      <sheetName val="Chart 6"/>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Valuation Summary"/>
      <sheetName val="__FDSCACHE__"/>
      <sheetName val="Financial Summary"/>
      <sheetName val="NVE - Consolidated"/>
      <sheetName val="Nevada Power"/>
      <sheetName val="Sierra Power"/>
      <sheetName val="Parent"/>
      <sheetName val="Debt"/>
      <sheetName val="EPS Walk"/>
      <sheetName val="MWA RR"/>
      <sheetName val="Note Tables"/>
      <sheetName val="mwareDates"/>
      <sheetName val="Capex Chart"/>
      <sheetName val="FCF-Div. Working Chart"/>
      <sheetName val="MW FDS"/>
      <sheetName val="mwareSettings"/>
      <sheetName val="MW-Cache"/>
      <sheetName val="Summary"/>
      <sheetName val="misc"/>
      <sheetName val="Margins"/>
      <sheetName val="BS"/>
      <sheetName val="Valua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1">
          <cell r="A1" t="str">
            <v>RRS-5.13</v>
          </cell>
          <cell r="D1" t="str">
            <v>RISK-REWARD SNAPSHOT
(You must upload your model to ModelWare to capture changes to your scenario values and NOT delete this worksheet.)</v>
          </cell>
          <cell r="I1" t="str">
            <v>Select Language</v>
          </cell>
          <cell r="N1" t="str">
            <v>http://ChartGallery</v>
          </cell>
          <cell r="O1" t="str">
            <v>http://ChartGallery</v>
          </cell>
          <cell r="AA1" t="str">
            <v>ElementName</v>
          </cell>
          <cell r="AB1" t="str">
            <v>ScaleOverride</v>
          </cell>
          <cell r="AC1" t="str">
            <v>UnitOverride</v>
          </cell>
          <cell r="AD1" t="str">
            <v>ReverseSign</v>
          </cell>
          <cell r="AE1" t="str">
            <v>IsDrivingAssumption</v>
          </cell>
          <cell r="AF1" t="str">
            <v>SegmentID</v>
          </cell>
        </row>
        <row r="2">
          <cell r="B2" t="str">
            <v>Instructions:</v>
          </cell>
          <cell r="G2" t="str">
            <v>Is refreshing chart data too slow? Read below to improve performance.</v>
          </cell>
          <cell r="AQ2" t="str">
            <v>Refer to cell G2 to learn about improving chart refresh performance</v>
          </cell>
        </row>
        <row r="4">
          <cell r="B4" t="str">
            <v>Ticker:</v>
          </cell>
          <cell r="C4" t="str">
            <v>NVE.N</v>
          </cell>
          <cell r="E4" t="str">
            <v>Company Name:</v>
          </cell>
          <cell r="F4" t="str">
            <v>NV Energy Inc.</v>
          </cell>
          <cell r="I4" t="str">
            <v>Sedol:</v>
          </cell>
          <cell r="J4">
            <v>244379</v>
          </cell>
          <cell r="K4" t="str">
            <v>NA</v>
          </cell>
        </row>
        <row r="5">
          <cell r="B5" t="str">
            <v xml:space="preserve">Chart Data Inputs (decimal formats will reflect on chart): </v>
          </cell>
          <cell r="H5" t="str">
            <v>Risk Reward Chart Gallery 
(Click on the below image for other Risk-Reward Charts)</v>
          </cell>
        </row>
        <row r="6">
          <cell r="B6" t="str">
            <v>Bull Case</v>
          </cell>
          <cell r="C6">
            <v>17.5</v>
          </cell>
          <cell r="AA6" t="str">
            <v>mstag:bullCaseValueEstimatePerShare</v>
          </cell>
          <cell r="AB6">
            <v>0</v>
          </cell>
          <cell r="AC6" t="str">
            <v>ISO4217:USD</v>
          </cell>
          <cell r="AD6" t="b">
            <v>0</v>
          </cell>
        </row>
        <row r="7">
          <cell r="B7" t="str">
            <v>Base Case</v>
          </cell>
          <cell r="C7">
            <v>16.5</v>
          </cell>
          <cell r="AA7" t="str">
            <v>mstag:met_12monthIntrinsicValueEstimate</v>
          </cell>
          <cell r="AB7">
            <v>0</v>
          </cell>
          <cell r="AC7" t="str">
            <v>ISO4217:USD</v>
          </cell>
          <cell r="AD7" t="b">
            <v>0</v>
          </cell>
        </row>
        <row r="8">
          <cell r="B8" t="str">
            <v>Bear Case</v>
          </cell>
          <cell r="C8">
            <v>14</v>
          </cell>
          <cell r="K8" t="str">
            <v>日本語</v>
          </cell>
          <cell r="M8" t="str">
            <v>-</v>
          </cell>
          <cell r="AA8" t="str">
            <v>mstag:bearCaseValueEstimatePerShare</v>
          </cell>
          <cell r="AB8">
            <v>0</v>
          </cell>
          <cell r="AC8" t="str">
            <v>ISO4217:USD</v>
          </cell>
          <cell r="AD8" t="b">
            <v>0</v>
          </cell>
        </row>
        <row r="9">
          <cell r="B9" t="str">
            <v>Extreme Upside</v>
          </cell>
          <cell r="K9" t="str">
            <v>English</v>
          </cell>
          <cell r="L9" t="str">
            <v>年</v>
          </cell>
          <cell r="M9" t="str">
            <v>月</v>
          </cell>
          <cell r="N9" t="str">
            <v>-</v>
          </cell>
          <cell r="AA9" t="str">
            <v>mstag:extremeBullCaseValueEstimatePerShare</v>
          </cell>
          <cell r="AB9">
            <v>0</v>
          </cell>
          <cell r="AC9" t="str">
            <v>ISO4217:USD</v>
          </cell>
          <cell r="AD9" t="b">
            <v>0</v>
          </cell>
          <cell r="AH9" t="str">
            <v>Other Refresh Chart Option</v>
          </cell>
        </row>
        <row r="10">
          <cell r="B10" t="str">
            <v>Extreme Downside</v>
          </cell>
          <cell r="O10" t="b">
            <v>0</v>
          </cell>
          <cell r="AA10" t="str">
            <v>mstag:extremeBearCaseValueEstimatePerShare</v>
          </cell>
          <cell r="AB10">
            <v>0</v>
          </cell>
          <cell r="AC10" t="str">
            <v>ISO4217:USD</v>
          </cell>
          <cell r="AD10" t="b">
            <v>0</v>
          </cell>
        </row>
        <row r="11">
          <cell r="B11" t="str">
            <v>Price Target</v>
          </cell>
          <cell r="O11" t="b">
            <v>1</v>
          </cell>
        </row>
        <row r="12">
          <cell r="B12" t="str">
            <v>Currency</v>
          </cell>
          <cell r="C12" t="str">
            <v>USD American Dollar</v>
          </cell>
          <cell r="F12">
            <v>0</v>
          </cell>
        </row>
        <row r="13">
          <cell r="B13" t="str">
            <v>Currency Symbol</v>
          </cell>
          <cell r="C13" t="str">
            <v>$</v>
          </cell>
          <cell r="F13">
            <v>0</v>
          </cell>
          <cell r="I13" t="str">
            <v xml:space="preserve">WARNINGDONOTEDIT_RRS4RL~NVE.N~ </v>
          </cell>
        </row>
        <row r="14">
          <cell r="B14" t="str">
            <v>"Refresh RR Chart" updates chart dates below, as of today. If your PT time horizon is &gt; 1yr. or price history is &lt; 2yrs., adjust Start/End dates and select "Apply Manually Adjusted Dates" option.</v>
          </cell>
        </row>
        <row r="15">
          <cell r="B15" t="str">
            <v>Start Date (-2 Yrs)</v>
          </cell>
          <cell r="C15">
            <v>40050</v>
          </cell>
          <cell r="E15" t="str">
            <v>NA</v>
          </cell>
          <cell r="F15" t="str">
            <v>USD</v>
          </cell>
        </row>
        <row r="16">
          <cell r="B16" t="str">
            <v>End Date (+1 Yr)</v>
          </cell>
          <cell r="C16">
            <v>41146</v>
          </cell>
          <cell r="E16" t="str">
            <v>NA</v>
          </cell>
          <cell r="F16" t="str">
            <v>USD</v>
          </cell>
        </row>
        <row r="17">
          <cell r="B17">
            <v>14.35</v>
          </cell>
          <cell r="C17" t="str">
            <v>Hand entert Share Price</v>
          </cell>
          <cell r="H17" t="str">
            <v>2007-FY</v>
          </cell>
        </row>
        <row r="18">
          <cell r="B18" t="b">
            <v>0</v>
          </cell>
          <cell r="C18">
            <v>40780</v>
          </cell>
        </row>
        <row r="19">
          <cell r="C19" t="str">
            <v>2009-FY</v>
          </cell>
        </row>
        <row r="34">
          <cell r="A34" t="str">
            <v>BullCase</v>
          </cell>
        </row>
        <row r="52">
          <cell r="A52">
            <v>41146</v>
          </cell>
          <cell r="B52">
            <v>764</v>
          </cell>
          <cell r="N52" t="str">
            <v>Aug-12</v>
          </cell>
          <cell r="R52" t="b">
            <v>1</v>
          </cell>
        </row>
        <row r="53">
          <cell r="A53" t="str">
            <v>Header</v>
          </cell>
          <cell r="B53" t="str">
            <v>Date</v>
          </cell>
          <cell r="C53" t="str">
            <v>Past/Future</v>
          </cell>
          <cell r="D53" t="str">
            <v>Historical Stock Performance</v>
          </cell>
          <cell r="E53" t="str">
            <v>Extreme Upside Cone</v>
          </cell>
          <cell r="F53" t="str">
            <v>Blue Cone</v>
          </cell>
          <cell r="G53" t="str">
            <v>Extreme Downside Cone</v>
          </cell>
          <cell r="H53" t="str">
            <v>White Mask</v>
          </cell>
          <cell r="I53" t="str">
            <v>Current Stock Price</v>
          </cell>
          <cell r="J53" t="str">
            <v>Extreme Upside Price(Aug-12)</v>
          </cell>
          <cell r="K53" t="str">
            <v>Bull Price(Aug-12)</v>
          </cell>
          <cell r="L53" t="str">
            <v>Bear Price(Aug-12)</v>
          </cell>
          <cell r="M53" t="str">
            <v>Extreme Downside Price(Aug-12)</v>
          </cell>
          <cell r="N53" t="str">
            <v>Base Case  (Aug-12)</v>
          </cell>
          <cell r="O53" t="str">
            <v>Gray Line</v>
          </cell>
          <cell r="P53" t="str">
            <v>Prices</v>
          </cell>
          <cell r="Q53" t="str">
            <v>Volume</v>
          </cell>
          <cell r="R53" t="str">
            <v>Base Case(Aug-12)</v>
          </cell>
          <cell r="S53" t="str">
            <v>Header Row</v>
          </cell>
          <cell r="T53">
            <v>53</v>
          </cell>
          <cell r="U53">
            <v>0</v>
          </cell>
          <cell r="AI53" t="str">
            <v xml:space="preserve">Display </v>
          </cell>
          <cell r="AJ53" t="str">
            <v>Symbol</v>
          </cell>
          <cell r="AK53" t="str">
            <v>Unit</v>
          </cell>
          <cell r="AL53" t="str">
            <v>FactsetUnit</v>
          </cell>
          <cell r="AM53" t="str">
            <v>Right alligned</v>
          </cell>
          <cell r="AN53" t="str">
            <v>Display 2 Decimal Places for Currency Amount</v>
          </cell>
        </row>
        <row r="54">
          <cell r="A54">
            <v>40050</v>
          </cell>
          <cell r="B54">
            <v>40050</v>
          </cell>
          <cell r="C54" t="str">
            <v>Past</v>
          </cell>
          <cell r="D54">
            <v>12.21</v>
          </cell>
          <cell r="E54" t="e">
            <v>#N/A</v>
          </cell>
          <cell r="F54" t="e">
            <v>#N/A</v>
          </cell>
          <cell r="G54" t="e">
            <v>#N/A</v>
          </cell>
          <cell r="H54" t="e">
            <v>#N/A</v>
          </cell>
          <cell r="I54" t="e">
            <v>#N/A</v>
          </cell>
          <cell r="J54" t="e">
            <v>#N/A</v>
          </cell>
          <cell r="K54" t="e">
            <v>#N/A</v>
          </cell>
          <cell r="L54" t="e">
            <v>#N/A</v>
          </cell>
          <cell r="M54" t="e">
            <v>#N/A</v>
          </cell>
          <cell r="N54" t="e">
            <v>#N/A</v>
          </cell>
          <cell r="O54" t="e">
            <v>#N/A</v>
          </cell>
          <cell r="P54">
            <v>12.21</v>
          </cell>
          <cell r="Q54">
            <v>1.3155129999999999</v>
          </cell>
          <cell r="R54" t="e">
            <v>#N/A</v>
          </cell>
          <cell r="S54" t="str">
            <v>Count</v>
          </cell>
          <cell r="T54">
            <v>764</v>
          </cell>
          <cell r="U54">
            <v>17.5</v>
          </cell>
          <cell r="AI54" t="str">
            <v>AED UAE Dirham</v>
          </cell>
          <cell r="AJ54" t="str">
            <v>AED</v>
          </cell>
          <cell r="AK54" t="str">
            <v>AED</v>
          </cell>
          <cell r="AL54" t="str">
            <v>AED</v>
          </cell>
          <cell r="AM54">
            <v>0</v>
          </cell>
          <cell r="AN54">
            <v>2</v>
          </cell>
        </row>
        <row r="55">
          <cell r="A55">
            <v>40051</v>
          </cell>
          <cell r="B55">
            <v>40051</v>
          </cell>
          <cell r="C55" t="str">
            <v>Past</v>
          </cell>
          <cell r="D55">
            <v>12.3</v>
          </cell>
          <cell r="E55" t="e">
            <v>#N/A</v>
          </cell>
          <cell r="F55" t="e">
            <v>#N/A</v>
          </cell>
          <cell r="G55" t="e">
            <v>#N/A</v>
          </cell>
          <cell r="H55" t="e">
            <v>#N/A</v>
          </cell>
          <cell r="I55" t="e">
            <v>#N/A</v>
          </cell>
          <cell r="J55" t="e">
            <v>#N/A</v>
          </cell>
          <cell r="K55" t="e">
            <v>#N/A</v>
          </cell>
          <cell r="L55" t="e">
            <v>#N/A</v>
          </cell>
          <cell r="M55" t="e">
            <v>#N/A</v>
          </cell>
          <cell r="N55" t="e">
            <v>#N/A</v>
          </cell>
          <cell r="O55" t="e">
            <v>#N/A</v>
          </cell>
          <cell r="P55">
            <v>12.3</v>
          </cell>
          <cell r="Q55">
            <v>1.131678</v>
          </cell>
          <cell r="R55" t="e">
            <v>#N/A</v>
          </cell>
          <cell r="S55" t="str">
            <v>Curr Price</v>
          </cell>
          <cell r="T55">
            <v>14.35</v>
          </cell>
          <cell r="U55">
            <v>506</v>
          </cell>
          <cell r="V55">
            <v>55.094300000000004</v>
          </cell>
          <cell r="AI55" t="str">
            <v>ARS Argentinian Pesos</v>
          </cell>
          <cell r="AJ55" t="str">
            <v>Ar$</v>
          </cell>
          <cell r="AK55" t="str">
            <v>ARS</v>
          </cell>
          <cell r="AL55" t="str">
            <v>ARS</v>
          </cell>
          <cell r="AM55">
            <v>0</v>
          </cell>
          <cell r="AN55">
            <v>2</v>
          </cell>
        </row>
        <row r="56">
          <cell r="A56">
            <v>40052</v>
          </cell>
          <cell r="B56">
            <v>40052</v>
          </cell>
          <cell r="C56" t="str">
            <v>Past</v>
          </cell>
          <cell r="D56">
            <v>12.22</v>
          </cell>
          <cell r="E56" t="e">
            <v>#N/A</v>
          </cell>
          <cell r="F56" t="e">
            <v>#N/A</v>
          </cell>
          <cell r="G56" t="e">
            <v>#N/A</v>
          </cell>
          <cell r="H56" t="e">
            <v>#N/A</v>
          </cell>
          <cell r="I56" t="e">
            <v>#N/A</v>
          </cell>
          <cell r="J56" t="e">
            <v>#N/A</v>
          </cell>
          <cell r="K56" t="e">
            <v>#N/A</v>
          </cell>
          <cell r="L56" t="e">
            <v>#N/A</v>
          </cell>
          <cell r="M56" t="e">
            <v>#N/A</v>
          </cell>
          <cell r="N56" t="e">
            <v>#N/A</v>
          </cell>
          <cell r="O56" t="e">
            <v>#N/A</v>
          </cell>
          <cell r="P56">
            <v>12.22</v>
          </cell>
          <cell r="Q56">
            <v>0.87458399999999992</v>
          </cell>
          <cell r="R56" t="e">
            <v>#N/A</v>
          </cell>
          <cell r="S56" t="str">
            <v>Curr Price Date</v>
          </cell>
          <cell r="T56">
            <v>40780</v>
          </cell>
          <cell r="U56">
            <v>40519.771412037036</v>
          </cell>
          <cell r="AI56" t="str">
            <v>AUD Australian Dollar</v>
          </cell>
          <cell r="AJ56" t="str">
            <v>A$</v>
          </cell>
          <cell r="AK56" t="str">
            <v>AUD</v>
          </cell>
          <cell r="AL56" t="str">
            <v>AUD</v>
          </cell>
          <cell r="AM56">
            <v>0</v>
          </cell>
          <cell r="AN56">
            <v>2</v>
          </cell>
        </row>
        <row r="57">
          <cell r="A57">
            <v>40053</v>
          </cell>
          <cell r="B57">
            <v>40053</v>
          </cell>
          <cell r="C57" t="str">
            <v>Past</v>
          </cell>
          <cell r="D57">
            <v>12.22</v>
          </cell>
          <cell r="E57" t="e">
            <v>#N/A</v>
          </cell>
          <cell r="F57" t="e">
            <v>#N/A</v>
          </cell>
          <cell r="G57" t="e">
            <v>#N/A</v>
          </cell>
          <cell r="H57" t="e">
            <v>#N/A</v>
          </cell>
          <cell r="I57" t="e">
            <v>#N/A</v>
          </cell>
          <cell r="J57" t="e">
            <v>#N/A</v>
          </cell>
          <cell r="K57" t="e">
            <v>#N/A</v>
          </cell>
          <cell r="L57" t="e">
            <v>#N/A</v>
          </cell>
          <cell r="M57" t="e">
            <v>#N/A</v>
          </cell>
          <cell r="N57" t="e">
            <v>#N/A</v>
          </cell>
          <cell r="O57" t="e">
            <v>#N/A</v>
          </cell>
          <cell r="P57">
            <v>12.22</v>
          </cell>
          <cell r="Q57">
            <v>1.1191689999999999</v>
          </cell>
          <cell r="R57" t="e">
            <v>#N/A</v>
          </cell>
          <cell r="S57" t="str">
            <v>Bull-Curr</v>
          </cell>
          <cell r="T57">
            <v>3.1500000000000004</v>
          </cell>
          <cell r="U57">
            <v>1.2162162162162163E-2</v>
          </cell>
          <cell r="AI57" t="str">
            <v>BGL Bulgarian levs</v>
          </cell>
          <cell r="AJ57" t="str">
            <v>BGL</v>
          </cell>
          <cell r="AK57" t="str">
            <v>BGL</v>
          </cell>
          <cell r="AL57" t="str">
            <v>BGN</v>
          </cell>
          <cell r="AM57">
            <v>0</v>
          </cell>
          <cell r="AN57">
            <v>2</v>
          </cell>
        </row>
        <row r="58">
          <cell r="A58">
            <v>40056</v>
          </cell>
          <cell r="B58">
            <v>40056</v>
          </cell>
          <cell r="C58" t="str">
            <v>Past</v>
          </cell>
          <cell r="D58">
            <v>12.06</v>
          </cell>
          <cell r="E58" t="e">
            <v>#N/A</v>
          </cell>
          <cell r="F58" t="e">
            <v>#N/A</v>
          </cell>
          <cell r="G58" t="e">
            <v>#N/A</v>
          </cell>
          <cell r="H58" t="e">
            <v>#N/A</v>
          </cell>
          <cell r="I58" t="e">
            <v>#N/A</v>
          </cell>
          <cell r="J58" t="e">
            <v>#N/A</v>
          </cell>
          <cell r="K58" t="e">
            <v>#N/A</v>
          </cell>
          <cell r="L58" t="e">
            <v>#N/A</v>
          </cell>
          <cell r="M58" t="e">
            <v>#N/A</v>
          </cell>
          <cell r="N58" t="e">
            <v>#N/A</v>
          </cell>
          <cell r="O58" t="e">
            <v>#N/A</v>
          </cell>
          <cell r="P58">
            <v>12.06</v>
          </cell>
          <cell r="Q58">
            <v>1.369715</v>
          </cell>
          <cell r="R58" t="e">
            <v>#N/A</v>
          </cell>
          <cell r="S58" t="str">
            <v>Upp-Cur</v>
          </cell>
          <cell r="T58">
            <v>-14.35</v>
          </cell>
          <cell r="U58">
            <v>-5.5405405405405402E-2</v>
          </cell>
          <cell r="AI58" t="str">
            <v>BMD Bermudan Dollars</v>
          </cell>
          <cell r="AJ58" t="str">
            <v>BMD</v>
          </cell>
          <cell r="AK58" t="str">
            <v>BMD</v>
          </cell>
          <cell r="AL58" t="str">
            <v>BMD</v>
          </cell>
          <cell r="AM58">
            <v>0</v>
          </cell>
          <cell r="AN58">
            <v>2</v>
          </cell>
        </row>
        <row r="59">
          <cell r="A59">
            <v>40057</v>
          </cell>
          <cell r="B59">
            <v>40057</v>
          </cell>
          <cell r="C59" t="str">
            <v>Past</v>
          </cell>
          <cell r="D59">
            <v>11.93</v>
          </cell>
          <cell r="E59" t="e">
            <v>#N/A</v>
          </cell>
          <cell r="F59" t="e">
            <v>#N/A</v>
          </cell>
          <cell r="G59" t="e">
            <v>#N/A</v>
          </cell>
          <cell r="H59" t="e">
            <v>#N/A</v>
          </cell>
          <cell r="I59" t="e">
            <v>#N/A</v>
          </cell>
          <cell r="J59" t="e">
            <v>#N/A</v>
          </cell>
          <cell r="K59" t="e">
            <v>#N/A</v>
          </cell>
          <cell r="L59" t="e">
            <v>#N/A</v>
          </cell>
          <cell r="M59" t="e">
            <v>#N/A</v>
          </cell>
          <cell r="N59" t="e">
            <v>#N/A</v>
          </cell>
          <cell r="O59" t="e">
            <v>#N/A</v>
          </cell>
          <cell r="P59">
            <v>11.93</v>
          </cell>
          <cell r="Q59">
            <v>1.273631</v>
          </cell>
          <cell r="R59" t="e">
            <v>#N/A</v>
          </cell>
          <cell r="S59" t="str">
            <v>Curr-Bear</v>
          </cell>
          <cell r="T59">
            <v>0.34999999999999964</v>
          </cell>
          <cell r="U59">
            <v>1.3513513513513499E-3</v>
          </cell>
          <cell r="AI59" t="str">
            <v>BRL Brazilian Real</v>
          </cell>
          <cell r="AJ59" t="str">
            <v>R$</v>
          </cell>
          <cell r="AK59" t="str">
            <v>BRL</v>
          </cell>
          <cell r="AL59" t="str">
            <v>BRL</v>
          </cell>
          <cell r="AM59">
            <v>0</v>
          </cell>
          <cell r="AN59">
            <v>2</v>
          </cell>
        </row>
        <row r="60">
          <cell r="A60">
            <v>40058</v>
          </cell>
          <cell r="B60">
            <v>40058</v>
          </cell>
          <cell r="C60" t="str">
            <v>Past</v>
          </cell>
          <cell r="D60">
            <v>11.86</v>
          </cell>
          <cell r="E60" t="e">
            <v>#N/A</v>
          </cell>
          <cell r="F60" t="e">
            <v>#N/A</v>
          </cell>
          <cell r="G60" t="e">
            <v>#N/A</v>
          </cell>
          <cell r="H60" t="e">
            <v>#N/A</v>
          </cell>
          <cell r="I60" t="e">
            <v>#N/A</v>
          </cell>
          <cell r="J60" t="e">
            <v>#N/A</v>
          </cell>
          <cell r="K60" t="e">
            <v>#N/A</v>
          </cell>
          <cell r="L60" t="e">
            <v>#N/A</v>
          </cell>
          <cell r="M60" t="e">
            <v>#N/A</v>
          </cell>
          <cell r="N60" t="e">
            <v>#N/A</v>
          </cell>
          <cell r="O60" t="e">
            <v>#N/A</v>
          </cell>
          <cell r="P60">
            <v>11.86</v>
          </cell>
          <cell r="Q60">
            <v>0.99380199999999996</v>
          </cell>
          <cell r="R60" t="e">
            <v>#N/A</v>
          </cell>
          <cell r="S60" t="str">
            <v>Curr-Lower</v>
          </cell>
          <cell r="T60">
            <v>14.35</v>
          </cell>
          <cell r="U60">
            <v>5.5405405405405402E-2</v>
          </cell>
          <cell r="AI60" t="str">
            <v>CAD Canadian Dollars</v>
          </cell>
          <cell r="AJ60" t="str">
            <v>C$</v>
          </cell>
          <cell r="AK60" t="str">
            <v>CAD</v>
          </cell>
          <cell r="AL60" t="str">
            <v>CAD</v>
          </cell>
          <cell r="AM60">
            <v>0</v>
          </cell>
          <cell r="AN60">
            <v>2</v>
          </cell>
        </row>
        <row r="61">
          <cell r="A61">
            <v>40059</v>
          </cell>
          <cell r="B61">
            <v>40059</v>
          </cell>
          <cell r="C61" t="str">
            <v>Past</v>
          </cell>
          <cell r="D61">
            <v>11.82</v>
          </cell>
          <cell r="E61" t="e">
            <v>#N/A</v>
          </cell>
          <cell r="F61" t="e">
            <v>#N/A</v>
          </cell>
          <cell r="G61" t="e">
            <v>#N/A</v>
          </cell>
          <cell r="H61" t="e">
            <v>#N/A</v>
          </cell>
          <cell r="I61" t="e">
            <v>#N/A</v>
          </cell>
          <cell r="J61" t="e">
            <v>#N/A</v>
          </cell>
          <cell r="K61" t="e">
            <v>#N/A</v>
          </cell>
          <cell r="L61" t="e">
            <v>#N/A</v>
          </cell>
          <cell r="M61" t="e">
            <v>#N/A</v>
          </cell>
          <cell r="N61" t="e">
            <v>#N/A</v>
          </cell>
          <cell r="O61" t="e">
            <v>#N/A</v>
          </cell>
          <cell r="P61">
            <v>11.82</v>
          </cell>
          <cell r="Q61">
            <v>1.1897</v>
          </cell>
          <cell r="R61" t="e">
            <v>#N/A</v>
          </cell>
          <cell r="S61" t="str">
            <v>PriceFoundAt</v>
          </cell>
          <cell r="T61">
            <v>506</v>
          </cell>
          <cell r="AI61" t="str">
            <v>CHF Swiss Francs</v>
          </cell>
          <cell r="AJ61" t="str">
            <v>SFr</v>
          </cell>
          <cell r="AK61" t="str">
            <v>CHF</v>
          </cell>
          <cell r="AL61" t="str">
            <v>CHF</v>
          </cell>
          <cell r="AM61">
            <v>0</v>
          </cell>
          <cell r="AN61">
            <v>2</v>
          </cell>
        </row>
        <row r="62">
          <cell r="A62">
            <v>40060</v>
          </cell>
          <cell r="B62">
            <v>40060</v>
          </cell>
          <cell r="C62" t="str">
            <v>Past</v>
          </cell>
          <cell r="D62">
            <v>11.81</v>
          </cell>
          <cell r="E62" t="e">
            <v>#N/A</v>
          </cell>
          <cell r="F62" t="e">
            <v>#N/A</v>
          </cell>
          <cell r="G62" t="e">
            <v>#N/A</v>
          </cell>
          <cell r="H62" t="e">
            <v>#N/A</v>
          </cell>
          <cell r="I62" t="e">
            <v>#N/A</v>
          </cell>
          <cell r="J62" t="e">
            <v>#N/A</v>
          </cell>
          <cell r="K62" t="e">
            <v>#N/A</v>
          </cell>
          <cell r="L62" t="e">
            <v>#N/A</v>
          </cell>
          <cell r="M62" t="e">
            <v>#N/A</v>
          </cell>
          <cell r="N62" t="e">
            <v>#N/A</v>
          </cell>
          <cell r="O62" t="e">
            <v>#N/A</v>
          </cell>
          <cell r="P62">
            <v>11.81</v>
          </cell>
          <cell r="Q62">
            <v>1.1005549999999999</v>
          </cell>
          <cell r="R62" t="e">
            <v>#N/A</v>
          </cell>
          <cell r="S62" t="str">
            <v>Starting Point</v>
          </cell>
          <cell r="T62">
            <v>559</v>
          </cell>
          <cell r="AI62" t="str">
            <v>CLP Chilean Pesos</v>
          </cell>
          <cell r="AJ62" t="str">
            <v>CLP</v>
          </cell>
          <cell r="AK62" t="str">
            <v>CLP</v>
          </cell>
          <cell r="AL62" t="str">
            <v>CLP</v>
          </cell>
          <cell r="AM62">
            <v>0</v>
          </cell>
          <cell r="AN62">
            <v>2</v>
          </cell>
        </row>
        <row r="63">
          <cell r="A63">
            <v>40064</v>
          </cell>
          <cell r="B63">
            <v>40064</v>
          </cell>
          <cell r="C63" t="str">
            <v>Past</v>
          </cell>
          <cell r="D63">
            <v>11.83</v>
          </cell>
          <cell r="E63" t="e">
            <v>#N/A</v>
          </cell>
          <cell r="F63" t="e">
            <v>#N/A</v>
          </cell>
          <cell r="G63" t="e">
            <v>#N/A</v>
          </cell>
          <cell r="H63" t="e">
            <v>#N/A</v>
          </cell>
          <cell r="I63" t="e">
            <v>#N/A</v>
          </cell>
          <cell r="J63" t="e">
            <v>#N/A</v>
          </cell>
          <cell r="K63" t="e">
            <v>#N/A</v>
          </cell>
          <cell r="L63" t="e">
            <v>#N/A</v>
          </cell>
          <cell r="M63" t="e">
            <v>#N/A</v>
          </cell>
          <cell r="N63" t="e">
            <v>#N/A</v>
          </cell>
          <cell r="O63" t="e">
            <v>#N/A</v>
          </cell>
          <cell r="P63">
            <v>11.83</v>
          </cell>
          <cell r="Q63">
            <v>1.2291809999999999</v>
          </cell>
          <cell r="R63" t="e">
            <v>#N/A</v>
          </cell>
          <cell r="S63" t="str">
            <v>Saved</v>
          </cell>
          <cell r="T63">
            <v>259</v>
          </cell>
          <cell r="AI63" t="str">
            <v>CNY Chinese Renminbi Yuan</v>
          </cell>
          <cell r="AJ63" t="str">
            <v>Rmb</v>
          </cell>
          <cell r="AK63" t="str">
            <v>CNY</v>
          </cell>
          <cell r="AL63" t="str">
            <v>CNY</v>
          </cell>
          <cell r="AM63">
            <v>0</v>
          </cell>
          <cell r="AN63">
            <v>2</v>
          </cell>
        </row>
        <row r="64">
          <cell r="A64">
            <v>40065</v>
          </cell>
          <cell r="B64">
            <v>40065</v>
          </cell>
          <cell r="C64" t="str">
            <v>Past</v>
          </cell>
          <cell r="D64">
            <v>11.85</v>
          </cell>
          <cell r="E64" t="e">
            <v>#N/A</v>
          </cell>
          <cell r="F64" t="e">
            <v>#N/A</v>
          </cell>
          <cell r="G64" t="e">
            <v>#N/A</v>
          </cell>
          <cell r="H64" t="e">
            <v>#N/A</v>
          </cell>
          <cell r="I64" t="e">
            <v>#N/A</v>
          </cell>
          <cell r="J64" t="e">
            <v>#N/A</v>
          </cell>
          <cell r="K64" t="e">
            <v>#N/A</v>
          </cell>
          <cell r="L64" t="e">
            <v>#N/A</v>
          </cell>
          <cell r="M64" t="e">
            <v>#N/A</v>
          </cell>
          <cell r="N64" t="e">
            <v>#N/A</v>
          </cell>
          <cell r="O64" t="e">
            <v>#N/A</v>
          </cell>
          <cell r="P64">
            <v>11.85</v>
          </cell>
          <cell r="Q64">
            <v>1.3311300000000001</v>
          </cell>
          <cell r="R64" t="e">
            <v>#N/A</v>
          </cell>
          <cell r="S64" t="str">
            <v>Right alligned</v>
          </cell>
          <cell r="T64">
            <v>0</v>
          </cell>
          <cell r="AI64" t="str">
            <v>COP Colombian Peso</v>
          </cell>
          <cell r="AJ64" t="str">
            <v>COP</v>
          </cell>
          <cell r="AK64" t="str">
            <v>COP</v>
          </cell>
          <cell r="AL64" t="str">
            <v>COP</v>
          </cell>
          <cell r="AM64">
            <v>0</v>
          </cell>
          <cell r="AN64">
            <v>2</v>
          </cell>
        </row>
        <row r="65">
          <cell r="A65">
            <v>40066</v>
          </cell>
          <cell r="B65">
            <v>40066</v>
          </cell>
          <cell r="C65" t="str">
            <v>Past</v>
          </cell>
          <cell r="D65">
            <v>11.88</v>
          </cell>
          <cell r="E65" t="e">
            <v>#N/A</v>
          </cell>
          <cell r="F65" t="e">
            <v>#N/A</v>
          </cell>
          <cell r="G65" t="e">
            <v>#N/A</v>
          </cell>
          <cell r="H65" t="e">
            <v>#N/A</v>
          </cell>
          <cell r="I65" t="e">
            <v>#N/A</v>
          </cell>
          <cell r="J65" t="e">
            <v>#N/A</v>
          </cell>
          <cell r="K65" t="e">
            <v>#N/A</v>
          </cell>
          <cell r="L65" t="e">
            <v>#N/A</v>
          </cell>
          <cell r="M65" t="e">
            <v>#N/A</v>
          </cell>
          <cell r="N65" t="e">
            <v>#N/A</v>
          </cell>
          <cell r="O65" t="e">
            <v>#N/A</v>
          </cell>
          <cell r="P65">
            <v>11.88</v>
          </cell>
          <cell r="Q65">
            <v>2.2897369999999997</v>
          </cell>
          <cell r="R65" t="e">
            <v>#N/A</v>
          </cell>
          <cell r="S65" t="str">
            <v>Decimal</v>
          </cell>
          <cell r="T65">
            <v>2</v>
          </cell>
          <cell r="AI65" t="str">
            <v>CZK Czech Krona</v>
          </cell>
          <cell r="AJ65" t="str">
            <v>Kcs</v>
          </cell>
          <cell r="AK65" t="str">
            <v>CZK</v>
          </cell>
          <cell r="AL65" t="str">
            <v>CZK</v>
          </cell>
          <cell r="AM65">
            <v>0</v>
          </cell>
          <cell r="AN65">
            <v>2</v>
          </cell>
        </row>
        <row r="66">
          <cell r="A66">
            <v>40067</v>
          </cell>
          <cell r="B66">
            <v>40067</v>
          </cell>
          <cell r="C66" t="str">
            <v>Past</v>
          </cell>
          <cell r="D66">
            <v>11.56</v>
          </cell>
          <cell r="E66" t="e">
            <v>#N/A</v>
          </cell>
          <cell r="F66" t="e">
            <v>#N/A</v>
          </cell>
          <cell r="G66" t="e">
            <v>#N/A</v>
          </cell>
          <cell r="H66" t="e">
            <v>#N/A</v>
          </cell>
          <cell r="I66" t="e">
            <v>#N/A</v>
          </cell>
          <cell r="J66" t="e">
            <v>#N/A</v>
          </cell>
          <cell r="K66" t="e">
            <v>#N/A</v>
          </cell>
          <cell r="L66" t="e">
            <v>#N/A</v>
          </cell>
          <cell r="M66" t="e">
            <v>#N/A</v>
          </cell>
          <cell r="N66" t="e">
            <v>#N/A</v>
          </cell>
          <cell r="O66" t="e">
            <v>#N/A</v>
          </cell>
          <cell r="P66">
            <v>11.56</v>
          </cell>
          <cell r="Q66">
            <v>4.1574999999999998</v>
          </cell>
          <cell r="R66" t="e">
            <v>#N/A</v>
          </cell>
          <cell r="S66" t="str">
            <v>default StartDate</v>
          </cell>
          <cell r="T66">
            <v>40050</v>
          </cell>
          <cell r="AI66" t="str">
            <v>DKK Danish Krone</v>
          </cell>
          <cell r="AJ66" t="str">
            <v>DKr</v>
          </cell>
          <cell r="AK66" t="str">
            <v>DKK</v>
          </cell>
          <cell r="AL66" t="str">
            <v>DKK</v>
          </cell>
          <cell r="AM66">
            <v>0</v>
          </cell>
          <cell r="AN66">
            <v>2</v>
          </cell>
        </row>
        <row r="67">
          <cell r="A67">
            <v>40070</v>
          </cell>
          <cell r="B67">
            <v>40070</v>
          </cell>
          <cell r="C67" t="str">
            <v>Past</v>
          </cell>
          <cell r="D67">
            <v>11.76</v>
          </cell>
          <cell r="E67" t="e">
            <v>#N/A</v>
          </cell>
          <cell r="F67" t="e">
            <v>#N/A</v>
          </cell>
          <cell r="G67" t="e">
            <v>#N/A</v>
          </cell>
          <cell r="H67" t="e">
            <v>#N/A</v>
          </cell>
          <cell r="I67" t="e">
            <v>#N/A</v>
          </cell>
          <cell r="J67" t="e">
            <v>#N/A</v>
          </cell>
          <cell r="K67" t="e">
            <v>#N/A</v>
          </cell>
          <cell r="L67" t="e">
            <v>#N/A</v>
          </cell>
          <cell r="M67" t="e">
            <v>#N/A</v>
          </cell>
          <cell r="N67" t="e">
            <v>#N/A</v>
          </cell>
          <cell r="O67" t="e">
            <v>#N/A</v>
          </cell>
          <cell r="P67">
            <v>11.76</v>
          </cell>
          <cell r="Q67">
            <v>3.4181539999999999</v>
          </cell>
          <cell r="R67" t="e">
            <v>#N/A</v>
          </cell>
          <cell r="S67" t="str">
            <v>default EndDate</v>
          </cell>
          <cell r="T67">
            <v>41146</v>
          </cell>
          <cell r="AI67" t="str">
            <v>DZD Algerian Dinar</v>
          </cell>
          <cell r="AJ67" t="str">
            <v>DZD</v>
          </cell>
          <cell r="AK67" t="str">
            <v>DZD</v>
          </cell>
          <cell r="AL67" t="str">
            <v>DZD</v>
          </cell>
          <cell r="AM67">
            <v>0</v>
          </cell>
          <cell r="AN67">
            <v>2</v>
          </cell>
        </row>
        <row r="68">
          <cell r="A68">
            <v>40071</v>
          </cell>
          <cell r="B68">
            <v>40071</v>
          </cell>
          <cell r="C68" t="str">
            <v>Past</v>
          </cell>
          <cell r="D68">
            <v>11.71</v>
          </cell>
          <cell r="E68" t="e">
            <v>#N/A</v>
          </cell>
          <cell r="F68" t="e">
            <v>#N/A</v>
          </cell>
          <cell r="G68" t="e">
            <v>#N/A</v>
          </cell>
          <cell r="H68" t="e">
            <v>#N/A</v>
          </cell>
          <cell r="I68" t="e">
            <v>#N/A</v>
          </cell>
          <cell r="J68" t="e">
            <v>#N/A</v>
          </cell>
          <cell r="K68" t="e">
            <v>#N/A</v>
          </cell>
          <cell r="L68" t="e">
            <v>#N/A</v>
          </cell>
          <cell r="M68" t="e">
            <v>#N/A</v>
          </cell>
          <cell r="N68" t="e">
            <v>#N/A</v>
          </cell>
          <cell r="O68" t="e">
            <v>#N/A</v>
          </cell>
          <cell r="P68">
            <v>11.71</v>
          </cell>
          <cell r="Q68">
            <v>3.6388000000000003</v>
          </cell>
          <cell r="R68" t="e">
            <v>#N/A</v>
          </cell>
          <cell r="S68" t="str">
            <v>Max sharePrice</v>
          </cell>
          <cell r="T68">
            <v>15.89</v>
          </cell>
          <cell r="AI68" t="str">
            <v>EGP Egyptian Pound</v>
          </cell>
          <cell r="AJ68" t="str">
            <v>EGP</v>
          </cell>
          <cell r="AK68" t="str">
            <v>EGP</v>
          </cell>
          <cell r="AL68" t="str">
            <v>EGP</v>
          </cell>
          <cell r="AM68">
            <v>0</v>
          </cell>
          <cell r="AN68">
            <v>2</v>
          </cell>
        </row>
        <row r="69">
          <cell r="A69">
            <v>40072</v>
          </cell>
          <cell r="B69">
            <v>40072</v>
          </cell>
          <cell r="C69" t="str">
            <v>Past</v>
          </cell>
          <cell r="D69">
            <v>11.76</v>
          </cell>
          <cell r="E69" t="e">
            <v>#N/A</v>
          </cell>
          <cell r="F69" t="e">
            <v>#N/A</v>
          </cell>
          <cell r="G69" t="e">
            <v>#N/A</v>
          </cell>
          <cell r="H69" t="e">
            <v>#N/A</v>
          </cell>
          <cell r="I69" t="e">
            <v>#N/A</v>
          </cell>
          <cell r="J69" t="e">
            <v>#N/A</v>
          </cell>
          <cell r="K69" t="e">
            <v>#N/A</v>
          </cell>
          <cell r="L69" t="e">
            <v>#N/A</v>
          </cell>
          <cell r="M69" t="e">
            <v>#N/A</v>
          </cell>
          <cell r="N69" t="e">
            <v>#N/A</v>
          </cell>
          <cell r="O69" t="e">
            <v>#N/A</v>
          </cell>
          <cell r="P69">
            <v>11.76</v>
          </cell>
          <cell r="Q69">
            <v>2.8619700000000003</v>
          </cell>
          <cell r="R69" t="e">
            <v>#N/A</v>
          </cell>
          <cell r="AI69" t="str">
            <v>EUR Euro</v>
          </cell>
          <cell r="AJ69" t="str">
            <v>€</v>
          </cell>
          <cell r="AK69" t="str">
            <v>EUR</v>
          </cell>
          <cell r="AL69" t="str">
            <v>EUR</v>
          </cell>
          <cell r="AM69">
            <v>0</v>
          </cell>
          <cell r="AN69">
            <v>2</v>
          </cell>
        </row>
        <row r="70">
          <cell r="A70">
            <v>40073</v>
          </cell>
          <cell r="B70">
            <v>40073</v>
          </cell>
          <cell r="C70" t="str">
            <v>Past</v>
          </cell>
          <cell r="D70">
            <v>11.85</v>
          </cell>
          <cell r="E70" t="e">
            <v>#N/A</v>
          </cell>
          <cell r="F70" t="e">
            <v>#N/A</v>
          </cell>
          <cell r="G70" t="e">
            <v>#N/A</v>
          </cell>
          <cell r="H70" t="e">
            <v>#N/A</v>
          </cell>
          <cell r="I70" t="e">
            <v>#N/A</v>
          </cell>
          <cell r="J70" t="e">
            <v>#N/A</v>
          </cell>
          <cell r="K70" t="e">
            <v>#N/A</v>
          </cell>
          <cell r="L70" t="e">
            <v>#N/A</v>
          </cell>
          <cell r="M70" t="e">
            <v>#N/A</v>
          </cell>
          <cell r="N70" t="e">
            <v>#N/A</v>
          </cell>
          <cell r="O70" t="e">
            <v>#N/A</v>
          </cell>
          <cell r="P70">
            <v>11.85</v>
          </cell>
          <cell r="Q70">
            <v>2.6357729999999999</v>
          </cell>
          <cell r="R70" t="e">
            <v>#N/A</v>
          </cell>
          <cell r="AI70" t="str">
            <v>GBp British Pence</v>
          </cell>
          <cell r="AJ70" t="str">
            <v>p</v>
          </cell>
          <cell r="AK70" t="str">
            <v>GBp</v>
          </cell>
          <cell r="AL70" t="str">
            <v>GBX</v>
          </cell>
          <cell r="AM70">
            <v>1</v>
          </cell>
          <cell r="AN70">
            <v>0</v>
          </cell>
        </row>
        <row r="71">
          <cell r="A71">
            <v>40074</v>
          </cell>
          <cell r="B71">
            <v>40074</v>
          </cell>
          <cell r="C71" t="str">
            <v>Past</v>
          </cell>
          <cell r="D71">
            <v>11.8</v>
          </cell>
          <cell r="E71" t="e">
            <v>#N/A</v>
          </cell>
          <cell r="F71" t="e">
            <v>#N/A</v>
          </cell>
          <cell r="G71" t="e">
            <v>#N/A</v>
          </cell>
          <cell r="H71" t="e">
            <v>#N/A</v>
          </cell>
          <cell r="I71" t="e">
            <v>#N/A</v>
          </cell>
          <cell r="J71" t="e">
            <v>#N/A</v>
          </cell>
          <cell r="K71" t="e">
            <v>#N/A</v>
          </cell>
          <cell r="L71" t="e">
            <v>#N/A</v>
          </cell>
          <cell r="M71" t="e">
            <v>#N/A</v>
          </cell>
          <cell r="N71" t="e">
            <v>#N/A</v>
          </cell>
          <cell r="O71" t="e">
            <v>#N/A</v>
          </cell>
          <cell r="P71">
            <v>11.8</v>
          </cell>
          <cell r="Q71">
            <v>2.2391289999999997</v>
          </cell>
          <cell r="R71" t="e">
            <v>#N/A</v>
          </cell>
          <cell r="AI71" t="str">
            <v>GBP British Pound</v>
          </cell>
          <cell r="AJ71" t="str">
            <v>₤</v>
          </cell>
          <cell r="AK71" t="str">
            <v>GBP</v>
          </cell>
          <cell r="AL71" t="str">
            <v>GBP</v>
          </cell>
          <cell r="AM71">
            <v>0</v>
          </cell>
          <cell r="AN71">
            <v>2</v>
          </cell>
        </row>
        <row r="72">
          <cell r="A72">
            <v>40077</v>
          </cell>
          <cell r="B72">
            <v>40077</v>
          </cell>
          <cell r="C72" t="str">
            <v>Past</v>
          </cell>
          <cell r="D72">
            <v>11.82</v>
          </cell>
          <cell r="E72" t="e">
            <v>#N/A</v>
          </cell>
          <cell r="F72" t="e">
            <v>#N/A</v>
          </cell>
          <cell r="G72" t="e">
            <v>#N/A</v>
          </cell>
          <cell r="H72" t="e">
            <v>#N/A</v>
          </cell>
          <cell r="I72" t="e">
            <v>#N/A</v>
          </cell>
          <cell r="J72" t="e">
            <v>#N/A</v>
          </cell>
          <cell r="K72" t="e">
            <v>#N/A</v>
          </cell>
          <cell r="L72" t="e">
            <v>#N/A</v>
          </cell>
          <cell r="M72" t="e">
            <v>#N/A</v>
          </cell>
          <cell r="N72" t="e">
            <v>#N/A</v>
          </cell>
          <cell r="O72" t="e">
            <v>#N/A</v>
          </cell>
          <cell r="P72">
            <v>11.82</v>
          </cell>
          <cell r="Q72">
            <v>2.264758</v>
          </cell>
          <cell r="R72" t="e">
            <v>#N/A</v>
          </cell>
          <cell r="AI72" t="str">
            <v>HKD Hong Kong Dollar</v>
          </cell>
          <cell r="AJ72" t="str">
            <v>HK$</v>
          </cell>
          <cell r="AK72" t="str">
            <v>HKD</v>
          </cell>
          <cell r="AL72" t="str">
            <v>HKD</v>
          </cell>
          <cell r="AM72">
            <v>0</v>
          </cell>
          <cell r="AN72">
            <v>2</v>
          </cell>
        </row>
        <row r="73">
          <cell r="A73">
            <v>40078</v>
          </cell>
          <cell r="B73">
            <v>40078</v>
          </cell>
          <cell r="C73" t="str">
            <v>Past</v>
          </cell>
          <cell r="D73">
            <v>11.72</v>
          </cell>
          <cell r="E73" t="e">
            <v>#N/A</v>
          </cell>
          <cell r="F73" t="e">
            <v>#N/A</v>
          </cell>
          <cell r="G73" t="e">
            <v>#N/A</v>
          </cell>
          <cell r="H73" t="e">
            <v>#N/A</v>
          </cell>
          <cell r="I73" t="e">
            <v>#N/A</v>
          </cell>
          <cell r="J73" t="e">
            <v>#N/A</v>
          </cell>
          <cell r="K73" t="e">
            <v>#N/A</v>
          </cell>
          <cell r="L73" t="e">
            <v>#N/A</v>
          </cell>
          <cell r="M73" t="e">
            <v>#N/A</v>
          </cell>
          <cell r="N73" t="e">
            <v>#N/A</v>
          </cell>
          <cell r="O73" t="e">
            <v>#N/A</v>
          </cell>
          <cell r="P73">
            <v>11.72</v>
          </cell>
          <cell r="Q73">
            <v>1.6808400000000001</v>
          </cell>
          <cell r="R73" t="e">
            <v>#N/A</v>
          </cell>
          <cell r="AI73" t="str">
            <v>HUF Hungarian forint</v>
          </cell>
          <cell r="AJ73" t="str">
            <v>Ft</v>
          </cell>
          <cell r="AK73" t="str">
            <v>HUF</v>
          </cell>
          <cell r="AL73" t="str">
            <v>HUF</v>
          </cell>
          <cell r="AM73">
            <v>0</v>
          </cell>
          <cell r="AN73">
            <v>2</v>
          </cell>
        </row>
        <row r="74">
          <cell r="A74">
            <v>40079</v>
          </cell>
          <cell r="B74">
            <v>40079</v>
          </cell>
          <cell r="C74" t="str">
            <v>Past</v>
          </cell>
          <cell r="D74">
            <v>11.64</v>
          </cell>
          <cell r="E74" t="e">
            <v>#N/A</v>
          </cell>
          <cell r="F74" t="e">
            <v>#N/A</v>
          </cell>
          <cell r="G74" t="e">
            <v>#N/A</v>
          </cell>
          <cell r="H74" t="e">
            <v>#N/A</v>
          </cell>
          <cell r="I74" t="e">
            <v>#N/A</v>
          </cell>
          <cell r="J74" t="e">
            <v>#N/A</v>
          </cell>
          <cell r="K74" t="e">
            <v>#N/A</v>
          </cell>
          <cell r="L74" t="e">
            <v>#N/A</v>
          </cell>
          <cell r="M74" t="e">
            <v>#N/A</v>
          </cell>
          <cell r="N74" t="e">
            <v>#N/A</v>
          </cell>
          <cell r="O74" t="e">
            <v>#N/A</v>
          </cell>
          <cell r="P74">
            <v>11.64</v>
          </cell>
          <cell r="Q74">
            <v>2.3194809999999997</v>
          </cell>
          <cell r="R74" t="e">
            <v>#N/A</v>
          </cell>
          <cell r="AI74" t="str">
            <v>IDR Indonesian Rupiah</v>
          </cell>
          <cell r="AJ74" t="str">
            <v>Rp</v>
          </cell>
          <cell r="AK74" t="str">
            <v>IDR</v>
          </cell>
          <cell r="AL74" t="str">
            <v>IDR</v>
          </cell>
          <cell r="AM74">
            <v>0</v>
          </cell>
          <cell r="AN74">
            <v>0</v>
          </cell>
        </row>
        <row r="75">
          <cell r="A75">
            <v>40080</v>
          </cell>
          <cell r="B75">
            <v>40080</v>
          </cell>
          <cell r="C75" t="str">
            <v>Past</v>
          </cell>
          <cell r="D75">
            <v>11.54</v>
          </cell>
          <cell r="E75" t="e">
            <v>#N/A</v>
          </cell>
          <cell r="F75" t="e">
            <v>#N/A</v>
          </cell>
          <cell r="G75" t="e">
            <v>#N/A</v>
          </cell>
          <cell r="H75" t="e">
            <v>#N/A</v>
          </cell>
          <cell r="I75" t="e">
            <v>#N/A</v>
          </cell>
          <cell r="J75" t="e">
            <v>#N/A</v>
          </cell>
          <cell r="K75" t="e">
            <v>#N/A</v>
          </cell>
          <cell r="L75" t="e">
            <v>#N/A</v>
          </cell>
          <cell r="M75" t="e">
            <v>#N/A</v>
          </cell>
          <cell r="N75" t="e">
            <v>#N/A</v>
          </cell>
          <cell r="O75" t="e">
            <v>#N/A</v>
          </cell>
          <cell r="P75">
            <v>11.54</v>
          </cell>
          <cell r="Q75">
            <v>2.1152579999999999</v>
          </cell>
          <cell r="R75" t="e">
            <v>#N/A</v>
          </cell>
          <cell r="AI75" t="str">
            <v>ILS Israeli shekel</v>
          </cell>
          <cell r="AJ75" t="str">
            <v>ILS</v>
          </cell>
          <cell r="AK75" t="str">
            <v>ILS</v>
          </cell>
          <cell r="AL75" t="str">
            <v>ILS</v>
          </cell>
          <cell r="AM75">
            <v>0</v>
          </cell>
          <cell r="AN75">
            <v>2</v>
          </cell>
        </row>
        <row r="76">
          <cell r="A76">
            <v>40081</v>
          </cell>
          <cell r="B76">
            <v>40081</v>
          </cell>
          <cell r="C76" t="str">
            <v>Past</v>
          </cell>
          <cell r="D76">
            <v>11.49</v>
          </cell>
          <cell r="E76" t="e">
            <v>#N/A</v>
          </cell>
          <cell r="F76" t="e">
            <v>#N/A</v>
          </cell>
          <cell r="G76" t="e">
            <v>#N/A</v>
          </cell>
          <cell r="H76" t="e">
            <v>#N/A</v>
          </cell>
          <cell r="I76" t="e">
            <v>#N/A</v>
          </cell>
          <cell r="J76" t="e">
            <v>#N/A</v>
          </cell>
          <cell r="K76" t="e">
            <v>#N/A</v>
          </cell>
          <cell r="L76" t="e">
            <v>#N/A</v>
          </cell>
          <cell r="M76" t="e">
            <v>#N/A</v>
          </cell>
          <cell r="N76" t="e">
            <v>#N/A</v>
          </cell>
          <cell r="O76" t="e">
            <v>#N/A</v>
          </cell>
          <cell r="P76">
            <v>11.49</v>
          </cell>
          <cell r="Q76">
            <v>3.0800739999999998</v>
          </cell>
          <cell r="R76" t="e">
            <v>#N/A</v>
          </cell>
          <cell r="AI76" t="str">
            <v>INR Indian Rupee</v>
          </cell>
          <cell r="AJ76" t="str">
            <v>Rs.</v>
          </cell>
          <cell r="AK76" t="str">
            <v>INR</v>
          </cell>
          <cell r="AL76" t="str">
            <v>INR</v>
          </cell>
          <cell r="AM76">
            <v>0</v>
          </cell>
          <cell r="AN76">
            <v>2</v>
          </cell>
        </row>
        <row r="77">
          <cell r="A77">
            <v>40084</v>
          </cell>
          <cell r="B77">
            <v>40084</v>
          </cell>
          <cell r="C77" t="str">
            <v>Past</v>
          </cell>
          <cell r="D77">
            <v>11.6</v>
          </cell>
          <cell r="E77" t="e">
            <v>#N/A</v>
          </cell>
          <cell r="F77" t="e">
            <v>#N/A</v>
          </cell>
          <cell r="G77" t="e">
            <v>#N/A</v>
          </cell>
          <cell r="H77" t="e">
            <v>#N/A</v>
          </cell>
          <cell r="I77" t="e">
            <v>#N/A</v>
          </cell>
          <cell r="J77" t="e">
            <v>#N/A</v>
          </cell>
          <cell r="K77" t="e">
            <v>#N/A</v>
          </cell>
          <cell r="L77" t="e">
            <v>#N/A</v>
          </cell>
          <cell r="M77" t="e">
            <v>#N/A</v>
          </cell>
          <cell r="N77" t="e">
            <v>#N/A</v>
          </cell>
          <cell r="O77" t="e">
            <v>#N/A</v>
          </cell>
          <cell r="P77">
            <v>11.6</v>
          </cell>
          <cell r="Q77">
            <v>1.955897</v>
          </cell>
          <cell r="R77" t="e">
            <v>#N/A</v>
          </cell>
          <cell r="AI77" t="str">
            <v>IQD Iraqi Dinar</v>
          </cell>
          <cell r="AJ77" t="str">
            <v>IQD</v>
          </cell>
          <cell r="AK77" t="str">
            <v>IQD</v>
          </cell>
          <cell r="AL77" t="str">
            <v>IQD</v>
          </cell>
          <cell r="AM77">
            <v>0</v>
          </cell>
          <cell r="AN77">
            <v>2</v>
          </cell>
        </row>
        <row r="78">
          <cell r="A78">
            <v>40085</v>
          </cell>
          <cell r="B78">
            <v>40085</v>
          </cell>
          <cell r="C78" t="str">
            <v>Past</v>
          </cell>
          <cell r="D78">
            <v>11.58</v>
          </cell>
          <cell r="E78" t="e">
            <v>#N/A</v>
          </cell>
          <cell r="F78" t="e">
            <v>#N/A</v>
          </cell>
          <cell r="G78" t="e">
            <v>#N/A</v>
          </cell>
          <cell r="H78" t="e">
            <v>#N/A</v>
          </cell>
          <cell r="I78" t="e">
            <v>#N/A</v>
          </cell>
          <cell r="J78" t="e">
            <v>#N/A</v>
          </cell>
          <cell r="K78" t="e">
            <v>#N/A</v>
          </cell>
          <cell r="L78" t="e">
            <v>#N/A</v>
          </cell>
          <cell r="M78" t="e">
            <v>#N/A</v>
          </cell>
          <cell r="N78" t="e">
            <v>#N/A</v>
          </cell>
          <cell r="O78" t="e">
            <v>#N/A</v>
          </cell>
          <cell r="P78">
            <v>11.58</v>
          </cell>
          <cell r="Q78">
            <v>1.5703909999999999</v>
          </cell>
          <cell r="R78" t="e">
            <v>#N/A</v>
          </cell>
          <cell r="AI78" t="str">
            <v>IRR Iranian Rial</v>
          </cell>
          <cell r="AJ78" t="str">
            <v>IRR</v>
          </cell>
          <cell r="AK78" t="str">
            <v>IRR</v>
          </cell>
          <cell r="AL78" t="str">
            <v>IRR</v>
          </cell>
          <cell r="AM78">
            <v>0</v>
          </cell>
          <cell r="AN78">
            <v>2</v>
          </cell>
        </row>
        <row r="79">
          <cell r="A79">
            <v>40086</v>
          </cell>
          <cell r="B79">
            <v>40086</v>
          </cell>
          <cell r="C79" t="str">
            <v>Past</v>
          </cell>
          <cell r="D79">
            <v>11.59</v>
          </cell>
          <cell r="E79" t="e">
            <v>#N/A</v>
          </cell>
          <cell r="F79" t="e">
            <v>#N/A</v>
          </cell>
          <cell r="G79" t="e">
            <v>#N/A</v>
          </cell>
          <cell r="H79" t="e">
            <v>#N/A</v>
          </cell>
          <cell r="I79" t="e">
            <v>#N/A</v>
          </cell>
          <cell r="J79" t="e">
            <v>#N/A</v>
          </cell>
          <cell r="K79" t="e">
            <v>#N/A</v>
          </cell>
          <cell r="L79" t="e">
            <v>#N/A</v>
          </cell>
          <cell r="M79" t="e">
            <v>#N/A</v>
          </cell>
          <cell r="N79" t="e">
            <v>#N/A</v>
          </cell>
          <cell r="O79" t="e">
            <v>#N/A</v>
          </cell>
          <cell r="P79">
            <v>11.59</v>
          </cell>
          <cell r="Q79">
            <v>2.2237610000000001</v>
          </cell>
          <cell r="R79" t="e">
            <v>#N/A</v>
          </cell>
          <cell r="AI79" t="str">
            <v>ISK Iceland Krona</v>
          </cell>
          <cell r="AJ79" t="str">
            <v>kr</v>
          </cell>
          <cell r="AK79" t="str">
            <v>ISK</v>
          </cell>
          <cell r="AL79" t="str">
            <v>ISK</v>
          </cell>
          <cell r="AM79">
            <v>0</v>
          </cell>
          <cell r="AN79">
            <v>2</v>
          </cell>
        </row>
        <row r="80">
          <cell r="A80">
            <v>40087</v>
          </cell>
          <cell r="B80">
            <v>40087</v>
          </cell>
          <cell r="C80" t="str">
            <v>Past</v>
          </cell>
          <cell r="D80">
            <v>11.47</v>
          </cell>
          <cell r="E80" t="e">
            <v>#N/A</v>
          </cell>
          <cell r="F80" t="e">
            <v>#N/A</v>
          </cell>
          <cell r="G80" t="e">
            <v>#N/A</v>
          </cell>
          <cell r="H80" t="e">
            <v>#N/A</v>
          </cell>
          <cell r="I80" t="e">
            <v>#N/A</v>
          </cell>
          <cell r="J80" t="e">
            <v>#N/A</v>
          </cell>
          <cell r="K80" t="e">
            <v>#N/A</v>
          </cell>
          <cell r="L80" t="e">
            <v>#N/A</v>
          </cell>
          <cell r="M80" t="e">
            <v>#N/A</v>
          </cell>
          <cell r="N80" t="e">
            <v>#N/A</v>
          </cell>
          <cell r="O80" t="e">
            <v>#N/A</v>
          </cell>
          <cell r="P80">
            <v>11.47</v>
          </cell>
          <cell r="Q80">
            <v>3.3032800000000004</v>
          </cell>
          <cell r="R80" t="e">
            <v>#N/A</v>
          </cell>
          <cell r="AI80" t="str">
            <v>JMD Jamaican Dollars</v>
          </cell>
          <cell r="AJ80" t="str">
            <v>JMD</v>
          </cell>
          <cell r="AK80" t="str">
            <v>JMD</v>
          </cell>
          <cell r="AL80" t="str">
            <v>JMD</v>
          </cell>
          <cell r="AM80">
            <v>0</v>
          </cell>
          <cell r="AN80">
            <v>2</v>
          </cell>
        </row>
        <row r="81">
          <cell r="A81">
            <v>40088</v>
          </cell>
          <cell r="B81">
            <v>40088</v>
          </cell>
          <cell r="C81" t="str">
            <v>Past</v>
          </cell>
          <cell r="D81">
            <v>11.26</v>
          </cell>
          <cell r="E81" t="e">
            <v>#N/A</v>
          </cell>
          <cell r="F81" t="e">
            <v>#N/A</v>
          </cell>
          <cell r="G81" t="e">
            <v>#N/A</v>
          </cell>
          <cell r="H81" t="e">
            <v>#N/A</v>
          </cell>
          <cell r="I81" t="e">
            <v>#N/A</v>
          </cell>
          <cell r="J81" t="e">
            <v>#N/A</v>
          </cell>
          <cell r="K81" t="e">
            <v>#N/A</v>
          </cell>
          <cell r="L81" t="e">
            <v>#N/A</v>
          </cell>
          <cell r="M81" t="e">
            <v>#N/A</v>
          </cell>
          <cell r="N81" t="e">
            <v>#N/A</v>
          </cell>
          <cell r="O81" t="e">
            <v>#N/A</v>
          </cell>
          <cell r="P81">
            <v>11.26</v>
          </cell>
          <cell r="Q81">
            <v>3.5768739999999997</v>
          </cell>
          <cell r="R81" t="e">
            <v>#N/A</v>
          </cell>
          <cell r="AI81" t="str">
            <v>JPY Japanese Yen</v>
          </cell>
          <cell r="AJ81" t="str">
            <v>¥</v>
          </cell>
          <cell r="AK81" t="str">
            <v>JPY</v>
          </cell>
          <cell r="AL81" t="str">
            <v>JPY</v>
          </cell>
          <cell r="AM81">
            <v>0</v>
          </cell>
          <cell r="AN81">
            <v>0</v>
          </cell>
        </row>
        <row r="82">
          <cell r="A82">
            <v>40091</v>
          </cell>
          <cell r="B82">
            <v>40091</v>
          </cell>
          <cell r="C82" t="str">
            <v>Past</v>
          </cell>
          <cell r="D82">
            <v>11.39</v>
          </cell>
          <cell r="E82" t="e">
            <v>#N/A</v>
          </cell>
          <cell r="F82" t="e">
            <v>#N/A</v>
          </cell>
          <cell r="G82" t="e">
            <v>#N/A</v>
          </cell>
          <cell r="H82" t="e">
            <v>#N/A</v>
          </cell>
          <cell r="I82" t="e">
            <v>#N/A</v>
          </cell>
          <cell r="J82" t="e">
            <v>#N/A</v>
          </cell>
          <cell r="K82" t="e">
            <v>#N/A</v>
          </cell>
          <cell r="L82" t="e">
            <v>#N/A</v>
          </cell>
          <cell r="M82" t="e">
            <v>#N/A</v>
          </cell>
          <cell r="N82" t="e">
            <v>#N/A</v>
          </cell>
          <cell r="O82" t="e">
            <v>#N/A</v>
          </cell>
          <cell r="P82">
            <v>11.39</v>
          </cell>
          <cell r="Q82">
            <v>3.0325839999999999</v>
          </cell>
          <cell r="R82" t="e">
            <v>#N/A</v>
          </cell>
          <cell r="AI82" t="str">
            <v>KES Kenyan Shilling</v>
          </cell>
          <cell r="AJ82" t="str">
            <v>KES</v>
          </cell>
          <cell r="AK82" t="str">
            <v>KES</v>
          </cell>
          <cell r="AL82" t="str">
            <v>KES</v>
          </cell>
          <cell r="AM82">
            <v>0</v>
          </cell>
          <cell r="AN82">
            <v>0</v>
          </cell>
        </row>
        <row r="83">
          <cell r="A83">
            <v>40092</v>
          </cell>
          <cell r="B83">
            <v>40092</v>
          </cell>
          <cell r="C83" t="str">
            <v>Past</v>
          </cell>
          <cell r="D83">
            <v>11.43</v>
          </cell>
          <cell r="E83" t="e">
            <v>#N/A</v>
          </cell>
          <cell r="F83" t="e">
            <v>#N/A</v>
          </cell>
          <cell r="G83" t="e">
            <v>#N/A</v>
          </cell>
          <cell r="H83" t="e">
            <v>#N/A</v>
          </cell>
          <cell r="I83" t="e">
            <v>#N/A</v>
          </cell>
          <cell r="J83" t="e">
            <v>#N/A</v>
          </cell>
          <cell r="K83" t="e">
            <v>#N/A</v>
          </cell>
          <cell r="L83" t="e">
            <v>#N/A</v>
          </cell>
          <cell r="M83" t="e">
            <v>#N/A</v>
          </cell>
          <cell r="N83" t="e">
            <v>#N/A</v>
          </cell>
          <cell r="O83" t="e">
            <v>#N/A</v>
          </cell>
          <cell r="P83">
            <v>11.43</v>
          </cell>
          <cell r="Q83">
            <v>2.647376</v>
          </cell>
          <cell r="R83" t="e">
            <v>#N/A</v>
          </cell>
          <cell r="AI83" t="str">
            <v>KRW South Korean Won</v>
          </cell>
          <cell r="AJ83" t="str">
            <v>₩</v>
          </cell>
          <cell r="AK83" t="str">
            <v>KRW</v>
          </cell>
          <cell r="AL83" t="str">
            <v>KRW</v>
          </cell>
          <cell r="AM83">
            <v>0</v>
          </cell>
          <cell r="AN83">
            <v>0</v>
          </cell>
        </row>
        <row r="84">
          <cell r="A84">
            <v>40093</v>
          </cell>
          <cell r="B84">
            <v>40093</v>
          </cell>
          <cell r="C84" t="str">
            <v>Past</v>
          </cell>
          <cell r="D84">
            <v>11.36</v>
          </cell>
          <cell r="E84" t="e">
            <v>#N/A</v>
          </cell>
          <cell r="F84" t="e">
            <v>#N/A</v>
          </cell>
          <cell r="G84" t="e">
            <v>#N/A</v>
          </cell>
          <cell r="H84" t="e">
            <v>#N/A</v>
          </cell>
          <cell r="I84" t="e">
            <v>#N/A</v>
          </cell>
          <cell r="J84" t="e">
            <v>#N/A</v>
          </cell>
          <cell r="K84" t="e">
            <v>#N/A</v>
          </cell>
          <cell r="L84" t="e">
            <v>#N/A</v>
          </cell>
          <cell r="M84" t="e">
            <v>#N/A</v>
          </cell>
          <cell r="N84" t="e">
            <v>#N/A</v>
          </cell>
          <cell r="O84" t="e">
            <v>#N/A</v>
          </cell>
          <cell r="P84">
            <v>11.36</v>
          </cell>
          <cell r="Q84">
            <v>2.1541139999999999</v>
          </cell>
          <cell r="R84" t="e">
            <v>#N/A</v>
          </cell>
          <cell r="AI84" t="str">
            <v>KWD Kuwaiti Dinar</v>
          </cell>
          <cell r="AJ84" t="str">
            <v>KWD</v>
          </cell>
          <cell r="AK84" t="str">
            <v>KWD</v>
          </cell>
          <cell r="AL84" t="str">
            <v>KWD</v>
          </cell>
          <cell r="AM84">
            <v>0</v>
          </cell>
          <cell r="AN84">
            <v>2</v>
          </cell>
        </row>
        <row r="85">
          <cell r="A85">
            <v>40094</v>
          </cell>
          <cell r="B85">
            <v>40094</v>
          </cell>
          <cell r="C85" t="str">
            <v>Past</v>
          </cell>
          <cell r="D85">
            <v>11.37</v>
          </cell>
          <cell r="E85" t="e">
            <v>#N/A</v>
          </cell>
          <cell r="F85" t="e">
            <v>#N/A</v>
          </cell>
          <cell r="G85" t="e">
            <v>#N/A</v>
          </cell>
          <cell r="H85" t="e">
            <v>#N/A</v>
          </cell>
          <cell r="I85" t="e">
            <v>#N/A</v>
          </cell>
          <cell r="J85" t="e">
            <v>#N/A</v>
          </cell>
          <cell r="K85" t="e">
            <v>#N/A</v>
          </cell>
          <cell r="L85" t="e">
            <v>#N/A</v>
          </cell>
          <cell r="M85" t="e">
            <v>#N/A</v>
          </cell>
          <cell r="N85" t="e">
            <v>#N/A</v>
          </cell>
          <cell r="O85" t="e">
            <v>#N/A</v>
          </cell>
          <cell r="P85">
            <v>11.37</v>
          </cell>
          <cell r="Q85">
            <v>3.583091</v>
          </cell>
          <cell r="R85" t="e">
            <v>#N/A</v>
          </cell>
          <cell r="AI85" t="str">
            <v>KYD Cayman Dollars</v>
          </cell>
          <cell r="AJ85" t="str">
            <v>KYD</v>
          </cell>
          <cell r="AK85" t="str">
            <v>KYD</v>
          </cell>
          <cell r="AL85" t="str">
            <v>KYD</v>
          </cell>
          <cell r="AM85">
            <v>0</v>
          </cell>
          <cell r="AN85">
            <v>2</v>
          </cell>
        </row>
        <row r="86">
          <cell r="A86">
            <v>40095</v>
          </cell>
          <cell r="B86">
            <v>40095</v>
          </cell>
          <cell r="C86" t="str">
            <v>Past</v>
          </cell>
          <cell r="D86">
            <v>11.54</v>
          </cell>
          <cell r="E86" t="e">
            <v>#N/A</v>
          </cell>
          <cell r="F86" t="e">
            <v>#N/A</v>
          </cell>
          <cell r="G86" t="e">
            <v>#N/A</v>
          </cell>
          <cell r="H86" t="e">
            <v>#N/A</v>
          </cell>
          <cell r="I86" t="e">
            <v>#N/A</v>
          </cell>
          <cell r="J86" t="e">
            <v>#N/A</v>
          </cell>
          <cell r="K86" t="e">
            <v>#N/A</v>
          </cell>
          <cell r="L86" t="e">
            <v>#N/A</v>
          </cell>
          <cell r="M86" t="e">
            <v>#N/A</v>
          </cell>
          <cell r="N86" t="e">
            <v>#N/A</v>
          </cell>
          <cell r="O86" t="e">
            <v>#N/A</v>
          </cell>
          <cell r="P86">
            <v>11.54</v>
          </cell>
          <cell r="Q86">
            <v>3.244996</v>
          </cell>
          <cell r="R86" t="e">
            <v>#N/A</v>
          </cell>
          <cell r="AI86" t="str">
            <v>LKR Sri Lankan Rupee</v>
          </cell>
          <cell r="AJ86" t="str">
            <v>LKR</v>
          </cell>
          <cell r="AK86" t="str">
            <v>LKR</v>
          </cell>
          <cell r="AL86" t="str">
            <v>LKR</v>
          </cell>
          <cell r="AM86">
            <v>0</v>
          </cell>
          <cell r="AN86">
            <v>2</v>
          </cell>
        </row>
        <row r="87">
          <cell r="A87">
            <v>40098</v>
          </cell>
          <cell r="B87">
            <v>40098</v>
          </cell>
          <cell r="C87" t="str">
            <v>Past</v>
          </cell>
          <cell r="D87">
            <v>11.6</v>
          </cell>
          <cell r="E87" t="e">
            <v>#N/A</v>
          </cell>
          <cell r="F87" t="e">
            <v>#N/A</v>
          </cell>
          <cell r="G87" t="e">
            <v>#N/A</v>
          </cell>
          <cell r="H87" t="e">
            <v>#N/A</v>
          </cell>
          <cell r="I87" t="e">
            <v>#N/A</v>
          </cell>
          <cell r="J87" t="e">
            <v>#N/A</v>
          </cell>
          <cell r="K87" t="e">
            <v>#N/A</v>
          </cell>
          <cell r="L87" t="e">
            <v>#N/A</v>
          </cell>
          <cell r="M87" t="e">
            <v>#N/A</v>
          </cell>
          <cell r="N87" t="e">
            <v>#N/A</v>
          </cell>
          <cell r="O87" t="e">
            <v>#N/A</v>
          </cell>
          <cell r="P87">
            <v>11.6</v>
          </cell>
          <cell r="Q87">
            <v>1.45696</v>
          </cell>
          <cell r="R87" t="e">
            <v>#N/A</v>
          </cell>
          <cell r="AI87" t="str">
            <v>MAD Moroccan Dirham</v>
          </cell>
          <cell r="AJ87" t="str">
            <v>MAD</v>
          </cell>
          <cell r="AK87" t="str">
            <v>MAD</v>
          </cell>
          <cell r="AL87" t="str">
            <v>MAD</v>
          </cell>
          <cell r="AM87">
            <v>0</v>
          </cell>
          <cell r="AN87">
            <v>2</v>
          </cell>
        </row>
        <row r="88">
          <cell r="A88">
            <v>40099</v>
          </cell>
          <cell r="B88">
            <v>40099</v>
          </cell>
          <cell r="C88" t="str">
            <v>Past</v>
          </cell>
          <cell r="D88">
            <v>11.46</v>
          </cell>
          <cell r="E88" t="e">
            <v>#N/A</v>
          </cell>
          <cell r="F88" t="e">
            <v>#N/A</v>
          </cell>
          <cell r="G88" t="e">
            <v>#N/A</v>
          </cell>
          <cell r="H88" t="e">
            <v>#N/A</v>
          </cell>
          <cell r="I88" t="e">
            <v>#N/A</v>
          </cell>
          <cell r="J88" t="e">
            <v>#N/A</v>
          </cell>
          <cell r="K88" t="e">
            <v>#N/A</v>
          </cell>
          <cell r="L88" t="e">
            <v>#N/A</v>
          </cell>
          <cell r="M88" t="e">
            <v>#N/A</v>
          </cell>
          <cell r="N88" t="e">
            <v>#N/A</v>
          </cell>
          <cell r="O88" t="e">
            <v>#N/A</v>
          </cell>
          <cell r="P88">
            <v>11.46</v>
          </cell>
          <cell r="Q88">
            <v>2.1492249999999999</v>
          </cell>
          <cell r="R88" t="e">
            <v>#N/A</v>
          </cell>
          <cell r="AI88" t="str">
            <v>MXN Mexican Pesos (new)</v>
          </cell>
          <cell r="AJ88" t="str">
            <v>M$</v>
          </cell>
          <cell r="AK88" t="str">
            <v>MXN</v>
          </cell>
          <cell r="AL88" t="str">
            <v>MXN</v>
          </cell>
          <cell r="AM88">
            <v>0</v>
          </cell>
          <cell r="AN88">
            <v>2</v>
          </cell>
        </row>
        <row r="89">
          <cell r="A89">
            <v>40100</v>
          </cell>
          <cell r="B89">
            <v>40100</v>
          </cell>
          <cell r="C89" t="str">
            <v>Past</v>
          </cell>
          <cell r="D89">
            <v>11.58</v>
          </cell>
          <cell r="E89" t="e">
            <v>#N/A</v>
          </cell>
          <cell r="F89" t="e">
            <v>#N/A</v>
          </cell>
          <cell r="G89" t="e">
            <v>#N/A</v>
          </cell>
          <cell r="H89" t="e">
            <v>#N/A</v>
          </cell>
          <cell r="I89" t="e">
            <v>#N/A</v>
          </cell>
          <cell r="J89" t="e">
            <v>#N/A</v>
          </cell>
          <cell r="K89" t="e">
            <v>#N/A</v>
          </cell>
          <cell r="L89" t="e">
            <v>#N/A</v>
          </cell>
          <cell r="M89" t="e">
            <v>#N/A</v>
          </cell>
          <cell r="N89" t="e">
            <v>#N/A</v>
          </cell>
          <cell r="O89" t="e">
            <v>#N/A</v>
          </cell>
          <cell r="P89">
            <v>11.58</v>
          </cell>
          <cell r="Q89">
            <v>2.0291129999999997</v>
          </cell>
          <cell r="R89" t="e">
            <v>#N/A</v>
          </cell>
          <cell r="AI89" t="str">
            <v>MYR Malaysian Ringgit</v>
          </cell>
          <cell r="AJ89" t="str">
            <v>RM</v>
          </cell>
          <cell r="AK89" t="str">
            <v>MYR</v>
          </cell>
          <cell r="AL89" t="str">
            <v>MYR</v>
          </cell>
          <cell r="AM89">
            <v>0</v>
          </cell>
          <cell r="AN89">
            <v>2</v>
          </cell>
        </row>
        <row r="90">
          <cell r="A90">
            <v>40101</v>
          </cell>
          <cell r="B90">
            <v>40101</v>
          </cell>
          <cell r="C90" t="str">
            <v>Past</v>
          </cell>
          <cell r="D90">
            <v>11.64</v>
          </cell>
          <cell r="E90" t="e">
            <v>#N/A</v>
          </cell>
          <cell r="F90" t="e">
            <v>#N/A</v>
          </cell>
          <cell r="G90" t="e">
            <v>#N/A</v>
          </cell>
          <cell r="H90" t="e">
            <v>#N/A</v>
          </cell>
          <cell r="I90" t="e">
            <v>#N/A</v>
          </cell>
          <cell r="J90" t="e">
            <v>#N/A</v>
          </cell>
          <cell r="K90" t="e">
            <v>#N/A</v>
          </cell>
          <cell r="L90" t="e">
            <v>#N/A</v>
          </cell>
          <cell r="M90" t="e">
            <v>#N/A</v>
          </cell>
          <cell r="N90" t="e">
            <v>#N/A</v>
          </cell>
          <cell r="O90" t="e">
            <v>#N/A</v>
          </cell>
          <cell r="P90">
            <v>11.64</v>
          </cell>
          <cell r="Q90">
            <v>1.4275819999999999</v>
          </cell>
          <cell r="R90" t="e">
            <v>#N/A</v>
          </cell>
          <cell r="AI90" t="str">
            <v>NOK Norwegian Krone</v>
          </cell>
          <cell r="AJ90" t="str">
            <v>NKr</v>
          </cell>
          <cell r="AK90" t="str">
            <v>NOK</v>
          </cell>
          <cell r="AL90" t="str">
            <v>NOK</v>
          </cell>
          <cell r="AM90">
            <v>0</v>
          </cell>
          <cell r="AN90">
            <v>2</v>
          </cell>
        </row>
        <row r="91">
          <cell r="A91">
            <v>40102</v>
          </cell>
          <cell r="B91">
            <v>40102</v>
          </cell>
          <cell r="C91" t="str">
            <v>Past</v>
          </cell>
          <cell r="D91">
            <v>11.56</v>
          </cell>
          <cell r="E91" t="e">
            <v>#N/A</v>
          </cell>
          <cell r="F91" t="e">
            <v>#N/A</v>
          </cell>
          <cell r="G91" t="e">
            <v>#N/A</v>
          </cell>
          <cell r="H91" t="e">
            <v>#N/A</v>
          </cell>
          <cell r="I91" t="e">
            <v>#N/A</v>
          </cell>
          <cell r="J91" t="e">
            <v>#N/A</v>
          </cell>
          <cell r="K91" t="e">
            <v>#N/A</v>
          </cell>
          <cell r="L91" t="e">
            <v>#N/A</v>
          </cell>
          <cell r="M91" t="e">
            <v>#N/A</v>
          </cell>
          <cell r="N91" t="e">
            <v>#N/A</v>
          </cell>
          <cell r="O91" t="e">
            <v>#N/A</v>
          </cell>
          <cell r="P91">
            <v>11.56</v>
          </cell>
          <cell r="Q91">
            <v>1.6266229999999999</v>
          </cell>
          <cell r="R91" t="e">
            <v>#N/A</v>
          </cell>
          <cell r="AI91" t="str">
            <v>NZD New Zealand Dollars</v>
          </cell>
          <cell r="AJ91" t="str">
            <v>NZ$</v>
          </cell>
          <cell r="AK91" t="str">
            <v>NZD</v>
          </cell>
          <cell r="AL91" t="str">
            <v>NZD</v>
          </cell>
          <cell r="AM91">
            <v>0</v>
          </cell>
          <cell r="AN91">
            <v>2</v>
          </cell>
        </row>
        <row r="92">
          <cell r="A92">
            <v>40105</v>
          </cell>
          <cell r="B92">
            <v>40105</v>
          </cell>
          <cell r="C92" t="str">
            <v>Past</v>
          </cell>
          <cell r="D92">
            <v>11.61</v>
          </cell>
          <cell r="E92" t="e">
            <v>#N/A</v>
          </cell>
          <cell r="F92" t="e">
            <v>#N/A</v>
          </cell>
          <cell r="G92" t="e">
            <v>#N/A</v>
          </cell>
          <cell r="H92" t="e">
            <v>#N/A</v>
          </cell>
          <cell r="I92" t="e">
            <v>#N/A</v>
          </cell>
          <cell r="J92" t="e">
            <v>#N/A</v>
          </cell>
          <cell r="K92" t="e">
            <v>#N/A</v>
          </cell>
          <cell r="L92" t="e">
            <v>#N/A</v>
          </cell>
          <cell r="M92" t="e">
            <v>#N/A</v>
          </cell>
          <cell r="N92" t="e">
            <v>#N/A</v>
          </cell>
          <cell r="O92" t="e">
            <v>#N/A</v>
          </cell>
          <cell r="P92">
            <v>11.61</v>
          </cell>
          <cell r="Q92">
            <v>1.6260700000000001</v>
          </cell>
          <cell r="R92" t="e">
            <v>#N/A</v>
          </cell>
          <cell r="AI92" t="str">
            <v>OMR Rial Omani</v>
          </cell>
          <cell r="AJ92" t="str">
            <v>OMR</v>
          </cell>
          <cell r="AK92" t="str">
            <v>OMR</v>
          </cell>
          <cell r="AL92" t="str">
            <v>OMR</v>
          </cell>
          <cell r="AM92">
            <v>0</v>
          </cell>
          <cell r="AN92">
            <v>2</v>
          </cell>
        </row>
        <row r="93">
          <cell r="A93">
            <v>40106</v>
          </cell>
          <cell r="B93">
            <v>40106</v>
          </cell>
          <cell r="C93" t="str">
            <v>Past</v>
          </cell>
          <cell r="D93">
            <v>11.46</v>
          </cell>
          <cell r="E93" t="e">
            <v>#N/A</v>
          </cell>
          <cell r="F93" t="e">
            <v>#N/A</v>
          </cell>
          <cell r="G93" t="e">
            <v>#N/A</v>
          </cell>
          <cell r="H93" t="e">
            <v>#N/A</v>
          </cell>
          <cell r="I93" t="e">
            <v>#N/A</v>
          </cell>
          <cell r="J93" t="e">
            <v>#N/A</v>
          </cell>
          <cell r="K93" t="e">
            <v>#N/A</v>
          </cell>
          <cell r="L93" t="e">
            <v>#N/A</v>
          </cell>
          <cell r="M93" t="e">
            <v>#N/A</v>
          </cell>
          <cell r="N93" t="e">
            <v>#N/A</v>
          </cell>
          <cell r="O93" t="e">
            <v>#N/A</v>
          </cell>
          <cell r="P93">
            <v>11.46</v>
          </cell>
          <cell r="Q93">
            <v>1.2816339999999999</v>
          </cell>
          <cell r="R93" t="e">
            <v>#N/A</v>
          </cell>
          <cell r="AI93" t="str">
            <v>PAB Panamanian Balboa</v>
          </cell>
          <cell r="AJ93" t="str">
            <v>PAB</v>
          </cell>
          <cell r="AK93" t="str">
            <v>PAB</v>
          </cell>
          <cell r="AL93" t="str">
            <v>PAB</v>
          </cell>
          <cell r="AM93">
            <v>0</v>
          </cell>
          <cell r="AN93">
            <v>2</v>
          </cell>
        </row>
        <row r="94">
          <cell r="A94">
            <v>40107</v>
          </cell>
          <cell r="B94">
            <v>40107</v>
          </cell>
          <cell r="C94" t="str">
            <v>Past</v>
          </cell>
          <cell r="D94">
            <v>11.34</v>
          </cell>
          <cell r="E94" t="e">
            <v>#N/A</v>
          </cell>
          <cell r="F94" t="e">
            <v>#N/A</v>
          </cell>
          <cell r="G94" t="e">
            <v>#N/A</v>
          </cell>
          <cell r="H94" t="e">
            <v>#N/A</v>
          </cell>
          <cell r="I94" t="e">
            <v>#N/A</v>
          </cell>
          <cell r="J94" t="e">
            <v>#N/A</v>
          </cell>
          <cell r="K94" t="e">
            <v>#N/A</v>
          </cell>
          <cell r="L94" t="e">
            <v>#N/A</v>
          </cell>
          <cell r="M94" t="e">
            <v>#N/A</v>
          </cell>
          <cell r="N94" t="e">
            <v>#N/A</v>
          </cell>
          <cell r="O94" t="e">
            <v>#N/A</v>
          </cell>
          <cell r="P94">
            <v>11.34</v>
          </cell>
          <cell r="Q94">
            <v>1.940421</v>
          </cell>
          <cell r="R94" t="e">
            <v>#N/A</v>
          </cell>
          <cell r="AI94" t="str">
            <v>PEN Peruvian PEN</v>
          </cell>
          <cell r="AJ94" t="str">
            <v>PEN</v>
          </cell>
          <cell r="AK94" t="str">
            <v>PEN</v>
          </cell>
          <cell r="AL94" t="str">
            <v>PEN</v>
          </cell>
          <cell r="AM94">
            <v>0</v>
          </cell>
          <cell r="AN94">
            <v>2</v>
          </cell>
        </row>
        <row r="95">
          <cell r="A95">
            <v>40108</v>
          </cell>
          <cell r="B95">
            <v>40108</v>
          </cell>
          <cell r="C95" t="str">
            <v>Past</v>
          </cell>
          <cell r="D95">
            <v>11.33</v>
          </cell>
          <cell r="E95" t="e">
            <v>#N/A</v>
          </cell>
          <cell r="F95" t="e">
            <v>#N/A</v>
          </cell>
          <cell r="G95" t="e">
            <v>#N/A</v>
          </cell>
          <cell r="H95" t="e">
            <v>#N/A</v>
          </cell>
          <cell r="I95" t="e">
            <v>#N/A</v>
          </cell>
          <cell r="J95" t="e">
            <v>#N/A</v>
          </cell>
          <cell r="K95" t="e">
            <v>#N/A</v>
          </cell>
          <cell r="L95" t="e">
            <v>#N/A</v>
          </cell>
          <cell r="M95" t="e">
            <v>#N/A</v>
          </cell>
          <cell r="N95" t="e">
            <v>#N/A</v>
          </cell>
          <cell r="O95" t="e">
            <v>#N/A</v>
          </cell>
          <cell r="P95">
            <v>11.33</v>
          </cell>
          <cell r="Q95">
            <v>2.0317000000000003</v>
          </cell>
          <cell r="R95" t="e">
            <v>#N/A</v>
          </cell>
          <cell r="AI95" t="str">
            <v>PHP Philippino Peso</v>
          </cell>
          <cell r="AJ95" t="str">
            <v>PP</v>
          </cell>
          <cell r="AK95" t="str">
            <v>PHP</v>
          </cell>
          <cell r="AL95" t="str">
            <v>PHP</v>
          </cell>
          <cell r="AM95">
            <v>0</v>
          </cell>
          <cell r="AN95">
            <v>2</v>
          </cell>
        </row>
        <row r="96">
          <cell r="A96">
            <v>40109</v>
          </cell>
          <cell r="B96">
            <v>40109</v>
          </cell>
          <cell r="C96" t="str">
            <v>Past</v>
          </cell>
          <cell r="D96">
            <v>11.28</v>
          </cell>
          <cell r="E96" t="e">
            <v>#N/A</v>
          </cell>
          <cell r="F96" t="e">
            <v>#N/A</v>
          </cell>
          <cell r="G96" t="e">
            <v>#N/A</v>
          </cell>
          <cell r="H96" t="e">
            <v>#N/A</v>
          </cell>
          <cell r="I96" t="e">
            <v>#N/A</v>
          </cell>
          <cell r="J96" t="e">
            <v>#N/A</v>
          </cell>
          <cell r="K96" t="e">
            <v>#N/A</v>
          </cell>
          <cell r="L96" t="e">
            <v>#N/A</v>
          </cell>
          <cell r="M96" t="e">
            <v>#N/A</v>
          </cell>
          <cell r="N96" t="e">
            <v>#N/A</v>
          </cell>
          <cell r="O96" t="e">
            <v>#N/A</v>
          </cell>
          <cell r="P96">
            <v>11.28</v>
          </cell>
          <cell r="Q96">
            <v>2.386104</v>
          </cell>
          <cell r="R96" t="e">
            <v>#N/A</v>
          </cell>
          <cell r="AI96" t="str">
            <v>PKR Pakistani Rupee</v>
          </cell>
          <cell r="AJ96" t="str">
            <v>Rs.</v>
          </cell>
          <cell r="AK96" t="str">
            <v>PKR</v>
          </cell>
          <cell r="AL96" t="str">
            <v>PKR</v>
          </cell>
          <cell r="AM96">
            <v>0</v>
          </cell>
          <cell r="AN96">
            <v>2</v>
          </cell>
        </row>
        <row r="97">
          <cell r="A97">
            <v>40112</v>
          </cell>
          <cell r="B97">
            <v>40112</v>
          </cell>
          <cell r="C97" t="str">
            <v>Past</v>
          </cell>
          <cell r="D97">
            <v>11.37</v>
          </cell>
          <cell r="E97" t="e">
            <v>#N/A</v>
          </cell>
          <cell r="F97" t="e">
            <v>#N/A</v>
          </cell>
          <cell r="G97" t="e">
            <v>#N/A</v>
          </cell>
          <cell r="H97" t="e">
            <v>#N/A</v>
          </cell>
          <cell r="I97" t="e">
            <v>#N/A</v>
          </cell>
          <cell r="J97" t="e">
            <v>#N/A</v>
          </cell>
          <cell r="K97" t="e">
            <v>#N/A</v>
          </cell>
          <cell r="L97" t="e">
            <v>#N/A</v>
          </cell>
          <cell r="M97" t="e">
            <v>#N/A</v>
          </cell>
          <cell r="N97" t="e">
            <v>#N/A</v>
          </cell>
          <cell r="O97" t="e">
            <v>#N/A</v>
          </cell>
          <cell r="P97">
            <v>11.37</v>
          </cell>
          <cell r="Q97">
            <v>3.054189</v>
          </cell>
          <cell r="R97" t="e">
            <v>#N/A</v>
          </cell>
          <cell r="AI97" t="str">
            <v>PLN Polish Zloty</v>
          </cell>
          <cell r="AJ97" t="str">
            <v>zł</v>
          </cell>
          <cell r="AK97" t="str">
            <v>PLN</v>
          </cell>
          <cell r="AL97" t="str">
            <v>PLN</v>
          </cell>
          <cell r="AM97">
            <v>0</v>
          </cell>
          <cell r="AN97">
            <v>2</v>
          </cell>
        </row>
        <row r="98">
          <cell r="A98">
            <v>40113</v>
          </cell>
          <cell r="B98">
            <v>40113</v>
          </cell>
          <cell r="C98" t="str">
            <v>Past</v>
          </cell>
          <cell r="D98">
            <v>11.44</v>
          </cell>
          <cell r="E98" t="e">
            <v>#N/A</v>
          </cell>
          <cell r="F98" t="e">
            <v>#N/A</v>
          </cell>
          <cell r="G98" t="e">
            <v>#N/A</v>
          </cell>
          <cell r="H98" t="e">
            <v>#N/A</v>
          </cell>
          <cell r="I98" t="e">
            <v>#N/A</v>
          </cell>
          <cell r="J98" t="e">
            <v>#N/A</v>
          </cell>
          <cell r="K98" t="e">
            <v>#N/A</v>
          </cell>
          <cell r="L98" t="e">
            <v>#N/A</v>
          </cell>
          <cell r="M98" t="e">
            <v>#N/A</v>
          </cell>
          <cell r="N98" t="e">
            <v>#N/A</v>
          </cell>
          <cell r="O98" t="e">
            <v>#N/A</v>
          </cell>
          <cell r="P98">
            <v>11.44</v>
          </cell>
          <cell r="Q98">
            <v>2.2041369999999998</v>
          </cell>
          <cell r="R98" t="e">
            <v>#N/A</v>
          </cell>
          <cell r="AI98" t="str">
            <v>QAR Qatari Riyal</v>
          </cell>
          <cell r="AJ98" t="str">
            <v>QAR</v>
          </cell>
          <cell r="AK98" t="str">
            <v>QAR</v>
          </cell>
          <cell r="AL98" t="str">
            <v>QAR</v>
          </cell>
          <cell r="AM98">
            <v>0</v>
          </cell>
          <cell r="AN98">
            <v>2</v>
          </cell>
        </row>
        <row r="99">
          <cell r="A99">
            <v>40114</v>
          </cell>
          <cell r="B99">
            <v>40114</v>
          </cell>
          <cell r="C99" t="str">
            <v>Past</v>
          </cell>
          <cell r="D99">
            <v>11.46</v>
          </cell>
          <cell r="E99" t="e">
            <v>#N/A</v>
          </cell>
          <cell r="F99" t="e">
            <v>#N/A</v>
          </cell>
          <cell r="G99" t="e">
            <v>#N/A</v>
          </cell>
          <cell r="H99" t="e">
            <v>#N/A</v>
          </cell>
          <cell r="I99" t="e">
            <v>#N/A</v>
          </cell>
          <cell r="J99" t="e">
            <v>#N/A</v>
          </cell>
          <cell r="K99" t="e">
            <v>#N/A</v>
          </cell>
          <cell r="L99" t="e">
            <v>#N/A</v>
          </cell>
          <cell r="M99" t="e">
            <v>#N/A</v>
          </cell>
          <cell r="N99" t="e">
            <v>#N/A</v>
          </cell>
          <cell r="O99" t="e">
            <v>#N/A</v>
          </cell>
          <cell r="P99">
            <v>11.46</v>
          </cell>
          <cell r="Q99">
            <v>3.8279000000000001</v>
          </cell>
          <cell r="R99" t="e">
            <v>#N/A</v>
          </cell>
          <cell r="AI99" t="str">
            <v>RUB Russian Rouble</v>
          </cell>
          <cell r="AJ99" t="str">
            <v>RUB</v>
          </cell>
          <cell r="AK99" t="str">
            <v>RUB</v>
          </cell>
          <cell r="AL99" t="str">
            <v>RUB</v>
          </cell>
          <cell r="AM99">
            <v>0</v>
          </cell>
          <cell r="AN99">
            <v>2</v>
          </cell>
        </row>
        <row r="100">
          <cell r="A100">
            <v>40115</v>
          </cell>
          <cell r="B100">
            <v>40115</v>
          </cell>
          <cell r="C100" t="str">
            <v>Past</v>
          </cell>
          <cell r="D100">
            <v>11.71</v>
          </cell>
          <cell r="E100" t="e">
            <v>#N/A</v>
          </cell>
          <cell r="F100" t="e">
            <v>#N/A</v>
          </cell>
          <cell r="G100" t="e">
            <v>#N/A</v>
          </cell>
          <cell r="H100" t="e">
            <v>#N/A</v>
          </cell>
          <cell r="I100" t="e">
            <v>#N/A</v>
          </cell>
          <cell r="J100" t="e">
            <v>#N/A</v>
          </cell>
          <cell r="K100" t="e">
            <v>#N/A</v>
          </cell>
          <cell r="L100" t="e">
            <v>#N/A</v>
          </cell>
          <cell r="M100" t="e">
            <v>#N/A</v>
          </cell>
          <cell r="N100" t="e">
            <v>#N/A</v>
          </cell>
          <cell r="O100" t="e">
            <v>#N/A</v>
          </cell>
          <cell r="P100">
            <v>11.71</v>
          </cell>
          <cell r="Q100">
            <v>2.7270479999999999</v>
          </cell>
          <cell r="R100" t="e">
            <v>#N/A</v>
          </cell>
          <cell r="AI100" t="str">
            <v>SAR Saudi Riyal</v>
          </cell>
          <cell r="AJ100" t="str">
            <v>SAR</v>
          </cell>
          <cell r="AK100" t="str">
            <v>SAR</v>
          </cell>
          <cell r="AL100" t="str">
            <v>SAR</v>
          </cell>
          <cell r="AM100">
            <v>0</v>
          </cell>
          <cell r="AN100">
            <v>2</v>
          </cell>
        </row>
        <row r="101">
          <cell r="A101">
            <v>40116</v>
          </cell>
          <cell r="B101">
            <v>40116</v>
          </cell>
          <cell r="C101" t="str">
            <v>Past</v>
          </cell>
          <cell r="D101">
            <v>11.46</v>
          </cell>
          <cell r="E101" t="e">
            <v>#N/A</v>
          </cell>
          <cell r="F101" t="e">
            <v>#N/A</v>
          </cell>
          <cell r="G101" t="e">
            <v>#N/A</v>
          </cell>
          <cell r="H101" t="e">
            <v>#N/A</v>
          </cell>
          <cell r="I101" t="e">
            <v>#N/A</v>
          </cell>
          <cell r="J101" t="e">
            <v>#N/A</v>
          </cell>
          <cell r="K101" t="e">
            <v>#N/A</v>
          </cell>
          <cell r="L101" t="e">
            <v>#N/A</v>
          </cell>
          <cell r="M101" t="e">
            <v>#N/A</v>
          </cell>
          <cell r="N101" t="e">
            <v>#N/A</v>
          </cell>
          <cell r="O101" t="e">
            <v>#N/A</v>
          </cell>
          <cell r="P101">
            <v>11.46</v>
          </cell>
          <cell r="Q101">
            <v>3.0121819999999997</v>
          </cell>
          <cell r="R101" t="e">
            <v>#N/A</v>
          </cell>
          <cell r="AI101" t="str">
            <v>SEK Swedish Krona</v>
          </cell>
          <cell r="AJ101" t="str">
            <v>SKr</v>
          </cell>
          <cell r="AK101" t="str">
            <v>SEK</v>
          </cell>
          <cell r="AL101" t="str">
            <v>SEK</v>
          </cell>
          <cell r="AM101">
            <v>0</v>
          </cell>
          <cell r="AN101">
            <v>2</v>
          </cell>
        </row>
        <row r="102">
          <cell r="A102">
            <v>40119</v>
          </cell>
          <cell r="B102">
            <v>40119</v>
          </cell>
          <cell r="C102" t="str">
            <v>Past</v>
          </cell>
          <cell r="D102">
            <v>11.34</v>
          </cell>
          <cell r="E102" t="e">
            <v>#N/A</v>
          </cell>
          <cell r="F102" t="e">
            <v>#N/A</v>
          </cell>
          <cell r="G102" t="e">
            <v>#N/A</v>
          </cell>
          <cell r="H102" t="e">
            <v>#N/A</v>
          </cell>
          <cell r="I102" t="e">
            <v>#N/A</v>
          </cell>
          <cell r="J102" t="e">
            <v>#N/A</v>
          </cell>
          <cell r="K102" t="e">
            <v>#N/A</v>
          </cell>
          <cell r="L102" t="e">
            <v>#N/A</v>
          </cell>
          <cell r="M102" t="e">
            <v>#N/A</v>
          </cell>
          <cell r="N102" t="e">
            <v>#N/A</v>
          </cell>
          <cell r="O102" t="e">
            <v>#N/A</v>
          </cell>
          <cell r="P102">
            <v>11.34</v>
          </cell>
          <cell r="Q102">
            <v>3.8830300000000002</v>
          </cell>
          <cell r="R102" t="e">
            <v>#N/A</v>
          </cell>
          <cell r="AI102" t="str">
            <v>SGD Singapore Dollar</v>
          </cell>
          <cell r="AJ102" t="str">
            <v>S$</v>
          </cell>
          <cell r="AK102" t="str">
            <v>SGD</v>
          </cell>
          <cell r="AL102" t="str">
            <v>SGD</v>
          </cell>
          <cell r="AM102">
            <v>0</v>
          </cell>
          <cell r="AN102">
            <v>2</v>
          </cell>
        </row>
        <row r="103">
          <cell r="A103">
            <v>40120</v>
          </cell>
          <cell r="B103">
            <v>40120</v>
          </cell>
          <cell r="C103" t="str">
            <v>Past</v>
          </cell>
          <cell r="D103">
            <v>11.46</v>
          </cell>
          <cell r="E103" t="e">
            <v>#N/A</v>
          </cell>
          <cell r="F103" t="e">
            <v>#N/A</v>
          </cell>
          <cell r="G103" t="e">
            <v>#N/A</v>
          </cell>
          <cell r="H103" t="e">
            <v>#N/A</v>
          </cell>
          <cell r="I103" t="e">
            <v>#N/A</v>
          </cell>
          <cell r="J103" t="e">
            <v>#N/A</v>
          </cell>
          <cell r="K103" t="e">
            <v>#N/A</v>
          </cell>
          <cell r="L103" t="e">
            <v>#N/A</v>
          </cell>
          <cell r="M103" t="e">
            <v>#N/A</v>
          </cell>
          <cell r="N103" t="e">
            <v>#N/A</v>
          </cell>
          <cell r="O103" t="e">
            <v>#N/A</v>
          </cell>
          <cell r="P103">
            <v>11.46</v>
          </cell>
          <cell r="Q103">
            <v>2.5635779999999997</v>
          </cell>
          <cell r="R103" t="e">
            <v>#N/A</v>
          </cell>
          <cell r="AI103" t="str">
            <v>THB Thailand Baht</v>
          </cell>
          <cell r="AJ103" t="str">
            <v>Bt</v>
          </cell>
          <cell r="AK103" t="str">
            <v>THB</v>
          </cell>
          <cell r="AL103" t="str">
            <v>THB</v>
          </cell>
          <cell r="AM103">
            <v>0</v>
          </cell>
          <cell r="AN103">
            <v>2</v>
          </cell>
        </row>
        <row r="104">
          <cell r="A104">
            <v>40121</v>
          </cell>
          <cell r="B104">
            <v>40121</v>
          </cell>
          <cell r="C104" t="str">
            <v>Past</v>
          </cell>
          <cell r="D104">
            <v>11.5</v>
          </cell>
          <cell r="E104" t="e">
            <v>#N/A</v>
          </cell>
          <cell r="F104" t="e">
            <v>#N/A</v>
          </cell>
          <cell r="G104" t="e">
            <v>#N/A</v>
          </cell>
          <cell r="H104" t="e">
            <v>#N/A</v>
          </cell>
          <cell r="I104" t="e">
            <v>#N/A</v>
          </cell>
          <cell r="J104" t="e">
            <v>#N/A</v>
          </cell>
          <cell r="K104" t="e">
            <v>#N/A</v>
          </cell>
          <cell r="L104" t="e">
            <v>#N/A</v>
          </cell>
          <cell r="M104" t="e">
            <v>#N/A</v>
          </cell>
          <cell r="N104" t="e">
            <v>#N/A</v>
          </cell>
          <cell r="O104" t="e">
            <v>#N/A</v>
          </cell>
          <cell r="P104">
            <v>11.5</v>
          </cell>
          <cell r="Q104">
            <v>2.1466309999999997</v>
          </cell>
          <cell r="R104" t="e">
            <v>#N/A</v>
          </cell>
          <cell r="AI104" t="str">
            <v>TND Tunisian Dinar</v>
          </cell>
          <cell r="AJ104" t="str">
            <v>TND</v>
          </cell>
          <cell r="AK104" t="str">
            <v>TND</v>
          </cell>
          <cell r="AL104" t="str">
            <v>TND</v>
          </cell>
          <cell r="AM104">
            <v>0</v>
          </cell>
          <cell r="AN104">
            <v>2</v>
          </cell>
        </row>
        <row r="105">
          <cell r="A105">
            <v>40122</v>
          </cell>
          <cell r="B105">
            <v>40122</v>
          </cell>
          <cell r="C105" t="str">
            <v>Past</v>
          </cell>
          <cell r="D105">
            <v>11.73</v>
          </cell>
          <cell r="E105" t="e">
            <v>#N/A</v>
          </cell>
          <cell r="F105" t="e">
            <v>#N/A</v>
          </cell>
          <cell r="G105" t="e">
            <v>#N/A</v>
          </cell>
          <cell r="H105" t="e">
            <v>#N/A</v>
          </cell>
          <cell r="I105" t="e">
            <v>#N/A</v>
          </cell>
          <cell r="J105" t="e">
            <v>#N/A</v>
          </cell>
          <cell r="K105" t="e">
            <v>#N/A</v>
          </cell>
          <cell r="L105" t="e">
            <v>#N/A</v>
          </cell>
          <cell r="M105" t="e">
            <v>#N/A</v>
          </cell>
          <cell r="N105" t="e">
            <v>#N/A</v>
          </cell>
          <cell r="O105" t="e">
            <v>#N/A</v>
          </cell>
          <cell r="P105">
            <v>11.73</v>
          </cell>
          <cell r="Q105">
            <v>1.6737000000000002</v>
          </cell>
          <cell r="R105" t="e">
            <v>#N/A</v>
          </cell>
          <cell r="AI105" t="str">
            <v>TRY Turkish Lira</v>
          </cell>
          <cell r="AJ105" t="str">
            <v>TL</v>
          </cell>
          <cell r="AK105" t="str">
            <v>TRY</v>
          </cell>
          <cell r="AL105" t="str">
            <v>TRY</v>
          </cell>
          <cell r="AM105">
            <v>0</v>
          </cell>
          <cell r="AN105">
            <v>2</v>
          </cell>
        </row>
        <row r="106">
          <cell r="A106">
            <v>40123</v>
          </cell>
          <cell r="B106">
            <v>40123</v>
          </cell>
          <cell r="C106" t="str">
            <v>Past</v>
          </cell>
          <cell r="D106">
            <v>11.76</v>
          </cell>
          <cell r="E106" t="e">
            <v>#N/A</v>
          </cell>
          <cell r="F106" t="e">
            <v>#N/A</v>
          </cell>
          <cell r="G106" t="e">
            <v>#N/A</v>
          </cell>
          <cell r="H106" t="e">
            <v>#N/A</v>
          </cell>
          <cell r="I106" t="e">
            <v>#N/A</v>
          </cell>
          <cell r="J106" t="e">
            <v>#N/A</v>
          </cell>
          <cell r="K106" t="e">
            <v>#N/A</v>
          </cell>
          <cell r="L106" t="e">
            <v>#N/A</v>
          </cell>
          <cell r="M106" t="e">
            <v>#N/A</v>
          </cell>
          <cell r="N106" t="e">
            <v>#N/A</v>
          </cell>
          <cell r="O106" t="e">
            <v>#N/A</v>
          </cell>
          <cell r="P106">
            <v>11.76</v>
          </cell>
          <cell r="Q106">
            <v>1.227522</v>
          </cell>
          <cell r="R106" t="e">
            <v>#N/A</v>
          </cell>
          <cell r="AI106" t="str">
            <v>TWD New Taiwan Dollar</v>
          </cell>
          <cell r="AJ106" t="str">
            <v>NT$</v>
          </cell>
          <cell r="AK106" t="str">
            <v>TWD</v>
          </cell>
          <cell r="AL106" t="str">
            <v>TWD</v>
          </cell>
          <cell r="AM106">
            <v>0</v>
          </cell>
          <cell r="AN106">
            <v>2</v>
          </cell>
        </row>
        <row r="107">
          <cell r="A107">
            <v>40126</v>
          </cell>
          <cell r="B107">
            <v>40126</v>
          </cell>
          <cell r="C107" t="str">
            <v>Past</v>
          </cell>
          <cell r="D107">
            <v>11.76</v>
          </cell>
          <cell r="E107" t="e">
            <v>#N/A</v>
          </cell>
          <cell r="F107" t="e">
            <v>#N/A</v>
          </cell>
          <cell r="G107" t="e">
            <v>#N/A</v>
          </cell>
          <cell r="H107" t="e">
            <v>#N/A</v>
          </cell>
          <cell r="I107" t="e">
            <v>#N/A</v>
          </cell>
          <cell r="J107" t="e">
            <v>#N/A</v>
          </cell>
          <cell r="K107" t="e">
            <v>#N/A</v>
          </cell>
          <cell r="L107" t="e">
            <v>#N/A</v>
          </cell>
          <cell r="M107" t="e">
            <v>#N/A</v>
          </cell>
          <cell r="N107" t="e">
            <v>#N/A</v>
          </cell>
          <cell r="O107" t="e">
            <v>#N/A</v>
          </cell>
          <cell r="P107">
            <v>11.76</v>
          </cell>
          <cell r="Q107">
            <v>2.7558609999999999</v>
          </cell>
          <cell r="R107" t="e">
            <v>#N/A</v>
          </cell>
          <cell r="AI107" t="str">
            <v>UAH Ukrainian Hryvnia</v>
          </cell>
          <cell r="AJ107" t="str">
            <v>UAH</v>
          </cell>
          <cell r="AK107" t="str">
            <v>UAH</v>
          </cell>
          <cell r="AL107" t="str">
            <v>UAH</v>
          </cell>
          <cell r="AM107">
            <v>0</v>
          </cell>
          <cell r="AN107">
            <v>2</v>
          </cell>
        </row>
        <row r="108">
          <cell r="A108">
            <v>40127</v>
          </cell>
          <cell r="B108">
            <v>40127</v>
          </cell>
          <cell r="C108" t="str">
            <v>Past</v>
          </cell>
          <cell r="D108">
            <v>12.04</v>
          </cell>
          <cell r="E108" t="e">
            <v>#N/A</v>
          </cell>
          <cell r="F108" t="e">
            <v>#N/A</v>
          </cell>
          <cell r="G108" t="e">
            <v>#N/A</v>
          </cell>
          <cell r="H108" t="e">
            <v>#N/A</v>
          </cell>
          <cell r="I108" t="e">
            <v>#N/A</v>
          </cell>
          <cell r="J108" t="e">
            <v>#N/A</v>
          </cell>
          <cell r="K108" t="e">
            <v>#N/A</v>
          </cell>
          <cell r="L108" t="e">
            <v>#N/A</v>
          </cell>
          <cell r="M108" t="e">
            <v>#N/A</v>
          </cell>
          <cell r="N108" t="e">
            <v>#N/A</v>
          </cell>
          <cell r="O108" t="e">
            <v>#N/A</v>
          </cell>
          <cell r="P108">
            <v>12.04</v>
          </cell>
          <cell r="Q108">
            <v>5.5502000000000002</v>
          </cell>
          <cell r="R108" t="e">
            <v>#N/A</v>
          </cell>
          <cell r="AI108" t="str">
            <v>USD American Dollar</v>
          </cell>
          <cell r="AJ108" t="str">
            <v>$</v>
          </cell>
          <cell r="AK108" t="str">
            <v>USD</v>
          </cell>
          <cell r="AL108" t="str">
            <v>USD</v>
          </cell>
          <cell r="AM108">
            <v>0</v>
          </cell>
          <cell r="AN108">
            <v>2</v>
          </cell>
        </row>
        <row r="109">
          <cell r="A109">
            <v>40128</v>
          </cell>
          <cell r="B109">
            <v>40128</v>
          </cell>
          <cell r="C109" t="str">
            <v>Past</v>
          </cell>
          <cell r="D109">
            <v>11.87</v>
          </cell>
          <cell r="E109" t="e">
            <v>#N/A</v>
          </cell>
          <cell r="F109" t="e">
            <v>#N/A</v>
          </cell>
          <cell r="G109" t="e">
            <v>#N/A</v>
          </cell>
          <cell r="H109" t="e">
            <v>#N/A</v>
          </cell>
          <cell r="I109" t="e">
            <v>#N/A</v>
          </cell>
          <cell r="J109" t="e">
            <v>#N/A</v>
          </cell>
          <cell r="K109" t="e">
            <v>#N/A</v>
          </cell>
          <cell r="L109" t="e">
            <v>#N/A</v>
          </cell>
          <cell r="M109" t="e">
            <v>#N/A</v>
          </cell>
          <cell r="N109" t="e">
            <v>#N/A</v>
          </cell>
          <cell r="O109" t="e">
            <v>#N/A</v>
          </cell>
          <cell r="P109">
            <v>11.87</v>
          </cell>
          <cell r="Q109">
            <v>1.5279600000000002</v>
          </cell>
          <cell r="R109" t="e">
            <v>#N/A</v>
          </cell>
          <cell r="AI109" t="str">
            <v>VEB Venezuelan Bolivar</v>
          </cell>
          <cell r="AJ109" t="str">
            <v>VEB</v>
          </cell>
          <cell r="AK109" t="str">
            <v>VEB</v>
          </cell>
          <cell r="AL109" t="str">
            <v>VEB</v>
          </cell>
          <cell r="AM109">
            <v>0</v>
          </cell>
          <cell r="AN109">
            <v>2</v>
          </cell>
        </row>
        <row r="110">
          <cell r="A110">
            <v>40129</v>
          </cell>
          <cell r="B110">
            <v>40129</v>
          </cell>
          <cell r="C110" t="str">
            <v>Past</v>
          </cell>
          <cell r="D110">
            <v>11.68</v>
          </cell>
          <cell r="E110" t="e">
            <v>#N/A</v>
          </cell>
          <cell r="F110" t="e">
            <v>#N/A</v>
          </cell>
          <cell r="G110" t="e">
            <v>#N/A</v>
          </cell>
          <cell r="H110" t="e">
            <v>#N/A</v>
          </cell>
          <cell r="I110" t="e">
            <v>#N/A</v>
          </cell>
          <cell r="J110" t="e">
            <v>#N/A</v>
          </cell>
          <cell r="K110" t="e">
            <v>#N/A</v>
          </cell>
          <cell r="L110" t="e">
            <v>#N/A</v>
          </cell>
          <cell r="M110" t="e">
            <v>#N/A</v>
          </cell>
          <cell r="N110" t="e">
            <v>#N/A</v>
          </cell>
          <cell r="O110" t="e">
            <v>#N/A</v>
          </cell>
          <cell r="P110">
            <v>11.68</v>
          </cell>
          <cell r="Q110">
            <v>1.0482609999999999</v>
          </cell>
          <cell r="R110" t="e">
            <v>#N/A</v>
          </cell>
          <cell r="AI110" t="str">
            <v>ZAc South African Cent</v>
          </cell>
          <cell r="AJ110" t="str">
            <v>ZAc</v>
          </cell>
          <cell r="AK110" t="str">
            <v>ZAc</v>
          </cell>
          <cell r="AL110" t="str">
            <v>ZAc</v>
          </cell>
          <cell r="AM110">
            <v>0</v>
          </cell>
          <cell r="AN110">
            <v>0</v>
          </cell>
        </row>
        <row r="111">
          <cell r="A111">
            <v>40130</v>
          </cell>
          <cell r="B111">
            <v>40130</v>
          </cell>
          <cell r="C111" t="str">
            <v>Past</v>
          </cell>
          <cell r="D111">
            <v>11.79</v>
          </cell>
          <cell r="E111" t="e">
            <v>#N/A</v>
          </cell>
          <cell r="F111" t="e">
            <v>#N/A</v>
          </cell>
          <cell r="G111" t="e">
            <v>#N/A</v>
          </cell>
          <cell r="H111" t="e">
            <v>#N/A</v>
          </cell>
          <cell r="I111" t="e">
            <v>#N/A</v>
          </cell>
          <cell r="J111" t="e">
            <v>#N/A</v>
          </cell>
          <cell r="K111" t="e">
            <v>#N/A</v>
          </cell>
          <cell r="L111" t="e">
            <v>#N/A</v>
          </cell>
          <cell r="M111" t="e">
            <v>#N/A</v>
          </cell>
          <cell r="N111" t="e">
            <v>#N/A</v>
          </cell>
          <cell r="O111" t="e">
            <v>#N/A</v>
          </cell>
          <cell r="P111">
            <v>11.79</v>
          </cell>
          <cell r="Q111">
            <v>1.274297</v>
          </cell>
          <cell r="R111" t="e">
            <v>#N/A</v>
          </cell>
          <cell r="AI111" t="str">
            <v>ZAR South African rand</v>
          </cell>
          <cell r="AJ111" t="str">
            <v>ZAR</v>
          </cell>
          <cell r="AK111" t="str">
            <v>ZAR</v>
          </cell>
          <cell r="AL111" t="str">
            <v>ZAR</v>
          </cell>
          <cell r="AM111">
            <v>0</v>
          </cell>
          <cell r="AN111">
            <v>2</v>
          </cell>
        </row>
        <row r="112">
          <cell r="A112">
            <v>40133</v>
          </cell>
          <cell r="B112">
            <v>40133</v>
          </cell>
          <cell r="C112" t="str">
            <v>Past</v>
          </cell>
          <cell r="D112">
            <v>11.94</v>
          </cell>
          <cell r="E112" t="e">
            <v>#N/A</v>
          </cell>
          <cell r="F112" t="e">
            <v>#N/A</v>
          </cell>
          <cell r="G112" t="e">
            <v>#N/A</v>
          </cell>
          <cell r="H112" t="e">
            <v>#N/A</v>
          </cell>
          <cell r="I112" t="e">
            <v>#N/A</v>
          </cell>
          <cell r="J112" t="e">
            <v>#N/A</v>
          </cell>
          <cell r="K112" t="e">
            <v>#N/A</v>
          </cell>
          <cell r="L112" t="e">
            <v>#N/A</v>
          </cell>
          <cell r="M112" t="e">
            <v>#N/A</v>
          </cell>
          <cell r="N112" t="e">
            <v>#N/A</v>
          </cell>
          <cell r="O112" t="e">
            <v>#N/A</v>
          </cell>
          <cell r="P112">
            <v>11.94</v>
          </cell>
          <cell r="Q112">
            <v>0.62196399999999996</v>
          </cell>
          <cell r="R112" t="e">
            <v>#N/A</v>
          </cell>
          <cell r="AI112" t="str">
            <v xml:space="preserve">ZMK Zambian Kwacha </v>
          </cell>
          <cell r="AJ112" t="str">
            <v>ZMK</v>
          </cell>
          <cell r="AK112" t="str">
            <v>ZMK</v>
          </cell>
          <cell r="AL112" t="str">
            <v>ZMK</v>
          </cell>
          <cell r="AM112">
            <v>0</v>
          </cell>
          <cell r="AN112">
            <v>2</v>
          </cell>
        </row>
        <row r="113">
          <cell r="A113">
            <v>40134</v>
          </cell>
          <cell r="B113">
            <v>40134</v>
          </cell>
          <cell r="C113" t="str">
            <v>Past</v>
          </cell>
          <cell r="D113">
            <v>11.9</v>
          </cell>
          <cell r="E113" t="e">
            <v>#N/A</v>
          </cell>
          <cell r="F113" t="e">
            <v>#N/A</v>
          </cell>
          <cell r="G113" t="e">
            <v>#N/A</v>
          </cell>
          <cell r="H113" t="e">
            <v>#N/A</v>
          </cell>
          <cell r="I113" t="e">
            <v>#N/A</v>
          </cell>
          <cell r="J113" t="e">
            <v>#N/A</v>
          </cell>
          <cell r="K113" t="e">
            <v>#N/A</v>
          </cell>
          <cell r="L113" t="e">
            <v>#N/A</v>
          </cell>
          <cell r="M113" t="e">
            <v>#N/A</v>
          </cell>
          <cell r="N113" t="e">
            <v>#N/A</v>
          </cell>
          <cell r="O113" t="e">
            <v>#N/A</v>
          </cell>
          <cell r="P113">
            <v>11.9</v>
          </cell>
          <cell r="Q113">
            <v>0.67125299999999999</v>
          </cell>
          <cell r="R113" t="e">
            <v>#N/A</v>
          </cell>
        </row>
        <row r="114">
          <cell r="A114">
            <v>40135</v>
          </cell>
          <cell r="B114">
            <v>40135</v>
          </cell>
          <cell r="C114" t="str">
            <v>Past</v>
          </cell>
          <cell r="D114">
            <v>11.76</v>
          </cell>
          <cell r="E114" t="e">
            <v>#N/A</v>
          </cell>
          <cell r="F114" t="e">
            <v>#N/A</v>
          </cell>
          <cell r="G114" t="e">
            <v>#N/A</v>
          </cell>
          <cell r="H114" t="e">
            <v>#N/A</v>
          </cell>
          <cell r="I114" t="e">
            <v>#N/A</v>
          </cell>
          <cell r="J114" t="e">
            <v>#N/A</v>
          </cell>
          <cell r="K114" t="e">
            <v>#N/A</v>
          </cell>
          <cell r="L114" t="e">
            <v>#N/A</v>
          </cell>
          <cell r="M114" t="e">
            <v>#N/A</v>
          </cell>
          <cell r="N114" t="e">
            <v>#N/A</v>
          </cell>
          <cell r="O114" t="e">
            <v>#N/A</v>
          </cell>
          <cell r="P114">
            <v>11.76</v>
          </cell>
          <cell r="Q114">
            <v>0.64498599999999995</v>
          </cell>
          <cell r="R114" t="e">
            <v>#N/A</v>
          </cell>
        </row>
        <row r="115">
          <cell r="A115">
            <v>40136</v>
          </cell>
          <cell r="B115">
            <v>40136</v>
          </cell>
          <cell r="C115" t="str">
            <v>Past</v>
          </cell>
          <cell r="D115">
            <v>11.56</v>
          </cell>
          <cell r="E115" t="e">
            <v>#N/A</v>
          </cell>
          <cell r="F115" t="e">
            <v>#N/A</v>
          </cell>
          <cell r="G115" t="e">
            <v>#N/A</v>
          </cell>
          <cell r="H115" t="e">
            <v>#N/A</v>
          </cell>
          <cell r="I115" t="e">
            <v>#N/A</v>
          </cell>
          <cell r="J115" t="e">
            <v>#N/A</v>
          </cell>
          <cell r="K115" t="e">
            <v>#N/A</v>
          </cell>
          <cell r="L115" t="e">
            <v>#N/A</v>
          </cell>
          <cell r="M115" t="e">
            <v>#N/A</v>
          </cell>
          <cell r="N115" t="e">
            <v>#N/A</v>
          </cell>
          <cell r="O115" t="e">
            <v>#N/A</v>
          </cell>
          <cell r="P115">
            <v>11.56</v>
          </cell>
          <cell r="Q115">
            <v>1.2904279999999999</v>
          </cell>
          <cell r="R115" t="e">
            <v>#N/A</v>
          </cell>
        </row>
        <row r="116">
          <cell r="A116">
            <v>40137</v>
          </cell>
          <cell r="B116">
            <v>40137</v>
          </cell>
          <cell r="C116" t="str">
            <v>Past</v>
          </cell>
          <cell r="D116">
            <v>11.49</v>
          </cell>
          <cell r="E116" t="e">
            <v>#N/A</v>
          </cell>
          <cell r="F116" t="e">
            <v>#N/A</v>
          </cell>
          <cell r="G116" t="e">
            <v>#N/A</v>
          </cell>
          <cell r="H116" t="e">
            <v>#N/A</v>
          </cell>
          <cell r="I116" t="e">
            <v>#N/A</v>
          </cell>
          <cell r="J116" t="e">
            <v>#N/A</v>
          </cell>
          <cell r="K116" t="e">
            <v>#N/A</v>
          </cell>
          <cell r="L116" t="e">
            <v>#N/A</v>
          </cell>
          <cell r="M116" t="e">
            <v>#N/A</v>
          </cell>
          <cell r="N116" t="e">
            <v>#N/A</v>
          </cell>
          <cell r="O116" t="e">
            <v>#N/A</v>
          </cell>
          <cell r="P116">
            <v>11.49</v>
          </cell>
          <cell r="Q116">
            <v>0.70999499999999993</v>
          </cell>
          <cell r="R116" t="e">
            <v>#N/A</v>
          </cell>
        </row>
        <row r="117">
          <cell r="A117">
            <v>40140</v>
          </cell>
          <cell r="B117">
            <v>40140</v>
          </cell>
          <cell r="C117" t="str">
            <v>Past</v>
          </cell>
          <cell r="D117">
            <v>11.67</v>
          </cell>
          <cell r="E117" t="e">
            <v>#N/A</v>
          </cell>
          <cell r="F117" t="e">
            <v>#N/A</v>
          </cell>
          <cell r="G117" t="e">
            <v>#N/A</v>
          </cell>
          <cell r="H117" t="e">
            <v>#N/A</v>
          </cell>
          <cell r="I117" t="e">
            <v>#N/A</v>
          </cell>
          <cell r="J117" t="e">
            <v>#N/A</v>
          </cell>
          <cell r="K117" t="e">
            <v>#N/A</v>
          </cell>
          <cell r="L117" t="e">
            <v>#N/A</v>
          </cell>
          <cell r="M117" t="e">
            <v>#N/A</v>
          </cell>
          <cell r="N117" t="e">
            <v>#N/A</v>
          </cell>
          <cell r="O117" t="e">
            <v>#N/A</v>
          </cell>
          <cell r="P117">
            <v>11.67</v>
          </cell>
          <cell r="Q117">
            <v>1.04413</v>
          </cell>
          <cell r="R117" t="e">
            <v>#N/A</v>
          </cell>
        </row>
        <row r="118">
          <cell r="A118">
            <v>40141</v>
          </cell>
          <cell r="B118">
            <v>40141</v>
          </cell>
          <cell r="C118" t="str">
            <v>Past</v>
          </cell>
          <cell r="D118">
            <v>11.61</v>
          </cell>
          <cell r="E118" t="e">
            <v>#N/A</v>
          </cell>
          <cell r="F118" t="e">
            <v>#N/A</v>
          </cell>
          <cell r="G118" t="e">
            <v>#N/A</v>
          </cell>
          <cell r="H118" t="e">
            <v>#N/A</v>
          </cell>
          <cell r="I118" t="e">
            <v>#N/A</v>
          </cell>
          <cell r="J118" t="e">
            <v>#N/A</v>
          </cell>
          <cell r="K118" t="e">
            <v>#N/A</v>
          </cell>
          <cell r="L118" t="e">
            <v>#N/A</v>
          </cell>
          <cell r="M118" t="e">
            <v>#N/A</v>
          </cell>
          <cell r="N118" t="e">
            <v>#N/A</v>
          </cell>
          <cell r="O118" t="e">
            <v>#N/A</v>
          </cell>
          <cell r="P118">
            <v>11.61</v>
          </cell>
          <cell r="Q118">
            <v>1.9307329999999998</v>
          </cell>
          <cell r="R118" t="e">
            <v>#N/A</v>
          </cell>
        </row>
        <row r="119">
          <cell r="A119">
            <v>40142</v>
          </cell>
          <cell r="B119">
            <v>40142</v>
          </cell>
          <cell r="C119" t="str">
            <v>Past</v>
          </cell>
          <cell r="D119">
            <v>11.65</v>
          </cell>
          <cell r="E119" t="e">
            <v>#N/A</v>
          </cell>
          <cell r="F119" t="e">
            <v>#N/A</v>
          </cell>
          <cell r="G119" t="e">
            <v>#N/A</v>
          </cell>
          <cell r="H119" t="e">
            <v>#N/A</v>
          </cell>
          <cell r="I119" t="e">
            <v>#N/A</v>
          </cell>
          <cell r="J119" t="e">
            <v>#N/A</v>
          </cell>
          <cell r="K119" t="e">
            <v>#N/A</v>
          </cell>
          <cell r="L119" t="e">
            <v>#N/A</v>
          </cell>
          <cell r="M119" t="e">
            <v>#N/A</v>
          </cell>
          <cell r="N119" t="e">
            <v>#N/A</v>
          </cell>
          <cell r="O119" t="e">
            <v>#N/A</v>
          </cell>
          <cell r="P119">
            <v>11.65</v>
          </cell>
          <cell r="Q119">
            <v>0.93092900000000001</v>
          </cell>
          <cell r="R119" t="e">
            <v>#N/A</v>
          </cell>
        </row>
        <row r="120">
          <cell r="A120">
            <v>40144</v>
          </cell>
          <cell r="B120">
            <v>40144</v>
          </cell>
          <cell r="C120" t="str">
            <v>Past</v>
          </cell>
          <cell r="D120">
            <v>11.44</v>
          </cell>
          <cell r="E120" t="e">
            <v>#N/A</v>
          </cell>
          <cell r="F120" t="e">
            <v>#N/A</v>
          </cell>
          <cell r="G120" t="e">
            <v>#N/A</v>
          </cell>
          <cell r="H120" t="e">
            <v>#N/A</v>
          </cell>
          <cell r="I120" t="e">
            <v>#N/A</v>
          </cell>
          <cell r="J120" t="e">
            <v>#N/A</v>
          </cell>
          <cell r="K120" t="e">
            <v>#N/A</v>
          </cell>
          <cell r="L120" t="e">
            <v>#N/A</v>
          </cell>
          <cell r="M120" t="e">
            <v>#N/A</v>
          </cell>
          <cell r="N120" t="e">
            <v>#N/A</v>
          </cell>
          <cell r="O120" t="e">
            <v>#N/A</v>
          </cell>
          <cell r="P120">
            <v>11.44</v>
          </cell>
          <cell r="Q120">
            <v>0.54460500000000001</v>
          </cell>
          <cell r="R120" t="e">
            <v>#N/A</v>
          </cell>
        </row>
        <row r="121">
          <cell r="A121">
            <v>40147</v>
          </cell>
          <cell r="B121">
            <v>40147</v>
          </cell>
          <cell r="C121" t="str">
            <v>Past</v>
          </cell>
          <cell r="D121">
            <v>11.64</v>
          </cell>
          <cell r="E121" t="e">
            <v>#N/A</v>
          </cell>
          <cell r="F121" t="e">
            <v>#N/A</v>
          </cell>
          <cell r="G121" t="e">
            <v>#N/A</v>
          </cell>
          <cell r="H121" t="e">
            <v>#N/A</v>
          </cell>
          <cell r="I121" t="e">
            <v>#N/A</v>
          </cell>
          <cell r="J121" t="e">
            <v>#N/A</v>
          </cell>
          <cell r="K121" t="e">
            <v>#N/A</v>
          </cell>
          <cell r="L121" t="e">
            <v>#N/A</v>
          </cell>
          <cell r="M121" t="e">
            <v>#N/A</v>
          </cell>
          <cell r="N121" t="e">
            <v>#N/A</v>
          </cell>
          <cell r="O121" t="e">
            <v>#N/A</v>
          </cell>
          <cell r="P121">
            <v>11.64</v>
          </cell>
          <cell r="Q121">
            <v>3.259204</v>
          </cell>
          <cell r="R121" t="e">
            <v>#N/A</v>
          </cell>
        </row>
        <row r="122">
          <cell r="A122">
            <v>40148</v>
          </cell>
          <cell r="B122">
            <v>40148</v>
          </cell>
          <cell r="C122" t="str">
            <v>Past</v>
          </cell>
          <cell r="D122">
            <v>11.92</v>
          </cell>
          <cell r="E122" t="e">
            <v>#N/A</v>
          </cell>
          <cell r="F122" t="e">
            <v>#N/A</v>
          </cell>
          <cell r="G122" t="e">
            <v>#N/A</v>
          </cell>
          <cell r="H122" t="e">
            <v>#N/A</v>
          </cell>
          <cell r="I122" t="e">
            <v>#N/A</v>
          </cell>
          <cell r="J122" t="e">
            <v>#N/A</v>
          </cell>
          <cell r="K122" t="e">
            <v>#N/A</v>
          </cell>
          <cell r="L122" t="e">
            <v>#N/A</v>
          </cell>
          <cell r="M122" t="e">
            <v>#N/A</v>
          </cell>
          <cell r="N122" t="e">
            <v>#N/A</v>
          </cell>
          <cell r="O122" t="e">
            <v>#N/A</v>
          </cell>
          <cell r="P122">
            <v>11.92</v>
          </cell>
          <cell r="Q122">
            <v>4.5483539999999998</v>
          </cell>
          <cell r="R122" t="e">
            <v>#N/A</v>
          </cell>
        </row>
        <row r="123">
          <cell r="A123">
            <v>40149</v>
          </cell>
          <cell r="B123">
            <v>40149</v>
          </cell>
          <cell r="C123" t="str">
            <v>Past</v>
          </cell>
          <cell r="D123">
            <v>12.08</v>
          </cell>
          <cell r="E123" t="e">
            <v>#N/A</v>
          </cell>
          <cell r="F123" t="e">
            <v>#N/A</v>
          </cell>
          <cell r="G123" t="e">
            <v>#N/A</v>
          </cell>
          <cell r="H123" t="e">
            <v>#N/A</v>
          </cell>
          <cell r="I123" t="e">
            <v>#N/A</v>
          </cell>
          <cell r="J123" t="e">
            <v>#N/A</v>
          </cell>
          <cell r="K123" t="e">
            <v>#N/A</v>
          </cell>
          <cell r="L123" t="e">
            <v>#N/A</v>
          </cell>
          <cell r="M123" t="e">
            <v>#N/A</v>
          </cell>
          <cell r="N123" t="e">
            <v>#N/A</v>
          </cell>
          <cell r="O123" t="e">
            <v>#N/A</v>
          </cell>
          <cell r="P123">
            <v>12.08</v>
          </cell>
          <cell r="Q123">
            <v>1.643826</v>
          </cell>
          <cell r="R123" t="e">
            <v>#N/A</v>
          </cell>
        </row>
        <row r="124">
          <cell r="A124">
            <v>40150</v>
          </cell>
          <cell r="B124">
            <v>40150</v>
          </cell>
          <cell r="C124" t="str">
            <v>Past</v>
          </cell>
          <cell r="D124">
            <v>12.01</v>
          </cell>
          <cell r="E124" t="e">
            <v>#N/A</v>
          </cell>
          <cell r="F124" t="e">
            <v>#N/A</v>
          </cell>
          <cell r="G124" t="e">
            <v>#N/A</v>
          </cell>
          <cell r="H124" t="e">
            <v>#N/A</v>
          </cell>
          <cell r="I124" t="e">
            <v>#N/A</v>
          </cell>
          <cell r="J124" t="e">
            <v>#N/A</v>
          </cell>
          <cell r="K124" t="e">
            <v>#N/A</v>
          </cell>
          <cell r="L124" t="e">
            <v>#N/A</v>
          </cell>
          <cell r="M124" t="e">
            <v>#N/A</v>
          </cell>
          <cell r="N124" t="e">
            <v>#N/A</v>
          </cell>
          <cell r="O124" t="e">
            <v>#N/A</v>
          </cell>
          <cell r="P124">
            <v>12.01</v>
          </cell>
          <cell r="Q124">
            <v>2.0495200000000002</v>
          </cell>
          <cell r="R124" t="e">
            <v>#N/A</v>
          </cell>
        </row>
        <row r="125">
          <cell r="A125">
            <v>40151</v>
          </cell>
          <cell r="B125">
            <v>40151</v>
          </cell>
          <cell r="C125" t="str">
            <v>Past</v>
          </cell>
          <cell r="D125">
            <v>12</v>
          </cell>
          <cell r="E125" t="e">
            <v>#N/A</v>
          </cell>
          <cell r="F125" t="e">
            <v>#N/A</v>
          </cell>
          <cell r="G125" t="e">
            <v>#N/A</v>
          </cell>
          <cell r="H125" t="e">
            <v>#N/A</v>
          </cell>
          <cell r="I125" t="e">
            <v>#N/A</v>
          </cell>
          <cell r="J125" t="e">
            <v>#N/A</v>
          </cell>
          <cell r="K125" t="e">
            <v>#N/A</v>
          </cell>
          <cell r="L125" t="e">
            <v>#N/A</v>
          </cell>
          <cell r="M125" t="e">
            <v>#N/A</v>
          </cell>
          <cell r="N125" t="e">
            <v>#N/A</v>
          </cell>
          <cell r="O125" t="e">
            <v>#N/A</v>
          </cell>
          <cell r="P125">
            <v>12</v>
          </cell>
          <cell r="Q125">
            <v>1.6330449999999999</v>
          </cell>
          <cell r="R125" t="e">
            <v>#N/A</v>
          </cell>
        </row>
        <row r="126">
          <cell r="A126">
            <v>40154</v>
          </cell>
          <cell r="B126">
            <v>40154</v>
          </cell>
          <cell r="C126" t="str">
            <v>Past</v>
          </cell>
          <cell r="D126">
            <v>11.98</v>
          </cell>
          <cell r="E126" t="e">
            <v>#N/A</v>
          </cell>
          <cell r="F126" t="e">
            <v>#N/A</v>
          </cell>
          <cell r="G126" t="e">
            <v>#N/A</v>
          </cell>
          <cell r="H126" t="e">
            <v>#N/A</v>
          </cell>
          <cell r="I126" t="e">
            <v>#N/A</v>
          </cell>
          <cell r="J126" t="e">
            <v>#N/A</v>
          </cell>
          <cell r="K126" t="e">
            <v>#N/A</v>
          </cell>
          <cell r="L126" t="e">
            <v>#N/A</v>
          </cell>
          <cell r="M126" t="e">
            <v>#N/A</v>
          </cell>
          <cell r="N126" t="e">
            <v>#N/A</v>
          </cell>
          <cell r="O126" t="e">
            <v>#N/A</v>
          </cell>
          <cell r="P126">
            <v>11.98</v>
          </cell>
          <cell r="Q126">
            <v>1.9720549999999999</v>
          </cell>
          <cell r="R126" t="e">
            <v>#N/A</v>
          </cell>
        </row>
        <row r="127">
          <cell r="A127">
            <v>40155</v>
          </cell>
          <cell r="B127">
            <v>40155</v>
          </cell>
          <cell r="C127" t="str">
            <v>Past</v>
          </cell>
          <cell r="D127">
            <v>11.96</v>
          </cell>
          <cell r="E127" t="e">
            <v>#N/A</v>
          </cell>
          <cell r="F127" t="e">
            <v>#N/A</v>
          </cell>
          <cell r="G127" t="e">
            <v>#N/A</v>
          </cell>
          <cell r="H127" t="e">
            <v>#N/A</v>
          </cell>
          <cell r="I127" t="e">
            <v>#N/A</v>
          </cell>
          <cell r="J127" t="e">
            <v>#N/A</v>
          </cell>
          <cell r="K127" t="e">
            <v>#N/A</v>
          </cell>
          <cell r="L127" t="e">
            <v>#N/A</v>
          </cell>
          <cell r="M127" t="e">
            <v>#N/A</v>
          </cell>
          <cell r="N127" t="e">
            <v>#N/A</v>
          </cell>
          <cell r="O127" t="e">
            <v>#N/A</v>
          </cell>
          <cell r="P127">
            <v>11.96</v>
          </cell>
          <cell r="Q127">
            <v>1.403686</v>
          </cell>
          <cell r="R127" t="e">
            <v>#N/A</v>
          </cell>
        </row>
        <row r="128">
          <cell r="A128">
            <v>40156</v>
          </cell>
          <cell r="B128">
            <v>40156</v>
          </cell>
          <cell r="C128" t="str">
            <v>Past</v>
          </cell>
          <cell r="D128">
            <v>11.9</v>
          </cell>
          <cell r="E128" t="e">
            <v>#N/A</v>
          </cell>
          <cell r="F128" t="e">
            <v>#N/A</v>
          </cell>
          <cell r="G128" t="e">
            <v>#N/A</v>
          </cell>
          <cell r="H128" t="e">
            <v>#N/A</v>
          </cell>
          <cell r="I128" t="e">
            <v>#N/A</v>
          </cell>
          <cell r="J128" t="e">
            <v>#N/A</v>
          </cell>
          <cell r="K128" t="e">
            <v>#N/A</v>
          </cell>
          <cell r="L128" t="e">
            <v>#N/A</v>
          </cell>
          <cell r="M128" t="e">
            <v>#N/A</v>
          </cell>
          <cell r="N128" t="e">
            <v>#N/A</v>
          </cell>
          <cell r="O128" t="e">
            <v>#N/A</v>
          </cell>
          <cell r="P128">
            <v>11.9</v>
          </cell>
          <cell r="Q128">
            <v>1.402925</v>
          </cell>
          <cell r="R128" t="e">
            <v>#N/A</v>
          </cell>
        </row>
        <row r="129">
          <cell r="A129">
            <v>40157</v>
          </cell>
          <cell r="B129">
            <v>40157</v>
          </cell>
          <cell r="C129" t="str">
            <v>Past</v>
          </cell>
          <cell r="D129">
            <v>11.92</v>
          </cell>
          <cell r="E129" t="e">
            <v>#N/A</v>
          </cell>
          <cell r="F129" t="e">
            <v>#N/A</v>
          </cell>
          <cell r="G129" t="e">
            <v>#N/A</v>
          </cell>
          <cell r="H129" t="e">
            <v>#N/A</v>
          </cell>
          <cell r="I129" t="e">
            <v>#N/A</v>
          </cell>
          <cell r="J129" t="e">
            <v>#N/A</v>
          </cell>
          <cell r="K129" t="e">
            <v>#N/A</v>
          </cell>
          <cell r="L129" t="e">
            <v>#N/A</v>
          </cell>
          <cell r="M129" t="e">
            <v>#N/A</v>
          </cell>
          <cell r="N129" t="e">
            <v>#N/A</v>
          </cell>
          <cell r="O129" t="e">
            <v>#N/A</v>
          </cell>
          <cell r="P129">
            <v>11.92</v>
          </cell>
          <cell r="Q129">
            <v>1.6281049999999999</v>
          </cell>
          <cell r="R129" t="e">
            <v>#N/A</v>
          </cell>
        </row>
        <row r="130">
          <cell r="A130">
            <v>40158</v>
          </cell>
          <cell r="B130">
            <v>40158</v>
          </cell>
          <cell r="C130" t="str">
            <v>Past</v>
          </cell>
          <cell r="D130">
            <v>12.26</v>
          </cell>
          <cell r="E130" t="e">
            <v>#N/A</v>
          </cell>
          <cell r="F130" t="e">
            <v>#N/A</v>
          </cell>
          <cell r="G130" t="e">
            <v>#N/A</v>
          </cell>
          <cell r="H130" t="e">
            <v>#N/A</v>
          </cell>
          <cell r="I130" t="e">
            <v>#N/A</v>
          </cell>
          <cell r="J130" t="e">
            <v>#N/A</v>
          </cell>
          <cell r="K130" t="e">
            <v>#N/A</v>
          </cell>
          <cell r="L130" t="e">
            <v>#N/A</v>
          </cell>
          <cell r="M130" t="e">
            <v>#N/A</v>
          </cell>
          <cell r="N130" t="e">
            <v>#N/A</v>
          </cell>
          <cell r="O130" t="e">
            <v>#N/A</v>
          </cell>
          <cell r="P130">
            <v>12.26</v>
          </cell>
          <cell r="Q130">
            <v>2.5341459999999998</v>
          </cell>
          <cell r="R130" t="e">
            <v>#N/A</v>
          </cell>
        </row>
        <row r="131">
          <cell r="A131">
            <v>40161</v>
          </cell>
          <cell r="B131">
            <v>40161</v>
          </cell>
          <cell r="C131" t="str">
            <v>Past</v>
          </cell>
          <cell r="D131">
            <v>12.39</v>
          </cell>
          <cell r="E131" t="e">
            <v>#N/A</v>
          </cell>
          <cell r="F131" t="e">
            <v>#N/A</v>
          </cell>
          <cell r="G131" t="e">
            <v>#N/A</v>
          </cell>
          <cell r="H131" t="e">
            <v>#N/A</v>
          </cell>
          <cell r="I131" t="e">
            <v>#N/A</v>
          </cell>
          <cell r="J131" t="e">
            <v>#N/A</v>
          </cell>
          <cell r="K131" t="e">
            <v>#N/A</v>
          </cell>
          <cell r="L131" t="e">
            <v>#N/A</v>
          </cell>
          <cell r="M131" t="e">
            <v>#N/A</v>
          </cell>
          <cell r="N131" t="e">
            <v>#N/A</v>
          </cell>
          <cell r="O131" t="e">
            <v>#N/A</v>
          </cell>
          <cell r="P131">
            <v>12.39</v>
          </cell>
          <cell r="Q131">
            <v>1.5428109999999999</v>
          </cell>
          <cell r="R131" t="e">
            <v>#N/A</v>
          </cell>
        </row>
        <row r="132">
          <cell r="A132">
            <v>40162</v>
          </cell>
          <cell r="B132">
            <v>40162</v>
          </cell>
          <cell r="C132" t="str">
            <v>Past</v>
          </cell>
          <cell r="D132">
            <v>12.49</v>
          </cell>
          <cell r="E132" t="e">
            <v>#N/A</v>
          </cell>
          <cell r="F132" t="e">
            <v>#N/A</v>
          </cell>
          <cell r="G132" t="e">
            <v>#N/A</v>
          </cell>
          <cell r="H132" t="e">
            <v>#N/A</v>
          </cell>
          <cell r="I132" t="e">
            <v>#N/A</v>
          </cell>
          <cell r="J132" t="e">
            <v>#N/A</v>
          </cell>
          <cell r="K132" t="e">
            <v>#N/A</v>
          </cell>
          <cell r="L132" t="e">
            <v>#N/A</v>
          </cell>
          <cell r="M132" t="e">
            <v>#N/A</v>
          </cell>
          <cell r="N132" t="e">
            <v>#N/A</v>
          </cell>
          <cell r="O132" t="e">
            <v>#N/A</v>
          </cell>
          <cell r="P132">
            <v>12.49</v>
          </cell>
          <cell r="Q132">
            <v>1.816954</v>
          </cell>
          <cell r="R132" t="e">
            <v>#N/A</v>
          </cell>
        </row>
        <row r="133">
          <cell r="A133">
            <v>40163</v>
          </cell>
          <cell r="B133">
            <v>40163</v>
          </cell>
          <cell r="C133" t="str">
            <v>Past</v>
          </cell>
          <cell r="D133">
            <v>12.67</v>
          </cell>
          <cell r="E133" t="e">
            <v>#N/A</v>
          </cell>
          <cell r="F133" t="e">
            <v>#N/A</v>
          </cell>
          <cell r="G133" t="e">
            <v>#N/A</v>
          </cell>
          <cell r="H133" t="e">
            <v>#N/A</v>
          </cell>
          <cell r="I133" t="e">
            <v>#N/A</v>
          </cell>
          <cell r="J133" t="e">
            <v>#N/A</v>
          </cell>
          <cell r="K133" t="e">
            <v>#N/A</v>
          </cell>
          <cell r="L133" t="e">
            <v>#N/A</v>
          </cell>
          <cell r="M133" t="e">
            <v>#N/A</v>
          </cell>
          <cell r="N133" t="e">
            <v>#N/A</v>
          </cell>
          <cell r="O133" t="e">
            <v>#N/A</v>
          </cell>
          <cell r="P133">
            <v>12.67</v>
          </cell>
          <cell r="Q133">
            <v>3.4078200000000001</v>
          </cell>
          <cell r="R133" t="e">
            <v>#N/A</v>
          </cell>
        </row>
        <row r="134">
          <cell r="A134">
            <v>40164</v>
          </cell>
          <cell r="B134">
            <v>40164</v>
          </cell>
          <cell r="C134" t="str">
            <v>Past</v>
          </cell>
          <cell r="D134">
            <v>12.37</v>
          </cell>
          <cell r="E134" t="e">
            <v>#N/A</v>
          </cell>
          <cell r="F134" t="e">
            <v>#N/A</v>
          </cell>
          <cell r="G134" t="e">
            <v>#N/A</v>
          </cell>
          <cell r="H134" t="e">
            <v>#N/A</v>
          </cell>
          <cell r="I134" t="e">
            <v>#N/A</v>
          </cell>
          <cell r="J134" t="e">
            <v>#N/A</v>
          </cell>
          <cell r="K134" t="e">
            <v>#N/A</v>
          </cell>
          <cell r="L134" t="e">
            <v>#N/A</v>
          </cell>
          <cell r="M134" t="e">
            <v>#N/A</v>
          </cell>
          <cell r="N134" t="e">
            <v>#N/A</v>
          </cell>
          <cell r="O134" t="e">
            <v>#N/A</v>
          </cell>
          <cell r="P134">
            <v>12.37</v>
          </cell>
          <cell r="Q134">
            <v>2.987034</v>
          </cell>
          <cell r="R134" t="e">
            <v>#N/A</v>
          </cell>
        </row>
        <row r="135">
          <cell r="A135">
            <v>40165</v>
          </cell>
          <cell r="B135">
            <v>40165</v>
          </cell>
          <cell r="C135" t="str">
            <v>Past</v>
          </cell>
          <cell r="D135">
            <v>12.39</v>
          </cell>
          <cell r="E135" t="e">
            <v>#N/A</v>
          </cell>
          <cell r="F135" t="e">
            <v>#N/A</v>
          </cell>
          <cell r="G135" t="e">
            <v>#N/A</v>
          </cell>
          <cell r="H135" t="e">
            <v>#N/A</v>
          </cell>
          <cell r="I135" t="e">
            <v>#N/A</v>
          </cell>
          <cell r="J135" t="e">
            <v>#N/A</v>
          </cell>
          <cell r="K135" t="e">
            <v>#N/A</v>
          </cell>
          <cell r="L135" t="e">
            <v>#N/A</v>
          </cell>
          <cell r="M135" t="e">
            <v>#N/A</v>
          </cell>
          <cell r="N135" t="e">
            <v>#N/A</v>
          </cell>
          <cell r="O135" t="e">
            <v>#N/A</v>
          </cell>
          <cell r="P135">
            <v>12.39</v>
          </cell>
          <cell r="Q135">
            <v>2.0287000000000002</v>
          </cell>
          <cell r="R135" t="e">
            <v>#N/A</v>
          </cell>
        </row>
        <row r="136">
          <cell r="A136">
            <v>40168</v>
          </cell>
          <cell r="B136">
            <v>40168</v>
          </cell>
          <cell r="C136" t="str">
            <v>Past</v>
          </cell>
          <cell r="D136">
            <v>12.55</v>
          </cell>
          <cell r="E136" t="e">
            <v>#N/A</v>
          </cell>
          <cell r="F136" t="e">
            <v>#N/A</v>
          </cell>
          <cell r="G136" t="e">
            <v>#N/A</v>
          </cell>
          <cell r="H136" t="e">
            <v>#N/A</v>
          </cell>
          <cell r="I136" t="e">
            <v>#N/A</v>
          </cell>
          <cell r="J136" t="e">
            <v>#N/A</v>
          </cell>
          <cell r="K136" t="e">
            <v>#N/A</v>
          </cell>
          <cell r="L136" t="e">
            <v>#N/A</v>
          </cell>
          <cell r="M136" t="e">
            <v>#N/A</v>
          </cell>
          <cell r="N136" t="e">
            <v>#N/A</v>
          </cell>
          <cell r="O136" t="e">
            <v>#N/A</v>
          </cell>
          <cell r="P136">
            <v>12.55</v>
          </cell>
          <cell r="Q136">
            <v>1.2931679999999999</v>
          </cell>
          <cell r="R136" t="e">
            <v>#N/A</v>
          </cell>
        </row>
        <row r="137">
          <cell r="A137">
            <v>40169</v>
          </cell>
          <cell r="B137">
            <v>40169</v>
          </cell>
          <cell r="C137" t="str">
            <v>Past</v>
          </cell>
          <cell r="D137">
            <v>12.51</v>
          </cell>
          <cell r="E137" t="e">
            <v>#N/A</v>
          </cell>
          <cell r="F137" t="e">
            <v>#N/A</v>
          </cell>
          <cell r="G137" t="e">
            <v>#N/A</v>
          </cell>
          <cell r="H137" t="e">
            <v>#N/A</v>
          </cell>
          <cell r="I137" t="e">
            <v>#N/A</v>
          </cell>
          <cell r="J137" t="e">
            <v>#N/A</v>
          </cell>
          <cell r="K137" t="e">
            <v>#N/A</v>
          </cell>
          <cell r="L137" t="e">
            <v>#N/A</v>
          </cell>
          <cell r="M137" t="e">
            <v>#N/A</v>
          </cell>
          <cell r="N137" t="e">
            <v>#N/A</v>
          </cell>
          <cell r="O137" t="e">
            <v>#N/A</v>
          </cell>
          <cell r="P137">
            <v>12.51</v>
          </cell>
          <cell r="Q137">
            <v>0.98313899999999999</v>
          </cell>
          <cell r="R137" t="e">
            <v>#N/A</v>
          </cell>
        </row>
        <row r="138">
          <cell r="A138">
            <v>40170</v>
          </cell>
          <cell r="B138">
            <v>40170</v>
          </cell>
          <cell r="C138" t="str">
            <v>Past</v>
          </cell>
          <cell r="D138">
            <v>12.53</v>
          </cell>
          <cell r="E138" t="e">
            <v>#N/A</v>
          </cell>
          <cell r="F138" t="e">
            <v>#N/A</v>
          </cell>
          <cell r="G138" t="e">
            <v>#N/A</v>
          </cell>
          <cell r="H138" t="e">
            <v>#N/A</v>
          </cell>
          <cell r="I138" t="e">
            <v>#N/A</v>
          </cell>
          <cell r="J138" t="e">
            <v>#N/A</v>
          </cell>
          <cell r="K138" t="e">
            <v>#N/A</v>
          </cell>
          <cell r="L138" t="e">
            <v>#N/A</v>
          </cell>
          <cell r="M138" t="e">
            <v>#N/A</v>
          </cell>
          <cell r="N138" t="e">
            <v>#N/A</v>
          </cell>
          <cell r="O138" t="e">
            <v>#N/A</v>
          </cell>
          <cell r="P138">
            <v>12.53</v>
          </cell>
          <cell r="Q138">
            <v>1.043939</v>
          </cell>
          <cell r="R138" t="e">
            <v>#N/A</v>
          </cell>
        </row>
        <row r="139">
          <cell r="A139">
            <v>40171</v>
          </cell>
          <cell r="B139">
            <v>40171</v>
          </cell>
          <cell r="C139" t="str">
            <v>Past</v>
          </cell>
          <cell r="D139">
            <v>12.54</v>
          </cell>
          <cell r="E139" t="e">
            <v>#N/A</v>
          </cell>
          <cell r="F139" t="e">
            <v>#N/A</v>
          </cell>
          <cell r="G139" t="e">
            <v>#N/A</v>
          </cell>
          <cell r="H139" t="e">
            <v>#N/A</v>
          </cell>
          <cell r="I139" t="e">
            <v>#N/A</v>
          </cell>
          <cell r="J139" t="e">
            <v>#N/A</v>
          </cell>
          <cell r="K139" t="e">
            <v>#N/A</v>
          </cell>
          <cell r="L139" t="e">
            <v>#N/A</v>
          </cell>
          <cell r="M139" t="e">
            <v>#N/A</v>
          </cell>
          <cell r="N139" t="e">
            <v>#N/A</v>
          </cell>
          <cell r="O139" t="e">
            <v>#N/A</v>
          </cell>
          <cell r="P139">
            <v>12.54</v>
          </cell>
          <cell r="Q139">
            <v>0.188083</v>
          </cell>
          <cell r="R139" t="e">
            <v>#N/A</v>
          </cell>
        </row>
        <row r="140">
          <cell r="A140">
            <v>40175</v>
          </cell>
          <cell r="B140">
            <v>40175</v>
          </cell>
          <cell r="C140" t="str">
            <v>Past</v>
          </cell>
          <cell r="D140">
            <v>12.52</v>
          </cell>
          <cell r="E140" t="e">
            <v>#N/A</v>
          </cell>
          <cell r="F140" t="e">
            <v>#N/A</v>
          </cell>
          <cell r="G140" t="e">
            <v>#N/A</v>
          </cell>
          <cell r="H140" t="e">
            <v>#N/A</v>
          </cell>
          <cell r="I140" t="e">
            <v>#N/A</v>
          </cell>
          <cell r="J140" t="e">
            <v>#N/A</v>
          </cell>
          <cell r="K140" t="e">
            <v>#N/A</v>
          </cell>
          <cell r="L140" t="e">
            <v>#N/A</v>
          </cell>
          <cell r="M140" t="e">
            <v>#N/A</v>
          </cell>
          <cell r="N140" t="e">
            <v>#N/A</v>
          </cell>
          <cell r="O140" t="e">
            <v>#N/A</v>
          </cell>
          <cell r="P140">
            <v>12.52</v>
          </cell>
          <cell r="Q140">
            <v>1.007449</v>
          </cell>
          <cell r="R140" t="e">
            <v>#N/A</v>
          </cell>
        </row>
        <row r="141">
          <cell r="A141">
            <v>40176</v>
          </cell>
          <cell r="B141">
            <v>40176</v>
          </cell>
          <cell r="C141" t="str">
            <v>Past</v>
          </cell>
          <cell r="D141">
            <v>12.53</v>
          </cell>
          <cell r="E141" t="e">
            <v>#N/A</v>
          </cell>
          <cell r="F141" t="e">
            <v>#N/A</v>
          </cell>
          <cell r="G141" t="e">
            <v>#N/A</v>
          </cell>
          <cell r="H141" t="e">
            <v>#N/A</v>
          </cell>
          <cell r="I141" t="e">
            <v>#N/A</v>
          </cell>
          <cell r="J141" t="e">
            <v>#N/A</v>
          </cell>
          <cell r="K141" t="e">
            <v>#N/A</v>
          </cell>
          <cell r="L141" t="e">
            <v>#N/A</v>
          </cell>
          <cell r="M141" t="e">
            <v>#N/A</v>
          </cell>
          <cell r="N141" t="e">
            <v>#N/A</v>
          </cell>
          <cell r="O141" t="e">
            <v>#N/A</v>
          </cell>
          <cell r="P141">
            <v>12.53</v>
          </cell>
          <cell r="Q141">
            <v>1.2915209999999999</v>
          </cell>
          <cell r="R141" t="e">
            <v>#N/A</v>
          </cell>
        </row>
        <row r="142">
          <cell r="A142">
            <v>40177</v>
          </cell>
          <cell r="B142">
            <v>40177</v>
          </cell>
          <cell r="C142" t="str">
            <v>Past</v>
          </cell>
          <cell r="D142">
            <v>12.57</v>
          </cell>
          <cell r="E142" t="e">
            <v>#N/A</v>
          </cell>
          <cell r="F142" t="e">
            <v>#N/A</v>
          </cell>
          <cell r="G142" t="e">
            <v>#N/A</v>
          </cell>
          <cell r="H142" t="e">
            <v>#N/A</v>
          </cell>
          <cell r="I142" t="e">
            <v>#N/A</v>
          </cell>
          <cell r="J142" t="e">
            <v>#N/A</v>
          </cell>
          <cell r="K142" t="e">
            <v>#N/A</v>
          </cell>
          <cell r="L142" t="e">
            <v>#N/A</v>
          </cell>
          <cell r="M142" t="e">
            <v>#N/A</v>
          </cell>
          <cell r="N142" t="e">
            <v>#N/A</v>
          </cell>
          <cell r="O142" t="e">
            <v>#N/A</v>
          </cell>
          <cell r="P142">
            <v>12.57</v>
          </cell>
          <cell r="Q142">
            <v>0.81364099999999995</v>
          </cell>
          <cell r="R142" t="e">
            <v>#N/A</v>
          </cell>
        </row>
        <row r="143">
          <cell r="A143">
            <v>40178</v>
          </cell>
          <cell r="B143">
            <v>40178</v>
          </cell>
          <cell r="C143" t="str">
            <v>Past</v>
          </cell>
          <cell r="D143">
            <v>12.38</v>
          </cell>
          <cell r="E143" t="e">
            <v>#N/A</v>
          </cell>
          <cell r="F143" t="e">
            <v>#N/A</v>
          </cell>
          <cell r="G143" t="e">
            <v>#N/A</v>
          </cell>
          <cell r="H143" t="e">
            <v>#N/A</v>
          </cell>
          <cell r="I143" t="e">
            <v>#N/A</v>
          </cell>
          <cell r="J143" t="e">
            <v>#N/A</v>
          </cell>
          <cell r="K143" t="e">
            <v>#N/A</v>
          </cell>
          <cell r="L143" t="e">
            <v>#N/A</v>
          </cell>
          <cell r="M143" t="e">
            <v>#N/A</v>
          </cell>
          <cell r="N143" t="e">
            <v>#N/A</v>
          </cell>
          <cell r="O143" t="e">
            <v>#N/A</v>
          </cell>
          <cell r="P143">
            <v>12.38</v>
          </cell>
          <cell r="Q143">
            <v>0.75707799999999992</v>
          </cell>
          <cell r="R143" t="e">
            <v>#N/A</v>
          </cell>
        </row>
        <row r="144">
          <cell r="A144">
            <v>40182</v>
          </cell>
          <cell r="B144">
            <v>40182</v>
          </cell>
          <cell r="C144" t="str">
            <v>Past</v>
          </cell>
          <cell r="D144">
            <v>12.49</v>
          </cell>
          <cell r="E144" t="e">
            <v>#N/A</v>
          </cell>
          <cell r="F144" t="e">
            <v>#N/A</v>
          </cell>
          <cell r="G144" t="e">
            <v>#N/A</v>
          </cell>
          <cell r="H144" t="e">
            <v>#N/A</v>
          </cell>
          <cell r="I144" t="e">
            <v>#N/A</v>
          </cell>
          <cell r="J144" t="e">
            <v>#N/A</v>
          </cell>
          <cell r="K144" t="e">
            <v>#N/A</v>
          </cell>
          <cell r="L144" t="e">
            <v>#N/A</v>
          </cell>
          <cell r="M144" t="e">
            <v>#N/A</v>
          </cell>
          <cell r="N144" t="e">
            <v>#N/A</v>
          </cell>
          <cell r="O144" t="e">
            <v>#N/A</v>
          </cell>
          <cell r="P144">
            <v>12.49</v>
          </cell>
          <cell r="Q144">
            <v>1.3208600000000001</v>
          </cell>
          <cell r="R144" t="e">
            <v>#N/A</v>
          </cell>
        </row>
        <row r="145">
          <cell r="A145">
            <v>40183</v>
          </cell>
          <cell r="B145">
            <v>40183</v>
          </cell>
          <cell r="C145" t="str">
            <v>Past</v>
          </cell>
          <cell r="D145">
            <v>12.22</v>
          </cell>
          <cell r="E145" t="e">
            <v>#N/A</v>
          </cell>
          <cell r="F145" t="e">
            <v>#N/A</v>
          </cell>
          <cell r="G145" t="e">
            <v>#N/A</v>
          </cell>
          <cell r="H145" t="e">
            <v>#N/A</v>
          </cell>
          <cell r="I145" t="e">
            <v>#N/A</v>
          </cell>
          <cell r="J145" t="e">
            <v>#N/A</v>
          </cell>
          <cell r="K145" t="e">
            <v>#N/A</v>
          </cell>
          <cell r="L145" t="e">
            <v>#N/A</v>
          </cell>
          <cell r="M145" t="e">
            <v>#N/A</v>
          </cell>
          <cell r="N145" t="e">
            <v>#N/A</v>
          </cell>
          <cell r="O145" t="e">
            <v>#N/A</v>
          </cell>
          <cell r="P145">
            <v>12.22</v>
          </cell>
          <cell r="Q145">
            <v>2.594293</v>
          </cell>
          <cell r="R145" t="e">
            <v>#N/A</v>
          </cell>
        </row>
        <row r="146">
          <cell r="A146">
            <v>40184</v>
          </cell>
          <cell r="B146">
            <v>40184</v>
          </cell>
          <cell r="C146" t="str">
            <v>Past</v>
          </cell>
          <cell r="D146">
            <v>12.18</v>
          </cell>
          <cell r="E146" t="e">
            <v>#N/A</v>
          </cell>
          <cell r="F146" t="e">
            <v>#N/A</v>
          </cell>
          <cell r="G146" t="e">
            <v>#N/A</v>
          </cell>
          <cell r="H146" t="e">
            <v>#N/A</v>
          </cell>
          <cell r="I146" t="e">
            <v>#N/A</v>
          </cell>
          <cell r="J146" t="e">
            <v>#N/A</v>
          </cell>
          <cell r="K146" t="e">
            <v>#N/A</v>
          </cell>
          <cell r="L146" t="e">
            <v>#N/A</v>
          </cell>
          <cell r="M146" t="e">
            <v>#N/A</v>
          </cell>
          <cell r="N146" t="e">
            <v>#N/A</v>
          </cell>
          <cell r="O146" t="e">
            <v>#N/A</v>
          </cell>
          <cell r="P146">
            <v>12.18</v>
          </cell>
          <cell r="Q146">
            <v>2.7537319999999998</v>
          </cell>
          <cell r="R146" t="e">
            <v>#N/A</v>
          </cell>
        </row>
        <row r="147">
          <cell r="A147">
            <v>40185</v>
          </cell>
          <cell r="B147">
            <v>40185</v>
          </cell>
          <cell r="C147" t="str">
            <v>Past</v>
          </cell>
          <cell r="D147">
            <v>11.95</v>
          </cell>
          <cell r="E147" t="e">
            <v>#N/A</v>
          </cell>
          <cell r="F147" t="e">
            <v>#N/A</v>
          </cell>
          <cell r="G147" t="e">
            <v>#N/A</v>
          </cell>
          <cell r="H147" t="e">
            <v>#N/A</v>
          </cell>
          <cell r="I147" t="e">
            <v>#N/A</v>
          </cell>
          <cell r="J147" t="e">
            <v>#N/A</v>
          </cell>
          <cell r="K147" t="e">
            <v>#N/A</v>
          </cell>
          <cell r="L147" t="e">
            <v>#N/A</v>
          </cell>
          <cell r="M147" t="e">
            <v>#N/A</v>
          </cell>
          <cell r="N147" t="e">
            <v>#N/A</v>
          </cell>
          <cell r="O147" t="e">
            <v>#N/A</v>
          </cell>
          <cell r="P147">
            <v>11.95</v>
          </cell>
          <cell r="Q147">
            <v>2.590455</v>
          </cell>
          <cell r="R147" t="e">
            <v>#N/A</v>
          </cell>
        </row>
        <row r="148">
          <cell r="A148">
            <v>40186</v>
          </cell>
          <cell r="B148">
            <v>40186</v>
          </cell>
          <cell r="C148" t="str">
            <v>Past</v>
          </cell>
          <cell r="D148">
            <v>11.88</v>
          </cell>
          <cell r="E148" t="e">
            <v>#N/A</v>
          </cell>
          <cell r="F148" t="e">
            <v>#N/A</v>
          </cell>
          <cell r="G148" t="e">
            <v>#N/A</v>
          </cell>
          <cell r="H148" t="e">
            <v>#N/A</v>
          </cell>
          <cell r="I148" t="e">
            <v>#N/A</v>
          </cell>
          <cell r="J148" t="e">
            <v>#N/A</v>
          </cell>
          <cell r="K148" t="e">
            <v>#N/A</v>
          </cell>
          <cell r="L148" t="e">
            <v>#N/A</v>
          </cell>
          <cell r="M148" t="e">
            <v>#N/A</v>
          </cell>
          <cell r="N148" t="e">
            <v>#N/A</v>
          </cell>
          <cell r="O148" t="e">
            <v>#N/A</v>
          </cell>
          <cell r="P148">
            <v>11.88</v>
          </cell>
          <cell r="Q148">
            <v>2.3484229999999999</v>
          </cell>
          <cell r="R148" t="e">
            <v>#N/A</v>
          </cell>
        </row>
        <row r="149">
          <cell r="A149">
            <v>40189</v>
          </cell>
          <cell r="B149">
            <v>40189</v>
          </cell>
          <cell r="C149" t="str">
            <v>Past</v>
          </cell>
          <cell r="D149">
            <v>11.93</v>
          </cell>
          <cell r="E149" t="e">
            <v>#N/A</v>
          </cell>
          <cell r="F149" t="e">
            <v>#N/A</v>
          </cell>
          <cell r="G149" t="e">
            <v>#N/A</v>
          </cell>
          <cell r="H149" t="e">
            <v>#N/A</v>
          </cell>
          <cell r="I149" t="e">
            <v>#N/A</v>
          </cell>
          <cell r="J149" t="e">
            <v>#N/A</v>
          </cell>
          <cell r="K149" t="e">
            <v>#N/A</v>
          </cell>
          <cell r="L149" t="e">
            <v>#N/A</v>
          </cell>
          <cell r="M149" t="e">
            <v>#N/A</v>
          </cell>
          <cell r="N149" t="e">
            <v>#N/A</v>
          </cell>
          <cell r="O149" t="e">
            <v>#N/A</v>
          </cell>
          <cell r="P149">
            <v>11.93</v>
          </cell>
          <cell r="Q149">
            <v>5.0173579999999998</v>
          </cell>
          <cell r="R149" t="e">
            <v>#N/A</v>
          </cell>
        </row>
        <row r="150">
          <cell r="A150">
            <v>40190</v>
          </cell>
          <cell r="B150">
            <v>40190</v>
          </cell>
          <cell r="C150" t="str">
            <v>Past</v>
          </cell>
          <cell r="D150">
            <v>12.17</v>
          </cell>
          <cell r="E150" t="e">
            <v>#N/A</v>
          </cell>
          <cell r="F150" t="e">
            <v>#N/A</v>
          </cell>
          <cell r="G150" t="e">
            <v>#N/A</v>
          </cell>
          <cell r="H150" t="e">
            <v>#N/A</v>
          </cell>
          <cell r="I150" t="e">
            <v>#N/A</v>
          </cell>
          <cell r="J150" t="e">
            <v>#N/A</v>
          </cell>
          <cell r="K150" t="e">
            <v>#N/A</v>
          </cell>
          <cell r="L150" t="e">
            <v>#N/A</v>
          </cell>
          <cell r="M150" t="e">
            <v>#N/A</v>
          </cell>
          <cell r="N150" t="e">
            <v>#N/A</v>
          </cell>
          <cell r="O150" t="e">
            <v>#N/A</v>
          </cell>
          <cell r="P150">
            <v>12.17</v>
          </cell>
          <cell r="Q150">
            <v>6.0215049999999994</v>
          </cell>
          <cell r="R150" t="e">
            <v>#N/A</v>
          </cell>
        </row>
        <row r="151">
          <cell r="A151">
            <v>40191</v>
          </cell>
          <cell r="B151">
            <v>40191</v>
          </cell>
          <cell r="C151" t="str">
            <v>Past</v>
          </cell>
          <cell r="D151">
            <v>12.36</v>
          </cell>
          <cell r="E151" t="e">
            <v>#N/A</v>
          </cell>
          <cell r="F151" t="e">
            <v>#N/A</v>
          </cell>
          <cell r="G151" t="e">
            <v>#N/A</v>
          </cell>
          <cell r="H151" t="e">
            <v>#N/A</v>
          </cell>
          <cell r="I151" t="e">
            <v>#N/A</v>
          </cell>
          <cell r="J151" t="e">
            <v>#N/A</v>
          </cell>
          <cell r="K151" t="e">
            <v>#N/A</v>
          </cell>
          <cell r="L151" t="e">
            <v>#N/A</v>
          </cell>
          <cell r="M151" t="e">
            <v>#N/A</v>
          </cell>
          <cell r="N151" t="e">
            <v>#N/A</v>
          </cell>
          <cell r="O151" t="e">
            <v>#N/A</v>
          </cell>
          <cell r="P151">
            <v>12.36</v>
          </cell>
          <cell r="Q151">
            <v>2.7192000000000003</v>
          </cell>
          <cell r="R151" t="e">
            <v>#N/A</v>
          </cell>
        </row>
        <row r="152">
          <cell r="A152">
            <v>40192</v>
          </cell>
          <cell r="B152">
            <v>40192</v>
          </cell>
          <cell r="C152" t="str">
            <v>Past</v>
          </cell>
          <cell r="D152">
            <v>12.37</v>
          </cell>
          <cell r="E152" t="e">
            <v>#N/A</v>
          </cell>
          <cell r="F152" t="e">
            <v>#N/A</v>
          </cell>
          <cell r="G152" t="e">
            <v>#N/A</v>
          </cell>
          <cell r="H152" t="e">
            <v>#N/A</v>
          </cell>
          <cell r="I152" t="e">
            <v>#N/A</v>
          </cell>
          <cell r="J152" t="e">
            <v>#N/A</v>
          </cell>
          <cell r="K152" t="e">
            <v>#N/A</v>
          </cell>
          <cell r="L152" t="e">
            <v>#N/A</v>
          </cell>
          <cell r="M152" t="e">
            <v>#N/A</v>
          </cell>
          <cell r="N152" t="e">
            <v>#N/A</v>
          </cell>
          <cell r="O152" t="e">
            <v>#N/A</v>
          </cell>
          <cell r="P152">
            <v>12.37</v>
          </cell>
          <cell r="Q152">
            <v>1.4913419999999999</v>
          </cell>
          <cell r="R152" t="e">
            <v>#N/A</v>
          </cell>
        </row>
        <row r="153">
          <cell r="A153">
            <v>40193</v>
          </cell>
          <cell r="B153">
            <v>40193</v>
          </cell>
          <cell r="C153" t="str">
            <v>Past</v>
          </cell>
          <cell r="D153">
            <v>12.31</v>
          </cell>
          <cell r="E153" t="e">
            <v>#N/A</v>
          </cell>
          <cell r="F153" t="e">
            <v>#N/A</v>
          </cell>
          <cell r="G153" t="e">
            <v>#N/A</v>
          </cell>
          <cell r="H153" t="e">
            <v>#N/A</v>
          </cell>
          <cell r="I153" t="e">
            <v>#N/A</v>
          </cell>
          <cell r="J153" t="e">
            <v>#N/A</v>
          </cell>
          <cell r="K153" t="e">
            <v>#N/A</v>
          </cell>
          <cell r="L153" t="e">
            <v>#N/A</v>
          </cell>
          <cell r="M153" t="e">
            <v>#N/A</v>
          </cell>
          <cell r="N153" t="e">
            <v>#N/A</v>
          </cell>
          <cell r="O153" t="e">
            <v>#N/A</v>
          </cell>
          <cell r="P153">
            <v>12.31</v>
          </cell>
          <cell r="Q153">
            <v>2.846365</v>
          </cell>
          <cell r="R153" t="e">
            <v>#N/A</v>
          </cell>
        </row>
        <row r="154">
          <cell r="A154">
            <v>40197</v>
          </cell>
          <cell r="B154">
            <v>40197</v>
          </cell>
          <cell r="C154" t="str">
            <v>Past</v>
          </cell>
          <cell r="D154">
            <v>12.5</v>
          </cell>
          <cell r="E154" t="e">
            <v>#N/A</v>
          </cell>
          <cell r="F154" t="e">
            <v>#N/A</v>
          </cell>
          <cell r="G154" t="e">
            <v>#N/A</v>
          </cell>
          <cell r="H154" t="e">
            <v>#N/A</v>
          </cell>
          <cell r="I154" t="e">
            <v>#N/A</v>
          </cell>
          <cell r="J154" t="e">
            <v>#N/A</v>
          </cell>
          <cell r="K154" t="e">
            <v>#N/A</v>
          </cell>
          <cell r="L154" t="e">
            <v>#N/A</v>
          </cell>
          <cell r="M154" t="e">
            <v>#N/A</v>
          </cell>
          <cell r="N154" t="e">
            <v>#N/A</v>
          </cell>
          <cell r="O154" t="e">
            <v>#N/A</v>
          </cell>
          <cell r="P154">
            <v>12.5</v>
          </cell>
          <cell r="Q154">
            <v>2.921125</v>
          </cell>
          <cell r="R154" t="e">
            <v>#N/A</v>
          </cell>
        </row>
        <row r="155">
          <cell r="A155">
            <v>40198</v>
          </cell>
          <cell r="B155">
            <v>40198</v>
          </cell>
          <cell r="C155" t="str">
            <v>Past</v>
          </cell>
          <cell r="D155">
            <v>12.54</v>
          </cell>
          <cell r="E155" t="e">
            <v>#N/A</v>
          </cell>
          <cell r="F155" t="e">
            <v>#N/A</v>
          </cell>
          <cell r="G155" t="e">
            <v>#N/A</v>
          </cell>
          <cell r="H155" t="e">
            <v>#N/A</v>
          </cell>
          <cell r="I155" t="e">
            <v>#N/A</v>
          </cell>
          <cell r="J155" t="e">
            <v>#N/A</v>
          </cell>
          <cell r="K155" t="e">
            <v>#N/A</v>
          </cell>
          <cell r="L155" t="e">
            <v>#N/A</v>
          </cell>
          <cell r="M155" t="e">
            <v>#N/A</v>
          </cell>
          <cell r="N155" t="e">
            <v>#N/A</v>
          </cell>
          <cell r="O155" t="e">
            <v>#N/A</v>
          </cell>
          <cell r="P155">
            <v>12.54</v>
          </cell>
          <cell r="Q155">
            <v>5.5452529999999998</v>
          </cell>
          <cell r="R155" t="e">
            <v>#N/A</v>
          </cell>
        </row>
        <row r="156">
          <cell r="A156">
            <v>40199</v>
          </cell>
          <cell r="B156">
            <v>40199</v>
          </cell>
          <cell r="C156" t="str">
            <v>Past</v>
          </cell>
          <cell r="D156">
            <v>12.28</v>
          </cell>
          <cell r="E156" t="e">
            <v>#N/A</v>
          </cell>
          <cell r="F156" t="e">
            <v>#N/A</v>
          </cell>
          <cell r="G156" t="e">
            <v>#N/A</v>
          </cell>
          <cell r="H156" t="e">
            <v>#N/A</v>
          </cell>
          <cell r="I156" t="e">
            <v>#N/A</v>
          </cell>
          <cell r="J156" t="e">
            <v>#N/A</v>
          </cell>
          <cell r="K156" t="e">
            <v>#N/A</v>
          </cell>
          <cell r="L156" t="e">
            <v>#N/A</v>
          </cell>
          <cell r="M156" t="e">
            <v>#N/A</v>
          </cell>
          <cell r="N156" t="e">
            <v>#N/A</v>
          </cell>
          <cell r="O156" t="e">
            <v>#N/A</v>
          </cell>
          <cell r="P156">
            <v>12.28</v>
          </cell>
          <cell r="Q156">
            <v>3.254715</v>
          </cell>
          <cell r="R156" t="e">
            <v>#N/A</v>
          </cell>
        </row>
        <row r="157">
          <cell r="A157">
            <v>40200</v>
          </cell>
          <cell r="B157">
            <v>40200</v>
          </cell>
          <cell r="C157" t="str">
            <v>Past</v>
          </cell>
          <cell r="D157">
            <v>11.99</v>
          </cell>
          <cell r="E157" t="e">
            <v>#N/A</v>
          </cell>
          <cell r="F157" t="e">
            <v>#N/A</v>
          </cell>
          <cell r="G157" t="e">
            <v>#N/A</v>
          </cell>
          <cell r="H157" t="e">
            <v>#N/A</v>
          </cell>
          <cell r="I157" t="e">
            <v>#N/A</v>
          </cell>
          <cell r="J157" t="e">
            <v>#N/A</v>
          </cell>
          <cell r="K157" t="e">
            <v>#N/A</v>
          </cell>
          <cell r="L157" t="e">
            <v>#N/A</v>
          </cell>
          <cell r="M157" t="e">
            <v>#N/A</v>
          </cell>
          <cell r="N157" t="e">
            <v>#N/A</v>
          </cell>
          <cell r="O157" t="e">
            <v>#N/A</v>
          </cell>
          <cell r="P157">
            <v>11.99</v>
          </cell>
          <cell r="Q157">
            <v>2.027603</v>
          </cell>
          <cell r="R157" t="e">
            <v>#N/A</v>
          </cell>
        </row>
        <row r="158">
          <cell r="A158">
            <v>40203</v>
          </cell>
          <cell r="B158">
            <v>40203</v>
          </cell>
          <cell r="C158" t="str">
            <v>Past</v>
          </cell>
          <cell r="D158">
            <v>12.01</v>
          </cell>
          <cell r="E158" t="e">
            <v>#N/A</v>
          </cell>
          <cell r="F158" t="e">
            <v>#N/A</v>
          </cell>
          <cell r="G158" t="e">
            <v>#N/A</v>
          </cell>
          <cell r="H158" t="e">
            <v>#N/A</v>
          </cell>
          <cell r="I158" t="e">
            <v>#N/A</v>
          </cell>
          <cell r="J158" t="e">
            <v>#N/A</v>
          </cell>
          <cell r="K158" t="e">
            <v>#N/A</v>
          </cell>
          <cell r="L158" t="e">
            <v>#N/A</v>
          </cell>
          <cell r="M158" t="e">
            <v>#N/A</v>
          </cell>
          <cell r="N158" t="e">
            <v>#N/A</v>
          </cell>
          <cell r="O158" t="e">
            <v>#N/A</v>
          </cell>
          <cell r="P158">
            <v>12.01</v>
          </cell>
          <cell r="Q158">
            <v>2.0521279999999997</v>
          </cell>
          <cell r="R158" t="e">
            <v>#N/A</v>
          </cell>
        </row>
        <row r="159">
          <cell r="A159">
            <v>40204</v>
          </cell>
          <cell r="B159">
            <v>40204</v>
          </cell>
          <cell r="C159" t="str">
            <v>Past</v>
          </cell>
          <cell r="D159">
            <v>11.98</v>
          </cell>
          <cell r="E159" t="e">
            <v>#N/A</v>
          </cell>
          <cell r="F159" t="e">
            <v>#N/A</v>
          </cell>
          <cell r="G159" t="e">
            <v>#N/A</v>
          </cell>
          <cell r="H159" t="e">
            <v>#N/A</v>
          </cell>
          <cell r="I159" t="e">
            <v>#N/A</v>
          </cell>
          <cell r="J159" t="e">
            <v>#N/A</v>
          </cell>
          <cell r="K159" t="e">
            <v>#N/A</v>
          </cell>
          <cell r="L159" t="e">
            <v>#N/A</v>
          </cell>
          <cell r="M159" t="e">
            <v>#N/A</v>
          </cell>
          <cell r="N159" t="e">
            <v>#N/A</v>
          </cell>
          <cell r="O159" t="e">
            <v>#N/A</v>
          </cell>
          <cell r="P159">
            <v>11.98</v>
          </cell>
          <cell r="Q159">
            <v>1.741779</v>
          </cell>
          <cell r="R159" t="e">
            <v>#N/A</v>
          </cell>
        </row>
        <row r="160">
          <cell r="A160">
            <v>40205</v>
          </cell>
          <cell r="B160">
            <v>40205</v>
          </cell>
          <cell r="C160" t="str">
            <v>Past</v>
          </cell>
          <cell r="D160">
            <v>11.85</v>
          </cell>
          <cell r="E160" t="e">
            <v>#N/A</v>
          </cell>
          <cell r="F160" t="e">
            <v>#N/A</v>
          </cell>
          <cell r="G160" t="e">
            <v>#N/A</v>
          </cell>
          <cell r="H160" t="e">
            <v>#N/A</v>
          </cell>
          <cell r="I160" t="e">
            <v>#N/A</v>
          </cell>
          <cell r="J160" t="e">
            <v>#N/A</v>
          </cell>
          <cell r="K160" t="e">
            <v>#N/A</v>
          </cell>
          <cell r="L160" t="e">
            <v>#N/A</v>
          </cell>
          <cell r="M160" t="e">
            <v>#N/A</v>
          </cell>
          <cell r="N160" t="e">
            <v>#N/A</v>
          </cell>
          <cell r="O160" t="e">
            <v>#N/A</v>
          </cell>
          <cell r="P160">
            <v>11.85</v>
          </cell>
          <cell r="Q160">
            <v>2.2158500000000001</v>
          </cell>
          <cell r="R160" t="e">
            <v>#N/A</v>
          </cell>
        </row>
        <row r="161">
          <cell r="A161">
            <v>40206</v>
          </cell>
          <cell r="B161">
            <v>40206</v>
          </cell>
          <cell r="C161" t="str">
            <v>Past</v>
          </cell>
          <cell r="D161">
            <v>11.74</v>
          </cell>
          <cell r="E161" t="e">
            <v>#N/A</v>
          </cell>
          <cell r="F161" t="e">
            <v>#N/A</v>
          </cell>
          <cell r="G161" t="e">
            <v>#N/A</v>
          </cell>
          <cell r="H161" t="e">
            <v>#N/A</v>
          </cell>
          <cell r="I161" t="e">
            <v>#N/A</v>
          </cell>
          <cell r="J161" t="e">
            <v>#N/A</v>
          </cell>
          <cell r="K161" t="e">
            <v>#N/A</v>
          </cell>
          <cell r="L161" t="e">
            <v>#N/A</v>
          </cell>
          <cell r="M161" t="e">
            <v>#N/A</v>
          </cell>
          <cell r="N161" t="e">
            <v>#N/A</v>
          </cell>
          <cell r="O161" t="e">
            <v>#N/A</v>
          </cell>
          <cell r="P161">
            <v>11.74</v>
          </cell>
          <cell r="Q161">
            <v>2.1453059999999997</v>
          </cell>
          <cell r="R161" t="e">
            <v>#N/A</v>
          </cell>
        </row>
        <row r="162">
          <cell r="A162">
            <v>40207</v>
          </cell>
          <cell r="B162">
            <v>40207</v>
          </cell>
          <cell r="C162" t="str">
            <v>Past</v>
          </cell>
          <cell r="D162">
            <v>11.52</v>
          </cell>
          <cell r="E162" t="e">
            <v>#N/A</v>
          </cell>
          <cell r="F162" t="e">
            <v>#N/A</v>
          </cell>
          <cell r="G162" t="e">
            <v>#N/A</v>
          </cell>
          <cell r="H162" t="e">
            <v>#N/A</v>
          </cell>
          <cell r="I162" t="e">
            <v>#N/A</v>
          </cell>
          <cell r="J162" t="e">
            <v>#N/A</v>
          </cell>
          <cell r="K162" t="e">
            <v>#N/A</v>
          </cell>
          <cell r="L162" t="e">
            <v>#N/A</v>
          </cell>
          <cell r="M162" t="e">
            <v>#N/A</v>
          </cell>
          <cell r="N162" t="e">
            <v>#N/A</v>
          </cell>
          <cell r="O162" t="e">
            <v>#N/A</v>
          </cell>
          <cell r="P162">
            <v>11.52</v>
          </cell>
          <cell r="Q162">
            <v>2.407451</v>
          </cell>
          <cell r="R162" t="e">
            <v>#N/A</v>
          </cell>
        </row>
        <row r="163">
          <cell r="A163">
            <v>40210</v>
          </cell>
          <cell r="B163">
            <v>40210</v>
          </cell>
          <cell r="C163" t="str">
            <v>Past</v>
          </cell>
          <cell r="D163">
            <v>11.58</v>
          </cell>
          <cell r="E163" t="e">
            <v>#N/A</v>
          </cell>
          <cell r="F163" t="e">
            <v>#N/A</v>
          </cell>
          <cell r="G163" t="e">
            <v>#N/A</v>
          </cell>
          <cell r="H163" t="e">
            <v>#N/A</v>
          </cell>
          <cell r="I163" t="e">
            <v>#N/A</v>
          </cell>
          <cell r="J163" t="e">
            <v>#N/A</v>
          </cell>
          <cell r="K163" t="e">
            <v>#N/A</v>
          </cell>
          <cell r="L163" t="e">
            <v>#N/A</v>
          </cell>
          <cell r="M163" t="e">
            <v>#N/A</v>
          </cell>
          <cell r="N163" t="e">
            <v>#N/A</v>
          </cell>
          <cell r="O163" t="e">
            <v>#N/A</v>
          </cell>
          <cell r="P163">
            <v>11.58</v>
          </cell>
          <cell r="Q163">
            <v>1.7375529999999999</v>
          </cell>
          <cell r="R163" t="e">
            <v>#N/A</v>
          </cell>
        </row>
        <row r="164">
          <cell r="A164">
            <v>40211</v>
          </cell>
          <cell r="B164">
            <v>40211</v>
          </cell>
          <cell r="C164" t="str">
            <v>Past</v>
          </cell>
          <cell r="D164">
            <v>11.71</v>
          </cell>
          <cell r="E164" t="e">
            <v>#N/A</v>
          </cell>
          <cell r="F164" t="e">
            <v>#N/A</v>
          </cell>
          <cell r="G164" t="e">
            <v>#N/A</v>
          </cell>
          <cell r="H164" t="e">
            <v>#N/A</v>
          </cell>
          <cell r="I164" t="e">
            <v>#N/A</v>
          </cell>
          <cell r="J164" t="e">
            <v>#N/A</v>
          </cell>
          <cell r="K164" t="e">
            <v>#N/A</v>
          </cell>
          <cell r="L164" t="e">
            <v>#N/A</v>
          </cell>
          <cell r="M164" t="e">
            <v>#N/A</v>
          </cell>
          <cell r="N164" t="e">
            <v>#N/A</v>
          </cell>
          <cell r="O164" t="e">
            <v>#N/A</v>
          </cell>
          <cell r="P164">
            <v>11.71</v>
          </cell>
          <cell r="Q164">
            <v>2.8388329999999997</v>
          </cell>
          <cell r="R164" t="e">
            <v>#N/A</v>
          </cell>
        </row>
        <row r="165">
          <cell r="A165">
            <v>40212</v>
          </cell>
          <cell r="B165">
            <v>40212</v>
          </cell>
          <cell r="C165" t="str">
            <v>Past</v>
          </cell>
          <cell r="D165">
            <v>11.47</v>
          </cell>
          <cell r="E165" t="e">
            <v>#N/A</v>
          </cell>
          <cell r="F165" t="e">
            <v>#N/A</v>
          </cell>
          <cell r="G165" t="e">
            <v>#N/A</v>
          </cell>
          <cell r="H165" t="e">
            <v>#N/A</v>
          </cell>
          <cell r="I165" t="e">
            <v>#N/A</v>
          </cell>
          <cell r="J165" t="e">
            <v>#N/A</v>
          </cell>
          <cell r="K165" t="e">
            <v>#N/A</v>
          </cell>
          <cell r="L165" t="e">
            <v>#N/A</v>
          </cell>
          <cell r="M165" t="e">
            <v>#N/A</v>
          </cell>
          <cell r="N165" t="e">
            <v>#N/A</v>
          </cell>
          <cell r="O165" t="e">
            <v>#N/A</v>
          </cell>
          <cell r="P165">
            <v>11.47</v>
          </cell>
          <cell r="Q165">
            <v>8.2753759999999996</v>
          </cell>
          <cell r="R165" t="e">
            <v>#N/A</v>
          </cell>
        </row>
        <row r="166">
          <cell r="A166">
            <v>40213</v>
          </cell>
          <cell r="B166">
            <v>40213</v>
          </cell>
          <cell r="C166" t="str">
            <v>Past</v>
          </cell>
          <cell r="D166">
            <v>11.44</v>
          </cell>
          <cell r="E166" t="e">
            <v>#N/A</v>
          </cell>
          <cell r="F166" t="e">
            <v>#N/A</v>
          </cell>
          <cell r="G166" t="e">
            <v>#N/A</v>
          </cell>
          <cell r="H166" t="e">
            <v>#N/A</v>
          </cell>
          <cell r="I166" t="e">
            <v>#N/A</v>
          </cell>
          <cell r="J166" t="e">
            <v>#N/A</v>
          </cell>
          <cell r="K166" t="e">
            <v>#N/A</v>
          </cell>
          <cell r="L166" t="e">
            <v>#N/A</v>
          </cell>
          <cell r="M166" t="e">
            <v>#N/A</v>
          </cell>
          <cell r="N166" t="e">
            <v>#N/A</v>
          </cell>
          <cell r="O166" t="e">
            <v>#N/A</v>
          </cell>
          <cell r="P166">
            <v>11.44</v>
          </cell>
          <cell r="Q166">
            <v>5.2136639999999996</v>
          </cell>
          <cell r="R166" t="e">
            <v>#N/A</v>
          </cell>
        </row>
        <row r="167">
          <cell r="A167">
            <v>40214</v>
          </cell>
          <cell r="B167">
            <v>40214</v>
          </cell>
          <cell r="C167" t="str">
            <v>Past</v>
          </cell>
          <cell r="D167">
            <v>11.36</v>
          </cell>
          <cell r="E167" t="e">
            <v>#N/A</v>
          </cell>
          <cell r="F167" t="e">
            <v>#N/A</v>
          </cell>
          <cell r="G167" t="e">
            <v>#N/A</v>
          </cell>
          <cell r="H167" t="e">
            <v>#N/A</v>
          </cell>
          <cell r="I167" t="e">
            <v>#N/A</v>
          </cell>
          <cell r="J167" t="e">
            <v>#N/A</v>
          </cell>
          <cell r="K167" t="e">
            <v>#N/A</v>
          </cell>
          <cell r="L167" t="e">
            <v>#N/A</v>
          </cell>
          <cell r="M167" t="e">
            <v>#N/A</v>
          </cell>
          <cell r="N167" t="e">
            <v>#N/A</v>
          </cell>
          <cell r="O167" t="e">
            <v>#N/A</v>
          </cell>
          <cell r="P167">
            <v>11.36</v>
          </cell>
          <cell r="Q167">
            <v>3.9470300000000003</v>
          </cell>
          <cell r="R167" t="e">
            <v>#N/A</v>
          </cell>
        </row>
        <row r="168">
          <cell r="A168">
            <v>40217</v>
          </cell>
          <cell r="B168">
            <v>40217</v>
          </cell>
          <cell r="C168" t="str">
            <v>Past</v>
          </cell>
          <cell r="D168">
            <v>11.17</v>
          </cell>
          <cell r="E168" t="e">
            <v>#N/A</v>
          </cell>
          <cell r="F168" t="e">
            <v>#N/A</v>
          </cell>
          <cell r="G168" t="e">
            <v>#N/A</v>
          </cell>
          <cell r="H168" t="e">
            <v>#N/A</v>
          </cell>
          <cell r="I168" t="e">
            <v>#N/A</v>
          </cell>
          <cell r="J168" t="e">
            <v>#N/A</v>
          </cell>
          <cell r="K168" t="e">
            <v>#N/A</v>
          </cell>
          <cell r="L168" t="e">
            <v>#N/A</v>
          </cell>
          <cell r="M168" t="e">
            <v>#N/A</v>
          </cell>
          <cell r="N168" t="e">
            <v>#N/A</v>
          </cell>
          <cell r="O168" t="e">
            <v>#N/A</v>
          </cell>
          <cell r="P168">
            <v>11.17</v>
          </cell>
          <cell r="Q168">
            <v>2.7023820000000001</v>
          </cell>
          <cell r="R168" t="e">
            <v>#N/A</v>
          </cell>
        </row>
        <row r="169">
          <cell r="A169">
            <v>40218</v>
          </cell>
          <cell r="B169">
            <v>40218</v>
          </cell>
          <cell r="C169" t="str">
            <v>Past</v>
          </cell>
          <cell r="D169">
            <v>11.17</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v>11.17</v>
          </cell>
          <cell r="Q169">
            <v>2.2356449999999999</v>
          </cell>
          <cell r="R169" t="e">
            <v>#N/A</v>
          </cell>
        </row>
        <row r="170">
          <cell r="A170">
            <v>40219</v>
          </cell>
          <cell r="B170">
            <v>40219</v>
          </cell>
          <cell r="C170" t="str">
            <v>Past</v>
          </cell>
          <cell r="D170">
            <v>11.08</v>
          </cell>
          <cell r="E170" t="e">
            <v>#N/A</v>
          </cell>
          <cell r="F170" t="e">
            <v>#N/A</v>
          </cell>
          <cell r="G170" t="e">
            <v>#N/A</v>
          </cell>
          <cell r="H170" t="e">
            <v>#N/A</v>
          </cell>
          <cell r="I170" t="e">
            <v>#N/A</v>
          </cell>
          <cell r="J170" t="e">
            <v>#N/A</v>
          </cell>
          <cell r="K170" t="e">
            <v>#N/A</v>
          </cell>
          <cell r="L170" t="e">
            <v>#N/A</v>
          </cell>
          <cell r="M170" t="e">
            <v>#N/A</v>
          </cell>
          <cell r="N170" t="e">
            <v>#N/A</v>
          </cell>
          <cell r="O170" t="e">
            <v>#N/A</v>
          </cell>
          <cell r="P170">
            <v>11.08</v>
          </cell>
          <cell r="Q170">
            <v>1.5576589999999999</v>
          </cell>
          <cell r="R170" t="e">
            <v>#N/A</v>
          </cell>
        </row>
        <row r="171">
          <cell r="A171">
            <v>40220</v>
          </cell>
          <cell r="B171">
            <v>40220</v>
          </cell>
          <cell r="C171" t="str">
            <v>Past</v>
          </cell>
          <cell r="D171">
            <v>11.1</v>
          </cell>
          <cell r="E171" t="e">
            <v>#N/A</v>
          </cell>
          <cell r="F171" t="e">
            <v>#N/A</v>
          </cell>
          <cell r="G171" t="e">
            <v>#N/A</v>
          </cell>
          <cell r="H171" t="e">
            <v>#N/A</v>
          </cell>
          <cell r="I171" t="e">
            <v>#N/A</v>
          </cell>
          <cell r="J171" t="e">
            <v>#N/A</v>
          </cell>
          <cell r="K171" t="e">
            <v>#N/A</v>
          </cell>
          <cell r="L171" t="e">
            <v>#N/A</v>
          </cell>
          <cell r="M171" t="e">
            <v>#N/A</v>
          </cell>
          <cell r="N171" t="e">
            <v>#N/A</v>
          </cell>
          <cell r="O171" t="e">
            <v>#N/A</v>
          </cell>
          <cell r="P171">
            <v>11.1</v>
          </cell>
          <cell r="Q171">
            <v>3.0232400000000004</v>
          </cell>
          <cell r="R171" t="e">
            <v>#N/A</v>
          </cell>
        </row>
        <row r="172">
          <cell r="A172">
            <v>40221</v>
          </cell>
          <cell r="B172">
            <v>40221</v>
          </cell>
          <cell r="C172" t="str">
            <v>Past</v>
          </cell>
          <cell r="D172">
            <v>11.09</v>
          </cell>
          <cell r="E172" t="e">
            <v>#N/A</v>
          </cell>
          <cell r="F172" t="e">
            <v>#N/A</v>
          </cell>
          <cell r="G172" t="e">
            <v>#N/A</v>
          </cell>
          <cell r="H172" t="e">
            <v>#N/A</v>
          </cell>
          <cell r="I172" t="e">
            <v>#N/A</v>
          </cell>
          <cell r="J172" t="e">
            <v>#N/A</v>
          </cell>
          <cell r="K172" t="e">
            <v>#N/A</v>
          </cell>
          <cell r="L172" t="e">
            <v>#N/A</v>
          </cell>
          <cell r="M172" t="e">
            <v>#N/A</v>
          </cell>
          <cell r="N172" t="e">
            <v>#N/A</v>
          </cell>
          <cell r="O172" t="e">
            <v>#N/A</v>
          </cell>
          <cell r="P172">
            <v>11.09</v>
          </cell>
          <cell r="Q172">
            <v>2.0410629999999998</v>
          </cell>
          <cell r="R172" t="e">
            <v>#N/A</v>
          </cell>
        </row>
        <row r="173">
          <cell r="A173">
            <v>40225</v>
          </cell>
          <cell r="B173">
            <v>40225</v>
          </cell>
          <cell r="C173" t="str">
            <v>Past</v>
          </cell>
          <cell r="D173">
            <v>11.34</v>
          </cell>
          <cell r="E173" t="e">
            <v>#N/A</v>
          </cell>
          <cell r="F173" t="e">
            <v>#N/A</v>
          </cell>
          <cell r="G173" t="e">
            <v>#N/A</v>
          </cell>
          <cell r="H173" t="e">
            <v>#N/A</v>
          </cell>
          <cell r="I173" t="e">
            <v>#N/A</v>
          </cell>
          <cell r="J173" t="e">
            <v>#N/A</v>
          </cell>
          <cell r="K173" t="e">
            <v>#N/A</v>
          </cell>
          <cell r="L173" t="e">
            <v>#N/A</v>
          </cell>
          <cell r="M173" t="e">
            <v>#N/A</v>
          </cell>
          <cell r="N173" t="e">
            <v>#N/A</v>
          </cell>
          <cell r="O173" t="e">
            <v>#N/A</v>
          </cell>
          <cell r="P173">
            <v>11.34</v>
          </cell>
          <cell r="Q173">
            <v>1.205857</v>
          </cell>
          <cell r="R173" t="e">
            <v>#N/A</v>
          </cell>
        </row>
        <row r="174">
          <cell r="A174">
            <v>40226</v>
          </cell>
          <cell r="B174">
            <v>40226</v>
          </cell>
          <cell r="C174" t="str">
            <v>Past</v>
          </cell>
          <cell r="D174">
            <v>11.39</v>
          </cell>
          <cell r="E174" t="e">
            <v>#N/A</v>
          </cell>
          <cell r="F174" t="e">
            <v>#N/A</v>
          </cell>
          <cell r="G174" t="e">
            <v>#N/A</v>
          </cell>
          <cell r="H174" t="e">
            <v>#N/A</v>
          </cell>
          <cell r="I174" t="e">
            <v>#N/A</v>
          </cell>
          <cell r="J174" t="e">
            <v>#N/A</v>
          </cell>
          <cell r="K174" t="e">
            <v>#N/A</v>
          </cell>
          <cell r="L174" t="e">
            <v>#N/A</v>
          </cell>
          <cell r="M174" t="e">
            <v>#N/A</v>
          </cell>
          <cell r="N174" t="e">
            <v>#N/A</v>
          </cell>
          <cell r="O174" t="e">
            <v>#N/A</v>
          </cell>
          <cell r="P174">
            <v>11.39</v>
          </cell>
          <cell r="Q174">
            <v>1.968005</v>
          </cell>
          <cell r="R174" t="e">
            <v>#N/A</v>
          </cell>
        </row>
        <row r="175">
          <cell r="A175">
            <v>40227</v>
          </cell>
          <cell r="B175">
            <v>40227</v>
          </cell>
          <cell r="C175" t="str">
            <v>Past</v>
          </cell>
          <cell r="D175">
            <v>11.4</v>
          </cell>
          <cell r="E175" t="e">
            <v>#N/A</v>
          </cell>
          <cell r="F175" t="e">
            <v>#N/A</v>
          </cell>
          <cell r="G175" t="e">
            <v>#N/A</v>
          </cell>
          <cell r="H175" t="e">
            <v>#N/A</v>
          </cell>
          <cell r="I175" t="e">
            <v>#N/A</v>
          </cell>
          <cell r="J175" t="e">
            <v>#N/A</v>
          </cell>
          <cell r="K175" t="e">
            <v>#N/A</v>
          </cell>
          <cell r="L175" t="e">
            <v>#N/A</v>
          </cell>
          <cell r="M175" t="e">
            <v>#N/A</v>
          </cell>
          <cell r="N175" t="e">
            <v>#N/A</v>
          </cell>
          <cell r="O175" t="e">
            <v>#N/A</v>
          </cell>
          <cell r="P175">
            <v>11.4</v>
          </cell>
          <cell r="Q175">
            <v>1.733876</v>
          </cell>
          <cell r="R175" t="e">
            <v>#N/A</v>
          </cell>
        </row>
        <row r="176">
          <cell r="A176">
            <v>40228</v>
          </cell>
          <cell r="B176">
            <v>40228</v>
          </cell>
          <cell r="C176" t="str">
            <v>Past</v>
          </cell>
          <cell r="D176">
            <v>11.56</v>
          </cell>
          <cell r="E176" t="e">
            <v>#N/A</v>
          </cell>
          <cell r="F176" t="e">
            <v>#N/A</v>
          </cell>
          <cell r="G176" t="e">
            <v>#N/A</v>
          </cell>
          <cell r="H176" t="e">
            <v>#N/A</v>
          </cell>
          <cell r="I176" t="e">
            <v>#N/A</v>
          </cell>
          <cell r="J176" t="e">
            <v>#N/A</v>
          </cell>
          <cell r="K176" t="e">
            <v>#N/A</v>
          </cell>
          <cell r="L176" t="e">
            <v>#N/A</v>
          </cell>
          <cell r="M176" t="e">
            <v>#N/A</v>
          </cell>
          <cell r="N176" t="e">
            <v>#N/A</v>
          </cell>
          <cell r="O176" t="e">
            <v>#N/A</v>
          </cell>
          <cell r="P176">
            <v>11.56</v>
          </cell>
          <cell r="Q176">
            <v>1.7208400000000001</v>
          </cell>
          <cell r="R176" t="e">
            <v>#N/A</v>
          </cell>
        </row>
        <row r="177">
          <cell r="A177">
            <v>40231</v>
          </cell>
          <cell r="B177">
            <v>40231</v>
          </cell>
          <cell r="C177" t="str">
            <v>Past</v>
          </cell>
          <cell r="D177">
            <v>11.49</v>
          </cell>
          <cell r="E177" t="e">
            <v>#N/A</v>
          </cell>
          <cell r="F177" t="e">
            <v>#N/A</v>
          </cell>
          <cell r="G177" t="e">
            <v>#N/A</v>
          </cell>
          <cell r="H177" t="e">
            <v>#N/A</v>
          </cell>
          <cell r="I177" t="e">
            <v>#N/A</v>
          </cell>
          <cell r="J177" t="e">
            <v>#N/A</v>
          </cell>
          <cell r="K177" t="e">
            <v>#N/A</v>
          </cell>
          <cell r="L177" t="e">
            <v>#N/A</v>
          </cell>
          <cell r="M177" t="e">
            <v>#N/A</v>
          </cell>
          <cell r="N177" t="e">
            <v>#N/A</v>
          </cell>
          <cell r="O177" t="e">
            <v>#N/A</v>
          </cell>
          <cell r="P177">
            <v>11.49</v>
          </cell>
          <cell r="Q177">
            <v>0.80953000000000008</v>
          </cell>
          <cell r="R177" t="e">
            <v>#N/A</v>
          </cell>
        </row>
        <row r="178">
          <cell r="A178">
            <v>40232</v>
          </cell>
          <cell r="B178">
            <v>40232</v>
          </cell>
          <cell r="C178" t="str">
            <v>Past</v>
          </cell>
          <cell r="D178">
            <v>11.31</v>
          </cell>
          <cell r="E178" t="e">
            <v>#N/A</v>
          </cell>
          <cell r="F178" t="e">
            <v>#N/A</v>
          </cell>
          <cell r="G178" t="e">
            <v>#N/A</v>
          </cell>
          <cell r="H178" t="e">
            <v>#N/A</v>
          </cell>
          <cell r="I178" t="e">
            <v>#N/A</v>
          </cell>
          <cell r="J178" t="e">
            <v>#N/A</v>
          </cell>
          <cell r="K178" t="e">
            <v>#N/A</v>
          </cell>
          <cell r="L178" t="e">
            <v>#N/A</v>
          </cell>
          <cell r="M178" t="e">
            <v>#N/A</v>
          </cell>
          <cell r="N178" t="e">
            <v>#N/A</v>
          </cell>
          <cell r="O178" t="e">
            <v>#N/A</v>
          </cell>
          <cell r="P178">
            <v>11.31</v>
          </cell>
          <cell r="Q178">
            <v>2.328532</v>
          </cell>
          <cell r="R178" t="e">
            <v>#N/A</v>
          </cell>
        </row>
        <row r="179">
          <cell r="A179">
            <v>40233</v>
          </cell>
          <cell r="B179">
            <v>40233</v>
          </cell>
          <cell r="C179" t="str">
            <v>Past</v>
          </cell>
          <cell r="D179">
            <v>11.28</v>
          </cell>
          <cell r="E179" t="e">
            <v>#N/A</v>
          </cell>
          <cell r="F179" t="e">
            <v>#N/A</v>
          </cell>
          <cell r="G179" t="e">
            <v>#N/A</v>
          </cell>
          <cell r="H179" t="e">
            <v>#N/A</v>
          </cell>
          <cell r="I179" t="e">
            <v>#N/A</v>
          </cell>
          <cell r="J179" t="e">
            <v>#N/A</v>
          </cell>
          <cell r="K179" t="e">
            <v>#N/A</v>
          </cell>
          <cell r="L179" t="e">
            <v>#N/A</v>
          </cell>
          <cell r="M179" t="e">
            <v>#N/A</v>
          </cell>
          <cell r="N179" t="e">
            <v>#N/A</v>
          </cell>
          <cell r="O179" t="e">
            <v>#N/A</v>
          </cell>
          <cell r="P179">
            <v>11.28</v>
          </cell>
          <cell r="Q179">
            <v>2.9020509999999997</v>
          </cell>
          <cell r="R179" t="e">
            <v>#N/A</v>
          </cell>
        </row>
        <row r="180">
          <cell r="A180">
            <v>40234</v>
          </cell>
          <cell r="B180">
            <v>40234</v>
          </cell>
          <cell r="C180" t="str">
            <v>Past</v>
          </cell>
          <cell r="D180">
            <v>11.23</v>
          </cell>
          <cell r="E180" t="e">
            <v>#N/A</v>
          </cell>
          <cell r="F180" t="e">
            <v>#N/A</v>
          </cell>
          <cell r="G180" t="e">
            <v>#N/A</v>
          </cell>
          <cell r="H180" t="e">
            <v>#N/A</v>
          </cell>
          <cell r="I180" t="e">
            <v>#N/A</v>
          </cell>
          <cell r="J180" t="e">
            <v>#N/A</v>
          </cell>
          <cell r="K180" t="e">
            <v>#N/A</v>
          </cell>
          <cell r="L180" t="e">
            <v>#N/A</v>
          </cell>
          <cell r="M180" t="e">
            <v>#N/A</v>
          </cell>
          <cell r="N180" t="e">
            <v>#N/A</v>
          </cell>
          <cell r="O180" t="e">
            <v>#N/A</v>
          </cell>
          <cell r="P180">
            <v>11.23</v>
          </cell>
          <cell r="Q180">
            <v>2.0132189999999999</v>
          </cell>
          <cell r="R180" t="e">
            <v>#N/A</v>
          </cell>
        </row>
        <row r="181">
          <cell r="A181">
            <v>40235</v>
          </cell>
          <cell r="B181">
            <v>40235</v>
          </cell>
          <cell r="C181" t="str">
            <v>Past</v>
          </cell>
          <cell r="D181">
            <v>11.11</v>
          </cell>
          <cell r="E181" t="e">
            <v>#N/A</v>
          </cell>
          <cell r="F181" t="e">
            <v>#N/A</v>
          </cell>
          <cell r="G181" t="e">
            <v>#N/A</v>
          </cell>
          <cell r="H181" t="e">
            <v>#N/A</v>
          </cell>
          <cell r="I181" t="e">
            <v>#N/A</v>
          </cell>
          <cell r="J181" t="e">
            <v>#N/A</v>
          </cell>
          <cell r="K181" t="e">
            <v>#N/A</v>
          </cell>
          <cell r="L181" t="e">
            <v>#N/A</v>
          </cell>
          <cell r="M181" t="e">
            <v>#N/A</v>
          </cell>
          <cell r="N181" t="e">
            <v>#N/A</v>
          </cell>
          <cell r="O181" t="e">
            <v>#N/A</v>
          </cell>
          <cell r="P181">
            <v>11.11</v>
          </cell>
          <cell r="Q181">
            <v>2.0343549999999997</v>
          </cell>
          <cell r="R181" t="e">
            <v>#N/A</v>
          </cell>
        </row>
        <row r="182">
          <cell r="A182">
            <v>40238</v>
          </cell>
          <cell r="B182">
            <v>40238</v>
          </cell>
          <cell r="C182" t="str">
            <v>Past</v>
          </cell>
          <cell r="D182">
            <v>11.55</v>
          </cell>
          <cell r="E182" t="e">
            <v>#N/A</v>
          </cell>
          <cell r="F182" t="e">
            <v>#N/A</v>
          </cell>
          <cell r="G182" t="e">
            <v>#N/A</v>
          </cell>
          <cell r="H182" t="e">
            <v>#N/A</v>
          </cell>
          <cell r="I182" t="e">
            <v>#N/A</v>
          </cell>
          <cell r="J182" t="e">
            <v>#N/A</v>
          </cell>
          <cell r="K182" t="e">
            <v>#N/A</v>
          </cell>
          <cell r="L182" t="e">
            <v>#N/A</v>
          </cell>
          <cell r="M182" t="e">
            <v>#N/A</v>
          </cell>
          <cell r="N182" t="e">
            <v>#N/A</v>
          </cell>
          <cell r="O182" t="e">
            <v>#N/A</v>
          </cell>
          <cell r="P182">
            <v>11.55</v>
          </cell>
          <cell r="Q182">
            <v>3.2926409999999997</v>
          </cell>
          <cell r="R182" t="e">
            <v>#N/A</v>
          </cell>
        </row>
        <row r="183">
          <cell r="A183">
            <v>40239</v>
          </cell>
          <cell r="B183">
            <v>40239</v>
          </cell>
          <cell r="C183" t="str">
            <v>Past</v>
          </cell>
          <cell r="D183">
            <v>11.68</v>
          </cell>
          <cell r="E183" t="e">
            <v>#N/A</v>
          </cell>
          <cell r="F183" t="e">
            <v>#N/A</v>
          </cell>
          <cell r="G183" t="e">
            <v>#N/A</v>
          </cell>
          <cell r="H183" t="e">
            <v>#N/A</v>
          </cell>
          <cell r="I183" t="e">
            <v>#N/A</v>
          </cell>
          <cell r="J183" t="e">
            <v>#N/A</v>
          </cell>
          <cell r="K183" t="e">
            <v>#N/A</v>
          </cell>
          <cell r="L183" t="e">
            <v>#N/A</v>
          </cell>
          <cell r="M183" t="e">
            <v>#N/A</v>
          </cell>
          <cell r="N183" t="e">
            <v>#N/A</v>
          </cell>
          <cell r="O183" t="e">
            <v>#N/A</v>
          </cell>
          <cell r="P183">
            <v>11.68</v>
          </cell>
          <cell r="Q183">
            <v>1.8359489999999998</v>
          </cell>
          <cell r="R183" t="e">
            <v>#N/A</v>
          </cell>
        </row>
        <row r="184">
          <cell r="A184">
            <v>40240</v>
          </cell>
          <cell r="B184">
            <v>40240</v>
          </cell>
          <cell r="C184" t="str">
            <v>Past</v>
          </cell>
          <cell r="D184">
            <v>11.62</v>
          </cell>
          <cell r="E184" t="e">
            <v>#N/A</v>
          </cell>
          <cell r="F184" t="e">
            <v>#N/A</v>
          </cell>
          <cell r="G184" t="e">
            <v>#N/A</v>
          </cell>
          <cell r="H184" t="e">
            <v>#N/A</v>
          </cell>
          <cell r="I184" t="e">
            <v>#N/A</v>
          </cell>
          <cell r="J184" t="e">
            <v>#N/A</v>
          </cell>
          <cell r="K184" t="e">
            <v>#N/A</v>
          </cell>
          <cell r="L184" t="e">
            <v>#N/A</v>
          </cell>
          <cell r="M184" t="e">
            <v>#N/A</v>
          </cell>
          <cell r="N184" t="e">
            <v>#N/A</v>
          </cell>
          <cell r="O184" t="e">
            <v>#N/A</v>
          </cell>
          <cell r="P184">
            <v>11.62</v>
          </cell>
          <cell r="Q184">
            <v>1.013161</v>
          </cell>
          <cell r="R184" t="e">
            <v>#N/A</v>
          </cell>
        </row>
        <row r="185">
          <cell r="A185">
            <v>40241</v>
          </cell>
          <cell r="B185">
            <v>40241</v>
          </cell>
          <cell r="C185" t="str">
            <v>Past</v>
          </cell>
          <cell r="D185">
            <v>11.6</v>
          </cell>
          <cell r="E185" t="e">
            <v>#N/A</v>
          </cell>
          <cell r="F185" t="e">
            <v>#N/A</v>
          </cell>
          <cell r="G185" t="e">
            <v>#N/A</v>
          </cell>
          <cell r="H185" t="e">
            <v>#N/A</v>
          </cell>
          <cell r="I185" t="e">
            <v>#N/A</v>
          </cell>
          <cell r="J185" t="e">
            <v>#N/A</v>
          </cell>
          <cell r="K185" t="e">
            <v>#N/A</v>
          </cell>
          <cell r="L185" t="e">
            <v>#N/A</v>
          </cell>
          <cell r="M185" t="e">
            <v>#N/A</v>
          </cell>
          <cell r="N185" t="e">
            <v>#N/A</v>
          </cell>
          <cell r="O185" t="e">
            <v>#N/A</v>
          </cell>
          <cell r="P185">
            <v>11.6</v>
          </cell>
          <cell r="Q185">
            <v>0.86625799999999997</v>
          </cell>
          <cell r="R185" t="e">
            <v>#N/A</v>
          </cell>
        </row>
        <row r="186">
          <cell r="A186">
            <v>40242</v>
          </cell>
          <cell r="B186">
            <v>40242</v>
          </cell>
          <cell r="C186" t="str">
            <v>Past</v>
          </cell>
          <cell r="D186">
            <v>11.7</v>
          </cell>
          <cell r="E186" t="e">
            <v>#N/A</v>
          </cell>
          <cell r="F186" t="e">
            <v>#N/A</v>
          </cell>
          <cell r="G186" t="e">
            <v>#N/A</v>
          </cell>
          <cell r="H186" t="e">
            <v>#N/A</v>
          </cell>
          <cell r="I186" t="e">
            <v>#N/A</v>
          </cell>
          <cell r="J186" t="e">
            <v>#N/A</v>
          </cell>
          <cell r="K186" t="e">
            <v>#N/A</v>
          </cell>
          <cell r="L186" t="e">
            <v>#N/A</v>
          </cell>
          <cell r="M186" t="e">
            <v>#N/A</v>
          </cell>
          <cell r="N186" t="e">
            <v>#N/A</v>
          </cell>
          <cell r="O186" t="e">
            <v>#N/A</v>
          </cell>
          <cell r="P186">
            <v>11.7</v>
          </cell>
          <cell r="Q186">
            <v>0.73514099999999993</v>
          </cell>
          <cell r="R186" t="e">
            <v>#N/A</v>
          </cell>
        </row>
        <row r="187">
          <cell r="A187">
            <v>40245</v>
          </cell>
          <cell r="B187">
            <v>40245</v>
          </cell>
          <cell r="C187" t="str">
            <v>Past</v>
          </cell>
          <cell r="D187">
            <v>11.65</v>
          </cell>
          <cell r="E187" t="e">
            <v>#N/A</v>
          </cell>
          <cell r="F187" t="e">
            <v>#N/A</v>
          </cell>
          <cell r="G187" t="e">
            <v>#N/A</v>
          </cell>
          <cell r="H187" t="e">
            <v>#N/A</v>
          </cell>
          <cell r="I187" t="e">
            <v>#N/A</v>
          </cell>
          <cell r="J187" t="e">
            <v>#N/A</v>
          </cell>
          <cell r="K187" t="e">
            <v>#N/A</v>
          </cell>
          <cell r="L187" t="e">
            <v>#N/A</v>
          </cell>
          <cell r="M187" t="e">
            <v>#N/A</v>
          </cell>
          <cell r="N187" t="e">
            <v>#N/A</v>
          </cell>
          <cell r="O187" t="e">
            <v>#N/A</v>
          </cell>
          <cell r="P187">
            <v>11.65</v>
          </cell>
          <cell r="Q187">
            <v>0.86661699999999997</v>
          </cell>
          <cell r="R187" t="e">
            <v>#N/A</v>
          </cell>
        </row>
        <row r="188">
          <cell r="A188">
            <v>40246</v>
          </cell>
          <cell r="B188">
            <v>40246</v>
          </cell>
          <cell r="C188" t="str">
            <v>Past</v>
          </cell>
          <cell r="D188">
            <v>11.72</v>
          </cell>
          <cell r="E188" t="e">
            <v>#N/A</v>
          </cell>
          <cell r="F188" t="e">
            <v>#N/A</v>
          </cell>
          <cell r="G188" t="e">
            <v>#N/A</v>
          </cell>
          <cell r="H188" t="e">
            <v>#N/A</v>
          </cell>
          <cell r="I188" t="e">
            <v>#N/A</v>
          </cell>
          <cell r="J188" t="e">
            <v>#N/A</v>
          </cell>
          <cell r="K188" t="e">
            <v>#N/A</v>
          </cell>
          <cell r="L188" t="e">
            <v>#N/A</v>
          </cell>
          <cell r="M188" t="e">
            <v>#N/A</v>
          </cell>
          <cell r="N188" t="e">
            <v>#N/A</v>
          </cell>
          <cell r="O188" t="e">
            <v>#N/A</v>
          </cell>
          <cell r="P188">
            <v>11.72</v>
          </cell>
          <cell r="Q188">
            <v>1.2221309999999999</v>
          </cell>
          <cell r="R188" t="e">
            <v>#N/A</v>
          </cell>
        </row>
        <row r="189">
          <cell r="A189">
            <v>40247</v>
          </cell>
          <cell r="B189">
            <v>40247</v>
          </cell>
          <cell r="C189" t="str">
            <v>Past</v>
          </cell>
          <cell r="D189">
            <v>11.6</v>
          </cell>
          <cell r="E189" t="e">
            <v>#N/A</v>
          </cell>
          <cell r="F189" t="e">
            <v>#N/A</v>
          </cell>
          <cell r="G189" t="e">
            <v>#N/A</v>
          </cell>
          <cell r="H189" t="e">
            <v>#N/A</v>
          </cell>
          <cell r="I189" t="e">
            <v>#N/A</v>
          </cell>
          <cell r="J189" t="e">
            <v>#N/A</v>
          </cell>
          <cell r="K189" t="e">
            <v>#N/A</v>
          </cell>
          <cell r="L189" t="e">
            <v>#N/A</v>
          </cell>
          <cell r="M189" t="e">
            <v>#N/A</v>
          </cell>
          <cell r="N189" t="e">
            <v>#N/A</v>
          </cell>
          <cell r="O189" t="e">
            <v>#N/A</v>
          </cell>
          <cell r="P189">
            <v>11.6</v>
          </cell>
          <cell r="Q189">
            <v>2.0219130000000001</v>
          </cell>
          <cell r="R189" t="e">
            <v>#N/A</v>
          </cell>
        </row>
        <row r="190">
          <cell r="A190">
            <v>40248</v>
          </cell>
          <cell r="B190">
            <v>40248</v>
          </cell>
          <cell r="C190" t="str">
            <v>Past</v>
          </cell>
          <cell r="D190">
            <v>11.72</v>
          </cell>
          <cell r="E190" t="e">
            <v>#N/A</v>
          </cell>
          <cell r="F190" t="e">
            <v>#N/A</v>
          </cell>
          <cell r="G190" t="e">
            <v>#N/A</v>
          </cell>
          <cell r="H190" t="e">
            <v>#N/A</v>
          </cell>
          <cell r="I190" t="e">
            <v>#N/A</v>
          </cell>
          <cell r="J190" t="e">
            <v>#N/A</v>
          </cell>
          <cell r="K190" t="e">
            <v>#N/A</v>
          </cell>
          <cell r="L190" t="e">
            <v>#N/A</v>
          </cell>
          <cell r="M190" t="e">
            <v>#N/A</v>
          </cell>
          <cell r="N190" t="e">
            <v>#N/A</v>
          </cell>
          <cell r="O190" t="e">
            <v>#N/A</v>
          </cell>
          <cell r="P190">
            <v>11.72</v>
          </cell>
          <cell r="Q190">
            <v>1.8552769999999998</v>
          </cell>
          <cell r="R190" t="e">
            <v>#N/A</v>
          </cell>
        </row>
        <row r="191">
          <cell r="A191">
            <v>40249</v>
          </cell>
          <cell r="B191">
            <v>40249</v>
          </cell>
          <cell r="C191" t="str">
            <v>Past</v>
          </cell>
          <cell r="D191">
            <v>11.69</v>
          </cell>
          <cell r="E191" t="e">
            <v>#N/A</v>
          </cell>
          <cell r="F191" t="e">
            <v>#N/A</v>
          </cell>
          <cell r="G191" t="e">
            <v>#N/A</v>
          </cell>
          <cell r="H191" t="e">
            <v>#N/A</v>
          </cell>
          <cell r="I191" t="e">
            <v>#N/A</v>
          </cell>
          <cell r="J191" t="e">
            <v>#N/A</v>
          </cell>
          <cell r="K191" t="e">
            <v>#N/A</v>
          </cell>
          <cell r="L191" t="e">
            <v>#N/A</v>
          </cell>
          <cell r="M191" t="e">
            <v>#N/A</v>
          </cell>
          <cell r="N191" t="e">
            <v>#N/A</v>
          </cell>
          <cell r="O191" t="e">
            <v>#N/A</v>
          </cell>
          <cell r="P191">
            <v>11.69</v>
          </cell>
          <cell r="Q191">
            <v>1.565866</v>
          </cell>
          <cell r="R191" t="e">
            <v>#N/A</v>
          </cell>
        </row>
        <row r="192">
          <cell r="A192">
            <v>40252</v>
          </cell>
          <cell r="B192">
            <v>40252</v>
          </cell>
          <cell r="C192" t="str">
            <v>Past</v>
          </cell>
          <cell r="D192">
            <v>11.76</v>
          </cell>
          <cell r="E192" t="e">
            <v>#N/A</v>
          </cell>
          <cell r="F192" t="e">
            <v>#N/A</v>
          </cell>
          <cell r="G192" t="e">
            <v>#N/A</v>
          </cell>
          <cell r="H192" t="e">
            <v>#N/A</v>
          </cell>
          <cell r="I192" t="e">
            <v>#N/A</v>
          </cell>
          <cell r="J192" t="e">
            <v>#N/A</v>
          </cell>
          <cell r="K192" t="e">
            <v>#N/A</v>
          </cell>
          <cell r="L192" t="e">
            <v>#N/A</v>
          </cell>
          <cell r="M192" t="e">
            <v>#N/A</v>
          </cell>
          <cell r="N192" t="e">
            <v>#N/A</v>
          </cell>
          <cell r="O192" t="e">
            <v>#N/A</v>
          </cell>
          <cell r="P192">
            <v>11.76</v>
          </cell>
          <cell r="Q192">
            <v>1.1150229999999999</v>
          </cell>
          <cell r="R192" t="e">
            <v>#N/A</v>
          </cell>
        </row>
        <row r="193">
          <cell r="A193">
            <v>40253</v>
          </cell>
          <cell r="B193">
            <v>40253</v>
          </cell>
          <cell r="C193" t="str">
            <v>Past</v>
          </cell>
          <cell r="D193">
            <v>11.93</v>
          </cell>
          <cell r="E193" t="e">
            <v>#N/A</v>
          </cell>
          <cell r="F193" t="e">
            <v>#N/A</v>
          </cell>
          <cell r="G193" t="e">
            <v>#N/A</v>
          </cell>
          <cell r="H193" t="e">
            <v>#N/A</v>
          </cell>
          <cell r="I193" t="e">
            <v>#N/A</v>
          </cell>
          <cell r="J193" t="e">
            <v>#N/A</v>
          </cell>
          <cell r="K193" t="e">
            <v>#N/A</v>
          </cell>
          <cell r="L193" t="e">
            <v>#N/A</v>
          </cell>
          <cell r="M193" t="e">
            <v>#N/A</v>
          </cell>
          <cell r="N193" t="e">
            <v>#N/A</v>
          </cell>
          <cell r="O193" t="e">
            <v>#N/A</v>
          </cell>
          <cell r="P193">
            <v>11.93</v>
          </cell>
          <cell r="Q193">
            <v>1.731938</v>
          </cell>
          <cell r="R193" t="e">
            <v>#N/A</v>
          </cell>
        </row>
        <row r="194">
          <cell r="A194">
            <v>40254</v>
          </cell>
          <cell r="B194">
            <v>40254</v>
          </cell>
          <cell r="C194" t="str">
            <v>Past</v>
          </cell>
          <cell r="D194">
            <v>12.02</v>
          </cell>
          <cell r="E194" t="e">
            <v>#N/A</v>
          </cell>
          <cell r="F194" t="e">
            <v>#N/A</v>
          </cell>
          <cell r="G194" t="e">
            <v>#N/A</v>
          </cell>
          <cell r="H194" t="e">
            <v>#N/A</v>
          </cell>
          <cell r="I194" t="e">
            <v>#N/A</v>
          </cell>
          <cell r="J194" t="e">
            <v>#N/A</v>
          </cell>
          <cell r="K194" t="e">
            <v>#N/A</v>
          </cell>
          <cell r="L194" t="e">
            <v>#N/A</v>
          </cell>
          <cell r="M194" t="e">
            <v>#N/A</v>
          </cell>
          <cell r="N194" t="e">
            <v>#N/A</v>
          </cell>
          <cell r="O194" t="e">
            <v>#N/A</v>
          </cell>
          <cell r="P194">
            <v>12.02</v>
          </cell>
          <cell r="Q194">
            <v>1.4566429999999999</v>
          </cell>
          <cell r="R194" t="e">
            <v>#N/A</v>
          </cell>
        </row>
        <row r="195">
          <cell r="A195">
            <v>40255</v>
          </cell>
          <cell r="B195">
            <v>40255</v>
          </cell>
          <cell r="C195" t="str">
            <v>Past</v>
          </cell>
          <cell r="D195">
            <v>12.03</v>
          </cell>
          <cell r="E195" t="e">
            <v>#N/A</v>
          </cell>
          <cell r="F195" t="e">
            <v>#N/A</v>
          </cell>
          <cell r="G195" t="e">
            <v>#N/A</v>
          </cell>
          <cell r="H195" t="e">
            <v>#N/A</v>
          </cell>
          <cell r="I195" t="e">
            <v>#N/A</v>
          </cell>
          <cell r="J195" t="e">
            <v>#N/A</v>
          </cell>
          <cell r="K195" t="e">
            <v>#N/A</v>
          </cell>
          <cell r="L195" t="e">
            <v>#N/A</v>
          </cell>
          <cell r="M195" t="e">
            <v>#N/A</v>
          </cell>
          <cell r="N195" t="e">
            <v>#N/A</v>
          </cell>
          <cell r="O195" t="e">
            <v>#N/A</v>
          </cell>
          <cell r="P195">
            <v>12.03</v>
          </cell>
          <cell r="Q195">
            <v>0.810307</v>
          </cell>
          <cell r="R195" t="e">
            <v>#N/A</v>
          </cell>
        </row>
        <row r="196">
          <cell r="A196">
            <v>40256</v>
          </cell>
          <cell r="B196">
            <v>40256</v>
          </cell>
          <cell r="C196" t="str">
            <v>Past</v>
          </cell>
          <cell r="D196">
            <v>12</v>
          </cell>
          <cell r="E196" t="e">
            <v>#N/A</v>
          </cell>
          <cell r="F196" t="e">
            <v>#N/A</v>
          </cell>
          <cell r="G196" t="e">
            <v>#N/A</v>
          </cell>
          <cell r="H196" t="e">
            <v>#N/A</v>
          </cell>
          <cell r="I196" t="e">
            <v>#N/A</v>
          </cell>
          <cell r="J196" t="e">
            <v>#N/A</v>
          </cell>
          <cell r="K196" t="e">
            <v>#N/A</v>
          </cell>
          <cell r="L196" t="e">
            <v>#N/A</v>
          </cell>
          <cell r="M196" t="e">
            <v>#N/A</v>
          </cell>
          <cell r="N196" t="e">
            <v>#N/A</v>
          </cell>
          <cell r="O196" t="e">
            <v>#N/A</v>
          </cell>
          <cell r="P196">
            <v>12</v>
          </cell>
          <cell r="Q196">
            <v>1.940742</v>
          </cell>
          <cell r="R196" t="e">
            <v>#N/A</v>
          </cell>
        </row>
        <row r="197">
          <cell r="A197">
            <v>40259</v>
          </cell>
          <cell r="B197">
            <v>40259</v>
          </cell>
          <cell r="C197" t="str">
            <v>Past</v>
          </cell>
          <cell r="D197">
            <v>12.07</v>
          </cell>
          <cell r="E197" t="e">
            <v>#N/A</v>
          </cell>
          <cell r="F197" t="e">
            <v>#N/A</v>
          </cell>
          <cell r="G197" t="e">
            <v>#N/A</v>
          </cell>
          <cell r="H197" t="e">
            <v>#N/A</v>
          </cell>
          <cell r="I197" t="e">
            <v>#N/A</v>
          </cell>
          <cell r="J197" t="e">
            <v>#N/A</v>
          </cell>
          <cell r="K197" t="e">
            <v>#N/A</v>
          </cell>
          <cell r="L197" t="e">
            <v>#N/A</v>
          </cell>
          <cell r="M197" t="e">
            <v>#N/A</v>
          </cell>
          <cell r="N197" t="e">
            <v>#N/A</v>
          </cell>
          <cell r="O197" t="e">
            <v>#N/A</v>
          </cell>
          <cell r="P197">
            <v>12.07</v>
          </cell>
          <cell r="Q197">
            <v>2.8972189999999998</v>
          </cell>
          <cell r="R197" t="e">
            <v>#N/A</v>
          </cell>
        </row>
        <row r="198">
          <cell r="A198">
            <v>40260</v>
          </cell>
          <cell r="B198">
            <v>40260</v>
          </cell>
          <cell r="C198" t="str">
            <v>Past</v>
          </cell>
          <cell r="D198">
            <v>12.1</v>
          </cell>
          <cell r="E198" t="e">
            <v>#N/A</v>
          </cell>
          <cell r="F198" t="e">
            <v>#N/A</v>
          </cell>
          <cell r="G198" t="e">
            <v>#N/A</v>
          </cell>
          <cell r="H198" t="e">
            <v>#N/A</v>
          </cell>
          <cell r="I198" t="e">
            <v>#N/A</v>
          </cell>
          <cell r="J198" t="e">
            <v>#N/A</v>
          </cell>
          <cell r="K198" t="e">
            <v>#N/A</v>
          </cell>
          <cell r="L198" t="e">
            <v>#N/A</v>
          </cell>
          <cell r="M198" t="e">
            <v>#N/A</v>
          </cell>
          <cell r="N198" t="e">
            <v>#N/A</v>
          </cell>
          <cell r="O198" t="e">
            <v>#N/A</v>
          </cell>
          <cell r="P198">
            <v>12.1</v>
          </cell>
          <cell r="Q198">
            <v>1.913257</v>
          </cell>
          <cell r="R198" t="e">
            <v>#N/A</v>
          </cell>
        </row>
        <row r="199">
          <cell r="A199">
            <v>40261</v>
          </cell>
          <cell r="B199">
            <v>40261</v>
          </cell>
          <cell r="C199" t="str">
            <v>Past</v>
          </cell>
          <cell r="D199">
            <v>11.93</v>
          </cell>
          <cell r="E199" t="e">
            <v>#N/A</v>
          </cell>
          <cell r="F199" t="e">
            <v>#N/A</v>
          </cell>
          <cell r="G199" t="e">
            <v>#N/A</v>
          </cell>
          <cell r="H199" t="e">
            <v>#N/A</v>
          </cell>
          <cell r="I199" t="e">
            <v>#N/A</v>
          </cell>
          <cell r="J199" t="e">
            <v>#N/A</v>
          </cell>
          <cell r="K199" t="e">
            <v>#N/A</v>
          </cell>
          <cell r="L199" t="e">
            <v>#N/A</v>
          </cell>
          <cell r="M199" t="e">
            <v>#N/A</v>
          </cell>
          <cell r="N199" t="e">
            <v>#N/A</v>
          </cell>
          <cell r="O199" t="e">
            <v>#N/A</v>
          </cell>
          <cell r="P199">
            <v>11.93</v>
          </cell>
          <cell r="Q199">
            <v>1.8157200000000002</v>
          </cell>
          <cell r="R199" t="e">
            <v>#N/A</v>
          </cell>
        </row>
        <row r="200">
          <cell r="A200">
            <v>40262</v>
          </cell>
          <cell r="B200">
            <v>40262</v>
          </cell>
          <cell r="C200" t="str">
            <v>Past</v>
          </cell>
          <cell r="D200">
            <v>11.8</v>
          </cell>
          <cell r="E200" t="e">
            <v>#N/A</v>
          </cell>
          <cell r="F200" t="e">
            <v>#N/A</v>
          </cell>
          <cell r="G200" t="e">
            <v>#N/A</v>
          </cell>
          <cell r="H200" t="e">
            <v>#N/A</v>
          </cell>
          <cell r="I200" t="e">
            <v>#N/A</v>
          </cell>
          <cell r="J200" t="e">
            <v>#N/A</v>
          </cell>
          <cell r="K200" t="e">
            <v>#N/A</v>
          </cell>
          <cell r="L200" t="e">
            <v>#N/A</v>
          </cell>
          <cell r="M200" t="e">
            <v>#N/A</v>
          </cell>
          <cell r="N200" t="e">
            <v>#N/A</v>
          </cell>
          <cell r="O200" t="e">
            <v>#N/A</v>
          </cell>
          <cell r="P200">
            <v>11.8</v>
          </cell>
          <cell r="Q200">
            <v>1.4980149999999999</v>
          </cell>
          <cell r="R200" t="e">
            <v>#N/A</v>
          </cell>
        </row>
        <row r="201">
          <cell r="A201">
            <v>40263</v>
          </cell>
          <cell r="B201">
            <v>40263</v>
          </cell>
          <cell r="C201" t="str">
            <v>Past</v>
          </cell>
          <cell r="D201">
            <v>12.2</v>
          </cell>
          <cell r="E201" t="e">
            <v>#N/A</v>
          </cell>
          <cell r="F201" t="e">
            <v>#N/A</v>
          </cell>
          <cell r="G201" t="e">
            <v>#N/A</v>
          </cell>
          <cell r="H201" t="e">
            <v>#N/A</v>
          </cell>
          <cell r="I201" t="e">
            <v>#N/A</v>
          </cell>
          <cell r="J201" t="e">
            <v>#N/A</v>
          </cell>
          <cell r="K201" t="e">
            <v>#N/A</v>
          </cell>
          <cell r="L201" t="e">
            <v>#N/A</v>
          </cell>
          <cell r="M201" t="e">
            <v>#N/A</v>
          </cell>
          <cell r="N201" t="e">
            <v>#N/A</v>
          </cell>
          <cell r="O201" t="e">
            <v>#N/A</v>
          </cell>
          <cell r="P201">
            <v>12.2</v>
          </cell>
          <cell r="Q201">
            <v>3.5113669999999999</v>
          </cell>
          <cell r="R201" t="e">
            <v>#N/A</v>
          </cell>
        </row>
        <row r="202">
          <cell r="A202">
            <v>40266</v>
          </cell>
          <cell r="B202">
            <v>40266</v>
          </cell>
          <cell r="C202" t="str">
            <v>Past</v>
          </cell>
          <cell r="D202">
            <v>12.33</v>
          </cell>
          <cell r="E202" t="e">
            <v>#N/A</v>
          </cell>
          <cell r="F202" t="e">
            <v>#N/A</v>
          </cell>
          <cell r="G202" t="e">
            <v>#N/A</v>
          </cell>
          <cell r="H202" t="e">
            <v>#N/A</v>
          </cell>
          <cell r="I202" t="e">
            <v>#N/A</v>
          </cell>
          <cell r="J202" t="e">
            <v>#N/A</v>
          </cell>
          <cell r="K202" t="e">
            <v>#N/A</v>
          </cell>
          <cell r="L202" t="e">
            <v>#N/A</v>
          </cell>
          <cell r="M202" t="e">
            <v>#N/A</v>
          </cell>
          <cell r="N202" t="e">
            <v>#N/A</v>
          </cell>
          <cell r="O202" t="e">
            <v>#N/A</v>
          </cell>
          <cell r="P202">
            <v>12.33</v>
          </cell>
          <cell r="Q202">
            <v>0.98394199999999998</v>
          </cell>
          <cell r="R202" t="e">
            <v>#N/A</v>
          </cell>
        </row>
        <row r="203">
          <cell r="A203">
            <v>40267</v>
          </cell>
          <cell r="B203">
            <v>40267</v>
          </cell>
          <cell r="C203" t="str">
            <v>Past</v>
          </cell>
          <cell r="D203">
            <v>12.39</v>
          </cell>
          <cell r="E203" t="e">
            <v>#N/A</v>
          </cell>
          <cell r="F203" t="e">
            <v>#N/A</v>
          </cell>
          <cell r="G203" t="e">
            <v>#N/A</v>
          </cell>
          <cell r="H203" t="e">
            <v>#N/A</v>
          </cell>
          <cell r="I203" t="e">
            <v>#N/A</v>
          </cell>
          <cell r="J203" t="e">
            <v>#N/A</v>
          </cell>
          <cell r="K203" t="e">
            <v>#N/A</v>
          </cell>
          <cell r="L203" t="e">
            <v>#N/A</v>
          </cell>
          <cell r="M203" t="e">
            <v>#N/A</v>
          </cell>
          <cell r="N203" t="e">
            <v>#N/A</v>
          </cell>
          <cell r="O203" t="e">
            <v>#N/A</v>
          </cell>
          <cell r="P203">
            <v>12.39</v>
          </cell>
          <cell r="Q203">
            <v>1.0866149999999999</v>
          </cell>
          <cell r="R203" t="e">
            <v>#N/A</v>
          </cell>
        </row>
        <row r="204">
          <cell r="A204">
            <v>40268</v>
          </cell>
          <cell r="B204">
            <v>40268</v>
          </cell>
          <cell r="C204" t="str">
            <v>Past</v>
          </cell>
          <cell r="D204">
            <v>12.33</v>
          </cell>
          <cell r="E204" t="e">
            <v>#N/A</v>
          </cell>
          <cell r="F204" t="e">
            <v>#N/A</v>
          </cell>
          <cell r="G204" t="e">
            <v>#N/A</v>
          </cell>
          <cell r="H204" t="e">
            <v>#N/A</v>
          </cell>
          <cell r="I204" t="e">
            <v>#N/A</v>
          </cell>
          <cell r="J204" t="e">
            <v>#N/A</v>
          </cell>
          <cell r="K204" t="e">
            <v>#N/A</v>
          </cell>
          <cell r="L204" t="e">
            <v>#N/A</v>
          </cell>
          <cell r="M204" t="e">
            <v>#N/A</v>
          </cell>
          <cell r="N204" t="e">
            <v>#N/A</v>
          </cell>
          <cell r="O204" t="e">
            <v>#N/A</v>
          </cell>
          <cell r="P204">
            <v>12.33</v>
          </cell>
          <cell r="Q204">
            <v>1.941349</v>
          </cell>
          <cell r="R204" t="e">
            <v>#N/A</v>
          </cell>
        </row>
        <row r="205">
          <cell r="A205">
            <v>40269</v>
          </cell>
          <cell r="B205">
            <v>40269</v>
          </cell>
          <cell r="C205" t="str">
            <v>Past</v>
          </cell>
          <cell r="D205">
            <v>12.37</v>
          </cell>
          <cell r="E205" t="e">
            <v>#N/A</v>
          </cell>
          <cell r="F205" t="e">
            <v>#N/A</v>
          </cell>
          <cell r="G205" t="e">
            <v>#N/A</v>
          </cell>
          <cell r="H205" t="e">
            <v>#N/A</v>
          </cell>
          <cell r="I205" t="e">
            <v>#N/A</v>
          </cell>
          <cell r="J205" t="e">
            <v>#N/A</v>
          </cell>
          <cell r="K205" t="e">
            <v>#N/A</v>
          </cell>
          <cell r="L205" t="e">
            <v>#N/A</v>
          </cell>
          <cell r="M205" t="e">
            <v>#N/A</v>
          </cell>
          <cell r="N205" t="e">
            <v>#N/A</v>
          </cell>
          <cell r="O205" t="e">
            <v>#N/A</v>
          </cell>
          <cell r="P205">
            <v>12.37</v>
          </cell>
          <cell r="Q205">
            <v>1.3437249999999998</v>
          </cell>
          <cell r="R205" t="e">
            <v>#N/A</v>
          </cell>
        </row>
        <row r="206">
          <cell r="A206">
            <v>40273</v>
          </cell>
          <cell r="B206">
            <v>40273</v>
          </cell>
          <cell r="C206" t="str">
            <v>Past</v>
          </cell>
          <cell r="D206">
            <v>12.49</v>
          </cell>
          <cell r="E206" t="e">
            <v>#N/A</v>
          </cell>
          <cell r="F206" t="e">
            <v>#N/A</v>
          </cell>
          <cell r="G206" t="e">
            <v>#N/A</v>
          </cell>
          <cell r="H206" t="e">
            <v>#N/A</v>
          </cell>
          <cell r="I206" t="e">
            <v>#N/A</v>
          </cell>
          <cell r="J206" t="e">
            <v>#N/A</v>
          </cell>
          <cell r="K206" t="e">
            <v>#N/A</v>
          </cell>
          <cell r="L206" t="e">
            <v>#N/A</v>
          </cell>
          <cell r="M206" t="e">
            <v>#N/A</v>
          </cell>
          <cell r="N206" t="e">
            <v>#N/A</v>
          </cell>
          <cell r="O206" t="e">
            <v>#N/A</v>
          </cell>
          <cell r="P206">
            <v>12.49</v>
          </cell>
          <cell r="Q206">
            <v>0.89013000000000009</v>
          </cell>
          <cell r="R206" t="e">
            <v>#N/A</v>
          </cell>
        </row>
        <row r="207">
          <cell r="A207">
            <v>40274</v>
          </cell>
          <cell r="B207">
            <v>40274</v>
          </cell>
          <cell r="C207" t="str">
            <v>Past</v>
          </cell>
          <cell r="D207">
            <v>12.58</v>
          </cell>
          <cell r="E207" t="e">
            <v>#N/A</v>
          </cell>
          <cell r="F207" t="e">
            <v>#N/A</v>
          </cell>
          <cell r="G207" t="e">
            <v>#N/A</v>
          </cell>
          <cell r="H207" t="e">
            <v>#N/A</v>
          </cell>
          <cell r="I207" t="e">
            <v>#N/A</v>
          </cell>
          <cell r="J207" t="e">
            <v>#N/A</v>
          </cell>
          <cell r="K207" t="e">
            <v>#N/A</v>
          </cell>
          <cell r="L207" t="e">
            <v>#N/A</v>
          </cell>
          <cell r="M207" t="e">
            <v>#N/A</v>
          </cell>
          <cell r="N207" t="e">
            <v>#N/A</v>
          </cell>
          <cell r="O207" t="e">
            <v>#N/A</v>
          </cell>
          <cell r="P207">
            <v>12.58</v>
          </cell>
          <cell r="Q207">
            <v>1.018416</v>
          </cell>
          <cell r="R207" t="e">
            <v>#N/A</v>
          </cell>
        </row>
        <row r="208">
          <cell r="A208">
            <v>40275</v>
          </cell>
          <cell r="B208">
            <v>40275</v>
          </cell>
          <cell r="C208" t="str">
            <v>Past</v>
          </cell>
          <cell r="D208">
            <v>12.44</v>
          </cell>
          <cell r="E208" t="e">
            <v>#N/A</v>
          </cell>
          <cell r="F208" t="e">
            <v>#N/A</v>
          </cell>
          <cell r="G208" t="e">
            <v>#N/A</v>
          </cell>
          <cell r="H208" t="e">
            <v>#N/A</v>
          </cell>
          <cell r="I208" t="e">
            <v>#N/A</v>
          </cell>
          <cell r="J208" t="e">
            <v>#N/A</v>
          </cell>
          <cell r="K208" t="e">
            <v>#N/A</v>
          </cell>
          <cell r="L208" t="e">
            <v>#N/A</v>
          </cell>
          <cell r="M208" t="e">
            <v>#N/A</v>
          </cell>
          <cell r="N208" t="e">
            <v>#N/A</v>
          </cell>
          <cell r="O208" t="e">
            <v>#N/A</v>
          </cell>
          <cell r="P208">
            <v>12.44</v>
          </cell>
          <cell r="Q208">
            <v>0.93972099999999992</v>
          </cell>
          <cell r="R208" t="e">
            <v>#N/A</v>
          </cell>
        </row>
        <row r="209">
          <cell r="A209">
            <v>40276</v>
          </cell>
          <cell r="B209">
            <v>40276</v>
          </cell>
          <cell r="C209" t="str">
            <v>Past</v>
          </cell>
          <cell r="D209">
            <v>12.3</v>
          </cell>
          <cell r="E209" t="e">
            <v>#N/A</v>
          </cell>
          <cell r="F209" t="e">
            <v>#N/A</v>
          </cell>
          <cell r="G209" t="e">
            <v>#N/A</v>
          </cell>
          <cell r="H209" t="e">
            <v>#N/A</v>
          </cell>
          <cell r="I209" t="e">
            <v>#N/A</v>
          </cell>
          <cell r="J209" t="e">
            <v>#N/A</v>
          </cell>
          <cell r="K209" t="e">
            <v>#N/A</v>
          </cell>
          <cell r="L209" t="e">
            <v>#N/A</v>
          </cell>
          <cell r="M209" t="e">
            <v>#N/A</v>
          </cell>
          <cell r="N209" t="e">
            <v>#N/A</v>
          </cell>
          <cell r="O209" t="e">
            <v>#N/A</v>
          </cell>
          <cell r="P209">
            <v>12.3</v>
          </cell>
          <cell r="Q209">
            <v>0.7571500000000001</v>
          </cell>
          <cell r="R209" t="e">
            <v>#N/A</v>
          </cell>
        </row>
        <row r="210">
          <cell r="A210">
            <v>40277</v>
          </cell>
          <cell r="B210">
            <v>40277</v>
          </cell>
          <cell r="C210" t="str">
            <v>Past</v>
          </cell>
          <cell r="D210">
            <v>12.29</v>
          </cell>
          <cell r="E210" t="e">
            <v>#N/A</v>
          </cell>
          <cell r="F210" t="e">
            <v>#N/A</v>
          </cell>
          <cell r="G210" t="e">
            <v>#N/A</v>
          </cell>
          <cell r="H210" t="e">
            <v>#N/A</v>
          </cell>
          <cell r="I210" t="e">
            <v>#N/A</v>
          </cell>
          <cell r="J210" t="e">
            <v>#N/A</v>
          </cell>
          <cell r="K210" t="e">
            <v>#N/A</v>
          </cell>
          <cell r="L210" t="e">
            <v>#N/A</v>
          </cell>
          <cell r="M210" t="e">
            <v>#N/A</v>
          </cell>
          <cell r="N210" t="e">
            <v>#N/A</v>
          </cell>
          <cell r="O210" t="e">
            <v>#N/A</v>
          </cell>
          <cell r="P210">
            <v>12.29</v>
          </cell>
          <cell r="Q210">
            <v>1.188437</v>
          </cell>
          <cell r="R210" t="e">
            <v>#N/A</v>
          </cell>
        </row>
        <row r="211">
          <cell r="A211">
            <v>40280</v>
          </cell>
          <cell r="B211">
            <v>40280</v>
          </cell>
          <cell r="C211" t="str">
            <v>Past</v>
          </cell>
          <cell r="D211">
            <v>12.45</v>
          </cell>
          <cell r="E211" t="e">
            <v>#N/A</v>
          </cell>
          <cell r="F211" t="e">
            <v>#N/A</v>
          </cell>
          <cell r="G211" t="e">
            <v>#N/A</v>
          </cell>
          <cell r="H211" t="e">
            <v>#N/A</v>
          </cell>
          <cell r="I211" t="e">
            <v>#N/A</v>
          </cell>
          <cell r="J211" t="e">
            <v>#N/A</v>
          </cell>
          <cell r="K211" t="e">
            <v>#N/A</v>
          </cell>
          <cell r="L211" t="e">
            <v>#N/A</v>
          </cell>
          <cell r="M211" t="e">
            <v>#N/A</v>
          </cell>
          <cell r="N211" t="e">
            <v>#N/A</v>
          </cell>
          <cell r="O211" t="e">
            <v>#N/A</v>
          </cell>
          <cell r="P211">
            <v>12.45</v>
          </cell>
          <cell r="Q211">
            <v>1.376951</v>
          </cell>
          <cell r="R211" t="e">
            <v>#N/A</v>
          </cell>
        </row>
        <row r="212">
          <cell r="A212">
            <v>40281</v>
          </cell>
          <cell r="B212">
            <v>40281</v>
          </cell>
          <cell r="C212" t="str">
            <v>Past</v>
          </cell>
          <cell r="D212">
            <v>12.35</v>
          </cell>
          <cell r="E212" t="e">
            <v>#N/A</v>
          </cell>
          <cell r="F212" t="e">
            <v>#N/A</v>
          </cell>
          <cell r="G212" t="e">
            <v>#N/A</v>
          </cell>
          <cell r="H212" t="e">
            <v>#N/A</v>
          </cell>
          <cell r="I212" t="e">
            <v>#N/A</v>
          </cell>
          <cell r="J212" t="e">
            <v>#N/A</v>
          </cell>
          <cell r="K212" t="e">
            <v>#N/A</v>
          </cell>
          <cell r="L212" t="e">
            <v>#N/A</v>
          </cell>
          <cell r="M212" t="e">
            <v>#N/A</v>
          </cell>
          <cell r="N212" t="e">
            <v>#N/A</v>
          </cell>
          <cell r="O212" t="e">
            <v>#N/A</v>
          </cell>
          <cell r="P212">
            <v>12.35</v>
          </cell>
          <cell r="Q212">
            <v>1.2989089999999999</v>
          </cell>
          <cell r="R212" t="e">
            <v>#N/A</v>
          </cell>
        </row>
        <row r="213">
          <cell r="A213">
            <v>40282</v>
          </cell>
          <cell r="B213">
            <v>40282</v>
          </cell>
          <cell r="C213" t="str">
            <v>Past</v>
          </cell>
          <cell r="D213">
            <v>12.52</v>
          </cell>
          <cell r="E213" t="e">
            <v>#N/A</v>
          </cell>
          <cell r="F213" t="e">
            <v>#N/A</v>
          </cell>
          <cell r="G213" t="e">
            <v>#N/A</v>
          </cell>
          <cell r="H213" t="e">
            <v>#N/A</v>
          </cell>
          <cell r="I213" t="e">
            <v>#N/A</v>
          </cell>
          <cell r="J213" t="e">
            <v>#N/A</v>
          </cell>
          <cell r="K213" t="e">
            <v>#N/A</v>
          </cell>
          <cell r="L213" t="e">
            <v>#N/A</v>
          </cell>
          <cell r="M213" t="e">
            <v>#N/A</v>
          </cell>
          <cell r="N213" t="e">
            <v>#N/A</v>
          </cell>
          <cell r="O213" t="e">
            <v>#N/A</v>
          </cell>
          <cell r="P213">
            <v>12.52</v>
          </cell>
          <cell r="Q213">
            <v>2.1197759999999999</v>
          </cell>
          <cell r="R213" t="e">
            <v>#N/A</v>
          </cell>
        </row>
        <row r="214">
          <cell r="A214">
            <v>40283</v>
          </cell>
          <cell r="B214">
            <v>40283</v>
          </cell>
          <cell r="C214" t="str">
            <v>Past</v>
          </cell>
          <cell r="D214">
            <v>12.46</v>
          </cell>
          <cell r="E214" t="e">
            <v>#N/A</v>
          </cell>
          <cell r="F214" t="e">
            <v>#N/A</v>
          </cell>
          <cell r="G214" t="e">
            <v>#N/A</v>
          </cell>
          <cell r="H214" t="e">
            <v>#N/A</v>
          </cell>
          <cell r="I214" t="e">
            <v>#N/A</v>
          </cell>
          <cell r="J214" t="e">
            <v>#N/A</v>
          </cell>
          <cell r="K214" t="e">
            <v>#N/A</v>
          </cell>
          <cell r="L214" t="e">
            <v>#N/A</v>
          </cell>
          <cell r="M214" t="e">
            <v>#N/A</v>
          </cell>
          <cell r="N214" t="e">
            <v>#N/A</v>
          </cell>
          <cell r="O214" t="e">
            <v>#N/A</v>
          </cell>
          <cell r="P214">
            <v>12.46</v>
          </cell>
          <cell r="Q214">
            <v>1.5679889999999999</v>
          </cell>
          <cell r="R214" t="e">
            <v>#N/A</v>
          </cell>
        </row>
        <row r="215">
          <cell r="A215">
            <v>40284</v>
          </cell>
          <cell r="B215">
            <v>40284</v>
          </cell>
          <cell r="C215" t="str">
            <v>Past</v>
          </cell>
          <cell r="D215">
            <v>12.26</v>
          </cell>
          <cell r="E215" t="e">
            <v>#N/A</v>
          </cell>
          <cell r="F215" t="e">
            <v>#N/A</v>
          </cell>
          <cell r="G215" t="e">
            <v>#N/A</v>
          </cell>
          <cell r="H215" t="e">
            <v>#N/A</v>
          </cell>
          <cell r="I215" t="e">
            <v>#N/A</v>
          </cell>
          <cell r="J215" t="e">
            <v>#N/A</v>
          </cell>
          <cell r="K215" t="e">
            <v>#N/A</v>
          </cell>
          <cell r="L215" t="e">
            <v>#N/A</v>
          </cell>
          <cell r="M215" t="e">
            <v>#N/A</v>
          </cell>
          <cell r="N215" t="e">
            <v>#N/A</v>
          </cell>
          <cell r="O215" t="e">
            <v>#N/A</v>
          </cell>
          <cell r="P215">
            <v>12.26</v>
          </cell>
          <cell r="Q215">
            <v>1.6249600000000002</v>
          </cell>
          <cell r="R215" t="e">
            <v>#N/A</v>
          </cell>
        </row>
        <row r="216">
          <cell r="A216">
            <v>40287</v>
          </cell>
          <cell r="B216">
            <v>40287</v>
          </cell>
          <cell r="C216" t="str">
            <v>Past</v>
          </cell>
          <cell r="D216">
            <v>12.32</v>
          </cell>
          <cell r="E216" t="e">
            <v>#N/A</v>
          </cell>
          <cell r="F216" t="e">
            <v>#N/A</v>
          </cell>
          <cell r="G216" t="e">
            <v>#N/A</v>
          </cell>
          <cell r="H216" t="e">
            <v>#N/A</v>
          </cell>
          <cell r="I216" t="e">
            <v>#N/A</v>
          </cell>
          <cell r="J216" t="e">
            <v>#N/A</v>
          </cell>
          <cell r="K216" t="e">
            <v>#N/A</v>
          </cell>
          <cell r="L216" t="e">
            <v>#N/A</v>
          </cell>
          <cell r="M216" t="e">
            <v>#N/A</v>
          </cell>
          <cell r="N216" t="e">
            <v>#N/A</v>
          </cell>
          <cell r="O216" t="e">
            <v>#N/A</v>
          </cell>
          <cell r="P216">
            <v>12.32</v>
          </cell>
          <cell r="Q216">
            <v>2.0003889999999998</v>
          </cell>
          <cell r="R216" t="e">
            <v>#N/A</v>
          </cell>
        </row>
        <row r="217">
          <cell r="A217">
            <v>40288</v>
          </cell>
          <cell r="B217">
            <v>40288</v>
          </cell>
          <cell r="C217" t="str">
            <v>Past</v>
          </cell>
          <cell r="D217">
            <v>12.52</v>
          </cell>
          <cell r="E217" t="e">
            <v>#N/A</v>
          </cell>
          <cell r="F217" t="e">
            <v>#N/A</v>
          </cell>
          <cell r="G217" t="e">
            <v>#N/A</v>
          </cell>
          <cell r="H217" t="e">
            <v>#N/A</v>
          </cell>
          <cell r="I217" t="e">
            <v>#N/A</v>
          </cell>
          <cell r="J217" t="e">
            <v>#N/A</v>
          </cell>
          <cell r="K217" t="e">
            <v>#N/A</v>
          </cell>
          <cell r="L217" t="e">
            <v>#N/A</v>
          </cell>
          <cell r="M217" t="e">
            <v>#N/A</v>
          </cell>
          <cell r="N217" t="e">
            <v>#N/A</v>
          </cell>
          <cell r="O217" t="e">
            <v>#N/A</v>
          </cell>
          <cell r="P217">
            <v>12.52</v>
          </cell>
          <cell r="Q217">
            <v>1.9799049999999998</v>
          </cell>
          <cell r="R217" t="e">
            <v>#N/A</v>
          </cell>
        </row>
        <row r="218">
          <cell r="A218">
            <v>40289</v>
          </cell>
          <cell r="B218">
            <v>40289</v>
          </cell>
          <cell r="C218" t="str">
            <v>Past</v>
          </cell>
          <cell r="D218">
            <v>12.68</v>
          </cell>
          <cell r="E218" t="e">
            <v>#N/A</v>
          </cell>
          <cell r="F218" t="e">
            <v>#N/A</v>
          </cell>
          <cell r="G218" t="e">
            <v>#N/A</v>
          </cell>
          <cell r="H218" t="e">
            <v>#N/A</v>
          </cell>
          <cell r="I218" t="e">
            <v>#N/A</v>
          </cell>
          <cell r="J218" t="e">
            <v>#N/A</v>
          </cell>
          <cell r="K218" t="e">
            <v>#N/A</v>
          </cell>
          <cell r="L218" t="e">
            <v>#N/A</v>
          </cell>
          <cell r="M218" t="e">
            <v>#N/A</v>
          </cell>
          <cell r="N218" t="e">
            <v>#N/A</v>
          </cell>
          <cell r="O218" t="e">
            <v>#N/A</v>
          </cell>
          <cell r="P218">
            <v>12.68</v>
          </cell>
          <cell r="Q218">
            <v>1.3910549999999999</v>
          </cell>
          <cell r="R218" t="e">
            <v>#N/A</v>
          </cell>
        </row>
        <row r="219">
          <cell r="A219">
            <v>40290</v>
          </cell>
          <cell r="B219">
            <v>40290</v>
          </cell>
          <cell r="C219" t="str">
            <v>Past</v>
          </cell>
          <cell r="D219">
            <v>12.67</v>
          </cell>
          <cell r="E219" t="e">
            <v>#N/A</v>
          </cell>
          <cell r="F219" t="e">
            <v>#N/A</v>
          </cell>
          <cell r="G219" t="e">
            <v>#N/A</v>
          </cell>
          <cell r="H219" t="e">
            <v>#N/A</v>
          </cell>
          <cell r="I219" t="e">
            <v>#N/A</v>
          </cell>
          <cell r="J219" t="e">
            <v>#N/A</v>
          </cell>
          <cell r="K219" t="e">
            <v>#N/A</v>
          </cell>
          <cell r="L219" t="e">
            <v>#N/A</v>
          </cell>
          <cell r="M219" t="e">
            <v>#N/A</v>
          </cell>
          <cell r="N219" t="e">
            <v>#N/A</v>
          </cell>
          <cell r="O219" t="e">
            <v>#N/A</v>
          </cell>
          <cell r="P219">
            <v>12.67</v>
          </cell>
          <cell r="Q219">
            <v>1.328667</v>
          </cell>
          <cell r="R219" t="e">
            <v>#N/A</v>
          </cell>
        </row>
        <row r="220">
          <cell r="A220">
            <v>40291</v>
          </cell>
          <cell r="B220">
            <v>40291</v>
          </cell>
          <cell r="C220" t="str">
            <v>Past</v>
          </cell>
          <cell r="D220">
            <v>12.8</v>
          </cell>
          <cell r="E220" t="e">
            <v>#N/A</v>
          </cell>
          <cell r="F220" t="e">
            <v>#N/A</v>
          </cell>
          <cell r="G220" t="e">
            <v>#N/A</v>
          </cell>
          <cell r="H220" t="e">
            <v>#N/A</v>
          </cell>
          <cell r="I220" t="e">
            <v>#N/A</v>
          </cell>
          <cell r="J220" t="e">
            <v>#N/A</v>
          </cell>
          <cell r="K220" t="e">
            <v>#N/A</v>
          </cell>
          <cell r="L220" t="e">
            <v>#N/A</v>
          </cell>
          <cell r="M220" t="e">
            <v>#N/A</v>
          </cell>
          <cell r="N220" t="e">
            <v>#N/A</v>
          </cell>
          <cell r="O220" t="e">
            <v>#N/A</v>
          </cell>
          <cell r="P220">
            <v>12.8</v>
          </cell>
          <cell r="Q220">
            <v>1.840479</v>
          </cell>
          <cell r="R220" t="e">
            <v>#N/A</v>
          </cell>
        </row>
        <row r="221">
          <cell r="A221">
            <v>40294</v>
          </cell>
          <cell r="B221">
            <v>40294</v>
          </cell>
          <cell r="C221" t="str">
            <v>Past</v>
          </cell>
          <cell r="D221">
            <v>12.83</v>
          </cell>
          <cell r="E221" t="e">
            <v>#N/A</v>
          </cell>
          <cell r="F221" t="e">
            <v>#N/A</v>
          </cell>
          <cell r="G221" t="e">
            <v>#N/A</v>
          </cell>
          <cell r="H221" t="e">
            <v>#N/A</v>
          </cell>
          <cell r="I221" t="e">
            <v>#N/A</v>
          </cell>
          <cell r="J221" t="e">
            <v>#N/A</v>
          </cell>
          <cell r="K221" t="e">
            <v>#N/A</v>
          </cell>
          <cell r="L221" t="e">
            <v>#N/A</v>
          </cell>
          <cell r="M221" t="e">
            <v>#N/A</v>
          </cell>
          <cell r="N221" t="e">
            <v>#N/A</v>
          </cell>
          <cell r="O221" t="e">
            <v>#N/A</v>
          </cell>
          <cell r="P221">
            <v>12.83</v>
          </cell>
          <cell r="Q221">
            <v>1.8009769999999998</v>
          </cell>
          <cell r="R221" t="e">
            <v>#N/A</v>
          </cell>
        </row>
        <row r="222">
          <cell r="A222">
            <v>40295</v>
          </cell>
          <cell r="B222">
            <v>40295</v>
          </cell>
          <cell r="C222" t="str">
            <v>Past</v>
          </cell>
          <cell r="D222">
            <v>12.5</v>
          </cell>
          <cell r="E222" t="e">
            <v>#N/A</v>
          </cell>
          <cell r="F222" t="e">
            <v>#N/A</v>
          </cell>
          <cell r="G222" t="e">
            <v>#N/A</v>
          </cell>
          <cell r="H222" t="e">
            <v>#N/A</v>
          </cell>
          <cell r="I222" t="e">
            <v>#N/A</v>
          </cell>
          <cell r="J222" t="e">
            <v>#N/A</v>
          </cell>
          <cell r="K222" t="e">
            <v>#N/A</v>
          </cell>
          <cell r="L222" t="e">
            <v>#N/A</v>
          </cell>
          <cell r="M222" t="e">
            <v>#N/A</v>
          </cell>
          <cell r="N222" t="e">
            <v>#N/A</v>
          </cell>
          <cell r="O222" t="e">
            <v>#N/A</v>
          </cell>
          <cell r="P222">
            <v>12.5</v>
          </cell>
          <cell r="Q222">
            <v>2.283982</v>
          </cell>
          <cell r="R222" t="e">
            <v>#N/A</v>
          </cell>
        </row>
        <row r="223">
          <cell r="A223">
            <v>40296</v>
          </cell>
          <cell r="B223">
            <v>40296</v>
          </cell>
          <cell r="C223" t="str">
            <v>Past</v>
          </cell>
          <cell r="D223">
            <v>12.57</v>
          </cell>
          <cell r="E223" t="e">
            <v>#N/A</v>
          </cell>
          <cell r="F223" t="e">
            <v>#N/A</v>
          </cell>
          <cell r="G223" t="e">
            <v>#N/A</v>
          </cell>
          <cell r="H223" t="e">
            <v>#N/A</v>
          </cell>
          <cell r="I223" t="e">
            <v>#N/A</v>
          </cell>
          <cell r="J223" t="e">
            <v>#N/A</v>
          </cell>
          <cell r="K223" t="e">
            <v>#N/A</v>
          </cell>
          <cell r="L223" t="e">
            <v>#N/A</v>
          </cell>
          <cell r="M223" t="e">
            <v>#N/A</v>
          </cell>
          <cell r="N223" t="e">
            <v>#N/A</v>
          </cell>
          <cell r="O223" t="e">
            <v>#N/A</v>
          </cell>
          <cell r="P223">
            <v>12.57</v>
          </cell>
          <cell r="Q223">
            <v>1.881316</v>
          </cell>
          <cell r="R223" t="e">
            <v>#N/A</v>
          </cell>
        </row>
        <row r="224">
          <cell r="A224">
            <v>40297</v>
          </cell>
          <cell r="B224">
            <v>40297</v>
          </cell>
          <cell r="C224" t="str">
            <v>Past</v>
          </cell>
          <cell r="D224">
            <v>12.61</v>
          </cell>
          <cell r="E224" t="e">
            <v>#N/A</v>
          </cell>
          <cell r="F224" t="e">
            <v>#N/A</v>
          </cell>
          <cell r="G224" t="e">
            <v>#N/A</v>
          </cell>
          <cell r="H224" t="e">
            <v>#N/A</v>
          </cell>
          <cell r="I224" t="e">
            <v>#N/A</v>
          </cell>
          <cell r="J224" t="e">
            <v>#N/A</v>
          </cell>
          <cell r="K224" t="e">
            <v>#N/A</v>
          </cell>
          <cell r="L224" t="e">
            <v>#N/A</v>
          </cell>
          <cell r="M224" t="e">
            <v>#N/A</v>
          </cell>
          <cell r="N224" t="e">
            <v>#N/A</v>
          </cell>
          <cell r="O224" t="e">
            <v>#N/A</v>
          </cell>
          <cell r="P224">
            <v>12.61</v>
          </cell>
          <cell r="Q224">
            <v>1.0299</v>
          </cell>
          <cell r="R224" t="e">
            <v>#N/A</v>
          </cell>
        </row>
        <row r="225">
          <cell r="A225">
            <v>40298</v>
          </cell>
          <cell r="B225">
            <v>40298</v>
          </cell>
          <cell r="C225" t="str">
            <v>Past</v>
          </cell>
          <cell r="D225">
            <v>12.49</v>
          </cell>
          <cell r="E225" t="e">
            <v>#N/A</v>
          </cell>
          <cell r="F225" t="e">
            <v>#N/A</v>
          </cell>
          <cell r="G225" t="e">
            <v>#N/A</v>
          </cell>
          <cell r="H225" t="e">
            <v>#N/A</v>
          </cell>
          <cell r="I225" t="e">
            <v>#N/A</v>
          </cell>
          <cell r="J225" t="e">
            <v>#N/A</v>
          </cell>
          <cell r="K225" t="e">
            <v>#N/A</v>
          </cell>
          <cell r="L225" t="e">
            <v>#N/A</v>
          </cell>
          <cell r="M225" t="e">
            <v>#N/A</v>
          </cell>
          <cell r="N225" t="e">
            <v>#N/A</v>
          </cell>
          <cell r="O225" t="e">
            <v>#N/A</v>
          </cell>
          <cell r="P225">
            <v>12.49</v>
          </cell>
          <cell r="Q225">
            <v>1.550983</v>
          </cell>
          <cell r="R225" t="e">
            <v>#N/A</v>
          </cell>
        </row>
        <row r="226">
          <cell r="A226">
            <v>40301</v>
          </cell>
          <cell r="B226">
            <v>40301</v>
          </cell>
          <cell r="C226" t="str">
            <v>Past</v>
          </cell>
          <cell r="D226">
            <v>12.74</v>
          </cell>
          <cell r="E226" t="e">
            <v>#N/A</v>
          </cell>
          <cell r="F226" t="e">
            <v>#N/A</v>
          </cell>
          <cell r="G226" t="e">
            <v>#N/A</v>
          </cell>
          <cell r="H226" t="e">
            <v>#N/A</v>
          </cell>
          <cell r="I226" t="e">
            <v>#N/A</v>
          </cell>
          <cell r="J226" t="e">
            <v>#N/A</v>
          </cell>
          <cell r="K226" t="e">
            <v>#N/A</v>
          </cell>
          <cell r="L226" t="e">
            <v>#N/A</v>
          </cell>
          <cell r="M226" t="e">
            <v>#N/A</v>
          </cell>
          <cell r="N226" t="e">
            <v>#N/A</v>
          </cell>
          <cell r="O226" t="e">
            <v>#N/A</v>
          </cell>
          <cell r="P226">
            <v>12.74</v>
          </cell>
          <cell r="Q226">
            <v>0.98091000000000006</v>
          </cell>
          <cell r="R226" t="e">
            <v>#N/A</v>
          </cell>
        </row>
        <row r="227">
          <cell r="A227">
            <v>40302</v>
          </cell>
          <cell r="B227">
            <v>40302</v>
          </cell>
          <cell r="C227" t="str">
            <v>Past</v>
          </cell>
          <cell r="D227">
            <v>12.55</v>
          </cell>
          <cell r="E227" t="e">
            <v>#N/A</v>
          </cell>
          <cell r="F227" t="e">
            <v>#N/A</v>
          </cell>
          <cell r="G227" t="e">
            <v>#N/A</v>
          </cell>
          <cell r="H227" t="e">
            <v>#N/A</v>
          </cell>
          <cell r="I227" t="e">
            <v>#N/A</v>
          </cell>
          <cell r="J227" t="e">
            <v>#N/A</v>
          </cell>
          <cell r="K227" t="e">
            <v>#N/A</v>
          </cell>
          <cell r="L227" t="e">
            <v>#N/A</v>
          </cell>
          <cell r="M227" t="e">
            <v>#N/A</v>
          </cell>
          <cell r="N227" t="e">
            <v>#N/A</v>
          </cell>
          <cell r="O227" t="e">
            <v>#N/A</v>
          </cell>
          <cell r="P227">
            <v>12.55</v>
          </cell>
          <cell r="Q227">
            <v>2.0831219999999999</v>
          </cell>
          <cell r="R227" t="e">
            <v>#N/A</v>
          </cell>
        </row>
        <row r="228">
          <cell r="A228">
            <v>40303</v>
          </cell>
          <cell r="B228">
            <v>40303</v>
          </cell>
          <cell r="C228" t="str">
            <v>Past</v>
          </cell>
          <cell r="D228">
            <v>12.32</v>
          </cell>
          <cell r="E228" t="e">
            <v>#N/A</v>
          </cell>
          <cell r="F228" t="e">
            <v>#N/A</v>
          </cell>
          <cell r="G228" t="e">
            <v>#N/A</v>
          </cell>
          <cell r="H228" t="e">
            <v>#N/A</v>
          </cell>
          <cell r="I228" t="e">
            <v>#N/A</v>
          </cell>
          <cell r="J228" t="e">
            <v>#N/A</v>
          </cell>
          <cell r="K228" t="e">
            <v>#N/A</v>
          </cell>
          <cell r="L228" t="e">
            <v>#N/A</v>
          </cell>
          <cell r="M228" t="e">
            <v>#N/A</v>
          </cell>
          <cell r="N228" t="e">
            <v>#N/A</v>
          </cell>
          <cell r="O228" t="e">
            <v>#N/A</v>
          </cell>
          <cell r="P228">
            <v>12.32</v>
          </cell>
          <cell r="Q228">
            <v>1.9299929999999998</v>
          </cell>
          <cell r="R228" t="e">
            <v>#N/A</v>
          </cell>
        </row>
        <row r="229">
          <cell r="A229">
            <v>40304</v>
          </cell>
          <cell r="B229">
            <v>40304</v>
          </cell>
          <cell r="C229" t="str">
            <v>Past</v>
          </cell>
          <cell r="D229">
            <v>11.84</v>
          </cell>
          <cell r="E229" t="e">
            <v>#N/A</v>
          </cell>
          <cell r="F229" t="e">
            <v>#N/A</v>
          </cell>
          <cell r="G229" t="e">
            <v>#N/A</v>
          </cell>
          <cell r="H229" t="e">
            <v>#N/A</v>
          </cell>
          <cell r="I229" t="e">
            <v>#N/A</v>
          </cell>
          <cell r="J229" t="e">
            <v>#N/A</v>
          </cell>
          <cell r="K229" t="e">
            <v>#N/A</v>
          </cell>
          <cell r="L229" t="e">
            <v>#N/A</v>
          </cell>
          <cell r="M229" t="e">
            <v>#N/A</v>
          </cell>
          <cell r="N229" t="e">
            <v>#N/A</v>
          </cell>
          <cell r="O229" t="e">
            <v>#N/A</v>
          </cell>
          <cell r="P229">
            <v>11.84</v>
          </cell>
          <cell r="Q229">
            <v>3.275773</v>
          </cell>
          <cell r="R229" t="e">
            <v>#N/A</v>
          </cell>
        </row>
        <row r="230">
          <cell r="A230">
            <v>40305</v>
          </cell>
          <cell r="B230">
            <v>40305</v>
          </cell>
          <cell r="C230" t="str">
            <v>Past</v>
          </cell>
          <cell r="D230">
            <v>11.95</v>
          </cell>
          <cell r="E230" t="e">
            <v>#N/A</v>
          </cell>
          <cell r="F230" t="e">
            <v>#N/A</v>
          </cell>
          <cell r="G230" t="e">
            <v>#N/A</v>
          </cell>
          <cell r="H230" t="e">
            <v>#N/A</v>
          </cell>
          <cell r="I230" t="e">
            <v>#N/A</v>
          </cell>
          <cell r="J230" t="e">
            <v>#N/A</v>
          </cell>
          <cell r="K230" t="e">
            <v>#N/A</v>
          </cell>
          <cell r="L230" t="e">
            <v>#N/A</v>
          </cell>
          <cell r="M230" t="e">
            <v>#N/A</v>
          </cell>
          <cell r="N230" t="e">
            <v>#N/A</v>
          </cell>
          <cell r="O230" t="e">
            <v>#N/A</v>
          </cell>
          <cell r="P230">
            <v>11.95</v>
          </cell>
          <cell r="Q230">
            <v>3.9817559999999999</v>
          </cell>
          <cell r="R230" t="e">
            <v>#N/A</v>
          </cell>
        </row>
        <row r="231">
          <cell r="A231">
            <v>40308</v>
          </cell>
          <cell r="B231">
            <v>40308</v>
          </cell>
          <cell r="C231" t="str">
            <v>Past</v>
          </cell>
          <cell r="D231">
            <v>12.42</v>
          </cell>
          <cell r="E231" t="e">
            <v>#N/A</v>
          </cell>
          <cell r="F231" t="e">
            <v>#N/A</v>
          </cell>
          <cell r="G231" t="e">
            <v>#N/A</v>
          </cell>
          <cell r="H231" t="e">
            <v>#N/A</v>
          </cell>
          <cell r="I231" t="e">
            <v>#N/A</v>
          </cell>
          <cell r="J231" t="e">
            <v>#N/A</v>
          </cell>
          <cell r="K231" t="e">
            <v>#N/A</v>
          </cell>
          <cell r="L231" t="e">
            <v>#N/A</v>
          </cell>
          <cell r="M231" t="e">
            <v>#N/A</v>
          </cell>
          <cell r="N231" t="e">
            <v>#N/A</v>
          </cell>
          <cell r="O231" t="e">
            <v>#N/A</v>
          </cell>
          <cell r="P231">
            <v>12.42</v>
          </cell>
          <cell r="Q231">
            <v>1.6023179999999999</v>
          </cell>
          <cell r="R231" t="e">
            <v>#N/A</v>
          </cell>
        </row>
        <row r="232">
          <cell r="A232">
            <v>40309</v>
          </cell>
          <cell r="B232">
            <v>40309</v>
          </cell>
          <cell r="C232" t="str">
            <v>Past</v>
          </cell>
          <cell r="D232">
            <v>12.46</v>
          </cell>
          <cell r="E232" t="e">
            <v>#N/A</v>
          </cell>
          <cell r="F232" t="e">
            <v>#N/A</v>
          </cell>
          <cell r="G232" t="e">
            <v>#N/A</v>
          </cell>
          <cell r="H232" t="e">
            <v>#N/A</v>
          </cell>
          <cell r="I232" t="e">
            <v>#N/A</v>
          </cell>
          <cell r="J232" t="e">
            <v>#N/A</v>
          </cell>
          <cell r="K232" t="e">
            <v>#N/A</v>
          </cell>
          <cell r="L232" t="e">
            <v>#N/A</v>
          </cell>
          <cell r="M232" t="e">
            <v>#N/A</v>
          </cell>
          <cell r="N232" t="e">
            <v>#N/A</v>
          </cell>
          <cell r="O232" t="e">
            <v>#N/A</v>
          </cell>
          <cell r="P232">
            <v>12.46</v>
          </cell>
          <cell r="Q232">
            <v>1.645672</v>
          </cell>
          <cell r="R232" t="e">
            <v>#N/A</v>
          </cell>
        </row>
        <row r="233">
          <cell r="A233">
            <v>40310</v>
          </cell>
          <cell r="B233">
            <v>40310</v>
          </cell>
          <cell r="C233" t="str">
            <v>Past</v>
          </cell>
          <cell r="D233">
            <v>12.74</v>
          </cell>
          <cell r="E233" t="e">
            <v>#N/A</v>
          </cell>
          <cell r="F233" t="e">
            <v>#N/A</v>
          </cell>
          <cell r="G233" t="e">
            <v>#N/A</v>
          </cell>
          <cell r="H233" t="e">
            <v>#N/A</v>
          </cell>
          <cell r="I233" t="e">
            <v>#N/A</v>
          </cell>
          <cell r="J233" t="e">
            <v>#N/A</v>
          </cell>
          <cell r="K233" t="e">
            <v>#N/A</v>
          </cell>
          <cell r="L233" t="e">
            <v>#N/A</v>
          </cell>
          <cell r="M233" t="e">
            <v>#N/A</v>
          </cell>
          <cell r="N233" t="e">
            <v>#N/A</v>
          </cell>
          <cell r="O233" t="e">
            <v>#N/A</v>
          </cell>
          <cell r="P233">
            <v>12.74</v>
          </cell>
          <cell r="Q233">
            <v>1.823553</v>
          </cell>
          <cell r="R233" t="e">
            <v>#N/A</v>
          </cell>
        </row>
        <row r="234">
          <cell r="A234">
            <v>40311</v>
          </cell>
          <cell r="B234">
            <v>40311</v>
          </cell>
          <cell r="C234" t="str">
            <v>Past</v>
          </cell>
          <cell r="D234">
            <v>12.56</v>
          </cell>
          <cell r="E234" t="e">
            <v>#N/A</v>
          </cell>
          <cell r="F234" t="e">
            <v>#N/A</v>
          </cell>
          <cell r="G234" t="e">
            <v>#N/A</v>
          </cell>
          <cell r="H234" t="e">
            <v>#N/A</v>
          </cell>
          <cell r="I234" t="e">
            <v>#N/A</v>
          </cell>
          <cell r="J234" t="e">
            <v>#N/A</v>
          </cell>
          <cell r="K234" t="e">
            <v>#N/A</v>
          </cell>
          <cell r="L234" t="e">
            <v>#N/A</v>
          </cell>
          <cell r="M234" t="e">
            <v>#N/A</v>
          </cell>
          <cell r="N234" t="e">
            <v>#N/A</v>
          </cell>
          <cell r="O234" t="e">
            <v>#N/A</v>
          </cell>
          <cell r="P234">
            <v>12.56</v>
          </cell>
          <cell r="Q234">
            <v>1.317496</v>
          </cell>
          <cell r="R234" t="e">
            <v>#N/A</v>
          </cell>
        </row>
        <row r="235">
          <cell r="A235">
            <v>40312</v>
          </cell>
          <cell r="B235">
            <v>40312</v>
          </cell>
          <cell r="C235" t="str">
            <v>Past</v>
          </cell>
          <cell r="D235">
            <v>12.41</v>
          </cell>
          <cell r="E235" t="e">
            <v>#N/A</v>
          </cell>
          <cell r="F235" t="e">
            <v>#N/A</v>
          </cell>
          <cell r="G235" t="e">
            <v>#N/A</v>
          </cell>
          <cell r="H235" t="e">
            <v>#N/A</v>
          </cell>
          <cell r="I235" t="e">
            <v>#N/A</v>
          </cell>
          <cell r="J235" t="e">
            <v>#N/A</v>
          </cell>
          <cell r="K235" t="e">
            <v>#N/A</v>
          </cell>
          <cell r="L235" t="e">
            <v>#N/A</v>
          </cell>
          <cell r="M235" t="e">
            <v>#N/A</v>
          </cell>
          <cell r="N235" t="e">
            <v>#N/A</v>
          </cell>
          <cell r="O235" t="e">
            <v>#N/A</v>
          </cell>
          <cell r="P235">
            <v>12.41</v>
          </cell>
          <cell r="Q235">
            <v>1.7794029999999998</v>
          </cell>
          <cell r="R235" t="e">
            <v>#N/A</v>
          </cell>
        </row>
        <row r="236">
          <cell r="A236">
            <v>40315</v>
          </cell>
          <cell r="B236">
            <v>40315</v>
          </cell>
          <cell r="C236" t="str">
            <v>Past</v>
          </cell>
          <cell r="D236">
            <v>12.35</v>
          </cell>
          <cell r="E236" t="e">
            <v>#N/A</v>
          </cell>
          <cell r="F236" t="e">
            <v>#N/A</v>
          </cell>
          <cell r="G236" t="e">
            <v>#N/A</v>
          </cell>
          <cell r="H236" t="e">
            <v>#N/A</v>
          </cell>
          <cell r="I236" t="e">
            <v>#N/A</v>
          </cell>
          <cell r="J236" t="e">
            <v>#N/A</v>
          </cell>
          <cell r="K236" t="e">
            <v>#N/A</v>
          </cell>
          <cell r="L236" t="e">
            <v>#N/A</v>
          </cell>
          <cell r="M236" t="e">
            <v>#N/A</v>
          </cell>
          <cell r="N236" t="e">
            <v>#N/A</v>
          </cell>
          <cell r="O236" t="e">
            <v>#N/A</v>
          </cell>
          <cell r="P236">
            <v>12.35</v>
          </cell>
          <cell r="Q236">
            <v>1.611421</v>
          </cell>
          <cell r="R236" t="e">
            <v>#N/A</v>
          </cell>
        </row>
        <row r="237">
          <cell r="A237">
            <v>40316</v>
          </cell>
          <cell r="B237">
            <v>40316</v>
          </cell>
          <cell r="C237" t="str">
            <v>Past</v>
          </cell>
          <cell r="D237">
            <v>12.25</v>
          </cell>
          <cell r="E237" t="e">
            <v>#N/A</v>
          </cell>
          <cell r="F237" t="e">
            <v>#N/A</v>
          </cell>
          <cell r="G237" t="e">
            <v>#N/A</v>
          </cell>
          <cell r="H237" t="e">
            <v>#N/A</v>
          </cell>
          <cell r="I237" t="e">
            <v>#N/A</v>
          </cell>
          <cell r="J237" t="e">
            <v>#N/A</v>
          </cell>
          <cell r="K237" t="e">
            <v>#N/A</v>
          </cell>
          <cell r="L237" t="e">
            <v>#N/A</v>
          </cell>
          <cell r="M237" t="e">
            <v>#N/A</v>
          </cell>
          <cell r="N237" t="e">
            <v>#N/A</v>
          </cell>
          <cell r="O237" t="e">
            <v>#N/A</v>
          </cell>
          <cell r="P237">
            <v>12.25</v>
          </cell>
          <cell r="Q237">
            <v>1.4101409999999999</v>
          </cell>
          <cell r="R237" t="e">
            <v>#N/A</v>
          </cell>
        </row>
        <row r="238">
          <cell r="A238">
            <v>40317</v>
          </cell>
          <cell r="B238">
            <v>40317</v>
          </cell>
          <cell r="C238" t="str">
            <v>Past</v>
          </cell>
          <cell r="D238">
            <v>12.12</v>
          </cell>
          <cell r="E238" t="e">
            <v>#N/A</v>
          </cell>
          <cell r="F238" t="e">
            <v>#N/A</v>
          </cell>
          <cell r="G238" t="e">
            <v>#N/A</v>
          </cell>
          <cell r="H238" t="e">
            <v>#N/A</v>
          </cell>
          <cell r="I238" t="e">
            <v>#N/A</v>
          </cell>
          <cell r="J238" t="e">
            <v>#N/A</v>
          </cell>
          <cell r="K238" t="e">
            <v>#N/A</v>
          </cell>
          <cell r="L238" t="e">
            <v>#N/A</v>
          </cell>
          <cell r="M238" t="e">
            <v>#N/A</v>
          </cell>
          <cell r="N238" t="e">
            <v>#N/A</v>
          </cell>
          <cell r="O238" t="e">
            <v>#N/A</v>
          </cell>
          <cell r="P238">
            <v>12.12</v>
          </cell>
          <cell r="Q238">
            <v>2.0616829999999999</v>
          </cell>
          <cell r="R238" t="e">
            <v>#N/A</v>
          </cell>
        </row>
        <row r="239">
          <cell r="A239">
            <v>40318</v>
          </cell>
          <cell r="B239">
            <v>40318</v>
          </cell>
          <cell r="C239" t="str">
            <v>Past</v>
          </cell>
          <cell r="D239">
            <v>11.77</v>
          </cell>
          <cell r="E239" t="e">
            <v>#N/A</v>
          </cell>
          <cell r="F239" t="e">
            <v>#N/A</v>
          </cell>
          <cell r="G239" t="e">
            <v>#N/A</v>
          </cell>
          <cell r="H239" t="e">
            <v>#N/A</v>
          </cell>
          <cell r="I239" t="e">
            <v>#N/A</v>
          </cell>
          <cell r="J239" t="e">
            <v>#N/A</v>
          </cell>
          <cell r="K239" t="e">
            <v>#N/A</v>
          </cell>
          <cell r="L239" t="e">
            <v>#N/A</v>
          </cell>
          <cell r="M239" t="e">
            <v>#N/A</v>
          </cell>
          <cell r="N239" t="e">
            <v>#N/A</v>
          </cell>
          <cell r="O239" t="e">
            <v>#N/A</v>
          </cell>
          <cell r="P239">
            <v>11.77</v>
          </cell>
          <cell r="Q239">
            <v>2.752262</v>
          </cell>
          <cell r="R239" t="e">
            <v>#N/A</v>
          </cell>
        </row>
        <row r="240">
          <cell r="A240">
            <v>40319</v>
          </cell>
          <cell r="B240">
            <v>40319</v>
          </cell>
          <cell r="C240" t="str">
            <v>Past</v>
          </cell>
          <cell r="D240">
            <v>11.89</v>
          </cell>
          <cell r="E240" t="e">
            <v>#N/A</v>
          </cell>
          <cell r="F240" t="e">
            <v>#N/A</v>
          </cell>
          <cell r="G240" t="e">
            <v>#N/A</v>
          </cell>
          <cell r="H240" t="e">
            <v>#N/A</v>
          </cell>
          <cell r="I240" t="e">
            <v>#N/A</v>
          </cell>
          <cell r="J240" t="e">
            <v>#N/A</v>
          </cell>
          <cell r="K240" t="e">
            <v>#N/A</v>
          </cell>
          <cell r="L240" t="e">
            <v>#N/A</v>
          </cell>
          <cell r="M240" t="e">
            <v>#N/A</v>
          </cell>
          <cell r="N240" t="e">
            <v>#N/A</v>
          </cell>
          <cell r="O240" t="e">
            <v>#N/A</v>
          </cell>
          <cell r="P240">
            <v>11.89</v>
          </cell>
          <cell r="Q240">
            <v>2.8777209999999998</v>
          </cell>
          <cell r="R240" t="e">
            <v>#N/A</v>
          </cell>
        </row>
        <row r="241">
          <cell r="A241">
            <v>40322</v>
          </cell>
          <cell r="B241">
            <v>40322</v>
          </cell>
          <cell r="C241" t="str">
            <v>Past</v>
          </cell>
          <cell r="D241">
            <v>11.81</v>
          </cell>
          <cell r="E241" t="e">
            <v>#N/A</v>
          </cell>
          <cell r="F241" t="e">
            <v>#N/A</v>
          </cell>
          <cell r="G241" t="e">
            <v>#N/A</v>
          </cell>
          <cell r="H241" t="e">
            <v>#N/A</v>
          </cell>
          <cell r="I241" t="e">
            <v>#N/A</v>
          </cell>
          <cell r="J241" t="e">
            <v>#N/A</v>
          </cell>
          <cell r="K241" t="e">
            <v>#N/A</v>
          </cell>
          <cell r="L241" t="e">
            <v>#N/A</v>
          </cell>
          <cell r="M241" t="e">
            <v>#N/A</v>
          </cell>
          <cell r="N241" t="e">
            <v>#N/A</v>
          </cell>
          <cell r="O241" t="e">
            <v>#N/A</v>
          </cell>
          <cell r="P241">
            <v>11.81</v>
          </cell>
          <cell r="Q241">
            <v>2.0820590000000001</v>
          </cell>
          <cell r="R241" t="e">
            <v>#N/A</v>
          </cell>
        </row>
        <row r="242">
          <cell r="A242">
            <v>40323</v>
          </cell>
          <cell r="B242">
            <v>40323</v>
          </cell>
          <cell r="C242" t="str">
            <v>Past</v>
          </cell>
          <cell r="D242">
            <v>11.69</v>
          </cell>
          <cell r="E242" t="e">
            <v>#N/A</v>
          </cell>
          <cell r="F242" t="e">
            <v>#N/A</v>
          </cell>
          <cell r="G242" t="e">
            <v>#N/A</v>
          </cell>
          <cell r="H242" t="e">
            <v>#N/A</v>
          </cell>
          <cell r="I242" t="e">
            <v>#N/A</v>
          </cell>
          <cell r="J242" t="e">
            <v>#N/A</v>
          </cell>
          <cell r="K242" t="e">
            <v>#N/A</v>
          </cell>
          <cell r="L242" t="e">
            <v>#N/A</v>
          </cell>
          <cell r="M242" t="e">
            <v>#N/A</v>
          </cell>
          <cell r="N242" t="e">
            <v>#N/A</v>
          </cell>
          <cell r="O242" t="e">
            <v>#N/A</v>
          </cell>
          <cell r="P242">
            <v>11.69</v>
          </cell>
          <cell r="Q242">
            <v>4.9853079999999999</v>
          </cell>
          <cell r="R242" t="e">
            <v>#N/A</v>
          </cell>
        </row>
        <row r="243">
          <cell r="A243">
            <v>40324</v>
          </cell>
          <cell r="B243">
            <v>40324</v>
          </cell>
          <cell r="C243" t="str">
            <v>Past</v>
          </cell>
          <cell r="D243">
            <v>11.78</v>
          </cell>
          <cell r="E243" t="e">
            <v>#N/A</v>
          </cell>
          <cell r="F243" t="e">
            <v>#N/A</v>
          </cell>
          <cell r="G243" t="e">
            <v>#N/A</v>
          </cell>
          <cell r="H243" t="e">
            <v>#N/A</v>
          </cell>
          <cell r="I243" t="e">
            <v>#N/A</v>
          </cell>
          <cell r="J243" t="e">
            <v>#N/A</v>
          </cell>
          <cell r="K243" t="e">
            <v>#N/A</v>
          </cell>
          <cell r="L243" t="e">
            <v>#N/A</v>
          </cell>
          <cell r="M243" t="e">
            <v>#N/A</v>
          </cell>
          <cell r="N243" t="e">
            <v>#N/A</v>
          </cell>
          <cell r="O243" t="e">
            <v>#N/A</v>
          </cell>
          <cell r="P243">
            <v>11.78</v>
          </cell>
          <cell r="Q243">
            <v>3.5629729999999999</v>
          </cell>
          <cell r="R243" t="e">
            <v>#N/A</v>
          </cell>
        </row>
        <row r="244">
          <cell r="A244">
            <v>40325</v>
          </cell>
          <cell r="B244">
            <v>40325</v>
          </cell>
          <cell r="C244" t="str">
            <v>Past</v>
          </cell>
          <cell r="D244">
            <v>11.69</v>
          </cell>
          <cell r="E244" t="e">
            <v>#N/A</v>
          </cell>
          <cell r="F244" t="e">
            <v>#N/A</v>
          </cell>
          <cell r="G244" t="e">
            <v>#N/A</v>
          </cell>
          <cell r="H244" t="e">
            <v>#N/A</v>
          </cell>
          <cell r="I244" t="e">
            <v>#N/A</v>
          </cell>
          <cell r="J244" t="e">
            <v>#N/A</v>
          </cell>
          <cell r="K244" t="e">
            <v>#N/A</v>
          </cell>
          <cell r="L244" t="e">
            <v>#N/A</v>
          </cell>
          <cell r="M244" t="e">
            <v>#N/A</v>
          </cell>
          <cell r="N244" t="e">
            <v>#N/A</v>
          </cell>
          <cell r="O244" t="e">
            <v>#N/A</v>
          </cell>
          <cell r="P244">
            <v>11.69</v>
          </cell>
          <cell r="Q244">
            <v>1.725136</v>
          </cell>
          <cell r="R244" t="e">
            <v>#N/A</v>
          </cell>
        </row>
        <row r="245">
          <cell r="A245">
            <v>40326</v>
          </cell>
          <cell r="B245">
            <v>40326</v>
          </cell>
          <cell r="C245" t="str">
            <v>Past</v>
          </cell>
          <cell r="D245">
            <v>11.79</v>
          </cell>
          <cell r="E245" t="e">
            <v>#N/A</v>
          </cell>
          <cell r="F245" t="e">
            <v>#N/A</v>
          </cell>
          <cell r="G245" t="e">
            <v>#N/A</v>
          </cell>
          <cell r="H245" t="e">
            <v>#N/A</v>
          </cell>
          <cell r="I245" t="e">
            <v>#N/A</v>
          </cell>
          <cell r="J245" t="e">
            <v>#N/A</v>
          </cell>
          <cell r="K245" t="e">
            <v>#N/A</v>
          </cell>
          <cell r="L245" t="e">
            <v>#N/A</v>
          </cell>
          <cell r="M245" t="e">
            <v>#N/A</v>
          </cell>
          <cell r="N245" t="e">
            <v>#N/A</v>
          </cell>
          <cell r="O245" t="e">
            <v>#N/A</v>
          </cell>
          <cell r="P245">
            <v>11.79</v>
          </cell>
          <cell r="Q245">
            <v>2.8304469999999999</v>
          </cell>
          <cell r="R245" t="e">
            <v>#N/A</v>
          </cell>
        </row>
        <row r="246">
          <cell r="A246">
            <v>40330</v>
          </cell>
          <cell r="B246">
            <v>40330</v>
          </cell>
          <cell r="C246" t="str">
            <v>Past</v>
          </cell>
          <cell r="D246">
            <v>11.6</v>
          </cell>
          <cell r="E246" t="e">
            <v>#N/A</v>
          </cell>
          <cell r="F246" t="e">
            <v>#N/A</v>
          </cell>
          <cell r="G246" t="e">
            <v>#N/A</v>
          </cell>
          <cell r="H246" t="e">
            <v>#N/A</v>
          </cell>
          <cell r="I246" t="e">
            <v>#N/A</v>
          </cell>
          <cell r="J246" t="e">
            <v>#N/A</v>
          </cell>
          <cell r="K246" t="e">
            <v>#N/A</v>
          </cell>
          <cell r="L246" t="e">
            <v>#N/A</v>
          </cell>
          <cell r="M246" t="e">
            <v>#N/A</v>
          </cell>
          <cell r="N246" t="e">
            <v>#N/A</v>
          </cell>
          <cell r="O246" t="e">
            <v>#N/A</v>
          </cell>
          <cell r="P246">
            <v>11.6</v>
          </cell>
          <cell r="Q246">
            <v>1.8102</v>
          </cell>
          <cell r="R246" t="e">
            <v>#N/A</v>
          </cell>
        </row>
        <row r="247">
          <cell r="A247">
            <v>40331</v>
          </cell>
          <cell r="B247">
            <v>40331</v>
          </cell>
          <cell r="C247" t="str">
            <v>Past</v>
          </cell>
          <cell r="D247">
            <v>11.87</v>
          </cell>
          <cell r="E247" t="e">
            <v>#N/A</v>
          </cell>
          <cell r="F247" t="e">
            <v>#N/A</v>
          </cell>
          <cell r="G247" t="e">
            <v>#N/A</v>
          </cell>
          <cell r="H247" t="e">
            <v>#N/A</v>
          </cell>
          <cell r="I247" t="e">
            <v>#N/A</v>
          </cell>
          <cell r="J247" t="e">
            <v>#N/A</v>
          </cell>
          <cell r="K247" t="e">
            <v>#N/A</v>
          </cell>
          <cell r="L247" t="e">
            <v>#N/A</v>
          </cell>
          <cell r="M247" t="e">
            <v>#N/A</v>
          </cell>
          <cell r="N247" t="e">
            <v>#N/A</v>
          </cell>
          <cell r="O247" t="e">
            <v>#N/A</v>
          </cell>
          <cell r="P247">
            <v>11.87</v>
          </cell>
          <cell r="Q247">
            <v>1.2998000000000001</v>
          </cell>
          <cell r="R247" t="e">
            <v>#N/A</v>
          </cell>
        </row>
        <row r="248">
          <cell r="A248">
            <v>40332</v>
          </cell>
          <cell r="B248">
            <v>40332</v>
          </cell>
          <cell r="C248" t="str">
            <v>Past</v>
          </cell>
          <cell r="D248">
            <v>12.14</v>
          </cell>
          <cell r="E248" t="e">
            <v>#N/A</v>
          </cell>
          <cell r="F248" t="e">
            <v>#N/A</v>
          </cell>
          <cell r="G248" t="e">
            <v>#N/A</v>
          </cell>
          <cell r="H248" t="e">
            <v>#N/A</v>
          </cell>
          <cell r="I248" t="e">
            <v>#N/A</v>
          </cell>
          <cell r="J248" t="e">
            <v>#N/A</v>
          </cell>
          <cell r="K248" t="e">
            <v>#N/A</v>
          </cell>
          <cell r="L248" t="e">
            <v>#N/A</v>
          </cell>
          <cell r="M248" t="e">
            <v>#N/A</v>
          </cell>
          <cell r="N248" t="e">
            <v>#N/A</v>
          </cell>
          <cell r="O248" t="e">
            <v>#N/A</v>
          </cell>
          <cell r="P248">
            <v>12.14</v>
          </cell>
          <cell r="Q248">
            <v>1.155041</v>
          </cell>
          <cell r="R248" t="e">
            <v>#N/A</v>
          </cell>
        </row>
        <row r="249">
          <cell r="A249">
            <v>40333</v>
          </cell>
          <cell r="B249">
            <v>40333</v>
          </cell>
          <cell r="C249" t="str">
            <v>Past</v>
          </cell>
          <cell r="D249">
            <v>11.7</v>
          </cell>
          <cell r="E249" t="e">
            <v>#N/A</v>
          </cell>
          <cell r="F249" t="e">
            <v>#N/A</v>
          </cell>
          <cell r="G249" t="e">
            <v>#N/A</v>
          </cell>
          <cell r="H249" t="e">
            <v>#N/A</v>
          </cell>
          <cell r="I249" t="e">
            <v>#N/A</v>
          </cell>
          <cell r="J249" t="e">
            <v>#N/A</v>
          </cell>
          <cell r="K249" t="e">
            <v>#N/A</v>
          </cell>
          <cell r="L249" t="e">
            <v>#N/A</v>
          </cell>
          <cell r="M249" t="e">
            <v>#N/A</v>
          </cell>
          <cell r="N249" t="e">
            <v>#N/A</v>
          </cell>
          <cell r="O249" t="e">
            <v>#N/A</v>
          </cell>
          <cell r="P249">
            <v>11.7</v>
          </cell>
          <cell r="Q249">
            <v>2.746337</v>
          </cell>
          <cell r="R249" t="e">
            <v>#N/A</v>
          </cell>
        </row>
        <row r="250">
          <cell r="A250">
            <v>40336</v>
          </cell>
          <cell r="B250">
            <v>40336</v>
          </cell>
          <cell r="C250" t="str">
            <v>Past</v>
          </cell>
          <cell r="D250">
            <v>11.88</v>
          </cell>
          <cell r="E250" t="e">
            <v>#N/A</v>
          </cell>
          <cell r="F250" t="e">
            <v>#N/A</v>
          </cell>
          <cell r="G250" t="e">
            <v>#N/A</v>
          </cell>
          <cell r="H250" t="e">
            <v>#N/A</v>
          </cell>
          <cell r="I250" t="e">
            <v>#N/A</v>
          </cell>
          <cell r="J250" t="e">
            <v>#N/A</v>
          </cell>
          <cell r="K250" t="e">
            <v>#N/A</v>
          </cell>
          <cell r="L250" t="e">
            <v>#N/A</v>
          </cell>
          <cell r="M250" t="e">
            <v>#N/A</v>
          </cell>
          <cell r="N250" t="e">
            <v>#N/A</v>
          </cell>
          <cell r="O250" t="e">
            <v>#N/A</v>
          </cell>
          <cell r="P250">
            <v>11.88</v>
          </cell>
          <cell r="Q250">
            <v>2.357313</v>
          </cell>
          <cell r="R250" t="e">
            <v>#N/A</v>
          </cell>
        </row>
        <row r="251">
          <cell r="A251">
            <v>40337</v>
          </cell>
          <cell r="B251">
            <v>40337</v>
          </cell>
          <cell r="C251" t="str">
            <v>Past</v>
          </cell>
          <cell r="D251">
            <v>11.96</v>
          </cell>
          <cell r="E251" t="e">
            <v>#N/A</v>
          </cell>
          <cell r="F251" t="e">
            <v>#N/A</v>
          </cell>
          <cell r="G251" t="e">
            <v>#N/A</v>
          </cell>
          <cell r="H251" t="e">
            <v>#N/A</v>
          </cell>
          <cell r="I251" t="e">
            <v>#N/A</v>
          </cell>
          <cell r="J251" t="e">
            <v>#N/A</v>
          </cell>
          <cell r="K251" t="e">
            <v>#N/A</v>
          </cell>
          <cell r="L251" t="e">
            <v>#N/A</v>
          </cell>
          <cell r="M251" t="e">
            <v>#N/A</v>
          </cell>
          <cell r="N251" t="e">
            <v>#N/A</v>
          </cell>
          <cell r="O251" t="e">
            <v>#N/A</v>
          </cell>
          <cell r="P251">
            <v>11.96</v>
          </cell>
          <cell r="Q251">
            <v>2.3212519999999999</v>
          </cell>
          <cell r="R251" t="e">
            <v>#N/A</v>
          </cell>
        </row>
        <row r="252">
          <cell r="A252">
            <v>40338</v>
          </cell>
          <cell r="B252">
            <v>40338</v>
          </cell>
          <cell r="C252" t="str">
            <v>Past</v>
          </cell>
          <cell r="D252">
            <v>11.75</v>
          </cell>
          <cell r="E252" t="e">
            <v>#N/A</v>
          </cell>
          <cell r="F252" t="e">
            <v>#N/A</v>
          </cell>
          <cell r="G252" t="e">
            <v>#N/A</v>
          </cell>
          <cell r="H252" t="e">
            <v>#N/A</v>
          </cell>
          <cell r="I252" t="e">
            <v>#N/A</v>
          </cell>
          <cell r="J252" t="e">
            <v>#N/A</v>
          </cell>
          <cell r="K252" t="e">
            <v>#N/A</v>
          </cell>
          <cell r="L252" t="e">
            <v>#N/A</v>
          </cell>
          <cell r="M252" t="e">
            <v>#N/A</v>
          </cell>
          <cell r="N252" t="e">
            <v>#N/A</v>
          </cell>
          <cell r="O252" t="e">
            <v>#N/A</v>
          </cell>
          <cell r="P252">
            <v>11.75</v>
          </cell>
          <cell r="Q252">
            <v>1.6222349999999999</v>
          </cell>
          <cell r="R252" t="e">
            <v>#N/A</v>
          </cell>
        </row>
        <row r="253">
          <cell r="A253">
            <v>40339</v>
          </cell>
          <cell r="B253">
            <v>40339</v>
          </cell>
          <cell r="C253" t="str">
            <v>Past</v>
          </cell>
          <cell r="D253">
            <v>12.06</v>
          </cell>
          <cell r="E253" t="e">
            <v>#N/A</v>
          </cell>
          <cell r="F253" t="e">
            <v>#N/A</v>
          </cell>
          <cell r="G253" t="e">
            <v>#N/A</v>
          </cell>
          <cell r="H253" t="e">
            <v>#N/A</v>
          </cell>
          <cell r="I253" t="e">
            <v>#N/A</v>
          </cell>
          <cell r="J253" t="e">
            <v>#N/A</v>
          </cell>
          <cell r="K253" t="e">
            <v>#N/A</v>
          </cell>
          <cell r="L253" t="e">
            <v>#N/A</v>
          </cell>
          <cell r="M253" t="e">
            <v>#N/A</v>
          </cell>
          <cell r="N253" t="e">
            <v>#N/A</v>
          </cell>
          <cell r="O253" t="e">
            <v>#N/A</v>
          </cell>
          <cell r="P253">
            <v>12.06</v>
          </cell>
          <cell r="Q253">
            <v>1.7997719999999999</v>
          </cell>
          <cell r="R253" t="e">
            <v>#N/A</v>
          </cell>
        </row>
        <row r="254">
          <cell r="A254">
            <v>40340</v>
          </cell>
          <cell r="B254">
            <v>40340</v>
          </cell>
          <cell r="C254" t="str">
            <v>Past</v>
          </cell>
          <cell r="D254">
            <v>12.06</v>
          </cell>
          <cell r="E254" t="e">
            <v>#N/A</v>
          </cell>
          <cell r="F254" t="e">
            <v>#N/A</v>
          </cell>
          <cell r="G254" t="e">
            <v>#N/A</v>
          </cell>
          <cell r="H254" t="e">
            <v>#N/A</v>
          </cell>
          <cell r="I254" t="e">
            <v>#N/A</v>
          </cell>
          <cell r="J254" t="e">
            <v>#N/A</v>
          </cell>
          <cell r="K254" t="e">
            <v>#N/A</v>
          </cell>
          <cell r="L254" t="e">
            <v>#N/A</v>
          </cell>
          <cell r="M254" t="e">
            <v>#N/A</v>
          </cell>
          <cell r="N254" t="e">
            <v>#N/A</v>
          </cell>
          <cell r="O254" t="e">
            <v>#N/A</v>
          </cell>
          <cell r="P254">
            <v>12.06</v>
          </cell>
          <cell r="Q254">
            <v>1.7262029999999999</v>
          </cell>
          <cell r="R254" t="e">
            <v>#N/A</v>
          </cell>
        </row>
        <row r="255">
          <cell r="A255">
            <v>40343</v>
          </cell>
          <cell r="B255">
            <v>40343</v>
          </cell>
          <cell r="C255" t="str">
            <v>Past</v>
          </cell>
          <cell r="D255">
            <v>12.21</v>
          </cell>
          <cell r="E255" t="e">
            <v>#N/A</v>
          </cell>
          <cell r="F255" t="e">
            <v>#N/A</v>
          </cell>
          <cell r="G255" t="e">
            <v>#N/A</v>
          </cell>
          <cell r="H255" t="e">
            <v>#N/A</v>
          </cell>
          <cell r="I255" t="e">
            <v>#N/A</v>
          </cell>
          <cell r="J255" t="e">
            <v>#N/A</v>
          </cell>
          <cell r="K255" t="e">
            <v>#N/A</v>
          </cell>
          <cell r="L255" t="e">
            <v>#N/A</v>
          </cell>
          <cell r="M255" t="e">
            <v>#N/A</v>
          </cell>
          <cell r="N255" t="e">
            <v>#N/A</v>
          </cell>
          <cell r="O255" t="e">
            <v>#N/A</v>
          </cell>
          <cell r="P255">
            <v>12.21</v>
          </cell>
          <cell r="Q255">
            <v>2.7275359999999997</v>
          </cell>
          <cell r="R255" t="e">
            <v>#N/A</v>
          </cell>
        </row>
        <row r="256">
          <cell r="A256">
            <v>40344</v>
          </cell>
          <cell r="B256">
            <v>40344</v>
          </cell>
          <cell r="C256" t="str">
            <v>Past</v>
          </cell>
          <cell r="D256">
            <v>12.52</v>
          </cell>
          <cell r="E256" t="e">
            <v>#N/A</v>
          </cell>
          <cell r="F256" t="e">
            <v>#N/A</v>
          </cell>
          <cell r="G256" t="e">
            <v>#N/A</v>
          </cell>
          <cell r="H256" t="e">
            <v>#N/A</v>
          </cell>
          <cell r="I256" t="e">
            <v>#N/A</v>
          </cell>
          <cell r="J256" t="e">
            <v>#N/A</v>
          </cell>
          <cell r="K256" t="e">
            <v>#N/A</v>
          </cell>
          <cell r="L256" t="e">
            <v>#N/A</v>
          </cell>
          <cell r="M256" t="e">
            <v>#N/A</v>
          </cell>
          <cell r="N256" t="e">
            <v>#N/A</v>
          </cell>
          <cell r="O256" t="e">
            <v>#N/A</v>
          </cell>
          <cell r="P256">
            <v>12.52</v>
          </cell>
          <cell r="Q256">
            <v>3.219265</v>
          </cell>
          <cell r="R256" t="e">
            <v>#N/A</v>
          </cell>
        </row>
        <row r="257">
          <cell r="A257">
            <v>40345</v>
          </cell>
          <cell r="B257">
            <v>40345</v>
          </cell>
          <cell r="C257" t="str">
            <v>Past</v>
          </cell>
          <cell r="D257">
            <v>12.6</v>
          </cell>
          <cell r="E257" t="e">
            <v>#N/A</v>
          </cell>
          <cell r="F257" t="e">
            <v>#N/A</v>
          </cell>
          <cell r="G257" t="e">
            <v>#N/A</v>
          </cell>
          <cell r="H257" t="e">
            <v>#N/A</v>
          </cell>
          <cell r="I257" t="e">
            <v>#N/A</v>
          </cell>
          <cell r="J257" t="e">
            <v>#N/A</v>
          </cell>
          <cell r="K257" t="e">
            <v>#N/A</v>
          </cell>
          <cell r="L257" t="e">
            <v>#N/A</v>
          </cell>
          <cell r="M257" t="e">
            <v>#N/A</v>
          </cell>
          <cell r="N257" t="e">
            <v>#N/A</v>
          </cell>
          <cell r="O257" t="e">
            <v>#N/A</v>
          </cell>
          <cell r="P257">
            <v>12.6</v>
          </cell>
          <cell r="Q257">
            <v>2.083361</v>
          </cell>
          <cell r="R257" t="e">
            <v>#N/A</v>
          </cell>
        </row>
        <row r="258">
          <cell r="A258">
            <v>40346</v>
          </cell>
          <cell r="B258">
            <v>40346</v>
          </cell>
          <cell r="C258" t="str">
            <v>Past</v>
          </cell>
          <cell r="D258">
            <v>12.72</v>
          </cell>
          <cell r="E258" t="e">
            <v>#N/A</v>
          </cell>
          <cell r="F258" t="e">
            <v>#N/A</v>
          </cell>
          <cell r="G258" t="e">
            <v>#N/A</v>
          </cell>
          <cell r="H258" t="e">
            <v>#N/A</v>
          </cell>
          <cell r="I258" t="e">
            <v>#N/A</v>
          </cell>
          <cell r="J258" t="e">
            <v>#N/A</v>
          </cell>
          <cell r="K258" t="e">
            <v>#N/A</v>
          </cell>
          <cell r="L258" t="e">
            <v>#N/A</v>
          </cell>
          <cell r="M258" t="e">
            <v>#N/A</v>
          </cell>
          <cell r="N258" t="e">
            <v>#N/A</v>
          </cell>
          <cell r="O258" t="e">
            <v>#N/A</v>
          </cell>
          <cell r="P258">
            <v>12.72</v>
          </cell>
          <cell r="Q258">
            <v>2.4469629999999998</v>
          </cell>
          <cell r="R258" t="e">
            <v>#N/A</v>
          </cell>
        </row>
        <row r="259">
          <cell r="A259">
            <v>40347</v>
          </cell>
          <cell r="B259">
            <v>40347</v>
          </cell>
          <cell r="C259" t="str">
            <v>Past</v>
          </cell>
          <cell r="D259">
            <v>12.59</v>
          </cell>
          <cell r="E259" t="e">
            <v>#N/A</v>
          </cell>
          <cell r="F259" t="e">
            <v>#N/A</v>
          </cell>
          <cell r="G259" t="e">
            <v>#N/A</v>
          </cell>
          <cell r="H259" t="e">
            <v>#N/A</v>
          </cell>
          <cell r="I259" t="e">
            <v>#N/A</v>
          </cell>
          <cell r="J259" t="e">
            <v>#N/A</v>
          </cell>
          <cell r="K259" t="e">
            <v>#N/A</v>
          </cell>
          <cell r="L259" t="e">
            <v>#N/A</v>
          </cell>
          <cell r="M259" t="e">
            <v>#N/A</v>
          </cell>
          <cell r="N259" t="e">
            <v>#N/A</v>
          </cell>
          <cell r="O259" t="e">
            <v>#N/A</v>
          </cell>
          <cell r="P259">
            <v>12.59</v>
          </cell>
          <cell r="Q259">
            <v>1.9597</v>
          </cell>
          <cell r="R259" t="e">
            <v>#N/A</v>
          </cell>
        </row>
        <row r="260">
          <cell r="A260">
            <v>40350</v>
          </cell>
          <cell r="B260">
            <v>40350</v>
          </cell>
          <cell r="C260" t="str">
            <v>Past</v>
          </cell>
          <cell r="D260">
            <v>12.49</v>
          </cell>
          <cell r="E260" t="e">
            <v>#N/A</v>
          </cell>
          <cell r="F260" t="e">
            <v>#N/A</v>
          </cell>
          <cell r="G260" t="e">
            <v>#N/A</v>
          </cell>
          <cell r="H260" t="e">
            <v>#N/A</v>
          </cell>
          <cell r="I260" t="e">
            <v>#N/A</v>
          </cell>
          <cell r="J260" t="e">
            <v>#N/A</v>
          </cell>
          <cell r="K260" t="e">
            <v>#N/A</v>
          </cell>
          <cell r="L260" t="e">
            <v>#N/A</v>
          </cell>
          <cell r="M260" t="e">
            <v>#N/A</v>
          </cell>
          <cell r="N260" t="e">
            <v>#N/A</v>
          </cell>
          <cell r="O260" t="e">
            <v>#N/A</v>
          </cell>
          <cell r="P260">
            <v>12.49</v>
          </cell>
          <cell r="Q260">
            <v>3.2103129999999998</v>
          </cell>
          <cell r="R260" t="e">
            <v>#N/A</v>
          </cell>
        </row>
        <row r="261">
          <cell r="A261">
            <v>40351</v>
          </cell>
          <cell r="B261">
            <v>40351</v>
          </cell>
          <cell r="C261" t="str">
            <v>Past</v>
          </cell>
          <cell r="D261">
            <v>12.19</v>
          </cell>
          <cell r="E261" t="e">
            <v>#N/A</v>
          </cell>
          <cell r="F261" t="e">
            <v>#N/A</v>
          </cell>
          <cell r="G261" t="e">
            <v>#N/A</v>
          </cell>
          <cell r="H261" t="e">
            <v>#N/A</v>
          </cell>
          <cell r="I261" t="e">
            <v>#N/A</v>
          </cell>
          <cell r="J261" t="e">
            <v>#N/A</v>
          </cell>
          <cell r="K261" t="e">
            <v>#N/A</v>
          </cell>
          <cell r="L261" t="e">
            <v>#N/A</v>
          </cell>
          <cell r="M261" t="e">
            <v>#N/A</v>
          </cell>
          <cell r="N261" t="e">
            <v>#N/A</v>
          </cell>
          <cell r="O261" t="e">
            <v>#N/A</v>
          </cell>
          <cell r="P261">
            <v>12.19</v>
          </cell>
          <cell r="Q261">
            <v>1.522295</v>
          </cell>
          <cell r="R261" t="e">
            <v>#N/A</v>
          </cell>
        </row>
        <row r="262">
          <cell r="A262">
            <v>40352</v>
          </cell>
          <cell r="B262">
            <v>40352</v>
          </cell>
          <cell r="C262" t="str">
            <v>Past</v>
          </cell>
          <cell r="D262">
            <v>12.02</v>
          </cell>
          <cell r="E262" t="e">
            <v>#N/A</v>
          </cell>
          <cell r="F262" t="e">
            <v>#N/A</v>
          </cell>
          <cell r="G262" t="e">
            <v>#N/A</v>
          </cell>
          <cell r="H262" t="e">
            <v>#N/A</v>
          </cell>
          <cell r="I262" t="e">
            <v>#N/A</v>
          </cell>
          <cell r="J262" t="e">
            <v>#N/A</v>
          </cell>
          <cell r="K262" t="e">
            <v>#N/A</v>
          </cell>
          <cell r="L262" t="e">
            <v>#N/A</v>
          </cell>
          <cell r="M262" t="e">
            <v>#N/A</v>
          </cell>
          <cell r="N262" t="e">
            <v>#N/A</v>
          </cell>
          <cell r="O262" t="e">
            <v>#N/A</v>
          </cell>
          <cell r="P262">
            <v>12.02</v>
          </cell>
          <cell r="Q262">
            <v>0.87350099999999997</v>
          </cell>
          <cell r="R262" t="e">
            <v>#N/A</v>
          </cell>
        </row>
        <row r="263">
          <cell r="A263">
            <v>40353</v>
          </cell>
          <cell r="B263">
            <v>40353</v>
          </cell>
          <cell r="C263" t="str">
            <v>Past</v>
          </cell>
          <cell r="D263">
            <v>11.96</v>
          </cell>
          <cell r="E263" t="e">
            <v>#N/A</v>
          </cell>
          <cell r="F263" t="e">
            <v>#N/A</v>
          </cell>
          <cell r="G263" t="e">
            <v>#N/A</v>
          </cell>
          <cell r="H263" t="e">
            <v>#N/A</v>
          </cell>
          <cell r="I263" t="e">
            <v>#N/A</v>
          </cell>
          <cell r="J263" t="e">
            <v>#N/A</v>
          </cell>
          <cell r="K263" t="e">
            <v>#N/A</v>
          </cell>
          <cell r="L263" t="e">
            <v>#N/A</v>
          </cell>
          <cell r="M263" t="e">
            <v>#N/A</v>
          </cell>
          <cell r="N263" t="e">
            <v>#N/A</v>
          </cell>
          <cell r="O263" t="e">
            <v>#N/A</v>
          </cell>
          <cell r="P263">
            <v>11.96</v>
          </cell>
          <cell r="Q263">
            <v>2.462377</v>
          </cell>
          <cell r="R263" t="e">
            <v>#N/A</v>
          </cell>
        </row>
        <row r="264">
          <cell r="A264">
            <v>40354</v>
          </cell>
          <cell r="B264">
            <v>40354</v>
          </cell>
          <cell r="C264" t="str">
            <v>Past</v>
          </cell>
          <cell r="D264">
            <v>12.07</v>
          </cell>
          <cell r="E264" t="e">
            <v>#N/A</v>
          </cell>
          <cell r="F264" t="e">
            <v>#N/A</v>
          </cell>
          <cell r="G264" t="e">
            <v>#N/A</v>
          </cell>
          <cell r="H264" t="e">
            <v>#N/A</v>
          </cell>
          <cell r="I264" t="e">
            <v>#N/A</v>
          </cell>
          <cell r="J264" t="e">
            <v>#N/A</v>
          </cell>
          <cell r="K264" t="e">
            <v>#N/A</v>
          </cell>
          <cell r="L264" t="e">
            <v>#N/A</v>
          </cell>
          <cell r="M264" t="e">
            <v>#N/A</v>
          </cell>
          <cell r="N264" t="e">
            <v>#N/A</v>
          </cell>
          <cell r="O264" t="e">
            <v>#N/A</v>
          </cell>
          <cell r="P264">
            <v>12.07</v>
          </cell>
          <cell r="Q264">
            <v>3.9080569999999999</v>
          </cell>
          <cell r="R264" t="e">
            <v>#N/A</v>
          </cell>
        </row>
        <row r="265">
          <cell r="A265">
            <v>40357</v>
          </cell>
          <cell r="B265">
            <v>40357</v>
          </cell>
          <cell r="C265" t="str">
            <v>Past</v>
          </cell>
          <cell r="D265">
            <v>12.13</v>
          </cell>
          <cell r="E265" t="e">
            <v>#N/A</v>
          </cell>
          <cell r="F265" t="e">
            <v>#N/A</v>
          </cell>
          <cell r="G265" t="e">
            <v>#N/A</v>
          </cell>
          <cell r="H265" t="e">
            <v>#N/A</v>
          </cell>
          <cell r="I265" t="e">
            <v>#N/A</v>
          </cell>
          <cell r="J265" t="e">
            <v>#N/A</v>
          </cell>
          <cell r="K265" t="e">
            <v>#N/A</v>
          </cell>
          <cell r="L265" t="e">
            <v>#N/A</v>
          </cell>
          <cell r="M265" t="e">
            <v>#N/A</v>
          </cell>
          <cell r="N265" t="e">
            <v>#N/A</v>
          </cell>
          <cell r="O265" t="e">
            <v>#N/A</v>
          </cell>
          <cell r="P265">
            <v>12.13</v>
          </cell>
          <cell r="Q265">
            <v>1.9079279999999998</v>
          </cell>
          <cell r="R265" t="e">
            <v>#N/A</v>
          </cell>
        </row>
        <row r="266">
          <cell r="A266">
            <v>40358</v>
          </cell>
          <cell r="B266">
            <v>40358</v>
          </cell>
          <cell r="C266" t="str">
            <v>Past</v>
          </cell>
          <cell r="D266">
            <v>11.93</v>
          </cell>
          <cell r="E266" t="e">
            <v>#N/A</v>
          </cell>
          <cell r="F266" t="e">
            <v>#N/A</v>
          </cell>
          <cell r="G266" t="e">
            <v>#N/A</v>
          </cell>
          <cell r="H266" t="e">
            <v>#N/A</v>
          </cell>
          <cell r="I266" t="e">
            <v>#N/A</v>
          </cell>
          <cell r="J266" t="e">
            <v>#N/A</v>
          </cell>
          <cell r="K266" t="e">
            <v>#N/A</v>
          </cell>
          <cell r="L266" t="e">
            <v>#N/A</v>
          </cell>
          <cell r="M266" t="e">
            <v>#N/A</v>
          </cell>
          <cell r="N266" t="e">
            <v>#N/A</v>
          </cell>
          <cell r="O266" t="e">
            <v>#N/A</v>
          </cell>
          <cell r="P266">
            <v>11.93</v>
          </cell>
          <cell r="Q266">
            <v>2.6454580000000001</v>
          </cell>
          <cell r="R266" t="e">
            <v>#N/A</v>
          </cell>
        </row>
        <row r="267">
          <cell r="A267">
            <v>40359</v>
          </cell>
          <cell r="B267">
            <v>40359</v>
          </cell>
          <cell r="C267" t="str">
            <v>Past</v>
          </cell>
          <cell r="D267">
            <v>11.81</v>
          </cell>
          <cell r="E267" t="e">
            <v>#N/A</v>
          </cell>
          <cell r="F267" t="e">
            <v>#N/A</v>
          </cell>
          <cell r="G267" t="e">
            <v>#N/A</v>
          </cell>
          <cell r="H267" t="e">
            <v>#N/A</v>
          </cell>
          <cell r="I267" t="e">
            <v>#N/A</v>
          </cell>
          <cell r="J267" t="e">
            <v>#N/A</v>
          </cell>
          <cell r="K267" t="e">
            <v>#N/A</v>
          </cell>
          <cell r="L267" t="e">
            <v>#N/A</v>
          </cell>
          <cell r="M267" t="e">
            <v>#N/A</v>
          </cell>
          <cell r="N267" t="e">
            <v>#N/A</v>
          </cell>
          <cell r="O267" t="e">
            <v>#N/A</v>
          </cell>
          <cell r="P267">
            <v>11.81</v>
          </cell>
          <cell r="Q267">
            <v>3.2041879999999998</v>
          </cell>
          <cell r="R267" t="e">
            <v>#N/A</v>
          </cell>
        </row>
        <row r="268">
          <cell r="A268">
            <v>40360</v>
          </cell>
          <cell r="B268">
            <v>40360</v>
          </cell>
          <cell r="C268" t="str">
            <v>Past</v>
          </cell>
          <cell r="D268">
            <v>11.75</v>
          </cell>
          <cell r="E268" t="e">
            <v>#N/A</v>
          </cell>
          <cell r="F268" t="e">
            <v>#N/A</v>
          </cell>
          <cell r="G268" t="e">
            <v>#N/A</v>
          </cell>
          <cell r="H268" t="e">
            <v>#N/A</v>
          </cell>
          <cell r="I268" t="e">
            <v>#N/A</v>
          </cell>
          <cell r="J268" t="e">
            <v>#N/A</v>
          </cell>
          <cell r="K268" t="e">
            <v>#N/A</v>
          </cell>
          <cell r="L268" t="e">
            <v>#N/A</v>
          </cell>
          <cell r="M268" t="e">
            <v>#N/A</v>
          </cell>
          <cell r="N268" t="e">
            <v>#N/A</v>
          </cell>
          <cell r="O268" t="e">
            <v>#N/A</v>
          </cell>
          <cell r="P268">
            <v>11.75</v>
          </cell>
          <cell r="Q268">
            <v>2.2558889999999998</v>
          </cell>
          <cell r="R268" t="e">
            <v>#N/A</v>
          </cell>
        </row>
        <row r="269">
          <cell r="A269">
            <v>40361</v>
          </cell>
          <cell r="B269">
            <v>40361</v>
          </cell>
          <cell r="C269" t="str">
            <v>Past</v>
          </cell>
          <cell r="D269">
            <v>11.79</v>
          </cell>
          <cell r="E269" t="e">
            <v>#N/A</v>
          </cell>
          <cell r="F269" t="e">
            <v>#N/A</v>
          </cell>
          <cell r="G269" t="e">
            <v>#N/A</v>
          </cell>
          <cell r="H269" t="e">
            <v>#N/A</v>
          </cell>
          <cell r="I269" t="e">
            <v>#N/A</v>
          </cell>
          <cell r="J269" t="e">
            <v>#N/A</v>
          </cell>
          <cell r="K269" t="e">
            <v>#N/A</v>
          </cell>
          <cell r="L269" t="e">
            <v>#N/A</v>
          </cell>
          <cell r="M269" t="e">
            <v>#N/A</v>
          </cell>
          <cell r="N269" t="e">
            <v>#N/A</v>
          </cell>
          <cell r="O269" t="e">
            <v>#N/A</v>
          </cell>
          <cell r="P269">
            <v>11.79</v>
          </cell>
          <cell r="Q269">
            <v>1.5568379999999999</v>
          </cell>
          <cell r="R269" t="e">
            <v>#N/A</v>
          </cell>
        </row>
        <row r="270">
          <cell r="A270">
            <v>40365</v>
          </cell>
          <cell r="B270">
            <v>40365</v>
          </cell>
          <cell r="C270" t="str">
            <v>Past</v>
          </cell>
          <cell r="D270">
            <v>11.95</v>
          </cell>
          <cell r="E270" t="e">
            <v>#N/A</v>
          </cell>
          <cell r="F270" t="e">
            <v>#N/A</v>
          </cell>
          <cell r="G270" t="e">
            <v>#N/A</v>
          </cell>
          <cell r="H270" t="e">
            <v>#N/A</v>
          </cell>
          <cell r="I270" t="e">
            <v>#N/A</v>
          </cell>
          <cell r="J270" t="e">
            <v>#N/A</v>
          </cell>
          <cell r="K270" t="e">
            <v>#N/A</v>
          </cell>
          <cell r="L270" t="e">
            <v>#N/A</v>
          </cell>
          <cell r="M270" t="e">
            <v>#N/A</v>
          </cell>
          <cell r="N270" t="e">
            <v>#N/A</v>
          </cell>
          <cell r="O270" t="e">
            <v>#N/A</v>
          </cell>
          <cell r="P270">
            <v>11.95</v>
          </cell>
          <cell r="Q270">
            <v>2.0747359999999997</v>
          </cell>
          <cell r="R270" t="e">
            <v>#N/A</v>
          </cell>
        </row>
        <row r="271">
          <cell r="A271">
            <v>40366</v>
          </cell>
          <cell r="B271">
            <v>40366</v>
          </cell>
          <cell r="C271" t="str">
            <v>Past</v>
          </cell>
          <cell r="D271">
            <v>12.3</v>
          </cell>
          <cell r="E271" t="e">
            <v>#N/A</v>
          </cell>
          <cell r="F271" t="e">
            <v>#N/A</v>
          </cell>
          <cell r="G271" t="e">
            <v>#N/A</v>
          </cell>
          <cell r="H271" t="e">
            <v>#N/A</v>
          </cell>
          <cell r="I271" t="e">
            <v>#N/A</v>
          </cell>
          <cell r="J271" t="e">
            <v>#N/A</v>
          </cell>
          <cell r="K271" t="e">
            <v>#N/A</v>
          </cell>
          <cell r="L271" t="e">
            <v>#N/A</v>
          </cell>
          <cell r="M271" t="e">
            <v>#N/A</v>
          </cell>
          <cell r="N271" t="e">
            <v>#N/A</v>
          </cell>
          <cell r="O271" t="e">
            <v>#N/A</v>
          </cell>
          <cell r="P271">
            <v>12.3</v>
          </cell>
          <cell r="Q271">
            <v>1.5029669999999999</v>
          </cell>
          <cell r="R271" t="e">
            <v>#N/A</v>
          </cell>
        </row>
        <row r="272">
          <cell r="A272">
            <v>40367</v>
          </cell>
          <cell r="B272">
            <v>40367</v>
          </cell>
          <cell r="C272" t="str">
            <v>Past</v>
          </cell>
          <cell r="D272">
            <v>12.26</v>
          </cell>
          <cell r="E272" t="e">
            <v>#N/A</v>
          </cell>
          <cell r="F272" t="e">
            <v>#N/A</v>
          </cell>
          <cell r="G272" t="e">
            <v>#N/A</v>
          </cell>
          <cell r="H272" t="e">
            <v>#N/A</v>
          </cell>
          <cell r="I272" t="e">
            <v>#N/A</v>
          </cell>
          <cell r="J272" t="e">
            <v>#N/A</v>
          </cell>
          <cell r="K272" t="e">
            <v>#N/A</v>
          </cell>
          <cell r="L272" t="e">
            <v>#N/A</v>
          </cell>
          <cell r="M272" t="e">
            <v>#N/A</v>
          </cell>
          <cell r="N272" t="e">
            <v>#N/A</v>
          </cell>
          <cell r="O272" t="e">
            <v>#N/A</v>
          </cell>
          <cell r="P272">
            <v>12.26</v>
          </cell>
          <cell r="Q272">
            <v>1.6987000000000001</v>
          </cell>
          <cell r="R272" t="e">
            <v>#N/A</v>
          </cell>
        </row>
        <row r="273">
          <cell r="A273">
            <v>40368</v>
          </cell>
          <cell r="B273">
            <v>40368</v>
          </cell>
          <cell r="C273" t="str">
            <v>Past</v>
          </cell>
          <cell r="D273">
            <v>12.6</v>
          </cell>
          <cell r="E273" t="e">
            <v>#N/A</v>
          </cell>
          <cell r="F273" t="e">
            <v>#N/A</v>
          </cell>
          <cell r="G273" t="e">
            <v>#N/A</v>
          </cell>
          <cell r="H273" t="e">
            <v>#N/A</v>
          </cell>
          <cell r="I273" t="e">
            <v>#N/A</v>
          </cell>
          <cell r="J273" t="e">
            <v>#N/A</v>
          </cell>
          <cell r="K273" t="e">
            <v>#N/A</v>
          </cell>
          <cell r="L273" t="e">
            <v>#N/A</v>
          </cell>
          <cell r="M273" t="e">
            <v>#N/A</v>
          </cell>
          <cell r="N273" t="e">
            <v>#N/A</v>
          </cell>
          <cell r="O273" t="e">
            <v>#N/A</v>
          </cell>
          <cell r="P273">
            <v>12.6</v>
          </cell>
          <cell r="Q273">
            <v>2.9425400000000002</v>
          </cell>
          <cell r="R273" t="e">
            <v>#N/A</v>
          </cell>
        </row>
        <row r="274">
          <cell r="A274">
            <v>40371</v>
          </cell>
          <cell r="B274">
            <v>40371</v>
          </cell>
          <cell r="C274" t="str">
            <v>Past</v>
          </cell>
          <cell r="D274">
            <v>12.68</v>
          </cell>
          <cell r="E274" t="e">
            <v>#N/A</v>
          </cell>
          <cell r="F274" t="e">
            <v>#N/A</v>
          </cell>
          <cell r="G274" t="e">
            <v>#N/A</v>
          </cell>
          <cell r="H274" t="e">
            <v>#N/A</v>
          </cell>
          <cell r="I274" t="e">
            <v>#N/A</v>
          </cell>
          <cell r="J274" t="e">
            <v>#N/A</v>
          </cell>
          <cell r="K274" t="e">
            <v>#N/A</v>
          </cell>
          <cell r="L274" t="e">
            <v>#N/A</v>
          </cell>
          <cell r="M274" t="e">
            <v>#N/A</v>
          </cell>
          <cell r="N274" t="e">
            <v>#N/A</v>
          </cell>
          <cell r="O274" t="e">
            <v>#N/A</v>
          </cell>
          <cell r="P274">
            <v>12.68</v>
          </cell>
          <cell r="Q274">
            <v>1.863105</v>
          </cell>
          <cell r="R274" t="e">
            <v>#N/A</v>
          </cell>
        </row>
        <row r="275">
          <cell r="A275">
            <v>40372</v>
          </cell>
          <cell r="B275">
            <v>40372</v>
          </cell>
          <cell r="C275" t="str">
            <v>Past</v>
          </cell>
          <cell r="D275">
            <v>12.68</v>
          </cell>
          <cell r="E275" t="e">
            <v>#N/A</v>
          </cell>
          <cell r="F275" t="e">
            <v>#N/A</v>
          </cell>
          <cell r="G275" t="e">
            <v>#N/A</v>
          </cell>
          <cell r="H275" t="e">
            <v>#N/A</v>
          </cell>
          <cell r="I275" t="e">
            <v>#N/A</v>
          </cell>
          <cell r="J275" t="e">
            <v>#N/A</v>
          </cell>
          <cell r="K275" t="e">
            <v>#N/A</v>
          </cell>
          <cell r="L275" t="e">
            <v>#N/A</v>
          </cell>
          <cell r="M275" t="e">
            <v>#N/A</v>
          </cell>
          <cell r="N275" t="e">
            <v>#N/A</v>
          </cell>
          <cell r="O275" t="e">
            <v>#N/A</v>
          </cell>
          <cell r="P275">
            <v>12.68</v>
          </cell>
          <cell r="Q275">
            <v>1.8854229999999998</v>
          </cell>
          <cell r="R275" t="e">
            <v>#N/A</v>
          </cell>
        </row>
        <row r="276">
          <cell r="A276">
            <v>40373</v>
          </cell>
          <cell r="B276">
            <v>40373</v>
          </cell>
          <cell r="C276" t="str">
            <v>Past</v>
          </cell>
          <cell r="D276">
            <v>12.76</v>
          </cell>
          <cell r="E276" t="e">
            <v>#N/A</v>
          </cell>
          <cell r="F276" t="e">
            <v>#N/A</v>
          </cell>
          <cell r="G276" t="e">
            <v>#N/A</v>
          </cell>
          <cell r="H276" t="e">
            <v>#N/A</v>
          </cell>
          <cell r="I276" t="e">
            <v>#N/A</v>
          </cell>
          <cell r="J276" t="e">
            <v>#N/A</v>
          </cell>
          <cell r="K276" t="e">
            <v>#N/A</v>
          </cell>
          <cell r="L276" t="e">
            <v>#N/A</v>
          </cell>
          <cell r="M276" t="e">
            <v>#N/A</v>
          </cell>
          <cell r="N276" t="e">
            <v>#N/A</v>
          </cell>
          <cell r="O276" t="e">
            <v>#N/A</v>
          </cell>
          <cell r="P276">
            <v>12.76</v>
          </cell>
          <cell r="Q276">
            <v>3.8541569999999998</v>
          </cell>
          <cell r="R276" t="e">
            <v>#N/A</v>
          </cell>
        </row>
        <row r="277">
          <cell r="A277">
            <v>40374</v>
          </cell>
          <cell r="B277">
            <v>40374</v>
          </cell>
          <cell r="C277" t="str">
            <v>Past</v>
          </cell>
          <cell r="D277">
            <v>12.77</v>
          </cell>
          <cell r="E277" t="e">
            <v>#N/A</v>
          </cell>
          <cell r="F277" t="e">
            <v>#N/A</v>
          </cell>
          <cell r="G277" t="e">
            <v>#N/A</v>
          </cell>
          <cell r="H277" t="e">
            <v>#N/A</v>
          </cell>
          <cell r="I277" t="e">
            <v>#N/A</v>
          </cell>
          <cell r="J277" t="e">
            <v>#N/A</v>
          </cell>
          <cell r="K277" t="e">
            <v>#N/A</v>
          </cell>
          <cell r="L277" t="e">
            <v>#N/A</v>
          </cell>
          <cell r="M277" t="e">
            <v>#N/A</v>
          </cell>
          <cell r="N277" t="e">
            <v>#N/A</v>
          </cell>
          <cell r="O277" t="e">
            <v>#N/A</v>
          </cell>
          <cell r="P277">
            <v>12.77</v>
          </cell>
          <cell r="Q277">
            <v>1.5362</v>
          </cell>
          <cell r="R277" t="e">
            <v>#N/A</v>
          </cell>
        </row>
        <row r="278">
          <cell r="A278">
            <v>40375</v>
          </cell>
          <cell r="B278">
            <v>40375</v>
          </cell>
          <cell r="C278" t="str">
            <v>Past</v>
          </cell>
          <cell r="D278">
            <v>12.39</v>
          </cell>
          <cell r="E278" t="e">
            <v>#N/A</v>
          </cell>
          <cell r="F278" t="e">
            <v>#N/A</v>
          </cell>
          <cell r="G278" t="e">
            <v>#N/A</v>
          </cell>
          <cell r="H278" t="e">
            <v>#N/A</v>
          </cell>
          <cell r="I278" t="e">
            <v>#N/A</v>
          </cell>
          <cell r="J278" t="e">
            <v>#N/A</v>
          </cell>
          <cell r="K278" t="e">
            <v>#N/A</v>
          </cell>
          <cell r="L278" t="e">
            <v>#N/A</v>
          </cell>
          <cell r="M278" t="e">
            <v>#N/A</v>
          </cell>
          <cell r="N278" t="e">
            <v>#N/A</v>
          </cell>
          <cell r="O278" t="e">
            <v>#N/A</v>
          </cell>
          <cell r="P278">
            <v>12.39</v>
          </cell>
          <cell r="Q278">
            <v>2.187497</v>
          </cell>
          <cell r="R278" t="e">
            <v>#N/A</v>
          </cell>
        </row>
        <row r="279">
          <cell r="A279">
            <v>40378</v>
          </cell>
          <cell r="B279">
            <v>40378</v>
          </cell>
          <cell r="C279" t="str">
            <v>Past</v>
          </cell>
          <cell r="D279">
            <v>12.57</v>
          </cell>
          <cell r="E279" t="e">
            <v>#N/A</v>
          </cell>
          <cell r="F279" t="e">
            <v>#N/A</v>
          </cell>
          <cell r="G279" t="e">
            <v>#N/A</v>
          </cell>
          <cell r="H279" t="e">
            <v>#N/A</v>
          </cell>
          <cell r="I279" t="e">
            <v>#N/A</v>
          </cell>
          <cell r="J279" t="e">
            <v>#N/A</v>
          </cell>
          <cell r="K279" t="e">
            <v>#N/A</v>
          </cell>
          <cell r="L279" t="e">
            <v>#N/A</v>
          </cell>
          <cell r="M279" t="e">
            <v>#N/A</v>
          </cell>
          <cell r="N279" t="e">
            <v>#N/A</v>
          </cell>
          <cell r="O279" t="e">
            <v>#N/A</v>
          </cell>
          <cell r="P279">
            <v>12.57</v>
          </cell>
          <cell r="Q279">
            <v>1.995854</v>
          </cell>
          <cell r="R279" t="e">
            <v>#N/A</v>
          </cell>
        </row>
        <row r="280">
          <cell r="A280">
            <v>40379</v>
          </cell>
          <cell r="B280">
            <v>40379</v>
          </cell>
          <cell r="C280" t="str">
            <v>Past</v>
          </cell>
          <cell r="D280">
            <v>12.63</v>
          </cell>
          <cell r="E280" t="e">
            <v>#N/A</v>
          </cell>
          <cell r="F280" t="e">
            <v>#N/A</v>
          </cell>
          <cell r="G280" t="e">
            <v>#N/A</v>
          </cell>
          <cell r="H280" t="e">
            <v>#N/A</v>
          </cell>
          <cell r="I280" t="e">
            <v>#N/A</v>
          </cell>
          <cell r="J280" t="e">
            <v>#N/A</v>
          </cell>
          <cell r="K280" t="e">
            <v>#N/A</v>
          </cell>
          <cell r="L280" t="e">
            <v>#N/A</v>
          </cell>
          <cell r="M280" t="e">
            <v>#N/A</v>
          </cell>
          <cell r="N280" t="e">
            <v>#N/A</v>
          </cell>
          <cell r="O280" t="e">
            <v>#N/A</v>
          </cell>
          <cell r="P280">
            <v>12.63</v>
          </cell>
          <cell r="Q280">
            <v>2.4046590000000001</v>
          </cell>
          <cell r="R280" t="e">
            <v>#N/A</v>
          </cell>
        </row>
        <row r="281">
          <cell r="A281">
            <v>40380</v>
          </cell>
          <cell r="B281">
            <v>40380</v>
          </cell>
          <cell r="C281" t="str">
            <v>Past</v>
          </cell>
          <cell r="D281">
            <v>12.55</v>
          </cell>
          <cell r="E281" t="e">
            <v>#N/A</v>
          </cell>
          <cell r="F281" t="e">
            <v>#N/A</v>
          </cell>
          <cell r="G281" t="e">
            <v>#N/A</v>
          </cell>
          <cell r="H281" t="e">
            <v>#N/A</v>
          </cell>
          <cell r="I281" t="e">
            <v>#N/A</v>
          </cell>
          <cell r="J281" t="e">
            <v>#N/A</v>
          </cell>
          <cell r="K281" t="e">
            <v>#N/A</v>
          </cell>
          <cell r="L281" t="e">
            <v>#N/A</v>
          </cell>
          <cell r="M281" t="e">
            <v>#N/A</v>
          </cell>
          <cell r="N281" t="e">
            <v>#N/A</v>
          </cell>
          <cell r="O281" t="e">
            <v>#N/A</v>
          </cell>
          <cell r="P281">
            <v>12.55</v>
          </cell>
          <cell r="Q281">
            <v>3.4714669999999996</v>
          </cell>
          <cell r="R281" t="e">
            <v>#N/A</v>
          </cell>
        </row>
        <row r="282">
          <cell r="A282">
            <v>40381</v>
          </cell>
          <cell r="B282">
            <v>40381</v>
          </cell>
          <cell r="C282" t="str">
            <v>Past</v>
          </cell>
          <cell r="D282">
            <v>12.78</v>
          </cell>
          <cell r="E282" t="e">
            <v>#N/A</v>
          </cell>
          <cell r="F282" t="e">
            <v>#N/A</v>
          </cell>
          <cell r="G282" t="e">
            <v>#N/A</v>
          </cell>
          <cell r="H282" t="e">
            <v>#N/A</v>
          </cell>
          <cell r="I282" t="e">
            <v>#N/A</v>
          </cell>
          <cell r="J282" t="e">
            <v>#N/A</v>
          </cell>
          <cell r="K282" t="e">
            <v>#N/A</v>
          </cell>
          <cell r="L282" t="e">
            <v>#N/A</v>
          </cell>
          <cell r="M282" t="e">
            <v>#N/A</v>
          </cell>
          <cell r="N282" t="e">
            <v>#N/A</v>
          </cell>
          <cell r="O282" t="e">
            <v>#N/A</v>
          </cell>
          <cell r="P282">
            <v>12.78</v>
          </cell>
          <cell r="Q282">
            <v>1.318586</v>
          </cell>
          <cell r="R282" t="e">
            <v>#N/A</v>
          </cell>
        </row>
        <row r="283">
          <cell r="A283">
            <v>40382</v>
          </cell>
          <cell r="B283">
            <v>40382</v>
          </cell>
          <cell r="C283" t="str">
            <v>Past</v>
          </cell>
          <cell r="D283">
            <v>12.82</v>
          </cell>
          <cell r="E283" t="e">
            <v>#N/A</v>
          </cell>
          <cell r="F283" t="e">
            <v>#N/A</v>
          </cell>
          <cell r="G283" t="e">
            <v>#N/A</v>
          </cell>
          <cell r="H283" t="e">
            <v>#N/A</v>
          </cell>
          <cell r="I283" t="e">
            <v>#N/A</v>
          </cell>
          <cell r="J283" t="e">
            <v>#N/A</v>
          </cell>
          <cell r="K283" t="e">
            <v>#N/A</v>
          </cell>
          <cell r="L283" t="e">
            <v>#N/A</v>
          </cell>
          <cell r="M283" t="e">
            <v>#N/A</v>
          </cell>
          <cell r="N283" t="e">
            <v>#N/A</v>
          </cell>
          <cell r="O283" t="e">
            <v>#N/A</v>
          </cell>
          <cell r="P283">
            <v>12.82</v>
          </cell>
          <cell r="Q283">
            <v>1.328279</v>
          </cell>
          <cell r="R283" t="e">
            <v>#N/A</v>
          </cell>
        </row>
        <row r="284">
          <cell r="A284">
            <v>40385</v>
          </cell>
          <cell r="B284">
            <v>40385</v>
          </cell>
          <cell r="C284" t="str">
            <v>Past</v>
          </cell>
          <cell r="D284">
            <v>12.88</v>
          </cell>
          <cell r="E284" t="e">
            <v>#N/A</v>
          </cell>
          <cell r="F284" t="e">
            <v>#N/A</v>
          </cell>
          <cell r="G284" t="e">
            <v>#N/A</v>
          </cell>
          <cell r="H284" t="e">
            <v>#N/A</v>
          </cell>
          <cell r="I284" t="e">
            <v>#N/A</v>
          </cell>
          <cell r="J284" t="e">
            <v>#N/A</v>
          </cell>
          <cell r="K284" t="e">
            <v>#N/A</v>
          </cell>
          <cell r="L284" t="e">
            <v>#N/A</v>
          </cell>
          <cell r="M284" t="e">
            <v>#N/A</v>
          </cell>
          <cell r="N284" t="e">
            <v>#N/A</v>
          </cell>
          <cell r="O284" t="e">
            <v>#N/A</v>
          </cell>
          <cell r="P284">
            <v>12.88</v>
          </cell>
          <cell r="Q284">
            <v>1.9803439999999999</v>
          </cell>
          <cell r="R284" t="e">
            <v>#N/A</v>
          </cell>
        </row>
        <row r="285">
          <cell r="A285">
            <v>40386</v>
          </cell>
          <cell r="B285">
            <v>40386</v>
          </cell>
          <cell r="C285" t="str">
            <v>Past</v>
          </cell>
          <cell r="D285">
            <v>13.12</v>
          </cell>
          <cell r="E285" t="e">
            <v>#N/A</v>
          </cell>
          <cell r="F285" t="e">
            <v>#N/A</v>
          </cell>
          <cell r="G285" t="e">
            <v>#N/A</v>
          </cell>
          <cell r="H285" t="e">
            <v>#N/A</v>
          </cell>
          <cell r="I285" t="e">
            <v>#N/A</v>
          </cell>
          <cell r="J285" t="e">
            <v>#N/A</v>
          </cell>
          <cell r="K285" t="e">
            <v>#N/A</v>
          </cell>
          <cell r="L285" t="e">
            <v>#N/A</v>
          </cell>
          <cell r="M285" t="e">
            <v>#N/A</v>
          </cell>
          <cell r="N285" t="e">
            <v>#N/A</v>
          </cell>
          <cell r="O285" t="e">
            <v>#N/A</v>
          </cell>
          <cell r="P285">
            <v>13.12</v>
          </cell>
          <cell r="Q285">
            <v>2.9478309999999999</v>
          </cell>
          <cell r="R285" t="e">
            <v>#N/A</v>
          </cell>
        </row>
        <row r="286">
          <cell r="A286">
            <v>40387</v>
          </cell>
          <cell r="B286">
            <v>40387</v>
          </cell>
          <cell r="C286" t="str">
            <v>Past</v>
          </cell>
          <cell r="D286">
            <v>12.93</v>
          </cell>
          <cell r="E286" t="e">
            <v>#N/A</v>
          </cell>
          <cell r="F286" t="e">
            <v>#N/A</v>
          </cell>
          <cell r="G286" t="e">
            <v>#N/A</v>
          </cell>
          <cell r="H286" t="e">
            <v>#N/A</v>
          </cell>
          <cell r="I286" t="e">
            <v>#N/A</v>
          </cell>
          <cell r="J286" t="e">
            <v>#N/A</v>
          </cell>
          <cell r="K286" t="e">
            <v>#N/A</v>
          </cell>
          <cell r="L286" t="e">
            <v>#N/A</v>
          </cell>
          <cell r="M286" t="e">
            <v>#N/A</v>
          </cell>
          <cell r="N286" t="e">
            <v>#N/A</v>
          </cell>
          <cell r="O286" t="e">
            <v>#N/A</v>
          </cell>
          <cell r="P286">
            <v>12.93</v>
          </cell>
          <cell r="Q286">
            <v>1.091621</v>
          </cell>
          <cell r="R286" t="e">
            <v>#N/A</v>
          </cell>
        </row>
        <row r="287">
          <cell r="A287">
            <v>40388</v>
          </cell>
          <cell r="B287">
            <v>40388</v>
          </cell>
          <cell r="C287" t="str">
            <v>Past</v>
          </cell>
          <cell r="D287">
            <v>12.73</v>
          </cell>
          <cell r="E287" t="e">
            <v>#N/A</v>
          </cell>
          <cell r="F287" t="e">
            <v>#N/A</v>
          </cell>
          <cell r="G287" t="e">
            <v>#N/A</v>
          </cell>
          <cell r="H287" t="e">
            <v>#N/A</v>
          </cell>
          <cell r="I287" t="e">
            <v>#N/A</v>
          </cell>
          <cell r="J287" t="e">
            <v>#N/A</v>
          </cell>
          <cell r="K287" t="e">
            <v>#N/A</v>
          </cell>
          <cell r="L287" t="e">
            <v>#N/A</v>
          </cell>
          <cell r="M287" t="e">
            <v>#N/A</v>
          </cell>
          <cell r="N287" t="e">
            <v>#N/A</v>
          </cell>
          <cell r="O287" t="e">
            <v>#N/A</v>
          </cell>
          <cell r="P287">
            <v>12.73</v>
          </cell>
          <cell r="Q287">
            <v>1.718626</v>
          </cell>
          <cell r="R287" t="e">
            <v>#N/A</v>
          </cell>
        </row>
        <row r="288">
          <cell r="A288">
            <v>40389</v>
          </cell>
          <cell r="B288">
            <v>40389</v>
          </cell>
          <cell r="C288" t="str">
            <v>Past</v>
          </cell>
          <cell r="D288">
            <v>12.7</v>
          </cell>
          <cell r="E288" t="e">
            <v>#N/A</v>
          </cell>
          <cell r="F288" t="e">
            <v>#N/A</v>
          </cell>
          <cell r="G288" t="e">
            <v>#N/A</v>
          </cell>
          <cell r="H288" t="e">
            <v>#N/A</v>
          </cell>
          <cell r="I288" t="e">
            <v>#N/A</v>
          </cell>
          <cell r="J288" t="e">
            <v>#N/A</v>
          </cell>
          <cell r="K288" t="e">
            <v>#N/A</v>
          </cell>
          <cell r="L288" t="e">
            <v>#N/A</v>
          </cell>
          <cell r="M288" t="e">
            <v>#N/A</v>
          </cell>
          <cell r="N288" t="e">
            <v>#N/A</v>
          </cell>
          <cell r="O288" t="e">
            <v>#N/A</v>
          </cell>
          <cell r="P288">
            <v>12.7</v>
          </cell>
          <cell r="Q288">
            <v>1.846115</v>
          </cell>
          <cell r="R288" t="e">
            <v>#N/A</v>
          </cell>
        </row>
        <row r="289">
          <cell r="A289">
            <v>40392</v>
          </cell>
          <cell r="B289">
            <v>40392</v>
          </cell>
          <cell r="C289" t="str">
            <v>Past</v>
          </cell>
          <cell r="D289">
            <v>12.82</v>
          </cell>
          <cell r="E289" t="e">
            <v>#N/A</v>
          </cell>
          <cell r="F289" t="e">
            <v>#N/A</v>
          </cell>
          <cell r="G289" t="e">
            <v>#N/A</v>
          </cell>
          <cell r="H289" t="e">
            <v>#N/A</v>
          </cell>
          <cell r="I289" t="e">
            <v>#N/A</v>
          </cell>
          <cell r="J289" t="e">
            <v>#N/A</v>
          </cell>
          <cell r="K289" t="e">
            <v>#N/A</v>
          </cell>
          <cell r="L289" t="e">
            <v>#N/A</v>
          </cell>
          <cell r="M289" t="e">
            <v>#N/A</v>
          </cell>
          <cell r="N289" t="e">
            <v>#N/A</v>
          </cell>
          <cell r="O289" t="e">
            <v>#N/A</v>
          </cell>
          <cell r="P289">
            <v>12.82</v>
          </cell>
          <cell r="Q289">
            <v>1.8807369999999999</v>
          </cell>
          <cell r="R289" t="e">
            <v>#N/A</v>
          </cell>
        </row>
        <row r="290">
          <cell r="A290">
            <v>40393</v>
          </cell>
          <cell r="B290">
            <v>40393</v>
          </cell>
          <cell r="C290" t="str">
            <v>Past</v>
          </cell>
          <cell r="D290">
            <v>12.77</v>
          </cell>
          <cell r="E290" t="e">
            <v>#N/A</v>
          </cell>
          <cell r="F290" t="e">
            <v>#N/A</v>
          </cell>
          <cell r="G290" t="e">
            <v>#N/A</v>
          </cell>
          <cell r="H290" t="e">
            <v>#N/A</v>
          </cell>
          <cell r="I290" t="e">
            <v>#N/A</v>
          </cell>
          <cell r="J290" t="e">
            <v>#N/A</v>
          </cell>
          <cell r="K290" t="e">
            <v>#N/A</v>
          </cell>
          <cell r="L290" t="e">
            <v>#N/A</v>
          </cell>
          <cell r="M290" t="e">
            <v>#N/A</v>
          </cell>
          <cell r="N290" t="e">
            <v>#N/A</v>
          </cell>
          <cell r="O290" t="e">
            <v>#N/A</v>
          </cell>
          <cell r="P290">
            <v>12.77</v>
          </cell>
          <cell r="Q290">
            <v>1.263906</v>
          </cell>
          <cell r="R290" t="e">
            <v>#N/A</v>
          </cell>
        </row>
        <row r="291">
          <cell r="A291">
            <v>40394</v>
          </cell>
          <cell r="B291">
            <v>40394</v>
          </cell>
          <cell r="C291" t="str">
            <v>Past</v>
          </cell>
          <cell r="D291">
            <v>12.78</v>
          </cell>
          <cell r="E291" t="e">
            <v>#N/A</v>
          </cell>
          <cell r="F291" t="e">
            <v>#N/A</v>
          </cell>
          <cell r="G291" t="e">
            <v>#N/A</v>
          </cell>
          <cell r="H291" t="e">
            <v>#N/A</v>
          </cell>
          <cell r="I291" t="e">
            <v>#N/A</v>
          </cell>
          <cell r="J291" t="e">
            <v>#N/A</v>
          </cell>
          <cell r="K291" t="e">
            <v>#N/A</v>
          </cell>
          <cell r="L291" t="e">
            <v>#N/A</v>
          </cell>
          <cell r="M291" t="e">
            <v>#N/A</v>
          </cell>
          <cell r="N291" t="e">
            <v>#N/A</v>
          </cell>
          <cell r="O291" t="e">
            <v>#N/A</v>
          </cell>
          <cell r="P291">
            <v>12.78</v>
          </cell>
          <cell r="Q291">
            <v>1.3239029999999998</v>
          </cell>
          <cell r="R291" t="e">
            <v>#N/A</v>
          </cell>
        </row>
        <row r="292">
          <cell r="A292">
            <v>40395</v>
          </cell>
          <cell r="B292">
            <v>40395</v>
          </cell>
          <cell r="C292" t="str">
            <v>Past</v>
          </cell>
          <cell r="D292">
            <v>12.9</v>
          </cell>
          <cell r="E292" t="e">
            <v>#N/A</v>
          </cell>
          <cell r="F292" t="e">
            <v>#N/A</v>
          </cell>
          <cell r="G292" t="e">
            <v>#N/A</v>
          </cell>
          <cell r="H292" t="e">
            <v>#N/A</v>
          </cell>
          <cell r="I292" t="e">
            <v>#N/A</v>
          </cell>
          <cell r="J292" t="e">
            <v>#N/A</v>
          </cell>
          <cell r="K292" t="e">
            <v>#N/A</v>
          </cell>
          <cell r="L292" t="e">
            <v>#N/A</v>
          </cell>
          <cell r="M292" t="e">
            <v>#N/A</v>
          </cell>
          <cell r="N292" t="e">
            <v>#N/A</v>
          </cell>
          <cell r="O292" t="e">
            <v>#N/A</v>
          </cell>
          <cell r="P292">
            <v>12.9</v>
          </cell>
          <cell r="Q292">
            <v>0.96239399999999997</v>
          </cell>
          <cell r="R292" t="e">
            <v>#N/A</v>
          </cell>
        </row>
        <row r="293">
          <cell r="A293">
            <v>40396</v>
          </cell>
          <cell r="B293">
            <v>40396</v>
          </cell>
          <cell r="C293" t="str">
            <v>Past</v>
          </cell>
          <cell r="D293">
            <v>12.86</v>
          </cell>
          <cell r="E293" t="e">
            <v>#N/A</v>
          </cell>
          <cell r="F293" t="e">
            <v>#N/A</v>
          </cell>
          <cell r="G293" t="e">
            <v>#N/A</v>
          </cell>
          <cell r="H293" t="e">
            <v>#N/A</v>
          </cell>
          <cell r="I293" t="e">
            <v>#N/A</v>
          </cell>
          <cell r="J293" t="e">
            <v>#N/A</v>
          </cell>
          <cell r="K293" t="e">
            <v>#N/A</v>
          </cell>
          <cell r="L293" t="e">
            <v>#N/A</v>
          </cell>
          <cell r="M293" t="e">
            <v>#N/A</v>
          </cell>
          <cell r="N293" t="e">
            <v>#N/A</v>
          </cell>
          <cell r="O293" t="e">
            <v>#N/A</v>
          </cell>
          <cell r="P293">
            <v>12.86</v>
          </cell>
          <cell r="Q293">
            <v>1.220923</v>
          </cell>
          <cell r="R293" t="e">
            <v>#N/A</v>
          </cell>
        </row>
        <row r="294">
          <cell r="A294">
            <v>40399</v>
          </cell>
          <cell r="B294">
            <v>40399</v>
          </cell>
          <cell r="C294" t="str">
            <v>Past</v>
          </cell>
          <cell r="D294">
            <v>12.99</v>
          </cell>
          <cell r="E294" t="e">
            <v>#N/A</v>
          </cell>
          <cell r="F294" t="e">
            <v>#N/A</v>
          </cell>
          <cell r="G294" t="e">
            <v>#N/A</v>
          </cell>
          <cell r="H294" t="e">
            <v>#N/A</v>
          </cell>
          <cell r="I294" t="e">
            <v>#N/A</v>
          </cell>
          <cell r="J294" t="e">
            <v>#N/A</v>
          </cell>
          <cell r="K294" t="e">
            <v>#N/A</v>
          </cell>
          <cell r="L294" t="e">
            <v>#N/A</v>
          </cell>
          <cell r="M294" t="e">
            <v>#N/A</v>
          </cell>
          <cell r="N294" t="e">
            <v>#N/A</v>
          </cell>
          <cell r="O294" t="e">
            <v>#N/A</v>
          </cell>
          <cell r="P294">
            <v>12.99</v>
          </cell>
          <cell r="Q294">
            <v>1.9647569999999999</v>
          </cell>
          <cell r="R294" t="e">
            <v>#N/A</v>
          </cell>
        </row>
        <row r="295">
          <cell r="A295">
            <v>40400</v>
          </cell>
          <cell r="B295">
            <v>40400</v>
          </cell>
          <cell r="C295" t="str">
            <v>Past</v>
          </cell>
          <cell r="D295">
            <v>12.96</v>
          </cell>
          <cell r="E295" t="e">
            <v>#N/A</v>
          </cell>
          <cell r="F295" t="e">
            <v>#N/A</v>
          </cell>
          <cell r="G295" t="e">
            <v>#N/A</v>
          </cell>
          <cell r="H295" t="e">
            <v>#N/A</v>
          </cell>
          <cell r="I295" t="e">
            <v>#N/A</v>
          </cell>
          <cell r="J295" t="e">
            <v>#N/A</v>
          </cell>
          <cell r="K295" t="e">
            <v>#N/A</v>
          </cell>
          <cell r="L295" t="e">
            <v>#N/A</v>
          </cell>
          <cell r="M295" t="e">
            <v>#N/A</v>
          </cell>
          <cell r="N295" t="e">
            <v>#N/A</v>
          </cell>
          <cell r="O295" t="e">
            <v>#N/A</v>
          </cell>
          <cell r="P295">
            <v>12.96</v>
          </cell>
          <cell r="Q295">
            <v>1.34331</v>
          </cell>
          <cell r="R295" t="e">
            <v>#N/A</v>
          </cell>
        </row>
        <row r="296">
          <cell r="A296">
            <v>40401</v>
          </cell>
          <cell r="B296">
            <v>40401</v>
          </cell>
          <cell r="C296" t="str">
            <v>Past</v>
          </cell>
          <cell r="D296">
            <v>12.69</v>
          </cell>
          <cell r="E296" t="e">
            <v>#N/A</v>
          </cell>
          <cell r="F296" t="e">
            <v>#N/A</v>
          </cell>
          <cell r="G296" t="e">
            <v>#N/A</v>
          </cell>
          <cell r="H296" t="e">
            <v>#N/A</v>
          </cell>
          <cell r="I296" t="e">
            <v>#N/A</v>
          </cell>
          <cell r="J296" t="e">
            <v>#N/A</v>
          </cell>
          <cell r="K296" t="e">
            <v>#N/A</v>
          </cell>
          <cell r="L296" t="e">
            <v>#N/A</v>
          </cell>
          <cell r="M296" t="e">
            <v>#N/A</v>
          </cell>
          <cell r="N296" t="e">
            <v>#N/A</v>
          </cell>
          <cell r="O296" t="e">
            <v>#N/A</v>
          </cell>
          <cell r="P296">
            <v>12.69</v>
          </cell>
          <cell r="Q296">
            <v>1.5584</v>
          </cell>
          <cell r="R296" t="e">
            <v>#N/A</v>
          </cell>
        </row>
        <row r="297">
          <cell r="A297">
            <v>40402</v>
          </cell>
          <cell r="B297">
            <v>40402</v>
          </cell>
          <cell r="C297" t="str">
            <v>Past</v>
          </cell>
          <cell r="D297">
            <v>12.75</v>
          </cell>
          <cell r="E297" t="e">
            <v>#N/A</v>
          </cell>
          <cell r="F297" t="e">
            <v>#N/A</v>
          </cell>
          <cell r="G297" t="e">
            <v>#N/A</v>
          </cell>
          <cell r="H297" t="e">
            <v>#N/A</v>
          </cell>
          <cell r="I297" t="e">
            <v>#N/A</v>
          </cell>
          <cell r="J297" t="e">
            <v>#N/A</v>
          </cell>
          <cell r="K297" t="e">
            <v>#N/A</v>
          </cell>
          <cell r="L297" t="e">
            <v>#N/A</v>
          </cell>
          <cell r="M297" t="e">
            <v>#N/A</v>
          </cell>
          <cell r="N297" t="e">
            <v>#N/A</v>
          </cell>
          <cell r="O297" t="e">
            <v>#N/A</v>
          </cell>
          <cell r="P297">
            <v>12.75</v>
          </cell>
          <cell r="Q297">
            <v>2.0656810000000001</v>
          </cell>
          <cell r="R297" t="e">
            <v>#N/A</v>
          </cell>
        </row>
        <row r="298">
          <cell r="A298">
            <v>40403</v>
          </cell>
          <cell r="B298">
            <v>40403</v>
          </cell>
          <cell r="C298" t="str">
            <v>Past</v>
          </cell>
          <cell r="D298">
            <v>12.82</v>
          </cell>
          <cell r="E298" t="e">
            <v>#N/A</v>
          </cell>
          <cell r="F298" t="e">
            <v>#N/A</v>
          </cell>
          <cell r="G298" t="e">
            <v>#N/A</v>
          </cell>
          <cell r="H298" t="e">
            <v>#N/A</v>
          </cell>
          <cell r="I298" t="e">
            <v>#N/A</v>
          </cell>
          <cell r="J298" t="e">
            <v>#N/A</v>
          </cell>
          <cell r="K298" t="e">
            <v>#N/A</v>
          </cell>
          <cell r="L298" t="e">
            <v>#N/A</v>
          </cell>
          <cell r="M298" t="e">
            <v>#N/A</v>
          </cell>
          <cell r="N298" t="e">
            <v>#N/A</v>
          </cell>
          <cell r="O298" t="e">
            <v>#N/A</v>
          </cell>
          <cell r="P298">
            <v>12.82</v>
          </cell>
          <cell r="Q298">
            <v>0.93745000000000012</v>
          </cell>
          <cell r="R298" t="e">
            <v>#N/A</v>
          </cell>
        </row>
        <row r="299">
          <cell r="A299">
            <v>40406</v>
          </cell>
          <cell r="B299">
            <v>40406</v>
          </cell>
          <cell r="C299" t="str">
            <v>Past</v>
          </cell>
          <cell r="D299">
            <v>12.82</v>
          </cell>
          <cell r="E299" t="e">
            <v>#N/A</v>
          </cell>
          <cell r="F299" t="e">
            <v>#N/A</v>
          </cell>
          <cell r="G299" t="e">
            <v>#N/A</v>
          </cell>
          <cell r="H299" t="e">
            <v>#N/A</v>
          </cell>
          <cell r="I299" t="e">
            <v>#N/A</v>
          </cell>
          <cell r="J299" t="e">
            <v>#N/A</v>
          </cell>
          <cell r="K299" t="e">
            <v>#N/A</v>
          </cell>
          <cell r="L299" t="e">
            <v>#N/A</v>
          </cell>
          <cell r="M299" t="e">
            <v>#N/A</v>
          </cell>
          <cell r="N299" t="e">
            <v>#N/A</v>
          </cell>
          <cell r="O299" t="e">
            <v>#N/A</v>
          </cell>
          <cell r="P299">
            <v>12.82</v>
          </cell>
          <cell r="Q299">
            <v>0.783667</v>
          </cell>
          <cell r="R299" t="e">
            <v>#N/A</v>
          </cell>
        </row>
        <row r="300">
          <cell r="A300">
            <v>40407</v>
          </cell>
          <cell r="B300">
            <v>40407</v>
          </cell>
          <cell r="C300" t="str">
            <v>Past</v>
          </cell>
          <cell r="D300">
            <v>12.95</v>
          </cell>
          <cell r="E300" t="e">
            <v>#N/A</v>
          </cell>
          <cell r="F300" t="e">
            <v>#N/A</v>
          </cell>
          <cell r="G300" t="e">
            <v>#N/A</v>
          </cell>
          <cell r="H300" t="e">
            <v>#N/A</v>
          </cell>
          <cell r="I300" t="e">
            <v>#N/A</v>
          </cell>
          <cell r="J300" t="e">
            <v>#N/A</v>
          </cell>
          <cell r="K300" t="e">
            <v>#N/A</v>
          </cell>
          <cell r="L300" t="e">
            <v>#N/A</v>
          </cell>
          <cell r="M300" t="e">
            <v>#N/A</v>
          </cell>
          <cell r="N300" t="e">
            <v>#N/A</v>
          </cell>
          <cell r="O300" t="e">
            <v>#N/A</v>
          </cell>
          <cell r="P300">
            <v>12.95</v>
          </cell>
          <cell r="Q300">
            <v>0.81975599999999993</v>
          </cell>
          <cell r="R300" t="e">
            <v>#N/A</v>
          </cell>
        </row>
        <row r="301">
          <cell r="A301">
            <v>40408</v>
          </cell>
          <cell r="B301">
            <v>40408</v>
          </cell>
          <cell r="C301" t="str">
            <v>Past</v>
          </cell>
          <cell r="D301">
            <v>12.84</v>
          </cell>
          <cell r="E301" t="e">
            <v>#N/A</v>
          </cell>
          <cell r="F301" t="e">
            <v>#N/A</v>
          </cell>
          <cell r="G301" t="e">
            <v>#N/A</v>
          </cell>
          <cell r="H301" t="e">
            <v>#N/A</v>
          </cell>
          <cell r="I301" t="e">
            <v>#N/A</v>
          </cell>
          <cell r="J301" t="e">
            <v>#N/A</v>
          </cell>
          <cell r="K301" t="e">
            <v>#N/A</v>
          </cell>
          <cell r="L301" t="e">
            <v>#N/A</v>
          </cell>
          <cell r="M301" t="e">
            <v>#N/A</v>
          </cell>
          <cell r="N301" t="e">
            <v>#N/A</v>
          </cell>
          <cell r="O301" t="e">
            <v>#N/A</v>
          </cell>
          <cell r="P301">
            <v>12.84</v>
          </cell>
          <cell r="Q301">
            <v>1.089143</v>
          </cell>
          <cell r="R301" t="e">
            <v>#N/A</v>
          </cell>
        </row>
        <row r="302">
          <cell r="A302">
            <v>40409</v>
          </cell>
          <cell r="B302">
            <v>40409</v>
          </cell>
          <cell r="C302" t="str">
            <v>Past</v>
          </cell>
          <cell r="D302">
            <v>12.6</v>
          </cell>
          <cell r="E302" t="e">
            <v>#N/A</v>
          </cell>
          <cell r="F302" t="e">
            <v>#N/A</v>
          </cell>
          <cell r="G302" t="e">
            <v>#N/A</v>
          </cell>
          <cell r="H302" t="e">
            <v>#N/A</v>
          </cell>
          <cell r="I302" t="e">
            <v>#N/A</v>
          </cell>
          <cell r="J302" t="e">
            <v>#N/A</v>
          </cell>
          <cell r="K302" t="e">
            <v>#N/A</v>
          </cell>
          <cell r="L302" t="e">
            <v>#N/A</v>
          </cell>
          <cell r="M302" t="e">
            <v>#N/A</v>
          </cell>
          <cell r="N302" t="e">
            <v>#N/A</v>
          </cell>
          <cell r="O302" t="e">
            <v>#N/A</v>
          </cell>
          <cell r="P302">
            <v>12.6</v>
          </cell>
          <cell r="Q302">
            <v>0.71370099999999992</v>
          </cell>
          <cell r="R302" t="e">
            <v>#N/A</v>
          </cell>
        </row>
        <row r="303">
          <cell r="A303">
            <v>40410</v>
          </cell>
          <cell r="B303">
            <v>40410</v>
          </cell>
          <cell r="C303" t="str">
            <v>Past</v>
          </cell>
          <cell r="D303">
            <v>12.57</v>
          </cell>
          <cell r="E303" t="e">
            <v>#N/A</v>
          </cell>
          <cell r="F303" t="e">
            <v>#N/A</v>
          </cell>
          <cell r="G303" t="e">
            <v>#N/A</v>
          </cell>
          <cell r="H303" t="e">
            <v>#N/A</v>
          </cell>
          <cell r="I303" t="e">
            <v>#N/A</v>
          </cell>
          <cell r="J303" t="e">
            <v>#N/A</v>
          </cell>
          <cell r="K303" t="e">
            <v>#N/A</v>
          </cell>
          <cell r="L303" t="e">
            <v>#N/A</v>
          </cell>
          <cell r="M303" t="e">
            <v>#N/A</v>
          </cell>
          <cell r="N303" t="e">
            <v>#N/A</v>
          </cell>
          <cell r="O303" t="e">
            <v>#N/A</v>
          </cell>
          <cell r="P303">
            <v>12.57</v>
          </cell>
          <cell r="Q303">
            <v>1.371812</v>
          </cell>
          <cell r="R303" t="e">
            <v>#N/A</v>
          </cell>
        </row>
        <row r="304">
          <cell r="A304">
            <v>40413</v>
          </cell>
          <cell r="B304">
            <v>40413</v>
          </cell>
          <cell r="C304" t="str">
            <v>Past</v>
          </cell>
          <cell r="D304">
            <v>12.56</v>
          </cell>
          <cell r="E304" t="e">
            <v>#N/A</v>
          </cell>
          <cell r="F304" t="e">
            <v>#N/A</v>
          </cell>
          <cell r="G304" t="e">
            <v>#N/A</v>
          </cell>
          <cell r="H304" t="e">
            <v>#N/A</v>
          </cell>
          <cell r="I304" t="e">
            <v>#N/A</v>
          </cell>
          <cell r="J304" t="e">
            <v>#N/A</v>
          </cell>
          <cell r="K304" t="e">
            <v>#N/A</v>
          </cell>
          <cell r="L304" t="e">
            <v>#N/A</v>
          </cell>
          <cell r="M304" t="e">
            <v>#N/A</v>
          </cell>
          <cell r="N304" t="e">
            <v>#N/A</v>
          </cell>
          <cell r="O304" t="e">
            <v>#N/A</v>
          </cell>
          <cell r="P304">
            <v>12.56</v>
          </cell>
          <cell r="Q304">
            <v>1.7882069999999999</v>
          </cell>
          <cell r="R304" t="e">
            <v>#N/A</v>
          </cell>
        </row>
        <row r="305">
          <cell r="A305">
            <v>40414</v>
          </cell>
          <cell r="B305">
            <v>40414</v>
          </cell>
          <cell r="C305" t="str">
            <v>Past</v>
          </cell>
          <cell r="D305">
            <v>12.51</v>
          </cell>
          <cell r="E305" t="e">
            <v>#N/A</v>
          </cell>
          <cell r="F305" t="e">
            <v>#N/A</v>
          </cell>
          <cell r="G305" t="e">
            <v>#N/A</v>
          </cell>
          <cell r="H305" t="e">
            <v>#N/A</v>
          </cell>
          <cell r="I305" t="e">
            <v>#N/A</v>
          </cell>
          <cell r="J305" t="e">
            <v>#N/A</v>
          </cell>
          <cell r="K305" t="e">
            <v>#N/A</v>
          </cell>
          <cell r="L305" t="e">
            <v>#N/A</v>
          </cell>
          <cell r="M305" t="e">
            <v>#N/A</v>
          </cell>
          <cell r="N305" t="e">
            <v>#N/A</v>
          </cell>
          <cell r="O305" t="e">
            <v>#N/A</v>
          </cell>
          <cell r="P305">
            <v>12.51</v>
          </cell>
          <cell r="Q305">
            <v>1.018284</v>
          </cell>
          <cell r="R305" t="e">
            <v>#N/A</v>
          </cell>
        </row>
        <row r="306">
          <cell r="A306">
            <v>40415</v>
          </cell>
          <cell r="B306">
            <v>40415</v>
          </cell>
          <cell r="C306" t="str">
            <v>Past</v>
          </cell>
          <cell r="D306">
            <v>12.51</v>
          </cell>
          <cell r="E306" t="e">
            <v>#N/A</v>
          </cell>
          <cell r="F306" t="e">
            <v>#N/A</v>
          </cell>
          <cell r="G306" t="e">
            <v>#N/A</v>
          </cell>
          <cell r="H306" t="e">
            <v>#N/A</v>
          </cell>
          <cell r="I306" t="e">
            <v>#N/A</v>
          </cell>
          <cell r="J306" t="e">
            <v>#N/A</v>
          </cell>
          <cell r="K306" t="e">
            <v>#N/A</v>
          </cell>
          <cell r="L306" t="e">
            <v>#N/A</v>
          </cell>
          <cell r="M306" t="e">
            <v>#N/A</v>
          </cell>
          <cell r="N306" t="e">
            <v>#N/A</v>
          </cell>
          <cell r="O306" t="e">
            <v>#N/A</v>
          </cell>
          <cell r="P306">
            <v>12.51</v>
          </cell>
          <cell r="Q306">
            <v>1.948426</v>
          </cell>
          <cell r="R306" t="e">
            <v>#N/A</v>
          </cell>
        </row>
        <row r="307">
          <cell r="A307">
            <v>40416</v>
          </cell>
          <cell r="B307">
            <v>40416</v>
          </cell>
          <cell r="C307" t="str">
            <v>Past</v>
          </cell>
          <cell r="D307">
            <v>12.51</v>
          </cell>
          <cell r="E307" t="e">
            <v>#N/A</v>
          </cell>
          <cell r="F307" t="e">
            <v>#N/A</v>
          </cell>
          <cell r="G307" t="e">
            <v>#N/A</v>
          </cell>
          <cell r="H307" t="e">
            <v>#N/A</v>
          </cell>
          <cell r="I307" t="e">
            <v>#N/A</v>
          </cell>
          <cell r="J307" t="e">
            <v>#N/A</v>
          </cell>
          <cell r="K307" t="e">
            <v>#N/A</v>
          </cell>
          <cell r="L307" t="e">
            <v>#N/A</v>
          </cell>
          <cell r="M307" t="e">
            <v>#N/A</v>
          </cell>
          <cell r="N307" t="e">
            <v>#N/A</v>
          </cell>
          <cell r="O307" t="e">
            <v>#N/A</v>
          </cell>
          <cell r="P307">
            <v>12.51</v>
          </cell>
          <cell r="Q307">
            <v>1.2078149999999999</v>
          </cell>
          <cell r="R307" t="e">
            <v>#N/A</v>
          </cell>
        </row>
        <row r="308">
          <cell r="A308">
            <v>40417</v>
          </cell>
          <cell r="B308">
            <v>40417</v>
          </cell>
          <cell r="C308" t="str">
            <v>Past</v>
          </cell>
          <cell r="D308">
            <v>12.8</v>
          </cell>
          <cell r="E308" t="e">
            <v>#N/A</v>
          </cell>
          <cell r="F308" t="e">
            <v>#N/A</v>
          </cell>
          <cell r="G308" t="e">
            <v>#N/A</v>
          </cell>
          <cell r="H308" t="e">
            <v>#N/A</v>
          </cell>
          <cell r="I308" t="e">
            <v>#N/A</v>
          </cell>
          <cell r="J308" t="e">
            <v>#N/A</v>
          </cell>
          <cell r="K308" t="e">
            <v>#N/A</v>
          </cell>
          <cell r="L308" t="e">
            <v>#N/A</v>
          </cell>
          <cell r="M308" t="e">
            <v>#N/A</v>
          </cell>
          <cell r="N308" t="e">
            <v>#N/A</v>
          </cell>
          <cell r="O308" t="e">
            <v>#N/A</v>
          </cell>
          <cell r="P308">
            <v>12.8</v>
          </cell>
          <cell r="Q308">
            <v>2.2369500000000002</v>
          </cell>
          <cell r="R308" t="e">
            <v>#N/A</v>
          </cell>
        </row>
        <row r="309">
          <cell r="A309">
            <v>40420</v>
          </cell>
          <cell r="B309">
            <v>40420</v>
          </cell>
          <cell r="C309" t="str">
            <v>Past</v>
          </cell>
          <cell r="D309">
            <v>12.64</v>
          </cell>
          <cell r="E309" t="e">
            <v>#N/A</v>
          </cell>
          <cell r="F309" t="e">
            <v>#N/A</v>
          </cell>
          <cell r="G309" t="e">
            <v>#N/A</v>
          </cell>
          <cell r="H309" t="e">
            <v>#N/A</v>
          </cell>
          <cell r="I309" t="e">
            <v>#N/A</v>
          </cell>
          <cell r="J309" t="e">
            <v>#N/A</v>
          </cell>
          <cell r="K309" t="e">
            <v>#N/A</v>
          </cell>
          <cell r="L309" t="e">
            <v>#N/A</v>
          </cell>
          <cell r="M309" t="e">
            <v>#N/A</v>
          </cell>
          <cell r="N309" t="e">
            <v>#N/A</v>
          </cell>
          <cell r="O309" t="e">
            <v>#N/A</v>
          </cell>
          <cell r="P309">
            <v>12.64</v>
          </cell>
          <cell r="Q309">
            <v>1.491317</v>
          </cell>
          <cell r="R309" t="e">
            <v>#N/A</v>
          </cell>
        </row>
        <row r="310">
          <cell r="A310">
            <v>40421</v>
          </cell>
          <cell r="B310">
            <v>40421</v>
          </cell>
          <cell r="C310" t="str">
            <v>Past</v>
          </cell>
          <cell r="D310">
            <v>12.8</v>
          </cell>
          <cell r="E310" t="e">
            <v>#N/A</v>
          </cell>
          <cell r="F310" t="e">
            <v>#N/A</v>
          </cell>
          <cell r="G310" t="e">
            <v>#N/A</v>
          </cell>
          <cell r="H310" t="e">
            <v>#N/A</v>
          </cell>
          <cell r="I310" t="e">
            <v>#N/A</v>
          </cell>
          <cell r="J310" t="e">
            <v>#N/A</v>
          </cell>
          <cell r="K310" t="e">
            <v>#N/A</v>
          </cell>
          <cell r="L310" t="e">
            <v>#N/A</v>
          </cell>
          <cell r="M310" t="e">
            <v>#N/A</v>
          </cell>
          <cell r="N310" t="e">
            <v>#N/A</v>
          </cell>
          <cell r="O310" t="e">
            <v>#N/A</v>
          </cell>
          <cell r="P310">
            <v>12.8</v>
          </cell>
          <cell r="Q310">
            <v>1.946672</v>
          </cell>
          <cell r="R310" t="e">
            <v>#N/A</v>
          </cell>
        </row>
        <row r="311">
          <cell r="A311">
            <v>40422</v>
          </cell>
          <cell r="B311">
            <v>40422</v>
          </cell>
          <cell r="C311" t="str">
            <v>Past</v>
          </cell>
          <cell r="D311">
            <v>13.13</v>
          </cell>
          <cell r="E311" t="e">
            <v>#N/A</v>
          </cell>
          <cell r="F311" t="e">
            <v>#N/A</v>
          </cell>
          <cell r="G311" t="e">
            <v>#N/A</v>
          </cell>
          <cell r="H311" t="e">
            <v>#N/A</v>
          </cell>
          <cell r="I311" t="e">
            <v>#N/A</v>
          </cell>
          <cell r="J311" t="e">
            <v>#N/A</v>
          </cell>
          <cell r="K311" t="e">
            <v>#N/A</v>
          </cell>
          <cell r="L311" t="e">
            <v>#N/A</v>
          </cell>
          <cell r="M311" t="e">
            <v>#N/A</v>
          </cell>
          <cell r="N311" t="e">
            <v>#N/A</v>
          </cell>
          <cell r="O311" t="e">
            <v>#N/A</v>
          </cell>
          <cell r="P311">
            <v>13.13</v>
          </cell>
          <cell r="Q311">
            <v>2.65388</v>
          </cell>
          <cell r="R311" t="e">
            <v>#N/A</v>
          </cell>
        </row>
        <row r="312">
          <cell r="A312">
            <v>40423</v>
          </cell>
          <cell r="B312">
            <v>40423</v>
          </cell>
          <cell r="C312" t="str">
            <v>Past</v>
          </cell>
          <cell r="D312">
            <v>13.07</v>
          </cell>
          <cell r="E312" t="e">
            <v>#N/A</v>
          </cell>
          <cell r="F312" t="e">
            <v>#N/A</v>
          </cell>
          <cell r="G312" t="e">
            <v>#N/A</v>
          </cell>
          <cell r="H312" t="e">
            <v>#N/A</v>
          </cell>
          <cell r="I312" t="e">
            <v>#N/A</v>
          </cell>
          <cell r="J312" t="e">
            <v>#N/A</v>
          </cell>
          <cell r="K312" t="e">
            <v>#N/A</v>
          </cell>
          <cell r="L312" t="e">
            <v>#N/A</v>
          </cell>
          <cell r="M312" t="e">
            <v>#N/A</v>
          </cell>
          <cell r="N312" t="e">
            <v>#N/A</v>
          </cell>
          <cell r="O312" t="e">
            <v>#N/A</v>
          </cell>
          <cell r="P312">
            <v>13.07</v>
          </cell>
          <cell r="Q312">
            <v>3.9073409999999997</v>
          </cell>
          <cell r="R312" t="e">
            <v>#N/A</v>
          </cell>
        </row>
        <row r="313">
          <cell r="A313">
            <v>40424</v>
          </cell>
          <cell r="B313">
            <v>40424</v>
          </cell>
          <cell r="C313" t="str">
            <v>Past</v>
          </cell>
          <cell r="D313">
            <v>13.21</v>
          </cell>
          <cell r="E313" t="e">
            <v>#N/A</v>
          </cell>
          <cell r="F313" t="e">
            <v>#N/A</v>
          </cell>
          <cell r="G313" t="e">
            <v>#N/A</v>
          </cell>
          <cell r="H313" t="e">
            <v>#N/A</v>
          </cell>
          <cell r="I313" t="e">
            <v>#N/A</v>
          </cell>
          <cell r="J313" t="e">
            <v>#N/A</v>
          </cell>
          <cell r="K313" t="e">
            <v>#N/A</v>
          </cell>
          <cell r="L313" t="e">
            <v>#N/A</v>
          </cell>
          <cell r="M313" t="e">
            <v>#N/A</v>
          </cell>
          <cell r="N313" t="e">
            <v>#N/A</v>
          </cell>
          <cell r="O313" t="e">
            <v>#N/A</v>
          </cell>
          <cell r="P313">
            <v>13.21</v>
          </cell>
          <cell r="Q313">
            <v>1.7133909999999999</v>
          </cell>
          <cell r="R313" t="e">
            <v>#N/A</v>
          </cell>
        </row>
        <row r="314">
          <cell r="A314">
            <v>40428</v>
          </cell>
          <cell r="B314">
            <v>40428</v>
          </cell>
          <cell r="C314" t="str">
            <v>Past</v>
          </cell>
          <cell r="D314">
            <v>13.13</v>
          </cell>
          <cell r="E314" t="e">
            <v>#N/A</v>
          </cell>
          <cell r="F314" t="e">
            <v>#N/A</v>
          </cell>
          <cell r="G314" t="e">
            <v>#N/A</v>
          </cell>
          <cell r="H314" t="e">
            <v>#N/A</v>
          </cell>
          <cell r="I314" t="e">
            <v>#N/A</v>
          </cell>
          <cell r="J314" t="e">
            <v>#N/A</v>
          </cell>
          <cell r="K314" t="e">
            <v>#N/A</v>
          </cell>
          <cell r="L314" t="e">
            <v>#N/A</v>
          </cell>
          <cell r="M314" t="e">
            <v>#N/A</v>
          </cell>
          <cell r="N314" t="e">
            <v>#N/A</v>
          </cell>
          <cell r="O314" t="e">
            <v>#N/A</v>
          </cell>
          <cell r="P314">
            <v>13.13</v>
          </cell>
          <cell r="Q314">
            <v>1.388282</v>
          </cell>
          <cell r="R314" t="e">
            <v>#N/A</v>
          </cell>
        </row>
        <row r="315">
          <cell r="A315">
            <v>40429</v>
          </cell>
          <cell r="B315">
            <v>40429</v>
          </cell>
          <cell r="C315" t="str">
            <v>Past</v>
          </cell>
          <cell r="D315">
            <v>12.95</v>
          </cell>
          <cell r="E315" t="e">
            <v>#N/A</v>
          </cell>
          <cell r="F315" t="e">
            <v>#N/A</v>
          </cell>
          <cell r="G315" t="e">
            <v>#N/A</v>
          </cell>
          <cell r="H315" t="e">
            <v>#N/A</v>
          </cell>
          <cell r="I315" t="e">
            <v>#N/A</v>
          </cell>
          <cell r="J315" t="e">
            <v>#N/A</v>
          </cell>
          <cell r="K315" t="e">
            <v>#N/A</v>
          </cell>
          <cell r="L315" t="e">
            <v>#N/A</v>
          </cell>
          <cell r="M315" t="e">
            <v>#N/A</v>
          </cell>
          <cell r="N315" t="e">
            <v>#N/A</v>
          </cell>
          <cell r="O315" t="e">
            <v>#N/A</v>
          </cell>
          <cell r="P315">
            <v>12.95</v>
          </cell>
          <cell r="Q315">
            <v>1.844096</v>
          </cell>
          <cell r="R315" t="e">
            <v>#N/A</v>
          </cell>
        </row>
        <row r="316">
          <cell r="A316">
            <v>40430</v>
          </cell>
          <cell r="B316">
            <v>40430</v>
          </cell>
          <cell r="C316" t="str">
            <v>Past</v>
          </cell>
          <cell r="D316">
            <v>13</v>
          </cell>
          <cell r="E316" t="e">
            <v>#N/A</v>
          </cell>
          <cell r="F316" t="e">
            <v>#N/A</v>
          </cell>
          <cell r="G316" t="e">
            <v>#N/A</v>
          </cell>
          <cell r="H316" t="e">
            <v>#N/A</v>
          </cell>
          <cell r="I316" t="e">
            <v>#N/A</v>
          </cell>
          <cell r="J316" t="e">
            <v>#N/A</v>
          </cell>
          <cell r="K316" t="e">
            <v>#N/A</v>
          </cell>
          <cell r="L316" t="e">
            <v>#N/A</v>
          </cell>
          <cell r="M316" t="e">
            <v>#N/A</v>
          </cell>
          <cell r="N316" t="e">
            <v>#N/A</v>
          </cell>
          <cell r="O316" t="e">
            <v>#N/A</v>
          </cell>
          <cell r="P316">
            <v>13</v>
          </cell>
          <cell r="Q316">
            <v>2.1684220000000001</v>
          </cell>
          <cell r="R316" t="e">
            <v>#N/A</v>
          </cell>
        </row>
        <row r="317">
          <cell r="A317">
            <v>40431</v>
          </cell>
          <cell r="B317">
            <v>40431</v>
          </cell>
          <cell r="C317" t="str">
            <v>Past</v>
          </cell>
          <cell r="D317">
            <v>12.95</v>
          </cell>
          <cell r="E317" t="e">
            <v>#N/A</v>
          </cell>
          <cell r="F317" t="e">
            <v>#N/A</v>
          </cell>
          <cell r="G317" t="e">
            <v>#N/A</v>
          </cell>
          <cell r="H317" t="e">
            <v>#N/A</v>
          </cell>
          <cell r="I317" t="e">
            <v>#N/A</v>
          </cell>
          <cell r="J317" t="e">
            <v>#N/A</v>
          </cell>
          <cell r="K317" t="e">
            <v>#N/A</v>
          </cell>
          <cell r="L317" t="e">
            <v>#N/A</v>
          </cell>
          <cell r="M317" t="e">
            <v>#N/A</v>
          </cell>
          <cell r="N317" t="e">
            <v>#N/A</v>
          </cell>
          <cell r="O317" t="e">
            <v>#N/A</v>
          </cell>
          <cell r="P317">
            <v>12.95</v>
          </cell>
          <cell r="Q317">
            <v>3.4128089999999998</v>
          </cell>
          <cell r="R317" t="e">
            <v>#N/A</v>
          </cell>
        </row>
        <row r="318">
          <cell r="A318">
            <v>40434</v>
          </cell>
          <cell r="B318">
            <v>40434</v>
          </cell>
          <cell r="C318" t="str">
            <v>Past</v>
          </cell>
          <cell r="D318">
            <v>13.13</v>
          </cell>
          <cell r="E318" t="e">
            <v>#N/A</v>
          </cell>
          <cell r="F318" t="e">
            <v>#N/A</v>
          </cell>
          <cell r="G318" t="e">
            <v>#N/A</v>
          </cell>
          <cell r="H318" t="e">
            <v>#N/A</v>
          </cell>
          <cell r="I318" t="e">
            <v>#N/A</v>
          </cell>
          <cell r="J318" t="e">
            <v>#N/A</v>
          </cell>
          <cell r="K318" t="e">
            <v>#N/A</v>
          </cell>
          <cell r="L318" t="e">
            <v>#N/A</v>
          </cell>
          <cell r="M318" t="e">
            <v>#N/A</v>
          </cell>
          <cell r="N318" t="e">
            <v>#N/A</v>
          </cell>
          <cell r="O318" t="e">
            <v>#N/A</v>
          </cell>
          <cell r="P318">
            <v>13.13</v>
          </cell>
          <cell r="Q318">
            <v>1.9109800000000001</v>
          </cell>
          <cell r="R318" t="e">
            <v>#N/A</v>
          </cell>
        </row>
        <row r="319">
          <cell r="A319">
            <v>40435</v>
          </cell>
          <cell r="B319">
            <v>40435</v>
          </cell>
          <cell r="C319" t="str">
            <v>Past</v>
          </cell>
          <cell r="D319">
            <v>13.1</v>
          </cell>
          <cell r="E319" t="e">
            <v>#N/A</v>
          </cell>
          <cell r="F319" t="e">
            <v>#N/A</v>
          </cell>
          <cell r="G319" t="e">
            <v>#N/A</v>
          </cell>
          <cell r="H319" t="e">
            <v>#N/A</v>
          </cell>
          <cell r="I319" t="e">
            <v>#N/A</v>
          </cell>
          <cell r="J319" t="e">
            <v>#N/A</v>
          </cell>
          <cell r="K319" t="e">
            <v>#N/A</v>
          </cell>
          <cell r="L319" t="e">
            <v>#N/A</v>
          </cell>
          <cell r="M319" t="e">
            <v>#N/A</v>
          </cell>
          <cell r="N319" t="e">
            <v>#N/A</v>
          </cell>
          <cell r="O319" t="e">
            <v>#N/A</v>
          </cell>
          <cell r="P319">
            <v>13.1</v>
          </cell>
          <cell r="Q319">
            <v>1.5091000000000001</v>
          </cell>
          <cell r="R319" t="e">
            <v>#N/A</v>
          </cell>
        </row>
        <row r="320">
          <cell r="A320">
            <v>40436</v>
          </cell>
          <cell r="B320">
            <v>40436</v>
          </cell>
          <cell r="C320" t="str">
            <v>Past</v>
          </cell>
          <cell r="D320">
            <v>12.92</v>
          </cell>
          <cell r="E320" t="e">
            <v>#N/A</v>
          </cell>
          <cell r="F320" t="e">
            <v>#N/A</v>
          </cell>
          <cell r="G320" t="e">
            <v>#N/A</v>
          </cell>
          <cell r="H320" t="e">
            <v>#N/A</v>
          </cell>
          <cell r="I320" t="e">
            <v>#N/A</v>
          </cell>
          <cell r="J320" t="e">
            <v>#N/A</v>
          </cell>
          <cell r="K320" t="e">
            <v>#N/A</v>
          </cell>
          <cell r="L320" t="e">
            <v>#N/A</v>
          </cell>
          <cell r="M320" t="e">
            <v>#N/A</v>
          </cell>
          <cell r="N320" t="e">
            <v>#N/A</v>
          </cell>
          <cell r="O320" t="e">
            <v>#N/A</v>
          </cell>
          <cell r="P320">
            <v>12.92</v>
          </cell>
          <cell r="Q320">
            <v>2.0562860000000001</v>
          </cell>
          <cell r="R320" t="e">
            <v>#N/A</v>
          </cell>
        </row>
        <row r="321">
          <cell r="A321">
            <v>40437</v>
          </cell>
          <cell r="B321">
            <v>40437</v>
          </cell>
          <cell r="C321" t="str">
            <v>Past</v>
          </cell>
          <cell r="D321">
            <v>12.71</v>
          </cell>
          <cell r="E321" t="e">
            <v>#N/A</v>
          </cell>
          <cell r="F321" t="e">
            <v>#N/A</v>
          </cell>
          <cell r="G321" t="e">
            <v>#N/A</v>
          </cell>
          <cell r="H321" t="e">
            <v>#N/A</v>
          </cell>
          <cell r="I321" t="e">
            <v>#N/A</v>
          </cell>
          <cell r="J321" t="e">
            <v>#N/A</v>
          </cell>
          <cell r="K321" t="e">
            <v>#N/A</v>
          </cell>
          <cell r="L321" t="e">
            <v>#N/A</v>
          </cell>
          <cell r="M321" t="e">
            <v>#N/A</v>
          </cell>
          <cell r="N321" t="e">
            <v>#N/A</v>
          </cell>
          <cell r="O321" t="e">
            <v>#N/A</v>
          </cell>
          <cell r="P321">
            <v>12.71</v>
          </cell>
          <cell r="Q321">
            <v>1.4083539999999999</v>
          </cell>
          <cell r="R321" t="e">
            <v>#N/A</v>
          </cell>
        </row>
        <row r="322">
          <cell r="A322">
            <v>40438</v>
          </cell>
          <cell r="B322">
            <v>40438</v>
          </cell>
          <cell r="C322" t="str">
            <v>Past</v>
          </cell>
          <cell r="D322">
            <v>12.68</v>
          </cell>
          <cell r="E322" t="e">
            <v>#N/A</v>
          </cell>
          <cell r="F322" t="e">
            <v>#N/A</v>
          </cell>
          <cell r="G322" t="e">
            <v>#N/A</v>
          </cell>
          <cell r="H322" t="e">
            <v>#N/A</v>
          </cell>
          <cell r="I322" t="e">
            <v>#N/A</v>
          </cell>
          <cell r="J322" t="e">
            <v>#N/A</v>
          </cell>
          <cell r="K322" t="e">
            <v>#N/A</v>
          </cell>
          <cell r="L322" t="e">
            <v>#N/A</v>
          </cell>
          <cell r="M322" t="e">
            <v>#N/A</v>
          </cell>
          <cell r="N322" t="e">
            <v>#N/A</v>
          </cell>
          <cell r="O322" t="e">
            <v>#N/A</v>
          </cell>
          <cell r="P322">
            <v>12.68</v>
          </cell>
          <cell r="Q322">
            <v>1.7802609999999999</v>
          </cell>
          <cell r="R322" t="e">
            <v>#N/A</v>
          </cell>
        </row>
        <row r="323">
          <cell r="A323">
            <v>40441</v>
          </cell>
          <cell r="B323">
            <v>40441</v>
          </cell>
          <cell r="C323" t="str">
            <v>Past</v>
          </cell>
          <cell r="D323">
            <v>12.91</v>
          </cell>
          <cell r="E323" t="e">
            <v>#N/A</v>
          </cell>
          <cell r="F323" t="e">
            <v>#N/A</v>
          </cell>
          <cell r="G323" t="e">
            <v>#N/A</v>
          </cell>
          <cell r="H323" t="e">
            <v>#N/A</v>
          </cell>
          <cell r="I323" t="e">
            <v>#N/A</v>
          </cell>
          <cell r="J323" t="e">
            <v>#N/A</v>
          </cell>
          <cell r="K323" t="e">
            <v>#N/A</v>
          </cell>
          <cell r="L323" t="e">
            <v>#N/A</v>
          </cell>
          <cell r="M323" t="e">
            <v>#N/A</v>
          </cell>
          <cell r="N323" t="e">
            <v>#N/A</v>
          </cell>
          <cell r="O323" t="e">
            <v>#N/A</v>
          </cell>
          <cell r="P323">
            <v>12.91</v>
          </cell>
          <cell r="Q323">
            <v>1.297507</v>
          </cell>
          <cell r="R323" t="e">
            <v>#N/A</v>
          </cell>
        </row>
        <row r="324">
          <cell r="A324">
            <v>40442</v>
          </cell>
          <cell r="B324">
            <v>40442</v>
          </cell>
          <cell r="C324" t="str">
            <v>Past</v>
          </cell>
          <cell r="D324">
            <v>12.81</v>
          </cell>
          <cell r="E324" t="e">
            <v>#N/A</v>
          </cell>
          <cell r="F324" t="e">
            <v>#N/A</v>
          </cell>
          <cell r="G324" t="e">
            <v>#N/A</v>
          </cell>
          <cell r="H324" t="e">
            <v>#N/A</v>
          </cell>
          <cell r="I324" t="e">
            <v>#N/A</v>
          </cell>
          <cell r="J324" t="e">
            <v>#N/A</v>
          </cell>
          <cell r="K324" t="e">
            <v>#N/A</v>
          </cell>
          <cell r="L324" t="e">
            <v>#N/A</v>
          </cell>
          <cell r="M324" t="e">
            <v>#N/A</v>
          </cell>
          <cell r="N324" t="e">
            <v>#N/A</v>
          </cell>
          <cell r="O324" t="e">
            <v>#N/A</v>
          </cell>
          <cell r="P324">
            <v>12.81</v>
          </cell>
          <cell r="Q324">
            <v>1.4411429999999998</v>
          </cell>
          <cell r="R324" t="e">
            <v>#N/A</v>
          </cell>
        </row>
        <row r="325">
          <cell r="A325">
            <v>40443</v>
          </cell>
          <cell r="B325">
            <v>40443</v>
          </cell>
          <cell r="C325" t="str">
            <v>Past</v>
          </cell>
          <cell r="D325">
            <v>12.88</v>
          </cell>
          <cell r="E325" t="e">
            <v>#N/A</v>
          </cell>
          <cell r="F325" t="e">
            <v>#N/A</v>
          </cell>
          <cell r="G325" t="e">
            <v>#N/A</v>
          </cell>
          <cell r="H325" t="e">
            <v>#N/A</v>
          </cell>
          <cell r="I325" t="e">
            <v>#N/A</v>
          </cell>
          <cell r="J325" t="e">
            <v>#N/A</v>
          </cell>
          <cell r="K325" t="e">
            <v>#N/A</v>
          </cell>
          <cell r="L325" t="e">
            <v>#N/A</v>
          </cell>
          <cell r="M325" t="e">
            <v>#N/A</v>
          </cell>
          <cell r="N325" t="e">
            <v>#N/A</v>
          </cell>
          <cell r="O325" t="e">
            <v>#N/A</v>
          </cell>
          <cell r="P325">
            <v>12.88</v>
          </cell>
          <cell r="Q325">
            <v>0.79303000000000001</v>
          </cell>
          <cell r="R325" t="e">
            <v>#N/A</v>
          </cell>
        </row>
        <row r="326">
          <cell r="A326">
            <v>40444</v>
          </cell>
          <cell r="B326">
            <v>40444</v>
          </cell>
          <cell r="C326" t="str">
            <v>Past</v>
          </cell>
          <cell r="D326">
            <v>12.95</v>
          </cell>
          <cell r="E326" t="e">
            <v>#N/A</v>
          </cell>
          <cell r="F326" t="e">
            <v>#N/A</v>
          </cell>
          <cell r="G326" t="e">
            <v>#N/A</v>
          </cell>
          <cell r="H326" t="e">
            <v>#N/A</v>
          </cell>
          <cell r="I326" t="e">
            <v>#N/A</v>
          </cell>
          <cell r="J326" t="e">
            <v>#N/A</v>
          </cell>
          <cell r="K326" t="e">
            <v>#N/A</v>
          </cell>
          <cell r="L326" t="e">
            <v>#N/A</v>
          </cell>
          <cell r="M326" t="e">
            <v>#N/A</v>
          </cell>
          <cell r="N326" t="e">
            <v>#N/A</v>
          </cell>
          <cell r="O326" t="e">
            <v>#N/A</v>
          </cell>
          <cell r="P326">
            <v>12.95</v>
          </cell>
          <cell r="Q326">
            <v>1.457676</v>
          </cell>
          <cell r="R326" t="e">
            <v>#N/A</v>
          </cell>
        </row>
        <row r="327">
          <cell r="A327">
            <v>40445</v>
          </cell>
          <cell r="B327">
            <v>40445</v>
          </cell>
          <cell r="C327" t="str">
            <v>Past</v>
          </cell>
          <cell r="D327">
            <v>13.16</v>
          </cell>
          <cell r="E327" t="e">
            <v>#N/A</v>
          </cell>
          <cell r="F327" t="e">
            <v>#N/A</v>
          </cell>
          <cell r="G327" t="e">
            <v>#N/A</v>
          </cell>
          <cell r="H327" t="e">
            <v>#N/A</v>
          </cell>
          <cell r="I327" t="e">
            <v>#N/A</v>
          </cell>
          <cell r="J327" t="e">
            <v>#N/A</v>
          </cell>
          <cell r="K327" t="e">
            <v>#N/A</v>
          </cell>
          <cell r="L327" t="e">
            <v>#N/A</v>
          </cell>
          <cell r="M327" t="e">
            <v>#N/A</v>
          </cell>
          <cell r="N327" t="e">
            <v>#N/A</v>
          </cell>
          <cell r="O327" t="e">
            <v>#N/A</v>
          </cell>
          <cell r="P327">
            <v>13.16</v>
          </cell>
          <cell r="Q327">
            <v>0.86191600000000002</v>
          </cell>
          <cell r="R327" t="e">
            <v>#N/A</v>
          </cell>
        </row>
        <row r="328">
          <cell r="A328">
            <v>40448</v>
          </cell>
          <cell r="B328">
            <v>40448</v>
          </cell>
          <cell r="C328" t="str">
            <v>Past</v>
          </cell>
          <cell r="D328">
            <v>13.18</v>
          </cell>
          <cell r="E328" t="e">
            <v>#N/A</v>
          </cell>
          <cell r="F328" t="e">
            <v>#N/A</v>
          </cell>
          <cell r="G328" t="e">
            <v>#N/A</v>
          </cell>
          <cell r="H328" t="e">
            <v>#N/A</v>
          </cell>
          <cell r="I328" t="e">
            <v>#N/A</v>
          </cell>
          <cell r="J328" t="e">
            <v>#N/A</v>
          </cell>
          <cell r="K328" t="e">
            <v>#N/A</v>
          </cell>
          <cell r="L328" t="e">
            <v>#N/A</v>
          </cell>
          <cell r="M328" t="e">
            <v>#N/A</v>
          </cell>
          <cell r="N328" t="e">
            <v>#N/A</v>
          </cell>
          <cell r="O328" t="e">
            <v>#N/A</v>
          </cell>
          <cell r="P328">
            <v>13.18</v>
          </cell>
          <cell r="Q328">
            <v>1.1820059999999999</v>
          </cell>
          <cell r="R328" t="e">
            <v>#N/A</v>
          </cell>
        </row>
        <row r="329">
          <cell r="A329">
            <v>40449</v>
          </cell>
          <cell r="B329">
            <v>40449</v>
          </cell>
          <cell r="C329" t="str">
            <v>Past</v>
          </cell>
          <cell r="D329">
            <v>13.02</v>
          </cell>
          <cell r="E329" t="e">
            <v>#N/A</v>
          </cell>
          <cell r="F329" t="e">
            <v>#N/A</v>
          </cell>
          <cell r="G329" t="e">
            <v>#N/A</v>
          </cell>
          <cell r="H329" t="e">
            <v>#N/A</v>
          </cell>
          <cell r="I329" t="e">
            <v>#N/A</v>
          </cell>
          <cell r="J329" t="e">
            <v>#N/A</v>
          </cell>
          <cell r="K329" t="e">
            <v>#N/A</v>
          </cell>
          <cell r="L329" t="e">
            <v>#N/A</v>
          </cell>
          <cell r="M329" t="e">
            <v>#N/A</v>
          </cell>
          <cell r="N329" t="e">
            <v>#N/A</v>
          </cell>
          <cell r="O329" t="e">
            <v>#N/A</v>
          </cell>
          <cell r="P329">
            <v>13.02</v>
          </cell>
          <cell r="Q329">
            <v>2.1931620000000001</v>
          </cell>
          <cell r="R329" t="e">
            <v>#N/A</v>
          </cell>
        </row>
        <row r="330">
          <cell r="A330">
            <v>40450</v>
          </cell>
          <cell r="B330">
            <v>40450</v>
          </cell>
          <cell r="C330" t="str">
            <v>Past</v>
          </cell>
          <cell r="D330">
            <v>12.99</v>
          </cell>
          <cell r="E330" t="e">
            <v>#N/A</v>
          </cell>
          <cell r="F330" t="e">
            <v>#N/A</v>
          </cell>
          <cell r="G330" t="e">
            <v>#N/A</v>
          </cell>
          <cell r="H330" t="e">
            <v>#N/A</v>
          </cell>
          <cell r="I330" t="e">
            <v>#N/A</v>
          </cell>
          <cell r="J330" t="e">
            <v>#N/A</v>
          </cell>
          <cell r="K330" t="e">
            <v>#N/A</v>
          </cell>
          <cell r="L330" t="e">
            <v>#N/A</v>
          </cell>
          <cell r="M330" t="e">
            <v>#N/A</v>
          </cell>
          <cell r="N330" t="e">
            <v>#N/A</v>
          </cell>
          <cell r="O330" t="e">
            <v>#N/A</v>
          </cell>
          <cell r="P330">
            <v>12.99</v>
          </cell>
          <cell r="Q330">
            <v>1.350544</v>
          </cell>
          <cell r="R330" t="e">
            <v>#N/A</v>
          </cell>
        </row>
        <row r="331">
          <cell r="A331">
            <v>40451</v>
          </cell>
          <cell r="B331">
            <v>40451</v>
          </cell>
          <cell r="C331" t="str">
            <v>Past</v>
          </cell>
          <cell r="D331">
            <v>13.15</v>
          </cell>
          <cell r="E331" t="e">
            <v>#N/A</v>
          </cell>
          <cell r="F331" t="e">
            <v>#N/A</v>
          </cell>
          <cell r="G331" t="e">
            <v>#N/A</v>
          </cell>
          <cell r="H331" t="e">
            <v>#N/A</v>
          </cell>
          <cell r="I331" t="e">
            <v>#N/A</v>
          </cell>
          <cell r="J331" t="e">
            <v>#N/A</v>
          </cell>
          <cell r="K331" t="e">
            <v>#N/A</v>
          </cell>
          <cell r="L331" t="e">
            <v>#N/A</v>
          </cell>
          <cell r="M331" t="e">
            <v>#N/A</v>
          </cell>
          <cell r="N331" t="e">
            <v>#N/A</v>
          </cell>
          <cell r="O331" t="e">
            <v>#N/A</v>
          </cell>
          <cell r="P331">
            <v>13.15</v>
          </cell>
          <cell r="Q331">
            <v>1.4850939999999999</v>
          </cell>
          <cell r="R331" t="e">
            <v>#N/A</v>
          </cell>
        </row>
        <row r="332">
          <cell r="A332">
            <v>40452</v>
          </cell>
          <cell r="B332">
            <v>40452</v>
          </cell>
          <cell r="C332" t="str">
            <v>Past</v>
          </cell>
          <cell r="D332">
            <v>13.13</v>
          </cell>
          <cell r="E332" t="e">
            <v>#N/A</v>
          </cell>
          <cell r="F332" t="e">
            <v>#N/A</v>
          </cell>
          <cell r="G332" t="e">
            <v>#N/A</v>
          </cell>
          <cell r="H332" t="e">
            <v>#N/A</v>
          </cell>
          <cell r="I332" t="e">
            <v>#N/A</v>
          </cell>
          <cell r="J332" t="e">
            <v>#N/A</v>
          </cell>
          <cell r="K332" t="e">
            <v>#N/A</v>
          </cell>
          <cell r="L332" t="e">
            <v>#N/A</v>
          </cell>
          <cell r="M332" t="e">
            <v>#N/A</v>
          </cell>
          <cell r="N332" t="e">
            <v>#N/A</v>
          </cell>
          <cell r="O332" t="e">
            <v>#N/A</v>
          </cell>
          <cell r="P332">
            <v>13.13</v>
          </cell>
          <cell r="Q332">
            <v>1.921621</v>
          </cell>
          <cell r="R332" t="e">
            <v>#N/A</v>
          </cell>
        </row>
        <row r="333">
          <cell r="A333">
            <v>40455</v>
          </cell>
          <cell r="B333">
            <v>40455</v>
          </cell>
          <cell r="C333" t="str">
            <v>Past</v>
          </cell>
          <cell r="D333">
            <v>12.94</v>
          </cell>
          <cell r="E333" t="e">
            <v>#N/A</v>
          </cell>
          <cell r="F333" t="e">
            <v>#N/A</v>
          </cell>
          <cell r="G333" t="e">
            <v>#N/A</v>
          </cell>
          <cell r="H333" t="e">
            <v>#N/A</v>
          </cell>
          <cell r="I333" t="e">
            <v>#N/A</v>
          </cell>
          <cell r="J333" t="e">
            <v>#N/A</v>
          </cell>
          <cell r="K333" t="e">
            <v>#N/A</v>
          </cell>
          <cell r="L333" t="e">
            <v>#N/A</v>
          </cell>
          <cell r="M333" t="e">
            <v>#N/A</v>
          </cell>
          <cell r="N333" t="e">
            <v>#N/A</v>
          </cell>
          <cell r="O333" t="e">
            <v>#N/A</v>
          </cell>
          <cell r="P333">
            <v>12.94</v>
          </cell>
          <cell r="Q333">
            <v>1.977595</v>
          </cell>
          <cell r="R333" t="e">
            <v>#N/A</v>
          </cell>
        </row>
        <row r="334">
          <cell r="A334">
            <v>40456</v>
          </cell>
          <cell r="B334">
            <v>40456</v>
          </cell>
          <cell r="C334" t="str">
            <v>Past</v>
          </cell>
          <cell r="D334">
            <v>12.94</v>
          </cell>
          <cell r="E334" t="e">
            <v>#N/A</v>
          </cell>
          <cell r="F334" t="e">
            <v>#N/A</v>
          </cell>
          <cell r="G334" t="e">
            <v>#N/A</v>
          </cell>
          <cell r="H334" t="e">
            <v>#N/A</v>
          </cell>
          <cell r="I334" t="e">
            <v>#N/A</v>
          </cell>
          <cell r="J334" t="e">
            <v>#N/A</v>
          </cell>
          <cell r="K334" t="e">
            <v>#N/A</v>
          </cell>
          <cell r="L334" t="e">
            <v>#N/A</v>
          </cell>
          <cell r="M334" t="e">
            <v>#N/A</v>
          </cell>
          <cell r="N334" t="e">
            <v>#N/A</v>
          </cell>
          <cell r="O334" t="e">
            <v>#N/A</v>
          </cell>
          <cell r="P334">
            <v>12.94</v>
          </cell>
          <cell r="Q334">
            <v>2.0961650000000001</v>
          </cell>
          <cell r="R334" t="e">
            <v>#N/A</v>
          </cell>
        </row>
        <row r="335">
          <cell r="A335">
            <v>40457</v>
          </cell>
          <cell r="B335">
            <v>40457</v>
          </cell>
          <cell r="C335" t="str">
            <v>Past</v>
          </cell>
          <cell r="D335">
            <v>12.87</v>
          </cell>
          <cell r="E335" t="e">
            <v>#N/A</v>
          </cell>
          <cell r="F335" t="e">
            <v>#N/A</v>
          </cell>
          <cell r="G335" t="e">
            <v>#N/A</v>
          </cell>
          <cell r="H335" t="e">
            <v>#N/A</v>
          </cell>
          <cell r="I335" t="e">
            <v>#N/A</v>
          </cell>
          <cell r="J335" t="e">
            <v>#N/A</v>
          </cell>
          <cell r="K335" t="e">
            <v>#N/A</v>
          </cell>
          <cell r="L335" t="e">
            <v>#N/A</v>
          </cell>
          <cell r="M335" t="e">
            <v>#N/A</v>
          </cell>
          <cell r="N335" t="e">
            <v>#N/A</v>
          </cell>
          <cell r="O335" t="e">
            <v>#N/A</v>
          </cell>
          <cell r="P335">
            <v>12.87</v>
          </cell>
          <cell r="Q335">
            <v>1.6934449999999999</v>
          </cell>
          <cell r="R335" t="e">
            <v>#N/A</v>
          </cell>
        </row>
        <row r="336">
          <cell r="A336">
            <v>40458</v>
          </cell>
          <cell r="B336">
            <v>40458</v>
          </cell>
          <cell r="C336" t="str">
            <v>Past</v>
          </cell>
          <cell r="D336">
            <v>12.95</v>
          </cell>
          <cell r="E336" t="e">
            <v>#N/A</v>
          </cell>
          <cell r="F336" t="e">
            <v>#N/A</v>
          </cell>
          <cell r="G336" t="e">
            <v>#N/A</v>
          </cell>
          <cell r="H336" t="e">
            <v>#N/A</v>
          </cell>
          <cell r="I336" t="e">
            <v>#N/A</v>
          </cell>
          <cell r="J336" t="e">
            <v>#N/A</v>
          </cell>
          <cell r="K336" t="e">
            <v>#N/A</v>
          </cell>
          <cell r="L336" t="e">
            <v>#N/A</v>
          </cell>
          <cell r="M336" t="e">
            <v>#N/A</v>
          </cell>
          <cell r="N336" t="e">
            <v>#N/A</v>
          </cell>
          <cell r="O336" t="e">
            <v>#N/A</v>
          </cell>
          <cell r="P336">
            <v>12.95</v>
          </cell>
          <cell r="Q336">
            <v>1.0372839999999999</v>
          </cell>
          <cell r="R336" t="e">
            <v>#N/A</v>
          </cell>
        </row>
        <row r="337">
          <cell r="A337">
            <v>40459</v>
          </cell>
          <cell r="B337">
            <v>40459</v>
          </cell>
          <cell r="C337" t="str">
            <v>Past</v>
          </cell>
          <cell r="D337">
            <v>13.07</v>
          </cell>
          <cell r="E337" t="e">
            <v>#N/A</v>
          </cell>
          <cell r="F337" t="e">
            <v>#N/A</v>
          </cell>
          <cell r="G337" t="e">
            <v>#N/A</v>
          </cell>
          <cell r="H337" t="e">
            <v>#N/A</v>
          </cell>
          <cell r="I337" t="e">
            <v>#N/A</v>
          </cell>
          <cell r="J337" t="e">
            <v>#N/A</v>
          </cell>
          <cell r="K337" t="e">
            <v>#N/A</v>
          </cell>
          <cell r="L337" t="e">
            <v>#N/A</v>
          </cell>
          <cell r="M337" t="e">
            <v>#N/A</v>
          </cell>
          <cell r="N337" t="e">
            <v>#N/A</v>
          </cell>
          <cell r="O337" t="e">
            <v>#N/A</v>
          </cell>
          <cell r="P337">
            <v>13.07</v>
          </cell>
          <cell r="Q337">
            <v>1.3130230000000001</v>
          </cell>
          <cell r="R337" t="e">
            <v>#N/A</v>
          </cell>
        </row>
        <row r="338">
          <cell r="A338">
            <v>40462</v>
          </cell>
          <cell r="B338">
            <v>40462</v>
          </cell>
          <cell r="C338" t="str">
            <v>Past</v>
          </cell>
          <cell r="D338">
            <v>12.99</v>
          </cell>
          <cell r="E338" t="e">
            <v>#N/A</v>
          </cell>
          <cell r="F338" t="e">
            <v>#N/A</v>
          </cell>
          <cell r="G338" t="e">
            <v>#N/A</v>
          </cell>
          <cell r="H338" t="e">
            <v>#N/A</v>
          </cell>
          <cell r="I338" t="e">
            <v>#N/A</v>
          </cell>
          <cell r="J338" t="e">
            <v>#N/A</v>
          </cell>
          <cell r="K338" t="e">
            <v>#N/A</v>
          </cell>
          <cell r="L338" t="e">
            <v>#N/A</v>
          </cell>
          <cell r="M338" t="e">
            <v>#N/A</v>
          </cell>
          <cell r="N338" t="e">
            <v>#N/A</v>
          </cell>
          <cell r="O338" t="e">
            <v>#N/A</v>
          </cell>
          <cell r="P338">
            <v>12.99</v>
          </cell>
          <cell r="Q338">
            <v>2.0637059999999998</v>
          </cell>
          <cell r="R338" t="e">
            <v>#N/A</v>
          </cell>
        </row>
        <row r="339">
          <cell r="A339">
            <v>40463</v>
          </cell>
          <cell r="B339">
            <v>40463</v>
          </cell>
          <cell r="C339" t="str">
            <v>Past</v>
          </cell>
          <cell r="D339">
            <v>13.06</v>
          </cell>
          <cell r="E339" t="e">
            <v>#N/A</v>
          </cell>
          <cell r="F339" t="e">
            <v>#N/A</v>
          </cell>
          <cell r="G339" t="e">
            <v>#N/A</v>
          </cell>
          <cell r="H339" t="e">
            <v>#N/A</v>
          </cell>
          <cell r="I339" t="e">
            <v>#N/A</v>
          </cell>
          <cell r="J339" t="e">
            <v>#N/A</v>
          </cell>
          <cell r="K339" t="e">
            <v>#N/A</v>
          </cell>
          <cell r="L339" t="e">
            <v>#N/A</v>
          </cell>
          <cell r="M339" t="e">
            <v>#N/A</v>
          </cell>
          <cell r="N339" t="e">
            <v>#N/A</v>
          </cell>
          <cell r="O339" t="e">
            <v>#N/A</v>
          </cell>
          <cell r="P339">
            <v>13.06</v>
          </cell>
          <cell r="Q339">
            <v>1.4325909999999999</v>
          </cell>
          <cell r="R339" t="e">
            <v>#N/A</v>
          </cell>
        </row>
        <row r="340">
          <cell r="A340">
            <v>40464</v>
          </cell>
          <cell r="B340">
            <v>40464</v>
          </cell>
          <cell r="C340" t="str">
            <v>Past</v>
          </cell>
          <cell r="D340">
            <v>13.01</v>
          </cell>
          <cell r="E340" t="e">
            <v>#N/A</v>
          </cell>
          <cell r="F340" t="e">
            <v>#N/A</v>
          </cell>
          <cell r="G340" t="e">
            <v>#N/A</v>
          </cell>
          <cell r="H340" t="e">
            <v>#N/A</v>
          </cell>
          <cell r="I340" t="e">
            <v>#N/A</v>
          </cell>
          <cell r="J340" t="e">
            <v>#N/A</v>
          </cell>
          <cell r="K340" t="e">
            <v>#N/A</v>
          </cell>
          <cell r="L340" t="e">
            <v>#N/A</v>
          </cell>
          <cell r="M340" t="e">
            <v>#N/A</v>
          </cell>
          <cell r="N340" t="e">
            <v>#N/A</v>
          </cell>
          <cell r="O340" t="e">
            <v>#N/A</v>
          </cell>
          <cell r="P340">
            <v>13.01</v>
          </cell>
          <cell r="Q340">
            <v>1.2016229999999999</v>
          </cell>
          <cell r="R340" t="e">
            <v>#N/A</v>
          </cell>
        </row>
        <row r="341">
          <cell r="A341">
            <v>40465</v>
          </cell>
          <cell r="B341">
            <v>40465</v>
          </cell>
          <cell r="C341" t="str">
            <v>Past</v>
          </cell>
          <cell r="D341">
            <v>13.09</v>
          </cell>
          <cell r="E341" t="e">
            <v>#N/A</v>
          </cell>
          <cell r="F341" t="e">
            <v>#N/A</v>
          </cell>
          <cell r="G341" t="e">
            <v>#N/A</v>
          </cell>
          <cell r="H341" t="e">
            <v>#N/A</v>
          </cell>
          <cell r="I341" t="e">
            <v>#N/A</v>
          </cell>
          <cell r="J341" t="e">
            <v>#N/A</v>
          </cell>
          <cell r="K341" t="e">
            <v>#N/A</v>
          </cell>
          <cell r="L341" t="e">
            <v>#N/A</v>
          </cell>
          <cell r="M341" t="e">
            <v>#N/A</v>
          </cell>
          <cell r="N341" t="e">
            <v>#N/A</v>
          </cell>
          <cell r="O341" t="e">
            <v>#N/A</v>
          </cell>
          <cell r="P341">
            <v>13.09</v>
          </cell>
          <cell r="Q341">
            <v>0.89577699999999993</v>
          </cell>
          <cell r="R341" t="e">
            <v>#N/A</v>
          </cell>
        </row>
        <row r="342">
          <cell r="A342">
            <v>40466</v>
          </cell>
          <cell r="B342">
            <v>40466</v>
          </cell>
          <cell r="C342" t="str">
            <v>Past</v>
          </cell>
          <cell r="D342">
            <v>13.16</v>
          </cell>
          <cell r="E342" t="e">
            <v>#N/A</v>
          </cell>
          <cell r="F342" t="e">
            <v>#N/A</v>
          </cell>
          <cell r="G342" t="e">
            <v>#N/A</v>
          </cell>
          <cell r="H342" t="e">
            <v>#N/A</v>
          </cell>
          <cell r="I342" t="e">
            <v>#N/A</v>
          </cell>
          <cell r="J342" t="e">
            <v>#N/A</v>
          </cell>
          <cell r="K342" t="e">
            <v>#N/A</v>
          </cell>
          <cell r="L342" t="e">
            <v>#N/A</v>
          </cell>
          <cell r="M342" t="e">
            <v>#N/A</v>
          </cell>
          <cell r="N342" t="e">
            <v>#N/A</v>
          </cell>
          <cell r="O342" t="e">
            <v>#N/A</v>
          </cell>
          <cell r="P342">
            <v>13.16</v>
          </cell>
          <cell r="Q342">
            <v>1.373721</v>
          </cell>
          <cell r="R342" t="e">
            <v>#N/A</v>
          </cell>
        </row>
        <row r="343">
          <cell r="A343">
            <v>40469</v>
          </cell>
          <cell r="B343">
            <v>40469</v>
          </cell>
          <cell r="C343" t="str">
            <v>Past</v>
          </cell>
          <cell r="D343">
            <v>13.25</v>
          </cell>
          <cell r="E343" t="e">
            <v>#N/A</v>
          </cell>
          <cell r="F343" t="e">
            <v>#N/A</v>
          </cell>
          <cell r="G343" t="e">
            <v>#N/A</v>
          </cell>
          <cell r="H343" t="e">
            <v>#N/A</v>
          </cell>
          <cell r="I343" t="e">
            <v>#N/A</v>
          </cell>
          <cell r="J343" t="e">
            <v>#N/A</v>
          </cell>
          <cell r="K343" t="e">
            <v>#N/A</v>
          </cell>
          <cell r="L343" t="e">
            <v>#N/A</v>
          </cell>
          <cell r="M343" t="e">
            <v>#N/A</v>
          </cell>
          <cell r="N343" t="e">
            <v>#N/A</v>
          </cell>
          <cell r="O343" t="e">
            <v>#N/A</v>
          </cell>
          <cell r="P343">
            <v>13.25</v>
          </cell>
          <cell r="Q343">
            <v>0.72126899999999994</v>
          </cell>
          <cell r="R343" t="e">
            <v>#N/A</v>
          </cell>
        </row>
        <row r="344">
          <cell r="A344">
            <v>40470</v>
          </cell>
          <cell r="B344">
            <v>40470</v>
          </cell>
          <cell r="C344" t="str">
            <v>Past</v>
          </cell>
          <cell r="D344">
            <v>13.14</v>
          </cell>
          <cell r="E344" t="e">
            <v>#N/A</v>
          </cell>
          <cell r="F344" t="e">
            <v>#N/A</v>
          </cell>
          <cell r="G344" t="e">
            <v>#N/A</v>
          </cell>
          <cell r="H344" t="e">
            <v>#N/A</v>
          </cell>
          <cell r="I344" t="e">
            <v>#N/A</v>
          </cell>
          <cell r="J344" t="e">
            <v>#N/A</v>
          </cell>
          <cell r="K344" t="e">
            <v>#N/A</v>
          </cell>
          <cell r="L344" t="e">
            <v>#N/A</v>
          </cell>
          <cell r="M344" t="e">
            <v>#N/A</v>
          </cell>
          <cell r="N344" t="e">
            <v>#N/A</v>
          </cell>
          <cell r="O344" t="e">
            <v>#N/A</v>
          </cell>
          <cell r="P344">
            <v>13.14</v>
          </cell>
          <cell r="Q344">
            <v>3.069394</v>
          </cell>
          <cell r="R344" t="e">
            <v>#N/A</v>
          </cell>
        </row>
        <row r="345">
          <cell r="A345">
            <v>40471</v>
          </cell>
          <cell r="B345">
            <v>40471</v>
          </cell>
          <cell r="C345" t="str">
            <v>Past</v>
          </cell>
          <cell r="D345">
            <v>13.19</v>
          </cell>
          <cell r="E345" t="e">
            <v>#N/A</v>
          </cell>
          <cell r="F345" t="e">
            <v>#N/A</v>
          </cell>
          <cell r="G345" t="e">
            <v>#N/A</v>
          </cell>
          <cell r="H345" t="e">
            <v>#N/A</v>
          </cell>
          <cell r="I345" t="e">
            <v>#N/A</v>
          </cell>
          <cell r="J345" t="e">
            <v>#N/A</v>
          </cell>
          <cell r="K345" t="e">
            <v>#N/A</v>
          </cell>
          <cell r="L345" t="e">
            <v>#N/A</v>
          </cell>
          <cell r="M345" t="e">
            <v>#N/A</v>
          </cell>
          <cell r="N345" t="e">
            <v>#N/A</v>
          </cell>
          <cell r="O345" t="e">
            <v>#N/A</v>
          </cell>
          <cell r="P345">
            <v>13.19</v>
          </cell>
          <cell r="Q345">
            <v>1.592768</v>
          </cell>
          <cell r="R345" t="e">
            <v>#N/A</v>
          </cell>
        </row>
        <row r="346">
          <cell r="A346">
            <v>40472</v>
          </cell>
          <cell r="B346">
            <v>40472</v>
          </cell>
          <cell r="C346" t="str">
            <v>Past</v>
          </cell>
          <cell r="D346">
            <v>13.17</v>
          </cell>
          <cell r="E346" t="e">
            <v>#N/A</v>
          </cell>
          <cell r="F346" t="e">
            <v>#N/A</v>
          </cell>
          <cell r="G346" t="e">
            <v>#N/A</v>
          </cell>
          <cell r="H346" t="e">
            <v>#N/A</v>
          </cell>
          <cell r="I346" t="e">
            <v>#N/A</v>
          </cell>
          <cell r="J346" t="e">
            <v>#N/A</v>
          </cell>
          <cell r="K346" t="e">
            <v>#N/A</v>
          </cell>
          <cell r="L346" t="e">
            <v>#N/A</v>
          </cell>
          <cell r="M346" t="e">
            <v>#N/A</v>
          </cell>
          <cell r="N346" t="e">
            <v>#N/A</v>
          </cell>
          <cell r="O346" t="e">
            <v>#N/A</v>
          </cell>
          <cell r="P346">
            <v>13.17</v>
          </cell>
          <cell r="Q346">
            <v>2.0111460000000001</v>
          </cell>
          <cell r="R346" t="e">
            <v>#N/A</v>
          </cell>
        </row>
        <row r="347">
          <cell r="A347">
            <v>40473</v>
          </cell>
          <cell r="B347">
            <v>40473</v>
          </cell>
          <cell r="C347" t="str">
            <v>Past</v>
          </cell>
          <cell r="D347">
            <v>13.08</v>
          </cell>
          <cell r="E347" t="e">
            <v>#N/A</v>
          </cell>
          <cell r="F347" t="e">
            <v>#N/A</v>
          </cell>
          <cell r="G347" t="e">
            <v>#N/A</v>
          </cell>
          <cell r="H347" t="e">
            <v>#N/A</v>
          </cell>
          <cell r="I347" t="e">
            <v>#N/A</v>
          </cell>
          <cell r="J347" t="e">
            <v>#N/A</v>
          </cell>
          <cell r="K347" t="e">
            <v>#N/A</v>
          </cell>
          <cell r="L347" t="e">
            <v>#N/A</v>
          </cell>
          <cell r="M347" t="e">
            <v>#N/A</v>
          </cell>
          <cell r="N347" t="e">
            <v>#N/A</v>
          </cell>
          <cell r="O347" t="e">
            <v>#N/A</v>
          </cell>
          <cell r="P347">
            <v>13.08</v>
          </cell>
          <cell r="Q347">
            <v>3.1426209999999997</v>
          </cell>
          <cell r="R347" t="e">
            <v>#N/A</v>
          </cell>
        </row>
        <row r="348">
          <cell r="A348">
            <v>40476</v>
          </cell>
          <cell r="B348">
            <v>40476</v>
          </cell>
          <cell r="C348" t="str">
            <v>Past</v>
          </cell>
          <cell r="D348">
            <v>12.99</v>
          </cell>
          <cell r="E348" t="e">
            <v>#N/A</v>
          </cell>
          <cell r="F348" t="e">
            <v>#N/A</v>
          </cell>
          <cell r="G348" t="e">
            <v>#N/A</v>
          </cell>
          <cell r="H348" t="e">
            <v>#N/A</v>
          </cell>
          <cell r="I348" t="e">
            <v>#N/A</v>
          </cell>
          <cell r="J348" t="e">
            <v>#N/A</v>
          </cell>
          <cell r="K348" t="e">
            <v>#N/A</v>
          </cell>
          <cell r="L348" t="e">
            <v>#N/A</v>
          </cell>
          <cell r="M348" t="e">
            <v>#N/A</v>
          </cell>
          <cell r="N348" t="e">
            <v>#N/A</v>
          </cell>
          <cell r="O348" t="e">
            <v>#N/A</v>
          </cell>
          <cell r="P348">
            <v>12.99</v>
          </cell>
          <cell r="Q348">
            <v>2.530951</v>
          </cell>
          <cell r="R348" t="e">
            <v>#N/A</v>
          </cell>
        </row>
        <row r="349">
          <cell r="A349">
            <v>40477</v>
          </cell>
          <cell r="B349">
            <v>40477</v>
          </cell>
          <cell r="C349" t="str">
            <v>Past</v>
          </cell>
          <cell r="D349">
            <v>13.5</v>
          </cell>
          <cell r="E349" t="e">
            <v>#N/A</v>
          </cell>
          <cell r="F349" t="e">
            <v>#N/A</v>
          </cell>
          <cell r="G349" t="e">
            <v>#N/A</v>
          </cell>
          <cell r="H349" t="e">
            <v>#N/A</v>
          </cell>
          <cell r="I349" t="e">
            <v>#N/A</v>
          </cell>
          <cell r="J349" t="e">
            <v>#N/A</v>
          </cell>
          <cell r="K349" t="e">
            <v>#N/A</v>
          </cell>
          <cell r="L349" t="e">
            <v>#N/A</v>
          </cell>
          <cell r="M349" t="e">
            <v>#N/A</v>
          </cell>
          <cell r="N349" t="e">
            <v>#N/A</v>
          </cell>
          <cell r="O349" t="e">
            <v>#N/A</v>
          </cell>
          <cell r="P349">
            <v>13.5</v>
          </cell>
          <cell r="Q349">
            <v>5.4561000000000002</v>
          </cell>
          <cell r="R349" t="e">
            <v>#N/A</v>
          </cell>
        </row>
        <row r="350">
          <cell r="A350">
            <v>40478</v>
          </cell>
          <cell r="B350">
            <v>40478</v>
          </cell>
          <cell r="C350" t="str">
            <v>Past</v>
          </cell>
          <cell r="D350">
            <v>13.56</v>
          </cell>
          <cell r="E350" t="e">
            <v>#N/A</v>
          </cell>
          <cell r="F350" t="e">
            <v>#N/A</v>
          </cell>
          <cell r="G350" t="e">
            <v>#N/A</v>
          </cell>
          <cell r="H350" t="e">
            <v>#N/A</v>
          </cell>
          <cell r="I350" t="e">
            <v>#N/A</v>
          </cell>
          <cell r="J350" t="e">
            <v>#N/A</v>
          </cell>
          <cell r="K350" t="e">
            <v>#N/A</v>
          </cell>
          <cell r="L350" t="e">
            <v>#N/A</v>
          </cell>
          <cell r="M350" t="e">
            <v>#N/A</v>
          </cell>
          <cell r="N350" t="e">
            <v>#N/A</v>
          </cell>
          <cell r="O350" t="e">
            <v>#N/A</v>
          </cell>
          <cell r="P350">
            <v>13.56</v>
          </cell>
          <cell r="Q350">
            <v>2.7789239999999999</v>
          </cell>
          <cell r="R350" t="e">
            <v>#N/A</v>
          </cell>
        </row>
        <row r="351">
          <cell r="A351">
            <v>40479</v>
          </cell>
          <cell r="B351">
            <v>40479</v>
          </cell>
          <cell r="C351" t="str">
            <v>Past</v>
          </cell>
          <cell r="D351">
            <v>13.61</v>
          </cell>
          <cell r="E351" t="e">
            <v>#N/A</v>
          </cell>
          <cell r="F351" t="e">
            <v>#N/A</v>
          </cell>
          <cell r="G351" t="e">
            <v>#N/A</v>
          </cell>
          <cell r="H351" t="e">
            <v>#N/A</v>
          </cell>
          <cell r="I351" t="e">
            <v>#N/A</v>
          </cell>
          <cell r="J351" t="e">
            <v>#N/A</v>
          </cell>
          <cell r="K351" t="e">
            <v>#N/A</v>
          </cell>
          <cell r="L351" t="e">
            <v>#N/A</v>
          </cell>
          <cell r="M351" t="e">
            <v>#N/A</v>
          </cell>
          <cell r="N351" t="e">
            <v>#N/A</v>
          </cell>
          <cell r="O351" t="e">
            <v>#N/A</v>
          </cell>
          <cell r="P351">
            <v>13.61</v>
          </cell>
          <cell r="Q351">
            <v>2.4458409999999997</v>
          </cell>
          <cell r="R351" t="e">
            <v>#N/A</v>
          </cell>
        </row>
        <row r="352">
          <cell r="A352">
            <v>40480</v>
          </cell>
          <cell r="B352">
            <v>40480</v>
          </cell>
          <cell r="C352" t="str">
            <v>Past</v>
          </cell>
          <cell r="D352">
            <v>13.67</v>
          </cell>
          <cell r="E352" t="e">
            <v>#N/A</v>
          </cell>
          <cell r="F352" t="e">
            <v>#N/A</v>
          </cell>
          <cell r="G352" t="e">
            <v>#N/A</v>
          </cell>
          <cell r="H352" t="e">
            <v>#N/A</v>
          </cell>
          <cell r="I352" t="e">
            <v>#N/A</v>
          </cell>
          <cell r="J352" t="e">
            <v>#N/A</v>
          </cell>
          <cell r="K352" t="e">
            <v>#N/A</v>
          </cell>
          <cell r="L352" t="e">
            <v>#N/A</v>
          </cell>
          <cell r="M352" t="e">
            <v>#N/A</v>
          </cell>
          <cell r="N352" t="e">
            <v>#N/A</v>
          </cell>
          <cell r="O352" t="e">
            <v>#N/A</v>
          </cell>
          <cell r="P352">
            <v>13.67</v>
          </cell>
          <cell r="Q352">
            <v>1.4752000000000001</v>
          </cell>
          <cell r="R352" t="e">
            <v>#N/A</v>
          </cell>
        </row>
        <row r="353">
          <cell r="A353">
            <v>40483</v>
          </cell>
          <cell r="B353">
            <v>40483</v>
          </cell>
          <cell r="C353" t="str">
            <v>Past</v>
          </cell>
          <cell r="D353">
            <v>13.68</v>
          </cell>
          <cell r="E353" t="e">
            <v>#N/A</v>
          </cell>
          <cell r="F353" t="e">
            <v>#N/A</v>
          </cell>
          <cell r="G353" t="e">
            <v>#N/A</v>
          </cell>
          <cell r="H353" t="e">
            <v>#N/A</v>
          </cell>
          <cell r="I353" t="e">
            <v>#N/A</v>
          </cell>
          <cell r="J353" t="e">
            <v>#N/A</v>
          </cell>
          <cell r="K353" t="e">
            <v>#N/A</v>
          </cell>
          <cell r="L353" t="e">
            <v>#N/A</v>
          </cell>
          <cell r="M353" t="e">
            <v>#N/A</v>
          </cell>
          <cell r="N353" t="e">
            <v>#N/A</v>
          </cell>
          <cell r="O353" t="e">
            <v>#N/A</v>
          </cell>
          <cell r="P353">
            <v>13.68</v>
          </cell>
          <cell r="Q353">
            <v>1.9509209999999999</v>
          </cell>
          <cell r="R353" t="e">
            <v>#N/A</v>
          </cell>
        </row>
        <row r="354">
          <cell r="A354">
            <v>40484</v>
          </cell>
          <cell r="B354">
            <v>40484</v>
          </cell>
          <cell r="C354" t="str">
            <v>Past</v>
          </cell>
          <cell r="D354">
            <v>13.83</v>
          </cell>
          <cell r="E354" t="e">
            <v>#N/A</v>
          </cell>
          <cell r="F354" t="e">
            <v>#N/A</v>
          </cell>
          <cell r="G354" t="e">
            <v>#N/A</v>
          </cell>
          <cell r="H354" t="e">
            <v>#N/A</v>
          </cell>
          <cell r="I354" t="e">
            <v>#N/A</v>
          </cell>
          <cell r="J354" t="e">
            <v>#N/A</v>
          </cell>
          <cell r="K354" t="e">
            <v>#N/A</v>
          </cell>
          <cell r="L354" t="e">
            <v>#N/A</v>
          </cell>
          <cell r="M354" t="e">
            <v>#N/A</v>
          </cell>
          <cell r="N354" t="e">
            <v>#N/A</v>
          </cell>
          <cell r="O354" t="e">
            <v>#N/A</v>
          </cell>
          <cell r="P354">
            <v>13.83</v>
          </cell>
          <cell r="Q354">
            <v>1.22519</v>
          </cell>
          <cell r="R354" t="e">
            <v>#N/A</v>
          </cell>
        </row>
        <row r="355">
          <cell r="A355">
            <v>40485</v>
          </cell>
          <cell r="B355">
            <v>40485</v>
          </cell>
          <cell r="C355" t="str">
            <v>Past</v>
          </cell>
          <cell r="D355">
            <v>13.83</v>
          </cell>
          <cell r="E355" t="e">
            <v>#N/A</v>
          </cell>
          <cell r="F355" t="e">
            <v>#N/A</v>
          </cell>
          <cell r="G355" t="e">
            <v>#N/A</v>
          </cell>
          <cell r="H355" t="e">
            <v>#N/A</v>
          </cell>
          <cell r="I355" t="e">
            <v>#N/A</v>
          </cell>
          <cell r="J355" t="e">
            <v>#N/A</v>
          </cell>
          <cell r="K355" t="e">
            <v>#N/A</v>
          </cell>
          <cell r="L355" t="e">
            <v>#N/A</v>
          </cell>
          <cell r="M355" t="e">
            <v>#N/A</v>
          </cell>
          <cell r="N355" t="e">
            <v>#N/A</v>
          </cell>
          <cell r="O355" t="e">
            <v>#N/A</v>
          </cell>
          <cell r="P355">
            <v>13.83</v>
          </cell>
          <cell r="Q355">
            <v>1.352117</v>
          </cell>
          <cell r="R355" t="e">
            <v>#N/A</v>
          </cell>
        </row>
        <row r="356">
          <cell r="A356">
            <v>40486</v>
          </cell>
          <cell r="B356">
            <v>40486</v>
          </cell>
          <cell r="C356" t="str">
            <v>Past</v>
          </cell>
          <cell r="D356">
            <v>14.01</v>
          </cell>
          <cell r="E356" t="e">
            <v>#N/A</v>
          </cell>
          <cell r="F356" t="e">
            <v>#N/A</v>
          </cell>
          <cell r="G356" t="e">
            <v>#N/A</v>
          </cell>
          <cell r="H356" t="e">
            <v>#N/A</v>
          </cell>
          <cell r="I356" t="e">
            <v>#N/A</v>
          </cell>
          <cell r="J356" t="e">
            <v>#N/A</v>
          </cell>
          <cell r="K356" t="e">
            <v>#N/A</v>
          </cell>
          <cell r="L356" t="e">
            <v>#N/A</v>
          </cell>
          <cell r="M356" t="e">
            <v>#N/A</v>
          </cell>
          <cell r="N356" t="e">
            <v>#N/A</v>
          </cell>
          <cell r="O356" t="e">
            <v>#N/A</v>
          </cell>
          <cell r="P356">
            <v>14.01</v>
          </cell>
          <cell r="Q356">
            <v>1.294834</v>
          </cell>
          <cell r="R356" t="e">
            <v>#N/A</v>
          </cell>
        </row>
        <row r="357">
          <cell r="A357">
            <v>40487</v>
          </cell>
          <cell r="B357">
            <v>40487</v>
          </cell>
          <cell r="C357" t="str">
            <v>Past</v>
          </cell>
          <cell r="D357">
            <v>14.08</v>
          </cell>
          <cell r="E357" t="e">
            <v>#N/A</v>
          </cell>
          <cell r="F357" t="e">
            <v>#N/A</v>
          </cell>
          <cell r="G357" t="e">
            <v>#N/A</v>
          </cell>
          <cell r="H357" t="e">
            <v>#N/A</v>
          </cell>
          <cell r="I357" t="e">
            <v>#N/A</v>
          </cell>
          <cell r="J357" t="e">
            <v>#N/A</v>
          </cell>
          <cell r="K357" t="e">
            <v>#N/A</v>
          </cell>
          <cell r="L357" t="e">
            <v>#N/A</v>
          </cell>
          <cell r="M357" t="e">
            <v>#N/A</v>
          </cell>
          <cell r="N357" t="e">
            <v>#N/A</v>
          </cell>
          <cell r="O357" t="e">
            <v>#N/A</v>
          </cell>
          <cell r="P357">
            <v>14.08</v>
          </cell>
          <cell r="Q357">
            <v>1.4330669999999999</v>
          </cell>
          <cell r="R357" t="e">
            <v>#N/A</v>
          </cell>
        </row>
        <row r="358">
          <cell r="A358">
            <v>40490</v>
          </cell>
          <cell r="B358">
            <v>40490</v>
          </cell>
          <cell r="C358" t="str">
            <v>Past</v>
          </cell>
          <cell r="D358">
            <v>14.04</v>
          </cell>
          <cell r="E358" t="e">
            <v>#N/A</v>
          </cell>
          <cell r="F358" t="e">
            <v>#N/A</v>
          </cell>
          <cell r="G358" t="e">
            <v>#N/A</v>
          </cell>
          <cell r="H358" t="e">
            <v>#N/A</v>
          </cell>
          <cell r="I358" t="e">
            <v>#N/A</v>
          </cell>
          <cell r="J358" t="e">
            <v>#N/A</v>
          </cell>
          <cell r="K358" t="e">
            <v>#N/A</v>
          </cell>
          <cell r="L358" t="e">
            <v>#N/A</v>
          </cell>
          <cell r="M358" t="e">
            <v>#N/A</v>
          </cell>
          <cell r="N358" t="e">
            <v>#N/A</v>
          </cell>
          <cell r="O358" t="e">
            <v>#N/A</v>
          </cell>
          <cell r="P358">
            <v>14.04</v>
          </cell>
          <cell r="Q358">
            <v>1.399796</v>
          </cell>
          <cell r="R358" t="e">
            <v>#N/A</v>
          </cell>
        </row>
        <row r="359">
          <cell r="A359">
            <v>40491</v>
          </cell>
          <cell r="B359">
            <v>40491</v>
          </cell>
          <cell r="C359" t="str">
            <v>Past</v>
          </cell>
          <cell r="D359">
            <v>13.95</v>
          </cell>
          <cell r="E359" t="e">
            <v>#N/A</v>
          </cell>
          <cell r="F359" t="e">
            <v>#N/A</v>
          </cell>
          <cell r="G359" t="e">
            <v>#N/A</v>
          </cell>
          <cell r="H359" t="e">
            <v>#N/A</v>
          </cell>
          <cell r="I359" t="e">
            <v>#N/A</v>
          </cell>
          <cell r="J359" t="e">
            <v>#N/A</v>
          </cell>
          <cell r="K359" t="e">
            <v>#N/A</v>
          </cell>
          <cell r="L359" t="e">
            <v>#N/A</v>
          </cell>
          <cell r="M359" t="e">
            <v>#N/A</v>
          </cell>
          <cell r="N359" t="e">
            <v>#N/A</v>
          </cell>
          <cell r="O359" t="e">
            <v>#N/A</v>
          </cell>
          <cell r="P359">
            <v>13.95</v>
          </cell>
          <cell r="Q359">
            <v>1.2766789999999999</v>
          </cell>
          <cell r="R359" t="e">
            <v>#N/A</v>
          </cell>
        </row>
        <row r="360">
          <cell r="A360">
            <v>40492</v>
          </cell>
          <cell r="B360">
            <v>40492</v>
          </cell>
          <cell r="C360" t="str">
            <v>Past</v>
          </cell>
          <cell r="D360">
            <v>13.85</v>
          </cell>
          <cell r="E360" t="e">
            <v>#N/A</v>
          </cell>
          <cell r="F360" t="e">
            <v>#N/A</v>
          </cell>
          <cell r="G360" t="e">
            <v>#N/A</v>
          </cell>
          <cell r="H360" t="e">
            <v>#N/A</v>
          </cell>
          <cell r="I360" t="e">
            <v>#N/A</v>
          </cell>
          <cell r="J360" t="e">
            <v>#N/A</v>
          </cell>
          <cell r="K360" t="e">
            <v>#N/A</v>
          </cell>
          <cell r="L360" t="e">
            <v>#N/A</v>
          </cell>
          <cell r="M360" t="e">
            <v>#N/A</v>
          </cell>
          <cell r="N360" t="e">
            <v>#N/A</v>
          </cell>
          <cell r="O360" t="e">
            <v>#N/A</v>
          </cell>
          <cell r="P360">
            <v>13.85</v>
          </cell>
          <cell r="Q360">
            <v>1.4169559999999999</v>
          </cell>
          <cell r="R360" t="e">
            <v>#N/A</v>
          </cell>
        </row>
        <row r="361">
          <cell r="A361">
            <v>40493</v>
          </cell>
          <cell r="B361">
            <v>40493</v>
          </cell>
          <cell r="C361" t="str">
            <v>Past</v>
          </cell>
          <cell r="D361">
            <v>13.81</v>
          </cell>
          <cell r="E361" t="e">
            <v>#N/A</v>
          </cell>
          <cell r="F361" t="e">
            <v>#N/A</v>
          </cell>
          <cell r="G361" t="e">
            <v>#N/A</v>
          </cell>
          <cell r="H361" t="e">
            <v>#N/A</v>
          </cell>
          <cell r="I361" t="e">
            <v>#N/A</v>
          </cell>
          <cell r="J361" t="e">
            <v>#N/A</v>
          </cell>
          <cell r="K361" t="e">
            <v>#N/A</v>
          </cell>
          <cell r="L361" t="e">
            <v>#N/A</v>
          </cell>
          <cell r="M361" t="e">
            <v>#N/A</v>
          </cell>
          <cell r="N361" t="e">
            <v>#N/A</v>
          </cell>
          <cell r="O361" t="e">
            <v>#N/A</v>
          </cell>
          <cell r="P361">
            <v>13.81</v>
          </cell>
          <cell r="Q361">
            <v>1.0204959999999998</v>
          </cell>
          <cell r="R361" t="e">
            <v>#N/A</v>
          </cell>
        </row>
        <row r="362">
          <cell r="A362">
            <v>40494</v>
          </cell>
          <cell r="B362">
            <v>40494</v>
          </cell>
          <cell r="C362" t="str">
            <v>Past</v>
          </cell>
          <cell r="D362">
            <v>13.78</v>
          </cell>
          <cell r="E362" t="e">
            <v>#N/A</v>
          </cell>
          <cell r="F362" t="e">
            <v>#N/A</v>
          </cell>
          <cell r="G362" t="e">
            <v>#N/A</v>
          </cell>
          <cell r="H362" t="e">
            <v>#N/A</v>
          </cell>
          <cell r="I362" t="e">
            <v>#N/A</v>
          </cell>
          <cell r="J362" t="e">
            <v>#N/A</v>
          </cell>
          <cell r="K362" t="e">
            <v>#N/A</v>
          </cell>
          <cell r="L362" t="e">
            <v>#N/A</v>
          </cell>
          <cell r="M362" t="e">
            <v>#N/A</v>
          </cell>
          <cell r="N362" t="e">
            <v>#N/A</v>
          </cell>
          <cell r="O362" t="e">
            <v>#N/A</v>
          </cell>
          <cell r="P362">
            <v>13.78</v>
          </cell>
          <cell r="Q362">
            <v>2.466567</v>
          </cell>
          <cell r="R362" t="e">
            <v>#N/A</v>
          </cell>
        </row>
        <row r="363">
          <cell r="A363">
            <v>40497</v>
          </cell>
          <cell r="B363">
            <v>40497</v>
          </cell>
          <cell r="C363" t="str">
            <v>Past</v>
          </cell>
          <cell r="D363">
            <v>13.86</v>
          </cell>
          <cell r="E363" t="e">
            <v>#N/A</v>
          </cell>
          <cell r="F363" t="e">
            <v>#N/A</v>
          </cell>
          <cell r="G363" t="e">
            <v>#N/A</v>
          </cell>
          <cell r="H363" t="e">
            <v>#N/A</v>
          </cell>
          <cell r="I363" t="e">
            <v>#N/A</v>
          </cell>
          <cell r="J363" t="e">
            <v>#N/A</v>
          </cell>
          <cell r="K363" t="e">
            <v>#N/A</v>
          </cell>
          <cell r="L363" t="e">
            <v>#N/A</v>
          </cell>
          <cell r="M363" t="e">
            <v>#N/A</v>
          </cell>
          <cell r="N363" t="e">
            <v>#N/A</v>
          </cell>
          <cell r="O363" t="e">
            <v>#N/A</v>
          </cell>
          <cell r="P363">
            <v>13.86</v>
          </cell>
          <cell r="Q363">
            <v>1.445506</v>
          </cell>
          <cell r="R363" t="e">
            <v>#N/A</v>
          </cell>
        </row>
        <row r="364">
          <cell r="A364">
            <v>40498</v>
          </cell>
          <cell r="B364">
            <v>40498</v>
          </cell>
          <cell r="C364" t="str">
            <v>Past</v>
          </cell>
          <cell r="D364">
            <v>13.58</v>
          </cell>
          <cell r="E364" t="e">
            <v>#N/A</v>
          </cell>
          <cell r="F364" t="e">
            <v>#N/A</v>
          </cell>
          <cell r="G364" t="e">
            <v>#N/A</v>
          </cell>
          <cell r="H364" t="e">
            <v>#N/A</v>
          </cell>
          <cell r="I364" t="e">
            <v>#N/A</v>
          </cell>
          <cell r="J364" t="e">
            <v>#N/A</v>
          </cell>
          <cell r="K364" t="e">
            <v>#N/A</v>
          </cell>
          <cell r="L364" t="e">
            <v>#N/A</v>
          </cell>
          <cell r="M364" t="e">
            <v>#N/A</v>
          </cell>
          <cell r="N364" t="e">
            <v>#N/A</v>
          </cell>
          <cell r="O364" t="e">
            <v>#N/A</v>
          </cell>
          <cell r="P364">
            <v>13.58</v>
          </cell>
          <cell r="Q364">
            <v>2.116126</v>
          </cell>
          <cell r="R364" t="e">
            <v>#N/A</v>
          </cell>
        </row>
        <row r="365">
          <cell r="A365">
            <v>40499</v>
          </cell>
          <cell r="B365">
            <v>40499</v>
          </cell>
          <cell r="C365" t="str">
            <v>Past</v>
          </cell>
          <cell r="D365">
            <v>13.57</v>
          </cell>
          <cell r="E365" t="e">
            <v>#N/A</v>
          </cell>
          <cell r="F365" t="e">
            <v>#N/A</v>
          </cell>
          <cell r="G365" t="e">
            <v>#N/A</v>
          </cell>
          <cell r="H365" t="e">
            <v>#N/A</v>
          </cell>
          <cell r="I365" t="e">
            <v>#N/A</v>
          </cell>
          <cell r="J365" t="e">
            <v>#N/A</v>
          </cell>
          <cell r="K365" t="e">
            <v>#N/A</v>
          </cell>
          <cell r="L365" t="e">
            <v>#N/A</v>
          </cell>
          <cell r="M365" t="e">
            <v>#N/A</v>
          </cell>
          <cell r="N365" t="e">
            <v>#N/A</v>
          </cell>
          <cell r="O365" t="e">
            <v>#N/A</v>
          </cell>
          <cell r="P365">
            <v>13.57</v>
          </cell>
          <cell r="Q365">
            <v>1.1772229999999999</v>
          </cell>
          <cell r="R365" t="e">
            <v>#N/A</v>
          </cell>
        </row>
        <row r="366">
          <cell r="A366">
            <v>40500</v>
          </cell>
          <cell r="B366">
            <v>40500</v>
          </cell>
          <cell r="C366" t="str">
            <v>Past</v>
          </cell>
          <cell r="D366">
            <v>13.69</v>
          </cell>
          <cell r="E366" t="e">
            <v>#N/A</v>
          </cell>
          <cell r="F366" t="e">
            <v>#N/A</v>
          </cell>
          <cell r="G366" t="e">
            <v>#N/A</v>
          </cell>
          <cell r="H366" t="e">
            <v>#N/A</v>
          </cell>
          <cell r="I366" t="e">
            <v>#N/A</v>
          </cell>
          <cell r="J366" t="e">
            <v>#N/A</v>
          </cell>
          <cell r="K366" t="e">
            <v>#N/A</v>
          </cell>
          <cell r="L366" t="e">
            <v>#N/A</v>
          </cell>
          <cell r="M366" t="e">
            <v>#N/A</v>
          </cell>
          <cell r="N366" t="e">
            <v>#N/A</v>
          </cell>
          <cell r="O366" t="e">
            <v>#N/A</v>
          </cell>
          <cell r="P366">
            <v>13.69</v>
          </cell>
          <cell r="Q366">
            <v>0.73825699999999994</v>
          </cell>
          <cell r="R366" t="e">
            <v>#N/A</v>
          </cell>
        </row>
        <row r="367">
          <cell r="A367">
            <v>40501</v>
          </cell>
          <cell r="B367">
            <v>40501</v>
          </cell>
          <cell r="C367" t="str">
            <v>Past</v>
          </cell>
          <cell r="D367">
            <v>13.71</v>
          </cell>
          <cell r="E367" t="e">
            <v>#N/A</v>
          </cell>
          <cell r="F367" t="e">
            <v>#N/A</v>
          </cell>
          <cell r="G367" t="e">
            <v>#N/A</v>
          </cell>
          <cell r="H367" t="e">
            <v>#N/A</v>
          </cell>
          <cell r="I367" t="e">
            <v>#N/A</v>
          </cell>
          <cell r="J367" t="e">
            <v>#N/A</v>
          </cell>
          <cell r="K367" t="e">
            <v>#N/A</v>
          </cell>
          <cell r="L367" t="e">
            <v>#N/A</v>
          </cell>
          <cell r="M367" t="e">
            <v>#N/A</v>
          </cell>
          <cell r="N367" t="e">
            <v>#N/A</v>
          </cell>
          <cell r="O367" t="e">
            <v>#N/A</v>
          </cell>
          <cell r="P367">
            <v>13.71</v>
          </cell>
          <cell r="Q367">
            <v>0.69165399999999999</v>
          </cell>
          <cell r="R367" t="e">
            <v>#N/A</v>
          </cell>
        </row>
        <row r="368">
          <cell r="A368">
            <v>40504</v>
          </cell>
          <cell r="B368">
            <v>40504</v>
          </cell>
          <cell r="C368" t="str">
            <v>Past</v>
          </cell>
          <cell r="D368">
            <v>13.9</v>
          </cell>
          <cell r="E368" t="e">
            <v>#N/A</v>
          </cell>
          <cell r="F368" t="e">
            <v>#N/A</v>
          </cell>
          <cell r="G368" t="e">
            <v>#N/A</v>
          </cell>
          <cell r="H368" t="e">
            <v>#N/A</v>
          </cell>
          <cell r="I368" t="e">
            <v>#N/A</v>
          </cell>
          <cell r="J368" t="e">
            <v>#N/A</v>
          </cell>
          <cell r="K368" t="e">
            <v>#N/A</v>
          </cell>
          <cell r="L368" t="e">
            <v>#N/A</v>
          </cell>
          <cell r="M368" t="e">
            <v>#N/A</v>
          </cell>
          <cell r="N368" t="e">
            <v>#N/A</v>
          </cell>
          <cell r="O368" t="e">
            <v>#N/A</v>
          </cell>
          <cell r="P368">
            <v>13.9</v>
          </cell>
          <cell r="Q368">
            <v>1.7465309999999998</v>
          </cell>
          <cell r="R368" t="e">
            <v>#N/A</v>
          </cell>
        </row>
        <row r="369">
          <cell r="A369">
            <v>40505</v>
          </cell>
          <cell r="B369">
            <v>40505</v>
          </cell>
          <cell r="C369" t="str">
            <v>Past</v>
          </cell>
          <cell r="D369">
            <v>13.77</v>
          </cell>
          <cell r="E369" t="e">
            <v>#N/A</v>
          </cell>
          <cell r="F369" t="e">
            <v>#N/A</v>
          </cell>
          <cell r="G369" t="e">
            <v>#N/A</v>
          </cell>
          <cell r="H369" t="e">
            <v>#N/A</v>
          </cell>
          <cell r="I369" t="e">
            <v>#N/A</v>
          </cell>
          <cell r="J369" t="e">
            <v>#N/A</v>
          </cell>
          <cell r="K369" t="e">
            <v>#N/A</v>
          </cell>
          <cell r="L369" t="e">
            <v>#N/A</v>
          </cell>
          <cell r="M369" t="e">
            <v>#N/A</v>
          </cell>
          <cell r="N369" t="e">
            <v>#N/A</v>
          </cell>
          <cell r="O369" t="e">
            <v>#N/A</v>
          </cell>
          <cell r="P369">
            <v>13.77</v>
          </cell>
          <cell r="Q369">
            <v>1.594803</v>
          </cell>
          <cell r="R369" t="e">
            <v>#N/A</v>
          </cell>
        </row>
        <row r="370">
          <cell r="A370">
            <v>40506</v>
          </cell>
          <cell r="B370">
            <v>40506</v>
          </cell>
          <cell r="C370" t="str">
            <v>Past</v>
          </cell>
          <cell r="D370">
            <v>13.92</v>
          </cell>
          <cell r="E370" t="e">
            <v>#N/A</v>
          </cell>
          <cell r="F370" t="e">
            <v>#N/A</v>
          </cell>
          <cell r="G370" t="e">
            <v>#N/A</v>
          </cell>
          <cell r="H370" t="e">
            <v>#N/A</v>
          </cell>
          <cell r="I370" t="e">
            <v>#N/A</v>
          </cell>
          <cell r="J370" t="e">
            <v>#N/A</v>
          </cell>
          <cell r="K370" t="e">
            <v>#N/A</v>
          </cell>
          <cell r="L370" t="e">
            <v>#N/A</v>
          </cell>
          <cell r="M370" t="e">
            <v>#N/A</v>
          </cell>
          <cell r="N370" t="e">
            <v>#N/A</v>
          </cell>
          <cell r="O370" t="e">
            <v>#N/A</v>
          </cell>
          <cell r="P370">
            <v>13.92</v>
          </cell>
          <cell r="Q370">
            <v>1.474548</v>
          </cell>
          <cell r="R370" t="e">
            <v>#N/A</v>
          </cell>
        </row>
        <row r="371">
          <cell r="A371">
            <v>40508</v>
          </cell>
          <cell r="B371">
            <v>40508</v>
          </cell>
          <cell r="C371" t="str">
            <v>Past</v>
          </cell>
          <cell r="D371">
            <v>13.83</v>
          </cell>
          <cell r="E371" t="e">
            <v>#N/A</v>
          </cell>
          <cell r="F371" t="e">
            <v>#N/A</v>
          </cell>
          <cell r="G371" t="e">
            <v>#N/A</v>
          </cell>
          <cell r="H371" t="e">
            <v>#N/A</v>
          </cell>
          <cell r="I371" t="e">
            <v>#N/A</v>
          </cell>
          <cell r="J371" t="e">
            <v>#N/A</v>
          </cell>
          <cell r="K371" t="e">
            <v>#N/A</v>
          </cell>
          <cell r="L371" t="e">
            <v>#N/A</v>
          </cell>
          <cell r="M371" t="e">
            <v>#N/A</v>
          </cell>
          <cell r="N371" t="e">
            <v>#N/A</v>
          </cell>
          <cell r="O371" t="e">
            <v>#N/A</v>
          </cell>
          <cell r="P371">
            <v>13.83</v>
          </cell>
          <cell r="Q371">
            <v>0.74225599999999992</v>
          </cell>
          <cell r="R371" t="e">
            <v>#N/A</v>
          </cell>
        </row>
        <row r="372">
          <cell r="A372">
            <v>40511</v>
          </cell>
          <cell r="B372">
            <v>40511</v>
          </cell>
          <cell r="C372" t="str">
            <v>Past</v>
          </cell>
          <cell r="D372">
            <v>13.7</v>
          </cell>
          <cell r="E372" t="e">
            <v>#N/A</v>
          </cell>
          <cell r="F372" t="e">
            <v>#N/A</v>
          </cell>
          <cell r="G372" t="e">
            <v>#N/A</v>
          </cell>
          <cell r="H372" t="e">
            <v>#N/A</v>
          </cell>
          <cell r="I372" t="e">
            <v>#N/A</v>
          </cell>
          <cell r="J372" t="e">
            <v>#N/A</v>
          </cell>
          <cell r="K372" t="e">
            <v>#N/A</v>
          </cell>
          <cell r="L372" t="e">
            <v>#N/A</v>
          </cell>
          <cell r="M372" t="e">
            <v>#N/A</v>
          </cell>
          <cell r="N372" t="e">
            <v>#N/A</v>
          </cell>
          <cell r="O372" t="e">
            <v>#N/A</v>
          </cell>
          <cell r="P372">
            <v>13.7</v>
          </cell>
          <cell r="Q372">
            <v>1.363807</v>
          </cell>
          <cell r="R372" t="e">
            <v>#N/A</v>
          </cell>
        </row>
        <row r="373">
          <cell r="A373">
            <v>40512</v>
          </cell>
          <cell r="B373">
            <v>40512</v>
          </cell>
          <cell r="C373" t="str">
            <v>Past</v>
          </cell>
          <cell r="D373">
            <v>13.69</v>
          </cell>
          <cell r="E373" t="e">
            <v>#N/A</v>
          </cell>
          <cell r="F373" t="e">
            <v>#N/A</v>
          </cell>
          <cell r="G373" t="e">
            <v>#N/A</v>
          </cell>
          <cell r="H373" t="e">
            <v>#N/A</v>
          </cell>
          <cell r="I373" t="e">
            <v>#N/A</v>
          </cell>
          <cell r="J373" t="e">
            <v>#N/A</v>
          </cell>
          <cell r="K373" t="e">
            <v>#N/A</v>
          </cell>
          <cell r="L373" t="e">
            <v>#N/A</v>
          </cell>
          <cell r="M373" t="e">
            <v>#N/A</v>
          </cell>
          <cell r="N373" t="e">
            <v>#N/A</v>
          </cell>
          <cell r="O373" t="e">
            <v>#N/A</v>
          </cell>
          <cell r="P373">
            <v>13.69</v>
          </cell>
          <cell r="Q373">
            <v>1.213838</v>
          </cell>
          <cell r="R373" t="e">
            <v>#N/A</v>
          </cell>
        </row>
        <row r="374">
          <cell r="A374">
            <v>40513</v>
          </cell>
          <cell r="B374">
            <v>40513</v>
          </cell>
          <cell r="C374" t="str">
            <v>Past</v>
          </cell>
          <cell r="D374">
            <v>13.89</v>
          </cell>
          <cell r="E374" t="e">
            <v>#N/A</v>
          </cell>
          <cell r="F374" t="e">
            <v>#N/A</v>
          </cell>
          <cell r="G374" t="e">
            <v>#N/A</v>
          </cell>
          <cell r="H374" t="e">
            <v>#N/A</v>
          </cell>
          <cell r="I374" t="e">
            <v>#N/A</v>
          </cell>
          <cell r="J374" t="e">
            <v>#N/A</v>
          </cell>
          <cell r="K374" t="e">
            <v>#N/A</v>
          </cell>
          <cell r="L374" t="e">
            <v>#N/A</v>
          </cell>
          <cell r="M374" t="e">
            <v>#N/A</v>
          </cell>
          <cell r="N374" t="e">
            <v>#N/A</v>
          </cell>
          <cell r="O374" t="e">
            <v>#N/A</v>
          </cell>
          <cell r="P374">
            <v>13.89</v>
          </cell>
          <cell r="Q374">
            <v>1.3721729999999999</v>
          </cell>
          <cell r="R374" t="e">
            <v>#N/A</v>
          </cell>
        </row>
        <row r="375">
          <cell r="A375">
            <v>40514</v>
          </cell>
          <cell r="B375">
            <v>40514</v>
          </cell>
          <cell r="C375" t="str">
            <v>Past</v>
          </cell>
          <cell r="D375">
            <v>13.94</v>
          </cell>
          <cell r="E375" t="e">
            <v>#N/A</v>
          </cell>
          <cell r="F375" t="e">
            <v>#N/A</v>
          </cell>
          <cell r="G375" t="e">
            <v>#N/A</v>
          </cell>
          <cell r="H375" t="e">
            <v>#N/A</v>
          </cell>
          <cell r="I375" t="e">
            <v>#N/A</v>
          </cell>
          <cell r="J375" t="e">
            <v>#N/A</v>
          </cell>
          <cell r="K375" t="e">
            <v>#N/A</v>
          </cell>
          <cell r="L375" t="e">
            <v>#N/A</v>
          </cell>
          <cell r="M375" t="e">
            <v>#N/A</v>
          </cell>
          <cell r="N375" t="e">
            <v>#N/A</v>
          </cell>
          <cell r="O375" t="e">
            <v>#N/A</v>
          </cell>
          <cell r="P375">
            <v>13.94</v>
          </cell>
          <cell r="Q375">
            <v>1.5730659999999999</v>
          </cell>
          <cell r="R375" t="e">
            <v>#N/A</v>
          </cell>
        </row>
        <row r="376">
          <cell r="A376">
            <v>40515</v>
          </cell>
          <cell r="B376">
            <v>40515</v>
          </cell>
          <cell r="C376" t="str">
            <v>Past</v>
          </cell>
          <cell r="D376">
            <v>13.92</v>
          </cell>
          <cell r="E376" t="e">
            <v>#N/A</v>
          </cell>
          <cell r="F376" t="e">
            <v>#N/A</v>
          </cell>
          <cell r="G376" t="e">
            <v>#N/A</v>
          </cell>
          <cell r="H376" t="e">
            <v>#N/A</v>
          </cell>
          <cell r="I376" t="e">
            <v>#N/A</v>
          </cell>
          <cell r="J376" t="e">
            <v>#N/A</v>
          </cell>
          <cell r="K376" t="e">
            <v>#N/A</v>
          </cell>
          <cell r="L376" t="e">
            <v>#N/A</v>
          </cell>
          <cell r="M376" t="e">
            <v>#N/A</v>
          </cell>
          <cell r="N376" t="e">
            <v>#N/A</v>
          </cell>
          <cell r="O376" t="e">
            <v>#N/A</v>
          </cell>
          <cell r="P376">
            <v>13.92</v>
          </cell>
          <cell r="Q376">
            <v>1.3870339999999999</v>
          </cell>
          <cell r="R376" t="e">
            <v>#N/A</v>
          </cell>
        </row>
        <row r="377">
          <cell r="A377">
            <v>40518</v>
          </cell>
          <cell r="B377">
            <v>40518</v>
          </cell>
          <cell r="C377" t="str">
            <v>Past</v>
          </cell>
          <cell r="D377">
            <v>13.9</v>
          </cell>
          <cell r="E377" t="e">
            <v>#N/A</v>
          </cell>
          <cell r="F377" t="e">
            <v>#N/A</v>
          </cell>
          <cell r="G377" t="e">
            <v>#N/A</v>
          </cell>
          <cell r="H377" t="e">
            <v>#N/A</v>
          </cell>
          <cell r="I377" t="e">
            <v>#N/A</v>
          </cell>
          <cell r="J377" t="e">
            <v>#N/A</v>
          </cell>
          <cell r="K377" t="e">
            <v>#N/A</v>
          </cell>
          <cell r="L377" t="e">
            <v>#N/A</v>
          </cell>
          <cell r="M377" t="e">
            <v>#N/A</v>
          </cell>
          <cell r="N377" t="e">
            <v>#N/A</v>
          </cell>
          <cell r="O377" t="e">
            <v>#N/A</v>
          </cell>
          <cell r="P377">
            <v>13.9</v>
          </cell>
          <cell r="Q377">
            <v>0.99063099999999993</v>
          </cell>
          <cell r="R377" t="e">
            <v>#N/A</v>
          </cell>
        </row>
        <row r="378">
          <cell r="A378">
            <v>40519</v>
          </cell>
          <cell r="B378">
            <v>40519</v>
          </cell>
          <cell r="C378" t="str">
            <v>Past</v>
          </cell>
          <cell r="D378">
            <v>13.85</v>
          </cell>
          <cell r="E378" t="e">
            <v>#N/A</v>
          </cell>
          <cell r="F378" t="e">
            <v>#N/A</v>
          </cell>
          <cell r="G378" t="e">
            <v>#N/A</v>
          </cell>
          <cell r="H378" t="e">
            <v>#N/A</v>
          </cell>
          <cell r="I378" t="e">
            <v>#N/A</v>
          </cell>
          <cell r="J378" t="e">
            <v>#N/A</v>
          </cell>
          <cell r="K378" t="e">
            <v>#N/A</v>
          </cell>
          <cell r="L378" t="e">
            <v>#N/A</v>
          </cell>
          <cell r="M378" t="e">
            <v>#N/A</v>
          </cell>
          <cell r="N378" t="e">
            <v>#N/A</v>
          </cell>
          <cell r="O378" t="e">
            <v>#N/A</v>
          </cell>
          <cell r="P378">
            <v>13.85</v>
          </cell>
          <cell r="Q378">
            <v>1.4670259999999999</v>
          </cell>
          <cell r="R378" t="e">
            <v>#N/A</v>
          </cell>
        </row>
        <row r="379">
          <cell r="A379">
            <v>40520</v>
          </cell>
          <cell r="B379">
            <v>40520</v>
          </cell>
          <cell r="C379" t="str">
            <v>Past</v>
          </cell>
          <cell r="D379">
            <v>13.68</v>
          </cell>
          <cell r="E379" t="e">
            <v>#N/A</v>
          </cell>
          <cell r="F379" t="e">
            <v>#N/A</v>
          </cell>
          <cell r="G379" t="e">
            <v>#N/A</v>
          </cell>
          <cell r="H379" t="e">
            <v>#N/A</v>
          </cell>
          <cell r="I379" t="e">
            <v>#N/A</v>
          </cell>
          <cell r="J379" t="e">
            <v>#N/A</v>
          </cell>
          <cell r="K379" t="e">
            <v>#N/A</v>
          </cell>
          <cell r="L379" t="e">
            <v>#N/A</v>
          </cell>
          <cell r="M379" t="e">
            <v>#N/A</v>
          </cell>
          <cell r="N379" t="e">
            <v>#N/A</v>
          </cell>
          <cell r="O379" t="e">
            <v>#N/A</v>
          </cell>
          <cell r="P379">
            <v>13.68</v>
          </cell>
          <cell r="Q379">
            <v>1.306387</v>
          </cell>
          <cell r="R379" t="e">
            <v>#N/A</v>
          </cell>
        </row>
        <row r="380">
          <cell r="A380">
            <v>40521</v>
          </cell>
          <cell r="B380">
            <v>40521</v>
          </cell>
          <cell r="C380" t="str">
            <v>Past</v>
          </cell>
          <cell r="D380">
            <v>13.76</v>
          </cell>
          <cell r="E380" t="e">
            <v>#N/A</v>
          </cell>
          <cell r="F380" t="e">
            <v>#N/A</v>
          </cell>
          <cell r="G380" t="e">
            <v>#N/A</v>
          </cell>
          <cell r="H380" t="e">
            <v>#N/A</v>
          </cell>
          <cell r="I380" t="e">
            <v>#N/A</v>
          </cell>
          <cell r="J380" t="e">
            <v>#N/A</v>
          </cell>
          <cell r="K380" t="e">
            <v>#N/A</v>
          </cell>
          <cell r="L380" t="e">
            <v>#N/A</v>
          </cell>
          <cell r="M380" t="e">
            <v>#N/A</v>
          </cell>
          <cell r="N380" t="e">
            <v>#N/A</v>
          </cell>
          <cell r="O380" t="e">
            <v>#N/A</v>
          </cell>
          <cell r="P380">
            <v>13.76</v>
          </cell>
          <cell r="Q380">
            <v>1.0436049999999999</v>
          </cell>
          <cell r="R380" t="e">
            <v>#N/A</v>
          </cell>
        </row>
        <row r="381">
          <cell r="A381">
            <v>40522</v>
          </cell>
          <cell r="B381">
            <v>40522</v>
          </cell>
          <cell r="C381" t="str">
            <v>Past</v>
          </cell>
          <cell r="D381">
            <v>13.85</v>
          </cell>
          <cell r="E381" t="e">
            <v>#N/A</v>
          </cell>
          <cell r="F381" t="e">
            <v>#N/A</v>
          </cell>
          <cell r="G381" t="e">
            <v>#N/A</v>
          </cell>
          <cell r="H381" t="e">
            <v>#N/A</v>
          </cell>
          <cell r="I381" t="e">
            <v>#N/A</v>
          </cell>
          <cell r="J381" t="e">
            <v>#N/A</v>
          </cell>
          <cell r="K381" t="e">
            <v>#N/A</v>
          </cell>
          <cell r="L381" t="e">
            <v>#N/A</v>
          </cell>
          <cell r="M381" t="e">
            <v>#N/A</v>
          </cell>
          <cell r="N381" t="e">
            <v>#N/A</v>
          </cell>
          <cell r="O381" t="e">
            <v>#N/A</v>
          </cell>
          <cell r="P381">
            <v>13.85</v>
          </cell>
          <cell r="Q381">
            <v>0.75632599999999994</v>
          </cell>
          <cell r="R381" t="e">
            <v>#N/A</v>
          </cell>
        </row>
        <row r="382">
          <cell r="A382">
            <v>40525</v>
          </cell>
          <cell r="B382">
            <v>40525</v>
          </cell>
          <cell r="C382" t="str">
            <v>Past</v>
          </cell>
          <cell r="D382">
            <v>13.92</v>
          </cell>
          <cell r="E382" t="e">
            <v>#N/A</v>
          </cell>
          <cell r="F382" t="e">
            <v>#N/A</v>
          </cell>
          <cell r="G382" t="e">
            <v>#N/A</v>
          </cell>
          <cell r="H382" t="e">
            <v>#N/A</v>
          </cell>
          <cell r="I382" t="e">
            <v>#N/A</v>
          </cell>
          <cell r="J382" t="e">
            <v>#N/A</v>
          </cell>
          <cell r="K382" t="e">
            <v>#N/A</v>
          </cell>
          <cell r="L382" t="e">
            <v>#N/A</v>
          </cell>
          <cell r="M382" t="e">
            <v>#N/A</v>
          </cell>
          <cell r="N382" t="e">
            <v>#N/A</v>
          </cell>
          <cell r="O382" t="e">
            <v>#N/A</v>
          </cell>
          <cell r="P382">
            <v>13.92</v>
          </cell>
          <cell r="Q382">
            <v>1.0436159999999999</v>
          </cell>
          <cell r="R382" t="e">
            <v>#N/A</v>
          </cell>
        </row>
        <row r="383">
          <cell r="A383">
            <v>40526</v>
          </cell>
          <cell r="B383">
            <v>40526</v>
          </cell>
          <cell r="C383" t="str">
            <v>Past</v>
          </cell>
          <cell r="D383">
            <v>13.99</v>
          </cell>
          <cell r="E383" t="e">
            <v>#N/A</v>
          </cell>
          <cell r="F383" t="e">
            <v>#N/A</v>
          </cell>
          <cell r="G383" t="e">
            <v>#N/A</v>
          </cell>
          <cell r="H383" t="e">
            <v>#N/A</v>
          </cell>
          <cell r="I383" t="e">
            <v>#N/A</v>
          </cell>
          <cell r="J383" t="e">
            <v>#N/A</v>
          </cell>
          <cell r="K383" t="e">
            <v>#N/A</v>
          </cell>
          <cell r="L383" t="e">
            <v>#N/A</v>
          </cell>
          <cell r="M383" t="e">
            <v>#N/A</v>
          </cell>
          <cell r="N383" t="e">
            <v>#N/A</v>
          </cell>
          <cell r="O383" t="e">
            <v>#N/A</v>
          </cell>
          <cell r="P383">
            <v>13.99</v>
          </cell>
          <cell r="Q383">
            <v>1.1892600000000002</v>
          </cell>
          <cell r="R383" t="e">
            <v>#N/A</v>
          </cell>
        </row>
        <row r="384">
          <cell r="A384">
            <v>40527</v>
          </cell>
          <cell r="B384">
            <v>40527</v>
          </cell>
          <cell r="C384" t="str">
            <v>Past</v>
          </cell>
          <cell r="D384">
            <v>13.75</v>
          </cell>
          <cell r="E384" t="e">
            <v>#N/A</v>
          </cell>
          <cell r="F384" t="e">
            <v>#N/A</v>
          </cell>
          <cell r="G384" t="e">
            <v>#N/A</v>
          </cell>
          <cell r="H384" t="e">
            <v>#N/A</v>
          </cell>
          <cell r="I384" t="e">
            <v>#N/A</v>
          </cell>
          <cell r="J384" t="e">
            <v>#N/A</v>
          </cell>
          <cell r="K384" t="e">
            <v>#N/A</v>
          </cell>
          <cell r="L384" t="e">
            <v>#N/A</v>
          </cell>
          <cell r="M384" t="e">
            <v>#N/A</v>
          </cell>
          <cell r="N384" t="e">
            <v>#N/A</v>
          </cell>
          <cell r="O384" t="e">
            <v>#N/A</v>
          </cell>
          <cell r="P384">
            <v>13.75</v>
          </cell>
          <cell r="Q384">
            <v>1.3205</v>
          </cell>
          <cell r="R384" t="e">
            <v>#N/A</v>
          </cell>
        </row>
        <row r="385">
          <cell r="A385">
            <v>40528</v>
          </cell>
          <cell r="B385">
            <v>40528</v>
          </cell>
          <cell r="C385" t="str">
            <v>Past</v>
          </cell>
          <cell r="D385">
            <v>14.08</v>
          </cell>
          <cell r="E385" t="e">
            <v>#N/A</v>
          </cell>
          <cell r="F385" t="e">
            <v>#N/A</v>
          </cell>
          <cell r="G385" t="e">
            <v>#N/A</v>
          </cell>
          <cell r="H385" t="e">
            <v>#N/A</v>
          </cell>
          <cell r="I385" t="e">
            <v>#N/A</v>
          </cell>
          <cell r="J385" t="e">
            <v>#N/A</v>
          </cell>
          <cell r="K385" t="e">
            <v>#N/A</v>
          </cell>
          <cell r="L385" t="e">
            <v>#N/A</v>
          </cell>
          <cell r="M385" t="e">
            <v>#N/A</v>
          </cell>
          <cell r="N385" t="e">
            <v>#N/A</v>
          </cell>
          <cell r="O385" t="e">
            <v>#N/A</v>
          </cell>
          <cell r="P385">
            <v>14.08</v>
          </cell>
          <cell r="Q385">
            <v>1.730621</v>
          </cell>
          <cell r="R385" t="e">
            <v>#N/A</v>
          </cell>
        </row>
        <row r="386">
          <cell r="A386">
            <v>40529</v>
          </cell>
          <cell r="B386">
            <v>40529</v>
          </cell>
          <cell r="C386" t="str">
            <v>Past</v>
          </cell>
          <cell r="D386">
            <v>14.28</v>
          </cell>
          <cell r="E386" t="e">
            <v>#N/A</v>
          </cell>
          <cell r="F386" t="e">
            <v>#N/A</v>
          </cell>
          <cell r="G386" t="e">
            <v>#N/A</v>
          </cell>
          <cell r="H386" t="e">
            <v>#N/A</v>
          </cell>
          <cell r="I386" t="e">
            <v>#N/A</v>
          </cell>
          <cell r="J386" t="e">
            <v>#N/A</v>
          </cell>
          <cell r="K386" t="e">
            <v>#N/A</v>
          </cell>
          <cell r="L386" t="e">
            <v>#N/A</v>
          </cell>
          <cell r="M386" t="e">
            <v>#N/A</v>
          </cell>
          <cell r="N386" t="e">
            <v>#N/A</v>
          </cell>
          <cell r="O386" t="e">
            <v>#N/A</v>
          </cell>
          <cell r="P386">
            <v>14.28</v>
          </cell>
          <cell r="Q386">
            <v>2.4079000000000002</v>
          </cell>
          <cell r="R386" t="e">
            <v>#N/A</v>
          </cell>
        </row>
        <row r="387">
          <cell r="A387">
            <v>40532</v>
          </cell>
          <cell r="B387">
            <v>40532</v>
          </cell>
          <cell r="C387" t="str">
            <v>Past</v>
          </cell>
          <cell r="D387">
            <v>14.29</v>
          </cell>
          <cell r="E387" t="e">
            <v>#N/A</v>
          </cell>
          <cell r="F387" t="e">
            <v>#N/A</v>
          </cell>
          <cell r="G387" t="e">
            <v>#N/A</v>
          </cell>
          <cell r="H387" t="e">
            <v>#N/A</v>
          </cell>
          <cell r="I387" t="e">
            <v>#N/A</v>
          </cell>
          <cell r="J387" t="e">
            <v>#N/A</v>
          </cell>
          <cell r="K387" t="e">
            <v>#N/A</v>
          </cell>
          <cell r="L387" t="e">
            <v>#N/A</v>
          </cell>
          <cell r="M387" t="e">
            <v>#N/A</v>
          </cell>
          <cell r="N387" t="e">
            <v>#N/A</v>
          </cell>
          <cell r="O387" t="e">
            <v>#N/A</v>
          </cell>
          <cell r="P387">
            <v>14.29</v>
          </cell>
          <cell r="Q387">
            <v>1.9979749999999998</v>
          </cell>
          <cell r="R387" t="e">
            <v>#N/A</v>
          </cell>
        </row>
        <row r="388">
          <cell r="A388">
            <v>40533</v>
          </cell>
          <cell r="B388">
            <v>40533</v>
          </cell>
          <cell r="C388" t="str">
            <v>Past</v>
          </cell>
          <cell r="D388">
            <v>14.25</v>
          </cell>
          <cell r="E388" t="e">
            <v>#N/A</v>
          </cell>
          <cell r="F388" t="e">
            <v>#N/A</v>
          </cell>
          <cell r="G388" t="e">
            <v>#N/A</v>
          </cell>
          <cell r="H388" t="e">
            <v>#N/A</v>
          </cell>
          <cell r="I388" t="e">
            <v>#N/A</v>
          </cell>
          <cell r="J388" t="e">
            <v>#N/A</v>
          </cell>
          <cell r="K388" t="e">
            <v>#N/A</v>
          </cell>
          <cell r="L388" t="e">
            <v>#N/A</v>
          </cell>
          <cell r="M388" t="e">
            <v>#N/A</v>
          </cell>
          <cell r="N388" t="e">
            <v>#N/A</v>
          </cell>
          <cell r="O388" t="e">
            <v>#N/A</v>
          </cell>
          <cell r="P388">
            <v>14.25</v>
          </cell>
          <cell r="Q388">
            <v>1.2516749999999999</v>
          </cell>
          <cell r="R388" t="e">
            <v>#N/A</v>
          </cell>
        </row>
        <row r="389">
          <cell r="A389">
            <v>40534</v>
          </cell>
          <cell r="B389">
            <v>40534</v>
          </cell>
          <cell r="C389" t="str">
            <v>Past</v>
          </cell>
          <cell r="D389">
            <v>14.28</v>
          </cell>
          <cell r="E389" t="e">
            <v>#N/A</v>
          </cell>
          <cell r="F389" t="e">
            <v>#N/A</v>
          </cell>
          <cell r="G389" t="e">
            <v>#N/A</v>
          </cell>
          <cell r="H389" t="e">
            <v>#N/A</v>
          </cell>
          <cell r="I389" t="e">
            <v>#N/A</v>
          </cell>
          <cell r="J389" t="e">
            <v>#N/A</v>
          </cell>
          <cell r="K389" t="e">
            <v>#N/A</v>
          </cell>
          <cell r="L389" t="e">
            <v>#N/A</v>
          </cell>
          <cell r="M389" t="e">
            <v>#N/A</v>
          </cell>
          <cell r="N389" t="e">
            <v>#N/A</v>
          </cell>
          <cell r="O389" t="e">
            <v>#N/A</v>
          </cell>
          <cell r="P389">
            <v>14.28</v>
          </cell>
          <cell r="Q389">
            <v>0.79402699999999993</v>
          </cell>
          <cell r="R389" t="e">
            <v>#N/A</v>
          </cell>
        </row>
        <row r="390">
          <cell r="A390">
            <v>40535</v>
          </cell>
          <cell r="B390">
            <v>40535</v>
          </cell>
          <cell r="C390" t="str">
            <v>Past</v>
          </cell>
          <cell r="D390">
            <v>14.18</v>
          </cell>
          <cell r="E390" t="e">
            <v>#N/A</v>
          </cell>
          <cell r="F390" t="e">
            <v>#N/A</v>
          </cell>
          <cell r="G390" t="e">
            <v>#N/A</v>
          </cell>
          <cell r="H390" t="e">
            <v>#N/A</v>
          </cell>
          <cell r="I390" t="e">
            <v>#N/A</v>
          </cell>
          <cell r="J390" t="e">
            <v>#N/A</v>
          </cell>
          <cell r="K390" t="e">
            <v>#N/A</v>
          </cell>
          <cell r="L390" t="e">
            <v>#N/A</v>
          </cell>
          <cell r="M390" t="e">
            <v>#N/A</v>
          </cell>
          <cell r="N390" t="e">
            <v>#N/A</v>
          </cell>
          <cell r="O390" t="e">
            <v>#N/A</v>
          </cell>
          <cell r="P390">
            <v>14.18</v>
          </cell>
          <cell r="Q390">
            <v>0.76441799999999993</v>
          </cell>
          <cell r="R390" t="e">
            <v>#N/A</v>
          </cell>
        </row>
        <row r="391">
          <cell r="A391">
            <v>40539</v>
          </cell>
          <cell r="B391">
            <v>40539</v>
          </cell>
          <cell r="C391" t="str">
            <v>Past</v>
          </cell>
          <cell r="D391">
            <v>14.08</v>
          </cell>
          <cell r="E391" t="e">
            <v>#N/A</v>
          </cell>
          <cell r="F391" t="e">
            <v>#N/A</v>
          </cell>
          <cell r="G391" t="e">
            <v>#N/A</v>
          </cell>
          <cell r="H391" t="e">
            <v>#N/A</v>
          </cell>
          <cell r="I391" t="e">
            <v>#N/A</v>
          </cell>
          <cell r="J391" t="e">
            <v>#N/A</v>
          </cell>
          <cell r="K391" t="e">
            <v>#N/A</v>
          </cell>
          <cell r="L391" t="e">
            <v>#N/A</v>
          </cell>
          <cell r="M391" t="e">
            <v>#N/A</v>
          </cell>
          <cell r="N391" t="e">
            <v>#N/A</v>
          </cell>
          <cell r="O391" t="e">
            <v>#N/A</v>
          </cell>
          <cell r="P391">
            <v>14.08</v>
          </cell>
          <cell r="Q391">
            <v>0.87445699999999993</v>
          </cell>
          <cell r="R391" t="e">
            <v>#N/A</v>
          </cell>
        </row>
        <row r="392">
          <cell r="A392">
            <v>40540</v>
          </cell>
          <cell r="B392">
            <v>40540</v>
          </cell>
          <cell r="C392" t="str">
            <v>Past</v>
          </cell>
          <cell r="D392">
            <v>14.11</v>
          </cell>
          <cell r="E392" t="e">
            <v>#N/A</v>
          </cell>
          <cell r="F392" t="e">
            <v>#N/A</v>
          </cell>
          <cell r="G392" t="e">
            <v>#N/A</v>
          </cell>
          <cell r="H392" t="e">
            <v>#N/A</v>
          </cell>
          <cell r="I392" t="e">
            <v>#N/A</v>
          </cell>
          <cell r="J392" t="e">
            <v>#N/A</v>
          </cell>
          <cell r="K392" t="e">
            <v>#N/A</v>
          </cell>
          <cell r="L392" t="e">
            <v>#N/A</v>
          </cell>
          <cell r="M392" t="e">
            <v>#N/A</v>
          </cell>
          <cell r="N392" t="e">
            <v>#N/A</v>
          </cell>
          <cell r="O392" t="e">
            <v>#N/A</v>
          </cell>
          <cell r="P392">
            <v>14.11</v>
          </cell>
          <cell r="Q392">
            <v>0.879606</v>
          </cell>
          <cell r="R392" t="e">
            <v>#N/A</v>
          </cell>
        </row>
        <row r="393">
          <cell r="A393">
            <v>40541</v>
          </cell>
          <cell r="B393">
            <v>40541</v>
          </cell>
          <cell r="C393" t="str">
            <v>Past</v>
          </cell>
          <cell r="D393">
            <v>14.03</v>
          </cell>
          <cell r="E393" t="e">
            <v>#N/A</v>
          </cell>
          <cell r="F393" t="e">
            <v>#N/A</v>
          </cell>
          <cell r="G393" t="e">
            <v>#N/A</v>
          </cell>
          <cell r="H393" t="e">
            <v>#N/A</v>
          </cell>
          <cell r="I393" t="e">
            <v>#N/A</v>
          </cell>
          <cell r="J393" t="e">
            <v>#N/A</v>
          </cell>
          <cell r="K393" t="e">
            <v>#N/A</v>
          </cell>
          <cell r="L393" t="e">
            <v>#N/A</v>
          </cell>
          <cell r="M393" t="e">
            <v>#N/A</v>
          </cell>
          <cell r="N393" t="e">
            <v>#N/A</v>
          </cell>
          <cell r="O393" t="e">
            <v>#N/A</v>
          </cell>
          <cell r="P393">
            <v>14.03</v>
          </cell>
          <cell r="Q393">
            <v>0.75955799999999996</v>
          </cell>
          <cell r="R393" t="e">
            <v>#N/A</v>
          </cell>
        </row>
        <row r="394">
          <cell r="A394">
            <v>40542</v>
          </cell>
          <cell r="B394">
            <v>40542</v>
          </cell>
          <cell r="C394" t="str">
            <v>Past</v>
          </cell>
          <cell r="D394">
            <v>14.07</v>
          </cell>
          <cell r="E394" t="e">
            <v>#N/A</v>
          </cell>
          <cell r="F394" t="e">
            <v>#N/A</v>
          </cell>
          <cell r="G394" t="e">
            <v>#N/A</v>
          </cell>
          <cell r="H394" t="e">
            <v>#N/A</v>
          </cell>
          <cell r="I394" t="e">
            <v>#N/A</v>
          </cell>
          <cell r="J394" t="e">
            <v>#N/A</v>
          </cell>
          <cell r="K394" t="e">
            <v>#N/A</v>
          </cell>
          <cell r="L394" t="e">
            <v>#N/A</v>
          </cell>
          <cell r="M394" t="e">
            <v>#N/A</v>
          </cell>
          <cell r="N394" t="e">
            <v>#N/A</v>
          </cell>
          <cell r="O394" t="e">
            <v>#N/A</v>
          </cell>
          <cell r="P394">
            <v>14.07</v>
          </cell>
          <cell r="Q394">
            <v>0.94450699999999999</v>
          </cell>
          <cell r="R394" t="e">
            <v>#N/A</v>
          </cell>
        </row>
        <row r="395">
          <cell r="A395">
            <v>40543</v>
          </cell>
          <cell r="B395">
            <v>40543</v>
          </cell>
          <cell r="C395" t="str">
            <v>Past</v>
          </cell>
          <cell r="D395">
            <v>14.05</v>
          </cell>
          <cell r="E395" t="e">
            <v>#N/A</v>
          </cell>
          <cell r="F395" t="e">
            <v>#N/A</v>
          </cell>
          <cell r="G395" t="e">
            <v>#N/A</v>
          </cell>
          <cell r="H395" t="e">
            <v>#N/A</v>
          </cell>
          <cell r="I395" t="e">
            <v>#N/A</v>
          </cell>
          <cell r="J395" t="e">
            <v>#N/A</v>
          </cell>
          <cell r="K395" t="e">
            <v>#N/A</v>
          </cell>
          <cell r="L395" t="e">
            <v>#N/A</v>
          </cell>
          <cell r="M395" t="e">
            <v>#N/A</v>
          </cell>
          <cell r="N395" t="e">
            <v>#N/A</v>
          </cell>
          <cell r="O395" t="e">
            <v>#N/A</v>
          </cell>
          <cell r="P395">
            <v>14.05</v>
          </cell>
          <cell r="Q395">
            <v>1.224086</v>
          </cell>
          <cell r="R395" t="e">
            <v>#N/A</v>
          </cell>
        </row>
        <row r="396">
          <cell r="A396">
            <v>40546</v>
          </cell>
          <cell r="B396">
            <v>40546</v>
          </cell>
          <cell r="C396" t="str">
            <v>Past</v>
          </cell>
          <cell r="D396">
            <v>14.06</v>
          </cell>
          <cell r="E396" t="e">
            <v>#N/A</v>
          </cell>
          <cell r="F396" t="e">
            <v>#N/A</v>
          </cell>
          <cell r="G396" t="e">
            <v>#N/A</v>
          </cell>
          <cell r="H396" t="e">
            <v>#N/A</v>
          </cell>
          <cell r="I396" t="e">
            <v>#N/A</v>
          </cell>
          <cell r="J396" t="e">
            <v>#N/A</v>
          </cell>
          <cell r="K396" t="e">
            <v>#N/A</v>
          </cell>
          <cell r="L396" t="e">
            <v>#N/A</v>
          </cell>
          <cell r="M396" t="e">
            <v>#N/A</v>
          </cell>
          <cell r="N396" t="e">
            <v>#N/A</v>
          </cell>
          <cell r="O396" t="e">
            <v>#N/A</v>
          </cell>
          <cell r="P396">
            <v>14.06</v>
          </cell>
          <cell r="Q396">
            <v>1.7396849999999999</v>
          </cell>
          <cell r="R396" t="e">
            <v>#N/A</v>
          </cell>
        </row>
        <row r="397">
          <cell r="A397">
            <v>40547</v>
          </cell>
          <cell r="B397">
            <v>40547</v>
          </cell>
          <cell r="C397" t="str">
            <v>Past</v>
          </cell>
          <cell r="D397">
            <v>14.08</v>
          </cell>
          <cell r="E397" t="e">
            <v>#N/A</v>
          </cell>
          <cell r="F397" t="e">
            <v>#N/A</v>
          </cell>
          <cell r="G397" t="e">
            <v>#N/A</v>
          </cell>
          <cell r="H397" t="e">
            <v>#N/A</v>
          </cell>
          <cell r="I397" t="e">
            <v>#N/A</v>
          </cell>
          <cell r="J397" t="e">
            <v>#N/A</v>
          </cell>
          <cell r="K397" t="e">
            <v>#N/A</v>
          </cell>
          <cell r="L397" t="e">
            <v>#N/A</v>
          </cell>
          <cell r="M397" t="e">
            <v>#N/A</v>
          </cell>
          <cell r="N397" t="e">
            <v>#N/A</v>
          </cell>
          <cell r="O397" t="e">
            <v>#N/A</v>
          </cell>
          <cell r="P397">
            <v>14.08</v>
          </cell>
          <cell r="Q397">
            <v>2.190725</v>
          </cell>
          <cell r="R397" t="e">
            <v>#N/A</v>
          </cell>
        </row>
        <row r="398">
          <cell r="A398">
            <v>40548</v>
          </cell>
          <cell r="B398">
            <v>40548</v>
          </cell>
          <cell r="C398" t="str">
            <v>Past</v>
          </cell>
          <cell r="D398">
            <v>13.93</v>
          </cell>
          <cell r="E398" t="e">
            <v>#N/A</v>
          </cell>
          <cell r="F398" t="e">
            <v>#N/A</v>
          </cell>
          <cell r="G398" t="e">
            <v>#N/A</v>
          </cell>
          <cell r="H398" t="e">
            <v>#N/A</v>
          </cell>
          <cell r="I398" t="e">
            <v>#N/A</v>
          </cell>
          <cell r="J398" t="e">
            <v>#N/A</v>
          </cell>
          <cell r="K398" t="e">
            <v>#N/A</v>
          </cell>
          <cell r="L398" t="e">
            <v>#N/A</v>
          </cell>
          <cell r="M398" t="e">
            <v>#N/A</v>
          </cell>
          <cell r="N398" t="e">
            <v>#N/A</v>
          </cell>
          <cell r="O398" t="e">
            <v>#N/A</v>
          </cell>
          <cell r="P398">
            <v>13.93</v>
          </cell>
          <cell r="Q398">
            <v>1.9877959999999999</v>
          </cell>
          <cell r="R398" t="e">
            <v>#N/A</v>
          </cell>
        </row>
        <row r="399">
          <cell r="A399">
            <v>40549</v>
          </cell>
          <cell r="B399">
            <v>40549</v>
          </cell>
          <cell r="C399" t="str">
            <v>Past</v>
          </cell>
          <cell r="D399">
            <v>14.11</v>
          </cell>
          <cell r="E399" t="e">
            <v>#N/A</v>
          </cell>
          <cell r="F399" t="e">
            <v>#N/A</v>
          </cell>
          <cell r="G399" t="e">
            <v>#N/A</v>
          </cell>
          <cell r="H399" t="e">
            <v>#N/A</v>
          </cell>
          <cell r="I399" t="e">
            <v>#N/A</v>
          </cell>
          <cell r="J399" t="e">
            <v>#N/A</v>
          </cell>
          <cell r="K399" t="e">
            <v>#N/A</v>
          </cell>
          <cell r="L399" t="e">
            <v>#N/A</v>
          </cell>
          <cell r="M399" t="e">
            <v>#N/A</v>
          </cell>
          <cell r="N399" t="e">
            <v>#N/A</v>
          </cell>
          <cell r="O399" t="e">
            <v>#N/A</v>
          </cell>
          <cell r="P399">
            <v>14.11</v>
          </cell>
          <cell r="Q399">
            <v>1.7270289999999999</v>
          </cell>
          <cell r="R399" t="e">
            <v>#N/A</v>
          </cell>
        </row>
        <row r="400">
          <cell r="A400">
            <v>40550</v>
          </cell>
          <cell r="B400">
            <v>40550</v>
          </cell>
          <cell r="C400" t="str">
            <v>Past</v>
          </cell>
          <cell r="D400">
            <v>14.37</v>
          </cell>
          <cell r="E400" t="e">
            <v>#N/A</v>
          </cell>
          <cell r="F400" t="e">
            <v>#N/A</v>
          </cell>
          <cell r="G400" t="e">
            <v>#N/A</v>
          </cell>
          <cell r="H400" t="e">
            <v>#N/A</v>
          </cell>
          <cell r="I400" t="e">
            <v>#N/A</v>
          </cell>
          <cell r="J400" t="e">
            <v>#N/A</v>
          </cell>
          <cell r="K400" t="e">
            <v>#N/A</v>
          </cell>
          <cell r="L400" t="e">
            <v>#N/A</v>
          </cell>
          <cell r="M400" t="e">
            <v>#N/A</v>
          </cell>
          <cell r="N400" t="e">
            <v>#N/A</v>
          </cell>
          <cell r="O400" t="e">
            <v>#N/A</v>
          </cell>
          <cell r="P400">
            <v>14.37</v>
          </cell>
          <cell r="Q400">
            <v>3.0117249999999998</v>
          </cell>
          <cell r="R400" t="e">
            <v>#N/A</v>
          </cell>
        </row>
        <row r="401">
          <cell r="A401">
            <v>40553</v>
          </cell>
          <cell r="B401">
            <v>40553</v>
          </cell>
          <cell r="C401" t="str">
            <v>Past</v>
          </cell>
          <cell r="D401">
            <v>14.61</v>
          </cell>
          <cell r="E401" t="e">
            <v>#N/A</v>
          </cell>
          <cell r="F401" t="e">
            <v>#N/A</v>
          </cell>
          <cell r="G401" t="e">
            <v>#N/A</v>
          </cell>
          <cell r="H401" t="e">
            <v>#N/A</v>
          </cell>
          <cell r="I401" t="e">
            <v>#N/A</v>
          </cell>
          <cell r="J401" t="e">
            <v>#N/A</v>
          </cell>
          <cell r="K401" t="e">
            <v>#N/A</v>
          </cell>
          <cell r="L401" t="e">
            <v>#N/A</v>
          </cell>
          <cell r="M401" t="e">
            <v>#N/A</v>
          </cell>
          <cell r="N401" t="e">
            <v>#N/A</v>
          </cell>
          <cell r="O401" t="e">
            <v>#N/A</v>
          </cell>
          <cell r="P401">
            <v>14.61</v>
          </cell>
          <cell r="Q401">
            <v>4.0006430000000002</v>
          </cell>
          <cell r="R401" t="e">
            <v>#N/A</v>
          </cell>
        </row>
        <row r="402">
          <cell r="A402">
            <v>40554</v>
          </cell>
          <cell r="B402">
            <v>40554</v>
          </cell>
          <cell r="C402" t="str">
            <v>Past</v>
          </cell>
          <cell r="D402">
            <v>14.51</v>
          </cell>
          <cell r="E402" t="e">
            <v>#N/A</v>
          </cell>
          <cell r="F402" t="e">
            <v>#N/A</v>
          </cell>
          <cell r="G402" t="e">
            <v>#N/A</v>
          </cell>
          <cell r="H402" t="e">
            <v>#N/A</v>
          </cell>
          <cell r="I402" t="e">
            <v>#N/A</v>
          </cell>
          <cell r="J402" t="e">
            <v>#N/A</v>
          </cell>
          <cell r="K402" t="e">
            <v>#N/A</v>
          </cell>
          <cell r="L402" t="e">
            <v>#N/A</v>
          </cell>
          <cell r="M402" t="e">
            <v>#N/A</v>
          </cell>
          <cell r="N402" t="e">
            <v>#N/A</v>
          </cell>
          <cell r="O402" t="e">
            <v>#N/A</v>
          </cell>
          <cell r="P402">
            <v>14.51</v>
          </cell>
          <cell r="Q402">
            <v>4.0806439999999995</v>
          </cell>
          <cell r="R402" t="e">
            <v>#N/A</v>
          </cell>
        </row>
        <row r="403">
          <cell r="A403">
            <v>40555</v>
          </cell>
          <cell r="B403">
            <v>40555</v>
          </cell>
          <cell r="C403" t="str">
            <v>Past</v>
          </cell>
          <cell r="D403">
            <v>14.43</v>
          </cell>
          <cell r="E403" t="e">
            <v>#N/A</v>
          </cell>
          <cell r="F403" t="e">
            <v>#N/A</v>
          </cell>
          <cell r="G403" t="e">
            <v>#N/A</v>
          </cell>
          <cell r="H403" t="e">
            <v>#N/A</v>
          </cell>
          <cell r="I403" t="e">
            <v>#N/A</v>
          </cell>
          <cell r="J403" t="e">
            <v>#N/A</v>
          </cell>
          <cell r="K403" t="e">
            <v>#N/A</v>
          </cell>
          <cell r="L403" t="e">
            <v>#N/A</v>
          </cell>
          <cell r="M403" t="e">
            <v>#N/A</v>
          </cell>
          <cell r="N403" t="e">
            <v>#N/A</v>
          </cell>
          <cell r="O403" t="e">
            <v>#N/A</v>
          </cell>
          <cell r="P403">
            <v>14.43</v>
          </cell>
          <cell r="Q403">
            <v>2.0791939999999998</v>
          </cell>
          <cell r="R403" t="e">
            <v>#N/A</v>
          </cell>
        </row>
        <row r="404">
          <cell r="A404">
            <v>40556</v>
          </cell>
          <cell r="B404">
            <v>40556</v>
          </cell>
          <cell r="C404" t="str">
            <v>Past</v>
          </cell>
          <cell r="D404">
            <v>14.36</v>
          </cell>
          <cell r="E404" t="e">
            <v>#N/A</v>
          </cell>
          <cell r="F404" t="e">
            <v>#N/A</v>
          </cell>
          <cell r="G404" t="e">
            <v>#N/A</v>
          </cell>
          <cell r="H404" t="e">
            <v>#N/A</v>
          </cell>
          <cell r="I404" t="e">
            <v>#N/A</v>
          </cell>
          <cell r="J404" t="e">
            <v>#N/A</v>
          </cell>
          <cell r="K404" t="e">
            <v>#N/A</v>
          </cell>
          <cell r="L404" t="e">
            <v>#N/A</v>
          </cell>
          <cell r="M404" t="e">
            <v>#N/A</v>
          </cell>
          <cell r="N404" t="e">
            <v>#N/A</v>
          </cell>
          <cell r="O404" t="e">
            <v>#N/A</v>
          </cell>
          <cell r="P404">
            <v>14.36</v>
          </cell>
          <cell r="Q404">
            <v>1.522567</v>
          </cell>
          <cell r="R404" t="e">
            <v>#N/A</v>
          </cell>
        </row>
        <row r="405">
          <cell r="A405">
            <v>40557</v>
          </cell>
          <cell r="B405">
            <v>40557</v>
          </cell>
          <cell r="C405" t="str">
            <v>Past</v>
          </cell>
          <cell r="D405">
            <v>14.27</v>
          </cell>
          <cell r="E405" t="e">
            <v>#N/A</v>
          </cell>
          <cell r="F405" t="e">
            <v>#N/A</v>
          </cell>
          <cell r="G405" t="e">
            <v>#N/A</v>
          </cell>
          <cell r="H405" t="e">
            <v>#N/A</v>
          </cell>
          <cell r="I405" t="e">
            <v>#N/A</v>
          </cell>
          <cell r="J405" t="e">
            <v>#N/A</v>
          </cell>
          <cell r="K405" t="e">
            <v>#N/A</v>
          </cell>
          <cell r="L405" t="e">
            <v>#N/A</v>
          </cell>
          <cell r="M405" t="e">
            <v>#N/A</v>
          </cell>
          <cell r="N405" t="e">
            <v>#N/A</v>
          </cell>
          <cell r="O405" t="e">
            <v>#N/A</v>
          </cell>
          <cell r="P405">
            <v>14.27</v>
          </cell>
          <cell r="Q405">
            <v>2.7702709999999997</v>
          </cell>
          <cell r="R405" t="e">
            <v>#N/A</v>
          </cell>
        </row>
        <row r="406">
          <cell r="A406">
            <v>40561</v>
          </cell>
          <cell r="B406">
            <v>40561</v>
          </cell>
          <cell r="C406" t="str">
            <v>Past</v>
          </cell>
          <cell r="D406">
            <v>14.38</v>
          </cell>
          <cell r="E406" t="e">
            <v>#N/A</v>
          </cell>
          <cell r="F406" t="e">
            <v>#N/A</v>
          </cell>
          <cell r="G406" t="e">
            <v>#N/A</v>
          </cell>
          <cell r="H406" t="e">
            <v>#N/A</v>
          </cell>
          <cell r="I406" t="e">
            <v>#N/A</v>
          </cell>
          <cell r="J406" t="e">
            <v>#N/A</v>
          </cell>
          <cell r="K406" t="e">
            <v>#N/A</v>
          </cell>
          <cell r="L406" t="e">
            <v>#N/A</v>
          </cell>
          <cell r="M406" t="e">
            <v>#N/A</v>
          </cell>
          <cell r="N406" t="e">
            <v>#N/A</v>
          </cell>
          <cell r="O406" t="e">
            <v>#N/A</v>
          </cell>
          <cell r="P406">
            <v>14.38</v>
          </cell>
          <cell r="Q406">
            <v>2.0298439999999998</v>
          </cell>
          <cell r="R406" t="e">
            <v>#N/A</v>
          </cell>
        </row>
        <row r="407">
          <cell r="A407">
            <v>40562</v>
          </cell>
          <cell r="B407">
            <v>40562</v>
          </cell>
          <cell r="C407" t="str">
            <v>Past</v>
          </cell>
          <cell r="D407">
            <v>14.21</v>
          </cell>
          <cell r="E407" t="e">
            <v>#N/A</v>
          </cell>
          <cell r="F407" t="e">
            <v>#N/A</v>
          </cell>
          <cell r="G407" t="e">
            <v>#N/A</v>
          </cell>
          <cell r="H407" t="e">
            <v>#N/A</v>
          </cell>
          <cell r="I407" t="e">
            <v>#N/A</v>
          </cell>
          <cell r="J407" t="e">
            <v>#N/A</v>
          </cell>
          <cell r="K407" t="e">
            <v>#N/A</v>
          </cell>
          <cell r="L407" t="e">
            <v>#N/A</v>
          </cell>
          <cell r="M407" t="e">
            <v>#N/A</v>
          </cell>
          <cell r="N407" t="e">
            <v>#N/A</v>
          </cell>
          <cell r="O407" t="e">
            <v>#N/A</v>
          </cell>
          <cell r="P407">
            <v>14.21</v>
          </cell>
          <cell r="Q407">
            <v>3.6351309999999999</v>
          </cell>
          <cell r="R407" t="e">
            <v>#N/A</v>
          </cell>
        </row>
        <row r="408">
          <cell r="A408">
            <v>40563</v>
          </cell>
          <cell r="B408">
            <v>40563</v>
          </cell>
          <cell r="C408" t="str">
            <v>Past</v>
          </cell>
          <cell r="D408">
            <v>14.19</v>
          </cell>
          <cell r="E408" t="e">
            <v>#N/A</v>
          </cell>
          <cell r="F408" t="e">
            <v>#N/A</v>
          </cell>
          <cell r="G408" t="e">
            <v>#N/A</v>
          </cell>
          <cell r="H408" t="e">
            <v>#N/A</v>
          </cell>
          <cell r="I408" t="e">
            <v>#N/A</v>
          </cell>
          <cell r="J408" t="e">
            <v>#N/A</v>
          </cell>
          <cell r="K408" t="e">
            <v>#N/A</v>
          </cell>
          <cell r="L408" t="e">
            <v>#N/A</v>
          </cell>
          <cell r="M408" t="e">
            <v>#N/A</v>
          </cell>
          <cell r="N408" t="e">
            <v>#N/A</v>
          </cell>
          <cell r="O408" t="e">
            <v>#N/A</v>
          </cell>
          <cell r="P408">
            <v>14.19</v>
          </cell>
          <cell r="Q408">
            <v>3.5365069999999998</v>
          </cell>
          <cell r="R408" t="e">
            <v>#N/A</v>
          </cell>
        </row>
        <row r="409">
          <cell r="A409">
            <v>40564</v>
          </cell>
          <cell r="B409">
            <v>40564</v>
          </cell>
          <cell r="C409" t="str">
            <v>Past</v>
          </cell>
          <cell r="D409">
            <v>14.25</v>
          </cell>
          <cell r="E409" t="e">
            <v>#N/A</v>
          </cell>
          <cell r="F409" t="e">
            <v>#N/A</v>
          </cell>
          <cell r="G409" t="e">
            <v>#N/A</v>
          </cell>
          <cell r="H409" t="e">
            <v>#N/A</v>
          </cell>
          <cell r="I409" t="e">
            <v>#N/A</v>
          </cell>
          <cell r="J409" t="e">
            <v>#N/A</v>
          </cell>
          <cell r="K409" t="e">
            <v>#N/A</v>
          </cell>
          <cell r="L409" t="e">
            <v>#N/A</v>
          </cell>
          <cell r="M409" t="e">
            <v>#N/A</v>
          </cell>
          <cell r="N409" t="e">
            <v>#N/A</v>
          </cell>
          <cell r="O409" t="e">
            <v>#N/A</v>
          </cell>
          <cell r="P409">
            <v>14.25</v>
          </cell>
          <cell r="Q409">
            <v>2.2865470000000001</v>
          </cell>
          <cell r="R409" t="e">
            <v>#N/A</v>
          </cell>
        </row>
        <row r="410">
          <cell r="A410">
            <v>40567</v>
          </cell>
          <cell r="B410">
            <v>40567</v>
          </cell>
          <cell r="C410" t="str">
            <v>Past</v>
          </cell>
          <cell r="D410">
            <v>14.49</v>
          </cell>
          <cell r="E410" t="e">
            <v>#N/A</v>
          </cell>
          <cell r="F410" t="e">
            <v>#N/A</v>
          </cell>
          <cell r="G410" t="e">
            <v>#N/A</v>
          </cell>
          <cell r="H410" t="e">
            <v>#N/A</v>
          </cell>
          <cell r="I410" t="e">
            <v>#N/A</v>
          </cell>
          <cell r="J410" t="e">
            <v>#N/A</v>
          </cell>
          <cell r="K410" t="e">
            <v>#N/A</v>
          </cell>
          <cell r="L410" t="e">
            <v>#N/A</v>
          </cell>
          <cell r="M410" t="e">
            <v>#N/A</v>
          </cell>
          <cell r="N410" t="e">
            <v>#N/A</v>
          </cell>
          <cell r="O410" t="e">
            <v>#N/A</v>
          </cell>
          <cell r="P410">
            <v>14.49</v>
          </cell>
          <cell r="Q410">
            <v>2.6884429999999999</v>
          </cell>
          <cell r="R410" t="e">
            <v>#N/A</v>
          </cell>
        </row>
        <row r="411">
          <cell r="A411">
            <v>40568</v>
          </cell>
          <cell r="B411">
            <v>40568</v>
          </cell>
          <cell r="C411" t="str">
            <v>Past</v>
          </cell>
          <cell r="D411">
            <v>14.43</v>
          </cell>
          <cell r="E411" t="e">
            <v>#N/A</v>
          </cell>
          <cell r="F411" t="e">
            <v>#N/A</v>
          </cell>
          <cell r="G411" t="e">
            <v>#N/A</v>
          </cell>
          <cell r="H411" t="e">
            <v>#N/A</v>
          </cell>
          <cell r="I411" t="e">
            <v>#N/A</v>
          </cell>
          <cell r="J411" t="e">
            <v>#N/A</v>
          </cell>
          <cell r="K411" t="e">
            <v>#N/A</v>
          </cell>
          <cell r="L411" t="e">
            <v>#N/A</v>
          </cell>
          <cell r="M411" t="e">
            <v>#N/A</v>
          </cell>
          <cell r="N411" t="e">
            <v>#N/A</v>
          </cell>
          <cell r="O411" t="e">
            <v>#N/A</v>
          </cell>
          <cell r="P411">
            <v>14.43</v>
          </cell>
          <cell r="Q411">
            <v>2.0426500000000001</v>
          </cell>
          <cell r="R411" t="e">
            <v>#N/A</v>
          </cell>
        </row>
        <row r="412">
          <cell r="A412">
            <v>40569</v>
          </cell>
          <cell r="B412">
            <v>40569</v>
          </cell>
          <cell r="C412" t="str">
            <v>Past</v>
          </cell>
          <cell r="D412">
            <v>14.39</v>
          </cell>
          <cell r="E412" t="e">
            <v>#N/A</v>
          </cell>
          <cell r="F412" t="e">
            <v>#N/A</v>
          </cell>
          <cell r="G412" t="e">
            <v>#N/A</v>
          </cell>
          <cell r="H412" t="e">
            <v>#N/A</v>
          </cell>
          <cell r="I412" t="e">
            <v>#N/A</v>
          </cell>
          <cell r="J412" t="e">
            <v>#N/A</v>
          </cell>
          <cell r="K412" t="e">
            <v>#N/A</v>
          </cell>
          <cell r="L412" t="e">
            <v>#N/A</v>
          </cell>
          <cell r="M412" t="e">
            <v>#N/A</v>
          </cell>
          <cell r="N412" t="e">
            <v>#N/A</v>
          </cell>
          <cell r="O412" t="e">
            <v>#N/A</v>
          </cell>
          <cell r="P412">
            <v>14.39</v>
          </cell>
          <cell r="Q412">
            <v>1.254094</v>
          </cell>
          <cell r="R412" t="e">
            <v>#N/A</v>
          </cell>
        </row>
        <row r="413">
          <cell r="A413">
            <v>40570</v>
          </cell>
          <cell r="B413">
            <v>40570</v>
          </cell>
          <cell r="C413" t="str">
            <v>Past</v>
          </cell>
          <cell r="D413">
            <v>14.54</v>
          </cell>
          <cell r="E413" t="e">
            <v>#N/A</v>
          </cell>
          <cell r="F413" t="e">
            <v>#N/A</v>
          </cell>
          <cell r="G413" t="e">
            <v>#N/A</v>
          </cell>
          <cell r="H413" t="e">
            <v>#N/A</v>
          </cell>
          <cell r="I413" t="e">
            <v>#N/A</v>
          </cell>
          <cell r="J413" t="e">
            <v>#N/A</v>
          </cell>
          <cell r="K413" t="e">
            <v>#N/A</v>
          </cell>
          <cell r="L413" t="e">
            <v>#N/A</v>
          </cell>
          <cell r="M413" t="e">
            <v>#N/A</v>
          </cell>
          <cell r="N413" t="e">
            <v>#N/A</v>
          </cell>
          <cell r="O413" t="e">
            <v>#N/A</v>
          </cell>
          <cell r="P413">
            <v>14.54</v>
          </cell>
          <cell r="Q413">
            <v>2.1760169999999999</v>
          </cell>
          <cell r="R413" t="e">
            <v>#N/A</v>
          </cell>
        </row>
        <row r="414">
          <cell r="A414">
            <v>40571</v>
          </cell>
          <cell r="B414">
            <v>40571</v>
          </cell>
          <cell r="C414" t="str">
            <v>Past</v>
          </cell>
          <cell r="D414">
            <v>14.37</v>
          </cell>
          <cell r="E414" t="e">
            <v>#N/A</v>
          </cell>
          <cell r="F414" t="e">
            <v>#N/A</v>
          </cell>
          <cell r="G414" t="e">
            <v>#N/A</v>
          </cell>
          <cell r="H414" t="e">
            <v>#N/A</v>
          </cell>
          <cell r="I414" t="e">
            <v>#N/A</v>
          </cell>
          <cell r="J414" t="e">
            <v>#N/A</v>
          </cell>
          <cell r="K414" t="e">
            <v>#N/A</v>
          </cell>
          <cell r="L414" t="e">
            <v>#N/A</v>
          </cell>
          <cell r="M414" t="e">
            <v>#N/A</v>
          </cell>
          <cell r="N414" t="e">
            <v>#N/A</v>
          </cell>
          <cell r="O414" t="e">
            <v>#N/A</v>
          </cell>
          <cell r="P414">
            <v>14.37</v>
          </cell>
          <cell r="Q414">
            <v>1.1273309999999999</v>
          </cell>
          <cell r="R414" t="e">
            <v>#N/A</v>
          </cell>
        </row>
        <row r="415">
          <cell r="A415">
            <v>40574</v>
          </cell>
          <cell r="B415">
            <v>40574</v>
          </cell>
          <cell r="C415" t="str">
            <v>Past</v>
          </cell>
          <cell r="D415">
            <v>14.37</v>
          </cell>
          <cell r="E415" t="e">
            <v>#N/A</v>
          </cell>
          <cell r="F415" t="e">
            <v>#N/A</v>
          </cell>
          <cell r="G415" t="e">
            <v>#N/A</v>
          </cell>
          <cell r="H415" t="e">
            <v>#N/A</v>
          </cell>
          <cell r="I415" t="e">
            <v>#N/A</v>
          </cell>
          <cell r="J415" t="e">
            <v>#N/A</v>
          </cell>
          <cell r="K415" t="e">
            <v>#N/A</v>
          </cell>
          <cell r="L415" t="e">
            <v>#N/A</v>
          </cell>
          <cell r="M415" t="e">
            <v>#N/A</v>
          </cell>
          <cell r="N415" t="e">
            <v>#N/A</v>
          </cell>
          <cell r="O415" t="e">
            <v>#N/A</v>
          </cell>
          <cell r="P415">
            <v>14.37</v>
          </cell>
          <cell r="Q415">
            <v>2.4396409999999999</v>
          </cell>
          <cell r="R415" t="e">
            <v>#N/A</v>
          </cell>
        </row>
        <row r="416">
          <cell r="A416">
            <v>40575</v>
          </cell>
          <cell r="B416">
            <v>40575</v>
          </cell>
          <cell r="C416" t="str">
            <v>Past</v>
          </cell>
          <cell r="D416">
            <v>14.65</v>
          </cell>
          <cell r="E416" t="e">
            <v>#N/A</v>
          </cell>
          <cell r="F416" t="e">
            <v>#N/A</v>
          </cell>
          <cell r="G416" t="e">
            <v>#N/A</v>
          </cell>
          <cell r="H416" t="e">
            <v>#N/A</v>
          </cell>
          <cell r="I416" t="e">
            <v>#N/A</v>
          </cell>
          <cell r="J416" t="e">
            <v>#N/A</v>
          </cell>
          <cell r="K416" t="e">
            <v>#N/A</v>
          </cell>
          <cell r="L416" t="e">
            <v>#N/A</v>
          </cell>
          <cell r="M416" t="e">
            <v>#N/A</v>
          </cell>
          <cell r="N416" t="e">
            <v>#N/A</v>
          </cell>
          <cell r="O416" t="e">
            <v>#N/A</v>
          </cell>
          <cell r="P416">
            <v>14.65</v>
          </cell>
          <cell r="Q416">
            <v>1.3703000000000001</v>
          </cell>
          <cell r="R416" t="e">
            <v>#N/A</v>
          </cell>
        </row>
        <row r="417">
          <cell r="A417">
            <v>40576</v>
          </cell>
          <cell r="B417">
            <v>40576</v>
          </cell>
          <cell r="C417" t="str">
            <v>Past</v>
          </cell>
          <cell r="D417">
            <v>14.55</v>
          </cell>
          <cell r="E417" t="e">
            <v>#N/A</v>
          </cell>
          <cell r="F417" t="e">
            <v>#N/A</v>
          </cell>
          <cell r="G417" t="e">
            <v>#N/A</v>
          </cell>
          <cell r="H417" t="e">
            <v>#N/A</v>
          </cell>
          <cell r="I417" t="e">
            <v>#N/A</v>
          </cell>
          <cell r="J417" t="e">
            <v>#N/A</v>
          </cell>
          <cell r="K417" t="e">
            <v>#N/A</v>
          </cell>
          <cell r="L417" t="e">
            <v>#N/A</v>
          </cell>
          <cell r="M417" t="e">
            <v>#N/A</v>
          </cell>
          <cell r="N417" t="e">
            <v>#N/A</v>
          </cell>
          <cell r="O417" t="e">
            <v>#N/A</v>
          </cell>
          <cell r="P417">
            <v>14.55</v>
          </cell>
          <cell r="Q417">
            <v>0.97767199999999999</v>
          </cell>
          <cell r="R417" t="e">
            <v>#N/A</v>
          </cell>
        </row>
        <row r="418">
          <cell r="A418">
            <v>40577</v>
          </cell>
          <cell r="B418">
            <v>40577</v>
          </cell>
          <cell r="C418" t="str">
            <v>Past</v>
          </cell>
          <cell r="D418">
            <v>14.55</v>
          </cell>
          <cell r="E418" t="e">
            <v>#N/A</v>
          </cell>
          <cell r="F418" t="e">
            <v>#N/A</v>
          </cell>
          <cell r="G418" t="e">
            <v>#N/A</v>
          </cell>
          <cell r="H418" t="e">
            <v>#N/A</v>
          </cell>
          <cell r="I418" t="e">
            <v>#N/A</v>
          </cell>
          <cell r="J418" t="e">
            <v>#N/A</v>
          </cell>
          <cell r="K418" t="e">
            <v>#N/A</v>
          </cell>
          <cell r="L418" t="e">
            <v>#N/A</v>
          </cell>
          <cell r="M418" t="e">
            <v>#N/A</v>
          </cell>
          <cell r="N418" t="e">
            <v>#N/A</v>
          </cell>
          <cell r="O418" t="e">
            <v>#N/A</v>
          </cell>
          <cell r="P418">
            <v>14.55</v>
          </cell>
          <cell r="Q418">
            <v>1.0440859999999998</v>
          </cell>
          <cell r="R418" t="e">
            <v>#N/A</v>
          </cell>
        </row>
        <row r="419">
          <cell r="A419">
            <v>40578</v>
          </cell>
          <cell r="B419">
            <v>40578</v>
          </cell>
          <cell r="C419" t="str">
            <v>Past</v>
          </cell>
          <cell r="D419">
            <v>14.47</v>
          </cell>
          <cell r="E419" t="e">
            <v>#N/A</v>
          </cell>
          <cell r="F419" t="e">
            <v>#N/A</v>
          </cell>
          <cell r="G419" t="e">
            <v>#N/A</v>
          </cell>
          <cell r="H419" t="e">
            <v>#N/A</v>
          </cell>
          <cell r="I419" t="e">
            <v>#N/A</v>
          </cell>
          <cell r="J419" t="e">
            <v>#N/A</v>
          </cell>
          <cell r="K419" t="e">
            <v>#N/A</v>
          </cell>
          <cell r="L419" t="e">
            <v>#N/A</v>
          </cell>
          <cell r="M419" t="e">
            <v>#N/A</v>
          </cell>
          <cell r="N419" t="e">
            <v>#N/A</v>
          </cell>
          <cell r="O419" t="e">
            <v>#N/A</v>
          </cell>
          <cell r="P419">
            <v>14.47</v>
          </cell>
          <cell r="Q419">
            <v>0.59531299999999998</v>
          </cell>
          <cell r="R419" t="e">
            <v>#N/A</v>
          </cell>
        </row>
        <row r="420">
          <cell r="A420">
            <v>40581</v>
          </cell>
          <cell r="B420">
            <v>40581</v>
          </cell>
          <cell r="C420" t="str">
            <v>Past</v>
          </cell>
          <cell r="D420">
            <v>14.54</v>
          </cell>
          <cell r="E420" t="e">
            <v>#N/A</v>
          </cell>
          <cell r="F420" t="e">
            <v>#N/A</v>
          </cell>
          <cell r="G420" t="e">
            <v>#N/A</v>
          </cell>
          <cell r="H420" t="e">
            <v>#N/A</v>
          </cell>
          <cell r="I420" t="e">
            <v>#N/A</v>
          </cell>
          <cell r="J420" t="e">
            <v>#N/A</v>
          </cell>
          <cell r="K420" t="e">
            <v>#N/A</v>
          </cell>
          <cell r="L420" t="e">
            <v>#N/A</v>
          </cell>
          <cell r="M420" t="e">
            <v>#N/A</v>
          </cell>
          <cell r="N420" t="e">
            <v>#N/A</v>
          </cell>
          <cell r="O420" t="e">
            <v>#N/A</v>
          </cell>
          <cell r="P420">
            <v>14.54</v>
          </cell>
          <cell r="Q420">
            <v>0.78476099999999993</v>
          </cell>
          <cell r="R420" t="e">
            <v>#N/A</v>
          </cell>
        </row>
        <row r="421">
          <cell r="A421">
            <v>40582</v>
          </cell>
          <cell r="B421">
            <v>40582</v>
          </cell>
          <cell r="C421" t="str">
            <v>Past</v>
          </cell>
          <cell r="D421">
            <v>14.53</v>
          </cell>
          <cell r="E421" t="e">
            <v>#N/A</v>
          </cell>
          <cell r="F421" t="e">
            <v>#N/A</v>
          </cell>
          <cell r="G421" t="e">
            <v>#N/A</v>
          </cell>
          <cell r="H421" t="e">
            <v>#N/A</v>
          </cell>
          <cell r="I421" t="e">
            <v>#N/A</v>
          </cell>
          <cell r="J421" t="e">
            <v>#N/A</v>
          </cell>
          <cell r="K421" t="e">
            <v>#N/A</v>
          </cell>
          <cell r="L421" t="e">
            <v>#N/A</v>
          </cell>
          <cell r="M421" t="e">
            <v>#N/A</v>
          </cell>
          <cell r="N421" t="e">
            <v>#N/A</v>
          </cell>
          <cell r="O421" t="e">
            <v>#N/A</v>
          </cell>
          <cell r="P421">
            <v>14.53</v>
          </cell>
          <cell r="Q421">
            <v>1.0100449999999999</v>
          </cell>
          <cell r="R421" t="e">
            <v>#N/A</v>
          </cell>
        </row>
        <row r="422">
          <cell r="A422">
            <v>40583</v>
          </cell>
          <cell r="B422">
            <v>40583</v>
          </cell>
          <cell r="C422" t="str">
            <v>Past</v>
          </cell>
          <cell r="D422">
            <v>14.51</v>
          </cell>
          <cell r="E422" t="e">
            <v>#N/A</v>
          </cell>
          <cell r="F422" t="e">
            <v>#N/A</v>
          </cell>
          <cell r="G422" t="e">
            <v>#N/A</v>
          </cell>
          <cell r="H422" t="e">
            <v>#N/A</v>
          </cell>
          <cell r="I422" t="e">
            <v>#N/A</v>
          </cell>
          <cell r="J422" t="e">
            <v>#N/A</v>
          </cell>
          <cell r="K422" t="e">
            <v>#N/A</v>
          </cell>
          <cell r="L422" t="e">
            <v>#N/A</v>
          </cell>
          <cell r="M422" t="e">
            <v>#N/A</v>
          </cell>
          <cell r="N422" t="e">
            <v>#N/A</v>
          </cell>
          <cell r="O422" t="e">
            <v>#N/A</v>
          </cell>
          <cell r="P422">
            <v>14.51</v>
          </cell>
          <cell r="Q422">
            <v>1.1109639999999998</v>
          </cell>
          <cell r="R422" t="e">
            <v>#N/A</v>
          </cell>
        </row>
        <row r="423">
          <cell r="A423">
            <v>40584</v>
          </cell>
          <cell r="B423">
            <v>40584</v>
          </cell>
          <cell r="C423" t="str">
            <v>Past</v>
          </cell>
          <cell r="D423">
            <v>14.61</v>
          </cell>
          <cell r="E423" t="e">
            <v>#N/A</v>
          </cell>
          <cell r="F423" t="e">
            <v>#N/A</v>
          </cell>
          <cell r="G423" t="e">
            <v>#N/A</v>
          </cell>
          <cell r="H423" t="e">
            <v>#N/A</v>
          </cell>
          <cell r="I423" t="e">
            <v>#N/A</v>
          </cell>
          <cell r="J423" t="e">
            <v>#N/A</v>
          </cell>
          <cell r="K423" t="e">
            <v>#N/A</v>
          </cell>
          <cell r="L423" t="e">
            <v>#N/A</v>
          </cell>
          <cell r="M423" t="e">
            <v>#N/A</v>
          </cell>
          <cell r="N423" t="e">
            <v>#N/A</v>
          </cell>
          <cell r="O423" t="e">
            <v>#N/A</v>
          </cell>
          <cell r="P423">
            <v>14.61</v>
          </cell>
          <cell r="Q423">
            <v>1.1675180000000001</v>
          </cell>
          <cell r="R423" t="e">
            <v>#N/A</v>
          </cell>
        </row>
        <row r="424">
          <cell r="A424">
            <v>40585</v>
          </cell>
          <cell r="B424">
            <v>40585</v>
          </cell>
          <cell r="C424" t="str">
            <v>Past</v>
          </cell>
          <cell r="D424">
            <v>14.59</v>
          </cell>
          <cell r="E424" t="e">
            <v>#N/A</v>
          </cell>
          <cell r="F424" t="e">
            <v>#N/A</v>
          </cell>
          <cell r="G424" t="e">
            <v>#N/A</v>
          </cell>
          <cell r="H424" t="e">
            <v>#N/A</v>
          </cell>
          <cell r="I424" t="e">
            <v>#N/A</v>
          </cell>
          <cell r="J424" t="e">
            <v>#N/A</v>
          </cell>
          <cell r="K424" t="e">
            <v>#N/A</v>
          </cell>
          <cell r="L424" t="e">
            <v>#N/A</v>
          </cell>
          <cell r="M424" t="e">
            <v>#N/A</v>
          </cell>
          <cell r="N424" t="e">
            <v>#N/A</v>
          </cell>
          <cell r="O424" t="e">
            <v>#N/A</v>
          </cell>
          <cell r="P424">
            <v>14.59</v>
          </cell>
          <cell r="Q424">
            <v>1.118268</v>
          </cell>
          <cell r="R424" t="e">
            <v>#N/A</v>
          </cell>
        </row>
        <row r="425">
          <cell r="A425">
            <v>40588</v>
          </cell>
          <cell r="B425">
            <v>40588</v>
          </cell>
          <cell r="C425" t="str">
            <v>Past</v>
          </cell>
          <cell r="D425">
            <v>14.58</v>
          </cell>
          <cell r="E425" t="e">
            <v>#N/A</v>
          </cell>
          <cell r="F425" t="e">
            <v>#N/A</v>
          </cell>
          <cell r="G425" t="e">
            <v>#N/A</v>
          </cell>
          <cell r="H425" t="e">
            <v>#N/A</v>
          </cell>
          <cell r="I425" t="e">
            <v>#N/A</v>
          </cell>
          <cell r="J425" t="e">
            <v>#N/A</v>
          </cell>
          <cell r="K425" t="e">
            <v>#N/A</v>
          </cell>
          <cell r="L425" t="e">
            <v>#N/A</v>
          </cell>
          <cell r="M425" t="e">
            <v>#N/A</v>
          </cell>
          <cell r="N425" t="e">
            <v>#N/A</v>
          </cell>
          <cell r="O425" t="e">
            <v>#N/A</v>
          </cell>
          <cell r="P425">
            <v>14.58</v>
          </cell>
          <cell r="Q425">
            <v>1.7586619999999999</v>
          </cell>
          <cell r="R425" t="e">
            <v>#N/A</v>
          </cell>
        </row>
        <row r="426">
          <cell r="A426">
            <v>40589</v>
          </cell>
          <cell r="B426">
            <v>40589</v>
          </cell>
          <cell r="C426" t="str">
            <v>Past</v>
          </cell>
          <cell r="D426">
            <v>14.68</v>
          </cell>
          <cell r="E426" t="e">
            <v>#N/A</v>
          </cell>
          <cell r="F426" t="e">
            <v>#N/A</v>
          </cell>
          <cell r="G426" t="e">
            <v>#N/A</v>
          </cell>
          <cell r="H426" t="e">
            <v>#N/A</v>
          </cell>
          <cell r="I426" t="e">
            <v>#N/A</v>
          </cell>
          <cell r="J426" t="e">
            <v>#N/A</v>
          </cell>
          <cell r="K426" t="e">
            <v>#N/A</v>
          </cell>
          <cell r="L426" t="e">
            <v>#N/A</v>
          </cell>
          <cell r="M426" t="e">
            <v>#N/A</v>
          </cell>
          <cell r="N426" t="e">
            <v>#N/A</v>
          </cell>
          <cell r="O426" t="e">
            <v>#N/A</v>
          </cell>
          <cell r="P426">
            <v>14.68</v>
          </cell>
          <cell r="Q426">
            <v>1.2413719999999999</v>
          </cell>
          <cell r="R426" t="e">
            <v>#N/A</v>
          </cell>
        </row>
        <row r="427">
          <cell r="A427">
            <v>40590</v>
          </cell>
          <cell r="B427">
            <v>40590</v>
          </cell>
          <cell r="C427" t="str">
            <v>Past</v>
          </cell>
          <cell r="D427">
            <v>14.74</v>
          </cell>
          <cell r="E427" t="e">
            <v>#N/A</v>
          </cell>
          <cell r="F427" t="e">
            <v>#N/A</v>
          </cell>
          <cell r="G427" t="e">
            <v>#N/A</v>
          </cell>
          <cell r="H427" t="e">
            <v>#N/A</v>
          </cell>
          <cell r="I427" t="e">
            <v>#N/A</v>
          </cell>
          <cell r="J427" t="e">
            <v>#N/A</v>
          </cell>
          <cell r="K427" t="e">
            <v>#N/A</v>
          </cell>
          <cell r="L427" t="e">
            <v>#N/A</v>
          </cell>
          <cell r="M427" t="e">
            <v>#N/A</v>
          </cell>
          <cell r="N427" t="e">
            <v>#N/A</v>
          </cell>
          <cell r="O427" t="e">
            <v>#N/A</v>
          </cell>
          <cell r="P427">
            <v>14.74</v>
          </cell>
          <cell r="Q427">
            <v>1.006011</v>
          </cell>
          <cell r="R427" t="e">
            <v>#N/A</v>
          </cell>
        </row>
        <row r="428">
          <cell r="A428">
            <v>40591</v>
          </cell>
          <cell r="B428">
            <v>40591</v>
          </cell>
          <cell r="C428" t="str">
            <v>Past</v>
          </cell>
          <cell r="D428">
            <v>14.78</v>
          </cell>
          <cell r="E428" t="e">
            <v>#N/A</v>
          </cell>
          <cell r="F428" t="e">
            <v>#N/A</v>
          </cell>
          <cell r="G428" t="e">
            <v>#N/A</v>
          </cell>
          <cell r="H428" t="e">
            <v>#N/A</v>
          </cell>
          <cell r="I428" t="e">
            <v>#N/A</v>
          </cell>
          <cell r="J428" t="e">
            <v>#N/A</v>
          </cell>
          <cell r="K428" t="e">
            <v>#N/A</v>
          </cell>
          <cell r="L428" t="e">
            <v>#N/A</v>
          </cell>
          <cell r="M428" t="e">
            <v>#N/A</v>
          </cell>
          <cell r="N428" t="e">
            <v>#N/A</v>
          </cell>
          <cell r="O428" t="e">
            <v>#N/A</v>
          </cell>
          <cell r="P428">
            <v>14.78</v>
          </cell>
          <cell r="Q428">
            <v>1.5522549999999999</v>
          </cell>
          <cell r="R428" t="e">
            <v>#N/A</v>
          </cell>
        </row>
        <row r="429">
          <cell r="A429">
            <v>40592</v>
          </cell>
          <cell r="B429">
            <v>40592</v>
          </cell>
          <cell r="C429" t="str">
            <v>Past</v>
          </cell>
          <cell r="D429">
            <v>14.92</v>
          </cell>
          <cell r="E429" t="e">
            <v>#N/A</v>
          </cell>
          <cell r="F429" t="e">
            <v>#N/A</v>
          </cell>
          <cell r="G429" t="e">
            <v>#N/A</v>
          </cell>
          <cell r="H429" t="e">
            <v>#N/A</v>
          </cell>
          <cell r="I429" t="e">
            <v>#N/A</v>
          </cell>
          <cell r="J429" t="e">
            <v>#N/A</v>
          </cell>
          <cell r="K429" t="e">
            <v>#N/A</v>
          </cell>
          <cell r="L429" t="e">
            <v>#N/A</v>
          </cell>
          <cell r="M429" t="e">
            <v>#N/A</v>
          </cell>
          <cell r="N429" t="e">
            <v>#N/A</v>
          </cell>
          <cell r="O429" t="e">
            <v>#N/A</v>
          </cell>
          <cell r="P429">
            <v>14.92</v>
          </cell>
          <cell r="Q429">
            <v>3.2853879999999998</v>
          </cell>
          <cell r="R429" t="e">
            <v>#N/A</v>
          </cell>
        </row>
        <row r="430">
          <cell r="A430">
            <v>40596</v>
          </cell>
          <cell r="B430">
            <v>40596</v>
          </cell>
          <cell r="C430" t="str">
            <v>Past</v>
          </cell>
          <cell r="D430">
            <v>14.86</v>
          </cell>
          <cell r="E430" t="e">
            <v>#N/A</v>
          </cell>
          <cell r="F430" t="e">
            <v>#N/A</v>
          </cell>
          <cell r="G430" t="e">
            <v>#N/A</v>
          </cell>
          <cell r="H430" t="e">
            <v>#N/A</v>
          </cell>
          <cell r="I430" t="e">
            <v>#N/A</v>
          </cell>
          <cell r="J430" t="e">
            <v>#N/A</v>
          </cell>
          <cell r="K430" t="e">
            <v>#N/A</v>
          </cell>
          <cell r="L430" t="e">
            <v>#N/A</v>
          </cell>
          <cell r="M430" t="e">
            <v>#N/A</v>
          </cell>
          <cell r="N430" t="e">
            <v>#N/A</v>
          </cell>
          <cell r="O430" t="e">
            <v>#N/A</v>
          </cell>
          <cell r="P430">
            <v>14.86</v>
          </cell>
          <cell r="Q430">
            <v>1.7888649999999999</v>
          </cell>
          <cell r="R430" t="e">
            <v>#N/A</v>
          </cell>
        </row>
        <row r="431">
          <cell r="A431">
            <v>40597</v>
          </cell>
          <cell r="B431">
            <v>40597</v>
          </cell>
          <cell r="C431" t="str">
            <v>Past</v>
          </cell>
          <cell r="D431">
            <v>14.69</v>
          </cell>
          <cell r="E431" t="e">
            <v>#N/A</v>
          </cell>
          <cell r="F431" t="e">
            <v>#N/A</v>
          </cell>
          <cell r="G431" t="e">
            <v>#N/A</v>
          </cell>
          <cell r="H431" t="e">
            <v>#N/A</v>
          </cell>
          <cell r="I431" t="e">
            <v>#N/A</v>
          </cell>
          <cell r="J431" t="e">
            <v>#N/A</v>
          </cell>
          <cell r="K431" t="e">
            <v>#N/A</v>
          </cell>
          <cell r="L431" t="e">
            <v>#N/A</v>
          </cell>
          <cell r="M431" t="e">
            <v>#N/A</v>
          </cell>
          <cell r="N431" t="e">
            <v>#N/A</v>
          </cell>
          <cell r="O431" t="e">
            <v>#N/A</v>
          </cell>
          <cell r="P431">
            <v>14.69</v>
          </cell>
          <cell r="Q431">
            <v>1.544481</v>
          </cell>
          <cell r="R431" t="e">
            <v>#N/A</v>
          </cell>
        </row>
        <row r="432">
          <cell r="A432">
            <v>40598</v>
          </cell>
          <cell r="B432">
            <v>40598</v>
          </cell>
          <cell r="C432" t="str">
            <v>Past</v>
          </cell>
          <cell r="D432">
            <v>14.56</v>
          </cell>
          <cell r="E432" t="e">
            <v>#N/A</v>
          </cell>
          <cell r="F432" t="e">
            <v>#N/A</v>
          </cell>
          <cell r="G432" t="e">
            <v>#N/A</v>
          </cell>
          <cell r="H432" t="e">
            <v>#N/A</v>
          </cell>
          <cell r="I432" t="e">
            <v>#N/A</v>
          </cell>
          <cell r="J432" t="e">
            <v>#N/A</v>
          </cell>
          <cell r="K432" t="e">
            <v>#N/A</v>
          </cell>
          <cell r="L432" t="e">
            <v>#N/A</v>
          </cell>
          <cell r="M432" t="e">
            <v>#N/A</v>
          </cell>
          <cell r="N432" t="e">
            <v>#N/A</v>
          </cell>
          <cell r="O432" t="e">
            <v>#N/A</v>
          </cell>
          <cell r="P432">
            <v>14.56</v>
          </cell>
          <cell r="Q432">
            <v>1.3997700000000002</v>
          </cell>
          <cell r="R432" t="e">
            <v>#N/A</v>
          </cell>
        </row>
        <row r="433">
          <cell r="A433">
            <v>40599</v>
          </cell>
          <cell r="B433">
            <v>40599</v>
          </cell>
          <cell r="C433" t="str">
            <v>Past</v>
          </cell>
          <cell r="D433">
            <v>14.63</v>
          </cell>
          <cell r="E433" t="e">
            <v>#N/A</v>
          </cell>
          <cell r="F433" t="e">
            <v>#N/A</v>
          </cell>
          <cell r="G433" t="e">
            <v>#N/A</v>
          </cell>
          <cell r="H433" t="e">
            <v>#N/A</v>
          </cell>
          <cell r="I433" t="e">
            <v>#N/A</v>
          </cell>
          <cell r="J433" t="e">
            <v>#N/A</v>
          </cell>
          <cell r="K433" t="e">
            <v>#N/A</v>
          </cell>
          <cell r="L433" t="e">
            <v>#N/A</v>
          </cell>
          <cell r="M433" t="e">
            <v>#N/A</v>
          </cell>
          <cell r="N433" t="e">
            <v>#N/A</v>
          </cell>
          <cell r="O433" t="e">
            <v>#N/A</v>
          </cell>
          <cell r="P433">
            <v>14.63</v>
          </cell>
          <cell r="Q433">
            <v>1.2756859999999999</v>
          </cell>
          <cell r="R433" t="e">
            <v>#N/A</v>
          </cell>
        </row>
        <row r="434">
          <cell r="A434">
            <v>40602</v>
          </cell>
          <cell r="B434">
            <v>40602</v>
          </cell>
          <cell r="C434" t="str">
            <v>Past</v>
          </cell>
          <cell r="D434">
            <v>14.69</v>
          </cell>
          <cell r="E434" t="e">
            <v>#N/A</v>
          </cell>
          <cell r="F434" t="e">
            <v>#N/A</v>
          </cell>
          <cell r="G434" t="e">
            <v>#N/A</v>
          </cell>
          <cell r="H434" t="e">
            <v>#N/A</v>
          </cell>
          <cell r="I434" t="e">
            <v>#N/A</v>
          </cell>
          <cell r="J434" t="e">
            <v>#N/A</v>
          </cell>
          <cell r="K434" t="e">
            <v>#N/A</v>
          </cell>
          <cell r="L434" t="e">
            <v>#N/A</v>
          </cell>
          <cell r="M434" t="e">
            <v>#N/A</v>
          </cell>
          <cell r="N434" t="e">
            <v>#N/A</v>
          </cell>
          <cell r="O434" t="e">
            <v>#N/A</v>
          </cell>
          <cell r="P434">
            <v>14.69</v>
          </cell>
          <cell r="Q434">
            <v>1.8974500000000001</v>
          </cell>
          <cell r="R434" t="e">
            <v>#N/A</v>
          </cell>
        </row>
        <row r="435">
          <cell r="A435">
            <v>40603</v>
          </cell>
          <cell r="B435">
            <v>40603</v>
          </cell>
          <cell r="C435" t="str">
            <v>Past</v>
          </cell>
          <cell r="D435">
            <v>14.55</v>
          </cell>
          <cell r="E435" t="e">
            <v>#N/A</v>
          </cell>
          <cell r="F435" t="e">
            <v>#N/A</v>
          </cell>
          <cell r="G435" t="e">
            <v>#N/A</v>
          </cell>
          <cell r="H435" t="e">
            <v>#N/A</v>
          </cell>
          <cell r="I435" t="e">
            <v>#N/A</v>
          </cell>
          <cell r="J435" t="e">
            <v>#N/A</v>
          </cell>
          <cell r="K435" t="e">
            <v>#N/A</v>
          </cell>
          <cell r="L435" t="e">
            <v>#N/A</v>
          </cell>
          <cell r="M435" t="e">
            <v>#N/A</v>
          </cell>
          <cell r="N435" t="e">
            <v>#N/A</v>
          </cell>
          <cell r="O435" t="e">
            <v>#N/A</v>
          </cell>
          <cell r="P435">
            <v>14.55</v>
          </cell>
          <cell r="Q435">
            <v>1.179567</v>
          </cell>
          <cell r="R435" t="e">
            <v>#N/A</v>
          </cell>
        </row>
        <row r="436">
          <cell r="A436">
            <v>40604</v>
          </cell>
          <cell r="B436">
            <v>40604</v>
          </cell>
          <cell r="C436" t="str">
            <v>Past</v>
          </cell>
          <cell r="D436">
            <v>14.64</v>
          </cell>
          <cell r="E436" t="e">
            <v>#N/A</v>
          </cell>
          <cell r="F436" t="e">
            <v>#N/A</v>
          </cell>
          <cell r="G436" t="e">
            <v>#N/A</v>
          </cell>
          <cell r="H436" t="e">
            <v>#N/A</v>
          </cell>
          <cell r="I436" t="e">
            <v>#N/A</v>
          </cell>
          <cell r="J436" t="e">
            <v>#N/A</v>
          </cell>
          <cell r="K436" t="e">
            <v>#N/A</v>
          </cell>
          <cell r="L436" t="e">
            <v>#N/A</v>
          </cell>
          <cell r="M436" t="e">
            <v>#N/A</v>
          </cell>
          <cell r="N436" t="e">
            <v>#N/A</v>
          </cell>
          <cell r="O436" t="e">
            <v>#N/A</v>
          </cell>
          <cell r="P436">
            <v>14.64</v>
          </cell>
          <cell r="Q436">
            <v>1.235517</v>
          </cell>
          <cell r="R436" t="e">
            <v>#N/A</v>
          </cell>
        </row>
        <row r="437">
          <cell r="A437">
            <v>40605</v>
          </cell>
          <cell r="B437">
            <v>40605</v>
          </cell>
          <cell r="C437" t="str">
            <v>Past</v>
          </cell>
          <cell r="D437">
            <v>14.83</v>
          </cell>
          <cell r="E437" t="e">
            <v>#N/A</v>
          </cell>
          <cell r="F437" t="e">
            <v>#N/A</v>
          </cell>
          <cell r="G437" t="e">
            <v>#N/A</v>
          </cell>
          <cell r="H437" t="e">
            <v>#N/A</v>
          </cell>
          <cell r="I437" t="e">
            <v>#N/A</v>
          </cell>
          <cell r="J437" t="e">
            <v>#N/A</v>
          </cell>
          <cell r="K437" t="e">
            <v>#N/A</v>
          </cell>
          <cell r="L437" t="e">
            <v>#N/A</v>
          </cell>
          <cell r="M437" t="e">
            <v>#N/A</v>
          </cell>
          <cell r="N437" t="e">
            <v>#N/A</v>
          </cell>
          <cell r="O437" t="e">
            <v>#N/A</v>
          </cell>
          <cell r="P437">
            <v>14.83</v>
          </cell>
          <cell r="Q437">
            <v>1.411872</v>
          </cell>
          <cell r="R437" t="e">
            <v>#N/A</v>
          </cell>
        </row>
        <row r="438">
          <cell r="A438">
            <v>40606</v>
          </cell>
          <cell r="B438">
            <v>40606</v>
          </cell>
          <cell r="C438" t="str">
            <v>Past</v>
          </cell>
          <cell r="D438">
            <v>14.68</v>
          </cell>
          <cell r="E438" t="e">
            <v>#N/A</v>
          </cell>
          <cell r="F438" t="e">
            <v>#N/A</v>
          </cell>
          <cell r="G438" t="e">
            <v>#N/A</v>
          </cell>
          <cell r="H438" t="e">
            <v>#N/A</v>
          </cell>
          <cell r="I438" t="e">
            <v>#N/A</v>
          </cell>
          <cell r="J438" t="e">
            <v>#N/A</v>
          </cell>
          <cell r="K438" t="e">
            <v>#N/A</v>
          </cell>
          <cell r="L438" t="e">
            <v>#N/A</v>
          </cell>
          <cell r="M438" t="e">
            <v>#N/A</v>
          </cell>
          <cell r="N438" t="e">
            <v>#N/A</v>
          </cell>
          <cell r="O438" t="e">
            <v>#N/A</v>
          </cell>
          <cell r="P438">
            <v>14.68</v>
          </cell>
          <cell r="Q438">
            <v>0.85889299999999991</v>
          </cell>
          <cell r="R438" t="e">
            <v>#N/A</v>
          </cell>
        </row>
        <row r="439">
          <cell r="A439">
            <v>40609</v>
          </cell>
          <cell r="B439">
            <v>40609</v>
          </cell>
          <cell r="C439" t="str">
            <v>Past</v>
          </cell>
          <cell r="D439">
            <v>14.7</v>
          </cell>
          <cell r="E439" t="e">
            <v>#N/A</v>
          </cell>
          <cell r="F439" t="e">
            <v>#N/A</v>
          </cell>
          <cell r="G439" t="e">
            <v>#N/A</v>
          </cell>
          <cell r="H439" t="e">
            <v>#N/A</v>
          </cell>
          <cell r="I439" t="e">
            <v>#N/A</v>
          </cell>
          <cell r="J439" t="e">
            <v>#N/A</v>
          </cell>
          <cell r="K439" t="e">
            <v>#N/A</v>
          </cell>
          <cell r="L439" t="e">
            <v>#N/A</v>
          </cell>
          <cell r="M439" t="e">
            <v>#N/A</v>
          </cell>
          <cell r="N439" t="e">
            <v>#N/A</v>
          </cell>
          <cell r="O439" t="e">
            <v>#N/A</v>
          </cell>
          <cell r="P439">
            <v>14.7</v>
          </cell>
          <cell r="Q439">
            <v>1.3134239999999999</v>
          </cell>
          <cell r="R439" t="e">
            <v>#N/A</v>
          </cell>
        </row>
        <row r="440">
          <cell r="A440">
            <v>40610</v>
          </cell>
          <cell r="B440">
            <v>40610</v>
          </cell>
          <cell r="C440" t="str">
            <v>Past</v>
          </cell>
          <cell r="D440">
            <v>14.88</v>
          </cell>
          <cell r="E440" t="e">
            <v>#N/A</v>
          </cell>
          <cell r="F440" t="e">
            <v>#N/A</v>
          </cell>
          <cell r="G440" t="e">
            <v>#N/A</v>
          </cell>
          <cell r="H440" t="e">
            <v>#N/A</v>
          </cell>
          <cell r="I440" t="e">
            <v>#N/A</v>
          </cell>
          <cell r="J440" t="e">
            <v>#N/A</v>
          </cell>
          <cell r="K440" t="e">
            <v>#N/A</v>
          </cell>
          <cell r="L440" t="e">
            <v>#N/A</v>
          </cell>
          <cell r="M440" t="e">
            <v>#N/A</v>
          </cell>
          <cell r="N440" t="e">
            <v>#N/A</v>
          </cell>
          <cell r="O440" t="e">
            <v>#N/A</v>
          </cell>
          <cell r="P440">
            <v>14.88</v>
          </cell>
          <cell r="Q440">
            <v>1.3189700000000002</v>
          </cell>
          <cell r="R440" t="e">
            <v>#N/A</v>
          </cell>
        </row>
        <row r="441">
          <cell r="A441">
            <v>40611</v>
          </cell>
          <cell r="B441">
            <v>40611</v>
          </cell>
          <cell r="C441" t="str">
            <v>Past</v>
          </cell>
          <cell r="D441">
            <v>14.91</v>
          </cell>
          <cell r="E441" t="e">
            <v>#N/A</v>
          </cell>
          <cell r="F441" t="e">
            <v>#N/A</v>
          </cell>
          <cell r="G441" t="e">
            <v>#N/A</v>
          </cell>
          <cell r="H441" t="e">
            <v>#N/A</v>
          </cell>
          <cell r="I441" t="e">
            <v>#N/A</v>
          </cell>
          <cell r="J441" t="e">
            <v>#N/A</v>
          </cell>
          <cell r="K441" t="e">
            <v>#N/A</v>
          </cell>
          <cell r="L441" t="e">
            <v>#N/A</v>
          </cell>
          <cell r="M441" t="e">
            <v>#N/A</v>
          </cell>
          <cell r="N441" t="e">
            <v>#N/A</v>
          </cell>
          <cell r="O441" t="e">
            <v>#N/A</v>
          </cell>
          <cell r="P441">
            <v>14.91</v>
          </cell>
          <cell r="Q441">
            <v>1.1770129999999999</v>
          </cell>
          <cell r="R441" t="e">
            <v>#N/A</v>
          </cell>
        </row>
        <row r="442">
          <cell r="A442">
            <v>40612</v>
          </cell>
          <cell r="B442">
            <v>40612</v>
          </cell>
          <cell r="C442" t="str">
            <v>Past</v>
          </cell>
          <cell r="D442">
            <v>14.67</v>
          </cell>
          <cell r="E442" t="e">
            <v>#N/A</v>
          </cell>
          <cell r="F442" t="e">
            <v>#N/A</v>
          </cell>
          <cell r="G442" t="e">
            <v>#N/A</v>
          </cell>
          <cell r="H442" t="e">
            <v>#N/A</v>
          </cell>
          <cell r="I442" t="e">
            <v>#N/A</v>
          </cell>
          <cell r="J442" t="e">
            <v>#N/A</v>
          </cell>
          <cell r="K442" t="e">
            <v>#N/A</v>
          </cell>
          <cell r="L442" t="e">
            <v>#N/A</v>
          </cell>
          <cell r="M442" t="e">
            <v>#N/A</v>
          </cell>
          <cell r="N442" t="e">
            <v>#N/A</v>
          </cell>
          <cell r="O442" t="e">
            <v>#N/A</v>
          </cell>
          <cell r="P442">
            <v>14.67</v>
          </cell>
          <cell r="Q442">
            <v>2.195319</v>
          </cell>
          <cell r="R442" t="e">
            <v>#N/A</v>
          </cell>
        </row>
        <row r="443">
          <cell r="A443">
            <v>40613</v>
          </cell>
          <cell r="B443">
            <v>40613</v>
          </cell>
          <cell r="C443" t="str">
            <v>Past</v>
          </cell>
          <cell r="D443">
            <v>14.83</v>
          </cell>
          <cell r="E443" t="e">
            <v>#N/A</v>
          </cell>
          <cell r="F443" t="e">
            <v>#N/A</v>
          </cell>
          <cell r="G443" t="e">
            <v>#N/A</v>
          </cell>
          <cell r="H443" t="e">
            <v>#N/A</v>
          </cell>
          <cell r="I443" t="e">
            <v>#N/A</v>
          </cell>
          <cell r="J443" t="e">
            <v>#N/A</v>
          </cell>
          <cell r="K443" t="e">
            <v>#N/A</v>
          </cell>
          <cell r="L443" t="e">
            <v>#N/A</v>
          </cell>
          <cell r="M443" t="e">
            <v>#N/A</v>
          </cell>
          <cell r="N443" t="e">
            <v>#N/A</v>
          </cell>
          <cell r="O443" t="e">
            <v>#N/A</v>
          </cell>
          <cell r="P443">
            <v>14.83</v>
          </cell>
          <cell r="Q443">
            <v>2.5068239999999999</v>
          </cell>
          <cell r="R443" t="e">
            <v>#N/A</v>
          </cell>
        </row>
        <row r="444">
          <cell r="A444">
            <v>40616</v>
          </cell>
          <cell r="B444">
            <v>40616</v>
          </cell>
          <cell r="C444" t="str">
            <v>Past</v>
          </cell>
          <cell r="D444">
            <v>14.83</v>
          </cell>
          <cell r="E444" t="e">
            <v>#N/A</v>
          </cell>
          <cell r="F444" t="e">
            <v>#N/A</v>
          </cell>
          <cell r="G444" t="e">
            <v>#N/A</v>
          </cell>
          <cell r="H444" t="e">
            <v>#N/A</v>
          </cell>
          <cell r="I444" t="e">
            <v>#N/A</v>
          </cell>
          <cell r="J444" t="e">
            <v>#N/A</v>
          </cell>
          <cell r="K444" t="e">
            <v>#N/A</v>
          </cell>
          <cell r="L444" t="e">
            <v>#N/A</v>
          </cell>
          <cell r="M444" t="e">
            <v>#N/A</v>
          </cell>
          <cell r="N444" t="e">
            <v>#N/A</v>
          </cell>
          <cell r="O444" t="e">
            <v>#N/A</v>
          </cell>
          <cell r="P444">
            <v>14.83</v>
          </cell>
          <cell r="Q444">
            <v>1.7697939999999999</v>
          </cell>
          <cell r="R444" t="e">
            <v>#N/A</v>
          </cell>
        </row>
        <row r="445">
          <cell r="A445">
            <v>40617</v>
          </cell>
          <cell r="B445">
            <v>40617</v>
          </cell>
          <cell r="C445" t="str">
            <v>Past</v>
          </cell>
          <cell r="D445">
            <v>14.54</v>
          </cell>
          <cell r="E445" t="e">
            <v>#N/A</v>
          </cell>
          <cell r="F445" t="e">
            <v>#N/A</v>
          </cell>
          <cell r="G445" t="e">
            <v>#N/A</v>
          </cell>
          <cell r="H445" t="e">
            <v>#N/A</v>
          </cell>
          <cell r="I445" t="e">
            <v>#N/A</v>
          </cell>
          <cell r="J445" t="e">
            <v>#N/A</v>
          </cell>
          <cell r="K445" t="e">
            <v>#N/A</v>
          </cell>
          <cell r="L445" t="e">
            <v>#N/A</v>
          </cell>
          <cell r="M445" t="e">
            <v>#N/A</v>
          </cell>
          <cell r="N445" t="e">
            <v>#N/A</v>
          </cell>
          <cell r="O445" t="e">
            <v>#N/A</v>
          </cell>
          <cell r="P445">
            <v>14.54</v>
          </cell>
          <cell r="Q445">
            <v>1.7034609999999999</v>
          </cell>
          <cell r="R445" t="e">
            <v>#N/A</v>
          </cell>
        </row>
        <row r="446">
          <cell r="A446">
            <v>40618</v>
          </cell>
          <cell r="B446">
            <v>40618</v>
          </cell>
          <cell r="C446" t="str">
            <v>Past</v>
          </cell>
          <cell r="D446">
            <v>14.31</v>
          </cell>
          <cell r="E446" t="e">
            <v>#N/A</v>
          </cell>
          <cell r="F446" t="e">
            <v>#N/A</v>
          </cell>
          <cell r="G446" t="e">
            <v>#N/A</v>
          </cell>
          <cell r="H446" t="e">
            <v>#N/A</v>
          </cell>
          <cell r="I446" t="e">
            <v>#N/A</v>
          </cell>
          <cell r="J446" t="e">
            <v>#N/A</v>
          </cell>
          <cell r="K446" t="e">
            <v>#N/A</v>
          </cell>
          <cell r="L446" t="e">
            <v>#N/A</v>
          </cell>
          <cell r="M446" t="e">
            <v>#N/A</v>
          </cell>
          <cell r="N446" t="e">
            <v>#N/A</v>
          </cell>
          <cell r="O446" t="e">
            <v>#N/A</v>
          </cell>
          <cell r="P446">
            <v>14.31</v>
          </cell>
          <cell r="Q446">
            <v>2.262054</v>
          </cell>
          <cell r="R446" t="e">
            <v>#N/A</v>
          </cell>
        </row>
        <row r="447">
          <cell r="A447">
            <v>40619</v>
          </cell>
          <cell r="B447">
            <v>40619</v>
          </cell>
          <cell r="C447" t="str">
            <v>Past</v>
          </cell>
          <cell r="D447">
            <v>14.33</v>
          </cell>
          <cell r="E447" t="e">
            <v>#N/A</v>
          </cell>
          <cell r="F447" t="e">
            <v>#N/A</v>
          </cell>
          <cell r="G447" t="e">
            <v>#N/A</v>
          </cell>
          <cell r="H447" t="e">
            <v>#N/A</v>
          </cell>
          <cell r="I447" t="e">
            <v>#N/A</v>
          </cell>
          <cell r="J447" t="e">
            <v>#N/A</v>
          </cell>
          <cell r="K447" t="e">
            <v>#N/A</v>
          </cell>
          <cell r="L447" t="e">
            <v>#N/A</v>
          </cell>
          <cell r="M447" t="e">
            <v>#N/A</v>
          </cell>
          <cell r="N447" t="e">
            <v>#N/A</v>
          </cell>
          <cell r="O447" t="e">
            <v>#N/A</v>
          </cell>
          <cell r="P447">
            <v>14.33</v>
          </cell>
          <cell r="Q447">
            <v>1.7244809999999999</v>
          </cell>
          <cell r="R447" t="e">
            <v>#N/A</v>
          </cell>
        </row>
        <row r="448">
          <cell r="A448">
            <v>40620</v>
          </cell>
          <cell r="B448">
            <v>40620</v>
          </cell>
          <cell r="C448" t="str">
            <v>Past</v>
          </cell>
          <cell r="D448">
            <v>14.35</v>
          </cell>
          <cell r="E448" t="e">
            <v>#N/A</v>
          </cell>
          <cell r="F448" t="e">
            <v>#N/A</v>
          </cell>
          <cell r="G448" t="e">
            <v>#N/A</v>
          </cell>
          <cell r="H448" t="e">
            <v>#N/A</v>
          </cell>
          <cell r="I448" t="e">
            <v>#N/A</v>
          </cell>
          <cell r="J448" t="e">
            <v>#N/A</v>
          </cell>
          <cell r="K448" t="e">
            <v>#N/A</v>
          </cell>
          <cell r="L448" t="e">
            <v>#N/A</v>
          </cell>
          <cell r="M448" t="e">
            <v>#N/A</v>
          </cell>
          <cell r="N448" t="e">
            <v>#N/A</v>
          </cell>
          <cell r="O448" t="e">
            <v>#N/A</v>
          </cell>
          <cell r="P448">
            <v>14.35</v>
          </cell>
          <cell r="Q448">
            <v>1.5717639999999999</v>
          </cell>
          <cell r="R448" t="e">
            <v>#N/A</v>
          </cell>
        </row>
        <row r="449">
          <cell r="A449">
            <v>40623</v>
          </cell>
          <cell r="B449">
            <v>40623</v>
          </cell>
          <cell r="C449" t="str">
            <v>Past</v>
          </cell>
          <cell r="D449">
            <v>14.68</v>
          </cell>
          <cell r="E449" t="e">
            <v>#N/A</v>
          </cell>
          <cell r="F449" t="e">
            <v>#N/A</v>
          </cell>
          <cell r="G449" t="e">
            <v>#N/A</v>
          </cell>
          <cell r="H449" t="e">
            <v>#N/A</v>
          </cell>
          <cell r="I449" t="e">
            <v>#N/A</v>
          </cell>
          <cell r="J449" t="e">
            <v>#N/A</v>
          </cell>
          <cell r="K449" t="e">
            <v>#N/A</v>
          </cell>
          <cell r="L449" t="e">
            <v>#N/A</v>
          </cell>
          <cell r="M449" t="e">
            <v>#N/A</v>
          </cell>
          <cell r="N449" t="e">
            <v>#N/A</v>
          </cell>
          <cell r="O449" t="e">
            <v>#N/A</v>
          </cell>
          <cell r="P449">
            <v>14.68</v>
          </cell>
          <cell r="Q449">
            <v>1.8070109999999999</v>
          </cell>
          <cell r="R449" t="e">
            <v>#N/A</v>
          </cell>
        </row>
        <row r="450">
          <cell r="A450">
            <v>40624</v>
          </cell>
          <cell r="B450">
            <v>40624</v>
          </cell>
          <cell r="C450" t="str">
            <v>Past</v>
          </cell>
          <cell r="D450">
            <v>14.54</v>
          </cell>
          <cell r="E450" t="e">
            <v>#N/A</v>
          </cell>
          <cell r="F450" t="e">
            <v>#N/A</v>
          </cell>
          <cell r="G450" t="e">
            <v>#N/A</v>
          </cell>
          <cell r="H450" t="e">
            <v>#N/A</v>
          </cell>
          <cell r="I450" t="e">
            <v>#N/A</v>
          </cell>
          <cell r="J450" t="e">
            <v>#N/A</v>
          </cell>
          <cell r="K450" t="e">
            <v>#N/A</v>
          </cell>
          <cell r="L450" t="e">
            <v>#N/A</v>
          </cell>
          <cell r="M450" t="e">
            <v>#N/A</v>
          </cell>
          <cell r="N450" t="e">
            <v>#N/A</v>
          </cell>
          <cell r="O450" t="e">
            <v>#N/A</v>
          </cell>
          <cell r="P450">
            <v>14.54</v>
          </cell>
          <cell r="Q450">
            <v>1.435576</v>
          </cell>
          <cell r="R450" t="e">
            <v>#N/A</v>
          </cell>
        </row>
        <row r="451">
          <cell r="A451">
            <v>40625</v>
          </cell>
          <cell r="B451">
            <v>40625</v>
          </cell>
          <cell r="C451" t="str">
            <v>Past</v>
          </cell>
          <cell r="D451">
            <v>14.49</v>
          </cell>
          <cell r="E451" t="e">
            <v>#N/A</v>
          </cell>
          <cell r="F451" t="e">
            <v>#N/A</v>
          </cell>
          <cell r="G451" t="e">
            <v>#N/A</v>
          </cell>
          <cell r="H451" t="e">
            <v>#N/A</v>
          </cell>
          <cell r="I451" t="e">
            <v>#N/A</v>
          </cell>
          <cell r="J451" t="e">
            <v>#N/A</v>
          </cell>
          <cell r="K451" t="e">
            <v>#N/A</v>
          </cell>
          <cell r="L451" t="e">
            <v>#N/A</v>
          </cell>
          <cell r="M451" t="e">
            <v>#N/A</v>
          </cell>
          <cell r="N451" t="e">
            <v>#N/A</v>
          </cell>
          <cell r="O451" t="e">
            <v>#N/A</v>
          </cell>
          <cell r="P451">
            <v>14.49</v>
          </cell>
          <cell r="Q451">
            <v>1.24529</v>
          </cell>
          <cell r="R451" t="e">
            <v>#N/A</v>
          </cell>
        </row>
        <row r="452">
          <cell r="A452">
            <v>40626</v>
          </cell>
          <cell r="B452">
            <v>40626</v>
          </cell>
          <cell r="C452" t="str">
            <v>Past</v>
          </cell>
          <cell r="D452">
            <v>14.5</v>
          </cell>
          <cell r="E452" t="e">
            <v>#N/A</v>
          </cell>
          <cell r="F452" t="e">
            <v>#N/A</v>
          </cell>
          <cell r="G452" t="e">
            <v>#N/A</v>
          </cell>
          <cell r="H452" t="e">
            <v>#N/A</v>
          </cell>
          <cell r="I452" t="e">
            <v>#N/A</v>
          </cell>
          <cell r="J452" t="e">
            <v>#N/A</v>
          </cell>
          <cell r="K452" t="e">
            <v>#N/A</v>
          </cell>
          <cell r="L452" t="e">
            <v>#N/A</v>
          </cell>
          <cell r="M452" t="e">
            <v>#N/A</v>
          </cell>
          <cell r="N452" t="e">
            <v>#N/A</v>
          </cell>
          <cell r="O452" t="e">
            <v>#N/A</v>
          </cell>
          <cell r="P452">
            <v>14.5</v>
          </cell>
          <cell r="Q452">
            <v>1.491544</v>
          </cell>
          <cell r="R452" t="e">
            <v>#N/A</v>
          </cell>
        </row>
        <row r="453">
          <cell r="A453">
            <v>40627</v>
          </cell>
          <cell r="B453">
            <v>40627</v>
          </cell>
          <cell r="C453" t="str">
            <v>Past</v>
          </cell>
          <cell r="D453">
            <v>14.58</v>
          </cell>
          <cell r="E453" t="e">
            <v>#N/A</v>
          </cell>
          <cell r="F453" t="e">
            <v>#N/A</v>
          </cell>
          <cell r="G453" t="e">
            <v>#N/A</v>
          </cell>
          <cell r="H453" t="e">
            <v>#N/A</v>
          </cell>
          <cell r="I453" t="e">
            <v>#N/A</v>
          </cell>
          <cell r="J453" t="e">
            <v>#N/A</v>
          </cell>
          <cell r="K453" t="e">
            <v>#N/A</v>
          </cell>
          <cell r="L453" t="e">
            <v>#N/A</v>
          </cell>
          <cell r="M453" t="e">
            <v>#N/A</v>
          </cell>
          <cell r="N453" t="e">
            <v>#N/A</v>
          </cell>
          <cell r="O453" t="e">
            <v>#N/A</v>
          </cell>
          <cell r="P453">
            <v>14.58</v>
          </cell>
          <cell r="Q453">
            <v>1.252939</v>
          </cell>
          <cell r="R453" t="e">
            <v>#N/A</v>
          </cell>
        </row>
        <row r="454">
          <cell r="A454">
            <v>40630</v>
          </cell>
          <cell r="B454">
            <v>40630</v>
          </cell>
          <cell r="C454" t="str">
            <v>Past</v>
          </cell>
          <cell r="D454">
            <v>14.53</v>
          </cell>
          <cell r="E454" t="e">
            <v>#N/A</v>
          </cell>
          <cell r="F454" t="e">
            <v>#N/A</v>
          </cell>
          <cell r="G454" t="e">
            <v>#N/A</v>
          </cell>
          <cell r="H454" t="e">
            <v>#N/A</v>
          </cell>
          <cell r="I454" t="e">
            <v>#N/A</v>
          </cell>
          <cell r="J454" t="e">
            <v>#N/A</v>
          </cell>
          <cell r="K454" t="e">
            <v>#N/A</v>
          </cell>
          <cell r="L454" t="e">
            <v>#N/A</v>
          </cell>
          <cell r="M454" t="e">
            <v>#N/A</v>
          </cell>
          <cell r="N454" t="e">
            <v>#N/A</v>
          </cell>
          <cell r="O454" t="e">
            <v>#N/A</v>
          </cell>
          <cell r="P454">
            <v>14.53</v>
          </cell>
          <cell r="Q454">
            <v>1.033458</v>
          </cell>
          <cell r="R454" t="e">
            <v>#N/A</v>
          </cell>
        </row>
        <row r="455">
          <cell r="A455">
            <v>40631</v>
          </cell>
          <cell r="B455">
            <v>40631</v>
          </cell>
          <cell r="C455" t="str">
            <v>Past</v>
          </cell>
          <cell r="D455">
            <v>14.7</v>
          </cell>
          <cell r="E455" t="e">
            <v>#N/A</v>
          </cell>
          <cell r="F455" t="e">
            <v>#N/A</v>
          </cell>
          <cell r="G455" t="e">
            <v>#N/A</v>
          </cell>
          <cell r="H455" t="e">
            <v>#N/A</v>
          </cell>
          <cell r="I455" t="e">
            <v>#N/A</v>
          </cell>
          <cell r="J455" t="e">
            <v>#N/A</v>
          </cell>
          <cell r="K455" t="e">
            <v>#N/A</v>
          </cell>
          <cell r="L455" t="e">
            <v>#N/A</v>
          </cell>
          <cell r="M455" t="e">
            <v>#N/A</v>
          </cell>
          <cell r="N455" t="e">
            <v>#N/A</v>
          </cell>
          <cell r="O455" t="e">
            <v>#N/A</v>
          </cell>
          <cell r="P455">
            <v>14.7</v>
          </cell>
          <cell r="Q455">
            <v>1.3141769999999999</v>
          </cell>
          <cell r="R455" t="e">
            <v>#N/A</v>
          </cell>
        </row>
        <row r="456">
          <cell r="A456">
            <v>40632</v>
          </cell>
          <cell r="B456">
            <v>40632</v>
          </cell>
          <cell r="C456" t="str">
            <v>Past</v>
          </cell>
          <cell r="D456">
            <v>14.89</v>
          </cell>
          <cell r="E456" t="e">
            <v>#N/A</v>
          </cell>
          <cell r="F456" t="e">
            <v>#N/A</v>
          </cell>
          <cell r="G456" t="e">
            <v>#N/A</v>
          </cell>
          <cell r="H456" t="e">
            <v>#N/A</v>
          </cell>
          <cell r="I456" t="e">
            <v>#N/A</v>
          </cell>
          <cell r="J456" t="e">
            <v>#N/A</v>
          </cell>
          <cell r="K456" t="e">
            <v>#N/A</v>
          </cell>
          <cell r="L456" t="e">
            <v>#N/A</v>
          </cell>
          <cell r="M456" t="e">
            <v>#N/A</v>
          </cell>
          <cell r="N456" t="e">
            <v>#N/A</v>
          </cell>
          <cell r="O456" t="e">
            <v>#N/A</v>
          </cell>
          <cell r="P456">
            <v>14.89</v>
          </cell>
          <cell r="Q456">
            <v>1.3115600000000001</v>
          </cell>
          <cell r="R456" t="e">
            <v>#N/A</v>
          </cell>
        </row>
        <row r="457">
          <cell r="A457">
            <v>40633</v>
          </cell>
          <cell r="B457">
            <v>40633</v>
          </cell>
          <cell r="C457" t="str">
            <v>Past</v>
          </cell>
          <cell r="D457">
            <v>14.89</v>
          </cell>
          <cell r="E457" t="e">
            <v>#N/A</v>
          </cell>
          <cell r="F457" t="e">
            <v>#N/A</v>
          </cell>
          <cell r="G457" t="e">
            <v>#N/A</v>
          </cell>
          <cell r="H457" t="e">
            <v>#N/A</v>
          </cell>
          <cell r="I457" t="e">
            <v>#N/A</v>
          </cell>
          <cell r="J457" t="e">
            <v>#N/A</v>
          </cell>
          <cell r="K457" t="e">
            <v>#N/A</v>
          </cell>
          <cell r="L457" t="e">
            <v>#N/A</v>
          </cell>
          <cell r="M457" t="e">
            <v>#N/A</v>
          </cell>
          <cell r="N457" t="e">
            <v>#N/A</v>
          </cell>
          <cell r="O457" t="e">
            <v>#N/A</v>
          </cell>
          <cell r="P457">
            <v>14.89</v>
          </cell>
          <cell r="Q457">
            <v>0.96714199999999995</v>
          </cell>
          <cell r="R457" t="e">
            <v>#N/A</v>
          </cell>
        </row>
        <row r="458">
          <cell r="A458">
            <v>40634</v>
          </cell>
          <cell r="B458">
            <v>40634</v>
          </cell>
          <cell r="C458" t="str">
            <v>Past</v>
          </cell>
          <cell r="D458">
            <v>15.03</v>
          </cell>
          <cell r="E458" t="e">
            <v>#N/A</v>
          </cell>
          <cell r="F458" t="e">
            <v>#N/A</v>
          </cell>
          <cell r="G458" t="e">
            <v>#N/A</v>
          </cell>
          <cell r="H458" t="e">
            <v>#N/A</v>
          </cell>
          <cell r="I458" t="e">
            <v>#N/A</v>
          </cell>
          <cell r="J458" t="e">
            <v>#N/A</v>
          </cell>
          <cell r="K458" t="e">
            <v>#N/A</v>
          </cell>
          <cell r="L458" t="e">
            <v>#N/A</v>
          </cell>
          <cell r="M458" t="e">
            <v>#N/A</v>
          </cell>
          <cell r="N458" t="e">
            <v>#N/A</v>
          </cell>
          <cell r="O458" t="e">
            <v>#N/A</v>
          </cell>
          <cell r="P458">
            <v>15.03</v>
          </cell>
          <cell r="Q458">
            <v>1.0310729999999999</v>
          </cell>
          <cell r="R458" t="e">
            <v>#N/A</v>
          </cell>
        </row>
        <row r="459">
          <cell r="A459">
            <v>40637</v>
          </cell>
          <cell r="B459">
            <v>40637</v>
          </cell>
          <cell r="C459" t="str">
            <v>Past</v>
          </cell>
          <cell r="D459">
            <v>15.07</v>
          </cell>
          <cell r="E459" t="e">
            <v>#N/A</v>
          </cell>
          <cell r="F459" t="e">
            <v>#N/A</v>
          </cell>
          <cell r="G459" t="e">
            <v>#N/A</v>
          </cell>
          <cell r="H459" t="e">
            <v>#N/A</v>
          </cell>
          <cell r="I459" t="e">
            <v>#N/A</v>
          </cell>
          <cell r="J459" t="e">
            <v>#N/A</v>
          </cell>
          <cell r="K459" t="e">
            <v>#N/A</v>
          </cell>
          <cell r="L459" t="e">
            <v>#N/A</v>
          </cell>
          <cell r="M459" t="e">
            <v>#N/A</v>
          </cell>
          <cell r="N459" t="e">
            <v>#N/A</v>
          </cell>
          <cell r="O459" t="e">
            <v>#N/A</v>
          </cell>
          <cell r="P459">
            <v>15.07</v>
          </cell>
          <cell r="Q459">
            <v>1.8920779999999999</v>
          </cell>
          <cell r="R459" t="e">
            <v>#N/A</v>
          </cell>
        </row>
        <row r="460">
          <cell r="A460">
            <v>40638</v>
          </cell>
          <cell r="B460">
            <v>40638</v>
          </cell>
          <cell r="C460" t="str">
            <v>Past</v>
          </cell>
          <cell r="D460">
            <v>15.08</v>
          </cell>
          <cell r="E460" t="e">
            <v>#N/A</v>
          </cell>
          <cell r="F460" t="e">
            <v>#N/A</v>
          </cell>
          <cell r="G460" t="e">
            <v>#N/A</v>
          </cell>
          <cell r="H460" t="e">
            <v>#N/A</v>
          </cell>
          <cell r="I460" t="e">
            <v>#N/A</v>
          </cell>
          <cell r="J460" t="e">
            <v>#N/A</v>
          </cell>
          <cell r="K460" t="e">
            <v>#N/A</v>
          </cell>
          <cell r="L460" t="e">
            <v>#N/A</v>
          </cell>
          <cell r="M460" t="e">
            <v>#N/A</v>
          </cell>
          <cell r="N460" t="e">
            <v>#N/A</v>
          </cell>
          <cell r="O460" t="e">
            <v>#N/A</v>
          </cell>
          <cell r="P460">
            <v>15.08</v>
          </cell>
          <cell r="Q460">
            <v>1.070727</v>
          </cell>
          <cell r="R460" t="e">
            <v>#N/A</v>
          </cell>
        </row>
        <row r="461">
          <cell r="A461">
            <v>40639</v>
          </cell>
          <cell r="B461">
            <v>40639</v>
          </cell>
          <cell r="C461" t="str">
            <v>Past</v>
          </cell>
          <cell r="D461">
            <v>15.22</v>
          </cell>
          <cell r="E461" t="e">
            <v>#N/A</v>
          </cell>
          <cell r="F461" t="e">
            <v>#N/A</v>
          </cell>
          <cell r="G461" t="e">
            <v>#N/A</v>
          </cell>
          <cell r="H461" t="e">
            <v>#N/A</v>
          </cell>
          <cell r="I461" t="e">
            <v>#N/A</v>
          </cell>
          <cell r="J461" t="e">
            <v>#N/A</v>
          </cell>
          <cell r="K461" t="e">
            <v>#N/A</v>
          </cell>
          <cell r="L461" t="e">
            <v>#N/A</v>
          </cell>
          <cell r="M461" t="e">
            <v>#N/A</v>
          </cell>
          <cell r="N461" t="e">
            <v>#N/A</v>
          </cell>
          <cell r="O461" t="e">
            <v>#N/A</v>
          </cell>
          <cell r="P461">
            <v>15.22</v>
          </cell>
          <cell r="Q461">
            <v>2.4883349999999997</v>
          </cell>
          <cell r="R461" t="e">
            <v>#N/A</v>
          </cell>
        </row>
        <row r="462">
          <cell r="A462">
            <v>40640</v>
          </cell>
          <cell r="B462">
            <v>40640</v>
          </cell>
          <cell r="C462" t="str">
            <v>Past</v>
          </cell>
          <cell r="D462">
            <v>15.03</v>
          </cell>
          <cell r="E462" t="e">
            <v>#N/A</v>
          </cell>
          <cell r="F462" t="e">
            <v>#N/A</v>
          </cell>
          <cell r="G462" t="e">
            <v>#N/A</v>
          </cell>
          <cell r="H462" t="e">
            <v>#N/A</v>
          </cell>
          <cell r="I462" t="e">
            <v>#N/A</v>
          </cell>
          <cell r="J462" t="e">
            <v>#N/A</v>
          </cell>
          <cell r="K462" t="e">
            <v>#N/A</v>
          </cell>
          <cell r="L462" t="e">
            <v>#N/A</v>
          </cell>
          <cell r="M462" t="e">
            <v>#N/A</v>
          </cell>
          <cell r="N462" t="e">
            <v>#N/A</v>
          </cell>
          <cell r="O462" t="e">
            <v>#N/A</v>
          </cell>
          <cell r="P462">
            <v>15.03</v>
          </cell>
          <cell r="Q462">
            <v>1.381759</v>
          </cell>
          <cell r="R462" t="e">
            <v>#N/A</v>
          </cell>
        </row>
        <row r="463">
          <cell r="A463">
            <v>40641</v>
          </cell>
          <cell r="B463">
            <v>40641</v>
          </cell>
          <cell r="C463" t="str">
            <v>Past</v>
          </cell>
          <cell r="D463">
            <v>15.03</v>
          </cell>
          <cell r="E463" t="e">
            <v>#N/A</v>
          </cell>
          <cell r="F463" t="e">
            <v>#N/A</v>
          </cell>
          <cell r="G463" t="e">
            <v>#N/A</v>
          </cell>
          <cell r="H463" t="e">
            <v>#N/A</v>
          </cell>
          <cell r="I463" t="e">
            <v>#N/A</v>
          </cell>
          <cell r="J463" t="e">
            <v>#N/A</v>
          </cell>
          <cell r="K463" t="e">
            <v>#N/A</v>
          </cell>
          <cell r="L463" t="e">
            <v>#N/A</v>
          </cell>
          <cell r="M463" t="e">
            <v>#N/A</v>
          </cell>
          <cell r="N463" t="e">
            <v>#N/A</v>
          </cell>
          <cell r="O463" t="e">
            <v>#N/A</v>
          </cell>
          <cell r="P463">
            <v>15.03</v>
          </cell>
          <cell r="Q463">
            <v>1.7781319999999998</v>
          </cell>
          <cell r="R463" t="e">
            <v>#N/A</v>
          </cell>
        </row>
        <row r="464">
          <cell r="A464">
            <v>40644</v>
          </cell>
          <cell r="B464">
            <v>40644</v>
          </cell>
          <cell r="C464" t="str">
            <v>Past</v>
          </cell>
          <cell r="D464">
            <v>14.74</v>
          </cell>
          <cell r="E464" t="e">
            <v>#N/A</v>
          </cell>
          <cell r="F464" t="e">
            <v>#N/A</v>
          </cell>
          <cell r="G464" t="e">
            <v>#N/A</v>
          </cell>
          <cell r="H464" t="e">
            <v>#N/A</v>
          </cell>
          <cell r="I464" t="e">
            <v>#N/A</v>
          </cell>
          <cell r="J464" t="e">
            <v>#N/A</v>
          </cell>
          <cell r="K464" t="e">
            <v>#N/A</v>
          </cell>
          <cell r="L464" t="e">
            <v>#N/A</v>
          </cell>
          <cell r="M464" t="e">
            <v>#N/A</v>
          </cell>
          <cell r="N464" t="e">
            <v>#N/A</v>
          </cell>
          <cell r="O464" t="e">
            <v>#N/A</v>
          </cell>
          <cell r="P464">
            <v>14.74</v>
          </cell>
          <cell r="Q464">
            <v>1.324306</v>
          </cell>
          <cell r="R464" t="e">
            <v>#N/A</v>
          </cell>
        </row>
        <row r="465">
          <cell r="A465">
            <v>40645</v>
          </cell>
          <cell r="B465">
            <v>40645</v>
          </cell>
          <cell r="C465" t="str">
            <v>Past</v>
          </cell>
          <cell r="D465">
            <v>14.64</v>
          </cell>
          <cell r="E465" t="e">
            <v>#N/A</v>
          </cell>
          <cell r="F465" t="e">
            <v>#N/A</v>
          </cell>
          <cell r="G465" t="e">
            <v>#N/A</v>
          </cell>
          <cell r="H465" t="e">
            <v>#N/A</v>
          </cell>
          <cell r="I465" t="e">
            <v>#N/A</v>
          </cell>
          <cell r="J465" t="e">
            <v>#N/A</v>
          </cell>
          <cell r="K465" t="e">
            <v>#N/A</v>
          </cell>
          <cell r="L465" t="e">
            <v>#N/A</v>
          </cell>
          <cell r="M465" t="e">
            <v>#N/A</v>
          </cell>
          <cell r="N465" t="e">
            <v>#N/A</v>
          </cell>
          <cell r="O465" t="e">
            <v>#N/A</v>
          </cell>
          <cell r="P465">
            <v>14.64</v>
          </cell>
          <cell r="Q465">
            <v>0.74409799999999993</v>
          </cell>
          <cell r="R465" t="e">
            <v>#N/A</v>
          </cell>
        </row>
        <row r="466">
          <cell r="A466">
            <v>40646</v>
          </cell>
          <cell r="B466">
            <v>40646</v>
          </cell>
          <cell r="C466" t="str">
            <v>Past</v>
          </cell>
          <cell r="D466">
            <v>14.68</v>
          </cell>
          <cell r="E466" t="e">
            <v>#N/A</v>
          </cell>
          <cell r="F466" t="e">
            <v>#N/A</v>
          </cell>
          <cell r="G466" t="e">
            <v>#N/A</v>
          </cell>
          <cell r="H466" t="e">
            <v>#N/A</v>
          </cell>
          <cell r="I466" t="e">
            <v>#N/A</v>
          </cell>
          <cell r="J466" t="e">
            <v>#N/A</v>
          </cell>
          <cell r="K466" t="e">
            <v>#N/A</v>
          </cell>
          <cell r="L466" t="e">
            <v>#N/A</v>
          </cell>
          <cell r="M466" t="e">
            <v>#N/A</v>
          </cell>
          <cell r="N466" t="e">
            <v>#N/A</v>
          </cell>
          <cell r="O466" t="e">
            <v>#N/A</v>
          </cell>
          <cell r="P466">
            <v>14.68</v>
          </cell>
          <cell r="Q466">
            <v>0.85418099999999997</v>
          </cell>
          <cell r="R466" t="e">
            <v>#N/A</v>
          </cell>
        </row>
        <row r="467">
          <cell r="A467">
            <v>40647</v>
          </cell>
          <cell r="B467">
            <v>40647</v>
          </cell>
          <cell r="C467" t="str">
            <v>Past</v>
          </cell>
          <cell r="D467">
            <v>14.78</v>
          </cell>
          <cell r="E467" t="e">
            <v>#N/A</v>
          </cell>
          <cell r="F467" t="e">
            <v>#N/A</v>
          </cell>
          <cell r="G467" t="e">
            <v>#N/A</v>
          </cell>
          <cell r="H467" t="e">
            <v>#N/A</v>
          </cell>
          <cell r="I467" t="e">
            <v>#N/A</v>
          </cell>
          <cell r="J467" t="e">
            <v>#N/A</v>
          </cell>
          <cell r="K467" t="e">
            <v>#N/A</v>
          </cell>
          <cell r="L467" t="e">
            <v>#N/A</v>
          </cell>
          <cell r="M467" t="e">
            <v>#N/A</v>
          </cell>
          <cell r="N467" t="e">
            <v>#N/A</v>
          </cell>
          <cell r="O467" t="e">
            <v>#N/A</v>
          </cell>
          <cell r="P467">
            <v>14.78</v>
          </cell>
          <cell r="Q467">
            <v>0.80073699999999992</v>
          </cell>
          <cell r="R467" t="e">
            <v>#N/A</v>
          </cell>
        </row>
        <row r="468">
          <cell r="A468">
            <v>40648</v>
          </cell>
          <cell r="B468">
            <v>40648</v>
          </cell>
          <cell r="C468" t="str">
            <v>Past</v>
          </cell>
          <cell r="D468">
            <v>14.87</v>
          </cell>
          <cell r="E468" t="e">
            <v>#N/A</v>
          </cell>
          <cell r="F468" t="e">
            <v>#N/A</v>
          </cell>
          <cell r="G468" t="e">
            <v>#N/A</v>
          </cell>
          <cell r="H468" t="e">
            <v>#N/A</v>
          </cell>
          <cell r="I468" t="e">
            <v>#N/A</v>
          </cell>
          <cell r="J468" t="e">
            <v>#N/A</v>
          </cell>
          <cell r="K468" t="e">
            <v>#N/A</v>
          </cell>
          <cell r="L468" t="e">
            <v>#N/A</v>
          </cell>
          <cell r="M468" t="e">
            <v>#N/A</v>
          </cell>
          <cell r="N468" t="e">
            <v>#N/A</v>
          </cell>
          <cell r="O468" t="e">
            <v>#N/A</v>
          </cell>
          <cell r="P468">
            <v>14.87</v>
          </cell>
          <cell r="Q468">
            <v>0.85800100000000001</v>
          </cell>
          <cell r="R468" t="e">
            <v>#N/A</v>
          </cell>
        </row>
        <row r="469">
          <cell r="A469">
            <v>40651</v>
          </cell>
          <cell r="B469">
            <v>40651</v>
          </cell>
          <cell r="C469" t="str">
            <v>Past</v>
          </cell>
          <cell r="D469">
            <v>14.66</v>
          </cell>
          <cell r="E469" t="e">
            <v>#N/A</v>
          </cell>
          <cell r="F469" t="e">
            <v>#N/A</v>
          </cell>
          <cell r="G469" t="e">
            <v>#N/A</v>
          </cell>
          <cell r="H469" t="e">
            <v>#N/A</v>
          </cell>
          <cell r="I469" t="e">
            <v>#N/A</v>
          </cell>
          <cell r="J469" t="e">
            <v>#N/A</v>
          </cell>
          <cell r="K469" t="e">
            <v>#N/A</v>
          </cell>
          <cell r="L469" t="e">
            <v>#N/A</v>
          </cell>
          <cell r="M469" t="e">
            <v>#N/A</v>
          </cell>
          <cell r="N469" t="e">
            <v>#N/A</v>
          </cell>
          <cell r="O469" t="e">
            <v>#N/A</v>
          </cell>
          <cell r="P469">
            <v>14.66</v>
          </cell>
          <cell r="Q469">
            <v>1.6471739999999999</v>
          </cell>
          <cell r="R469" t="e">
            <v>#N/A</v>
          </cell>
        </row>
        <row r="470">
          <cell r="A470">
            <v>40652</v>
          </cell>
          <cell r="B470">
            <v>40652</v>
          </cell>
          <cell r="C470" t="str">
            <v>Past</v>
          </cell>
          <cell r="D470">
            <v>14.67</v>
          </cell>
          <cell r="E470" t="e">
            <v>#N/A</v>
          </cell>
          <cell r="F470" t="e">
            <v>#N/A</v>
          </cell>
          <cell r="G470" t="e">
            <v>#N/A</v>
          </cell>
          <cell r="H470" t="e">
            <v>#N/A</v>
          </cell>
          <cell r="I470" t="e">
            <v>#N/A</v>
          </cell>
          <cell r="J470" t="e">
            <v>#N/A</v>
          </cell>
          <cell r="K470" t="e">
            <v>#N/A</v>
          </cell>
          <cell r="L470" t="e">
            <v>#N/A</v>
          </cell>
          <cell r="M470" t="e">
            <v>#N/A</v>
          </cell>
          <cell r="N470" t="e">
            <v>#N/A</v>
          </cell>
          <cell r="O470" t="e">
            <v>#N/A</v>
          </cell>
          <cell r="P470">
            <v>14.67</v>
          </cell>
          <cell r="Q470">
            <v>0.76988299999999998</v>
          </cell>
          <cell r="R470" t="e">
            <v>#N/A</v>
          </cell>
        </row>
        <row r="471">
          <cell r="A471">
            <v>40653</v>
          </cell>
          <cell r="B471">
            <v>40653</v>
          </cell>
          <cell r="C471" t="str">
            <v>Past</v>
          </cell>
          <cell r="D471">
            <v>14.87</v>
          </cell>
          <cell r="E471" t="e">
            <v>#N/A</v>
          </cell>
          <cell r="F471" t="e">
            <v>#N/A</v>
          </cell>
          <cell r="G471" t="e">
            <v>#N/A</v>
          </cell>
          <cell r="H471" t="e">
            <v>#N/A</v>
          </cell>
          <cell r="I471" t="e">
            <v>#N/A</v>
          </cell>
          <cell r="J471" t="e">
            <v>#N/A</v>
          </cell>
          <cell r="K471" t="e">
            <v>#N/A</v>
          </cell>
          <cell r="L471" t="e">
            <v>#N/A</v>
          </cell>
          <cell r="M471" t="e">
            <v>#N/A</v>
          </cell>
          <cell r="N471" t="e">
            <v>#N/A</v>
          </cell>
          <cell r="O471" t="e">
            <v>#N/A</v>
          </cell>
          <cell r="P471">
            <v>14.87</v>
          </cell>
          <cell r="Q471">
            <v>1.3099069999999999</v>
          </cell>
          <cell r="R471" t="e">
            <v>#N/A</v>
          </cell>
        </row>
        <row r="472">
          <cell r="A472">
            <v>40654</v>
          </cell>
          <cell r="B472">
            <v>40654</v>
          </cell>
          <cell r="C472" t="str">
            <v>Past</v>
          </cell>
          <cell r="D472">
            <v>14.9</v>
          </cell>
          <cell r="E472" t="e">
            <v>#N/A</v>
          </cell>
          <cell r="F472" t="e">
            <v>#N/A</v>
          </cell>
          <cell r="G472" t="e">
            <v>#N/A</v>
          </cell>
          <cell r="H472" t="e">
            <v>#N/A</v>
          </cell>
          <cell r="I472" t="e">
            <v>#N/A</v>
          </cell>
          <cell r="J472" t="e">
            <v>#N/A</v>
          </cell>
          <cell r="K472" t="e">
            <v>#N/A</v>
          </cell>
          <cell r="L472" t="e">
            <v>#N/A</v>
          </cell>
          <cell r="M472" t="e">
            <v>#N/A</v>
          </cell>
          <cell r="N472" t="e">
            <v>#N/A</v>
          </cell>
          <cell r="O472" t="e">
            <v>#N/A</v>
          </cell>
          <cell r="P472">
            <v>14.9</v>
          </cell>
          <cell r="Q472">
            <v>0.91618899999999992</v>
          </cell>
          <cell r="R472" t="e">
            <v>#N/A</v>
          </cell>
        </row>
        <row r="473">
          <cell r="A473">
            <v>40658</v>
          </cell>
          <cell r="B473">
            <v>40658</v>
          </cell>
          <cell r="C473" t="str">
            <v>Past</v>
          </cell>
          <cell r="D473">
            <v>14.89</v>
          </cell>
          <cell r="E473" t="e">
            <v>#N/A</v>
          </cell>
          <cell r="F473" t="e">
            <v>#N/A</v>
          </cell>
          <cell r="G473" t="e">
            <v>#N/A</v>
          </cell>
          <cell r="H473" t="e">
            <v>#N/A</v>
          </cell>
          <cell r="I473" t="e">
            <v>#N/A</v>
          </cell>
          <cell r="J473" t="e">
            <v>#N/A</v>
          </cell>
          <cell r="K473" t="e">
            <v>#N/A</v>
          </cell>
          <cell r="L473" t="e">
            <v>#N/A</v>
          </cell>
          <cell r="M473" t="e">
            <v>#N/A</v>
          </cell>
          <cell r="N473" t="e">
            <v>#N/A</v>
          </cell>
          <cell r="O473" t="e">
            <v>#N/A</v>
          </cell>
          <cell r="P473">
            <v>14.89</v>
          </cell>
          <cell r="Q473">
            <v>0.50272499999999998</v>
          </cell>
          <cell r="R473" t="e">
            <v>#N/A</v>
          </cell>
        </row>
        <row r="474">
          <cell r="A474">
            <v>40659</v>
          </cell>
          <cell r="B474">
            <v>40659</v>
          </cell>
          <cell r="C474" t="str">
            <v>Past</v>
          </cell>
          <cell r="D474">
            <v>14.99</v>
          </cell>
          <cell r="E474" t="e">
            <v>#N/A</v>
          </cell>
          <cell r="F474" t="e">
            <v>#N/A</v>
          </cell>
          <cell r="G474" t="e">
            <v>#N/A</v>
          </cell>
          <cell r="H474" t="e">
            <v>#N/A</v>
          </cell>
          <cell r="I474" t="e">
            <v>#N/A</v>
          </cell>
          <cell r="J474" t="e">
            <v>#N/A</v>
          </cell>
          <cell r="K474" t="e">
            <v>#N/A</v>
          </cell>
          <cell r="L474" t="e">
            <v>#N/A</v>
          </cell>
          <cell r="M474" t="e">
            <v>#N/A</v>
          </cell>
          <cell r="N474" t="e">
            <v>#N/A</v>
          </cell>
          <cell r="O474" t="e">
            <v>#N/A</v>
          </cell>
          <cell r="P474">
            <v>14.99</v>
          </cell>
          <cell r="Q474">
            <v>1.0861239999999999</v>
          </cell>
          <cell r="R474" t="e">
            <v>#N/A</v>
          </cell>
        </row>
        <row r="475">
          <cell r="A475">
            <v>40660</v>
          </cell>
          <cell r="B475">
            <v>40660</v>
          </cell>
          <cell r="C475" t="str">
            <v>Past</v>
          </cell>
          <cell r="D475">
            <v>15.02</v>
          </cell>
          <cell r="E475" t="e">
            <v>#N/A</v>
          </cell>
          <cell r="F475" t="e">
            <v>#N/A</v>
          </cell>
          <cell r="G475" t="e">
            <v>#N/A</v>
          </cell>
          <cell r="H475" t="e">
            <v>#N/A</v>
          </cell>
          <cell r="I475" t="e">
            <v>#N/A</v>
          </cell>
          <cell r="J475" t="e">
            <v>#N/A</v>
          </cell>
          <cell r="K475" t="e">
            <v>#N/A</v>
          </cell>
          <cell r="L475" t="e">
            <v>#N/A</v>
          </cell>
          <cell r="M475" t="e">
            <v>#N/A</v>
          </cell>
          <cell r="N475" t="e">
            <v>#N/A</v>
          </cell>
          <cell r="O475" t="e">
            <v>#N/A</v>
          </cell>
          <cell r="P475">
            <v>15.02</v>
          </cell>
          <cell r="Q475">
            <v>1.3666639999999999</v>
          </cell>
          <cell r="R475" t="e">
            <v>#N/A</v>
          </cell>
        </row>
        <row r="476">
          <cell r="A476">
            <v>40661</v>
          </cell>
          <cell r="B476">
            <v>40661</v>
          </cell>
          <cell r="C476" t="str">
            <v>Past</v>
          </cell>
          <cell r="D476">
            <v>15.13</v>
          </cell>
          <cell r="E476" t="e">
            <v>#N/A</v>
          </cell>
          <cell r="F476" t="e">
            <v>#N/A</v>
          </cell>
          <cell r="G476" t="e">
            <v>#N/A</v>
          </cell>
          <cell r="H476" t="e">
            <v>#N/A</v>
          </cell>
          <cell r="I476" t="e">
            <v>#N/A</v>
          </cell>
          <cell r="J476" t="e">
            <v>#N/A</v>
          </cell>
          <cell r="K476" t="e">
            <v>#N/A</v>
          </cell>
          <cell r="L476" t="e">
            <v>#N/A</v>
          </cell>
          <cell r="M476" t="e">
            <v>#N/A</v>
          </cell>
          <cell r="N476" t="e">
            <v>#N/A</v>
          </cell>
          <cell r="O476" t="e">
            <v>#N/A</v>
          </cell>
          <cell r="P476">
            <v>15.13</v>
          </cell>
          <cell r="Q476">
            <v>3.1455869999999999</v>
          </cell>
          <cell r="R476" t="e">
            <v>#N/A</v>
          </cell>
        </row>
        <row r="477">
          <cell r="A477">
            <v>40662</v>
          </cell>
          <cell r="B477">
            <v>40662</v>
          </cell>
          <cell r="C477" t="str">
            <v>Past</v>
          </cell>
          <cell r="D477">
            <v>15.19</v>
          </cell>
          <cell r="E477" t="e">
            <v>#N/A</v>
          </cell>
          <cell r="F477" t="e">
            <v>#N/A</v>
          </cell>
          <cell r="G477" t="e">
            <v>#N/A</v>
          </cell>
          <cell r="H477" t="e">
            <v>#N/A</v>
          </cell>
          <cell r="I477" t="e">
            <v>#N/A</v>
          </cell>
          <cell r="J477" t="e">
            <v>#N/A</v>
          </cell>
          <cell r="K477" t="e">
            <v>#N/A</v>
          </cell>
          <cell r="L477" t="e">
            <v>#N/A</v>
          </cell>
          <cell r="M477" t="e">
            <v>#N/A</v>
          </cell>
          <cell r="N477" t="e">
            <v>#N/A</v>
          </cell>
          <cell r="O477" t="e">
            <v>#N/A</v>
          </cell>
          <cell r="P477">
            <v>15.19</v>
          </cell>
          <cell r="Q477">
            <v>1.173627</v>
          </cell>
          <cell r="R477" t="e">
            <v>#N/A</v>
          </cell>
        </row>
        <row r="478">
          <cell r="A478">
            <v>40665</v>
          </cell>
          <cell r="B478">
            <v>40665</v>
          </cell>
          <cell r="C478" t="str">
            <v>Past</v>
          </cell>
          <cell r="D478">
            <v>15.23</v>
          </cell>
          <cell r="E478" t="e">
            <v>#N/A</v>
          </cell>
          <cell r="F478" t="e">
            <v>#N/A</v>
          </cell>
          <cell r="G478" t="e">
            <v>#N/A</v>
          </cell>
          <cell r="H478" t="e">
            <v>#N/A</v>
          </cell>
          <cell r="I478" t="e">
            <v>#N/A</v>
          </cell>
          <cell r="J478" t="e">
            <v>#N/A</v>
          </cell>
          <cell r="K478" t="e">
            <v>#N/A</v>
          </cell>
          <cell r="L478" t="e">
            <v>#N/A</v>
          </cell>
          <cell r="M478" t="e">
            <v>#N/A</v>
          </cell>
          <cell r="N478" t="e">
            <v>#N/A</v>
          </cell>
          <cell r="O478" t="e">
            <v>#N/A</v>
          </cell>
          <cell r="P478">
            <v>15.23</v>
          </cell>
          <cell r="Q478">
            <v>1.4589559999999999</v>
          </cell>
          <cell r="R478" t="e">
            <v>#N/A</v>
          </cell>
        </row>
        <row r="479">
          <cell r="A479">
            <v>40666</v>
          </cell>
          <cell r="B479">
            <v>40666</v>
          </cell>
          <cell r="C479" t="str">
            <v>Past</v>
          </cell>
          <cell r="D479">
            <v>15.35</v>
          </cell>
          <cell r="E479" t="e">
            <v>#N/A</v>
          </cell>
          <cell r="F479" t="e">
            <v>#N/A</v>
          </cell>
          <cell r="G479" t="e">
            <v>#N/A</v>
          </cell>
          <cell r="H479" t="e">
            <v>#N/A</v>
          </cell>
          <cell r="I479" t="e">
            <v>#N/A</v>
          </cell>
          <cell r="J479" t="e">
            <v>#N/A</v>
          </cell>
          <cell r="K479" t="e">
            <v>#N/A</v>
          </cell>
          <cell r="L479" t="e">
            <v>#N/A</v>
          </cell>
          <cell r="M479" t="e">
            <v>#N/A</v>
          </cell>
          <cell r="N479" t="e">
            <v>#N/A</v>
          </cell>
          <cell r="O479" t="e">
            <v>#N/A</v>
          </cell>
          <cell r="P479">
            <v>15.35</v>
          </cell>
          <cell r="Q479">
            <v>1.2028179999999999</v>
          </cell>
          <cell r="R479" t="e">
            <v>#N/A</v>
          </cell>
        </row>
        <row r="480">
          <cell r="A480">
            <v>40667</v>
          </cell>
          <cell r="B480">
            <v>40667</v>
          </cell>
          <cell r="C480" t="str">
            <v>Past</v>
          </cell>
          <cell r="D480">
            <v>15.35</v>
          </cell>
          <cell r="E480" t="e">
            <v>#N/A</v>
          </cell>
          <cell r="F480" t="e">
            <v>#N/A</v>
          </cell>
          <cell r="G480" t="e">
            <v>#N/A</v>
          </cell>
          <cell r="H480" t="e">
            <v>#N/A</v>
          </cell>
          <cell r="I480" t="e">
            <v>#N/A</v>
          </cell>
          <cell r="J480" t="e">
            <v>#N/A</v>
          </cell>
          <cell r="K480" t="e">
            <v>#N/A</v>
          </cell>
          <cell r="L480" t="e">
            <v>#N/A</v>
          </cell>
          <cell r="M480" t="e">
            <v>#N/A</v>
          </cell>
          <cell r="N480" t="e">
            <v>#N/A</v>
          </cell>
          <cell r="O480" t="e">
            <v>#N/A</v>
          </cell>
          <cell r="P480">
            <v>15.35</v>
          </cell>
          <cell r="Q480">
            <v>1.497406</v>
          </cell>
          <cell r="R480" t="e">
            <v>#N/A</v>
          </cell>
        </row>
        <row r="481">
          <cell r="A481">
            <v>40668</v>
          </cell>
          <cell r="B481">
            <v>40668</v>
          </cell>
          <cell r="C481" t="str">
            <v>Past</v>
          </cell>
          <cell r="D481">
            <v>15.32</v>
          </cell>
          <cell r="E481" t="e">
            <v>#N/A</v>
          </cell>
          <cell r="F481" t="e">
            <v>#N/A</v>
          </cell>
          <cell r="G481" t="e">
            <v>#N/A</v>
          </cell>
          <cell r="H481" t="e">
            <v>#N/A</v>
          </cell>
          <cell r="I481" t="e">
            <v>#N/A</v>
          </cell>
          <cell r="J481" t="e">
            <v>#N/A</v>
          </cell>
          <cell r="K481" t="e">
            <v>#N/A</v>
          </cell>
          <cell r="L481" t="e">
            <v>#N/A</v>
          </cell>
          <cell r="M481" t="e">
            <v>#N/A</v>
          </cell>
          <cell r="N481" t="e">
            <v>#N/A</v>
          </cell>
          <cell r="O481" t="e">
            <v>#N/A</v>
          </cell>
          <cell r="P481">
            <v>15.32</v>
          </cell>
          <cell r="Q481">
            <v>1.251004</v>
          </cell>
          <cell r="R481" t="e">
            <v>#N/A</v>
          </cell>
        </row>
        <row r="482">
          <cell r="A482">
            <v>40669</v>
          </cell>
          <cell r="B482">
            <v>40669</v>
          </cell>
          <cell r="C482" t="str">
            <v>Past</v>
          </cell>
          <cell r="D482">
            <v>15.45</v>
          </cell>
          <cell r="E482" t="e">
            <v>#N/A</v>
          </cell>
          <cell r="F482" t="e">
            <v>#N/A</v>
          </cell>
          <cell r="G482" t="e">
            <v>#N/A</v>
          </cell>
          <cell r="H482" t="e">
            <v>#N/A</v>
          </cell>
          <cell r="I482" t="e">
            <v>#N/A</v>
          </cell>
          <cell r="J482" t="e">
            <v>#N/A</v>
          </cell>
          <cell r="K482" t="e">
            <v>#N/A</v>
          </cell>
          <cell r="L482" t="e">
            <v>#N/A</v>
          </cell>
          <cell r="M482" t="e">
            <v>#N/A</v>
          </cell>
          <cell r="N482" t="e">
            <v>#N/A</v>
          </cell>
          <cell r="O482" t="e">
            <v>#N/A</v>
          </cell>
          <cell r="P482">
            <v>15.45</v>
          </cell>
          <cell r="Q482">
            <v>1.1364030000000001</v>
          </cell>
          <cell r="R482" t="e">
            <v>#N/A</v>
          </cell>
        </row>
        <row r="483">
          <cell r="A483">
            <v>40672</v>
          </cell>
          <cell r="B483">
            <v>40672</v>
          </cell>
          <cell r="C483" t="str">
            <v>Past</v>
          </cell>
          <cell r="D483">
            <v>15.47</v>
          </cell>
          <cell r="E483" t="e">
            <v>#N/A</v>
          </cell>
          <cell r="F483" t="e">
            <v>#N/A</v>
          </cell>
          <cell r="G483" t="e">
            <v>#N/A</v>
          </cell>
          <cell r="H483" t="e">
            <v>#N/A</v>
          </cell>
          <cell r="I483" t="e">
            <v>#N/A</v>
          </cell>
          <cell r="J483" t="e">
            <v>#N/A</v>
          </cell>
          <cell r="K483" t="e">
            <v>#N/A</v>
          </cell>
          <cell r="L483" t="e">
            <v>#N/A</v>
          </cell>
          <cell r="M483" t="e">
            <v>#N/A</v>
          </cell>
          <cell r="N483" t="e">
            <v>#N/A</v>
          </cell>
          <cell r="O483" t="e">
            <v>#N/A</v>
          </cell>
          <cell r="P483">
            <v>15.47</v>
          </cell>
          <cell r="Q483">
            <v>0.66692499999999999</v>
          </cell>
          <cell r="R483" t="e">
            <v>#N/A</v>
          </cell>
        </row>
        <row r="484">
          <cell r="A484">
            <v>40673</v>
          </cell>
          <cell r="B484">
            <v>40673</v>
          </cell>
          <cell r="C484" t="str">
            <v>Past</v>
          </cell>
          <cell r="D484">
            <v>15.73</v>
          </cell>
          <cell r="E484" t="e">
            <v>#N/A</v>
          </cell>
          <cell r="F484" t="e">
            <v>#N/A</v>
          </cell>
          <cell r="G484" t="e">
            <v>#N/A</v>
          </cell>
          <cell r="H484" t="e">
            <v>#N/A</v>
          </cell>
          <cell r="I484" t="e">
            <v>#N/A</v>
          </cell>
          <cell r="J484" t="e">
            <v>#N/A</v>
          </cell>
          <cell r="K484" t="e">
            <v>#N/A</v>
          </cell>
          <cell r="L484" t="e">
            <v>#N/A</v>
          </cell>
          <cell r="M484" t="e">
            <v>#N/A</v>
          </cell>
          <cell r="N484" t="e">
            <v>#N/A</v>
          </cell>
          <cell r="O484" t="e">
            <v>#N/A</v>
          </cell>
          <cell r="P484">
            <v>15.73</v>
          </cell>
          <cell r="Q484">
            <v>1.8866289999999999</v>
          </cell>
          <cell r="R484" t="e">
            <v>#N/A</v>
          </cell>
        </row>
        <row r="485">
          <cell r="A485">
            <v>40674</v>
          </cell>
          <cell r="B485">
            <v>40674</v>
          </cell>
          <cell r="C485" t="str">
            <v>Past</v>
          </cell>
          <cell r="D485">
            <v>15.7</v>
          </cell>
          <cell r="E485" t="e">
            <v>#N/A</v>
          </cell>
          <cell r="F485" t="e">
            <v>#N/A</v>
          </cell>
          <cell r="G485" t="e">
            <v>#N/A</v>
          </cell>
          <cell r="H485" t="e">
            <v>#N/A</v>
          </cell>
          <cell r="I485" t="e">
            <v>#N/A</v>
          </cell>
          <cell r="J485" t="e">
            <v>#N/A</v>
          </cell>
          <cell r="K485" t="e">
            <v>#N/A</v>
          </cell>
          <cell r="L485" t="e">
            <v>#N/A</v>
          </cell>
          <cell r="M485" t="e">
            <v>#N/A</v>
          </cell>
          <cell r="N485" t="e">
            <v>#N/A</v>
          </cell>
          <cell r="O485" t="e">
            <v>#N/A</v>
          </cell>
          <cell r="P485">
            <v>15.7</v>
          </cell>
          <cell r="Q485">
            <v>1.11927</v>
          </cell>
          <cell r="R485" t="e">
            <v>#N/A</v>
          </cell>
        </row>
        <row r="486">
          <cell r="A486">
            <v>40675</v>
          </cell>
          <cell r="B486">
            <v>40675</v>
          </cell>
          <cell r="C486" t="str">
            <v>Past</v>
          </cell>
          <cell r="D486">
            <v>15.84</v>
          </cell>
          <cell r="E486" t="e">
            <v>#N/A</v>
          </cell>
          <cell r="F486" t="e">
            <v>#N/A</v>
          </cell>
          <cell r="G486" t="e">
            <v>#N/A</v>
          </cell>
          <cell r="H486" t="e">
            <v>#N/A</v>
          </cell>
          <cell r="I486" t="e">
            <v>#N/A</v>
          </cell>
          <cell r="J486" t="e">
            <v>#N/A</v>
          </cell>
          <cell r="K486" t="e">
            <v>#N/A</v>
          </cell>
          <cell r="L486" t="e">
            <v>#N/A</v>
          </cell>
          <cell r="M486" t="e">
            <v>#N/A</v>
          </cell>
          <cell r="N486" t="e">
            <v>#N/A</v>
          </cell>
          <cell r="O486" t="e">
            <v>#N/A</v>
          </cell>
          <cell r="P486">
            <v>15.84</v>
          </cell>
          <cell r="Q486">
            <v>1.401851</v>
          </cell>
          <cell r="R486" t="e">
            <v>#N/A</v>
          </cell>
        </row>
        <row r="487">
          <cell r="A487">
            <v>40676</v>
          </cell>
          <cell r="B487">
            <v>40676</v>
          </cell>
          <cell r="C487" t="str">
            <v>Past</v>
          </cell>
          <cell r="D487">
            <v>15.73</v>
          </cell>
          <cell r="E487" t="e">
            <v>#N/A</v>
          </cell>
          <cell r="F487" t="e">
            <v>#N/A</v>
          </cell>
          <cell r="G487" t="e">
            <v>#N/A</v>
          </cell>
          <cell r="H487" t="e">
            <v>#N/A</v>
          </cell>
          <cell r="I487" t="e">
            <v>#N/A</v>
          </cell>
          <cell r="J487" t="e">
            <v>#N/A</v>
          </cell>
          <cell r="K487" t="e">
            <v>#N/A</v>
          </cell>
          <cell r="L487" t="e">
            <v>#N/A</v>
          </cell>
          <cell r="M487" t="e">
            <v>#N/A</v>
          </cell>
          <cell r="N487" t="e">
            <v>#N/A</v>
          </cell>
          <cell r="O487" t="e">
            <v>#N/A</v>
          </cell>
          <cell r="P487">
            <v>15.73</v>
          </cell>
          <cell r="Q487">
            <v>1.107809</v>
          </cell>
          <cell r="R487" t="e">
            <v>#N/A</v>
          </cell>
        </row>
        <row r="488">
          <cell r="A488">
            <v>40679</v>
          </cell>
          <cell r="B488">
            <v>40679</v>
          </cell>
          <cell r="C488" t="str">
            <v>Past</v>
          </cell>
          <cell r="D488">
            <v>15.68</v>
          </cell>
          <cell r="E488" t="e">
            <v>#N/A</v>
          </cell>
          <cell r="F488" t="e">
            <v>#N/A</v>
          </cell>
          <cell r="G488" t="e">
            <v>#N/A</v>
          </cell>
          <cell r="H488" t="e">
            <v>#N/A</v>
          </cell>
          <cell r="I488" t="e">
            <v>#N/A</v>
          </cell>
          <cell r="J488" t="e">
            <v>#N/A</v>
          </cell>
          <cell r="K488" t="e">
            <v>#N/A</v>
          </cell>
          <cell r="L488" t="e">
            <v>#N/A</v>
          </cell>
          <cell r="M488" t="e">
            <v>#N/A</v>
          </cell>
          <cell r="N488" t="e">
            <v>#N/A</v>
          </cell>
          <cell r="O488" t="e">
            <v>#N/A</v>
          </cell>
          <cell r="P488">
            <v>15.68</v>
          </cell>
          <cell r="Q488">
            <v>0.97081499999999998</v>
          </cell>
          <cell r="R488" t="e">
            <v>#N/A</v>
          </cell>
        </row>
        <row r="489">
          <cell r="A489">
            <v>40680</v>
          </cell>
          <cell r="B489">
            <v>40680</v>
          </cell>
          <cell r="C489" t="str">
            <v>Past</v>
          </cell>
          <cell r="D489">
            <v>15.7</v>
          </cell>
          <cell r="E489" t="e">
            <v>#N/A</v>
          </cell>
          <cell r="F489" t="e">
            <v>#N/A</v>
          </cell>
          <cell r="G489" t="e">
            <v>#N/A</v>
          </cell>
          <cell r="H489" t="e">
            <v>#N/A</v>
          </cell>
          <cell r="I489" t="e">
            <v>#N/A</v>
          </cell>
          <cell r="J489" t="e">
            <v>#N/A</v>
          </cell>
          <cell r="K489" t="e">
            <v>#N/A</v>
          </cell>
          <cell r="L489" t="e">
            <v>#N/A</v>
          </cell>
          <cell r="M489" t="e">
            <v>#N/A</v>
          </cell>
          <cell r="N489" t="e">
            <v>#N/A</v>
          </cell>
          <cell r="O489" t="e">
            <v>#N/A</v>
          </cell>
          <cell r="P489">
            <v>15.7</v>
          </cell>
          <cell r="Q489">
            <v>1.0844129999999998</v>
          </cell>
          <cell r="R489" t="e">
            <v>#N/A</v>
          </cell>
        </row>
        <row r="490">
          <cell r="A490">
            <v>40681</v>
          </cell>
          <cell r="B490">
            <v>40681</v>
          </cell>
          <cell r="C490" t="str">
            <v>Past</v>
          </cell>
          <cell r="D490">
            <v>15.74</v>
          </cell>
          <cell r="E490" t="e">
            <v>#N/A</v>
          </cell>
          <cell r="F490" t="e">
            <v>#N/A</v>
          </cell>
          <cell r="G490" t="e">
            <v>#N/A</v>
          </cell>
          <cell r="H490" t="e">
            <v>#N/A</v>
          </cell>
          <cell r="I490" t="e">
            <v>#N/A</v>
          </cell>
          <cell r="J490" t="e">
            <v>#N/A</v>
          </cell>
          <cell r="K490" t="e">
            <v>#N/A</v>
          </cell>
          <cell r="L490" t="e">
            <v>#N/A</v>
          </cell>
          <cell r="M490" t="e">
            <v>#N/A</v>
          </cell>
          <cell r="N490" t="e">
            <v>#N/A</v>
          </cell>
          <cell r="O490" t="e">
            <v>#N/A</v>
          </cell>
          <cell r="P490">
            <v>15.74</v>
          </cell>
          <cell r="Q490">
            <v>1.2470839999999999</v>
          </cell>
          <cell r="R490" t="e">
            <v>#N/A</v>
          </cell>
        </row>
        <row r="491">
          <cell r="A491">
            <v>40682</v>
          </cell>
          <cell r="B491">
            <v>40682</v>
          </cell>
          <cell r="C491" t="str">
            <v>Past</v>
          </cell>
          <cell r="D491">
            <v>15.83</v>
          </cell>
          <cell r="E491" t="e">
            <v>#N/A</v>
          </cell>
          <cell r="F491" t="e">
            <v>#N/A</v>
          </cell>
          <cell r="G491" t="e">
            <v>#N/A</v>
          </cell>
          <cell r="H491" t="e">
            <v>#N/A</v>
          </cell>
          <cell r="I491" t="e">
            <v>#N/A</v>
          </cell>
          <cell r="J491" t="e">
            <v>#N/A</v>
          </cell>
          <cell r="K491" t="e">
            <v>#N/A</v>
          </cell>
          <cell r="L491" t="e">
            <v>#N/A</v>
          </cell>
          <cell r="M491" t="e">
            <v>#N/A</v>
          </cell>
          <cell r="N491" t="e">
            <v>#N/A</v>
          </cell>
          <cell r="O491" t="e">
            <v>#N/A</v>
          </cell>
          <cell r="P491">
            <v>15.83</v>
          </cell>
          <cell r="Q491">
            <v>1.4872179999999999</v>
          </cell>
          <cell r="R491" t="e">
            <v>#N/A</v>
          </cell>
        </row>
        <row r="492">
          <cell r="A492">
            <v>40683</v>
          </cell>
          <cell r="B492">
            <v>40683</v>
          </cell>
          <cell r="C492" t="str">
            <v>Past</v>
          </cell>
          <cell r="D492">
            <v>15.89</v>
          </cell>
          <cell r="E492" t="e">
            <v>#N/A</v>
          </cell>
          <cell r="F492" t="e">
            <v>#N/A</v>
          </cell>
          <cell r="G492" t="e">
            <v>#N/A</v>
          </cell>
          <cell r="H492" t="e">
            <v>#N/A</v>
          </cell>
          <cell r="I492" t="e">
            <v>#N/A</v>
          </cell>
          <cell r="J492" t="e">
            <v>#N/A</v>
          </cell>
          <cell r="K492" t="e">
            <v>#N/A</v>
          </cell>
          <cell r="L492" t="e">
            <v>#N/A</v>
          </cell>
          <cell r="M492" t="e">
            <v>#N/A</v>
          </cell>
          <cell r="N492" t="e">
            <v>#N/A</v>
          </cell>
          <cell r="O492" t="e">
            <v>#N/A</v>
          </cell>
          <cell r="P492">
            <v>15.89</v>
          </cell>
          <cell r="Q492">
            <v>1.526613</v>
          </cell>
          <cell r="R492" t="e">
            <v>#N/A</v>
          </cell>
        </row>
        <row r="493">
          <cell r="A493">
            <v>40686</v>
          </cell>
          <cell r="B493">
            <v>40686</v>
          </cell>
          <cell r="C493" t="str">
            <v>Past</v>
          </cell>
          <cell r="D493">
            <v>15.58</v>
          </cell>
          <cell r="E493" t="e">
            <v>#N/A</v>
          </cell>
          <cell r="F493" t="e">
            <v>#N/A</v>
          </cell>
          <cell r="G493" t="e">
            <v>#N/A</v>
          </cell>
          <cell r="H493" t="e">
            <v>#N/A</v>
          </cell>
          <cell r="I493" t="e">
            <v>#N/A</v>
          </cell>
          <cell r="J493" t="e">
            <v>#N/A</v>
          </cell>
          <cell r="K493" t="e">
            <v>#N/A</v>
          </cell>
          <cell r="L493" t="e">
            <v>#N/A</v>
          </cell>
          <cell r="M493" t="e">
            <v>#N/A</v>
          </cell>
          <cell r="N493" t="e">
            <v>#N/A</v>
          </cell>
          <cell r="O493" t="e">
            <v>#N/A</v>
          </cell>
          <cell r="P493">
            <v>15.58</v>
          </cell>
          <cell r="Q493">
            <v>0.90938699999999995</v>
          </cell>
          <cell r="R493" t="e">
            <v>#N/A</v>
          </cell>
        </row>
        <row r="494">
          <cell r="A494">
            <v>40687</v>
          </cell>
          <cell r="B494">
            <v>40687</v>
          </cell>
          <cell r="C494" t="str">
            <v>Past</v>
          </cell>
          <cell r="D494">
            <v>15.45</v>
          </cell>
          <cell r="E494" t="e">
            <v>#N/A</v>
          </cell>
          <cell r="F494" t="e">
            <v>#N/A</v>
          </cell>
          <cell r="G494" t="e">
            <v>#N/A</v>
          </cell>
          <cell r="H494" t="e">
            <v>#N/A</v>
          </cell>
          <cell r="I494" t="e">
            <v>#N/A</v>
          </cell>
          <cell r="J494" t="e">
            <v>#N/A</v>
          </cell>
          <cell r="K494" t="e">
            <v>#N/A</v>
          </cell>
          <cell r="L494" t="e">
            <v>#N/A</v>
          </cell>
          <cell r="M494" t="e">
            <v>#N/A</v>
          </cell>
          <cell r="N494" t="e">
            <v>#N/A</v>
          </cell>
          <cell r="O494" t="e">
            <v>#N/A</v>
          </cell>
          <cell r="P494">
            <v>15.45</v>
          </cell>
          <cell r="Q494">
            <v>1.10145</v>
          </cell>
          <cell r="R494" t="e">
            <v>#N/A</v>
          </cell>
        </row>
        <row r="495">
          <cell r="A495">
            <v>40688</v>
          </cell>
          <cell r="B495">
            <v>40688</v>
          </cell>
          <cell r="C495" t="str">
            <v>Past</v>
          </cell>
          <cell r="D495">
            <v>15.44</v>
          </cell>
          <cell r="E495" t="e">
            <v>#N/A</v>
          </cell>
          <cell r="F495" t="e">
            <v>#N/A</v>
          </cell>
          <cell r="G495" t="e">
            <v>#N/A</v>
          </cell>
          <cell r="H495" t="e">
            <v>#N/A</v>
          </cell>
          <cell r="I495" t="e">
            <v>#N/A</v>
          </cell>
          <cell r="J495" t="e">
            <v>#N/A</v>
          </cell>
          <cell r="K495" t="e">
            <v>#N/A</v>
          </cell>
          <cell r="L495" t="e">
            <v>#N/A</v>
          </cell>
          <cell r="M495" t="e">
            <v>#N/A</v>
          </cell>
          <cell r="N495" t="e">
            <v>#N/A</v>
          </cell>
          <cell r="O495" t="e">
            <v>#N/A</v>
          </cell>
          <cell r="P495">
            <v>15.44</v>
          </cell>
          <cell r="Q495">
            <v>0.66003800000000001</v>
          </cell>
          <cell r="R495" t="e">
            <v>#N/A</v>
          </cell>
        </row>
        <row r="496">
          <cell r="A496">
            <v>40689</v>
          </cell>
          <cell r="B496">
            <v>40689</v>
          </cell>
          <cell r="C496" t="str">
            <v>Past</v>
          </cell>
          <cell r="D496">
            <v>15.54</v>
          </cell>
          <cell r="E496" t="e">
            <v>#N/A</v>
          </cell>
          <cell r="F496" t="e">
            <v>#N/A</v>
          </cell>
          <cell r="G496" t="e">
            <v>#N/A</v>
          </cell>
          <cell r="H496" t="e">
            <v>#N/A</v>
          </cell>
          <cell r="I496" t="e">
            <v>#N/A</v>
          </cell>
          <cell r="J496" t="e">
            <v>#N/A</v>
          </cell>
          <cell r="K496" t="e">
            <v>#N/A</v>
          </cell>
          <cell r="L496" t="e">
            <v>#N/A</v>
          </cell>
          <cell r="M496" t="e">
            <v>#N/A</v>
          </cell>
          <cell r="N496" t="e">
            <v>#N/A</v>
          </cell>
          <cell r="O496" t="e">
            <v>#N/A</v>
          </cell>
          <cell r="P496">
            <v>15.54</v>
          </cell>
          <cell r="Q496">
            <v>1.0232129999999999</v>
          </cell>
          <cell r="R496" t="e">
            <v>#N/A</v>
          </cell>
        </row>
        <row r="497">
          <cell r="A497">
            <v>40690</v>
          </cell>
          <cell r="B497">
            <v>40690</v>
          </cell>
          <cell r="C497" t="str">
            <v>Past</v>
          </cell>
          <cell r="D497">
            <v>15.54</v>
          </cell>
          <cell r="E497" t="e">
            <v>#N/A</v>
          </cell>
          <cell r="F497" t="e">
            <v>#N/A</v>
          </cell>
          <cell r="G497" t="e">
            <v>#N/A</v>
          </cell>
          <cell r="H497" t="e">
            <v>#N/A</v>
          </cell>
          <cell r="I497" t="e">
            <v>#N/A</v>
          </cell>
          <cell r="J497" t="e">
            <v>#N/A</v>
          </cell>
          <cell r="K497" t="e">
            <v>#N/A</v>
          </cell>
          <cell r="L497" t="e">
            <v>#N/A</v>
          </cell>
          <cell r="M497" t="e">
            <v>#N/A</v>
          </cell>
          <cell r="N497" t="e">
            <v>#N/A</v>
          </cell>
          <cell r="O497" t="e">
            <v>#N/A</v>
          </cell>
          <cell r="P497">
            <v>15.54</v>
          </cell>
          <cell r="Q497">
            <v>0.67053600000000002</v>
          </cell>
          <cell r="R497" t="e">
            <v>#N/A</v>
          </cell>
        </row>
        <row r="498">
          <cell r="A498">
            <v>40694</v>
          </cell>
          <cell r="B498">
            <v>40694</v>
          </cell>
          <cell r="C498" t="str">
            <v>Past</v>
          </cell>
          <cell r="D498">
            <v>15.77</v>
          </cell>
          <cell r="E498" t="e">
            <v>#N/A</v>
          </cell>
          <cell r="F498" t="e">
            <v>#N/A</v>
          </cell>
          <cell r="G498" t="e">
            <v>#N/A</v>
          </cell>
          <cell r="H498" t="e">
            <v>#N/A</v>
          </cell>
          <cell r="I498" t="e">
            <v>#N/A</v>
          </cell>
          <cell r="J498" t="e">
            <v>#N/A</v>
          </cell>
          <cell r="K498" t="e">
            <v>#N/A</v>
          </cell>
          <cell r="L498" t="e">
            <v>#N/A</v>
          </cell>
          <cell r="M498" t="e">
            <v>#N/A</v>
          </cell>
          <cell r="N498" t="e">
            <v>#N/A</v>
          </cell>
          <cell r="O498" t="e">
            <v>#N/A</v>
          </cell>
          <cell r="P498">
            <v>15.77</v>
          </cell>
          <cell r="Q498">
            <v>1.214715</v>
          </cell>
          <cell r="R498" t="e">
            <v>#N/A</v>
          </cell>
        </row>
        <row r="499">
          <cell r="A499">
            <v>40695</v>
          </cell>
          <cell r="B499">
            <v>40695</v>
          </cell>
          <cell r="C499" t="str">
            <v>Past</v>
          </cell>
          <cell r="D499">
            <v>15.54</v>
          </cell>
          <cell r="E499" t="e">
            <v>#N/A</v>
          </cell>
          <cell r="F499" t="e">
            <v>#N/A</v>
          </cell>
          <cell r="G499" t="e">
            <v>#N/A</v>
          </cell>
          <cell r="H499" t="e">
            <v>#N/A</v>
          </cell>
          <cell r="I499" t="e">
            <v>#N/A</v>
          </cell>
          <cell r="J499" t="e">
            <v>#N/A</v>
          </cell>
          <cell r="K499" t="e">
            <v>#N/A</v>
          </cell>
          <cell r="L499" t="e">
            <v>#N/A</v>
          </cell>
          <cell r="M499" t="e">
            <v>#N/A</v>
          </cell>
          <cell r="N499" t="e">
            <v>#N/A</v>
          </cell>
          <cell r="O499" t="e">
            <v>#N/A</v>
          </cell>
          <cell r="P499">
            <v>15.54</v>
          </cell>
          <cell r="Q499">
            <v>1.767245</v>
          </cell>
          <cell r="R499" t="e">
            <v>#N/A</v>
          </cell>
        </row>
        <row r="500">
          <cell r="A500">
            <v>40696</v>
          </cell>
          <cell r="B500">
            <v>40696</v>
          </cell>
          <cell r="C500" t="str">
            <v>Past</v>
          </cell>
          <cell r="D500">
            <v>15.48</v>
          </cell>
          <cell r="E500" t="e">
            <v>#N/A</v>
          </cell>
          <cell r="F500" t="e">
            <v>#N/A</v>
          </cell>
          <cell r="G500" t="e">
            <v>#N/A</v>
          </cell>
          <cell r="H500" t="e">
            <v>#N/A</v>
          </cell>
          <cell r="I500" t="e">
            <v>#N/A</v>
          </cell>
          <cell r="J500" t="e">
            <v>#N/A</v>
          </cell>
          <cell r="K500" t="e">
            <v>#N/A</v>
          </cell>
          <cell r="L500" t="e">
            <v>#N/A</v>
          </cell>
          <cell r="M500" t="e">
            <v>#N/A</v>
          </cell>
          <cell r="N500" t="e">
            <v>#N/A</v>
          </cell>
          <cell r="O500" t="e">
            <v>#N/A</v>
          </cell>
          <cell r="P500">
            <v>15.48</v>
          </cell>
          <cell r="Q500">
            <v>1.4389000000000001</v>
          </cell>
          <cell r="R500" t="e">
            <v>#N/A</v>
          </cell>
        </row>
        <row r="501">
          <cell r="A501">
            <v>40697</v>
          </cell>
          <cell r="B501">
            <v>40697</v>
          </cell>
          <cell r="C501" t="str">
            <v>Past</v>
          </cell>
          <cell r="D501">
            <v>15.21</v>
          </cell>
          <cell r="E501" t="e">
            <v>#N/A</v>
          </cell>
          <cell r="F501" t="e">
            <v>#N/A</v>
          </cell>
          <cell r="G501" t="e">
            <v>#N/A</v>
          </cell>
          <cell r="H501" t="e">
            <v>#N/A</v>
          </cell>
          <cell r="I501" t="e">
            <v>#N/A</v>
          </cell>
          <cell r="J501" t="e">
            <v>#N/A</v>
          </cell>
          <cell r="K501" t="e">
            <v>#N/A</v>
          </cell>
          <cell r="L501" t="e">
            <v>#N/A</v>
          </cell>
          <cell r="M501" t="e">
            <v>#N/A</v>
          </cell>
          <cell r="N501" t="e">
            <v>#N/A</v>
          </cell>
          <cell r="O501" t="e">
            <v>#N/A</v>
          </cell>
          <cell r="P501">
            <v>15.21</v>
          </cell>
          <cell r="Q501">
            <v>1.2053719999999999</v>
          </cell>
          <cell r="R501" t="e">
            <v>#N/A</v>
          </cell>
        </row>
        <row r="502">
          <cell r="A502">
            <v>40700</v>
          </cell>
          <cell r="B502">
            <v>40700</v>
          </cell>
          <cell r="C502" t="str">
            <v>Past</v>
          </cell>
          <cell r="D502">
            <v>15.03</v>
          </cell>
          <cell r="E502" t="e">
            <v>#N/A</v>
          </cell>
          <cell r="F502" t="e">
            <v>#N/A</v>
          </cell>
          <cell r="G502" t="e">
            <v>#N/A</v>
          </cell>
          <cell r="H502" t="e">
            <v>#N/A</v>
          </cell>
          <cell r="I502" t="e">
            <v>#N/A</v>
          </cell>
          <cell r="J502" t="e">
            <v>#N/A</v>
          </cell>
          <cell r="K502" t="e">
            <v>#N/A</v>
          </cell>
          <cell r="L502" t="e">
            <v>#N/A</v>
          </cell>
          <cell r="M502" t="e">
            <v>#N/A</v>
          </cell>
          <cell r="N502" t="e">
            <v>#N/A</v>
          </cell>
          <cell r="O502" t="e">
            <v>#N/A</v>
          </cell>
          <cell r="P502">
            <v>15.03</v>
          </cell>
          <cell r="Q502">
            <v>1.5388409999999999</v>
          </cell>
          <cell r="R502" t="e">
            <v>#N/A</v>
          </cell>
        </row>
        <row r="503">
          <cell r="A503">
            <v>40701</v>
          </cell>
          <cell r="B503">
            <v>40701</v>
          </cell>
          <cell r="C503" t="str">
            <v>Past</v>
          </cell>
          <cell r="D503">
            <v>15.2</v>
          </cell>
          <cell r="E503" t="e">
            <v>#N/A</v>
          </cell>
          <cell r="F503" t="e">
            <v>#N/A</v>
          </cell>
          <cell r="G503" t="e">
            <v>#N/A</v>
          </cell>
          <cell r="H503" t="e">
            <v>#N/A</v>
          </cell>
          <cell r="I503" t="e">
            <v>#N/A</v>
          </cell>
          <cell r="J503" t="e">
            <v>#N/A</v>
          </cell>
          <cell r="K503" t="e">
            <v>#N/A</v>
          </cell>
          <cell r="L503" t="e">
            <v>#N/A</v>
          </cell>
          <cell r="M503" t="e">
            <v>#N/A</v>
          </cell>
          <cell r="N503" t="e">
            <v>#N/A</v>
          </cell>
          <cell r="O503" t="e">
            <v>#N/A</v>
          </cell>
          <cell r="P503">
            <v>15.2</v>
          </cell>
          <cell r="Q503">
            <v>3.3628109999999998</v>
          </cell>
          <cell r="R503" t="e">
            <v>#N/A</v>
          </cell>
        </row>
        <row r="504">
          <cell r="A504">
            <v>40702</v>
          </cell>
          <cell r="B504">
            <v>40702</v>
          </cell>
          <cell r="C504" t="str">
            <v>Past</v>
          </cell>
          <cell r="D504">
            <v>15.55</v>
          </cell>
          <cell r="E504" t="e">
            <v>#N/A</v>
          </cell>
          <cell r="F504" t="e">
            <v>#N/A</v>
          </cell>
          <cell r="G504" t="e">
            <v>#N/A</v>
          </cell>
          <cell r="H504" t="e">
            <v>#N/A</v>
          </cell>
          <cell r="I504" t="e">
            <v>#N/A</v>
          </cell>
          <cell r="J504" t="e">
            <v>#N/A</v>
          </cell>
          <cell r="K504" t="e">
            <v>#N/A</v>
          </cell>
          <cell r="L504" t="e">
            <v>#N/A</v>
          </cell>
          <cell r="M504" t="e">
            <v>#N/A</v>
          </cell>
          <cell r="N504" t="e">
            <v>#N/A</v>
          </cell>
          <cell r="O504" t="e">
            <v>#N/A</v>
          </cell>
          <cell r="P504">
            <v>15.55</v>
          </cell>
          <cell r="Q504">
            <v>3.4263000000000003</v>
          </cell>
          <cell r="R504" t="e">
            <v>#N/A</v>
          </cell>
        </row>
        <row r="505">
          <cell r="A505">
            <v>40703</v>
          </cell>
          <cell r="B505">
            <v>40703</v>
          </cell>
          <cell r="C505" t="str">
            <v>Past</v>
          </cell>
          <cell r="D505">
            <v>15.38</v>
          </cell>
          <cell r="E505" t="e">
            <v>#N/A</v>
          </cell>
          <cell r="F505" t="e">
            <v>#N/A</v>
          </cell>
          <cell r="G505" t="e">
            <v>#N/A</v>
          </cell>
          <cell r="H505" t="e">
            <v>#N/A</v>
          </cell>
          <cell r="I505" t="e">
            <v>#N/A</v>
          </cell>
          <cell r="J505" t="e">
            <v>#N/A</v>
          </cell>
          <cell r="K505" t="e">
            <v>#N/A</v>
          </cell>
          <cell r="L505" t="e">
            <v>#N/A</v>
          </cell>
          <cell r="M505" t="e">
            <v>#N/A</v>
          </cell>
          <cell r="N505" t="e">
            <v>#N/A</v>
          </cell>
          <cell r="O505" t="e">
            <v>#N/A</v>
          </cell>
          <cell r="P505">
            <v>15.38</v>
          </cell>
          <cell r="Q505">
            <v>4.3216890000000001</v>
          </cell>
          <cell r="R505" t="e">
            <v>#N/A</v>
          </cell>
        </row>
        <row r="506">
          <cell r="A506">
            <v>40704</v>
          </cell>
          <cell r="B506">
            <v>40704</v>
          </cell>
          <cell r="C506" t="str">
            <v>Past</v>
          </cell>
          <cell r="D506">
            <v>15.69</v>
          </cell>
          <cell r="E506" t="e">
            <v>#N/A</v>
          </cell>
          <cell r="F506" t="e">
            <v>#N/A</v>
          </cell>
          <cell r="G506" t="e">
            <v>#N/A</v>
          </cell>
          <cell r="H506" t="e">
            <v>#N/A</v>
          </cell>
          <cell r="I506" t="e">
            <v>#N/A</v>
          </cell>
          <cell r="J506" t="e">
            <v>#N/A</v>
          </cell>
          <cell r="K506" t="e">
            <v>#N/A</v>
          </cell>
          <cell r="L506" t="e">
            <v>#N/A</v>
          </cell>
          <cell r="M506" t="e">
            <v>#N/A</v>
          </cell>
          <cell r="N506" t="e">
            <v>#N/A</v>
          </cell>
          <cell r="O506" t="e">
            <v>#N/A</v>
          </cell>
          <cell r="P506">
            <v>15.69</v>
          </cell>
          <cell r="Q506">
            <v>4.2505619999999995</v>
          </cell>
          <cell r="R506" t="e">
            <v>#N/A</v>
          </cell>
        </row>
        <row r="507">
          <cell r="A507">
            <v>40707</v>
          </cell>
          <cell r="B507">
            <v>40707</v>
          </cell>
          <cell r="C507" t="str">
            <v>Past</v>
          </cell>
          <cell r="D507">
            <v>15.65</v>
          </cell>
          <cell r="E507" t="e">
            <v>#N/A</v>
          </cell>
          <cell r="F507" t="e">
            <v>#N/A</v>
          </cell>
          <cell r="G507" t="e">
            <v>#N/A</v>
          </cell>
          <cell r="H507" t="e">
            <v>#N/A</v>
          </cell>
          <cell r="I507" t="e">
            <v>#N/A</v>
          </cell>
          <cell r="J507" t="e">
            <v>#N/A</v>
          </cell>
          <cell r="K507" t="e">
            <v>#N/A</v>
          </cell>
          <cell r="L507" t="e">
            <v>#N/A</v>
          </cell>
          <cell r="M507" t="e">
            <v>#N/A</v>
          </cell>
          <cell r="N507" t="e">
            <v>#N/A</v>
          </cell>
          <cell r="O507" t="e">
            <v>#N/A</v>
          </cell>
          <cell r="P507">
            <v>15.65</v>
          </cell>
          <cell r="Q507">
            <v>4.1095300000000003</v>
          </cell>
          <cell r="R507" t="e">
            <v>#N/A</v>
          </cell>
        </row>
        <row r="508">
          <cell r="A508">
            <v>40708</v>
          </cell>
          <cell r="B508">
            <v>40708</v>
          </cell>
          <cell r="C508" t="str">
            <v>Past</v>
          </cell>
          <cell r="D508">
            <v>15.54</v>
          </cell>
          <cell r="E508" t="e">
            <v>#N/A</v>
          </cell>
          <cell r="F508" t="e">
            <v>#N/A</v>
          </cell>
          <cell r="G508" t="e">
            <v>#N/A</v>
          </cell>
          <cell r="H508" t="e">
            <v>#N/A</v>
          </cell>
          <cell r="I508" t="e">
            <v>#N/A</v>
          </cell>
          <cell r="J508" t="e">
            <v>#N/A</v>
          </cell>
          <cell r="K508" t="e">
            <v>#N/A</v>
          </cell>
          <cell r="L508" t="e">
            <v>#N/A</v>
          </cell>
          <cell r="M508" t="e">
            <v>#N/A</v>
          </cell>
          <cell r="N508" t="e">
            <v>#N/A</v>
          </cell>
          <cell r="O508" t="e">
            <v>#N/A</v>
          </cell>
          <cell r="P508">
            <v>15.54</v>
          </cell>
          <cell r="Q508">
            <v>4.4835189999999994</v>
          </cell>
          <cell r="R508" t="e">
            <v>#N/A</v>
          </cell>
        </row>
        <row r="509">
          <cell r="A509">
            <v>40709</v>
          </cell>
          <cell r="B509">
            <v>40709</v>
          </cell>
          <cell r="C509" t="str">
            <v>Past</v>
          </cell>
          <cell r="D509">
            <v>15.37</v>
          </cell>
          <cell r="E509" t="e">
            <v>#N/A</v>
          </cell>
          <cell r="F509" t="e">
            <v>#N/A</v>
          </cell>
          <cell r="G509" t="e">
            <v>#N/A</v>
          </cell>
          <cell r="H509" t="e">
            <v>#N/A</v>
          </cell>
          <cell r="I509" t="e">
            <v>#N/A</v>
          </cell>
          <cell r="J509" t="e">
            <v>#N/A</v>
          </cell>
          <cell r="K509" t="e">
            <v>#N/A</v>
          </cell>
          <cell r="L509" t="e">
            <v>#N/A</v>
          </cell>
          <cell r="M509" t="e">
            <v>#N/A</v>
          </cell>
          <cell r="N509" t="e">
            <v>#N/A</v>
          </cell>
          <cell r="O509" t="e">
            <v>#N/A</v>
          </cell>
          <cell r="P509">
            <v>15.37</v>
          </cell>
          <cell r="Q509">
            <v>2.9629879999999997</v>
          </cell>
          <cell r="R509" t="e">
            <v>#N/A</v>
          </cell>
        </row>
        <row r="510">
          <cell r="A510">
            <v>40710</v>
          </cell>
          <cell r="B510">
            <v>40710</v>
          </cell>
          <cell r="C510" t="str">
            <v>Past</v>
          </cell>
          <cell r="D510">
            <v>15.4</v>
          </cell>
          <cell r="E510" t="e">
            <v>#N/A</v>
          </cell>
          <cell r="F510" t="e">
            <v>#N/A</v>
          </cell>
          <cell r="G510" t="e">
            <v>#N/A</v>
          </cell>
          <cell r="H510" t="e">
            <v>#N/A</v>
          </cell>
          <cell r="I510" t="e">
            <v>#N/A</v>
          </cell>
          <cell r="J510" t="e">
            <v>#N/A</v>
          </cell>
          <cell r="K510" t="e">
            <v>#N/A</v>
          </cell>
          <cell r="L510" t="e">
            <v>#N/A</v>
          </cell>
          <cell r="M510" t="e">
            <v>#N/A</v>
          </cell>
          <cell r="N510" t="e">
            <v>#N/A</v>
          </cell>
          <cell r="O510" t="e">
            <v>#N/A</v>
          </cell>
          <cell r="P510">
            <v>15.4</v>
          </cell>
          <cell r="Q510">
            <v>2.338606</v>
          </cell>
          <cell r="R510" t="e">
            <v>#N/A</v>
          </cell>
        </row>
        <row r="511">
          <cell r="A511">
            <v>40711</v>
          </cell>
          <cell r="B511">
            <v>40711</v>
          </cell>
          <cell r="C511" t="str">
            <v>Past</v>
          </cell>
          <cell r="D511">
            <v>15.45</v>
          </cell>
          <cell r="E511" t="e">
            <v>#N/A</v>
          </cell>
          <cell r="F511" t="e">
            <v>#N/A</v>
          </cell>
          <cell r="G511" t="e">
            <v>#N/A</v>
          </cell>
          <cell r="H511" t="e">
            <v>#N/A</v>
          </cell>
          <cell r="I511" t="e">
            <v>#N/A</v>
          </cell>
          <cell r="J511" t="e">
            <v>#N/A</v>
          </cell>
          <cell r="K511" t="e">
            <v>#N/A</v>
          </cell>
          <cell r="L511" t="e">
            <v>#N/A</v>
          </cell>
          <cell r="M511" t="e">
            <v>#N/A</v>
          </cell>
          <cell r="N511" t="e">
            <v>#N/A</v>
          </cell>
          <cell r="O511" t="e">
            <v>#N/A</v>
          </cell>
          <cell r="P511">
            <v>15.45</v>
          </cell>
          <cell r="Q511">
            <v>2.8604409999999998</v>
          </cell>
          <cell r="R511" t="e">
            <v>#N/A</v>
          </cell>
        </row>
        <row r="512">
          <cell r="A512">
            <v>40714</v>
          </cell>
          <cell r="B512">
            <v>40714</v>
          </cell>
          <cell r="C512" t="str">
            <v>Past</v>
          </cell>
          <cell r="D512">
            <v>15.4</v>
          </cell>
          <cell r="E512" t="e">
            <v>#N/A</v>
          </cell>
          <cell r="F512" t="e">
            <v>#N/A</v>
          </cell>
          <cell r="G512" t="e">
            <v>#N/A</v>
          </cell>
          <cell r="H512" t="e">
            <v>#N/A</v>
          </cell>
          <cell r="I512" t="e">
            <v>#N/A</v>
          </cell>
          <cell r="J512" t="e">
            <v>#N/A</v>
          </cell>
          <cell r="K512" t="e">
            <v>#N/A</v>
          </cell>
          <cell r="L512" t="e">
            <v>#N/A</v>
          </cell>
          <cell r="M512" t="e">
            <v>#N/A</v>
          </cell>
          <cell r="N512" t="e">
            <v>#N/A</v>
          </cell>
          <cell r="O512" t="e">
            <v>#N/A</v>
          </cell>
          <cell r="P512">
            <v>15.4</v>
          </cell>
          <cell r="Q512">
            <v>3.7483</v>
          </cell>
          <cell r="R512" t="e">
            <v>#N/A</v>
          </cell>
        </row>
        <row r="513">
          <cell r="A513">
            <v>40715</v>
          </cell>
          <cell r="B513">
            <v>40715</v>
          </cell>
          <cell r="C513" t="str">
            <v>Past</v>
          </cell>
          <cell r="D513">
            <v>15.5</v>
          </cell>
          <cell r="E513" t="e">
            <v>#N/A</v>
          </cell>
          <cell r="F513" t="e">
            <v>#N/A</v>
          </cell>
          <cell r="G513" t="e">
            <v>#N/A</v>
          </cell>
          <cell r="H513" t="e">
            <v>#N/A</v>
          </cell>
          <cell r="I513" t="e">
            <v>#N/A</v>
          </cell>
          <cell r="J513" t="e">
            <v>#N/A</v>
          </cell>
          <cell r="K513" t="e">
            <v>#N/A</v>
          </cell>
          <cell r="L513" t="e">
            <v>#N/A</v>
          </cell>
          <cell r="M513" t="e">
            <v>#N/A</v>
          </cell>
          <cell r="N513" t="e">
            <v>#N/A</v>
          </cell>
          <cell r="O513" t="e">
            <v>#N/A</v>
          </cell>
          <cell r="P513">
            <v>15.5</v>
          </cell>
          <cell r="Q513">
            <v>4.0320909999999994</v>
          </cell>
          <cell r="R513" t="e">
            <v>#N/A</v>
          </cell>
        </row>
        <row r="514">
          <cell r="A514">
            <v>40716</v>
          </cell>
          <cell r="B514">
            <v>40716</v>
          </cell>
          <cell r="C514" t="str">
            <v>Past</v>
          </cell>
          <cell r="D514">
            <v>15.32</v>
          </cell>
          <cell r="E514" t="e">
            <v>#N/A</v>
          </cell>
          <cell r="F514" t="e">
            <v>#N/A</v>
          </cell>
          <cell r="G514" t="e">
            <v>#N/A</v>
          </cell>
          <cell r="H514" t="e">
            <v>#N/A</v>
          </cell>
          <cell r="I514" t="e">
            <v>#N/A</v>
          </cell>
          <cell r="J514" t="e">
            <v>#N/A</v>
          </cell>
          <cell r="K514" t="e">
            <v>#N/A</v>
          </cell>
          <cell r="L514" t="e">
            <v>#N/A</v>
          </cell>
          <cell r="M514" t="e">
            <v>#N/A</v>
          </cell>
          <cell r="N514" t="e">
            <v>#N/A</v>
          </cell>
          <cell r="O514" t="e">
            <v>#N/A</v>
          </cell>
          <cell r="P514">
            <v>15.32</v>
          </cell>
          <cell r="Q514">
            <v>2.2638000000000003</v>
          </cell>
          <cell r="R514" t="e">
            <v>#N/A</v>
          </cell>
        </row>
        <row r="515">
          <cell r="A515">
            <v>40717</v>
          </cell>
          <cell r="B515">
            <v>40717</v>
          </cell>
          <cell r="C515" t="str">
            <v>Past</v>
          </cell>
          <cell r="D515">
            <v>15.1</v>
          </cell>
          <cell r="E515" t="e">
            <v>#N/A</v>
          </cell>
          <cell r="F515" t="e">
            <v>#N/A</v>
          </cell>
          <cell r="G515" t="e">
            <v>#N/A</v>
          </cell>
          <cell r="H515" t="e">
            <v>#N/A</v>
          </cell>
          <cell r="I515" t="e">
            <v>#N/A</v>
          </cell>
          <cell r="J515" t="e">
            <v>#N/A</v>
          </cell>
          <cell r="K515" t="e">
            <v>#N/A</v>
          </cell>
          <cell r="L515" t="e">
            <v>#N/A</v>
          </cell>
          <cell r="M515" t="e">
            <v>#N/A</v>
          </cell>
          <cell r="N515" t="e">
            <v>#N/A</v>
          </cell>
          <cell r="O515" t="e">
            <v>#N/A</v>
          </cell>
          <cell r="P515">
            <v>15.1</v>
          </cell>
          <cell r="Q515">
            <v>3.6845919999999999</v>
          </cell>
          <cell r="R515" t="e">
            <v>#N/A</v>
          </cell>
        </row>
        <row r="516">
          <cell r="A516">
            <v>40718</v>
          </cell>
          <cell r="B516">
            <v>40718</v>
          </cell>
          <cell r="C516" t="str">
            <v>Past</v>
          </cell>
          <cell r="D516">
            <v>15.1</v>
          </cell>
          <cell r="E516" t="e">
            <v>#N/A</v>
          </cell>
          <cell r="F516" t="e">
            <v>#N/A</v>
          </cell>
          <cell r="G516" t="e">
            <v>#N/A</v>
          </cell>
          <cell r="H516" t="e">
            <v>#N/A</v>
          </cell>
          <cell r="I516" t="e">
            <v>#N/A</v>
          </cell>
          <cell r="J516" t="e">
            <v>#N/A</v>
          </cell>
          <cell r="K516" t="e">
            <v>#N/A</v>
          </cell>
          <cell r="L516" t="e">
            <v>#N/A</v>
          </cell>
          <cell r="M516" t="e">
            <v>#N/A</v>
          </cell>
          <cell r="N516" t="e">
            <v>#N/A</v>
          </cell>
          <cell r="O516" t="e">
            <v>#N/A</v>
          </cell>
          <cell r="P516">
            <v>15.1</v>
          </cell>
          <cell r="Q516">
            <v>2.8938419999999998</v>
          </cell>
          <cell r="R516" t="e">
            <v>#N/A</v>
          </cell>
        </row>
        <row r="517">
          <cell r="A517">
            <v>40721</v>
          </cell>
          <cell r="B517">
            <v>40721</v>
          </cell>
          <cell r="C517" t="str">
            <v>Past</v>
          </cell>
          <cell r="D517">
            <v>15.23</v>
          </cell>
          <cell r="E517" t="e">
            <v>#N/A</v>
          </cell>
          <cell r="F517" t="e">
            <v>#N/A</v>
          </cell>
          <cell r="G517" t="e">
            <v>#N/A</v>
          </cell>
          <cell r="H517" t="e">
            <v>#N/A</v>
          </cell>
          <cell r="I517" t="e">
            <v>#N/A</v>
          </cell>
          <cell r="J517" t="e">
            <v>#N/A</v>
          </cell>
          <cell r="K517" t="e">
            <v>#N/A</v>
          </cell>
          <cell r="L517" t="e">
            <v>#N/A</v>
          </cell>
          <cell r="M517" t="e">
            <v>#N/A</v>
          </cell>
          <cell r="N517" t="e">
            <v>#N/A</v>
          </cell>
          <cell r="O517" t="e">
            <v>#N/A</v>
          </cell>
          <cell r="P517">
            <v>15.23</v>
          </cell>
          <cell r="Q517">
            <v>1.7149000000000001</v>
          </cell>
          <cell r="R517" t="e">
            <v>#N/A</v>
          </cell>
        </row>
        <row r="518">
          <cell r="A518">
            <v>40722</v>
          </cell>
          <cell r="B518">
            <v>40722</v>
          </cell>
          <cell r="C518" t="str">
            <v>Past</v>
          </cell>
          <cell r="D518">
            <v>15.24</v>
          </cell>
          <cell r="E518" t="e">
            <v>#N/A</v>
          </cell>
          <cell r="F518" t="e">
            <v>#N/A</v>
          </cell>
          <cell r="G518" t="e">
            <v>#N/A</v>
          </cell>
          <cell r="H518" t="e">
            <v>#N/A</v>
          </cell>
          <cell r="I518" t="e">
            <v>#N/A</v>
          </cell>
          <cell r="J518" t="e">
            <v>#N/A</v>
          </cell>
          <cell r="K518" t="e">
            <v>#N/A</v>
          </cell>
          <cell r="L518" t="e">
            <v>#N/A</v>
          </cell>
          <cell r="M518" t="e">
            <v>#N/A</v>
          </cell>
          <cell r="N518" t="e">
            <v>#N/A</v>
          </cell>
          <cell r="O518" t="e">
            <v>#N/A</v>
          </cell>
          <cell r="P518">
            <v>15.24</v>
          </cell>
          <cell r="Q518">
            <v>2.6037949999999999</v>
          </cell>
          <cell r="R518" t="e">
            <v>#N/A</v>
          </cell>
        </row>
        <row r="519">
          <cell r="A519">
            <v>40723</v>
          </cell>
          <cell r="B519">
            <v>40723</v>
          </cell>
          <cell r="C519" t="str">
            <v>Past</v>
          </cell>
          <cell r="D519">
            <v>15.31</v>
          </cell>
          <cell r="E519" t="e">
            <v>#N/A</v>
          </cell>
          <cell r="F519" t="e">
            <v>#N/A</v>
          </cell>
          <cell r="G519" t="e">
            <v>#N/A</v>
          </cell>
          <cell r="H519" t="e">
            <v>#N/A</v>
          </cell>
          <cell r="I519" t="e">
            <v>#N/A</v>
          </cell>
          <cell r="J519" t="e">
            <v>#N/A</v>
          </cell>
          <cell r="K519" t="e">
            <v>#N/A</v>
          </cell>
          <cell r="L519" t="e">
            <v>#N/A</v>
          </cell>
          <cell r="M519" t="e">
            <v>#N/A</v>
          </cell>
          <cell r="N519" t="e">
            <v>#N/A</v>
          </cell>
          <cell r="O519" t="e">
            <v>#N/A</v>
          </cell>
          <cell r="P519">
            <v>15.31</v>
          </cell>
          <cell r="Q519">
            <v>2.3394059999999999</v>
          </cell>
          <cell r="R519" t="e">
            <v>#N/A</v>
          </cell>
        </row>
        <row r="520">
          <cell r="A520">
            <v>40724</v>
          </cell>
          <cell r="B520">
            <v>40724</v>
          </cell>
          <cell r="C520" t="str">
            <v>Past</v>
          </cell>
          <cell r="D520">
            <v>15.35</v>
          </cell>
          <cell r="E520" t="e">
            <v>#N/A</v>
          </cell>
          <cell r="F520" t="e">
            <v>#N/A</v>
          </cell>
          <cell r="G520" t="e">
            <v>#N/A</v>
          </cell>
          <cell r="H520" t="e">
            <v>#N/A</v>
          </cell>
          <cell r="I520" t="e">
            <v>#N/A</v>
          </cell>
          <cell r="J520" t="e">
            <v>#N/A</v>
          </cell>
          <cell r="K520" t="e">
            <v>#N/A</v>
          </cell>
          <cell r="L520" t="e">
            <v>#N/A</v>
          </cell>
          <cell r="M520" t="e">
            <v>#N/A</v>
          </cell>
          <cell r="N520" t="e">
            <v>#N/A</v>
          </cell>
          <cell r="O520" t="e">
            <v>#N/A</v>
          </cell>
          <cell r="P520">
            <v>15.35</v>
          </cell>
          <cell r="Q520">
            <v>2.2514089999999998</v>
          </cell>
          <cell r="R520" t="e">
            <v>#N/A</v>
          </cell>
        </row>
        <row r="521">
          <cell r="A521">
            <v>40725</v>
          </cell>
          <cell r="B521">
            <v>40725</v>
          </cell>
          <cell r="C521" t="str">
            <v>Past</v>
          </cell>
          <cell r="D521">
            <v>15.59</v>
          </cell>
          <cell r="E521" t="e">
            <v>#N/A</v>
          </cell>
          <cell r="F521" t="e">
            <v>#N/A</v>
          </cell>
          <cell r="G521" t="e">
            <v>#N/A</v>
          </cell>
          <cell r="H521" t="e">
            <v>#N/A</v>
          </cell>
          <cell r="I521" t="e">
            <v>#N/A</v>
          </cell>
          <cell r="J521" t="e">
            <v>#N/A</v>
          </cell>
          <cell r="K521" t="e">
            <v>#N/A</v>
          </cell>
          <cell r="L521" t="e">
            <v>#N/A</v>
          </cell>
          <cell r="M521" t="e">
            <v>#N/A</v>
          </cell>
          <cell r="N521" t="e">
            <v>#N/A</v>
          </cell>
          <cell r="O521" t="e">
            <v>#N/A</v>
          </cell>
          <cell r="P521">
            <v>15.59</v>
          </cell>
          <cell r="Q521">
            <v>1.3990500000000001</v>
          </cell>
          <cell r="R521" t="e">
            <v>#N/A</v>
          </cell>
        </row>
        <row r="522">
          <cell r="A522">
            <v>40729</v>
          </cell>
          <cell r="B522">
            <v>40729</v>
          </cell>
          <cell r="C522" t="str">
            <v>Past</v>
          </cell>
          <cell r="D522">
            <v>15.55</v>
          </cell>
          <cell r="E522" t="e">
            <v>#N/A</v>
          </cell>
          <cell r="F522" t="e">
            <v>#N/A</v>
          </cell>
          <cell r="G522" t="e">
            <v>#N/A</v>
          </cell>
          <cell r="H522" t="e">
            <v>#N/A</v>
          </cell>
          <cell r="I522" t="e">
            <v>#N/A</v>
          </cell>
          <cell r="J522" t="e">
            <v>#N/A</v>
          </cell>
          <cell r="K522" t="e">
            <v>#N/A</v>
          </cell>
          <cell r="L522" t="e">
            <v>#N/A</v>
          </cell>
          <cell r="M522" t="e">
            <v>#N/A</v>
          </cell>
          <cell r="N522" t="e">
            <v>#N/A</v>
          </cell>
          <cell r="O522" t="e">
            <v>#N/A</v>
          </cell>
          <cell r="P522">
            <v>15.55</v>
          </cell>
          <cell r="Q522">
            <v>1.5489000000000002</v>
          </cell>
          <cell r="R522" t="e">
            <v>#N/A</v>
          </cell>
        </row>
        <row r="523">
          <cell r="A523">
            <v>40730</v>
          </cell>
          <cell r="B523">
            <v>40730</v>
          </cell>
          <cell r="C523" t="str">
            <v>Past</v>
          </cell>
          <cell r="D523">
            <v>15.59</v>
          </cell>
          <cell r="E523" t="e">
            <v>#N/A</v>
          </cell>
          <cell r="F523" t="e">
            <v>#N/A</v>
          </cell>
          <cell r="G523" t="e">
            <v>#N/A</v>
          </cell>
          <cell r="H523" t="e">
            <v>#N/A</v>
          </cell>
          <cell r="I523" t="e">
            <v>#N/A</v>
          </cell>
          <cell r="J523" t="e">
            <v>#N/A</v>
          </cell>
          <cell r="K523" t="e">
            <v>#N/A</v>
          </cell>
          <cell r="L523" t="e">
            <v>#N/A</v>
          </cell>
          <cell r="M523" t="e">
            <v>#N/A</v>
          </cell>
          <cell r="N523" t="e">
            <v>#N/A</v>
          </cell>
          <cell r="O523" t="e">
            <v>#N/A</v>
          </cell>
          <cell r="P523">
            <v>15.59</v>
          </cell>
          <cell r="Q523">
            <v>1.2207249999999998</v>
          </cell>
          <cell r="R523" t="e">
            <v>#N/A</v>
          </cell>
        </row>
        <row r="524">
          <cell r="A524">
            <v>40731</v>
          </cell>
          <cell r="B524">
            <v>40731</v>
          </cell>
          <cell r="C524" t="str">
            <v>Past</v>
          </cell>
          <cell r="D524">
            <v>15.61</v>
          </cell>
          <cell r="E524" t="e">
            <v>#N/A</v>
          </cell>
          <cell r="F524" t="e">
            <v>#N/A</v>
          </cell>
          <cell r="G524" t="e">
            <v>#N/A</v>
          </cell>
          <cell r="H524" t="e">
            <v>#N/A</v>
          </cell>
          <cell r="I524" t="e">
            <v>#N/A</v>
          </cell>
          <cell r="J524" t="e">
            <v>#N/A</v>
          </cell>
          <cell r="K524" t="e">
            <v>#N/A</v>
          </cell>
          <cell r="L524" t="e">
            <v>#N/A</v>
          </cell>
          <cell r="M524" t="e">
            <v>#N/A</v>
          </cell>
          <cell r="N524" t="e">
            <v>#N/A</v>
          </cell>
          <cell r="O524" t="e">
            <v>#N/A</v>
          </cell>
          <cell r="P524">
            <v>15.61</v>
          </cell>
          <cell r="Q524">
            <v>1.3784529999999999</v>
          </cell>
          <cell r="R524" t="e">
            <v>#N/A</v>
          </cell>
        </row>
        <row r="525">
          <cell r="A525">
            <v>40732</v>
          </cell>
          <cell r="B525">
            <v>40732</v>
          </cell>
          <cell r="C525" t="str">
            <v>Past</v>
          </cell>
          <cell r="D525">
            <v>15.51</v>
          </cell>
          <cell r="E525" t="e">
            <v>#N/A</v>
          </cell>
          <cell r="F525" t="e">
            <v>#N/A</v>
          </cell>
          <cell r="G525" t="e">
            <v>#N/A</v>
          </cell>
          <cell r="H525" t="e">
            <v>#N/A</v>
          </cell>
          <cell r="I525" t="e">
            <v>#N/A</v>
          </cell>
          <cell r="J525" t="e">
            <v>#N/A</v>
          </cell>
          <cell r="K525" t="e">
            <v>#N/A</v>
          </cell>
          <cell r="L525" t="e">
            <v>#N/A</v>
          </cell>
          <cell r="M525" t="e">
            <v>#N/A</v>
          </cell>
          <cell r="N525" t="e">
            <v>#N/A</v>
          </cell>
          <cell r="O525" t="e">
            <v>#N/A</v>
          </cell>
          <cell r="P525">
            <v>15.51</v>
          </cell>
          <cell r="Q525">
            <v>1.8003829999999998</v>
          </cell>
          <cell r="R525" t="e">
            <v>#N/A</v>
          </cell>
        </row>
        <row r="526">
          <cell r="A526">
            <v>40735</v>
          </cell>
          <cell r="B526">
            <v>40735</v>
          </cell>
          <cell r="C526" t="str">
            <v>Past</v>
          </cell>
          <cell r="D526">
            <v>15.24</v>
          </cell>
          <cell r="E526" t="e">
            <v>#N/A</v>
          </cell>
          <cell r="F526" t="e">
            <v>#N/A</v>
          </cell>
          <cell r="G526" t="e">
            <v>#N/A</v>
          </cell>
          <cell r="H526" t="e">
            <v>#N/A</v>
          </cell>
          <cell r="I526" t="e">
            <v>#N/A</v>
          </cell>
          <cell r="J526" t="e">
            <v>#N/A</v>
          </cell>
          <cell r="K526" t="e">
            <v>#N/A</v>
          </cell>
          <cell r="L526" t="e">
            <v>#N/A</v>
          </cell>
          <cell r="M526" t="e">
            <v>#N/A</v>
          </cell>
          <cell r="N526" t="e">
            <v>#N/A</v>
          </cell>
          <cell r="O526" t="e">
            <v>#N/A</v>
          </cell>
          <cell r="P526">
            <v>15.24</v>
          </cell>
          <cell r="Q526">
            <v>1.3767149999999999</v>
          </cell>
          <cell r="R526" t="e">
            <v>#N/A</v>
          </cell>
        </row>
        <row r="527">
          <cell r="A527">
            <v>40736</v>
          </cell>
          <cell r="B527">
            <v>40736</v>
          </cell>
          <cell r="C527" t="str">
            <v>Past</v>
          </cell>
          <cell r="D527">
            <v>15.29</v>
          </cell>
          <cell r="E527" t="e">
            <v>#N/A</v>
          </cell>
          <cell r="F527" t="e">
            <v>#N/A</v>
          </cell>
          <cell r="G527" t="e">
            <v>#N/A</v>
          </cell>
          <cell r="H527" t="e">
            <v>#N/A</v>
          </cell>
          <cell r="I527" t="e">
            <v>#N/A</v>
          </cell>
          <cell r="J527" t="e">
            <v>#N/A</v>
          </cell>
          <cell r="K527" t="e">
            <v>#N/A</v>
          </cell>
          <cell r="L527" t="e">
            <v>#N/A</v>
          </cell>
          <cell r="M527" t="e">
            <v>#N/A</v>
          </cell>
          <cell r="N527" t="e">
            <v>#N/A</v>
          </cell>
          <cell r="O527" t="e">
            <v>#N/A</v>
          </cell>
          <cell r="P527">
            <v>15.29</v>
          </cell>
          <cell r="Q527">
            <v>1.7635969999999999</v>
          </cell>
          <cell r="R527" t="e">
            <v>#N/A</v>
          </cell>
        </row>
        <row r="528">
          <cell r="A528">
            <v>40737</v>
          </cell>
          <cell r="B528">
            <v>40737</v>
          </cell>
          <cell r="C528" t="str">
            <v>Past</v>
          </cell>
          <cell r="D528">
            <v>15.3</v>
          </cell>
          <cell r="E528" t="e">
            <v>#N/A</v>
          </cell>
          <cell r="F528" t="e">
            <v>#N/A</v>
          </cell>
          <cell r="G528" t="e">
            <v>#N/A</v>
          </cell>
          <cell r="H528" t="e">
            <v>#N/A</v>
          </cell>
          <cell r="I528" t="e">
            <v>#N/A</v>
          </cell>
          <cell r="J528" t="e">
            <v>#N/A</v>
          </cell>
          <cell r="K528" t="e">
            <v>#N/A</v>
          </cell>
          <cell r="L528" t="e">
            <v>#N/A</v>
          </cell>
          <cell r="M528" t="e">
            <v>#N/A</v>
          </cell>
          <cell r="N528" t="e">
            <v>#N/A</v>
          </cell>
          <cell r="O528" t="e">
            <v>#N/A</v>
          </cell>
          <cell r="P528">
            <v>15.3</v>
          </cell>
          <cell r="Q528">
            <v>1.718731</v>
          </cell>
          <cell r="R528" t="e">
            <v>#N/A</v>
          </cell>
        </row>
        <row r="529">
          <cell r="A529">
            <v>40738</v>
          </cell>
          <cell r="B529">
            <v>40738</v>
          </cell>
          <cell r="C529" t="str">
            <v>Past</v>
          </cell>
          <cell r="D529">
            <v>15.16</v>
          </cell>
          <cell r="E529" t="e">
            <v>#N/A</v>
          </cell>
          <cell r="F529" t="e">
            <v>#N/A</v>
          </cell>
          <cell r="G529" t="e">
            <v>#N/A</v>
          </cell>
          <cell r="H529" t="e">
            <v>#N/A</v>
          </cell>
          <cell r="I529" t="e">
            <v>#N/A</v>
          </cell>
          <cell r="J529" t="e">
            <v>#N/A</v>
          </cell>
          <cell r="K529" t="e">
            <v>#N/A</v>
          </cell>
          <cell r="L529" t="e">
            <v>#N/A</v>
          </cell>
          <cell r="M529" t="e">
            <v>#N/A</v>
          </cell>
          <cell r="N529" t="e">
            <v>#N/A</v>
          </cell>
          <cell r="O529" t="e">
            <v>#N/A</v>
          </cell>
          <cell r="P529">
            <v>15.16</v>
          </cell>
          <cell r="Q529">
            <v>1.5739669999999999</v>
          </cell>
          <cell r="R529" t="e">
            <v>#N/A</v>
          </cell>
        </row>
        <row r="530">
          <cell r="A530">
            <v>40739</v>
          </cell>
          <cell r="B530">
            <v>40739</v>
          </cell>
          <cell r="C530" t="str">
            <v>Past</v>
          </cell>
          <cell r="D530">
            <v>15.22</v>
          </cell>
          <cell r="E530" t="e">
            <v>#N/A</v>
          </cell>
          <cell r="F530" t="e">
            <v>#N/A</v>
          </cell>
          <cell r="G530" t="e">
            <v>#N/A</v>
          </cell>
          <cell r="H530" t="e">
            <v>#N/A</v>
          </cell>
          <cell r="I530" t="e">
            <v>#N/A</v>
          </cell>
          <cell r="J530" t="e">
            <v>#N/A</v>
          </cell>
          <cell r="K530" t="e">
            <v>#N/A</v>
          </cell>
          <cell r="L530" t="e">
            <v>#N/A</v>
          </cell>
          <cell r="M530" t="e">
            <v>#N/A</v>
          </cell>
          <cell r="N530" t="e">
            <v>#N/A</v>
          </cell>
          <cell r="O530" t="e">
            <v>#N/A</v>
          </cell>
          <cell r="P530">
            <v>15.22</v>
          </cell>
          <cell r="Q530">
            <v>1.518662</v>
          </cell>
          <cell r="R530" t="e">
            <v>#N/A</v>
          </cell>
        </row>
        <row r="531">
          <cell r="A531">
            <v>40742</v>
          </cell>
          <cell r="B531">
            <v>40742</v>
          </cell>
          <cell r="C531" t="str">
            <v>Past</v>
          </cell>
          <cell r="D531">
            <v>15.08</v>
          </cell>
          <cell r="E531" t="e">
            <v>#N/A</v>
          </cell>
          <cell r="F531" t="e">
            <v>#N/A</v>
          </cell>
          <cell r="G531" t="e">
            <v>#N/A</v>
          </cell>
          <cell r="H531" t="e">
            <v>#N/A</v>
          </cell>
          <cell r="I531" t="e">
            <v>#N/A</v>
          </cell>
          <cell r="J531" t="e">
            <v>#N/A</v>
          </cell>
          <cell r="K531" t="e">
            <v>#N/A</v>
          </cell>
          <cell r="L531" t="e">
            <v>#N/A</v>
          </cell>
          <cell r="M531" t="e">
            <v>#N/A</v>
          </cell>
          <cell r="N531" t="e">
            <v>#N/A</v>
          </cell>
          <cell r="O531" t="e">
            <v>#N/A</v>
          </cell>
          <cell r="P531">
            <v>15.08</v>
          </cell>
          <cell r="Q531">
            <v>1.8748959999999999</v>
          </cell>
          <cell r="R531" t="e">
            <v>#N/A</v>
          </cell>
        </row>
        <row r="532">
          <cell r="A532">
            <v>40743</v>
          </cell>
          <cell r="B532">
            <v>40743</v>
          </cell>
          <cell r="C532" t="str">
            <v>Past</v>
          </cell>
          <cell r="D532">
            <v>15.12</v>
          </cell>
          <cell r="E532" t="e">
            <v>#N/A</v>
          </cell>
          <cell r="F532" t="e">
            <v>#N/A</v>
          </cell>
          <cell r="G532" t="e">
            <v>#N/A</v>
          </cell>
          <cell r="H532" t="e">
            <v>#N/A</v>
          </cell>
          <cell r="I532" t="e">
            <v>#N/A</v>
          </cell>
          <cell r="J532" t="e">
            <v>#N/A</v>
          </cell>
          <cell r="K532" t="e">
            <v>#N/A</v>
          </cell>
          <cell r="L532" t="e">
            <v>#N/A</v>
          </cell>
          <cell r="M532" t="e">
            <v>#N/A</v>
          </cell>
          <cell r="N532" t="e">
            <v>#N/A</v>
          </cell>
          <cell r="O532" t="e">
            <v>#N/A</v>
          </cell>
          <cell r="P532">
            <v>15.12</v>
          </cell>
          <cell r="Q532">
            <v>1.273741</v>
          </cell>
          <cell r="R532" t="e">
            <v>#N/A</v>
          </cell>
        </row>
        <row r="533">
          <cell r="A533">
            <v>40744</v>
          </cell>
          <cell r="B533">
            <v>40744</v>
          </cell>
          <cell r="C533" t="str">
            <v>Past</v>
          </cell>
          <cell r="D533">
            <v>15.34</v>
          </cell>
          <cell r="E533" t="e">
            <v>#N/A</v>
          </cell>
          <cell r="F533" t="e">
            <v>#N/A</v>
          </cell>
          <cell r="G533" t="e">
            <v>#N/A</v>
          </cell>
          <cell r="H533" t="e">
            <v>#N/A</v>
          </cell>
          <cell r="I533" t="e">
            <v>#N/A</v>
          </cell>
          <cell r="J533" t="e">
            <v>#N/A</v>
          </cell>
          <cell r="K533" t="e">
            <v>#N/A</v>
          </cell>
          <cell r="L533" t="e">
            <v>#N/A</v>
          </cell>
          <cell r="M533" t="e">
            <v>#N/A</v>
          </cell>
          <cell r="N533" t="e">
            <v>#N/A</v>
          </cell>
          <cell r="O533" t="e">
            <v>#N/A</v>
          </cell>
          <cell r="P533">
            <v>15.34</v>
          </cell>
          <cell r="Q533">
            <v>1.0193000000000001</v>
          </cell>
          <cell r="R533" t="e">
            <v>#N/A</v>
          </cell>
        </row>
        <row r="534">
          <cell r="A534">
            <v>40745</v>
          </cell>
          <cell r="B534">
            <v>40745</v>
          </cell>
          <cell r="C534" t="str">
            <v>Past</v>
          </cell>
          <cell r="D534">
            <v>15.47</v>
          </cell>
          <cell r="E534" t="e">
            <v>#N/A</v>
          </cell>
          <cell r="F534" t="e">
            <v>#N/A</v>
          </cell>
          <cell r="G534" t="e">
            <v>#N/A</v>
          </cell>
          <cell r="H534" t="e">
            <v>#N/A</v>
          </cell>
          <cell r="I534" t="e">
            <v>#N/A</v>
          </cell>
          <cell r="J534" t="e">
            <v>#N/A</v>
          </cell>
          <cell r="K534" t="e">
            <v>#N/A</v>
          </cell>
          <cell r="L534" t="e">
            <v>#N/A</v>
          </cell>
          <cell r="M534" t="e">
            <v>#N/A</v>
          </cell>
          <cell r="N534" t="e">
            <v>#N/A</v>
          </cell>
          <cell r="O534" t="e">
            <v>#N/A</v>
          </cell>
          <cell r="P534">
            <v>15.47</v>
          </cell>
          <cell r="Q534">
            <v>1.356128</v>
          </cell>
          <cell r="R534" t="e">
            <v>#N/A</v>
          </cell>
        </row>
        <row r="535">
          <cell r="A535">
            <v>40746</v>
          </cell>
          <cell r="B535">
            <v>40746</v>
          </cell>
          <cell r="C535" t="str">
            <v>Past</v>
          </cell>
          <cell r="D535">
            <v>15.27</v>
          </cell>
          <cell r="E535" t="e">
            <v>#N/A</v>
          </cell>
          <cell r="F535" t="e">
            <v>#N/A</v>
          </cell>
          <cell r="G535" t="e">
            <v>#N/A</v>
          </cell>
          <cell r="H535" t="e">
            <v>#N/A</v>
          </cell>
          <cell r="I535" t="e">
            <v>#N/A</v>
          </cell>
          <cell r="J535" t="e">
            <v>#N/A</v>
          </cell>
          <cell r="K535" t="e">
            <v>#N/A</v>
          </cell>
          <cell r="L535" t="e">
            <v>#N/A</v>
          </cell>
          <cell r="M535" t="e">
            <v>#N/A</v>
          </cell>
          <cell r="N535" t="e">
            <v>#N/A</v>
          </cell>
          <cell r="O535" t="e">
            <v>#N/A</v>
          </cell>
          <cell r="P535">
            <v>15.27</v>
          </cell>
          <cell r="Q535">
            <v>1.5000300000000002</v>
          </cell>
          <cell r="R535" t="e">
            <v>#N/A</v>
          </cell>
        </row>
        <row r="536">
          <cell r="A536">
            <v>40749</v>
          </cell>
          <cell r="B536">
            <v>40749</v>
          </cell>
          <cell r="C536" t="str">
            <v>Past</v>
          </cell>
          <cell r="D536">
            <v>15.17</v>
          </cell>
          <cell r="E536" t="e">
            <v>#N/A</v>
          </cell>
          <cell r="F536" t="e">
            <v>#N/A</v>
          </cell>
          <cell r="G536" t="e">
            <v>#N/A</v>
          </cell>
          <cell r="H536" t="e">
            <v>#N/A</v>
          </cell>
          <cell r="I536" t="e">
            <v>#N/A</v>
          </cell>
          <cell r="J536" t="e">
            <v>#N/A</v>
          </cell>
          <cell r="K536" t="e">
            <v>#N/A</v>
          </cell>
          <cell r="L536" t="e">
            <v>#N/A</v>
          </cell>
          <cell r="M536" t="e">
            <v>#N/A</v>
          </cell>
          <cell r="N536" t="e">
            <v>#N/A</v>
          </cell>
          <cell r="O536" t="e">
            <v>#N/A</v>
          </cell>
          <cell r="P536">
            <v>15.17</v>
          </cell>
          <cell r="Q536">
            <v>1.7525819999999999</v>
          </cell>
          <cell r="R536" t="e">
            <v>#N/A</v>
          </cell>
        </row>
        <row r="537">
          <cell r="A537">
            <v>40750</v>
          </cell>
          <cell r="B537">
            <v>40750</v>
          </cell>
          <cell r="C537" t="str">
            <v>Past</v>
          </cell>
          <cell r="D537">
            <v>15.11</v>
          </cell>
          <cell r="E537" t="e">
            <v>#N/A</v>
          </cell>
          <cell r="F537" t="e">
            <v>#N/A</v>
          </cell>
          <cell r="G537" t="e">
            <v>#N/A</v>
          </cell>
          <cell r="H537" t="e">
            <v>#N/A</v>
          </cell>
          <cell r="I537" t="e">
            <v>#N/A</v>
          </cell>
          <cell r="J537" t="e">
            <v>#N/A</v>
          </cell>
          <cell r="K537" t="e">
            <v>#N/A</v>
          </cell>
          <cell r="L537" t="e">
            <v>#N/A</v>
          </cell>
          <cell r="M537" t="e">
            <v>#N/A</v>
          </cell>
          <cell r="N537" t="e">
            <v>#N/A</v>
          </cell>
          <cell r="O537" t="e">
            <v>#N/A</v>
          </cell>
          <cell r="P537">
            <v>15.11</v>
          </cell>
          <cell r="Q537">
            <v>0.94330799999999992</v>
          </cell>
          <cell r="R537" t="e">
            <v>#N/A</v>
          </cell>
        </row>
        <row r="538">
          <cell r="A538">
            <v>40751</v>
          </cell>
          <cell r="B538">
            <v>40751</v>
          </cell>
          <cell r="C538" t="str">
            <v>Past</v>
          </cell>
          <cell r="D538">
            <v>15.08</v>
          </cell>
          <cell r="E538" t="e">
            <v>#N/A</v>
          </cell>
          <cell r="F538" t="e">
            <v>#N/A</v>
          </cell>
          <cell r="G538" t="e">
            <v>#N/A</v>
          </cell>
          <cell r="H538" t="e">
            <v>#N/A</v>
          </cell>
          <cell r="I538" t="e">
            <v>#N/A</v>
          </cell>
          <cell r="J538" t="e">
            <v>#N/A</v>
          </cell>
          <cell r="K538" t="e">
            <v>#N/A</v>
          </cell>
          <cell r="L538" t="e">
            <v>#N/A</v>
          </cell>
          <cell r="M538" t="e">
            <v>#N/A</v>
          </cell>
          <cell r="N538" t="e">
            <v>#N/A</v>
          </cell>
          <cell r="O538" t="e">
            <v>#N/A</v>
          </cell>
          <cell r="P538">
            <v>15.08</v>
          </cell>
          <cell r="Q538">
            <v>1.8040179999999999</v>
          </cell>
          <cell r="R538" t="e">
            <v>#N/A</v>
          </cell>
        </row>
        <row r="539">
          <cell r="A539">
            <v>40752</v>
          </cell>
          <cell r="B539">
            <v>40752</v>
          </cell>
          <cell r="C539" t="str">
            <v>Past</v>
          </cell>
          <cell r="D539">
            <v>15.01</v>
          </cell>
          <cell r="E539" t="e">
            <v>#N/A</v>
          </cell>
          <cell r="F539" t="e">
            <v>#N/A</v>
          </cell>
          <cell r="G539" t="e">
            <v>#N/A</v>
          </cell>
          <cell r="H539" t="e">
            <v>#N/A</v>
          </cell>
          <cell r="I539" t="e">
            <v>#N/A</v>
          </cell>
          <cell r="J539" t="e">
            <v>#N/A</v>
          </cell>
          <cell r="K539" t="e">
            <v>#N/A</v>
          </cell>
          <cell r="L539" t="e">
            <v>#N/A</v>
          </cell>
          <cell r="M539" t="e">
            <v>#N/A</v>
          </cell>
          <cell r="N539" t="e">
            <v>#N/A</v>
          </cell>
          <cell r="O539" t="e">
            <v>#N/A</v>
          </cell>
          <cell r="P539">
            <v>15.01</v>
          </cell>
          <cell r="Q539">
            <v>1.6958300000000002</v>
          </cell>
          <cell r="R539" t="e">
            <v>#N/A</v>
          </cell>
        </row>
        <row r="540">
          <cell r="A540">
            <v>40753</v>
          </cell>
          <cell r="B540">
            <v>40753</v>
          </cell>
          <cell r="C540" t="str">
            <v>Past</v>
          </cell>
          <cell r="D540">
            <v>14.84</v>
          </cell>
          <cell r="E540" t="e">
            <v>#N/A</v>
          </cell>
          <cell r="F540" t="e">
            <v>#N/A</v>
          </cell>
          <cell r="G540" t="e">
            <v>#N/A</v>
          </cell>
          <cell r="H540" t="e">
            <v>#N/A</v>
          </cell>
          <cell r="I540" t="e">
            <v>#N/A</v>
          </cell>
          <cell r="J540" t="e">
            <v>#N/A</v>
          </cell>
          <cell r="K540" t="e">
            <v>#N/A</v>
          </cell>
          <cell r="L540" t="e">
            <v>#N/A</v>
          </cell>
          <cell r="M540" t="e">
            <v>#N/A</v>
          </cell>
          <cell r="N540" t="e">
            <v>#N/A</v>
          </cell>
          <cell r="O540" t="e">
            <v>#N/A</v>
          </cell>
          <cell r="P540">
            <v>14.84</v>
          </cell>
          <cell r="Q540">
            <v>2.0042</v>
          </cell>
          <cell r="R540" t="e">
            <v>#N/A</v>
          </cell>
        </row>
        <row r="541">
          <cell r="A541">
            <v>40756</v>
          </cell>
          <cell r="B541">
            <v>40756</v>
          </cell>
          <cell r="C541" t="str">
            <v>Past</v>
          </cell>
          <cell r="D541">
            <v>14.55</v>
          </cell>
          <cell r="E541" t="e">
            <v>#N/A</v>
          </cell>
          <cell r="F541" t="e">
            <v>#N/A</v>
          </cell>
          <cell r="G541" t="e">
            <v>#N/A</v>
          </cell>
          <cell r="H541" t="e">
            <v>#N/A</v>
          </cell>
          <cell r="I541" t="e">
            <v>#N/A</v>
          </cell>
          <cell r="J541" t="e">
            <v>#N/A</v>
          </cell>
          <cell r="K541" t="e">
            <v>#N/A</v>
          </cell>
          <cell r="L541" t="e">
            <v>#N/A</v>
          </cell>
          <cell r="M541" t="e">
            <v>#N/A</v>
          </cell>
          <cell r="N541" t="e">
            <v>#N/A</v>
          </cell>
          <cell r="O541" t="e">
            <v>#N/A</v>
          </cell>
          <cell r="P541">
            <v>14.55</v>
          </cell>
          <cell r="Q541">
            <v>5.4451649999999994</v>
          </cell>
          <cell r="R541" t="e">
            <v>#N/A</v>
          </cell>
        </row>
        <row r="542">
          <cell r="A542">
            <v>40757</v>
          </cell>
          <cell r="B542">
            <v>40757</v>
          </cell>
          <cell r="C542" t="str">
            <v>Past</v>
          </cell>
          <cell r="D542">
            <v>14.24</v>
          </cell>
          <cell r="E542" t="e">
            <v>#N/A</v>
          </cell>
          <cell r="F542" t="e">
            <v>#N/A</v>
          </cell>
          <cell r="G542" t="e">
            <v>#N/A</v>
          </cell>
          <cell r="H542" t="e">
            <v>#N/A</v>
          </cell>
          <cell r="I542" t="e">
            <v>#N/A</v>
          </cell>
          <cell r="J542" t="e">
            <v>#N/A</v>
          </cell>
          <cell r="K542" t="e">
            <v>#N/A</v>
          </cell>
          <cell r="L542" t="e">
            <v>#N/A</v>
          </cell>
          <cell r="M542" t="e">
            <v>#N/A</v>
          </cell>
          <cell r="N542" t="e">
            <v>#N/A</v>
          </cell>
          <cell r="O542" t="e">
            <v>#N/A</v>
          </cell>
          <cell r="P542">
            <v>14.24</v>
          </cell>
          <cell r="Q542">
            <v>4.5422519999999995</v>
          </cell>
          <cell r="R542" t="e">
            <v>#N/A</v>
          </cell>
        </row>
        <row r="543">
          <cell r="A543">
            <v>40758</v>
          </cell>
          <cell r="B543">
            <v>40758</v>
          </cell>
          <cell r="C543" t="str">
            <v>Past</v>
          </cell>
          <cell r="D543">
            <v>14.26</v>
          </cell>
          <cell r="E543" t="e">
            <v>#N/A</v>
          </cell>
          <cell r="F543" t="e">
            <v>#N/A</v>
          </cell>
          <cell r="G543" t="e">
            <v>#N/A</v>
          </cell>
          <cell r="H543" t="e">
            <v>#N/A</v>
          </cell>
          <cell r="I543" t="e">
            <v>#N/A</v>
          </cell>
          <cell r="J543" t="e">
            <v>#N/A</v>
          </cell>
          <cell r="K543" t="e">
            <v>#N/A</v>
          </cell>
          <cell r="L543" t="e">
            <v>#N/A</v>
          </cell>
          <cell r="M543" t="e">
            <v>#N/A</v>
          </cell>
          <cell r="N543" t="e">
            <v>#N/A</v>
          </cell>
          <cell r="O543" t="e">
            <v>#N/A</v>
          </cell>
          <cell r="P543">
            <v>14.26</v>
          </cell>
          <cell r="Q543">
            <v>3.8783000000000003</v>
          </cell>
          <cell r="R543" t="e">
            <v>#N/A</v>
          </cell>
        </row>
        <row r="544">
          <cell r="A544">
            <v>40759</v>
          </cell>
          <cell r="B544">
            <v>40759</v>
          </cell>
          <cell r="C544" t="str">
            <v>Past</v>
          </cell>
          <cell r="D544">
            <v>13.68</v>
          </cell>
          <cell r="E544" t="e">
            <v>#N/A</v>
          </cell>
          <cell r="F544" t="e">
            <v>#N/A</v>
          </cell>
          <cell r="G544" t="e">
            <v>#N/A</v>
          </cell>
          <cell r="H544" t="e">
            <v>#N/A</v>
          </cell>
          <cell r="I544" t="e">
            <v>#N/A</v>
          </cell>
          <cell r="J544" t="e">
            <v>#N/A</v>
          </cell>
          <cell r="K544" t="e">
            <v>#N/A</v>
          </cell>
          <cell r="L544" t="e">
            <v>#N/A</v>
          </cell>
          <cell r="M544" t="e">
            <v>#N/A</v>
          </cell>
          <cell r="N544" t="e">
            <v>#N/A</v>
          </cell>
          <cell r="O544" t="e">
            <v>#N/A</v>
          </cell>
          <cell r="P544">
            <v>13.68</v>
          </cell>
          <cell r="Q544">
            <v>3.3178739999999998</v>
          </cell>
          <cell r="R544" t="e">
            <v>#N/A</v>
          </cell>
        </row>
        <row r="545">
          <cell r="A545">
            <v>40760</v>
          </cell>
          <cell r="B545">
            <v>40760</v>
          </cell>
          <cell r="C545" t="str">
            <v>Past</v>
          </cell>
          <cell r="D545">
            <v>13.43</v>
          </cell>
          <cell r="E545" t="e">
            <v>#N/A</v>
          </cell>
          <cell r="F545" t="e">
            <v>#N/A</v>
          </cell>
          <cell r="G545" t="e">
            <v>#N/A</v>
          </cell>
          <cell r="H545" t="e">
            <v>#N/A</v>
          </cell>
          <cell r="I545" t="e">
            <v>#N/A</v>
          </cell>
          <cell r="J545" t="e">
            <v>#N/A</v>
          </cell>
          <cell r="K545" t="e">
            <v>#N/A</v>
          </cell>
          <cell r="L545" t="e">
            <v>#N/A</v>
          </cell>
          <cell r="M545" t="e">
            <v>#N/A</v>
          </cell>
          <cell r="N545" t="e">
            <v>#N/A</v>
          </cell>
          <cell r="O545" t="e">
            <v>#N/A</v>
          </cell>
          <cell r="P545">
            <v>13.43</v>
          </cell>
          <cell r="Q545">
            <v>10.9306</v>
          </cell>
          <cell r="R545" t="e">
            <v>#N/A</v>
          </cell>
        </row>
        <row r="546">
          <cell r="A546">
            <v>40763</v>
          </cell>
          <cell r="B546">
            <v>40763</v>
          </cell>
          <cell r="C546" t="str">
            <v>Past</v>
          </cell>
          <cell r="D546">
            <v>12.48</v>
          </cell>
          <cell r="E546" t="e">
            <v>#N/A</v>
          </cell>
          <cell r="F546" t="e">
            <v>#N/A</v>
          </cell>
          <cell r="G546" t="e">
            <v>#N/A</v>
          </cell>
          <cell r="H546" t="e">
            <v>#N/A</v>
          </cell>
          <cell r="I546" t="e">
            <v>#N/A</v>
          </cell>
          <cell r="J546" t="e">
            <v>#N/A</v>
          </cell>
          <cell r="K546" t="e">
            <v>#N/A</v>
          </cell>
          <cell r="L546" t="e">
            <v>#N/A</v>
          </cell>
          <cell r="M546" t="e">
            <v>#N/A</v>
          </cell>
          <cell r="N546" t="e">
            <v>#N/A</v>
          </cell>
          <cell r="O546" t="e">
            <v>#N/A</v>
          </cell>
          <cell r="P546">
            <v>12.48</v>
          </cell>
          <cell r="Q546">
            <v>5.4664239999999999</v>
          </cell>
          <cell r="R546" t="e">
            <v>#N/A</v>
          </cell>
        </row>
        <row r="547">
          <cell r="A547">
            <v>40764</v>
          </cell>
          <cell r="B547">
            <v>40764</v>
          </cell>
          <cell r="C547" t="str">
            <v>Past</v>
          </cell>
          <cell r="D547">
            <v>13.03</v>
          </cell>
          <cell r="E547" t="e">
            <v>#N/A</v>
          </cell>
          <cell r="F547" t="e">
            <v>#N/A</v>
          </cell>
          <cell r="G547" t="e">
            <v>#N/A</v>
          </cell>
          <cell r="H547" t="e">
            <v>#N/A</v>
          </cell>
          <cell r="I547" t="e">
            <v>#N/A</v>
          </cell>
          <cell r="J547" t="e">
            <v>#N/A</v>
          </cell>
          <cell r="K547" t="e">
            <v>#N/A</v>
          </cell>
          <cell r="L547" t="e">
            <v>#N/A</v>
          </cell>
          <cell r="M547" t="e">
            <v>#N/A</v>
          </cell>
          <cell r="N547" t="e">
            <v>#N/A</v>
          </cell>
          <cell r="O547" t="e">
            <v>#N/A</v>
          </cell>
          <cell r="P547">
            <v>13.03</v>
          </cell>
          <cell r="Q547">
            <v>10.383920000000002</v>
          </cell>
          <cell r="R547" t="e">
            <v>#N/A</v>
          </cell>
        </row>
        <row r="548">
          <cell r="A548">
            <v>40765</v>
          </cell>
          <cell r="B548">
            <v>40765</v>
          </cell>
          <cell r="C548" t="str">
            <v>Past</v>
          </cell>
          <cell r="D548">
            <v>12.99</v>
          </cell>
          <cell r="E548" t="e">
            <v>#N/A</v>
          </cell>
          <cell r="F548" t="e">
            <v>#N/A</v>
          </cell>
          <cell r="G548" t="e">
            <v>#N/A</v>
          </cell>
          <cell r="H548" t="e">
            <v>#N/A</v>
          </cell>
          <cell r="I548" t="e">
            <v>#N/A</v>
          </cell>
          <cell r="J548" t="e">
            <v>#N/A</v>
          </cell>
          <cell r="K548" t="e">
            <v>#N/A</v>
          </cell>
          <cell r="L548" t="e">
            <v>#N/A</v>
          </cell>
          <cell r="M548" t="e">
            <v>#N/A</v>
          </cell>
          <cell r="N548" t="e">
            <v>#N/A</v>
          </cell>
          <cell r="O548" t="e">
            <v>#N/A</v>
          </cell>
          <cell r="P548">
            <v>12.99</v>
          </cell>
          <cell r="Q548">
            <v>6.6745519999999994</v>
          </cell>
          <cell r="R548" t="e">
            <v>#N/A</v>
          </cell>
        </row>
        <row r="549">
          <cell r="A549">
            <v>40766</v>
          </cell>
          <cell r="B549">
            <v>40766</v>
          </cell>
          <cell r="C549" t="str">
            <v>Past</v>
          </cell>
          <cell r="D549">
            <v>13.8</v>
          </cell>
          <cell r="E549" t="e">
            <v>#N/A</v>
          </cell>
          <cell r="F549" t="e">
            <v>#N/A</v>
          </cell>
          <cell r="G549" t="e">
            <v>#N/A</v>
          </cell>
          <cell r="H549" t="e">
            <v>#N/A</v>
          </cell>
          <cell r="I549" t="e">
            <v>#N/A</v>
          </cell>
          <cell r="J549" t="e">
            <v>#N/A</v>
          </cell>
          <cell r="K549" t="e">
            <v>#N/A</v>
          </cell>
          <cell r="L549" t="e">
            <v>#N/A</v>
          </cell>
          <cell r="M549" t="e">
            <v>#N/A</v>
          </cell>
          <cell r="N549" t="e">
            <v>#N/A</v>
          </cell>
          <cell r="O549" t="e">
            <v>#N/A</v>
          </cell>
          <cell r="P549">
            <v>13.8</v>
          </cell>
          <cell r="Q549">
            <v>5.9046940000000001</v>
          </cell>
          <cell r="R549" t="e">
            <v>#N/A</v>
          </cell>
        </row>
        <row r="550">
          <cell r="A550">
            <v>40767</v>
          </cell>
          <cell r="B550">
            <v>40767</v>
          </cell>
          <cell r="C550" t="str">
            <v>Past</v>
          </cell>
          <cell r="D550">
            <v>13.74</v>
          </cell>
          <cell r="E550" t="e">
            <v>#N/A</v>
          </cell>
          <cell r="F550" t="e">
            <v>#N/A</v>
          </cell>
          <cell r="G550" t="e">
            <v>#N/A</v>
          </cell>
          <cell r="H550" t="e">
            <v>#N/A</v>
          </cell>
          <cell r="I550" t="e">
            <v>#N/A</v>
          </cell>
          <cell r="J550" t="e">
            <v>#N/A</v>
          </cell>
          <cell r="K550" t="e">
            <v>#N/A</v>
          </cell>
          <cell r="L550" t="e">
            <v>#N/A</v>
          </cell>
          <cell r="M550" t="e">
            <v>#N/A</v>
          </cell>
          <cell r="N550" t="e">
            <v>#N/A</v>
          </cell>
          <cell r="O550" t="e">
            <v>#N/A</v>
          </cell>
          <cell r="P550">
            <v>13.74</v>
          </cell>
          <cell r="Q550">
            <v>3.7796319999999999</v>
          </cell>
          <cell r="R550" t="e">
            <v>#N/A</v>
          </cell>
        </row>
        <row r="551">
          <cell r="A551">
            <v>40770</v>
          </cell>
          <cell r="B551">
            <v>40770</v>
          </cell>
          <cell r="C551" t="str">
            <v>Past</v>
          </cell>
          <cell r="D551">
            <v>14.3</v>
          </cell>
          <cell r="E551" t="e">
            <v>#N/A</v>
          </cell>
          <cell r="F551" t="e">
            <v>#N/A</v>
          </cell>
          <cell r="G551" t="e">
            <v>#N/A</v>
          </cell>
          <cell r="H551" t="e">
            <v>#N/A</v>
          </cell>
          <cell r="I551" t="e">
            <v>#N/A</v>
          </cell>
          <cell r="J551" t="e">
            <v>#N/A</v>
          </cell>
          <cell r="K551" t="e">
            <v>#N/A</v>
          </cell>
          <cell r="L551" t="e">
            <v>#N/A</v>
          </cell>
          <cell r="M551" t="e">
            <v>#N/A</v>
          </cell>
          <cell r="N551" t="e">
            <v>#N/A</v>
          </cell>
          <cell r="O551" t="e">
            <v>#N/A</v>
          </cell>
          <cell r="P551">
            <v>14.3</v>
          </cell>
          <cell r="Q551">
            <v>3.0225</v>
          </cell>
          <cell r="R551" t="e">
            <v>#N/A</v>
          </cell>
        </row>
        <row r="552">
          <cell r="A552">
            <v>40771</v>
          </cell>
          <cell r="B552">
            <v>40771</v>
          </cell>
          <cell r="C552" t="str">
            <v>Past</v>
          </cell>
          <cell r="D552">
            <v>14.63</v>
          </cell>
          <cell r="E552" t="e">
            <v>#N/A</v>
          </cell>
          <cell r="F552" t="e">
            <v>#N/A</v>
          </cell>
          <cell r="G552" t="e">
            <v>#N/A</v>
          </cell>
          <cell r="H552" t="e">
            <v>#N/A</v>
          </cell>
          <cell r="I552" t="e">
            <v>#N/A</v>
          </cell>
          <cell r="J552" t="e">
            <v>#N/A</v>
          </cell>
          <cell r="K552" t="e">
            <v>#N/A</v>
          </cell>
          <cell r="L552" t="e">
            <v>#N/A</v>
          </cell>
          <cell r="M552" t="e">
            <v>#N/A</v>
          </cell>
          <cell r="N552" t="e">
            <v>#N/A</v>
          </cell>
          <cell r="O552" t="e">
            <v>#N/A</v>
          </cell>
          <cell r="P552">
            <v>14.63</v>
          </cell>
          <cell r="Q552">
            <v>11.01886</v>
          </cell>
          <cell r="R552" t="e">
            <v>#N/A</v>
          </cell>
        </row>
        <row r="553">
          <cell r="A553">
            <v>40772</v>
          </cell>
          <cell r="B553">
            <v>40772</v>
          </cell>
          <cell r="C553" t="str">
            <v>Past</v>
          </cell>
          <cell r="D553">
            <v>14.49</v>
          </cell>
          <cell r="E553" t="e">
            <v>#N/A</v>
          </cell>
          <cell r="F553" t="e">
            <v>#N/A</v>
          </cell>
          <cell r="G553" t="e">
            <v>#N/A</v>
          </cell>
          <cell r="H553" t="e">
            <v>#N/A</v>
          </cell>
          <cell r="I553" t="e">
            <v>#N/A</v>
          </cell>
          <cell r="J553" t="e">
            <v>#N/A</v>
          </cell>
          <cell r="K553" t="e">
            <v>#N/A</v>
          </cell>
          <cell r="L553" t="e">
            <v>#N/A</v>
          </cell>
          <cell r="M553" t="e">
            <v>#N/A</v>
          </cell>
          <cell r="N553" t="e">
            <v>#N/A</v>
          </cell>
          <cell r="O553" t="e">
            <v>#N/A</v>
          </cell>
          <cell r="P553">
            <v>14.49</v>
          </cell>
          <cell r="Q553">
            <v>3.505992</v>
          </cell>
          <cell r="R553" t="e">
            <v>#N/A</v>
          </cell>
        </row>
        <row r="554">
          <cell r="A554">
            <v>40773</v>
          </cell>
          <cell r="B554">
            <v>40773</v>
          </cell>
          <cell r="C554" t="str">
            <v>Past</v>
          </cell>
          <cell r="D554">
            <v>14.3</v>
          </cell>
          <cell r="E554" t="e">
            <v>#N/A</v>
          </cell>
          <cell r="F554" t="e">
            <v>#N/A</v>
          </cell>
          <cell r="G554" t="e">
            <v>#N/A</v>
          </cell>
          <cell r="H554" t="e">
            <v>#N/A</v>
          </cell>
          <cell r="I554" t="e">
            <v>#N/A</v>
          </cell>
          <cell r="J554" t="e">
            <v>#N/A</v>
          </cell>
          <cell r="K554" t="e">
            <v>#N/A</v>
          </cell>
          <cell r="L554" t="e">
            <v>#N/A</v>
          </cell>
          <cell r="M554" t="e">
            <v>#N/A</v>
          </cell>
          <cell r="N554" t="e">
            <v>#N/A</v>
          </cell>
          <cell r="O554" t="e">
            <v>#N/A</v>
          </cell>
          <cell r="P554">
            <v>14.3</v>
          </cell>
          <cell r="Q554">
            <v>4.7268319999999999</v>
          </cell>
          <cell r="R554" t="e">
            <v>#N/A</v>
          </cell>
        </row>
        <row r="555">
          <cell r="A555">
            <v>40774</v>
          </cell>
          <cell r="B555">
            <v>40774</v>
          </cell>
          <cell r="C555" t="str">
            <v>Past</v>
          </cell>
          <cell r="D555">
            <v>14.46</v>
          </cell>
          <cell r="E555" t="e">
            <v>#N/A</v>
          </cell>
          <cell r="F555" t="e">
            <v>#N/A</v>
          </cell>
          <cell r="G555" t="e">
            <v>#N/A</v>
          </cell>
          <cell r="H555" t="e">
            <v>#N/A</v>
          </cell>
          <cell r="I555" t="e">
            <v>#N/A</v>
          </cell>
          <cell r="J555" t="e">
            <v>#N/A</v>
          </cell>
          <cell r="K555" t="e">
            <v>#N/A</v>
          </cell>
          <cell r="L555" t="e">
            <v>#N/A</v>
          </cell>
          <cell r="M555" t="e">
            <v>#N/A</v>
          </cell>
          <cell r="N555" t="e">
            <v>#N/A</v>
          </cell>
          <cell r="O555" t="e">
            <v>#N/A</v>
          </cell>
          <cell r="P555">
            <v>14.46</v>
          </cell>
          <cell r="Q555">
            <v>7.8624469999999995</v>
          </cell>
          <cell r="R555" t="e">
            <v>#N/A</v>
          </cell>
        </row>
        <row r="556">
          <cell r="A556">
            <v>40777</v>
          </cell>
          <cell r="B556">
            <v>40777</v>
          </cell>
          <cell r="C556" t="str">
            <v>Past</v>
          </cell>
          <cell r="D556">
            <v>14.22</v>
          </cell>
          <cell r="E556" t="e">
            <v>#N/A</v>
          </cell>
          <cell r="F556" t="e">
            <v>#N/A</v>
          </cell>
          <cell r="G556" t="e">
            <v>#N/A</v>
          </cell>
          <cell r="H556" t="e">
            <v>#N/A</v>
          </cell>
          <cell r="I556" t="e">
            <v>#N/A</v>
          </cell>
          <cell r="J556" t="e">
            <v>#N/A</v>
          </cell>
          <cell r="K556" t="e">
            <v>#N/A</v>
          </cell>
          <cell r="L556" t="e">
            <v>#N/A</v>
          </cell>
          <cell r="M556" t="e">
            <v>#N/A</v>
          </cell>
          <cell r="N556" t="e">
            <v>#N/A</v>
          </cell>
          <cell r="O556" t="e">
            <v>#N/A</v>
          </cell>
          <cell r="P556">
            <v>14.22</v>
          </cell>
          <cell r="Q556">
            <v>3.313774</v>
          </cell>
          <cell r="R556" t="e">
            <v>#N/A</v>
          </cell>
        </row>
        <row r="557">
          <cell r="A557">
            <v>40778</v>
          </cell>
          <cell r="B557">
            <v>40778</v>
          </cell>
          <cell r="C557" t="str">
            <v>Past</v>
          </cell>
          <cell r="D557">
            <v>14.34</v>
          </cell>
          <cell r="E557" t="e">
            <v>#N/A</v>
          </cell>
          <cell r="F557" t="e">
            <v>#N/A</v>
          </cell>
          <cell r="G557" t="e">
            <v>#N/A</v>
          </cell>
          <cell r="H557" t="e">
            <v>#N/A</v>
          </cell>
          <cell r="I557" t="e">
            <v>#N/A</v>
          </cell>
          <cell r="J557" t="e">
            <v>#N/A</v>
          </cell>
          <cell r="K557" t="e">
            <v>#N/A</v>
          </cell>
          <cell r="L557" t="e">
            <v>#N/A</v>
          </cell>
          <cell r="M557" t="e">
            <v>#N/A</v>
          </cell>
          <cell r="N557" t="e">
            <v>#N/A</v>
          </cell>
          <cell r="O557" t="e">
            <v>#N/A</v>
          </cell>
          <cell r="P557">
            <v>14.34</v>
          </cell>
          <cell r="Q557">
            <v>5.3917320000000002</v>
          </cell>
          <cell r="R557" t="e">
            <v>#N/A</v>
          </cell>
        </row>
        <row r="558">
          <cell r="A558">
            <v>40779</v>
          </cell>
          <cell r="B558">
            <v>40779</v>
          </cell>
          <cell r="C558" t="str">
            <v>Past</v>
          </cell>
          <cell r="D558">
            <v>14.6</v>
          </cell>
          <cell r="E558" t="e">
            <v>#N/A</v>
          </cell>
          <cell r="F558" t="e">
            <v>#N/A</v>
          </cell>
          <cell r="G558" t="e">
            <v>#N/A</v>
          </cell>
          <cell r="H558" t="e">
            <v>#N/A</v>
          </cell>
          <cell r="I558" t="e">
            <v>#N/A</v>
          </cell>
          <cell r="J558" t="e">
            <v>#N/A</v>
          </cell>
          <cell r="K558" t="e">
            <v>#N/A</v>
          </cell>
          <cell r="L558" t="e">
            <v>#N/A</v>
          </cell>
          <cell r="M558" t="e">
            <v>#N/A</v>
          </cell>
          <cell r="N558" t="e">
            <v>#N/A</v>
          </cell>
          <cell r="O558">
            <v>0</v>
          </cell>
          <cell r="P558">
            <v>14.6</v>
          </cell>
          <cell r="Q558">
            <v>2.3300529999999999</v>
          </cell>
          <cell r="R558" t="e">
            <v>#N/A</v>
          </cell>
        </row>
        <row r="559">
          <cell r="A559">
            <v>40780</v>
          </cell>
          <cell r="B559">
            <v>40780</v>
          </cell>
          <cell r="C559" t="str">
            <v>Current</v>
          </cell>
          <cell r="D559">
            <v>14.35</v>
          </cell>
          <cell r="E559">
            <v>14.35</v>
          </cell>
          <cell r="F559">
            <v>14.35</v>
          </cell>
          <cell r="G559">
            <v>14.35</v>
          </cell>
          <cell r="H559">
            <v>14.35</v>
          </cell>
          <cell r="I559">
            <v>14.35</v>
          </cell>
          <cell r="J559" t="e">
            <v>#N/A</v>
          </cell>
          <cell r="K559" t="e">
            <v>#N/A</v>
          </cell>
          <cell r="L559" t="e">
            <v>#N/A</v>
          </cell>
          <cell r="M559" t="e">
            <v>#N/A</v>
          </cell>
          <cell r="N559" t="e">
            <v>#N/A</v>
          </cell>
          <cell r="O559">
            <v>55.094300000000004</v>
          </cell>
          <cell r="P559">
            <v>14.35</v>
          </cell>
          <cell r="Q559">
            <v>2.5751249999999999</v>
          </cell>
          <cell r="R559" t="e">
            <v>#N/A</v>
          </cell>
        </row>
        <row r="560">
          <cell r="A560">
            <v>40781</v>
          </cell>
          <cell r="B560">
            <v>40781</v>
          </cell>
          <cell r="C560" t="str">
            <v>Future</v>
          </cell>
          <cell r="D560" t="e">
            <v>#N/A</v>
          </cell>
          <cell r="E560">
            <v>14.294594594594594</v>
          </cell>
          <cell r="F560">
            <v>14.362162162162162</v>
          </cell>
          <cell r="G560">
            <v>14.348648648648648</v>
          </cell>
          <cell r="H560">
            <v>14.348648648648648</v>
          </cell>
          <cell r="I560" t="e">
            <v>#N/A</v>
          </cell>
          <cell r="J560" t="e">
            <v>#N/A</v>
          </cell>
          <cell r="K560" t="e">
            <v>#N/A</v>
          </cell>
          <cell r="L560" t="e">
            <v>#N/A</v>
          </cell>
          <cell r="M560" t="e">
            <v>#N/A</v>
          </cell>
          <cell r="N560" t="e">
            <v>#N/A</v>
          </cell>
          <cell r="O560" t="e">
            <v>#N/A</v>
          </cell>
          <cell r="P560">
            <v>14.52</v>
          </cell>
          <cell r="Q560">
            <v>0</v>
          </cell>
          <cell r="R560" t="e">
            <v>#N/A</v>
          </cell>
        </row>
        <row r="561">
          <cell r="A561">
            <v>40784</v>
          </cell>
          <cell r="B561">
            <v>40784</v>
          </cell>
          <cell r="C561" t="str">
            <v>Future</v>
          </cell>
          <cell r="D561" t="e">
            <v>#N/A</v>
          </cell>
          <cell r="E561">
            <v>14.239189189189188</v>
          </cell>
          <cell r="F561">
            <v>14.374324324324325</v>
          </cell>
          <cell r="G561">
            <v>14.347297297297297</v>
          </cell>
          <cell r="H561">
            <v>14.347297297297297</v>
          </cell>
          <cell r="I561" t="e">
            <v>#N/A</v>
          </cell>
          <cell r="J561" t="e">
            <v>#N/A</v>
          </cell>
          <cell r="K561" t="e">
            <v>#N/A</v>
          </cell>
          <cell r="L561" t="e">
            <v>#N/A</v>
          </cell>
          <cell r="M561" t="e">
            <v>#N/A</v>
          </cell>
          <cell r="N561" t="e">
            <v>#N/A</v>
          </cell>
          <cell r="O561" t="e">
            <v>#N/A</v>
          </cell>
          <cell r="P561">
            <v>14.52</v>
          </cell>
          <cell r="Q561" t="str">
            <v/>
          </cell>
          <cell r="R561" t="e">
            <v>#N/A</v>
          </cell>
        </row>
        <row r="562">
          <cell r="A562">
            <v>40785</v>
          </cell>
          <cell r="B562">
            <v>40785</v>
          </cell>
          <cell r="C562" t="str">
            <v>Future</v>
          </cell>
          <cell r="D562" t="e">
            <v>#N/A</v>
          </cell>
          <cell r="E562">
            <v>14.183783783783783</v>
          </cell>
          <cell r="F562">
            <v>14.386486486486488</v>
          </cell>
          <cell r="G562">
            <v>14.345945945945946</v>
          </cell>
          <cell r="H562">
            <v>14.345945945945946</v>
          </cell>
          <cell r="I562" t="e">
            <v>#N/A</v>
          </cell>
          <cell r="J562" t="e">
            <v>#N/A</v>
          </cell>
          <cell r="K562" t="e">
            <v>#N/A</v>
          </cell>
          <cell r="L562" t="e">
            <v>#N/A</v>
          </cell>
          <cell r="M562" t="e">
            <v>#N/A</v>
          </cell>
          <cell r="N562" t="e">
            <v>#N/A</v>
          </cell>
          <cell r="O562" t="e">
            <v>#N/A</v>
          </cell>
          <cell r="P562">
            <v>14.52</v>
          </cell>
          <cell r="Q562" t="str">
            <v/>
          </cell>
          <cell r="R562" t="e">
            <v>#N/A</v>
          </cell>
        </row>
        <row r="563">
          <cell r="A563">
            <v>40786</v>
          </cell>
          <cell r="B563">
            <v>40786</v>
          </cell>
          <cell r="C563" t="str">
            <v>Future</v>
          </cell>
          <cell r="D563" t="e">
            <v>#N/A</v>
          </cell>
          <cell r="E563">
            <v>14.128378378378377</v>
          </cell>
          <cell r="F563">
            <v>14.398648648648651</v>
          </cell>
          <cell r="G563">
            <v>14.344594594594595</v>
          </cell>
          <cell r="H563">
            <v>14.344594594594595</v>
          </cell>
          <cell r="I563" t="e">
            <v>#N/A</v>
          </cell>
          <cell r="J563" t="e">
            <v>#N/A</v>
          </cell>
          <cell r="K563" t="e">
            <v>#N/A</v>
          </cell>
          <cell r="L563" t="e">
            <v>#N/A</v>
          </cell>
          <cell r="M563" t="e">
            <v>#N/A</v>
          </cell>
          <cell r="N563" t="e">
            <v>#N/A</v>
          </cell>
          <cell r="O563" t="e">
            <v>#N/A</v>
          </cell>
          <cell r="P563">
            <v>14.52</v>
          </cell>
          <cell r="Q563" t="str">
            <v/>
          </cell>
          <cell r="R563" t="e">
            <v>#N/A</v>
          </cell>
        </row>
        <row r="564">
          <cell r="A564">
            <v>40787</v>
          </cell>
          <cell r="B564">
            <v>40787</v>
          </cell>
          <cell r="C564" t="str">
            <v>Future</v>
          </cell>
          <cell r="D564" t="e">
            <v>#N/A</v>
          </cell>
          <cell r="E564">
            <v>14.072972972972972</v>
          </cell>
          <cell r="F564">
            <v>14.410810810810814</v>
          </cell>
          <cell r="G564">
            <v>14.343243243243244</v>
          </cell>
          <cell r="H564">
            <v>14.343243243243244</v>
          </cell>
          <cell r="I564" t="e">
            <v>#N/A</v>
          </cell>
          <cell r="J564" t="e">
            <v>#N/A</v>
          </cell>
          <cell r="K564" t="e">
            <v>#N/A</v>
          </cell>
          <cell r="L564" t="e">
            <v>#N/A</v>
          </cell>
          <cell r="M564" t="e">
            <v>#N/A</v>
          </cell>
          <cell r="N564" t="e">
            <v>#N/A</v>
          </cell>
          <cell r="O564" t="e">
            <v>#N/A</v>
          </cell>
          <cell r="P564">
            <v>14.52</v>
          </cell>
          <cell r="Q564" t="str">
            <v/>
          </cell>
          <cell r="R564" t="e">
            <v>#N/A</v>
          </cell>
        </row>
        <row r="565">
          <cell r="A565">
            <v>40788</v>
          </cell>
          <cell r="B565">
            <v>40788</v>
          </cell>
          <cell r="C565" t="str">
            <v>Future</v>
          </cell>
          <cell r="D565" t="e">
            <v>#N/A</v>
          </cell>
          <cell r="E565">
            <v>14.017567567567566</v>
          </cell>
          <cell r="F565">
            <v>14.422972972972977</v>
          </cell>
          <cell r="G565">
            <v>14.341891891891892</v>
          </cell>
          <cell r="H565">
            <v>14.341891891891892</v>
          </cell>
          <cell r="I565" t="e">
            <v>#N/A</v>
          </cell>
          <cell r="J565" t="e">
            <v>#N/A</v>
          </cell>
          <cell r="K565" t="e">
            <v>#N/A</v>
          </cell>
          <cell r="L565" t="e">
            <v>#N/A</v>
          </cell>
          <cell r="M565" t="e">
            <v>#N/A</v>
          </cell>
          <cell r="N565" t="e">
            <v>#N/A</v>
          </cell>
          <cell r="O565" t="e">
            <v>#N/A</v>
          </cell>
          <cell r="P565">
            <v>14.52</v>
          </cell>
          <cell r="Q565" t="str">
            <v/>
          </cell>
          <cell r="R565" t="e">
            <v>#N/A</v>
          </cell>
        </row>
        <row r="566">
          <cell r="A566">
            <v>40792</v>
          </cell>
          <cell r="B566">
            <v>40792</v>
          </cell>
          <cell r="C566" t="str">
            <v>Future</v>
          </cell>
          <cell r="D566" t="e">
            <v>#N/A</v>
          </cell>
          <cell r="E566">
            <v>13.96216216216216</v>
          </cell>
          <cell r="F566">
            <v>14.435135135135139</v>
          </cell>
          <cell r="G566">
            <v>14.340540540540541</v>
          </cell>
          <cell r="H566">
            <v>14.340540540540541</v>
          </cell>
          <cell r="I566" t="e">
            <v>#N/A</v>
          </cell>
          <cell r="J566" t="e">
            <v>#N/A</v>
          </cell>
          <cell r="K566" t="e">
            <v>#N/A</v>
          </cell>
          <cell r="L566" t="e">
            <v>#N/A</v>
          </cell>
          <cell r="M566" t="e">
            <v>#N/A</v>
          </cell>
          <cell r="N566" t="e">
            <v>#N/A</v>
          </cell>
          <cell r="O566" t="e">
            <v>#N/A</v>
          </cell>
          <cell r="P566">
            <v>14.52</v>
          </cell>
          <cell r="Q566" t="str">
            <v/>
          </cell>
          <cell r="R566" t="e">
            <v>#N/A</v>
          </cell>
        </row>
        <row r="567">
          <cell r="A567">
            <v>40793</v>
          </cell>
          <cell r="B567">
            <v>40793</v>
          </cell>
          <cell r="C567" t="str">
            <v>Future</v>
          </cell>
          <cell r="D567" t="e">
            <v>#N/A</v>
          </cell>
          <cell r="E567">
            <v>13.906756756756755</v>
          </cell>
          <cell r="F567">
            <v>14.447297297297302</v>
          </cell>
          <cell r="G567">
            <v>14.33918918918919</v>
          </cell>
          <cell r="H567">
            <v>14.33918918918919</v>
          </cell>
          <cell r="I567" t="e">
            <v>#N/A</v>
          </cell>
          <cell r="J567" t="e">
            <v>#N/A</v>
          </cell>
          <cell r="K567" t="e">
            <v>#N/A</v>
          </cell>
          <cell r="L567" t="e">
            <v>#N/A</v>
          </cell>
          <cell r="M567" t="e">
            <v>#N/A</v>
          </cell>
          <cell r="N567" t="e">
            <v>#N/A</v>
          </cell>
          <cell r="O567" t="e">
            <v>#N/A</v>
          </cell>
          <cell r="P567">
            <v>14.52</v>
          </cell>
          <cell r="Q567" t="str">
            <v/>
          </cell>
          <cell r="R567" t="e">
            <v>#N/A</v>
          </cell>
        </row>
        <row r="568">
          <cell r="A568">
            <v>40794</v>
          </cell>
          <cell r="B568">
            <v>40794</v>
          </cell>
          <cell r="C568" t="str">
            <v>Future</v>
          </cell>
          <cell r="D568" t="e">
            <v>#N/A</v>
          </cell>
          <cell r="E568">
            <v>13.851351351351349</v>
          </cell>
          <cell r="F568">
            <v>14.459459459459465</v>
          </cell>
          <cell r="G568">
            <v>14.337837837837839</v>
          </cell>
          <cell r="H568">
            <v>14.337837837837839</v>
          </cell>
          <cell r="I568" t="e">
            <v>#N/A</v>
          </cell>
          <cell r="J568" t="e">
            <v>#N/A</v>
          </cell>
          <cell r="K568" t="e">
            <v>#N/A</v>
          </cell>
          <cell r="L568" t="e">
            <v>#N/A</v>
          </cell>
          <cell r="M568" t="e">
            <v>#N/A</v>
          </cell>
          <cell r="N568" t="e">
            <v>#N/A</v>
          </cell>
          <cell r="O568" t="e">
            <v>#N/A</v>
          </cell>
          <cell r="P568">
            <v>14.52</v>
          </cell>
          <cell r="Q568" t="str">
            <v/>
          </cell>
          <cell r="R568" t="e">
            <v>#N/A</v>
          </cell>
        </row>
        <row r="569">
          <cell r="A569">
            <v>40795</v>
          </cell>
          <cell r="B569">
            <v>40795</v>
          </cell>
          <cell r="C569" t="str">
            <v>Future</v>
          </cell>
          <cell r="D569" t="e">
            <v>#N/A</v>
          </cell>
          <cell r="E569">
            <v>13.795945945945943</v>
          </cell>
          <cell r="F569">
            <v>14.471621621621628</v>
          </cell>
          <cell r="G569">
            <v>14.336486486486487</v>
          </cell>
          <cell r="H569">
            <v>14.336486486486487</v>
          </cell>
          <cell r="I569" t="e">
            <v>#N/A</v>
          </cell>
          <cell r="J569" t="e">
            <v>#N/A</v>
          </cell>
          <cell r="K569" t="e">
            <v>#N/A</v>
          </cell>
          <cell r="L569" t="e">
            <v>#N/A</v>
          </cell>
          <cell r="M569" t="e">
            <v>#N/A</v>
          </cell>
          <cell r="N569" t="e">
            <v>#N/A</v>
          </cell>
          <cell r="O569" t="e">
            <v>#N/A</v>
          </cell>
          <cell r="P569">
            <v>14.52</v>
          </cell>
          <cell r="Q569" t="str">
            <v/>
          </cell>
          <cell r="R569" t="e">
            <v>#N/A</v>
          </cell>
        </row>
        <row r="570">
          <cell r="A570">
            <v>40798</v>
          </cell>
          <cell r="B570">
            <v>40798</v>
          </cell>
          <cell r="C570" t="str">
            <v>Future</v>
          </cell>
          <cell r="D570" t="e">
            <v>#N/A</v>
          </cell>
          <cell r="E570">
            <v>13.740540540540538</v>
          </cell>
          <cell r="F570">
            <v>14.483783783783791</v>
          </cell>
          <cell r="G570">
            <v>14.335135135135136</v>
          </cell>
          <cell r="H570">
            <v>14.335135135135136</v>
          </cell>
          <cell r="I570" t="e">
            <v>#N/A</v>
          </cell>
          <cell r="J570" t="e">
            <v>#N/A</v>
          </cell>
          <cell r="K570" t="e">
            <v>#N/A</v>
          </cell>
          <cell r="L570" t="e">
            <v>#N/A</v>
          </cell>
          <cell r="M570" t="e">
            <v>#N/A</v>
          </cell>
          <cell r="N570" t="e">
            <v>#N/A</v>
          </cell>
          <cell r="O570" t="e">
            <v>#N/A</v>
          </cell>
          <cell r="P570">
            <v>14.52</v>
          </cell>
          <cell r="Q570" t="str">
            <v/>
          </cell>
          <cell r="R570" t="e">
            <v>#N/A</v>
          </cell>
        </row>
        <row r="571">
          <cell r="A571">
            <v>40799</v>
          </cell>
          <cell r="B571">
            <v>40799</v>
          </cell>
          <cell r="C571" t="str">
            <v>Future</v>
          </cell>
          <cell r="D571" t="e">
            <v>#N/A</v>
          </cell>
          <cell r="E571">
            <v>13.685135135135132</v>
          </cell>
          <cell r="F571">
            <v>14.495945945945953</v>
          </cell>
          <cell r="G571">
            <v>14.333783783783785</v>
          </cell>
          <cell r="H571">
            <v>14.333783783783785</v>
          </cell>
          <cell r="I571" t="e">
            <v>#N/A</v>
          </cell>
          <cell r="J571" t="e">
            <v>#N/A</v>
          </cell>
          <cell r="K571" t="e">
            <v>#N/A</v>
          </cell>
          <cell r="L571" t="e">
            <v>#N/A</v>
          </cell>
          <cell r="M571" t="e">
            <v>#N/A</v>
          </cell>
          <cell r="N571" t="e">
            <v>#N/A</v>
          </cell>
          <cell r="O571" t="e">
            <v>#N/A</v>
          </cell>
          <cell r="P571">
            <v>14.52</v>
          </cell>
          <cell r="Q571" t="str">
            <v/>
          </cell>
          <cell r="R571" t="e">
            <v>#N/A</v>
          </cell>
        </row>
        <row r="572">
          <cell r="A572">
            <v>40800</v>
          </cell>
          <cell r="B572">
            <v>40800</v>
          </cell>
          <cell r="C572" t="str">
            <v>Future</v>
          </cell>
          <cell r="D572" t="e">
            <v>#N/A</v>
          </cell>
          <cell r="E572">
            <v>13.629729729729727</v>
          </cell>
          <cell r="F572">
            <v>14.508108108108116</v>
          </cell>
          <cell r="G572">
            <v>14.332432432432434</v>
          </cell>
          <cell r="H572">
            <v>14.332432432432434</v>
          </cell>
          <cell r="I572" t="e">
            <v>#N/A</v>
          </cell>
          <cell r="J572" t="e">
            <v>#N/A</v>
          </cell>
          <cell r="K572" t="e">
            <v>#N/A</v>
          </cell>
          <cell r="L572" t="e">
            <v>#N/A</v>
          </cell>
          <cell r="M572" t="e">
            <v>#N/A</v>
          </cell>
          <cell r="N572" t="e">
            <v>#N/A</v>
          </cell>
          <cell r="O572" t="e">
            <v>#N/A</v>
          </cell>
          <cell r="P572">
            <v>14.52</v>
          </cell>
          <cell r="Q572" t="str">
            <v/>
          </cell>
          <cell r="R572" t="e">
            <v>#N/A</v>
          </cell>
        </row>
        <row r="573">
          <cell r="A573">
            <v>40801</v>
          </cell>
          <cell r="B573">
            <v>40801</v>
          </cell>
          <cell r="C573" t="str">
            <v>Future</v>
          </cell>
          <cell r="D573" t="e">
            <v>#N/A</v>
          </cell>
          <cell r="E573">
            <v>13.574324324324321</v>
          </cell>
          <cell r="F573">
            <v>14.520270270270279</v>
          </cell>
          <cell r="G573">
            <v>14.331081081081082</v>
          </cell>
          <cell r="H573">
            <v>14.331081081081082</v>
          </cell>
          <cell r="I573" t="e">
            <v>#N/A</v>
          </cell>
          <cell r="J573" t="e">
            <v>#N/A</v>
          </cell>
          <cell r="K573" t="e">
            <v>#N/A</v>
          </cell>
          <cell r="L573" t="e">
            <v>#N/A</v>
          </cell>
          <cell r="M573" t="e">
            <v>#N/A</v>
          </cell>
          <cell r="N573" t="e">
            <v>#N/A</v>
          </cell>
          <cell r="O573" t="e">
            <v>#N/A</v>
          </cell>
          <cell r="P573">
            <v>14.52</v>
          </cell>
          <cell r="Q573" t="str">
            <v/>
          </cell>
          <cell r="R573" t="e">
            <v>#N/A</v>
          </cell>
        </row>
        <row r="574">
          <cell r="A574">
            <v>40802</v>
          </cell>
          <cell r="B574">
            <v>40802</v>
          </cell>
          <cell r="C574" t="str">
            <v>Future</v>
          </cell>
          <cell r="D574" t="e">
            <v>#N/A</v>
          </cell>
          <cell r="E574">
            <v>13.518918918918915</v>
          </cell>
          <cell r="F574">
            <v>14.532432432432442</v>
          </cell>
          <cell r="G574">
            <v>14.329729729729731</v>
          </cell>
          <cell r="H574">
            <v>14.329729729729731</v>
          </cell>
          <cell r="I574" t="e">
            <v>#N/A</v>
          </cell>
          <cell r="J574" t="e">
            <v>#N/A</v>
          </cell>
          <cell r="K574" t="e">
            <v>#N/A</v>
          </cell>
          <cell r="L574" t="e">
            <v>#N/A</v>
          </cell>
          <cell r="M574" t="e">
            <v>#N/A</v>
          </cell>
          <cell r="N574" t="e">
            <v>#N/A</v>
          </cell>
          <cell r="O574" t="e">
            <v>#N/A</v>
          </cell>
          <cell r="P574">
            <v>14.52</v>
          </cell>
          <cell r="Q574" t="str">
            <v/>
          </cell>
          <cell r="R574" t="e">
            <v>#N/A</v>
          </cell>
        </row>
        <row r="575">
          <cell r="A575">
            <v>40805</v>
          </cell>
          <cell r="B575">
            <v>40805</v>
          </cell>
          <cell r="C575" t="str">
            <v>Future</v>
          </cell>
          <cell r="D575" t="e">
            <v>#N/A</v>
          </cell>
          <cell r="E575">
            <v>13.46351351351351</v>
          </cell>
          <cell r="F575">
            <v>14.544594594594605</v>
          </cell>
          <cell r="G575">
            <v>14.32837837837838</v>
          </cell>
          <cell r="H575">
            <v>14.32837837837838</v>
          </cell>
          <cell r="I575" t="e">
            <v>#N/A</v>
          </cell>
          <cell r="J575" t="e">
            <v>#N/A</v>
          </cell>
          <cell r="K575" t="e">
            <v>#N/A</v>
          </cell>
          <cell r="L575" t="e">
            <v>#N/A</v>
          </cell>
          <cell r="M575" t="e">
            <v>#N/A</v>
          </cell>
          <cell r="N575" t="e">
            <v>#N/A</v>
          </cell>
          <cell r="O575" t="e">
            <v>#N/A</v>
          </cell>
          <cell r="P575">
            <v>14.52</v>
          </cell>
          <cell r="Q575" t="str">
            <v/>
          </cell>
          <cell r="R575" t="e">
            <v>#N/A</v>
          </cell>
        </row>
        <row r="576">
          <cell r="A576">
            <v>40806</v>
          </cell>
          <cell r="B576">
            <v>40806</v>
          </cell>
          <cell r="C576" t="str">
            <v>Future</v>
          </cell>
          <cell r="D576" t="e">
            <v>#N/A</v>
          </cell>
          <cell r="E576">
            <v>13.408108108108104</v>
          </cell>
          <cell r="F576">
            <v>14.556756756756768</v>
          </cell>
          <cell r="G576">
            <v>14.327027027027029</v>
          </cell>
          <cell r="H576">
            <v>14.327027027027029</v>
          </cell>
          <cell r="I576" t="e">
            <v>#N/A</v>
          </cell>
          <cell r="J576" t="e">
            <v>#N/A</v>
          </cell>
          <cell r="K576" t="e">
            <v>#N/A</v>
          </cell>
          <cell r="L576" t="e">
            <v>#N/A</v>
          </cell>
          <cell r="M576" t="e">
            <v>#N/A</v>
          </cell>
          <cell r="N576" t="e">
            <v>#N/A</v>
          </cell>
          <cell r="O576" t="e">
            <v>#N/A</v>
          </cell>
          <cell r="P576">
            <v>14.52</v>
          </cell>
          <cell r="Q576" t="str">
            <v/>
          </cell>
          <cell r="R576" t="e">
            <v>#N/A</v>
          </cell>
        </row>
        <row r="577">
          <cell r="A577">
            <v>40807</v>
          </cell>
          <cell r="B577">
            <v>40807</v>
          </cell>
          <cell r="C577" t="str">
            <v>Future</v>
          </cell>
          <cell r="D577" t="e">
            <v>#N/A</v>
          </cell>
          <cell r="E577">
            <v>13.352702702702699</v>
          </cell>
          <cell r="F577">
            <v>14.56891891891893</v>
          </cell>
          <cell r="G577">
            <v>14.325675675675678</v>
          </cell>
          <cell r="H577">
            <v>14.325675675675678</v>
          </cell>
          <cell r="I577" t="e">
            <v>#N/A</v>
          </cell>
          <cell r="J577" t="e">
            <v>#N/A</v>
          </cell>
          <cell r="K577" t="e">
            <v>#N/A</v>
          </cell>
          <cell r="L577" t="e">
            <v>#N/A</v>
          </cell>
          <cell r="M577" t="e">
            <v>#N/A</v>
          </cell>
          <cell r="N577" t="e">
            <v>#N/A</v>
          </cell>
          <cell r="O577" t="e">
            <v>#N/A</v>
          </cell>
          <cell r="P577">
            <v>14.52</v>
          </cell>
          <cell r="Q577" t="str">
            <v/>
          </cell>
          <cell r="R577" t="e">
            <v>#N/A</v>
          </cell>
        </row>
        <row r="578">
          <cell r="A578">
            <v>40808</v>
          </cell>
          <cell r="B578">
            <v>40808</v>
          </cell>
          <cell r="C578" t="str">
            <v>Future</v>
          </cell>
          <cell r="D578" t="e">
            <v>#N/A</v>
          </cell>
          <cell r="E578">
            <v>13.297297297297293</v>
          </cell>
          <cell r="F578">
            <v>14.581081081081093</v>
          </cell>
          <cell r="G578">
            <v>14.324324324324326</v>
          </cell>
          <cell r="H578">
            <v>14.324324324324326</v>
          </cell>
          <cell r="I578" t="e">
            <v>#N/A</v>
          </cell>
          <cell r="J578" t="e">
            <v>#N/A</v>
          </cell>
          <cell r="K578" t="e">
            <v>#N/A</v>
          </cell>
          <cell r="L578" t="e">
            <v>#N/A</v>
          </cell>
          <cell r="M578" t="e">
            <v>#N/A</v>
          </cell>
          <cell r="N578" t="e">
            <v>#N/A</v>
          </cell>
          <cell r="O578" t="e">
            <v>#N/A</v>
          </cell>
          <cell r="P578">
            <v>14.52</v>
          </cell>
          <cell r="Q578" t="str">
            <v/>
          </cell>
          <cell r="R578" t="e">
            <v>#N/A</v>
          </cell>
        </row>
        <row r="579">
          <cell r="A579">
            <v>40809</v>
          </cell>
          <cell r="B579">
            <v>40809</v>
          </cell>
          <cell r="C579" t="str">
            <v>Future</v>
          </cell>
          <cell r="D579" t="e">
            <v>#N/A</v>
          </cell>
          <cell r="E579">
            <v>13.241891891891887</v>
          </cell>
          <cell r="F579">
            <v>14.593243243243256</v>
          </cell>
          <cell r="G579">
            <v>14.322972972972975</v>
          </cell>
          <cell r="H579">
            <v>14.322972972972975</v>
          </cell>
          <cell r="I579" t="e">
            <v>#N/A</v>
          </cell>
          <cell r="J579" t="e">
            <v>#N/A</v>
          </cell>
          <cell r="K579" t="e">
            <v>#N/A</v>
          </cell>
          <cell r="L579" t="e">
            <v>#N/A</v>
          </cell>
          <cell r="M579" t="e">
            <v>#N/A</v>
          </cell>
          <cell r="N579" t="e">
            <v>#N/A</v>
          </cell>
          <cell r="O579" t="e">
            <v>#N/A</v>
          </cell>
          <cell r="P579">
            <v>14.52</v>
          </cell>
          <cell r="Q579" t="str">
            <v/>
          </cell>
          <cell r="R579" t="e">
            <v>#N/A</v>
          </cell>
        </row>
        <row r="580">
          <cell r="A580">
            <v>40812</v>
          </cell>
          <cell r="B580">
            <v>40812</v>
          </cell>
          <cell r="C580" t="str">
            <v>Future</v>
          </cell>
          <cell r="D580" t="e">
            <v>#N/A</v>
          </cell>
          <cell r="E580">
            <v>13.186486486486482</v>
          </cell>
          <cell r="F580">
            <v>14.605405405405419</v>
          </cell>
          <cell r="G580">
            <v>14.321621621621624</v>
          </cell>
          <cell r="H580">
            <v>14.321621621621624</v>
          </cell>
          <cell r="I580" t="e">
            <v>#N/A</v>
          </cell>
          <cell r="J580" t="e">
            <v>#N/A</v>
          </cell>
          <cell r="K580" t="e">
            <v>#N/A</v>
          </cell>
          <cell r="L580" t="e">
            <v>#N/A</v>
          </cell>
          <cell r="M580" t="e">
            <v>#N/A</v>
          </cell>
          <cell r="N580" t="e">
            <v>#N/A</v>
          </cell>
          <cell r="O580" t="e">
            <v>#N/A</v>
          </cell>
          <cell r="P580">
            <v>14.52</v>
          </cell>
          <cell r="Q580" t="str">
            <v/>
          </cell>
          <cell r="R580" t="e">
            <v>#N/A</v>
          </cell>
        </row>
        <row r="581">
          <cell r="A581">
            <v>40813</v>
          </cell>
          <cell r="B581">
            <v>40813</v>
          </cell>
          <cell r="C581" t="str">
            <v>Future</v>
          </cell>
          <cell r="D581" t="e">
            <v>#N/A</v>
          </cell>
          <cell r="E581">
            <v>13.131081081081076</v>
          </cell>
          <cell r="F581">
            <v>14.617567567567582</v>
          </cell>
          <cell r="G581">
            <v>14.320270270270273</v>
          </cell>
          <cell r="H581">
            <v>14.320270270270273</v>
          </cell>
          <cell r="I581" t="e">
            <v>#N/A</v>
          </cell>
          <cell r="J581" t="e">
            <v>#N/A</v>
          </cell>
          <cell r="K581" t="e">
            <v>#N/A</v>
          </cell>
          <cell r="L581" t="e">
            <v>#N/A</v>
          </cell>
          <cell r="M581" t="e">
            <v>#N/A</v>
          </cell>
          <cell r="N581" t="e">
            <v>#N/A</v>
          </cell>
          <cell r="O581" t="e">
            <v>#N/A</v>
          </cell>
          <cell r="P581">
            <v>14.52</v>
          </cell>
          <cell r="Q581" t="str">
            <v/>
          </cell>
          <cell r="R581" t="e">
            <v>#N/A</v>
          </cell>
        </row>
        <row r="582">
          <cell r="A582">
            <v>40814</v>
          </cell>
          <cell r="B582">
            <v>40814</v>
          </cell>
          <cell r="C582" t="str">
            <v>Future</v>
          </cell>
          <cell r="D582" t="e">
            <v>#N/A</v>
          </cell>
          <cell r="E582">
            <v>13.07567567567567</v>
          </cell>
          <cell r="F582">
            <v>14.629729729729744</v>
          </cell>
          <cell r="G582">
            <v>14.318918918918921</v>
          </cell>
          <cell r="H582">
            <v>14.318918918918921</v>
          </cell>
          <cell r="I582" t="e">
            <v>#N/A</v>
          </cell>
          <cell r="J582" t="e">
            <v>#N/A</v>
          </cell>
          <cell r="K582" t="e">
            <v>#N/A</v>
          </cell>
          <cell r="L582" t="e">
            <v>#N/A</v>
          </cell>
          <cell r="M582" t="e">
            <v>#N/A</v>
          </cell>
          <cell r="N582" t="e">
            <v>#N/A</v>
          </cell>
          <cell r="O582" t="e">
            <v>#N/A</v>
          </cell>
          <cell r="P582">
            <v>14.52</v>
          </cell>
          <cell r="Q582" t="str">
            <v/>
          </cell>
          <cell r="R582" t="e">
            <v>#N/A</v>
          </cell>
        </row>
        <row r="583">
          <cell r="A583">
            <v>40815</v>
          </cell>
          <cell r="B583">
            <v>40815</v>
          </cell>
          <cell r="C583" t="str">
            <v>Future</v>
          </cell>
          <cell r="D583" t="e">
            <v>#N/A</v>
          </cell>
          <cell r="E583">
            <v>13.020270270270265</v>
          </cell>
          <cell r="F583">
            <v>14.641891891891907</v>
          </cell>
          <cell r="G583">
            <v>14.31756756756757</v>
          </cell>
          <cell r="H583">
            <v>14.31756756756757</v>
          </cell>
          <cell r="I583" t="e">
            <v>#N/A</v>
          </cell>
          <cell r="J583" t="e">
            <v>#N/A</v>
          </cell>
          <cell r="K583" t="e">
            <v>#N/A</v>
          </cell>
          <cell r="L583" t="e">
            <v>#N/A</v>
          </cell>
          <cell r="M583" t="e">
            <v>#N/A</v>
          </cell>
          <cell r="N583" t="e">
            <v>#N/A</v>
          </cell>
          <cell r="O583" t="e">
            <v>#N/A</v>
          </cell>
          <cell r="P583">
            <v>14.52</v>
          </cell>
          <cell r="Q583" t="str">
            <v/>
          </cell>
          <cell r="R583" t="e">
            <v>#N/A</v>
          </cell>
        </row>
        <row r="584">
          <cell r="A584">
            <v>40816</v>
          </cell>
          <cell r="B584">
            <v>40816</v>
          </cell>
          <cell r="C584" t="str">
            <v>Future</v>
          </cell>
          <cell r="D584" t="e">
            <v>#N/A</v>
          </cell>
          <cell r="E584">
            <v>12.964864864864859</v>
          </cell>
          <cell r="F584">
            <v>14.65405405405407</v>
          </cell>
          <cell r="G584">
            <v>14.316216216216219</v>
          </cell>
          <cell r="H584">
            <v>14.316216216216219</v>
          </cell>
          <cell r="I584" t="e">
            <v>#N/A</v>
          </cell>
          <cell r="J584" t="e">
            <v>#N/A</v>
          </cell>
          <cell r="K584" t="e">
            <v>#N/A</v>
          </cell>
          <cell r="L584" t="e">
            <v>#N/A</v>
          </cell>
          <cell r="M584" t="e">
            <v>#N/A</v>
          </cell>
          <cell r="N584" t="e">
            <v>#N/A</v>
          </cell>
          <cell r="O584" t="e">
            <v>#N/A</v>
          </cell>
          <cell r="P584">
            <v>14.52</v>
          </cell>
          <cell r="Q584" t="str">
            <v/>
          </cell>
          <cell r="R584" t="e">
            <v>#N/A</v>
          </cell>
        </row>
        <row r="585">
          <cell r="A585">
            <v>40819</v>
          </cell>
          <cell r="B585">
            <v>40819</v>
          </cell>
          <cell r="C585" t="str">
            <v>Future</v>
          </cell>
          <cell r="D585" t="e">
            <v>#N/A</v>
          </cell>
          <cell r="E585">
            <v>12.909459459459454</v>
          </cell>
          <cell r="F585">
            <v>14.666216216216233</v>
          </cell>
          <cell r="G585">
            <v>14.314864864864868</v>
          </cell>
          <cell r="H585">
            <v>14.314864864864868</v>
          </cell>
          <cell r="I585" t="e">
            <v>#N/A</v>
          </cell>
          <cell r="J585" t="e">
            <v>#N/A</v>
          </cell>
          <cell r="K585" t="e">
            <v>#N/A</v>
          </cell>
          <cell r="L585" t="e">
            <v>#N/A</v>
          </cell>
          <cell r="M585" t="e">
            <v>#N/A</v>
          </cell>
          <cell r="N585" t="e">
            <v>#N/A</v>
          </cell>
          <cell r="O585" t="e">
            <v>#N/A</v>
          </cell>
          <cell r="P585">
            <v>14.52</v>
          </cell>
          <cell r="Q585" t="str">
            <v/>
          </cell>
          <cell r="R585" t="e">
            <v>#N/A</v>
          </cell>
        </row>
        <row r="586">
          <cell r="A586">
            <v>40820</v>
          </cell>
          <cell r="B586">
            <v>40820</v>
          </cell>
          <cell r="C586" t="str">
            <v>Future</v>
          </cell>
          <cell r="D586" t="e">
            <v>#N/A</v>
          </cell>
          <cell r="E586">
            <v>12.854054054054048</v>
          </cell>
          <cell r="F586">
            <v>14.678378378378396</v>
          </cell>
          <cell r="G586">
            <v>14.313513513513517</v>
          </cell>
          <cell r="H586">
            <v>14.313513513513517</v>
          </cell>
          <cell r="I586" t="e">
            <v>#N/A</v>
          </cell>
          <cell r="J586" t="e">
            <v>#N/A</v>
          </cell>
          <cell r="K586" t="e">
            <v>#N/A</v>
          </cell>
          <cell r="L586" t="e">
            <v>#N/A</v>
          </cell>
          <cell r="M586" t="e">
            <v>#N/A</v>
          </cell>
          <cell r="N586" t="e">
            <v>#N/A</v>
          </cell>
          <cell r="O586" t="e">
            <v>#N/A</v>
          </cell>
          <cell r="P586">
            <v>14.52</v>
          </cell>
          <cell r="Q586" t="str">
            <v/>
          </cell>
          <cell r="R586" t="e">
            <v>#N/A</v>
          </cell>
        </row>
        <row r="587">
          <cell r="A587">
            <v>40821</v>
          </cell>
          <cell r="B587">
            <v>40821</v>
          </cell>
          <cell r="C587" t="str">
            <v>Future</v>
          </cell>
          <cell r="D587" t="e">
            <v>#N/A</v>
          </cell>
          <cell r="E587">
            <v>12.798648648648642</v>
          </cell>
          <cell r="F587">
            <v>14.690540540540558</v>
          </cell>
          <cell r="G587">
            <v>14.312162162162165</v>
          </cell>
          <cell r="H587">
            <v>14.312162162162165</v>
          </cell>
          <cell r="I587" t="e">
            <v>#N/A</v>
          </cell>
          <cell r="J587" t="e">
            <v>#N/A</v>
          </cell>
          <cell r="K587" t="e">
            <v>#N/A</v>
          </cell>
          <cell r="L587" t="e">
            <v>#N/A</v>
          </cell>
          <cell r="M587" t="e">
            <v>#N/A</v>
          </cell>
          <cell r="N587" t="e">
            <v>#N/A</v>
          </cell>
          <cell r="O587" t="e">
            <v>#N/A</v>
          </cell>
          <cell r="P587">
            <v>14.52</v>
          </cell>
          <cell r="Q587" t="str">
            <v/>
          </cell>
          <cell r="R587" t="e">
            <v>#N/A</v>
          </cell>
        </row>
        <row r="588">
          <cell r="A588">
            <v>40822</v>
          </cell>
          <cell r="B588">
            <v>40822</v>
          </cell>
          <cell r="C588" t="str">
            <v>Future</v>
          </cell>
          <cell r="D588" t="e">
            <v>#N/A</v>
          </cell>
          <cell r="E588">
            <v>12.743243243243237</v>
          </cell>
          <cell r="F588">
            <v>14.702702702702721</v>
          </cell>
          <cell r="G588">
            <v>14.310810810810814</v>
          </cell>
          <cell r="H588">
            <v>14.310810810810814</v>
          </cell>
          <cell r="I588" t="e">
            <v>#N/A</v>
          </cell>
          <cell r="J588" t="e">
            <v>#N/A</v>
          </cell>
          <cell r="K588" t="e">
            <v>#N/A</v>
          </cell>
          <cell r="L588" t="e">
            <v>#N/A</v>
          </cell>
          <cell r="M588" t="e">
            <v>#N/A</v>
          </cell>
          <cell r="N588" t="e">
            <v>#N/A</v>
          </cell>
          <cell r="O588" t="e">
            <v>#N/A</v>
          </cell>
          <cell r="P588">
            <v>14.52</v>
          </cell>
          <cell r="Q588" t="str">
            <v/>
          </cell>
          <cell r="R588" t="e">
            <v>#N/A</v>
          </cell>
        </row>
        <row r="589">
          <cell r="A589">
            <v>40823</v>
          </cell>
          <cell r="B589">
            <v>40823</v>
          </cell>
          <cell r="C589" t="str">
            <v>Future</v>
          </cell>
          <cell r="D589" t="e">
            <v>#N/A</v>
          </cell>
          <cell r="E589">
            <v>12.687837837837831</v>
          </cell>
          <cell r="F589">
            <v>14.714864864864884</v>
          </cell>
          <cell r="G589">
            <v>14.309459459459463</v>
          </cell>
          <cell r="H589">
            <v>14.309459459459463</v>
          </cell>
          <cell r="I589" t="e">
            <v>#N/A</v>
          </cell>
          <cell r="J589" t="e">
            <v>#N/A</v>
          </cell>
          <cell r="K589" t="e">
            <v>#N/A</v>
          </cell>
          <cell r="L589" t="e">
            <v>#N/A</v>
          </cell>
          <cell r="M589" t="e">
            <v>#N/A</v>
          </cell>
          <cell r="N589" t="e">
            <v>#N/A</v>
          </cell>
          <cell r="O589" t="e">
            <v>#N/A</v>
          </cell>
          <cell r="P589">
            <v>14.52</v>
          </cell>
          <cell r="Q589" t="str">
            <v/>
          </cell>
          <cell r="R589" t="e">
            <v>#N/A</v>
          </cell>
        </row>
        <row r="590">
          <cell r="A590">
            <v>40826</v>
          </cell>
          <cell r="B590">
            <v>40826</v>
          </cell>
          <cell r="C590" t="str">
            <v>Future</v>
          </cell>
          <cell r="D590" t="e">
            <v>#N/A</v>
          </cell>
          <cell r="E590">
            <v>12.632432432432426</v>
          </cell>
          <cell r="F590">
            <v>14.727027027027047</v>
          </cell>
          <cell r="G590">
            <v>14.308108108108112</v>
          </cell>
          <cell r="H590">
            <v>14.308108108108112</v>
          </cell>
          <cell r="I590" t="e">
            <v>#N/A</v>
          </cell>
          <cell r="J590" t="e">
            <v>#N/A</v>
          </cell>
          <cell r="K590" t="e">
            <v>#N/A</v>
          </cell>
          <cell r="L590" t="e">
            <v>#N/A</v>
          </cell>
          <cell r="M590" t="e">
            <v>#N/A</v>
          </cell>
          <cell r="N590" t="e">
            <v>#N/A</v>
          </cell>
          <cell r="O590" t="e">
            <v>#N/A</v>
          </cell>
          <cell r="P590">
            <v>14.52</v>
          </cell>
          <cell r="Q590" t="str">
            <v/>
          </cell>
          <cell r="R590" t="e">
            <v>#N/A</v>
          </cell>
        </row>
        <row r="591">
          <cell r="A591">
            <v>40827</v>
          </cell>
          <cell r="B591">
            <v>40827</v>
          </cell>
          <cell r="C591" t="str">
            <v>Future</v>
          </cell>
          <cell r="D591" t="e">
            <v>#N/A</v>
          </cell>
          <cell r="E591">
            <v>12.57702702702702</v>
          </cell>
          <cell r="F591">
            <v>14.73918918918921</v>
          </cell>
          <cell r="G591">
            <v>14.30675675675676</v>
          </cell>
          <cell r="H591">
            <v>14.30675675675676</v>
          </cell>
          <cell r="I591" t="e">
            <v>#N/A</v>
          </cell>
          <cell r="J591" t="e">
            <v>#N/A</v>
          </cell>
          <cell r="K591" t="e">
            <v>#N/A</v>
          </cell>
          <cell r="L591" t="e">
            <v>#N/A</v>
          </cell>
          <cell r="M591" t="e">
            <v>#N/A</v>
          </cell>
          <cell r="N591" t="e">
            <v>#N/A</v>
          </cell>
          <cell r="O591" t="e">
            <v>#N/A</v>
          </cell>
          <cell r="P591">
            <v>14.52</v>
          </cell>
          <cell r="Q591" t="str">
            <v/>
          </cell>
          <cell r="R591" t="e">
            <v>#N/A</v>
          </cell>
        </row>
        <row r="592">
          <cell r="A592">
            <v>40828</v>
          </cell>
          <cell r="B592">
            <v>40828</v>
          </cell>
          <cell r="C592" t="str">
            <v>Future</v>
          </cell>
          <cell r="D592" t="e">
            <v>#N/A</v>
          </cell>
          <cell r="E592">
            <v>12.521621621621614</v>
          </cell>
          <cell r="F592">
            <v>14.751351351351373</v>
          </cell>
          <cell r="G592">
            <v>14.305405405405409</v>
          </cell>
          <cell r="H592">
            <v>14.305405405405409</v>
          </cell>
          <cell r="I592" t="e">
            <v>#N/A</v>
          </cell>
          <cell r="J592" t="e">
            <v>#N/A</v>
          </cell>
          <cell r="K592" t="e">
            <v>#N/A</v>
          </cell>
          <cell r="L592" t="e">
            <v>#N/A</v>
          </cell>
          <cell r="M592" t="e">
            <v>#N/A</v>
          </cell>
          <cell r="N592" t="e">
            <v>#N/A</v>
          </cell>
          <cell r="O592" t="e">
            <v>#N/A</v>
          </cell>
          <cell r="P592">
            <v>14.52</v>
          </cell>
          <cell r="Q592" t="str">
            <v/>
          </cell>
          <cell r="R592" t="e">
            <v>#N/A</v>
          </cell>
        </row>
        <row r="593">
          <cell r="A593">
            <v>40829</v>
          </cell>
          <cell r="B593">
            <v>40829</v>
          </cell>
          <cell r="C593" t="str">
            <v>Future</v>
          </cell>
          <cell r="D593" t="e">
            <v>#N/A</v>
          </cell>
          <cell r="E593">
            <v>12.466216216216209</v>
          </cell>
          <cell r="F593">
            <v>14.763513513513535</v>
          </cell>
          <cell r="G593">
            <v>14.304054054054058</v>
          </cell>
          <cell r="H593">
            <v>14.304054054054058</v>
          </cell>
          <cell r="I593" t="e">
            <v>#N/A</v>
          </cell>
          <cell r="J593" t="e">
            <v>#N/A</v>
          </cell>
          <cell r="K593" t="e">
            <v>#N/A</v>
          </cell>
          <cell r="L593" t="e">
            <v>#N/A</v>
          </cell>
          <cell r="M593" t="e">
            <v>#N/A</v>
          </cell>
          <cell r="N593" t="e">
            <v>#N/A</v>
          </cell>
          <cell r="O593" t="e">
            <v>#N/A</v>
          </cell>
          <cell r="P593">
            <v>14.52</v>
          </cell>
          <cell r="Q593" t="str">
            <v/>
          </cell>
          <cell r="R593" t="e">
            <v>#N/A</v>
          </cell>
        </row>
        <row r="594">
          <cell r="A594">
            <v>40830</v>
          </cell>
          <cell r="B594">
            <v>40830</v>
          </cell>
          <cell r="C594" t="str">
            <v>Future</v>
          </cell>
          <cell r="D594" t="e">
            <v>#N/A</v>
          </cell>
          <cell r="E594">
            <v>12.410810810810803</v>
          </cell>
          <cell r="F594">
            <v>14.775675675675698</v>
          </cell>
          <cell r="G594">
            <v>14.302702702702707</v>
          </cell>
          <cell r="H594">
            <v>14.302702702702707</v>
          </cell>
          <cell r="I594" t="e">
            <v>#N/A</v>
          </cell>
          <cell r="J594" t="e">
            <v>#N/A</v>
          </cell>
          <cell r="K594" t="e">
            <v>#N/A</v>
          </cell>
          <cell r="L594" t="e">
            <v>#N/A</v>
          </cell>
          <cell r="M594" t="e">
            <v>#N/A</v>
          </cell>
          <cell r="N594" t="e">
            <v>#N/A</v>
          </cell>
          <cell r="O594" t="e">
            <v>#N/A</v>
          </cell>
          <cell r="P594">
            <v>14.52</v>
          </cell>
          <cell r="Q594" t="str">
            <v/>
          </cell>
          <cell r="R594" t="e">
            <v>#N/A</v>
          </cell>
        </row>
        <row r="595">
          <cell r="A595">
            <v>40833</v>
          </cell>
          <cell r="B595">
            <v>40833</v>
          </cell>
          <cell r="C595" t="str">
            <v>Future</v>
          </cell>
          <cell r="D595" t="e">
            <v>#N/A</v>
          </cell>
          <cell r="E595">
            <v>12.355405405405397</v>
          </cell>
          <cell r="F595">
            <v>14.787837837837861</v>
          </cell>
          <cell r="G595">
            <v>14.301351351351355</v>
          </cell>
          <cell r="H595">
            <v>14.301351351351355</v>
          </cell>
          <cell r="I595" t="e">
            <v>#N/A</v>
          </cell>
          <cell r="J595" t="e">
            <v>#N/A</v>
          </cell>
          <cell r="K595" t="e">
            <v>#N/A</v>
          </cell>
          <cell r="L595" t="e">
            <v>#N/A</v>
          </cell>
          <cell r="M595" t="e">
            <v>#N/A</v>
          </cell>
          <cell r="N595" t="e">
            <v>#N/A</v>
          </cell>
          <cell r="O595" t="e">
            <v>#N/A</v>
          </cell>
          <cell r="P595">
            <v>14.52</v>
          </cell>
          <cell r="Q595" t="str">
            <v/>
          </cell>
          <cell r="R595" t="e">
            <v>#N/A</v>
          </cell>
        </row>
        <row r="596">
          <cell r="A596">
            <v>40834</v>
          </cell>
          <cell r="B596">
            <v>40834</v>
          </cell>
          <cell r="C596" t="str">
            <v>Future</v>
          </cell>
          <cell r="D596" t="e">
            <v>#N/A</v>
          </cell>
          <cell r="E596">
            <v>12.299999999999992</v>
          </cell>
          <cell r="F596">
            <v>14.800000000000024</v>
          </cell>
          <cell r="G596">
            <v>14.300000000000004</v>
          </cell>
          <cell r="H596">
            <v>14.300000000000004</v>
          </cell>
          <cell r="I596" t="e">
            <v>#N/A</v>
          </cell>
          <cell r="J596" t="e">
            <v>#N/A</v>
          </cell>
          <cell r="K596" t="e">
            <v>#N/A</v>
          </cell>
          <cell r="L596" t="e">
            <v>#N/A</v>
          </cell>
          <cell r="M596" t="e">
            <v>#N/A</v>
          </cell>
          <cell r="N596" t="e">
            <v>#N/A</v>
          </cell>
          <cell r="O596" t="e">
            <v>#N/A</v>
          </cell>
          <cell r="P596">
            <v>14.52</v>
          </cell>
          <cell r="Q596" t="str">
            <v/>
          </cell>
          <cell r="R596" t="e">
            <v>#N/A</v>
          </cell>
        </row>
        <row r="597">
          <cell r="A597">
            <v>40835</v>
          </cell>
          <cell r="B597">
            <v>40835</v>
          </cell>
          <cell r="C597" t="str">
            <v>Future</v>
          </cell>
          <cell r="D597" t="e">
            <v>#N/A</v>
          </cell>
          <cell r="E597">
            <v>12.244594594594586</v>
          </cell>
          <cell r="F597">
            <v>14.812162162162187</v>
          </cell>
          <cell r="G597">
            <v>14.298648648648653</v>
          </cell>
          <cell r="H597">
            <v>14.298648648648653</v>
          </cell>
          <cell r="I597" t="e">
            <v>#N/A</v>
          </cell>
          <cell r="J597" t="e">
            <v>#N/A</v>
          </cell>
          <cell r="K597" t="e">
            <v>#N/A</v>
          </cell>
          <cell r="L597" t="e">
            <v>#N/A</v>
          </cell>
          <cell r="M597" t="e">
            <v>#N/A</v>
          </cell>
          <cell r="N597" t="e">
            <v>#N/A</v>
          </cell>
          <cell r="O597" t="e">
            <v>#N/A</v>
          </cell>
          <cell r="P597">
            <v>14.52</v>
          </cell>
          <cell r="Q597" t="str">
            <v/>
          </cell>
          <cell r="R597" t="e">
            <v>#N/A</v>
          </cell>
        </row>
        <row r="598">
          <cell r="A598">
            <v>40836</v>
          </cell>
          <cell r="B598">
            <v>40836</v>
          </cell>
          <cell r="C598" t="str">
            <v>Future</v>
          </cell>
          <cell r="D598" t="e">
            <v>#N/A</v>
          </cell>
          <cell r="E598">
            <v>12.189189189189181</v>
          </cell>
          <cell r="F598">
            <v>14.824324324324349</v>
          </cell>
          <cell r="G598">
            <v>14.297297297297302</v>
          </cell>
          <cell r="H598">
            <v>14.297297297297302</v>
          </cell>
          <cell r="I598" t="e">
            <v>#N/A</v>
          </cell>
          <cell r="J598" t="e">
            <v>#N/A</v>
          </cell>
          <cell r="K598" t="e">
            <v>#N/A</v>
          </cell>
          <cell r="L598" t="e">
            <v>#N/A</v>
          </cell>
          <cell r="M598" t="e">
            <v>#N/A</v>
          </cell>
          <cell r="N598" t="e">
            <v>#N/A</v>
          </cell>
          <cell r="O598" t="e">
            <v>#N/A</v>
          </cell>
          <cell r="P598">
            <v>14.52</v>
          </cell>
          <cell r="Q598" t="str">
            <v/>
          </cell>
          <cell r="R598" t="e">
            <v>#N/A</v>
          </cell>
        </row>
        <row r="599">
          <cell r="A599">
            <v>40837</v>
          </cell>
          <cell r="B599">
            <v>40837</v>
          </cell>
          <cell r="C599" t="str">
            <v>Future</v>
          </cell>
          <cell r="D599" t="e">
            <v>#N/A</v>
          </cell>
          <cell r="E599">
            <v>12.133783783783775</v>
          </cell>
          <cell r="F599">
            <v>14.836486486486512</v>
          </cell>
          <cell r="G599">
            <v>14.295945945945951</v>
          </cell>
          <cell r="H599">
            <v>14.295945945945951</v>
          </cell>
          <cell r="I599" t="e">
            <v>#N/A</v>
          </cell>
          <cell r="J599" t="e">
            <v>#N/A</v>
          </cell>
          <cell r="K599" t="e">
            <v>#N/A</v>
          </cell>
          <cell r="L599" t="e">
            <v>#N/A</v>
          </cell>
          <cell r="M599" t="e">
            <v>#N/A</v>
          </cell>
          <cell r="N599" t="e">
            <v>#N/A</v>
          </cell>
          <cell r="O599" t="e">
            <v>#N/A</v>
          </cell>
          <cell r="P599">
            <v>14.52</v>
          </cell>
          <cell r="Q599" t="str">
            <v/>
          </cell>
          <cell r="R599" t="e">
            <v>#N/A</v>
          </cell>
        </row>
        <row r="600">
          <cell r="A600">
            <v>40840</v>
          </cell>
          <cell r="B600">
            <v>40840</v>
          </cell>
          <cell r="C600" t="str">
            <v>Future</v>
          </cell>
          <cell r="D600" t="e">
            <v>#N/A</v>
          </cell>
          <cell r="E600">
            <v>12.078378378378369</v>
          </cell>
          <cell r="F600">
            <v>14.848648648648675</v>
          </cell>
          <cell r="G600">
            <v>14.294594594594599</v>
          </cell>
          <cell r="H600">
            <v>14.294594594594599</v>
          </cell>
          <cell r="I600" t="e">
            <v>#N/A</v>
          </cell>
          <cell r="J600" t="e">
            <v>#N/A</v>
          </cell>
          <cell r="K600" t="e">
            <v>#N/A</v>
          </cell>
          <cell r="L600" t="e">
            <v>#N/A</v>
          </cell>
          <cell r="M600" t="e">
            <v>#N/A</v>
          </cell>
          <cell r="N600" t="e">
            <v>#N/A</v>
          </cell>
          <cell r="O600" t="e">
            <v>#N/A</v>
          </cell>
          <cell r="P600">
            <v>14.52</v>
          </cell>
          <cell r="Q600" t="str">
            <v/>
          </cell>
          <cell r="R600" t="e">
            <v>#N/A</v>
          </cell>
        </row>
        <row r="601">
          <cell r="A601">
            <v>40841</v>
          </cell>
          <cell r="B601">
            <v>40841</v>
          </cell>
          <cell r="C601" t="str">
            <v>Future</v>
          </cell>
          <cell r="D601" t="e">
            <v>#N/A</v>
          </cell>
          <cell r="E601">
            <v>12.022972972972964</v>
          </cell>
          <cell r="F601">
            <v>14.860810810810838</v>
          </cell>
          <cell r="G601">
            <v>14.293243243243248</v>
          </cell>
          <cell r="H601">
            <v>14.293243243243248</v>
          </cell>
          <cell r="I601" t="e">
            <v>#N/A</v>
          </cell>
          <cell r="J601" t="e">
            <v>#N/A</v>
          </cell>
          <cell r="K601" t="e">
            <v>#N/A</v>
          </cell>
          <cell r="L601" t="e">
            <v>#N/A</v>
          </cell>
          <cell r="M601" t="e">
            <v>#N/A</v>
          </cell>
          <cell r="N601" t="e">
            <v>#N/A</v>
          </cell>
          <cell r="O601" t="e">
            <v>#N/A</v>
          </cell>
          <cell r="P601">
            <v>14.52</v>
          </cell>
          <cell r="Q601" t="str">
            <v/>
          </cell>
          <cell r="R601" t="e">
            <v>#N/A</v>
          </cell>
        </row>
        <row r="602">
          <cell r="A602">
            <v>40842</v>
          </cell>
          <cell r="B602">
            <v>40842</v>
          </cell>
          <cell r="C602" t="str">
            <v>Future</v>
          </cell>
          <cell r="D602" t="e">
            <v>#N/A</v>
          </cell>
          <cell r="E602">
            <v>11.967567567567558</v>
          </cell>
          <cell r="F602">
            <v>14.872972972973001</v>
          </cell>
          <cell r="G602">
            <v>14.291891891891897</v>
          </cell>
          <cell r="H602">
            <v>14.291891891891897</v>
          </cell>
          <cell r="I602" t="e">
            <v>#N/A</v>
          </cell>
          <cell r="J602" t="e">
            <v>#N/A</v>
          </cell>
          <cell r="K602" t="e">
            <v>#N/A</v>
          </cell>
          <cell r="L602" t="e">
            <v>#N/A</v>
          </cell>
          <cell r="M602" t="e">
            <v>#N/A</v>
          </cell>
          <cell r="N602" t="e">
            <v>#N/A</v>
          </cell>
          <cell r="O602" t="e">
            <v>#N/A</v>
          </cell>
          <cell r="P602">
            <v>14.52</v>
          </cell>
          <cell r="Q602" t="str">
            <v/>
          </cell>
          <cell r="R602" t="e">
            <v>#N/A</v>
          </cell>
        </row>
        <row r="603">
          <cell r="A603">
            <v>40843</v>
          </cell>
          <cell r="B603">
            <v>40843</v>
          </cell>
          <cell r="C603" t="str">
            <v>Future</v>
          </cell>
          <cell r="D603" t="e">
            <v>#N/A</v>
          </cell>
          <cell r="E603">
            <v>11.912162162162153</v>
          </cell>
          <cell r="F603">
            <v>14.885135135135164</v>
          </cell>
          <cell r="G603">
            <v>14.290540540540546</v>
          </cell>
          <cell r="H603">
            <v>14.290540540540546</v>
          </cell>
          <cell r="I603" t="e">
            <v>#N/A</v>
          </cell>
          <cell r="J603" t="e">
            <v>#N/A</v>
          </cell>
          <cell r="K603" t="e">
            <v>#N/A</v>
          </cell>
          <cell r="L603" t="e">
            <v>#N/A</v>
          </cell>
          <cell r="M603" t="e">
            <v>#N/A</v>
          </cell>
          <cell r="N603" t="e">
            <v>#N/A</v>
          </cell>
          <cell r="O603" t="e">
            <v>#N/A</v>
          </cell>
          <cell r="P603">
            <v>14.52</v>
          </cell>
          <cell r="Q603" t="str">
            <v/>
          </cell>
          <cell r="R603" t="e">
            <v>#N/A</v>
          </cell>
        </row>
        <row r="604">
          <cell r="A604">
            <v>40844</v>
          </cell>
          <cell r="B604">
            <v>40844</v>
          </cell>
          <cell r="C604" t="str">
            <v>Future</v>
          </cell>
          <cell r="D604" t="e">
            <v>#N/A</v>
          </cell>
          <cell r="E604">
            <v>11.856756756756747</v>
          </cell>
          <cell r="F604">
            <v>14.897297297297326</v>
          </cell>
          <cell r="G604">
            <v>14.289189189189194</v>
          </cell>
          <cell r="H604">
            <v>14.289189189189194</v>
          </cell>
          <cell r="I604" t="e">
            <v>#N/A</v>
          </cell>
          <cell r="J604" t="e">
            <v>#N/A</v>
          </cell>
          <cell r="K604" t="e">
            <v>#N/A</v>
          </cell>
          <cell r="L604" t="e">
            <v>#N/A</v>
          </cell>
          <cell r="M604" t="e">
            <v>#N/A</v>
          </cell>
          <cell r="N604" t="e">
            <v>#N/A</v>
          </cell>
          <cell r="O604" t="e">
            <v>#N/A</v>
          </cell>
          <cell r="P604">
            <v>14.52</v>
          </cell>
          <cell r="Q604" t="str">
            <v/>
          </cell>
          <cell r="R604" t="e">
            <v>#N/A</v>
          </cell>
        </row>
        <row r="605">
          <cell r="A605">
            <v>40847</v>
          </cell>
          <cell r="B605">
            <v>40847</v>
          </cell>
          <cell r="C605" t="str">
            <v>Future</v>
          </cell>
          <cell r="D605" t="e">
            <v>#N/A</v>
          </cell>
          <cell r="E605">
            <v>11.801351351351341</v>
          </cell>
          <cell r="F605">
            <v>14.909459459459489</v>
          </cell>
          <cell r="G605">
            <v>14.287837837837843</v>
          </cell>
          <cell r="H605">
            <v>14.287837837837843</v>
          </cell>
          <cell r="I605" t="e">
            <v>#N/A</v>
          </cell>
          <cell r="J605" t="e">
            <v>#N/A</v>
          </cell>
          <cell r="K605" t="e">
            <v>#N/A</v>
          </cell>
          <cell r="L605" t="e">
            <v>#N/A</v>
          </cell>
          <cell r="M605" t="e">
            <v>#N/A</v>
          </cell>
          <cell r="N605" t="e">
            <v>#N/A</v>
          </cell>
          <cell r="O605" t="e">
            <v>#N/A</v>
          </cell>
          <cell r="P605">
            <v>14.52</v>
          </cell>
          <cell r="Q605" t="str">
            <v/>
          </cell>
          <cell r="R605" t="e">
            <v>#N/A</v>
          </cell>
        </row>
        <row r="606">
          <cell r="A606">
            <v>40848</v>
          </cell>
          <cell r="B606">
            <v>40848</v>
          </cell>
          <cell r="C606" t="str">
            <v>Future</v>
          </cell>
          <cell r="D606" t="e">
            <v>#N/A</v>
          </cell>
          <cell r="E606">
            <v>11.745945945945936</v>
          </cell>
          <cell r="F606">
            <v>14.921621621621652</v>
          </cell>
          <cell r="G606">
            <v>14.286486486486492</v>
          </cell>
          <cell r="H606">
            <v>14.286486486486492</v>
          </cell>
          <cell r="I606" t="e">
            <v>#N/A</v>
          </cell>
          <cell r="J606" t="e">
            <v>#N/A</v>
          </cell>
          <cell r="K606" t="e">
            <v>#N/A</v>
          </cell>
          <cell r="L606" t="e">
            <v>#N/A</v>
          </cell>
          <cell r="M606" t="e">
            <v>#N/A</v>
          </cell>
          <cell r="N606" t="e">
            <v>#N/A</v>
          </cell>
          <cell r="O606" t="e">
            <v>#N/A</v>
          </cell>
          <cell r="P606">
            <v>14.52</v>
          </cell>
          <cell r="Q606" t="str">
            <v/>
          </cell>
          <cell r="R606" t="e">
            <v>#N/A</v>
          </cell>
        </row>
        <row r="607">
          <cell r="A607">
            <v>40849</v>
          </cell>
          <cell r="B607">
            <v>40849</v>
          </cell>
          <cell r="C607" t="str">
            <v>Future</v>
          </cell>
          <cell r="D607" t="e">
            <v>#N/A</v>
          </cell>
          <cell r="E607">
            <v>11.69054054054053</v>
          </cell>
          <cell r="F607">
            <v>14.933783783783815</v>
          </cell>
          <cell r="G607">
            <v>14.285135135135141</v>
          </cell>
          <cell r="H607">
            <v>14.285135135135141</v>
          </cell>
          <cell r="I607" t="e">
            <v>#N/A</v>
          </cell>
          <cell r="J607" t="e">
            <v>#N/A</v>
          </cell>
          <cell r="K607" t="e">
            <v>#N/A</v>
          </cell>
          <cell r="L607" t="e">
            <v>#N/A</v>
          </cell>
          <cell r="M607" t="e">
            <v>#N/A</v>
          </cell>
          <cell r="N607" t="e">
            <v>#N/A</v>
          </cell>
          <cell r="O607" t="e">
            <v>#N/A</v>
          </cell>
          <cell r="P607">
            <v>14.52</v>
          </cell>
          <cell r="Q607" t="str">
            <v/>
          </cell>
          <cell r="R607" t="e">
            <v>#N/A</v>
          </cell>
        </row>
        <row r="608">
          <cell r="A608">
            <v>40850</v>
          </cell>
          <cell r="B608">
            <v>40850</v>
          </cell>
          <cell r="C608" t="str">
            <v>Future</v>
          </cell>
          <cell r="D608" t="e">
            <v>#N/A</v>
          </cell>
          <cell r="E608">
            <v>11.635135135135124</v>
          </cell>
          <cell r="F608">
            <v>14.945945945945978</v>
          </cell>
          <cell r="G608">
            <v>14.28378378378379</v>
          </cell>
          <cell r="H608">
            <v>14.28378378378379</v>
          </cell>
          <cell r="I608" t="e">
            <v>#N/A</v>
          </cell>
          <cell r="J608" t="e">
            <v>#N/A</v>
          </cell>
          <cell r="K608" t="e">
            <v>#N/A</v>
          </cell>
          <cell r="L608" t="e">
            <v>#N/A</v>
          </cell>
          <cell r="M608" t="e">
            <v>#N/A</v>
          </cell>
          <cell r="N608" t="e">
            <v>#N/A</v>
          </cell>
          <cell r="O608" t="e">
            <v>#N/A</v>
          </cell>
          <cell r="P608">
            <v>14.52</v>
          </cell>
          <cell r="Q608" t="str">
            <v/>
          </cell>
          <cell r="R608" t="e">
            <v>#N/A</v>
          </cell>
        </row>
        <row r="609">
          <cell r="A609">
            <v>40851</v>
          </cell>
          <cell r="B609">
            <v>40851</v>
          </cell>
          <cell r="C609" t="str">
            <v>Future</v>
          </cell>
          <cell r="D609" t="e">
            <v>#N/A</v>
          </cell>
          <cell r="E609">
            <v>11.579729729729719</v>
          </cell>
          <cell r="F609">
            <v>14.95810810810814</v>
          </cell>
          <cell r="G609">
            <v>14.282432432432438</v>
          </cell>
          <cell r="H609">
            <v>14.282432432432438</v>
          </cell>
          <cell r="I609" t="e">
            <v>#N/A</v>
          </cell>
          <cell r="J609" t="e">
            <v>#N/A</v>
          </cell>
          <cell r="K609" t="e">
            <v>#N/A</v>
          </cell>
          <cell r="L609" t="e">
            <v>#N/A</v>
          </cell>
          <cell r="M609" t="e">
            <v>#N/A</v>
          </cell>
          <cell r="N609" t="e">
            <v>#N/A</v>
          </cell>
          <cell r="O609" t="e">
            <v>#N/A</v>
          </cell>
          <cell r="P609">
            <v>14.52</v>
          </cell>
          <cell r="Q609" t="str">
            <v/>
          </cell>
          <cell r="R609" t="e">
            <v>#N/A</v>
          </cell>
        </row>
        <row r="610">
          <cell r="A610">
            <v>40854</v>
          </cell>
          <cell r="B610">
            <v>40854</v>
          </cell>
          <cell r="C610" t="str">
            <v>Future</v>
          </cell>
          <cell r="D610" t="e">
            <v>#N/A</v>
          </cell>
          <cell r="E610">
            <v>11.524324324324313</v>
          </cell>
          <cell r="F610">
            <v>14.970270270270303</v>
          </cell>
          <cell r="G610">
            <v>14.281081081081087</v>
          </cell>
          <cell r="H610">
            <v>14.281081081081087</v>
          </cell>
          <cell r="I610" t="e">
            <v>#N/A</v>
          </cell>
          <cell r="J610" t="e">
            <v>#N/A</v>
          </cell>
          <cell r="K610" t="e">
            <v>#N/A</v>
          </cell>
          <cell r="L610" t="e">
            <v>#N/A</v>
          </cell>
          <cell r="M610" t="e">
            <v>#N/A</v>
          </cell>
          <cell r="N610" t="e">
            <v>#N/A</v>
          </cell>
          <cell r="O610" t="e">
            <v>#N/A</v>
          </cell>
          <cell r="P610">
            <v>14.52</v>
          </cell>
          <cell r="Q610" t="str">
            <v/>
          </cell>
          <cell r="R610" t="e">
            <v>#N/A</v>
          </cell>
        </row>
        <row r="611">
          <cell r="A611">
            <v>40855</v>
          </cell>
          <cell r="B611">
            <v>40855</v>
          </cell>
          <cell r="C611" t="str">
            <v>Future</v>
          </cell>
          <cell r="D611" t="e">
            <v>#N/A</v>
          </cell>
          <cell r="E611">
            <v>11.468918918918908</v>
          </cell>
          <cell r="F611">
            <v>14.982432432432466</v>
          </cell>
          <cell r="G611">
            <v>14.279729729729736</v>
          </cell>
          <cell r="H611">
            <v>14.279729729729736</v>
          </cell>
          <cell r="I611" t="e">
            <v>#N/A</v>
          </cell>
          <cell r="J611" t="e">
            <v>#N/A</v>
          </cell>
          <cell r="K611" t="e">
            <v>#N/A</v>
          </cell>
          <cell r="L611" t="e">
            <v>#N/A</v>
          </cell>
          <cell r="M611" t="e">
            <v>#N/A</v>
          </cell>
          <cell r="N611" t="e">
            <v>#N/A</v>
          </cell>
          <cell r="O611" t="e">
            <v>#N/A</v>
          </cell>
          <cell r="P611">
            <v>14.52</v>
          </cell>
          <cell r="Q611" t="str">
            <v/>
          </cell>
          <cell r="R611" t="e">
            <v>#N/A</v>
          </cell>
        </row>
        <row r="612">
          <cell r="A612">
            <v>40856</v>
          </cell>
          <cell r="B612">
            <v>40856</v>
          </cell>
          <cell r="C612" t="str">
            <v>Future</v>
          </cell>
          <cell r="D612" t="e">
            <v>#N/A</v>
          </cell>
          <cell r="E612">
            <v>11.413513513513502</v>
          </cell>
          <cell r="F612">
            <v>14.994594594594629</v>
          </cell>
          <cell r="G612">
            <v>14.278378378378385</v>
          </cell>
          <cell r="H612">
            <v>14.278378378378385</v>
          </cell>
          <cell r="I612" t="e">
            <v>#N/A</v>
          </cell>
          <cell r="J612" t="e">
            <v>#N/A</v>
          </cell>
          <cell r="K612" t="e">
            <v>#N/A</v>
          </cell>
          <cell r="L612" t="e">
            <v>#N/A</v>
          </cell>
          <cell r="M612" t="e">
            <v>#N/A</v>
          </cell>
          <cell r="N612" t="e">
            <v>#N/A</v>
          </cell>
          <cell r="O612" t="e">
            <v>#N/A</v>
          </cell>
          <cell r="P612">
            <v>14.52</v>
          </cell>
          <cell r="Q612" t="str">
            <v/>
          </cell>
          <cell r="R612" t="e">
            <v>#N/A</v>
          </cell>
        </row>
        <row r="613">
          <cell r="A613">
            <v>40857</v>
          </cell>
          <cell r="B613">
            <v>40857</v>
          </cell>
          <cell r="C613" t="str">
            <v>Future</v>
          </cell>
          <cell r="D613" t="e">
            <v>#N/A</v>
          </cell>
          <cell r="E613">
            <v>11.358108108108096</v>
          </cell>
          <cell r="F613">
            <v>15.006756756756792</v>
          </cell>
          <cell r="G613">
            <v>14.277027027027033</v>
          </cell>
          <cell r="H613">
            <v>14.277027027027033</v>
          </cell>
          <cell r="I613" t="e">
            <v>#N/A</v>
          </cell>
          <cell r="J613" t="e">
            <v>#N/A</v>
          </cell>
          <cell r="K613" t="e">
            <v>#N/A</v>
          </cell>
          <cell r="L613" t="e">
            <v>#N/A</v>
          </cell>
          <cell r="M613" t="e">
            <v>#N/A</v>
          </cell>
          <cell r="N613" t="e">
            <v>#N/A</v>
          </cell>
          <cell r="O613" t="e">
            <v>#N/A</v>
          </cell>
          <cell r="P613">
            <v>14.52</v>
          </cell>
          <cell r="Q613" t="str">
            <v/>
          </cell>
          <cell r="R613" t="e">
            <v>#N/A</v>
          </cell>
        </row>
        <row r="614">
          <cell r="A614">
            <v>40858</v>
          </cell>
          <cell r="B614">
            <v>40858</v>
          </cell>
          <cell r="C614" t="str">
            <v>Future</v>
          </cell>
          <cell r="D614" t="e">
            <v>#N/A</v>
          </cell>
          <cell r="E614">
            <v>11.302702702702691</v>
          </cell>
          <cell r="F614">
            <v>15.018918918918954</v>
          </cell>
          <cell r="G614">
            <v>14.275675675675682</v>
          </cell>
          <cell r="H614">
            <v>14.275675675675682</v>
          </cell>
          <cell r="I614" t="e">
            <v>#N/A</v>
          </cell>
          <cell r="J614" t="e">
            <v>#N/A</v>
          </cell>
          <cell r="K614" t="e">
            <v>#N/A</v>
          </cell>
          <cell r="L614" t="e">
            <v>#N/A</v>
          </cell>
          <cell r="M614" t="e">
            <v>#N/A</v>
          </cell>
          <cell r="N614" t="e">
            <v>#N/A</v>
          </cell>
          <cell r="O614" t="e">
            <v>#N/A</v>
          </cell>
          <cell r="P614">
            <v>14.52</v>
          </cell>
          <cell r="Q614" t="str">
            <v/>
          </cell>
          <cell r="R614" t="e">
            <v>#N/A</v>
          </cell>
        </row>
        <row r="615">
          <cell r="A615">
            <v>40861</v>
          </cell>
          <cell r="B615">
            <v>40861</v>
          </cell>
          <cell r="C615" t="str">
            <v>Future</v>
          </cell>
          <cell r="D615" t="e">
            <v>#N/A</v>
          </cell>
          <cell r="E615">
            <v>11.247297297297285</v>
          </cell>
          <cell r="F615">
            <v>15.031081081081117</v>
          </cell>
          <cell r="G615">
            <v>14.274324324324331</v>
          </cell>
          <cell r="H615">
            <v>14.274324324324331</v>
          </cell>
          <cell r="I615" t="e">
            <v>#N/A</v>
          </cell>
          <cell r="J615" t="e">
            <v>#N/A</v>
          </cell>
          <cell r="K615" t="e">
            <v>#N/A</v>
          </cell>
          <cell r="L615" t="e">
            <v>#N/A</v>
          </cell>
          <cell r="M615" t="e">
            <v>#N/A</v>
          </cell>
          <cell r="N615" t="e">
            <v>#N/A</v>
          </cell>
          <cell r="O615" t="e">
            <v>#N/A</v>
          </cell>
          <cell r="P615">
            <v>14.52</v>
          </cell>
          <cell r="Q615" t="str">
            <v/>
          </cell>
          <cell r="R615" t="e">
            <v>#N/A</v>
          </cell>
        </row>
        <row r="616">
          <cell r="A616">
            <v>40862</v>
          </cell>
          <cell r="B616">
            <v>40862</v>
          </cell>
          <cell r="C616" t="str">
            <v>Future</v>
          </cell>
          <cell r="D616" t="e">
            <v>#N/A</v>
          </cell>
          <cell r="E616">
            <v>11.191891891891879</v>
          </cell>
          <cell r="F616">
            <v>15.04324324324328</v>
          </cell>
          <cell r="G616">
            <v>14.27297297297298</v>
          </cell>
          <cell r="H616">
            <v>14.27297297297298</v>
          </cell>
          <cell r="I616" t="e">
            <v>#N/A</v>
          </cell>
          <cell r="J616" t="e">
            <v>#N/A</v>
          </cell>
          <cell r="K616" t="e">
            <v>#N/A</v>
          </cell>
          <cell r="L616" t="e">
            <v>#N/A</v>
          </cell>
          <cell r="M616" t="e">
            <v>#N/A</v>
          </cell>
          <cell r="N616" t="e">
            <v>#N/A</v>
          </cell>
          <cell r="O616" t="e">
            <v>#N/A</v>
          </cell>
          <cell r="P616">
            <v>14.52</v>
          </cell>
          <cell r="Q616" t="str">
            <v/>
          </cell>
          <cell r="R616" t="e">
            <v>#N/A</v>
          </cell>
        </row>
        <row r="617">
          <cell r="A617">
            <v>40863</v>
          </cell>
          <cell r="B617">
            <v>40863</v>
          </cell>
          <cell r="C617" t="str">
            <v>Future</v>
          </cell>
          <cell r="D617" t="e">
            <v>#N/A</v>
          </cell>
          <cell r="E617">
            <v>11.136486486486474</v>
          </cell>
          <cell r="F617">
            <v>15.055405405405443</v>
          </cell>
          <cell r="G617">
            <v>14.271621621621629</v>
          </cell>
          <cell r="H617">
            <v>14.271621621621629</v>
          </cell>
          <cell r="I617" t="e">
            <v>#N/A</v>
          </cell>
          <cell r="J617" t="e">
            <v>#N/A</v>
          </cell>
          <cell r="K617" t="e">
            <v>#N/A</v>
          </cell>
          <cell r="L617" t="e">
            <v>#N/A</v>
          </cell>
          <cell r="M617" t="e">
            <v>#N/A</v>
          </cell>
          <cell r="N617" t="e">
            <v>#N/A</v>
          </cell>
          <cell r="O617" t="e">
            <v>#N/A</v>
          </cell>
          <cell r="P617">
            <v>14.52</v>
          </cell>
          <cell r="Q617" t="str">
            <v/>
          </cell>
          <cell r="R617" t="e">
            <v>#N/A</v>
          </cell>
        </row>
        <row r="618">
          <cell r="A618">
            <v>40864</v>
          </cell>
          <cell r="B618">
            <v>40864</v>
          </cell>
          <cell r="C618" t="str">
            <v>Future</v>
          </cell>
          <cell r="D618" t="e">
            <v>#N/A</v>
          </cell>
          <cell r="E618">
            <v>11.081081081081068</v>
          </cell>
          <cell r="F618">
            <v>15.067567567567606</v>
          </cell>
          <cell r="G618">
            <v>14.270270270270277</v>
          </cell>
          <cell r="H618">
            <v>14.270270270270277</v>
          </cell>
          <cell r="I618" t="e">
            <v>#N/A</v>
          </cell>
          <cell r="J618" t="e">
            <v>#N/A</v>
          </cell>
          <cell r="K618" t="e">
            <v>#N/A</v>
          </cell>
          <cell r="L618" t="e">
            <v>#N/A</v>
          </cell>
          <cell r="M618" t="e">
            <v>#N/A</v>
          </cell>
          <cell r="N618" t="e">
            <v>#N/A</v>
          </cell>
          <cell r="O618" t="e">
            <v>#N/A</v>
          </cell>
          <cell r="P618">
            <v>14.52</v>
          </cell>
          <cell r="Q618" t="str">
            <v/>
          </cell>
          <cell r="R618" t="e">
            <v>#N/A</v>
          </cell>
        </row>
        <row r="619">
          <cell r="A619">
            <v>40865</v>
          </cell>
          <cell r="B619">
            <v>40865</v>
          </cell>
          <cell r="C619" t="str">
            <v>Future</v>
          </cell>
          <cell r="D619" t="e">
            <v>#N/A</v>
          </cell>
          <cell r="E619">
            <v>11.025675675675663</v>
          </cell>
          <cell r="F619">
            <v>15.079729729729769</v>
          </cell>
          <cell r="G619">
            <v>14.268918918918926</v>
          </cell>
          <cell r="H619">
            <v>14.268918918918926</v>
          </cell>
          <cell r="I619" t="e">
            <v>#N/A</v>
          </cell>
          <cell r="J619" t="e">
            <v>#N/A</v>
          </cell>
          <cell r="K619" t="e">
            <v>#N/A</v>
          </cell>
          <cell r="L619" t="e">
            <v>#N/A</v>
          </cell>
          <cell r="M619" t="e">
            <v>#N/A</v>
          </cell>
          <cell r="N619" t="e">
            <v>#N/A</v>
          </cell>
          <cell r="O619" t="e">
            <v>#N/A</v>
          </cell>
          <cell r="P619">
            <v>14.52</v>
          </cell>
          <cell r="Q619" t="str">
            <v/>
          </cell>
          <cell r="R619" t="e">
            <v>#N/A</v>
          </cell>
        </row>
        <row r="620">
          <cell r="A620">
            <v>40868</v>
          </cell>
          <cell r="B620">
            <v>40868</v>
          </cell>
          <cell r="C620" t="str">
            <v>Future</v>
          </cell>
          <cell r="D620" t="e">
            <v>#N/A</v>
          </cell>
          <cell r="E620">
            <v>10.970270270270257</v>
          </cell>
          <cell r="F620">
            <v>15.091891891891931</v>
          </cell>
          <cell r="G620">
            <v>14.267567567567575</v>
          </cell>
          <cell r="H620">
            <v>14.267567567567575</v>
          </cell>
          <cell r="I620" t="e">
            <v>#N/A</v>
          </cell>
          <cell r="J620" t="e">
            <v>#N/A</v>
          </cell>
          <cell r="K620" t="e">
            <v>#N/A</v>
          </cell>
          <cell r="L620" t="e">
            <v>#N/A</v>
          </cell>
          <cell r="M620" t="e">
            <v>#N/A</v>
          </cell>
          <cell r="N620" t="e">
            <v>#N/A</v>
          </cell>
          <cell r="O620" t="e">
            <v>#N/A</v>
          </cell>
          <cell r="P620">
            <v>14.52</v>
          </cell>
          <cell r="Q620" t="str">
            <v/>
          </cell>
          <cell r="R620" t="e">
            <v>#N/A</v>
          </cell>
        </row>
        <row r="621">
          <cell r="A621">
            <v>40869</v>
          </cell>
          <cell r="B621">
            <v>40869</v>
          </cell>
          <cell r="C621" t="str">
            <v>Future</v>
          </cell>
          <cell r="D621" t="e">
            <v>#N/A</v>
          </cell>
          <cell r="E621">
            <v>10.914864864864851</v>
          </cell>
          <cell r="F621">
            <v>15.104054054054094</v>
          </cell>
          <cell r="G621">
            <v>14.266216216216224</v>
          </cell>
          <cell r="H621">
            <v>14.266216216216224</v>
          </cell>
          <cell r="I621" t="e">
            <v>#N/A</v>
          </cell>
          <cell r="J621" t="e">
            <v>#N/A</v>
          </cell>
          <cell r="K621" t="e">
            <v>#N/A</v>
          </cell>
          <cell r="L621" t="e">
            <v>#N/A</v>
          </cell>
          <cell r="M621" t="e">
            <v>#N/A</v>
          </cell>
          <cell r="N621" t="e">
            <v>#N/A</v>
          </cell>
          <cell r="O621" t="e">
            <v>#N/A</v>
          </cell>
          <cell r="P621">
            <v>14.52</v>
          </cell>
          <cell r="Q621" t="str">
            <v/>
          </cell>
          <cell r="R621" t="e">
            <v>#N/A</v>
          </cell>
        </row>
        <row r="622">
          <cell r="A622">
            <v>40870</v>
          </cell>
          <cell r="B622">
            <v>40870</v>
          </cell>
          <cell r="C622" t="str">
            <v>Future</v>
          </cell>
          <cell r="D622" t="e">
            <v>#N/A</v>
          </cell>
          <cell r="E622">
            <v>10.859459459459446</v>
          </cell>
          <cell r="F622">
            <v>15.116216216216257</v>
          </cell>
          <cell r="G622">
            <v>14.264864864864872</v>
          </cell>
          <cell r="H622">
            <v>14.264864864864872</v>
          </cell>
          <cell r="I622" t="e">
            <v>#N/A</v>
          </cell>
          <cell r="J622" t="e">
            <v>#N/A</v>
          </cell>
          <cell r="K622" t="e">
            <v>#N/A</v>
          </cell>
          <cell r="L622" t="e">
            <v>#N/A</v>
          </cell>
          <cell r="M622" t="e">
            <v>#N/A</v>
          </cell>
          <cell r="N622" t="e">
            <v>#N/A</v>
          </cell>
          <cell r="O622" t="e">
            <v>#N/A</v>
          </cell>
          <cell r="P622">
            <v>14.52</v>
          </cell>
          <cell r="Q622" t="str">
            <v/>
          </cell>
          <cell r="R622" t="e">
            <v>#N/A</v>
          </cell>
        </row>
        <row r="623">
          <cell r="A623">
            <v>40872</v>
          </cell>
          <cell r="B623">
            <v>40872</v>
          </cell>
          <cell r="C623" t="str">
            <v>Future</v>
          </cell>
          <cell r="D623" t="e">
            <v>#N/A</v>
          </cell>
          <cell r="E623">
            <v>10.80405405405404</v>
          </cell>
          <cell r="F623">
            <v>15.12837837837842</v>
          </cell>
          <cell r="G623">
            <v>14.263513513513521</v>
          </cell>
          <cell r="H623">
            <v>14.263513513513521</v>
          </cell>
          <cell r="I623" t="e">
            <v>#N/A</v>
          </cell>
          <cell r="J623" t="e">
            <v>#N/A</v>
          </cell>
          <cell r="K623" t="e">
            <v>#N/A</v>
          </cell>
          <cell r="L623" t="e">
            <v>#N/A</v>
          </cell>
          <cell r="M623" t="e">
            <v>#N/A</v>
          </cell>
          <cell r="N623" t="e">
            <v>#N/A</v>
          </cell>
          <cell r="O623" t="e">
            <v>#N/A</v>
          </cell>
          <cell r="P623">
            <v>14.52</v>
          </cell>
          <cell r="Q623" t="str">
            <v/>
          </cell>
          <cell r="R623" t="e">
            <v>#N/A</v>
          </cell>
        </row>
        <row r="624">
          <cell r="A624">
            <v>40875</v>
          </cell>
          <cell r="B624">
            <v>40875</v>
          </cell>
          <cell r="C624" t="str">
            <v>Future</v>
          </cell>
          <cell r="D624" t="e">
            <v>#N/A</v>
          </cell>
          <cell r="E624">
            <v>10.748648648648635</v>
          </cell>
          <cell r="F624">
            <v>15.140540540540583</v>
          </cell>
          <cell r="G624">
            <v>14.26216216216217</v>
          </cell>
          <cell r="H624">
            <v>14.26216216216217</v>
          </cell>
          <cell r="I624" t="e">
            <v>#N/A</v>
          </cell>
          <cell r="J624" t="e">
            <v>#N/A</v>
          </cell>
          <cell r="K624" t="e">
            <v>#N/A</v>
          </cell>
          <cell r="L624" t="e">
            <v>#N/A</v>
          </cell>
          <cell r="M624" t="e">
            <v>#N/A</v>
          </cell>
          <cell r="N624" t="e">
            <v>#N/A</v>
          </cell>
          <cell r="O624" t="e">
            <v>#N/A</v>
          </cell>
          <cell r="P624">
            <v>14.52</v>
          </cell>
          <cell r="Q624" t="str">
            <v/>
          </cell>
          <cell r="R624" t="e">
            <v>#N/A</v>
          </cell>
        </row>
        <row r="625">
          <cell r="A625">
            <v>40876</v>
          </cell>
          <cell r="B625">
            <v>40876</v>
          </cell>
          <cell r="C625" t="str">
            <v>Future</v>
          </cell>
          <cell r="D625" t="e">
            <v>#N/A</v>
          </cell>
          <cell r="E625">
            <v>10.693243243243229</v>
          </cell>
          <cell r="F625">
            <v>15.152702702702745</v>
          </cell>
          <cell r="G625">
            <v>14.260810810810819</v>
          </cell>
          <cell r="H625">
            <v>14.260810810810819</v>
          </cell>
          <cell r="I625" t="e">
            <v>#N/A</v>
          </cell>
          <cell r="J625" t="e">
            <v>#N/A</v>
          </cell>
          <cell r="K625" t="e">
            <v>#N/A</v>
          </cell>
          <cell r="L625" t="e">
            <v>#N/A</v>
          </cell>
          <cell r="M625" t="e">
            <v>#N/A</v>
          </cell>
          <cell r="N625" t="e">
            <v>#N/A</v>
          </cell>
          <cell r="O625" t="e">
            <v>#N/A</v>
          </cell>
          <cell r="P625">
            <v>14.52</v>
          </cell>
          <cell r="Q625" t="str">
            <v/>
          </cell>
          <cell r="R625" t="e">
            <v>#N/A</v>
          </cell>
        </row>
        <row r="626">
          <cell r="A626">
            <v>40877</v>
          </cell>
          <cell r="B626">
            <v>40877</v>
          </cell>
          <cell r="C626" t="str">
            <v>Future</v>
          </cell>
          <cell r="D626" t="e">
            <v>#N/A</v>
          </cell>
          <cell r="E626">
            <v>10.637837837837823</v>
          </cell>
          <cell r="F626">
            <v>15.164864864864908</v>
          </cell>
          <cell r="G626">
            <v>14.259459459459467</v>
          </cell>
          <cell r="H626">
            <v>14.259459459459467</v>
          </cell>
          <cell r="I626" t="e">
            <v>#N/A</v>
          </cell>
          <cell r="J626" t="e">
            <v>#N/A</v>
          </cell>
          <cell r="K626" t="e">
            <v>#N/A</v>
          </cell>
          <cell r="L626" t="e">
            <v>#N/A</v>
          </cell>
          <cell r="M626" t="e">
            <v>#N/A</v>
          </cell>
          <cell r="N626" t="e">
            <v>#N/A</v>
          </cell>
          <cell r="O626" t="e">
            <v>#N/A</v>
          </cell>
          <cell r="P626">
            <v>14.52</v>
          </cell>
          <cell r="Q626" t="str">
            <v/>
          </cell>
          <cell r="R626" t="e">
            <v>#N/A</v>
          </cell>
        </row>
        <row r="627">
          <cell r="A627">
            <v>40878</v>
          </cell>
          <cell r="B627">
            <v>40878</v>
          </cell>
          <cell r="C627" t="str">
            <v>Future</v>
          </cell>
          <cell r="D627" t="e">
            <v>#N/A</v>
          </cell>
          <cell r="E627">
            <v>10.582432432432418</v>
          </cell>
          <cell r="F627">
            <v>15.177027027027071</v>
          </cell>
          <cell r="G627">
            <v>14.258108108108116</v>
          </cell>
          <cell r="H627">
            <v>14.258108108108116</v>
          </cell>
          <cell r="I627" t="e">
            <v>#N/A</v>
          </cell>
          <cell r="J627" t="e">
            <v>#N/A</v>
          </cell>
          <cell r="K627" t="e">
            <v>#N/A</v>
          </cell>
          <cell r="L627" t="e">
            <v>#N/A</v>
          </cell>
          <cell r="M627" t="e">
            <v>#N/A</v>
          </cell>
          <cell r="N627" t="e">
            <v>#N/A</v>
          </cell>
          <cell r="O627" t="e">
            <v>#N/A</v>
          </cell>
          <cell r="P627">
            <v>14.52</v>
          </cell>
          <cell r="Q627" t="str">
            <v/>
          </cell>
          <cell r="R627" t="e">
            <v>#N/A</v>
          </cell>
        </row>
        <row r="628">
          <cell r="A628">
            <v>40879</v>
          </cell>
          <cell r="B628">
            <v>40879</v>
          </cell>
          <cell r="C628" t="str">
            <v>Future</v>
          </cell>
          <cell r="D628" t="e">
            <v>#N/A</v>
          </cell>
          <cell r="E628">
            <v>10.527027027027012</v>
          </cell>
          <cell r="F628">
            <v>15.189189189189234</v>
          </cell>
          <cell r="G628">
            <v>14.256756756756765</v>
          </cell>
          <cell r="H628">
            <v>14.256756756756765</v>
          </cell>
          <cell r="I628" t="e">
            <v>#N/A</v>
          </cell>
          <cell r="J628" t="e">
            <v>#N/A</v>
          </cell>
          <cell r="K628" t="e">
            <v>#N/A</v>
          </cell>
          <cell r="L628" t="e">
            <v>#N/A</v>
          </cell>
          <cell r="M628" t="e">
            <v>#N/A</v>
          </cell>
          <cell r="N628" t="e">
            <v>#N/A</v>
          </cell>
          <cell r="O628" t="e">
            <v>#N/A</v>
          </cell>
          <cell r="P628">
            <v>14.52</v>
          </cell>
          <cell r="Q628" t="str">
            <v/>
          </cell>
          <cell r="R628" t="e">
            <v>#N/A</v>
          </cell>
        </row>
        <row r="629">
          <cell r="A629">
            <v>40882</v>
          </cell>
          <cell r="B629">
            <v>40882</v>
          </cell>
          <cell r="C629" t="str">
            <v>Future</v>
          </cell>
          <cell r="D629" t="e">
            <v>#N/A</v>
          </cell>
          <cell r="E629">
            <v>10.471621621621606</v>
          </cell>
          <cell r="F629">
            <v>15.201351351351397</v>
          </cell>
          <cell r="G629">
            <v>14.255405405405414</v>
          </cell>
          <cell r="H629">
            <v>14.255405405405414</v>
          </cell>
          <cell r="I629" t="e">
            <v>#N/A</v>
          </cell>
          <cell r="J629" t="e">
            <v>#N/A</v>
          </cell>
          <cell r="K629" t="e">
            <v>#N/A</v>
          </cell>
          <cell r="L629" t="e">
            <v>#N/A</v>
          </cell>
          <cell r="M629" t="e">
            <v>#N/A</v>
          </cell>
          <cell r="N629" t="e">
            <v>#N/A</v>
          </cell>
          <cell r="O629" t="e">
            <v>#N/A</v>
          </cell>
          <cell r="P629">
            <v>14.52</v>
          </cell>
          <cell r="Q629" t="str">
            <v/>
          </cell>
          <cell r="R629" t="e">
            <v>#N/A</v>
          </cell>
        </row>
        <row r="630">
          <cell r="A630">
            <v>40883</v>
          </cell>
          <cell r="B630">
            <v>40883</v>
          </cell>
          <cell r="C630" t="str">
            <v>Future</v>
          </cell>
          <cell r="D630" t="e">
            <v>#N/A</v>
          </cell>
          <cell r="E630">
            <v>10.416216216216201</v>
          </cell>
          <cell r="F630">
            <v>15.21351351351356</v>
          </cell>
          <cell r="G630">
            <v>14.254054054054063</v>
          </cell>
          <cell r="H630">
            <v>14.254054054054063</v>
          </cell>
          <cell r="I630" t="e">
            <v>#N/A</v>
          </cell>
          <cell r="J630" t="e">
            <v>#N/A</v>
          </cell>
          <cell r="K630" t="e">
            <v>#N/A</v>
          </cell>
          <cell r="L630" t="e">
            <v>#N/A</v>
          </cell>
          <cell r="M630" t="e">
            <v>#N/A</v>
          </cell>
          <cell r="N630" t="e">
            <v>#N/A</v>
          </cell>
          <cell r="O630" t="e">
            <v>#N/A</v>
          </cell>
          <cell r="P630">
            <v>14.52</v>
          </cell>
          <cell r="Q630" t="str">
            <v/>
          </cell>
          <cell r="R630" t="e">
            <v>#N/A</v>
          </cell>
        </row>
        <row r="631">
          <cell r="A631">
            <v>40884</v>
          </cell>
          <cell r="B631">
            <v>40884</v>
          </cell>
          <cell r="C631" t="str">
            <v>Future</v>
          </cell>
          <cell r="D631" t="e">
            <v>#N/A</v>
          </cell>
          <cell r="E631">
            <v>10.360810810810795</v>
          </cell>
          <cell r="F631">
            <v>15.225675675675722</v>
          </cell>
          <cell r="G631">
            <v>14.252702702702711</v>
          </cell>
          <cell r="H631">
            <v>14.252702702702711</v>
          </cell>
          <cell r="I631" t="e">
            <v>#N/A</v>
          </cell>
          <cell r="J631" t="e">
            <v>#N/A</v>
          </cell>
          <cell r="K631" t="e">
            <v>#N/A</v>
          </cell>
          <cell r="L631" t="e">
            <v>#N/A</v>
          </cell>
          <cell r="M631" t="e">
            <v>#N/A</v>
          </cell>
          <cell r="N631" t="e">
            <v>#N/A</v>
          </cell>
          <cell r="O631" t="e">
            <v>#N/A</v>
          </cell>
          <cell r="P631">
            <v>14.52</v>
          </cell>
          <cell r="Q631" t="str">
            <v/>
          </cell>
          <cell r="R631" t="e">
            <v>#N/A</v>
          </cell>
        </row>
        <row r="632">
          <cell r="A632">
            <v>40885</v>
          </cell>
          <cell r="B632">
            <v>40885</v>
          </cell>
          <cell r="C632" t="str">
            <v>Future</v>
          </cell>
          <cell r="D632" t="e">
            <v>#N/A</v>
          </cell>
          <cell r="E632">
            <v>10.30540540540539</v>
          </cell>
          <cell r="F632">
            <v>15.237837837837885</v>
          </cell>
          <cell r="G632">
            <v>14.25135135135136</v>
          </cell>
          <cell r="H632">
            <v>14.25135135135136</v>
          </cell>
          <cell r="I632" t="e">
            <v>#N/A</v>
          </cell>
          <cell r="J632" t="e">
            <v>#N/A</v>
          </cell>
          <cell r="K632" t="e">
            <v>#N/A</v>
          </cell>
          <cell r="L632" t="e">
            <v>#N/A</v>
          </cell>
          <cell r="M632" t="e">
            <v>#N/A</v>
          </cell>
          <cell r="N632" t="e">
            <v>#N/A</v>
          </cell>
          <cell r="O632" t="e">
            <v>#N/A</v>
          </cell>
          <cell r="P632">
            <v>14.52</v>
          </cell>
          <cell r="Q632" t="str">
            <v/>
          </cell>
          <cell r="R632" t="e">
            <v>#N/A</v>
          </cell>
        </row>
        <row r="633">
          <cell r="A633">
            <v>40886</v>
          </cell>
          <cell r="B633">
            <v>40886</v>
          </cell>
          <cell r="C633" t="str">
            <v>Future</v>
          </cell>
          <cell r="D633" t="e">
            <v>#N/A</v>
          </cell>
          <cell r="E633">
            <v>10.249999999999984</v>
          </cell>
          <cell r="F633">
            <v>15.250000000000048</v>
          </cell>
          <cell r="G633">
            <v>14.250000000000009</v>
          </cell>
          <cell r="H633">
            <v>14.250000000000009</v>
          </cell>
          <cell r="I633" t="e">
            <v>#N/A</v>
          </cell>
          <cell r="J633" t="e">
            <v>#N/A</v>
          </cell>
          <cell r="K633" t="e">
            <v>#N/A</v>
          </cell>
          <cell r="L633" t="e">
            <v>#N/A</v>
          </cell>
          <cell r="M633" t="e">
            <v>#N/A</v>
          </cell>
          <cell r="N633" t="e">
            <v>#N/A</v>
          </cell>
          <cell r="O633" t="e">
            <v>#N/A</v>
          </cell>
          <cell r="P633">
            <v>14.52</v>
          </cell>
          <cell r="Q633" t="str">
            <v/>
          </cell>
          <cell r="R633" t="e">
            <v>#N/A</v>
          </cell>
        </row>
        <row r="634">
          <cell r="A634">
            <v>40889</v>
          </cell>
          <cell r="B634">
            <v>40889</v>
          </cell>
          <cell r="C634" t="str">
            <v>Future</v>
          </cell>
          <cell r="D634" t="e">
            <v>#N/A</v>
          </cell>
          <cell r="E634">
            <v>10.194594594594578</v>
          </cell>
          <cell r="F634">
            <v>15.262162162162211</v>
          </cell>
          <cell r="G634">
            <v>14.248648648648658</v>
          </cell>
          <cell r="H634">
            <v>14.248648648648658</v>
          </cell>
          <cell r="I634" t="e">
            <v>#N/A</v>
          </cell>
          <cell r="J634" t="e">
            <v>#N/A</v>
          </cell>
          <cell r="K634" t="e">
            <v>#N/A</v>
          </cell>
          <cell r="L634" t="e">
            <v>#N/A</v>
          </cell>
          <cell r="M634" t="e">
            <v>#N/A</v>
          </cell>
          <cell r="N634" t="e">
            <v>#N/A</v>
          </cell>
          <cell r="O634" t="e">
            <v>#N/A</v>
          </cell>
          <cell r="P634">
            <v>14.52</v>
          </cell>
          <cell r="Q634" t="str">
            <v/>
          </cell>
          <cell r="R634" t="e">
            <v>#N/A</v>
          </cell>
        </row>
        <row r="635">
          <cell r="A635">
            <v>40890</v>
          </cell>
          <cell r="B635">
            <v>40890</v>
          </cell>
          <cell r="C635" t="str">
            <v>Future</v>
          </cell>
          <cell r="D635" t="e">
            <v>#N/A</v>
          </cell>
          <cell r="E635">
            <v>10.139189189189173</v>
          </cell>
          <cell r="F635">
            <v>15.274324324324374</v>
          </cell>
          <cell r="G635">
            <v>14.247297297297306</v>
          </cell>
          <cell r="H635">
            <v>14.247297297297306</v>
          </cell>
          <cell r="I635" t="e">
            <v>#N/A</v>
          </cell>
          <cell r="J635" t="e">
            <v>#N/A</v>
          </cell>
          <cell r="K635" t="e">
            <v>#N/A</v>
          </cell>
          <cell r="L635" t="e">
            <v>#N/A</v>
          </cell>
          <cell r="M635" t="e">
            <v>#N/A</v>
          </cell>
          <cell r="N635" t="e">
            <v>#N/A</v>
          </cell>
          <cell r="O635" t="e">
            <v>#N/A</v>
          </cell>
          <cell r="P635">
            <v>14.52</v>
          </cell>
          <cell r="Q635" t="str">
            <v/>
          </cell>
          <cell r="R635" t="e">
            <v>#N/A</v>
          </cell>
        </row>
        <row r="636">
          <cell r="A636">
            <v>40891</v>
          </cell>
          <cell r="B636">
            <v>40891</v>
          </cell>
          <cell r="C636" t="str">
            <v>Future</v>
          </cell>
          <cell r="D636" t="e">
            <v>#N/A</v>
          </cell>
          <cell r="E636">
            <v>10.083783783783767</v>
          </cell>
          <cell r="F636">
            <v>15.286486486486536</v>
          </cell>
          <cell r="G636">
            <v>14.245945945945955</v>
          </cell>
          <cell r="H636">
            <v>14.245945945945955</v>
          </cell>
          <cell r="I636" t="e">
            <v>#N/A</v>
          </cell>
          <cell r="J636" t="e">
            <v>#N/A</v>
          </cell>
          <cell r="K636" t="e">
            <v>#N/A</v>
          </cell>
          <cell r="L636" t="e">
            <v>#N/A</v>
          </cell>
          <cell r="M636" t="e">
            <v>#N/A</v>
          </cell>
          <cell r="N636" t="e">
            <v>#N/A</v>
          </cell>
          <cell r="O636" t="e">
            <v>#N/A</v>
          </cell>
          <cell r="P636">
            <v>14.52</v>
          </cell>
          <cell r="Q636" t="str">
            <v/>
          </cell>
          <cell r="R636" t="e">
            <v>#N/A</v>
          </cell>
        </row>
        <row r="637">
          <cell r="A637">
            <v>40892</v>
          </cell>
          <cell r="B637">
            <v>40892</v>
          </cell>
          <cell r="C637" t="str">
            <v>Future</v>
          </cell>
          <cell r="D637" t="e">
            <v>#N/A</v>
          </cell>
          <cell r="E637">
            <v>10.028378378378362</v>
          </cell>
          <cell r="F637">
            <v>15.298648648648699</v>
          </cell>
          <cell r="G637">
            <v>14.244594594594604</v>
          </cell>
          <cell r="H637">
            <v>14.244594594594604</v>
          </cell>
          <cell r="I637" t="e">
            <v>#N/A</v>
          </cell>
          <cell r="J637" t="e">
            <v>#N/A</v>
          </cell>
          <cell r="K637" t="e">
            <v>#N/A</v>
          </cell>
          <cell r="L637" t="e">
            <v>#N/A</v>
          </cell>
          <cell r="M637" t="e">
            <v>#N/A</v>
          </cell>
          <cell r="N637" t="e">
            <v>#N/A</v>
          </cell>
          <cell r="O637" t="e">
            <v>#N/A</v>
          </cell>
          <cell r="P637">
            <v>14.52</v>
          </cell>
          <cell r="Q637" t="str">
            <v/>
          </cell>
          <cell r="R637" t="e">
            <v>#N/A</v>
          </cell>
        </row>
        <row r="638">
          <cell r="A638">
            <v>40893</v>
          </cell>
          <cell r="B638">
            <v>40893</v>
          </cell>
          <cell r="C638" t="str">
            <v>Future</v>
          </cell>
          <cell r="D638" t="e">
            <v>#N/A</v>
          </cell>
          <cell r="E638">
            <v>9.9729729729729559</v>
          </cell>
          <cell r="F638">
            <v>15.310810810810862</v>
          </cell>
          <cell r="G638">
            <v>14.243243243243253</v>
          </cell>
          <cell r="H638">
            <v>14.243243243243253</v>
          </cell>
          <cell r="I638" t="e">
            <v>#N/A</v>
          </cell>
          <cell r="J638" t="e">
            <v>#N/A</v>
          </cell>
          <cell r="K638" t="e">
            <v>#N/A</v>
          </cell>
          <cell r="L638" t="e">
            <v>#N/A</v>
          </cell>
          <cell r="M638" t="e">
            <v>#N/A</v>
          </cell>
          <cell r="N638" t="e">
            <v>#N/A</v>
          </cell>
          <cell r="O638" t="e">
            <v>#N/A</v>
          </cell>
          <cell r="P638">
            <v>14.52</v>
          </cell>
          <cell r="Q638" t="str">
            <v/>
          </cell>
          <cell r="R638" t="e">
            <v>#N/A</v>
          </cell>
        </row>
        <row r="639">
          <cell r="A639">
            <v>40896</v>
          </cell>
          <cell r="B639">
            <v>40896</v>
          </cell>
          <cell r="C639" t="str">
            <v>Future</v>
          </cell>
          <cell r="D639" t="e">
            <v>#N/A</v>
          </cell>
          <cell r="E639">
            <v>9.9175675675675503</v>
          </cell>
          <cell r="F639">
            <v>15.322972972973025</v>
          </cell>
          <cell r="G639">
            <v>14.241891891891902</v>
          </cell>
          <cell r="H639">
            <v>14.241891891891902</v>
          </cell>
          <cell r="I639" t="e">
            <v>#N/A</v>
          </cell>
          <cell r="J639" t="e">
            <v>#N/A</v>
          </cell>
          <cell r="K639" t="e">
            <v>#N/A</v>
          </cell>
          <cell r="L639" t="e">
            <v>#N/A</v>
          </cell>
          <cell r="M639" t="e">
            <v>#N/A</v>
          </cell>
          <cell r="N639" t="e">
            <v>#N/A</v>
          </cell>
          <cell r="O639" t="e">
            <v>#N/A</v>
          </cell>
          <cell r="P639">
            <v>14.52</v>
          </cell>
          <cell r="Q639" t="str">
            <v/>
          </cell>
          <cell r="R639" t="e">
            <v>#N/A</v>
          </cell>
        </row>
        <row r="640">
          <cell r="A640">
            <v>40897</v>
          </cell>
          <cell r="B640">
            <v>40897</v>
          </cell>
          <cell r="C640" t="str">
            <v>Future</v>
          </cell>
          <cell r="D640" t="e">
            <v>#N/A</v>
          </cell>
          <cell r="E640">
            <v>9.8621621621621447</v>
          </cell>
          <cell r="F640">
            <v>15.335135135135188</v>
          </cell>
          <cell r="G640">
            <v>14.24054054054055</v>
          </cell>
          <cell r="H640">
            <v>14.24054054054055</v>
          </cell>
          <cell r="I640" t="e">
            <v>#N/A</v>
          </cell>
          <cell r="J640" t="e">
            <v>#N/A</v>
          </cell>
          <cell r="K640" t="e">
            <v>#N/A</v>
          </cell>
          <cell r="L640" t="e">
            <v>#N/A</v>
          </cell>
          <cell r="M640" t="e">
            <v>#N/A</v>
          </cell>
          <cell r="N640" t="e">
            <v>#N/A</v>
          </cell>
          <cell r="O640" t="e">
            <v>#N/A</v>
          </cell>
          <cell r="P640">
            <v>14.52</v>
          </cell>
          <cell r="Q640" t="str">
            <v/>
          </cell>
          <cell r="R640" t="e">
            <v>#N/A</v>
          </cell>
        </row>
        <row r="641">
          <cell r="A641">
            <v>40898</v>
          </cell>
          <cell r="B641">
            <v>40898</v>
          </cell>
          <cell r="C641" t="str">
            <v>Future</v>
          </cell>
          <cell r="D641" t="e">
            <v>#N/A</v>
          </cell>
          <cell r="E641">
            <v>9.8067567567567391</v>
          </cell>
          <cell r="F641">
            <v>15.34729729729735</v>
          </cell>
          <cell r="G641">
            <v>14.239189189189199</v>
          </cell>
          <cell r="H641">
            <v>14.239189189189199</v>
          </cell>
          <cell r="I641" t="e">
            <v>#N/A</v>
          </cell>
          <cell r="J641" t="e">
            <v>#N/A</v>
          </cell>
          <cell r="K641" t="e">
            <v>#N/A</v>
          </cell>
          <cell r="L641" t="e">
            <v>#N/A</v>
          </cell>
          <cell r="M641" t="e">
            <v>#N/A</v>
          </cell>
          <cell r="N641" t="e">
            <v>#N/A</v>
          </cell>
          <cell r="O641" t="e">
            <v>#N/A</v>
          </cell>
          <cell r="P641">
            <v>14.52</v>
          </cell>
          <cell r="Q641" t="str">
            <v/>
          </cell>
          <cell r="R641" t="e">
            <v>#N/A</v>
          </cell>
        </row>
        <row r="642">
          <cell r="A642">
            <v>40899</v>
          </cell>
          <cell r="B642">
            <v>40899</v>
          </cell>
          <cell r="C642" t="str">
            <v>Future</v>
          </cell>
          <cell r="D642" t="e">
            <v>#N/A</v>
          </cell>
          <cell r="E642">
            <v>9.7513513513513335</v>
          </cell>
          <cell r="F642">
            <v>15.359459459459513</v>
          </cell>
          <cell r="G642">
            <v>14.237837837837848</v>
          </cell>
          <cell r="H642">
            <v>14.237837837837848</v>
          </cell>
          <cell r="I642" t="e">
            <v>#N/A</v>
          </cell>
          <cell r="J642" t="e">
            <v>#N/A</v>
          </cell>
          <cell r="K642" t="e">
            <v>#N/A</v>
          </cell>
          <cell r="L642" t="e">
            <v>#N/A</v>
          </cell>
          <cell r="M642" t="e">
            <v>#N/A</v>
          </cell>
          <cell r="N642" t="e">
            <v>#N/A</v>
          </cell>
          <cell r="O642" t="e">
            <v>#N/A</v>
          </cell>
          <cell r="P642">
            <v>14.52</v>
          </cell>
          <cell r="Q642" t="str">
            <v/>
          </cell>
          <cell r="R642" t="e">
            <v>#N/A</v>
          </cell>
        </row>
        <row r="643">
          <cell r="A643">
            <v>40900</v>
          </cell>
          <cell r="B643">
            <v>40900</v>
          </cell>
          <cell r="C643" t="str">
            <v>Future</v>
          </cell>
          <cell r="D643" t="e">
            <v>#N/A</v>
          </cell>
          <cell r="E643">
            <v>9.6959459459459278</v>
          </cell>
          <cell r="F643">
            <v>15.371621621621676</v>
          </cell>
          <cell r="G643">
            <v>14.236486486486497</v>
          </cell>
          <cell r="H643">
            <v>14.236486486486497</v>
          </cell>
          <cell r="I643" t="e">
            <v>#N/A</v>
          </cell>
          <cell r="J643" t="e">
            <v>#N/A</v>
          </cell>
          <cell r="K643" t="e">
            <v>#N/A</v>
          </cell>
          <cell r="L643" t="e">
            <v>#N/A</v>
          </cell>
          <cell r="M643" t="e">
            <v>#N/A</v>
          </cell>
          <cell r="N643" t="e">
            <v>#N/A</v>
          </cell>
          <cell r="O643" t="e">
            <v>#N/A</v>
          </cell>
          <cell r="P643">
            <v>14.52</v>
          </cell>
          <cell r="Q643" t="str">
            <v/>
          </cell>
          <cell r="R643" t="e">
            <v>#N/A</v>
          </cell>
        </row>
        <row r="644">
          <cell r="A644">
            <v>40904</v>
          </cell>
          <cell r="B644">
            <v>40904</v>
          </cell>
          <cell r="C644" t="str">
            <v>Future</v>
          </cell>
          <cell r="D644" t="e">
            <v>#N/A</v>
          </cell>
          <cell r="E644">
            <v>9.6405405405405222</v>
          </cell>
          <cell r="F644">
            <v>15.383783783783839</v>
          </cell>
          <cell r="G644">
            <v>14.235135135135145</v>
          </cell>
          <cell r="H644">
            <v>14.235135135135145</v>
          </cell>
          <cell r="I644" t="e">
            <v>#N/A</v>
          </cell>
          <cell r="J644" t="e">
            <v>#N/A</v>
          </cell>
          <cell r="K644" t="e">
            <v>#N/A</v>
          </cell>
          <cell r="L644" t="e">
            <v>#N/A</v>
          </cell>
          <cell r="M644" t="e">
            <v>#N/A</v>
          </cell>
          <cell r="N644" t="e">
            <v>#N/A</v>
          </cell>
          <cell r="O644" t="e">
            <v>#N/A</v>
          </cell>
          <cell r="P644">
            <v>14.52</v>
          </cell>
          <cell r="Q644" t="str">
            <v/>
          </cell>
          <cell r="R644" t="e">
            <v>#N/A</v>
          </cell>
        </row>
        <row r="645">
          <cell r="A645">
            <v>40905</v>
          </cell>
          <cell r="B645">
            <v>40905</v>
          </cell>
          <cell r="C645" t="str">
            <v>Future</v>
          </cell>
          <cell r="D645" t="e">
            <v>#N/A</v>
          </cell>
          <cell r="E645">
            <v>9.5851351351351166</v>
          </cell>
          <cell r="F645">
            <v>15.395945945946002</v>
          </cell>
          <cell r="G645">
            <v>14.233783783783794</v>
          </cell>
          <cell r="H645">
            <v>14.233783783783794</v>
          </cell>
          <cell r="I645" t="e">
            <v>#N/A</v>
          </cell>
          <cell r="J645" t="e">
            <v>#N/A</v>
          </cell>
          <cell r="K645" t="e">
            <v>#N/A</v>
          </cell>
          <cell r="L645" t="e">
            <v>#N/A</v>
          </cell>
          <cell r="M645" t="e">
            <v>#N/A</v>
          </cell>
          <cell r="N645" t="e">
            <v>#N/A</v>
          </cell>
          <cell r="O645" t="e">
            <v>#N/A</v>
          </cell>
          <cell r="P645">
            <v>14.52</v>
          </cell>
          <cell r="Q645" t="str">
            <v/>
          </cell>
          <cell r="R645" t="e">
            <v>#N/A</v>
          </cell>
        </row>
        <row r="646">
          <cell r="A646">
            <v>40906</v>
          </cell>
          <cell r="B646">
            <v>40906</v>
          </cell>
          <cell r="C646" t="str">
            <v>Future</v>
          </cell>
          <cell r="D646" t="e">
            <v>#N/A</v>
          </cell>
          <cell r="E646">
            <v>9.529729729729711</v>
          </cell>
          <cell r="F646">
            <v>15.408108108108165</v>
          </cell>
          <cell r="G646">
            <v>14.232432432432443</v>
          </cell>
          <cell r="H646">
            <v>14.232432432432443</v>
          </cell>
          <cell r="I646" t="e">
            <v>#N/A</v>
          </cell>
          <cell r="J646" t="e">
            <v>#N/A</v>
          </cell>
          <cell r="K646" t="e">
            <v>#N/A</v>
          </cell>
          <cell r="L646" t="e">
            <v>#N/A</v>
          </cell>
          <cell r="M646" t="e">
            <v>#N/A</v>
          </cell>
          <cell r="N646" t="e">
            <v>#N/A</v>
          </cell>
          <cell r="O646" t="e">
            <v>#N/A</v>
          </cell>
          <cell r="P646">
            <v>14.52</v>
          </cell>
          <cell r="Q646" t="str">
            <v/>
          </cell>
          <cell r="R646" t="e">
            <v>#N/A</v>
          </cell>
        </row>
        <row r="647">
          <cell r="A647">
            <v>40907</v>
          </cell>
          <cell r="B647">
            <v>40907</v>
          </cell>
          <cell r="C647" t="str">
            <v>Future</v>
          </cell>
          <cell r="D647" t="e">
            <v>#N/A</v>
          </cell>
          <cell r="E647">
            <v>9.4743243243243054</v>
          </cell>
          <cell r="F647">
            <v>15.420270270270327</v>
          </cell>
          <cell r="G647">
            <v>14.231081081081092</v>
          </cell>
          <cell r="H647">
            <v>14.231081081081092</v>
          </cell>
          <cell r="I647" t="e">
            <v>#N/A</v>
          </cell>
          <cell r="J647" t="e">
            <v>#N/A</v>
          </cell>
          <cell r="K647" t="e">
            <v>#N/A</v>
          </cell>
          <cell r="L647" t="e">
            <v>#N/A</v>
          </cell>
          <cell r="M647" t="e">
            <v>#N/A</v>
          </cell>
          <cell r="N647" t="e">
            <v>#N/A</v>
          </cell>
          <cell r="O647" t="e">
            <v>#N/A</v>
          </cell>
          <cell r="P647">
            <v>14.52</v>
          </cell>
          <cell r="Q647" t="str">
            <v/>
          </cell>
          <cell r="R647" t="e">
            <v>#N/A</v>
          </cell>
        </row>
        <row r="648">
          <cell r="A648">
            <v>40910</v>
          </cell>
          <cell r="B648">
            <v>40910</v>
          </cell>
          <cell r="C648" t="str">
            <v>Future</v>
          </cell>
          <cell r="D648" t="e">
            <v>#N/A</v>
          </cell>
          <cell r="E648">
            <v>9.4189189189188998</v>
          </cell>
          <cell r="F648">
            <v>15.43243243243249</v>
          </cell>
          <cell r="G648">
            <v>14.22972972972974</v>
          </cell>
          <cell r="H648">
            <v>14.22972972972974</v>
          </cell>
          <cell r="I648" t="e">
            <v>#N/A</v>
          </cell>
          <cell r="J648" t="e">
            <v>#N/A</v>
          </cell>
          <cell r="K648" t="e">
            <v>#N/A</v>
          </cell>
          <cell r="L648" t="e">
            <v>#N/A</v>
          </cell>
          <cell r="M648" t="e">
            <v>#N/A</v>
          </cell>
          <cell r="N648" t="e">
            <v>#N/A</v>
          </cell>
          <cell r="O648" t="e">
            <v>#N/A</v>
          </cell>
          <cell r="P648">
            <v>14.52</v>
          </cell>
          <cell r="Q648" t="str">
            <v/>
          </cell>
          <cell r="R648" t="e">
            <v>#N/A</v>
          </cell>
        </row>
        <row r="649">
          <cell r="A649">
            <v>40911</v>
          </cell>
          <cell r="B649">
            <v>40911</v>
          </cell>
          <cell r="C649" t="str">
            <v>Future</v>
          </cell>
          <cell r="D649" t="e">
            <v>#N/A</v>
          </cell>
          <cell r="E649">
            <v>9.3635135135134941</v>
          </cell>
          <cell r="F649">
            <v>15.444594594594653</v>
          </cell>
          <cell r="G649">
            <v>14.228378378378389</v>
          </cell>
          <cell r="H649">
            <v>14.228378378378389</v>
          </cell>
          <cell r="I649" t="e">
            <v>#N/A</v>
          </cell>
          <cell r="J649" t="e">
            <v>#N/A</v>
          </cell>
          <cell r="K649" t="e">
            <v>#N/A</v>
          </cell>
          <cell r="L649" t="e">
            <v>#N/A</v>
          </cell>
          <cell r="M649" t="e">
            <v>#N/A</v>
          </cell>
          <cell r="N649" t="e">
            <v>#N/A</v>
          </cell>
          <cell r="O649" t="e">
            <v>#N/A</v>
          </cell>
          <cell r="P649">
            <v>14.52</v>
          </cell>
          <cell r="Q649" t="str">
            <v/>
          </cell>
          <cell r="R649" t="e">
            <v>#N/A</v>
          </cell>
        </row>
        <row r="650">
          <cell r="A650">
            <v>40912</v>
          </cell>
          <cell r="B650">
            <v>40912</v>
          </cell>
          <cell r="C650" t="str">
            <v>Future</v>
          </cell>
          <cell r="D650" t="e">
            <v>#N/A</v>
          </cell>
          <cell r="E650">
            <v>9.3081081081080885</v>
          </cell>
          <cell r="F650">
            <v>15.456756756756816</v>
          </cell>
          <cell r="G650">
            <v>14.227027027027038</v>
          </cell>
          <cell r="H650">
            <v>14.227027027027038</v>
          </cell>
          <cell r="I650" t="e">
            <v>#N/A</v>
          </cell>
          <cell r="J650" t="e">
            <v>#N/A</v>
          </cell>
          <cell r="K650" t="e">
            <v>#N/A</v>
          </cell>
          <cell r="L650" t="e">
            <v>#N/A</v>
          </cell>
          <cell r="M650" t="e">
            <v>#N/A</v>
          </cell>
          <cell r="N650" t="e">
            <v>#N/A</v>
          </cell>
          <cell r="O650" t="e">
            <v>#N/A</v>
          </cell>
          <cell r="P650">
            <v>14.52</v>
          </cell>
          <cell r="Q650" t="str">
            <v/>
          </cell>
          <cell r="R650" t="e">
            <v>#N/A</v>
          </cell>
        </row>
        <row r="651">
          <cell r="A651">
            <v>40913</v>
          </cell>
          <cell r="B651">
            <v>40913</v>
          </cell>
          <cell r="C651" t="str">
            <v>Future</v>
          </cell>
          <cell r="D651" t="e">
            <v>#N/A</v>
          </cell>
          <cell r="E651">
            <v>9.2527027027026829</v>
          </cell>
          <cell r="F651">
            <v>15.468918918918979</v>
          </cell>
          <cell r="G651">
            <v>14.225675675675687</v>
          </cell>
          <cell r="H651">
            <v>14.225675675675687</v>
          </cell>
          <cell r="I651" t="e">
            <v>#N/A</v>
          </cell>
          <cell r="J651" t="e">
            <v>#N/A</v>
          </cell>
          <cell r="K651" t="e">
            <v>#N/A</v>
          </cell>
          <cell r="L651" t="e">
            <v>#N/A</v>
          </cell>
          <cell r="M651" t="e">
            <v>#N/A</v>
          </cell>
          <cell r="N651" t="e">
            <v>#N/A</v>
          </cell>
          <cell r="O651" t="e">
            <v>#N/A</v>
          </cell>
          <cell r="P651">
            <v>14.52</v>
          </cell>
          <cell r="Q651" t="str">
            <v/>
          </cell>
          <cell r="R651" t="e">
            <v>#N/A</v>
          </cell>
        </row>
        <row r="652">
          <cell r="A652">
            <v>40914</v>
          </cell>
          <cell r="B652">
            <v>40914</v>
          </cell>
          <cell r="C652" t="str">
            <v>Future</v>
          </cell>
          <cell r="D652" t="e">
            <v>#N/A</v>
          </cell>
          <cell r="E652">
            <v>9.1972972972972773</v>
          </cell>
          <cell r="F652">
            <v>15.481081081081141</v>
          </cell>
          <cell r="G652">
            <v>14.224324324324336</v>
          </cell>
          <cell r="H652">
            <v>14.224324324324336</v>
          </cell>
          <cell r="I652" t="e">
            <v>#N/A</v>
          </cell>
          <cell r="J652" t="e">
            <v>#N/A</v>
          </cell>
          <cell r="K652" t="e">
            <v>#N/A</v>
          </cell>
          <cell r="L652" t="e">
            <v>#N/A</v>
          </cell>
          <cell r="M652" t="e">
            <v>#N/A</v>
          </cell>
          <cell r="N652" t="e">
            <v>#N/A</v>
          </cell>
          <cell r="O652" t="e">
            <v>#N/A</v>
          </cell>
          <cell r="P652">
            <v>14.52</v>
          </cell>
          <cell r="Q652" t="str">
            <v/>
          </cell>
          <cell r="R652" t="e">
            <v>#N/A</v>
          </cell>
        </row>
        <row r="653">
          <cell r="A653">
            <v>40917</v>
          </cell>
          <cell r="B653">
            <v>40917</v>
          </cell>
          <cell r="C653" t="str">
            <v>Future</v>
          </cell>
          <cell r="D653" t="e">
            <v>#N/A</v>
          </cell>
          <cell r="E653">
            <v>9.1418918918918717</v>
          </cell>
          <cell r="F653">
            <v>15.493243243243304</v>
          </cell>
          <cell r="G653">
            <v>14.222972972972984</v>
          </cell>
          <cell r="H653">
            <v>14.222972972972984</v>
          </cell>
          <cell r="I653" t="e">
            <v>#N/A</v>
          </cell>
          <cell r="J653" t="e">
            <v>#N/A</v>
          </cell>
          <cell r="K653" t="e">
            <v>#N/A</v>
          </cell>
          <cell r="L653" t="e">
            <v>#N/A</v>
          </cell>
          <cell r="M653" t="e">
            <v>#N/A</v>
          </cell>
          <cell r="N653" t="e">
            <v>#N/A</v>
          </cell>
          <cell r="O653" t="e">
            <v>#N/A</v>
          </cell>
          <cell r="P653">
            <v>14.52</v>
          </cell>
          <cell r="Q653" t="str">
            <v/>
          </cell>
          <cell r="R653" t="e">
            <v>#N/A</v>
          </cell>
        </row>
        <row r="654">
          <cell r="A654">
            <v>40918</v>
          </cell>
          <cell r="B654">
            <v>40918</v>
          </cell>
          <cell r="C654" t="str">
            <v>Future</v>
          </cell>
          <cell r="D654" t="e">
            <v>#N/A</v>
          </cell>
          <cell r="E654">
            <v>9.0864864864864661</v>
          </cell>
          <cell r="F654">
            <v>15.505405405405467</v>
          </cell>
          <cell r="G654">
            <v>14.221621621621633</v>
          </cell>
          <cell r="H654">
            <v>14.221621621621633</v>
          </cell>
          <cell r="I654" t="e">
            <v>#N/A</v>
          </cell>
          <cell r="J654" t="e">
            <v>#N/A</v>
          </cell>
          <cell r="K654" t="e">
            <v>#N/A</v>
          </cell>
          <cell r="L654" t="e">
            <v>#N/A</v>
          </cell>
          <cell r="M654" t="e">
            <v>#N/A</v>
          </cell>
          <cell r="N654" t="e">
            <v>#N/A</v>
          </cell>
          <cell r="O654" t="e">
            <v>#N/A</v>
          </cell>
          <cell r="P654">
            <v>14.52</v>
          </cell>
          <cell r="Q654" t="str">
            <v/>
          </cell>
          <cell r="R654" t="e">
            <v>#N/A</v>
          </cell>
        </row>
        <row r="655">
          <cell r="A655">
            <v>40919</v>
          </cell>
          <cell r="B655">
            <v>40919</v>
          </cell>
          <cell r="C655" t="str">
            <v>Future</v>
          </cell>
          <cell r="D655" t="e">
            <v>#N/A</v>
          </cell>
          <cell r="E655">
            <v>9.0310810810810604</v>
          </cell>
          <cell r="F655">
            <v>15.51756756756763</v>
          </cell>
          <cell r="G655">
            <v>14.220270270270282</v>
          </cell>
          <cell r="H655">
            <v>14.220270270270282</v>
          </cell>
          <cell r="I655" t="e">
            <v>#N/A</v>
          </cell>
          <cell r="J655" t="e">
            <v>#N/A</v>
          </cell>
          <cell r="K655" t="e">
            <v>#N/A</v>
          </cell>
          <cell r="L655" t="e">
            <v>#N/A</v>
          </cell>
          <cell r="M655" t="e">
            <v>#N/A</v>
          </cell>
          <cell r="N655" t="e">
            <v>#N/A</v>
          </cell>
          <cell r="O655" t="e">
            <v>#N/A</v>
          </cell>
          <cell r="P655">
            <v>14.52</v>
          </cell>
          <cell r="Q655" t="str">
            <v/>
          </cell>
          <cell r="R655" t="e">
            <v>#N/A</v>
          </cell>
        </row>
        <row r="656">
          <cell r="A656">
            <v>40920</v>
          </cell>
          <cell r="B656">
            <v>40920</v>
          </cell>
          <cell r="C656" t="str">
            <v>Future</v>
          </cell>
          <cell r="D656" t="e">
            <v>#N/A</v>
          </cell>
          <cell r="E656">
            <v>8.9756756756756548</v>
          </cell>
          <cell r="F656">
            <v>15.529729729729793</v>
          </cell>
          <cell r="G656">
            <v>14.218918918918931</v>
          </cell>
          <cell r="H656">
            <v>14.218918918918931</v>
          </cell>
          <cell r="I656" t="e">
            <v>#N/A</v>
          </cell>
          <cell r="J656" t="e">
            <v>#N/A</v>
          </cell>
          <cell r="K656" t="e">
            <v>#N/A</v>
          </cell>
          <cell r="L656" t="e">
            <v>#N/A</v>
          </cell>
          <cell r="M656" t="e">
            <v>#N/A</v>
          </cell>
          <cell r="N656" t="e">
            <v>#N/A</v>
          </cell>
          <cell r="O656" t="e">
            <v>#N/A</v>
          </cell>
          <cell r="P656">
            <v>14.52</v>
          </cell>
          <cell r="Q656" t="str">
            <v/>
          </cell>
          <cell r="R656" t="e">
            <v>#N/A</v>
          </cell>
        </row>
        <row r="657">
          <cell r="A657">
            <v>40921</v>
          </cell>
          <cell r="B657">
            <v>40921</v>
          </cell>
          <cell r="C657" t="str">
            <v>Future</v>
          </cell>
          <cell r="D657" t="e">
            <v>#N/A</v>
          </cell>
          <cell r="E657">
            <v>8.9202702702702492</v>
          </cell>
          <cell r="F657">
            <v>15.541891891891956</v>
          </cell>
          <cell r="G657">
            <v>14.217567567567579</v>
          </cell>
          <cell r="H657">
            <v>14.217567567567579</v>
          </cell>
          <cell r="I657" t="e">
            <v>#N/A</v>
          </cell>
          <cell r="J657" t="e">
            <v>#N/A</v>
          </cell>
          <cell r="K657" t="e">
            <v>#N/A</v>
          </cell>
          <cell r="L657" t="e">
            <v>#N/A</v>
          </cell>
          <cell r="M657" t="e">
            <v>#N/A</v>
          </cell>
          <cell r="N657" t="e">
            <v>#N/A</v>
          </cell>
          <cell r="O657" t="e">
            <v>#N/A</v>
          </cell>
          <cell r="P657">
            <v>14.52</v>
          </cell>
          <cell r="Q657" t="str">
            <v/>
          </cell>
          <cell r="R657" t="e">
            <v>#N/A</v>
          </cell>
        </row>
        <row r="658">
          <cell r="A658">
            <v>40924</v>
          </cell>
          <cell r="B658">
            <v>40924</v>
          </cell>
          <cell r="C658" t="str">
            <v>Future</v>
          </cell>
          <cell r="D658" t="e">
            <v>#N/A</v>
          </cell>
          <cell r="E658">
            <v>8.8648648648648436</v>
          </cell>
          <cell r="F658">
            <v>15.554054054054118</v>
          </cell>
          <cell r="G658">
            <v>14.216216216216228</v>
          </cell>
          <cell r="H658">
            <v>14.216216216216228</v>
          </cell>
          <cell r="I658" t="e">
            <v>#N/A</v>
          </cell>
          <cell r="J658" t="e">
            <v>#N/A</v>
          </cell>
          <cell r="K658" t="e">
            <v>#N/A</v>
          </cell>
          <cell r="L658" t="e">
            <v>#N/A</v>
          </cell>
          <cell r="M658" t="e">
            <v>#N/A</v>
          </cell>
          <cell r="N658" t="e">
            <v>#N/A</v>
          </cell>
          <cell r="O658" t="e">
            <v>#N/A</v>
          </cell>
          <cell r="P658">
            <v>14.52</v>
          </cell>
          <cell r="Q658" t="str">
            <v/>
          </cell>
          <cell r="R658" t="e">
            <v>#N/A</v>
          </cell>
        </row>
        <row r="659">
          <cell r="A659">
            <v>40925</v>
          </cell>
          <cell r="B659">
            <v>40925</v>
          </cell>
          <cell r="C659" t="str">
            <v>Future</v>
          </cell>
          <cell r="D659" t="e">
            <v>#N/A</v>
          </cell>
          <cell r="E659">
            <v>8.809459459459438</v>
          </cell>
          <cell r="F659">
            <v>15.566216216216281</v>
          </cell>
          <cell r="G659">
            <v>14.214864864864877</v>
          </cell>
          <cell r="H659">
            <v>14.214864864864877</v>
          </cell>
          <cell r="I659" t="e">
            <v>#N/A</v>
          </cell>
          <cell r="J659" t="e">
            <v>#N/A</v>
          </cell>
          <cell r="K659" t="e">
            <v>#N/A</v>
          </cell>
          <cell r="L659" t="e">
            <v>#N/A</v>
          </cell>
          <cell r="M659" t="e">
            <v>#N/A</v>
          </cell>
          <cell r="N659" t="e">
            <v>#N/A</v>
          </cell>
          <cell r="O659" t="e">
            <v>#N/A</v>
          </cell>
          <cell r="P659">
            <v>14.52</v>
          </cell>
          <cell r="Q659" t="str">
            <v/>
          </cell>
          <cell r="R659" t="e">
            <v>#N/A</v>
          </cell>
        </row>
        <row r="660">
          <cell r="A660">
            <v>40926</v>
          </cell>
          <cell r="B660">
            <v>40926</v>
          </cell>
          <cell r="C660" t="str">
            <v>Future</v>
          </cell>
          <cell r="D660" t="e">
            <v>#N/A</v>
          </cell>
          <cell r="E660">
            <v>8.7540540540540324</v>
          </cell>
          <cell r="F660">
            <v>15.578378378378444</v>
          </cell>
          <cell r="G660">
            <v>14.213513513513526</v>
          </cell>
          <cell r="H660">
            <v>14.213513513513526</v>
          </cell>
          <cell r="I660" t="e">
            <v>#N/A</v>
          </cell>
          <cell r="J660" t="e">
            <v>#N/A</v>
          </cell>
          <cell r="K660" t="e">
            <v>#N/A</v>
          </cell>
          <cell r="L660" t="e">
            <v>#N/A</v>
          </cell>
          <cell r="M660" t="e">
            <v>#N/A</v>
          </cell>
          <cell r="N660" t="e">
            <v>#N/A</v>
          </cell>
          <cell r="O660" t="e">
            <v>#N/A</v>
          </cell>
          <cell r="P660">
            <v>14.52</v>
          </cell>
          <cell r="Q660" t="str">
            <v/>
          </cell>
          <cell r="R660" t="e">
            <v>#N/A</v>
          </cell>
        </row>
        <row r="661">
          <cell r="A661">
            <v>40927</v>
          </cell>
          <cell r="B661">
            <v>40927</v>
          </cell>
          <cell r="C661" t="str">
            <v>Future</v>
          </cell>
          <cell r="D661" t="e">
            <v>#N/A</v>
          </cell>
          <cell r="E661">
            <v>8.6986486486486267</v>
          </cell>
          <cell r="F661">
            <v>15.590540540540607</v>
          </cell>
          <cell r="G661">
            <v>14.212162162162175</v>
          </cell>
          <cell r="H661">
            <v>14.212162162162175</v>
          </cell>
          <cell r="I661" t="e">
            <v>#N/A</v>
          </cell>
          <cell r="J661" t="e">
            <v>#N/A</v>
          </cell>
          <cell r="K661" t="e">
            <v>#N/A</v>
          </cell>
          <cell r="L661" t="e">
            <v>#N/A</v>
          </cell>
          <cell r="M661" t="e">
            <v>#N/A</v>
          </cell>
          <cell r="N661" t="e">
            <v>#N/A</v>
          </cell>
          <cell r="O661" t="e">
            <v>#N/A</v>
          </cell>
          <cell r="P661">
            <v>14.52</v>
          </cell>
          <cell r="Q661" t="str">
            <v/>
          </cell>
          <cell r="R661" t="e">
            <v>#N/A</v>
          </cell>
        </row>
        <row r="662">
          <cell r="A662">
            <v>40928</v>
          </cell>
          <cell r="B662">
            <v>40928</v>
          </cell>
          <cell r="C662" t="str">
            <v>Future</v>
          </cell>
          <cell r="D662" t="e">
            <v>#N/A</v>
          </cell>
          <cell r="E662">
            <v>8.6432432432432211</v>
          </cell>
          <cell r="F662">
            <v>15.60270270270277</v>
          </cell>
          <cell r="G662">
            <v>14.210810810810823</v>
          </cell>
          <cell r="H662">
            <v>14.210810810810823</v>
          </cell>
          <cell r="I662" t="e">
            <v>#N/A</v>
          </cell>
          <cell r="J662" t="e">
            <v>#N/A</v>
          </cell>
          <cell r="K662" t="e">
            <v>#N/A</v>
          </cell>
          <cell r="L662" t="e">
            <v>#N/A</v>
          </cell>
          <cell r="M662" t="e">
            <v>#N/A</v>
          </cell>
          <cell r="N662" t="e">
            <v>#N/A</v>
          </cell>
          <cell r="O662" t="e">
            <v>#N/A</v>
          </cell>
          <cell r="P662">
            <v>14.52</v>
          </cell>
          <cell r="Q662" t="str">
            <v/>
          </cell>
          <cell r="R662" t="e">
            <v>#N/A</v>
          </cell>
        </row>
        <row r="663">
          <cell r="A663">
            <v>40931</v>
          </cell>
          <cell r="B663">
            <v>40931</v>
          </cell>
          <cell r="C663" t="str">
            <v>Future</v>
          </cell>
          <cell r="D663" t="e">
            <v>#N/A</v>
          </cell>
          <cell r="E663">
            <v>8.5878378378378155</v>
          </cell>
          <cell r="F663">
            <v>15.614864864864932</v>
          </cell>
          <cell r="G663">
            <v>14.209459459459472</v>
          </cell>
          <cell r="H663">
            <v>14.209459459459472</v>
          </cell>
          <cell r="I663" t="e">
            <v>#N/A</v>
          </cell>
          <cell r="J663" t="e">
            <v>#N/A</v>
          </cell>
          <cell r="K663" t="e">
            <v>#N/A</v>
          </cell>
          <cell r="L663" t="e">
            <v>#N/A</v>
          </cell>
          <cell r="M663" t="e">
            <v>#N/A</v>
          </cell>
          <cell r="N663" t="e">
            <v>#N/A</v>
          </cell>
          <cell r="O663" t="e">
            <v>#N/A</v>
          </cell>
          <cell r="P663">
            <v>14.52</v>
          </cell>
          <cell r="Q663" t="str">
            <v/>
          </cell>
          <cell r="R663" t="e">
            <v>#N/A</v>
          </cell>
        </row>
        <row r="664">
          <cell r="A664">
            <v>40932</v>
          </cell>
          <cell r="B664">
            <v>40932</v>
          </cell>
          <cell r="C664" t="str">
            <v>Future</v>
          </cell>
          <cell r="D664" t="e">
            <v>#N/A</v>
          </cell>
          <cell r="E664">
            <v>8.5324324324324099</v>
          </cell>
          <cell r="F664">
            <v>15.627027027027095</v>
          </cell>
          <cell r="G664">
            <v>14.208108108108121</v>
          </cell>
          <cell r="H664">
            <v>14.208108108108121</v>
          </cell>
          <cell r="I664" t="e">
            <v>#N/A</v>
          </cell>
          <cell r="J664" t="e">
            <v>#N/A</v>
          </cell>
          <cell r="K664" t="e">
            <v>#N/A</v>
          </cell>
          <cell r="L664" t="e">
            <v>#N/A</v>
          </cell>
          <cell r="M664" t="e">
            <v>#N/A</v>
          </cell>
          <cell r="N664" t="e">
            <v>#N/A</v>
          </cell>
          <cell r="O664" t="e">
            <v>#N/A</v>
          </cell>
          <cell r="P664">
            <v>14.52</v>
          </cell>
          <cell r="Q664" t="str">
            <v/>
          </cell>
          <cell r="R664" t="e">
            <v>#N/A</v>
          </cell>
        </row>
        <row r="665">
          <cell r="A665">
            <v>40933</v>
          </cell>
          <cell r="B665">
            <v>40933</v>
          </cell>
          <cell r="C665" t="str">
            <v>Future</v>
          </cell>
          <cell r="D665" t="e">
            <v>#N/A</v>
          </cell>
          <cell r="E665">
            <v>8.4770270270270043</v>
          </cell>
          <cell r="F665">
            <v>15.639189189189258</v>
          </cell>
          <cell r="G665">
            <v>14.20675675675677</v>
          </cell>
          <cell r="H665">
            <v>14.20675675675677</v>
          </cell>
          <cell r="I665" t="e">
            <v>#N/A</v>
          </cell>
          <cell r="J665" t="e">
            <v>#N/A</v>
          </cell>
          <cell r="K665" t="e">
            <v>#N/A</v>
          </cell>
          <cell r="L665" t="e">
            <v>#N/A</v>
          </cell>
          <cell r="M665" t="e">
            <v>#N/A</v>
          </cell>
          <cell r="N665" t="e">
            <v>#N/A</v>
          </cell>
          <cell r="O665" t="e">
            <v>#N/A</v>
          </cell>
          <cell r="P665">
            <v>14.52</v>
          </cell>
          <cell r="Q665" t="str">
            <v/>
          </cell>
          <cell r="R665" t="e">
            <v>#N/A</v>
          </cell>
        </row>
        <row r="666">
          <cell r="A666">
            <v>40934</v>
          </cell>
          <cell r="B666">
            <v>40934</v>
          </cell>
          <cell r="C666" t="str">
            <v>Future</v>
          </cell>
          <cell r="D666" t="e">
            <v>#N/A</v>
          </cell>
          <cell r="E666">
            <v>8.4216216216215987</v>
          </cell>
          <cell r="F666">
            <v>15.651351351351421</v>
          </cell>
          <cell r="G666">
            <v>14.205405405405418</v>
          </cell>
          <cell r="H666">
            <v>14.205405405405418</v>
          </cell>
          <cell r="I666" t="e">
            <v>#N/A</v>
          </cell>
          <cell r="J666" t="e">
            <v>#N/A</v>
          </cell>
          <cell r="K666" t="e">
            <v>#N/A</v>
          </cell>
          <cell r="L666" t="e">
            <v>#N/A</v>
          </cell>
          <cell r="M666" t="e">
            <v>#N/A</v>
          </cell>
          <cell r="N666" t="e">
            <v>#N/A</v>
          </cell>
          <cell r="O666" t="e">
            <v>#N/A</v>
          </cell>
          <cell r="P666">
            <v>14.52</v>
          </cell>
          <cell r="Q666" t="str">
            <v/>
          </cell>
          <cell r="R666" t="e">
            <v>#N/A</v>
          </cell>
        </row>
        <row r="667">
          <cell r="A667">
            <v>40935</v>
          </cell>
          <cell r="B667">
            <v>40935</v>
          </cell>
          <cell r="C667" t="str">
            <v>Future</v>
          </cell>
          <cell r="D667" t="e">
            <v>#N/A</v>
          </cell>
          <cell r="E667">
            <v>8.366216216216193</v>
          </cell>
          <cell r="F667">
            <v>15.663513513513584</v>
          </cell>
          <cell r="G667">
            <v>14.204054054054067</v>
          </cell>
          <cell r="H667">
            <v>14.204054054054067</v>
          </cell>
          <cell r="I667" t="e">
            <v>#N/A</v>
          </cell>
          <cell r="J667" t="e">
            <v>#N/A</v>
          </cell>
          <cell r="K667" t="e">
            <v>#N/A</v>
          </cell>
          <cell r="L667" t="e">
            <v>#N/A</v>
          </cell>
          <cell r="M667" t="e">
            <v>#N/A</v>
          </cell>
          <cell r="N667" t="e">
            <v>#N/A</v>
          </cell>
          <cell r="O667" t="e">
            <v>#N/A</v>
          </cell>
          <cell r="P667">
            <v>14.52</v>
          </cell>
          <cell r="Q667" t="str">
            <v/>
          </cell>
          <cell r="R667" t="e">
            <v>#N/A</v>
          </cell>
        </row>
        <row r="668">
          <cell r="A668">
            <v>40938</v>
          </cell>
          <cell r="B668">
            <v>40938</v>
          </cell>
          <cell r="C668" t="str">
            <v>Future</v>
          </cell>
          <cell r="D668" t="e">
            <v>#N/A</v>
          </cell>
          <cell r="E668">
            <v>8.3108108108107874</v>
          </cell>
          <cell r="F668">
            <v>15.675675675675746</v>
          </cell>
          <cell r="G668">
            <v>14.202702702702716</v>
          </cell>
          <cell r="H668">
            <v>14.202702702702716</v>
          </cell>
          <cell r="I668" t="e">
            <v>#N/A</v>
          </cell>
          <cell r="J668" t="e">
            <v>#N/A</v>
          </cell>
          <cell r="K668" t="e">
            <v>#N/A</v>
          </cell>
          <cell r="L668" t="e">
            <v>#N/A</v>
          </cell>
          <cell r="M668" t="e">
            <v>#N/A</v>
          </cell>
          <cell r="N668" t="e">
            <v>#N/A</v>
          </cell>
          <cell r="O668" t="e">
            <v>#N/A</v>
          </cell>
          <cell r="P668">
            <v>14.52</v>
          </cell>
          <cell r="Q668" t="str">
            <v/>
          </cell>
          <cell r="R668" t="e">
            <v>#N/A</v>
          </cell>
        </row>
        <row r="669">
          <cell r="A669">
            <v>40939</v>
          </cell>
          <cell r="B669">
            <v>40939</v>
          </cell>
          <cell r="C669" t="str">
            <v>Future</v>
          </cell>
          <cell r="D669" t="e">
            <v>#N/A</v>
          </cell>
          <cell r="E669">
            <v>8.2554054054053818</v>
          </cell>
          <cell r="F669">
            <v>15.687837837837909</v>
          </cell>
          <cell r="G669">
            <v>14.201351351351365</v>
          </cell>
          <cell r="H669">
            <v>14.201351351351365</v>
          </cell>
          <cell r="I669" t="e">
            <v>#N/A</v>
          </cell>
          <cell r="J669" t="e">
            <v>#N/A</v>
          </cell>
          <cell r="K669" t="e">
            <v>#N/A</v>
          </cell>
          <cell r="L669" t="e">
            <v>#N/A</v>
          </cell>
          <cell r="M669" t="e">
            <v>#N/A</v>
          </cell>
          <cell r="N669" t="e">
            <v>#N/A</v>
          </cell>
          <cell r="O669" t="e">
            <v>#N/A</v>
          </cell>
          <cell r="P669">
            <v>14.52</v>
          </cell>
          <cell r="Q669" t="str">
            <v/>
          </cell>
          <cell r="R669" t="e">
            <v>#N/A</v>
          </cell>
        </row>
        <row r="670">
          <cell r="A670">
            <v>40940</v>
          </cell>
          <cell r="B670">
            <v>40940</v>
          </cell>
          <cell r="C670" t="str">
            <v>Future</v>
          </cell>
          <cell r="D670" t="e">
            <v>#N/A</v>
          </cell>
          <cell r="E670">
            <v>8.1999999999999762</v>
          </cell>
          <cell r="F670">
            <v>15.700000000000072</v>
          </cell>
          <cell r="G670">
            <v>14.200000000000014</v>
          </cell>
          <cell r="H670">
            <v>14.200000000000014</v>
          </cell>
          <cell r="I670" t="e">
            <v>#N/A</v>
          </cell>
          <cell r="J670" t="e">
            <v>#N/A</v>
          </cell>
          <cell r="K670" t="e">
            <v>#N/A</v>
          </cell>
          <cell r="L670" t="e">
            <v>#N/A</v>
          </cell>
          <cell r="M670" t="e">
            <v>#N/A</v>
          </cell>
          <cell r="N670" t="e">
            <v>#N/A</v>
          </cell>
          <cell r="O670" t="e">
            <v>#N/A</v>
          </cell>
          <cell r="P670">
            <v>14.52</v>
          </cell>
          <cell r="Q670" t="str">
            <v/>
          </cell>
          <cell r="R670" t="e">
            <v>#N/A</v>
          </cell>
        </row>
        <row r="671">
          <cell r="A671">
            <v>40941</v>
          </cell>
          <cell r="B671">
            <v>40941</v>
          </cell>
          <cell r="C671" t="str">
            <v>Future</v>
          </cell>
          <cell r="D671" t="e">
            <v>#N/A</v>
          </cell>
          <cell r="E671">
            <v>8.1445945945945706</v>
          </cell>
          <cell r="F671">
            <v>15.712162162162235</v>
          </cell>
          <cell r="G671">
            <v>14.198648648648662</v>
          </cell>
          <cell r="H671">
            <v>14.198648648648662</v>
          </cell>
          <cell r="I671" t="e">
            <v>#N/A</v>
          </cell>
          <cell r="J671" t="e">
            <v>#N/A</v>
          </cell>
          <cell r="K671" t="e">
            <v>#N/A</v>
          </cell>
          <cell r="L671" t="e">
            <v>#N/A</v>
          </cell>
          <cell r="M671" t="e">
            <v>#N/A</v>
          </cell>
          <cell r="N671" t="e">
            <v>#N/A</v>
          </cell>
          <cell r="O671" t="e">
            <v>#N/A</v>
          </cell>
          <cell r="P671">
            <v>14.52</v>
          </cell>
          <cell r="Q671" t="str">
            <v/>
          </cell>
          <cell r="R671" t="e">
            <v>#N/A</v>
          </cell>
        </row>
        <row r="672">
          <cell r="A672">
            <v>40942</v>
          </cell>
          <cell r="B672">
            <v>40942</v>
          </cell>
          <cell r="C672" t="str">
            <v>Future</v>
          </cell>
          <cell r="D672" t="e">
            <v>#N/A</v>
          </cell>
          <cell r="E672">
            <v>8.089189189189165</v>
          </cell>
          <cell r="F672">
            <v>15.724324324324398</v>
          </cell>
          <cell r="G672">
            <v>14.197297297297311</v>
          </cell>
          <cell r="H672">
            <v>14.197297297297311</v>
          </cell>
          <cell r="I672" t="e">
            <v>#N/A</v>
          </cell>
          <cell r="J672" t="e">
            <v>#N/A</v>
          </cell>
          <cell r="K672" t="e">
            <v>#N/A</v>
          </cell>
          <cell r="L672" t="e">
            <v>#N/A</v>
          </cell>
          <cell r="M672" t="e">
            <v>#N/A</v>
          </cell>
          <cell r="N672" t="e">
            <v>#N/A</v>
          </cell>
          <cell r="O672" t="e">
            <v>#N/A</v>
          </cell>
          <cell r="P672">
            <v>14.52</v>
          </cell>
          <cell r="Q672" t="str">
            <v/>
          </cell>
          <cell r="R672" t="e">
            <v>#N/A</v>
          </cell>
        </row>
        <row r="673">
          <cell r="A673">
            <v>40945</v>
          </cell>
          <cell r="B673">
            <v>40945</v>
          </cell>
          <cell r="C673" t="str">
            <v>Future</v>
          </cell>
          <cell r="D673" t="e">
            <v>#N/A</v>
          </cell>
          <cell r="E673">
            <v>8.0337837837837593</v>
          </cell>
          <cell r="F673">
            <v>15.736486486486561</v>
          </cell>
          <cell r="G673">
            <v>14.19594594594596</v>
          </cell>
          <cell r="H673">
            <v>14.19594594594596</v>
          </cell>
          <cell r="I673" t="e">
            <v>#N/A</v>
          </cell>
          <cell r="J673" t="e">
            <v>#N/A</v>
          </cell>
          <cell r="K673" t="e">
            <v>#N/A</v>
          </cell>
          <cell r="L673" t="e">
            <v>#N/A</v>
          </cell>
          <cell r="M673" t="e">
            <v>#N/A</v>
          </cell>
          <cell r="N673" t="e">
            <v>#N/A</v>
          </cell>
          <cell r="O673" t="e">
            <v>#N/A</v>
          </cell>
          <cell r="P673">
            <v>14.52</v>
          </cell>
          <cell r="Q673" t="str">
            <v/>
          </cell>
          <cell r="R673" t="e">
            <v>#N/A</v>
          </cell>
        </row>
        <row r="674">
          <cell r="A674">
            <v>40946</v>
          </cell>
          <cell r="B674">
            <v>40946</v>
          </cell>
          <cell r="C674" t="str">
            <v>Future</v>
          </cell>
          <cell r="D674" t="e">
            <v>#N/A</v>
          </cell>
          <cell r="E674">
            <v>7.9783783783783537</v>
          </cell>
          <cell r="F674">
            <v>15.748648648648723</v>
          </cell>
          <cell r="G674">
            <v>14.194594594594609</v>
          </cell>
          <cell r="H674">
            <v>14.194594594594609</v>
          </cell>
          <cell r="I674" t="e">
            <v>#N/A</v>
          </cell>
          <cell r="J674" t="e">
            <v>#N/A</v>
          </cell>
          <cell r="K674" t="e">
            <v>#N/A</v>
          </cell>
          <cell r="L674" t="e">
            <v>#N/A</v>
          </cell>
          <cell r="M674" t="e">
            <v>#N/A</v>
          </cell>
          <cell r="N674" t="e">
            <v>#N/A</v>
          </cell>
          <cell r="O674" t="e">
            <v>#N/A</v>
          </cell>
          <cell r="P674">
            <v>14.52</v>
          </cell>
          <cell r="Q674" t="str">
            <v/>
          </cell>
          <cell r="R674" t="e">
            <v>#N/A</v>
          </cell>
        </row>
        <row r="675">
          <cell r="A675">
            <v>40947</v>
          </cell>
          <cell r="B675">
            <v>40947</v>
          </cell>
          <cell r="C675" t="str">
            <v>Future</v>
          </cell>
          <cell r="D675" t="e">
            <v>#N/A</v>
          </cell>
          <cell r="E675">
            <v>7.9229729729729481</v>
          </cell>
          <cell r="F675">
            <v>15.760810810810886</v>
          </cell>
          <cell r="G675">
            <v>14.193243243243257</v>
          </cell>
          <cell r="H675">
            <v>14.193243243243257</v>
          </cell>
          <cell r="I675" t="e">
            <v>#N/A</v>
          </cell>
          <cell r="J675" t="e">
            <v>#N/A</v>
          </cell>
          <cell r="K675" t="e">
            <v>#N/A</v>
          </cell>
          <cell r="L675" t="e">
            <v>#N/A</v>
          </cell>
          <cell r="M675" t="e">
            <v>#N/A</v>
          </cell>
          <cell r="N675" t="e">
            <v>#N/A</v>
          </cell>
          <cell r="O675" t="e">
            <v>#N/A</v>
          </cell>
          <cell r="P675">
            <v>14.52</v>
          </cell>
          <cell r="Q675" t="str">
            <v/>
          </cell>
          <cell r="R675" t="e">
            <v>#N/A</v>
          </cell>
        </row>
        <row r="676">
          <cell r="A676">
            <v>40948</v>
          </cell>
          <cell r="B676">
            <v>40948</v>
          </cell>
          <cell r="C676" t="str">
            <v>Future</v>
          </cell>
          <cell r="D676" t="e">
            <v>#N/A</v>
          </cell>
          <cell r="E676">
            <v>7.8675675675675425</v>
          </cell>
          <cell r="F676">
            <v>15.772972972973049</v>
          </cell>
          <cell r="G676">
            <v>14.191891891891906</v>
          </cell>
          <cell r="H676">
            <v>14.191891891891906</v>
          </cell>
          <cell r="I676" t="e">
            <v>#N/A</v>
          </cell>
          <cell r="J676" t="e">
            <v>#N/A</v>
          </cell>
          <cell r="K676" t="e">
            <v>#N/A</v>
          </cell>
          <cell r="L676" t="e">
            <v>#N/A</v>
          </cell>
          <cell r="M676" t="e">
            <v>#N/A</v>
          </cell>
          <cell r="N676" t="e">
            <v>#N/A</v>
          </cell>
          <cell r="O676" t="e">
            <v>#N/A</v>
          </cell>
          <cell r="P676">
            <v>14.52</v>
          </cell>
          <cell r="Q676" t="str">
            <v/>
          </cell>
          <cell r="R676" t="e">
            <v>#N/A</v>
          </cell>
        </row>
        <row r="677">
          <cell r="A677">
            <v>40949</v>
          </cell>
          <cell r="B677">
            <v>40949</v>
          </cell>
          <cell r="C677" t="str">
            <v>Future</v>
          </cell>
          <cell r="D677" t="e">
            <v>#N/A</v>
          </cell>
          <cell r="E677">
            <v>7.8121621621621369</v>
          </cell>
          <cell r="F677">
            <v>15.785135135135212</v>
          </cell>
          <cell r="G677">
            <v>14.190540540540555</v>
          </cell>
          <cell r="H677">
            <v>14.190540540540555</v>
          </cell>
          <cell r="I677" t="e">
            <v>#N/A</v>
          </cell>
          <cell r="J677" t="e">
            <v>#N/A</v>
          </cell>
          <cell r="K677" t="e">
            <v>#N/A</v>
          </cell>
          <cell r="L677" t="e">
            <v>#N/A</v>
          </cell>
          <cell r="M677" t="e">
            <v>#N/A</v>
          </cell>
          <cell r="N677" t="e">
            <v>#N/A</v>
          </cell>
          <cell r="O677" t="e">
            <v>#N/A</v>
          </cell>
          <cell r="P677">
            <v>14.52</v>
          </cell>
          <cell r="Q677" t="str">
            <v/>
          </cell>
          <cell r="R677" t="e">
            <v>#N/A</v>
          </cell>
        </row>
        <row r="678">
          <cell r="A678">
            <v>40952</v>
          </cell>
          <cell r="B678">
            <v>40952</v>
          </cell>
          <cell r="C678" t="str">
            <v>Future</v>
          </cell>
          <cell r="D678" t="e">
            <v>#N/A</v>
          </cell>
          <cell r="E678">
            <v>7.7567567567567313</v>
          </cell>
          <cell r="F678">
            <v>15.797297297297375</v>
          </cell>
          <cell r="G678">
            <v>14.189189189189204</v>
          </cell>
          <cell r="H678">
            <v>14.189189189189204</v>
          </cell>
          <cell r="I678" t="e">
            <v>#N/A</v>
          </cell>
          <cell r="J678" t="e">
            <v>#N/A</v>
          </cell>
          <cell r="K678" t="e">
            <v>#N/A</v>
          </cell>
          <cell r="L678" t="e">
            <v>#N/A</v>
          </cell>
          <cell r="M678" t="e">
            <v>#N/A</v>
          </cell>
          <cell r="N678" t="e">
            <v>#N/A</v>
          </cell>
          <cell r="O678" t="e">
            <v>#N/A</v>
          </cell>
          <cell r="P678">
            <v>14.52</v>
          </cell>
          <cell r="Q678" t="str">
            <v/>
          </cell>
          <cell r="R678" t="e">
            <v>#N/A</v>
          </cell>
        </row>
        <row r="679">
          <cell r="A679">
            <v>40953</v>
          </cell>
          <cell r="B679">
            <v>40953</v>
          </cell>
          <cell r="C679" t="str">
            <v>Future</v>
          </cell>
          <cell r="D679" t="e">
            <v>#N/A</v>
          </cell>
          <cell r="E679">
            <v>7.7013513513513256</v>
          </cell>
          <cell r="F679">
            <v>15.809459459459537</v>
          </cell>
          <cell r="G679">
            <v>14.187837837837852</v>
          </cell>
          <cell r="H679">
            <v>14.187837837837852</v>
          </cell>
          <cell r="I679" t="e">
            <v>#N/A</v>
          </cell>
          <cell r="J679" t="e">
            <v>#N/A</v>
          </cell>
          <cell r="K679" t="e">
            <v>#N/A</v>
          </cell>
          <cell r="L679" t="e">
            <v>#N/A</v>
          </cell>
          <cell r="M679" t="e">
            <v>#N/A</v>
          </cell>
          <cell r="N679" t="e">
            <v>#N/A</v>
          </cell>
          <cell r="O679" t="e">
            <v>#N/A</v>
          </cell>
          <cell r="P679">
            <v>14.52</v>
          </cell>
          <cell r="Q679" t="str">
            <v/>
          </cell>
          <cell r="R679" t="e">
            <v>#N/A</v>
          </cell>
        </row>
        <row r="680">
          <cell r="A680">
            <v>40954</v>
          </cell>
          <cell r="B680">
            <v>40954</v>
          </cell>
          <cell r="C680" t="str">
            <v>Future</v>
          </cell>
          <cell r="D680" t="e">
            <v>#N/A</v>
          </cell>
          <cell r="E680">
            <v>7.64594594594592</v>
          </cell>
          <cell r="F680">
            <v>15.8216216216217</v>
          </cell>
          <cell r="G680">
            <v>14.186486486486501</v>
          </cell>
          <cell r="H680">
            <v>14.186486486486501</v>
          </cell>
          <cell r="I680" t="e">
            <v>#N/A</v>
          </cell>
          <cell r="J680" t="e">
            <v>#N/A</v>
          </cell>
          <cell r="K680" t="e">
            <v>#N/A</v>
          </cell>
          <cell r="L680" t="e">
            <v>#N/A</v>
          </cell>
          <cell r="M680" t="e">
            <v>#N/A</v>
          </cell>
          <cell r="N680" t="e">
            <v>#N/A</v>
          </cell>
          <cell r="O680" t="e">
            <v>#N/A</v>
          </cell>
          <cell r="P680">
            <v>14.52</v>
          </cell>
          <cell r="Q680" t="str">
            <v/>
          </cell>
          <cell r="R680" t="e">
            <v>#N/A</v>
          </cell>
        </row>
        <row r="681">
          <cell r="A681">
            <v>40955</v>
          </cell>
          <cell r="B681">
            <v>40955</v>
          </cell>
          <cell r="C681" t="str">
            <v>Future</v>
          </cell>
          <cell r="D681" t="e">
            <v>#N/A</v>
          </cell>
          <cell r="E681">
            <v>7.5905405405405144</v>
          </cell>
          <cell r="F681">
            <v>15.833783783783863</v>
          </cell>
          <cell r="G681">
            <v>14.18513513513515</v>
          </cell>
          <cell r="H681">
            <v>14.18513513513515</v>
          </cell>
          <cell r="I681" t="e">
            <v>#N/A</v>
          </cell>
          <cell r="J681" t="e">
            <v>#N/A</v>
          </cell>
          <cell r="K681" t="e">
            <v>#N/A</v>
          </cell>
          <cell r="L681" t="e">
            <v>#N/A</v>
          </cell>
          <cell r="M681" t="e">
            <v>#N/A</v>
          </cell>
          <cell r="N681" t="e">
            <v>#N/A</v>
          </cell>
          <cell r="O681" t="e">
            <v>#N/A</v>
          </cell>
          <cell r="P681">
            <v>14.52</v>
          </cell>
          <cell r="Q681" t="str">
            <v/>
          </cell>
          <cell r="R681" t="e">
            <v>#N/A</v>
          </cell>
        </row>
        <row r="682">
          <cell r="A682">
            <v>40956</v>
          </cell>
          <cell r="B682">
            <v>40956</v>
          </cell>
          <cell r="C682" t="str">
            <v>Future</v>
          </cell>
          <cell r="D682" t="e">
            <v>#N/A</v>
          </cell>
          <cell r="E682">
            <v>7.5351351351351088</v>
          </cell>
          <cell r="F682">
            <v>15.845945945946026</v>
          </cell>
          <cell r="G682">
            <v>14.183783783783799</v>
          </cell>
          <cell r="H682">
            <v>14.183783783783799</v>
          </cell>
          <cell r="I682" t="e">
            <v>#N/A</v>
          </cell>
          <cell r="J682" t="e">
            <v>#N/A</v>
          </cell>
          <cell r="K682" t="e">
            <v>#N/A</v>
          </cell>
          <cell r="L682" t="e">
            <v>#N/A</v>
          </cell>
          <cell r="M682" t="e">
            <v>#N/A</v>
          </cell>
          <cell r="N682" t="e">
            <v>#N/A</v>
          </cell>
          <cell r="O682" t="e">
            <v>#N/A</v>
          </cell>
          <cell r="P682">
            <v>14.52</v>
          </cell>
          <cell r="Q682" t="str">
            <v/>
          </cell>
          <cell r="R682" t="e">
            <v>#N/A</v>
          </cell>
        </row>
        <row r="683">
          <cell r="A683">
            <v>40959</v>
          </cell>
          <cell r="B683">
            <v>40959</v>
          </cell>
          <cell r="C683" t="str">
            <v>Future</v>
          </cell>
          <cell r="D683" t="e">
            <v>#N/A</v>
          </cell>
          <cell r="E683">
            <v>7.4797297297297032</v>
          </cell>
          <cell r="F683">
            <v>15.858108108108189</v>
          </cell>
          <cell r="G683">
            <v>14.182432432432448</v>
          </cell>
          <cell r="H683">
            <v>14.182432432432448</v>
          </cell>
          <cell r="I683" t="e">
            <v>#N/A</v>
          </cell>
          <cell r="J683" t="e">
            <v>#N/A</v>
          </cell>
          <cell r="K683" t="e">
            <v>#N/A</v>
          </cell>
          <cell r="L683" t="e">
            <v>#N/A</v>
          </cell>
          <cell r="M683" t="e">
            <v>#N/A</v>
          </cell>
          <cell r="N683" t="e">
            <v>#N/A</v>
          </cell>
          <cell r="O683" t="e">
            <v>#N/A</v>
          </cell>
          <cell r="P683">
            <v>14.52</v>
          </cell>
          <cell r="Q683" t="str">
            <v/>
          </cell>
          <cell r="R683" t="e">
            <v>#N/A</v>
          </cell>
        </row>
        <row r="684">
          <cell r="A684">
            <v>40960</v>
          </cell>
          <cell r="B684">
            <v>40960</v>
          </cell>
          <cell r="C684" t="str">
            <v>Future</v>
          </cell>
          <cell r="D684" t="e">
            <v>#N/A</v>
          </cell>
          <cell r="E684">
            <v>7.4243243243242976</v>
          </cell>
          <cell r="F684">
            <v>15.870270270270352</v>
          </cell>
          <cell r="G684">
            <v>14.181081081081096</v>
          </cell>
          <cell r="H684">
            <v>14.181081081081096</v>
          </cell>
          <cell r="I684" t="e">
            <v>#N/A</v>
          </cell>
          <cell r="J684" t="e">
            <v>#N/A</v>
          </cell>
          <cell r="K684" t="e">
            <v>#N/A</v>
          </cell>
          <cell r="L684" t="e">
            <v>#N/A</v>
          </cell>
          <cell r="M684" t="e">
            <v>#N/A</v>
          </cell>
          <cell r="N684" t="e">
            <v>#N/A</v>
          </cell>
          <cell r="O684" t="e">
            <v>#N/A</v>
          </cell>
          <cell r="P684">
            <v>14.52</v>
          </cell>
          <cell r="Q684" t="str">
            <v/>
          </cell>
          <cell r="R684" t="e">
            <v>#N/A</v>
          </cell>
        </row>
        <row r="685">
          <cell r="A685">
            <v>40961</v>
          </cell>
          <cell r="B685">
            <v>40961</v>
          </cell>
          <cell r="C685" t="str">
            <v>Future</v>
          </cell>
          <cell r="D685" t="e">
            <v>#N/A</v>
          </cell>
          <cell r="E685">
            <v>7.3689189189188919</v>
          </cell>
          <cell r="F685">
            <v>15.882432432432514</v>
          </cell>
          <cell r="G685">
            <v>14.179729729729745</v>
          </cell>
          <cell r="H685">
            <v>14.179729729729745</v>
          </cell>
          <cell r="I685" t="e">
            <v>#N/A</v>
          </cell>
          <cell r="J685" t="e">
            <v>#N/A</v>
          </cell>
          <cell r="K685" t="e">
            <v>#N/A</v>
          </cell>
          <cell r="L685" t="e">
            <v>#N/A</v>
          </cell>
          <cell r="M685" t="e">
            <v>#N/A</v>
          </cell>
          <cell r="N685" t="e">
            <v>#N/A</v>
          </cell>
          <cell r="O685" t="e">
            <v>#N/A</v>
          </cell>
          <cell r="P685">
            <v>14.52</v>
          </cell>
          <cell r="Q685" t="str">
            <v/>
          </cell>
          <cell r="R685" t="e">
            <v>#N/A</v>
          </cell>
        </row>
        <row r="686">
          <cell r="A686">
            <v>40962</v>
          </cell>
          <cell r="B686">
            <v>40962</v>
          </cell>
          <cell r="C686" t="str">
            <v>Future</v>
          </cell>
          <cell r="D686" t="e">
            <v>#N/A</v>
          </cell>
          <cell r="E686">
            <v>7.3135135135134863</v>
          </cell>
          <cell r="F686">
            <v>15.894594594594677</v>
          </cell>
          <cell r="G686">
            <v>14.178378378378394</v>
          </cell>
          <cell r="H686">
            <v>14.178378378378394</v>
          </cell>
          <cell r="I686" t="e">
            <v>#N/A</v>
          </cell>
          <cell r="J686" t="e">
            <v>#N/A</v>
          </cell>
          <cell r="K686" t="e">
            <v>#N/A</v>
          </cell>
          <cell r="L686" t="e">
            <v>#N/A</v>
          </cell>
          <cell r="M686" t="e">
            <v>#N/A</v>
          </cell>
          <cell r="N686" t="e">
            <v>#N/A</v>
          </cell>
          <cell r="O686" t="e">
            <v>#N/A</v>
          </cell>
          <cell r="P686">
            <v>14.52</v>
          </cell>
          <cell r="Q686" t="str">
            <v/>
          </cell>
          <cell r="R686" t="e">
            <v>#N/A</v>
          </cell>
        </row>
        <row r="687">
          <cell r="A687">
            <v>40963</v>
          </cell>
          <cell r="B687">
            <v>40963</v>
          </cell>
          <cell r="C687" t="str">
            <v>Future</v>
          </cell>
          <cell r="D687" t="e">
            <v>#N/A</v>
          </cell>
          <cell r="E687">
            <v>7.2581081081080807</v>
          </cell>
          <cell r="F687">
            <v>15.90675675675684</v>
          </cell>
          <cell r="G687">
            <v>14.177027027027043</v>
          </cell>
          <cell r="H687">
            <v>14.177027027027043</v>
          </cell>
          <cell r="I687" t="e">
            <v>#N/A</v>
          </cell>
          <cell r="J687" t="e">
            <v>#N/A</v>
          </cell>
          <cell r="K687" t="e">
            <v>#N/A</v>
          </cell>
          <cell r="L687" t="e">
            <v>#N/A</v>
          </cell>
          <cell r="M687" t="e">
            <v>#N/A</v>
          </cell>
          <cell r="N687" t="e">
            <v>#N/A</v>
          </cell>
          <cell r="O687" t="e">
            <v>#N/A</v>
          </cell>
          <cell r="P687">
            <v>14.52</v>
          </cell>
          <cell r="Q687" t="str">
            <v/>
          </cell>
          <cell r="R687" t="e">
            <v>#N/A</v>
          </cell>
        </row>
        <row r="688">
          <cell r="A688">
            <v>40966</v>
          </cell>
          <cell r="B688">
            <v>40966</v>
          </cell>
          <cell r="C688" t="str">
            <v>Future</v>
          </cell>
          <cell r="D688" t="e">
            <v>#N/A</v>
          </cell>
          <cell r="E688">
            <v>7.2027027027026751</v>
          </cell>
          <cell r="F688">
            <v>15.918918918919003</v>
          </cell>
          <cell r="G688">
            <v>14.175675675675691</v>
          </cell>
          <cell r="H688">
            <v>14.175675675675691</v>
          </cell>
          <cell r="I688" t="e">
            <v>#N/A</v>
          </cell>
          <cell r="J688" t="e">
            <v>#N/A</v>
          </cell>
          <cell r="K688" t="e">
            <v>#N/A</v>
          </cell>
          <cell r="L688" t="e">
            <v>#N/A</v>
          </cell>
          <cell r="M688" t="e">
            <v>#N/A</v>
          </cell>
          <cell r="N688" t="e">
            <v>#N/A</v>
          </cell>
          <cell r="O688" t="e">
            <v>#N/A</v>
          </cell>
          <cell r="P688">
            <v>14.52</v>
          </cell>
          <cell r="Q688" t="str">
            <v/>
          </cell>
          <cell r="R688" t="e">
            <v>#N/A</v>
          </cell>
        </row>
        <row r="689">
          <cell r="A689">
            <v>40967</v>
          </cell>
          <cell r="B689">
            <v>40967</v>
          </cell>
          <cell r="C689" t="str">
            <v>Future</v>
          </cell>
          <cell r="D689" t="e">
            <v>#N/A</v>
          </cell>
          <cell r="E689">
            <v>7.1472972972972695</v>
          </cell>
          <cell r="F689">
            <v>15.931081081081166</v>
          </cell>
          <cell r="G689">
            <v>14.17432432432434</v>
          </cell>
          <cell r="H689">
            <v>14.17432432432434</v>
          </cell>
          <cell r="I689" t="e">
            <v>#N/A</v>
          </cell>
          <cell r="J689" t="e">
            <v>#N/A</v>
          </cell>
          <cell r="K689" t="e">
            <v>#N/A</v>
          </cell>
          <cell r="L689" t="e">
            <v>#N/A</v>
          </cell>
          <cell r="M689" t="e">
            <v>#N/A</v>
          </cell>
          <cell r="N689" t="e">
            <v>#N/A</v>
          </cell>
          <cell r="O689" t="e">
            <v>#N/A</v>
          </cell>
          <cell r="P689">
            <v>14.52</v>
          </cell>
          <cell r="Q689" t="str">
            <v/>
          </cell>
          <cell r="R689" t="e">
            <v>#N/A</v>
          </cell>
        </row>
        <row r="690">
          <cell r="A690">
            <v>40968</v>
          </cell>
          <cell r="B690">
            <v>40968</v>
          </cell>
          <cell r="C690" t="str">
            <v>Future</v>
          </cell>
          <cell r="D690" t="e">
            <v>#N/A</v>
          </cell>
          <cell r="E690">
            <v>7.0918918918918639</v>
          </cell>
          <cell r="F690">
            <v>15.943243243243328</v>
          </cell>
          <cell r="G690">
            <v>14.172972972972989</v>
          </cell>
          <cell r="H690">
            <v>14.172972972972989</v>
          </cell>
          <cell r="I690" t="e">
            <v>#N/A</v>
          </cell>
          <cell r="J690" t="e">
            <v>#N/A</v>
          </cell>
          <cell r="K690" t="e">
            <v>#N/A</v>
          </cell>
          <cell r="L690" t="e">
            <v>#N/A</v>
          </cell>
          <cell r="M690" t="e">
            <v>#N/A</v>
          </cell>
          <cell r="N690" t="e">
            <v>#N/A</v>
          </cell>
          <cell r="O690" t="e">
            <v>#N/A</v>
          </cell>
          <cell r="P690">
            <v>14.52</v>
          </cell>
          <cell r="Q690" t="str">
            <v/>
          </cell>
          <cell r="R690" t="e">
            <v>#N/A</v>
          </cell>
        </row>
        <row r="691">
          <cell r="A691">
            <v>40969</v>
          </cell>
          <cell r="B691">
            <v>40969</v>
          </cell>
          <cell r="C691" t="str">
            <v>Future</v>
          </cell>
          <cell r="D691" t="e">
            <v>#N/A</v>
          </cell>
          <cell r="E691">
            <v>7.0364864864864582</v>
          </cell>
          <cell r="F691">
            <v>15.955405405405491</v>
          </cell>
          <cell r="G691">
            <v>14.171621621621638</v>
          </cell>
          <cell r="H691">
            <v>14.171621621621638</v>
          </cell>
          <cell r="I691" t="e">
            <v>#N/A</v>
          </cell>
          <cell r="J691" t="e">
            <v>#N/A</v>
          </cell>
          <cell r="K691" t="e">
            <v>#N/A</v>
          </cell>
          <cell r="L691" t="e">
            <v>#N/A</v>
          </cell>
          <cell r="M691" t="e">
            <v>#N/A</v>
          </cell>
          <cell r="N691" t="e">
            <v>#N/A</v>
          </cell>
          <cell r="O691" t="e">
            <v>#N/A</v>
          </cell>
          <cell r="P691">
            <v>14.52</v>
          </cell>
          <cell r="Q691" t="str">
            <v/>
          </cell>
          <cell r="R691" t="e">
            <v>#N/A</v>
          </cell>
        </row>
        <row r="692">
          <cell r="A692">
            <v>40970</v>
          </cell>
          <cell r="B692">
            <v>40970</v>
          </cell>
          <cell r="C692" t="str">
            <v>Future</v>
          </cell>
          <cell r="D692" t="e">
            <v>#N/A</v>
          </cell>
          <cell r="E692">
            <v>6.9810810810810526</v>
          </cell>
          <cell r="F692">
            <v>15.967567567567654</v>
          </cell>
          <cell r="G692">
            <v>14.170270270270287</v>
          </cell>
          <cell r="H692">
            <v>14.170270270270287</v>
          </cell>
          <cell r="I692" t="e">
            <v>#N/A</v>
          </cell>
          <cell r="J692" t="e">
            <v>#N/A</v>
          </cell>
          <cell r="K692" t="e">
            <v>#N/A</v>
          </cell>
          <cell r="L692" t="e">
            <v>#N/A</v>
          </cell>
          <cell r="M692" t="e">
            <v>#N/A</v>
          </cell>
          <cell r="N692" t="e">
            <v>#N/A</v>
          </cell>
          <cell r="O692" t="e">
            <v>#N/A</v>
          </cell>
          <cell r="P692">
            <v>14.52</v>
          </cell>
          <cell r="Q692" t="str">
            <v/>
          </cell>
          <cell r="R692" t="e">
            <v>#N/A</v>
          </cell>
        </row>
        <row r="693">
          <cell r="A693">
            <v>40973</v>
          </cell>
          <cell r="B693">
            <v>40973</v>
          </cell>
          <cell r="C693" t="str">
            <v>Future</v>
          </cell>
          <cell r="D693" t="e">
            <v>#N/A</v>
          </cell>
          <cell r="E693">
            <v>6.925675675675647</v>
          </cell>
          <cell r="F693">
            <v>15.979729729729817</v>
          </cell>
          <cell r="G693">
            <v>14.168918918918935</v>
          </cell>
          <cell r="H693">
            <v>14.168918918918935</v>
          </cell>
          <cell r="I693" t="e">
            <v>#N/A</v>
          </cell>
          <cell r="J693" t="e">
            <v>#N/A</v>
          </cell>
          <cell r="K693" t="e">
            <v>#N/A</v>
          </cell>
          <cell r="L693" t="e">
            <v>#N/A</v>
          </cell>
          <cell r="M693" t="e">
            <v>#N/A</v>
          </cell>
          <cell r="N693" t="e">
            <v>#N/A</v>
          </cell>
          <cell r="O693" t="e">
            <v>#N/A</v>
          </cell>
          <cell r="P693">
            <v>14.52</v>
          </cell>
          <cell r="Q693" t="str">
            <v/>
          </cell>
          <cell r="R693" t="e">
            <v>#N/A</v>
          </cell>
        </row>
        <row r="694">
          <cell r="A694">
            <v>40974</v>
          </cell>
          <cell r="B694">
            <v>40974</v>
          </cell>
          <cell r="C694" t="str">
            <v>Future</v>
          </cell>
          <cell r="D694" t="e">
            <v>#N/A</v>
          </cell>
          <cell r="E694">
            <v>6.8702702702702414</v>
          </cell>
          <cell r="F694">
            <v>15.99189189189198</v>
          </cell>
          <cell r="G694">
            <v>14.167567567567584</v>
          </cell>
          <cell r="H694">
            <v>14.167567567567584</v>
          </cell>
          <cell r="I694" t="e">
            <v>#N/A</v>
          </cell>
          <cell r="J694" t="e">
            <v>#N/A</v>
          </cell>
          <cell r="K694" t="e">
            <v>#N/A</v>
          </cell>
          <cell r="L694" t="e">
            <v>#N/A</v>
          </cell>
          <cell r="M694" t="e">
            <v>#N/A</v>
          </cell>
          <cell r="N694" t="e">
            <v>#N/A</v>
          </cell>
          <cell r="O694" t="e">
            <v>#N/A</v>
          </cell>
          <cell r="P694">
            <v>14.52</v>
          </cell>
          <cell r="Q694" t="str">
            <v/>
          </cell>
          <cell r="R694" t="e">
            <v>#N/A</v>
          </cell>
        </row>
        <row r="695">
          <cell r="A695">
            <v>40975</v>
          </cell>
          <cell r="B695">
            <v>40975</v>
          </cell>
          <cell r="C695" t="str">
            <v>Future</v>
          </cell>
          <cell r="D695" t="e">
            <v>#N/A</v>
          </cell>
          <cell r="E695">
            <v>6.8148648648648358</v>
          </cell>
          <cell r="F695">
            <v>16.004054054054141</v>
          </cell>
          <cell r="G695">
            <v>14.166216216216233</v>
          </cell>
          <cell r="H695">
            <v>14.166216216216233</v>
          </cell>
          <cell r="I695" t="e">
            <v>#N/A</v>
          </cell>
          <cell r="J695" t="e">
            <v>#N/A</v>
          </cell>
          <cell r="K695" t="e">
            <v>#N/A</v>
          </cell>
          <cell r="L695" t="e">
            <v>#N/A</v>
          </cell>
          <cell r="M695" t="e">
            <v>#N/A</v>
          </cell>
          <cell r="N695" t="e">
            <v>#N/A</v>
          </cell>
          <cell r="O695" t="e">
            <v>#N/A</v>
          </cell>
          <cell r="P695">
            <v>14.52</v>
          </cell>
          <cell r="Q695" t="str">
            <v/>
          </cell>
          <cell r="R695" t="e">
            <v>#N/A</v>
          </cell>
        </row>
        <row r="696">
          <cell r="A696">
            <v>40976</v>
          </cell>
          <cell r="B696">
            <v>40976</v>
          </cell>
          <cell r="C696" t="str">
            <v>Future</v>
          </cell>
          <cell r="D696" t="e">
            <v>#N/A</v>
          </cell>
          <cell r="E696">
            <v>6.7594594594594302</v>
          </cell>
          <cell r="F696">
            <v>16.016216216216304</v>
          </cell>
          <cell r="G696">
            <v>14.164864864864882</v>
          </cell>
          <cell r="H696">
            <v>14.164864864864882</v>
          </cell>
          <cell r="I696" t="e">
            <v>#N/A</v>
          </cell>
          <cell r="J696" t="e">
            <v>#N/A</v>
          </cell>
          <cell r="K696" t="e">
            <v>#N/A</v>
          </cell>
          <cell r="L696" t="e">
            <v>#N/A</v>
          </cell>
          <cell r="M696" t="e">
            <v>#N/A</v>
          </cell>
          <cell r="N696" t="e">
            <v>#N/A</v>
          </cell>
          <cell r="O696" t="e">
            <v>#N/A</v>
          </cell>
          <cell r="P696">
            <v>14.52</v>
          </cell>
          <cell r="Q696" t="str">
            <v/>
          </cell>
          <cell r="R696" t="e">
            <v>#N/A</v>
          </cell>
        </row>
        <row r="697">
          <cell r="A697">
            <v>40977</v>
          </cell>
          <cell r="B697">
            <v>40977</v>
          </cell>
          <cell r="C697" t="str">
            <v>Future</v>
          </cell>
          <cell r="D697" t="e">
            <v>#N/A</v>
          </cell>
          <cell r="E697">
            <v>6.7040540540540245</v>
          </cell>
          <cell r="F697">
            <v>16.028378378378466</v>
          </cell>
          <cell r="G697">
            <v>14.16351351351353</v>
          </cell>
          <cell r="H697">
            <v>14.16351351351353</v>
          </cell>
          <cell r="I697" t="e">
            <v>#N/A</v>
          </cell>
          <cell r="J697" t="e">
            <v>#N/A</v>
          </cell>
          <cell r="K697" t="e">
            <v>#N/A</v>
          </cell>
          <cell r="L697" t="e">
            <v>#N/A</v>
          </cell>
          <cell r="M697" t="e">
            <v>#N/A</v>
          </cell>
          <cell r="N697" t="e">
            <v>#N/A</v>
          </cell>
          <cell r="O697" t="e">
            <v>#N/A</v>
          </cell>
          <cell r="P697">
            <v>14.52</v>
          </cell>
          <cell r="Q697" t="str">
            <v/>
          </cell>
          <cell r="R697" t="e">
            <v>#N/A</v>
          </cell>
        </row>
        <row r="698">
          <cell r="A698">
            <v>40980</v>
          </cell>
          <cell r="B698">
            <v>40980</v>
          </cell>
          <cell r="C698" t="str">
            <v>Future</v>
          </cell>
          <cell r="D698" t="e">
            <v>#N/A</v>
          </cell>
          <cell r="E698">
            <v>6.6486486486486189</v>
          </cell>
          <cell r="F698">
            <v>16.040540540540629</v>
          </cell>
          <cell r="G698">
            <v>14.162162162162179</v>
          </cell>
          <cell r="H698">
            <v>14.162162162162179</v>
          </cell>
          <cell r="I698" t="e">
            <v>#N/A</v>
          </cell>
          <cell r="J698" t="e">
            <v>#N/A</v>
          </cell>
          <cell r="K698" t="e">
            <v>#N/A</v>
          </cell>
          <cell r="L698" t="e">
            <v>#N/A</v>
          </cell>
          <cell r="M698" t="e">
            <v>#N/A</v>
          </cell>
          <cell r="N698" t="e">
            <v>#N/A</v>
          </cell>
          <cell r="O698" t="e">
            <v>#N/A</v>
          </cell>
          <cell r="P698">
            <v>14.52</v>
          </cell>
          <cell r="Q698" t="str">
            <v/>
          </cell>
          <cell r="R698" t="e">
            <v>#N/A</v>
          </cell>
        </row>
        <row r="699">
          <cell r="A699">
            <v>40981</v>
          </cell>
          <cell r="B699">
            <v>40981</v>
          </cell>
          <cell r="C699" t="str">
            <v>Future</v>
          </cell>
          <cell r="D699" t="e">
            <v>#N/A</v>
          </cell>
          <cell r="E699">
            <v>6.5932432432432133</v>
          </cell>
          <cell r="F699">
            <v>16.052702702702792</v>
          </cell>
          <cell r="G699">
            <v>14.160810810810828</v>
          </cell>
          <cell r="H699">
            <v>14.160810810810828</v>
          </cell>
          <cell r="I699" t="e">
            <v>#N/A</v>
          </cell>
          <cell r="J699" t="e">
            <v>#N/A</v>
          </cell>
          <cell r="K699" t="e">
            <v>#N/A</v>
          </cell>
          <cell r="L699" t="e">
            <v>#N/A</v>
          </cell>
          <cell r="M699" t="e">
            <v>#N/A</v>
          </cell>
          <cell r="N699" t="e">
            <v>#N/A</v>
          </cell>
          <cell r="O699" t="e">
            <v>#N/A</v>
          </cell>
          <cell r="P699">
            <v>14.52</v>
          </cell>
          <cell r="Q699" t="str">
            <v/>
          </cell>
          <cell r="R699" t="e">
            <v>#N/A</v>
          </cell>
        </row>
        <row r="700">
          <cell r="A700">
            <v>40982</v>
          </cell>
          <cell r="B700">
            <v>40982</v>
          </cell>
          <cell r="C700" t="str">
            <v>Future</v>
          </cell>
          <cell r="D700" t="e">
            <v>#N/A</v>
          </cell>
          <cell r="E700">
            <v>6.5378378378378077</v>
          </cell>
          <cell r="F700">
            <v>16.064864864864955</v>
          </cell>
          <cell r="G700">
            <v>14.159459459459477</v>
          </cell>
          <cell r="H700">
            <v>14.159459459459477</v>
          </cell>
          <cell r="I700" t="e">
            <v>#N/A</v>
          </cell>
          <cell r="J700" t="e">
            <v>#N/A</v>
          </cell>
          <cell r="K700" t="e">
            <v>#N/A</v>
          </cell>
          <cell r="L700" t="e">
            <v>#N/A</v>
          </cell>
          <cell r="M700" t="e">
            <v>#N/A</v>
          </cell>
          <cell r="N700" t="e">
            <v>#N/A</v>
          </cell>
          <cell r="O700" t="e">
            <v>#N/A</v>
          </cell>
          <cell r="P700">
            <v>14.52</v>
          </cell>
          <cell r="Q700" t="str">
            <v/>
          </cell>
          <cell r="R700" t="e">
            <v>#N/A</v>
          </cell>
        </row>
        <row r="701">
          <cell r="A701">
            <v>40983</v>
          </cell>
          <cell r="B701">
            <v>40983</v>
          </cell>
          <cell r="C701" t="str">
            <v>Future</v>
          </cell>
          <cell r="D701" t="e">
            <v>#N/A</v>
          </cell>
          <cell r="E701">
            <v>6.4824324324324021</v>
          </cell>
          <cell r="F701">
            <v>16.077027027027118</v>
          </cell>
          <cell r="G701">
            <v>14.158108108108125</v>
          </cell>
          <cell r="H701">
            <v>14.158108108108125</v>
          </cell>
          <cell r="I701" t="e">
            <v>#N/A</v>
          </cell>
          <cell r="J701" t="e">
            <v>#N/A</v>
          </cell>
          <cell r="K701" t="e">
            <v>#N/A</v>
          </cell>
          <cell r="L701" t="e">
            <v>#N/A</v>
          </cell>
          <cell r="M701" t="e">
            <v>#N/A</v>
          </cell>
          <cell r="N701" t="e">
            <v>#N/A</v>
          </cell>
          <cell r="O701" t="e">
            <v>#N/A</v>
          </cell>
          <cell r="P701">
            <v>14.52</v>
          </cell>
          <cell r="Q701" t="str">
            <v/>
          </cell>
          <cell r="R701" t="e">
            <v>#N/A</v>
          </cell>
        </row>
        <row r="702">
          <cell r="A702">
            <v>40984</v>
          </cell>
          <cell r="B702">
            <v>40984</v>
          </cell>
          <cell r="C702" t="str">
            <v>Future</v>
          </cell>
          <cell r="D702" t="e">
            <v>#N/A</v>
          </cell>
          <cell r="E702">
            <v>6.4270270270269965</v>
          </cell>
          <cell r="F702">
            <v>16.08918918918928</v>
          </cell>
          <cell r="G702">
            <v>14.156756756756774</v>
          </cell>
          <cell r="H702">
            <v>14.156756756756774</v>
          </cell>
          <cell r="I702" t="e">
            <v>#N/A</v>
          </cell>
          <cell r="J702" t="e">
            <v>#N/A</v>
          </cell>
          <cell r="K702" t="e">
            <v>#N/A</v>
          </cell>
          <cell r="L702" t="e">
            <v>#N/A</v>
          </cell>
          <cell r="M702" t="e">
            <v>#N/A</v>
          </cell>
          <cell r="N702" t="e">
            <v>#N/A</v>
          </cell>
          <cell r="O702" t="e">
            <v>#N/A</v>
          </cell>
          <cell r="P702">
            <v>14.52</v>
          </cell>
          <cell r="Q702" t="str">
            <v/>
          </cell>
          <cell r="R702" t="e">
            <v>#N/A</v>
          </cell>
        </row>
        <row r="703">
          <cell r="A703">
            <v>40987</v>
          </cell>
          <cell r="B703">
            <v>40987</v>
          </cell>
          <cell r="C703" t="str">
            <v>Future</v>
          </cell>
          <cell r="D703" t="e">
            <v>#N/A</v>
          </cell>
          <cell r="E703">
            <v>6.3716216216215908</v>
          </cell>
          <cell r="F703">
            <v>16.101351351351443</v>
          </cell>
          <cell r="G703">
            <v>14.155405405405423</v>
          </cell>
          <cell r="H703">
            <v>14.155405405405423</v>
          </cell>
          <cell r="I703" t="e">
            <v>#N/A</v>
          </cell>
          <cell r="J703" t="e">
            <v>#N/A</v>
          </cell>
          <cell r="K703" t="e">
            <v>#N/A</v>
          </cell>
          <cell r="L703" t="e">
            <v>#N/A</v>
          </cell>
          <cell r="M703" t="e">
            <v>#N/A</v>
          </cell>
          <cell r="N703" t="e">
            <v>#N/A</v>
          </cell>
          <cell r="O703" t="e">
            <v>#N/A</v>
          </cell>
          <cell r="P703">
            <v>14.52</v>
          </cell>
          <cell r="Q703" t="str">
            <v/>
          </cell>
          <cell r="R703" t="e">
            <v>#N/A</v>
          </cell>
        </row>
        <row r="704">
          <cell r="A704">
            <v>40988</v>
          </cell>
          <cell r="B704">
            <v>40988</v>
          </cell>
          <cell r="C704" t="str">
            <v>Future</v>
          </cell>
          <cell r="D704" t="e">
            <v>#N/A</v>
          </cell>
          <cell r="E704">
            <v>6.3162162162161852</v>
          </cell>
          <cell r="F704">
            <v>16.113513513513606</v>
          </cell>
          <cell r="G704">
            <v>14.154054054054072</v>
          </cell>
          <cell r="H704">
            <v>14.154054054054072</v>
          </cell>
          <cell r="I704" t="e">
            <v>#N/A</v>
          </cell>
          <cell r="J704" t="e">
            <v>#N/A</v>
          </cell>
          <cell r="K704" t="e">
            <v>#N/A</v>
          </cell>
          <cell r="L704" t="e">
            <v>#N/A</v>
          </cell>
          <cell r="M704" t="e">
            <v>#N/A</v>
          </cell>
          <cell r="N704" t="e">
            <v>#N/A</v>
          </cell>
          <cell r="O704" t="e">
            <v>#N/A</v>
          </cell>
          <cell r="P704">
            <v>14.52</v>
          </cell>
          <cell r="Q704" t="str">
            <v/>
          </cell>
          <cell r="R704" t="e">
            <v>#N/A</v>
          </cell>
        </row>
        <row r="705">
          <cell r="A705">
            <v>40989</v>
          </cell>
          <cell r="B705">
            <v>40989</v>
          </cell>
          <cell r="C705" t="str">
            <v>Future</v>
          </cell>
          <cell r="D705" t="e">
            <v>#N/A</v>
          </cell>
          <cell r="E705">
            <v>6.2608108108107796</v>
          </cell>
          <cell r="F705">
            <v>16.125675675675769</v>
          </cell>
          <cell r="G705">
            <v>14.152702702702721</v>
          </cell>
          <cell r="H705">
            <v>14.152702702702721</v>
          </cell>
          <cell r="I705" t="e">
            <v>#N/A</v>
          </cell>
          <cell r="J705" t="e">
            <v>#N/A</v>
          </cell>
          <cell r="K705" t="e">
            <v>#N/A</v>
          </cell>
          <cell r="L705" t="e">
            <v>#N/A</v>
          </cell>
          <cell r="M705" t="e">
            <v>#N/A</v>
          </cell>
          <cell r="N705" t="e">
            <v>#N/A</v>
          </cell>
          <cell r="O705" t="e">
            <v>#N/A</v>
          </cell>
          <cell r="P705">
            <v>14.52</v>
          </cell>
          <cell r="Q705" t="str">
            <v/>
          </cell>
          <cell r="R705" t="e">
            <v>#N/A</v>
          </cell>
        </row>
        <row r="706">
          <cell r="A706">
            <v>40990</v>
          </cell>
          <cell r="B706">
            <v>40990</v>
          </cell>
          <cell r="C706" t="str">
            <v>Future</v>
          </cell>
          <cell r="D706" t="e">
            <v>#N/A</v>
          </cell>
          <cell r="E706">
            <v>6.205405405405374</v>
          </cell>
          <cell r="F706">
            <v>16.137837837837932</v>
          </cell>
          <cell r="G706">
            <v>14.151351351351369</v>
          </cell>
          <cell r="H706">
            <v>14.151351351351369</v>
          </cell>
          <cell r="I706" t="e">
            <v>#N/A</v>
          </cell>
          <cell r="J706" t="e">
            <v>#N/A</v>
          </cell>
          <cell r="K706" t="e">
            <v>#N/A</v>
          </cell>
          <cell r="L706" t="e">
            <v>#N/A</v>
          </cell>
          <cell r="M706" t="e">
            <v>#N/A</v>
          </cell>
          <cell r="N706" t="e">
            <v>#N/A</v>
          </cell>
          <cell r="O706" t="e">
            <v>#N/A</v>
          </cell>
          <cell r="P706">
            <v>14.52</v>
          </cell>
          <cell r="Q706" t="str">
            <v/>
          </cell>
          <cell r="R706" t="e">
            <v>#N/A</v>
          </cell>
        </row>
        <row r="707">
          <cell r="A707">
            <v>40991</v>
          </cell>
          <cell r="B707">
            <v>40991</v>
          </cell>
          <cell r="C707" t="str">
            <v>Future</v>
          </cell>
          <cell r="D707" t="e">
            <v>#N/A</v>
          </cell>
          <cell r="E707">
            <v>6.1499999999999684</v>
          </cell>
          <cell r="F707">
            <v>16.150000000000095</v>
          </cell>
          <cell r="G707">
            <v>14.150000000000018</v>
          </cell>
          <cell r="H707">
            <v>14.150000000000018</v>
          </cell>
          <cell r="I707" t="e">
            <v>#N/A</v>
          </cell>
          <cell r="J707" t="e">
            <v>#N/A</v>
          </cell>
          <cell r="K707" t="e">
            <v>#N/A</v>
          </cell>
          <cell r="L707" t="e">
            <v>#N/A</v>
          </cell>
          <cell r="M707" t="e">
            <v>#N/A</v>
          </cell>
          <cell r="N707" t="e">
            <v>#N/A</v>
          </cell>
          <cell r="O707" t="e">
            <v>#N/A</v>
          </cell>
          <cell r="P707">
            <v>14.52</v>
          </cell>
          <cell r="Q707" t="str">
            <v/>
          </cell>
          <cell r="R707" t="e">
            <v>#N/A</v>
          </cell>
        </row>
        <row r="708">
          <cell r="A708">
            <v>40994</v>
          </cell>
          <cell r="B708">
            <v>40994</v>
          </cell>
          <cell r="C708" t="str">
            <v>Future</v>
          </cell>
          <cell r="D708" t="e">
            <v>#N/A</v>
          </cell>
          <cell r="E708">
            <v>6.0945945945945628</v>
          </cell>
          <cell r="F708">
            <v>16.162162162162257</v>
          </cell>
          <cell r="G708">
            <v>14.148648648648667</v>
          </cell>
          <cell r="H708">
            <v>14.148648648648667</v>
          </cell>
          <cell r="I708" t="e">
            <v>#N/A</v>
          </cell>
          <cell r="J708" t="e">
            <v>#N/A</v>
          </cell>
          <cell r="K708" t="e">
            <v>#N/A</v>
          </cell>
          <cell r="L708" t="e">
            <v>#N/A</v>
          </cell>
          <cell r="M708" t="e">
            <v>#N/A</v>
          </cell>
          <cell r="N708" t="e">
            <v>#N/A</v>
          </cell>
          <cell r="O708" t="e">
            <v>#N/A</v>
          </cell>
          <cell r="P708">
            <v>14.52</v>
          </cell>
          <cell r="Q708" t="str">
            <v/>
          </cell>
          <cell r="R708" t="e">
            <v>#N/A</v>
          </cell>
        </row>
        <row r="709">
          <cell r="A709">
            <v>40995</v>
          </cell>
          <cell r="B709">
            <v>40995</v>
          </cell>
          <cell r="C709" t="str">
            <v>Future</v>
          </cell>
          <cell r="D709" t="e">
            <v>#N/A</v>
          </cell>
          <cell r="E709">
            <v>6.0391891891891571</v>
          </cell>
          <cell r="F709">
            <v>16.17432432432442</v>
          </cell>
          <cell r="G709">
            <v>14.147297297297316</v>
          </cell>
          <cell r="H709">
            <v>14.147297297297316</v>
          </cell>
          <cell r="I709" t="e">
            <v>#N/A</v>
          </cell>
          <cell r="J709" t="e">
            <v>#N/A</v>
          </cell>
          <cell r="K709" t="e">
            <v>#N/A</v>
          </cell>
          <cell r="L709" t="e">
            <v>#N/A</v>
          </cell>
          <cell r="M709" t="e">
            <v>#N/A</v>
          </cell>
          <cell r="N709" t="e">
            <v>#N/A</v>
          </cell>
          <cell r="O709" t="e">
            <v>#N/A</v>
          </cell>
          <cell r="P709">
            <v>14.52</v>
          </cell>
          <cell r="Q709" t="str">
            <v/>
          </cell>
          <cell r="R709" t="e">
            <v>#N/A</v>
          </cell>
        </row>
        <row r="710">
          <cell r="A710">
            <v>40996</v>
          </cell>
          <cell r="B710">
            <v>40996</v>
          </cell>
          <cell r="C710" t="str">
            <v>Future</v>
          </cell>
          <cell r="D710" t="e">
            <v>#N/A</v>
          </cell>
          <cell r="E710">
            <v>5.9837837837837515</v>
          </cell>
          <cell r="F710">
            <v>16.186486486486583</v>
          </cell>
          <cell r="G710">
            <v>14.145945945945964</v>
          </cell>
          <cell r="H710">
            <v>14.145945945945964</v>
          </cell>
          <cell r="I710" t="e">
            <v>#N/A</v>
          </cell>
          <cell r="J710" t="e">
            <v>#N/A</v>
          </cell>
          <cell r="K710" t="e">
            <v>#N/A</v>
          </cell>
          <cell r="L710" t="e">
            <v>#N/A</v>
          </cell>
          <cell r="M710" t="e">
            <v>#N/A</v>
          </cell>
          <cell r="N710" t="e">
            <v>#N/A</v>
          </cell>
          <cell r="O710" t="e">
            <v>#N/A</v>
          </cell>
          <cell r="P710">
            <v>14.52</v>
          </cell>
          <cell r="Q710" t="str">
            <v/>
          </cell>
          <cell r="R710" t="e">
            <v>#N/A</v>
          </cell>
        </row>
        <row r="711">
          <cell r="A711">
            <v>40997</v>
          </cell>
          <cell r="B711">
            <v>40997</v>
          </cell>
          <cell r="C711" t="str">
            <v>Future</v>
          </cell>
          <cell r="D711" t="e">
            <v>#N/A</v>
          </cell>
          <cell r="E711">
            <v>5.9283783783783459</v>
          </cell>
          <cell r="F711">
            <v>16.198648648648746</v>
          </cell>
          <cell r="G711">
            <v>14.144594594594613</v>
          </cell>
          <cell r="H711">
            <v>14.144594594594613</v>
          </cell>
          <cell r="I711" t="e">
            <v>#N/A</v>
          </cell>
          <cell r="J711" t="e">
            <v>#N/A</v>
          </cell>
          <cell r="K711" t="e">
            <v>#N/A</v>
          </cell>
          <cell r="L711" t="e">
            <v>#N/A</v>
          </cell>
          <cell r="M711" t="e">
            <v>#N/A</v>
          </cell>
          <cell r="N711" t="e">
            <v>#N/A</v>
          </cell>
          <cell r="O711" t="e">
            <v>#N/A</v>
          </cell>
          <cell r="P711">
            <v>14.52</v>
          </cell>
          <cell r="Q711" t="str">
            <v/>
          </cell>
          <cell r="R711" t="e">
            <v>#N/A</v>
          </cell>
        </row>
        <row r="712">
          <cell r="A712">
            <v>40998</v>
          </cell>
          <cell r="B712">
            <v>40998</v>
          </cell>
          <cell r="C712" t="str">
            <v>Future</v>
          </cell>
          <cell r="D712" t="e">
            <v>#N/A</v>
          </cell>
          <cell r="E712">
            <v>5.8729729729729403</v>
          </cell>
          <cell r="F712">
            <v>16.210810810810909</v>
          </cell>
          <cell r="G712">
            <v>14.143243243243262</v>
          </cell>
          <cell r="H712">
            <v>14.143243243243262</v>
          </cell>
          <cell r="I712" t="e">
            <v>#N/A</v>
          </cell>
          <cell r="J712" t="e">
            <v>#N/A</v>
          </cell>
          <cell r="K712" t="e">
            <v>#N/A</v>
          </cell>
          <cell r="L712" t="e">
            <v>#N/A</v>
          </cell>
          <cell r="M712" t="e">
            <v>#N/A</v>
          </cell>
          <cell r="N712" t="e">
            <v>#N/A</v>
          </cell>
          <cell r="O712" t="e">
            <v>#N/A</v>
          </cell>
          <cell r="P712">
            <v>14.52</v>
          </cell>
          <cell r="Q712" t="str">
            <v/>
          </cell>
          <cell r="R712" t="e">
            <v>#N/A</v>
          </cell>
        </row>
        <row r="713">
          <cell r="A713">
            <v>41001</v>
          </cell>
          <cell r="B713">
            <v>41001</v>
          </cell>
          <cell r="C713" t="str">
            <v>Future</v>
          </cell>
          <cell r="D713" t="e">
            <v>#N/A</v>
          </cell>
          <cell r="E713">
            <v>5.8175675675675347</v>
          </cell>
          <cell r="F713">
            <v>16.222972972973071</v>
          </cell>
          <cell r="G713">
            <v>14.141891891891911</v>
          </cell>
          <cell r="H713">
            <v>14.141891891891911</v>
          </cell>
          <cell r="I713" t="e">
            <v>#N/A</v>
          </cell>
          <cell r="J713" t="e">
            <v>#N/A</v>
          </cell>
          <cell r="K713" t="e">
            <v>#N/A</v>
          </cell>
          <cell r="L713" t="e">
            <v>#N/A</v>
          </cell>
          <cell r="M713" t="e">
            <v>#N/A</v>
          </cell>
          <cell r="N713" t="e">
            <v>#N/A</v>
          </cell>
          <cell r="O713" t="e">
            <v>#N/A</v>
          </cell>
          <cell r="P713">
            <v>14.52</v>
          </cell>
          <cell r="Q713" t="str">
            <v/>
          </cell>
          <cell r="R713" t="e">
            <v>#N/A</v>
          </cell>
        </row>
        <row r="714">
          <cell r="A714">
            <v>41002</v>
          </cell>
          <cell r="B714">
            <v>41002</v>
          </cell>
          <cell r="C714" t="str">
            <v>Future</v>
          </cell>
          <cell r="D714" t="e">
            <v>#N/A</v>
          </cell>
          <cell r="E714">
            <v>5.7621621621621291</v>
          </cell>
          <cell r="F714">
            <v>16.235135135135234</v>
          </cell>
          <cell r="G714">
            <v>14.14054054054056</v>
          </cell>
          <cell r="H714">
            <v>14.14054054054056</v>
          </cell>
          <cell r="I714" t="e">
            <v>#N/A</v>
          </cell>
          <cell r="J714" t="e">
            <v>#N/A</v>
          </cell>
          <cell r="K714" t="e">
            <v>#N/A</v>
          </cell>
          <cell r="L714" t="e">
            <v>#N/A</v>
          </cell>
          <cell r="M714" t="e">
            <v>#N/A</v>
          </cell>
          <cell r="N714" t="e">
            <v>#N/A</v>
          </cell>
          <cell r="O714" t="e">
            <v>#N/A</v>
          </cell>
          <cell r="P714">
            <v>14.52</v>
          </cell>
          <cell r="Q714" t="str">
            <v/>
          </cell>
          <cell r="R714" t="e">
            <v>#N/A</v>
          </cell>
        </row>
        <row r="715">
          <cell r="A715">
            <v>41003</v>
          </cell>
          <cell r="B715">
            <v>41003</v>
          </cell>
          <cell r="C715" t="str">
            <v>Future</v>
          </cell>
          <cell r="D715" t="e">
            <v>#N/A</v>
          </cell>
          <cell r="E715">
            <v>5.7067567567567234</v>
          </cell>
          <cell r="F715">
            <v>16.247297297297397</v>
          </cell>
          <cell r="G715">
            <v>14.139189189189208</v>
          </cell>
          <cell r="H715">
            <v>14.139189189189208</v>
          </cell>
          <cell r="I715" t="e">
            <v>#N/A</v>
          </cell>
          <cell r="J715" t="e">
            <v>#N/A</v>
          </cell>
          <cell r="K715" t="e">
            <v>#N/A</v>
          </cell>
          <cell r="L715" t="e">
            <v>#N/A</v>
          </cell>
          <cell r="M715" t="e">
            <v>#N/A</v>
          </cell>
          <cell r="N715" t="e">
            <v>#N/A</v>
          </cell>
          <cell r="O715" t="e">
            <v>#N/A</v>
          </cell>
          <cell r="P715">
            <v>14.52</v>
          </cell>
          <cell r="Q715" t="str">
            <v/>
          </cell>
          <cell r="R715" t="e">
            <v>#N/A</v>
          </cell>
        </row>
        <row r="716">
          <cell r="A716">
            <v>41004</v>
          </cell>
          <cell r="B716">
            <v>41004</v>
          </cell>
          <cell r="C716" t="str">
            <v>Future</v>
          </cell>
          <cell r="D716" t="e">
            <v>#N/A</v>
          </cell>
          <cell r="E716">
            <v>5.6513513513513178</v>
          </cell>
          <cell r="F716">
            <v>16.25945945945956</v>
          </cell>
          <cell r="G716">
            <v>14.137837837837857</v>
          </cell>
          <cell r="H716">
            <v>14.137837837837857</v>
          </cell>
          <cell r="I716" t="e">
            <v>#N/A</v>
          </cell>
          <cell r="J716" t="e">
            <v>#N/A</v>
          </cell>
          <cell r="K716" t="e">
            <v>#N/A</v>
          </cell>
          <cell r="L716" t="e">
            <v>#N/A</v>
          </cell>
          <cell r="M716" t="e">
            <v>#N/A</v>
          </cell>
          <cell r="N716" t="e">
            <v>#N/A</v>
          </cell>
          <cell r="O716" t="e">
            <v>#N/A</v>
          </cell>
          <cell r="P716">
            <v>14.52</v>
          </cell>
          <cell r="Q716" t="str">
            <v/>
          </cell>
          <cell r="R716" t="e">
            <v>#N/A</v>
          </cell>
        </row>
        <row r="717">
          <cell r="A717">
            <v>41005</v>
          </cell>
          <cell r="B717">
            <v>41005</v>
          </cell>
          <cell r="C717" t="str">
            <v>Future</v>
          </cell>
          <cell r="D717" t="e">
            <v>#N/A</v>
          </cell>
          <cell r="E717">
            <v>5.5959459459459122</v>
          </cell>
          <cell r="F717">
            <v>16.271621621621723</v>
          </cell>
          <cell r="G717">
            <v>14.136486486486506</v>
          </cell>
          <cell r="H717">
            <v>14.136486486486506</v>
          </cell>
          <cell r="I717" t="e">
            <v>#N/A</v>
          </cell>
          <cell r="J717" t="e">
            <v>#N/A</v>
          </cell>
          <cell r="K717" t="e">
            <v>#N/A</v>
          </cell>
          <cell r="L717" t="e">
            <v>#N/A</v>
          </cell>
          <cell r="M717" t="e">
            <v>#N/A</v>
          </cell>
          <cell r="N717" t="e">
            <v>#N/A</v>
          </cell>
          <cell r="O717" t="e">
            <v>#N/A</v>
          </cell>
          <cell r="P717">
            <v>14.52</v>
          </cell>
          <cell r="Q717" t="str">
            <v/>
          </cell>
          <cell r="R717" t="e">
            <v>#N/A</v>
          </cell>
        </row>
        <row r="718">
          <cell r="A718">
            <v>41008</v>
          </cell>
          <cell r="B718">
            <v>41008</v>
          </cell>
          <cell r="C718" t="str">
            <v>Future</v>
          </cell>
          <cell r="D718" t="e">
            <v>#N/A</v>
          </cell>
          <cell r="E718">
            <v>5.5405405405405066</v>
          </cell>
          <cell r="F718">
            <v>16.283783783783885</v>
          </cell>
          <cell r="G718">
            <v>14.135135135135155</v>
          </cell>
          <cell r="H718">
            <v>14.135135135135155</v>
          </cell>
          <cell r="I718" t="e">
            <v>#N/A</v>
          </cell>
          <cell r="J718" t="e">
            <v>#N/A</v>
          </cell>
          <cell r="K718" t="e">
            <v>#N/A</v>
          </cell>
          <cell r="L718" t="e">
            <v>#N/A</v>
          </cell>
          <cell r="M718" t="e">
            <v>#N/A</v>
          </cell>
          <cell r="N718" t="e">
            <v>#N/A</v>
          </cell>
          <cell r="O718" t="e">
            <v>#N/A</v>
          </cell>
          <cell r="P718">
            <v>14.52</v>
          </cell>
          <cell r="Q718" t="str">
            <v/>
          </cell>
          <cell r="R718" t="e">
            <v>#N/A</v>
          </cell>
        </row>
        <row r="719">
          <cell r="A719">
            <v>41009</v>
          </cell>
          <cell r="B719">
            <v>41009</v>
          </cell>
          <cell r="C719" t="str">
            <v>Future</v>
          </cell>
          <cell r="D719" t="e">
            <v>#N/A</v>
          </cell>
          <cell r="E719">
            <v>5.485135135135101</v>
          </cell>
          <cell r="F719">
            <v>16.295945945946048</v>
          </cell>
          <cell r="G719">
            <v>14.133783783783803</v>
          </cell>
          <cell r="H719">
            <v>14.133783783783803</v>
          </cell>
          <cell r="I719" t="e">
            <v>#N/A</v>
          </cell>
          <cell r="J719" t="e">
            <v>#N/A</v>
          </cell>
          <cell r="K719" t="e">
            <v>#N/A</v>
          </cell>
          <cell r="L719" t="e">
            <v>#N/A</v>
          </cell>
          <cell r="M719" t="e">
            <v>#N/A</v>
          </cell>
          <cell r="N719" t="e">
            <v>#N/A</v>
          </cell>
          <cell r="O719" t="e">
            <v>#N/A</v>
          </cell>
          <cell r="P719">
            <v>14.52</v>
          </cell>
          <cell r="Q719" t="str">
            <v/>
          </cell>
          <cell r="R719" t="e">
            <v>#N/A</v>
          </cell>
        </row>
        <row r="720">
          <cell r="A720">
            <v>41010</v>
          </cell>
          <cell r="B720">
            <v>41010</v>
          </cell>
          <cell r="C720" t="str">
            <v>Future</v>
          </cell>
          <cell r="D720" t="e">
            <v>#N/A</v>
          </cell>
          <cell r="E720">
            <v>5.4297297297296954</v>
          </cell>
          <cell r="F720">
            <v>16.308108108108211</v>
          </cell>
          <cell r="G720">
            <v>14.132432432432452</v>
          </cell>
          <cell r="H720">
            <v>14.132432432432452</v>
          </cell>
          <cell r="I720" t="e">
            <v>#N/A</v>
          </cell>
          <cell r="J720" t="e">
            <v>#N/A</v>
          </cell>
          <cell r="K720" t="e">
            <v>#N/A</v>
          </cell>
          <cell r="L720" t="e">
            <v>#N/A</v>
          </cell>
          <cell r="M720" t="e">
            <v>#N/A</v>
          </cell>
          <cell r="N720" t="e">
            <v>#N/A</v>
          </cell>
          <cell r="O720" t="e">
            <v>#N/A</v>
          </cell>
          <cell r="P720">
            <v>14.52</v>
          </cell>
          <cell r="Q720" t="str">
            <v/>
          </cell>
          <cell r="R720" t="e">
            <v>#N/A</v>
          </cell>
        </row>
        <row r="721">
          <cell r="A721">
            <v>41011</v>
          </cell>
          <cell r="B721">
            <v>41011</v>
          </cell>
          <cell r="C721" t="str">
            <v>Future</v>
          </cell>
          <cell r="D721" t="e">
            <v>#N/A</v>
          </cell>
          <cell r="E721">
            <v>5.3743243243242897</v>
          </cell>
          <cell r="F721">
            <v>16.320270270270374</v>
          </cell>
          <cell r="G721">
            <v>14.131081081081101</v>
          </cell>
          <cell r="H721">
            <v>14.131081081081101</v>
          </cell>
          <cell r="I721" t="e">
            <v>#N/A</v>
          </cell>
          <cell r="J721" t="e">
            <v>#N/A</v>
          </cell>
          <cell r="K721" t="e">
            <v>#N/A</v>
          </cell>
          <cell r="L721" t="e">
            <v>#N/A</v>
          </cell>
          <cell r="M721" t="e">
            <v>#N/A</v>
          </cell>
          <cell r="N721" t="e">
            <v>#N/A</v>
          </cell>
          <cell r="O721" t="e">
            <v>#N/A</v>
          </cell>
          <cell r="P721">
            <v>14.52</v>
          </cell>
          <cell r="Q721" t="str">
            <v/>
          </cell>
          <cell r="R721" t="e">
            <v>#N/A</v>
          </cell>
        </row>
        <row r="722">
          <cell r="A722">
            <v>41012</v>
          </cell>
          <cell r="B722">
            <v>41012</v>
          </cell>
          <cell r="C722" t="str">
            <v>Future</v>
          </cell>
          <cell r="D722" t="e">
            <v>#N/A</v>
          </cell>
          <cell r="E722">
            <v>5.3189189189188841</v>
          </cell>
          <cell r="F722">
            <v>16.332432432432537</v>
          </cell>
          <cell r="G722">
            <v>14.12972972972975</v>
          </cell>
          <cell r="H722">
            <v>14.12972972972975</v>
          </cell>
          <cell r="I722" t="e">
            <v>#N/A</v>
          </cell>
          <cell r="J722" t="e">
            <v>#N/A</v>
          </cell>
          <cell r="K722" t="e">
            <v>#N/A</v>
          </cell>
          <cell r="L722" t="e">
            <v>#N/A</v>
          </cell>
          <cell r="M722" t="e">
            <v>#N/A</v>
          </cell>
          <cell r="N722" t="e">
            <v>#N/A</v>
          </cell>
          <cell r="O722" t="e">
            <v>#N/A</v>
          </cell>
          <cell r="P722">
            <v>14.52</v>
          </cell>
          <cell r="Q722" t="str">
            <v/>
          </cell>
          <cell r="R722" t="e">
            <v>#N/A</v>
          </cell>
        </row>
        <row r="723">
          <cell r="A723">
            <v>41015</v>
          </cell>
          <cell r="B723">
            <v>41015</v>
          </cell>
          <cell r="C723" t="str">
            <v>Future</v>
          </cell>
          <cell r="D723" t="e">
            <v>#N/A</v>
          </cell>
          <cell r="E723">
            <v>5.2635135135134785</v>
          </cell>
          <cell r="F723">
            <v>16.3445945945947</v>
          </cell>
          <cell r="G723">
            <v>14.128378378378398</v>
          </cell>
          <cell r="H723">
            <v>14.128378378378398</v>
          </cell>
          <cell r="I723" t="e">
            <v>#N/A</v>
          </cell>
          <cell r="J723" t="e">
            <v>#N/A</v>
          </cell>
          <cell r="K723" t="e">
            <v>#N/A</v>
          </cell>
          <cell r="L723" t="e">
            <v>#N/A</v>
          </cell>
          <cell r="M723" t="e">
            <v>#N/A</v>
          </cell>
          <cell r="N723" t="e">
            <v>#N/A</v>
          </cell>
          <cell r="O723" t="e">
            <v>#N/A</v>
          </cell>
          <cell r="P723">
            <v>14.52</v>
          </cell>
          <cell r="Q723" t="str">
            <v/>
          </cell>
          <cell r="R723" t="e">
            <v>#N/A</v>
          </cell>
        </row>
        <row r="724">
          <cell r="A724">
            <v>41016</v>
          </cell>
          <cell r="B724">
            <v>41016</v>
          </cell>
          <cell r="C724" t="str">
            <v>Future</v>
          </cell>
          <cell r="D724" t="e">
            <v>#N/A</v>
          </cell>
          <cell r="E724">
            <v>5.2081081081080729</v>
          </cell>
          <cell r="F724">
            <v>16.356756756756862</v>
          </cell>
          <cell r="G724">
            <v>14.127027027027047</v>
          </cell>
          <cell r="H724">
            <v>14.127027027027047</v>
          </cell>
          <cell r="I724" t="e">
            <v>#N/A</v>
          </cell>
          <cell r="J724" t="e">
            <v>#N/A</v>
          </cell>
          <cell r="K724" t="e">
            <v>#N/A</v>
          </cell>
          <cell r="L724" t="e">
            <v>#N/A</v>
          </cell>
          <cell r="M724" t="e">
            <v>#N/A</v>
          </cell>
          <cell r="N724" t="e">
            <v>#N/A</v>
          </cell>
          <cell r="O724" t="e">
            <v>#N/A</v>
          </cell>
          <cell r="P724">
            <v>14.52</v>
          </cell>
          <cell r="Q724" t="str">
            <v/>
          </cell>
          <cell r="R724" t="e">
            <v>#N/A</v>
          </cell>
        </row>
        <row r="725">
          <cell r="A725">
            <v>41017</v>
          </cell>
          <cell r="B725">
            <v>41017</v>
          </cell>
          <cell r="C725" t="str">
            <v>Future</v>
          </cell>
          <cell r="D725" t="e">
            <v>#N/A</v>
          </cell>
          <cell r="E725">
            <v>5.1527027027026673</v>
          </cell>
          <cell r="F725">
            <v>16.368918918919025</v>
          </cell>
          <cell r="G725">
            <v>14.125675675675696</v>
          </cell>
          <cell r="H725">
            <v>14.125675675675696</v>
          </cell>
          <cell r="I725" t="e">
            <v>#N/A</v>
          </cell>
          <cell r="J725" t="e">
            <v>#N/A</v>
          </cell>
          <cell r="K725" t="e">
            <v>#N/A</v>
          </cell>
          <cell r="L725" t="e">
            <v>#N/A</v>
          </cell>
          <cell r="M725" t="e">
            <v>#N/A</v>
          </cell>
          <cell r="N725" t="e">
            <v>#N/A</v>
          </cell>
          <cell r="O725" t="e">
            <v>#N/A</v>
          </cell>
          <cell r="P725">
            <v>14.52</v>
          </cell>
          <cell r="Q725" t="str">
            <v/>
          </cell>
          <cell r="R725" t="e">
            <v>#N/A</v>
          </cell>
        </row>
        <row r="726">
          <cell r="A726">
            <v>41018</v>
          </cell>
          <cell r="B726">
            <v>41018</v>
          </cell>
          <cell r="C726" t="str">
            <v>Future</v>
          </cell>
          <cell r="D726" t="e">
            <v>#N/A</v>
          </cell>
          <cell r="E726">
            <v>5.0972972972972617</v>
          </cell>
          <cell r="F726">
            <v>16.381081081081188</v>
          </cell>
          <cell r="G726">
            <v>14.124324324324345</v>
          </cell>
          <cell r="H726">
            <v>14.124324324324345</v>
          </cell>
          <cell r="I726" t="e">
            <v>#N/A</v>
          </cell>
          <cell r="J726" t="e">
            <v>#N/A</v>
          </cell>
          <cell r="K726" t="e">
            <v>#N/A</v>
          </cell>
          <cell r="L726" t="e">
            <v>#N/A</v>
          </cell>
          <cell r="M726" t="e">
            <v>#N/A</v>
          </cell>
          <cell r="N726" t="e">
            <v>#N/A</v>
          </cell>
          <cell r="O726" t="e">
            <v>#N/A</v>
          </cell>
          <cell r="P726">
            <v>14.52</v>
          </cell>
          <cell r="Q726" t="str">
            <v/>
          </cell>
          <cell r="R726" t="e">
            <v>#N/A</v>
          </cell>
        </row>
        <row r="727">
          <cell r="A727">
            <v>41019</v>
          </cell>
          <cell r="B727">
            <v>41019</v>
          </cell>
          <cell r="C727" t="str">
            <v>Future</v>
          </cell>
          <cell r="D727" t="e">
            <v>#N/A</v>
          </cell>
          <cell r="E727">
            <v>5.041891891891856</v>
          </cell>
          <cell r="F727">
            <v>16.393243243243351</v>
          </cell>
          <cell r="G727">
            <v>14.122972972972994</v>
          </cell>
          <cell r="H727">
            <v>14.122972972972994</v>
          </cell>
          <cell r="I727" t="e">
            <v>#N/A</v>
          </cell>
          <cell r="J727" t="e">
            <v>#N/A</v>
          </cell>
          <cell r="K727" t="e">
            <v>#N/A</v>
          </cell>
          <cell r="L727" t="e">
            <v>#N/A</v>
          </cell>
          <cell r="M727" t="e">
            <v>#N/A</v>
          </cell>
          <cell r="N727" t="e">
            <v>#N/A</v>
          </cell>
          <cell r="O727" t="e">
            <v>#N/A</v>
          </cell>
          <cell r="P727">
            <v>14.52</v>
          </cell>
          <cell r="Q727" t="str">
            <v/>
          </cell>
          <cell r="R727" t="e">
            <v>#N/A</v>
          </cell>
        </row>
        <row r="728">
          <cell r="A728">
            <v>41022</v>
          </cell>
          <cell r="B728">
            <v>41022</v>
          </cell>
          <cell r="C728" t="str">
            <v>Future</v>
          </cell>
          <cell r="D728" t="e">
            <v>#N/A</v>
          </cell>
          <cell r="E728">
            <v>4.9864864864864504</v>
          </cell>
          <cell r="F728">
            <v>16.405405405405514</v>
          </cell>
          <cell r="G728">
            <v>14.121621621621642</v>
          </cell>
          <cell r="H728">
            <v>14.121621621621642</v>
          </cell>
          <cell r="I728" t="e">
            <v>#N/A</v>
          </cell>
          <cell r="J728" t="e">
            <v>#N/A</v>
          </cell>
          <cell r="K728" t="e">
            <v>#N/A</v>
          </cell>
          <cell r="L728" t="e">
            <v>#N/A</v>
          </cell>
          <cell r="M728" t="e">
            <v>#N/A</v>
          </cell>
          <cell r="N728" t="e">
            <v>#N/A</v>
          </cell>
          <cell r="O728" t="e">
            <v>#N/A</v>
          </cell>
          <cell r="P728">
            <v>14.52</v>
          </cell>
          <cell r="Q728" t="str">
            <v/>
          </cell>
          <cell r="R728" t="e">
            <v>#N/A</v>
          </cell>
        </row>
        <row r="729">
          <cell r="A729">
            <v>41023</v>
          </cell>
          <cell r="B729">
            <v>41023</v>
          </cell>
          <cell r="C729" t="str">
            <v>Future</v>
          </cell>
          <cell r="D729" t="e">
            <v>#N/A</v>
          </cell>
          <cell r="E729">
            <v>4.9310810810810448</v>
          </cell>
          <cell r="F729">
            <v>16.417567567567676</v>
          </cell>
          <cell r="G729">
            <v>14.120270270270291</v>
          </cell>
          <cell r="H729">
            <v>14.120270270270291</v>
          </cell>
          <cell r="I729" t="e">
            <v>#N/A</v>
          </cell>
          <cell r="J729" t="e">
            <v>#N/A</v>
          </cell>
          <cell r="K729" t="e">
            <v>#N/A</v>
          </cell>
          <cell r="L729" t="e">
            <v>#N/A</v>
          </cell>
          <cell r="M729" t="e">
            <v>#N/A</v>
          </cell>
          <cell r="N729" t="e">
            <v>#N/A</v>
          </cell>
          <cell r="O729" t="e">
            <v>#N/A</v>
          </cell>
          <cell r="P729">
            <v>14.52</v>
          </cell>
          <cell r="Q729" t="str">
            <v/>
          </cell>
          <cell r="R729" t="e">
            <v>#N/A</v>
          </cell>
        </row>
        <row r="730">
          <cell r="A730">
            <v>41024</v>
          </cell>
          <cell r="B730">
            <v>41024</v>
          </cell>
          <cell r="C730" t="str">
            <v>Future</v>
          </cell>
          <cell r="D730" t="e">
            <v>#N/A</v>
          </cell>
          <cell r="E730">
            <v>4.8756756756756392</v>
          </cell>
          <cell r="F730">
            <v>16.429729729729839</v>
          </cell>
          <cell r="G730">
            <v>14.11891891891894</v>
          </cell>
          <cell r="H730">
            <v>14.11891891891894</v>
          </cell>
          <cell r="I730" t="e">
            <v>#N/A</v>
          </cell>
          <cell r="J730" t="e">
            <v>#N/A</v>
          </cell>
          <cell r="K730" t="e">
            <v>#N/A</v>
          </cell>
          <cell r="L730" t="e">
            <v>#N/A</v>
          </cell>
          <cell r="M730" t="e">
            <v>#N/A</v>
          </cell>
          <cell r="N730" t="e">
            <v>#N/A</v>
          </cell>
          <cell r="O730" t="e">
            <v>#N/A</v>
          </cell>
          <cell r="P730">
            <v>14.52</v>
          </cell>
          <cell r="Q730" t="str">
            <v/>
          </cell>
          <cell r="R730" t="e">
            <v>#N/A</v>
          </cell>
        </row>
        <row r="731">
          <cell r="A731">
            <v>41025</v>
          </cell>
          <cell r="B731">
            <v>41025</v>
          </cell>
          <cell r="C731" t="str">
            <v>Future</v>
          </cell>
          <cell r="D731" t="e">
            <v>#N/A</v>
          </cell>
          <cell r="E731">
            <v>4.8202702702702336</v>
          </cell>
          <cell r="F731">
            <v>16.441891891892002</v>
          </cell>
          <cell r="G731">
            <v>14.117567567567589</v>
          </cell>
          <cell r="H731">
            <v>14.117567567567589</v>
          </cell>
          <cell r="I731" t="e">
            <v>#N/A</v>
          </cell>
          <cell r="J731" t="e">
            <v>#N/A</v>
          </cell>
          <cell r="K731" t="e">
            <v>#N/A</v>
          </cell>
          <cell r="L731" t="e">
            <v>#N/A</v>
          </cell>
          <cell r="M731" t="e">
            <v>#N/A</v>
          </cell>
          <cell r="N731" t="e">
            <v>#N/A</v>
          </cell>
          <cell r="O731" t="e">
            <v>#N/A</v>
          </cell>
          <cell r="P731">
            <v>14.52</v>
          </cell>
          <cell r="Q731" t="str">
            <v/>
          </cell>
          <cell r="R731" t="e">
            <v>#N/A</v>
          </cell>
        </row>
        <row r="732">
          <cell r="A732">
            <v>41026</v>
          </cell>
          <cell r="B732">
            <v>41026</v>
          </cell>
          <cell r="C732" t="str">
            <v>Future</v>
          </cell>
          <cell r="D732" t="e">
            <v>#N/A</v>
          </cell>
          <cell r="E732">
            <v>4.764864864864828</v>
          </cell>
          <cell r="F732">
            <v>16.454054054054165</v>
          </cell>
          <cell r="G732">
            <v>14.116216216216237</v>
          </cell>
          <cell r="H732">
            <v>14.116216216216237</v>
          </cell>
          <cell r="I732" t="e">
            <v>#N/A</v>
          </cell>
          <cell r="J732" t="e">
            <v>#N/A</v>
          </cell>
          <cell r="K732" t="e">
            <v>#N/A</v>
          </cell>
          <cell r="L732" t="e">
            <v>#N/A</v>
          </cell>
          <cell r="M732" t="e">
            <v>#N/A</v>
          </cell>
          <cell r="N732" t="e">
            <v>#N/A</v>
          </cell>
          <cell r="O732" t="e">
            <v>#N/A</v>
          </cell>
          <cell r="P732">
            <v>14.52</v>
          </cell>
          <cell r="Q732" t="str">
            <v/>
          </cell>
          <cell r="R732" t="e">
            <v>#N/A</v>
          </cell>
        </row>
        <row r="733">
          <cell r="A733">
            <v>41029</v>
          </cell>
          <cell r="B733">
            <v>41029</v>
          </cell>
          <cell r="C733" t="str">
            <v>Future</v>
          </cell>
          <cell r="D733" t="e">
            <v>#N/A</v>
          </cell>
          <cell r="E733">
            <v>4.7094594594594223</v>
          </cell>
          <cell r="F733">
            <v>16.466216216216328</v>
          </cell>
          <cell r="G733">
            <v>14.114864864864886</v>
          </cell>
          <cell r="H733">
            <v>14.114864864864886</v>
          </cell>
          <cell r="I733" t="e">
            <v>#N/A</v>
          </cell>
          <cell r="J733" t="e">
            <v>#N/A</v>
          </cell>
          <cell r="K733" t="e">
            <v>#N/A</v>
          </cell>
          <cell r="L733" t="e">
            <v>#N/A</v>
          </cell>
          <cell r="M733" t="e">
            <v>#N/A</v>
          </cell>
          <cell r="N733" t="e">
            <v>#N/A</v>
          </cell>
          <cell r="O733" t="e">
            <v>#N/A</v>
          </cell>
          <cell r="P733">
            <v>14.52</v>
          </cell>
          <cell r="Q733" t="str">
            <v/>
          </cell>
          <cell r="R733" t="e">
            <v>#N/A</v>
          </cell>
        </row>
        <row r="734">
          <cell r="A734">
            <v>41030</v>
          </cell>
          <cell r="B734">
            <v>41030</v>
          </cell>
          <cell r="C734" t="str">
            <v>Future</v>
          </cell>
          <cell r="D734" t="e">
            <v>#N/A</v>
          </cell>
          <cell r="E734">
            <v>4.6540540540540167</v>
          </cell>
          <cell r="F734">
            <v>16.478378378378491</v>
          </cell>
          <cell r="G734">
            <v>14.113513513513535</v>
          </cell>
          <cell r="H734">
            <v>14.113513513513535</v>
          </cell>
          <cell r="I734" t="e">
            <v>#N/A</v>
          </cell>
          <cell r="J734" t="e">
            <v>#N/A</v>
          </cell>
          <cell r="K734" t="e">
            <v>#N/A</v>
          </cell>
          <cell r="L734" t="e">
            <v>#N/A</v>
          </cell>
          <cell r="M734" t="e">
            <v>#N/A</v>
          </cell>
          <cell r="N734" t="e">
            <v>#N/A</v>
          </cell>
          <cell r="O734" t="e">
            <v>#N/A</v>
          </cell>
          <cell r="P734">
            <v>14.52</v>
          </cell>
          <cell r="Q734" t="str">
            <v/>
          </cell>
          <cell r="R734" t="e">
            <v>#N/A</v>
          </cell>
        </row>
        <row r="735">
          <cell r="A735">
            <v>41031</v>
          </cell>
          <cell r="B735">
            <v>41031</v>
          </cell>
          <cell r="C735" t="str">
            <v>Future</v>
          </cell>
          <cell r="D735" t="e">
            <v>#N/A</v>
          </cell>
          <cell r="E735">
            <v>4.5986486486486111</v>
          </cell>
          <cell r="F735">
            <v>16.490540540540653</v>
          </cell>
          <cell r="G735">
            <v>14.112162162162184</v>
          </cell>
          <cell r="H735">
            <v>14.112162162162184</v>
          </cell>
          <cell r="I735" t="e">
            <v>#N/A</v>
          </cell>
          <cell r="J735" t="e">
            <v>#N/A</v>
          </cell>
          <cell r="K735" t="e">
            <v>#N/A</v>
          </cell>
          <cell r="L735" t="e">
            <v>#N/A</v>
          </cell>
          <cell r="M735" t="e">
            <v>#N/A</v>
          </cell>
          <cell r="N735" t="e">
            <v>#N/A</v>
          </cell>
          <cell r="O735" t="e">
            <v>#N/A</v>
          </cell>
          <cell r="P735">
            <v>14.52</v>
          </cell>
          <cell r="Q735" t="str">
            <v/>
          </cell>
          <cell r="R735" t="e">
            <v>#N/A</v>
          </cell>
        </row>
        <row r="736">
          <cell r="A736">
            <v>41032</v>
          </cell>
          <cell r="B736">
            <v>41032</v>
          </cell>
          <cell r="C736" t="str">
            <v>Future</v>
          </cell>
          <cell r="D736" t="e">
            <v>#N/A</v>
          </cell>
          <cell r="E736">
            <v>4.5432432432432055</v>
          </cell>
          <cell r="F736">
            <v>16.502702702702816</v>
          </cell>
          <cell r="G736">
            <v>14.110810810810833</v>
          </cell>
          <cell r="H736">
            <v>14.110810810810833</v>
          </cell>
          <cell r="I736" t="e">
            <v>#N/A</v>
          </cell>
          <cell r="J736" t="e">
            <v>#N/A</v>
          </cell>
          <cell r="K736" t="e">
            <v>#N/A</v>
          </cell>
          <cell r="L736" t="e">
            <v>#N/A</v>
          </cell>
          <cell r="M736" t="e">
            <v>#N/A</v>
          </cell>
          <cell r="N736" t="e">
            <v>#N/A</v>
          </cell>
          <cell r="O736" t="e">
            <v>#N/A</v>
          </cell>
          <cell r="P736">
            <v>14.52</v>
          </cell>
          <cell r="Q736" t="str">
            <v/>
          </cell>
          <cell r="R736" t="e">
            <v>#N/A</v>
          </cell>
        </row>
        <row r="737">
          <cell r="A737">
            <v>41033</v>
          </cell>
          <cell r="B737">
            <v>41033</v>
          </cell>
          <cell r="C737" t="str">
            <v>Future</v>
          </cell>
          <cell r="D737" t="e">
            <v>#N/A</v>
          </cell>
          <cell r="E737">
            <v>4.4878378378377999</v>
          </cell>
          <cell r="F737">
            <v>16.514864864864979</v>
          </cell>
          <cell r="G737">
            <v>14.109459459459481</v>
          </cell>
          <cell r="H737">
            <v>14.109459459459481</v>
          </cell>
          <cell r="I737" t="e">
            <v>#N/A</v>
          </cell>
          <cell r="J737" t="e">
            <v>#N/A</v>
          </cell>
          <cell r="K737" t="e">
            <v>#N/A</v>
          </cell>
          <cell r="L737" t="e">
            <v>#N/A</v>
          </cell>
          <cell r="M737" t="e">
            <v>#N/A</v>
          </cell>
          <cell r="N737" t="e">
            <v>#N/A</v>
          </cell>
          <cell r="O737" t="e">
            <v>#N/A</v>
          </cell>
          <cell r="P737">
            <v>14.52</v>
          </cell>
          <cell r="Q737" t="str">
            <v/>
          </cell>
          <cell r="R737" t="e">
            <v>#N/A</v>
          </cell>
        </row>
        <row r="738">
          <cell r="A738">
            <v>41036</v>
          </cell>
          <cell r="B738">
            <v>41036</v>
          </cell>
          <cell r="C738" t="str">
            <v>Future</v>
          </cell>
          <cell r="D738" t="e">
            <v>#N/A</v>
          </cell>
          <cell r="E738">
            <v>4.4324324324323943</v>
          </cell>
          <cell r="F738">
            <v>16.527027027027142</v>
          </cell>
          <cell r="G738">
            <v>14.10810810810813</v>
          </cell>
          <cell r="H738">
            <v>14.10810810810813</v>
          </cell>
          <cell r="I738" t="e">
            <v>#N/A</v>
          </cell>
          <cell r="J738" t="e">
            <v>#N/A</v>
          </cell>
          <cell r="K738" t="e">
            <v>#N/A</v>
          </cell>
          <cell r="L738" t="e">
            <v>#N/A</v>
          </cell>
          <cell r="M738" t="e">
            <v>#N/A</v>
          </cell>
          <cell r="N738" t="e">
            <v>#N/A</v>
          </cell>
          <cell r="O738" t="e">
            <v>#N/A</v>
          </cell>
          <cell r="P738">
            <v>14.52</v>
          </cell>
          <cell r="Q738" t="str">
            <v/>
          </cell>
          <cell r="R738" t="e">
            <v>#N/A</v>
          </cell>
        </row>
        <row r="739">
          <cell r="A739">
            <v>41037</v>
          </cell>
          <cell r="B739">
            <v>41037</v>
          </cell>
          <cell r="C739" t="str">
            <v>Future</v>
          </cell>
          <cell r="D739" t="e">
            <v>#N/A</v>
          </cell>
          <cell r="E739">
            <v>4.3770270270269886</v>
          </cell>
          <cell r="F739">
            <v>16.539189189189305</v>
          </cell>
          <cell r="G739">
            <v>14.106756756756779</v>
          </cell>
          <cell r="H739">
            <v>14.106756756756779</v>
          </cell>
          <cell r="I739" t="e">
            <v>#N/A</v>
          </cell>
          <cell r="J739" t="e">
            <v>#N/A</v>
          </cell>
          <cell r="K739" t="e">
            <v>#N/A</v>
          </cell>
          <cell r="L739" t="e">
            <v>#N/A</v>
          </cell>
          <cell r="M739" t="e">
            <v>#N/A</v>
          </cell>
          <cell r="N739" t="e">
            <v>#N/A</v>
          </cell>
          <cell r="O739" t="e">
            <v>#N/A</v>
          </cell>
          <cell r="P739">
            <v>14.52</v>
          </cell>
          <cell r="Q739" t="str">
            <v/>
          </cell>
          <cell r="R739" t="e">
            <v>#N/A</v>
          </cell>
        </row>
        <row r="740">
          <cell r="A740">
            <v>41038</v>
          </cell>
          <cell r="B740">
            <v>41038</v>
          </cell>
          <cell r="C740" t="str">
            <v>Future</v>
          </cell>
          <cell r="D740" t="e">
            <v>#N/A</v>
          </cell>
          <cell r="E740">
            <v>4.321621621621583</v>
          </cell>
          <cell r="F740">
            <v>16.551351351351467</v>
          </cell>
          <cell r="G740">
            <v>14.105405405405428</v>
          </cell>
          <cell r="H740">
            <v>14.105405405405428</v>
          </cell>
          <cell r="I740" t="e">
            <v>#N/A</v>
          </cell>
          <cell r="J740" t="e">
            <v>#N/A</v>
          </cell>
          <cell r="K740" t="e">
            <v>#N/A</v>
          </cell>
          <cell r="L740" t="e">
            <v>#N/A</v>
          </cell>
          <cell r="M740" t="e">
            <v>#N/A</v>
          </cell>
          <cell r="N740" t="e">
            <v>#N/A</v>
          </cell>
          <cell r="O740" t="e">
            <v>#N/A</v>
          </cell>
          <cell r="P740">
            <v>14.52</v>
          </cell>
          <cell r="Q740" t="str">
            <v/>
          </cell>
          <cell r="R740" t="e">
            <v>#N/A</v>
          </cell>
        </row>
        <row r="741">
          <cell r="A741">
            <v>41039</v>
          </cell>
          <cell r="B741">
            <v>41039</v>
          </cell>
          <cell r="C741" t="str">
            <v>Future</v>
          </cell>
          <cell r="D741" t="e">
            <v>#N/A</v>
          </cell>
          <cell r="E741">
            <v>4.2662162162161774</v>
          </cell>
          <cell r="F741">
            <v>16.56351351351363</v>
          </cell>
          <cell r="G741">
            <v>14.104054054054076</v>
          </cell>
          <cell r="H741">
            <v>14.104054054054076</v>
          </cell>
          <cell r="I741" t="e">
            <v>#N/A</v>
          </cell>
          <cell r="J741" t="e">
            <v>#N/A</v>
          </cell>
          <cell r="K741" t="e">
            <v>#N/A</v>
          </cell>
          <cell r="L741" t="e">
            <v>#N/A</v>
          </cell>
          <cell r="M741" t="e">
            <v>#N/A</v>
          </cell>
          <cell r="N741" t="e">
            <v>#N/A</v>
          </cell>
          <cell r="O741" t="e">
            <v>#N/A</v>
          </cell>
          <cell r="P741">
            <v>14.52</v>
          </cell>
          <cell r="Q741" t="str">
            <v/>
          </cell>
          <cell r="R741" t="e">
            <v>#N/A</v>
          </cell>
        </row>
        <row r="742">
          <cell r="A742">
            <v>41040</v>
          </cell>
          <cell r="B742">
            <v>41040</v>
          </cell>
          <cell r="C742" t="str">
            <v>Future</v>
          </cell>
          <cell r="D742" t="e">
            <v>#N/A</v>
          </cell>
          <cell r="E742">
            <v>4.2108108108107718</v>
          </cell>
          <cell r="F742">
            <v>16.575675675675793</v>
          </cell>
          <cell r="G742">
            <v>14.102702702702725</v>
          </cell>
          <cell r="H742">
            <v>14.102702702702725</v>
          </cell>
          <cell r="I742" t="e">
            <v>#N/A</v>
          </cell>
          <cell r="J742" t="e">
            <v>#N/A</v>
          </cell>
          <cell r="K742" t="e">
            <v>#N/A</v>
          </cell>
          <cell r="L742" t="e">
            <v>#N/A</v>
          </cell>
          <cell r="M742" t="e">
            <v>#N/A</v>
          </cell>
          <cell r="N742" t="e">
            <v>#N/A</v>
          </cell>
          <cell r="O742" t="e">
            <v>#N/A</v>
          </cell>
          <cell r="P742">
            <v>14.52</v>
          </cell>
          <cell r="Q742" t="str">
            <v/>
          </cell>
          <cell r="R742" t="e">
            <v>#N/A</v>
          </cell>
        </row>
        <row r="743">
          <cell r="A743">
            <v>41043</v>
          </cell>
          <cell r="B743">
            <v>41043</v>
          </cell>
          <cell r="C743" t="str">
            <v>Future</v>
          </cell>
          <cell r="D743" t="e">
            <v>#N/A</v>
          </cell>
          <cell r="E743">
            <v>4.1554054054053662</v>
          </cell>
          <cell r="F743">
            <v>16.587837837837956</v>
          </cell>
          <cell r="G743">
            <v>14.101351351351374</v>
          </cell>
          <cell r="H743">
            <v>14.101351351351374</v>
          </cell>
          <cell r="I743" t="e">
            <v>#N/A</v>
          </cell>
          <cell r="J743" t="e">
            <v>#N/A</v>
          </cell>
          <cell r="K743" t="e">
            <v>#N/A</v>
          </cell>
          <cell r="L743" t="e">
            <v>#N/A</v>
          </cell>
          <cell r="M743" t="e">
            <v>#N/A</v>
          </cell>
          <cell r="N743" t="e">
            <v>#N/A</v>
          </cell>
          <cell r="O743" t="e">
            <v>#N/A</v>
          </cell>
          <cell r="P743">
            <v>14.52</v>
          </cell>
          <cell r="Q743" t="str">
            <v/>
          </cell>
          <cell r="R743" t="e">
            <v>#N/A</v>
          </cell>
        </row>
        <row r="744">
          <cell r="A744">
            <v>41044</v>
          </cell>
          <cell r="B744">
            <v>41044</v>
          </cell>
          <cell r="C744" t="str">
            <v>Future</v>
          </cell>
          <cell r="D744" t="e">
            <v>#N/A</v>
          </cell>
          <cell r="E744">
            <v>4.0999999999999606</v>
          </cell>
          <cell r="F744">
            <v>16.600000000000119</v>
          </cell>
          <cell r="G744">
            <v>14.100000000000023</v>
          </cell>
          <cell r="H744">
            <v>14.100000000000023</v>
          </cell>
          <cell r="I744" t="e">
            <v>#N/A</v>
          </cell>
          <cell r="J744" t="e">
            <v>#N/A</v>
          </cell>
          <cell r="K744" t="e">
            <v>#N/A</v>
          </cell>
          <cell r="L744" t="e">
            <v>#N/A</v>
          </cell>
          <cell r="M744" t="e">
            <v>#N/A</v>
          </cell>
          <cell r="N744" t="e">
            <v>#N/A</v>
          </cell>
          <cell r="O744" t="e">
            <v>#N/A</v>
          </cell>
          <cell r="P744">
            <v>14.52</v>
          </cell>
          <cell r="Q744" t="str">
            <v/>
          </cell>
          <cell r="R744" t="e">
            <v>#N/A</v>
          </cell>
        </row>
        <row r="745">
          <cell r="A745">
            <v>41045</v>
          </cell>
          <cell r="B745">
            <v>41045</v>
          </cell>
          <cell r="C745" t="str">
            <v>Future</v>
          </cell>
          <cell r="D745" t="e">
            <v>#N/A</v>
          </cell>
          <cell r="E745">
            <v>4.0445945945945549</v>
          </cell>
          <cell r="F745">
            <v>16.612162162162281</v>
          </cell>
          <cell r="G745">
            <v>14.098648648648672</v>
          </cell>
          <cell r="H745">
            <v>14.098648648648672</v>
          </cell>
          <cell r="I745" t="e">
            <v>#N/A</v>
          </cell>
          <cell r="J745" t="e">
            <v>#N/A</v>
          </cell>
          <cell r="K745" t="e">
            <v>#N/A</v>
          </cell>
          <cell r="L745" t="e">
            <v>#N/A</v>
          </cell>
          <cell r="M745" t="e">
            <v>#N/A</v>
          </cell>
          <cell r="N745" t="e">
            <v>#N/A</v>
          </cell>
          <cell r="O745" t="e">
            <v>#N/A</v>
          </cell>
          <cell r="P745">
            <v>14.52</v>
          </cell>
          <cell r="Q745" t="str">
            <v/>
          </cell>
          <cell r="R745" t="e">
            <v>#N/A</v>
          </cell>
        </row>
        <row r="746">
          <cell r="A746">
            <v>41046</v>
          </cell>
          <cell r="B746">
            <v>41046</v>
          </cell>
          <cell r="C746" t="str">
            <v>Future</v>
          </cell>
          <cell r="D746" t="e">
            <v>#N/A</v>
          </cell>
          <cell r="E746">
            <v>3.9891891891891493</v>
          </cell>
          <cell r="F746">
            <v>16.624324324324444</v>
          </cell>
          <cell r="G746">
            <v>14.09729729729732</v>
          </cell>
          <cell r="H746">
            <v>14.09729729729732</v>
          </cell>
          <cell r="I746" t="e">
            <v>#N/A</v>
          </cell>
          <cell r="J746" t="e">
            <v>#N/A</v>
          </cell>
          <cell r="K746" t="e">
            <v>#N/A</v>
          </cell>
          <cell r="L746" t="e">
            <v>#N/A</v>
          </cell>
          <cell r="M746" t="e">
            <v>#N/A</v>
          </cell>
          <cell r="N746" t="e">
            <v>#N/A</v>
          </cell>
          <cell r="O746" t="e">
            <v>#N/A</v>
          </cell>
          <cell r="P746">
            <v>14.52</v>
          </cell>
          <cell r="Q746" t="str">
            <v/>
          </cell>
          <cell r="R746" t="e">
            <v>#N/A</v>
          </cell>
        </row>
        <row r="747">
          <cell r="A747">
            <v>41047</v>
          </cell>
          <cell r="B747">
            <v>41047</v>
          </cell>
          <cell r="C747" t="str">
            <v>Future</v>
          </cell>
          <cell r="D747" t="e">
            <v>#N/A</v>
          </cell>
          <cell r="E747">
            <v>3.9337837837837437</v>
          </cell>
          <cell r="F747">
            <v>16.636486486486607</v>
          </cell>
          <cell r="G747">
            <v>14.095945945945969</v>
          </cell>
          <cell r="H747">
            <v>14.095945945945969</v>
          </cell>
          <cell r="I747" t="e">
            <v>#N/A</v>
          </cell>
          <cell r="J747" t="e">
            <v>#N/A</v>
          </cell>
          <cell r="K747" t="e">
            <v>#N/A</v>
          </cell>
          <cell r="L747" t="e">
            <v>#N/A</v>
          </cell>
          <cell r="M747" t="e">
            <v>#N/A</v>
          </cell>
          <cell r="N747" t="e">
            <v>#N/A</v>
          </cell>
          <cell r="O747" t="e">
            <v>#N/A</v>
          </cell>
          <cell r="P747">
            <v>14.52</v>
          </cell>
          <cell r="Q747" t="str">
            <v/>
          </cell>
          <cell r="R747" t="e">
            <v>#N/A</v>
          </cell>
        </row>
        <row r="748">
          <cell r="A748">
            <v>41050</v>
          </cell>
          <cell r="B748">
            <v>41050</v>
          </cell>
          <cell r="C748" t="str">
            <v>Future</v>
          </cell>
          <cell r="D748" t="e">
            <v>#N/A</v>
          </cell>
          <cell r="E748">
            <v>3.8783783783783381</v>
          </cell>
          <cell r="F748">
            <v>16.64864864864877</v>
          </cell>
          <cell r="G748">
            <v>14.094594594594618</v>
          </cell>
          <cell r="H748">
            <v>14.094594594594618</v>
          </cell>
          <cell r="I748" t="e">
            <v>#N/A</v>
          </cell>
          <cell r="J748" t="e">
            <v>#N/A</v>
          </cell>
          <cell r="K748" t="e">
            <v>#N/A</v>
          </cell>
          <cell r="L748" t="e">
            <v>#N/A</v>
          </cell>
          <cell r="M748" t="e">
            <v>#N/A</v>
          </cell>
          <cell r="N748" t="e">
            <v>#N/A</v>
          </cell>
          <cell r="O748" t="e">
            <v>#N/A</v>
          </cell>
          <cell r="P748">
            <v>14.52</v>
          </cell>
          <cell r="Q748" t="str">
            <v/>
          </cell>
          <cell r="R748" t="e">
            <v>#N/A</v>
          </cell>
        </row>
        <row r="749">
          <cell r="A749">
            <v>41051</v>
          </cell>
          <cell r="B749">
            <v>41051</v>
          </cell>
          <cell r="C749" t="str">
            <v>Future</v>
          </cell>
          <cell r="D749" t="e">
            <v>#N/A</v>
          </cell>
          <cell r="E749">
            <v>3.8229729729729325</v>
          </cell>
          <cell r="F749">
            <v>16.660810810810933</v>
          </cell>
          <cell r="G749">
            <v>14.093243243243267</v>
          </cell>
          <cell r="H749">
            <v>14.093243243243267</v>
          </cell>
          <cell r="I749" t="e">
            <v>#N/A</v>
          </cell>
          <cell r="J749" t="e">
            <v>#N/A</v>
          </cell>
          <cell r="K749" t="e">
            <v>#N/A</v>
          </cell>
          <cell r="L749" t="e">
            <v>#N/A</v>
          </cell>
          <cell r="M749" t="e">
            <v>#N/A</v>
          </cell>
          <cell r="N749" t="e">
            <v>#N/A</v>
          </cell>
          <cell r="O749" t="e">
            <v>#N/A</v>
          </cell>
          <cell r="P749">
            <v>14.52</v>
          </cell>
          <cell r="Q749" t="str">
            <v/>
          </cell>
          <cell r="R749" t="e">
            <v>#N/A</v>
          </cell>
        </row>
        <row r="750">
          <cell r="A750">
            <v>41052</v>
          </cell>
          <cell r="B750">
            <v>41052</v>
          </cell>
          <cell r="C750" t="str">
            <v>Future</v>
          </cell>
          <cell r="D750" t="e">
            <v>#N/A</v>
          </cell>
          <cell r="E750">
            <v>3.7675675675675269</v>
          </cell>
          <cell r="F750">
            <v>16.672972972973096</v>
          </cell>
          <cell r="G750">
            <v>14.091891891891915</v>
          </cell>
          <cell r="H750">
            <v>14.091891891891915</v>
          </cell>
          <cell r="I750" t="e">
            <v>#N/A</v>
          </cell>
          <cell r="J750" t="e">
            <v>#N/A</v>
          </cell>
          <cell r="K750" t="e">
            <v>#N/A</v>
          </cell>
          <cell r="L750" t="e">
            <v>#N/A</v>
          </cell>
          <cell r="M750" t="e">
            <v>#N/A</v>
          </cell>
          <cell r="N750" t="e">
            <v>#N/A</v>
          </cell>
          <cell r="O750" t="e">
            <v>#N/A</v>
          </cell>
          <cell r="P750">
            <v>14.52</v>
          </cell>
          <cell r="Q750" t="str">
            <v/>
          </cell>
          <cell r="R750" t="e">
            <v>#N/A</v>
          </cell>
        </row>
        <row r="751">
          <cell r="A751">
            <v>41053</v>
          </cell>
          <cell r="B751">
            <v>41053</v>
          </cell>
          <cell r="C751" t="str">
            <v>Future</v>
          </cell>
          <cell r="D751" t="e">
            <v>#N/A</v>
          </cell>
          <cell r="E751">
            <v>3.7121621621621212</v>
          </cell>
          <cell r="F751">
            <v>16.685135135135258</v>
          </cell>
          <cell r="G751">
            <v>14.090540540540564</v>
          </cell>
          <cell r="H751">
            <v>14.090540540540564</v>
          </cell>
          <cell r="I751" t="e">
            <v>#N/A</v>
          </cell>
          <cell r="J751" t="e">
            <v>#N/A</v>
          </cell>
          <cell r="K751" t="e">
            <v>#N/A</v>
          </cell>
          <cell r="L751" t="e">
            <v>#N/A</v>
          </cell>
          <cell r="M751" t="e">
            <v>#N/A</v>
          </cell>
          <cell r="N751" t="e">
            <v>#N/A</v>
          </cell>
          <cell r="O751" t="e">
            <v>#N/A</v>
          </cell>
          <cell r="P751">
            <v>14.52</v>
          </cell>
          <cell r="Q751" t="str">
            <v/>
          </cell>
          <cell r="R751" t="e">
            <v>#N/A</v>
          </cell>
        </row>
        <row r="752">
          <cell r="A752">
            <v>41054</v>
          </cell>
          <cell r="B752">
            <v>41054</v>
          </cell>
          <cell r="C752" t="str">
            <v>Future</v>
          </cell>
          <cell r="D752" t="e">
            <v>#N/A</v>
          </cell>
          <cell r="E752">
            <v>3.6567567567567156</v>
          </cell>
          <cell r="F752">
            <v>16.697297297297421</v>
          </cell>
          <cell r="G752">
            <v>14.089189189189213</v>
          </cell>
          <cell r="H752">
            <v>14.089189189189213</v>
          </cell>
          <cell r="I752" t="e">
            <v>#N/A</v>
          </cell>
          <cell r="J752" t="e">
            <v>#N/A</v>
          </cell>
          <cell r="K752" t="e">
            <v>#N/A</v>
          </cell>
          <cell r="L752" t="e">
            <v>#N/A</v>
          </cell>
          <cell r="M752" t="e">
            <v>#N/A</v>
          </cell>
          <cell r="N752" t="e">
            <v>#N/A</v>
          </cell>
          <cell r="O752" t="e">
            <v>#N/A</v>
          </cell>
          <cell r="P752">
            <v>14.52</v>
          </cell>
          <cell r="Q752" t="str">
            <v/>
          </cell>
          <cell r="R752" t="e">
            <v>#N/A</v>
          </cell>
        </row>
        <row r="753">
          <cell r="A753">
            <v>41057</v>
          </cell>
          <cell r="B753">
            <v>41057</v>
          </cell>
          <cell r="C753" t="str">
            <v>Future</v>
          </cell>
          <cell r="D753" t="e">
            <v>#N/A</v>
          </cell>
          <cell r="E753">
            <v>3.60135135135131</v>
          </cell>
          <cell r="F753">
            <v>16.709459459459584</v>
          </cell>
          <cell r="G753">
            <v>14.087837837837862</v>
          </cell>
          <cell r="H753">
            <v>14.087837837837862</v>
          </cell>
          <cell r="I753" t="e">
            <v>#N/A</v>
          </cell>
          <cell r="J753" t="e">
            <v>#N/A</v>
          </cell>
          <cell r="K753" t="e">
            <v>#N/A</v>
          </cell>
          <cell r="L753" t="e">
            <v>#N/A</v>
          </cell>
          <cell r="M753" t="e">
            <v>#N/A</v>
          </cell>
          <cell r="N753" t="e">
            <v>#N/A</v>
          </cell>
          <cell r="O753" t="e">
            <v>#N/A</v>
          </cell>
          <cell r="P753">
            <v>14.52</v>
          </cell>
          <cell r="Q753" t="str">
            <v/>
          </cell>
          <cell r="R753" t="e">
            <v>#N/A</v>
          </cell>
        </row>
        <row r="754">
          <cell r="A754">
            <v>41058</v>
          </cell>
          <cell r="B754">
            <v>41058</v>
          </cell>
          <cell r="C754" t="str">
            <v>Future</v>
          </cell>
          <cell r="D754" t="e">
            <v>#N/A</v>
          </cell>
          <cell r="E754">
            <v>3.5459459459459044</v>
          </cell>
          <cell r="F754">
            <v>16.721621621621747</v>
          </cell>
          <cell r="G754">
            <v>14.08648648648651</v>
          </cell>
          <cell r="H754">
            <v>14.08648648648651</v>
          </cell>
          <cell r="I754" t="e">
            <v>#N/A</v>
          </cell>
          <cell r="J754" t="e">
            <v>#N/A</v>
          </cell>
          <cell r="K754" t="e">
            <v>#N/A</v>
          </cell>
          <cell r="L754" t="e">
            <v>#N/A</v>
          </cell>
          <cell r="M754" t="e">
            <v>#N/A</v>
          </cell>
          <cell r="N754" t="e">
            <v>#N/A</v>
          </cell>
          <cell r="O754" t="e">
            <v>#N/A</v>
          </cell>
          <cell r="P754">
            <v>14.52</v>
          </cell>
          <cell r="Q754" t="str">
            <v/>
          </cell>
          <cell r="R754" t="e">
            <v>#N/A</v>
          </cell>
        </row>
        <row r="755">
          <cell r="A755">
            <v>41059</v>
          </cell>
          <cell r="B755">
            <v>41059</v>
          </cell>
          <cell r="C755" t="str">
            <v>Future</v>
          </cell>
          <cell r="D755" t="e">
            <v>#N/A</v>
          </cell>
          <cell r="E755">
            <v>3.4905405405404988</v>
          </cell>
          <cell r="F755">
            <v>16.73378378378391</v>
          </cell>
          <cell r="G755">
            <v>14.085135135135159</v>
          </cell>
          <cell r="H755">
            <v>14.085135135135159</v>
          </cell>
          <cell r="I755" t="e">
            <v>#N/A</v>
          </cell>
          <cell r="J755" t="e">
            <v>#N/A</v>
          </cell>
          <cell r="K755" t="e">
            <v>#N/A</v>
          </cell>
          <cell r="L755" t="e">
            <v>#N/A</v>
          </cell>
          <cell r="M755" t="e">
            <v>#N/A</v>
          </cell>
          <cell r="N755" t="e">
            <v>#N/A</v>
          </cell>
          <cell r="O755" t="e">
            <v>#N/A</v>
          </cell>
          <cell r="P755">
            <v>14.52</v>
          </cell>
          <cell r="Q755" t="str">
            <v/>
          </cell>
          <cell r="R755" t="e">
            <v>#N/A</v>
          </cell>
        </row>
        <row r="756">
          <cell r="A756">
            <v>41060</v>
          </cell>
          <cell r="B756">
            <v>41060</v>
          </cell>
          <cell r="C756" t="str">
            <v>Future</v>
          </cell>
          <cell r="D756" t="e">
            <v>#N/A</v>
          </cell>
          <cell r="E756">
            <v>3.4351351351350932</v>
          </cell>
          <cell r="F756">
            <v>16.745945945946072</v>
          </cell>
          <cell r="G756">
            <v>14.083783783783808</v>
          </cell>
          <cell r="H756">
            <v>14.083783783783808</v>
          </cell>
          <cell r="I756" t="e">
            <v>#N/A</v>
          </cell>
          <cell r="J756" t="e">
            <v>#N/A</v>
          </cell>
          <cell r="K756" t="e">
            <v>#N/A</v>
          </cell>
          <cell r="L756" t="e">
            <v>#N/A</v>
          </cell>
          <cell r="M756" t="e">
            <v>#N/A</v>
          </cell>
          <cell r="N756" t="e">
            <v>#N/A</v>
          </cell>
          <cell r="O756" t="e">
            <v>#N/A</v>
          </cell>
          <cell r="P756">
            <v>14.52</v>
          </cell>
          <cell r="Q756" t="str">
            <v/>
          </cell>
          <cell r="R756" t="e">
            <v>#N/A</v>
          </cell>
        </row>
        <row r="757">
          <cell r="A757">
            <v>41061</v>
          </cell>
          <cell r="B757">
            <v>41061</v>
          </cell>
          <cell r="C757" t="str">
            <v>Future</v>
          </cell>
          <cell r="D757" t="e">
            <v>#N/A</v>
          </cell>
          <cell r="E757">
            <v>3.3797297297296875</v>
          </cell>
          <cell r="F757">
            <v>16.758108108108235</v>
          </cell>
          <cell r="G757">
            <v>14.082432432432457</v>
          </cell>
          <cell r="H757">
            <v>14.082432432432457</v>
          </cell>
          <cell r="I757" t="e">
            <v>#N/A</v>
          </cell>
          <cell r="J757" t="e">
            <v>#N/A</v>
          </cell>
          <cell r="K757" t="e">
            <v>#N/A</v>
          </cell>
          <cell r="L757" t="e">
            <v>#N/A</v>
          </cell>
          <cell r="M757" t="e">
            <v>#N/A</v>
          </cell>
          <cell r="N757" t="e">
            <v>#N/A</v>
          </cell>
          <cell r="O757" t="e">
            <v>#N/A</v>
          </cell>
          <cell r="P757">
            <v>14.52</v>
          </cell>
          <cell r="Q757" t="str">
            <v/>
          </cell>
          <cell r="R757" t="e">
            <v>#N/A</v>
          </cell>
        </row>
        <row r="758">
          <cell r="A758">
            <v>41064</v>
          </cell>
          <cell r="B758">
            <v>41064</v>
          </cell>
          <cell r="C758" t="str">
            <v>Future</v>
          </cell>
          <cell r="D758" t="e">
            <v>#N/A</v>
          </cell>
          <cell r="E758">
            <v>3.3243243243242819</v>
          </cell>
          <cell r="F758">
            <v>16.770270270270398</v>
          </cell>
          <cell r="G758">
            <v>14.081081081081106</v>
          </cell>
          <cell r="H758">
            <v>14.081081081081106</v>
          </cell>
          <cell r="I758" t="e">
            <v>#N/A</v>
          </cell>
          <cell r="J758" t="e">
            <v>#N/A</v>
          </cell>
          <cell r="K758" t="e">
            <v>#N/A</v>
          </cell>
          <cell r="L758" t="e">
            <v>#N/A</v>
          </cell>
          <cell r="M758" t="e">
            <v>#N/A</v>
          </cell>
          <cell r="N758" t="e">
            <v>#N/A</v>
          </cell>
          <cell r="O758" t="e">
            <v>#N/A</v>
          </cell>
          <cell r="P758">
            <v>14.52</v>
          </cell>
          <cell r="Q758" t="str">
            <v/>
          </cell>
          <cell r="R758" t="e">
            <v>#N/A</v>
          </cell>
        </row>
        <row r="759">
          <cell r="A759">
            <v>41065</v>
          </cell>
          <cell r="B759">
            <v>41065</v>
          </cell>
          <cell r="C759" t="str">
            <v>Future</v>
          </cell>
          <cell r="D759" t="e">
            <v>#N/A</v>
          </cell>
          <cell r="E759">
            <v>3.2689189189188763</v>
          </cell>
          <cell r="F759">
            <v>16.782432432432561</v>
          </cell>
          <cell r="G759">
            <v>14.079729729729754</v>
          </cell>
          <cell r="H759">
            <v>14.079729729729754</v>
          </cell>
          <cell r="I759" t="e">
            <v>#N/A</v>
          </cell>
          <cell r="J759" t="e">
            <v>#N/A</v>
          </cell>
          <cell r="K759" t="e">
            <v>#N/A</v>
          </cell>
          <cell r="L759" t="e">
            <v>#N/A</v>
          </cell>
          <cell r="M759" t="e">
            <v>#N/A</v>
          </cell>
          <cell r="N759" t="e">
            <v>#N/A</v>
          </cell>
          <cell r="O759" t="e">
            <v>#N/A</v>
          </cell>
          <cell r="P759">
            <v>14.52</v>
          </cell>
          <cell r="Q759" t="str">
            <v/>
          </cell>
          <cell r="R759" t="e">
            <v>#N/A</v>
          </cell>
        </row>
        <row r="760">
          <cell r="A760">
            <v>41066</v>
          </cell>
          <cell r="B760">
            <v>41066</v>
          </cell>
          <cell r="C760" t="str">
            <v>Future</v>
          </cell>
          <cell r="D760" t="e">
            <v>#N/A</v>
          </cell>
          <cell r="E760">
            <v>3.2135135135134707</v>
          </cell>
          <cell r="F760">
            <v>16.794594594594724</v>
          </cell>
          <cell r="G760">
            <v>14.078378378378403</v>
          </cell>
          <cell r="H760">
            <v>14.078378378378403</v>
          </cell>
          <cell r="I760" t="e">
            <v>#N/A</v>
          </cell>
          <cell r="J760" t="e">
            <v>#N/A</v>
          </cell>
          <cell r="K760" t="e">
            <v>#N/A</v>
          </cell>
          <cell r="L760" t="e">
            <v>#N/A</v>
          </cell>
          <cell r="M760" t="e">
            <v>#N/A</v>
          </cell>
          <cell r="N760" t="e">
            <v>#N/A</v>
          </cell>
          <cell r="O760" t="e">
            <v>#N/A</v>
          </cell>
          <cell r="P760">
            <v>14.52</v>
          </cell>
          <cell r="Q760" t="str">
            <v/>
          </cell>
          <cell r="R760" t="e">
            <v>#N/A</v>
          </cell>
        </row>
        <row r="761">
          <cell r="A761">
            <v>41067</v>
          </cell>
          <cell r="B761">
            <v>41067</v>
          </cell>
          <cell r="C761" t="str">
            <v>Future</v>
          </cell>
          <cell r="D761" t="e">
            <v>#N/A</v>
          </cell>
          <cell r="E761">
            <v>3.1581081081080651</v>
          </cell>
          <cell r="F761">
            <v>16.806756756756887</v>
          </cell>
          <cell r="G761">
            <v>14.077027027027052</v>
          </cell>
          <cell r="H761">
            <v>14.077027027027052</v>
          </cell>
          <cell r="I761" t="e">
            <v>#N/A</v>
          </cell>
          <cell r="J761" t="e">
            <v>#N/A</v>
          </cell>
          <cell r="K761" t="e">
            <v>#N/A</v>
          </cell>
          <cell r="L761" t="e">
            <v>#N/A</v>
          </cell>
          <cell r="M761" t="e">
            <v>#N/A</v>
          </cell>
          <cell r="N761" t="e">
            <v>#N/A</v>
          </cell>
          <cell r="O761" t="e">
            <v>#N/A</v>
          </cell>
          <cell r="P761">
            <v>14.52</v>
          </cell>
          <cell r="Q761" t="str">
            <v/>
          </cell>
          <cell r="R761" t="e">
            <v>#N/A</v>
          </cell>
        </row>
        <row r="762">
          <cell r="A762">
            <v>41068</v>
          </cell>
          <cell r="B762">
            <v>41068</v>
          </cell>
          <cell r="C762" t="str">
            <v>Future</v>
          </cell>
          <cell r="D762" t="e">
            <v>#N/A</v>
          </cell>
          <cell r="E762">
            <v>3.1027027027026595</v>
          </cell>
          <cell r="F762">
            <v>16.818918918919049</v>
          </cell>
          <cell r="G762">
            <v>14.075675675675701</v>
          </cell>
          <cell r="H762">
            <v>14.075675675675701</v>
          </cell>
          <cell r="I762" t="e">
            <v>#N/A</v>
          </cell>
          <cell r="J762" t="e">
            <v>#N/A</v>
          </cell>
          <cell r="K762" t="e">
            <v>#N/A</v>
          </cell>
          <cell r="L762" t="e">
            <v>#N/A</v>
          </cell>
          <cell r="M762" t="e">
            <v>#N/A</v>
          </cell>
          <cell r="N762" t="e">
            <v>#N/A</v>
          </cell>
          <cell r="O762" t="e">
            <v>#N/A</v>
          </cell>
          <cell r="P762">
            <v>14.52</v>
          </cell>
          <cell r="Q762" t="str">
            <v/>
          </cell>
          <cell r="R762" t="e">
            <v>#N/A</v>
          </cell>
        </row>
        <row r="763">
          <cell r="A763">
            <v>41071</v>
          </cell>
          <cell r="B763">
            <v>41071</v>
          </cell>
          <cell r="C763" t="str">
            <v>Future</v>
          </cell>
          <cell r="D763" t="e">
            <v>#N/A</v>
          </cell>
          <cell r="E763">
            <v>3.0472972972972538</v>
          </cell>
          <cell r="F763">
            <v>16.831081081081212</v>
          </cell>
          <cell r="G763">
            <v>14.074324324324349</v>
          </cell>
          <cell r="H763">
            <v>14.074324324324349</v>
          </cell>
          <cell r="I763" t="e">
            <v>#N/A</v>
          </cell>
          <cell r="J763" t="e">
            <v>#N/A</v>
          </cell>
          <cell r="K763" t="e">
            <v>#N/A</v>
          </cell>
          <cell r="L763" t="e">
            <v>#N/A</v>
          </cell>
          <cell r="M763" t="e">
            <v>#N/A</v>
          </cell>
          <cell r="N763" t="e">
            <v>#N/A</v>
          </cell>
          <cell r="O763" t="e">
            <v>#N/A</v>
          </cell>
          <cell r="P763">
            <v>14.52</v>
          </cell>
          <cell r="Q763" t="str">
            <v/>
          </cell>
          <cell r="R763" t="e">
            <v>#N/A</v>
          </cell>
        </row>
        <row r="764">
          <cell r="A764">
            <v>41072</v>
          </cell>
          <cell r="B764">
            <v>41072</v>
          </cell>
          <cell r="C764" t="str">
            <v>Future</v>
          </cell>
          <cell r="D764" t="e">
            <v>#N/A</v>
          </cell>
          <cell r="E764">
            <v>2.9918918918918482</v>
          </cell>
          <cell r="F764">
            <v>16.843243243243375</v>
          </cell>
          <cell r="G764">
            <v>14.072972972972998</v>
          </cell>
          <cell r="H764">
            <v>14.072972972972998</v>
          </cell>
          <cell r="I764" t="e">
            <v>#N/A</v>
          </cell>
          <cell r="J764" t="e">
            <v>#N/A</v>
          </cell>
          <cell r="K764" t="e">
            <v>#N/A</v>
          </cell>
          <cell r="L764" t="e">
            <v>#N/A</v>
          </cell>
          <cell r="M764" t="e">
            <v>#N/A</v>
          </cell>
          <cell r="N764" t="e">
            <v>#N/A</v>
          </cell>
          <cell r="O764" t="e">
            <v>#N/A</v>
          </cell>
          <cell r="P764">
            <v>14.52</v>
          </cell>
          <cell r="Q764" t="str">
            <v/>
          </cell>
          <cell r="R764" t="e">
            <v>#N/A</v>
          </cell>
        </row>
        <row r="765">
          <cell r="A765">
            <v>41073</v>
          </cell>
          <cell r="B765">
            <v>41073</v>
          </cell>
          <cell r="C765" t="str">
            <v>Future</v>
          </cell>
          <cell r="D765" t="e">
            <v>#N/A</v>
          </cell>
          <cell r="E765">
            <v>2.9364864864864426</v>
          </cell>
          <cell r="F765">
            <v>16.855405405405538</v>
          </cell>
          <cell r="G765">
            <v>14.071621621621647</v>
          </cell>
          <cell r="H765">
            <v>14.071621621621647</v>
          </cell>
          <cell r="I765" t="e">
            <v>#N/A</v>
          </cell>
          <cell r="J765" t="e">
            <v>#N/A</v>
          </cell>
          <cell r="K765" t="e">
            <v>#N/A</v>
          </cell>
          <cell r="L765" t="e">
            <v>#N/A</v>
          </cell>
          <cell r="M765" t="e">
            <v>#N/A</v>
          </cell>
          <cell r="N765" t="e">
            <v>#N/A</v>
          </cell>
          <cell r="O765" t="e">
            <v>#N/A</v>
          </cell>
          <cell r="P765">
            <v>14.52</v>
          </cell>
          <cell r="Q765" t="str">
            <v/>
          </cell>
          <cell r="R765" t="e">
            <v>#N/A</v>
          </cell>
        </row>
        <row r="766">
          <cell r="A766">
            <v>41074</v>
          </cell>
          <cell r="B766">
            <v>41074</v>
          </cell>
          <cell r="C766" t="str">
            <v>Future</v>
          </cell>
          <cell r="D766" t="e">
            <v>#N/A</v>
          </cell>
          <cell r="E766">
            <v>2.881081081081037</v>
          </cell>
          <cell r="F766">
            <v>16.867567567567701</v>
          </cell>
          <cell r="G766">
            <v>14.070270270270296</v>
          </cell>
          <cell r="H766">
            <v>14.070270270270296</v>
          </cell>
          <cell r="I766" t="e">
            <v>#N/A</v>
          </cell>
          <cell r="J766" t="e">
            <v>#N/A</v>
          </cell>
          <cell r="K766" t="e">
            <v>#N/A</v>
          </cell>
          <cell r="L766" t="e">
            <v>#N/A</v>
          </cell>
          <cell r="M766" t="e">
            <v>#N/A</v>
          </cell>
          <cell r="N766" t="e">
            <v>#N/A</v>
          </cell>
          <cell r="O766" t="e">
            <v>#N/A</v>
          </cell>
          <cell r="P766">
            <v>14.52</v>
          </cell>
          <cell r="Q766" t="str">
            <v/>
          </cell>
          <cell r="R766" t="e">
            <v>#N/A</v>
          </cell>
        </row>
        <row r="767">
          <cell r="A767">
            <v>41075</v>
          </cell>
          <cell r="B767">
            <v>41075</v>
          </cell>
          <cell r="C767" t="str">
            <v>Future</v>
          </cell>
          <cell r="D767" t="e">
            <v>#N/A</v>
          </cell>
          <cell r="E767">
            <v>2.8256756756756314</v>
          </cell>
          <cell r="F767">
            <v>16.879729729729863</v>
          </cell>
          <cell r="G767">
            <v>14.068918918918945</v>
          </cell>
          <cell r="H767">
            <v>14.068918918918945</v>
          </cell>
          <cell r="I767" t="e">
            <v>#N/A</v>
          </cell>
          <cell r="J767" t="e">
            <v>#N/A</v>
          </cell>
          <cell r="K767" t="e">
            <v>#N/A</v>
          </cell>
          <cell r="L767" t="e">
            <v>#N/A</v>
          </cell>
          <cell r="M767" t="e">
            <v>#N/A</v>
          </cell>
          <cell r="N767" t="e">
            <v>#N/A</v>
          </cell>
          <cell r="O767" t="e">
            <v>#N/A</v>
          </cell>
          <cell r="P767">
            <v>14.52</v>
          </cell>
          <cell r="Q767" t="str">
            <v/>
          </cell>
          <cell r="R767" t="e">
            <v>#N/A</v>
          </cell>
        </row>
        <row r="768">
          <cell r="A768">
            <v>41078</v>
          </cell>
          <cell r="B768">
            <v>41078</v>
          </cell>
          <cell r="C768" t="str">
            <v>Future</v>
          </cell>
          <cell r="D768" t="e">
            <v>#N/A</v>
          </cell>
          <cell r="E768">
            <v>2.7702702702702258</v>
          </cell>
          <cell r="F768">
            <v>16.891891891892026</v>
          </cell>
          <cell r="G768">
            <v>14.067567567567593</v>
          </cell>
          <cell r="H768">
            <v>14.067567567567593</v>
          </cell>
          <cell r="I768" t="e">
            <v>#N/A</v>
          </cell>
          <cell r="J768" t="e">
            <v>#N/A</v>
          </cell>
          <cell r="K768" t="e">
            <v>#N/A</v>
          </cell>
          <cell r="L768" t="e">
            <v>#N/A</v>
          </cell>
          <cell r="M768" t="e">
            <v>#N/A</v>
          </cell>
          <cell r="N768" t="e">
            <v>#N/A</v>
          </cell>
          <cell r="O768" t="e">
            <v>#N/A</v>
          </cell>
          <cell r="P768">
            <v>14.52</v>
          </cell>
          <cell r="Q768" t="str">
            <v/>
          </cell>
          <cell r="R768" t="e">
            <v>#N/A</v>
          </cell>
        </row>
        <row r="769">
          <cell r="A769">
            <v>41079</v>
          </cell>
          <cell r="B769">
            <v>41079</v>
          </cell>
          <cell r="C769" t="str">
            <v>Future</v>
          </cell>
          <cell r="D769" t="e">
            <v>#N/A</v>
          </cell>
          <cell r="E769">
            <v>2.7148648648648201</v>
          </cell>
          <cell r="F769">
            <v>16.904054054054189</v>
          </cell>
          <cell r="G769">
            <v>14.066216216216242</v>
          </cell>
          <cell r="H769">
            <v>14.066216216216242</v>
          </cell>
          <cell r="I769" t="e">
            <v>#N/A</v>
          </cell>
          <cell r="J769" t="e">
            <v>#N/A</v>
          </cell>
          <cell r="K769" t="e">
            <v>#N/A</v>
          </cell>
          <cell r="L769" t="e">
            <v>#N/A</v>
          </cell>
          <cell r="M769" t="e">
            <v>#N/A</v>
          </cell>
          <cell r="N769" t="e">
            <v>#N/A</v>
          </cell>
          <cell r="O769" t="e">
            <v>#N/A</v>
          </cell>
          <cell r="P769">
            <v>14.52</v>
          </cell>
          <cell r="Q769" t="str">
            <v/>
          </cell>
          <cell r="R769" t="e">
            <v>#N/A</v>
          </cell>
        </row>
        <row r="770">
          <cell r="A770">
            <v>41080</v>
          </cell>
          <cell r="B770">
            <v>41080</v>
          </cell>
          <cell r="C770" t="str">
            <v>Future</v>
          </cell>
          <cell r="D770" t="e">
            <v>#N/A</v>
          </cell>
          <cell r="E770">
            <v>2.6594594594594145</v>
          </cell>
          <cell r="F770">
            <v>16.916216216216352</v>
          </cell>
          <cell r="G770">
            <v>14.064864864864891</v>
          </cell>
          <cell r="H770">
            <v>14.064864864864891</v>
          </cell>
          <cell r="I770" t="e">
            <v>#N/A</v>
          </cell>
          <cell r="J770" t="e">
            <v>#N/A</v>
          </cell>
          <cell r="K770" t="e">
            <v>#N/A</v>
          </cell>
          <cell r="L770" t="e">
            <v>#N/A</v>
          </cell>
          <cell r="M770" t="e">
            <v>#N/A</v>
          </cell>
          <cell r="N770" t="e">
            <v>#N/A</v>
          </cell>
          <cell r="O770" t="e">
            <v>#N/A</v>
          </cell>
          <cell r="P770">
            <v>14.52</v>
          </cell>
          <cell r="Q770" t="str">
            <v/>
          </cell>
          <cell r="R770" t="e">
            <v>#N/A</v>
          </cell>
        </row>
        <row r="771">
          <cell r="A771">
            <v>41081</v>
          </cell>
          <cell r="B771">
            <v>41081</v>
          </cell>
          <cell r="C771" t="str">
            <v>Future</v>
          </cell>
          <cell r="D771" t="e">
            <v>#N/A</v>
          </cell>
          <cell r="E771">
            <v>2.6040540540540089</v>
          </cell>
          <cell r="F771">
            <v>16.928378378378515</v>
          </cell>
          <cell r="G771">
            <v>14.06351351351354</v>
          </cell>
          <cell r="H771">
            <v>14.06351351351354</v>
          </cell>
          <cell r="I771" t="e">
            <v>#N/A</v>
          </cell>
          <cell r="J771" t="e">
            <v>#N/A</v>
          </cell>
          <cell r="K771" t="e">
            <v>#N/A</v>
          </cell>
          <cell r="L771" t="e">
            <v>#N/A</v>
          </cell>
          <cell r="M771" t="e">
            <v>#N/A</v>
          </cell>
          <cell r="N771" t="e">
            <v>#N/A</v>
          </cell>
          <cell r="O771" t="e">
            <v>#N/A</v>
          </cell>
          <cell r="P771">
            <v>14.52</v>
          </cell>
          <cell r="Q771" t="str">
            <v/>
          </cell>
          <cell r="R771" t="e">
            <v>#N/A</v>
          </cell>
        </row>
        <row r="772">
          <cell r="A772">
            <v>41082</v>
          </cell>
          <cell r="B772">
            <v>41082</v>
          </cell>
          <cell r="C772" t="str">
            <v>Future</v>
          </cell>
          <cell r="D772" t="e">
            <v>#N/A</v>
          </cell>
          <cell r="E772">
            <v>2.5486486486486033</v>
          </cell>
          <cell r="F772">
            <v>16.940540540540677</v>
          </cell>
          <cell r="G772">
            <v>14.062162162162188</v>
          </cell>
          <cell r="H772">
            <v>14.062162162162188</v>
          </cell>
          <cell r="I772" t="e">
            <v>#N/A</v>
          </cell>
          <cell r="J772" t="e">
            <v>#N/A</v>
          </cell>
          <cell r="K772" t="e">
            <v>#N/A</v>
          </cell>
          <cell r="L772" t="e">
            <v>#N/A</v>
          </cell>
          <cell r="M772" t="e">
            <v>#N/A</v>
          </cell>
          <cell r="N772" t="e">
            <v>#N/A</v>
          </cell>
          <cell r="O772" t="e">
            <v>#N/A</v>
          </cell>
          <cell r="P772">
            <v>14.52</v>
          </cell>
          <cell r="Q772" t="str">
            <v/>
          </cell>
          <cell r="R772" t="e">
            <v>#N/A</v>
          </cell>
        </row>
        <row r="773">
          <cell r="A773">
            <v>41085</v>
          </cell>
          <cell r="B773">
            <v>41085</v>
          </cell>
          <cell r="C773" t="str">
            <v>Future</v>
          </cell>
          <cell r="D773" t="e">
            <v>#N/A</v>
          </cell>
          <cell r="E773">
            <v>2.4932432432431977</v>
          </cell>
          <cell r="F773">
            <v>16.95270270270284</v>
          </cell>
          <cell r="G773">
            <v>14.060810810810837</v>
          </cell>
          <cell r="H773">
            <v>14.060810810810837</v>
          </cell>
          <cell r="I773" t="e">
            <v>#N/A</v>
          </cell>
          <cell r="J773" t="e">
            <v>#N/A</v>
          </cell>
          <cell r="K773" t="e">
            <v>#N/A</v>
          </cell>
          <cell r="L773" t="e">
            <v>#N/A</v>
          </cell>
          <cell r="M773" t="e">
            <v>#N/A</v>
          </cell>
          <cell r="N773" t="e">
            <v>#N/A</v>
          </cell>
          <cell r="O773" t="e">
            <v>#N/A</v>
          </cell>
          <cell r="P773">
            <v>14.52</v>
          </cell>
          <cell r="Q773" t="str">
            <v/>
          </cell>
          <cell r="R773" t="e">
            <v>#N/A</v>
          </cell>
        </row>
        <row r="774">
          <cell r="A774">
            <v>41086</v>
          </cell>
          <cell r="B774">
            <v>41086</v>
          </cell>
          <cell r="C774" t="str">
            <v>Future</v>
          </cell>
          <cell r="D774" t="e">
            <v>#N/A</v>
          </cell>
          <cell r="E774">
            <v>2.4378378378377921</v>
          </cell>
          <cell r="F774">
            <v>16.964864864865003</v>
          </cell>
          <cell r="G774">
            <v>14.059459459459486</v>
          </cell>
          <cell r="H774">
            <v>14.059459459459486</v>
          </cell>
          <cell r="I774" t="e">
            <v>#N/A</v>
          </cell>
          <cell r="J774" t="e">
            <v>#N/A</v>
          </cell>
          <cell r="K774" t="e">
            <v>#N/A</v>
          </cell>
          <cell r="L774" t="e">
            <v>#N/A</v>
          </cell>
          <cell r="M774" t="e">
            <v>#N/A</v>
          </cell>
          <cell r="N774" t="e">
            <v>#N/A</v>
          </cell>
          <cell r="O774" t="e">
            <v>#N/A</v>
          </cell>
          <cell r="P774">
            <v>14.52</v>
          </cell>
          <cell r="Q774" t="str">
            <v/>
          </cell>
          <cell r="R774" t="e">
            <v>#N/A</v>
          </cell>
        </row>
        <row r="775">
          <cell r="A775">
            <v>41087</v>
          </cell>
          <cell r="B775">
            <v>41087</v>
          </cell>
          <cell r="C775" t="str">
            <v>Future</v>
          </cell>
          <cell r="D775" t="e">
            <v>#N/A</v>
          </cell>
          <cell r="E775">
            <v>2.3824324324323864</v>
          </cell>
          <cell r="F775">
            <v>16.977027027027166</v>
          </cell>
          <cell r="G775">
            <v>14.058108108108135</v>
          </cell>
          <cell r="H775">
            <v>14.058108108108135</v>
          </cell>
          <cell r="I775" t="e">
            <v>#N/A</v>
          </cell>
          <cell r="J775" t="e">
            <v>#N/A</v>
          </cell>
          <cell r="K775" t="e">
            <v>#N/A</v>
          </cell>
          <cell r="L775" t="e">
            <v>#N/A</v>
          </cell>
          <cell r="M775" t="e">
            <v>#N/A</v>
          </cell>
          <cell r="N775" t="e">
            <v>#N/A</v>
          </cell>
          <cell r="O775" t="e">
            <v>#N/A</v>
          </cell>
          <cell r="P775">
            <v>14.52</v>
          </cell>
          <cell r="Q775" t="str">
            <v/>
          </cell>
          <cell r="R775" t="e">
            <v>#N/A</v>
          </cell>
        </row>
        <row r="776">
          <cell r="A776">
            <v>41088</v>
          </cell>
          <cell r="B776">
            <v>41088</v>
          </cell>
          <cell r="C776" t="str">
            <v>Future</v>
          </cell>
          <cell r="D776" t="e">
            <v>#N/A</v>
          </cell>
          <cell r="E776">
            <v>2.3270270270269808</v>
          </cell>
          <cell r="F776">
            <v>16.989189189189329</v>
          </cell>
          <cell r="G776">
            <v>14.056756756756783</v>
          </cell>
          <cell r="H776">
            <v>14.056756756756783</v>
          </cell>
          <cell r="I776" t="e">
            <v>#N/A</v>
          </cell>
          <cell r="J776" t="e">
            <v>#N/A</v>
          </cell>
          <cell r="K776" t="e">
            <v>#N/A</v>
          </cell>
          <cell r="L776" t="e">
            <v>#N/A</v>
          </cell>
          <cell r="M776" t="e">
            <v>#N/A</v>
          </cell>
          <cell r="N776" t="e">
            <v>#N/A</v>
          </cell>
          <cell r="O776" t="e">
            <v>#N/A</v>
          </cell>
          <cell r="P776">
            <v>14.52</v>
          </cell>
          <cell r="Q776" t="str">
            <v/>
          </cell>
          <cell r="R776" t="e">
            <v>#N/A</v>
          </cell>
        </row>
        <row r="777">
          <cell r="A777">
            <v>41089</v>
          </cell>
          <cell r="B777">
            <v>41089</v>
          </cell>
          <cell r="C777" t="str">
            <v>Future</v>
          </cell>
          <cell r="D777" t="e">
            <v>#N/A</v>
          </cell>
          <cell r="E777">
            <v>2.2716216216215752</v>
          </cell>
          <cell r="F777">
            <v>17.001351351351492</v>
          </cell>
          <cell r="G777">
            <v>14.055405405405432</v>
          </cell>
          <cell r="H777">
            <v>14.055405405405432</v>
          </cell>
          <cell r="I777" t="e">
            <v>#N/A</v>
          </cell>
          <cell r="J777" t="e">
            <v>#N/A</v>
          </cell>
          <cell r="K777" t="e">
            <v>#N/A</v>
          </cell>
          <cell r="L777" t="e">
            <v>#N/A</v>
          </cell>
          <cell r="M777" t="e">
            <v>#N/A</v>
          </cell>
          <cell r="N777" t="e">
            <v>#N/A</v>
          </cell>
          <cell r="O777" t="e">
            <v>#N/A</v>
          </cell>
          <cell r="P777">
            <v>14.52</v>
          </cell>
          <cell r="Q777" t="str">
            <v/>
          </cell>
          <cell r="R777" t="e">
            <v>#N/A</v>
          </cell>
        </row>
        <row r="778">
          <cell r="A778">
            <v>41092</v>
          </cell>
          <cell r="B778">
            <v>41092</v>
          </cell>
          <cell r="C778" t="str">
            <v>Future</v>
          </cell>
          <cell r="D778" t="e">
            <v>#N/A</v>
          </cell>
          <cell r="E778">
            <v>2.2162162162161696</v>
          </cell>
          <cell r="F778">
            <v>17.013513513513654</v>
          </cell>
          <cell r="G778">
            <v>14.054054054054081</v>
          </cell>
          <cell r="H778">
            <v>14.054054054054081</v>
          </cell>
          <cell r="I778" t="e">
            <v>#N/A</v>
          </cell>
          <cell r="J778" t="e">
            <v>#N/A</v>
          </cell>
          <cell r="K778" t="e">
            <v>#N/A</v>
          </cell>
          <cell r="L778" t="e">
            <v>#N/A</v>
          </cell>
          <cell r="M778" t="e">
            <v>#N/A</v>
          </cell>
          <cell r="N778" t="e">
            <v>#N/A</v>
          </cell>
          <cell r="O778" t="e">
            <v>#N/A</v>
          </cell>
          <cell r="P778">
            <v>14.52</v>
          </cell>
          <cell r="Q778" t="str">
            <v/>
          </cell>
          <cell r="R778" t="e">
            <v>#N/A</v>
          </cell>
        </row>
        <row r="779">
          <cell r="A779">
            <v>41093</v>
          </cell>
          <cell r="B779">
            <v>41093</v>
          </cell>
          <cell r="C779" t="str">
            <v>Future</v>
          </cell>
          <cell r="D779" t="e">
            <v>#N/A</v>
          </cell>
          <cell r="E779">
            <v>2.160810810810764</v>
          </cell>
          <cell r="F779">
            <v>17.025675675675817</v>
          </cell>
          <cell r="G779">
            <v>14.05270270270273</v>
          </cell>
          <cell r="H779">
            <v>14.05270270270273</v>
          </cell>
          <cell r="I779" t="e">
            <v>#N/A</v>
          </cell>
          <cell r="J779" t="e">
            <v>#N/A</v>
          </cell>
          <cell r="K779" t="e">
            <v>#N/A</v>
          </cell>
          <cell r="L779" t="e">
            <v>#N/A</v>
          </cell>
          <cell r="M779" t="e">
            <v>#N/A</v>
          </cell>
          <cell r="N779" t="e">
            <v>#N/A</v>
          </cell>
          <cell r="O779" t="e">
            <v>#N/A</v>
          </cell>
          <cell r="P779">
            <v>14.52</v>
          </cell>
          <cell r="Q779" t="str">
            <v/>
          </cell>
          <cell r="R779" t="e">
            <v>#N/A</v>
          </cell>
        </row>
        <row r="780">
          <cell r="A780">
            <v>41094</v>
          </cell>
          <cell r="B780">
            <v>41094</v>
          </cell>
          <cell r="C780" t="str">
            <v>Future</v>
          </cell>
          <cell r="D780" t="e">
            <v>#N/A</v>
          </cell>
          <cell r="E780">
            <v>2.1054054054053584</v>
          </cell>
          <cell r="F780">
            <v>17.03783783783798</v>
          </cell>
          <cell r="G780">
            <v>14.051351351351379</v>
          </cell>
          <cell r="H780">
            <v>14.051351351351379</v>
          </cell>
          <cell r="I780" t="e">
            <v>#N/A</v>
          </cell>
          <cell r="J780" t="e">
            <v>#N/A</v>
          </cell>
          <cell r="K780" t="e">
            <v>#N/A</v>
          </cell>
          <cell r="L780" t="e">
            <v>#N/A</v>
          </cell>
          <cell r="M780" t="e">
            <v>#N/A</v>
          </cell>
          <cell r="N780" t="e">
            <v>#N/A</v>
          </cell>
          <cell r="O780" t="e">
            <v>#N/A</v>
          </cell>
          <cell r="P780">
            <v>14.52</v>
          </cell>
          <cell r="Q780" t="str">
            <v/>
          </cell>
          <cell r="R780" t="e">
            <v>#N/A</v>
          </cell>
        </row>
        <row r="781">
          <cell r="A781">
            <v>41095</v>
          </cell>
          <cell r="B781">
            <v>41095</v>
          </cell>
          <cell r="C781" t="str">
            <v>Future</v>
          </cell>
          <cell r="D781" t="e">
            <v>#N/A</v>
          </cell>
          <cell r="E781">
            <v>2.0499999999999527</v>
          </cell>
          <cell r="F781">
            <v>17.050000000000143</v>
          </cell>
          <cell r="G781">
            <v>14.050000000000027</v>
          </cell>
          <cell r="H781">
            <v>14.050000000000027</v>
          </cell>
          <cell r="I781" t="e">
            <v>#N/A</v>
          </cell>
          <cell r="J781" t="e">
            <v>#N/A</v>
          </cell>
          <cell r="K781" t="e">
            <v>#N/A</v>
          </cell>
          <cell r="L781" t="e">
            <v>#N/A</v>
          </cell>
          <cell r="M781" t="e">
            <v>#N/A</v>
          </cell>
          <cell r="N781" t="e">
            <v>#N/A</v>
          </cell>
          <cell r="O781" t="e">
            <v>#N/A</v>
          </cell>
          <cell r="P781">
            <v>14.52</v>
          </cell>
          <cell r="Q781" t="str">
            <v/>
          </cell>
          <cell r="R781" t="e">
            <v>#N/A</v>
          </cell>
        </row>
        <row r="782">
          <cell r="A782">
            <v>41096</v>
          </cell>
          <cell r="B782">
            <v>41096</v>
          </cell>
          <cell r="C782" t="str">
            <v>Future</v>
          </cell>
          <cell r="D782" t="e">
            <v>#N/A</v>
          </cell>
          <cell r="E782">
            <v>1.9945945945945474</v>
          </cell>
          <cell r="F782">
            <v>17.062162162162306</v>
          </cell>
          <cell r="G782">
            <v>14.048648648648676</v>
          </cell>
          <cell r="H782">
            <v>14.048648648648676</v>
          </cell>
          <cell r="I782" t="e">
            <v>#N/A</v>
          </cell>
          <cell r="J782" t="e">
            <v>#N/A</v>
          </cell>
          <cell r="K782" t="e">
            <v>#N/A</v>
          </cell>
          <cell r="L782" t="e">
            <v>#N/A</v>
          </cell>
          <cell r="M782" t="e">
            <v>#N/A</v>
          </cell>
          <cell r="N782" t="e">
            <v>#N/A</v>
          </cell>
          <cell r="O782" t="e">
            <v>#N/A</v>
          </cell>
          <cell r="P782">
            <v>14.52</v>
          </cell>
          <cell r="Q782" t="str">
            <v/>
          </cell>
          <cell r="R782" t="e">
            <v>#N/A</v>
          </cell>
        </row>
        <row r="783">
          <cell r="A783">
            <v>41099</v>
          </cell>
          <cell r="B783">
            <v>41099</v>
          </cell>
          <cell r="C783" t="str">
            <v>Future</v>
          </cell>
          <cell r="D783" t="e">
            <v>#N/A</v>
          </cell>
          <cell r="E783">
            <v>1.939189189189142</v>
          </cell>
          <cell r="F783">
            <v>17.074324324324468</v>
          </cell>
          <cell r="G783">
            <v>14.047297297297325</v>
          </cell>
          <cell r="H783">
            <v>14.047297297297325</v>
          </cell>
          <cell r="I783" t="e">
            <v>#N/A</v>
          </cell>
          <cell r="J783" t="e">
            <v>#N/A</v>
          </cell>
          <cell r="K783" t="e">
            <v>#N/A</v>
          </cell>
          <cell r="L783" t="e">
            <v>#N/A</v>
          </cell>
          <cell r="M783" t="e">
            <v>#N/A</v>
          </cell>
          <cell r="N783" t="e">
            <v>#N/A</v>
          </cell>
          <cell r="O783" t="e">
            <v>#N/A</v>
          </cell>
          <cell r="P783">
            <v>14.52</v>
          </cell>
          <cell r="Q783" t="str">
            <v/>
          </cell>
          <cell r="R783" t="e">
            <v>#N/A</v>
          </cell>
        </row>
        <row r="784">
          <cell r="A784">
            <v>41100</v>
          </cell>
          <cell r="B784">
            <v>41100</v>
          </cell>
          <cell r="C784" t="str">
            <v>Future</v>
          </cell>
          <cell r="D784" t="e">
            <v>#N/A</v>
          </cell>
          <cell r="E784">
            <v>1.8837837837837366</v>
          </cell>
          <cell r="F784">
            <v>17.086486486486631</v>
          </cell>
          <cell r="G784">
            <v>14.045945945945974</v>
          </cell>
          <cell r="H784">
            <v>14.045945945945974</v>
          </cell>
          <cell r="I784" t="e">
            <v>#N/A</v>
          </cell>
          <cell r="J784" t="e">
            <v>#N/A</v>
          </cell>
          <cell r="K784" t="e">
            <v>#N/A</v>
          </cell>
          <cell r="L784" t="e">
            <v>#N/A</v>
          </cell>
          <cell r="M784" t="e">
            <v>#N/A</v>
          </cell>
          <cell r="N784" t="e">
            <v>#N/A</v>
          </cell>
          <cell r="O784" t="e">
            <v>#N/A</v>
          </cell>
          <cell r="P784">
            <v>14.52</v>
          </cell>
          <cell r="Q784" t="str">
            <v/>
          </cell>
          <cell r="R784" t="e">
            <v>#N/A</v>
          </cell>
        </row>
        <row r="785">
          <cell r="A785">
            <v>41101</v>
          </cell>
          <cell r="B785">
            <v>41101</v>
          </cell>
          <cell r="C785" t="str">
            <v>Future</v>
          </cell>
          <cell r="D785" t="e">
            <v>#N/A</v>
          </cell>
          <cell r="E785">
            <v>1.8283783783783312</v>
          </cell>
          <cell r="F785">
            <v>17.098648648648794</v>
          </cell>
          <cell r="G785">
            <v>14.044594594594622</v>
          </cell>
          <cell r="H785">
            <v>14.044594594594622</v>
          </cell>
          <cell r="I785" t="e">
            <v>#N/A</v>
          </cell>
          <cell r="J785" t="e">
            <v>#N/A</v>
          </cell>
          <cell r="K785" t="e">
            <v>#N/A</v>
          </cell>
          <cell r="L785" t="e">
            <v>#N/A</v>
          </cell>
          <cell r="M785" t="e">
            <v>#N/A</v>
          </cell>
          <cell r="N785" t="e">
            <v>#N/A</v>
          </cell>
          <cell r="O785" t="e">
            <v>#N/A</v>
          </cell>
          <cell r="P785">
            <v>14.52</v>
          </cell>
          <cell r="Q785" t="str">
            <v/>
          </cell>
          <cell r="R785" t="e">
            <v>#N/A</v>
          </cell>
        </row>
        <row r="786">
          <cell r="A786">
            <v>41102</v>
          </cell>
          <cell r="B786">
            <v>41102</v>
          </cell>
          <cell r="C786" t="str">
            <v>Future</v>
          </cell>
          <cell r="D786" t="e">
            <v>#N/A</v>
          </cell>
          <cell r="E786">
            <v>1.7729729729729258</v>
          </cell>
          <cell r="F786">
            <v>17.110810810810957</v>
          </cell>
          <cell r="G786">
            <v>14.043243243243271</v>
          </cell>
          <cell r="H786">
            <v>14.043243243243271</v>
          </cell>
          <cell r="I786" t="e">
            <v>#N/A</v>
          </cell>
          <cell r="J786" t="e">
            <v>#N/A</v>
          </cell>
          <cell r="K786" t="e">
            <v>#N/A</v>
          </cell>
          <cell r="L786" t="e">
            <v>#N/A</v>
          </cell>
          <cell r="M786" t="e">
            <v>#N/A</v>
          </cell>
          <cell r="N786" t="e">
            <v>#N/A</v>
          </cell>
          <cell r="O786" t="e">
            <v>#N/A</v>
          </cell>
          <cell r="P786">
            <v>14.52</v>
          </cell>
          <cell r="Q786" t="str">
            <v/>
          </cell>
          <cell r="R786" t="e">
            <v>#N/A</v>
          </cell>
        </row>
        <row r="787">
          <cell r="A787">
            <v>41103</v>
          </cell>
          <cell r="B787">
            <v>41103</v>
          </cell>
          <cell r="C787" t="str">
            <v>Future</v>
          </cell>
          <cell r="D787" t="e">
            <v>#N/A</v>
          </cell>
          <cell r="E787">
            <v>1.7175675675675204</v>
          </cell>
          <cell r="F787">
            <v>17.12297297297312</v>
          </cell>
          <cell r="G787">
            <v>14.04189189189192</v>
          </cell>
          <cell r="H787">
            <v>14.04189189189192</v>
          </cell>
          <cell r="I787" t="e">
            <v>#N/A</v>
          </cell>
          <cell r="J787" t="e">
            <v>#N/A</v>
          </cell>
          <cell r="K787" t="e">
            <v>#N/A</v>
          </cell>
          <cell r="L787" t="e">
            <v>#N/A</v>
          </cell>
          <cell r="M787" t="e">
            <v>#N/A</v>
          </cell>
          <cell r="N787" t="e">
            <v>#N/A</v>
          </cell>
          <cell r="O787" t="e">
            <v>#N/A</v>
          </cell>
          <cell r="P787">
            <v>14.52</v>
          </cell>
          <cell r="Q787" t="str">
            <v/>
          </cell>
          <cell r="R787" t="e">
            <v>#N/A</v>
          </cell>
        </row>
        <row r="788">
          <cell r="A788">
            <v>41106</v>
          </cell>
          <cell r="B788">
            <v>41106</v>
          </cell>
          <cell r="C788" t="str">
            <v>Future</v>
          </cell>
          <cell r="D788" t="e">
            <v>#N/A</v>
          </cell>
          <cell r="E788">
            <v>1.662162162162115</v>
          </cell>
          <cell r="F788">
            <v>17.135135135135283</v>
          </cell>
          <cell r="G788">
            <v>14.040540540540569</v>
          </cell>
          <cell r="H788">
            <v>14.040540540540569</v>
          </cell>
          <cell r="I788" t="e">
            <v>#N/A</v>
          </cell>
          <cell r="J788" t="e">
            <v>#N/A</v>
          </cell>
          <cell r="K788" t="e">
            <v>#N/A</v>
          </cell>
          <cell r="L788" t="e">
            <v>#N/A</v>
          </cell>
          <cell r="M788" t="e">
            <v>#N/A</v>
          </cell>
          <cell r="N788" t="e">
            <v>#N/A</v>
          </cell>
          <cell r="O788" t="e">
            <v>#N/A</v>
          </cell>
          <cell r="P788">
            <v>14.52</v>
          </cell>
          <cell r="Q788" t="str">
            <v/>
          </cell>
          <cell r="R788" t="e">
            <v>#N/A</v>
          </cell>
        </row>
        <row r="789">
          <cell r="A789">
            <v>41107</v>
          </cell>
          <cell r="B789">
            <v>41107</v>
          </cell>
          <cell r="C789" t="str">
            <v>Future</v>
          </cell>
          <cell r="D789" t="e">
            <v>#N/A</v>
          </cell>
          <cell r="E789">
            <v>1.6067567567567096</v>
          </cell>
          <cell r="F789">
            <v>17.147297297297445</v>
          </cell>
          <cell r="G789">
            <v>14.039189189189218</v>
          </cell>
          <cell r="H789">
            <v>14.039189189189218</v>
          </cell>
          <cell r="I789" t="e">
            <v>#N/A</v>
          </cell>
          <cell r="J789" t="e">
            <v>#N/A</v>
          </cell>
          <cell r="K789" t="e">
            <v>#N/A</v>
          </cell>
          <cell r="L789" t="e">
            <v>#N/A</v>
          </cell>
          <cell r="M789" t="e">
            <v>#N/A</v>
          </cell>
          <cell r="N789" t="e">
            <v>#N/A</v>
          </cell>
          <cell r="O789" t="e">
            <v>#N/A</v>
          </cell>
          <cell r="P789">
            <v>14.52</v>
          </cell>
          <cell r="Q789" t="str">
            <v/>
          </cell>
          <cell r="R789" t="e">
            <v>#N/A</v>
          </cell>
        </row>
        <row r="790">
          <cell r="A790">
            <v>41108</v>
          </cell>
          <cell r="B790">
            <v>41108</v>
          </cell>
          <cell r="C790" t="str">
            <v>Future</v>
          </cell>
          <cell r="D790" t="e">
            <v>#N/A</v>
          </cell>
          <cell r="E790">
            <v>1.5513513513513042</v>
          </cell>
          <cell r="F790">
            <v>17.159459459459608</v>
          </cell>
          <cell r="G790">
            <v>14.037837837837866</v>
          </cell>
          <cell r="H790">
            <v>14.037837837837866</v>
          </cell>
          <cell r="I790" t="e">
            <v>#N/A</v>
          </cell>
          <cell r="J790" t="e">
            <v>#N/A</v>
          </cell>
          <cell r="K790" t="e">
            <v>#N/A</v>
          </cell>
          <cell r="L790" t="e">
            <v>#N/A</v>
          </cell>
          <cell r="M790" t="e">
            <v>#N/A</v>
          </cell>
          <cell r="N790" t="e">
            <v>#N/A</v>
          </cell>
          <cell r="O790" t="e">
            <v>#N/A</v>
          </cell>
          <cell r="P790">
            <v>14.52</v>
          </cell>
          <cell r="Q790" t="str">
            <v/>
          </cell>
          <cell r="R790" t="e">
            <v>#N/A</v>
          </cell>
        </row>
        <row r="791">
          <cell r="A791">
            <v>41109</v>
          </cell>
          <cell r="B791">
            <v>41109</v>
          </cell>
          <cell r="C791" t="str">
            <v>Future</v>
          </cell>
          <cell r="D791" t="e">
            <v>#N/A</v>
          </cell>
          <cell r="E791">
            <v>1.4959459459458988</v>
          </cell>
          <cell r="F791">
            <v>17.171621621621771</v>
          </cell>
          <cell r="G791">
            <v>14.036486486486515</v>
          </cell>
          <cell r="H791">
            <v>14.036486486486515</v>
          </cell>
          <cell r="I791" t="e">
            <v>#N/A</v>
          </cell>
          <cell r="J791" t="e">
            <v>#N/A</v>
          </cell>
          <cell r="K791" t="e">
            <v>#N/A</v>
          </cell>
          <cell r="L791" t="e">
            <v>#N/A</v>
          </cell>
          <cell r="M791" t="e">
            <v>#N/A</v>
          </cell>
          <cell r="N791" t="e">
            <v>#N/A</v>
          </cell>
          <cell r="O791" t="e">
            <v>#N/A</v>
          </cell>
          <cell r="P791">
            <v>14.52</v>
          </cell>
          <cell r="Q791" t="str">
            <v/>
          </cell>
          <cell r="R791" t="e">
            <v>#N/A</v>
          </cell>
        </row>
        <row r="792">
          <cell r="A792">
            <v>41110</v>
          </cell>
          <cell r="B792">
            <v>41110</v>
          </cell>
          <cell r="C792" t="str">
            <v>Future</v>
          </cell>
          <cell r="D792" t="e">
            <v>#N/A</v>
          </cell>
          <cell r="E792">
            <v>1.4405405405404934</v>
          </cell>
          <cell r="F792">
            <v>17.183783783783934</v>
          </cell>
          <cell r="G792">
            <v>14.035135135135164</v>
          </cell>
          <cell r="H792">
            <v>14.035135135135164</v>
          </cell>
          <cell r="I792" t="e">
            <v>#N/A</v>
          </cell>
          <cell r="J792" t="e">
            <v>#N/A</v>
          </cell>
          <cell r="K792" t="e">
            <v>#N/A</v>
          </cell>
          <cell r="L792" t="e">
            <v>#N/A</v>
          </cell>
          <cell r="M792" t="e">
            <v>#N/A</v>
          </cell>
          <cell r="N792" t="e">
            <v>#N/A</v>
          </cell>
          <cell r="O792" t="e">
            <v>#N/A</v>
          </cell>
          <cell r="P792">
            <v>14.52</v>
          </cell>
          <cell r="Q792" t="str">
            <v/>
          </cell>
          <cell r="R792" t="e">
            <v>#N/A</v>
          </cell>
        </row>
        <row r="793">
          <cell r="A793">
            <v>41113</v>
          </cell>
          <cell r="B793">
            <v>41113</v>
          </cell>
          <cell r="C793" t="str">
            <v>Future</v>
          </cell>
          <cell r="D793" t="e">
            <v>#N/A</v>
          </cell>
          <cell r="E793">
            <v>1.385135135135088</v>
          </cell>
          <cell r="F793">
            <v>17.195945945946097</v>
          </cell>
          <cell r="G793">
            <v>14.033783783783813</v>
          </cell>
          <cell r="H793">
            <v>14.033783783783813</v>
          </cell>
          <cell r="I793" t="e">
            <v>#N/A</v>
          </cell>
          <cell r="J793" t="e">
            <v>#N/A</v>
          </cell>
          <cell r="K793" t="e">
            <v>#N/A</v>
          </cell>
          <cell r="L793" t="e">
            <v>#N/A</v>
          </cell>
          <cell r="M793" t="e">
            <v>#N/A</v>
          </cell>
          <cell r="N793" t="e">
            <v>#N/A</v>
          </cell>
          <cell r="O793" t="e">
            <v>#N/A</v>
          </cell>
          <cell r="P793">
            <v>14.52</v>
          </cell>
          <cell r="Q793" t="str">
            <v/>
          </cell>
          <cell r="R793" t="e">
            <v>#N/A</v>
          </cell>
        </row>
        <row r="794">
          <cell r="A794">
            <v>41114</v>
          </cell>
          <cell r="B794">
            <v>41114</v>
          </cell>
          <cell r="C794" t="str">
            <v>Future</v>
          </cell>
          <cell r="D794" t="e">
            <v>#N/A</v>
          </cell>
          <cell r="E794">
            <v>1.3297297297296826</v>
          </cell>
          <cell r="F794">
            <v>17.208108108108259</v>
          </cell>
          <cell r="G794">
            <v>14.032432432432461</v>
          </cell>
          <cell r="H794">
            <v>14.032432432432461</v>
          </cell>
          <cell r="I794" t="e">
            <v>#N/A</v>
          </cell>
          <cell r="J794" t="e">
            <v>#N/A</v>
          </cell>
          <cell r="K794" t="e">
            <v>#N/A</v>
          </cell>
          <cell r="L794" t="e">
            <v>#N/A</v>
          </cell>
          <cell r="M794" t="e">
            <v>#N/A</v>
          </cell>
          <cell r="N794" t="e">
            <v>#N/A</v>
          </cell>
          <cell r="O794" t="e">
            <v>#N/A</v>
          </cell>
          <cell r="P794">
            <v>14.52</v>
          </cell>
          <cell r="Q794" t="str">
            <v/>
          </cell>
          <cell r="R794" t="e">
            <v>#N/A</v>
          </cell>
        </row>
        <row r="795">
          <cell r="A795">
            <v>41115</v>
          </cell>
          <cell r="B795">
            <v>41115</v>
          </cell>
          <cell r="C795" t="str">
            <v>Future</v>
          </cell>
          <cell r="D795" t="e">
            <v>#N/A</v>
          </cell>
          <cell r="E795">
            <v>1.2743243243242772</v>
          </cell>
          <cell r="F795">
            <v>17.220270270270422</v>
          </cell>
          <cell r="G795">
            <v>14.03108108108111</v>
          </cell>
          <cell r="H795">
            <v>14.03108108108111</v>
          </cell>
          <cell r="I795" t="e">
            <v>#N/A</v>
          </cell>
          <cell r="J795" t="e">
            <v>#N/A</v>
          </cell>
          <cell r="K795" t="e">
            <v>#N/A</v>
          </cell>
          <cell r="L795" t="e">
            <v>#N/A</v>
          </cell>
          <cell r="M795" t="e">
            <v>#N/A</v>
          </cell>
          <cell r="N795" t="e">
            <v>#N/A</v>
          </cell>
          <cell r="O795" t="e">
            <v>#N/A</v>
          </cell>
          <cell r="P795">
            <v>14.52</v>
          </cell>
          <cell r="Q795" t="str">
            <v/>
          </cell>
          <cell r="R795" t="e">
            <v>#N/A</v>
          </cell>
        </row>
        <row r="796">
          <cell r="A796">
            <v>41116</v>
          </cell>
          <cell r="B796">
            <v>41116</v>
          </cell>
          <cell r="C796" t="str">
            <v>Future</v>
          </cell>
          <cell r="D796" t="e">
            <v>#N/A</v>
          </cell>
          <cell r="E796">
            <v>1.2189189189188718</v>
          </cell>
          <cell r="F796">
            <v>17.232432432432585</v>
          </cell>
          <cell r="G796">
            <v>14.029729729729759</v>
          </cell>
          <cell r="H796">
            <v>14.029729729729759</v>
          </cell>
          <cell r="I796" t="e">
            <v>#N/A</v>
          </cell>
          <cell r="J796" t="e">
            <v>#N/A</v>
          </cell>
          <cell r="K796" t="e">
            <v>#N/A</v>
          </cell>
          <cell r="L796" t="e">
            <v>#N/A</v>
          </cell>
          <cell r="M796" t="e">
            <v>#N/A</v>
          </cell>
          <cell r="N796" t="e">
            <v>#N/A</v>
          </cell>
          <cell r="O796" t="e">
            <v>#N/A</v>
          </cell>
          <cell r="P796">
            <v>14.52</v>
          </cell>
          <cell r="Q796" t="str">
            <v/>
          </cell>
          <cell r="R796" t="e">
            <v>#N/A</v>
          </cell>
        </row>
        <row r="797">
          <cell r="A797">
            <v>41117</v>
          </cell>
          <cell r="B797">
            <v>41117</v>
          </cell>
          <cell r="C797" t="str">
            <v>Future</v>
          </cell>
          <cell r="D797" t="e">
            <v>#N/A</v>
          </cell>
          <cell r="E797">
            <v>1.1635135135134664</v>
          </cell>
          <cell r="F797">
            <v>17.244594594594748</v>
          </cell>
          <cell r="G797">
            <v>14.028378378378408</v>
          </cell>
          <cell r="H797">
            <v>14.028378378378408</v>
          </cell>
          <cell r="I797" t="e">
            <v>#N/A</v>
          </cell>
          <cell r="J797" t="e">
            <v>#N/A</v>
          </cell>
          <cell r="K797" t="e">
            <v>#N/A</v>
          </cell>
          <cell r="L797" t="e">
            <v>#N/A</v>
          </cell>
          <cell r="M797" t="e">
            <v>#N/A</v>
          </cell>
          <cell r="N797" t="e">
            <v>#N/A</v>
          </cell>
          <cell r="O797" t="e">
            <v>#N/A</v>
          </cell>
          <cell r="P797">
            <v>14.52</v>
          </cell>
          <cell r="Q797" t="str">
            <v/>
          </cell>
          <cell r="R797" t="e">
            <v>#N/A</v>
          </cell>
        </row>
        <row r="798">
          <cell r="A798">
            <v>41120</v>
          </cell>
          <cell r="B798">
            <v>41120</v>
          </cell>
          <cell r="C798" t="str">
            <v>Future</v>
          </cell>
          <cell r="D798" t="e">
            <v>#N/A</v>
          </cell>
          <cell r="E798">
            <v>1.108108108108061</v>
          </cell>
          <cell r="F798">
            <v>17.256756756756911</v>
          </cell>
          <cell r="G798">
            <v>14.027027027027057</v>
          </cell>
          <cell r="H798">
            <v>14.027027027027057</v>
          </cell>
          <cell r="I798" t="e">
            <v>#N/A</v>
          </cell>
          <cell r="J798" t="e">
            <v>#N/A</v>
          </cell>
          <cell r="K798" t="e">
            <v>#N/A</v>
          </cell>
          <cell r="L798" t="e">
            <v>#N/A</v>
          </cell>
          <cell r="M798" t="e">
            <v>#N/A</v>
          </cell>
          <cell r="N798" t="e">
            <v>#N/A</v>
          </cell>
          <cell r="O798" t="e">
            <v>#N/A</v>
          </cell>
          <cell r="P798">
            <v>14.52</v>
          </cell>
          <cell r="Q798" t="str">
            <v/>
          </cell>
          <cell r="R798" t="e">
            <v>#N/A</v>
          </cell>
        </row>
        <row r="799">
          <cell r="A799">
            <v>41121</v>
          </cell>
          <cell r="B799">
            <v>41121</v>
          </cell>
          <cell r="C799" t="str">
            <v>Future</v>
          </cell>
          <cell r="D799" t="e">
            <v>#N/A</v>
          </cell>
          <cell r="E799">
            <v>1.0527027027026556</v>
          </cell>
          <cell r="F799">
            <v>17.268918918919073</v>
          </cell>
          <cell r="G799">
            <v>14.025675675675705</v>
          </cell>
          <cell r="H799">
            <v>14.025675675675705</v>
          </cell>
          <cell r="I799" t="e">
            <v>#N/A</v>
          </cell>
          <cell r="J799" t="e">
            <v>#N/A</v>
          </cell>
          <cell r="K799" t="e">
            <v>#N/A</v>
          </cell>
          <cell r="L799" t="e">
            <v>#N/A</v>
          </cell>
          <cell r="M799" t="e">
            <v>#N/A</v>
          </cell>
          <cell r="N799" t="e">
            <v>#N/A</v>
          </cell>
          <cell r="O799" t="e">
            <v>#N/A</v>
          </cell>
          <cell r="P799">
            <v>14.52</v>
          </cell>
          <cell r="Q799" t="str">
            <v/>
          </cell>
          <cell r="R799" t="e">
            <v>#N/A</v>
          </cell>
        </row>
        <row r="800">
          <cell r="A800">
            <v>41122</v>
          </cell>
          <cell r="B800">
            <v>41122</v>
          </cell>
          <cell r="C800" t="str">
            <v>Future</v>
          </cell>
          <cell r="D800" t="e">
            <v>#N/A</v>
          </cell>
          <cell r="E800">
            <v>0.99729729729725025</v>
          </cell>
          <cell r="F800">
            <v>17.281081081081236</v>
          </cell>
          <cell r="G800">
            <v>14.024324324324354</v>
          </cell>
          <cell r="H800">
            <v>14.024324324324354</v>
          </cell>
          <cell r="I800" t="e">
            <v>#N/A</v>
          </cell>
          <cell r="J800" t="e">
            <v>#N/A</v>
          </cell>
          <cell r="K800" t="e">
            <v>#N/A</v>
          </cell>
          <cell r="L800" t="e">
            <v>#N/A</v>
          </cell>
          <cell r="M800" t="e">
            <v>#N/A</v>
          </cell>
          <cell r="N800" t="e">
            <v>#N/A</v>
          </cell>
          <cell r="O800" t="e">
            <v>#N/A</v>
          </cell>
          <cell r="P800">
            <v>14.52</v>
          </cell>
          <cell r="Q800" t="str">
            <v/>
          </cell>
          <cell r="R800" t="e">
            <v>#N/A</v>
          </cell>
        </row>
        <row r="801">
          <cell r="A801">
            <v>41123</v>
          </cell>
          <cell r="B801">
            <v>41123</v>
          </cell>
          <cell r="C801" t="str">
            <v>Future</v>
          </cell>
          <cell r="D801" t="e">
            <v>#N/A</v>
          </cell>
          <cell r="E801">
            <v>0.94189189189184486</v>
          </cell>
          <cell r="F801">
            <v>17.293243243243399</v>
          </cell>
          <cell r="G801">
            <v>14.022972972973003</v>
          </cell>
          <cell r="H801">
            <v>14.022972972973003</v>
          </cell>
          <cell r="I801" t="e">
            <v>#N/A</v>
          </cell>
          <cell r="J801" t="e">
            <v>#N/A</v>
          </cell>
          <cell r="K801" t="e">
            <v>#N/A</v>
          </cell>
          <cell r="L801" t="e">
            <v>#N/A</v>
          </cell>
          <cell r="M801" t="e">
            <v>#N/A</v>
          </cell>
          <cell r="N801" t="e">
            <v>#N/A</v>
          </cell>
          <cell r="O801" t="e">
            <v>#N/A</v>
          </cell>
          <cell r="P801">
            <v>14.52</v>
          </cell>
          <cell r="Q801" t="str">
            <v/>
          </cell>
          <cell r="R801" t="e">
            <v>#N/A</v>
          </cell>
        </row>
        <row r="802">
          <cell r="A802">
            <v>41124</v>
          </cell>
          <cell r="B802">
            <v>41124</v>
          </cell>
          <cell r="C802" t="str">
            <v>Future</v>
          </cell>
          <cell r="D802" t="e">
            <v>#N/A</v>
          </cell>
          <cell r="E802">
            <v>0.88648648648643946</v>
          </cell>
          <cell r="F802">
            <v>17.305405405405562</v>
          </cell>
          <cell r="G802">
            <v>14.021621621621652</v>
          </cell>
          <cell r="H802">
            <v>14.021621621621652</v>
          </cell>
          <cell r="I802" t="e">
            <v>#N/A</v>
          </cell>
          <cell r="J802" t="e">
            <v>#N/A</v>
          </cell>
          <cell r="K802" t="e">
            <v>#N/A</v>
          </cell>
          <cell r="L802" t="e">
            <v>#N/A</v>
          </cell>
          <cell r="M802" t="e">
            <v>#N/A</v>
          </cell>
          <cell r="N802" t="e">
            <v>#N/A</v>
          </cell>
          <cell r="O802" t="e">
            <v>#N/A</v>
          </cell>
          <cell r="P802">
            <v>14.52</v>
          </cell>
          <cell r="Q802" t="str">
            <v/>
          </cell>
          <cell r="R802" t="e">
            <v>#N/A</v>
          </cell>
        </row>
        <row r="803">
          <cell r="A803">
            <v>41127</v>
          </cell>
          <cell r="B803">
            <v>41127</v>
          </cell>
          <cell r="C803" t="str">
            <v>Future</v>
          </cell>
          <cell r="D803" t="e">
            <v>#N/A</v>
          </cell>
          <cell r="E803">
            <v>0.83108108108103407</v>
          </cell>
          <cell r="F803">
            <v>17.317567567567725</v>
          </cell>
          <cell r="G803">
            <v>14.0202702702703</v>
          </cell>
          <cell r="H803">
            <v>14.0202702702703</v>
          </cell>
          <cell r="I803" t="e">
            <v>#N/A</v>
          </cell>
          <cell r="J803" t="e">
            <v>#N/A</v>
          </cell>
          <cell r="K803" t="e">
            <v>#N/A</v>
          </cell>
          <cell r="L803" t="e">
            <v>#N/A</v>
          </cell>
          <cell r="M803" t="e">
            <v>#N/A</v>
          </cell>
          <cell r="N803" t="e">
            <v>#N/A</v>
          </cell>
          <cell r="O803" t="e">
            <v>#N/A</v>
          </cell>
          <cell r="P803">
            <v>14.52</v>
          </cell>
          <cell r="Q803" t="str">
            <v/>
          </cell>
          <cell r="R803" t="e">
            <v>#N/A</v>
          </cell>
        </row>
        <row r="804">
          <cell r="A804">
            <v>41128</v>
          </cell>
          <cell r="B804">
            <v>41128</v>
          </cell>
          <cell r="C804" t="str">
            <v>Future</v>
          </cell>
          <cell r="D804" t="e">
            <v>#N/A</v>
          </cell>
          <cell r="E804">
            <v>0.77567567567562867</v>
          </cell>
          <cell r="F804">
            <v>17.329729729729888</v>
          </cell>
          <cell r="G804">
            <v>14.018918918918949</v>
          </cell>
          <cell r="H804">
            <v>14.018918918918949</v>
          </cell>
          <cell r="I804" t="e">
            <v>#N/A</v>
          </cell>
          <cell r="J804" t="e">
            <v>#N/A</v>
          </cell>
          <cell r="K804" t="e">
            <v>#N/A</v>
          </cell>
          <cell r="L804" t="e">
            <v>#N/A</v>
          </cell>
          <cell r="M804" t="e">
            <v>#N/A</v>
          </cell>
          <cell r="N804" t="e">
            <v>#N/A</v>
          </cell>
          <cell r="O804" t="e">
            <v>#N/A</v>
          </cell>
          <cell r="P804">
            <v>14.52</v>
          </cell>
          <cell r="Q804" t="str">
            <v/>
          </cell>
          <cell r="R804" t="e">
            <v>#N/A</v>
          </cell>
        </row>
        <row r="805">
          <cell r="A805">
            <v>41129</v>
          </cell>
          <cell r="B805">
            <v>41129</v>
          </cell>
          <cell r="C805" t="str">
            <v>Future</v>
          </cell>
          <cell r="D805" t="e">
            <v>#N/A</v>
          </cell>
          <cell r="E805">
            <v>0.72027027027022328</v>
          </cell>
          <cell r="F805">
            <v>17.34189189189205</v>
          </cell>
          <cell r="G805">
            <v>14.017567567567598</v>
          </cell>
          <cell r="H805">
            <v>14.017567567567598</v>
          </cell>
          <cell r="I805" t="e">
            <v>#N/A</v>
          </cell>
          <cell r="J805" t="e">
            <v>#N/A</v>
          </cell>
          <cell r="K805" t="e">
            <v>#N/A</v>
          </cell>
          <cell r="L805" t="e">
            <v>#N/A</v>
          </cell>
          <cell r="M805" t="e">
            <v>#N/A</v>
          </cell>
          <cell r="N805" t="e">
            <v>#N/A</v>
          </cell>
          <cell r="O805" t="e">
            <v>#N/A</v>
          </cell>
          <cell r="P805">
            <v>14.52</v>
          </cell>
          <cell r="Q805" t="str">
            <v/>
          </cell>
          <cell r="R805" t="e">
            <v>#N/A</v>
          </cell>
        </row>
        <row r="806">
          <cell r="A806">
            <v>41130</v>
          </cell>
          <cell r="B806">
            <v>41130</v>
          </cell>
          <cell r="C806" t="str">
            <v>Future</v>
          </cell>
          <cell r="D806" t="e">
            <v>#N/A</v>
          </cell>
          <cell r="E806">
            <v>0.66486486486481788</v>
          </cell>
          <cell r="F806">
            <v>17.354054054054213</v>
          </cell>
          <cell r="G806">
            <v>14.016216216216247</v>
          </cell>
          <cell r="H806">
            <v>14.016216216216247</v>
          </cell>
          <cell r="I806" t="e">
            <v>#N/A</v>
          </cell>
          <cell r="J806" t="e">
            <v>#N/A</v>
          </cell>
          <cell r="K806" t="e">
            <v>#N/A</v>
          </cell>
          <cell r="L806" t="e">
            <v>#N/A</v>
          </cell>
          <cell r="M806" t="e">
            <v>#N/A</v>
          </cell>
          <cell r="N806" t="e">
            <v>#N/A</v>
          </cell>
          <cell r="O806" t="e">
            <v>#N/A</v>
          </cell>
          <cell r="P806">
            <v>14.52</v>
          </cell>
          <cell r="Q806" t="str">
            <v/>
          </cell>
          <cell r="R806" t="e">
            <v>#N/A</v>
          </cell>
        </row>
        <row r="807">
          <cell r="A807">
            <v>41131</v>
          </cell>
          <cell r="B807">
            <v>41131</v>
          </cell>
          <cell r="C807" t="str">
            <v>Future</v>
          </cell>
          <cell r="D807" t="e">
            <v>#N/A</v>
          </cell>
          <cell r="E807">
            <v>0.60945945945941249</v>
          </cell>
          <cell r="F807">
            <v>17.366216216216376</v>
          </cell>
          <cell r="G807">
            <v>14.014864864864895</v>
          </cell>
          <cell r="H807">
            <v>14.014864864864895</v>
          </cell>
          <cell r="I807" t="e">
            <v>#N/A</v>
          </cell>
          <cell r="J807" t="e">
            <v>#N/A</v>
          </cell>
          <cell r="K807" t="e">
            <v>#N/A</v>
          </cell>
          <cell r="L807" t="e">
            <v>#N/A</v>
          </cell>
          <cell r="M807" t="e">
            <v>#N/A</v>
          </cell>
          <cell r="N807" t="e">
            <v>#N/A</v>
          </cell>
          <cell r="O807" t="e">
            <v>#N/A</v>
          </cell>
          <cell r="P807">
            <v>14.52</v>
          </cell>
          <cell r="Q807" t="str">
            <v/>
          </cell>
          <cell r="R807" t="e">
            <v>#N/A</v>
          </cell>
        </row>
        <row r="808">
          <cell r="A808">
            <v>41134</v>
          </cell>
          <cell r="B808">
            <v>41134</v>
          </cell>
          <cell r="C808" t="str">
            <v>Future</v>
          </cell>
          <cell r="D808" t="e">
            <v>#N/A</v>
          </cell>
          <cell r="E808">
            <v>0.55405405405400709</v>
          </cell>
          <cell r="F808">
            <v>17.378378378378539</v>
          </cell>
          <cell r="G808">
            <v>14.013513513513544</v>
          </cell>
          <cell r="H808">
            <v>14.013513513513544</v>
          </cell>
          <cell r="I808" t="e">
            <v>#N/A</v>
          </cell>
          <cell r="J808" t="e">
            <v>#N/A</v>
          </cell>
          <cell r="K808" t="e">
            <v>#N/A</v>
          </cell>
          <cell r="L808" t="e">
            <v>#N/A</v>
          </cell>
          <cell r="M808" t="e">
            <v>#N/A</v>
          </cell>
          <cell r="N808" t="e">
            <v>#N/A</v>
          </cell>
          <cell r="O808" t="e">
            <v>#N/A</v>
          </cell>
          <cell r="P808">
            <v>14.52</v>
          </cell>
          <cell r="Q808" t="str">
            <v/>
          </cell>
          <cell r="R808" t="e">
            <v>#N/A</v>
          </cell>
        </row>
        <row r="809">
          <cell r="A809">
            <v>41135</v>
          </cell>
          <cell r="B809">
            <v>41135</v>
          </cell>
          <cell r="C809" t="str">
            <v>Future</v>
          </cell>
          <cell r="D809" t="e">
            <v>#N/A</v>
          </cell>
          <cell r="E809">
            <v>0.4986486486486017</v>
          </cell>
          <cell r="F809">
            <v>17.390540540540702</v>
          </cell>
          <cell r="G809">
            <v>14.012162162162193</v>
          </cell>
          <cell r="H809">
            <v>14.012162162162193</v>
          </cell>
          <cell r="I809" t="e">
            <v>#N/A</v>
          </cell>
          <cell r="J809" t="e">
            <v>#N/A</v>
          </cell>
          <cell r="K809" t="e">
            <v>#N/A</v>
          </cell>
          <cell r="L809" t="e">
            <v>#N/A</v>
          </cell>
          <cell r="M809" t="e">
            <v>#N/A</v>
          </cell>
          <cell r="N809" t="e">
            <v>#N/A</v>
          </cell>
          <cell r="O809" t="e">
            <v>#N/A</v>
          </cell>
          <cell r="P809">
            <v>14.52</v>
          </cell>
          <cell r="Q809" t="str">
            <v/>
          </cell>
          <cell r="R809" t="e">
            <v>#N/A</v>
          </cell>
        </row>
        <row r="810">
          <cell r="A810">
            <v>41136</v>
          </cell>
          <cell r="B810">
            <v>41136</v>
          </cell>
          <cell r="C810" t="str">
            <v>Future</v>
          </cell>
          <cell r="D810" t="e">
            <v>#N/A</v>
          </cell>
          <cell r="E810">
            <v>0.44324324324319631</v>
          </cell>
          <cell r="F810">
            <v>17.402702702702864</v>
          </cell>
          <cell r="G810">
            <v>14.010810810810842</v>
          </cell>
          <cell r="H810">
            <v>14.010810810810842</v>
          </cell>
          <cell r="I810" t="e">
            <v>#N/A</v>
          </cell>
          <cell r="J810" t="e">
            <v>#N/A</v>
          </cell>
          <cell r="K810" t="e">
            <v>#N/A</v>
          </cell>
          <cell r="L810" t="e">
            <v>#N/A</v>
          </cell>
          <cell r="M810" t="e">
            <v>#N/A</v>
          </cell>
          <cell r="N810" t="e">
            <v>#N/A</v>
          </cell>
          <cell r="O810" t="e">
            <v>#N/A</v>
          </cell>
          <cell r="P810">
            <v>14.52</v>
          </cell>
          <cell r="Q810" t="str">
            <v/>
          </cell>
          <cell r="R810" t="e">
            <v>#N/A</v>
          </cell>
        </row>
        <row r="811">
          <cell r="A811">
            <v>41137</v>
          </cell>
          <cell r="B811">
            <v>41137</v>
          </cell>
          <cell r="C811" t="str">
            <v>Future</v>
          </cell>
          <cell r="D811" t="e">
            <v>#N/A</v>
          </cell>
          <cell r="E811">
            <v>0.38783783783779091</v>
          </cell>
          <cell r="F811">
            <v>17.414864864865027</v>
          </cell>
          <cell r="G811">
            <v>14.009459459459491</v>
          </cell>
          <cell r="H811">
            <v>14.009459459459491</v>
          </cell>
          <cell r="I811" t="e">
            <v>#N/A</v>
          </cell>
          <cell r="J811" t="e">
            <v>#N/A</v>
          </cell>
          <cell r="K811" t="e">
            <v>#N/A</v>
          </cell>
          <cell r="L811" t="e">
            <v>#N/A</v>
          </cell>
          <cell r="M811" t="e">
            <v>#N/A</v>
          </cell>
          <cell r="N811" t="e">
            <v>#N/A</v>
          </cell>
          <cell r="O811" t="e">
            <v>#N/A</v>
          </cell>
          <cell r="P811">
            <v>14.52</v>
          </cell>
          <cell r="Q811" t="str">
            <v/>
          </cell>
          <cell r="R811" t="e">
            <v>#N/A</v>
          </cell>
        </row>
        <row r="812">
          <cell r="A812">
            <v>41138</v>
          </cell>
          <cell r="B812">
            <v>41138</v>
          </cell>
          <cell r="C812" t="str">
            <v>Future</v>
          </cell>
          <cell r="D812" t="e">
            <v>#N/A</v>
          </cell>
          <cell r="E812">
            <v>0.33243243243238552</v>
          </cell>
          <cell r="F812">
            <v>17.42702702702719</v>
          </cell>
          <cell r="G812">
            <v>14.008108108108139</v>
          </cell>
          <cell r="H812">
            <v>14.008108108108139</v>
          </cell>
          <cell r="I812" t="e">
            <v>#N/A</v>
          </cell>
          <cell r="J812" t="e">
            <v>#N/A</v>
          </cell>
          <cell r="K812" t="e">
            <v>#N/A</v>
          </cell>
          <cell r="L812" t="e">
            <v>#N/A</v>
          </cell>
          <cell r="M812" t="e">
            <v>#N/A</v>
          </cell>
          <cell r="N812" t="e">
            <v>#N/A</v>
          </cell>
          <cell r="O812" t="e">
            <v>#N/A</v>
          </cell>
          <cell r="P812">
            <v>14.52</v>
          </cell>
          <cell r="Q812" t="str">
            <v/>
          </cell>
          <cell r="R812" t="e">
            <v>#N/A</v>
          </cell>
        </row>
        <row r="813">
          <cell r="A813">
            <v>41141</v>
          </cell>
          <cell r="B813">
            <v>41141</v>
          </cell>
          <cell r="C813" t="str">
            <v>Future</v>
          </cell>
          <cell r="D813" t="e">
            <v>#N/A</v>
          </cell>
          <cell r="E813">
            <v>0.27702702702698012</v>
          </cell>
          <cell r="F813">
            <v>17.439189189189353</v>
          </cell>
          <cell r="G813">
            <v>14.006756756756788</v>
          </cell>
          <cell r="H813">
            <v>14.006756756756788</v>
          </cell>
          <cell r="I813" t="e">
            <v>#N/A</v>
          </cell>
          <cell r="J813" t="e">
            <v>#N/A</v>
          </cell>
          <cell r="K813" t="e">
            <v>#N/A</v>
          </cell>
          <cell r="L813" t="e">
            <v>#N/A</v>
          </cell>
          <cell r="M813" t="e">
            <v>#N/A</v>
          </cell>
          <cell r="N813" t="e">
            <v>#N/A</v>
          </cell>
          <cell r="O813" t="e">
            <v>#N/A</v>
          </cell>
          <cell r="P813">
            <v>14.52</v>
          </cell>
          <cell r="Q813" t="str">
            <v/>
          </cell>
          <cell r="R813" t="e">
            <v>#N/A</v>
          </cell>
        </row>
        <row r="814">
          <cell r="A814">
            <v>41142</v>
          </cell>
          <cell r="B814">
            <v>41142</v>
          </cell>
          <cell r="C814" t="str">
            <v>Future</v>
          </cell>
          <cell r="D814" t="e">
            <v>#N/A</v>
          </cell>
          <cell r="E814">
            <v>0.22162162162157473</v>
          </cell>
          <cell r="F814">
            <v>17.451351351351516</v>
          </cell>
          <cell r="G814">
            <v>14.005405405405437</v>
          </cell>
          <cell r="H814">
            <v>14.005405405405437</v>
          </cell>
          <cell r="I814" t="e">
            <v>#N/A</v>
          </cell>
          <cell r="J814" t="e">
            <v>#N/A</v>
          </cell>
          <cell r="K814" t="e">
            <v>#N/A</v>
          </cell>
          <cell r="L814" t="e">
            <v>#N/A</v>
          </cell>
          <cell r="M814" t="e">
            <v>#N/A</v>
          </cell>
          <cell r="N814" t="e">
            <v>#N/A</v>
          </cell>
          <cell r="O814" t="e">
            <v>#N/A</v>
          </cell>
          <cell r="P814">
            <v>14.52</v>
          </cell>
          <cell r="Q814" t="str">
            <v/>
          </cell>
          <cell r="R814" t="e">
            <v>#N/A</v>
          </cell>
        </row>
        <row r="815">
          <cell r="A815">
            <v>41143</v>
          </cell>
          <cell r="B815">
            <v>41143</v>
          </cell>
          <cell r="C815" t="str">
            <v>Future</v>
          </cell>
          <cell r="D815" t="e">
            <v>#N/A</v>
          </cell>
          <cell r="E815">
            <v>0.16621621621616933</v>
          </cell>
          <cell r="F815">
            <v>17.463513513513679</v>
          </cell>
          <cell r="G815">
            <v>14.004054054054086</v>
          </cell>
          <cell r="H815">
            <v>14.004054054054086</v>
          </cell>
          <cell r="I815" t="e">
            <v>#N/A</v>
          </cell>
          <cell r="J815" t="e">
            <v>#N/A</v>
          </cell>
          <cell r="K815" t="e">
            <v>#N/A</v>
          </cell>
          <cell r="L815" t="e">
            <v>#N/A</v>
          </cell>
          <cell r="M815" t="e">
            <v>#N/A</v>
          </cell>
          <cell r="N815" t="e">
            <v>#N/A</v>
          </cell>
          <cell r="O815" t="e">
            <v>#N/A</v>
          </cell>
          <cell r="P815">
            <v>14.52</v>
          </cell>
          <cell r="Q815" t="str">
            <v/>
          </cell>
          <cell r="R815" t="e">
            <v>#N/A</v>
          </cell>
        </row>
        <row r="816">
          <cell r="A816">
            <v>41144</v>
          </cell>
          <cell r="B816">
            <v>41144</v>
          </cell>
          <cell r="C816" t="str">
            <v>Future</v>
          </cell>
          <cell r="D816" t="e">
            <v>#N/A</v>
          </cell>
          <cell r="E816">
            <v>0.11081081081076394</v>
          </cell>
          <cell r="F816">
            <v>17.475675675675841</v>
          </cell>
          <cell r="G816">
            <v>14.002702702702734</v>
          </cell>
          <cell r="H816">
            <v>14.002702702702734</v>
          </cell>
          <cell r="I816" t="e">
            <v>#N/A</v>
          </cell>
          <cell r="J816" t="e">
            <v>#N/A</v>
          </cell>
          <cell r="K816" t="e">
            <v>#N/A</v>
          </cell>
          <cell r="L816" t="e">
            <v>#N/A</v>
          </cell>
          <cell r="M816" t="e">
            <v>#N/A</v>
          </cell>
          <cell r="N816" t="e">
            <v>#N/A</v>
          </cell>
          <cell r="O816" t="e">
            <v>#N/A</v>
          </cell>
          <cell r="P816">
            <v>14.52</v>
          </cell>
          <cell r="Q816" t="str">
            <v/>
          </cell>
          <cell r="R816" t="e">
            <v>#N/A</v>
          </cell>
        </row>
        <row r="817">
          <cell r="A817">
            <v>41145</v>
          </cell>
          <cell r="B817">
            <v>41145</v>
          </cell>
          <cell r="C817" t="str">
            <v>Future</v>
          </cell>
          <cell r="D817" t="e">
            <v>#N/A</v>
          </cell>
          <cell r="E817">
            <v>5.5405405405358536E-2</v>
          </cell>
          <cell r="F817">
            <v>17.487837837838004</v>
          </cell>
          <cell r="G817">
            <v>14.001351351351383</v>
          </cell>
          <cell r="H817">
            <v>14.001351351351383</v>
          </cell>
          <cell r="I817" t="e">
            <v>#N/A</v>
          </cell>
          <cell r="J817" t="e">
            <v>#N/A</v>
          </cell>
          <cell r="K817">
            <v>17.5</v>
          </cell>
          <cell r="L817">
            <v>14</v>
          </cell>
          <cell r="M817" t="e">
            <v>#N/A</v>
          </cell>
          <cell r="N817">
            <v>16.5</v>
          </cell>
          <cell r="O817" t="e">
            <v>#N/A</v>
          </cell>
          <cell r="P817">
            <v>14.52</v>
          </cell>
          <cell r="Q817" t="str">
            <v/>
          </cell>
          <cell r="R817">
            <v>16.5</v>
          </cell>
        </row>
        <row r="818">
          <cell r="A818" t="str">
            <v/>
          </cell>
          <cell r="B818" t="str">
            <v/>
          </cell>
          <cell r="C818" t="str">
            <v>Future</v>
          </cell>
          <cell r="D818" t="e">
            <v>#N/A</v>
          </cell>
          <cell r="E818">
            <v>-4.686528942698942E-14</v>
          </cell>
          <cell r="F818">
            <v>17.500000000000167</v>
          </cell>
          <cell r="G818">
            <v>14.000000000000032</v>
          </cell>
          <cell r="H818">
            <v>14.000000000000032</v>
          </cell>
          <cell r="I818" t="e">
            <v>#N/A</v>
          </cell>
          <cell r="J818" t="e">
            <v>#N/A</v>
          </cell>
          <cell r="K818">
            <v>17.5</v>
          </cell>
          <cell r="L818">
            <v>14</v>
          </cell>
          <cell r="M818" t="e">
            <v>#N/A</v>
          </cell>
          <cell r="N818">
            <v>16.5</v>
          </cell>
          <cell r="O818" t="e">
            <v>#N/A</v>
          </cell>
          <cell r="P818" t="str">
            <v/>
          </cell>
          <cell r="Q818" t="str">
            <v/>
          </cell>
          <cell r="R818">
            <v>16.5</v>
          </cell>
        </row>
        <row r="819">
          <cell r="A819" t="str">
            <v/>
          </cell>
          <cell r="B819" t="str">
            <v/>
          </cell>
          <cell r="C819" t="str">
            <v>Future</v>
          </cell>
          <cell r="D819" t="e">
            <v>#N/A</v>
          </cell>
          <cell r="E819">
            <v>-5.5405405405452267E-2</v>
          </cell>
          <cell r="F819">
            <v>17.51216216216233</v>
          </cell>
          <cell r="G819">
            <v>13.998648648648681</v>
          </cell>
          <cell r="H819">
            <v>13.998648648648681</v>
          </cell>
          <cell r="I819" t="e">
            <v>#N/A</v>
          </cell>
          <cell r="J819" t="e">
            <v>#N/A</v>
          </cell>
          <cell r="K819">
            <v>17.5</v>
          </cell>
          <cell r="L819">
            <v>14</v>
          </cell>
          <cell r="M819" t="e">
            <v>#N/A</v>
          </cell>
          <cell r="N819">
            <v>16.5</v>
          </cell>
          <cell r="O819" t="e">
            <v>#N/A</v>
          </cell>
          <cell r="P819" t="str">
            <v/>
          </cell>
          <cell r="Q819" t="str">
            <v/>
          </cell>
          <cell r="R819">
            <v>16.5</v>
          </cell>
        </row>
        <row r="820">
          <cell r="A820" t="str">
            <v/>
          </cell>
          <cell r="B820" t="str">
            <v/>
          </cell>
          <cell r="C820" t="str">
            <v>Future</v>
          </cell>
          <cell r="D820" t="e">
            <v>#N/A</v>
          </cell>
          <cell r="E820">
            <v>-0.11081081081085767</v>
          </cell>
          <cell r="F820">
            <v>17.524324324324493</v>
          </cell>
          <cell r="G820">
            <v>13.99729729729733</v>
          </cell>
          <cell r="H820">
            <v>13.99729729729733</v>
          </cell>
          <cell r="I820" t="e">
            <v>#N/A</v>
          </cell>
          <cell r="J820" t="e">
            <v>#N/A</v>
          </cell>
          <cell r="K820">
            <v>17.5</v>
          </cell>
          <cell r="L820">
            <v>14</v>
          </cell>
          <cell r="M820" t="e">
            <v>#N/A</v>
          </cell>
          <cell r="N820">
            <v>16.5</v>
          </cell>
          <cell r="O820" t="e">
            <v>#N/A</v>
          </cell>
          <cell r="P820" t="str">
            <v/>
          </cell>
          <cell r="Q820" t="str">
            <v/>
          </cell>
          <cell r="R820">
            <v>16.5</v>
          </cell>
        </row>
        <row r="821">
          <cell r="A821" t="str">
            <v/>
          </cell>
          <cell r="B821" t="str">
            <v/>
          </cell>
          <cell r="C821" t="str">
            <v>Future</v>
          </cell>
          <cell r="D821" t="e">
            <v>#N/A</v>
          </cell>
          <cell r="E821">
            <v>-0.16621621621626306</v>
          </cell>
          <cell r="F821">
            <v>17.536486486486655</v>
          </cell>
          <cell r="G821">
            <v>13.995945945945978</v>
          </cell>
          <cell r="H821">
            <v>13.995945945945978</v>
          </cell>
          <cell r="I821" t="e">
            <v>#N/A</v>
          </cell>
          <cell r="J821" t="e">
            <v>#N/A</v>
          </cell>
          <cell r="K821">
            <v>17.5</v>
          </cell>
          <cell r="L821">
            <v>14</v>
          </cell>
          <cell r="M821" t="e">
            <v>#N/A</v>
          </cell>
          <cell r="N821">
            <v>16.5</v>
          </cell>
          <cell r="O821" t="e">
            <v>#N/A</v>
          </cell>
          <cell r="P821" t="str">
            <v/>
          </cell>
          <cell r="Q821" t="str">
            <v/>
          </cell>
          <cell r="R821">
            <v>16.5</v>
          </cell>
        </row>
        <row r="822">
          <cell r="A822" t="str">
            <v/>
          </cell>
          <cell r="B822" t="str">
            <v/>
          </cell>
          <cell r="C822" t="str">
            <v>Future</v>
          </cell>
          <cell r="D822" t="e">
            <v>#N/A</v>
          </cell>
          <cell r="E822">
            <v>-0.22162162162166846</v>
          </cell>
          <cell r="F822">
            <v>17.548648648648818</v>
          </cell>
          <cell r="G822">
            <v>13.994594594594627</v>
          </cell>
          <cell r="H822">
            <v>13.994594594594627</v>
          </cell>
          <cell r="I822" t="e">
            <v>#N/A</v>
          </cell>
          <cell r="J822" t="e">
            <v>#N/A</v>
          </cell>
          <cell r="K822">
            <v>17.5</v>
          </cell>
          <cell r="L822">
            <v>14</v>
          </cell>
          <cell r="M822" t="e">
            <v>#N/A</v>
          </cell>
          <cell r="N822">
            <v>16.5</v>
          </cell>
          <cell r="O822" t="e">
            <v>#N/A</v>
          </cell>
          <cell r="P822" t="str">
            <v/>
          </cell>
          <cell r="Q822" t="str">
            <v/>
          </cell>
          <cell r="R822">
            <v>16.5</v>
          </cell>
        </row>
        <row r="823">
          <cell r="A823" t="str">
            <v/>
          </cell>
          <cell r="B823" t="str">
            <v/>
          </cell>
          <cell r="C823" t="str">
            <v>Future</v>
          </cell>
          <cell r="D823" t="e">
            <v>#N/A</v>
          </cell>
          <cell r="E823">
            <v>-0.27702702702707388</v>
          </cell>
          <cell r="F823">
            <v>17.560810810810981</v>
          </cell>
          <cell r="G823">
            <v>13.993243243243276</v>
          </cell>
          <cell r="H823">
            <v>13.993243243243276</v>
          </cell>
          <cell r="I823" t="e">
            <v>#N/A</v>
          </cell>
          <cell r="J823" t="e">
            <v>#N/A</v>
          </cell>
          <cell r="K823">
            <v>17.5</v>
          </cell>
          <cell r="L823">
            <v>14</v>
          </cell>
          <cell r="M823" t="e">
            <v>#N/A</v>
          </cell>
          <cell r="N823">
            <v>16.5</v>
          </cell>
          <cell r="O823" t="e">
            <v>#N/A</v>
          </cell>
          <cell r="P823" t="str">
            <v/>
          </cell>
          <cell r="Q823" t="str">
            <v/>
          </cell>
          <cell r="R823">
            <v>16.5</v>
          </cell>
        </row>
        <row r="824">
          <cell r="A824" t="str">
            <v/>
          </cell>
          <cell r="B824" t="str">
            <v/>
          </cell>
          <cell r="C824" t="str">
            <v>Future</v>
          </cell>
          <cell r="D824" t="e">
            <v>#N/A</v>
          </cell>
          <cell r="E824">
            <v>-0.33243243243247927</v>
          </cell>
          <cell r="F824">
            <v>17.572972972973144</v>
          </cell>
          <cell r="G824">
            <v>13.991891891891925</v>
          </cell>
          <cell r="H824">
            <v>13.991891891891925</v>
          </cell>
          <cell r="I824" t="e">
            <v>#N/A</v>
          </cell>
          <cell r="J824" t="e">
            <v>#N/A</v>
          </cell>
          <cell r="K824">
            <v>17.5</v>
          </cell>
          <cell r="L824">
            <v>14</v>
          </cell>
          <cell r="M824" t="e">
            <v>#N/A</v>
          </cell>
          <cell r="N824">
            <v>16.5</v>
          </cell>
          <cell r="O824" t="e">
            <v>#N/A</v>
          </cell>
          <cell r="P824" t="str">
            <v/>
          </cell>
          <cell r="Q824" t="str">
            <v/>
          </cell>
          <cell r="R824">
            <v>16.5</v>
          </cell>
        </row>
        <row r="825">
          <cell r="A825" t="str">
            <v/>
          </cell>
          <cell r="B825" t="str">
            <v/>
          </cell>
          <cell r="C825" t="str">
            <v>Future</v>
          </cell>
          <cell r="D825" t="e">
            <v>#N/A</v>
          </cell>
          <cell r="E825">
            <v>-0.38783783783788467</v>
          </cell>
          <cell r="F825">
            <v>17.585135135135307</v>
          </cell>
          <cell r="G825">
            <v>13.990540540540573</v>
          </cell>
          <cell r="H825">
            <v>13.990540540540573</v>
          </cell>
          <cell r="I825" t="e">
            <v>#N/A</v>
          </cell>
          <cell r="J825" t="e">
            <v>#N/A</v>
          </cell>
          <cell r="K825">
            <v>17.5</v>
          </cell>
          <cell r="L825">
            <v>14</v>
          </cell>
          <cell r="M825" t="e">
            <v>#N/A</v>
          </cell>
          <cell r="N825">
            <v>16.5</v>
          </cell>
          <cell r="O825" t="e">
            <v>#N/A</v>
          </cell>
          <cell r="P825" t="str">
            <v/>
          </cell>
          <cell r="Q825" t="str">
            <v/>
          </cell>
          <cell r="R825">
            <v>16.5</v>
          </cell>
        </row>
        <row r="826">
          <cell r="A826" t="str">
            <v/>
          </cell>
          <cell r="B826" t="str">
            <v/>
          </cell>
          <cell r="C826" t="str">
            <v>Future</v>
          </cell>
          <cell r="D826" t="e">
            <v>#N/A</v>
          </cell>
          <cell r="E826">
            <v>-0.44324324324329006</v>
          </cell>
          <cell r="F826">
            <v>17.597297297297469</v>
          </cell>
          <cell r="G826">
            <v>13.989189189189222</v>
          </cell>
          <cell r="H826">
            <v>13.989189189189222</v>
          </cell>
          <cell r="I826" t="e">
            <v>#N/A</v>
          </cell>
          <cell r="J826" t="e">
            <v>#N/A</v>
          </cell>
          <cell r="K826">
            <v>17.5</v>
          </cell>
          <cell r="L826">
            <v>14</v>
          </cell>
          <cell r="M826" t="e">
            <v>#N/A</v>
          </cell>
          <cell r="N826">
            <v>16.5</v>
          </cell>
          <cell r="O826" t="e">
            <v>#N/A</v>
          </cell>
          <cell r="P826" t="str">
            <v/>
          </cell>
          <cell r="Q826" t="str">
            <v/>
          </cell>
          <cell r="R826">
            <v>16.5</v>
          </cell>
        </row>
        <row r="827">
          <cell r="A827" t="str">
            <v/>
          </cell>
          <cell r="B827" t="str">
            <v/>
          </cell>
          <cell r="C827" t="str">
            <v>Future</v>
          </cell>
          <cell r="D827" t="e">
            <v>#N/A</v>
          </cell>
          <cell r="E827">
            <v>-0.49864864864869546</v>
          </cell>
          <cell r="F827">
            <v>17.609459459459632</v>
          </cell>
          <cell r="G827">
            <v>13.987837837837871</v>
          </cell>
          <cell r="H827">
            <v>13.987837837837871</v>
          </cell>
          <cell r="I827" t="e">
            <v>#N/A</v>
          </cell>
          <cell r="J827" t="e">
            <v>#N/A</v>
          </cell>
          <cell r="K827">
            <v>17.5</v>
          </cell>
          <cell r="L827">
            <v>14</v>
          </cell>
          <cell r="M827" t="e">
            <v>#N/A</v>
          </cell>
          <cell r="N827">
            <v>16.5</v>
          </cell>
          <cell r="O827" t="e">
            <v>#N/A</v>
          </cell>
          <cell r="P827" t="str">
            <v/>
          </cell>
          <cell r="Q827" t="str">
            <v/>
          </cell>
          <cell r="R827">
            <v>16.5</v>
          </cell>
        </row>
        <row r="828">
          <cell r="A828" t="str">
            <v/>
          </cell>
          <cell r="B828" t="str">
            <v/>
          </cell>
          <cell r="C828" t="str">
            <v>Future</v>
          </cell>
          <cell r="D828" t="e">
            <v>#N/A</v>
          </cell>
          <cell r="E828">
            <v>-0.55405405405410091</v>
          </cell>
          <cell r="F828">
            <v>17.621621621621795</v>
          </cell>
          <cell r="G828">
            <v>13.98648648648652</v>
          </cell>
          <cell r="H828">
            <v>13.98648648648652</v>
          </cell>
          <cell r="I828" t="e">
            <v>#N/A</v>
          </cell>
          <cell r="J828" t="e">
            <v>#N/A</v>
          </cell>
          <cell r="K828">
            <v>17.5</v>
          </cell>
          <cell r="L828">
            <v>14</v>
          </cell>
          <cell r="M828" t="e">
            <v>#N/A</v>
          </cell>
          <cell r="N828">
            <v>16.5</v>
          </cell>
          <cell r="O828" t="e">
            <v>#N/A</v>
          </cell>
          <cell r="P828" t="str">
            <v/>
          </cell>
          <cell r="Q828" t="str">
            <v/>
          </cell>
          <cell r="R828">
            <v>16.5</v>
          </cell>
        </row>
        <row r="829">
          <cell r="A829" t="str">
            <v/>
          </cell>
          <cell r="B829" t="str">
            <v/>
          </cell>
          <cell r="C829" t="str">
            <v>Future</v>
          </cell>
          <cell r="D829" t="e">
            <v>#N/A</v>
          </cell>
          <cell r="E829">
            <v>-0.6094594594595063</v>
          </cell>
          <cell r="F829">
            <v>17.633783783783958</v>
          </cell>
          <cell r="G829">
            <v>13.985135135135168</v>
          </cell>
          <cell r="H829">
            <v>13.985135135135168</v>
          </cell>
          <cell r="I829" t="e">
            <v>#N/A</v>
          </cell>
          <cell r="J829" t="e">
            <v>#N/A</v>
          </cell>
          <cell r="K829">
            <v>17.5</v>
          </cell>
          <cell r="L829">
            <v>14</v>
          </cell>
          <cell r="M829" t="e">
            <v>#N/A</v>
          </cell>
          <cell r="N829">
            <v>16.5</v>
          </cell>
          <cell r="O829" t="e">
            <v>#N/A</v>
          </cell>
          <cell r="P829" t="str">
            <v/>
          </cell>
          <cell r="Q829" t="str">
            <v/>
          </cell>
          <cell r="R829">
            <v>16.5</v>
          </cell>
        </row>
        <row r="830">
          <cell r="A830" t="str">
            <v/>
          </cell>
          <cell r="B830" t="str">
            <v/>
          </cell>
          <cell r="C830" t="str">
            <v>Future</v>
          </cell>
          <cell r="D830" t="e">
            <v>#N/A</v>
          </cell>
          <cell r="E830">
            <v>-0.6648648648649117</v>
          </cell>
          <cell r="F830">
            <v>17.645945945946121</v>
          </cell>
          <cell r="G830">
            <v>13.983783783783817</v>
          </cell>
          <cell r="H830">
            <v>13.983783783783817</v>
          </cell>
          <cell r="I830" t="e">
            <v>#N/A</v>
          </cell>
          <cell r="J830" t="e">
            <v>#N/A</v>
          </cell>
          <cell r="K830">
            <v>17.5</v>
          </cell>
          <cell r="L830">
            <v>14</v>
          </cell>
          <cell r="M830" t="e">
            <v>#N/A</v>
          </cell>
          <cell r="N830">
            <v>16.5</v>
          </cell>
          <cell r="O830" t="e">
            <v>#N/A</v>
          </cell>
          <cell r="P830" t="str">
            <v/>
          </cell>
          <cell r="Q830" t="str">
            <v/>
          </cell>
          <cell r="R830">
            <v>16.5</v>
          </cell>
        </row>
        <row r="831">
          <cell r="A831" t="str">
            <v/>
          </cell>
          <cell r="B831" t="str">
            <v/>
          </cell>
          <cell r="C831" t="str">
            <v>Future</v>
          </cell>
          <cell r="D831" t="e">
            <v>#N/A</v>
          </cell>
          <cell r="E831">
            <v>-0.72027027027031709</v>
          </cell>
          <cell r="F831">
            <v>17.658108108108284</v>
          </cell>
          <cell r="G831">
            <v>13.982432432432466</v>
          </cell>
          <cell r="H831">
            <v>13.982432432432466</v>
          </cell>
          <cell r="I831" t="e">
            <v>#N/A</v>
          </cell>
          <cell r="J831" t="e">
            <v>#N/A</v>
          </cell>
          <cell r="K831">
            <v>17.5</v>
          </cell>
          <cell r="L831">
            <v>14</v>
          </cell>
          <cell r="M831" t="e">
            <v>#N/A</v>
          </cell>
          <cell r="N831">
            <v>16.5</v>
          </cell>
          <cell r="O831" t="e">
            <v>#N/A</v>
          </cell>
          <cell r="P831" t="str">
            <v/>
          </cell>
          <cell r="Q831" t="str">
            <v/>
          </cell>
          <cell r="R831">
            <v>16.5</v>
          </cell>
        </row>
        <row r="832">
          <cell r="A832" t="str">
            <v/>
          </cell>
          <cell r="B832" t="str">
            <v/>
          </cell>
          <cell r="C832" t="str">
            <v>Future</v>
          </cell>
          <cell r="D832" t="e">
            <v>#N/A</v>
          </cell>
          <cell r="E832">
            <v>-0.77567567567572249</v>
          </cell>
          <cell r="F832">
            <v>17.670270270270446</v>
          </cell>
          <cell r="G832">
            <v>13.981081081081115</v>
          </cell>
          <cell r="H832">
            <v>13.981081081081115</v>
          </cell>
          <cell r="I832" t="e">
            <v>#N/A</v>
          </cell>
          <cell r="J832" t="e">
            <v>#N/A</v>
          </cell>
          <cell r="K832">
            <v>17.5</v>
          </cell>
          <cell r="L832">
            <v>14</v>
          </cell>
          <cell r="M832" t="e">
            <v>#N/A</v>
          </cell>
          <cell r="N832">
            <v>16.5</v>
          </cell>
          <cell r="O832" t="e">
            <v>#N/A</v>
          </cell>
          <cell r="P832" t="str">
            <v/>
          </cell>
          <cell r="Q832" t="str">
            <v/>
          </cell>
          <cell r="R832">
            <v>16.5</v>
          </cell>
        </row>
        <row r="833">
          <cell r="A833" t="str">
            <v/>
          </cell>
          <cell r="B833" t="str">
            <v/>
          </cell>
          <cell r="C833" t="str">
            <v>Future</v>
          </cell>
          <cell r="D833" t="e">
            <v>#N/A</v>
          </cell>
          <cell r="E833">
            <v>-0.83108108108112788</v>
          </cell>
          <cell r="F833">
            <v>17.682432432432609</v>
          </cell>
          <cell r="G833">
            <v>13.979729729729764</v>
          </cell>
          <cell r="H833">
            <v>13.979729729729764</v>
          </cell>
          <cell r="I833" t="e">
            <v>#N/A</v>
          </cell>
          <cell r="J833" t="e">
            <v>#N/A</v>
          </cell>
          <cell r="K833">
            <v>17.5</v>
          </cell>
          <cell r="L833">
            <v>14</v>
          </cell>
          <cell r="M833" t="e">
            <v>#N/A</v>
          </cell>
          <cell r="N833">
            <v>16.5</v>
          </cell>
          <cell r="O833" t="e">
            <v>#N/A</v>
          </cell>
          <cell r="P833" t="str">
            <v/>
          </cell>
          <cell r="Q833" t="str">
            <v/>
          </cell>
          <cell r="R833">
            <v>16.5</v>
          </cell>
        </row>
        <row r="834">
          <cell r="A834" t="str">
            <v/>
          </cell>
          <cell r="B834" t="str">
            <v/>
          </cell>
          <cell r="C834" t="str">
            <v>Future</v>
          </cell>
          <cell r="D834" t="e">
            <v>#N/A</v>
          </cell>
          <cell r="E834">
            <v>-0.88648648648653328</v>
          </cell>
          <cell r="F834">
            <v>17.694594594594772</v>
          </cell>
          <cell r="G834">
            <v>13.978378378378412</v>
          </cell>
          <cell r="H834">
            <v>13.978378378378412</v>
          </cell>
          <cell r="I834" t="e">
            <v>#N/A</v>
          </cell>
          <cell r="J834" t="e">
            <v>#N/A</v>
          </cell>
          <cell r="K834">
            <v>17.5</v>
          </cell>
          <cell r="L834">
            <v>14</v>
          </cell>
          <cell r="M834" t="e">
            <v>#N/A</v>
          </cell>
          <cell r="N834">
            <v>16.5</v>
          </cell>
          <cell r="O834" t="e">
            <v>#N/A</v>
          </cell>
          <cell r="P834" t="str">
            <v/>
          </cell>
          <cell r="Q834" t="str">
            <v/>
          </cell>
          <cell r="R834">
            <v>16.5</v>
          </cell>
        </row>
        <row r="835">
          <cell r="A835" t="str">
            <v/>
          </cell>
          <cell r="B835" t="str">
            <v/>
          </cell>
          <cell r="C835" t="str">
            <v>Future</v>
          </cell>
          <cell r="D835" t="e">
            <v>#N/A</v>
          </cell>
          <cell r="E835">
            <v>-0.94189189189193867</v>
          </cell>
          <cell r="F835">
            <v>17.706756756756935</v>
          </cell>
          <cell r="G835">
            <v>13.977027027027061</v>
          </cell>
          <cell r="H835">
            <v>13.977027027027061</v>
          </cell>
          <cell r="I835" t="e">
            <v>#N/A</v>
          </cell>
          <cell r="J835" t="e">
            <v>#N/A</v>
          </cell>
          <cell r="K835">
            <v>17.5</v>
          </cell>
          <cell r="L835">
            <v>14</v>
          </cell>
          <cell r="M835" t="e">
            <v>#N/A</v>
          </cell>
          <cell r="N835">
            <v>16.5</v>
          </cell>
          <cell r="O835" t="e">
            <v>#N/A</v>
          </cell>
          <cell r="P835" t="str">
            <v/>
          </cell>
          <cell r="Q835" t="str">
            <v/>
          </cell>
          <cell r="R835">
            <v>16.5</v>
          </cell>
        </row>
        <row r="836">
          <cell r="A836" t="str">
            <v/>
          </cell>
          <cell r="B836" t="str">
            <v/>
          </cell>
          <cell r="C836" t="str">
            <v>Future</v>
          </cell>
          <cell r="D836" t="e">
            <v>#N/A</v>
          </cell>
          <cell r="E836">
            <v>-0.99729729729734407</v>
          </cell>
          <cell r="F836">
            <v>17.718918918919098</v>
          </cell>
          <cell r="G836">
            <v>13.97567567567571</v>
          </cell>
          <cell r="H836">
            <v>13.97567567567571</v>
          </cell>
          <cell r="I836" t="e">
            <v>#N/A</v>
          </cell>
          <cell r="J836" t="e">
            <v>#N/A</v>
          </cell>
          <cell r="K836">
            <v>17.5</v>
          </cell>
          <cell r="L836">
            <v>14</v>
          </cell>
          <cell r="M836" t="e">
            <v>#N/A</v>
          </cell>
          <cell r="N836">
            <v>16.5</v>
          </cell>
          <cell r="O836" t="e">
            <v>#N/A</v>
          </cell>
          <cell r="P836" t="str">
            <v/>
          </cell>
          <cell r="Q836" t="str">
            <v/>
          </cell>
          <cell r="R836">
            <v>16.5</v>
          </cell>
        </row>
        <row r="837">
          <cell r="A837" t="str">
            <v/>
          </cell>
          <cell r="B837" t="str">
            <v/>
          </cell>
          <cell r="C837" t="str">
            <v>Future</v>
          </cell>
          <cell r="D837" t="e">
            <v>#N/A</v>
          </cell>
          <cell r="E837">
            <v>-1.0527027027027496</v>
          </cell>
          <cell r="F837">
            <v>17.73108108108126</v>
          </cell>
          <cell r="G837">
            <v>13.974324324324359</v>
          </cell>
          <cell r="H837">
            <v>13.974324324324359</v>
          </cell>
          <cell r="I837" t="e">
            <v>#N/A</v>
          </cell>
          <cell r="J837" t="e">
            <v>#N/A</v>
          </cell>
          <cell r="K837">
            <v>17.5</v>
          </cell>
          <cell r="L837">
            <v>14</v>
          </cell>
          <cell r="M837" t="e">
            <v>#N/A</v>
          </cell>
          <cell r="N837">
            <v>16.5</v>
          </cell>
          <cell r="O837" t="e">
            <v>#N/A</v>
          </cell>
          <cell r="P837" t="str">
            <v/>
          </cell>
          <cell r="Q837" t="str">
            <v/>
          </cell>
          <cell r="R837">
            <v>16.5</v>
          </cell>
        </row>
        <row r="838">
          <cell r="A838" t="str">
            <v/>
          </cell>
          <cell r="B838" t="str">
            <v/>
          </cell>
          <cell r="C838" t="str">
            <v>Future</v>
          </cell>
          <cell r="D838" t="e">
            <v>#N/A</v>
          </cell>
          <cell r="E838">
            <v>-1.108108108108155</v>
          </cell>
          <cell r="F838">
            <v>17.743243243243423</v>
          </cell>
          <cell r="G838">
            <v>13.972972972973007</v>
          </cell>
          <cell r="H838">
            <v>13.972972972973007</v>
          </cell>
          <cell r="I838" t="e">
            <v>#N/A</v>
          </cell>
          <cell r="J838" t="e">
            <v>#N/A</v>
          </cell>
          <cell r="K838">
            <v>17.5</v>
          </cell>
          <cell r="L838">
            <v>14</v>
          </cell>
          <cell r="M838" t="e">
            <v>#N/A</v>
          </cell>
          <cell r="N838">
            <v>16.5</v>
          </cell>
          <cell r="O838" t="e">
            <v>#N/A</v>
          </cell>
          <cell r="P838" t="str">
            <v/>
          </cell>
          <cell r="Q838" t="str">
            <v/>
          </cell>
          <cell r="R838">
            <v>16.5</v>
          </cell>
        </row>
        <row r="839">
          <cell r="A839" t="str">
            <v/>
          </cell>
          <cell r="B839" t="str">
            <v/>
          </cell>
          <cell r="C839" t="str">
            <v>Future</v>
          </cell>
          <cell r="D839" t="e">
            <v>#N/A</v>
          </cell>
          <cell r="E839">
            <v>-1.1635135135135604</v>
          </cell>
          <cell r="F839">
            <v>17.755405405405586</v>
          </cell>
          <cell r="G839">
            <v>13.971621621621656</v>
          </cell>
          <cell r="H839">
            <v>13.971621621621656</v>
          </cell>
          <cell r="I839" t="e">
            <v>#N/A</v>
          </cell>
          <cell r="J839" t="e">
            <v>#N/A</v>
          </cell>
          <cell r="K839">
            <v>17.5</v>
          </cell>
          <cell r="L839">
            <v>14</v>
          </cell>
          <cell r="M839" t="e">
            <v>#N/A</v>
          </cell>
          <cell r="N839">
            <v>16.5</v>
          </cell>
          <cell r="O839" t="e">
            <v>#N/A</v>
          </cell>
          <cell r="P839" t="str">
            <v/>
          </cell>
          <cell r="Q839" t="str">
            <v/>
          </cell>
          <cell r="R839">
            <v>16.5</v>
          </cell>
        </row>
        <row r="840">
          <cell r="A840" t="str">
            <v/>
          </cell>
          <cell r="B840" t="str">
            <v/>
          </cell>
          <cell r="C840" t="str">
            <v>Future</v>
          </cell>
          <cell r="D840" t="e">
            <v>#N/A</v>
          </cell>
          <cell r="E840">
            <v>-1.2189189189189658</v>
          </cell>
          <cell r="F840">
            <v>17.767567567567749</v>
          </cell>
          <cell r="G840">
            <v>13.970270270270305</v>
          </cell>
          <cell r="H840">
            <v>13.970270270270305</v>
          </cell>
          <cell r="I840" t="e">
            <v>#N/A</v>
          </cell>
          <cell r="J840" t="e">
            <v>#N/A</v>
          </cell>
          <cell r="K840">
            <v>17.5</v>
          </cell>
          <cell r="L840">
            <v>14</v>
          </cell>
          <cell r="M840" t="e">
            <v>#N/A</v>
          </cell>
          <cell r="N840">
            <v>16.5</v>
          </cell>
          <cell r="O840" t="e">
            <v>#N/A</v>
          </cell>
          <cell r="P840" t="str">
            <v/>
          </cell>
          <cell r="Q840" t="str">
            <v/>
          </cell>
          <cell r="R840">
            <v>16.5</v>
          </cell>
        </row>
        <row r="841">
          <cell r="A841" t="str">
            <v/>
          </cell>
          <cell r="B841" t="str">
            <v/>
          </cell>
          <cell r="C841" t="str">
            <v>Future</v>
          </cell>
          <cell r="D841" t="e">
            <v>#N/A</v>
          </cell>
          <cell r="E841">
            <v>-1.2743243243243711</v>
          </cell>
          <cell r="F841">
            <v>17.779729729729912</v>
          </cell>
          <cell r="G841">
            <v>13.968918918918954</v>
          </cell>
          <cell r="H841">
            <v>13.968918918918954</v>
          </cell>
          <cell r="I841" t="e">
            <v>#N/A</v>
          </cell>
          <cell r="J841" t="e">
            <v>#N/A</v>
          </cell>
          <cell r="K841">
            <v>17.5</v>
          </cell>
          <cell r="L841">
            <v>14</v>
          </cell>
          <cell r="M841" t="e">
            <v>#N/A</v>
          </cell>
          <cell r="N841">
            <v>16.5</v>
          </cell>
          <cell r="O841" t="e">
            <v>#N/A</v>
          </cell>
          <cell r="P841" t="str">
            <v/>
          </cell>
          <cell r="Q841" t="str">
            <v/>
          </cell>
          <cell r="R841">
            <v>16.5</v>
          </cell>
        </row>
        <row r="842">
          <cell r="A842" t="str">
            <v/>
          </cell>
          <cell r="B842" t="str">
            <v/>
          </cell>
          <cell r="C842" t="str">
            <v>Future</v>
          </cell>
          <cell r="D842" t="e">
            <v>#N/A</v>
          </cell>
          <cell r="E842">
            <v>-1.3297297297297765</v>
          </cell>
          <cell r="F842">
            <v>17.791891891892075</v>
          </cell>
          <cell r="G842">
            <v>13.967567567567603</v>
          </cell>
          <cell r="H842">
            <v>13.967567567567603</v>
          </cell>
          <cell r="I842" t="e">
            <v>#N/A</v>
          </cell>
          <cell r="J842" t="e">
            <v>#N/A</v>
          </cell>
          <cell r="K842">
            <v>17.5</v>
          </cell>
          <cell r="L842">
            <v>14</v>
          </cell>
          <cell r="M842" t="e">
            <v>#N/A</v>
          </cell>
          <cell r="N842">
            <v>16.5</v>
          </cell>
          <cell r="O842" t="e">
            <v>#N/A</v>
          </cell>
          <cell r="P842" t="str">
            <v/>
          </cell>
          <cell r="Q842" t="str">
            <v/>
          </cell>
          <cell r="R842">
            <v>16.5</v>
          </cell>
        </row>
        <row r="843">
          <cell r="A843" t="str">
            <v/>
          </cell>
          <cell r="B843" t="str">
            <v/>
          </cell>
          <cell r="C843" t="str">
            <v>Future</v>
          </cell>
          <cell r="D843" t="e">
            <v>#N/A</v>
          </cell>
          <cell r="E843">
            <v>-1.3851351351351819</v>
          </cell>
          <cell r="F843">
            <v>17.804054054054237</v>
          </cell>
          <cell r="G843">
            <v>13.966216216216251</v>
          </cell>
          <cell r="H843">
            <v>13.966216216216251</v>
          </cell>
          <cell r="I843" t="e">
            <v>#N/A</v>
          </cell>
          <cell r="J843" t="e">
            <v>#N/A</v>
          </cell>
          <cell r="K843">
            <v>17.5</v>
          </cell>
          <cell r="L843">
            <v>14</v>
          </cell>
          <cell r="M843" t="e">
            <v>#N/A</v>
          </cell>
          <cell r="N843">
            <v>16.5</v>
          </cell>
          <cell r="O843" t="e">
            <v>#N/A</v>
          </cell>
          <cell r="P843" t="str">
            <v/>
          </cell>
          <cell r="Q843" t="str">
            <v/>
          </cell>
          <cell r="R843">
            <v>16.5</v>
          </cell>
        </row>
        <row r="844">
          <cell r="A844" t="str">
            <v/>
          </cell>
          <cell r="B844" t="str">
            <v/>
          </cell>
          <cell r="C844" t="str">
            <v>Future</v>
          </cell>
          <cell r="D844" t="e">
            <v>#N/A</v>
          </cell>
          <cell r="E844">
            <v>-1.4405405405405873</v>
          </cell>
          <cell r="F844">
            <v>17.8162162162164</v>
          </cell>
          <cell r="G844">
            <v>13.9648648648649</v>
          </cell>
          <cell r="H844">
            <v>13.9648648648649</v>
          </cell>
          <cell r="I844" t="e">
            <v>#N/A</v>
          </cell>
          <cell r="J844" t="e">
            <v>#N/A</v>
          </cell>
          <cell r="K844">
            <v>17.5</v>
          </cell>
          <cell r="L844">
            <v>14</v>
          </cell>
          <cell r="M844" t="e">
            <v>#N/A</v>
          </cell>
          <cell r="N844">
            <v>16.5</v>
          </cell>
          <cell r="O844" t="e">
            <v>#N/A</v>
          </cell>
          <cell r="P844" t="str">
            <v/>
          </cell>
          <cell r="Q844" t="str">
            <v/>
          </cell>
          <cell r="R844">
            <v>16.5</v>
          </cell>
        </row>
        <row r="845">
          <cell r="A845" t="str">
            <v/>
          </cell>
          <cell r="B845" t="str">
            <v/>
          </cell>
          <cell r="C845" t="str">
            <v>Future</v>
          </cell>
          <cell r="D845" t="e">
            <v>#N/A</v>
          </cell>
          <cell r="E845">
            <v>-1.4959459459459927</v>
          </cell>
          <cell r="F845">
            <v>17.828378378378563</v>
          </cell>
          <cell r="G845">
            <v>13.963513513513549</v>
          </cell>
          <cell r="H845">
            <v>13.963513513513549</v>
          </cell>
          <cell r="I845" t="e">
            <v>#N/A</v>
          </cell>
          <cell r="J845" t="e">
            <v>#N/A</v>
          </cell>
          <cell r="K845">
            <v>17.5</v>
          </cell>
          <cell r="L845">
            <v>14</v>
          </cell>
          <cell r="M845" t="e">
            <v>#N/A</v>
          </cell>
          <cell r="N845">
            <v>16.5</v>
          </cell>
          <cell r="O845" t="e">
            <v>#N/A</v>
          </cell>
          <cell r="P845" t="str">
            <v/>
          </cell>
          <cell r="Q845" t="str">
            <v/>
          </cell>
          <cell r="R845">
            <v>16.5</v>
          </cell>
        </row>
        <row r="846">
          <cell r="A846" t="str">
            <v/>
          </cell>
          <cell r="B846" t="str">
            <v/>
          </cell>
          <cell r="C846" t="str">
            <v>Future</v>
          </cell>
          <cell r="D846" t="e">
            <v>#N/A</v>
          </cell>
          <cell r="E846">
            <v>-1.5513513513513981</v>
          </cell>
          <cell r="F846">
            <v>17.840540540540726</v>
          </cell>
          <cell r="G846">
            <v>13.962162162162198</v>
          </cell>
          <cell r="H846">
            <v>13.962162162162198</v>
          </cell>
          <cell r="I846" t="e">
            <v>#N/A</v>
          </cell>
          <cell r="J846" t="e">
            <v>#N/A</v>
          </cell>
          <cell r="K846">
            <v>17.5</v>
          </cell>
          <cell r="L846">
            <v>14</v>
          </cell>
          <cell r="M846" t="e">
            <v>#N/A</v>
          </cell>
          <cell r="N846">
            <v>16.5</v>
          </cell>
          <cell r="O846" t="e">
            <v>#N/A</v>
          </cell>
          <cell r="P846" t="str">
            <v/>
          </cell>
          <cell r="Q846" t="str">
            <v/>
          </cell>
          <cell r="R846">
            <v>16.5</v>
          </cell>
        </row>
        <row r="847">
          <cell r="A847" t="str">
            <v/>
          </cell>
          <cell r="B847" t="str">
            <v/>
          </cell>
          <cell r="C847" t="str">
            <v>Future</v>
          </cell>
          <cell r="D847" t="e">
            <v>#N/A</v>
          </cell>
          <cell r="E847">
            <v>-1.6067567567568035</v>
          </cell>
          <cell r="F847">
            <v>17.852702702702889</v>
          </cell>
          <cell r="G847">
            <v>13.960810810810846</v>
          </cell>
          <cell r="H847">
            <v>13.960810810810846</v>
          </cell>
          <cell r="I847" t="e">
            <v>#N/A</v>
          </cell>
          <cell r="J847" t="e">
            <v>#N/A</v>
          </cell>
          <cell r="K847">
            <v>17.5</v>
          </cell>
          <cell r="L847">
            <v>14</v>
          </cell>
          <cell r="M847" t="e">
            <v>#N/A</v>
          </cell>
          <cell r="N847">
            <v>16.5</v>
          </cell>
          <cell r="O847" t="e">
            <v>#N/A</v>
          </cell>
          <cell r="P847" t="str">
            <v/>
          </cell>
          <cell r="Q847" t="str">
            <v/>
          </cell>
          <cell r="R847">
            <v>16.5</v>
          </cell>
        </row>
        <row r="848">
          <cell r="A848" t="str">
            <v/>
          </cell>
          <cell r="B848" t="str">
            <v/>
          </cell>
          <cell r="C848" t="str">
            <v>Future</v>
          </cell>
          <cell r="D848" t="e">
            <v>#N/A</v>
          </cell>
          <cell r="E848">
            <v>-1.6621621621622089</v>
          </cell>
          <cell r="F848">
            <v>17.864864864865051</v>
          </cell>
          <cell r="G848">
            <v>13.959459459459495</v>
          </cell>
          <cell r="H848">
            <v>13.959459459459495</v>
          </cell>
          <cell r="I848" t="e">
            <v>#N/A</v>
          </cell>
          <cell r="J848" t="e">
            <v>#N/A</v>
          </cell>
          <cell r="K848">
            <v>17.5</v>
          </cell>
          <cell r="L848">
            <v>14</v>
          </cell>
          <cell r="M848" t="e">
            <v>#N/A</v>
          </cell>
          <cell r="N848">
            <v>16.5</v>
          </cell>
          <cell r="O848" t="e">
            <v>#N/A</v>
          </cell>
          <cell r="P848" t="str">
            <v/>
          </cell>
          <cell r="Q848" t="str">
            <v/>
          </cell>
          <cell r="R848">
            <v>16.5</v>
          </cell>
        </row>
        <row r="849">
          <cell r="A849" t="str">
            <v/>
          </cell>
          <cell r="B849" t="str">
            <v/>
          </cell>
          <cell r="C849" t="str">
            <v>Future</v>
          </cell>
          <cell r="D849" t="e">
            <v>#N/A</v>
          </cell>
          <cell r="E849">
            <v>-1.7175675675676143</v>
          </cell>
          <cell r="F849">
            <v>17.877027027027214</v>
          </cell>
          <cell r="G849">
            <v>13.958108108108144</v>
          </cell>
          <cell r="H849">
            <v>13.958108108108144</v>
          </cell>
          <cell r="I849" t="e">
            <v>#N/A</v>
          </cell>
          <cell r="J849" t="e">
            <v>#N/A</v>
          </cell>
          <cell r="K849">
            <v>17.5</v>
          </cell>
          <cell r="L849">
            <v>14</v>
          </cell>
          <cell r="M849" t="e">
            <v>#N/A</v>
          </cell>
          <cell r="N849">
            <v>16.5</v>
          </cell>
          <cell r="O849" t="e">
            <v>#N/A</v>
          </cell>
          <cell r="P849" t="str">
            <v/>
          </cell>
          <cell r="Q849" t="str">
            <v/>
          </cell>
          <cell r="R849">
            <v>16.5</v>
          </cell>
        </row>
        <row r="850">
          <cell r="A850" t="str">
            <v/>
          </cell>
          <cell r="B850" t="str">
            <v/>
          </cell>
          <cell r="C850" t="str">
            <v>Future</v>
          </cell>
          <cell r="D850" t="e">
            <v>#N/A</v>
          </cell>
          <cell r="E850">
            <v>-1.7729729729730197</v>
          </cell>
          <cell r="F850">
            <v>17.889189189189377</v>
          </cell>
          <cell r="G850">
            <v>13.956756756756793</v>
          </cell>
          <cell r="H850">
            <v>13.956756756756793</v>
          </cell>
          <cell r="I850" t="e">
            <v>#N/A</v>
          </cell>
          <cell r="J850" t="e">
            <v>#N/A</v>
          </cell>
          <cell r="K850">
            <v>17.5</v>
          </cell>
          <cell r="L850">
            <v>14</v>
          </cell>
          <cell r="M850" t="e">
            <v>#N/A</v>
          </cell>
          <cell r="N850">
            <v>16.5</v>
          </cell>
          <cell r="O850" t="e">
            <v>#N/A</v>
          </cell>
          <cell r="P850" t="str">
            <v/>
          </cell>
          <cell r="Q850" t="str">
            <v/>
          </cell>
          <cell r="R850">
            <v>16.5</v>
          </cell>
        </row>
        <row r="851">
          <cell r="A851" t="str">
            <v/>
          </cell>
          <cell r="B851" t="str">
            <v/>
          </cell>
          <cell r="C851" t="str">
            <v>Future</v>
          </cell>
          <cell r="D851" t="e">
            <v>#N/A</v>
          </cell>
          <cell r="E851">
            <v>-1.8283783783784251</v>
          </cell>
          <cell r="F851">
            <v>17.90135135135154</v>
          </cell>
          <cell r="G851">
            <v>13.955405405405441</v>
          </cell>
          <cell r="H851">
            <v>13.955405405405441</v>
          </cell>
          <cell r="I851" t="e">
            <v>#N/A</v>
          </cell>
          <cell r="J851" t="e">
            <v>#N/A</v>
          </cell>
          <cell r="K851">
            <v>17.5</v>
          </cell>
          <cell r="L851">
            <v>14</v>
          </cell>
          <cell r="M851" t="e">
            <v>#N/A</v>
          </cell>
          <cell r="N851">
            <v>16.5</v>
          </cell>
          <cell r="O851" t="e">
            <v>#N/A</v>
          </cell>
          <cell r="P851" t="str">
            <v/>
          </cell>
          <cell r="Q851" t="str">
            <v/>
          </cell>
          <cell r="R851">
            <v>16.5</v>
          </cell>
        </row>
        <row r="852">
          <cell r="A852" t="str">
            <v/>
          </cell>
          <cell r="B852" t="str">
            <v/>
          </cell>
          <cell r="C852" t="str">
            <v>Future</v>
          </cell>
          <cell r="D852" t="e">
            <v>#N/A</v>
          </cell>
          <cell r="E852">
            <v>-1.8837837837838305</v>
          </cell>
          <cell r="F852">
            <v>17.913513513513703</v>
          </cell>
          <cell r="G852">
            <v>13.95405405405409</v>
          </cell>
          <cell r="H852">
            <v>13.95405405405409</v>
          </cell>
          <cell r="I852" t="e">
            <v>#N/A</v>
          </cell>
          <cell r="J852" t="e">
            <v>#N/A</v>
          </cell>
          <cell r="K852">
            <v>17.5</v>
          </cell>
          <cell r="L852">
            <v>14</v>
          </cell>
          <cell r="M852" t="e">
            <v>#N/A</v>
          </cell>
          <cell r="N852">
            <v>16.5</v>
          </cell>
          <cell r="O852" t="e">
            <v>#N/A</v>
          </cell>
          <cell r="P852" t="str">
            <v/>
          </cell>
          <cell r="Q852" t="str">
            <v/>
          </cell>
          <cell r="R852">
            <v>16.5</v>
          </cell>
        </row>
        <row r="853">
          <cell r="A853" t="str">
            <v/>
          </cell>
          <cell r="B853" t="str">
            <v/>
          </cell>
          <cell r="C853" t="str">
            <v>Future</v>
          </cell>
          <cell r="D853" t="e">
            <v>#N/A</v>
          </cell>
          <cell r="E853">
            <v>-1.9391891891892359</v>
          </cell>
          <cell r="F853">
            <v>17.925675675675866</v>
          </cell>
          <cell r="G853">
            <v>13.952702702702739</v>
          </cell>
          <cell r="H853">
            <v>13.952702702702739</v>
          </cell>
          <cell r="I853" t="e">
            <v>#N/A</v>
          </cell>
          <cell r="J853" t="e">
            <v>#N/A</v>
          </cell>
          <cell r="K853">
            <v>17.5</v>
          </cell>
          <cell r="L853">
            <v>14</v>
          </cell>
          <cell r="M853" t="e">
            <v>#N/A</v>
          </cell>
          <cell r="N853">
            <v>16.5</v>
          </cell>
          <cell r="O853" t="e">
            <v>#N/A</v>
          </cell>
          <cell r="P853" t="str">
            <v/>
          </cell>
          <cell r="Q853" t="str">
            <v/>
          </cell>
          <cell r="R853">
            <v>16.5</v>
          </cell>
        </row>
        <row r="854">
          <cell r="A854" t="str">
            <v/>
          </cell>
          <cell r="B854" t="str">
            <v/>
          </cell>
          <cell r="C854" t="str">
            <v>Future</v>
          </cell>
          <cell r="D854" t="e">
            <v>#N/A</v>
          </cell>
          <cell r="E854">
            <v>-1.9945945945946413</v>
          </cell>
          <cell r="F854">
            <v>17.937837837838028</v>
          </cell>
          <cell r="G854">
            <v>13.951351351351388</v>
          </cell>
          <cell r="H854">
            <v>13.951351351351388</v>
          </cell>
          <cell r="I854" t="e">
            <v>#N/A</v>
          </cell>
          <cell r="J854" t="e">
            <v>#N/A</v>
          </cell>
          <cell r="K854">
            <v>17.5</v>
          </cell>
          <cell r="L854">
            <v>14</v>
          </cell>
          <cell r="M854" t="e">
            <v>#N/A</v>
          </cell>
          <cell r="N854">
            <v>16.5</v>
          </cell>
          <cell r="O854" t="e">
            <v>#N/A</v>
          </cell>
          <cell r="P854" t="str">
            <v/>
          </cell>
          <cell r="Q854" t="str">
            <v/>
          </cell>
          <cell r="R854">
            <v>16.5</v>
          </cell>
        </row>
        <row r="855">
          <cell r="A855" t="str">
            <v/>
          </cell>
          <cell r="B855" t="str">
            <v/>
          </cell>
          <cell r="C855" t="str">
            <v>Future</v>
          </cell>
          <cell r="D855" t="e">
            <v>#N/A</v>
          </cell>
          <cell r="E855">
            <v>-2.0500000000000469</v>
          </cell>
          <cell r="F855">
            <v>17.950000000000191</v>
          </cell>
          <cell r="G855">
            <v>13.950000000000037</v>
          </cell>
          <cell r="H855">
            <v>13.950000000000037</v>
          </cell>
          <cell r="I855" t="e">
            <v>#N/A</v>
          </cell>
          <cell r="J855" t="e">
            <v>#N/A</v>
          </cell>
          <cell r="K855">
            <v>17.5</v>
          </cell>
          <cell r="L855">
            <v>14</v>
          </cell>
          <cell r="M855" t="e">
            <v>#N/A</v>
          </cell>
          <cell r="N855">
            <v>16.5</v>
          </cell>
          <cell r="O855" t="e">
            <v>#N/A</v>
          </cell>
          <cell r="P855" t="str">
            <v/>
          </cell>
          <cell r="Q855" t="str">
            <v/>
          </cell>
          <cell r="R855">
            <v>16.5</v>
          </cell>
        </row>
        <row r="856">
          <cell r="A856" t="str">
            <v/>
          </cell>
          <cell r="B856" t="str">
            <v/>
          </cell>
          <cell r="C856" t="str">
            <v>Future</v>
          </cell>
          <cell r="D856" t="e">
            <v>#N/A</v>
          </cell>
          <cell r="E856">
            <v>-2.1054054054054525</v>
          </cell>
          <cell r="F856">
            <v>17.962162162162354</v>
          </cell>
          <cell r="G856">
            <v>13.948648648648685</v>
          </cell>
          <cell r="H856">
            <v>13.948648648648685</v>
          </cell>
          <cell r="I856" t="e">
            <v>#N/A</v>
          </cell>
          <cell r="J856" t="e">
            <v>#N/A</v>
          </cell>
          <cell r="K856">
            <v>17.5</v>
          </cell>
          <cell r="L856">
            <v>14</v>
          </cell>
          <cell r="M856" t="e">
            <v>#N/A</v>
          </cell>
          <cell r="N856">
            <v>16.5</v>
          </cell>
          <cell r="O856" t="e">
            <v>#N/A</v>
          </cell>
          <cell r="P856" t="str">
            <v/>
          </cell>
          <cell r="Q856" t="str">
            <v/>
          </cell>
          <cell r="R856">
            <v>16.5</v>
          </cell>
        </row>
        <row r="857">
          <cell r="A857" t="str">
            <v/>
          </cell>
          <cell r="B857" t="str">
            <v/>
          </cell>
          <cell r="C857" t="str">
            <v>Future</v>
          </cell>
          <cell r="D857" t="e">
            <v>#N/A</v>
          </cell>
          <cell r="E857">
            <v>-2.1608108108108581</v>
          </cell>
          <cell r="F857">
            <v>17.974324324324517</v>
          </cell>
          <cell r="G857">
            <v>13.947297297297334</v>
          </cell>
          <cell r="H857">
            <v>13.947297297297334</v>
          </cell>
          <cell r="I857" t="e">
            <v>#N/A</v>
          </cell>
          <cell r="J857" t="e">
            <v>#N/A</v>
          </cell>
          <cell r="K857">
            <v>17.5</v>
          </cell>
          <cell r="L857">
            <v>14</v>
          </cell>
          <cell r="M857" t="e">
            <v>#N/A</v>
          </cell>
          <cell r="N857">
            <v>16.5</v>
          </cell>
          <cell r="O857" t="e">
            <v>#N/A</v>
          </cell>
          <cell r="P857" t="str">
            <v/>
          </cell>
          <cell r="Q857" t="str">
            <v/>
          </cell>
          <cell r="R857">
            <v>16.5</v>
          </cell>
        </row>
        <row r="858">
          <cell r="A858" t="str">
            <v/>
          </cell>
          <cell r="B858" t="str">
            <v/>
          </cell>
          <cell r="C858" t="str">
            <v>Future</v>
          </cell>
          <cell r="D858" t="e">
            <v>#N/A</v>
          </cell>
          <cell r="E858">
            <v>-2.2162162162162637</v>
          </cell>
          <cell r="F858">
            <v>17.98648648648668</v>
          </cell>
          <cell r="G858">
            <v>13.945945945945983</v>
          </cell>
          <cell r="H858">
            <v>13.945945945945983</v>
          </cell>
          <cell r="I858" t="e">
            <v>#N/A</v>
          </cell>
          <cell r="J858" t="e">
            <v>#N/A</v>
          </cell>
          <cell r="K858">
            <v>17.5</v>
          </cell>
          <cell r="L858">
            <v>14</v>
          </cell>
          <cell r="M858" t="e">
            <v>#N/A</v>
          </cell>
          <cell r="N858">
            <v>16.5</v>
          </cell>
          <cell r="O858" t="e">
            <v>#N/A</v>
          </cell>
          <cell r="P858" t="str">
            <v/>
          </cell>
          <cell r="Q858" t="str">
            <v/>
          </cell>
          <cell r="R858">
            <v>16.5</v>
          </cell>
        </row>
        <row r="859">
          <cell r="A859" t="str">
            <v/>
          </cell>
          <cell r="B859" t="str">
            <v/>
          </cell>
          <cell r="C859" t="str">
            <v>Future</v>
          </cell>
          <cell r="D859" t="e">
            <v>#N/A</v>
          </cell>
          <cell r="E859">
            <v>-2.2716216216216694</v>
          </cell>
          <cell r="F859">
            <v>17.998648648648842</v>
          </cell>
          <cell r="G859">
            <v>13.944594594594632</v>
          </cell>
          <cell r="H859">
            <v>13.944594594594632</v>
          </cell>
          <cell r="I859" t="e">
            <v>#N/A</v>
          </cell>
          <cell r="J859" t="e">
            <v>#N/A</v>
          </cell>
          <cell r="K859">
            <v>17.5</v>
          </cell>
          <cell r="L859">
            <v>14</v>
          </cell>
          <cell r="M859" t="e">
            <v>#N/A</v>
          </cell>
          <cell r="N859">
            <v>16.5</v>
          </cell>
          <cell r="O859" t="e">
            <v>#N/A</v>
          </cell>
          <cell r="P859" t="str">
            <v/>
          </cell>
          <cell r="Q859" t="str">
            <v/>
          </cell>
          <cell r="R859">
            <v>16.5</v>
          </cell>
        </row>
        <row r="860">
          <cell r="A860" t="str">
            <v/>
          </cell>
          <cell r="B860" t="str">
            <v/>
          </cell>
          <cell r="C860" t="str">
            <v>Future</v>
          </cell>
          <cell r="D860" t="e">
            <v>#N/A</v>
          </cell>
          <cell r="E860">
            <v>-2.327027027027075</v>
          </cell>
          <cell r="F860">
            <v>18.010810810811005</v>
          </cell>
          <cell r="G860">
            <v>13.94324324324328</v>
          </cell>
          <cell r="H860">
            <v>13.94324324324328</v>
          </cell>
          <cell r="I860" t="e">
            <v>#N/A</v>
          </cell>
          <cell r="J860" t="e">
            <v>#N/A</v>
          </cell>
          <cell r="K860">
            <v>17.5</v>
          </cell>
          <cell r="L860">
            <v>14</v>
          </cell>
          <cell r="M860" t="e">
            <v>#N/A</v>
          </cell>
          <cell r="N860">
            <v>16.5</v>
          </cell>
          <cell r="O860" t="e">
            <v>#N/A</v>
          </cell>
          <cell r="P860" t="str">
            <v/>
          </cell>
          <cell r="Q860" t="str">
            <v/>
          </cell>
          <cell r="R860">
            <v>16.5</v>
          </cell>
        </row>
        <row r="861">
          <cell r="A861" t="str">
            <v/>
          </cell>
          <cell r="B861" t="str">
            <v/>
          </cell>
          <cell r="C861" t="str">
            <v>Future</v>
          </cell>
          <cell r="D861" t="e">
            <v>#N/A</v>
          </cell>
          <cell r="E861">
            <v>-2.3824324324324806</v>
          </cell>
          <cell r="F861">
            <v>18.022972972973168</v>
          </cell>
          <cell r="G861">
            <v>13.941891891891929</v>
          </cell>
          <cell r="H861">
            <v>13.941891891891929</v>
          </cell>
          <cell r="I861" t="e">
            <v>#N/A</v>
          </cell>
          <cell r="J861" t="e">
            <v>#N/A</v>
          </cell>
          <cell r="K861">
            <v>17.5</v>
          </cell>
          <cell r="L861">
            <v>14</v>
          </cell>
          <cell r="M861" t="e">
            <v>#N/A</v>
          </cell>
          <cell r="N861">
            <v>16.5</v>
          </cell>
          <cell r="O861" t="e">
            <v>#N/A</v>
          </cell>
          <cell r="P861" t="str">
            <v/>
          </cell>
          <cell r="Q861" t="str">
            <v/>
          </cell>
          <cell r="R861">
            <v>16.5</v>
          </cell>
        </row>
        <row r="862">
          <cell r="A862" t="str">
            <v/>
          </cell>
          <cell r="B862" t="str">
            <v/>
          </cell>
          <cell r="C862" t="str">
            <v>Future</v>
          </cell>
          <cell r="D862" t="e">
            <v>#N/A</v>
          </cell>
          <cell r="E862">
            <v>-2.4378378378378862</v>
          </cell>
          <cell r="F862">
            <v>18.035135135135331</v>
          </cell>
          <cell r="G862">
            <v>13.940540540540578</v>
          </cell>
          <cell r="H862">
            <v>13.940540540540578</v>
          </cell>
          <cell r="I862" t="e">
            <v>#N/A</v>
          </cell>
          <cell r="J862" t="e">
            <v>#N/A</v>
          </cell>
          <cell r="K862">
            <v>17.5</v>
          </cell>
          <cell r="L862">
            <v>14</v>
          </cell>
          <cell r="M862" t="e">
            <v>#N/A</v>
          </cell>
          <cell r="N862">
            <v>16.5</v>
          </cell>
          <cell r="O862" t="e">
            <v>#N/A</v>
          </cell>
          <cell r="P862" t="str">
            <v/>
          </cell>
          <cell r="Q862" t="str">
            <v/>
          </cell>
          <cell r="R862">
            <v>16.5</v>
          </cell>
        </row>
        <row r="863">
          <cell r="A863" t="str">
            <v/>
          </cell>
          <cell r="B863" t="str">
            <v/>
          </cell>
          <cell r="C863" t="str">
            <v>Future</v>
          </cell>
          <cell r="D863" t="e">
            <v>#N/A</v>
          </cell>
          <cell r="E863">
            <v>-2.4932432432432918</v>
          </cell>
          <cell r="F863">
            <v>18.047297297297494</v>
          </cell>
          <cell r="G863">
            <v>13.939189189189227</v>
          </cell>
          <cell r="H863">
            <v>13.939189189189227</v>
          </cell>
          <cell r="I863" t="e">
            <v>#N/A</v>
          </cell>
          <cell r="J863" t="e">
            <v>#N/A</v>
          </cell>
          <cell r="K863">
            <v>17.5</v>
          </cell>
          <cell r="L863">
            <v>14</v>
          </cell>
          <cell r="M863" t="e">
            <v>#N/A</v>
          </cell>
          <cell r="N863">
            <v>16.5</v>
          </cell>
          <cell r="O863" t="e">
            <v>#N/A</v>
          </cell>
          <cell r="P863" t="str">
            <v/>
          </cell>
          <cell r="Q863" t="str">
            <v/>
          </cell>
          <cell r="R863">
            <v>16.5</v>
          </cell>
        </row>
        <row r="864">
          <cell r="A864" t="str">
            <v/>
          </cell>
          <cell r="B864" t="str">
            <v/>
          </cell>
          <cell r="C864" t="str">
            <v>Future</v>
          </cell>
          <cell r="D864" t="e">
            <v>#N/A</v>
          </cell>
          <cell r="E864">
            <v>-2.5486486486486974</v>
          </cell>
          <cell r="F864">
            <v>18.059459459459656</v>
          </cell>
          <cell r="G864">
            <v>13.937837837837876</v>
          </cell>
          <cell r="H864">
            <v>13.937837837837876</v>
          </cell>
          <cell r="I864" t="e">
            <v>#N/A</v>
          </cell>
          <cell r="J864" t="e">
            <v>#N/A</v>
          </cell>
          <cell r="K864">
            <v>17.5</v>
          </cell>
          <cell r="L864">
            <v>14</v>
          </cell>
          <cell r="M864" t="e">
            <v>#N/A</v>
          </cell>
          <cell r="N864">
            <v>16.5</v>
          </cell>
          <cell r="O864" t="e">
            <v>#N/A</v>
          </cell>
          <cell r="P864" t="str">
            <v/>
          </cell>
          <cell r="Q864" t="str">
            <v/>
          </cell>
          <cell r="R864">
            <v>16.5</v>
          </cell>
        </row>
        <row r="865">
          <cell r="A865" t="str">
            <v/>
          </cell>
          <cell r="B865" t="str">
            <v/>
          </cell>
          <cell r="C865" t="str">
            <v>Future</v>
          </cell>
          <cell r="D865" t="e">
            <v>#N/A</v>
          </cell>
          <cell r="E865">
            <v>-2.6040540540541031</v>
          </cell>
          <cell r="F865">
            <v>18.071621621621819</v>
          </cell>
          <cell r="G865">
            <v>13.936486486486524</v>
          </cell>
          <cell r="H865">
            <v>13.936486486486524</v>
          </cell>
          <cell r="I865" t="e">
            <v>#N/A</v>
          </cell>
          <cell r="J865" t="e">
            <v>#N/A</v>
          </cell>
          <cell r="K865">
            <v>17.5</v>
          </cell>
          <cell r="L865">
            <v>14</v>
          </cell>
          <cell r="M865" t="e">
            <v>#N/A</v>
          </cell>
          <cell r="N865">
            <v>16.5</v>
          </cell>
          <cell r="O865" t="e">
            <v>#N/A</v>
          </cell>
          <cell r="P865" t="str">
            <v/>
          </cell>
          <cell r="Q865" t="str">
            <v/>
          </cell>
          <cell r="R865">
            <v>16.5</v>
          </cell>
        </row>
        <row r="866">
          <cell r="A866" t="str">
            <v/>
          </cell>
          <cell r="B866" t="str">
            <v/>
          </cell>
          <cell r="C866" t="str">
            <v>Future</v>
          </cell>
          <cell r="D866" t="e">
            <v>#N/A</v>
          </cell>
          <cell r="E866">
            <v>-2.6594594594595087</v>
          </cell>
          <cell r="F866">
            <v>18.083783783783982</v>
          </cell>
          <cell r="G866">
            <v>13.935135135135173</v>
          </cell>
          <cell r="H866">
            <v>13.935135135135173</v>
          </cell>
          <cell r="I866" t="e">
            <v>#N/A</v>
          </cell>
          <cell r="J866" t="e">
            <v>#N/A</v>
          </cell>
          <cell r="K866">
            <v>17.5</v>
          </cell>
          <cell r="L866">
            <v>14</v>
          </cell>
          <cell r="M866" t="e">
            <v>#N/A</v>
          </cell>
          <cell r="N866">
            <v>16.5</v>
          </cell>
          <cell r="O866" t="e">
            <v>#N/A</v>
          </cell>
          <cell r="P866" t="str">
            <v/>
          </cell>
          <cell r="Q866" t="str">
            <v/>
          </cell>
          <cell r="R866">
            <v>16.5</v>
          </cell>
        </row>
        <row r="867">
          <cell r="A867" t="str">
            <v/>
          </cell>
          <cell r="B867" t="str">
            <v/>
          </cell>
          <cell r="C867" t="str">
            <v>Future</v>
          </cell>
          <cell r="D867" t="e">
            <v>#N/A</v>
          </cell>
          <cell r="E867">
            <v>-2.7148648648649143</v>
          </cell>
          <cell r="F867">
            <v>18.095945945946145</v>
          </cell>
          <cell r="G867">
            <v>13.933783783783822</v>
          </cell>
          <cell r="H867">
            <v>13.933783783783822</v>
          </cell>
          <cell r="I867" t="e">
            <v>#N/A</v>
          </cell>
          <cell r="J867" t="e">
            <v>#N/A</v>
          </cell>
          <cell r="K867">
            <v>17.5</v>
          </cell>
          <cell r="L867">
            <v>14</v>
          </cell>
          <cell r="M867" t="e">
            <v>#N/A</v>
          </cell>
          <cell r="N867">
            <v>16.5</v>
          </cell>
          <cell r="O867" t="e">
            <v>#N/A</v>
          </cell>
          <cell r="P867" t="str">
            <v/>
          </cell>
          <cell r="Q867" t="str">
            <v/>
          </cell>
          <cell r="R867">
            <v>16.5</v>
          </cell>
        </row>
        <row r="868">
          <cell r="A868" t="str">
            <v/>
          </cell>
          <cell r="B868" t="str">
            <v/>
          </cell>
          <cell r="C868" t="str">
            <v>Future</v>
          </cell>
          <cell r="D868" t="e">
            <v>#N/A</v>
          </cell>
          <cell r="E868">
            <v>-2.7702702702703199</v>
          </cell>
          <cell r="F868">
            <v>18.108108108108308</v>
          </cell>
          <cell r="G868">
            <v>13.932432432432471</v>
          </cell>
          <cell r="H868">
            <v>13.932432432432471</v>
          </cell>
          <cell r="I868" t="e">
            <v>#N/A</v>
          </cell>
          <cell r="J868" t="e">
            <v>#N/A</v>
          </cell>
          <cell r="K868">
            <v>17.5</v>
          </cell>
          <cell r="L868">
            <v>14</v>
          </cell>
          <cell r="M868" t="e">
            <v>#N/A</v>
          </cell>
          <cell r="N868">
            <v>16.5</v>
          </cell>
          <cell r="O868" t="e">
            <v>#N/A</v>
          </cell>
          <cell r="P868" t="str">
            <v/>
          </cell>
          <cell r="Q868" t="str">
            <v/>
          </cell>
          <cell r="R868">
            <v>16.5</v>
          </cell>
        </row>
        <row r="869">
          <cell r="A869" t="str">
            <v/>
          </cell>
          <cell r="B869" t="str">
            <v/>
          </cell>
          <cell r="C869" t="str">
            <v>Future</v>
          </cell>
          <cell r="D869" t="e">
            <v>#N/A</v>
          </cell>
          <cell r="E869">
            <v>-2.8256756756757255</v>
          </cell>
          <cell r="F869">
            <v>18.120270270270471</v>
          </cell>
          <cell r="G869">
            <v>13.931081081081119</v>
          </cell>
          <cell r="H869">
            <v>13.931081081081119</v>
          </cell>
          <cell r="I869" t="e">
            <v>#N/A</v>
          </cell>
          <cell r="J869" t="e">
            <v>#N/A</v>
          </cell>
          <cell r="K869">
            <v>17.5</v>
          </cell>
          <cell r="L869">
            <v>14</v>
          </cell>
          <cell r="M869" t="e">
            <v>#N/A</v>
          </cell>
          <cell r="N869">
            <v>16.5</v>
          </cell>
          <cell r="O869" t="e">
            <v>#N/A</v>
          </cell>
          <cell r="P869" t="str">
            <v/>
          </cell>
          <cell r="Q869" t="str">
            <v/>
          </cell>
          <cell r="R869">
            <v>16.5</v>
          </cell>
        </row>
        <row r="870">
          <cell r="A870" t="str">
            <v/>
          </cell>
          <cell r="B870" t="str">
            <v/>
          </cell>
          <cell r="C870" t="str">
            <v>Future</v>
          </cell>
          <cell r="D870" t="e">
            <v>#N/A</v>
          </cell>
          <cell r="E870">
            <v>-2.8810810810811311</v>
          </cell>
          <cell r="F870">
            <v>18.132432432432633</v>
          </cell>
          <cell r="G870">
            <v>13.929729729729768</v>
          </cell>
          <cell r="H870">
            <v>13.929729729729768</v>
          </cell>
          <cell r="I870" t="e">
            <v>#N/A</v>
          </cell>
          <cell r="J870" t="e">
            <v>#N/A</v>
          </cell>
          <cell r="K870">
            <v>17.5</v>
          </cell>
          <cell r="L870">
            <v>14</v>
          </cell>
          <cell r="M870" t="e">
            <v>#N/A</v>
          </cell>
          <cell r="N870">
            <v>16.5</v>
          </cell>
          <cell r="O870" t="e">
            <v>#N/A</v>
          </cell>
          <cell r="P870" t="str">
            <v/>
          </cell>
          <cell r="Q870" t="str">
            <v/>
          </cell>
          <cell r="R870">
            <v>16.5</v>
          </cell>
        </row>
        <row r="871">
          <cell r="A871" t="str">
            <v/>
          </cell>
          <cell r="B871" t="str">
            <v/>
          </cell>
          <cell r="C871" t="str">
            <v>Future</v>
          </cell>
          <cell r="D871" t="e">
            <v>#N/A</v>
          </cell>
          <cell r="E871">
            <v>-2.9364864864865368</v>
          </cell>
          <cell r="F871">
            <v>18.144594594594796</v>
          </cell>
          <cell r="G871">
            <v>13.928378378378417</v>
          </cell>
          <cell r="H871">
            <v>13.928378378378417</v>
          </cell>
          <cell r="I871" t="e">
            <v>#N/A</v>
          </cell>
          <cell r="J871" t="e">
            <v>#N/A</v>
          </cell>
          <cell r="K871">
            <v>17.5</v>
          </cell>
          <cell r="L871">
            <v>14</v>
          </cell>
          <cell r="M871" t="e">
            <v>#N/A</v>
          </cell>
          <cell r="N871">
            <v>16.5</v>
          </cell>
          <cell r="O871" t="e">
            <v>#N/A</v>
          </cell>
          <cell r="P871" t="str">
            <v/>
          </cell>
          <cell r="Q871" t="str">
            <v/>
          </cell>
          <cell r="R871">
            <v>16.5</v>
          </cell>
        </row>
        <row r="872">
          <cell r="A872" t="str">
            <v/>
          </cell>
          <cell r="B872" t="str">
            <v/>
          </cell>
          <cell r="C872" t="str">
            <v>Future</v>
          </cell>
          <cell r="D872" t="e">
            <v>#N/A</v>
          </cell>
          <cell r="E872">
            <v>-2.9918918918919424</v>
          </cell>
          <cell r="F872">
            <v>18.156756756756959</v>
          </cell>
          <cell r="G872">
            <v>13.927027027027066</v>
          </cell>
          <cell r="H872">
            <v>13.927027027027066</v>
          </cell>
          <cell r="I872" t="e">
            <v>#N/A</v>
          </cell>
          <cell r="J872" t="e">
            <v>#N/A</v>
          </cell>
          <cell r="K872">
            <v>17.5</v>
          </cell>
          <cell r="L872">
            <v>14</v>
          </cell>
          <cell r="M872" t="e">
            <v>#N/A</v>
          </cell>
          <cell r="N872">
            <v>16.5</v>
          </cell>
          <cell r="O872" t="e">
            <v>#N/A</v>
          </cell>
          <cell r="P872" t="str">
            <v/>
          </cell>
          <cell r="Q872" t="str">
            <v/>
          </cell>
          <cell r="R872">
            <v>16.5</v>
          </cell>
        </row>
        <row r="873">
          <cell r="A873" t="str">
            <v/>
          </cell>
          <cell r="B873" t="str">
            <v/>
          </cell>
          <cell r="C873" t="str">
            <v>Future</v>
          </cell>
          <cell r="D873" t="e">
            <v>#N/A</v>
          </cell>
          <cell r="E873">
            <v>-3.047297297297348</v>
          </cell>
          <cell r="F873">
            <v>18.168918918919122</v>
          </cell>
          <cell r="G873">
            <v>13.925675675675715</v>
          </cell>
          <cell r="H873">
            <v>13.925675675675715</v>
          </cell>
          <cell r="I873" t="e">
            <v>#N/A</v>
          </cell>
          <cell r="J873" t="e">
            <v>#N/A</v>
          </cell>
          <cell r="K873">
            <v>17.5</v>
          </cell>
          <cell r="L873">
            <v>14</v>
          </cell>
          <cell r="M873" t="e">
            <v>#N/A</v>
          </cell>
          <cell r="N873">
            <v>16.5</v>
          </cell>
          <cell r="O873" t="e">
            <v>#N/A</v>
          </cell>
          <cell r="P873" t="str">
            <v/>
          </cell>
          <cell r="Q873" t="str">
            <v/>
          </cell>
          <cell r="R873">
            <v>16.5</v>
          </cell>
        </row>
        <row r="874">
          <cell r="A874" t="str">
            <v/>
          </cell>
          <cell r="B874" t="str">
            <v/>
          </cell>
          <cell r="C874" t="str">
            <v>Future</v>
          </cell>
          <cell r="D874" t="e">
            <v>#N/A</v>
          </cell>
          <cell r="E874">
            <v>-3.1027027027027536</v>
          </cell>
          <cell r="F874">
            <v>18.181081081081285</v>
          </cell>
          <cell r="G874">
            <v>13.924324324324363</v>
          </cell>
          <cell r="H874">
            <v>13.924324324324363</v>
          </cell>
          <cell r="I874" t="e">
            <v>#N/A</v>
          </cell>
          <cell r="J874" t="e">
            <v>#N/A</v>
          </cell>
          <cell r="K874">
            <v>17.5</v>
          </cell>
          <cell r="L874">
            <v>14</v>
          </cell>
          <cell r="M874" t="e">
            <v>#N/A</v>
          </cell>
          <cell r="N874">
            <v>16.5</v>
          </cell>
          <cell r="O874" t="e">
            <v>#N/A</v>
          </cell>
          <cell r="P874" t="str">
            <v/>
          </cell>
          <cell r="Q874" t="str">
            <v/>
          </cell>
          <cell r="R874">
            <v>16.5</v>
          </cell>
        </row>
        <row r="875">
          <cell r="A875" t="str">
            <v/>
          </cell>
          <cell r="B875" t="str">
            <v/>
          </cell>
          <cell r="C875" t="str">
            <v>Future</v>
          </cell>
          <cell r="D875" t="e">
            <v>#N/A</v>
          </cell>
          <cell r="E875">
            <v>-3.1581081081081592</v>
          </cell>
          <cell r="F875">
            <v>18.193243243243447</v>
          </cell>
          <cell r="G875">
            <v>13.922972972973012</v>
          </cell>
          <cell r="H875">
            <v>13.922972972973012</v>
          </cell>
          <cell r="I875" t="e">
            <v>#N/A</v>
          </cell>
          <cell r="J875" t="e">
            <v>#N/A</v>
          </cell>
          <cell r="K875">
            <v>17.5</v>
          </cell>
          <cell r="L875">
            <v>14</v>
          </cell>
          <cell r="M875" t="e">
            <v>#N/A</v>
          </cell>
          <cell r="N875">
            <v>16.5</v>
          </cell>
          <cell r="O875" t="e">
            <v>#N/A</v>
          </cell>
          <cell r="P875" t="str">
            <v/>
          </cell>
          <cell r="Q875" t="str">
            <v/>
          </cell>
          <cell r="R875">
            <v>16.5</v>
          </cell>
        </row>
        <row r="876">
          <cell r="A876" t="str">
            <v/>
          </cell>
          <cell r="B876" t="str">
            <v/>
          </cell>
          <cell r="C876" t="str">
            <v>Future</v>
          </cell>
          <cell r="D876" t="e">
            <v>#N/A</v>
          </cell>
          <cell r="E876">
            <v>-3.2135135135135648</v>
          </cell>
          <cell r="F876">
            <v>18.20540540540561</v>
          </cell>
          <cell r="G876">
            <v>13.921621621621661</v>
          </cell>
          <cell r="H876">
            <v>13.921621621621661</v>
          </cell>
          <cell r="I876" t="e">
            <v>#N/A</v>
          </cell>
          <cell r="J876" t="e">
            <v>#N/A</v>
          </cell>
          <cell r="K876">
            <v>17.5</v>
          </cell>
          <cell r="L876">
            <v>14</v>
          </cell>
          <cell r="M876" t="e">
            <v>#N/A</v>
          </cell>
          <cell r="N876">
            <v>16.5</v>
          </cell>
          <cell r="O876" t="e">
            <v>#N/A</v>
          </cell>
          <cell r="P876" t="str">
            <v/>
          </cell>
          <cell r="Q876" t="str">
            <v/>
          </cell>
          <cell r="R876">
            <v>16.5</v>
          </cell>
        </row>
        <row r="877">
          <cell r="A877" t="str">
            <v/>
          </cell>
          <cell r="B877" t="str">
            <v/>
          </cell>
          <cell r="C877" t="str">
            <v>Future</v>
          </cell>
          <cell r="D877" t="e">
            <v>#N/A</v>
          </cell>
          <cell r="E877">
            <v>-3.2689189189189705</v>
          </cell>
          <cell r="F877">
            <v>18.217567567567773</v>
          </cell>
          <cell r="G877">
            <v>13.92027027027031</v>
          </cell>
          <cell r="H877">
            <v>13.92027027027031</v>
          </cell>
          <cell r="I877" t="e">
            <v>#N/A</v>
          </cell>
          <cell r="J877" t="e">
            <v>#N/A</v>
          </cell>
          <cell r="K877">
            <v>17.5</v>
          </cell>
          <cell r="L877">
            <v>14</v>
          </cell>
          <cell r="M877" t="e">
            <v>#N/A</v>
          </cell>
          <cell r="N877">
            <v>16.5</v>
          </cell>
          <cell r="O877" t="e">
            <v>#N/A</v>
          </cell>
          <cell r="P877" t="str">
            <v/>
          </cell>
          <cell r="Q877" t="str">
            <v/>
          </cell>
          <cell r="R877">
            <v>16.5</v>
          </cell>
        </row>
        <row r="878">
          <cell r="A878" t="str">
            <v/>
          </cell>
          <cell r="B878" t="str">
            <v/>
          </cell>
          <cell r="C878" t="str">
            <v>Future</v>
          </cell>
          <cell r="D878" t="e">
            <v>#N/A</v>
          </cell>
          <cell r="E878">
            <v>-3.3243243243243761</v>
          </cell>
          <cell r="F878">
            <v>18.229729729729936</v>
          </cell>
          <cell r="G878">
            <v>13.918918918918958</v>
          </cell>
          <cell r="H878">
            <v>13.918918918918958</v>
          </cell>
          <cell r="I878" t="e">
            <v>#N/A</v>
          </cell>
          <cell r="J878" t="e">
            <v>#N/A</v>
          </cell>
          <cell r="K878">
            <v>17.5</v>
          </cell>
          <cell r="L878">
            <v>14</v>
          </cell>
          <cell r="M878" t="e">
            <v>#N/A</v>
          </cell>
          <cell r="N878">
            <v>16.5</v>
          </cell>
          <cell r="O878" t="e">
            <v>#N/A</v>
          </cell>
          <cell r="P878" t="str">
            <v/>
          </cell>
          <cell r="Q878" t="str">
            <v/>
          </cell>
          <cell r="R878">
            <v>16.5</v>
          </cell>
        </row>
        <row r="879">
          <cell r="A879" t="str">
            <v/>
          </cell>
          <cell r="B879" t="str">
            <v/>
          </cell>
          <cell r="C879" t="str">
            <v>Future</v>
          </cell>
          <cell r="D879" t="e">
            <v>#N/A</v>
          </cell>
          <cell r="E879">
            <v>-3.3797297297297817</v>
          </cell>
          <cell r="F879">
            <v>18.241891891892099</v>
          </cell>
          <cell r="G879">
            <v>13.917567567567607</v>
          </cell>
          <cell r="H879">
            <v>13.917567567567607</v>
          </cell>
          <cell r="I879" t="e">
            <v>#N/A</v>
          </cell>
          <cell r="J879" t="e">
            <v>#N/A</v>
          </cell>
          <cell r="K879">
            <v>17.5</v>
          </cell>
          <cell r="L879">
            <v>14</v>
          </cell>
          <cell r="M879" t="e">
            <v>#N/A</v>
          </cell>
          <cell r="N879">
            <v>16.5</v>
          </cell>
          <cell r="O879" t="e">
            <v>#N/A</v>
          </cell>
          <cell r="P879" t="str">
            <v/>
          </cell>
          <cell r="Q879" t="str">
            <v/>
          </cell>
          <cell r="R879">
            <v>16.5</v>
          </cell>
        </row>
        <row r="880">
          <cell r="A880" t="str">
            <v/>
          </cell>
          <cell r="B880" t="str">
            <v/>
          </cell>
          <cell r="C880" t="str">
            <v>Future</v>
          </cell>
          <cell r="D880" t="e">
            <v>#N/A</v>
          </cell>
          <cell r="E880">
            <v>-3.4351351351351873</v>
          </cell>
          <cell r="F880">
            <v>18.254054054054262</v>
          </cell>
          <cell r="G880">
            <v>13.916216216216256</v>
          </cell>
          <cell r="H880">
            <v>13.916216216216256</v>
          </cell>
          <cell r="I880" t="e">
            <v>#N/A</v>
          </cell>
          <cell r="J880" t="e">
            <v>#N/A</v>
          </cell>
          <cell r="K880">
            <v>17.5</v>
          </cell>
          <cell r="L880">
            <v>14</v>
          </cell>
          <cell r="M880" t="e">
            <v>#N/A</v>
          </cell>
          <cell r="N880">
            <v>16.5</v>
          </cell>
          <cell r="O880" t="e">
            <v>#N/A</v>
          </cell>
          <cell r="P880" t="str">
            <v/>
          </cell>
          <cell r="Q880" t="str">
            <v/>
          </cell>
          <cell r="R880">
            <v>16.5</v>
          </cell>
        </row>
        <row r="881">
          <cell r="A881" t="str">
            <v/>
          </cell>
          <cell r="B881" t="str">
            <v/>
          </cell>
          <cell r="C881" t="str">
            <v>Future</v>
          </cell>
          <cell r="D881" t="e">
            <v>#N/A</v>
          </cell>
          <cell r="E881">
            <v>-3.4905405405405929</v>
          </cell>
          <cell r="F881">
            <v>18.266216216216424</v>
          </cell>
          <cell r="G881">
            <v>13.914864864864905</v>
          </cell>
          <cell r="H881">
            <v>13.914864864864905</v>
          </cell>
          <cell r="I881" t="e">
            <v>#N/A</v>
          </cell>
          <cell r="J881" t="e">
            <v>#N/A</v>
          </cell>
          <cell r="K881">
            <v>17.5</v>
          </cell>
          <cell r="L881">
            <v>14</v>
          </cell>
          <cell r="M881" t="e">
            <v>#N/A</v>
          </cell>
          <cell r="N881">
            <v>16.5</v>
          </cell>
          <cell r="O881" t="e">
            <v>#N/A</v>
          </cell>
          <cell r="P881" t="str">
            <v/>
          </cell>
          <cell r="Q881" t="str">
            <v/>
          </cell>
          <cell r="R881">
            <v>16.5</v>
          </cell>
        </row>
        <row r="882">
          <cell r="A882" t="str">
            <v/>
          </cell>
          <cell r="B882" t="str">
            <v/>
          </cell>
          <cell r="C882" t="str">
            <v>Future</v>
          </cell>
          <cell r="D882" t="e">
            <v>#N/A</v>
          </cell>
          <cell r="E882">
            <v>-3.5459459459459985</v>
          </cell>
          <cell r="F882">
            <v>18.278378378378587</v>
          </cell>
          <cell r="G882">
            <v>13.913513513513553</v>
          </cell>
          <cell r="H882">
            <v>13.913513513513553</v>
          </cell>
          <cell r="I882" t="e">
            <v>#N/A</v>
          </cell>
          <cell r="J882" t="e">
            <v>#N/A</v>
          </cell>
          <cell r="K882">
            <v>17.5</v>
          </cell>
          <cell r="L882">
            <v>14</v>
          </cell>
          <cell r="M882" t="e">
            <v>#N/A</v>
          </cell>
          <cell r="N882">
            <v>16.5</v>
          </cell>
          <cell r="O882" t="e">
            <v>#N/A</v>
          </cell>
          <cell r="P882" t="str">
            <v/>
          </cell>
          <cell r="Q882" t="str">
            <v/>
          </cell>
          <cell r="R882">
            <v>16.5</v>
          </cell>
        </row>
        <row r="883">
          <cell r="A883" t="str">
            <v/>
          </cell>
          <cell r="B883" t="str">
            <v/>
          </cell>
          <cell r="C883" t="str">
            <v>Future</v>
          </cell>
          <cell r="D883" t="e">
            <v>#N/A</v>
          </cell>
          <cell r="E883">
            <v>-3.6013513513514042</v>
          </cell>
          <cell r="F883">
            <v>18.29054054054075</v>
          </cell>
          <cell r="G883">
            <v>13.912162162162202</v>
          </cell>
          <cell r="H883">
            <v>13.912162162162202</v>
          </cell>
          <cell r="I883" t="e">
            <v>#N/A</v>
          </cell>
          <cell r="J883" t="e">
            <v>#N/A</v>
          </cell>
          <cell r="K883">
            <v>17.5</v>
          </cell>
          <cell r="L883">
            <v>14</v>
          </cell>
          <cell r="M883" t="e">
            <v>#N/A</v>
          </cell>
          <cell r="N883">
            <v>16.5</v>
          </cell>
          <cell r="O883" t="e">
            <v>#N/A</v>
          </cell>
          <cell r="P883" t="str">
            <v/>
          </cell>
          <cell r="Q883" t="str">
            <v/>
          </cell>
          <cell r="R883">
            <v>16.5</v>
          </cell>
        </row>
        <row r="884">
          <cell r="A884" t="str">
            <v/>
          </cell>
          <cell r="B884" t="str">
            <v/>
          </cell>
          <cell r="C884" t="str">
            <v>Future</v>
          </cell>
          <cell r="D884" t="e">
            <v>#N/A</v>
          </cell>
          <cell r="E884">
            <v>-3.6567567567568098</v>
          </cell>
          <cell r="F884">
            <v>18.302702702702913</v>
          </cell>
          <cell r="G884">
            <v>13.910810810810851</v>
          </cell>
          <cell r="H884">
            <v>13.910810810810851</v>
          </cell>
          <cell r="I884" t="e">
            <v>#N/A</v>
          </cell>
          <cell r="J884" t="e">
            <v>#N/A</v>
          </cell>
          <cell r="K884">
            <v>17.5</v>
          </cell>
          <cell r="L884">
            <v>14</v>
          </cell>
          <cell r="M884" t="e">
            <v>#N/A</v>
          </cell>
          <cell r="N884">
            <v>16.5</v>
          </cell>
          <cell r="O884" t="e">
            <v>#N/A</v>
          </cell>
          <cell r="P884" t="str">
            <v/>
          </cell>
          <cell r="Q884" t="str">
            <v/>
          </cell>
          <cell r="R884">
            <v>16.5</v>
          </cell>
        </row>
        <row r="885">
          <cell r="A885" t="str">
            <v/>
          </cell>
          <cell r="B885" t="str">
            <v/>
          </cell>
          <cell r="C885" t="str">
            <v>Future</v>
          </cell>
          <cell r="D885" t="e">
            <v>#N/A</v>
          </cell>
          <cell r="E885">
            <v>-3.7121621621622154</v>
          </cell>
          <cell r="F885">
            <v>18.314864864865076</v>
          </cell>
          <cell r="G885">
            <v>13.9094594594595</v>
          </cell>
          <cell r="H885">
            <v>13.9094594594595</v>
          </cell>
          <cell r="I885" t="e">
            <v>#N/A</v>
          </cell>
          <cell r="J885" t="e">
            <v>#N/A</v>
          </cell>
          <cell r="K885">
            <v>17.5</v>
          </cell>
          <cell r="L885">
            <v>14</v>
          </cell>
          <cell r="M885" t="e">
            <v>#N/A</v>
          </cell>
          <cell r="N885">
            <v>16.5</v>
          </cell>
          <cell r="O885" t="e">
            <v>#N/A</v>
          </cell>
          <cell r="P885" t="str">
            <v/>
          </cell>
          <cell r="Q885" t="str">
            <v/>
          </cell>
          <cell r="R885">
            <v>16.5</v>
          </cell>
        </row>
        <row r="886">
          <cell r="A886" t="str">
            <v/>
          </cell>
          <cell r="B886" t="str">
            <v/>
          </cell>
          <cell r="C886" t="str">
            <v>Future</v>
          </cell>
          <cell r="D886" t="e">
            <v>#N/A</v>
          </cell>
          <cell r="E886">
            <v>-3.767567567567621</v>
          </cell>
          <cell r="F886">
            <v>18.327027027027238</v>
          </cell>
          <cell r="G886">
            <v>13.908108108108149</v>
          </cell>
          <cell r="H886">
            <v>13.908108108108149</v>
          </cell>
          <cell r="I886" t="e">
            <v>#N/A</v>
          </cell>
          <cell r="J886" t="e">
            <v>#N/A</v>
          </cell>
          <cell r="K886">
            <v>17.5</v>
          </cell>
          <cell r="L886">
            <v>14</v>
          </cell>
          <cell r="M886" t="e">
            <v>#N/A</v>
          </cell>
          <cell r="N886">
            <v>16.5</v>
          </cell>
          <cell r="O886" t="e">
            <v>#N/A</v>
          </cell>
          <cell r="P886" t="str">
            <v/>
          </cell>
          <cell r="Q886" t="str">
            <v/>
          </cell>
          <cell r="R886">
            <v>16.5</v>
          </cell>
        </row>
        <row r="887">
          <cell r="A887" t="str">
            <v/>
          </cell>
          <cell r="B887" t="str">
            <v/>
          </cell>
          <cell r="C887" t="str">
            <v>Future</v>
          </cell>
          <cell r="D887" t="e">
            <v>#N/A</v>
          </cell>
          <cell r="E887">
            <v>-3.8229729729730266</v>
          </cell>
          <cell r="F887">
            <v>18.339189189189401</v>
          </cell>
          <cell r="G887">
            <v>13.906756756756797</v>
          </cell>
          <cell r="H887">
            <v>13.906756756756797</v>
          </cell>
          <cell r="I887" t="e">
            <v>#N/A</v>
          </cell>
          <cell r="J887" t="e">
            <v>#N/A</v>
          </cell>
          <cell r="K887">
            <v>17.5</v>
          </cell>
          <cell r="L887">
            <v>14</v>
          </cell>
          <cell r="M887" t="e">
            <v>#N/A</v>
          </cell>
          <cell r="N887">
            <v>16.5</v>
          </cell>
          <cell r="O887" t="e">
            <v>#N/A</v>
          </cell>
          <cell r="P887" t="str">
            <v/>
          </cell>
          <cell r="Q887" t="str">
            <v/>
          </cell>
          <cell r="R887">
            <v>16.5</v>
          </cell>
        </row>
        <row r="888">
          <cell r="A888" t="str">
            <v/>
          </cell>
          <cell r="B888" t="str">
            <v/>
          </cell>
          <cell r="C888" t="str">
            <v>Future</v>
          </cell>
          <cell r="D888" t="e">
            <v>#N/A</v>
          </cell>
          <cell r="E888">
            <v>-3.8783783783784322</v>
          </cell>
          <cell r="F888">
            <v>18.351351351351564</v>
          </cell>
          <cell r="G888">
            <v>13.905405405405446</v>
          </cell>
          <cell r="H888">
            <v>13.905405405405446</v>
          </cell>
          <cell r="I888" t="e">
            <v>#N/A</v>
          </cell>
          <cell r="J888" t="e">
            <v>#N/A</v>
          </cell>
          <cell r="K888">
            <v>17.5</v>
          </cell>
          <cell r="L888">
            <v>14</v>
          </cell>
          <cell r="M888" t="e">
            <v>#N/A</v>
          </cell>
          <cell r="N888">
            <v>16.5</v>
          </cell>
          <cell r="O888" t="e">
            <v>#N/A</v>
          </cell>
          <cell r="P888" t="str">
            <v/>
          </cell>
          <cell r="Q888" t="str">
            <v/>
          </cell>
          <cell r="R888">
            <v>16.5</v>
          </cell>
        </row>
        <row r="889">
          <cell r="A889" t="str">
            <v/>
          </cell>
          <cell r="B889" t="str">
            <v/>
          </cell>
          <cell r="C889" t="str">
            <v>Future</v>
          </cell>
          <cell r="D889" t="e">
            <v>#N/A</v>
          </cell>
          <cell r="E889">
            <v>-3.9337837837838379</v>
          </cell>
          <cell r="F889">
            <v>18.363513513513727</v>
          </cell>
          <cell r="G889">
            <v>13.904054054054095</v>
          </cell>
          <cell r="H889">
            <v>13.904054054054095</v>
          </cell>
          <cell r="I889" t="e">
            <v>#N/A</v>
          </cell>
          <cell r="J889" t="e">
            <v>#N/A</v>
          </cell>
          <cell r="K889">
            <v>17.5</v>
          </cell>
          <cell r="L889">
            <v>14</v>
          </cell>
          <cell r="M889" t="e">
            <v>#N/A</v>
          </cell>
          <cell r="N889">
            <v>16.5</v>
          </cell>
          <cell r="O889" t="e">
            <v>#N/A</v>
          </cell>
          <cell r="P889" t="str">
            <v/>
          </cell>
          <cell r="Q889" t="str">
            <v/>
          </cell>
          <cell r="R889">
            <v>16.5</v>
          </cell>
        </row>
        <row r="890">
          <cell r="A890" t="str">
            <v/>
          </cell>
          <cell r="B890" t="str">
            <v/>
          </cell>
          <cell r="C890" t="str">
            <v>Future</v>
          </cell>
          <cell r="D890" t="e">
            <v>#N/A</v>
          </cell>
          <cell r="E890">
            <v>-3.9891891891892435</v>
          </cell>
          <cell r="F890">
            <v>18.37567567567589</v>
          </cell>
          <cell r="G890">
            <v>13.902702702702744</v>
          </cell>
          <cell r="H890">
            <v>13.902702702702744</v>
          </cell>
          <cell r="I890" t="e">
            <v>#N/A</v>
          </cell>
          <cell r="J890" t="e">
            <v>#N/A</v>
          </cell>
          <cell r="K890">
            <v>17.5</v>
          </cell>
          <cell r="L890">
            <v>14</v>
          </cell>
          <cell r="M890" t="e">
            <v>#N/A</v>
          </cell>
          <cell r="N890">
            <v>16.5</v>
          </cell>
          <cell r="O890" t="e">
            <v>#N/A</v>
          </cell>
          <cell r="P890" t="str">
            <v/>
          </cell>
          <cell r="Q890" t="str">
            <v/>
          </cell>
          <cell r="R890">
            <v>16.5</v>
          </cell>
        </row>
        <row r="891">
          <cell r="A891" t="str">
            <v/>
          </cell>
          <cell r="B891" t="str">
            <v/>
          </cell>
          <cell r="C891" t="str">
            <v>Future</v>
          </cell>
          <cell r="D891" t="e">
            <v>#N/A</v>
          </cell>
          <cell r="E891">
            <v>-4.0445945945946491</v>
          </cell>
          <cell r="F891">
            <v>18.387837837838052</v>
          </cell>
          <cell r="G891">
            <v>13.901351351351392</v>
          </cell>
          <cell r="H891">
            <v>13.901351351351392</v>
          </cell>
          <cell r="I891" t="e">
            <v>#N/A</v>
          </cell>
          <cell r="J891" t="e">
            <v>#N/A</v>
          </cell>
          <cell r="K891">
            <v>17.5</v>
          </cell>
          <cell r="L891">
            <v>14</v>
          </cell>
          <cell r="M891" t="e">
            <v>#N/A</v>
          </cell>
          <cell r="N891">
            <v>16.5</v>
          </cell>
          <cell r="O891" t="e">
            <v>#N/A</v>
          </cell>
          <cell r="P891" t="str">
            <v/>
          </cell>
          <cell r="Q891" t="str">
            <v/>
          </cell>
          <cell r="R891">
            <v>16.5</v>
          </cell>
        </row>
        <row r="892">
          <cell r="A892" t="str">
            <v/>
          </cell>
          <cell r="B892" t="str">
            <v/>
          </cell>
          <cell r="C892" t="str">
            <v>Future</v>
          </cell>
          <cell r="D892" t="e">
            <v>#N/A</v>
          </cell>
          <cell r="E892">
            <v>-4.1000000000000547</v>
          </cell>
          <cell r="F892">
            <v>18.400000000000215</v>
          </cell>
          <cell r="G892">
            <v>13.900000000000041</v>
          </cell>
          <cell r="H892">
            <v>13.900000000000041</v>
          </cell>
          <cell r="I892" t="e">
            <v>#N/A</v>
          </cell>
          <cell r="J892" t="e">
            <v>#N/A</v>
          </cell>
          <cell r="K892">
            <v>17.5</v>
          </cell>
          <cell r="L892">
            <v>14</v>
          </cell>
          <cell r="M892" t="e">
            <v>#N/A</v>
          </cell>
          <cell r="N892">
            <v>16.5</v>
          </cell>
          <cell r="O892" t="e">
            <v>#N/A</v>
          </cell>
          <cell r="P892" t="str">
            <v/>
          </cell>
          <cell r="Q892" t="str">
            <v/>
          </cell>
          <cell r="R892">
            <v>16.5</v>
          </cell>
        </row>
        <row r="893">
          <cell r="A893" t="str">
            <v/>
          </cell>
          <cell r="B893" t="str">
            <v/>
          </cell>
          <cell r="C893" t="str">
            <v>Future</v>
          </cell>
          <cell r="D893" t="e">
            <v>#N/A</v>
          </cell>
          <cell r="E893">
            <v>-4.1554054054054603</v>
          </cell>
          <cell r="F893">
            <v>18.412162162162378</v>
          </cell>
          <cell r="G893">
            <v>13.89864864864869</v>
          </cell>
          <cell r="H893">
            <v>13.89864864864869</v>
          </cell>
          <cell r="I893" t="e">
            <v>#N/A</v>
          </cell>
          <cell r="J893" t="e">
            <v>#N/A</v>
          </cell>
          <cell r="K893">
            <v>17.5</v>
          </cell>
          <cell r="L893">
            <v>14</v>
          </cell>
          <cell r="M893" t="e">
            <v>#N/A</v>
          </cell>
          <cell r="N893">
            <v>16.5</v>
          </cell>
          <cell r="O893" t="e">
            <v>#N/A</v>
          </cell>
          <cell r="P893" t="str">
            <v/>
          </cell>
          <cell r="Q893" t="str">
            <v/>
          </cell>
          <cell r="R893">
            <v>16.5</v>
          </cell>
        </row>
        <row r="894">
          <cell r="A894" t="str">
            <v/>
          </cell>
          <cell r="B894" t="str">
            <v/>
          </cell>
          <cell r="C894" t="str">
            <v>Future</v>
          </cell>
          <cell r="D894" t="e">
            <v>#N/A</v>
          </cell>
          <cell r="E894">
            <v>-4.2108108108108659</v>
          </cell>
          <cell r="F894">
            <v>18.424324324324541</v>
          </cell>
          <cell r="G894">
            <v>13.897297297297339</v>
          </cell>
          <cell r="H894">
            <v>13.897297297297339</v>
          </cell>
          <cell r="I894" t="e">
            <v>#N/A</v>
          </cell>
          <cell r="J894" t="e">
            <v>#N/A</v>
          </cell>
          <cell r="K894">
            <v>17.5</v>
          </cell>
          <cell r="L894">
            <v>14</v>
          </cell>
          <cell r="M894" t="e">
            <v>#N/A</v>
          </cell>
          <cell r="N894">
            <v>16.5</v>
          </cell>
          <cell r="O894" t="e">
            <v>#N/A</v>
          </cell>
          <cell r="P894" t="str">
            <v/>
          </cell>
          <cell r="Q894" t="str">
            <v/>
          </cell>
          <cell r="R894">
            <v>16.5</v>
          </cell>
        </row>
        <row r="895">
          <cell r="A895" t="str">
            <v/>
          </cell>
          <cell r="B895" t="str">
            <v/>
          </cell>
          <cell r="C895" t="str">
            <v>Future</v>
          </cell>
          <cell r="D895" t="e">
            <v>#N/A</v>
          </cell>
          <cell r="E895">
            <v>-4.2662162162162716</v>
          </cell>
          <cell r="F895">
            <v>18.436486486486704</v>
          </cell>
          <cell r="G895">
            <v>13.895945945945988</v>
          </cell>
          <cell r="H895">
            <v>13.895945945945988</v>
          </cell>
          <cell r="I895" t="e">
            <v>#N/A</v>
          </cell>
          <cell r="J895" t="e">
            <v>#N/A</v>
          </cell>
          <cell r="K895">
            <v>17.5</v>
          </cell>
          <cell r="L895">
            <v>14</v>
          </cell>
          <cell r="M895" t="e">
            <v>#N/A</v>
          </cell>
          <cell r="N895">
            <v>16.5</v>
          </cell>
          <cell r="O895" t="e">
            <v>#N/A</v>
          </cell>
          <cell r="P895" t="str">
            <v/>
          </cell>
          <cell r="Q895" t="str">
            <v/>
          </cell>
          <cell r="R895">
            <v>16.5</v>
          </cell>
        </row>
        <row r="896">
          <cell r="A896" t="str">
            <v/>
          </cell>
          <cell r="B896" t="str">
            <v/>
          </cell>
          <cell r="C896" t="str">
            <v>Future</v>
          </cell>
          <cell r="D896" t="e">
            <v>#N/A</v>
          </cell>
          <cell r="E896">
            <v>-4.3216216216216772</v>
          </cell>
          <cell r="F896">
            <v>18.448648648648867</v>
          </cell>
          <cell r="G896">
            <v>13.894594594594636</v>
          </cell>
          <cell r="H896">
            <v>13.894594594594636</v>
          </cell>
          <cell r="I896" t="e">
            <v>#N/A</v>
          </cell>
          <cell r="J896" t="e">
            <v>#N/A</v>
          </cell>
          <cell r="K896">
            <v>17.5</v>
          </cell>
          <cell r="L896">
            <v>14</v>
          </cell>
          <cell r="M896" t="e">
            <v>#N/A</v>
          </cell>
          <cell r="N896">
            <v>16.5</v>
          </cell>
          <cell r="O896" t="e">
            <v>#N/A</v>
          </cell>
          <cell r="P896" t="str">
            <v/>
          </cell>
          <cell r="Q896" t="str">
            <v/>
          </cell>
          <cell r="R896">
            <v>16.5</v>
          </cell>
        </row>
        <row r="897">
          <cell r="A897" t="str">
            <v/>
          </cell>
          <cell r="B897" t="str">
            <v/>
          </cell>
          <cell r="C897" t="str">
            <v>Future</v>
          </cell>
          <cell r="D897" t="e">
            <v>#N/A</v>
          </cell>
          <cell r="E897">
            <v>-4.3770270270270828</v>
          </cell>
          <cell r="F897">
            <v>18.460810810811029</v>
          </cell>
          <cell r="G897">
            <v>13.893243243243285</v>
          </cell>
          <cell r="H897">
            <v>13.893243243243285</v>
          </cell>
          <cell r="I897" t="e">
            <v>#N/A</v>
          </cell>
          <cell r="J897" t="e">
            <v>#N/A</v>
          </cell>
          <cell r="K897">
            <v>17.5</v>
          </cell>
          <cell r="L897">
            <v>14</v>
          </cell>
          <cell r="M897" t="e">
            <v>#N/A</v>
          </cell>
          <cell r="N897">
            <v>16.5</v>
          </cell>
          <cell r="O897" t="e">
            <v>#N/A</v>
          </cell>
          <cell r="P897" t="str">
            <v/>
          </cell>
          <cell r="Q897" t="str">
            <v/>
          </cell>
          <cell r="R897">
            <v>16.5</v>
          </cell>
        </row>
        <row r="898">
          <cell r="A898" t="str">
            <v/>
          </cell>
          <cell r="B898" t="str">
            <v/>
          </cell>
          <cell r="C898" t="str">
            <v>Future</v>
          </cell>
          <cell r="D898" t="e">
            <v>#N/A</v>
          </cell>
          <cell r="E898">
            <v>-4.4324324324324884</v>
          </cell>
          <cell r="F898">
            <v>18.472972972973192</v>
          </cell>
          <cell r="G898">
            <v>13.891891891891934</v>
          </cell>
          <cell r="H898">
            <v>13.891891891891934</v>
          </cell>
          <cell r="I898" t="e">
            <v>#N/A</v>
          </cell>
          <cell r="J898" t="e">
            <v>#N/A</v>
          </cell>
          <cell r="K898">
            <v>17.5</v>
          </cell>
          <cell r="L898">
            <v>14</v>
          </cell>
          <cell r="M898" t="e">
            <v>#N/A</v>
          </cell>
          <cell r="N898">
            <v>16.5</v>
          </cell>
          <cell r="O898" t="e">
            <v>#N/A</v>
          </cell>
          <cell r="P898" t="str">
            <v/>
          </cell>
          <cell r="Q898" t="str">
            <v/>
          </cell>
          <cell r="R898">
            <v>16.5</v>
          </cell>
        </row>
        <row r="899">
          <cell r="A899" t="str">
            <v/>
          </cell>
          <cell r="B899" t="str">
            <v/>
          </cell>
          <cell r="C899" t="str">
            <v>Future</v>
          </cell>
          <cell r="D899" t="e">
            <v>#N/A</v>
          </cell>
          <cell r="E899">
            <v>-4.487837837837894</v>
          </cell>
          <cell r="F899">
            <v>18.485135135135355</v>
          </cell>
          <cell r="G899">
            <v>13.890540540540583</v>
          </cell>
          <cell r="H899">
            <v>13.890540540540583</v>
          </cell>
          <cell r="I899" t="e">
            <v>#N/A</v>
          </cell>
          <cell r="J899" t="e">
            <v>#N/A</v>
          </cell>
          <cell r="K899">
            <v>17.5</v>
          </cell>
          <cell r="L899">
            <v>14</v>
          </cell>
          <cell r="M899" t="e">
            <v>#N/A</v>
          </cell>
          <cell r="N899">
            <v>16.5</v>
          </cell>
          <cell r="O899" t="e">
            <v>#N/A</v>
          </cell>
          <cell r="P899" t="str">
            <v/>
          </cell>
          <cell r="Q899" t="str">
            <v/>
          </cell>
          <cell r="R899">
            <v>16.5</v>
          </cell>
        </row>
        <row r="900">
          <cell r="A900" t="str">
            <v/>
          </cell>
          <cell r="B900" t="str">
            <v/>
          </cell>
          <cell r="C900" t="str">
            <v>Future</v>
          </cell>
          <cell r="D900" t="e">
            <v>#N/A</v>
          </cell>
          <cell r="E900">
            <v>-4.5432432432432996</v>
          </cell>
          <cell r="F900">
            <v>18.497297297297518</v>
          </cell>
          <cell r="G900">
            <v>13.889189189189231</v>
          </cell>
          <cell r="H900">
            <v>13.889189189189231</v>
          </cell>
          <cell r="I900" t="e">
            <v>#N/A</v>
          </cell>
          <cell r="J900" t="e">
            <v>#N/A</v>
          </cell>
          <cell r="K900">
            <v>17.5</v>
          </cell>
          <cell r="L900">
            <v>14</v>
          </cell>
          <cell r="M900" t="e">
            <v>#N/A</v>
          </cell>
          <cell r="N900">
            <v>16.5</v>
          </cell>
          <cell r="O900" t="e">
            <v>#N/A</v>
          </cell>
          <cell r="P900" t="str">
            <v/>
          </cell>
          <cell r="Q900" t="str">
            <v/>
          </cell>
          <cell r="R900">
            <v>16.5</v>
          </cell>
        </row>
        <row r="901">
          <cell r="A901" t="str">
            <v/>
          </cell>
          <cell r="B901" t="str">
            <v/>
          </cell>
          <cell r="C901" t="str">
            <v>Future</v>
          </cell>
          <cell r="D901" t="e">
            <v>#N/A</v>
          </cell>
          <cell r="E901">
            <v>-4.5986486486487053</v>
          </cell>
          <cell r="F901">
            <v>18.509459459459681</v>
          </cell>
          <cell r="G901">
            <v>13.88783783783788</v>
          </cell>
          <cell r="H901">
            <v>13.88783783783788</v>
          </cell>
          <cell r="I901" t="e">
            <v>#N/A</v>
          </cell>
          <cell r="J901" t="e">
            <v>#N/A</v>
          </cell>
          <cell r="K901">
            <v>17.5</v>
          </cell>
          <cell r="L901">
            <v>14</v>
          </cell>
          <cell r="M901" t="e">
            <v>#N/A</v>
          </cell>
          <cell r="N901">
            <v>16.5</v>
          </cell>
          <cell r="O901" t="e">
            <v>#N/A</v>
          </cell>
          <cell r="P901" t="str">
            <v/>
          </cell>
          <cell r="Q901" t="str">
            <v/>
          </cell>
          <cell r="R901">
            <v>16.5</v>
          </cell>
        </row>
        <row r="902">
          <cell r="A902" t="str">
            <v/>
          </cell>
          <cell r="B902" t="str">
            <v/>
          </cell>
          <cell r="C902" t="str">
            <v>Future</v>
          </cell>
          <cell r="D902" t="e">
            <v>#N/A</v>
          </cell>
          <cell r="E902">
            <v>-4.6540540540541109</v>
          </cell>
          <cell r="F902">
            <v>18.521621621621843</v>
          </cell>
          <cell r="G902">
            <v>13.886486486486529</v>
          </cell>
          <cell r="H902">
            <v>13.886486486486529</v>
          </cell>
          <cell r="I902" t="e">
            <v>#N/A</v>
          </cell>
          <cell r="J902" t="e">
            <v>#N/A</v>
          </cell>
          <cell r="K902">
            <v>17.5</v>
          </cell>
          <cell r="L902">
            <v>14</v>
          </cell>
          <cell r="M902" t="e">
            <v>#N/A</v>
          </cell>
          <cell r="N902">
            <v>16.5</v>
          </cell>
          <cell r="O902" t="e">
            <v>#N/A</v>
          </cell>
          <cell r="P902" t="str">
            <v/>
          </cell>
          <cell r="Q902" t="str">
            <v/>
          </cell>
          <cell r="R902">
            <v>16.5</v>
          </cell>
        </row>
        <row r="903">
          <cell r="A903" t="str">
            <v/>
          </cell>
          <cell r="B903" t="str">
            <v/>
          </cell>
          <cell r="C903" t="str">
            <v>Future</v>
          </cell>
          <cell r="D903" t="e">
            <v>#N/A</v>
          </cell>
          <cell r="E903">
            <v>-4.7094594594595165</v>
          </cell>
          <cell r="F903">
            <v>18.533783783784006</v>
          </cell>
          <cell r="G903">
            <v>13.885135135135178</v>
          </cell>
          <cell r="H903">
            <v>13.885135135135178</v>
          </cell>
          <cell r="I903" t="e">
            <v>#N/A</v>
          </cell>
          <cell r="J903" t="e">
            <v>#N/A</v>
          </cell>
          <cell r="K903">
            <v>17.5</v>
          </cell>
          <cell r="L903">
            <v>14</v>
          </cell>
          <cell r="M903" t="e">
            <v>#N/A</v>
          </cell>
          <cell r="N903">
            <v>16.5</v>
          </cell>
          <cell r="O903" t="e">
            <v>#N/A</v>
          </cell>
          <cell r="P903" t="str">
            <v/>
          </cell>
          <cell r="Q903" t="str">
            <v/>
          </cell>
          <cell r="R903">
            <v>16.5</v>
          </cell>
        </row>
        <row r="904">
          <cell r="A904" t="str">
            <v/>
          </cell>
          <cell r="B904" t="str">
            <v/>
          </cell>
          <cell r="C904" t="str">
            <v>Future</v>
          </cell>
          <cell r="D904" t="e">
            <v>#N/A</v>
          </cell>
          <cell r="E904">
            <v>-4.7648648648649221</v>
          </cell>
          <cell r="F904">
            <v>18.545945945946169</v>
          </cell>
          <cell r="G904">
            <v>13.883783783783826</v>
          </cell>
          <cell r="H904">
            <v>13.883783783783826</v>
          </cell>
          <cell r="I904" t="e">
            <v>#N/A</v>
          </cell>
          <cell r="J904" t="e">
            <v>#N/A</v>
          </cell>
          <cell r="K904">
            <v>17.5</v>
          </cell>
          <cell r="L904">
            <v>14</v>
          </cell>
          <cell r="M904" t="e">
            <v>#N/A</v>
          </cell>
          <cell r="N904">
            <v>16.5</v>
          </cell>
          <cell r="O904" t="e">
            <v>#N/A</v>
          </cell>
          <cell r="P904" t="str">
            <v/>
          </cell>
          <cell r="Q904" t="str">
            <v/>
          </cell>
          <cell r="R904">
            <v>16.5</v>
          </cell>
        </row>
        <row r="905">
          <cell r="A905" t="str">
            <v/>
          </cell>
          <cell r="B905" t="str">
            <v/>
          </cell>
          <cell r="C905" t="str">
            <v>Future</v>
          </cell>
          <cell r="D905" t="e">
            <v>#N/A</v>
          </cell>
          <cell r="E905">
            <v>-4.8202702702703277</v>
          </cell>
          <cell r="F905">
            <v>18.558108108108332</v>
          </cell>
          <cell r="G905">
            <v>13.882432432432475</v>
          </cell>
          <cell r="H905">
            <v>13.882432432432475</v>
          </cell>
          <cell r="I905" t="e">
            <v>#N/A</v>
          </cell>
          <cell r="J905" t="e">
            <v>#N/A</v>
          </cell>
          <cell r="K905">
            <v>17.5</v>
          </cell>
          <cell r="L905">
            <v>14</v>
          </cell>
          <cell r="M905" t="e">
            <v>#N/A</v>
          </cell>
          <cell r="N905">
            <v>16.5</v>
          </cell>
          <cell r="O905" t="e">
            <v>#N/A</v>
          </cell>
          <cell r="P905" t="str">
            <v/>
          </cell>
          <cell r="Q905" t="str">
            <v/>
          </cell>
          <cell r="R905">
            <v>16.5</v>
          </cell>
        </row>
        <row r="906">
          <cell r="A906" t="str">
            <v/>
          </cell>
          <cell r="B906" t="str">
            <v/>
          </cell>
          <cell r="C906" t="str">
            <v>Future</v>
          </cell>
          <cell r="D906" t="e">
            <v>#N/A</v>
          </cell>
          <cell r="E906">
            <v>-4.8756756756757333</v>
          </cell>
          <cell r="F906">
            <v>18.570270270270495</v>
          </cell>
          <cell r="G906">
            <v>13.881081081081124</v>
          </cell>
          <cell r="H906">
            <v>13.881081081081124</v>
          </cell>
          <cell r="I906" t="e">
            <v>#N/A</v>
          </cell>
          <cell r="J906" t="e">
            <v>#N/A</v>
          </cell>
          <cell r="K906">
            <v>17.5</v>
          </cell>
          <cell r="L906">
            <v>14</v>
          </cell>
          <cell r="M906" t="e">
            <v>#N/A</v>
          </cell>
          <cell r="N906">
            <v>16.5</v>
          </cell>
          <cell r="O906" t="e">
            <v>#N/A</v>
          </cell>
          <cell r="P906" t="str">
            <v/>
          </cell>
          <cell r="Q906" t="str">
            <v/>
          </cell>
          <cell r="R906">
            <v>16.5</v>
          </cell>
        </row>
        <row r="907">
          <cell r="A907" t="str">
            <v/>
          </cell>
          <cell r="B907" t="str">
            <v/>
          </cell>
          <cell r="C907" t="str">
            <v>Future</v>
          </cell>
          <cell r="D907" t="e">
            <v>#N/A</v>
          </cell>
          <cell r="E907">
            <v>-4.931081081081139</v>
          </cell>
          <cell r="F907">
            <v>18.582432432432658</v>
          </cell>
          <cell r="G907">
            <v>13.879729729729773</v>
          </cell>
          <cell r="H907">
            <v>13.879729729729773</v>
          </cell>
          <cell r="I907" t="e">
            <v>#N/A</v>
          </cell>
          <cell r="J907" t="e">
            <v>#N/A</v>
          </cell>
          <cell r="K907">
            <v>17.5</v>
          </cell>
          <cell r="L907">
            <v>14</v>
          </cell>
          <cell r="M907" t="e">
            <v>#N/A</v>
          </cell>
          <cell r="N907">
            <v>16.5</v>
          </cell>
          <cell r="O907" t="e">
            <v>#N/A</v>
          </cell>
          <cell r="P907" t="str">
            <v/>
          </cell>
          <cell r="Q907" t="str">
            <v/>
          </cell>
          <cell r="R907">
            <v>16.5</v>
          </cell>
        </row>
        <row r="908">
          <cell r="A908" t="str">
            <v/>
          </cell>
          <cell r="B908" t="str">
            <v/>
          </cell>
          <cell r="C908" t="str">
            <v>Future</v>
          </cell>
          <cell r="D908" t="e">
            <v>#N/A</v>
          </cell>
          <cell r="E908">
            <v>-4.9864864864865446</v>
          </cell>
          <cell r="F908">
            <v>18.59459459459482</v>
          </cell>
          <cell r="G908">
            <v>13.878378378378422</v>
          </cell>
          <cell r="H908">
            <v>13.878378378378422</v>
          </cell>
          <cell r="I908" t="e">
            <v>#N/A</v>
          </cell>
          <cell r="J908" t="e">
            <v>#N/A</v>
          </cell>
          <cell r="K908">
            <v>17.5</v>
          </cell>
          <cell r="L908">
            <v>14</v>
          </cell>
          <cell r="M908" t="e">
            <v>#N/A</v>
          </cell>
          <cell r="N908">
            <v>16.5</v>
          </cell>
          <cell r="O908" t="e">
            <v>#N/A</v>
          </cell>
          <cell r="P908" t="str">
            <v/>
          </cell>
          <cell r="Q908" t="str">
            <v/>
          </cell>
          <cell r="R908">
            <v>16.5</v>
          </cell>
        </row>
        <row r="909">
          <cell r="A909" t="str">
            <v/>
          </cell>
          <cell r="B909" t="str">
            <v/>
          </cell>
          <cell r="C909" t="str">
            <v>Future</v>
          </cell>
          <cell r="D909" t="e">
            <v>#N/A</v>
          </cell>
          <cell r="E909">
            <v>-5.0418918918919502</v>
          </cell>
          <cell r="F909">
            <v>18.606756756756983</v>
          </cell>
          <cell r="G909">
            <v>13.87702702702707</v>
          </cell>
          <cell r="H909">
            <v>13.87702702702707</v>
          </cell>
          <cell r="I909" t="e">
            <v>#N/A</v>
          </cell>
          <cell r="J909" t="e">
            <v>#N/A</v>
          </cell>
          <cell r="K909">
            <v>17.5</v>
          </cell>
          <cell r="L909">
            <v>14</v>
          </cell>
          <cell r="M909" t="e">
            <v>#N/A</v>
          </cell>
          <cell r="N909">
            <v>16.5</v>
          </cell>
          <cell r="O909" t="e">
            <v>#N/A</v>
          </cell>
          <cell r="P909" t="str">
            <v/>
          </cell>
          <cell r="Q909" t="str">
            <v/>
          </cell>
          <cell r="R909">
            <v>16.5</v>
          </cell>
        </row>
        <row r="910">
          <cell r="A910" t="str">
            <v/>
          </cell>
          <cell r="B910" t="str">
            <v/>
          </cell>
          <cell r="C910" t="str">
            <v>Future</v>
          </cell>
          <cell r="D910" t="e">
            <v>#N/A</v>
          </cell>
          <cell r="E910">
            <v>-5.0972972972973558</v>
          </cell>
          <cell r="F910">
            <v>18.618918918919146</v>
          </cell>
          <cell r="G910">
            <v>13.875675675675719</v>
          </cell>
          <cell r="H910">
            <v>13.875675675675719</v>
          </cell>
          <cell r="I910" t="e">
            <v>#N/A</v>
          </cell>
          <cell r="J910" t="e">
            <v>#N/A</v>
          </cell>
          <cell r="K910">
            <v>17.5</v>
          </cell>
          <cell r="L910">
            <v>14</v>
          </cell>
          <cell r="M910" t="e">
            <v>#N/A</v>
          </cell>
          <cell r="N910">
            <v>16.5</v>
          </cell>
          <cell r="O910" t="e">
            <v>#N/A</v>
          </cell>
          <cell r="P910" t="str">
            <v/>
          </cell>
          <cell r="Q910" t="str">
            <v/>
          </cell>
          <cell r="R910">
            <v>16.5</v>
          </cell>
        </row>
        <row r="911">
          <cell r="A911" t="str">
            <v/>
          </cell>
          <cell r="B911" t="str">
            <v/>
          </cell>
          <cell r="C911" t="str">
            <v>Future</v>
          </cell>
          <cell r="D911" t="e">
            <v>#N/A</v>
          </cell>
          <cell r="E911">
            <v>-5.1527027027027614</v>
          </cell>
          <cell r="F911">
            <v>18.631081081081309</v>
          </cell>
          <cell r="G911">
            <v>13.874324324324368</v>
          </cell>
          <cell r="H911">
            <v>13.874324324324368</v>
          </cell>
          <cell r="I911" t="e">
            <v>#N/A</v>
          </cell>
          <cell r="J911" t="e">
            <v>#N/A</v>
          </cell>
          <cell r="K911">
            <v>17.5</v>
          </cell>
          <cell r="L911">
            <v>14</v>
          </cell>
          <cell r="M911" t="e">
            <v>#N/A</v>
          </cell>
          <cell r="N911">
            <v>16.5</v>
          </cell>
          <cell r="O911" t="e">
            <v>#N/A</v>
          </cell>
          <cell r="P911" t="str">
            <v/>
          </cell>
          <cell r="Q911" t="str">
            <v/>
          </cell>
          <cell r="R911">
            <v>16.5</v>
          </cell>
        </row>
        <row r="912">
          <cell r="A912" t="str">
            <v/>
          </cell>
          <cell r="B912" t="str">
            <v/>
          </cell>
          <cell r="C912" t="str">
            <v>Future</v>
          </cell>
          <cell r="D912" t="e">
            <v>#N/A</v>
          </cell>
          <cell r="E912">
            <v>-5.208108108108167</v>
          </cell>
          <cell r="F912">
            <v>18.643243243243472</v>
          </cell>
          <cell r="G912">
            <v>13.872972972973017</v>
          </cell>
          <cell r="H912">
            <v>13.872972972973017</v>
          </cell>
          <cell r="I912" t="e">
            <v>#N/A</v>
          </cell>
          <cell r="J912" t="e">
            <v>#N/A</v>
          </cell>
          <cell r="K912">
            <v>17.5</v>
          </cell>
          <cell r="L912">
            <v>14</v>
          </cell>
          <cell r="M912" t="e">
            <v>#N/A</v>
          </cell>
          <cell r="N912">
            <v>16.5</v>
          </cell>
          <cell r="O912" t="e">
            <v>#N/A</v>
          </cell>
          <cell r="P912" t="str">
            <v/>
          </cell>
          <cell r="Q912" t="str">
            <v/>
          </cell>
          <cell r="R912">
            <v>16.5</v>
          </cell>
        </row>
        <row r="913">
          <cell r="A913" t="str">
            <v/>
          </cell>
          <cell r="B913" t="str">
            <v/>
          </cell>
          <cell r="C913" t="str">
            <v>Future</v>
          </cell>
          <cell r="D913" t="e">
            <v>#N/A</v>
          </cell>
          <cell r="E913">
            <v>-5.2635135135135727</v>
          </cell>
          <cell r="F913">
            <v>18.655405405405634</v>
          </cell>
          <cell r="G913">
            <v>13.871621621621665</v>
          </cell>
          <cell r="H913">
            <v>13.871621621621665</v>
          </cell>
          <cell r="I913" t="e">
            <v>#N/A</v>
          </cell>
          <cell r="J913" t="e">
            <v>#N/A</v>
          </cell>
          <cell r="K913">
            <v>17.5</v>
          </cell>
          <cell r="L913">
            <v>14</v>
          </cell>
          <cell r="M913" t="e">
            <v>#N/A</v>
          </cell>
          <cell r="N913">
            <v>16.5</v>
          </cell>
          <cell r="O913" t="e">
            <v>#N/A</v>
          </cell>
          <cell r="P913" t="str">
            <v/>
          </cell>
          <cell r="Q913" t="str">
            <v/>
          </cell>
          <cell r="R913">
            <v>16.5</v>
          </cell>
        </row>
        <row r="914">
          <cell r="A914" t="str">
            <v/>
          </cell>
          <cell r="B914" t="str">
            <v/>
          </cell>
          <cell r="C914" t="str">
            <v>Future</v>
          </cell>
          <cell r="D914" t="e">
            <v>#N/A</v>
          </cell>
          <cell r="E914">
            <v>-5.3189189189189783</v>
          </cell>
          <cell r="F914">
            <v>18.667567567567797</v>
          </cell>
          <cell r="G914">
            <v>13.870270270270314</v>
          </cell>
          <cell r="H914">
            <v>13.870270270270314</v>
          </cell>
          <cell r="I914" t="e">
            <v>#N/A</v>
          </cell>
          <cell r="J914" t="e">
            <v>#N/A</v>
          </cell>
          <cell r="K914">
            <v>17.5</v>
          </cell>
          <cell r="L914">
            <v>14</v>
          </cell>
          <cell r="M914" t="e">
            <v>#N/A</v>
          </cell>
          <cell r="N914">
            <v>16.5</v>
          </cell>
          <cell r="O914" t="e">
            <v>#N/A</v>
          </cell>
          <cell r="P914" t="str">
            <v/>
          </cell>
          <cell r="Q914" t="str">
            <v/>
          </cell>
          <cell r="R914">
            <v>16.5</v>
          </cell>
        </row>
        <row r="915">
          <cell r="A915" t="str">
            <v/>
          </cell>
          <cell r="B915" t="str">
            <v/>
          </cell>
          <cell r="C915" t="str">
            <v>Future</v>
          </cell>
          <cell r="D915" t="e">
            <v>#N/A</v>
          </cell>
          <cell r="E915">
            <v>-5.3743243243243839</v>
          </cell>
          <cell r="F915">
            <v>18.67972972972996</v>
          </cell>
          <cell r="G915">
            <v>13.868918918918963</v>
          </cell>
          <cell r="H915">
            <v>13.868918918918963</v>
          </cell>
          <cell r="I915" t="e">
            <v>#N/A</v>
          </cell>
          <cell r="J915" t="e">
            <v>#N/A</v>
          </cell>
          <cell r="K915">
            <v>17.5</v>
          </cell>
          <cell r="L915">
            <v>14</v>
          </cell>
          <cell r="M915" t="e">
            <v>#N/A</v>
          </cell>
          <cell r="N915">
            <v>16.5</v>
          </cell>
          <cell r="O915" t="e">
            <v>#N/A</v>
          </cell>
          <cell r="P915" t="str">
            <v/>
          </cell>
          <cell r="Q915" t="str">
            <v/>
          </cell>
          <cell r="R915">
            <v>16.5</v>
          </cell>
        </row>
        <row r="916">
          <cell r="A916" t="str">
            <v/>
          </cell>
          <cell r="B916" t="str">
            <v/>
          </cell>
          <cell r="C916" t="str">
            <v>Future</v>
          </cell>
          <cell r="D916" t="e">
            <v>#N/A</v>
          </cell>
          <cell r="E916">
            <v>-5.4297297297297895</v>
          </cell>
          <cell r="F916">
            <v>18.691891891892123</v>
          </cell>
          <cell r="G916">
            <v>13.867567567567612</v>
          </cell>
          <cell r="H916">
            <v>13.867567567567612</v>
          </cell>
          <cell r="I916" t="e">
            <v>#N/A</v>
          </cell>
          <cell r="J916" t="e">
            <v>#N/A</v>
          </cell>
          <cell r="K916">
            <v>17.5</v>
          </cell>
          <cell r="L916">
            <v>14</v>
          </cell>
          <cell r="M916" t="e">
            <v>#N/A</v>
          </cell>
          <cell r="N916">
            <v>16.5</v>
          </cell>
          <cell r="O916" t="e">
            <v>#N/A</v>
          </cell>
          <cell r="P916" t="str">
            <v/>
          </cell>
          <cell r="Q916" t="str">
            <v/>
          </cell>
          <cell r="R916">
            <v>16.5</v>
          </cell>
        </row>
        <row r="917">
          <cell r="A917" t="str">
            <v/>
          </cell>
          <cell r="B917" t="str">
            <v/>
          </cell>
          <cell r="C917" t="str">
            <v>Future</v>
          </cell>
          <cell r="D917" t="e">
            <v>#N/A</v>
          </cell>
          <cell r="E917">
            <v>-5.4851351351351951</v>
          </cell>
          <cell r="F917">
            <v>18.704054054054286</v>
          </cell>
          <cell r="G917">
            <v>13.866216216216261</v>
          </cell>
          <cell r="H917">
            <v>13.866216216216261</v>
          </cell>
          <cell r="I917" t="e">
            <v>#N/A</v>
          </cell>
          <cell r="J917" t="e">
            <v>#N/A</v>
          </cell>
          <cell r="K917">
            <v>17.5</v>
          </cell>
          <cell r="L917">
            <v>14</v>
          </cell>
          <cell r="M917" t="e">
            <v>#N/A</v>
          </cell>
          <cell r="N917">
            <v>16.5</v>
          </cell>
          <cell r="O917" t="e">
            <v>#N/A</v>
          </cell>
          <cell r="P917" t="str">
            <v/>
          </cell>
          <cell r="Q917" t="str">
            <v/>
          </cell>
          <cell r="R917">
            <v>16.5</v>
          </cell>
        </row>
        <row r="918">
          <cell r="A918" t="str">
            <v/>
          </cell>
          <cell r="B918" t="str">
            <v/>
          </cell>
          <cell r="C918" t="str">
            <v>Future</v>
          </cell>
          <cell r="D918" t="e">
            <v>#N/A</v>
          </cell>
          <cell r="E918">
            <v>-5.5405405405406007</v>
          </cell>
          <cell r="F918">
            <v>18.716216216216448</v>
          </cell>
          <cell r="G918">
            <v>13.864864864864909</v>
          </cell>
          <cell r="H918">
            <v>13.864864864864909</v>
          </cell>
          <cell r="I918" t="e">
            <v>#N/A</v>
          </cell>
          <cell r="J918" t="e">
            <v>#N/A</v>
          </cell>
          <cell r="K918">
            <v>17.5</v>
          </cell>
          <cell r="L918">
            <v>14</v>
          </cell>
          <cell r="M918" t="e">
            <v>#N/A</v>
          </cell>
          <cell r="N918">
            <v>16.5</v>
          </cell>
          <cell r="O918" t="e">
            <v>#N/A</v>
          </cell>
          <cell r="P918" t="str">
            <v/>
          </cell>
          <cell r="Q918" t="str">
            <v/>
          </cell>
          <cell r="R918">
            <v>16.5</v>
          </cell>
        </row>
        <row r="919">
          <cell r="A919" t="str">
            <v/>
          </cell>
          <cell r="B919" t="str">
            <v/>
          </cell>
          <cell r="C919" t="str">
            <v>Future</v>
          </cell>
          <cell r="D919" t="e">
            <v>#N/A</v>
          </cell>
          <cell r="E919">
            <v>-5.5959459459460064</v>
          </cell>
          <cell r="F919">
            <v>18.728378378378611</v>
          </cell>
          <cell r="G919">
            <v>13.863513513513558</v>
          </cell>
          <cell r="H919">
            <v>13.863513513513558</v>
          </cell>
          <cell r="I919" t="e">
            <v>#N/A</v>
          </cell>
          <cell r="J919" t="e">
            <v>#N/A</v>
          </cell>
          <cell r="K919">
            <v>17.5</v>
          </cell>
          <cell r="L919">
            <v>14</v>
          </cell>
          <cell r="M919" t="e">
            <v>#N/A</v>
          </cell>
          <cell r="N919">
            <v>16.5</v>
          </cell>
          <cell r="O919" t="e">
            <v>#N/A</v>
          </cell>
          <cell r="P919" t="str">
            <v/>
          </cell>
          <cell r="Q919" t="str">
            <v/>
          </cell>
          <cell r="R919">
            <v>16.5</v>
          </cell>
        </row>
        <row r="920">
          <cell r="A920" t="str">
            <v/>
          </cell>
          <cell r="B920" t="str">
            <v/>
          </cell>
          <cell r="C920" t="str">
            <v>Future</v>
          </cell>
          <cell r="D920" t="e">
            <v>#N/A</v>
          </cell>
          <cell r="E920">
            <v>-5.651351351351412</v>
          </cell>
          <cell r="F920">
            <v>18.740540540540774</v>
          </cell>
          <cell r="G920">
            <v>13.862162162162207</v>
          </cell>
          <cell r="H920">
            <v>13.862162162162207</v>
          </cell>
          <cell r="I920" t="e">
            <v>#N/A</v>
          </cell>
          <cell r="J920" t="e">
            <v>#N/A</v>
          </cell>
          <cell r="K920">
            <v>17.5</v>
          </cell>
          <cell r="L920">
            <v>14</v>
          </cell>
          <cell r="M920" t="e">
            <v>#N/A</v>
          </cell>
          <cell r="N920">
            <v>16.5</v>
          </cell>
          <cell r="O920" t="e">
            <v>#N/A</v>
          </cell>
          <cell r="P920" t="str">
            <v/>
          </cell>
          <cell r="Q920" t="str">
            <v/>
          </cell>
          <cell r="R920">
            <v>16.5</v>
          </cell>
        </row>
        <row r="921">
          <cell r="A921" t="str">
            <v/>
          </cell>
          <cell r="B921" t="str">
            <v/>
          </cell>
          <cell r="C921" t="str">
            <v>Future</v>
          </cell>
          <cell r="D921" t="e">
            <v>#N/A</v>
          </cell>
          <cell r="E921">
            <v>-5.7067567567568176</v>
          </cell>
          <cell r="F921">
            <v>18.752702702702937</v>
          </cell>
          <cell r="G921">
            <v>13.860810810810856</v>
          </cell>
          <cell r="H921">
            <v>13.860810810810856</v>
          </cell>
          <cell r="I921" t="e">
            <v>#N/A</v>
          </cell>
          <cell r="J921" t="e">
            <v>#N/A</v>
          </cell>
          <cell r="K921">
            <v>17.5</v>
          </cell>
          <cell r="L921">
            <v>14</v>
          </cell>
          <cell r="M921" t="e">
            <v>#N/A</v>
          </cell>
          <cell r="N921">
            <v>16.5</v>
          </cell>
          <cell r="O921" t="e">
            <v>#N/A</v>
          </cell>
          <cell r="P921" t="str">
            <v/>
          </cell>
          <cell r="Q921" t="str">
            <v/>
          </cell>
          <cell r="R921">
            <v>16.5</v>
          </cell>
        </row>
        <row r="922">
          <cell r="A922" t="str">
            <v/>
          </cell>
          <cell r="B922" t="str">
            <v/>
          </cell>
          <cell r="C922" t="str">
            <v>Future</v>
          </cell>
          <cell r="D922" t="e">
            <v>#N/A</v>
          </cell>
          <cell r="E922">
            <v>-5.7621621621622232</v>
          </cell>
          <cell r="F922">
            <v>18.7648648648651</v>
          </cell>
          <cell r="G922">
            <v>13.859459459459504</v>
          </cell>
          <cell r="H922">
            <v>13.859459459459504</v>
          </cell>
          <cell r="I922" t="e">
            <v>#N/A</v>
          </cell>
          <cell r="J922" t="e">
            <v>#N/A</v>
          </cell>
          <cell r="K922">
            <v>17.5</v>
          </cell>
          <cell r="L922">
            <v>14</v>
          </cell>
          <cell r="M922" t="e">
            <v>#N/A</v>
          </cell>
          <cell r="N922">
            <v>16.5</v>
          </cell>
          <cell r="O922" t="e">
            <v>#N/A</v>
          </cell>
          <cell r="P922" t="str">
            <v/>
          </cell>
          <cell r="Q922" t="str">
            <v/>
          </cell>
          <cell r="R922">
            <v>16.5</v>
          </cell>
        </row>
        <row r="923">
          <cell r="A923" t="str">
            <v/>
          </cell>
          <cell r="B923" t="str">
            <v/>
          </cell>
          <cell r="C923" t="str">
            <v>Future</v>
          </cell>
          <cell r="D923" t="e">
            <v>#N/A</v>
          </cell>
          <cell r="E923">
            <v>-5.8175675675676288</v>
          </cell>
          <cell r="F923">
            <v>18.777027027027263</v>
          </cell>
          <cell r="G923">
            <v>13.858108108108153</v>
          </cell>
          <cell r="H923">
            <v>13.858108108108153</v>
          </cell>
          <cell r="I923" t="e">
            <v>#N/A</v>
          </cell>
          <cell r="J923" t="e">
            <v>#N/A</v>
          </cell>
          <cell r="K923">
            <v>17.5</v>
          </cell>
          <cell r="L923">
            <v>14</v>
          </cell>
          <cell r="M923" t="e">
            <v>#N/A</v>
          </cell>
          <cell r="N923">
            <v>16.5</v>
          </cell>
          <cell r="O923" t="e">
            <v>#N/A</v>
          </cell>
          <cell r="P923" t="str">
            <v/>
          </cell>
          <cell r="Q923" t="str">
            <v/>
          </cell>
          <cell r="R923">
            <v>16.5</v>
          </cell>
        </row>
        <row r="924">
          <cell r="A924" t="str">
            <v/>
          </cell>
          <cell r="B924" t="str">
            <v/>
          </cell>
          <cell r="C924" t="str">
            <v>Future</v>
          </cell>
          <cell r="D924" t="e">
            <v>#N/A</v>
          </cell>
          <cell r="E924">
            <v>-5.8729729729730344</v>
          </cell>
          <cell r="F924">
            <v>18.789189189189425</v>
          </cell>
          <cell r="G924">
            <v>13.856756756756802</v>
          </cell>
          <cell r="H924">
            <v>13.856756756756802</v>
          </cell>
          <cell r="I924" t="e">
            <v>#N/A</v>
          </cell>
          <cell r="J924" t="e">
            <v>#N/A</v>
          </cell>
          <cell r="K924">
            <v>17.5</v>
          </cell>
          <cell r="L924">
            <v>14</v>
          </cell>
          <cell r="M924" t="e">
            <v>#N/A</v>
          </cell>
          <cell r="N924">
            <v>16.5</v>
          </cell>
          <cell r="O924" t="e">
            <v>#N/A</v>
          </cell>
          <cell r="P924" t="str">
            <v/>
          </cell>
          <cell r="Q924" t="str">
            <v/>
          </cell>
          <cell r="R924">
            <v>16.5</v>
          </cell>
        </row>
        <row r="925">
          <cell r="A925" t="str">
            <v/>
          </cell>
          <cell r="B925" t="str">
            <v/>
          </cell>
          <cell r="C925" t="str">
            <v>Future</v>
          </cell>
          <cell r="D925" t="e">
            <v>#N/A</v>
          </cell>
          <cell r="E925">
            <v>-5.9283783783784401</v>
          </cell>
          <cell r="F925">
            <v>18.801351351351588</v>
          </cell>
          <cell r="G925">
            <v>13.855405405405451</v>
          </cell>
          <cell r="H925">
            <v>13.855405405405451</v>
          </cell>
          <cell r="I925" t="e">
            <v>#N/A</v>
          </cell>
          <cell r="J925" t="e">
            <v>#N/A</v>
          </cell>
          <cell r="K925">
            <v>17.5</v>
          </cell>
          <cell r="L925">
            <v>14</v>
          </cell>
          <cell r="M925" t="e">
            <v>#N/A</v>
          </cell>
          <cell r="N925">
            <v>16.5</v>
          </cell>
          <cell r="O925" t="e">
            <v>#N/A</v>
          </cell>
          <cell r="P925" t="str">
            <v/>
          </cell>
          <cell r="Q925" t="str">
            <v/>
          </cell>
          <cell r="R925">
            <v>16.5</v>
          </cell>
        </row>
        <row r="926">
          <cell r="A926" t="str">
            <v/>
          </cell>
          <cell r="B926" t="str">
            <v/>
          </cell>
          <cell r="C926" t="str">
            <v>Future</v>
          </cell>
          <cell r="D926" t="e">
            <v>#N/A</v>
          </cell>
          <cell r="E926">
            <v>-5.9837837837838457</v>
          </cell>
          <cell r="F926">
            <v>18.813513513513751</v>
          </cell>
          <cell r="G926">
            <v>13.8540540540541</v>
          </cell>
          <cell r="H926">
            <v>13.8540540540541</v>
          </cell>
          <cell r="I926" t="e">
            <v>#N/A</v>
          </cell>
          <cell r="J926" t="e">
            <v>#N/A</v>
          </cell>
          <cell r="K926">
            <v>17.5</v>
          </cell>
          <cell r="L926">
            <v>14</v>
          </cell>
          <cell r="M926" t="e">
            <v>#N/A</v>
          </cell>
          <cell r="N926">
            <v>16.5</v>
          </cell>
          <cell r="O926" t="e">
            <v>#N/A</v>
          </cell>
          <cell r="P926" t="str">
            <v/>
          </cell>
          <cell r="Q926" t="str">
            <v/>
          </cell>
          <cell r="R926">
            <v>16.5</v>
          </cell>
        </row>
        <row r="927">
          <cell r="A927" t="str">
            <v/>
          </cell>
          <cell r="B927" t="str">
            <v/>
          </cell>
          <cell r="C927" t="str">
            <v>Future</v>
          </cell>
          <cell r="D927" t="e">
            <v>#N/A</v>
          </cell>
          <cell r="E927">
            <v>-6.0391891891892513</v>
          </cell>
          <cell r="F927">
            <v>18.825675675675914</v>
          </cell>
          <cell r="G927">
            <v>13.852702702702748</v>
          </cell>
          <cell r="H927">
            <v>13.852702702702748</v>
          </cell>
          <cell r="I927" t="e">
            <v>#N/A</v>
          </cell>
          <cell r="J927" t="e">
            <v>#N/A</v>
          </cell>
          <cell r="K927">
            <v>17.5</v>
          </cell>
          <cell r="L927">
            <v>14</v>
          </cell>
          <cell r="M927" t="e">
            <v>#N/A</v>
          </cell>
          <cell r="N927">
            <v>16.5</v>
          </cell>
          <cell r="O927" t="e">
            <v>#N/A</v>
          </cell>
          <cell r="P927" t="str">
            <v/>
          </cell>
          <cell r="Q927" t="str">
            <v/>
          </cell>
          <cell r="R927">
            <v>16.5</v>
          </cell>
        </row>
        <row r="928">
          <cell r="A928" t="str">
            <v/>
          </cell>
          <cell r="B928" t="str">
            <v/>
          </cell>
          <cell r="C928" t="str">
            <v>Future</v>
          </cell>
          <cell r="D928" t="e">
            <v>#N/A</v>
          </cell>
          <cell r="E928">
            <v>-6.0945945945946569</v>
          </cell>
          <cell r="F928">
            <v>18.837837837838077</v>
          </cell>
          <cell r="G928">
            <v>13.851351351351397</v>
          </cell>
          <cell r="H928">
            <v>13.851351351351397</v>
          </cell>
          <cell r="I928" t="e">
            <v>#N/A</v>
          </cell>
          <cell r="J928" t="e">
            <v>#N/A</v>
          </cell>
          <cell r="K928">
            <v>17.5</v>
          </cell>
          <cell r="L928">
            <v>14</v>
          </cell>
          <cell r="M928" t="e">
            <v>#N/A</v>
          </cell>
          <cell r="N928">
            <v>16.5</v>
          </cell>
          <cell r="O928" t="e">
            <v>#N/A</v>
          </cell>
          <cell r="P928" t="str">
            <v/>
          </cell>
          <cell r="Q928" t="str">
            <v/>
          </cell>
          <cell r="R928">
            <v>16.5</v>
          </cell>
        </row>
        <row r="929">
          <cell r="A929" t="str">
            <v/>
          </cell>
          <cell r="B929" t="str">
            <v/>
          </cell>
          <cell r="C929" t="str">
            <v>Future</v>
          </cell>
          <cell r="D929" t="e">
            <v>#N/A</v>
          </cell>
          <cell r="E929">
            <v>-6.1500000000000625</v>
          </cell>
          <cell r="F929">
            <v>18.850000000000239</v>
          </cell>
          <cell r="G929">
            <v>13.850000000000046</v>
          </cell>
          <cell r="H929">
            <v>13.850000000000046</v>
          </cell>
          <cell r="I929" t="e">
            <v>#N/A</v>
          </cell>
          <cell r="J929" t="e">
            <v>#N/A</v>
          </cell>
          <cell r="K929">
            <v>17.5</v>
          </cell>
          <cell r="L929">
            <v>14</v>
          </cell>
          <cell r="M929" t="e">
            <v>#N/A</v>
          </cell>
          <cell r="N929">
            <v>16.5</v>
          </cell>
          <cell r="O929" t="e">
            <v>#N/A</v>
          </cell>
          <cell r="P929" t="str">
            <v/>
          </cell>
          <cell r="Q929" t="str">
            <v/>
          </cell>
          <cell r="R929">
            <v>16.5</v>
          </cell>
        </row>
        <row r="930">
          <cell r="A930" t="str">
            <v/>
          </cell>
          <cell r="B930" t="str">
            <v/>
          </cell>
          <cell r="C930" t="str">
            <v>Future</v>
          </cell>
          <cell r="D930" t="e">
            <v>#N/A</v>
          </cell>
          <cell r="E930">
            <v>-6.2054054054054681</v>
          </cell>
          <cell r="F930">
            <v>18.862162162162402</v>
          </cell>
          <cell r="G930">
            <v>13.848648648648695</v>
          </cell>
          <cell r="H930">
            <v>13.848648648648695</v>
          </cell>
          <cell r="I930" t="e">
            <v>#N/A</v>
          </cell>
          <cell r="J930" t="e">
            <v>#N/A</v>
          </cell>
          <cell r="K930">
            <v>17.5</v>
          </cell>
          <cell r="L930">
            <v>14</v>
          </cell>
          <cell r="M930" t="e">
            <v>#N/A</v>
          </cell>
          <cell r="N930">
            <v>16.5</v>
          </cell>
          <cell r="O930" t="e">
            <v>#N/A</v>
          </cell>
          <cell r="P930" t="str">
            <v/>
          </cell>
          <cell r="Q930" t="str">
            <v/>
          </cell>
          <cell r="R930">
            <v>16.5</v>
          </cell>
        </row>
        <row r="931">
          <cell r="A931" t="str">
            <v/>
          </cell>
          <cell r="B931" t="str">
            <v/>
          </cell>
          <cell r="C931" t="str">
            <v>Future</v>
          </cell>
          <cell r="D931" t="e">
            <v>#N/A</v>
          </cell>
          <cell r="E931">
            <v>-6.2608108108108738</v>
          </cell>
          <cell r="F931">
            <v>18.874324324324565</v>
          </cell>
          <cell r="G931">
            <v>13.847297297297343</v>
          </cell>
          <cell r="H931">
            <v>13.847297297297343</v>
          </cell>
          <cell r="I931" t="e">
            <v>#N/A</v>
          </cell>
          <cell r="J931" t="e">
            <v>#N/A</v>
          </cell>
          <cell r="K931">
            <v>17.5</v>
          </cell>
          <cell r="L931">
            <v>14</v>
          </cell>
          <cell r="M931" t="e">
            <v>#N/A</v>
          </cell>
          <cell r="N931">
            <v>16.5</v>
          </cell>
          <cell r="O931" t="e">
            <v>#N/A</v>
          </cell>
          <cell r="P931" t="str">
            <v/>
          </cell>
          <cell r="Q931" t="str">
            <v/>
          </cell>
          <cell r="R931">
            <v>16.5</v>
          </cell>
        </row>
        <row r="932">
          <cell r="A932" t="str">
            <v/>
          </cell>
          <cell r="B932" t="str">
            <v/>
          </cell>
          <cell r="C932" t="str">
            <v>Future</v>
          </cell>
          <cell r="D932" t="e">
            <v>#N/A</v>
          </cell>
          <cell r="E932">
            <v>-6.3162162162162794</v>
          </cell>
          <cell r="F932">
            <v>18.886486486486728</v>
          </cell>
          <cell r="G932">
            <v>13.845945945945992</v>
          </cell>
          <cell r="H932">
            <v>13.845945945945992</v>
          </cell>
          <cell r="I932" t="e">
            <v>#N/A</v>
          </cell>
          <cell r="J932" t="e">
            <v>#N/A</v>
          </cell>
          <cell r="K932">
            <v>17.5</v>
          </cell>
          <cell r="L932">
            <v>14</v>
          </cell>
          <cell r="M932" t="e">
            <v>#N/A</v>
          </cell>
          <cell r="N932">
            <v>16.5</v>
          </cell>
          <cell r="O932" t="e">
            <v>#N/A</v>
          </cell>
          <cell r="P932" t="str">
            <v/>
          </cell>
          <cell r="Q932" t="str">
            <v/>
          </cell>
          <cell r="R932">
            <v>16.5</v>
          </cell>
        </row>
        <row r="933">
          <cell r="A933" t="str">
            <v/>
          </cell>
          <cell r="B933" t="str">
            <v/>
          </cell>
          <cell r="C933" t="str">
            <v>Future</v>
          </cell>
          <cell r="D933" t="e">
            <v>#N/A</v>
          </cell>
          <cell r="E933">
            <v>-6.371621621621685</v>
          </cell>
          <cell r="F933">
            <v>18.898648648648891</v>
          </cell>
          <cell r="G933">
            <v>13.844594594594641</v>
          </cell>
          <cell r="H933">
            <v>13.844594594594641</v>
          </cell>
          <cell r="I933" t="e">
            <v>#N/A</v>
          </cell>
          <cell r="J933" t="e">
            <v>#N/A</v>
          </cell>
          <cell r="K933">
            <v>17.5</v>
          </cell>
          <cell r="L933">
            <v>14</v>
          </cell>
          <cell r="M933" t="e">
            <v>#N/A</v>
          </cell>
          <cell r="N933">
            <v>16.5</v>
          </cell>
          <cell r="O933" t="e">
            <v>#N/A</v>
          </cell>
          <cell r="P933" t="str">
            <v/>
          </cell>
          <cell r="Q933" t="str">
            <v/>
          </cell>
          <cell r="R933">
            <v>16.5</v>
          </cell>
        </row>
        <row r="934">
          <cell r="A934" t="str">
            <v/>
          </cell>
          <cell r="B934" t="str">
            <v/>
          </cell>
          <cell r="C934" t="str">
            <v>Future</v>
          </cell>
          <cell r="D934" t="e">
            <v>#N/A</v>
          </cell>
          <cell r="E934">
            <v>-6.4270270270270906</v>
          </cell>
          <cell r="F934">
            <v>18.910810810811054</v>
          </cell>
          <cell r="G934">
            <v>13.84324324324329</v>
          </cell>
          <cell r="H934">
            <v>13.84324324324329</v>
          </cell>
          <cell r="I934" t="e">
            <v>#N/A</v>
          </cell>
          <cell r="J934" t="e">
            <v>#N/A</v>
          </cell>
          <cell r="K934">
            <v>17.5</v>
          </cell>
          <cell r="L934">
            <v>14</v>
          </cell>
          <cell r="M934" t="e">
            <v>#N/A</v>
          </cell>
          <cell r="N934">
            <v>16.5</v>
          </cell>
          <cell r="O934" t="e">
            <v>#N/A</v>
          </cell>
          <cell r="P934" t="str">
            <v/>
          </cell>
          <cell r="Q934" t="str">
            <v/>
          </cell>
          <cell r="R934">
            <v>16.5</v>
          </cell>
        </row>
        <row r="935">
          <cell r="A935" t="str">
            <v/>
          </cell>
          <cell r="B935" t="str">
            <v/>
          </cell>
          <cell r="C935" t="str">
            <v>Future</v>
          </cell>
          <cell r="D935" t="e">
            <v>#N/A</v>
          </cell>
          <cell r="E935">
            <v>-6.4824324324324962</v>
          </cell>
          <cell r="F935">
            <v>18.922972972973216</v>
          </cell>
          <cell r="G935">
            <v>13.841891891891938</v>
          </cell>
          <cell r="H935">
            <v>13.841891891891938</v>
          </cell>
          <cell r="I935" t="e">
            <v>#N/A</v>
          </cell>
          <cell r="J935" t="e">
            <v>#N/A</v>
          </cell>
          <cell r="K935">
            <v>17.5</v>
          </cell>
          <cell r="L935">
            <v>14</v>
          </cell>
          <cell r="M935" t="e">
            <v>#N/A</v>
          </cell>
          <cell r="N935">
            <v>16.5</v>
          </cell>
          <cell r="O935" t="e">
            <v>#N/A</v>
          </cell>
          <cell r="P935" t="str">
            <v/>
          </cell>
          <cell r="Q935" t="str">
            <v/>
          </cell>
          <cell r="R935">
            <v>16.5</v>
          </cell>
        </row>
        <row r="936">
          <cell r="A936" t="str">
            <v/>
          </cell>
          <cell r="B936" t="str">
            <v/>
          </cell>
          <cell r="C936" t="str">
            <v>Future</v>
          </cell>
          <cell r="D936" t="e">
            <v>#N/A</v>
          </cell>
          <cell r="E936">
            <v>-6.5378378378379018</v>
          </cell>
          <cell r="F936">
            <v>18.935135135135379</v>
          </cell>
          <cell r="G936">
            <v>13.840540540540587</v>
          </cell>
          <cell r="H936">
            <v>13.840540540540587</v>
          </cell>
          <cell r="I936" t="e">
            <v>#N/A</v>
          </cell>
          <cell r="J936" t="e">
            <v>#N/A</v>
          </cell>
          <cell r="K936">
            <v>17.5</v>
          </cell>
          <cell r="L936">
            <v>14</v>
          </cell>
          <cell r="M936" t="e">
            <v>#N/A</v>
          </cell>
          <cell r="N936">
            <v>16.5</v>
          </cell>
          <cell r="O936" t="e">
            <v>#N/A</v>
          </cell>
          <cell r="P936" t="str">
            <v/>
          </cell>
          <cell r="Q936" t="str">
            <v/>
          </cell>
          <cell r="R936">
            <v>16.5</v>
          </cell>
        </row>
        <row r="937">
          <cell r="A937" t="str">
            <v/>
          </cell>
          <cell r="B937" t="str">
            <v/>
          </cell>
          <cell r="C937" t="str">
            <v>Future</v>
          </cell>
          <cell r="D937" t="e">
            <v>#N/A</v>
          </cell>
          <cell r="E937">
            <v>-6.5932432432433075</v>
          </cell>
          <cell r="F937">
            <v>18.947297297297542</v>
          </cell>
          <cell r="G937">
            <v>13.839189189189236</v>
          </cell>
          <cell r="H937">
            <v>13.839189189189236</v>
          </cell>
          <cell r="I937" t="e">
            <v>#N/A</v>
          </cell>
          <cell r="J937" t="e">
            <v>#N/A</v>
          </cell>
          <cell r="K937">
            <v>17.5</v>
          </cell>
          <cell r="L937">
            <v>14</v>
          </cell>
          <cell r="M937" t="e">
            <v>#N/A</v>
          </cell>
          <cell r="N937">
            <v>16.5</v>
          </cell>
          <cell r="O937" t="e">
            <v>#N/A</v>
          </cell>
          <cell r="P937" t="str">
            <v/>
          </cell>
          <cell r="Q937" t="str">
            <v/>
          </cell>
          <cell r="R937">
            <v>16.5</v>
          </cell>
        </row>
        <row r="938">
          <cell r="A938" t="str">
            <v/>
          </cell>
          <cell r="B938" t="str">
            <v/>
          </cell>
          <cell r="C938" t="str">
            <v>Future</v>
          </cell>
          <cell r="D938" t="e">
            <v>#N/A</v>
          </cell>
          <cell r="E938">
            <v>-6.6486486486487131</v>
          </cell>
          <cell r="F938">
            <v>18.959459459459705</v>
          </cell>
          <cell r="G938">
            <v>13.837837837837885</v>
          </cell>
          <cell r="H938">
            <v>13.837837837837885</v>
          </cell>
          <cell r="I938" t="e">
            <v>#N/A</v>
          </cell>
          <cell r="J938" t="e">
            <v>#N/A</v>
          </cell>
          <cell r="K938">
            <v>17.5</v>
          </cell>
          <cell r="L938">
            <v>14</v>
          </cell>
          <cell r="M938" t="e">
            <v>#N/A</v>
          </cell>
          <cell r="N938">
            <v>16.5</v>
          </cell>
          <cell r="O938" t="e">
            <v>#N/A</v>
          </cell>
          <cell r="P938" t="str">
            <v/>
          </cell>
          <cell r="Q938" t="str">
            <v/>
          </cell>
          <cell r="R938">
            <v>16.5</v>
          </cell>
        </row>
        <row r="939">
          <cell r="A939" t="str">
            <v/>
          </cell>
          <cell r="B939" t="str">
            <v/>
          </cell>
          <cell r="C939" t="str">
            <v>Future</v>
          </cell>
          <cell r="D939" t="e">
            <v>#N/A</v>
          </cell>
          <cell r="E939">
            <v>-6.7040540540541187</v>
          </cell>
          <cell r="F939">
            <v>18.971621621621868</v>
          </cell>
          <cell r="G939">
            <v>13.836486486486534</v>
          </cell>
          <cell r="H939">
            <v>13.836486486486534</v>
          </cell>
          <cell r="I939" t="e">
            <v>#N/A</v>
          </cell>
          <cell r="J939" t="e">
            <v>#N/A</v>
          </cell>
          <cell r="K939">
            <v>17.5</v>
          </cell>
          <cell r="L939">
            <v>14</v>
          </cell>
          <cell r="M939" t="e">
            <v>#N/A</v>
          </cell>
          <cell r="N939">
            <v>16.5</v>
          </cell>
          <cell r="O939" t="e">
            <v>#N/A</v>
          </cell>
          <cell r="P939" t="str">
            <v/>
          </cell>
          <cell r="Q939" t="str">
            <v/>
          </cell>
          <cell r="R939">
            <v>16.5</v>
          </cell>
        </row>
        <row r="940">
          <cell r="A940" t="str">
            <v/>
          </cell>
          <cell r="B940" t="str">
            <v/>
          </cell>
          <cell r="C940" t="str">
            <v>Future</v>
          </cell>
          <cell r="D940" t="e">
            <v>#N/A</v>
          </cell>
          <cell r="E940">
            <v>-6.7594594594595243</v>
          </cell>
          <cell r="F940">
            <v>18.98378378378403</v>
          </cell>
          <cell r="G940">
            <v>13.835135135135182</v>
          </cell>
          <cell r="H940">
            <v>13.835135135135182</v>
          </cell>
          <cell r="I940" t="e">
            <v>#N/A</v>
          </cell>
          <cell r="J940" t="e">
            <v>#N/A</v>
          </cell>
          <cell r="K940">
            <v>17.5</v>
          </cell>
          <cell r="L940">
            <v>14</v>
          </cell>
          <cell r="M940" t="e">
            <v>#N/A</v>
          </cell>
          <cell r="N940">
            <v>16.5</v>
          </cell>
          <cell r="O940" t="e">
            <v>#N/A</v>
          </cell>
          <cell r="P940" t="str">
            <v/>
          </cell>
          <cell r="Q940" t="str">
            <v/>
          </cell>
          <cell r="R940">
            <v>16.5</v>
          </cell>
        </row>
        <row r="941">
          <cell r="A941" t="str">
            <v/>
          </cell>
          <cell r="B941" t="str">
            <v/>
          </cell>
          <cell r="C941" t="str">
            <v>Future</v>
          </cell>
          <cell r="D941" t="e">
            <v>#N/A</v>
          </cell>
          <cell r="E941">
            <v>-6.8148648648649299</v>
          </cell>
          <cell r="F941">
            <v>18.995945945946193</v>
          </cell>
          <cell r="G941">
            <v>13.833783783783831</v>
          </cell>
          <cell r="H941">
            <v>13.833783783783831</v>
          </cell>
          <cell r="I941" t="e">
            <v>#N/A</v>
          </cell>
          <cell r="J941" t="e">
            <v>#N/A</v>
          </cell>
          <cell r="K941">
            <v>17.5</v>
          </cell>
          <cell r="L941">
            <v>14</v>
          </cell>
          <cell r="M941" t="e">
            <v>#N/A</v>
          </cell>
          <cell r="N941">
            <v>16.5</v>
          </cell>
          <cell r="O941" t="e">
            <v>#N/A</v>
          </cell>
          <cell r="P941" t="str">
            <v/>
          </cell>
          <cell r="Q941" t="str">
            <v/>
          </cell>
          <cell r="R941">
            <v>16.5</v>
          </cell>
        </row>
        <row r="942">
          <cell r="A942" t="str">
            <v/>
          </cell>
          <cell r="B942" t="str">
            <v/>
          </cell>
          <cell r="C942" t="str">
            <v>Future</v>
          </cell>
          <cell r="D942" t="e">
            <v>#N/A</v>
          </cell>
          <cell r="E942">
            <v>-6.8702702702703355</v>
          </cell>
          <cell r="F942">
            <v>19.008108108108356</v>
          </cell>
          <cell r="G942">
            <v>13.83243243243248</v>
          </cell>
          <cell r="H942">
            <v>13.83243243243248</v>
          </cell>
          <cell r="I942" t="e">
            <v>#N/A</v>
          </cell>
          <cell r="J942" t="e">
            <v>#N/A</v>
          </cell>
          <cell r="K942">
            <v>17.5</v>
          </cell>
          <cell r="L942">
            <v>14</v>
          </cell>
          <cell r="M942" t="e">
            <v>#N/A</v>
          </cell>
          <cell r="N942">
            <v>16.5</v>
          </cell>
          <cell r="O942" t="e">
            <v>#N/A</v>
          </cell>
          <cell r="P942" t="str">
            <v/>
          </cell>
          <cell r="Q942" t="str">
            <v/>
          </cell>
          <cell r="R942">
            <v>16.5</v>
          </cell>
        </row>
        <row r="943">
          <cell r="A943" t="str">
            <v/>
          </cell>
          <cell r="B943" t="str">
            <v/>
          </cell>
          <cell r="C943" t="str">
            <v>Future</v>
          </cell>
          <cell r="D943" t="e">
            <v>#N/A</v>
          </cell>
          <cell r="E943">
            <v>-6.9256756756757412</v>
          </cell>
          <cell r="F943">
            <v>19.020270270270519</v>
          </cell>
          <cell r="G943">
            <v>13.831081081081129</v>
          </cell>
          <cell r="H943">
            <v>13.831081081081129</v>
          </cell>
          <cell r="I943" t="e">
            <v>#N/A</v>
          </cell>
          <cell r="J943" t="e">
            <v>#N/A</v>
          </cell>
          <cell r="K943">
            <v>17.5</v>
          </cell>
          <cell r="L943">
            <v>14</v>
          </cell>
          <cell r="M943" t="e">
            <v>#N/A</v>
          </cell>
          <cell r="N943">
            <v>16.5</v>
          </cell>
          <cell r="O943" t="e">
            <v>#N/A</v>
          </cell>
          <cell r="P943" t="str">
            <v/>
          </cell>
          <cell r="Q943" t="str">
            <v/>
          </cell>
          <cell r="R943">
            <v>16.5</v>
          </cell>
        </row>
        <row r="944">
          <cell r="A944" t="str">
            <v/>
          </cell>
          <cell r="B944" t="str">
            <v/>
          </cell>
          <cell r="C944" t="str">
            <v>Future</v>
          </cell>
          <cell r="D944" t="e">
            <v>#N/A</v>
          </cell>
          <cell r="E944">
            <v>-6.9810810810811468</v>
          </cell>
          <cell r="F944">
            <v>19.032432432432682</v>
          </cell>
          <cell r="G944">
            <v>13.829729729729777</v>
          </cell>
          <cell r="H944">
            <v>13.829729729729777</v>
          </cell>
          <cell r="I944" t="e">
            <v>#N/A</v>
          </cell>
          <cell r="J944" t="e">
            <v>#N/A</v>
          </cell>
          <cell r="K944">
            <v>17.5</v>
          </cell>
          <cell r="L944">
            <v>14</v>
          </cell>
          <cell r="M944" t="e">
            <v>#N/A</v>
          </cell>
          <cell r="N944">
            <v>16.5</v>
          </cell>
          <cell r="O944" t="e">
            <v>#N/A</v>
          </cell>
          <cell r="P944" t="str">
            <v/>
          </cell>
          <cell r="Q944" t="str">
            <v/>
          </cell>
          <cell r="R944">
            <v>16.5</v>
          </cell>
        </row>
        <row r="945">
          <cell r="A945" t="str">
            <v/>
          </cell>
          <cell r="B945" t="str">
            <v/>
          </cell>
          <cell r="C945" t="str">
            <v>Future</v>
          </cell>
          <cell r="D945" t="e">
            <v>#N/A</v>
          </cell>
          <cell r="E945">
            <v>-7.0364864864865524</v>
          </cell>
          <cell r="F945">
            <v>19.044594594594844</v>
          </cell>
          <cell r="G945">
            <v>13.828378378378426</v>
          </cell>
          <cell r="H945">
            <v>13.828378378378426</v>
          </cell>
          <cell r="I945" t="e">
            <v>#N/A</v>
          </cell>
          <cell r="J945" t="e">
            <v>#N/A</v>
          </cell>
          <cell r="K945">
            <v>17.5</v>
          </cell>
          <cell r="L945">
            <v>14</v>
          </cell>
          <cell r="M945" t="e">
            <v>#N/A</v>
          </cell>
          <cell r="N945">
            <v>16.5</v>
          </cell>
          <cell r="O945" t="e">
            <v>#N/A</v>
          </cell>
          <cell r="P945" t="str">
            <v/>
          </cell>
          <cell r="Q945" t="str">
            <v/>
          </cell>
          <cell r="R945">
            <v>16.5</v>
          </cell>
        </row>
        <row r="946">
          <cell r="A946" t="str">
            <v/>
          </cell>
          <cell r="B946" t="str">
            <v/>
          </cell>
          <cell r="C946" t="str">
            <v>Future</v>
          </cell>
          <cell r="D946" t="e">
            <v>#N/A</v>
          </cell>
          <cell r="E946">
            <v>-7.091891891891958</v>
          </cell>
          <cell r="F946">
            <v>19.056756756757007</v>
          </cell>
          <cell r="G946">
            <v>13.827027027027075</v>
          </cell>
          <cell r="H946">
            <v>13.827027027027075</v>
          </cell>
          <cell r="I946" t="e">
            <v>#N/A</v>
          </cell>
          <cell r="J946" t="e">
            <v>#N/A</v>
          </cell>
          <cell r="K946">
            <v>17.5</v>
          </cell>
          <cell r="L946">
            <v>14</v>
          </cell>
          <cell r="M946" t="e">
            <v>#N/A</v>
          </cell>
          <cell r="N946">
            <v>16.5</v>
          </cell>
          <cell r="O946" t="e">
            <v>#N/A</v>
          </cell>
          <cell r="P946" t="str">
            <v/>
          </cell>
          <cell r="Q946" t="str">
            <v/>
          </cell>
          <cell r="R946">
            <v>16.5</v>
          </cell>
        </row>
        <row r="947">
          <cell r="A947" t="str">
            <v/>
          </cell>
          <cell r="B947" t="str">
            <v/>
          </cell>
          <cell r="C947" t="str">
            <v>Future</v>
          </cell>
          <cell r="D947" t="e">
            <v>#N/A</v>
          </cell>
          <cell r="E947">
            <v>-7.1472972972973636</v>
          </cell>
          <cell r="F947">
            <v>19.06891891891917</v>
          </cell>
          <cell r="G947">
            <v>13.825675675675724</v>
          </cell>
          <cell r="H947">
            <v>13.825675675675724</v>
          </cell>
          <cell r="I947" t="e">
            <v>#N/A</v>
          </cell>
          <cell r="J947" t="e">
            <v>#N/A</v>
          </cell>
          <cell r="K947">
            <v>17.5</v>
          </cell>
          <cell r="L947">
            <v>14</v>
          </cell>
          <cell r="M947" t="e">
            <v>#N/A</v>
          </cell>
          <cell r="N947">
            <v>16.5</v>
          </cell>
          <cell r="O947" t="e">
            <v>#N/A</v>
          </cell>
          <cell r="P947" t="str">
            <v/>
          </cell>
          <cell r="Q947" t="str">
            <v/>
          </cell>
          <cell r="R947">
            <v>16.5</v>
          </cell>
        </row>
        <row r="948">
          <cell r="A948" t="str">
            <v/>
          </cell>
          <cell r="B948" t="str">
            <v/>
          </cell>
          <cell r="C948" t="str">
            <v>Future</v>
          </cell>
          <cell r="D948" t="e">
            <v>#N/A</v>
          </cell>
          <cell r="E948">
            <v>-7.2027027027027692</v>
          </cell>
          <cell r="F948">
            <v>19.081081081081333</v>
          </cell>
          <cell r="G948">
            <v>13.824324324324373</v>
          </cell>
          <cell r="H948">
            <v>13.824324324324373</v>
          </cell>
          <cell r="I948" t="e">
            <v>#N/A</v>
          </cell>
          <cell r="J948" t="e">
            <v>#N/A</v>
          </cell>
          <cell r="K948">
            <v>17.5</v>
          </cell>
          <cell r="L948">
            <v>14</v>
          </cell>
          <cell r="M948" t="e">
            <v>#N/A</v>
          </cell>
          <cell r="N948">
            <v>16.5</v>
          </cell>
          <cell r="O948" t="e">
            <v>#N/A</v>
          </cell>
          <cell r="P948" t="str">
            <v/>
          </cell>
          <cell r="Q948" t="str">
            <v/>
          </cell>
          <cell r="R948">
            <v>16.5</v>
          </cell>
        </row>
        <row r="949">
          <cell r="A949" t="str">
            <v/>
          </cell>
          <cell r="B949" t="str">
            <v/>
          </cell>
          <cell r="C949" t="str">
            <v>Future</v>
          </cell>
          <cell r="D949" t="e">
            <v>#N/A</v>
          </cell>
          <cell r="E949">
            <v>-7.2581081081081749</v>
          </cell>
          <cell r="F949">
            <v>19.093243243243496</v>
          </cell>
          <cell r="G949">
            <v>13.822972972973021</v>
          </cell>
          <cell r="H949">
            <v>13.822972972973021</v>
          </cell>
          <cell r="I949" t="e">
            <v>#N/A</v>
          </cell>
          <cell r="J949" t="e">
            <v>#N/A</v>
          </cell>
          <cell r="K949">
            <v>17.5</v>
          </cell>
          <cell r="L949">
            <v>14</v>
          </cell>
          <cell r="M949" t="e">
            <v>#N/A</v>
          </cell>
          <cell r="N949">
            <v>16.5</v>
          </cell>
          <cell r="O949" t="e">
            <v>#N/A</v>
          </cell>
          <cell r="P949" t="str">
            <v/>
          </cell>
          <cell r="Q949" t="str">
            <v/>
          </cell>
          <cell r="R949">
            <v>16.5</v>
          </cell>
        </row>
        <row r="950">
          <cell r="A950" t="str">
            <v/>
          </cell>
          <cell r="B950" t="str">
            <v/>
          </cell>
          <cell r="C950" t="str">
            <v>Future</v>
          </cell>
          <cell r="D950" t="e">
            <v>#N/A</v>
          </cell>
          <cell r="E950">
            <v>-7.3135135135135805</v>
          </cell>
          <cell r="F950">
            <v>19.105405405405659</v>
          </cell>
          <cell r="G950">
            <v>13.82162162162167</v>
          </cell>
          <cell r="H950">
            <v>13.82162162162167</v>
          </cell>
          <cell r="I950" t="e">
            <v>#N/A</v>
          </cell>
          <cell r="J950" t="e">
            <v>#N/A</v>
          </cell>
          <cell r="K950">
            <v>17.5</v>
          </cell>
          <cell r="L950">
            <v>14</v>
          </cell>
          <cell r="M950" t="e">
            <v>#N/A</v>
          </cell>
          <cell r="N950">
            <v>16.5</v>
          </cell>
          <cell r="O950" t="e">
            <v>#N/A</v>
          </cell>
          <cell r="P950" t="str">
            <v/>
          </cell>
          <cell r="Q950" t="str">
            <v/>
          </cell>
          <cell r="R950">
            <v>16.5</v>
          </cell>
        </row>
        <row r="951">
          <cell r="A951" t="str">
            <v/>
          </cell>
          <cell r="B951" t="str">
            <v/>
          </cell>
          <cell r="C951" t="str">
            <v>Future</v>
          </cell>
          <cell r="D951" t="e">
            <v>#N/A</v>
          </cell>
          <cell r="E951">
            <v>-7.3689189189189861</v>
          </cell>
          <cell r="F951">
            <v>19.117567567567821</v>
          </cell>
          <cell r="G951">
            <v>13.820270270270319</v>
          </cell>
          <cell r="H951">
            <v>13.820270270270319</v>
          </cell>
          <cell r="I951" t="e">
            <v>#N/A</v>
          </cell>
          <cell r="J951" t="e">
            <v>#N/A</v>
          </cell>
          <cell r="K951">
            <v>17.5</v>
          </cell>
          <cell r="L951">
            <v>14</v>
          </cell>
          <cell r="M951" t="e">
            <v>#N/A</v>
          </cell>
          <cell r="N951">
            <v>16.5</v>
          </cell>
          <cell r="O951" t="e">
            <v>#N/A</v>
          </cell>
          <cell r="P951" t="str">
            <v/>
          </cell>
          <cell r="Q951" t="str">
            <v/>
          </cell>
          <cell r="R951">
            <v>16.5</v>
          </cell>
        </row>
        <row r="952">
          <cell r="A952" t="str">
            <v/>
          </cell>
          <cell r="B952" t="str">
            <v/>
          </cell>
          <cell r="C952" t="str">
            <v>Future</v>
          </cell>
          <cell r="D952" t="e">
            <v>#N/A</v>
          </cell>
          <cell r="E952">
            <v>-7.4243243243243917</v>
          </cell>
          <cell r="F952">
            <v>19.129729729729984</v>
          </cell>
          <cell r="G952">
            <v>13.818918918918968</v>
          </cell>
          <cell r="H952">
            <v>13.818918918918968</v>
          </cell>
          <cell r="I952" t="e">
            <v>#N/A</v>
          </cell>
          <cell r="J952" t="e">
            <v>#N/A</v>
          </cell>
          <cell r="K952">
            <v>17.5</v>
          </cell>
          <cell r="L952">
            <v>14</v>
          </cell>
          <cell r="M952" t="e">
            <v>#N/A</v>
          </cell>
          <cell r="N952">
            <v>16.5</v>
          </cell>
          <cell r="O952" t="e">
            <v>#N/A</v>
          </cell>
          <cell r="P952" t="str">
            <v/>
          </cell>
          <cell r="Q952" t="str">
            <v/>
          </cell>
          <cell r="R952">
            <v>16.5</v>
          </cell>
        </row>
        <row r="953">
          <cell r="A953" t="str">
            <v/>
          </cell>
          <cell r="B953" t="str">
            <v/>
          </cell>
          <cell r="C953" t="str">
            <v>Future</v>
          </cell>
          <cell r="D953" t="e">
            <v>#N/A</v>
          </cell>
          <cell r="E953">
            <v>-7.4797297297297973</v>
          </cell>
          <cell r="F953">
            <v>19.141891891892147</v>
          </cell>
          <cell r="G953">
            <v>13.817567567567616</v>
          </cell>
          <cell r="H953">
            <v>13.817567567567616</v>
          </cell>
          <cell r="I953" t="e">
            <v>#N/A</v>
          </cell>
          <cell r="J953" t="e">
            <v>#N/A</v>
          </cell>
          <cell r="K953">
            <v>17.5</v>
          </cell>
          <cell r="L953">
            <v>14</v>
          </cell>
          <cell r="M953" t="e">
            <v>#N/A</v>
          </cell>
          <cell r="N953">
            <v>16.5</v>
          </cell>
          <cell r="O953" t="e">
            <v>#N/A</v>
          </cell>
          <cell r="P953" t="str">
            <v/>
          </cell>
          <cell r="Q953" t="str">
            <v/>
          </cell>
          <cell r="R953">
            <v>16.5</v>
          </cell>
        </row>
        <row r="954">
          <cell r="A954" t="str">
            <v/>
          </cell>
          <cell r="B954" t="str">
            <v/>
          </cell>
          <cell r="C954" t="str">
            <v>Future</v>
          </cell>
          <cell r="D954" t="e">
            <v>#N/A</v>
          </cell>
          <cell r="E954">
            <v>-7.5351351351352029</v>
          </cell>
          <cell r="F954">
            <v>19.15405405405431</v>
          </cell>
          <cell r="G954">
            <v>13.816216216216265</v>
          </cell>
          <cell r="H954">
            <v>13.816216216216265</v>
          </cell>
          <cell r="I954" t="e">
            <v>#N/A</v>
          </cell>
          <cell r="J954" t="e">
            <v>#N/A</v>
          </cell>
          <cell r="K954">
            <v>17.5</v>
          </cell>
          <cell r="L954">
            <v>14</v>
          </cell>
          <cell r="M954" t="e">
            <v>#N/A</v>
          </cell>
          <cell r="N954">
            <v>16.5</v>
          </cell>
          <cell r="O954" t="e">
            <v>#N/A</v>
          </cell>
          <cell r="P954" t="str">
            <v/>
          </cell>
          <cell r="Q954" t="str">
            <v/>
          </cell>
          <cell r="R954">
            <v>16.5</v>
          </cell>
        </row>
        <row r="955">
          <cell r="A955" t="str">
            <v/>
          </cell>
          <cell r="B955" t="str">
            <v/>
          </cell>
          <cell r="C955" t="str">
            <v>Future</v>
          </cell>
          <cell r="D955" t="e">
            <v>#N/A</v>
          </cell>
          <cell r="E955">
            <v>-7.5905405405406086</v>
          </cell>
          <cell r="F955">
            <v>19.166216216216473</v>
          </cell>
          <cell r="G955">
            <v>13.814864864864914</v>
          </cell>
          <cell r="H955">
            <v>13.814864864864914</v>
          </cell>
          <cell r="I955" t="e">
            <v>#N/A</v>
          </cell>
          <cell r="J955" t="e">
            <v>#N/A</v>
          </cell>
          <cell r="K955">
            <v>17.5</v>
          </cell>
          <cell r="L955">
            <v>14</v>
          </cell>
          <cell r="M955" t="e">
            <v>#N/A</v>
          </cell>
          <cell r="N955">
            <v>16.5</v>
          </cell>
          <cell r="O955" t="e">
            <v>#N/A</v>
          </cell>
          <cell r="P955" t="str">
            <v/>
          </cell>
          <cell r="Q955" t="str">
            <v/>
          </cell>
          <cell r="R955">
            <v>16.5</v>
          </cell>
        </row>
        <row r="956">
          <cell r="A956" t="str">
            <v/>
          </cell>
          <cell r="B956" t="str">
            <v/>
          </cell>
          <cell r="C956" t="str">
            <v>Future</v>
          </cell>
          <cell r="D956" t="e">
            <v>#N/A</v>
          </cell>
          <cell r="E956">
            <v>-7.6459459459460142</v>
          </cell>
          <cell r="F956">
            <v>19.178378378378635</v>
          </cell>
          <cell r="G956">
            <v>13.813513513513563</v>
          </cell>
          <cell r="H956">
            <v>13.813513513513563</v>
          </cell>
          <cell r="I956" t="e">
            <v>#N/A</v>
          </cell>
          <cell r="J956" t="e">
            <v>#N/A</v>
          </cell>
          <cell r="K956">
            <v>17.5</v>
          </cell>
          <cell r="L956">
            <v>14</v>
          </cell>
          <cell r="M956" t="e">
            <v>#N/A</v>
          </cell>
          <cell r="N956">
            <v>16.5</v>
          </cell>
          <cell r="O956" t="e">
            <v>#N/A</v>
          </cell>
          <cell r="P956" t="str">
            <v/>
          </cell>
          <cell r="Q956" t="str">
            <v/>
          </cell>
          <cell r="R956">
            <v>16.5</v>
          </cell>
        </row>
        <row r="957">
          <cell r="A957" t="str">
            <v/>
          </cell>
          <cell r="B957" t="str">
            <v/>
          </cell>
          <cell r="C957" t="str">
            <v>Future</v>
          </cell>
          <cell r="D957" t="e">
            <v>#N/A</v>
          </cell>
          <cell r="E957">
            <v>-7.7013513513514198</v>
          </cell>
          <cell r="F957">
            <v>19.190540540540798</v>
          </cell>
          <cell r="G957">
            <v>13.812162162162211</v>
          </cell>
          <cell r="H957">
            <v>13.812162162162211</v>
          </cell>
          <cell r="I957" t="e">
            <v>#N/A</v>
          </cell>
          <cell r="J957" t="e">
            <v>#N/A</v>
          </cell>
          <cell r="K957">
            <v>17.5</v>
          </cell>
          <cell r="L957">
            <v>14</v>
          </cell>
          <cell r="M957" t="e">
            <v>#N/A</v>
          </cell>
          <cell r="N957">
            <v>16.5</v>
          </cell>
          <cell r="O957" t="e">
            <v>#N/A</v>
          </cell>
          <cell r="P957" t="str">
            <v/>
          </cell>
          <cell r="Q957" t="str">
            <v/>
          </cell>
          <cell r="R957">
            <v>16.5</v>
          </cell>
        </row>
        <row r="958">
          <cell r="A958" t="str">
            <v/>
          </cell>
          <cell r="B958" t="str">
            <v/>
          </cell>
          <cell r="C958" t="str">
            <v>Future</v>
          </cell>
          <cell r="D958" t="e">
            <v>#N/A</v>
          </cell>
          <cell r="E958">
            <v>-7.7567567567568254</v>
          </cell>
          <cell r="F958">
            <v>19.202702702702961</v>
          </cell>
          <cell r="G958">
            <v>13.81081081081086</v>
          </cell>
          <cell r="H958">
            <v>13.81081081081086</v>
          </cell>
          <cell r="I958" t="e">
            <v>#N/A</v>
          </cell>
          <cell r="J958" t="e">
            <v>#N/A</v>
          </cell>
          <cell r="K958">
            <v>17.5</v>
          </cell>
          <cell r="L958">
            <v>14</v>
          </cell>
          <cell r="M958" t="e">
            <v>#N/A</v>
          </cell>
          <cell r="N958">
            <v>16.5</v>
          </cell>
          <cell r="O958" t="e">
            <v>#N/A</v>
          </cell>
          <cell r="P958" t="str">
            <v/>
          </cell>
          <cell r="Q958" t="str">
            <v/>
          </cell>
          <cell r="R958">
            <v>16.5</v>
          </cell>
        </row>
        <row r="959">
          <cell r="A959" t="str">
            <v/>
          </cell>
          <cell r="B959" t="str">
            <v/>
          </cell>
          <cell r="C959" t="str">
            <v>Future</v>
          </cell>
          <cell r="D959" t="e">
            <v>#N/A</v>
          </cell>
          <cell r="E959">
            <v>-7.812162162162231</v>
          </cell>
          <cell r="F959">
            <v>19.214864864865124</v>
          </cell>
          <cell r="G959">
            <v>13.809459459459509</v>
          </cell>
          <cell r="H959">
            <v>13.809459459459509</v>
          </cell>
          <cell r="I959" t="e">
            <v>#N/A</v>
          </cell>
          <cell r="J959" t="e">
            <v>#N/A</v>
          </cell>
          <cell r="K959">
            <v>17.5</v>
          </cell>
          <cell r="L959">
            <v>14</v>
          </cell>
          <cell r="M959" t="e">
            <v>#N/A</v>
          </cell>
          <cell r="N959">
            <v>16.5</v>
          </cell>
          <cell r="O959" t="e">
            <v>#N/A</v>
          </cell>
          <cell r="P959" t="str">
            <v/>
          </cell>
          <cell r="Q959" t="str">
            <v/>
          </cell>
          <cell r="R959">
            <v>16.5</v>
          </cell>
        </row>
        <row r="960">
          <cell r="A960" t="str">
            <v/>
          </cell>
          <cell r="B960" t="str">
            <v/>
          </cell>
          <cell r="C960" t="str">
            <v>Future</v>
          </cell>
          <cell r="D960" t="e">
            <v>#N/A</v>
          </cell>
          <cell r="E960">
            <v>-7.8675675675676366</v>
          </cell>
          <cell r="F960">
            <v>19.227027027027287</v>
          </cell>
          <cell r="G960">
            <v>13.808108108108158</v>
          </cell>
          <cell r="H960">
            <v>13.808108108108158</v>
          </cell>
          <cell r="I960" t="e">
            <v>#N/A</v>
          </cell>
          <cell r="J960" t="e">
            <v>#N/A</v>
          </cell>
          <cell r="K960">
            <v>17.5</v>
          </cell>
          <cell r="L960">
            <v>14</v>
          </cell>
          <cell r="M960" t="e">
            <v>#N/A</v>
          </cell>
          <cell r="N960">
            <v>16.5</v>
          </cell>
          <cell r="O960" t="e">
            <v>#N/A</v>
          </cell>
          <cell r="P960" t="str">
            <v/>
          </cell>
          <cell r="Q960" t="str">
            <v/>
          </cell>
          <cell r="R960">
            <v>16.5</v>
          </cell>
        </row>
        <row r="961">
          <cell r="A961" t="str">
            <v/>
          </cell>
          <cell r="B961" t="str">
            <v/>
          </cell>
          <cell r="C961" t="str">
            <v>Future</v>
          </cell>
          <cell r="D961" t="e">
            <v>#N/A</v>
          </cell>
          <cell r="E961">
            <v>-7.9229729729730423</v>
          </cell>
          <cell r="F961">
            <v>19.23918918918945</v>
          </cell>
          <cell r="G961">
            <v>13.806756756756807</v>
          </cell>
          <cell r="H961">
            <v>13.806756756756807</v>
          </cell>
          <cell r="I961" t="e">
            <v>#N/A</v>
          </cell>
          <cell r="J961" t="e">
            <v>#N/A</v>
          </cell>
          <cell r="K961">
            <v>17.5</v>
          </cell>
          <cell r="L961">
            <v>14</v>
          </cell>
          <cell r="M961" t="e">
            <v>#N/A</v>
          </cell>
          <cell r="N961">
            <v>16.5</v>
          </cell>
          <cell r="O961" t="e">
            <v>#N/A</v>
          </cell>
          <cell r="P961" t="str">
            <v/>
          </cell>
          <cell r="Q961" t="str">
            <v/>
          </cell>
          <cell r="R961">
            <v>16.5</v>
          </cell>
        </row>
        <row r="962">
          <cell r="A962" t="str">
            <v/>
          </cell>
          <cell r="B962" t="str">
            <v/>
          </cell>
          <cell r="C962" t="str">
            <v>Future</v>
          </cell>
          <cell r="D962" t="e">
            <v>#N/A</v>
          </cell>
          <cell r="E962">
            <v>-7.9783783783784479</v>
          </cell>
          <cell r="F962">
            <v>19.251351351351612</v>
          </cell>
          <cell r="G962">
            <v>13.805405405405455</v>
          </cell>
          <cell r="H962">
            <v>13.805405405405455</v>
          </cell>
          <cell r="I962" t="e">
            <v>#N/A</v>
          </cell>
          <cell r="J962" t="e">
            <v>#N/A</v>
          </cell>
          <cell r="K962">
            <v>17.5</v>
          </cell>
          <cell r="L962">
            <v>14</v>
          </cell>
          <cell r="M962" t="e">
            <v>#N/A</v>
          </cell>
          <cell r="N962">
            <v>16.5</v>
          </cell>
          <cell r="O962" t="e">
            <v>#N/A</v>
          </cell>
          <cell r="P962" t="str">
            <v/>
          </cell>
          <cell r="Q962" t="str">
            <v/>
          </cell>
          <cell r="R962">
            <v>16.5</v>
          </cell>
        </row>
        <row r="963">
          <cell r="A963" t="str">
            <v/>
          </cell>
          <cell r="B963" t="str">
            <v/>
          </cell>
          <cell r="C963" t="str">
            <v>Future</v>
          </cell>
          <cell r="D963" t="e">
            <v>#N/A</v>
          </cell>
          <cell r="E963">
            <v>-8.0337837837838535</v>
          </cell>
          <cell r="F963">
            <v>19.263513513513775</v>
          </cell>
          <cell r="G963">
            <v>13.804054054054104</v>
          </cell>
          <cell r="H963">
            <v>13.804054054054104</v>
          </cell>
          <cell r="I963" t="e">
            <v>#N/A</v>
          </cell>
          <cell r="J963" t="e">
            <v>#N/A</v>
          </cell>
          <cell r="K963">
            <v>17.5</v>
          </cell>
          <cell r="L963">
            <v>14</v>
          </cell>
          <cell r="M963" t="e">
            <v>#N/A</v>
          </cell>
          <cell r="N963">
            <v>16.5</v>
          </cell>
          <cell r="O963" t="e">
            <v>#N/A</v>
          </cell>
          <cell r="P963" t="str">
            <v/>
          </cell>
          <cell r="Q963" t="str">
            <v/>
          </cell>
          <cell r="R963">
            <v>16.5</v>
          </cell>
        </row>
        <row r="964">
          <cell r="A964" t="str">
            <v/>
          </cell>
          <cell r="B964" t="str">
            <v/>
          </cell>
          <cell r="C964" t="str">
            <v>Future</v>
          </cell>
          <cell r="D964" t="e">
            <v>#N/A</v>
          </cell>
          <cell r="E964">
            <v>-8.0891891891892591</v>
          </cell>
          <cell r="F964">
            <v>19.275675675675938</v>
          </cell>
          <cell r="G964">
            <v>13.802702702702753</v>
          </cell>
          <cell r="H964">
            <v>13.802702702702753</v>
          </cell>
          <cell r="I964" t="e">
            <v>#N/A</v>
          </cell>
          <cell r="J964" t="e">
            <v>#N/A</v>
          </cell>
          <cell r="K964">
            <v>17.5</v>
          </cell>
          <cell r="L964">
            <v>14</v>
          </cell>
          <cell r="M964" t="e">
            <v>#N/A</v>
          </cell>
          <cell r="N964">
            <v>16.5</v>
          </cell>
          <cell r="O964" t="e">
            <v>#N/A</v>
          </cell>
          <cell r="P964" t="str">
            <v/>
          </cell>
          <cell r="Q964" t="str">
            <v/>
          </cell>
          <cell r="R964">
            <v>16.5</v>
          </cell>
        </row>
        <row r="965">
          <cell r="A965" t="str">
            <v/>
          </cell>
          <cell r="B965" t="str">
            <v/>
          </cell>
          <cell r="C965" t="str">
            <v>Future</v>
          </cell>
          <cell r="D965" t="e">
            <v>#N/A</v>
          </cell>
          <cell r="E965">
            <v>-8.1445945945946647</v>
          </cell>
          <cell r="F965">
            <v>19.287837837838101</v>
          </cell>
          <cell r="G965">
            <v>13.801351351351402</v>
          </cell>
          <cell r="H965">
            <v>13.801351351351402</v>
          </cell>
          <cell r="I965" t="e">
            <v>#N/A</v>
          </cell>
          <cell r="J965" t="e">
            <v>#N/A</v>
          </cell>
          <cell r="K965">
            <v>17.5</v>
          </cell>
          <cell r="L965">
            <v>14</v>
          </cell>
          <cell r="M965" t="e">
            <v>#N/A</v>
          </cell>
          <cell r="N965">
            <v>16.5</v>
          </cell>
          <cell r="O965" t="e">
            <v>#N/A</v>
          </cell>
          <cell r="P965" t="str">
            <v/>
          </cell>
          <cell r="Q965" t="str">
            <v/>
          </cell>
          <cell r="R965">
            <v>16.5</v>
          </cell>
        </row>
        <row r="966">
          <cell r="A966" t="str">
            <v/>
          </cell>
          <cell r="B966" t="str">
            <v/>
          </cell>
          <cell r="C966" t="str">
            <v>Future</v>
          </cell>
          <cell r="D966" t="e">
            <v>#N/A</v>
          </cell>
          <cell r="E966">
            <v>-8.2000000000000703</v>
          </cell>
          <cell r="F966">
            <v>19.300000000000264</v>
          </cell>
          <cell r="G966">
            <v>13.80000000000005</v>
          </cell>
          <cell r="H966">
            <v>13.80000000000005</v>
          </cell>
          <cell r="I966" t="e">
            <v>#N/A</v>
          </cell>
          <cell r="J966" t="e">
            <v>#N/A</v>
          </cell>
          <cell r="K966">
            <v>17.5</v>
          </cell>
          <cell r="L966">
            <v>14</v>
          </cell>
          <cell r="M966" t="e">
            <v>#N/A</v>
          </cell>
          <cell r="N966">
            <v>16.5</v>
          </cell>
          <cell r="O966" t="e">
            <v>#N/A</v>
          </cell>
          <cell r="P966" t="str">
            <v/>
          </cell>
          <cell r="Q966" t="str">
            <v/>
          </cell>
          <cell r="R966">
            <v>16.5</v>
          </cell>
        </row>
        <row r="967">
          <cell r="A967" t="str">
            <v/>
          </cell>
          <cell r="B967" t="str">
            <v/>
          </cell>
          <cell r="C967" t="str">
            <v>Future</v>
          </cell>
          <cell r="D967" t="e">
            <v>#N/A</v>
          </cell>
          <cell r="E967">
            <v>-8.255405405405476</v>
          </cell>
          <cell r="F967">
            <v>19.312162162162426</v>
          </cell>
          <cell r="G967">
            <v>13.798648648648699</v>
          </cell>
          <cell r="H967">
            <v>13.798648648648699</v>
          </cell>
          <cell r="I967" t="e">
            <v>#N/A</v>
          </cell>
          <cell r="J967" t="e">
            <v>#N/A</v>
          </cell>
          <cell r="K967">
            <v>17.5</v>
          </cell>
          <cell r="L967">
            <v>14</v>
          </cell>
          <cell r="M967" t="e">
            <v>#N/A</v>
          </cell>
          <cell r="N967">
            <v>16.5</v>
          </cell>
          <cell r="O967" t="e">
            <v>#N/A</v>
          </cell>
          <cell r="P967" t="str">
            <v/>
          </cell>
          <cell r="Q967" t="str">
            <v/>
          </cell>
          <cell r="R967">
            <v>16.5</v>
          </cell>
        </row>
        <row r="968">
          <cell r="A968" t="str">
            <v/>
          </cell>
          <cell r="B968" t="str">
            <v/>
          </cell>
          <cell r="C968" t="str">
            <v>Future</v>
          </cell>
          <cell r="D968" t="e">
            <v>#N/A</v>
          </cell>
          <cell r="E968">
            <v>-8.3108108108108816</v>
          </cell>
          <cell r="F968">
            <v>19.324324324324589</v>
          </cell>
          <cell r="G968">
            <v>13.797297297297348</v>
          </cell>
          <cell r="H968">
            <v>13.797297297297348</v>
          </cell>
          <cell r="I968" t="e">
            <v>#N/A</v>
          </cell>
          <cell r="J968" t="e">
            <v>#N/A</v>
          </cell>
          <cell r="K968">
            <v>17.5</v>
          </cell>
          <cell r="L968">
            <v>14</v>
          </cell>
          <cell r="M968" t="e">
            <v>#N/A</v>
          </cell>
          <cell r="N968">
            <v>16.5</v>
          </cell>
          <cell r="O968" t="e">
            <v>#N/A</v>
          </cell>
          <cell r="P968" t="str">
            <v/>
          </cell>
          <cell r="Q968" t="str">
            <v/>
          </cell>
          <cell r="R968">
            <v>16.5</v>
          </cell>
        </row>
        <row r="969">
          <cell r="A969" t="str">
            <v/>
          </cell>
          <cell r="B969" t="str">
            <v/>
          </cell>
          <cell r="C969" t="str">
            <v>Future</v>
          </cell>
          <cell r="D969" t="e">
            <v>#N/A</v>
          </cell>
          <cell r="E969">
            <v>-8.3662162162162872</v>
          </cell>
          <cell r="F969">
            <v>19.336486486486752</v>
          </cell>
          <cell r="G969">
            <v>13.795945945945997</v>
          </cell>
          <cell r="H969">
            <v>13.795945945945997</v>
          </cell>
          <cell r="I969" t="e">
            <v>#N/A</v>
          </cell>
          <cell r="J969" t="e">
            <v>#N/A</v>
          </cell>
          <cell r="K969">
            <v>17.5</v>
          </cell>
          <cell r="L969">
            <v>14</v>
          </cell>
          <cell r="M969" t="e">
            <v>#N/A</v>
          </cell>
          <cell r="N969">
            <v>16.5</v>
          </cell>
          <cell r="O969" t="e">
            <v>#N/A</v>
          </cell>
          <cell r="P969" t="str">
            <v/>
          </cell>
          <cell r="Q969" t="str">
            <v/>
          </cell>
          <cell r="R969">
            <v>16.5</v>
          </cell>
        </row>
        <row r="970">
          <cell r="A970" t="str">
            <v/>
          </cell>
          <cell r="B970" t="str">
            <v/>
          </cell>
          <cell r="C970" t="str">
            <v>Future</v>
          </cell>
          <cell r="D970" t="e">
            <v>#N/A</v>
          </cell>
          <cell r="E970">
            <v>-8.4216216216216928</v>
          </cell>
          <cell r="F970">
            <v>19.348648648648915</v>
          </cell>
          <cell r="G970">
            <v>13.794594594594646</v>
          </cell>
          <cell r="H970">
            <v>13.794594594594646</v>
          </cell>
          <cell r="I970" t="e">
            <v>#N/A</v>
          </cell>
          <cell r="J970" t="e">
            <v>#N/A</v>
          </cell>
          <cell r="K970">
            <v>17.5</v>
          </cell>
          <cell r="L970">
            <v>14</v>
          </cell>
          <cell r="M970" t="e">
            <v>#N/A</v>
          </cell>
          <cell r="N970">
            <v>16.5</v>
          </cell>
          <cell r="O970" t="e">
            <v>#N/A</v>
          </cell>
          <cell r="P970" t="str">
            <v/>
          </cell>
          <cell r="Q970" t="str">
            <v/>
          </cell>
          <cell r="R970">
            <v>16.5</v>
          </cell>
        </row>
        <row r="971">
          <cell r="A971" t="str">
            <v/>
          </cell>
          <cell r="B971" t="str">
            <v/>
          </cell>
          <cell r="C971" t="str">
            <v>Future</v>
          </cell>
          <cell r="D971" t="e">
            <v>#N/A</v>
          </cell>
          <cell r="E971">
            <v>-8.4770270270270984</v>
          </cell>
          <cell r="F971">
            <v>19.360810810811078</v>
          </cell>
          <cell r="G971">
            <v>13.793243243243294</v>
          </cell>
          <cell r="H971">
            <v>13.793243243243294</v>
          </cell>
          <cell r="I971" t="e">
            <v>#N/A</v>
          </cell>
          <cell r="J971" t="e">
            <v>#N/A</v>
          </cell>
          <cell r="K971">
            <v>17.5</v>
          </cell>
          <cell r="L971">
            <v>14</v>
          </cell>
          <cell r="M971" t="e">
            <v>#N/A</v>
          </cell>
          <cell r="N971">
            <v>16.5</v>
          </cell>
          <cell r="O971" t="e">
            <v>#N/A</v>
          </cell>
          <cell r="P971" t="str">
            <v/>
          </cell>
          <cell r="Q971" t="str">
            <v/>
          </cell>
          <cell r="R971">
            <v>16.5</v>
          </cell>
        </row>
        <row r="972">
          <cell r="A972" t="str">
            <v/>
          </cell>
          <cell r="B972" t="str">
            <v/>
          </cell>
          <cell r="C972" t="str">
            <v>Future</v>
          </cell>
          <cell r="D972" t="e">
            <v>#N/A</v>
          </cell>
          <cell r="E972">
            <v>-8.532432432432504</v>
          </cell>
          <cell r="F972">
            <v>19.372972972973241</v>
          </cell>
          <cell r="G972">
            <v>13.791891891891943</v>
          </cell>
          <cell r="H972">
            <v>13.791891891891943</v>
          </cell>
          <cell r="I972" t="e">
            <v>#N/A</v>
          </cell>
          <cell r="J972" t="e">
            <v>#N/A</v>
          </cell>
          <cell r="K972">
            <v>17.5</v>
          </cell>
          <cell r="L972">
            <v>14</v>
          </cell>
          <cell r="M972" t="e">
            <v>#N/A</v>
          </cell>
          <cell r="N972">
            <v>16.5</v>
          </cell>
          <cell r="O972" t="e">
            <v>#N/A</v>
          </cell>
          <cell r="P972" t="str">
            <v/>
          </cell>
          <cell r="Q972" t="str">
            <v/>
          </cell>
          <cell r="R972">
            <v>16.5</v>
          </cell>
        </row>
        <row r="973">
          <cell r="A973" t="str">
            <v/>
          </cell>
          <cell r="B973" t="str">
            <v/>
          </cell>
          <cell r="C973" t="str">
            <v>Future</v>
          </cell>
          <cell r="D973" t="e">
            <v>#N/A</v>
          </cell>
          <cell r="E973">
            <v>-8.5878378378379097</v>
          </cell>
          <cell r="F973">
            <v>19.385135135135403</v>
          </cell>
          <cell r="G973">
            <v>13.790540540540592</v>
          </cell>
          <cell r="H973">
            <v>13.790540540540592</v>
          </cell>
          <cell r="I973" t="e">
            <v>#N/A</v>
          </cell>
          <cell r="J973" t="e">
            <v>#N/A</v>
          </cell>
          <cell r="K973">
            <v>17.5</v>
          </cell>
          <cell r="L973">
            <v>14</v>
          </cell>
          <cell r="M973" t="e">
            <v>#N/A</v>
          </cell>
          <cell r="N973">
            <v>16.5</v>
          </cell>
          <cell r="O973" t="e">
            <v>#N/A</v>
          </cell>
          <cell r="P973" t="str">
            <v/>
          </cell>
          <cell r="Q973" t="str">
            <v/>
          </cell>
          <cell r="R973">
            <v>16.5</v>
          </cell>
        </row>
        <row r="974">
          <cell r="A974" t="str">
            <v/>
          </cell>
          <cell r="B974" t="str">
            <v/>
          </cell>
          <cell r="C974" t="str">
            <v>Future</v>
          </cell>
          <cell r="D974" t="e">
            <v>#N/A</v>
          </cell>
          <cell r="E974">
            <v>-8.6432432432433153</v>
          </cell>
          <cell r="F974">
            <v>19.397297297297566</v>
          </cell>
          <cell r="G974">
            <v>13.789189189189241</v>
          </cell>
          <cell r="H974">
            <v>13.789189189189241</v>
          </cell>
          <cell r="I974" t="e">
            <v>#N/A</v>
          </cell>
          <cell r="J974" t="e">
            <v>#N/A</v>
          </cell>
          <cell r="K974">
            <v>17.5</v>
          </cell>
          <cell r="L974">
            <v>14</v>
          </cell>
          <cell r="M974" t="e">
            <v>#N/A</v>
          </cell>
          <cell r="N974">
            <v>16.5</v>
          </cell>
          <cell r="O974" t="e">
            <v>#N/A</v>
          </cell>
          <cell r="P974" t="str">
            <v/>
          </cell>
          <cell r="Q974" t="str">
            <v/>
          </cell>
          <cell r="R974">
            <v>16.5</v>
          </cell>
        </row>
        <row r="975">
          <cell r="A975" t="str">
            <v/>
          </cell>
          <cell r="B975" t="str">
            <v/>
          </cell>
          <cell r="C975" t="str">
            <v>Future</v>
          </cell>
          <cell r="D975" t="e">
            <v>#N/A</v>
          </cell>
          <cell r="E975">
            <v>-8.6986486486487209</v>
          </cell>
          <cell r="F975">
            <v>19.409459459459729</v>
          </cell>
          <cell r="G975">
            <v>13.787837837837889</v>
          </cell>
          <cell r="H975">
            <v>13.787837837837889</v>
          </cell>
          <cell r="I975" t="e">
            <v>#N/A</v>
          </cell>
          <cell r="J975" t="e">
            <v>#N/A</v>
          </cell>
          <cell r="K975">
            <v>17.5</v>
          </cell>
          <cell r="L975">
            <v>14</v>
          </cell>
          <cell r="M975" t="e">
            <v>#N/A</v>
          </cell>
          <cell r="N975">
            <v>16.5</v>
          </cell>
          <cell r="O975" t="e">
            <v>#N/A</v>
          </cell>
          <cell r="P975" t="str">
            <v/>
          </cell>
          <cell r="Q975" t="str">
            <v/>
          </cell>
          <cell r="R975">
            <v>16.5</v>
          </cell>
        </row>
        <row r="976">
          <cell r="A976" t="str">
            <v/>
          </cell>
          <cell r="B976" t="str">
            <v/>
          </cell>
          <cell r="C976" t="str">
            <v>Future</v>
          </cell>
          <cell r="D976" t="e">
            <v>#N/A</v>
          </cell>
          <cell r="E976">
            <v>-8.7540540540541265</v>
          </cell>
          <cell r="F976">
            <v>19.421621621621892</v>
          </cell>
          <cell r="G976">
            <v>13.786486486486538</v>
          </cell>
          <cell r="H976">
            <v>13.786486486486538</v>
          </cell>
          <cell r="I976" t="e">
            <v>#N/A</v>
          </cell>
          <cell r="J976" t="e">
            <v>#N/A</v>
          </cell>
          <cell r="K976">
            <v>17.5</v>
          </cell>
          <cell r="L976">
            <v>14</v>
          </cell>
          <cell r="M976" t="e">
            <v>#N/A</v>
          </cell>
          <cell r="N976">
            <v>16.5</v>
          </cell>
          <cell r="O976" t="e">
            <v>#N/A</v>
          </cell>
          <cell r="P976" t="str">
            <v/>
          </cell>
          <cell r="Q976" t="str">
            <v/>
          </cell>
          <cell r="R976">
            <v>16.5</v>
          </cell>
        </row>
        <row r="977">
          <cell r="A977" t="str">
            <v/>
          </cell>
          <cell r="B977" t="str">
            <v/>
          </cell>
          <cell r="C977" t="str">
            <v>Future</v>
          </cell>
          <cell r="D977" t="e">
            <v>#N/A</v>
          </cell>
          <cell r="E977">
            <v>-8.8094594594595321</v>
          </cell>
          <cell r="F977">
            <v>19.433783783784055</v>
          </cell>
          <cell r="G977">
            <v>13.785135135135187</v>
          </cell>
          <cell r="H977">
            <v>13.785135135135187</v>
          </cell>
          <cell r="I977" t="e">
            <v>#N/A</v>
          </cell>
          <cell r="J977" t="e">
            <v>#N/A</v>
          </cell>
          <cell r="K977">
            <v>17.5</v>
          </cell>
          <cell r="L977">
            <v>14</v>
          </cell>
          <cell r="M977" t="e">
            <v>#N/A</v>
          </cell>
          <cell r="N977">
            <v>16.5</v>
          </cell>
          <cell r="O977" t="e">
            <v>#N/A</v>
          </cell>
          <cell r="P977" t="str">
            <v/>
          </cell>
          <cell r="Q977" t="str">
            <v/>
          </cell>
          <cell r="R977">
            <v>16.5</v>
          </cell>
        </row>
        <row r="978">
          <cell r="A978" t="str">
            <v/>
          </cell>
          <cell r="B978" t="str">
            <v/>
          </cell>
          <cell r="C978" t="str">
            <v>Future</v>
          </cell>
          <cell r="D978" t="e">
            <v>#N/A</v>
          </cell>
          <cell r="E978">
            <v>-8.8648648648649377</v>
          </cell>
          <cell r="F978">
            <v>19.445945945946217</v>
          </cell>
          <cell r="G978">
            <v>13.783783783783836</v>
          </cell>
          <cell r="H978">
            <v>13.783783783783836</v>
          </cell>
          <cell r="I978" t="e">
            <v>#N/A</v>
          </cell>
          <cell r="J978" t="e">
            <v>#N/A</v>
          </cell>
          <cell r="K978">
            <v>17.5</v>
          </cell>
          <cell r="L978">
            <v>14</v>
          </cell>
          <cell r="M978" t="e">
            <v>#N/A</v>
          </cell>
          <cell r="N978">
            <v>16.5</v>
          </cell>
          <cell r="O978" t="e">
            <v>#N/A</v>
          </cell>
          <cell r="P978" t="str">
            <v/>
          </cell>
          <cell r="Q978" t="str">
            <v/>
          </cell>
          <cell r="R978">
            <v>16.5</v>
          </cell>
        </row>
        <row r="979">
          <cell r="A979" t="str">
            <v/>
          </cell>
          <cell r="B979" t="str">
            <v/>
          </cell>
          <cell r="C979" t="str">
            <v>Future</v>
          </cell>
          <cell r="D979" t="e">
            <v>#N/A</v>
          </cell>
          <cell r="E979">
            <v>-8.9202702702703434</v>
          </cell>
          <cell r="F979">
            <v>19.45810810810838</v>
          </cell>
          <cell r="G979">
            <v>13.782432432432485</v>
          </cell>
          <cell r="H979">
            <v>13.782432432432485</v>
          </cell>
          <cell r="I979" t="e">
            <v>#N/A</v>
          </cell>
          <cell r="J979" t="e">
            <v>#N/A</v>
          </cell>
          <cell r="K979">
            <v>17.5</v>
          </cell>
          <cell r="L979">
            <v>14</v>
          </cell>
          <cell r="M979" t="e">
            <v>#N/A</v>
          </cell>
          <cell r="N979">
            <v>16.5</v>
          </cell>
          <cell r="O979" t="e">
            <v>#N/A</v>
          </cell>
          <cell r="P979" t="str">
            <v/>
          </cell>
          <cell r="Q979" t="str">
            <v/>
          </cell>
          <cell r="R979">
            <v>16.5</v>
          </cell>
        </row>
        <row r="980">
          <cell r="A980" t="str">
            <v/>
          </cell>
          <cell r="B980" t="str">
            <v/>
          </cell>
          <cell r="C980" t="str">
            <v>Future</v>
          </cell>
          <cell r="D980" t="e">
            <v>#N/A</v>
          </cell>
          <cell r="E980">
            <v>-8.975675675675749</v>
          </cell>
          <cell r="F980">
            <v>19.470270270270543</v>
          </cell>
          <cell r="G980">
            <v>13.781081081081133</v>
          </cell>
          <cell r="H980">
            <v>13.781081081081133</v>
          </cell>
          <cell r="I980" t="e">
            <v>#N/A</v>
          </cell>
          <cell r="J980" t="e">
            <v>#N/A</v>
          </cell>
          <cell r="K980">
            <v>17.5</v>
          </cell>
          <cell r="L980">
            <v>14</v>
          </cell>
          <cell r="M980" t="e">
            <v>#N/A</v>
          </cell>
          <cell r="N980">
            <v>16.5</v>
          </cell>
          <cell r="O980" t="e">
            <v>#N/A</v>
          </cell>
          <cell r="P980" t="str">
            <v/>
          </cell>
          <cell r="Q980" t="str">
            <v/>
          </cell>
          <cell r="R980">
            <v>16.5</v>
          </cell>
        </row>
        <row r="981">
          <cell r="A981" t="str">
            <v/>
          </cell>
          <cell r="B981" t="str">
            <v/>
          </cell>
          <cell r="C981" t="str">
            <v>Future</v>
          </cell>
          <cell r="D981" t="e">
            <v>#N/A</v>
          </cell>
          <cell r="E981">
            <v>-9.0310810810811546</v>
          </cell>
          <cell r="F981">
            <v>19.482432432432706</v>
          </cell>
          <cell r="G981">
            <v>13.779729729729782</v>
          </cell>
          <cell r="H981">
            <v>13.779729729729782</v>
          </cell>
          <cell r="I981" t="e">
            <v>#N/A</v>
          </cell>
          <cell r="J981" t="e">
            <v>#N/A</v>
          </cell>
          <cell r="K981">
            <v>17.5</v>
          </cell>
          <cell r="L981">
            <v>14</v>
          </cell>
          <cell r="M981" t="e">
            <v>#N/A</v>
          </cell>
          <cell r="N981">
            <v>16.5</v>
          </cell>
          <cell r="O981" t="e">
            <v>#N/A</v>
          </cell>
          <cell r="P981" t="str">
            <v/>
          </cell>
          <cell r="Q981" t="str">
            <v/>
          </cell>
          <cell r="R981">
            <v>16.5</v>
          </cell>
        </row>
        <row r="982">
          <cell r="A982" t="str">
            <v/>
          </cell>
          <cell r="B982" t="str">
            <v/>
          </cell>
          <cell r="C982" t="str">
            <v>Future</v>
          </cell>
          <cell r="D982" t="e">
            <v>#N/A</v>
          </cell>
          <cell r="E982">
            <v>-9.0864864864865602</v>
          </cell>
          <cell r="F982">
            <v>19.494594594594869</v>
          </cell>
          <cell r="G982">
            <v>13.778378378378431</v>
          </cell>
          <cell r="H982">
            <v>13.778378378378431</v>
          </cell>
          <cell r="I982" t="e">
            <v>#N/A</v>
          </cell>
          <cell r="J982" t="e">
            <v>#N/A</v>
          </cell>
          <cell r="K982">
            <v>17.5</v>
          </cell>
          <cell r="L982">
            <v>14</v>
          </cell>
          <cell r="M982" t="e">
            <v>#N/A</v>
          </cell>
          <cell r="N982">
            <v>16.5</v>
          </cell>
          <cell r="O982" t="e">
            <v>#N/A</v>
          </cell>
          <cell r="P982" t="str">
            <v/>
          </cell>
          <cell r="Q982" t="str">
            <v/>
          </cell>
          <cell r="R982">
            <v>16.5</v>
          </cell>
        </row>
        <row r="983">
          <cell r="A983" t="str">
            <v/>
          </cell>
          <cell r="B983" t="str">
            <v/>
          </cell>
          <cell r="C983" t="str">
            <v>Future</v>
          </cell>
          <cell r="D983" t="e">
            <v>#N/A</v>
          </cell>
          <cell r="E983">
            <v>-9.1418918918919658</v>
          </cell>
          <cell r="F983">
            <v>19.506756756757031</v>
          </cell>
          <cell r="G983">
            <v>13.77702702702708</v>
          </cell>
          <cell r="H983">
            <v>13.77702702702708</v>
          </cell>
          <cell r="I983" t="e">
            <v>#N/A</v>
          </cell>
          <cell r="J983" t="e">
            <v>#N/A</v>
          </cell>
          <cell r="K983">
            <v>17.5</v>
          </cell>
          <cell r="L983">
            <v>14</v>
          </cell>
          <cell r="M983" t="e">
            <v>#N/A</v>
          </cell>
          <cell r="N983">
            <v>16.5</v>
          </cell>
          <cell r="O983" t="e">
            <v>#N/A</v>
          </cell>
          <cell r="P983" t="str">
            <v/>
          </cell>
          <cell r="Q983" t="str">
            <v/>
          </cell>
          <cell r="R983">
            <v>16.5</v>
          </cell>
        </row>
        <row r="984">
          <cell r="A984" t="str">
            <v/>
          </cell>
          <cell r="B984" t="str">
            <v/>
          </cell>
          <cell r="C984" t="str">
            <v>Future</v>
          </cell>
          <cell r="D984" t="e">
            <v>#N/A</v>
          </cell>
          <cell r="E984">
            <v>-9.1972972972973714</v>
          </cell>
          <cell r="F984">
            <v>19.518918918919194</v>
          </cell>
          <cell r="G984">
            <v>13.775675675675728</v>
          </cell>
          <cell r="H984">
            <v>13.775675675675728</v>
          </cell>
          <cell r="I984" t="e">
            <v>#N/A</v>
          </cell>
          <cell r="J984" t="e">
            <v>#N/A</v>
          </cell>
          <cell r="K984">
            <v>17.5</v>
          </cell>
          <cell r="L984">
            <v>14</v>
          </cell>
          <cell r="M984" t="e">
            <v>#N/A</v>
          </cell>
          <cell r="N984">
            <v>16.5</v>
          </cell>
          <cell r="O984" t="e">
            <v>#N/A</v>
          </cell>
          <cell r="P984" t="str">
            <v/>
          </cell>
          <cell r="Q984" t="str">
            <v/>
          </cell>
          <cell r="R984">
            <v>16.5</v>
          </cell>
        </row>
        <row r="985">
          <cell r="A985" t="str">
            <v/>
          </cell>
          <cell r="B985" t="str">
            <v/>
          </cell>
          <cell r="C985" t="str">
            <v>Future</v>
          </cell>
          <cell r="D985" t="e">
            <v>#N/A</v>
          </cell>
          <cell r="E985">
            <v>-9.2527027027027771</v>
          </cell>
          <cell r="F985">
            <v>19.531081081081357</v>
          </cell>
          <cell r="G985">
            <v>13.774324324324377</v>
          </cell>
          <cell r="H985">
            <v>13.774324324324377</v>
          </cell>
          <cell r="I985" t="e">
            <v>#N/A</v>
          </cell>
          <cell r="J985" t="e">
            <v>#N/A</v>
          </cell>
          <cell r="K985">
            <v>17.5</v>
          </cell>
          <cell r="L985">
            <v>14</v>
          </cell>
          <cell r="M985" t="e">
            <v>#N/A</v>
          </cell>
          <cell r="N985">
            <v>16.5</v>
          </cell>
          <cell r="O985" t="e">
            <v>#N/A</v>
          </cell>
          <cell r="P985" t="str">
            <v/>
          </cell>
          <cell r="Q985" t="str">
            <v/>
          </cell>
          <cell r="R985">
            <v>16.5</v>
          </cell>
        </row>
        <row r="986">
          <cell r="A986" t="str">
            <v/>
          </cell>
          <cell r="B986" t="str">
            <v/>
          </cell>
          <cell r="C986" t="str">
            <v>Future</v>
          </cell>
          <cell r="D986" t="e">
            <v>#N/A</v>
          </cell>
          <cell r="E986">
            <v>-9.3081081081081827</v>
          </cell>
          <cell r="F986">
            <v>19.54324324324352</v>
          </cell>
          <cell r="G986">
            <v>13.772972972973026</v>
          </cell>
          <cell r="H986">
            <v>13.772972972973026</v>
          </cell>
          <cell r="I986" t="e">
            <v>#N/A</v>
          </cell>
          <cell r="J986" t="e">
            <v>#N/A</v>
          </cell>
          <cell r="K986">
            <v>17.5</v>
          </cell>
          <cell r="L986">
            <v>14</v>
          </cell>
          <cell r="M986" t="e">
            <v>#N/A</v>
          </cell>
          <cell r="N986">
            <v>16.5</v>
          </cell>
          <cell r="O986" t="e">
            <v>#N/A</v>
          </cell>
          <cell r="P986" t="str">
            <v/>
          </cell>
          <cell r="Q986" t="str">
            <v/>
          </cell>
          <cell r="R986">
            <v>16.5</v>
          </cell>
        </row>
        <row r="987">
          <cell r="A987" t="str">
            <v/>
          </cell>
          <cell r="B987" t="str">
            <v/>
          </cell>
          <cell r="C987" t="str">
            <v>Future</v>
          </cell>
          <cell r="D987" t="e">
            <v>#N/A</v>
          </cell>
          <cell r="E987">
            <v>-9.3635135135135883</v>
          </cell>
          <cell r="F987">
            <v>19.555405405405683</v>
          </cell>
          <cell r="G987">
            <v>13.771621621621675</v>
          </cell>
          <cell r="H987">
            <v>13.771621621621675</v>
          </cell>
          <cell r="I987" t="e">
            <v>#N/A</v>
          </cell>
          <cell r="J987" t="e">
            <v>#N/A</v>
          </cell>
          <cell r="K987">
            <v>17.5</v>
          </cell>
          <cell r="L987">
            <v>14</v>
          </cell>
          <cell r="M987" t="e">
            <v>#N/A</v>
          </cell>
          <cell r="N987">
            <v>16.5</v>
          </cell>
          <cell r="O987" t="e">
            <v>#N/A</v>
          </cell>
          <cell r="P987" t="str">
            <v/>
          </cell>
          <cell r="Q987" t="str">
            <v/>
          </cell>
          <cell r="R987">
            <v>16.5</v>
          </cell>
        </row>
        <row r="988">
          <cell r="A988" t="str">
            <v/>
          </cell>
          <cell r="B988" t="str">
            <v/>
          </cell>
          <cell r="C988" t="str">
            <v>Future</v>
          </cell>
          <cell r="D988" t="e">
            <v>#N/A</v>
          </cell>
          <cell r="E988">
            <v>-9.4189189189189939</v>
          </cell>
          <cell r="F988">
            <v>19.567567567567846</v>
          </cell>
          <cell r="G988">
            <v>13.770270270270323</v>
          </cell>
          <cell r="H988">
            <v>13.770270270270323</v>
          </cell>
          <cell r="I988" t="e">
            <v>#N/A</v>
          </cell>
          <cell r="J988" t="e">
            <v>#N/A</v>
          </cell>
          <cell r="K988">
            <v>17.5</v>
          </cell>
          <cell r="L988">
            <v>14</v>
          </cell>
          <cell r="M988" t="e">
            <v>#N/A</v>
          </cell>
          <cell r="N988">
            <v>16.5</v>
          </cell>
          <cell r="O988" t="e">
            <v>#N/A</v>
          </cell>
          <cell r="P988" t="str">
            <v/>
          </cell>
          <cell r="Q988" t="str">
            <v/>
          </cell>
          <cell r="R988">
            <v>16.5</v>
          </cell>
        </row>
        <row r="989">
          <cell r="A989" t="str">
            <v/>
          </cell>
          <cell r="B989" t="str">
            <v/>
          </cell>
          <cell r="C989" t="str">
            <v>Future</v>
          </cell>
          <cell r="D989" t="e">
            <v>#N/A</v>
          </cell>
          <cell r="E989">
            <v>-9.4743243243243995</v>
          </cell>
          <cell r="F989">
            <v>19.579729729730008</v>
          </cell>
          <cell r="G989">
            <v>13.768918918918972</v>
          </cell>
          <cell r="H989">
            <v>13.768918918918972</v>
          </cell>
          <cell r="I989" t="e">
            <v>#N/A</v>
          </cell>
          <cell r="J989" t="e">
            <v>#N/A</v>
          </cell>
          <cell r="K989">
            <v>17.5</v>
          </cell>
          <cell r="L989">
            <v>14</v>
          </cell>
          <cell r="M989" t="e">
            <v>#N/A</v>
          </cell>
          <cell r="N989">
            <v>16.5</v>
          </cell>
          <cell r="O989" t="e">
            <v>#N/A</v>
          </cell>
          <cell r="P989" t="str">
            <v/>
          </cell>
          <cell r="Q989" t="str">
            <v/>
          </cell>
          <cell r="R989">
            <v>16.5</v>
          </cell>
        </row>
        <row r="990">
          <cell r="A990" t="str">
            <v/>
          </cell>
          <cell r="B990" t="str">
            <v/>
          </cell>
          <cell r="C990" t="str">
            <v>Future</v>
          </cell>
          <cell r="D990" t="e">
            <v>#N/A</v>
          </cell>
          <cell r="E990">
            <v>-9.5297297297298051</v>
          </cell>
          <cell r="F990">
            <v>19.591891891892171</v>
          </cell>
          <cell r="G990">
            <v>13.767567567567621</v>
          </cell>
          <cell r="H990">
            <v>13.767567567567621</v>
          </cell>
          <cell r="I990" t="e">
            <v>#N/A</v>
          </cell>
          <cell r="J990" t="e">
            <v>#N/A</v>
          </cell>
          <cell r="K990">
            <v>17.5</v>
          </cell>
          <cell r="L990">
            <v>14</v>
          </cell>
          <cell r="M990" t="e">
            <v>#N/A</v>
          </cell>
          <cell r="N990">
            <v>16.5</v>
          </cell>
          <cell r="O990" t="e">
            <v>#N/A</v>
          </cell>
          <cell r="P990" t="str">
            <v/>
          </cell>
          <cell r="Q990" t="str">
            <v/>
          </cell>
          <cell r="R990">
            <v>16.5</v>
          </cell>
        </row>
        <row r="991">
          <cell r="A991" t="str">
            <v/>
          </cell>
          <cell r="B991" t="str">
            <v/>
          </cell>
          <cell r="C991" t="str">
            <v>Future</v>
          </cell>
          <cell r="D991" t="e">
            <v>#N/A</v>
          </cell>
          <cell r="E991">
            <v>-9.5851351351352108</v>
          </cell>
          <cell r="F991">
            <v>19.604054054054334</v>
          </cell>
          <cell r="G991">
            <v>13.76621621621627</v>
          </cell>
          <cell r="H991">
            <v>13.76621621621627</v>
          </cell>
          <cell r="I991" t="e">
            <v>#N/A</v>
          </cell>
          <cell r="J991" t="e">
            <v>#N/A</v>
          </cell>
          <cell r="K991">
            <v>17.5</v>
          </cell>
          <cell r="L991">
            <v>14</v>
          </cell>
          <cell r="M991" t="e">
            <v>#N/A</v>
          </cell>
          <cell r="N991">
            <v>16.5</v>
          </cell>
          <cell r="O991" t="e">
            <v>#N/A</v>
          </cell>
          <cell r="P991" t="str">
            <v/>
          </cell>
          <cell r="Q991" t="str">
            <v/>
          </cell>
          <cell r="R991">
            <v>16.5</v>
          </cell>
        </row>
        <row r="992">
          <cell r="A992" t="str">
            <v/>
          </cell>
          <cell r="B992" t="str">
            <v/>
          </cell>
          <cell r="C992" t="str">
            <v>Future</v>
          </cell>
          <cell r="D992" t="e">
            <v>#N/A</v>
          </cell>
          <cell r="E992">
            <v>-9.6405405405406164</v>
          </cell>
          <cell r="F992">
            <v>19.616216216216497</v>
          </cell>
          <cell r="G992">
            <v>13.764864864864919</v>
          </cell>
          <cell r="H992">
            <v>13.764864864864919</v>
          </cell>
          <cell r="I992" t="e">
            <v>#N/A</v>
          </cell>
          <cell r="J992" t="e">
            <v>#N/A</v>
          </cell>
          <cell r="K992">
            <v>17.5</v>
          </cell>
          <cell r="L992">
            <v>14</v>
          </cell>
          <cell r="M992" t="e">
            <v>#N/A</v>
          </cell>
          <cell r="N992">
            <v>16.5</v>
          </cell>
          <cell r="O992" t="e">
            <v>#N/A</v>
          </cell>
          <cell r="P992" t="str">
            <v/>
          </cell>
          <cell r="Q992" t="str">
            <v/>
          </cell>
          <cell r="R992">
            <v>16.5</v>
          </cell>
        </row>
        <row r="993">
          <cell r="A993" t="str">
            <v/>
          </cell>
          <cell r="B993" t="str">
            <v/>
          </cell>
          <cell r="C993" t="str">
            <v>Future</v>
          </cell>
          <cell r="D993" t="e">
            <v>#N/A</v>
          </cell>
          <cell r="E993">
            <v>-9.695945945946022</v>
          </cell>
          <cell r="F993">
            <v>19.62837837837866</v>
          </cell>
          <cell r="G993">
            <v>13.763513513513567</v>
          </cell>
          <cell r="H993">
            <v>13.763513513513567</v>
          </cell>
          <cell r="I993" t="e">
            <v>#N/A</v>
          </cell>
          <cell r="J993" t="e">
            <v>#N/A</v>
          </cell>
          <cell r="K993">
            <v>17.5</v>
          </cell>
          <cell r="L993">
            <v>14</v>
          </cell>
          <cell r="M993" t="e">
            <v>#N/A</v>
          </cell>
          <cell r="N993">
            <v>16.5</v>
          </cell>
          <cell r="O993" t="e">
            <v>#N/A</v>
          </cell>
          <cell r="P993" t="str">
            <v/>
          </cell>
          <cell r="Q993" t="str">
            <v/>
          </cell>
          <cell r="R993">
            <v>16.5</v>
          </cell>
        </row>
        <row r="994">
          <cell r="A994" t="str">
            <v/>
          </cell>
          <cell r="B994" t="str">
            <v/>
          </cell>
          <cell r="C994" t="str">
            <v>Future</v>
          </cell>
          <cell r="D994" t="e">
            <v>#N/A</v>
          </cell>
          <cell r="E994">
            <v>-9.7513513513514276</v>
          </cell>
          <cell r="F994">
            <v>19.640540540540822</v>
          </cell>
          <cell r="G994">
            <v>13.762162162162216</v>
          </cell>
          <cell r="H994">
            <v>13.762162162162216</v>
          </cell>
          <cell r="I994" t="e">
            <v>#N/A</v>
          </cell>
          <cell r="J994" t="e">
            <v>#N/A</v>
          </cell>
          <cell r="K994">
            <v>17.5</v>
          </cell>
          <cell r="L994">
            <v>14</v>
          </cell>
          <cell r="M994" t="e">
            <v>#N/A</v>
          </cell>
          <cell r="N994">
            <v>16.5</v>
          </cell>
          <cell r="O994" t="e">
            <v>#N/A</v>
          </cell>
          <cell r="P994" t="str">
            <v/>
          </cell>
          <cell r="Q994" t="str">
            <v/>
          </cell>
          <cell r="R994">
            <v>16.5</v>
          </cell>
        </row>
        <row r="995">
          <cell r="A995" t="str">
            <v/>
          </cell>
          <cell r="B995" t="str">
            <v/>
          </cell>
          <cell r="C995" t="str">
            <v>Future</v>
          </cell>
          <cell r="D995" t="e">
            <v>#N/A</v>
          </cell>
          <cell r="E995">
            <v>-9.8067567567568332</v>
          </cell>
          <cell r="F995">
            <v>19.652702702702985</v>
          </cell>
          <cell r="G995">
            <v>13.760810810810865</v>
          </cell>
          <cell r="H995">
            <v>13.760810810810865</v>
          </cell>
          <cell r="I995" t="e">
            <v>#N/A</v>
          </cell>
          <cell r="J995" t="e">
            <v>#N/A</v>
          </cell>
          <cell r="K995">
            <v>17.5</v>
          </cell>
          <cell r="L995">
            <v>14</v>
          </cell>
          <cell r="M995" t="e">
            <v>#N/A</v>
          </cell>
          <cell r="N995">
            <v>16.5</v>
          </cell>
          <cell r="O995" t="e">
            <v>#N/A</v>
          </cell>
          <cell r="P995" t="str">
            <v/>
          </cell>
          <cell r="Q995" t="str">
            <v/>
          </cell>
          <cell r="R995">
            <v>16.5</v>
          </cell>
        </row>
        <row r="996">
          <cell r="A996" t="str">
            <v/>
          </cell>
          <cell r="B996" t="str">
            <v/>
          </cell>
          <cell r="C996" t="str">
            <v>Future</v>
          </cell>
          <cell r="D996" t="e">
            <v>#N/A</v>
          </cell>
          <cell r="E996">
            <v>-9.8621621621622388</v>
          </cell>
          <cell r="F996">
            <v>19.664864864865148</v>
          </cell>
          <cell r="G996">
            <v>13.759459459459514</v>
          </cell>
          <cell r="H996">
            <v>13.759459459459514</v>
          </cell>
          <cell r="I996" t="e">
            <v>#N/A</v>
          </cell>
          <cell r="J996" t="e">
            <v>#N/A</v>
          </cell>
          <cell r="K996">
            <v>17.5</v>
          </cell>
          <cell r="L996">
            <v>14</v>
          </cell>
          <cell r="M996" t="e">
            <v>#N/A</v>
          </cell>
          <cell r="N996">
            <v>16.5</v>
          </cell>
          <cell r="O996" t="e">
            <v>#N/A</v>
          </cell>
          <cell r="P996" t="str">
            <v/>
          </cell>
          <cell r="Q996" t="str">
            <v/>
          </cell>
          <cell r="R996">
            <v>16.5</v>
          </cell>
        </row>
        <row r="997">
          <cell r="A997" t="str">
            <v/>
          </cell>
          <cell r="B997" t="str">
            <v/>
          </cell>
          <cell r="C997" t="str">
            <v>Future</v>
          </cell>
          <cell r="D997" t="e">
            <v>#N/A</v>
          </cell>
          <cell r="E997">
            <v>-9.9175675675676445</v>
          </cell>
          <cell r="F997">
            <v>19.677027027027311</v>
          </cell>
          <cell r="G997">
            <v>13.758108108108162</v>
          </cell>
          <cell r="H997">
            <v>13.758108108108162</v>
          </cell>
          <cell r="I997" t="e">
            <v>#N/A</v>
          </cell>
          <cell r="J997" t="e">
            <v>#N/A</v>
          </cell>
          <cell r="K997">
            <v>17.5</v>
          </cell>
          <cell r="L997">
            <v>14</v>
          </cell>
          <cell r="M997" t="e">
            <v>#N/A</v>
          </cell>
          <cell r="N997">
            <v>16.5</v>
          </cell>
          <cell r="O997" t="e">
            <v>#N/A</v>
          </cell>
          <cell r="P997" t="str">
            <v/>
          </cell>
          <cell r="Q997" t="str">
            <v/>
          </cell>
          <cell r="R997">
            <v>16.5</v>
          </cell>
        </row>
        <row r="998">
          <cell r="A998" t="str">
            <v/>
          </cell>
          <cell r="B998" t="str">
            <v/>
          </cell>
          <cell r="C998" t="str">
            <v>Future</v>
          </cell>
          <cell r="D998" t="e">
            <v>#N/A</v>
          </cell>
          <cell r="E998">
            <v>-9.9729729729730501</v>
          </cell>
          <cell r="F998">
            <v>19.689189189189474</v>
          </cell>
          <cell r="G998">
            <v>13.756756756756811</v>
          </cell>
          <cell r="H998">
            <v>13.756756756756811</v>
          </cell>
          <cell r="I998" t="e">
            <v>#N/A</v>
          </cell>
          <cell r="J998" t="e">
            <v>#N/A</v>
          </cell>
          <cell r="K998">
            <v>17.5</v>
          </cell>
          <cell r="L998">
            <v>14</v>
          </cell>
          <cell r="M998" t="e">
            <v>#N/A</v>
          </cell>
          <cell r="N998">
            <v>16.5</v>
          </cell>
          <cell r="O998" t="e">
            <v>#N/A</v>
          </cell>
          <cell r="P998" t="str">
            <v/>
          </cell>
          <cell r="Q998" t="str">
            <v/>
          </cell>
          <cell r="R998">
            <v>16.5</v>
          </cell>
        </row>
        <row r="999">
          <cell r="A999" t="str">
            <v/>
          </cell>
          <cell r="B999" t="str">
            <v/>
          </cell>
          <cell r="C999" t="str">
            <v>Future</v>
          </cell>
          <cell r="D999" t="e">
            <v>#N/A</v>
          </cell>
          <cell r="E999">
            <v>-10.028378378378456</v>
          </cell>
          <cell r="F999">
            <v>19.701351351351637</v>
          </cell>
          <cell r="G999">
            <v>13.75540540540546</v>
          </cell>
          <cell r="H999">
            <v>13.75540540540546</v>
          </cell>
          <cell r="I999" t="e">
            <v>#N/A</v>
          </cell>
          <cell r="J999" t="e">
            <v>#N/A</v>
          </cell>
          <cell r="K999">
            <v>17.5</v>
          </cell>
          <cell r="L999">
            <v>14</v>
          </cell>
          <cell r="M999" t="e">
            <v>#N/A</v>
          </cell>
          <cell r="N999">
            <v>16.5</v>
          </cell>
          <cell r="O999" t="e">
            <v>#N/A</v>
          </cell>
          <cell r="P999" t="str">
            <v/>
          </cell>
          <cell r="Q999" t="str">
            <v/>
          </cell>
          <cell r="R999">
            <v>16.5</v>
          </cell>
        </row>
        <row r="1000">
          <cell r="A1000" t="str">
            <v/>
          </cell>
          <cell r="B1000" t="str">
            <v/>
          </cell>
          <cell r="C1000" t="str">
            <v>Future</v>
          </cell>
          <cell r="D1000" t="e">
            <v>#N/A</v>
          </cell>
          <cell r="E1000">
            <v>-10.083783783783861</v>
          </cell>
          <cell r="F1000">
            <v>19.713513513513799</v>
          </cell>
          <cell r="G1000">
            <v>13.754054054054109</v>
          </cell>
          <cell r="H1000">
            <v>13.754054054054109</v>
          </cell>
          <cell r="I1000" t="e">
            <v>#N/A</v>
          </cell>
          <cell r="J1000" t="e">
            <v>#N/A</v>
          </cell>
          <cell r="K1000">
            <v>17.5</v>
          </cell>
          <cell r="L1000">
            <v>14</v>
          </cell>
          <cell r="M1000" t="e">
            <v>#N/A</v>
          </cell>
          <cell r="N1000">
            <v>16.5</v>
          </cell>
          <cell r="O1000" t="e">
            <v>#N/A</v>
          </cell>
          <cell r="P1000" t="str">
            <v/>
          </cell>
          <cell r="Q1000" t="str">
            <v/>
          </cell>
          <cell r="R1000">
            <v>16.5</v>
          </cell>
        </row>
        <row r="1001">
          <cell r="A1001" t="str">
            <v/>
          </cell>
          <cell r="B1001" t="str">
            <v/>
          </cell>
          <cell r="C1001" t="str">
            <v>Future</v>
          </cell>
          <cell r="D1001" t="e">
            <v>#N/A</v>
          </cell>
          <cell r="E1001">
            <v>-10.139189189189267</v>
          </cell>
          <cell r="F1001">
            <v>19.725675675675962</v>
          </cell>
          <cell r="G1001">
            <v>13.752702702702758</v>
          </cell>
          <cell r="H1001">
            <v>13.752702702702758</v>
          </cell>
          <cell r="I1001" t="e">
            <v>#N/A</v>
          </cell>
          <cell r="J1001" t="e">
            <v>#N/A</v>
          </cell>
          <cell r="K1001">
            <v>17.5</v>
          </cell>
          <cell r="L1001">
            <v>14</v>
          </cell>
          <cell r="M1001" t="e">
            <v>#N/A</v>
          </cell>
          <cell r="N1001">
            <v>16.5</v>
          </cell>
          <cell r="O1001" t="e">
            <v>#N/A</v>
          </cell>
          <cell r="P1001" t="str">
            <v/>
          </cell>
          <cell r="Q1001" t="str">
            <v/>
          </cell>
          <cell r="R1001">
            <v>16.5</v>
          </cell>
        </row>
        <row r="1002">
          <cell r="A1002" t="str">
            <v/>
          </cell>
          <cell r="B1002" t="str">
            <v/>
          </cell>
          <cell r="C1002" t="str">
            <v>Future</v>
          </cell>
          <cell r="D1002" t="e">
            <v>#N/A</v>
          </cell>
          <cell r="E1002">
            <v>-10.194594594594673</v>
          </cell>
          <cell r="F1002">
            <v>19.737837837838125</v>
          </cell>
          <cell r="G1002">
            <v>13.751351351351406</v>
          </cell>
          <cell r="H1002">
            <v>13.751351351351406</v>
          </cell>
          <cell r="I1002" t="e">
            <v>#N/A</v>
          </cell>
          <cell r="J1002" t="e">
            <v>#N/A</v>
          </cell>
          <cell r="K1002">
            <v>17.5</v>
          </cell>
          <cell r="L1002">
            <v>14</v>
          </cell>
          <cell r="M1002" t="e">
            <v>#N/A</v>
          </cell>
          <cell r="N1002">
            <v>16.5</v>
          </cell>
          <cell r="O1002" t="e">
            <v>#N/A</v>
          </cell>
          <cell r="P1002" t="str">
            <v/>
          </cell>
          <cell r="Q1002" t="str">
            <v/>
          </cell>
          <cell r="R1002">
            <v>16.5</v>
          </cell>
        </row>
        <row r="1003">
          <cell r="A1003" t="str">
            <v/>
          </cell>
          <cell r="B1003" t="str">
            <v/>
          </cell>
          <cell r="C1003" t="str">
            <v>Future</v>
          </cell>
          <cell r="D1003" t="e">
            <v>#N/A</v>
          </cell>
          <cell r="E1003">
            <v>-10.250000000000078</v>
          </cell>
          <cell r="F1003">
            <v>19.750000000000288</v>
          </cell>
          <cell r="G1003">
            <v>13.750000000000055</v>
          </cell>
          <cell r="H1003">
            <v>13.750000000000055</v>
          </cell>
          <cell r="I1003" t="e">
            <v>#N/A</v>
          </cell>
          <cell r="J1003" t="e">
            <v>#N/A</v>
          </cell>
          <cell r="K1003">
            <v>17.5</v>
          </cell>
          <cell r="L1003">
            <v>14</v>
          </cell>
          <cell r="M1003" t="e">
            <v>#N/A</v>
          </cell>
          <cell r="N1003">
            <v>16.5</v>
          </cell>
          <cell r="O1003" t="e">
            <v>#N/A</v>
          </cell>
          <cell r="P1003" t="str">
            <v/>
          </cell>
          <cell r="Q1003" t="str">
            <v/>
          </cell>
          <cell r="R1003">
            <v>16.5</v>
          </cell>
        </row>
        <row r="1004">
          <cell r="A1004" t="str">
            <v/>
          </cell>
          <cell r="B1004" t="str">
            <v/>
          </cell>
          <cell r="C1004" t="str">
            <v>Future</v>
          </cell>
          <cell r="D1004" t="e">
            <v>#N/A</v>
          </cell>
          <cell r="E1004">
            <v>-10.305405405405484</v>
          </cell>
          <cell r="F1004">
            <v>19.762162162162451</v>
          </cell>
          <cell r="G1004">
            <v>13.748648648648704</v>
          </cell>
          <cell r="H1004">
            <v>13.748648648648704</v>
          </cell>
          <cell r="I1004" t="e">
            <v>#N/A</v>
          </cell>
          <cell r="J1004" t="e">
            <v>#N/A</v>
          </cell>
          <cell r="K1004">
            <v>17.5</v>
          </cell>
          <cell r="L1004">
            <v>14</v>
          </cell>
          <cell r="M1004" t="e">
            <v>#N/A</v>
          </cell>
          <cell r="N1004">
            <v>16.5</v>
          </cell>
          <cell r="O1004" t="e">
            <v>#N/A</v>
          </cell>
          <cell r="P1004" t="str">
            <v/>
          </cell>
          <cell r="Q1004" t="str">
            <v/>
          </cell>
          <cell r="R1004">
            <v>16.5</v>
          </cell>
        </row>
        <row r="1005">
          <cell r="A1005" t="str">
            <v/>
          </cell>
          <cell r="B1005" t="str">
            <v/>
          </cell>
          <cell r="C1005" t="str">
            <v>Future</v>
          </cell>
          <cell r="D1005" t="e">
            <v>#N/A</v>
          </cell>
          <cell r="E1005">
            <v>-10.360810810810889</v>
          </cell>
          <cell r="F1005">
            <v>19.774324324324613</v>
          </cell>
          <cell r="G1005">
            <v>13.747297297297353</v>
          </cell>
          <cell r="H1005">
            <v>13.747297297297353</v>
          </cell>
          <cell r="I1005" t="e">
            <v>#N/A</v>
          </cell>
          <cell r="J1005" t="e">
            <v>#N/A</v>
          </cell>
          <cell r="K1005">
            <v>17.5</v>
          </cell>
          <cell r="L1005">
            <v>14</v>
          </cell>
          <cell r="M1005" t="e">
            <v>#N/A</v>
          </cell>
          <cell r="N1005">
            <v>16.5</v>
          </cell>
          <cell r="O1005" t="e">
            <v>#N/A</v>
          </cell>
          <cell r="P1005" t="str">
            <v/>
          </cell>
          <cell r="Q1005" t="str">
            <v/>
          </cell>
          <cell r="R1005">
            <v>16.5</v>
          </cell>
        </row>
        <row r="1006">
          <cell r="A1006" t="str">
            <v/>
          </cell>
          <cell r="B1006" t="str">
            <v/>
          </cell>
          <cell r="C1006" t="str">
            <v>Future</v>
          </cell>
          <cell r="D1006" t="e">
            <v>#N/A</v>
          </cell>
          <cell r="E1006">
            <v>-10.416216216216295</v>
          </cell>
          <cell r="F1006">
            <v>19.786486486486776</v>
          </cell>
          <cell r="G1006">
            <v>13.745945945946001</v>
          </cell>
          <cell r="H1006">
            <v>13.745945945946001</v>
          </cell>
          <cell r="I1006" t="e">
            <v>#N/A</v>
          </cell>
          <cell r="J1006" t="e">
            <v>#N/A</v>
          </cell>
          <cell r="K1006">
            <v>17.5</v>
          </cell>
          <cell r="L1006">
            <v>14</v>
          </cell>
          <cell r="M1006" t="e">
            <v>#N/A</v>
          </cell>
          <cell r="N1006">
            <v>16.5</v>
          </cell>
          <cell r="O1006" t="e">
            <v>#N/A</v>
          </cell>
          <cell r="P1006" t="str">
            <v/>
          </cell>
          <cell r="Q1006" t="str">
            <v/>
          </cell>
          <cell r="R1006">
            <v>16.5</v>
          </cell>
        </row>
        <row r="1007">
          <cell r="A1007" t="str">
            <v/>
          </cell>
          <cell r="B1007" t="str">
            <v/>
          </cell>
          <cell r="C1007" t="str">
            <v>Future</v>
          </cell>
          <cell r="D1007" t="e">
            <v>#N/A</v>
          </cell>
          <cell r="E1007">
            <v>-10.471621621621701</v>
          </cell>
          <cell r="F1007">
            <v>19.798648648648939</v>
          </cell>
          <cell r="G1007">
            <v>13.74459459459465</v>
          </cell>
          <cell r="H1007">
            <v>13.74459459459465</v>
          </cell>
          <cell r="I1007" t="e">
            <v>#N/A</v>
          </cell>
          <cell r="J1007" t="e">
            <v>#N/A</v>
          </cell>
          <cell r="K1007">
            <v>17.5</v>
          </cell>
          <cell r="L1007">
            <v>14</v>
          </cell>
          <cell r="M1007" t="e">
            <v>#N/A</v>
          </cell>
          <cell r="N1007">
            <v>16.5</v>
          </cell>
          <cell r="O1007" t="e">
            <v>#N/A</v>
          </cell>
          <cell r="P1007" t="str">
            <v/>
          </cell>
          <cell r="Q1007" t="str">
            <v/>
          </cell>
          <cell r="R1007">
            <v>16.5</v>
          </cell>
        </row>
        <row r="1008">
          <cell r="A1008" t="str">
            <v/>
          </cell>
          <cell r="B1008" t="str">
            <v/>
          </cell>
          <cell r="C1008" t="str">
            <v>Future</v>
          </cell>
          <cell r="D1008" t="e">
            <v>#N/A</v>
          </cell>
          <cell r="E1008">
            <v>-10.527027027027106</v>
          </cell>
          <cell r="F1008">
            <v>19.810810810811102</v>
          </cell>
          <cell r="G1008">
            <v>13.743243243243299</v>
          </cell>
          <cell r="H1008">
            <v>13.743243243243299</v>
          </cell>
          <cell r="I1008" t="e">
            <v>#N/A</v>
          </cell>
          <cell r="J1008" t="e">
            <v>#N/A</v>
          </cell>
          <cell r="K1008">
            <v>17.5</v>
          </cell>
          <cell r="L1008">
            <v>14</v>
          </cell>
          <cell r="M1008" t="e">
            <v>#N/A</v>
          </cell>
          <cell r="N1008">
            <v>16.5</v>
          </cell>
          <cell r="O1008" t="e">
            <v>#N/A</v>
          </cell>
          <cell r="P1008" t="str">
            <v/>
          </cell>
          <cell r="Q1008" t="str">
            <v/>
          </cell>
          <cell r="R1008">
            <v>16.5</v>
          </cell>
        </row>
        <row r="1009">
          <cell r="A1009" t="str">
            <v/>
          </cell>
          <cell r="B1009" t="str">
            <v/>
          </cell>
          <cell r="C1009" t="str">
            <v>Future</v>
          </cell>
          <cell r="D1009" t="e">
            <v>#N/A</v>
          </cell>
          <cell r="E1009">
            <v>-10.582432432432512</v>
          </cell>
          <cell r="F1009">
            <v>19.822972972973265</v>
          </cell>
          <cell r="G1009">
            <v>13.741891891891948</v>
          </cell>
          <cell r="H1009">
            <v>13.741891891891948</v>
          </cell>
          <cell r="I1009" t="e">
            <v>#N/A</v>
          </cell>
          <cell r="J1009" t="e">
            <v>#N/A</v>
          </cell>
          <cell r="K1009">
            <v>17.5</v>
          </cell>
          <cell r="L1009">
            <v>14</v>
          </cell>
          <cell r="M1009" t="e">
            <v>#N/A</v>
          </cell>
          <cell r="N1009">
            <v>16.5</v>
          </cell>
          <cell r="O1009" t="e">
            <v>#N/A</v>
          </cell>
          <cell r="P1009" t="str">
            <v/>
          </cell>
          <cell r="Q1009" t="str">
            <v/>
          </cell>
          <cell r="R1009">
            <v>16.5</v>
          </cell>
        </row>
        <row r="1010">
          <cell r="A1010" t="str">
            <v/>
          </cell>
          <cell r="B1010" t="str">
            <v/>
          </cell>
          <cell r="C1010" t="str">
            <v>Future</v>
          </cell>
          <cell r="D1010" t="e">
            <v>#N/A</v>
          </cell>
          <cell r="E1010">
            <v>-10.637837837837917</v>
          </cell>
          <cell r="F1010">
            <v>19.835135135135427</v>
          </cell>
          <cell r="G1010">
            <v>13.740540540540596</v>
          </cell>
          <cell r="H1010">
            <v>13.740540540540596</v>
          </cell>
          <cell r="I1010" t="e">
            <v>#N/A</v>
          </cell>
          <cell r="J1010" t="e">
            <v>#N/A</v>
          </cell>
          <cell r="K1010">
            <v>17.5</v>
          </cell>
          <cell r="L1010">
            <v>14</v>
          </cell>
          <cell r="M1010" t="e">
            <v>#N/A</v>
          </cell>
          <cell r="N1010">
            <v>16.5</v>
          </cell>
          <cell r="O1010" t="e">
            <v>#N/A</v>
          </cell>
          <cell r="P1010" t="str">
            <v/>
          </cell>
          <cell r="Q1010" t="str">
            <v/>
          </cell>
          <cell r="R1010">
            <v>16.5</v>
          </cell>
        </row>
        <row r="1011">
          <cell r="A1011" t="str">
            <v/>
          </cell>
          <cell r="B1011" t="str">
            <v/>
          </cell>
          <cell r="C1011" t="str">
            <v>Future</v>
          </cell>
          <cell r="D1011" t="e">
            <v>#N/A</v>
          </cell>
          <cell r="E1011">
            <v>-10.693243243243323</v>
          </cell>
          <cell r="F1011">
            <v>19.84729729729759</v>
          </cell>
          <cell r="G1011">
            <v>13.739189189189245</v>
          </cell>
          <cell r="H1011">
            <v>13.739189189189245</v>
          </cell>
          <cell r="I1011" t="e">
            <v>#N/A</v>
          </cell>
          <cell r="J1011" t="e">
            <v>#N/A</v>
          </cell>
          <cell r="K1011">
            <v>17.5</v>
          </cell>
          <cell r="L1011">
            <v>14</v>
          </cell>
          <cell r="M1011" t="e">
            <v>#N/A</v>
          </cell>
          <cell r="N1011">
            <v>16.5</v>
          </cell>
          <cell r="O1011" t="e">
            <v>#N/A</v>
          </cell>
          <cell r="P1011" t="str">
            <v/>
          </cell>
          <cell r="Q1011" t="str">
            <v/>
          </cell>
          <cell r="R1011">
            <v>16.5</v>
          </cell>
        </row>
        <row r="1012">
          <cell r="A1012" t="str">
            <v/>
          </cell>
          <cell r="B1012" t="str">
            <v/>
          </cell>
          <cell r="C1012" t="str">
            <v>Future</v>
          </cell>
          <cell r="D1012" t="e">
            <v>#N/A</v>
          </cell>
          <cell r="E1012">
            <v>-10.748648648648729</v>
          </cell>
          <cell r="F1012">
            <v>19.859459459459753</v>
          </cell>
          <cell r="G1012">
            <v>13.737837837837894</v>
          </cell>
          <cell r="H1012">
            <v>13.737837837837894</v>
          </cell>
          <cell r="I1012" t="e">
            <v>#N/A</v>
          </cell>
          <cell r="J1012" t="e">
            <v>#N/A</v>
          </cell>
          <cell r="K1012">
            <v>17.5</v>
          </cell>
          <cell r="L1012">
            <v>14</v>
          </cell>
          <cell r="M1012" t="e">
            <v>#N/A</v>
          </cell>
          <cell r="N1012">
            <v>16.5</v>
          </cell>
          <cell r="O1012" t="e">
            <v>#N/A</v>
          </cell>
          <cell r="P1012" t="str">
            <v/>
          </cell>
          <cell r="Q1012" t="str">
            <v/>
          </cell>
          <cell r="R1012">
            <v>16.5</v>
          </cell>
        </row>
        <row r="1013">
          <cell r="A1013" t="str">
            <v/>
          </cell>
          <cell r="B1013" t="str">
            <v/>
          </cell>
          <cell r="C1013" t="str">
            <v>Future</v>
          </cell>
          <cell r="D1013" t="e">
            <v>#N/A</v>
          </cell>
          <cell r="E1013">
            <v>-10.804054054054134</v>
          </cell>
          <cell r="F1013">
            <v>19.871621621621916</v>
          </cell>
          <cell r="G1013">
            <v>13.736486486486543</v>
          </cell>
          <cell r="H1013">
            <v>13.736486486486543</v>
          </cell>
          <cell r="I1013" t="e">
            <v>#N/A</v>
          </cell>
          <cell r="J1013" t="e">
            <v>#N/A</v>
          </cell>
          <cell r="K1013">
            <v>17.5</v>
          </cell>
          <cell r="L1013">
            <v>14</v>
          </cell>
          <cell r="M1013" t="e">
            <v>#N/A</v>
          </cell>
          <cell r="N1013">
            <v>16.5</v>
          </cell>
          <cell r="O1013" t="e">
            <v>#N/A</v>
          </cell>
          <cell r="P1013" t="str">
            <v/>
          </cell>
          <cell r="Q1013" t="str">
            <v/>
          </cell>
          <cell r="R1013">
            <v>16.5</v>
          </cell>
        </row>
        <row r="1014">
          <cell r="A1014" t="str">
            <v/>
          </cell>
          <cell r="B1014" t="str">
            <v/>
          </cell>
          <cell r="C1014" t="str">
            <v>Future</v>
          </cell>
          <cell r="D1014" t="e">
            <v>#N/A</v>
          </cell>
          <cell r="E1014">
            <v>-10.85945945945954</v>
          </cell>
          <cell r="F1014">
            <v>19.883783783784079</v>
          </cell>
          <cell r="G1014">
            <v>13.735135135135192</v>
          </cell>
          <cell r="H1014">
            <v>13.735135135135192</v>
          </cell>
          <cell r="I1014" t="e">
            <v>#N/A</v>
          </cell>
          <cell r="J1014" t="e">
            <v>#N/A</v>
          </cell>
          <cell r="K1014">
            <v>17.5</v>
          </cell>
          <cell r="L1014">
            <v>14</v>
          </cell>
          <cell r="M1014" t="e">
            <v>#N/A</v>
          </cell>
          <cell r="N1014">
            <v>16.5</v>
          </cell>
          <cell r="O1014" t="e">
            <v>#N/A</v>
          </cell>
          <cell r="P1014" t="str">
            <v/>
          </cell>
          <cell r="Q1014" t="str">
            <v/>
          </cell>
          <cell r="R1014">
            <v>16.5</v>
          </cell>
        </row>
        <row r="1015">
          <cell r="A1015" t="str">
            <v/>
          </cell>
          <cell r="B1015" t="str">
            <v/>
          </cell>
          <cell r="C1015" t="str">
            <v>Future</v>
          </cell>
          <cell r="D1015" t="e">
            <v>#N/A</v>
          </cell>
          <cell r="E1015">
            <v>-10.914864864864946</v>
          </cell>
          <cell r="F1015">
            <v>19.895945945946242</v>
          </cell>
          <cell r="G1015">
            <v>13.73378378378384</v>
          </cell>
          <cell r="H1015">
            <v>13.73378378378384</v>
          </cell>
          <cell r="I1015" t="e">
            <v>#N/A</v>
          </cell>
          <cell r="J1015" t="e">
            <v>#N/A</v>
          </cell>
          <cell r="K1015">
            <v>17.5</v>
          </cell>
          <cell r="L1015">
            <v>14</v>
          </cell>
          <cell r="M1015" t="e">
            <v>#N/A</v>
          </cell>
          <cell r="N1015">
            <v>16.5</v>
          </cell>
          <cell r="O1015" t="e">
            <v>#N/A</v>
          </cell>
          <cell r="P1015" t="str">
            <v/>
          </cell>
          <cell r="Q1015" t="str">
            <v/>
          </cell>
          <cell r="R1015">
            <v>16.5</v>
          </cell>
        </row>
        <row r="1016">
          <cell r="A1016" t="str">
            <v/>
          </cell>
          <cell r="B1016" t="str">
            <v/>
          </cell>
          <cell r="C1016" t="str">
            <v>Future</v>
          </cell>
          <cell r="D1016" t="e">
            <v>#N/A</v>
          </cell>
          <cell r="E1016">
            <v>-10.970270270270351</v>
          </cell>
          <cell r="F1016">
            <v>19.908108108108404</v>
          </cell>
          <cell r="G1016">
            <v>13.732432432432489</v>
          </cell>
          <cell r="H1016">
            <v>13.732432432432489</v>
          </cell>
          <cell r="I1016" t="e">
            <v>#N/A</v>
          </cell>
          <cell r="J1016" t="e">
            <v>#N/A</v>
          </cell>
          <cell r="K1016">
            <v>17.5</v>
          </cell>
          <cell r="L1016">
            <v>14</v>
          </cell>
          <cell r="M1016" t="e">
            <v>#N/A</v>
          </cell>
          <cell r="N1016">
            <v>16.5</v>
          </cell>
          <cell r="O1016" t="e">
            <v>#N/A</v>
          </cell>
          <cell r="P1016" t="str">
            <v/>
          </cell>
          <cell r="Q1016" t="str">
            <v/>
          </cell>
          <cell r="R1016">
            <v>16.5</v>
          </cell>
        </row>
        <row r="1017">
          <cell r="A1017" t="str">
            <v/>
          </cell>
          <cell r="B1017" t="str">
            <v/>
          </cell>
          <cell r="C1017" t="str">
            <v>Future</v>
          </cell>
          <cell r="D1017" t="e">
            <v>#N/A</v>
          </cell>
          <cell r="E1017">
            <v>-11.025675675675757</v>
          </cell>
          <cell r="F1017">
            <v>19.920270270270567</v>
          </cell>
          <cell r="G1017">
            <v>13.731081081081138</v>
          </cell>
          <cell r="H1017">
            <v>13.731081081081138</v>
          </cell>
          <cell r="I1017" t="e">
            <v>#N/A</v>
          </cell>
          <cell r="J1017" t="e">
            <v>#N/A</v>
          </cell>
          <cell r="K1017">
            <v>17.5</v>
          </cell>
          <cell r="L1017">
            <v>14</v>
          </cell>
          <cell r="M1017" t="e">
            <v>#N/A</v>
          </cell>
          <cell r="N1017">
            <v>16.5</v>
          </cell>
          <cell r="O1017" t="e">
            <v>#N/A</v>
          </cell>
          <cell r="P1017" t="str">
            <v/>
          </cell>
          <cell r="Q1017" t="str">
            <v/>
          </cell>
          <cell r="R1017">
            <v>16.5</v>
          </cell>
        </row>
        <row r="1018">
          <cell r="A1018" t="str">
            <v/>
          </cell>
          <cell r="B1018" t="str">
            <v/>
          </cell>
          <cell r="C1018" t="str">
            <v>Future</v>
          </cell>
          <cell r="D1018" t="e">
            <v>#N/A</v>
          </cell>
          <cell r="E1018">
            <v>-11.081081081081162</v>
          </cell>
          <cell r="F1018">
            <v>19.93243243243273</v>
          </cell>
          <cell r="G1018">
            <v>13.729729729729787</v>
          </cell>
          <cell r="H1018">
            <v>13.729729729729787</v>
          </cell>
          <cell r="I1018" t="e">
            <v>#N/A</v>
          </cell>
          <cell r="J1018" t="e">
            <v>#N/A</v>
          </cell>
          <cell r="K1018">
            <v>17.5</v>
          </cell>
          <cell r="L1018">
            <v>14</v>
          </cell>
          <cell r="M1018" t="e">
            <v>#N/A</v>
          </cell>
          <cell r="N1018">
            <v>16.5</v>
          </cell>
          <cell r="O1018" t="e">
            <v>#N/A</v>
          </cell>
          <cell r="P1018" t="str">
            <v/>
          </cell>
          <cell r="Q1018" t="str">
            <v/>
          </cell>
          <cell r="R1018">
            <v>16.5</v>
          </cell>
        </row>
        <row r="1019">
          <cell r="A1019" t="str">
            <v/>
          </cell>
          <cell r="B1019" t="str">
            <v/>
          </cell>
          <cell r="C1019" t="str">
            <v>Future</v>
          </cell>
          <cell r="D1019" t="e">
            <v>#N/A</v>
          </cell>
          <cell r="E1019">
            <v>-11.136486486486568</v>
          </cell>
          <cell r="F1019">
            <v>19.944594594594893</v>
          </cell>
          <cell r="G1019">
            <v>13.728378378378435</v>
          </cell>
          <cell r="H1019">
            <v>13.728378378378435</v>
          </cell>
          <cell r="I1019" t="e">
            <v>#N/A</v>
          </cell>
          <cell r="J1019" t="e">
            <v>#N/A</v>
          </cell>
          <cell r="K1019">
            <v>17.5</v>
          </cell>
          <cell r="L1019">
            <v>14</v>
          </cell>
          <cell r="M1019" t="e">
            <v>#N/A</v>
          </cell>
          <cell r="N1019">
            <v>16.5</v>
          </cell>
          <cell r="O1019" t="e">
            <v>#N/A</v>
          </cell>
          <cell r="P1019" t="str">
            <v/>
          </cell>
          <cell r="Q1019" t="str">
            <v/>
          </cell>
          <cell r="R1019">
            <v>16.5</v>
          </cell>
        </row>
        <row r="1020">
          <cell r="A1020" t="str">
            <v/>
          </cell>
          <cell r="B1020" t="str">
            <v/>
          </cell>
          <cell r="C1020" t="str">
            <v>Future</v>
          </cell>
          <cell r="D1020" t="e">
            <v>#N/A</v>
          </cell>
          <cell r="E1020">
            <v>-11.191891891891974</v>
          </cell>
          <cell r="F1020">
            <v>19.956756756757056</v>
          </cell>
          <cell r="G1020">
            <v>13.727027027027084</v>
          </cell>
          <cell r="H1020">
            <v>13.727027027027084</v>
          </cell>
          <cell r="I1020" t="e">
            <v>#N/A</v>
          </cell>
          <cell r="J1020" t="e">
            <v>#N/A</v>
          </cell>
          <cell r="K1020">
            <v>17.5</v>
          </cell>
          <cell r="L1020">
            <v>14</v>
          </cell>
          <cell r="M1020" t="e">
            <v>#N/A</v>
          </cell>
          <cell r="N1020">
            <v>16.5</v>
          </cell>
          <cell r="O1020" t="e">
            <v>#N/A</v>
          </cell>
          <cell r="P1020" t="str">
            <v/>
          </cell>
          <cell r="Q1020" t="str">
            <v/>
          </cell>
          <cell r="R1020">
            <v>16.5</v>
          </cell>
        </row>
        <row r="1021">
          <cell r="A1021" t="str">
            <v/>
          </cell>
          <cell r="B1021" t="str">
            <v/>
          </cell>
          <cell r="C1021" t="str">
            <v>Future</v>
          </cell>
          <cell r="D1021" t="e">
            <v>#N/A</v>
          </cell>
          <cell r="E1021">
            <v>-11.247297297297379</v>
          </cell>
          <cell r="F1021">
            <v>19.968918918919218</v>
          </cell>
          <cell r="G1021">
            <v>13.725675675675733</v>
          </cell>
          <cell r="H1021">
            <v>13.725675675675733</v>
          </cell>
          <cell r="I1021" t="e">
            <v>#N/A</v>
          </cell>
          <cell r="J1021" t="e">
            <v>#N/A</v>
          </cell>
          <cell r="K1021">
            <v>17.5</v>
          </cell>
          <cell r="L1021">
            <v>14</v>
          </cell>
          <cell r="M1021" t="e">
            <v>#N/A</v>
          </cell>
          <cell r="N1021">
            <v>16.5</v>
          </cell>
          <cell r="O1021" t="e">
            <v>#N/A</v>
          </cell>
          <cell r="P1021" t="str">
            <v/>
          </cell>
          <cell r="Q1021" t="str">
            <v/>
          </cell>
          <cell r="R1021">
            <v>16.5</v>
          </cell>
        </row>
        <row r="1022">
          <cell r="A1022" t="str">
            <v/>
          </cell>
          <cell r="B1022" t="str">
            <v/>
          </cell>
          <cell r="C1022" t="str">
            <v>Future</v>
          </cell>
          <cell r="D1022" t="e">
            <v>#N/A</v>
          </cell>
          <cell r="E1022">
            <v>-11.302702702702785</v>
          </cell>
          <cell r="F1022">
            <v>19.981081081081381</v>
          </cell>
          <cell r="G1022">
            <v>13.724324324324382</v>
          </cell>
          <cell r="H1022">
            <v>13.724324324324382</v>
          </cell>
          <cell r="I1022" t="e">
            <v>#N/A</v>
          </cell>
          <cell r="J1022" t="e">
            <v>#N/A</v>
          </cell>
          <cell r="K1022">
            <v>17.5</v>
          </cell>
          <cell r="L1022">
            <v>14</v>
          </cell>
          <cell r="M1022" t="e">
            <v>#N/A</v>
          </cell>
          <cell r="N1022">
            <v>16.5</v>
          </cell>
          <cell r="O1022" t="e">
            <v>#N/A</v>
          </cell>
          <cell r="P1022" t="str">
            <v/>
          </cell>
          <cell r="Q1022" t="str">
            <v/>
          </cell>
          <cell r="R1022">
            <v>16.5</v>
          </cell>
        </row>
        <row r="1023">
          <cell r="A1023" t="str">
            <v/>
          </cell>
          <cell r="B1023" t="str">
            <v/>
          </cell>
          <cell r="C1023" t="str">
            <v>Future</v>
          </cell>
          <cell r="D1023" t="e">
            <v>#N/A</v>
          </cell>
          <cell r="E1023">
            <v>-11.35810810810819</v>
          </cell>
          <cell r="F1023">
            <v>19.993243243243544</v>
          </cell>
          <cell r="G1023">
            <v>13.722972972973031</v>
          </cell>
          <cell r="H1023">
            <v>13.722972972973031</v>
          </cell>
          <cell r="I1023" t="e">
            <v>#N/A</v>
          </cell>
          <cell r="J1023" t="e">
            <v>#N/A</v>
          </cell>
          <cell r="K1023">
            <v>17.5</v>
          </cell>
          <cell r="L1023">
            <v>14</v>
          </cell>
          <cell r="M1023" t="e">
            <v>#N/A</v>
          </cell>
          <cell r="N1023">
            <v>16.5</v>
          </cell>
          <cell r="O1023" t="e">
            <v>#N/A</v>
          </cell>
          <cell r="P1023" t="str">
            <v/>
          </cell>
          <cell r="Q1023" t="str">
            <v/>
          </cell>
          <cell r="R1023">
            <v>16.5</v>
          </cell>
        </row>
        <row r="1024">
          <cell r="A1024" t="str">
            <v/>
          </cell>
          <cell r="B1024" t="str">
            <v/>
          </cell>
          <cell r="C1024" t="str">
            <v>Future</v>
          </cell>
          <cell r="D1024" t="e">
            <v>#N/A</v>
          </cell>
          <cell r="E1024">
            <v>-11.413513513513596</v>
          </cell>
          <cell r="F1024">
            <v>20.005405405405707</v>
          </cell>
          <cell r="G1024">
            <v>13.721621621621679</v>
          </cell>
          <cell r="H1024">
            <v>13.721621621621679</v>
          </cell>
          <cell r="I1024" t="e">
            <v>#N/A</v>
          </cell>
          <cell r="J1024" t="e">
            <v>#N/A</v>
          </cell>
          <cell r="K1024">
            <v>17.5</v>
          </cell>
          <cell r="L1024">
            <v>14</v>
          </cell>
          <cell r="M1024" t="e">
            <v>#N/A</v>
          </cell>
          <cell r="N1024">
            <v>16.5</v>
          </cell>
          <cell r="O1024" t="e">
            <v>#N/A</v>
          </cell>
          <cell r="P1024" t="str">
            <v/>
          </cell>
          <cell r="Q1024" t="str">
            <v/>
          </cell>
          <cell r="R1024">
            <v>16.5</v>
          </cell>
        </row>
        <row r="1025">
          <cell r="A1025" t="str">
            <v/>
          </cell>
          <cell r="B1025" t="str">
            <v/>
          </cell>
          <cell r="C1025" t="str">
            <v>Future</v>
          </cell>
          <cell r="D1025" t="e">
            <v>#N/A</v>
          </cell>
          <cell r="E1025">
            <v>-11.468918918919002</v>
          </cell>
          <cell r="F1025">
            <v>20.01756756756787</v>
          </cell>
          <cell r="G1025">
            <v>13.720270270270328</v>
          </cell>
          <cell r="H1025">
            <v>13.720270270270328</v>
          </cell>
          <cell r="I1025" t="e">
            <v>#N/A</v>
          </cell>
          <cell r="J1025" t="e">
            <v>#N/A</v>
          </cell>
          <cell r="K1025">
            <v>17.5</v>
          </cell>
          <cell r="L1025">
            <v>14</v>
          </cell>
          <cell r="M1025" t="e">
            <v>#N/A</v>
          </cell>
          <cell r="N1025">
            <v>16.5</v>
          </cell>
          <cell r="O1025" t="e">
            <v>#N/A</v>
          </cell>
          <cell r="P1025" t="str">
            <v/>
          </cell>
          <cell r="Q1025" t="str">
            <v/>
          </cell>
          <cell r="R1025">
            <v>16.5</v>
          </cell>
        </row>
        <row r="1026">
          <cell r="A1026" t="str">
            <v/>
          </cell>
          <cell r="B1026" t="str">
            <v/>
          </cell>
          <cell r="C1026" t="str">
            <v>Future</v>
          </cell>
          <cell r="D1026" t="e">
            <v>#N/A</v>
          </cell>
          <cell r="E1026">
            <v>-11.524324324324407</v>
          </cell>
          <cell r="F1026">
            <v>20.029729729730033</v>
          </cell>
          <cell r="G1026">
            <v>13.718918918918977</v>
          </cell>
          <cell r="H1026">
            <v>13.718918918918977</v>
          </cell>
          <cell r="I1026" t="e">
            <v>#N/A</v>
          </cell>
          <cell r="J1026" t="e">
            <v>#N/A</v>
          </cell>
          <cell r="K1026">
            <v>17.5</v>
          </cell>
          <cell r="L1026">
            <v>14</v>
          </cell>
          <cell r="M1026" t="e">
            <v>#N/A</v>
          </cell>
          <cell r="N1026">
            <v>16.5</v>
          </cell>
          <cell r="O1026" t="e">
            <v>#N/A</v>
          </cell>
          <cell r="P1026" t="str">
            <v/>
          </cell>
          <cell r="Q1026" t="str">
            <v/>
          </cell>
          <cell r="R1026">
            <v>16.5</v>
          </cell>
        </row>
        <row r="1027">
          <cell r="A1027" t="str">
            <v/>
          </cell>
          <cell r="B1027" t="str">
            <v/>
          </cell>
          <cell r="C1027" t="str">
            <v>Future</v>
          </cell>
          <cell r="D1027" t="e">
            <v>#N/A</v>
          </cell>
          <cell r="E1027">
            <v>-11.579729729729813</v>
          </cell>
          <cell r="F1027">
            <v>20.041891891892195</v>
          </cell>
          <cell r="G1027">
            <v>13.717567567567626</v>
          </cell>
          <cell r="H1027">
            <v>13.717567567567626</v>
          </cell>
          <cell r="I1027" t="e">
            <v>#N/A</v>
          </cell>
          <cell r="J1027" t="e">
            <v>#N/A</v>
          </cell>
          <cell r="K1027">
            <v>17.5</v>
          </cell>
          <cell r="L1027">
            <v>14</v>
          </cell>
          <cell r="M1027" t="e">
            <v>#N/A</v>
          </cell>
          <cell r="N1027">
            <v>16.5</v>
          </cell>
          <cell r="O1027" t="e">
            <v>#N/A</v>
          </cell>
          <cell r="P1027" t="str">
            <v/>
          </cell>
          <cell r="Q1027" t="str">
            <v/>
          </cell>
          <cell r="R1027">
            <v>16.5</v>
          </cell>
        </row>
        <row r="1028">
          <cell r="A1028" t="str">
            <v/>
          </cell>
          <cell r="B1028" t="str">
            <v/>
          </cell>
          <cell r="C1028" t="str">
            <v>Future</v>
          </cell>
          <cell r="D1028" t="e">
            <v>#N/A</v>
          </cell>
          <cell r="E1028">
            <v>-11.635135135135219</v>
          </cell>
          <cell r="F1028">
            <v>20.054054054054358</v>
          </cell>
          <cell r="G1028">
            <v>13.716216216216274</v>
          </cell>
          <cell r="H1028">
            <v>13.716216216216274</v>
          </cell>
          <cell r="I1028" t="e">
            <v>#N/A</v>
          </cell>
          <cell r="J1028" t="e">
            <v>#N/A</v>
          </cell>
          <cell r="K1028">
            <v>17.5</v>
          </cell>
          <cell r="L1028">
            <v>14</v>
          </cell>
          <cell r="M1028" t="e">
            <v>#N/A</v>
          </cell>
          <cell r="N1028">
            <v>16.5</v>
          </cell>
          <cell r="O1028" t="e">
            <v>#N/A</v>
          </cell>
          <cell r="P1028" t="str">
            <v/>
          </cell>
          <cell r="Q1028" t="str">
            <v/>
          </cell>
          <cell r="R1028">
            <v>16.5</v>
          </cell>
        </row>
        <row r="1029">
          <cell r="A1029" t="str">
            <v/>
          </cell>
          <cell r="B1029" t="str">
            <v/>
          </cell>
          <cell r="C1029" t="str">
            <v>Future</v>
          </cell>
          <cell r="D1029" t="e">
            <v>#N/A</v>
          </cell>
          <cell r="E1029">
            <v>-11.690540540540624</v>
          </cell>
          <cell r="F1029">
            <v>20.066216216216521</v>
          </cell>
          <cell r="G1029">
            <v>13.714864864864923</v>
          </cell>
          <cell r="H1029">
            <v>13.714864864864923</v>
          </cell>
          <cell r="I1029" t="e">
            <v>#N/A</v>
          </cell>
          <cell r="J1029" t="e">
            <v>#N/A</v>
          </cell>
          <cell r="K1029">
            <v>17.5</v>
          </cell>
          <cell r="L1029">
            <v>14</v>
          </cell>
          <cell r="M1029" t="e">
            <v>#N/A</v>
          </cell>
          <cell r="N1029">
            <v>16.5</v>
          </cell>
          <cell r="O1029" t="e">
            <v>#N/A</v>
          </cell>
          <cell r="P1029" t="str">
            <v/>
          </cell>
          <cell r="Q1029" t="str">
            <v/>
          </cell>
          <cell r="R1029">
            <v>16.5</v>
          </cell>
        </row>
        <row r="1030">
          <cell r="A1030" t="str">
            <v/>
          </cell>
          <cell r="B1030" t="str">
            <v/>
          </cell>
          <cell r="C1030" t="str">
            <v>Future</v>
          </cell>
          <cell r="D1030" t="e">
            <v>#N/A</v>
          </cell>
          <cell r="E1030">
            <v>-11.74594594594603</v>
          </cell>
          <cell r="F1030">
            <v>20.078378378378684</v>
          </cell>
          <cell r="G1030">
            <v>13.713513513513572</v>
          </cell>
          <cell r="H1030">
            <v>13.713513513513572</v>
          </cell>
          <cell r="I1030" t="e">
            <v>#N/A</v>
          </cell>
          <cell r="J1030" t="e">
            <v>#N/A</v>
          </cell>
          <cell r="K1030">
            <v>17.5</v>
          </cell>
          <cell r="L1030">
            <v>14</v>
          </cell>
          <cell r="M1030" t="e">
            <v>#N/A</v>
          </cell>
          <cell r="N1030">
            <v>16.5</v>
          </cell>
          <cell r="O1030" t="e">
            <v>#N/A</v>
          </cell>
          <cell r="P1030" t="str">
            <v/>
          </cell>
          <cell r="Q1030" t="str">
            <v/>
          </cell>
          <cell r="R1030">
            <v>16.5</v>
          </cell>
        </row>
        <row r="1031">
          <cell r="A1031" t="str">
            <v/>
          </cell>
          <cell r="B1031" t="str">
            <v/>
          </cell>
          <cell r="C1031" t="str">
            <v>Future</v>
          </cell>
          <cell r="D1031" t="e">
            <v>#N/A</v>
          </cell>
          <cell r="E1031">
            <v>-11.801351351351435</v>
          </cell>
          <cell r="F1031">
            <v>20.090540540540847</v>
          </cell>
          <cell r="G1031">
            <v>13.712162162162221</v>
          </cell>
          <cell r="H1031">
            <v>13.712162162162221</v>
          </cell>
          <cell r="I1031" t="e">
            <v>#N/A</v>
          </cell>
          <cell r="J1031" t="e">
            <v>#N/A</v>
          </cell>
          <cell r="K1031">
            <v>17.5</v>
          </cell>
          <cell r="L1031">
            <v>14</v>
          </cell>
          <cell r="M1031" t="e">
            <v>#N/A</v>
          </cell>
          <cell r="N1031">
            <v>16.5</v>
          </cell>
          <cell r="O1031" t="e">
            <v>#N/A</v>
          </cell>
          <cell r="P1031" t="str">
            <v/>
          </cell>
          <cell r="Q1031" t="str">
            <v/>
          </cell>
          <cell r="R1031">
            <v>16.5</v>
          </cell>
        </row>
        <row r="1032">
          <cell r="A1032" t="str">
            <v/>
          </cell>
          <cell r="B1032" t="str">
            <v/>
          </cell>
          <cell r="C1032" t="str">
            <v>Future</v>
          </cell>
          <cell r="D1032" t="e">
            <v>#N/A</v>
          </cell>
          <cell r="E1032">
            <v>-11.856756756756841</v>
          </cell>
          <cell r="F1032">
            <v>20.102702702703009</v>
          </cell>
          <cell r="G1032">
            <v>13.710810810810869</v>
          </cell>
          <cell r="H1032">
            <v>13.710810810810869</v>
          </cell>
          <cell r="I1032" t="e">
            <v>#N/A</v>
          </cell>
          <cell r="J1032" t="e">
            <v>#N/A</v>
          </cell>
          <cell r="K1032">
            <v>17.5</v>
          </cell>
          <cell r="L1032">
            <v>14</v>
          </cell>
          <cell r="M1032" t="e">
            <v>#N/A</v>
          </cell>
          <cell r="N1032">
            <v>16.5</v>
          </cell>
          <cell r="O1032" t="e">
            <v>#N/A</v>
          </cell>
          <cell r="P1032" t="str">
            <v/>
          </cell>
          <cell r="Q1032" t="str">
            <v/>
          </cell>
          <cell r="R1032">
            <v>16.5</v>
          </cell>
        </row>
        <row r="1033">
          <cell r="A1033" t="str">
            <v/>
          </cell>
          <cell r="B1033" t="str">
            <v/>
          </cell>
          <cell r="C1033" t="str">
            <v>Future</v>
          </cell>
          <cell r="D1033" t="e">
            <v>#N/A</v>
          </cell>
          <cell r="E1033">
            <v>-11.912162162162247</v>
          </cell>
          <cell r="F1033">
            <v>20.114864864865172</v>
          </cell>
          <cell r="G1033">
            <v>13.709459459459518</v>
          </cell>
          <cell r="H1033">
            <v>13.709459459459518</v>
          </cell>
          <cell r="I1033" t="e">
            <v>#N/A</v>
          </cell>
          <cell r="J1033" t="e">
            <v>#N/A</v>
          </cell>
          <cell r="K1033">
            <v>17.5</v>
          </cell>
          <cell r="L1033">
            <v>14</v>
          </cell>
          <cell r="M1033" t="e">
            <v>#N/A</v>
          </cell>
          <cell r="N1033">
            <v>16.5</v>
          </cell>
          <cell r="O1033" t="e">
            <v>#N/A</v>
          </cell>
          <cell r="P1033" t="str">
            <v/>
          </cell>
          <cell r="Q1033" t="str">
            <v/>
          </cell>
          <cell r="R1033">
            <v>16.5</v>
          </cell>
        </row>
        <row r="1034">
          <cell r="A1034" t="str">
            <v/>
          </cell>
          <cell r="B1034" t="str">
            <v/>
          </cell>
          <cell r="C1034" t="str">
            <v>Future</v>
          </cell>
          <cell r="D1034" t="e">
            <v>#N/A</v>
          </cell>
          <cell r="E1034">
            <v>-11.967567567567652</v>
          </cell>
          <cell r="F1034">
            <v>20.127027027027335</v>
          </cell>
          <cell r="G1034">
            <v>13.708108108108167</v>
          </cell>
          <cell r="H1034">
            <v>13.708108108108167</v>
          </cell>
          <cell r="I1034" t="e">
            <v>#N/A</v>
          </cell>
          <cell r="J1034" t="e">
            <v>#N/A</v>
          </cell>
          <cell r="K1034">
            <v>17.5</v>
          </cell>
          <cell r="L1034">
            <v>14</v>
          </cell>
          <cell r="M1034" t="e">
            <v>#N/A</v>
          </cell>
          <cell r="N1034">
            <v>16.5</v>
          </cell>
          <cell r="O1034" t="e">
            <v>#N/A</v>
          </cell>
          <cell r="P1034" t="str">
            <v/>
          </cell>
          <cell r="Q1034" t="str">
            <v/>
          </cell>
          <cell r="R1034">
            <v>16.5</v>
          </cell>
        </row>
        <row r="1035">
          <cell r="A1035" t="str">
            <v/>
          </cell>
          <cell r="B1035" t="str">
            <v/>
          </cell>
          <cell r="C1035" t="str">
            <v>Future</v>
          </cell>
          <cell r="D1035" t="e">
            <v>#N/A</v>
          </cell>
          <cell r="E1035">
            <v>-12.022972972973058</v>
          </cell>
          <cell r="F1035">
            <v>20.139189189189498</v>
          </cell>
          <cell r="G1035">
            <v>13.706756756756816</v>
          </cell>
          <cell r="H1035">
            <v>13.706756756756816</v>
          </cell>
          <cell r="I1035" t="e">
            <v>#N/A</v>
          </cell>
          <cell r="J1035" t="e">
            <v>#N/A</v>
          </cell>
          <cell r="K1035">
            <v>17.5</v>
          </cell>
          <cell r="L1035">
            <v>14</v>
          </cell>
          <cell r="M1035" t="e">
            <v>#N/A</v>
          </cell>
          <cell r="N1035">
            <v>16.5</v>
          </cell>
          <cell r="O1035" t="e">
            <v>#N/A</v>
          </cell>
          <cell r="P1035" t="str">
            <v/>
          </cell>
          <cell r="Q1035" t="str">
            <v/>
          </cell>
          <cell r="R1035">
            <v>16.5</v>
          </cell>
        </row>
        <row r="1036">
          <cell r="A1036" t="str">
            <v/>
          </cell>
          <cell r="B1036" t="str">
            <v/>
          </cell>
          <cell r="C1036" t="str">
            <v>Future</v>
          </cell>
          <cell r="D1036" t="e">
            <v>#N/A</v>
          </cell>
          <cell r="E1036">
            <v>-12.078378378378464</v>
          </cell>
          <cell r="F1036">
            <v>20.151351351351661</v>
          </cell>
          <cell r="G1036">
            <v>13.705405405405465</v>
          </cell>
          <cell r="H1036">
            <v>13.705405405405465</v>
          </cell>
          <cell r="I1036" t="e">
            <v>#N/A</v>
          </cell>
          <cell r="J1036" t="e">
            <v>#N/A</v>
          </cell>
          <cell r="K1036">
            <v>17.5</v>
          </cell>
          <cell r="L1036">
            <v>14</v>
          </cell>
          <cell r="M1036" t="e">
            <v>#N/A</v>
          </cell>
          <cell r="N1036">
            <v>16.5</v>
          </cell>
          <cell r="O1036" t="e">
            <v>#N/A</v>
          </cell>
          <cell r="P1036" t="str">
            <v/>
          </cell>
          <cell r="Q1036" t="str">
            <v/>
          </cell>
          <cell r="R1036">
            <v>16.5</v>
          </cell>
        </row>
        <row r="1037">
          <cell r="A1037" t="str">
            <v/>
          </cell>
          <cell r="B1037" t="str">
            <v/>
          </cell>
          <cell r="C1037" t="str">
            <v>Future</v>
          </cell>
          <cell r="D1037" t="e">
            <v>#N/A</v>
          </cell>
          <cell r="E1037">
            <v>-12.133783783783869</v>
          </cell>
          <cell r="F1037">
            <v>20.163513513513823</v>
          </cell>
          <cell r="G1037">
            <v>13.704054054054113</v>
          </cell>
          <cell r="H1037">
            <v>13.704054054054113</v>
          </cell>
          <cell r="I1037" t="e">
            <v>#N/A</v>
          </cell>
          <cell r="J1037" t="e">
            <v>#N/A</v>
          </cell>
          <cell r="K1037">
            <v>17.5</v>
          </cell>
          <cell r="L1037">
            <v>14</v>
          </cell>
          <cell r="M1037" t="e">
            <v>#N/A</v>
          </cell>
          <cell r="N1037">
            <v>16.5</v>
          </cell>
          <cell r="O1037" t="e">
            <v>#N/A</v>
          </cell>
          <cell r="P1037" t="str">
            <v/>
          </cell>
          <cell r="Q1037" t="str">
            <v/>
          </cell>
          <cell r="R1037">
            <v>16.5</v>
          </cell>
        </row>
        <row r="1038">
          <cell r="A1038" t="str">
            <v/>
          </cell>
          <cell r="B1038" t="str">
            <v/>
          </cell>
          <cell r="C1038" t="str">
            <v>Future</v>
          </cell>
          <cell r="D1038" t="e">
            <v>#N/A</v>
          </cell>
          <cell r="E1038">
            <v>-12.189189189189275</v>
          </cell>
          <cell r="F1038">
            <v>20.175675675675986</v>
          </cell>
          <cell r="G1038">
            <v>13.702702702702762</v>
          </cell>
          <cell r="H1038">
            <v>13.702702702702762</v>
          </cell>
          <cell r="I1038" t="e">
            <v>#N/A</v>
          </cell>
          <cell r="J1038" t="e">
            <v>#N/A</v>
          </cell>
          <cell r="K1038">
            <v>17.5</v>
          </cell>
          <cell r="L1038">
            <v>14</v>
          </cell>
          <cell r="M1038" t="e">
            <v>#N/A</v>
          </cell>
          <cell r="N1038">
            <v>16.5</v>
          </cell>
          <cell r="O1038" t="e">
            <v>#N/A</v>
          </cell>
          <cell r="P1038" t="str">
            <v/>
          </cell>
          <cell r="Q1038" t="str">
            <v/>
          </cell>
          <cell r="R1038">
            <v>16.5</v>
          </cell>
        </row>
        <row r="1039">
          <cell r="A1039" t="str">
            <v/>
          </cell>
          <cell r="B1039" t="str">
            <v/>
          </cell>
          <cell r="C1039" t="str">
            <v>Future</v>
          </cell>
          <cell r="D1039" t="e">
            <v>#N/A</v>
          </cell>
          <cell r="E1039">
            <v>-12.24459459459468</v>
          </cell>
          <cell r="F1039">
            <v>20.187837837838149</v>
          </cell>
          <cell r="G1039">
            <v>13.701351351351411</v>
          </cell>
          <cell r="H1039">
            <v>13.701351351351411</v>
          </cell>
          <cell r="I1039" t="e">
            <v>#N/A</v>
          </cell>
          <cell r="J1039" t="e">
            <v>#N/A</v>
          </cell>
          <cell r="K1039">
            <v>17.5</v>
          </cell>
          <cell r="L1039">
            <v>14</v>
          </cell>
          <cell r="M1039" t="e">
            <v>#N/A</v>
          </cell>
          <cell r="N1039">
            <v>16.5</v>
          </cell>
          <cell r="O1039" t="e">
            <v>#N/A</v>
          </cell>
          <cell r="P1039" t="str">
            <v/>
          </cell>
          <cell r="Q1039" t="str">
            <v/>
          </cell>
          <cell r="R1039">
            <v>16.5</v>
          </cell>
        </row>
        <row r="1040">
          <cell r="A1040" t="str">
            <v/>
          </cell>
          <cell r="B1040" t="str">
            <v/>
          </cell>
          <cell r="C1040" t="str">
            <v>Future</v>
          </cell>
          <cell r="D1040" t="e">
            <v>#N/A</v>
          </cell>
          <cell r="E1040">
            <v>-12.300000000000086</v>
          </cell>
          <cell r="F1040">
            <v>20.200000000000312</v>
          </cell>
          <cell r="G1040">
            <v>13.70000000000006</v>
          </cell>
          <cell r="H1040">
            <v>13.70000000000006</v>
          </cell>
          <cell r="I1040" t="e">
            <v>#N/A</v>
          </cell>
          <cell r="J1040" t="e">
            <v>#N/A</v>
          </cell>
          <cell r="K1040">
            <v>17.5</v>
          </cell>
          <cell r="L1040">
            <v>14</v>
          </cell>
          <cell r="M1040" t="e">
            <v>#N/A</v>
          </cell>
          <cell r="N1040">
            <v>16.5</v>
          </cell>
          <cell r="O1040" t="e">
            <v>#N/A</v>
          </cell>
          <cell r="P1040" t="str">
            <v/>
          </cell>
          <cell r="Q1040" t="str">
            <v/>
          </cell>
          <cell r="R1040">
            <v>16.5</v>
          </cell>
        </row>
        <row r="1041">
          <cell r="A1041" t="str">
            <v/>
          </cell>
          <cell r="B1041" t="str">
            <v/>
          </cell>
          <cell r="C1041" t="str">
            <v>Future</v>
          </cell>
          <cell r="D1041" t="e">
            <v>#N/A</v>
          </cell>
          <cell r="E1041">
            <v>-12.355405405405492</v>
          </cell>
          <cell r="F1041">
            <v>20.212162162162475</v>
          </cell>
          <cell r="G1041">
            <v>13.698648648648708</v>
          </cell>
          <cell r="H1041">
            <v>13.698648648648708</v>
          </cell>
          <cell r="I1041" t="e">
            <v>#N/A</v>
          </cell>
          <cell r="J1041" t="e">
            <v>#N/A</v>
          </cell>
          <cell r="K1041">
            <v>17.5</v>
          </cell>
          <cell r="L1041">
            <v>14</v>
          </cell>
          <cell r="M1041" t="e">
            <v>#N/A</v>
          </cell>
          <cell r="N1041">
            <v>16.5</v>
          </cell>
          <cell r="O1041" t="e">
            <v>#N/A</v>
          </cell>
          <cell r="P1041" t="str">
            <v/>
          </cell>
          <cell r="Q1041" t="str">
            <v/>
          </cell>
          <cell r="R1041">
            <v>16.5</v>
          </cell>
        </row>
        <row r="1042">
          <cell r="A1042" t="str">
            <v/>
          </cell>
          <cell r="B1042" t="str">
            <v/>
          </cell>
          <cell r="C1042" t="str">
            <v>Future</v>
          </cell>
          <cell r="D1042" t="e">
            <v>#N/A</v>
          </cell>
          <cell r="E1042">
            <v>-12.410810810810897</v>
          </cell>
          <cell r="F1042">
            <v>20.224324324324638</v>
          </cell>
          <cell r="G1042">
            <v>13.697297297297357</v>
          </cell>
          <cell r="H1042">
            <v>13.697297297297357</v>
          </cell>
          <cell r="I1042" t="e">
            <v>#N/A</v>
          </cell>
          <cell r="J1042" t="e">
            <v>#N/A</v>
          </cell>
          <cell r="K1042">
            <v>17.5</v>
          </cell>
          <cell r="L1042">
            <v>14</v>
          </cell>
          <cell r="M1042" t="e">
            <v>#N/A</v>
          </cell>
          <cell r="N1042">
            <v>16.5</v>
          </cell>
          <cell r="O1042" t="e">
            <v>#N/A</v>
          </cell>
          <cell r="P1042" t="str">
            <v/>
          </cell>
          <cell r="Q1042" t="str">
            <v/>
          </cell>
          <cell r="R1042">
            <v>16.5</v>
          </cell>
        </row>
        <row r="1043">
          <cell r="A1043" t="str">
            <v/>
          </cell>
          <cell r="B1043" t="str">
            <v/>
          </cell>
          <cell r="C1043" t="str">
            <v>Future</v>
          </cell>
          <cell r="D1043" t="e">
            <v>#N/A</v>
          </cell>
          <cell r="E1043">
            <v>-12.466216216216303</v>
          </cell>
          <cell r="F1043">
            <v>20.2364864864868</v>
          </cell>
          <cell r="G1043">
            <v>13.695945945946006</v>
          </cell>
          <cell r="H1043">
            <v>13.695945945946006</v>
          </cell>
          <cell r="I1043" t="e">
            <v>#N/A</v>
          </cell>
          <cell r="J1043" t="e">
            <v>#N/A</v>
          </cell>
          <cell r="K1043">
            <v>17.5</v>
          </cell>
          <cell r="L1043">
            <v>14</v>
          </cell>
          <cell r="M1043" t="e">
            <v>#N/A</v>
          </cell>
          <cell r="N1043">
            <v>16.5</v>
          </cell>
          <cell r="O1043" t="e">
            <v>#N/A</v>
          </cell>
          <cell r="P1043" t="str">
            <v/>
          </cell>
          <cell r="Q1043" t="str">
            <v/>
          </cell>
          <cell r="R1043">
            <v>16.5</v>
          </cell>
        </row>
        <row r="1044">
          <cell r="A1044" t="str">
            <v/>
          </cell>
          <cell r="B1044" t="str">
            <v/>
          </cell>
          <cell r="C1044" t="str">
            <v>Future</v>
          </cell>
          <cell r="D1044" t="e">
            <v>#N/A</v>
          </cell>
          <cell r="E1044">
            <v>-12.521621621621708</v>
          </cell>
          <cell r="F1044">
            <v>20.248648648648963</v>
          </cell>
          <cell r="G1044">
            <v>13.694594594594655</v>
          </cell>
          <cell r="H1044">
            <v>13.694594594594655</v>
          </cell>
          <cell r="I1044" t="e">
            <v>#N/A</v>
          </cell>
          <cell r="J1044" t="e">
            <v>#N/A</v>
          </cell>
          <cell r="K1044">
            <v>17.5</v>
          </cell>
          <cell r="L1044">
            <v>14</v>
          </cell>
          <cell r="M1044" t="e">
            <v>#N/A</v>
          </cell>
          <cell r="N1044">
            <v>16.5</v>
          </cell>
          <cell r="O1044" t="e">
            <v>#N/A</v>
          </cell>
          <cell r="P1044" t="str">
            <v/>
          </cell>
          <cell r="Q1044" t="str">
            <v/>
          </cell>
          <cell r="R1044">
            <v>16.5</v>
          </cell>
        </row>
        <row r="1045">
          <cell r="A1045" t="str">
            <v/>
          </cell>
          <cell r="B1045" t="str">
            <v/>
          </cell>
          <cell r="C1045" t="str">
            <v>Future</v>
          </cell>
          <cell r="D1045" t="e">
            <v>#N/A</v>
          </cell>
          <cell r="E1045">
            <v>-12.577027027027114</v>
          </cell>
          <cell r="F1045">
            <v>20.260810810811126</v>
          </cell>
          <cell r="G1045">
            <v>13.693243243243304</v>
          </cell>
          <cell r="H1045">
            <v>13.693243243243304</v>
          </cell>
          <cell r="I1045" t="e">
            <v>#N/A</v>
          </cell>
          <cell r="J1045" t="e">
            <v>#N/A</v>
          </cell>
          <cell r="K1045">
            <v>17.5</v>
          </cell>
          <cell r="L1045">
            <v>14</v>
          </cell>
          <cell r="M1045" t="e">
            <v>#N/A</v>
          </cell>
          <cell r="N1045">
            <v>16.5</v>
          </cell>
          <cell r="O1045" t="e">
            <v>#N/A</v>
          </cell>
          <cell r="P1045" t="str">
            <v/>
          </cell>
          <cell r="Q1045" t="str">
            <v/>
          </cell>
          <cell r="R1045">
            <v>16.5</v>
          </cell>
        </row>
        <row r="1046">
          <cell r="A1046" t="str">
            <v/>
          </cell>
          <cell r="B1046" t="str">
            <v/>
          </cell>
          <cell r="C1046" t="str">
            <v>Future</v>
          </cell>
          <cell r="D1046" t="e">
            <v>#N/A</v>
          </cell>
          <cell r="E1046">
            <v>-12.63243243243252</v>
          </cell>
          <cell r="F1046">
            <v>20.272972972973289</v>
          </cell>
          <cell r="G1046">
            <v>13.691891891891952</v>
          </cell>
          <cell r="H1046">
            <v>13.691891891891952</v>
          </cell>
          <cell r="I1046" t="e">
            <v>#N/A</v>
          </cell>
          <cell r="J1046" t="e">
            <v>#N/A</v>
          </cell>
          <cell r="K1046">
            <v>17.5</v>
          </cell>
          <cell r="L1046">
            <v>14</v>
          </cell>
          <cell r="M1046" t="e">
            <v>#N/A</v>
          </cell>
          <cell r="N1046">
            <v>16.5</v>
          </cell>
          <cell r="O1046" t="e">
            <v>#N/A</v>
          </cell>
          <cell r="P1046" t="str">
            <v/>
          </cell>
          <cell r="Q1046" t="str">
            <v/>
          </cell>
          <cell r="R1046">
            <v>16.5</v>
          </cell>
        </row>
        <row r="1047">
          <cell r="A1047" t="str">
            <v/>
          </cell>
          <cell r="B1047" t="str">
            <v/>
          </cell>
          <cell r="C1047" t="str">
            <v>Future</v>
          </cell>
          <cell r="D1047" t="e">
            <v>#N/A</v>
          </cell>
          <cell r="E1047">
            <v>-12.687837837837925</v>
          </cell>
          <cell r="F1047">
            <v>20.285135135135452</v>
          </cell>
          <cell r="G1047">
            <v>13.690540540540601</v>
          </cell>
          <cell r="H1047">
            <v>13.690540540540601</v>
          </cell>
          <cell r="I1047" t="e">
            <v>#N/A</v>
          </cell>
          <cell r="J1047" t="e">
            <v>#N/A</v>
          </cell>
          <cell r="K1047">
            <v>17.5</v>
          </cell>
          <cell r="L1047">
            <v>14</v>
          </cell>
          <cell r="M1047" t="e">
            <v>#N/A</v>
          </cell>
          <cell r="N1047">
            <v>16.5</v>
          </cell>
          <cell r="O1047" t="e">
            <v>#N/A</v>
          </cell>
          <cell r="P1047" t="str">
            <v/>
          </cell>
          <cell r="Q1047" t="str">
            <v/>
          </cell>
          <cell r="R1047">
            <v>16.5</v>
          </cell>
        </row>
        <row r="1048">
          <cell r="A1048" t="str">
            <v/>
          </cell>
          <cell r="B1048" t="str">
            <v/>
          </cell>
          <cell r="C1048" t="str">
            <v>Future</v>
          </cell>
          <cell r="D1048" t="e">
            <v>#N/A</v>
          </cell>
          <cell r="E1048">
            <v>-12.743243243243331</v>
          </cell>
          <cell r="F1048">
            <v>20.297297297297614</v>
          </cell>
          <cell r="G1048">
            <v>13.68918918918925</v>
          </cell>
          <cell r="H1048">
            <v>13.68918918918925</v>
          </cell>
          <cell r="I1048" t="e">
            <v>#N/A</v>
          </cell>
          <cell r="J1048" t="e">
            <v>#N/A</v>
          </cell>
          <cell r="K1048">
            <v>17.5</v>
          </cell>
          <cell r="L1048">
            <v>14</v>
          </cell>
          <cell r="M1048" t="e">
            <v>#N/A</v>
          </cell>
          <cell r="N1048">
            <v>16.5</v>
          </cell>
          <cell r="O1048" t="e">
            <v>#N/A</v>
          </cell>
          <cell r="P1048" t="str">
            <v/>
          </cell>
          <cell r="Q1048" t="str">
            <v/>
          </cell>
          <cell r="R1048">
            <v>16.5</v>
          </cell>
        </row>
        <row r="1049">
          <cell r="A1049" t="str">
            <v/>
          </cell>
          <cell r="B1049" t="str">
            <v/>
          </cell>
          <cell r="C1049" t="str">
            <v>Future</v>
          </cell>
          <cell r="D1049" t="e">
            <v>#N/A</v>
          </cell>
          <cell r="E1049">
            <v>-12.798648648648737</v>
          </cell>
          <cell r="F1049">
            <v>20.309459459459777</v>
          </cell>
          <cell r="G1049">
            <v>13.687837837837899</v>
          </cell>
          <cell r="H1049">
            <v>13.687837837837899</v>
          </cell>
          <cell r="I1049" t="e">
            <v>#N/A</v>
          </cell>
          <cell r="J1049" t="e">
            <v>#N/A</v>
          </cell>
          <cell r="K1049">
            <v>17.5</v>
          </cell>
          <cell r="L1049">
            <v>14</v>
          </cell>
          <cell r="M1049" t="e">
            <v>#N/A</v>
          </cell>
          <cell r="N1049">
            <v>16.5</v>
          </cell>
          <cell r="O1049" t="e">
            <v>#N/A</v>
          </cell>
          <cell r="P1049" t="str">
            <v/>
          </cell>
          <cell r="Q1049" t="str">
            <v/>
          </cell>
          <cell r="R1049">
            <v>16.5</v>
          </cell>
        </row>
        <row r="1050">
          <cell r="A1050" t="str">
            <v/>
          </cell>
          <cell r="B1050" t="str">
            <v/>
          </cell>
          <cell r="C1050" t="str">
            <v>Future</v>
          </cell>
          <cell r="D1050" t="e">
            <v>#N/A</v>
          </cell>
          <cell r="E1050">
            <v>-12.854054054054142</v>
          </cell>
          <cell r="F1050">
            <v>20.32162162162194</v>
          </cell>
          <cell r="G1050">
            <v>13.686486486486547</v>
          </cell>
          <cell r="H1050">
            <v>13.686486486486547</v>
          </cell>
          <cell r="I1050" t="e">
            <v>#N/A</v>
          </cell>
          <cell r="J1050" t="e">
            <v>#N/A</v>
          </cell>
          <cell r="K1050">
            <v>17.5</v>
          </cell>
          <cell r="L1050">
            <v>14</v>
          </cell>
          <cell r="M1050" t="e">
            <v>#N/A</v>
          </cell>
          <cell r="N1050">
            <v>16.5</v>
          </cell>
          <cell r="O1050" t="e">
            <v>#N/A</v>
          </cell>
          <cell r="P1050" t="str">
            <v/>
          </cell>
          <cell r="Q1050" t="str">
            <v/>
          </cell>
          <cell r="R1050">
            <v>16.5</v>
          </cell>
        </row>
        <row r="1051">
          <cell r="A1051" t="str">
            <v/>
          </cell>
          <cell r="B1051" t="str">
            <v/>
          </cell>
          <cell r="C1051" t="str">
            <v>Future</v>
          </cell>
          <cell r="D1051" t="e">
            <v>#N/A</v>
          </cell>
          <cell r="E1051">
            <v>-12.909459459459548</v>
          </cell>
          <cell r="F1051">
            <v>20.333783783784103</v>
          </cell>
          <cell r="G1051">
            <v>13.685135135135196</v>
          </cell>
          <cell r="H1051">
            <v>13.685135135135196</v>
          </cell>
          <cell r="I1051" t="e">
            <v>#N/A</v>
          </cell>
          <cell r="J1051" t="e">
            <v>#N/A</v>
          </cell>
          <cell r="K1051">
            <v>17.5</v>
          </cell>
          <cell r="L1051">
            <v>14</v>
          </cell>
          <cell r="M1051" t="e">
            <v>#N/A</v>
          </cell>
          <cell r="N1051">
            <v>16.5</v>
          </cell>
          <cell r="O1051" t="e">
            <v>#N/A</v>
          </cell>
          <cell r="P1051" t="str">
            <v/>
          </cell>
          <cell r="Q1051" t="str">
            <v/>
          </cell>
          <cell r="R1051">
            <v>16.5</v>
          </cell>
        </row>
        <row r="1052">
          <cell r="A1052" t="str">
            <v/>
          </cell>
          <cell r="B1052" t="str">
            <v/>
          </cell>
          <cell r="C1052" t="str">
            <v>Future</v>
          </cell>
          <cell r="D1052" t="e">
            <v>#N/A</v>
          </cell>
          <cell r="E1052">
            <v>-12.964864864864953</v>
          </cell>
          <cell r="F1052">
            <v>20.345945945946266</v>
          </cell>
          <cell r="G1052">
            <v>13.683783783783845</v>
          </cell>
          <cell r="H1052">
            <v>13.683783783783845</v>
          </cell>
          <cell r="I1052" t="e">
            <v>#N/A</v>
          </cell>
          <cell r="J1052" t="e">
            <v>#N/A</v>
          </cell>
          <cell r="K1052">
            <v>17.5</v>
          </cell>
          <cell r="L1052">
            <v>14</v>
          </cell>
          <cell r="M1052" t="e">
            <v>#N/A</v>
          </cell>
          <cell r="N1052">
            <v>16.5</v>
          </cell>
          <cell r="O1052" t="e">
            <v>#N/A</v>
          </cell>
          <cell r="P1052" t="str">
            <v/>
          </cell>
          <cell r="Q1052" t="str">
            <v/>
          </cell>
          <cell r="R1052">
            <v>16.5</v>
          </cell>
        </row>
        <row r="1053">
          <cell r="A1053" t="str">
            <v/>
          </cell>
          <cell r="B1053" t="str">
            <v/>
          </cell>
          <cell r="C1053" t="str">
            <v>Future</v>
          </cell>
          <cell r="D1053" t="e">
            <v>#N/A</v>
          </cell>
          <cell r="E1053">
            <v>-13.020270270270359</v>
          </cell>
          <cell r="F1053">
            <v>20.358108108108429</v>
          </cell>
          <cell r="G1053">
            <v>13.682432432432494</v>
          </cell>
          <cell r="H1053">
            <v>13.682432432432494</v>
          </cell>
          <cell r="I1053" t="e">
            <v>#N/A</v>
          </cell>
          <cell r="J1053" t="e">
            <v>#N/A</v>
          </cell>
          <cell r="K1053">
            <v>17.5</v>
          </cell>
          <cell r="L1053">
            <v>14</v>
          </cell>
          <cell r="M1053" t="e">
            <v>#N/A</v>
          </cell>
          <cell r="N1053">
            <v>16.5</v>
          </cell>
          <cell r="O1053" t="e">
            <v>#N/A</v>
          </cell>
          <cell r="P1053" t="str">
            <v/>
          </cell>
          <cell r="Q1053" t="str">
            <v/>
          </cell>
          <cell r="R1053">
            <v>16.5</v>
          </cell>
        </row>
        <row r="1054">
          <cell r="A1054" t="str">
            <v/>
          </cell>
          <cell r="B1054" t="str">
            <v/>
          </cell>
          <cell r="C1054" t="str">
            <v>Future</v>
          </cell>
          <cell r="D1054" t="e">
            <v>#N/A</v>
          </cell>
          <cell r="E1054">
            <v>-13.075675675675765</v>
          </cell>
          <cell r="F1054">
            <v>20.370270270270591</v>
          </cell>
          <cell r="G1054">
            <v>13.681081081081143</v>
          </cell>
          <cell r="H1054">
            <v>13.681081081081143</v>
          </cell>
          <cell r="I1054" t="e">
            <v>#N/A</v>
          </cell>
          <cell r="J1054" t="e">
            <v>#N/A</v>
          </cell>
          <cell r="K1054">
            <v>17.5</v>
          </cell>
          <cell r="L1054">
            <v>14</v>
          </cell>
          <cell r="M1054" t="e">
            <v>#N/A</v>
          </cell>
          <cell r="N1054">
            <v>16.5</v>
          </cell>
          <cell r="O1054" t="e">
            <v>#N/A</v>
          </cell>
          <cell r="P1054" t="str">
            <v/>
          </cell>
          <cell r="Q1054" t="str">
            <v/>
          </cell>
          <cell r="R1054">
            <v>16.5</v>
          </cell>
        </row>
        <row r="1055">
          <cell r="A1055" t="str">
            <v/>
          </cell>
          <cell r="B1055" t="str">
            <v/>
          </cell>
          <cell r="C1055" t="str">
            <v>Future</v>
          </cell>
          <cell r="D1055" t="e">
            <v>#N/A</v>
          </cell>
          <cell r="E1055">
            <v>-13.13108108108117</v>
          </cell>
          <cell r="F1055">
            <v>20.382432432432754</v>
          </cell>
          <cell r="G1055">
            <v>13.679729729729791</v>
          </cell>
          <cell r="H1055">
            <v>13.679729729729791</v>
          </cell>
          <cell r="I1055" t="e">
            <v>#N/A</v>
          </cell>
          <cell r="J1055" t="e">
            <v>#N/A</v>
          </cell>
          <cell r="K1055">
            <v>17.5</v>
          </cell>
          <cell r="L1055">
            <v>14</v>
          </cell>
          <cell r="M1055" t="e">
            <v>#N/A</v>
          </cell>
          <cell r="N1055">
            <v>16.5</v>
          </cell>
          <cell r="O1055" t="e">
            <v>#N/A</v>
          </cell>
          <cell r="P1055" t="str">
            <v/>
          </cell>
          <cell r="Q1055" t="str">
            <v/>
          </cell>
          <cell r="R1055">
            <v>16.5</v>
          </cell>
        </row>
        <row r="1056">
          <cell r="A1056" t="str">
            <v/>
          </cell>
          <cell r="B1056" t="str">
            <v/>
          </cell>
          <cell r="C1056" t="str">
            <v>Future</v>
          </cell>
          <cell r="D1056" t="e">
            <v>#N/A</v>
          </cell>
          <cell r="E1056">
            <v>-13.186486486486576</v>
          </cell>
          <cell r="F1056">
            <v>20.394594594594917</v>
          </cell>
          <cell r="G1056">
            <v>13.67837837837844</v>
          </cell>
          <cell r="H1056">
            <v>13.67837837837844</v>
          </cell>
          <cell r="I1056" t="e">
            <v>#N/A</v>
          </cell>
          <cell r="J1056" t="e">
            <v>#N/A</v>
          </cell>
          <cell r="K1056">
            <v>17.5</v>
          </cell>
          <cell r="L1056">
            <v>14</v>
          </cell>
          <cell r="M1056" t="e">
            <v>#N/A</v>
          </cell>
          <cell r="N1056">
            <v>16.5</v>
          </cell>
          <cell r="O1056" t="e">
            <v>#N/A</v>
          </cell>
          <cell r="P1056" t="str">
            <v/>
          </cell>
          <cell r="Q1056" t="str">
            <v/>
          </cell>
          <cell r="R1056">
            <v>16.5</v>
          </cell>
        </row>
        <row r="1057">
          <cell r="A1057" t="str">
            <v/>
          </cell>
          <cell r="B1057" t="str">
            <v/>
          </cell>
          <cell r="C1057" t="str">
            <v>Future</v>
          </cell>
          <cell r="D1057" t="e">
            <v>#N/A</v>
          </cell>
          <cell r="E1057">
            <v>-13.241891891891981</v>
          </cell>
          <cell r="F1057">
            <v>20.40675675675708</v>
          </cell>
          <cell r="G1057">
            <v>13.677027027027089</v>
          </cell>
          <cell r="H1057">
            <v>13.677027027027089</v>
          </cell>
          <cell r="I1057" t="e">
            <v>#N/A</v>
          </cell>
          <cell r="J1057" t="e">
            <v>#N/A</v>
          </cell>
          <cell r="K1057">
            <v>17.5</v>
          </cell>
          <cell r="L1057">
            <v>14</v>
          </cell>
          <cell r="M1057" t="e">
            <v>#N/A</v>
          </cell>
          <cell r="N1057">
            <v>16.5</v>
          </cell>
          <cell r="O1057" t="e">
            <v>#N/A</v>
          </cell>
          <cell r="P1057" t="str">
            <v/>
          </cell>
          <cell r="Q1057" t="str">
            <v/>
          </cell>
          <cell r="R1057">
            <v>16.5</v>
          </cell>
        </row>
        <row r="1058">
          <cell r="A1058" t="str">
            <v/>
          </cell>
          <cell r="B1058" t="str">
            <v/>
          </cell>
          <cell r="C1058" t="str">
            <v>Future</v>
          </cell>
          <cell r="D1058" t="e">
            <v>#N/A</v>
          </cell>
          <cell r="E1058">
            <v>-13.297297297297387</v>
          </cell>
          <cell r="F1058">
            <v>20.418918918919243</v>
          </cell>
          <cell r="G1058">
            <v>13.675675675675738</v>
          </cell>
          <cell r="H1058">
            <v>13.675675675675738</v>
          </cell>
          <cell r="I1058" t="e">
            <v>#N/A</v>
          </cell>
          <cell r="J1058" t="e">
            <v>#N/A</v>
          </cell>
          <cell r="K1058">
            <v>17.5</v>
          </cell>
          <cell r="L1058">
            <v>14</v>
          </cell>
          <cell r="M1058" t="e">
            <v>#N/A</v>
          </cell>
          <cell r="N1058">
            <v>16.5</v>
          </cell>
          <cell r="O1058" t="e">
            <v>#N/A</v>
          </cell>
          <cell r="P1058" t="str">
            <v/>
          </cell>
          <cell r="Q1058" t="str">
            <v/>
          </cell>
          <cell r="R1058">
            <v>16.5</v>
          </cell>
        </row>
        <row r="1059">
          <cell r="A1059" t="str">
            <v/>
          </cell>
          <cell r="B1059" t="str">
            <v/>
          </cell>
          <cell r="C1059" t="str">
            <v>Future</v>
          </cell>
          <cell r="D1059" t="e">
            <v>#N/A</v>
          </cell>
          <cell r="E1059">
            <v>-13.352702702702793</v>
          </cell>
          <cell r="F1059">
            <v>20.431081081081405</v>
          </cell>
          <cell r="G1059">
            <v>13.674324324324386</v>
          </cell>
          <cell r="H1059">
            <v>13.674324324324386</v>
          </cell>
          <cell r="I1059" t="e">
            <v>#N/A</v>
          </cell>
          <cell r="J1059" t="e">
            <v>#N/A</v>
          </cell>
          <cell r="K1059">
            <v>17.5</v>
          </cell>
          <cell r="L1059">
            <v>14</v>
          </cell>
          <cell r="M1059" t="e">
            <v>#N/A</v>
          </cell>
          <cell r="N1059">
            <v>16.5</v>
          </cell>
          <cell r="O1059" t="e">
            <v>#N/A</v>
          </cell>
          <cell r="P1059" t="str">
            <v/>
          </cell>
          <cell r="Q1059" t="str">
            <v/>
          </cell>
          <cell r="R1059">
            <v>16.5</v>
          </cell>
        </row>
        <row r="1060">
          <cell r="A1060" t="str">
            <v/>
          </cell>
          <cell r="B1060" t="str">
            <v/>
          </cell>
          <cell r="C1060" t="str">
            <v>Future</v>
          </cell>
          <cell r="D1060" t="e">
            <v>#N/A</v>
          </cell>
          <cell r="E1060">
            <v>-13.408108108108198</v>
          </cell>
          <cell r="F1060">
            <v>20.443243243243568</v>
          </cell>
          <cell r="G1060">
            <v>13.672972972973035</v>
          </cell>
          <cell r="H1060">
            <v>13.672972972973035</v>
          </cell>
          <cell r="I1060" t="e">
            <v>#N/A</v>
          </cell>
          <cell r="J1060" t="e">
            <v>#N/A</v>
          </cell>
          <cell r="K1060">
            <v>17.5</v>
          </cell>
          <cell r="L1060">
            <v>14</v>
          </cell>
          <cell r="M1060" t="e">
            <v>#N/A</v>
          </cell>
          <cell r="N1060">
            <v>16.5</v>
          </cell>
          <cell r="O1060" t="e">
            <v>#N/A</v>
          </cell>
          <cell r="P1060" t="str">
            <v/>
          </cell>
          <cell r="Q1060" t="str">
            <v/>
          </cell>
          <cell r="R1060">
            <v>16.5</v>
          </cell>
        </row>
        <row r="1061">
          <cell r="A1061" t="str">
            <v/>
          </cell>
          <cell r="B1061" t="str">
            <v/>
          </cell>
          <cell r="C1061" t="str">
            <v>Future</v>
          </cell>
          <cell r="D1061" t="e">
            <v>#N/A</v>
          </cell>
          <cell r="E1061">
            <v>-13.463513513513604</v>
          </cell>
          <cell r="F1061">
            <v>20.455405405405731</v>
          </cell>
          <cell r="G1061">
            <v>13.671621621621684</v>
          </cell>
          <cell r="H1061">
            <v>13.671621621621684</v>
          </cell>
          <cell r="I1061" t="e">
            <v>#N/A</v>
          </cell>
          <cell r="J1061" t="e">
            <v>#N/A</v>
          </cell>
          <cell r="K1061">
            <v>17.5</v>
          </cell>
          <cell r="L1061">
            <v>14</v>
          </cell>
          <cell r="M1061" t="e">
            <v>#N/A</v>
          </cell>
          <cell r="N1061">
            <v>16.5</v>
          </cell>
          <cell r="O1061" t="e">
            <v>#N/A</v>
          </cell>
          <cell r="P1061" t="str">
            <v/>
          </cell>
          <cell r="Q1061" t="str">
            <v/>
          </cell>
          <cell r="R1061">
            <v>16.5</v>
          </cell>
        </row>
        <row r="1062">
          <cell r="A1062" t="str">
            <v/>
          </cell>
          <cell r="B1062" t="str">
            <v/>
          </cell>
          <cell r="C1062" t="str">
            <v>Future</v>
          </cell>
          <cell r="D1062" t="e">
            <v>#N/A</v>
          </cell>
          <cell r="E1062">
            <v>-13.51891891891901</v>
          </cell>
          <cell r="F1062">
            <v>20.467567567567894</v>
          </cell>
          <cell r="G1062">
            <v>13.670270270270333</v>
          </cell>
          <cell r="H1062">
            <v>13.670270270270333</v>
          </cell>
          <cell r="I1062" t="e">
            <v>#N/A</v>
          </cell>
          <cell r="J1062" t="e">
            <v>#N/A</v>
          </cell>
          <cell r="K1062">
            <v>17.5</v>
          </cell>
          <cell r="L1062">
            <v>14</v>
          </cell>
          <cell r="M1062" t="e">
            <v>#N/A</v>
          </cell>
          <cell r="N1062">
            <v>16.5</v>
          </cell>
          <cell r="O1062" t="e">
            <v>#N/A</v>
          </cell>
          <cell r="P1062" t="str">
            <v/>
          </cell>
          <cell r="Q1062" t="str">
            <v/>
          </cell>
          <cell r="R1062">
            <v>16.5</v>
          </cell>
        </row>
        <row r="1063">
          <cell r="A1063" t="str">
            <v/>
          </cell>
          <cell r="B1063" t="str">
            <v/>
          </cell>
          <cell r="C1063" t="str">
            <v>Future</v>
          </cell>
          <cell r="D1063" t="e">
            <v>#N/A</v>
          </cell>
          <cell r="E1063">
            <v>-13.574324324324415</v>
          </cell>
          <cell r="F1063">
            <v>20.479729729730057</v>
          </cell>
          <cell r="G1063">
            <v>13.668918918918981</v>
          </cell>
          <cell r="H1063">
            <v>13.668918918918981</v>
          </cell>
          <cell r="I1063" t="e">
            <v>#N/A</v>
          </cell>
          <cell r="J1063" t="e">
            <v>#N/A</v>
          </cell>
          <cell r="K1063">
            <v>17.5</v>
          </cell>
          <cell r="L1063">
            <v>14</v>
          </cell>
          <cell r="M1063" t="e">
            <v>#N/A</v>
          </cell>
          <cell r="N1063">
            <v>16.5</v>
          </cell>
          <cell r="O1063" t="e">
            <v>#N/A</v>
          </cell>
          <cell r="P1063" t="str">
            <v/>
          </cell>
          <cell r="Q1063" t="str">
            <v/>
          </cell>
          <cell r="R1063">
            <v>16.5</v>
          </cell>
        </row>
        <row r="1064">
          <cell r="A1064" t="str">
            <v/>
          </cell>
          <cell r="B1064" t="str">
            <v/>
          </cell>
          <cell r="C1064" t="str">
            <v>Future</v>
          </cell>
          <cell r="D1064" t="e">
            <v>#N/A</v>
          </cell>
          <cell r="E1064">
            <v>-13.629729729729821</v>
          </cell>
          <cell r="F1064">
            <v>20.491891891892219</v>
          </cell>
          <cell r="G1064">
            <v>13.66756756756763</v>
          </cell>
          <cell r="H1064">
            <v>13.66756756756763</v>
          </cell>
          <cell r="I1064" t="e">
            <v>#N/A</v>
          </cell>
          <cell r="J1064" t="e">
            <v>#N/A</v>
          </cell>
          <cell r="K1064">
            <v>17.5</v>
          </cell>
          <cell r="L1064">
            <v>14</v>
          </cell>
          <cell r="M1064" t="e">
            <v>#N/A</v>
          </cell>
          <cell r="N1064">
            <v>16.5</v>
          </cell>
          <cell r="O1064" t="e">
            <v>#N/A</v>
          </cell>
          <cell r="P1064" t="str">
            <v/>
          </cell>
          <cell r="Q1064" t="str">
            <v/>
          </cell>
          <cell r="R1064">
            <v>16.5</v>
          </cell>
        </row>
        <row r="1065">
          <cell r="A1065" t="str">
            <v/>
          </cell>
          <cell r="B1065" t="str">
            <v/>
          </cell>
          <cell r="C1065" t="str">
            <v>Future</v>
          </cell>
          <cell r="D1065" t="e">
            <v>#N/A</v>
          </cell>
          <cell r="E1065">
            <v>-13.685135135135226</v>
          </cell>
          <cell r="F1065">
            <v>20.504054054054382</v>
          </cell>
          <cell r="G1065">
            <v>13.666216216216279</v>
          </cell>
          <cell r="H1065">
            <v>13.666216216216279</v>
          </cell>
          <cell r="I1065" t="e">
            <v>#N/A</v>
          </cell>
          <cell r="J1065" t="e">
            <v>#N/A</v>
          </cell>
          <cell r="K1065">
            <v>17.5</v>
          </cell>
          <cell r="L1065">
            <v>14</v>
          </cell>
          <cell r="M1065" t="e">
            <v>#N/A</v>
          </cell>
          <cell r="N1065">
            <v>16.5</v>
          </cell>
          <cell r="O1065" t="e">
            <v>#N/A</v>
          </cell>
          <cell r="P1065" t="str">
            <v/>
          </cell>
          <cell r="Q1065" t="str">
            <v/>
          </cell>
          <cell r="R1065">
            <v>16.5</v>
          </cell>
        </row>
        <row r="1066">
          <cell r="A1066" t="str">
            <v/>
          </cell>
          <cell r="B1066" t="str">
            <v/>
          </cell>
          <cell r="C1066" t="str">
            <v>Future</v>
          </cell>
          <cell r="D1066" t="e">
            <v>#N/A</v>
          </cell>
          <cell r="E1066">
            <v>-13.740540540540632</v>
          </cell>
          <cell r="F1066">
            <v>20.516216216216545</v>
          </cell>
          <cell r="G1066">
            <v>13.664864864864928</v>
          </cell>
          <cell r="H1066">
            <v>13.664864864864928</v>
          </cell>
          <cell r="I1066" t="e">
            <v>#N/A</v>
          </cell>
          <cell r="J1066" t="e">
            <v>#N/A</v>
          </cell>
          <cell r="K1066">
            <v>17.5</v>
          </cell>
          <cell r="L1066">
            <v>14</v>
          </cell>
          <cell r="M1066" t="e">
            <v>#N/A</v>
          </cell>
          <cell r="N1066">
            <v>16.5</v>
          </cell>
          <cell r="O1066" t="e">
            <v>#N/A</v>
          </cell>
          <cell r="P1066" t="str">
            <v/>
          </cell>
          <cell r="Q1066" t="str">
            <v/>
          </cell>
          <cell r="R1066">
            <v>16.5</v>
          </cell>
        </row>
        <row r="1067">
          <cell r="A1067" t="str">
            <v/>
          </cell>
          <cell r="B1067" t="str">
            <v/>
          </cell>
          <cell r="C1067" t="str">
            <v>Future</v>
          </cell>
          <cell r="D1067" t="e">
            <v>#N/A</v>
          </cell>
          <cell r="E1067">
            <v>-13.795945945946038</v>
          </cell>
          <cell r="F1067">
            <v>20.528378378378708</v>
          </cell>
          <cell r="G1067">
            <v>13.663513513513577</v>
          </cell>
          <cell r="H1067">
            <v>13.663513513513577</v>
          </cell>
          <cell r="I1067" t="e">
            <v>#N/A</v>
          </cell>
          <cell r="J1067" t="e">
            <v>#N/A</v>
          </cell>
          <cell r="K1067">
            <v>17.5</v>
          </cell>
          <cell r="L1067">
            <v>14</v>
          </cell>
          <cell r="M1067" t="e">
            <v>#N/A</v>
          </cell>
          <cell r="N1067">
            <v>16.5</v>
          </cell>
          <cell r="O1067" t="e">
            <v>#N/A</v>
          </cell>
          <cell r="P1067" t="str">
            <v/>
          </cell>
          <cell r="Q1067" t="str">
            <v/>
          </cell>
          <cell r="R1067">
            <v>16.5</v>
          </cell>
        </row>
        <row r="1068">
          <cell r="A1068" t="str">
            <v/>
          </cell>
          <cell r="B1068" t="str">
            <v/>
          </cell>
          <cell r="C1068" t="str">
            <v>Future</v>
          </cell>
          <cell r="D1068" t="e">
            <v>#N/A</v>
          </cell>
          <cell r="E1068">
            <v>-13.851351351351443</v>
          </cell>
          <cell r="F1068">
            <v>20.540540540540871</v>
          </cell>
          <cell r="G1068">
            <v>13.662162162162225</v>
          </cell>
          <cell r="H1068">
            <v>13.662162162162225</v>
          </cell>
          <cell r="I1068" t="e">
            <v>#N/A</v>
          </cell>
          <cell r="J1068" t="e">
            <v>#N/A</v>
          </cell>
          <cell r="K1068">
            <v>17.5</v>
          </cell>
          <cell r="L1068">
            <v>14</v>
          </cell>
          <cell r="M1068" t="e">
            <v>#N/A</v>
          </cell>
          <cell r="N1068">
            <v>16.5</v>
          </cell>
          <cell r="O1068" t="e">
            <v>#N/A</v>
          </cell>
          <cell r="P1068" t="str">
            <v/>
          </cell>
          <cell r="Q1068" t="str">
            <v/>
          </cell>
          <cell r="R1068">
            <v>16.5</v>
          </cell>
        </row>
        <row r="1069">
          <cell r="A1069" t="str">
            <v/>
          </cell>
          <cell r="B1069" t="str">
            <v/>
          </cell>
          <cell r="C1069" t="str">
            <v>Future</v>
          </cell>
          <cell r="D1069" t="e">
            <v>#N/A</v>
          </cell>
          <cell r="E1069">
            <v>-13.906756756756849</v>
          </cell>
          <cell r="F1069">
            <v>20.552702702703034</v>
          </cell>
          <cell r="G1069">
            <v>13.660810810810874</v>
          </cell>
          <cell r="H1069">
            <v>13.660810810810874</v>
          </cell>
          <cell r="I1069" t="e">
            <v>#N/A</v>
          </cell>
          <cell r="J1069" t="e">
            <v>#N/A</v>
          </cell>
          <cell r="K1069">
            <v>17.5</v>
          </cell>
          <cell r="L1069">
            <v>14</v>
          </cell>
          <cell r="M1069" t="e">
            <v>#N/A</v>
          </cell>
          <cell r="N1069">
            <v>16.5</v>
          </cell>
          <cell r="O1069" t="e">
            <v>#N/A</v>
          </cell>
          <cell r="P1069" t="str">
            <v/>
          </cell>
          <cell r="Q1069" t="str">
            <v/>
          </cell>
          <cell r="R1069">
            <v>16.5</v>
          </cell>
        </row>
        <row r="1070">
          <cell r="A1070" t="str">
            <v/>
          </cell>
          <cell r="B1070" t="str">
            <v/>
          </cell>
          <cell r="C1070" t="str">
            <v>Future</v>
          </cell>
          <cell r="D1070" t="e">
            <v>#N/A</v>
          </cell>
          <cell r="E1070">
            <v>-13.962162162162254</v>
          </cell>
          <cell r="F1070">
            <v>20.564864864865196</v>
          </cell>
          <cell r="G1070">
            <v>13.659459459459523</v>
          </cell>
          <cell r="H1070">
            <v>13.659459459459523</v>
          </cell>
          <cell r="I1070" t="e">
            <v>#N/A</v>
          </cell>
          <cell r="J1070" t="e">
            <v>#N/A</v>
          </cell>
          <cell r="K1070">
            <v>17.5</v>
          </cell>
          <cell r="L1070">
            <v>14</v>
          </cell>
          <cell r="M1070" t="e">
            <v>#N/A</v>
          </cell>
          <cell r="N1070">
            <v>16.5</v>
          </cell>
          <cell r="O1070" t="e">
            <v>#N/A</v>
          </cell>
          <cell r="P1070" t="str">
            <v/>
          </cell>
          <cell r="Q1070" t="str">
            <v/>
          </cell>
          <cell r="R1070">
            <v>16.5</v>
          </cell>
        </row>
        <row r="1071">
          <cell r="A1071" t="str">
            <v/>
          </cell>
          <cell r="B1071" t="str">
            <v/>
          </cell>
          <cell r="C1071" t="str">
            <v>Future</v>
          </cell>
          <cell r="D1071" t="e">
            <v>#N/A</v>
          </cell>
          <cell r="E1071">
            <v>-14.01756756756766</v>
          </cell>
          <cell r="F1071">
            <v>20.577027027027359</v>
          </cell>
          <cell r="G1071">
            <v>13.658108108108172</v>
          </cell>
          <cell r="H1071">
            <v>13.658108108108172</v>
          </cell>
          <cell r="I1071" t="e">
            <v>#N/A</v>
          </cell>
          <cell r="J1071" t="e">
            <v>#N/A</v>
          </cell>
          <cell r="K1071">
            <v>17.5</v>
          </cell>
          <cell r="L1071">
            <v>14</v>
          </cell>
          <cell r="M1071" t="e">
            <v>#N/A</v>
          </cell>
          <cell r="N1071">
            <v>16.5</v>
          </cell>
          <cell r="O1071" t="e">
            <v>#N/A</v>
          </cell>
          <cell r="P1071" t="str">
            <v/>
          </cell>
          <cell r="Q1071" t="str">
            <v/>
          </cell>
          <cell r="R1071">
            <v>16.5</v>
          </cell>
        </row>
        <row r="1072">
          <cell r="A1072" t="str">
            <v/>
          </cell>
          <cell r="B1072" t="str">
            <v/>
          </cell>
          <cell r="C1072" t="str">
            <v>Future</v>
          </cell>
          <cell r="D1072" t="e">
            <v>#N/A</v>
          </cell>
          <cell r="E1072">
            <v>-14.072972972973066</v>
          </cell>
          <cell r="F1072">
            <v>20.589189189189522</v>
          </cell>
          <cell r="G1072">
            <v>13.65675675675682</v>
          </cell>
          <cell r="H1072">
            <v>13.65675675675682</v>
          </cell>
          <cell r="I1072" t="e">
            <v>#N/A</v>
          </cell>
          <cell r="J1072" t="e">
            <v>#N/A</v>
          </cell>
          <cell r="K1072">
            <v>17.5</v>
          </cell>
          <cell r="L1072">
            <v>14</v>
          </cell>
          <cell r="M1072" t="e">
            <v>#N/A</v>
          </cell>
          <cell r="N1072">
            <v>16.5</v>
          </cell>
          <cell r="O1072" t="e">
            <v>#N/A</v>
          </cell>
          <cell r="P1072" t="str">
            <v/>
          </cell>
          <cell r="Q1072" t="str">
            <v/>
          </cell>
          <cell r="R1072">
            <v>16.5</v>
          </cell>
        </row>
        <row r="1073">
          <cell r="A1073" t="str">
            <v/>
          </cell>
          <cell r="B1073" t="str">
            <v/>
          </cell>
          <cell r="C1073" t="str">
            <v>Future</v>
          </cell>
          <cell r="D1073" t="e">
            <v>#N/A</v>
          </cell>
          <cell r="E1073">
            <v>-14.128378378378471</v>
          </cell>
          <cell r="F1073">
            <v>20.601351351351685</v>
          </cell>
          <cell r="G1073">
            <v>13.655405405405469</v>
          </cell>
          <cell r="H1073">
            <v>13.655405405405469</v>
          </cell>
          <cell r="I1073" t="e">
            <v>#N/A</v>
          </cell>
          <cell r="J1073" t="e">
            <v>#N/A</v>
          </cell>
          <cell r="K1073">
            <v>17.5</v>
          </cell>
          <cell r="L1073">
            <v>14</v>
          </cell>
          <cell r="M1073" t="e">
            <v>#N/A</v>
          </cell>
          <cell r="N1073">
            <v>16.5</v>
          </cell>
          <cell r="O1073" t="e">
            <v>#N/A</v>
          </cell>
          <cell r="P1073" t="str">
            <v/>
          </cell>
          <cell r="Q1073" t="str">
            <v/>
          </cell>
          <cell r="R1073">
            <v>16.5</v>
          </cell>
        </row>
        <row r="1074">
          <cell r="A1074" t="str">
            <v/>
          </cell>
          <cell r="B1074" t="str">
            <v/>
          </cell>
          <cell r="C1074" t="str">
            <v>Future</v>
          </cell>
          <cell r="D1074" t="e">
            <v>#N/A</v>
          </cell>
          <cell r="E1074">
            <v>-14.183783783783877</v>
          </cell>
          <cell r="F1074">
            <v>20.613513513513848</v>
          </cell>
          <cell r="G1074">
            <v>13.654054054054118</v>
          </cell>
          <cell r="H1074">
            <v>13.654054054054118</v>
          </cell>
          <cell r="I1074" t="e">
            <v>#N/A</v>
          </cell>
          <cell r="J1074" t="e">
            <v>#N/A</v>
          </cell>
          <cell r="K1074">
            <v>17.5</v>
          </cell>
          <cell r="L1074">
            <v>14</v>
          </cell>
          <cell r="M1074" t="e">
            <v>#N/A</v>
          </cell>
          <cell r="N1074">
            <v>16.5</v>
          </cell>
          <cell r="O1074" t="e">
            <v>#N/A</v>
          </cell>
          <cell r="P1074" t="str">
            <v/>
          </cell>
          <cell r="Q1074" t="str">
            <v/>
          </cell>
          <cell r="R1074">
            <v>16.5</v>
          </cell>
        </row>
        <row r="1075">
          <cell r="A1075" t="str">
            <v/>
          </cell>
          <cell r="B1075" t="str">
            <v/>
          </cell>
          <cell r="C1075" t="str">
            <v>Future</v>
          </cell>
          <cell r="D1075" t="e">
            <v>#N/A</v>
          </cell>
          <cell r="E1075">
            <v>-14.239189189189283</v>
          </cell>
          <cell r="F1075">
            <v>20.62567567567601</v>
          </cell>
          <cell r="G1075">
            <v>13.652702702702767</v>
          </cell>
          <cell r="H1075">
            <v>13.652702702702767</v>
          </cell>
          <cell r="I1075" t="e">
            <v>#N/A</v>
          </cell>
          <cell r="J1075" t="e">
            <v>#N/A</v>
          </cell>
          <cell r="K1075">
            <v>17.5</v>
          </cell>
          <cell r="L1075">
            <v>14</v>
          </cell>
          <cell r="M1075" t="e">
            <v>#N/A</v>
          </cell>
          <cell r="N1075">
            <v>16.5</v>
          </cell>
          <cell r="O1075" t="e">
            <v>#N/A</v>
          </cell>
          <cell r="P1075" t="str">
            <v/>
          </cell>
          <cell r="Q1075" t="str">
            <v/>
          </cell>
          <cell r="R1075">
            <v>16.5</v>
          </cell>
        </row>
        <row r="1076">
          <cell r="A1076" t="str">
            <v/>
          </cell>
          <cell r="B1076" t="str">
            <v/>
          </cell>
          <cell r="C1076" t="str">
            <v>Future</v>
          </cell>
          <cell r="D1076" t="e">
            <v>#N/A</v>
          </cell>
          <cell r="E1076">
            <v>-14.294594594594688</v>
          </cell>
          <cell r="F1076">
            <v>20.637837837838173</v>
          </cell>
          <cell r="G1076">
            <v>13.651351351351416</v>
          </cell>
          <cell r="H1076">
            <v>13.651351351351416</v>
          </cell>
          <cell r="I1076" t="e">
            <v>#N/A</v>
          </cell>
          <cell r="J1076" t="e">
            <v>#N/A</v>
          </cell>
          <cell r="K1076">
            <v>17.5</v>
          </cell>
          <cell r="L1076">
            <v>14</v>
          </cell>
          <cell r="M1076" t="e">
            <v>#N/A</v>
          </cell>
          <cell r="N1076">
            <v>16.5</v>
          </cell>
          <cell r="O1076" t="e">
            <v>#N/A</v>
          </cell>
          <cell r="P1076" t="str">
            <v/>
          </cell>
          <cell r="Q1076" t="str">
            <v/>
          </cell>
          <cell r="R1076">
            <v>16.5</v>
          </cell>
        </row>
        <row r="1077">
          <cell r="A1077" t="str">
            <v/>
          </cell>
          <cell r="B1077" t="str">
            <v/>
          </cell>
          <cell r="C1077" t="str">
            <v>Future</v>
          </cell>
          <cell r="D1077" t="e">
            <v>#N/A</v>
          </cell>
          <cell r="E1077">
            <v>-14.350000000000094</v>
          </cell>
          <cell r="F1077">
            <v>20.650000000000336</v>
          </cell>
          <cell r="G1077">
            <v>13.650000000000064</v>
          </cell>
          <cell r="H1077">
            <v>13.650000000000064</v>
          </cell>
          <cell r="I1077" t="e">
            <v>#N/A</v>
          </cell>
          <cell r="J1077" t="e">
            <v>#N/A</v>
          </cell>
          <cell r="K1077">
            <v>17.5</v>
          </cell>
          <cell r="L1077">
            <v>14</v>
          </cell>
          <cell r="M1077" t="e">
            <v>#N/A</v>
          </cell>
          <cell r="N1077">
            <v>16.5</v>
          </cell>
          <cell r="O1077" t="e">
            <v>#N/A</v>
          </cell>
          <cell r="P1077" t="str">
            <v/>
          </cell>
          <cell r="Q1077" t="str">
            <v/>
          </cell>
          <cell r="R1077">
            <v>16.5</v>
          </cell>
        </row>
        <row r="1078">
          <cell r="A1078" t="str">
            <v/>
          </cell>
          <cell r="B1078" t="str">
            <v/>
          </cell>
          <cell r="C1078" t="str">
            <v>Future</v>
          </cell>
          <cell r="D1078" t="e">
            <v>#N/A</v>
          </cell>
          <cell r="E1078">
            <v>-14.405405405405499</v>
          </cell>
          <cell r="F1078">
            <v>20.662162162162499</v>
          </cell>
          <cell r="G1078">
            <v>13.648648648648713</v>
          </cell>
          <cell r="H1078">
            <v>13.648648648648713</v>
          </cell>
          <cell r="I1078" t="e">
            <v>#N/A</v>
          </cell>
          <cell r="J1078" t="e">
            <v>#N/A</v>
          </cell>
          <cell r="K1078">
            <v>17.5</v>
          </cell>
          <cell r="L1078">
            <v>14</v>
          </cell>
          <cell r="M1078" t="e">
            <v>#N/A</v>
          </cell>
          <cell r="N1078">
            <v>16.5</v>
          </cell>
          <cell r="O1078" t="e">
            <v>#N/A</v>
          </cell>
          <cell r="P1078" t="str">
            <v/>
          </cell>
          <cell r="Q1078" t="str">
            <v/>
          </cell>
          <cell r="R1078">
            <v>16.5</v>
          </cell>
        </row>
        <row r="1079">
          <cell r="A1079" t="str">
            <v/>
          </cell>
          <cell r="B1079" t="str">
            <v/>
          </cell>
          <cell r="C1079" t="str">
            <v>Future</v>
          </cell>
          <cell r="D1079" t="e">
            <v>#N/A</v>
          </cell>
          <cell r="E1079">
            <v>-14.460810810810905</v>
          </cell>
          <cell r="F1079">
            <v>20.674324324324662</v>
          </cell>
          <cell r="G1079">
            <v>13.647297297297362</v>
          </cell>
          <cell r="H1079">
            <v>13.647297297297362</v>
          </cell>
          <cell r="I1079" t="e">
            <v>#N/A</v>
          </cell>
          <cell r="J1079" t="e">
            <v>#N/A</v>
          </cell>
          <cell r="K1079">
            <v>17.5</v>
          </cell>
          <cell r="L1079">
            <v>14</v>
          </cell>
          <cell r="M1079" t="e">
            <v>#N/A</v>
          </cell>
          <cell r="N1079">
            <v>16.5</v>
          </cell>
          <cell r="O1079" t="e">
            <v>#N/A</v>
          </cell>
          <cell r="P1079" t="str">
            <v/>
          </cell>
          <cell r="Q1079" t="str">
            <v/>
          </cell>
          <cell r="R1079">
            <v>16.5</v>
          </cell>
        </row>
        <row r="1080">
          <cell r="A1080" t="str">
            <v/>
          </cell>
          <cell r="B1080" t="str">
            <v/>
          </cell>
          <cell r="C1080" t="str">
            <v>Future</v>
          </cell>
          <cell r="D1080" t="e">
            <v>#N/A</v>
          </cell>
          <cell r="E1080">
            <v>-14.516216216216311</v>
          </cell>
          <cell r="F1080">
            <v>20.686486486486825</v>
          </cell>
          <cell r="G1080">
            <v>13.645945945946011</v>
          </cell>
          <cell r="H1080">
            <v>13.645945945946011</v>
          </cell>
          <cell r="I1080" t="e">
            <v>#N/A</v>
          </cell>
          <cell r="J1080" t="e">
            <v>#N/A</v>
          </cell>
          <cell r="K1080">
            <v>17.5</v>
          </cell>
          <cell r="L1080">
            <v>14</v>
          </cell>
          <cell r="M1080" t="e">
            <v>#N/A</v>
          </cell>
          <cell r="N1080">
            <v>16.5</v>
          </cell>
          <cell r="O1080" t="e">
            <v>#N/A</v>
          </cell>
          <cell r="P1080" t="str">
            <v/>
          </cell>
          <cell r="Q1080" t="str">
            <v/>
          </cell>
          <cell r="R1080">
            <v>16.5</v>
          </cell>
        </row>
        <row r="1081">
          <cell r="A1081" t="str">
            <v/>
          </cell>
          <cell r="B1081" t="str">
            <v/>
          </cell>
          <cell r="C1081" t="str">
            <v>Future</v>
          </cell>
          <cell r="D1081" t="e">
            <v>#N/A</v>
          </cell>
          <cell r="E1081">
            <v>-14.571621621621716</v>
          </cell>
          <cell r="F1081">
            <v>20.698648648648987</v>
          </cell>
          <cell r="G1081">
            <v>13.644594594594659</v>
          </cell>
          <cell r="H1081">
            <v>13.644594594594659</v>
          </cell>
          <cell r="I1081" t="e">
            <v>#N/A</v>
          </cell>
          <cell r="J1081" t="e">
            <v>#N/A</v>
          </cell>
          <cell r="K1081">
            <v>17.5</v>
          </cell>
          <cell r="L1081">
            <v>14</v>
          </cell>
          <cell r="M1081" t="e">
            <v>#N/A</v>
          </cell>
          <cell r="N1081">
            <v>16.5</v>
          </cell>
          <cell r="O1081" t="e">
            <v>#N/A</v>
          </cell>
          <cell r="P1081" t="str">
            <v/>
          </cell>
          <cell r="Q1081" t="str">
            <v/>
          </cell>
          <cell r="R1081">
            <v>16.5</v>
          </cell>
        </row>
        <row r="1082">
          <cell r="A1082" t="str">
            <v/>
          </cell>
          <cell r="B1082" t="str">
            <v/>
          </cell>
          <cell r="C1082" t="str">
            <v>Future</v>
          </cell>
          <cell r="D1082" t="e">
            <v>#N/A</v>
          </cell>
          <cell r="E1082">
            <v>-14.627027027027122</v>
          </cell>
          <cell r="F1082">
            <v>20.71081081081115</v>
          </cell>
          <cell r="G1082">
            <v>13.643243243243308</v>
          </cell>
          <cell r="H1082">
            <v>13.643243243243308</v>
          </cell>
          <cell r="I1082" t="e">
            <v>#N/A</v>
          </cell>
          <cell r="J1082" t="e">
            <v>#N/A</v>
          </cell>
          <cell r="K1082">
            <v>17.5</v>
          </cell>
          <cell r="L1082">
            <v>14</v>
          </cell>
          <cell r="M1082" t="e">
            <v>#N/A</v>
          </cell>
          <cell r="N1082">
            <v>16.5</v>
          </cell>
          <cell r="O1082" t="e">
            <v>#N/A</v>
          </cell>
          <cell r="P1082" t="str">
            <v/>
          </cell>
          <cell r="Q1082" t="str">
            <v/>
          </cell>
          <cell r="R1082">
            <v>16.5</v>
          </cell>
        </row>
        <row r="1083">
          <cell r="A1083" t="str">
            <v/>
          </cell>
          <cell r="B1083" t="str">
            <v/>
          </cell>
          <cell r="C1083" t="str">
            <v>Future</v>
          </cell>
          <cell r="D1083" t="e">
            <v>#N/A</v>
          </cell>
          <cell r="E1083">
            <v>-14.682432432432527</v>
          </cell>
          <cell r="F1083">
            <v>20.722972972973313</v>
          </cell>
          <cell r="G1083">
            <v>13.641891891891957</v>
          </cell>
          <cell r="H1083">
            <v>13.641891891891957</v>
          </cell>
          <cell r="I1083" t="e">
            <v>#N/A</v>
          </cell>
          <cell r="J1083" t="e">
            <v>#N/A</v>
          </cell>
          <cell r="K1083">
            <v>17.5</v>
          </cell>
          <cell r="L1083">
            <v>14</v>
          </cell>
          <cell r="M1083" t="e">
            <v>#N/A</v>
          </cell>
          <cell r="N1083">
            <v>16.5</v>
          </cell>
          <cell r="O1083" t="e">
            <v>#N/A</v>
          </cell>
          <cell r="P1083" t="str">
            <v/>
          </cell>
          <cell r="Q1083" t="str">
            <v/>
          </cell>
          <cell r="R1083">
            <v>16.5</v>
          </cell>
        </row>
        <row r="1084">
          <cell r="A1084" t="str">
            <v/>
          </cell>
          <cell r="B1084" t="str">
            <v/>
          </cell>
          <cell r="C1084" t="str">
            <v>Future</v>
          </cell>
          <cell r="D1084" t="e">
            <v>#N/A</v>
          </cell>
          <cell r="E1084">
            <v>-14.737837837837933</v>
          </cell>
          <cell r="F1084">
            <v>20.735135135135476</v>
          </cell>
          <cell r="G1084">
            <v>13.640540540540606</v>
          </cell>
          <cell r="H1084">
            <v>13.640540540540606</v>
          </cell>
          <cell r="I1084" t="e">
            <v>#N/A</v>
          </cell>
          <cell r="J1084" t="e">
            <v>#N/A</v>
          </cell>
          <cell r="K1084">
            <v>17.5</v>
          </cell>
          <cell r="L1084">
            <v>14</v>
          </cell>
          <cell r="M1084" t="e">
            <v>#N/A</v>
          </cell>
          <cell r="N1084">
            <v>16.5</v>
          </cell>
          <cell r="O1084" t="e">
            <v>#N/A</v>
          </cell>
          <cell r="P1084" t="str">
            <v/>
          </cell>
          <cell r="Q1084" t="str">
            <v/>
          </cell>
          <cell r="R1084">
            <v>16.5</v>
          </cell>
        </row>
        <row r="1085">
          <cell r="A1085" t="str">
            <v/>
          </cell>
          <cell r="B1085" t="str">
            <v/>
          </cell>
          <cell r="C1085" t="str">
            <v>Future</v>
          </cell>
          <cell r="D1085" t="e">
            <v>#N/A</v>
          </cell>
          <cell r="E1085">
            <v>-14.793243243243339</v>
          </cell>
          <cell r="F1085">
            <v>20.747297297297639</v>
          </cell>
          <cell r="G1085">
            <v>13.639189189189254</v>
          </cell>
          <cell r="H1085">
            <v>13.639189189189254</v>
          </cell>
          <cell r="I1085" t="e">
            <v>#N/A</v>
          </cell>
          <cell r="J1085" t="e">
            <v>#N/A</v>
          </cell>
          <cell r="K1085">
            <v>17.5</v>
          </cell>
          <cell r="L1085">
            <v>14</v>
          </cell>
          <cell r="M1085" t="e">
            <v>#N/A</v>
          </cell>
          <cell r="N1085">
            <v>16.5</v>
          </cell>
          <cell r="O1085" t="e">
            <v>#N/A</v>
          </cell>
          <cell r="P1085" t="str">
            <v/>
          </cell>
          <cell r="Q1085" t="str">
            <v/>
          </cell>
          <cell r="R1085">
            <v>16.5</v>
          </cell>
        </row>
        <row r="1086">
          <cell r="A1086" t="str">
            <v/>
          </cell>
          <cell r="B1086" t="str">
            <v/>
          </cell>
          <cell r="C1086" t="str">
            <v>Future</v>
          </cell>
          <cell r="D1086" t="e">
            <v>#N/A</v>
          </cell>
          <cell r="E1086">
            <v>-14.848648648648744</v>
          </cell>
          <cell r="F1086">
            <v>20.759459459459801</v>
          </cell>
          <cell r="G1086">
            <v>13.637837837837903</v>
          </cell>
          <cell r="H1086">
            <v>13.637837837837903</v>
          </cell>
          <cell r="I1086" t="e">
            <v>#N/A</v>
          </cell>
          <cell r="J1086" t="e">
            <v>#N/A</v>
          </cell>
          <cell r="K1086">
            <v>17.5</v>
          </cell>
          <cell r="L1086">
            <v>14</v>
          </cell>
          <cell r="M1086" t="e">
            <v>#N/A</v>
          </cell>
          <cell r="N1086">
            <v>16.5</v>
          </cell>
          <cell r="O1086" t="e">
            <v>#N/A</v>
          </cell>
          <cell r="P1086" t="str">
            <v/>
          </cell>
          <cell r="Q1086" t="str">
            <v/>
          </cell>
          <cell r="R1086">
            <v>16.5</v>
          </cell>
        </row>
        <row r="1087">
          <cell r="A1087" t="str">
            <v/>
          </cell>
          <cell r="B1087" t="str">
            <v/>
          </cell>
          <cell r="C1087" t="str">
            <v>Future</v>
          </cell>
          <cell r="D1087" t="e">
            <v>#N/A</v>
          </cell>
          <cell r="E1087">
            <v>-14.90405405405415</v>
          </cell>
          <cell r="F1087">
            <v>20.771621621621964</v>
          </cell>
          <cell r="G1087">
            <v>13.636486486486552</v>
          </cell>
          <cell r="H1087">
            <v>13.636486486486552</v>
          </cell>
          <cell r="I1087" t="e">
            <v>#N/A</v>
          </cell>
          <cell r="J1087" t="e">
            <v>#N/A</v>
          </cell>
          <cell r="K1087">
            <v>17.5</v>
          </cell>
          <cell r="L1087">
            <v>14</v>
          </cell>
          <cell r="M1087" t="e">
            <v>#N/A</v>
          </cell>
          <cell r="N1087">
            <v>16.5</v>
          </cell>
          <cell r="O1087" t="e">
            <v>#N/A</v>
          </cell>
          <cell r="P1087" t="str">
            <v/>
          </cell>
          <cell r="Q1087" t="str">
            <v/>
          </cell>
          <cell r="R1087">
            <v>16.5</v>
          </cell>
        </row>
        <row r="1088">
          <cell r="A1088" t="str">
            <v/>
          </cell>
          <cell r="B1088" t="str">
            <v/>
          </cell>
          <cell r="C1088" t="str">
            <v>Future</v>
          </cell>
          <cell r="D1088" t="e">
            <v>#N/A</v>
          </cell>
          <cell r="E1088">
            <v>-14.959459459459556</v>
          </cell>
          <cell r="F1088">
            <v>20.783783783784127</v>
          </cell>
          <cell r="G1088">
            <v>13.635135135135201</v>
          </cell>
          <cell r="H1088">
            <v>13.635135135135201</v>
          </cell>
          <cell r="I1088" t="e">
            <v>#N/A</v>
          </cell>
          <cell r="J1088" t="e">
            <v>#N/A</v>
          </cell>
          <cell r="K1088">
            <v>17.5</v>
          </cell>
          <cell r="L1088">
            <v>14</v>
          </cell>
          <cell r="M1088" t="e">
            <v>#N/A</v>
          </cell>
          <cell r="N1088">
            <v>16.5</v>
          </cell>
          <cell r="O1088" t="e">
            <v>#N/A</v>
          </cell>
          <cell r="P1088" t="str">
            <v/>
          </cell>
          <cell r="Q1088" t="str">
            <v/>
          </cell>
          <cell r="R1088">
            <v>16.5</v>
          </cell>
        </row>
        <row r="1089">
          <cell r="A1089" t="str">
            <v/>
          </cell>
          <cell r="B1089" t="str">
            <v/>
          </cell>
          <cell r="C1089" t="str">
            <v>Future</v>
          </cell>
          <cell r="D1089" t="e">
            <v>#N/A</v>
          </cell>
          <cell r="E1089">
            <v>-15.014864864864961</v>
          </cell>
          <cell r="F1089">
            <v>20.79594594594629</v>
          </cell>
          <cell r="G1089">
            <v>13.63378378378385</v>
          </cell>
          <cell r="H1089">
            <v>13.63378378378385</v>
          </cell>
          <cell r="I1089" t="e">
            <v>#N/A</v>
          </cell>
          <cell r="J1089" t="e">
            <v>#N/A</v>
          </cell>
          <cell r="K1089">
            <v>17.5</v>
          </cell>
          <cell r="L1089">
            <v>14</v>
          </cell>
          <cell r="M1089" t="e">
            <v>#N/A</v>
          </cell>
          <cell r="N1089">
            <v>16.5</v>
          </cell>
          <cell r="O1089" t="e">
            <v>#N/A</v>
          </cell>
          <cell r="P1089" t="str">
            <v/>
          </cell>
          <cell r="Q1089" t="str">
            <v/>
          </cell>
          <cell r="R1089">
            <v>16.5</v>
          </cell>
        </row>
        <row r="1090">
          <cell r="A1090" t="str">
            <v/>
          </cell>
          <cell r="B1090" t="str">
            <v/>
          </cell>
          <cell r="C1090" t="str">
            <v>Future</v>
          </cell>
          <cell r="D1090" t="e">
            <v>#N/A</v>
          </cell>
          <cell r="E1090">
            <v>-15.070270270270367</v>
          </cell>
          <cell r="F1090">
            <v>20.808108108108453</v>
          </cell>
          <cell r="G1090">
            <v>13.632432432432498</v>
          </cell>
          <cell r="H1090">
            <v>13.632432432432498</v>
          </cell>
          <cell r="I1090" t="e">
            <v>#N/A</v>
          </cell>
          <cell r="J1090" t="e">
            <v>#N/A</v>
          </cell>
          <cell r="K1090">
            <v>17.5</v>
          </cell>
          <cell r="L1090">
            <v>14</v>
          </cell>
          <cell r="M1090" t="e">
            <v>#N/A</v>
          </cell>
          <cell r="N1090">
            <v>16.5</v>
          </cell>
          <cell r="O1090" t="e">
            <v>#N/A</v>
          </cell>
          <cell r="P1090" t="str">
            <v/>
          </cell>
          <cell r="Q1090" t="str">
            <v/>
          </cell>
          <cell r="R1090">
            <v>16.5</v>
          </cell>
        </row>
        <row r="1091">
          <cell r="A1091" t="str">
            <v/>
          </cell>
          <cell r="B1091" t="str">
            <v/>
          </cell>
          <cell r="C1091" t="str">
            <v>Future</v>
          </cell>
          <cell r="D1091" t="e">
            <v>#N/A</v>
          </cell>
          <cell r="E1091">
            <v>-15.125675675675772</v>
          </cell>
          <cell r="F1091">
            <v>20.820270270270615</v>
          </cell>
          <cell r="G1091">
            <v>13.631081081081147</v>
          </cell>
          <cell r="H1091">
            <v>13.631081081081147</v>
          </cell>
          <cell r="I1091" t="e">
            <v>#N/A</v>
          </cell>
          <cell r="J1091" t="e">
            <v>#N/A</v>
          </cell>
          <cell r="K1091">
            <v>17.5</v>
          </cell>
          <cell r="L1091">
            <v>14</v>
          </cell>
          <cell r="M1091" t="e">
            <v>#N/A</v>
          </cell>
          <cell r="N1091">
            <v>16.5</v>
          </cell>
          <cell r="O1091" t="e">
            <v>#N/A</v>
          </cell>
          <cell r="P1091" t="str">
            <v/>
          </cell>
          <cell r="Q1091" t="str">
            <v/>
          </cell>
          <cell r="R1091">
            <v>16.5</v>
          </cell>
        </row>
        <row r="1092">
          <cell r="A1092" t="str">
            <v/>
          </cell>
          <cell r="B1092" t="str">
            <v/>
          </cell>
          <cell r="C1092" t="str">
            <v>Future</v>
          </cell>
          <cell r="D1092" t="e">
            <v>#N/A</v>
          </cell>
          <cell r="E1092">
            <v>-15.181081081081178</v>
          </cell>
          <cell r="F1092">
            <v>20.832432432432778</v>
          </cell>
          <cell r="G1092">
            <v>13.629729729729796</v>
          </cell>
          <cell r="H1092">
            <v>13.629729729729796</v>
          </cell>
          <cell r="I1092" t="e">
            <v>#N/A</v>
          </cell>
          <cell r="J1092" t="e">
            <v>#N/A</v>
          </cell>
          <cell r="K1092">
            <v>17.5</v>
          </cell>
          <cell r="L1092">
            <v>14</v>
          </cell>
          <cell r="M1092" t="e">
            <v>#N/A</v>
          </cell>
          <cell r="N1092">
            <v>16.5</v>
          </cell>
          <cell r="O1092" t="e">
            <v>#N/A</v>
          </cell>
          <cell r="P1092" t="str">
            <v/>
          </cell>
          <cell r="Q1092" t="str">
            <v/>
          </cell>
          <cell r="R1092">
            <v>16.5</v>
          </cell>
        </row>
        <row r="1093">
          <cell r="A1093" t="str">
            <v/>
          </cell>
          <cell r="B1093" t="str">
            <v/>
          </cell>
          <cell r="C1093" t="str">
            <v>Future</v>
          </cell>
          <cell r="D1093" t="e">
            <v>#N/A</v>
          </cell>
          <cell r="E1093">
            <v>-15.236486486486584</v>
          </cell>
          <cell r="F1093">
            <v>20.844594594594941</v>
          </cell>
          <cell r="G1093">
            <v>13.628378378378445</v>
          </cell>
          <cell r="H1093">
            <v>13.628378378378445</v>
          </cell>
          <cell r="I1093" t="e">
            <v>#N/A</v>
          </cell>
          <cell r="J1093" t="e">
            <v>#N/A</v>
          </cell>
          <cell r="K1093">
            <v>17.5</v>
          </cell>
          <cell r="L1093">
            <v>14</v>
          </cell>
          <cell r="M1093" t="e">
            <v>#N/A</v>
          </cell>
          <cell r="N1093">
            <v>16.5</v>
          </cell>
          <cell r="O1093" t="e">
            <v>#N/A</v>
          </cell>
          <cell r="P1093" t="str">
            <v/>
          </cell>
          <cell r="Q1093" t="str">
            <v/>
          </cell>
          <cell r="R1093">
            <v>16.5</v>
          </cell>
        </row>
        <row r="1094">
          <cell r="A1094" t="str">
            <v/>
          </cell>
          <cell r="B1094" t="str">
            <v/>
          </cell>
          <cell r="C1094" t="str">
            <v>Future</v>
          </cell>
          <cell r="D1094" t="e">
            <v>#N/A</v>
          </cell>
          <cell r="E1094">
            <v>-15.291891891891989</v>
          </cell>
          <cell r="F1094">
            <v>20.856756756757104</v>
          </cell>
          <cell r="G1094">
            <v>13.627027027027093</v>
          </cell>
          <cell r="H1094">
            <v>13.627027027027093</v>
          </cell>
          <cell r="I1094" t="e">
            <v>#N/A</v>
          </cell>
          <cell r="J1094" t="e">
            <v>#N/A</v>
          </cell>
          <cell r="K1094">
            <v>17.5</v>
          </cell>
          <cell r="L1094">
            <v>14</v>
          </cell>
          <cell r="M1094" t="e">
            <v>#N/A</v>
          </cell>
          <cell r="N1094">
            <v>16.5</v>
          </cell>
          <cell r="O1094" t="e">
            <v>#N/A</v>
          </cell>
          <cell r="P1094" t="str">
            <v/>
          </cell>
          <cell r="Q1094" t="str">
            <v/>
          </cell>
          <cell r="R1094">
            <v>16.5</v>
          </cell>
        </row>
        <row r="1095">
          <cell r="A1095" t="str">
            <v/>
          </cell>
          <cell r="B1095" t="str">
            <v/>
          </cell>
          <cell r="C1095" t="str">
            <v>Future</v>
          </cell>
          <cell r="D1095" t="e">
            <v>#N/A</v>
          </cell>
          <cell r="E1095">
            <v>-15.347297297297395</v>
          </cell>
          <cell r="F1095">
            <v>20.868918918919267</v>
          </cell>
          <cell r="G1095">
            <v>13.625675675675742</v>
          </cell>
          <cell r="H1095">
            <v>13.625675675675742</v>
          </cell>
          <cell r="I1095" t="e">
            <v>#N/A</v>
          </cell>
          <cell r="J1095" t="e">
            <v>#N/A</v>
          </cell>
          <cell r="K1095">
            <v>17.5</v>
          </cell>
          <cell r="L1095">
            <v>14</v>
          </cell>
          <cell r="M1095" t="e">
            <v>#N/A</v>
          </cell>
          <cell r="N1095">
            <v>16.5</v>
          </cell>
          <cell r="O1095" t="e">
            <v>#N/A</v>
          </cell>
          <cell r="P1095" t="str">
            <v/>
          </cell>
          <cell r="Q1095" t="str">
            <v/>
          </cell>
          <cell r="R1095">
            <v>16.5</v>
          </cell>
        </row>
        <row r="1096">
          <cell r="A1096" t="str">
            <v/>
          </cell>
          <cell r="B1096" t="str">
            <v/>
          </cell>
          <cell r="C1096" t="str">
            <v>Future</v>
          </cell>
          <cell r="D1096" t="e">
            <v>#N/A</v>
          </cell>
          <cell r="E1096">
            <v>-15.402702702702801</v>
          </cell>
          <cell r="F1096">
            <v>20.88108108108143</v>
          </cell>
          <cell r="G1096">
            <v>13.624324324324391</v>
          </cell>
          <cell r="H1096">
            <v>13.624324324324391</v>
          </cell>
          <cell r="I1096" t="e">
            <v>#N/A</v>
          </cell>
          <cell r="J1096" t="e">
            <v>#N/A</v>
          </cell>
          <cell r="K1096">
            <v>17.5</v>
          </cell>
          <cell r="L1096">
            <v>14</v>
          </cell>
          <cell r="M1096" t="e">
            <v>#N/A</v>
          </cell>
          <cell r="N1096">
            <v>16.5</v>
          </cell>
          <cell r="O1096" t="e">
            <v>#N/A</v>
          </cell>
          <cell r="P1096" t="str">
            <v/>
          </cell>
          <cell r="Q1096" t="str">
            <v/>
          </cell>
          <cell r="R1096">
            <v>16.5</v>
          </cell>
        </row>
        <row r="1097">
          <cell r="A1097" t="str">
            <v/>
          </cell>
          <cell r="B1097" t="str">
            <v/>
          </cell>
          <cell r="C1097" t="str">
            <v>Future</v>
          </cell>
          <cell r="D1097" t="e">
            <v>#N/A</v>
          </cell>
          <cell r="E1097">
            <v>-15.458108108108206</v>
          </cell>
          <cell r="F1097">
            <v>20.893243243243592</v>
          </cell>
          <cell r="G1097">
            <v>13.62297297297304</v>
          </cell>
          <cell r="H1097">
            <v>13.62297297297304</v>
          </cell>
          <cell r="I1097" t="e">
            <v>#N/A</v>
          </cell>
          <cell r="J1097" t="e">
            <v>#N/A</v>
          </cell>
          <cell r="K1097">
            <v>17.5</v>
          </cell>
          <cell r="L1097">
            <v>14</v>
          </cell>
          <cell r="M1097" t="e">
            <v>#N/A</v>
          </cell>
          <cell r="N1097">
            <v>16.5</v>
          </cell>
          <cell r="O1097" t="e">
            <v>#N/A</v>
          </cell>
          <cell r="P1097" t="str">
            <v/>
          </cell>
          <cell r="Q1097" t="str">
            <v/>
          </cell>
          <cell r="R1097">
            <v>16.5</v>
          </cell>
        </row>
        <row r="1098">
          <cell r="A1098" t="str">
            <v/>
          </cell>
          <cell r="B1098" t="str">
            <v/>
          </cell>
          <cell r="C1098" t="str">
            <v>Future</v>
          </cell>
          <cell r="D1098" t="e">
            <v>#N/A</v>
          </cell>
          <cell r="E1098">
            <v>-15.513513513513612</v>
          </cell>
          <cell r="F1098">
            <v>20.905405405405755</v>
          </cell>
          <cell r="G1098">
            <v>13.621621621621689</v>
          </cell>
          <cell r="H1098">
            <v>13.621621621621689</v>
          </cell>
          <cell r="I1098" t="e">
            <v>#N/A</v>
          </cell>
          <cell r="J1098" t="e">
            <v>#N/A</v>
          </cell>
          <cell r="K1098">
            <v>17.5</v>
          </cell>
          <cell r="L1098">
            <v>14</v>
          </cell>
          <cell r="M1098" t="e">
            <v>#N/A</v>
          </cell>
          <cell r="N1098">
            <v>16.5</v>
          </cell>
          <cell r="O1098" t="e">
            <v>#N/A</v>
          </cell>
          <cell r="P1098" t="str">
            <v/>
          </cell>
          <cell r="Q1098" t="str">
            <v/>
          </cell>
          <cell r="R1098">
            <v>16.5</v>
          </cell>
        </row>
        <row r="1099">
          <cell r="A1099" t="str">
            <v/>
          </cell>
          <cell r="B1099" t="str">
            <v/>
          </cell>
          <cell r="C1099" t="str">
            <v>Future</v>
          </cell>
          <cell r="D1099" t="e">
            <v>#N/A</v>
          </cell>
          <cell r="E1099">
            <v>-15.568918918919017</v>
          </cell>
          <cell r="F1099">
            <v>20.917567567567918</v>
          </cell>
          <cell r="G1099">
            <v>13.620270270270337</v>
          </cell>
          <cell r="H1099">
            <v>13.620270270270337</v>
          </cell>
          <cell r="I1099" t="e">
            <v>#N/A</v>
          </cell>
          <cell r="J1099" t="e">
            <v>#N/A</v>
          </cell>
          <cell r="K1099">
            <v>17.5</v>
          </cell>
          <cell r="L1099">
            <v>14</v>
          </cell>
          <cell r="M1099" t="e">
            <v>#N/A</v>
          </cell>
          <cell r="N1099">
            <v>16.5</v>
          </cell>
          <cell r="O1099" t="e">
            <v>#N/A</v>
          </cell>
          <cell r="P1099" t="str">
            <v/>
          </cell>
          <cell r="Q1099" t="str">
            <v/>
          </cell>
          <cell r="R1099">
            <v>16.5</v>
          </cell>
        </row>
        <row r="1100">
          <cell r="A1100" t="str">
            <v/>
          </cell>
          <cell r="B1100" t="str">
            <v/>
          </cell>
          <cell r="C1100" t="str">
            <v>Future</v>
          </cell>
          <cell r="D1100" t="e">
            <v>#N/A</v>
          </cell>
          <cell r="E1100">
            <v>-15.624324324324423</v>
          </cell>
          <cell r="F1100">
            <v>20.929729729730081</v>
          </cell>
          <cell r="G1100">
            <v>13.618918918918986</v>
          </cell>
          <cell r="H1100">
            <v>13.618918918918986</v>
          </cell>
          <cell r="I1100" t="e">
            <v>#N/A</v>
          </cell>
          <cell r="J1100" t="e">
            <v>#N/A</v>
          </cell>
          <cell r="K1100">
            <v>17.5</v>
          </cell>
          <cell r="L1100">
            <v>14</v>
          </cell>
          <cell r="M1100" t="e">
            <v>#N/A</v>
          </cell>
          <cell r="N1100">
            <v>16.5</v>
          </cell>
          <cell r="O1100" t="e">
            <v>#N/A</v>
          </cell>
          <cell r="P1100" t="str">
            <v/>
          </cell>
          <cell r="Q1100" t="str">
            <v/>
          </cell>
          <cell r="R1100">
            <v>16.5</v>
          </cell>
        </row>
        <row r="1101">
          <cell r="A1101" t="str">
            <v/>
          </cell>
          <cell r="B1101" t="str">
            <v/>
          </cell>
          <cell r="C1101" t="str">
            <v>Future</v>
          </cell>
          <cell r="D1101" t="e">
            <v>#N/A</v>
          </cell>
          <cell r="E1101">
            <v>-15.679729729729829</v>
          </cell>
          <cell r="F1101">
            <v>20.941891891892244</v>
          </cell>
          <cell r="G1101">
            <v>13.617567567567635</v>
          </cell>
          <cell r="H1101">
            <v>13.617567567567635</v>
          </cell>
          <cell r="I1101" t="e">
            <v>#N/A</v>
          </cell>
          <cell r="J1101" t="e">
            <v>#N/A</v>
          </cell>
          <cell r="K1101">
            <v>17.5</v>
          </cell>
          <cell r="L1101">
            <v>14</v>
          </cell>
          <cell r="M1101" t="e">
            <v>#N/A</v>
          </cell>
          <cell r="N1101">
            <v>16.5</v>
          </cell>
          <cell r="O1101" t="e">
            <v>#N/A</v>
          </cell>
          <cell r="P1101" t="str">
            <v/>
          </cell>
          <cell r="Q1101" t="str">
            <v/>
          </cell>
          <cell r="R1101">
            <v>16.5</v>
          </cell>
        </row>
        <row r="1102">
          <cell r="A1102" t="str">
            <v/>
          </cell>
          <cell r="B1102" t="str">
            <v/>
          </cell>
          <cell r="C1102" t="str">
            <v>Future</v>
          </cell>
          <cell r="D1102" t="e">
            <v>#N/A</v>
          </cell>
          <cell r="E1102">
            <v>-15.735135135135234</v>
          </cell>
          <cell r="F1102">
            <v>20.954054054054406</v>
          </cell>
          <cell r="G1102">
            <v>13.616216216216284</v>
          </cell>
          <cell r="H1102">
            <v>13.616216216216284</v>
          </cell>
          <cell r="I1102" t="e">
            <v>#N/A</v>
          </cell>
          <cell r="J1102" t="e">
            <v>#N/A</v>
          </cell>
          <cell r="K1102">
            <v>17.5</v>
          </cell>
          <cell r="L1102">
            <v>14</v>
          </cell>
          <cell r="M1102" t="e">
            <v>#N/A</v>
          </cell>
          <cell r="N1102">
            <v>16.5</v>
          </cell>
          <cell r="O1102" t="e">
            <v>#N/A</v>
          </cell>
          <cell r="P1102" t="str">
            <v/>
          </cell>
          <cell r="Q1102" t="str">
            <v/>
          </cell>
          <cell r="R1102">
            <v>16.5</v>
          </cell>
        </row>
        <row r="1103">
          <cell r="A1103" t="str">
            <v/>
          </cell>
          <cell r="B1103" t="str">
            <v/>
          </cell>
          <cell r="C1103" t="str">
            <v>Future</v>
          </cell>
          <cell r="D1103" t="e">
            <v>#N/A</v>
          </cell>
          <cell r="E1103">
            <v>-15.79054054054064</v>
          </cell>
          <cell r="F1103">
            <v>20.966216216216569</v>
          </cell>
          <cell r="G1103">
            <v>13.614864864864932</v>
          </cell>
          <cell r="H1103">
            <v>13.614864864864932</v>
          </cell>
          <cell r="I1103" t="e">
            <v>#N/A</v>
          </cell>
          <cell r="J1103" t="e">
            <v>#N/A</v>
          </cell>
          <cell r="K1103">
            <v>17.5</v>
          </cell>
          <cell r="L1103">
            <v>14</v>
          </cell>
          <cell r="M1103" t="e">
            <v>#N/A</v>
          </cell>
          <cell r="N1103">
            <v>16.5</v>
          </cell>
          <cell r="O1103" t="e">
            <v>#N/A</v>
          </cell>
          <cell r="P1103" t="str">
            <v/>
          </cell>
          <cell r="Q1103" t="str">
            <v/>
          </cell>
          <cell r="R1103">
            <v>16.5</v>
          </cell>
        </row>
        <row r="1104">
          <cell r="A1104" t="str">
            <v/>
          </cell>
          <cell r="B1104" t="str">
            <v/>
          </cell>
          <cell r="C1104" t="str">
            <v>Future</v>
          </cell>
          <cell r="D1104" t="e">
            <v>#N/A</v>
          </cell>
          <cell r="E1104">
            <v>-15.845945945946045</v>
          </cell>
          <cell r="F1104">
            <v>20.978378378378732</v>
          </cell>
          <cell r="G1104">
            <v>13.613513513513581</v>
          </cell>
          <cell r="H1104">
            <v>13.613513513513581</v>
          </cell>
          <cell r="I1104" t="e">
            <v>#N/A</v>
          </cell>
          <cell r="J1104" t="e">
            <v>#N/A</v>
          </cell>
          <cell r="K1104">
            <v>17.5</v>
          </cell>
          <cell r="L1104">
            <v>14</v>
          </cell>
          <cell r="M1104" t="e">
            <v>#N/A</v>
          </cell>
          <cell r="N1104">
            <v>16.5</v>
          </cell>
          <cell r="O1104" t="e">
            <v>#N/A</v>
          </cell>
          <cell r="P1104" t="str">
            <v/>
          </cell>
          <cell r="Q1104" t="str">
            <v/>
          </cell>
          <cell r="R1104">
            <v>16.5</v>
          </cell>
        </row>
        <row r="1105">
          <cell r="A1105" t="str">
            <v/>
          </cell>
          <cell r="B1105" t="str">
            <v/>
          </cell>
          <cell r="C1105" t="str">
            <v>Future</v>
          </cell>
          <cell r="D1105" t="e">
            <v>#N/A</v>
          </cell>
          <cell r="E1105">
            <v>-15.901351351351451</v>
          </cell>
          <cell r="F1105">
            <v>20.990540540540895</v>
          </cell>
          <cell r="G1105">
            <v>13.61216216216223</v>
          </cell>
          <cell r="H1105">
            <v>13.61216216216223</v>
          </cell>
          <cell r="I1105" t="e">
            <v>#N/A</v>
          </cell>
          <cell r="J1105" t="e">
            <v>#N/A</v>
          </cell>
          <cell r="K1105">
            <v>17.5</v>
          </cell>
          <cell r="L1105">
            <v>14</v>
          </cell>
          <cell r="M1105" t="e">
            <v>#N/A</v>
          </cell>
          <cell r="N1105">
            <v>16.5</v>
          </cell>
          <cell r="O1105" t="e">
            <v>#N/A</v>
          </cell>
          <cell r="P1105" t="str">
            <v/>
          </cell>
          <cell r="Q1105" t="str">
            <v/>
          </cell>
          <cell r="R1105">
            <v>16.5</v>
          </cell>
        </row>
        <row r="1106">
          <cell r="A1106" t="str">
            <v/>
          </cell>
          <cell r="B1106" t="str">
            <v/>
          </cell>
          <cell r="C1106" t="str">
            <v>Future</v>
          </cell>
          <cell r="D1106" t="e">
            <v>#N/A</v>
          </cell>
          <cell r="E1106">
            <v>-15.956756756756857</v>
          </cell>
          <cell r="F1106">
            <v>21.002702702703058</v>
          </cell>
          <cell r="G1106">
            <v>13.610810810810879</v>
          </cell>
          <cell r="H1106">
            <v>13.610810810810879</v>
          </cell>
          <cell r="I1106" t="e">
            <v>#N/A</v>
          </cell>
          <cell r="J1106" t="e">
            <v>#N/A</v>
          </cell>
          <cell r="K1106">
            <v>17.5</v>
          </cell>
          <cell r="L1106">
            <v>14</v>
          </cell>
          <cell r="M1106" t="e">
            <v>#N/A</v>
          </cell>
          <cell r="N1106">
            <v>16.5</v>
          </cell>
          <cell r="O1106" t="e">
            <v>#N/A</v>
          </cell>
          <cell r="P1106" t="str">
            <v/>
          </cell>
          <cell r="Q1106" t="str">
            <v/>
          </cell>
          <cell r="R1106">
            <v>16.5</v>
          </cell>
        </row>
        <row r="1107">
          <cell r="A1107" t="str">
            <v/>
          </cell>
          <cell r="B1107" t="str">
            <v/>
          </cell>
          <cell r="C1107" t="str">
            <v>Future</v>
          </cell>
          <cell r="D1107" t="e">
            <v>#N/A</v>
          </cell>
          <cell r="E1107">
            <v>-16.012162162162262</v>
          </cell>
          <cell r="F1107">
            <v>21.014864864865221</v>
          </cell>
          <cell r="G1107">
            <v>13.609459459459528</v>
          </cell>
          <cell r="H1107">
            <v>13.609459459459528</v>
          </cell>
          <cell r="I1107" t="e">
            <v>#N/A</v>
          </cell>
          <cell r="J1107" t="e">
            <v>#N/A</v>
          </cell>
          <cell r="K1107">
            <v>17.5</v>
          </cell>
          <cell r="L1107">
            <v>14</v>
          </cell>
          <cell r="M1107" t="e">
            <v>#N/A</v>
          </cell>
          <cell r="N1107">
            <v>16.5</v>
          </cell>
          <cell r="O1107" t="e">
            <v>#N/A</v>
          </cell>
          <cell r="P1107" t="str">
            <v/>
          </cell>
          <cell r="Q1107" t="str">
            <v/>
          </cell>
          <cell r="R1107">
            <v>16.5</v>
          </cell>
        </row>
        <row r="1108">
          <cell r="A1108" t="str">
            <v/>
          </cell>
          <cell r="B1108" t="str">
            <v/>
          </cell>
          <cell r="C1108" t="str">
            <v>Future</v>
          </cell>
          <cell r="D1108" t="e">
            <v>#N/A</v>
          </cell>
          <cell r="E1108">
            <v>-16.067567567567668</v>
          </cell>
          <cell r="F1108">
            <v>21.027027027027383</v>
          </cell>
          <cell r="G1108">
            <v>13.608108108108176</v>
          </cell>
          <cell r="H1108">
            <v>13.608108108108176</v>
          </cell>
          <cell r="I1108" t="e">
            <v>#N/A</v>
          </cell>
          <cell r="J1108" t="e">
            <v>#N/A</v>
          </cell>
          <cell r="K1108">
            <v>17.5</v>
          </cell>
          <cell r="L1108">
            <v>14</v>
          </cell>
          <cell r="M1108" t="e">
            <v>#N/A</v>
          </cell>
          <cell r="N1108">
            <v>16.5</v>
          </cell>
          <cell r="O1108" t="e">
            <v>#N/A</v>
          </cell>
          <cell r="P1108" t="str">
            <v/>
          </cell>
          <cell r="Q1108" t="str">
            <v/>
          </cell>
          <cell r="R1108">
            <v>16.5</v>
          </cell>
        </row>
        <row r="1109">
          <cell r="A1109" t="str">
            <v/>
          </cell>
          <cell r="B1109" t="str">
            <v/>
          </cell>
          <cell r="C1109" t="str">
            <v>Future</v>
          </cell>
          <cell r="D1109" t="e">
            <v>#N/A</v>
          </cell>
          <cell r="E1109">
            <v>-16.122972972973074</v>
          </cell>
          <cell r="F1109">
            <v>21.039189189189546</v>
          </cell>
          <cell r="G1109">
            <v>13.606756756756825</v>
          </cell>
          <cell r="H1109">
            <v>13.606756756756825</v>
          </cell>
          <cell r="I1109" t="e">
            <v>#N/A</v>
          </cell>
          <cell r="J1109" t="e">
            <v>#N/A</v>
          </cell>
          <cell r="K1109">
            <v>17.5</v>
          </cell>
          <cell r="L1109">
            <v>14</v>
          </cell>
          <cell r="M1109" t="e">
            <v>#N/A</v>
          </cell>
          <cell r="N1109">
            <v>16.5</v>
          </cell>
          <cell r="O1109" t="e">
            <v>#N/A</v>
          </cell>
          <cell r="P1109" t="str">
            <v/>
          </cell>
          <cell r="Q1109" t="str">
            <v/>
          </cell>
          <cell r="R1109">
            <v>16.5</v>
          </cell>
        </row>
        <row r="1110">
          <cell r="A1110" t="str">
            <v/>
          </cell>
          <cell r="B1110" t="str">
            <v/>
          </cell>
          <cell r="C1110" t="str">
            <v>Future</v>
          </cell>
          <cell r="D1110" t="e">
            <v>#N/A</v>
          </cell>
          <cell r="E1110">
            <v>-16.178378378378479</v>
          </cell>
          <cell r="F1110">
            <v>21.051351351351709</v>
          </cell>
          <cell r="G1110">
            <v>13.605405405405474</v>
          </cell>
          <cell r="H1110">
            <v>13.605405405405474</v>
          </cell>
          <cell r="I1110" t="e">
            <v>#N/A</v>
          </cell>
          <cell r="J1110" t="e">
            <v>#N/A</v>
          </cell>
          <cell r="K1110">
            <v>17.5</v>
          </cell>
          <cell r="L1110">
            <v>14</v>
          </cell>
          <cell r="M1110" t="e">
            <v>#N/A</v>
          </cell>
          <cell r="N1110">
            <v>16.5</v>
          </cell>
          <cell r="O1110" t="e">
            <v>#N/A</v>
          </cell>
          <cell r="P1110" t="str">
            <v/>
          </cell>
          <cell r="Q1110" t="str">
            <v/>
          </cell>
          <cell r="R1110">
            <v>16.5</v>
          </cell>
        </row>
        <row r="1111">
          <cell r="A1111" t="str">
            <v/>
          </cell>
          <cell r="B1111" t="str">
            <v/>
          </cell>
          <cell r="C1111" t="str">
            <v>Future</v>
          </cell>
          <cell r="D1111" t="e">
            <v>#N/A</v>
          </cell>
          <cell r="E1111">
            <v>-16.233783783783885</v>
          </cell>
          <cell r="F1111">
            <v>21.063513513513872</v>
          </cell>
          <cell r="G1111">
            <v>13.604054054054123</v>
          </cell>
          <cell r="H1111">
            <v>13.604054054054123</v>
          </cell>
          <cell r="I1111" t="e">
            <v>#N/A</v>
          </cell>
          <cell r="J1111" t="e">
            <v>#N/A</v>
          </cell>
          <cell r="K1111">
            <v>17.5</v>
          </cell>
          <cell r="L1111">
            <v>14</v>
          </cell>
          <cell r="M1111" t="e">
            <v>#N/A</v>
          </cell>
          <cell r="N1111">
            <v>16.5</v>
          </cell>
          <cell r="O1111" t="e">
            <v>#N/A</v>
          </cell>
          <cell r="P1111" t="str">
            <v/>
          </cell>
          <cell r="Q1111" t="str">
            <v/>
          </cell>
          <cell r="R1111">
            <v>16.5</v>
          </cell>
        </row>
        <row r="1112">
          <cell r="A1112" t="str">
            <v/>
          </cell>
          <cell r="B1112" t="str">
            <v/>
          </cell>
          <cell r="C1112" t="str">
            <v>Future</v>
          </cell>
          <cell r="D1112" t="e">
            <v>#N/A</v>
          </cell>
          <cell r="E1112">
            <v>-16.28918918918929</v>
          </cell>
          <cell r="F1112">
            <v>21.075675675676035</v>
          </cell>
          <cell r="G1112">
            <v>13.602702702702771</v>
          </cell>
          <cell r="H1112">
            <v>13.602702702702771</v>
          </cell>
          <cell r="I1112" t="e">
            <v>#N/A</v>
          </cell>
          <cell r="J1112" t="e">
            <v>#N/A</v>
          </cell>
          <cell r="K1112">
            <v>17.5</v>
          </cell>
          <cell r="L1112">
            <v>14</v>
          </cell>
          <cell r="M1112" t="e">
            <v>#N/A</v>
          </cell>
          <cell r="N1112">
            <v>16.5</v>
          </cell>
          <cell r="O1112" t="e">
            <v>#N/A</v>
          </cell>
          <cell r="P1112" t="str">
            <v/>
          </cell>
          <cell r="Q1112" t="str">
            <v/>
          </cell>
          <cell r="R1112">
            <v>16.5</v>
          </cell>
        </row>
        <row r="1113">
          <cell r="A1113" t="str">
            <v/>
          </cell>
          <cell r="B1113" t="str">
            <v/>
          </cell>
          <cell r="C1113" t="str">
            <v>Future</v>
          </cell>
          <cell r="D1113" t="e">
            <v>#N/A</v>
          </cell>
          <cell r="E1113">
            <v>-16.344594594594696</v>
          </cell>
          <cell r="F1113">
            <v>21.087837837838197</v>
          </cell>
          <cell r="G1113">
            <v>13.60135135135142</v>
          </cell>
          <cell r="H1113">
            <v>13.60135135135142</v>
          </cell>
          <cell r="I1113" t="e">
            <v>#N/A</v>
          </cell>
          <cell r="J1113" t="e">
            <v>#N/A</v>
          </cell>
          <cell r="K1113">
            <v>17.5</v>
          </cell>
          <cell r="L1113">
            <v>14</v>
          </cell>
          <cell r="M1113" t="e">
            <v>#N/A</v>
          </cell>
          <cell r="N1113">
            <v>16.5</v>
          </cell>
          <cell r="O1113" t="e">
            <v>#N/A</v>
          </cell>
          <cell r="P1113" t="str">
            <v/>
          </cell>
          <cell r="Q1113" t="str">
            <v/>
          </cell>
          <cell r="R1113">
            <v>16.5</v>
          </cell>
        </row>
        <row r="1114">
          <cell r="A1114" t="str">
            <v/>
          </cell>
          <cell r="B1114" t="str">
            <v/>
          </cell>
          <cell r="C1114" t="str">
            <v>Future</v>
          </cell>
          <cell r="D1114" t="e">
            <v>#N/A</v>
          </cell>
          <cell r="E1114">
            <v>-16.400000000000102</v>
          </cell>
          <cell r="F1114">
            <v>21.10000000000036</v>
          </cell>
          <cell r="G1114">
            <v>13.600000000000069</v>
          </cell>
          <cell r="H1114">
            <v>13.600000000000069</v>
          </cell>
          <cell r="I1114" t="e">
            <v>#N/A</v>
          </cell>
          <cell r="J1114" t="e">
            <v>#N/A</v>
          </cell>
          <cell r="K1114">
            <v>17.5</v>
          </cell>
          <cell r="L1114">
            <v>14</v>
          </cell>
          <cell r="M1114" t="e">
            <v>#N/A</v>
          </cell>
          <cell r="N1114">
            <v>16.5</v>
          </cell>
          <cell r="O1114" t="e">
            <v>#N/A</v>
          </cell>
          <cell r="P1114" t="str">
            <v/>
          </cell>
          <cell r="Q1114" t="str">
            <v/>
          </cell>
          <cell r="R1114">
            <v>16.5</v>
          </cell>
        </row>
        <row r="1115">
          <cell r="A1115" t="str">
            <v/>
          </cell>
          <cell r="B1115" t="str">
            <v/>
          </cell>
          <cell r="C1115" t="str">
            <v>Future</v>
          </cell>
          <cell r="D1115" t="e">
            <v>#N/A</v>
          </cell>
          <cell r="E1115">
            <v>-16.455405405405507</v>
          </cell>
          <cell r="F1115">
            <v>21.112162162162523</v>
          </cell>
          <cell r="G1115">
            <v>13.598648648648718</v>
          </cell>
          <cell r="H1115">
            <v>13.598648648648718</v>
          </cell>
          <cell r="I1115" t="e">
            <v>#N/A</v>
          </cell>
          <cell r="J1115" t="e">
            <v>#N/A</v>
          </cell>
          <cell r="K1115">
            <v>17.5</v>
          </cell>
          <cell r="L1115">
            <v>14</v>
          </cell>
          <cell r="M1115" t="e">
            <v>#N/A</v>
          </cell>
          <cell r="N1115">
            <v>16.5</v>
          </cell>
          <cell r="O1115" t="e">
            <v>#N/A</v>
          </cell>
          <cell r="P1115" t="str">
            <v/>
          </cell>
          <cell r="Q1115" t="str">
            <v/>
          </cell>
          <cell r="R1115">
            <v>16.5</v>
          </cell>
        </row>
        <row r="1116">
          <cell r="A1116" t="str">
            <v/>
          </cell>
          <cell r="B1116" t="str">
            <v/>
          </cell>
          <cell r="C1116" t="str">
            <v>Future</v>
          </cell>
          <cell r="D1116" t="e">
            <v>#N/A</v>
          </cell>
          <cell r="E1116">
            <v>-16.510810810810913</v>
          </cell>
          <cell r="F1116">
            <v>21.124324324324686</v>
          </cell>
          <cell r="G1116">
            <v>13.597297297297366</v>
          </cell>
          <cell r="H1116">
            <v>13.597297297297366</v>
          </cell>
          <cell r="I1116" t="e">
            <v>#N/A</v>
          </cell>
          <cell r="J1116" t="e">
            <v>#N/A</v>
          </cell>
          <cell r="K1116">
            <v>17.5</v>
          </cell>
          <cell r="L1116">
            <v>14</v>
          </cell>
          <cell r="M1116" t="e">
            <v>#N/A</v>
          </cell>
          <cell r="N1116">
            <v>16.5</v>
          </cell>
          <cell r="O1116" t="e">
            <v>#N/A</v>
          </cell>
          <cell r="P1116" t="str">
            <v/>
          </cell>
          <cell r="Q1116" t="str">
            <v/>
          </cell>
          <cell r="R1116">
            <v>16.5</v>
          </cell>
        </row>
        <row r="1117">
          <cell r="A1117" t="str">
            <v/>
          </cell>
          <cell r="B1117" t="str">
            <v/>
          </cell>
          <cell r="C1117" t="str">
            <v>Future</v>
          </cell>
          <cell r="D1117" t="e">
            <v>#N/A</v>
          </cell>
          <cell r="E1117">
            <v>-16.566216216216318</v>
          </cell>
          <cell r="F1117">
            <v>21.136486486486849</v>
          </cell>
          <cell r="G1117">
            <v>13.595945945946015</v>
          </cell>
          <cell r="H1117">
            <v>13.595945945946015</v>
          </cell>
          <cell r="I1117" t="e">
            <v>#N/A</v>
          </cell>
          <cell r="J1117" t="e">
            <v>#N/A</v>
          </cell>
          <cell r="K1117">
            <v>17.5</v>
          </cell>
          <cell r="L1117">
            <v>14</v>
          </cell>
          <cell r="M1117" t="e">
            <v>#N/A</v>
          </cell>
          <cell r="N1117">
            <v>16.5</v>
          </cell>
          <cell r="O1117" t="e">
            <v>#N/A</v>
          </cell>
          <cell r="P1117" t="str">
            <v/>
          </cell>
          <cell r="Q1117" t="str">
            <v/>
          </cell>
          <cell r="R1117">
            <v>16.5</v>
          </cell>
        </row>
        <row r="1118">
          <cell r="A1118" t="str">
            <v/>
          </cell>
          <cell r="B1118" t="str">
            <v/>
          </cell>
          <cell r="C1118" t="str">
            <v>Future</v>
          </cell>
          <cell r="D1118" t="e">
            <v>#N/A</v>
          </cell>
          <cell r="E1118">
            <v>-16.621621621621724</v>
          </cell>
          <cell r="F1118">
            <v>21.148648648649012</v>
          </cell>
          <cell r="G1118">
            <v>13.594594594594664</v>
          </cell>
          <cell r="H1118">
            <v>13.594594594594664</v>
          </cell>
          <cell r="I1118" t="e">
            <v>#N/A</v>
          </cell>
          <cell r="J1118" t="e">
            <v>#N/A</v>
          </cell>
          <cell r="K1118">
            <v>17.5</v>
          </cell>
          <cell r="L1118">
            <v>14</v>
          </cell>
          <cell r="M1118" t="e">
            <v>#N/A</v>
          </cell>
          <cell r="N1118">
            <v>16.5</v>
          </cell>
          <cell r="O1118" t="e">
            <v>#N/A</v>
          </cell>
          <cell r="P1118" t="str">
            <v/>
          </cell>
          <cell r="Q1118" t="str">
            <v/>
          </cell>
          <cell r="R1118">
            <v>16.5</v>
          </cell>
        </row>
        <row r="1119">
          <cell r="A1119" t="str">
            <v/>
          </cell>
          <cell r="B1119" t="str">
            <v/>
          </cell>
          <cell r="C1119" t="str">
            <v>Future</v>
          </cell>
          <cell r="D1119" t="e">
            <v>#N/A</v>
          </cell>
          <cell r="E1119">
            <v>-16.67702702702713</v>
          </cell>
          <cell r="F1119">
            <v>21.160810810811174</v>
          </cell>
          <cell r="G1119">
            <v>13.593243243243313</v>
          </cell>
          <cell r="H1119">
            <v>13.593243243243313</v>
          </cell>
          <cell r="I1119" t="e">
            <v>#N/A</v>
          </cell>
          <cell r="J1119" t="e">
            <v>#N/A</v>
          </cell>
          <cell r="K1119">
            <v>17.5</v>
          </cell>
          <cell r="L1119">
            <v>14</v>
          </cell>
          <cell r="M1119" t="e">
            <v>#N/A</v>
          </cell>
          <cell r="N1119">
            <v>16.5</v>
          </cell>
          <cell r="O1119" t="e">
            <v>#N/A</v>
          </cell>
          <cell r="P1119" t="str">
            <v/>
          </cell>
          <cell r="Q1119" t="str">
            <v/>
          </cell>
          <cell r="R1119">
            <v>16.5</v>
          </cell>
        </row>
        <row r="1120">
          <cell r="A1120" t="str">
            <v/>
          </cell>
          <cell r="B1120" t="str">
            <v/>
          </cell>
          <cell r="C1120" t="str">
            <v>Future</v>
          </cell>
          <cell r="D1120" t="e">
            <v>#N/A</v>
          </cell>
          <cell r="E1120">
            <v>-16.732432432432535</v>
          </cell>
          <cell r="F1120">
            <v>21.172972972973337</v>
          </cell>
          <cell r="G1120">
            <v>13.591891891891962</v>
          </cell>
          <cell r="H1120">
            <v>13.591891891891962</v>
          </cell>
          <cell r="I1120" t="e">
            <v>#N/A</v>
          </cell>
          <cell r="J1120" t="e">
            <v>#N/A</v>
          </cell>
          <cell r="K1120">
            <v>17.5</v>
          </cell>
          <cell r="L1120">
            <v>14</v>
          </cell>
          <cell r="M1120" t="e">
            <v>#N/A</v>
          </cell>
          <cell r="N1120">
            <v>16.5</v>
          </cell>
          <cell r="O1120" t="e">
            <v>#N/A</v>
          </cell>
          <cell r="P1120" t="str">
            <v/>
          </cell>
          <cell r="Q1120" t="str">
            <v/>
          </cell>
          <cell r="R1120">
            <v>16.5</v>
          </cell>
        </row>
        <row r="1121">
          <cell r="A1121" t="str">
            <v/>
          </cell>
          <cell r="B1121" t="str">
            <v/>
          </cell>
          <cell r="C1121" t="str">
            <v>Future</v>
          </cell>
          <cell r="D1121" t="e">
            <v>#N/A</v>
          </cell>
          <cell r="E1121">
            <v>-16.787837837837941</v>
          </cell>
          <cell r="F1121">
            <v>21.1851351351355</v>
          </cell>
          <cell r="G1121">
            <v>13.59054054054061</v>
          </cell>
          <cell r="H1121">
            <v>13.59054054054061</v>
          </cell>
          <cell r="I1121" t="e">
            <v>#N/A</v>
          </cell>
          <cell r="J1121" t="e">
            <v>#N/A</v>
          </cell>
          <cell r="K1121">
            <v>17.5</v>
          </cell>
          <cell r="L1121">
            <v>14</v>
          </cell>
          <cell r="M1121" t="e">
            <v>#N/A</v>
          </cell>
          <cell r="N1121">
            <v>16.5</v>
          </cell>
          <cell r="O1121" t="e">
            <v>#N/A</v>
          </cell>
          <cell r="P1121" t="str">
            <v/>
          </cell>
          <cell r="Q1121" t="str">
            <v/>
          </cell>
          <cell r="R1121">
            <v>16.5</v>
          </cell>
        </row>
        <row r="1122">
          <cell r="A1122" t="str">
            <v/>
          </cell>
          <cell r="B1122" t="str">
            <v/>
          </cell>
          <cell r="C1122" t="str">
            <v>Future</v>
          </cell>
          <cell r="D1122" t="e">
            <v>#N/A</v>
          </cell>
          <cell r="E1122">
            <v>-16.843243243243347</v>
          </cell>
          <cell r="F1122">
            <v>21.197297297297663</v>
          </cell>
          <cell r="G1122">
            <v>13.589189189189259</v>
          </cell>
          <cell r="H1122">
            <v>13.589189189189259</v>
          </cell>
          <cell r="I1122" t="e">
            <v>#N/A</v>
          </cell>
          <cell r="J1122" t="e">
            <v>#N/A</v>
          </cell>
          <cell r="K1122">
            <v>17.5</v>
          </cell>
          <cell r="L1122">
            <v>14</v>
          </cell>
          <cell r="M1122" t="e">
            <v>#N/A</v>
          </cell>
          <cell r="N1122">
            <v>16.5</v>
          </cell>
          <cell r="O1122" t="e">
            <v>#N/A</v>
          </cell>
          <cell r="P1122" t="str">
            <v/>
          </cell>
          <cell r="Q1122" t="str">
            <v/>
          </cell>
          <cell r="R1122">
            <v>16.5</v>
          </cell>
        </row>
        <row r="1123">
          <cell r="A1123" t="str">
            <v/>
          </cell>
          <cell r="B1123" t="str">
            <v/>
          </cell>
          <cell r="C1123" t="str">
            <v>Future</v>
          </cell>
          <cell r="D1123" t="e">
            <v>#N/A</v>
          </cell>
          <cell r="E1123">
            <v>-16.898648648648752</v>
          </cell>
          <cell r="F1123">
            <v>21.209459459459826</v>
          </cell>
          <cell r="G1123">
            <v>13.587837837837908</v>
          </cell>
          <cell r="H1123">
            <v>13.587837837837908</v>
          </cell>
          <cell r="I1123" t="e">
            <v>#N/A</v>
          </cell>
          <cell r="J1123" t="e">
            <v>#N/A</v>
          </cell>
          <cell r="K1123">
            <v>17.5</v>
          </cell>
          <cell r="L1123">
            <v>14</v>
          </cell>
          <cell r="M1123" t="e">
            <v>#N/A</v>
          </cell>
          <cell r="N1123">
            <v>16.5</v>
          </cell>
          <cell r="O1123" t="e">
            <v>#N/A</v>
          </cell>
          <cell r="P1123" t="str">
            <v/>
          </cell>
          <cell r="Q1123" t="str">
            <v/>
          </cell>
          <cell r="R1123">
            <v>16.5</v>
          </cell>
        </row>
        <row r="1124">
          <cell r="A1124" t="str">
            <v/>
          </cell>
          <cell r="B1124" t="str">
            <v/>
          </cell>
          <cell r="C1124" t="str">
            <v>Future</v>
          </cell>
          <cell r="D1124" t="e">
            <v>#N/A</v>
          </cell>
          <cell r="E1124">
            <v>-16.954054054054158</v>
          </cell>
          <cell r="F1124">
            <v>21.221621621621988</v>
          </cell>
          <cell r="G1124">
            <v>13.586486486486557</v>
          </cell>
          <cell r="H1124">
            <v>13.586486486486557</v>
          </cell>
          <cell r="I1124" t="e">
            <v>#N/A</v>
          </cell>
          <cell r="J1124" t="e">
            <v>#N/A</v>
          </cell>
          <cell r="K1124">
            <v>17.5</v>
          </cell>
          <cell r="L1124">
            <v>14</v>
          </cell>
          <cell r="M1124" t="e">
            <v>#N/A</v>
          </cell>
          <cell r="N1124">
            <v>16.5</v>
          </cell>
          <cell r="O1124" t="e">
            <v>#N/A</v>
          </cell>
          <cell r="P1124" t="str">
            <v/>
          </cell>
          <cell r="Q1124" t="str">
            <v/>
          </cell>
          <cell r="R1124">
            <v>16.5</v>
          </cell>
        </row>
        <row r="1125">
          <cell r="A1125" t="str">
            <v/>
          </cell>
          <cell r="B1125" t="str">
            <v/>
          </cell>
          <cell r="C1125" t="str">
            <v>Future</v>
          </cell>
          <cell r="D1125" t="e">
            <v>#N/A</v>
          </cell>
          <cell r="E1125">
            <v>-17.009459459459563</v>
          </cell>
          <cell r="F1125">
            <v>21.233783783784151</v>
          </cell>
          <cell r="G1125">
            <v>13.585135135135205</v>
          </cell>
          <cell r="H1125">
            <v>13.585135135135205</v>
          </cell>
          <cell r="I1125" t="e">
            <v>#N/A</v>
          </cell>
          <cell r="J1125" t="e">
            <v>#N/A</v>
          </cell>
          <cell r="K1125">
            <v>17.5</v>
          </cell>
          <cell r="L1125">
            <v>14</v>
          </cell>
          <cell r="M1125" t="e">
            <v>#N/A</v>
          </cell>
          <cell r="N1125">
            <v>16.5</v>
          </cell>
          <cell r="O1125" t="e">
            <v>#N/A</v>
          </cell>
          <cell r="P1125" t="str">
            <v/>
          </cell>
          <cell r="Q1125" t="str">
            <v/>
          </cell>
          <cell r="R1125">
            <v>16.5</v>
          </cell>
        </row>
        <row r="1126">
          <cell r="A1126" t="str">
            <v/>
          </cell>
          <cell r="B1126" t="str">
            <v/>
          </cell>
          <cell r="C1126" t="str">
            <v>Future</v>
          </cell>
          <cell r="D1126" t="e">
            <v>#N/A</v>
          </cell>
          <cell r="E1126">
            <v>-17.064864864864969</v>
          </cell>
          <cell r="F1126">
            <v>21.245945945946314</v>
          </cell>
          <cell r="G1126">
            <v>13.583783783783854</v>
          </cell>
          <cell r="H1126">
            <v>13.583783783783854</v>
          </cell>
          <cell r="I1126" t="e">
            <v>#N/A</v>
          </cell>
          <cell r="J1126" t="e">
            <v>#N/A</v>
          </cell>
          <cell r="K1126">
            <v>17.5</v>
          </cell>
          <cell r="L1126">
            <v>14</v>
          </cell>
          <cell r="M1126" t="e">
            <v>#N/A</v>
          </cell>
          <cell r="N1126">
            <v>16.5</v>
          </cell>
          <cell r="O1126" t="e">
            <v>#N/A</v>
          </cell>
          <cell r="P1126" t="str">
            <v/>
          </cell>
          <cell r="Q1126" t="str">
            <v/>
          </cell>
          <cell r="R1126">
            <v>16.5</v>
          </cell>
        </row>
        <row r="1127">
          <cell r="A1127" t="str">
            <v/>
          </cell>
          <cell r="B1127" t="str">
            <v/>
          </cell>
          <cell r="C1127" t="str">
            <v>Future</v>
          </cell>
          <cell r="D1127" t="e">
            <v>#N/A</v>
          </cell>
          <cell r="E1127">
            <v>-17.120270270270375</v>
          </cell>
          <cell r="F1127">
            <v>21.258108108108477</v>
          </cell>
          <cell r="G1127">
            <v>13.582432432432503</v>
          </cell>
          <cell r="H1127">
            <v>13.582432432432503</v>
          </cell>
          <cell r="I1127" t="e">
            <v>#N/A</v>
          </cell>
          <cell r="J1127" t="e">
            <v>#N/A</v>
          </cell>
          <cell r="K1127">
            <v>17.5</v>
          </cell>
          <cell r="L1127">
            <v>14</v>
          </cell>
          <cell r="M1127" t="e">
            <v>#N/A</v>
          </cell>
          <cell r="N1127">
            <v>16.5</v>
          </cell>
          <cell r="O1127" t="e">
            <v>#N/A</v>
          </cell>
          <cell r="P1127" t="str">
            <v/>
          </cell>
          <cell r="Q1127" t="str">
            <v/>
          </cell>
          <cell r="R1127">
            <v>16.5</v>
          </cell>
        </row>
        <row r="1128">
          <cell r="A1128" t="str">
            <v/>
          </cell>
          <cell r="B1128" t="str">
            <v/>
          </cell>
          <cell r="C1128" t="str">
            <v>Future</v>
          </cell>
          <cell r="D1128" t="e">
            <v>#N/A</v>
          </cell>
          <cell r="E1128">
            <v>-17.17567567567578</v>
          </cell>
          <cell r="F1128">
            <v>21.27027027027064</v>
          </cell>
          <cell r="G1128">
            <v>13.581081081081152</v>
          </cell>
          <cell r="H1128">
            <v>13.581081081081152</v>
          </cell>
          <cell r="I1128" t="e">
            <v>#N/A</v>
          </cell>
          <cell r="J1128" t="e">
            <v>#N/A</v>
          </cell>
          <cell r="K1128">
            <v>17.5</v>
          </cell>
          <cell r="L1128">
            <v>14</v>
          </cell>
          <cell r="M1128" t="e">
            <v>#N/A</v>
          </cell>
          <cell r="N1128">
            <v>16.5</v>
          </cell>
          <cell r="O1128" t="e">
            <v>#N/A</v>
          </cell>
          <cell r="P1128" t="str">
            <v/>
          </cell>
          <cell r="Q1128" t="str">
            <v/>
          </cell>
          <cell r="R1128">
            <v>16.5</v>
          </cell>
        </row>
        <row r="1129">
          <cell r="A1129" t="str">
            <v/>
          </cell>
          <cell r="B1129" t="str">
            <v/>
          </cell>
          <cell r="C1129" t="str">
            <v>Future</v>
          </cell>
          <cell r="D1129" t="e">
            <v>#N/A</v>
          </cell>
          <cell r="E1129">
            <v>-17.231081081081186</v>
          </cell>
          <cell r="F1129">
            <v>21.282432432432802</v>
          </cell>
          <cell r="G1129">
            <v>13.579729729729801</v>
          </cell>
          <cell r="H1129">
            <v>13.579729729729801</v>
          </cell>
          <cell r="I1129" t="e">
            <v>#N/A</v>
          </cell>
          <cell r="J1129" t="e">
            <v>#N/A</v>
          </cell>
          <cell r="K1129">
            <v>17.5</v>
          </cell>
          <cell r="L1129">
            <v>14</v>
          </cell>
          <cell r="M1129" t="e">
            <v>#N/A</v>
          </cell>
          <cell r="N1129">
            <v>16.5</v>
          </cell>
          <cell r="O1129" t="e">
            <v>#N/A</v>
          </cell>
          <cell r="P1129" t="str">
            <v/>
          </cell>
          <cell r="Q1129" t="str">
            <v/>
          </cell>
          <cell r="R1129">
            <v>16.5</v>
          </cell>
        </row>
        <row r="1130">
          <cell r="A1130" t="str">
            <v/>
          </cell>
          <cell r="B1130" t="str">
            <v/>
          </cell>
          <cell r="C1130" t="str">
            <v>Future</v>
          </cell>
          <cell r="D1130" t="e">
            <v>#N/A</v>
          </cell>
          <cell r="E1130">
            <v>-17.286486486486591</v>
          </cell>
          <cell r="F1130">
            <v>21.294594594594965</v>
          </cell>
          <cell r="G1130">
            <v>13.578378378378449</v>
          </cell>
          <cell r="H1130">
            <v>13.578378378378449</v>
          </cell>
          <cell r="I1130" t="e">
            <v>#N/A</v>
          </cell>
          <cell r="J1130" t="e">
            <v>#N/A</v>
          </cell>
          <cell r="K1130">
            <v>17.5</v>
          </cell>
          <cell r="L1130">
            <v>14</v>
          </cell>
          <cell r="M1130" t="e">
            <v>#N/A</v>
          </cell>
          <cell r="N1130">
            <v>16.5</v>
          </cell>
          <cell r="O1130" t="e">
            <v>#N/A</v>
          </cell>
          <cell r="P1130" t="str">
            <v/>
          </cell>
          <cell r="Q1130" t="str">
            <v/>
          </cell>
          <cell r="R1130">
            <v>16.5</v>
          </cell>
        </row>
        <row r="1131">
          <cell r="A1131" t="str">
            <v/>
          </cell>
          <cell r="B1131" t="str">
            <v/>
          </cell>
          <cell r="C1131" t="str">
            <v>Future</v>
          </cell>
          <cell r="D1131" t="e">
            <v>#N/A</v>
          </cell>
          <cell r="E1131">
            <v>-17.341891891891997</v>
          </cell>
          <cell r="F1131">
            <v>21.306756756757128</v>
          </cell>
          <cell r="G1131">
            <v>13.577027027027098</v>
          </cell>
          <cell r="H1131">
            <v>13.577027027027098</v>
          </cell>
          <cell r="I1131" t="e">
            <v>#N/A</v>
          </cell>
          <cell r="J1131" t="e">
            <v>#N/A</v>
          </cell>
          <cell r="K1131">
            <v>17.5</v>
          </cell>
          <cell r="L1131">
            <v>14</v>
          </cell>
          <cell r="M1131" t="e">
            <v>#N/A</v>
          </cell>
          <cell r="N1131">
            <v>16.5</v>
          </cell>
          <cell r="O1131" t="e">
            <v>#N/A</v>
          </cell>
          <cell r="P1131" t="str">
            <v/>
          </cell>
          <cell r="Q1131" t="str">
            <v/>
          </cell>
          <cell r="R1131">
            <v>16.5</v>
          </cell>
        </row>
        <row r="1132">
          <cell r="A1132" t="str">
            <v/>
          </cell>
          <cell r="B1132" t="str">
            <v/>
          </cell>
          <cell r="C1132" t="str">
            <v>Future</v>
          </cell>
          <cell r="D1132" t="e">
            <v>#N/A</v>
          </cell>
          <cell r="E1132">
            <v>-17.397297297297403</v>
          </cell>
          <cell r="F1132">
            <v>21.318918918919291</v>
          </cell>
          <cell r="G1132">
            <v>13.575675675675747</v>
          </cell>
          <cell r="H1132">
            <v>13.575675675675747</v>
          </cell>
          <cell r="I1132" t="e">
            <v>#N/A</v>
          </cell>
          <cell r="J1132" t="e">
            <v>#N/A</v>
          </cell>
          <cell r="K1132">
            <v>17.5</v>
          </cell>
          <cell r="L1132">
            <v>14</v>
          </cell>
          <cell r="M1132" t="e">
            <v>#N/A</v>
          </cell>
          <cell r="N1132">
            <v>16.5</v>
          </cell>
          <cell r="O1132" t="e">
            <v>#N/A</v>
          </cell>
          <cell r="P1132" t="str">
            <v/>
          </cell>
          <cell r="Q1132" t="str">
            <v/>
          </cell>
          <cell r="R1132">
            <v>16.5</v>
          </cell>
        </row>
        <row r="1133">
          <cell r="A1133" t="str">
            <v/>
          </cell>
          <cell r="B1133" t="str">
            <v/>
          </cell>
          <cell r="C1133" t="str">
            <v>Future</v>
          </cell>
          <cell r="D1133" t="e">
            <v>#N/A</v>
          </cell>
          <cell r="E1133">
            <v>-17.452702702702808</v>
          </cell>
          <cell r="F1133">
            <v>21.331081081081454</v>
          </cell>
          <cell r="G1133">
            <v>13.574324324324396</v>
          </cell>
          <cell r="H1133">
            <v>13.574324324324396</v>
          </cell>
          <cell r="I1133" t="e">
            <v>#N/A</v>
          </cell>
          <cell r="J1133" t="e">
            <v>#N/A</v>
          </cell>
          <cell r="K1133">
            <v>17.5</v>
          </cell>
          <cell r="L1133">
            <v>14</v>
          </cell>
          <cell r="M1133" t="e">
            <v>#N/A</v>
          </cell>
          <cell r="N1133">
            <v>16.5</v>
          </cell>
          <cell r="O1133" t="e">
            <v>#N/A</v>
          </cell>
          <cell r="P1133" t="str">
            <v/>
          </cell>
          <cell r="Q1133" t="str">
            <v/>
          </cell>
          <cell r="R1133">
            <v>16.5</v>
          </cell>
        </row>
        <row r="1134">
          <cell r="A1134" t="str">
            <v/>
          </cell>
          <cell r="B1134" t="str">
            <v/>
          </cell>
          <cell r="C1134" t="str">
            <v>Future</v>
          </cell>
          <cell r="D1134" t="e">
            <v>#N/A</v>
          </cell>
          <cell r="E1134">
            <v>-17.508108108108214</v>
          </cell>
          <cell r="F1134">
            <v>21.343243243243617</v>
          </cell>
          <cell r="G1134">
            <v>13.572972972973044</v>
          </cell>
          <cell r="H1134">
            <v>13.572972972973044</v>
          </cell>
          <cell r="I1134" t="e">
            <v>#N/A</v>
          </cell>
          <cell r="J1134" t="e">
            <v>#N/A</v>
          </cell>
          <cell r="K1134">
            <v>17.5</v>
          </cell>
          <cell r="L1134">
            <v>14</v>
          </cell>
          <cell r="M1134" t="e">
            <v>#N/A</v>
          </cell>
          <cell r="N1134">
            <v>16.5</v>
          </cell>
          <cell r="O1134" t="e">
            <v>#N/A</v>
          </cell>
          <cell r="P1134" t="str">
            <v/>
          </cell>
          <cell r="Q1134" t="str">
            <v/>
          </cell>
          <cell r="R1134">
            <v>16.5</v>
          </cell>
        </row>
        <row r="1135">
          <cell r="A1135" t="str">
            <v/>
          </cell>
          <cell r="B1135" t="str">
            <v/>
          </cell>
          <cell r="C1135" t="str">
            <v>Future</v>
          </cell>
          <cell r="D1135" t="e">
            <v>#N/A</v>
          </cell>
          <cell r="E1135">
            <v>-17.56351351351362</v>
          </cell>
          <cell r="F1135">
            <v>21.355405405405779</v>
          </cell>
          <cell r="G1135">
            <v>13.571621621621693</v>
          </cell>
          <cell r="H1135">
            <v>13.571621621621693</v>
          </cell>
          <cell r="I1135" t="e">
            <v>#N/A</v>
          </cell>
          <cell r="J1135" t="e">
            <v>#N/A</v>
          </cell>
          <cell r="K1135">
            <v>17.5</v>
          </cell>
          <cell r="L1135">
            <v>14</v>
          </cell>
          <cell r="M1135" t="e">
            <v>#N/A</v>
          </cell>
          <cell r="N1135">
            <v>16.5</v>
          </cell>
          <cell r="O1135" t="e">
            <v>#N/A</v>
          </cell>
          <cell r="P1135" t="str">
            <v/>
          </cell>
          <cell r="Q1135" t="str">
            <v/>
          </cell>
          <cell r="R1135">
            <v>16.5</v>
          </cell>
        </row>
        <row r="1136">
          <cell r="A1136" t="str">
            <v/>
          </cell>
          <cell r="B1136" t="str">
            <v/>
          </cell>
          <cell r="C1136" t="str">
            <v>Future</v>
          </cell>
          <cell r="D1136" t="e">
            <v>#N/A</v>
          </cell>
          <cell r="E1136">
            <v>-17.618918918919025</v>
          </cell>
          <cell r="F1136">
            <v>21.367567567567942</v>
          </cell>
          <cell r="G1136">
            <v>13.570270270270342</v>
          </cell>
          <cell r="H1136">
            <v>13.570270270270342</v>
          </cell>
          <cell r="I1136" t="e">
            <v>#N/A</v>
          </cell>
          <cell r="J1136" t="e">
            <v>#N/A</v>
          </cell>
          <cell r="K1136">
            <v>17.5</v>
          </cell>
          <cell r="L1136">
            <v>14</v>
          </cell>
          <cell r="M1136" t="e">
            <v>#N/A</v>
          </cell>
          <cell r="N1136">
            <v>16.5</v>
          </cell>
          <cell r="O1136" t="e">
            <v>#N/A</v>
          </cell>
          <cell r="P1136" t="str">
            <v/>
          </cell>
          <cell r="Q1136" t="str">
            <v/>
          </cell>
          <cell r="R1136">
            <v>16.5</v>
          </cell>
        </row>
        <row r="1137">
          <cell r="A1137" t="str">
            <v/>
          </cell>
          <cell r="B1137" t="str">
            <v/>
          </cell>
          <cell r="C1137" t="str">
            <v>Future</v>
          </cell>
          <cell r="D1137" t="e">
            <v>#N/A</v>
          </cell>
          <cell r="E1137">
            <v>-17.674324324324431</v>
          </cell>
          <cell r="F1137">
            <v>21.379729729730105</v>
          </cell>
          <cell r="G1137">
            <v>13.568918918918991</v>
          </cell>
          <cell r="H1137">
            <v>13.568918918918991</v>
          </cell>
          <cell r="I1137" t="e">
            <v>#N/A</v>
          </cell>
          <cell r="J1137" t="e">
            <v>#N/A</v>
          </cell>
          <cell r="K1137">
            <v>17.5</v>
          </cell>
          <cell r="L1137">
            <v>14</v>
          </cell>
          <cell r="M1137" t="e">
            <v>#N/A</v>
          </cell>
          <cell r="N1137">
            <v>16.5</v>
          </cell>
          <cell r="O1137" t="e">
            <v>#N/A</v>
          </cell>
          <cell r="P1137" t="str">
            <v/>
          </cell>
          <cell r="Q1137" t="str">
            <v/>
          </cell>
          <cell r="R1137">
            <v>16.5</v>
          </cell>
        </row>
        <row r="1138">
          <cell r="A1138" t="str">
            <v/>
          </cell>
          <cell r="B1138" t="str">
            <v/>
          </cell>
          <cell r="C1138" t="str">
            <v>Future</v>
          </cell>
          <cell r="D1138" t="e">
            <v>#N/A</v>
          </cell>
          <cell r="E1138">
            <v>-17.729729729729836</v>
          </cell>
          <cell r="F1138">
            <v>21.391891891892268</v>
          </cell>
          <cell r="G1138">
            <v>13.567567567567639</v>
          </cell>
          <cell r="H1138">
            <v>13.567567567567639</v>
          </cell>
          <cell r="I1138" t="e">
            <v>#N/A</v>
          </cell>
          <cell r="J1138" t="e">
            <v>#N/A</v>
          </cell>
          <cell r="K1138">
            <v>17.5</v>
          </cell>
          <cell r="L1138">
            <v>14</v>
          </cell>
          <cell r="M1138" t="e">
            <v>#N/A</v>
          </cell>
          <cell r="N1138">
            <v>16.5</v>
          </cell>
          <cell r="O1138" t="e">
            <v>#N/A</v>
          </cell>
          <cell r="P1138" t="str">
            <v/>
          </cell>
          <cell r="Q1138" t="str">
            <v/>
          </cell>
          <cell r="R1138">
            <v>16.5</v>
          </cell>
        </row>
        <row r="1139">
          <cell r="A1139" t="str">
            <v/>
          </cell>
          <cell r="B1139" t="str">
            <v/>
          </cell>
          <cell r="C1139" t="str">
            <v>Future</v>
          </cell>
          <cell r="D1139" t="e">
            <v>#N/A</v>
          </cell>
          <cell r="E1139">
            <v>-17.785135135135242</v>
          </cell>
          <cell r="F1139">
            <v>21.404054054054431</v>
          </cell>
          <cell r="G1139">
            <v>13.566216216216288</v>
          </cell>
          <cell r="H1139">
            <v>13.566216216216288</v>
          </cell>
          <cell r="I1139" t="e">
            <v>#N/A</v>
          </cell>
          <cell r="J1139" t="e">
            <v>#N/A</v>
          </cell>
          <cell r="K1139">
            <v>17.5</v>
          </cell>
          <cell r="L1139">
            <v>14</v>
          </cell>
          <cell r="M1139" t="e">
            <v>#N/A</v>
          </cell>
          <cell r="N1139">
            <v>16.5</v>
          </cell>
          <cell r="O1139" t="e">
            <v>#N/A</v>
          </cell>
          <cell r="P1139" t="str">
            <v/>
          </cell>
          <cell r="Q1139" t="str">
            <v/>
          </cell>
          <cell r="R1139">
            <v>16.5</v>
          </cell>
        </row>
        <row r="1140">
          <cell r="A1140" t="str">
            <v/>
          </cell>
          <cell r="B1140" t="str">
            <v/>
          </cell>
          <cell r="C1140" t="str">
            <v>Future</v>
          </cell>
          <cell r="D1140" t="e">
            <v>#N/A</v>
          </cell>
          <cell r="E1140">
            <v>-17.840540540540648</v>
          </cell>
          <cell r="F1140">
            <v>21.416216216216593</v>
          </cell>
          <cell r="G1140">
            <v>13.564864864864937</v>
          </cell>
          <cell r="H1140">
            <v>13.564864864864937</v>
          </cell>
          <cell r="I1140" t="e">
            <v>#N/A</v>
          </cell>
          <cell r="J1140" t="e">
            <v>#N/A</v>
          </cell>
          <cell r="K1140">
            <v>17.5</v>
          </cell>
          <cell r="L1140">
            <v>14</v>
          </cell>
          <cell r="M1140" t="e">
            <v>#N/A</v>
          </cell>
          <cell r="N1140">
            <v>16.5</v>
          </cell>
          <cell r="O1140" t="e">
            <v>#N/A</v>
          </cell>
          <cell r="P1140" t="str">
            <v/>
          </cell>
          <cell r="Q1140" t="str">
            <v/>
          </cell>
          <cell r="R1140">
            <v>16.5</v>
          </cell>
        </row>
        <row r="1141">
          <cell r="A1141" t="str">
            <v/>
          </cell>
          <cell r="B1141" t="str">
            <v/>
          </cell>
          <cell r="C1141" t="str">
            <v>Future</v>
          </cell>
          <cell r="D1141" t="e">
            <v>#N/A</v>
          </cell>
          <cell r="E1141">
            <v>-17.895945945946053</v>
          </cell>
          <cell r="F1141">
            <v>21.428378378378756</v>
          </cell>
          <cell r="G1141">
            <v>13.563513513513586</v>
          </cell>
          <cell r="H1141">
            <v>13.563513513513586</v>
          </cell>
          <cell r="I1141" t="e">
            <v>#N/A</v>
          </cell>
          <cell r="J1141" t="e">
            <v>#N/A</v>
          </cell>
          <cell r="K1141">
            <v>17.5</v>
          </cell>
          <cell r="L1141">
            <v>14</v>
          </cell>
          <cell r="M1141" t="e">
            <v>#N/A</v>
          </cell>
          <cell r="N1141">
            <v>16.5</v>
          </cell>
          <cell r="O1141" t="e">
            <v>#N/A</v>
          </cell>
          <cell r="P1141" t="str">
            <v/>
          </cell>
          <cell r="Q1141" t="str">
            <v/>
          </cell>
          <cell r="R1141">
            <v>16.5</v>
          </cell>
        </row>
        <row r="1142">
          <cell r="A1142" t="str">
            <v/>
          </cell>
          <cell r="B1142" t="str">
            <v/>
          </cell>
          <cell r="C1142" t="str">
            <v>Future</v>
          </cell>
          <cell r="D1142" t="e">
            <v>#N/A</v>
          </cell>
          <cell r="E1142">
            <v>-17.951351351351459</v>
          </cell>
          <cell r="F1142">
            <v>21.440540540540919</v>
          </cell>
          <cell r="G1142">
            <v>13.562162162162235</v>
          </cell>
          <cell r="H1142">
            <v>13.562162162162235</v>
          </cell>
          <cell r="I1142" t="e">
            <v>#N/A</v>
          </cell>
          <cell r="J1142" t="e">
            <v>#N/A</v>
          </cell>
          <cell r="K1142">
            <v>17.5</v>
          </cell>
          <cell r="L1142">
            <v>14</v>
          </cell>
          <cell r="M1142" t="e">
            <v>#N/A</v>
          </cell>
          <cell r="N1142">
            <v>16.5</v>
          </cell>
          <cell r="O1142" t="e">
            <v>#N/A</v>
          </cell>
          <cell r="P1142" t="str">
            <v/>
          </cell>
          <cell r="Q1142" t="str">
            <v/>
          </cell>
          <cell r="R1142">
            <v>16.5</v>
          </cell>
        </row>
        <row r="1143">
          <cell r="A1143" t="str">
            <v/>
          </cell>
          <cell r="B1143" t="str">
            <v/>
          </cell>
          <cell r="C1143" t="str">
            <v>Future</v>
          </cell>
          <cell r="D1143" t="e">
            <v>#N/A</v>
          </cell>
          <cell r="E1143">
            <v>-18.006756756756864</v>
          </cell>
          <cell r="F1143">
            <v>21.452702702703082</v>
          </cell>
          <cell r="G1143">
            <v>13.560810810810883</v>
          </cell>
          <cell r="H1143">
            <v>13.560810810810883</v>
          </cell>
          <cell r="I1143" t="e">
            <v>#N/A</v>
          </cell>
          <cell r="J1143" t="e">
            <v>#N/A</v>
          </cell>
          <cell r="K1143">
            <v>17.5</v>
          </cell>
          <cell r="L1143">
            <v>14</v>
          </cell>
          <cell r="M1143" t="e">
            <v>#N/A</v>
          </cell>
          <cell r="N1143">
            <v>16.5</v>
          </cell>
          <cell r="O1143" t="e">
            <v>#N/A</v>
          </cell>
          <cell r="P1143" t="str">
            <v/>
          </cell>
          <cell r="Q1143" t="str">
            <v/>
          </cell>
          <cell r="R1143">
            <v>16.5</v>
          </cell>
        </row>
        <row r="1144">
          <cell r="A1144" t="str">
            <v/>
          </cell>
          <cell r="B1144" t="str">
            <v/>
          </cell>
          <cell r="C1144" t="str">
            <v>Future</v>
          </cell>
          <cell r="D1144" t="e">
            <v>#N/A</v>
          </cell>
          <cell r="E1144">
            <v>-18.06216216216227</v>
          </cell>
          <cell r="F1144">
            <v>21.464864864865245</v>
          </cell>
          <cell r="G1144">
            <v>13.559459459459532</v>
          </cell>
          <cell r="H1144">
            <v>13.559459459459532</v>
          </cell>
          <cell r="I1144" t="e">
            <v>#N/A</v>
          </cell>
          <cell r="J1144" t="e">
            <v>#N/A</v>
          </cell>
          <cell r="K1144">
            <v>17.5</v>
          </cell>
          <cell r="L1144">
            <v>14</v>
          </cell>
          <cell r="M1144" t="e">
            <v>#N/A</v>
          </cell>
          <cell r="N1144">
            <v>16.5</v>
          </cell>
          <cell r="O1144" t="e">
            <v>#N/A</v>
          </cell>
          <cell r="P1144" t="str">
            <v/>
          </cell>
          <cell r="Q1144" t="str">
            <v/>
          </cell>
          <cell r="R1144">
            <v>16.5</v>
          </cell>
        </row>
        <row r="1145">
          <cell r="A1145" t="str">
            <v/>
          </cell>
          <cell r="B1145" t="str">
            <v/>
          </cell>
          <cell r="C1145" t="str">
            <v>Future</v>
          </cell>
          <cell r="D1145" t="e">
            <v>#N/A</v>
          </cell>
          <cell r="E1145">
            <v>-18.117567567567676</v>
          </cell>
          <cell r="F1145">
            <v>21.477027027027408</v>
          </cell>
          <cell r="G1145">
            <v>13.558108108108181</v>
          </cell>
          <cell r="H1145">
            <v>13.558108108108181</v>
          </cell>
          <cell r="I1145" t="e">
            <v>#N/A</v>
          </cell>
          <cell r="J1145" t="e">
            <v>#N/A</v>
          </cell>
          <cell r="K1145">
            <v>17.5</v>
          </cell>
          <cell r="L1145">
            <v>14</v>
          </cell>
          <cell r="M1145" t="e">
            <v>#N/A</v>
          </cell>
          <cell r="N1145">
            <v>16.5</v>
          </cell>
          <cell r="O1145" t="e">
            <v>#N/A</v>
          </cell>
          <cell r="P1145" t="str">
            <v/>
          </cell>
          <cell r="Q1145" t="str">
            <v/>
          </cell>
          <cell r="R1145">
            <v>16.5</v>
          </cell>
        </row>
        <row r="1146">
          <cell r="A1146" t="str">
            <v/>
          </cell>
          <cell r="B1146" t="str">
            <v/>
          </cell>
          <cell r="C1146" t="str">
            <v>Future</v>
          </cell>
          <cell r="D1146" t="e">
            <v>#N/A</v>
          </cell>
          <cell r="E1146">
            <v>-18.172972972973081</v>
          </cell>
          <cell r="F1146">
            <v>21.48918918918957</v>
          </cell>
          <cell r="G1146">
            <v>13.55675675675683</v>
          </cell>
          <cell r="H1146">
            <v>13.55675675675683</v>
          </cell>
          <cell r="I1146" t="e">
            <v>#N/A</v>
          </cell>
          <cell r="J1146" t="e">
            <v>#N/A</v>
          </cell>
          <cell r="K1146">
            <v>17.5</v>
          </cell>
          <cell r="L1146">
            <v>14</v>
          </cell>
          <cell r="M1146" t="e">
            <v>#N/A</v>
          </cell>
          <cell r="N1146">
            <v>16.5</v>
          </cell>
          <cell r="O1146" t="e">
            <v>#N/A</v>
          </cell>
          <cell r="P1146" t="str">
            <v/>
          </cell>
          <cell r="Q1146" t="str">
            <v/>
          </cell>
          <cell r="R1146">
            <v>16.5</v>
          </cell>
        </row>
        <row r="1147">
          <cell r="A1147" t="str">
            <v/>
          </cell>
          <cell r="B1147" t="str">
            <v/>
          </cell>
          <cell r="C1147" t="str">
            <v>Future</v>
          </cell>
          <cell r="D1147" t="e">
            <v>#N/A</v>
          </cell>
          <cell r="E1147">
            <v>-18.228378378378487</v>
          </cell>
          <cell r="F1147">
            <v>21.501351351351733</v>
          </cell>
          <cell r="G1147">
            <v>13.555405405405478</v>
          </cell>
          <cell r="H1147">
            <v>13.555405405405478</v>
          </cell>
          <cell r="I1147" t="e">
            <v>#N/A</v>
          </cell>
          <cell r="J1147" t="e">
            <v>#N/A</v>
          </cell>
          <cell r="K1147">
            <v>17.5</v>
          </cell>
          <cell r="L1147">
            <v>14</v>
          </cell>
          <cell r="M1147" t="e">
            <v>#N/A</v>
          </cell>
          <cell r="N1147">
            <v>16.5</v>
          </cell>
          <cell r="O1147" t="e">
            <v>#N/A</v>
          </cell>
          <cell r="P1147" t="str">
            <v/>
          </cell>
          <cell r="Q1147" t="str">
            <v/>
          </cell>
          <cell r="R1147">
            <v>16.5</v>
          </cell>
        </row>
        <row r="1148">
          <cell r="A1148" t="str">
            <v/>
          </cell>
          <cell r="B1148" t="str">
            <v/>
          </cell>
          <cell r="C1148" t="str">
            <v>Future</v>
          </cell>
          <cell r="D1148" t="e">
            <v>#N/A</v>
          </cell>
          <cell r="E1148">
            <v>-18.283783783783893</v>
          </cell>
          <cell r="F1148">
            <v>21.513513513513896</v>
          </cell>
          <cell r="G1148">
            <v>13.554054054054127</v>
          </cell>
          <cell r="H1148">
            <v>13.554054054054127</v>
          </cell>
          <cell r="I1148" t="e">
            <v>#N/A</v>
          </cell>
          <cell r="J1148" t="e">
            <v>#N/A</v>
          </cell>
          <cell r="K1148">
            <v>17.5</v>
          </cell>
          <cell r="L1148">
            <v>14</v>
          </cell>
          <cell r="M1148" t="e">
            <v>#N/A</v>
          </cell>
          <cell r="N1148">
            <v>16.5</v>
          </cell>
          <cell r="O1148" t="e">
            <v>#N/A</v>
          </cell>
          <cell r="P1148" t="str">
            <v/>
          </cell>
          <cell r="Q1148" t="str">
            <v/>
          </cell>
          <cell r="R1148">
            <v>16.5</v>
          </cell>
        </row>
        <row r="1149">
          <cell r="A1149" t="str">
            <v/>
          </cell>
          <cell r="B1149" t="str">
            <v/>
          </cell>
          <cell r="C1149" t="str">
            <v>Future</v>
          </cell>
          <cell r="D1149" t="e">
            <v>#N/A</v>
          </cell>
          <cell r="E1149">
            <v>-18.339189189189298</v>
          </cell>
          <cell r="F1149">
            <v>21.525675675676059</v>
          </cell>
          <cell r="G1149">
            <v>13.552702702702776</v>
          </cell>
          <cell r="H1149">
            <v>13.552702702702776</v>
          </cell>
          <cell r="I1149" t="e">
            <v>#N/A</v>
          </cell>
          <cell r="J1149" t="e">
            <v>#N/A</v>
          </cell>
          <cell r="K1149">
            <v>17.5</v>
          </cell>
          <cell r="L1149">
            <v>14</v>
          </cell>
          <cell r="M1149" t="e">
            <v>#N/A</v>
          </cell>
          <cell r="N1149">
            <v>16.5</v>
          </cell>
          <cell r="O1149" t="e">
            <v>#N/A</v>
          </cell>
          <cell r="P1149" t="str">
            <v/>
          </cell>
          <cell r="Q1149" t="str">
            <v/>
          </cell>
          <cell r="R1149">
            <v>16.5</v>
          </cell>
        </row>
        <row r="1150">
          <cell r="A1150" t="str">
            <v/>
          </cell>
          <cell r="B1150" t="str">
            <v/>
          </cell>
          <cell r="C1150" t="str">
            <v>Future</v>
          </cell>
          <cell r="D1150" t="e">
            <v>#N/A</v>
          </cell>
          <cell r="E1150">
            <v>-18.394594594594704</v>
          </cell>
          <cell r="F1150">
            <v>21.537837837838222</v>
          </cell>
          <cell r="G1150">
            <v>13.551351351351425</v>
          </cell>
          <cell r="H1150">
            <v>13.551351351351425</v>
          </cell>
          <cell r="I1150" t="e">
            <v>#N/A</v>
          </cell>
          <cell r="J1150" t="e">
            <v>#N/A</v>
          </cell>
          <cell r="K1150">
            <v>17.5</v>
          </cell>
          <cell r="L1150">
            <v>14</v>
          </cell>
          <cell r="M1150" t="e">
            <v>#N/A</v>
          </cell>
          <cell r="N1150">
            <v>16.5</v>
          </cell>
          <cell r="O1150" t="e">
            <v>#N/A</v>
          </cell>
          <cell r="P1150" t="str">
            <v/>
          </cell>
          <cell r="Q1150" t="str">
            <v/>
          </cell>
          <cell r="R1150">
            <v>16.5</v>
          </cell>
        </row>
        <row r="1151">
          <cell r="A1151" t="str">
            <v/>
          </cell>
          <cell r="B1151" t="str">
            <v/>
          </cell>
          <cell r="C1151" t="str">
            <v>Future</v>
          </cell>
          <cell r="D1151" t="e">
            <v>#N/A</v>
          </cell>
          <cell r="E1151">
            <v>-18.450000000000109</v>
          </cell>
          <cell r="F1151">
            <v>21.550000000000384</v>
          </cell>
          <cell r="G1151">
            <v>13.550000000000074</v>
          </cell>
          <cell r="H1151">
            <v>13.550000000000074</v>
          </cell>
          <cell r="I1151" t="e">
            <v>#N/A</v>
          </cell>
          <cell r="J1151" t="e">
            <v>#N/A</v>
          </cell>
          <cell r="K1151">
            <v>17.5</v>
          </cell>
          <cell r="L1151">
            <v>14</v>
          </cell>
          <cell r="M1151" t="e">
            <v>#N/A</v>
          </cell>
          <cell r="N1151">
            <v>16.5</v>
          </cell>
          <cell r="O1151" t="e">
            <v>#N/A</v>
          </cell>
          <cell r="P1151" t="str">
            <v/>
          </cell>
          <cell r="Q1151" t="str">
            <v/>
          </cell>
          <cell r="R1151">
            <v>16.5</v>
          </cell>
        </row>
        <row r="1152">
          <cell r="A1152" t="str">
            <v/>
          </cell>
          <cell r="B1152" t="str">
            <v/>
          </cell>
          <cell r="C1152" t="str">
            <v>Future</v>
          </cell>
          <cell r="D1152" t="e">
            <v>#N/A</v>
          </cell>
          <cell r="E1152">
            <v>-18.505405405405515</v>
          </cell>
          <cell r="F1152">
            <v>21.562162162162547</v>
          </cell>
          <cell r="G1152">
            <v>13.548648648648722</v>
          </cell>
          <cell r="H1152">
            <v>13.548648648648722</v>
          </cell>
          <cell r="I1152" t="e">
            <v>#N/A</v>
          </cell>
          <cell r="J1152" t="e">
            <v>#N/A</v>
          </cell>
          <cell r="K1152">
            <v>17.5</v>
          </cell>
          <cell r="L1152">
            <v>14</v>
          </cell>
          <cell r="M1152" t="e">
            <v>#N/A</v>
          </cell>
          <cell r="N1152">
            <v>16.5</v>
          </cell>
          <cell r="O1152" t="e">
            <v>#N/A</v>
          </cell>
          <cell r="P1152" t="str">
            <v/>
          </cell>
          <cell r="Q1152" t="str">
            <v/>
          </cell>
          <cell r="R1152">
            <v>16.5</v>
          </cell>
        </row>
        <row r="1153">
          <cell r="A1153" t="str">
            <v/>
          </cell>
          <cell r="B1153" t="str">
            <v/>
          </cell>
          <cell r="C1153" t="str">
            <v>Future</v>
          </cell>
          <cell r="D1153" t="e">
            <v>#N/A</v>
          </cell>
          <cell r="E1153">
            <v>-18.560810810810921</v>
          </cell>
          <cell r="F1153">
            <v>21.57432432432471</v>
          </cell>
          <cell r="G1153">
            <v>13.547297297297371</v>
          </cell>
          <cell r="H1153">
            <v>13.547297297297371</v>
          </cell>
          <cell r="I1153" t="e">
            <v>#N/A</v>
          </cell>
          <cell r="J1153" t="e">
            <v>#N/A</v>
          </cell>
          <cell r="K1153">
            <v>17.5</v>
          </cell>
          <cell r="L1153">
            <v>14</v>
          </cell>
          <cell r="M1153" t="e">
            <v>#N/A</v>
          </cell>
          <cell r="N1153">
            <v>16.5</v>
          </cell>
          <cell r="O1153" t="e">
            <v>#N/A</v>
          </cell>
          <cell r="P1153" t="str">
            <v/>
          </cell>
          <cell r="Q1153" t="str">
            <v/>
          </cell>
          <cell r="R1153">
            <v>16.5</v>
          </cell>
        </row>
        <row r="1154">
          <cell r="A1154" t="str">
            <v/>
          </cell>
          <cell r="B1154" t="str">
            <v/>
          </cell>
          <cell r="C1154" t="str">
            <v>Future</v>
          </cell>
          <cell r="D1154" t="e">
            <v>#N/A</v>
          </cell>
          <cell r="E1154">
            <v>-18.616216216216326</v>
          </cell>
          <cell r="F1154">
            <v>21.586486486486873</v>
          </cell>
          <cell r="G1154">
            <v>13.54594594594602</v>
          </cell>
          <cell r="H1154">
            <v>13.54594594594602</v>
          </cell>
          <cell r="I1154" t="e">
            <v>#N/A</v>
          </cell>
          <cell r="J1154" t="e">
            <v>#N/A</v>
          </cell>
          <cell r="K1154">
            <v>17.5</v>
          </cell>
          <cell r="L1154">
            <v>14</v>
          </cell>
          <cell r="M1154" t="e">
            <v>#N/A</v>
          </cell>
          <cell r="N1154">
            <v>16.5</v>
          </cell>
          <cell r="O1154" t="e">
            <v>#N/A</v>
          </cell>
          <cell r="P1154" t="str">
            <v/>
          </cell>
          <cell r="Q1154" t="str">
            <v/>
          </cell>
          <cell r="R1154">
            <v>16.5</v>
          </cell>
        </row>
        <row r="1155">
          <cell r="A1155" t="str">
            <v/>
          </cell>
          <cell r="B1155" t="str">
            <v/>
          </cell>
          <cell r="C1155" t="str">
            <v>Future</v>
          </cell>
          <cell r="D1155" t="e">
            <v>#N/A</v>
          </cell>
          <cell r="E1155">
            <v>-18.671621621621732</v>
          </cell>
          <cell r="F1155">
            <v>21.598648648649036</v>
          </cell>
          <cell r="G1155">
            <v>13.544594594594669</v>
          </cell>
          <cell r="H1155">
            <v>13.544594594594669</v>
          </cell>
          <cell r="I1155" t="e">
            <v>#N/A</v>
          </cell>
          <cell r="J1155" t="e">
            <v>#N/A</v>
          </cell>
          <cell r="K1155">
            <v>17.5</v>
          </cell>
          <cell r="L1155">
            <v>14</v>
          </cell>
          <cell r="M1155" t="e">
            <v>#N/A</v>
          </cell>
          <cell r="N1155">
            <v>16.5</v>
          </cell>
          <cell r="O1155" t="e">
            <v>#N/A</v>
          </cell>
          <cell r="P1155" t="str">
            <v/>
          </cell>
          <cell r="Q1155" t="str">
            <v/>
          </cell>
          <cell r="R1155">
            <v>16.5</v>
          </cell>
        </row>
        <row r="1156">
          <cell r="A1156" t="str">
            <v/>
          </cell>
          <cell r="B1156" t="str">
            <v/>
          </cell>
          <cell r="C1156" t="str">
            <v>Future</v>
          </cell>
          <cell r="D1156" t="e">
            <v>#N/A</v>
          </cell>
          <cell r="E1156">
            <v>-18.727027027027138</v>
          </cell>
          <cell r="F1156">
            <v>21.610810810811198</v>
          </cell>
          <cell r="G1156">
            <v>13.543243243243317</v>
          </cell>
          <cell r="H1156">
            <v>13.543243243243317</v>
          </cell>
          <cell r="I1156" t="e">
            <v>#N/A</v>
          </cell>
          <cell r="J1156" t="e">
            <v>#N/A</v>
          </cell>
          <cell r="K1156">
            <v>17.5</v>
          </cell>
          <cell r="L1156">
            <v>14</v>
          </cell>
          <cell r="M1156" t="e">
            <v>#N/A</v>
          </cell>
          <cell r="N1156">
            <v>16.5</v>
          </cell>
          <cell r="O1156" t="e">
            <v>#N/A</v>
          </cell>
          <cell r="P1156" t="str">
            <v/>
          </cell>
          <cell r="Q1156" t="str">
            <v/>
          </cell>
          <cell r="R1156">
            <v>16.5</v>
          </cell>
        </row>
        <row r="1157">
          <cell r="A1157" t="str">
            <v/>
          </cell>
          <cell r="B1157" t="str">
            <v/>
          </cell>
          <cell r="C1157" t="str">
            <v>Future</v>
          </cell>
          <cell r="D1157" t="e">
            <v>#N/A</v>
          </cell>
          <cell r="E1157">
            <v>-18.782432432432543</v>
          </cell>
          <cell r="F1157">
            <v>21.622972972973361</v>
          </cell>
          <cell r="G1157">
            <v>13.541891891891966</v>
          </cell>
          <cell r="H1157">
            <v>13.541891891891966</v>
          </cell>
          <cell r="I1157" t="e">
            <v>#N/A</v>
          </cell>
          <cell r="J1157" t="e">
            <v>#N/A</v>
          </cell>
          <cell r="K1157">
            <v>17.5</v>
          </cell>
          <cell r="L1157">
            <v>14</v>
          </cell>
          <cell r="M1157" t="e">
            <v>#N/A</v>
          </cell>
          <cell r="N1157">
            <v>16.5</v>
          </cell>
          <cell r="O1157" t="e">
            <v>#N/A</v>
          </cell>
          <cell r="P1157" t="str">
            <v/>
          </cell>
          <cell r="Q1157" t="str">
            <v/>
          </cell>
          <cell r="R1157">
            <v>16.5</v>
          </cell>
        </row>
        <row r="1158">
          <cell r="A1158" t="str">
            <v/>
          </cell>
          <cell r="B1158" t="str">
            <v/>
          </cell>
          <cell r="C1158" t="str">
            <v>Future</v>
          </cell>
          <cell r="D1158" t="e">
            <v>#N/A</v>
          </cell>
          <cell r="E1158">
            <v>-18.837837837837949</v>
          </cell>
          <cell r="F1158">
            <v>21.635135135135524</v>
          </cell>
          <cell r="G1158">
            <v>13.540540540540615</v>
          </cell>
          <cell r="H1158">
            <v>13.540540540540615</v>
          </cell>
          <cell r="I1158" t="e">
            <v>#N/A</v>
          </cell>
          <cell r="J1158" t="e">
            <v>#N/A</v>
          </cell>
          <cell r="K1158">
            <v>17.5</v>
          </cell>
          <cell r="L1158">
            <v>14</v>
          </cell>
          <cell r="M1158" t="e">
            <v>#N/A</v>
          </cell>
          <cell r="N1158">
            <v>16.5</v>
          </cell>
          <cell r="O1158" t="e">
            <v>#N/A</v>
          </cell>
          <cell r="P1158" t="str">
            <v/>
          </cell>
          <cell r="Q1158" t="str">
            <v/>
          </cell>
          <cell r="R1158">
            <v>16.5</v>
          </cell>
        </row>
        <row r="1159">
          <cell r="A1159" t="str">
            <v/>
          </cell>
          <cell r="B1159" t="str">
            <v/>
          </cell>
          <cell r="C1159" t="str">
            <v>Future</v>
          </cell>
          <cell r="D1159" t="e">
            <v>#N/A</v>
          </cell>
          <cell r="E1159">
            <v>-18.893243243243354</v>
          </cell>
          <cell r="F1159">
            <v>21.647297297297687</v>
          </cell>
          <cell r="G1159">
            <v>13.539189189189264</v>
          </cell>
          <cell r="H1159">
            <v>13.539189189189264</v>
          </cell>
          <cell r="I1159" t="e">
            <v>#N/A</v>
          </cell>
          <cell r="J1159" t="e">
            <v>#N/A</v>
          </cell>
          <cell r="K1159">
            <v>17.5</v>
          </cell>
          <cell r="L1159">
            <v>14</v>
          </cell>
          <cell r="M1159" t="e">
            <v>#N/A</v>
          </cell>
          <cell r="N1159">
            <v>16.5</v>
          </cell>
          <cell r="O1159" t="e">
            <v>#N/A</v>
          </cell>
          <cell r="P1159" t="str">
            <v/>
          </cell>
          <cell r="Q1159" t="str">
            <v/>
          </cell>
          <cell r="R1159">
            <v>16.5</v>
          </cell>
        </row>
        <row r="1160">
          <cell r="A1160" t="str">
            <v/>
          </cell>
          <cell r="B1160" t="str">
            <v/>
          </cell>
          <cell r="C1160" t="str">
            <v>Future</v>
          </cell>
          <cell r="D1160" t="e">
            <v>#N/A</v>
          </cell>
          <cell r="E1160">
            <v>-18.94864864864876</v>
          </cell>
          <cell r="F1160">
            <v>21.65945945945985</v>
          </cell>
          <cell r="G1160">
            <v>13.537837837837913</v>
          </cell>
          <cell r="H1160">
            <v>13.537837837837913</v>
          </cell>
          <cell r="I1160" t="e">
            <v>#N/A</v>
          </cell>
          <cell r="J1160" t="e">
            <v>#N/A</v>
          </cell>
          <cell r="K1160">
            <v>17.5</v>
          </cell>
          <cell r="L1160">
            <v>14</v>
          </cell>
          <cell r="M1160" t="e">
            <v>#N/A</v>
          </cell>
          <cell r="N1160">
            <v>16.5</v>
          </cell>
          <cell r="O1160" t="e">
            <v>#N/A</v>
          </cell>
          <cell r="P1160" t="str">
            <v/>
          </cell>
          <cell r="Q1160" t="str">
            <v/>
          </cell>
          <cell r="R1160">
            <v>16.5</v>
          </cell>
        </row>
        <row r="1161">
          <cell r="A1161" t="str">
            <v/>
          </cell>
          <cell r="B1161" t="str">
            <v/>
          </cell>
          <cell r="C1161" t="str">
            <v>Future</v>
          </cell>
          <cell r="D1161" t="e">
            <v>#N/A</v>
          </cell>
          <cell r="E1161">
            <v>-19.004054054054166</v>
          </cell>
          <cell r="F1161">
            <v>21.671621621622013</v>
          </cell>
          <cell r="G1161">
            <v>13.536486486486561</v>
          </cell>
          <cell r="H1161">
            <v>13.536486486486561</v>
          </cell>
          <cell r="I1161" t="e">
            <v>#N/A</v>
          </cell>
          <cell r="J1161" t="e">
            <v>#N/A</v>
          </cell>
          <cell r="K1161">
            <v>17.5</v>
          </cell>
          <cell r="L1161">
            <v>14</v>
          </cell>
          <cell r="M1161" t="e">
            <v>#N/A</v>
          </cell>
          <cell r="N1161">
            <v>16.5</v>
          </cell>
          <cell r="O1161" t="e">
            <v>#N/A</v>
          </cell>
          <cell r="P1161" t="str">
            <v/>
          </cell>
          <cell r="Q1161" t="str">
            <v/>
          </cell>
          <cell r="R1161">
            <v>16.5</v>
          </cell>
        </row>
        <row r="1162">
          <cell r="A1162" t="str">
            <v/>
          </cell>
          <cell r="B1162" t="str">
            <v/>
          </cell>
          <cell r="C1162" t="str">
            <v>Future</v>
          </cell>
          <cell r="D1162" t="e">
            <v>#N/A</v>
          </cell>
          <cell r="E1162">
            <v>-19.059459459459571</v>
          </cell>
          <cell r="F1162">
            <v>21.683783783784175</v>
          </cell>
          <cell r="G1162">
            <v>13.53513513513521</v>
          </cell>
          <cell r="H1162">
            <v>13.53513513513521</v>
          </cell>
          <cell r="I1162" t="e">
            <v>#N/A</v>
          </cell>
          <cell r="J1162" t="e">
            <v>#N/A</v>
          </cell>
          <cell r="K1162">
            <v>17.5</v>
          </cell>
          <cell r="L1162">
            <v>14</v>
          </cell>
          <cell r="M1162" t="e">
            <v>#N/A</v>
          </cell>
          <cell r="N1162">
            <v>16.5</v>
          </cell>
          <cell r="O1162" t="e">
            <v>#N/A</v>
          </cell>
          <cell r="P1162" t="str">
            <v/>
          </cell>
          <cell r="Q1162" t="str">
            <v/>
          </cell>
          <cell r="R1162">
            <v>16.5</v>
          </cell>
        </row>
        <row r="1163">
          <cell r="A1163" t="str">
            <v/>
          </cell>
          <cell r="B1163" t="str">
            <v/>
          </cell>
          <cell r="C1163" t="str">
            <v>Future</v>
          </cell>
          <cell r="D1163" t="e">
            <v>#N/A</v>
          </cell>
          <cell r="E1163">
            <v>-19.114864864864977</v>
          </cell>
          <cell r="F1163">
            <v>21.695945945946338</v>
          </cell>
          <cell r="G1163">
            <v>13.533783783783859</v>
          </cell>
          <cell r="H1163">
            <v>13.533783783783859</v>
          </cell>
          <cell r="I1163" t="e">
            <v>#N/A</v>
          </cell>
          <cell r="J1163" t="e">
            <v>#N/A</v>
          </cell>
          <cell r="K1163">
            <v>17.5</v>
          </cell>
          <cell r="L1163">
            <v>14</v>
          </cell>
          <cell r="M1163" t="e">
            <v>#N/A</v>
          </cell>
          <cell r="N1163">
            <v>16.5</v>
          </cell>
          <cell r="O1163" t="e">
            <v>#N/A</v>
          </cell>
          <cell r="P1163" t="str">
            <v/>
          </cell>
          <cell r="Q1163" t="str">
            <v/>
          </cell>
          <cell r="R1163">
            <v>16.5</v>
          </cell>
        </row>
        <row r="1164">
          <cell r="A1164" t="str">
            <v/>
          </cell>
          <cell r="B1164" t="str">
            <v/>
          </cell>
          <cell r="C1164" t="str">
            <v>Future</v>
          </cell>
          <cell r="D1164" t="e">
            <v>#N/A</v>
          </cell>
          <cell r="E1164">
            <v>-19.170270270270382</v>
          </cell>
          <cell r="F1164">
            <v>21.708108108108501</v>
          </cell>
          <cell r="G1164">
            <v>13.532432432432508</v>
          </cell>
          <cell r="H1164">
            <v>13.532432432432508</v>
          </cell>
          <cell r="I1164" t="e">
            <v>#N/A</v>
          </cell>
          <cell r="J1164" t="e">
            <v>#N/A</v>
          </cell>
          <cell r="K1164">
            <v>17.5</v>
          </cell>
          <cell r="L1164">
            <v>14</v>
          </cell>
          <cell r="M1164" t="e">
            <v>#N/A</v>
          </cell>
          <cell r="N1164">
            <v>16.5</v>
          </cell>
          <cell r="O1164" t="e">
            <v>#N/A</v>
          </cell>
          <cell r="P1164" t="str">
            <v/>
          </cell>
          <cell r="Q1164" t="str">
            <v/>
          </cell>
          <cell r="R1164">
            <v>16.5</v>
          </cell>
        </row>
        <row r="1165">
          <cell r="A1165" t="str">
            <v/>
          </cell>
          <cell r="B1165" t="str">
            <v/>
          </cell>
          <cell r="C1165" t="str">
            <v>Future</v>
          </cell>
          <cell r="D1165" t="e">
            <v>#N/A</v>
          </cell>
          <cell r="E1165">
            <v>-19.225675675675788</v>
          </cell>
          <cell r="F1165">
            <v>21.720270270270664</v>
          </cell>
          <cell r="G1165">
            <v>13.531081081081156</v>
          </cell>
          <cell r="H1165">
            <v>13.531081081081156</v>
          </cell>
          <cell r="I1165" t="e">
            <v>#N/A</v>
          </cell>
          <cell r="J1165" t="e">
            <v>#N/A</v>
          </cell>
          <cell r="K1165">
            <v>17.5</v>
          </cell>
          <cell r="L1165">
            <v>14</v>
          </cell>
          <cell r="M1165" t="e">
            <v>#N/A</v>
          </cell>
          <cell r="N1165">
            <v>16.5</v>
          </cell>
          <cell r="O1165" t="e">
            <v>#N/A</v>
          </cell>
          <cell r="P1165" t="str">
            <v/>
          </cell>
          <cell r="Q1165" t="str">
            <v/>
          </cell>
          <cell r="R1165">
            <v>16.5</v>
          </cell>
        </row>
        <row r="1166">
          <cell r="A1166" t="str">
            <v/>
          </cell>
          <cell r="B1166" t="str">
            <v/>
          </cell>
          <cell r="C1166" t="str">
            <v>Future</v>
          </cell>
          <cell r="D1166" t="e">
            <v>#N/A</v>
          </cell>
          <cell r="E1166">
            <v>-19.281081081081194</v>
          </cell>
          <cell r="F1166">
            <v>21.732432432432827</v>
          </cell>
          <cell r="G1166">
            <v>13.529729729729805</v>
          </cell>
          <cell r="H1166">
            <v>13.529729729729805</v>
          </cell>
          <cell r="I1166" t="e">
            <v>#N/A</v>
          </cell>
          <cell r="J1166" t="e">
            <v>#N/A</v>
          </cell>
          <cell r="K1166">
            <v>17.5</v>
          </cell>
          <cell r="L1166">
            <v>14</v>
          </cell>
          <cell r="M1166" t="e">
            <v>#N/A</v>
          </cell>
          <cell r="N1166">
            <v>16.5</v>
          </cell>
          <cell r="O1166" t="e">
            <v>#N/A</v>
          </cell>
          <cell r="P1166" t="str">
            <v/>
          </cell>
          <cell r="Q1166" t="str">
            <v/>
          </cell>
          <cell r="R1166">
            <v>16.5</v>
          </cell>
        </row>
        <row r="1167">
          <cell r="A1167" t="str">
            <v/>
          </cell>
          <cell r="B1167" t="str">
            <v/>
          </cell>
          <cell r="C1167" t="str">
            <v>Future</v>
          </cell>
          <cell r="D1167" t="e">
            <v>#N/A</v>
          </cell>
          <cell r="E1167">
            <v>-19.336486486486599</v>
          </cell>
          <cell r="F1167">
            <v>21.744594594594989</v>
          </cell>
          <cell r="G1167">
            <v>13.528378378378454</v>
          </cell>
          <cell r="H1167">
            <v>13.528378378378454</v>
          </cell>
          <cell r="I1167" t="e">
            <v>#N/A</v>
          </cell>
          <cell r="J1167" t="e">
            <v>#N/A</v>
          </cell>
          <cell r="K1167">
            <v>17.5</v>
          </cell>
          <cell r="L1167">
            <v>14</v>
          </cell>
          <cell r="M1167" t="e">
            <v>#N/A</v>
          </cell>
          <cell r="N1167">
            <v>16.5</v>
          </cell>
          <cell r="O1167" t="e">
            <v>#N/A</v>
          </cell>
          <cell r="P1167" t="str">
            <v/>
          </cell>
          <cell r="Q1167" t="str">
            <v/>
          </cell>
          <cell r="R1167">
            <v>16.5</v>
          </cell>
        </row>
        <row r="1168">
          <cell r="A1168" t="str">
            <v/>
          </cell>
          <cell r="B1168" t="str">
            <v/>
          </cell>
          <cell r="C1168" t="str">
            <v>Future</v>
          </cell>
          <cell r="D1168" t="e">
            <v>#N/A</v>
          </cell>
          <cell r="E1168">
            <v>-19.391891891892005</v>
          </cell>
          <cell r="F1168">
            <v>21.756756756757152</v>
          </cell>
          <cell r="G1168">
            <v>13.527027027027103</v>
          </cell>
          <cell r="H1168">
            <v>13.527027027027103</v>
          </cell>
          <cell r="I1168" t="e">
            <v>#N/A</v>
          </cell>
          <cell r="J1168" t="e">
            <v>#N/A</v>
          </cell>
          <cell r="K1168">
            <v>17.5</v>
          </cell>
          <cell r="L1168">
            <v>14</v>
          </cell>
          <cell r="M1168" t="e">
            <v>#N/A</v>
          </cell>
          <cell r="N1168">
            <v>16.5</v>
          </cell>
          <cell r="O1168" t="e">
            <v>#N/A</v>
          </cell>
          <cell r="P1168" t="str">
            <v/>
          </cell>
          <cell r="Q1168" t="str">
            <v/>
          </cell>
          <cell r="R1168">
            <v>16.5</v>
          </cell>
        </row>
        <row r="1169">
          <cell r="A1169" t="str">
            <v/>
          </cell>
          <cell r="B1169" t="str">
            <v/>
          </cell>
          <cell r="C1169" t="str">
            <v>Future</v>
          </cell>
          <cell r="D1169" t="e">
            <v>#N/A</v>
          </cell>
          <cell r="E1169">
            <v>-19.447297297297411</v>
          </cell>
          <cell r="F1169">
            <v>21.768918918919315</v>
          </cell>
          <cell r="G1169">
            <v>13.525675675675751</v>
          </cell>
          <cell r="H1169">
            <v>13.525675675675751</v>
          </cell>
          <cell r="I1169" t="e">
            <v>#N/A</v>
          </cell>
          <cell r="J1169" t="e">
            <v>#N/A</v>
          </cell>
          <cell r="K1169">
            <v>17.5</v>
          </cell>
          <cell r="L1169">
            <v>14</v>
          </cell>
          <cell r="M1169" t="e">
            <v>#N/A</v>
          </cell>
          <cell r="N1169">
            <v>16.5</v>
          </cell>
          <cell r="O1169" t="e">
            <v>#N/A</v>
          </cell>
          <cell r="P1169" t="str">
            <v/>
          </cell>
          <cell r="Q1169" t="str">
            <v/>
          </cell>
          <cell r="R1169">
            <v>16.5</v>
          </cell>
        </row>
        <row r="1170">
          <cell r="A1170" t="str">
            <v/>
          </cell>
          <cell r="B1170" t="str">
            <v/>
          </cell>
          <cell r="C1170" t="str">
            <v>Future</v>
          </cell>
          <cell r="D1170" t="e">
            <v>#N/A</v>
          </cell>
          <cell r="E1170">
            <v>-19.502702702702816</v>
          </cell>
          <cell r="F1170">
            <v>21.781081081081478</v>
          </cell>
          <cell r="G1170">
            <v>13.5243243243244</v>
          </cell>
          <cell r="H1170">
            <v>13.5243243243244</v>
          </cell>
          <cell r="I1170" t="e">
            <v>#N/A</v>
          </cell>
          <cell r="J1170" t="e">
            <v>#N/A</v>
          </cell>
          <cell r="K1170">
            <v>17.5</v>
          </cell>
          <cell r="L1170">
            <v>14</v>
          </cell>
          <cell r="M1170" t="e">
            <v>#N/A</v>
          </cell>
          <cell r="N1170">
            <v>16.5</v>
          </cell>
          <cell r="O1170" t="e">
            <v>#N/A</v>
          </cell>
          <cell r="P1170" t="str">
            <v/>
          </cell>
          <cell r="Q1170" t="str">
            <v/>
          </cell>
          <cell r="R1170">
            <v>16.5</v>
          </cell>
        </row>
        <row r="1171">
          <cell r="A1171" t="str">
            <v/>
          </cell>
          <cell r="B1171" t="str">
            <v/>
          </cell>
          <cell r="C1171" t="str">
            <v>Future</v>
          </cell>
          <cell r="D1171" t="e">
            <v>#N/A</v>
          </cell>
          <cell r="E1171">
            <v>-19.558108108108222</v>
          </cell>
          <cell r="F1171">
            <v>21.793243243243641</v>
          </cell>
          <cell r="G1171">
            <v>13.522972972973049</v>
          </cell>
          <cell r="H1171">
            <v>13.522972972973049</v>
          </cell>
          <cell r="I1171" t="e">
            <v>#N/A</v>
          </cell>
          <cell r="J1171" t="e">
            <v>#N/A</v>
          </cell>
          <cell r="K1171">
            <v>17.5</v>
          </cell>
          <cell r="L1171">
            <v>14</v>
          </cell>
          <cell r="M1171" t="e">
            <v>#N/A</v>
          </cell>
          <cell r="N1171">
            <v>16.5</v>
          </cell>
          <cell r="O1171" t="e">
            <v>#N/A</v>
          </cell>
          <cell r="P1171" t="str">
            <v/>
          </cell>
          <cell r="Q1171" t="str">
            <v/>
          </cell>
          <cell r="R1171">
            <v>16.5</v>
          </cell>
        </row>
        <row r="1172">
          <cell r="A1172" t="str">
            <v/>
          </cell>
          <cell r="B1172" t="str">
            <v/>
          </cell>
          <cell r="C1172" t="str">
            <v>Future</v>
          </cell>
          <cell r="D1172" t="e">
            <v>#N/A</v>
          </cell>
          <cell r="E1172">
            <v>-19.613513513513627</v>
          </cell>
          <cell r="F1172">
            <v>21.805405405405804</v>
          </cell>
          <cell r="G1172">
            <v>13.521621621621698</v>
          </cell>
          <cell r="H1172">
            <v>13.521621621621698</v>
          </cell>
          <cell r="I1172" t="e">
            <v>#N/A</v>
          </cell>
          <cell r="J1172" t="e">
            <v>#N/A</v>
          </cell>
          <cell r="K1172">
            <v>17.5</v>
          </cell>
          <cell r="L1172">
            <v>14</v>
          </cell>
          <cell r="M1172" t="e">
            <v>#N/A</v>
          </cell>
          <cell r="N1172">
            <v>16.5</v>
          </cell>
          <cell r="O1172" t="e">
            <v>#N/A</v>
          </cell>
          <cell r="P1172" t="str">
            <v/>
          </cell>
          <cell r="Q1172" t="str">
            <v/>
          </cell>
          <cell r="R1172">
            <v>16.5</v>
          </cell>
        </row>
        <row r="1173">
          <cell r="A1173" t="str">
            <v/>
          </cell>
          <cell r="B1173" t="str">
            <v/>
          </cell>
          <cell r="C1173" t="str">
            <v>Future</v>
          </cell>
          <cell r="D1173" t="e">
            <v>#N/A</v>
          </cell>
          <cell r="E1173">
            <v>-19.668918918919033</v>
          </cell>
          <cell r="F1173">
            <v>21.817567567567966</v>
          </cell>
          <cell r="G1173">
            <v>13.520270270270347</v>
          </cell>
          <cell r="H1173">
            <v>13.520270270270347</v>
          </cell>
          <cell r="I1173" t="e">
            <v>#N/A</v>
          </cell>
          <cell r="J1173" t="e">
            <v>#N/A</v>
          </cell>
          <cell r="K1173">
            <v>17.5</v>
          </cell>
          <cell r="L1173">
            <v>14</v>
          </cell>
          <cell r="M1173" t="e">
            <v>#N/A</v>
          </cell>
          <cell r="N1173">
            <v>16.5</v>
          </cell>
          <cell r="O1173" t="e">
            <v>#N/A</v>
          </cell>
          <cell r="P1173" t="str">
            <v/>
          </cell>
          <cell r="Q1173" t="str">
            <v/>
          </cell>
          <cell r="R1173">
            <v>16.5</v>
          </cell>
        </row>
        <row r="1174">
          <cell r="A1174" t="str">
            <v/>
          </cell>
          <cell r="B1174" t="str">
            <v/>
          </cell>
          <cell r="C1174" t="str">
            <v>Future</v>
          </cell>
          <cell r="D1174" t="e">
            <v>#N/A</v>
          </cell>
          <cell r="E1174">
            <v>-19.724324324324439</v>
          </cell>
          <cell r="F1174">
            <v>21.829729729730129</v>
          </cell>
          <cell r="G1174">
            <v>13.518918918918995</v>
          </cell>
          <cell r="H1174">
            <v>13.518918918918995</v>
          </cell>
          <cell r="I1174" t="e">
            <v>#N/A</v>
          </cell>
          <cell r="J1174" t="e">
            <v>#N/A</v>
          </cell>
          <cell r="K1174">
            <v>17.5</v>
          </cell>
          <cell r="L1174">
            <v>14</v>
          </cell>
          <cell r="M1174" t="e">
            <v>#N/A</v>
          </cell>
          <cell r="N1174">
            <v>16.5</v>
          </cell>
          <cell r="O1174" t="e">
            <v>#N/A</v>
          </cell>
          <cell r="P1174" t="str">
            <v/>
          </cell>
          <cell r="Q1174" t="str">
            <v/>
          </cell>
          <cell r="R1174">
            <v>16.5</v>
          </cell>
        </row>
        <row r="1175">
          <cell r="A1175" t="str">
            <v/>
          </cell>
          <cell r="B1175" t="str">
            <v/>
          </cell>
          <cell r="C1175" t="str">
            <v>Future</v>
          </cell>
          <cell r="D1175" t="e">
            <v>#N/A</v>
          </cell>
          <cell r="E1175">
            <v>-19.779729729729844</v>
          </cell>
          <cell r="F1175">
            <v>21.841891891892292</v>
          </cell>
          <cell r="G1175">
            <v>13.517567567567644</v>
          </cell>
          <cell r="H1175">
            <v>13.517567567567644</v>
          </cell>
          <cell r="I1175" t="e">
            <v>#N/A</v>
          </cell>
          <cell r="J1175" t="e">
            <v>#N/A</v>
          </cell>
          <cell r="K1175">
            <v>17.5</v>
          </cell>
          <cell r="L1175">
            <v>14</v>
          </cell>
          <cell r="M1175" t="e">
            <v>#N/A</v>
          </cell>
          <cell r="N1175">
            <v>16.5</v>
          </cell>
          <cell r="O1175" t="e">
            <v>#N/A</v>
          </cell>
          <cell r="P1175" t="str">
            <v/>
          </cell>
          <cell r="Q1175" t="str">
            <v/>
          </cell>
          <cell r="R1175">
            <v>16.5</v>
          </cell>
        </row>
        <row r="1176">
          <cell r="A1176" t="str">
            <v/>
          </cell>
          <cell r="B1176" t="str">
            <v/>
          </cell>
          <cell r="C1176" t="str">
            <v>Future</v>
          </cell>
          <cell r="D1176" t="e">
            <v>#N/A</v>
          </cell>
          <cell r="E1176">
            <v>-19.83513513513525</v>
          </cell>
          <cell r="F1176">
            <v>21.854054054054455</v>
          </cell>
          <cell r="G1176">
            <v>13.516216216216293</v>
          </cell>
          <cell r="H1176">
            <v>13.516216216216293</v>
          </cell>
          <cell r="I1176" t="e">
            <v>#N/A</v>
          </cell>
          <cell r="J1176" t="e">
            <v>#N/A</v>
          </cell>
          <cell r="K1176">
            <v>17.5</v>
          </cell>
          <cell r="L1176">
            <v>14</v>
          </cell>
          <cell r="M1176" t="e">
            <v>#N/A</v>
          </cell>
          <cell r="N1176">
            <v>16.5</v>
          </cell>
          <cell r="O1176" t="e">
            <v>#N/A</v>
          </cell>
          <cell r="P1176" t="str">
            <v/>
          </cell>
          <cell r="Q1176" t="str">
            <v/>
          </cell>
          <cell r="R1176">
            <v>16.5</v>
          </cell>
        </row>
        <row r="1177">
          <cell r="A1177" t="str">
            <v/>
          </cell>
          <cell r="B1177" t="str">
            <v/>
          </cell>
          <cell r="C1177" t="str">
            <v>Future</v>
          </cell>
          <cell r="D1177" t="e">
            <v>#N/A</v>
          </cell>
          <cell r="E1177">
            <v>-19.890540540540655</v>
          </cell>
          <cell r="F1177">
            <v>21.866216216216618</v>
          </cell>
          <cell r="G1177">
            <v>13.514864864864942</v>
          </cell>
          <cell r="H1177">
            <v>13.514864864864942</v>
          </cell>
          <cell r="I1177" t="e">
            <v>#N/A</v>
          </cell>
          <cell r="J1177" t="e">
            <v>#N/A</v>
          </cell>
          <cell r="K1177">
            <v>17.5</v>
          </cell>
          <cell r="L1177">
            <v>14</v>
          </cell>
          <cell r="M1177" t="e">
            <v>#N/A</v>
          </cell>
          <cell r="N1177">
            <v>16.5</v>
          </cell>
          <cell r="O1177" t="e">
            <v>#N/A</v>
          </cell>
          <cell r="P1177" t="str">
            <v/>
          </cell>
          <cell r="Q1177" t="str">
            <v/>
          </cell>
          <cell r="R1177">
            <v>16.5</v>
          </cell>
        </row>
        <row r="1178">
          <cell r="A1178" t="str">
            <v/>
          </cell>
          <cell r="B1178" t="str">
            <v/>
          </cell>
          <cell r="C1178" t="str">
            <v>Future</v>
          </cell>
          <cell r="D1178" t="e">
            <v>#N/A</v>
          </cell>
          <cell r="E1178">
            <v>-19.945945945946061</v>
          </cell>
          <cell r="F1178">
            <v>21.87837837837878</v>
          </cell>
          <cell r="G1178">
            <v>13.51351351351359</v>
          </cell>
          <cell r="H1178">
            <v>13.51351351351359</v>
          </cell>
          <cell r="I1178" t="e">
            <v>#N/A</v>
          </cell>
          <cell r="J1178" t="e">
            <v>#N/A</v>
          </cell>
          <cell r="K1178">
            <v>17.5</v>
          </cell>
          <cell r="L1178">
            <v>14</v>
          </cell>
          <cell r="M1178" t="e">
            <v>#N/A</v>
          </cell>
          <cell r="N1178">
            <v>16.5</v>
          </cell>
          <cell r="O1178" t="e">
            <v>#N/A</v>
          </cell>
          <cell r="P1178" t="str">
            <v/>
          </cell>
          <cell r="Q1178" t="str">
            <v/>
          </cell>
          <cell r="R1178">
            <v>16.5</v>
          </cell>
        </row>
        <row r="1179">
          <cell r="A1179" t="str">
            <v/>
          </cell>
          <cell r="B1179" t="str">
            <v/>
          </cell>
          <cell r="C1179" t="str">
            <v>Future</v>
          </cell>
          <cell r="D1179" t="e">
            <v>#N/A</v>
          </cell>
          <cell r="E1179">
            <v>-20.001351351351467</v>
          </cell>
          <cell r="F1179">
            <v>21.890540540540943</v>
          </cell>
          <cell r="G1179">
            <v>13.512162162162239</v>
          </cell>
          <cell r="H1179">
            <v>13.512162162162239</v>
          </cell>
          <cell r="I1179" t="e">
            <v>#N/A</v>
          </cell>
          <cell r="J1179" t="e">
            <v>#N/A</v>
          </cell>
          <cell r="K1179">
            <v>17.5</v>
          </cell>
          <cell r="L1179">
            <v>14</v>
          </cell>
          <cell r="M1179" t="e">
            <v>#N/A</v>
          </cell>
          <cell r="N1179">
            <v>16.5</v>
          </cell>
          <cell r="O1179" t="e">
            <v>#N/A</v>
          </cell>
          <cell r="P1179" t="str">
            <v/>
          </cell>
          <cell r="Q1179" t="str">
            <v/>
          </cell>
          <cell r="R1179">
            <v>16.5</v>
          </cell>
        </row>
        <row r="1180">
          <cell r="A1180" t="str">
            <v/>
          </cell>
          <cell r="B1180" t="str">
            <v/>
          </cell>
          <cell r="C1180" t="str">
            <v>Future</v>
          </cell>
          <cell r="D1180" t="e">
            <v>#N/A</v>
          </cell>
          <cell r="E1180">
            <v>-20.056756756756872</v>
          </cell>
          <cell r="F1180">
            <v>21.902702702703106</v>
          </cell>
          <cell r="G1180">
            <v>13.510810810810888</v>
          </cell>
          <cell r="H1180">
            <v>13.510810810810888</v>
          </cell>
          <cell r="I1180" t="e">
            <v>#N/A</v>
          </cell>
          <cell r="J1180" t="e">
            <v>#N/A</v>
          </cell>
          <cell r="K1180">
            <v>17.5</v>
          </cell>
          <cell r="L1180">
            <v>14</v>
          </cell>
          <cell r="M1180" t="e">
            <v>#N/A</v>
          </cell>
          <cell r="N1180">
            <v>16.5</v>
          </cell>
          <cell r="O1180" t="e">
            <v>#N/A</v>
          </cell>
          <cell r="P1180" t="str">
            <v/>
          </cell>
          <cell r="Q1180" t="str">
            <v/>
          </cell>
          <cell r="R1180">
            <v>16.5</v>
          </cell>
        </row>
        <row r="1181">
          <cell r="A1181" t="str">
            <v/>
          </cell>
          <cell r="B1181" t="str">
            <v/>
          </cell>
          <cell r="C1181" t="str">
            <v>Future</v>
          </cell>
          <cell r="D1181" t="e">
            <v>#N/A</v>
          </cell>
          <cell r="E1181">
            <v>-20.112162162162278</v>
          </cell>
          <cell r="F1181">
            <v>21.914864864865269</v>
          </cell>
          <cell r="G1181">
            <v>13.509459459459537</v>
          </cell>
          <cell r="H1181">
            <v>13.509459459459537</v>
          </cell>
          <cell r="I1181" t="e">
            <v>#N/A</v>
          </cell>
          <cell r="J1181" t="e">
            <v>#N/A</v>
          </cell>
          <cell r="K1181">
            <v>17.5</v>
          </cell>
          <cell r="L1181">
            <v>14</v>
          </cell>
          <cell r="M1181" t="e">
            <v>#N/A</v>
          </cell>
          <cell r="N1181">
            <v>16.5</v>
          </cell>
          <cell r="O1181" t="e">
            <v>#N/A</v>
          </cell>
          <cell r="P1181" t="str">
            <v/>
          </cell>
          <cell r="Q1181" t="str">
            <v/>
          </cell>
          <cell r="R1181">
            <v>16.5</v>
          </cell>
        </row>
        <row r="1182">
          <cell r="A1182" t="str">
            <v/>
          </cell>
          <cell r="B1182" t="str">
            <v/>
          </cell>
          <cell r="C1182" t="str">
            <v>Future</v>
          </cell>
          <cell r="D1182" t="e">
            <v>#N/A</v>
          </cell>
          <cell r="E1182">
            <v>-20.167567567567684</v>
          </cell>
          <cell r="F1182">
            <v>21.927027027027432</v>
          </cell>
          <cell r="G1182">
            <v>13.508108108108186</v>
          </cell>
          <cell r="H1182">
            <v>13.508108108108186</v>
          </cell>
          <cell r="I1182" t="e">
            <v>#N/A</v>
          </cell>
          <cell r="J1182" t="e">
            <v>#N/A</v>
          </cell>
          <cell r="K1182">
            <v>17.5</v>
          </cell>
          <cell r="L1182">
            <v>14</v>
          </cell>
          <cell r="M1182" t="e">
            <v>#N/A</v>
          </cell>
          <cell r="N1182">
            <v>16.5</v>
          </cell>
          <cell r="O1182" t="e">
            <v>#N/A</v>
          </cell>
          <cell r="P1182" t="str">
            <v/>
          </cell>
          <cell r="Q1182" t="str">
            <v/>
          </cell>
          <cell r="R1182">
            <v>16.5</v>
          </cell>
        </row>
        <row r="1183">
          <cell r="A1183" t="str">
            <v/>
          </cell>
          <cell r="B1183" t="str">
            <v/>
          </cell>
          <cell r="C1183" t="str">
            <v>Future</v>
          </cell>
          <cell r="D1183" t="e">
            <v>#N/A</v>
          </cell>
          <cell r="E1183">
            <v>-20.222972972973089</v>
          </cell>
          <cell r="F1183">
            <v>21.939189189189594</v>
          </cell>
          <cell r="G1183">
            <v>13.506756756756834</v>
          </cell>
          <cell r="H1183">
            <v>13.506756756756834</v>
          </cell>
          <cell r="I1183" t="e">
            <v>#N/A</v>
          </cell>
          <cell r="J1183" t="e">
            <v>#N/A</v>
          </cell>
          <cell r="K1183">
            <v>17.5</v>
          </cell>
          <cell r="L1183">
            <v>14</v>
          </cell>
          <cell r="M1183" t="e">
            <v>#N/A</v>
          </cell>
          <cell r="N1183">
            <v>16.5</v>
          </cell>
          <cell r="O1183" t="e">
            <v>#N/A</v>
          </cell>
          <cell r="P1183" t="str">
            <v/>
          </cell>
          <cell r="Q1183" t="str">
            <v/>
          </cell>
          <cell r="R1183">
            <v>16.5</v>
          </cell>
        </row>
        <row r="1184">
          <cell r="A1184" t="str">
            <v/>
          </cell>
          <cell r="B1184" t="str">
            <v/>
          </cell>
          <cell r="C1184" t="str">
            <v>Future</v>
          </cell>
          <cell r="D1184" t="e">
            <v>#N/A</v>
          </cell>
          <cell r="E1184">
            <v>-20.278378378378495</v>
          </cell>
          <cell r="F1184">
            <v>21.951351351351757</v>
          </cell>
          <cell r="G1184">
            <v>13.505405405405483</v>
          </cell>
          <cell r="H1184">
            <v>13.505405405405483</v>
          </cell>
          <cell r="I1184" t="e">
            <v>#N/A</v>
          </cell>
          <cell r="J1184" t="e">
            <v>#N/A</v>
          </cell>
          <cell r="K1184">
            <v>17.5</v>
          </cell>
          <cell r="L1184">
            <v>14</v>
          </cell>
          <cell r="M1184" t="e">
            <v>#N/A</v>
          </cell>
          <cell r="N1184">
            <v>16.5</v>
          </cell>
          <cell r="O1184" t="e">
            <v>#N/A</v>
          </cell>
          <cell r="P1184" t="str">
            <v/>
          </cell>
          <cell r="Q1184" t="str">
            <v/>
          </cell>
          <cell r="R1184">
            <v>16.5</v>
          </cell>
        </row>
        <row r="1185">
          <cell r="A1185" t="str">
            <v/>
          </cell>
          <cell r="B1185" t="str">
            <v/>
          </cell>
          <cell r="C1185" t="str">
            <v>Future</v>
          </cell>
          <cell r="D1185" t="e">
            <v>#N/A</v>
          </cell>
          <cell r="E1185">
            <v>-20.3337837837839</v>
          </cell>
          <cell r="F1185">
            <v>21.96351351351392</v>
          </cell>
          <cell r="G1185">
            <v>13.504054054054132</v>
          </cell>
          <cell r="H1185">
            <v>13.504054054054132</v>
          </cell>
          <cell r="I1185" t="e">
            <v>#N/A</v>
          </cell>
          <cell r="J1185" t="e">
            <v>#N/A</v>
          </cell>
          <cell r="K1185">
            <v>17.5</v>
          </cell>
          <cell r="L1185">
            <v>14</v>
          </cell>
          <cell r="M1185" t="e">
            <v>#N/A</v>
          </cell>
          <cell r="N1185">
            <v>16.5</v>
          </cell>
          <cell r="O1185" t="e">
            <v>#N/A</v>
          </cell>
          <cell r="P1185" t="str">
            <v/>
          </cell>
          <cell r="Q1185" t="str">
            <v/>
          </cell>
          <cell r="R1185">
            <v>16.5</v>
          </cell>
        </row>
        <row r="1186">
          <cell r="A1186" t="str">
            <v/>
          </cell>
          <cell r="B1186" t="str">
            <v/>
          </cell>
          <cell r="C1186" t="str">
            <v>Future</v>
          </cell>
          <cell r="D1186" t="e">
            <v>#N/A</v>
          </cell>
          <cell r="E1186">
            <v>-20.389189189189306</v>
          </cell>
          <cell r="F1186">
            <v>21.975675675676083</v>
          </cell>
          <cell r="G1186">
            <v>13.502702702702781</v>
          </cell>
          <cell r="H1186">
            <v>13.502702702702781</v>
          </cell>
          <cell r="I1186" t="e">
            <v>#N/A</v>
          </cell>
          <cell r="J1186" t="e">
            <v>#N/A</v>
          </cell>
          <cell r="K1186">
            <v>17.5</v>
          </cell>
          <cell r="L1186">
            <v>14</v>
          </cell>
          <cell r="M1186" t="e">
            <v>#N/A</v>
          </cell>
          <cell r="N1186">
            <v>16.5</v>
          </cell>
          <cell r="O1186" t="e">
            <v>#N/A</v>
          </cell>
          <cell r="P1186" t="str">
            <v/>
          </cell>
          <cell r="Q1186" t="str">
            <v/>
          </cell>
          <cell r="R1186">
            <v>16.5</v>
          </cell>
        </row>
        <row r="1187">
          <cell r="A1187" t="str">
            <v/>
          </cell>
          <cell r="B1187" t="str">
            <v/>
          </cell>
          <cell r="C1187" t="str">
            <v>Future</v>
          </cell>
          <cell r="D1187" t="e">
            <v>#N/A</v>
          </cell>
          <cell r="E1187">
            <v>-20.444594594594712</v>
          </cell>
          <cell r="F1187">
            <v>21.987837837838246</v>
          </cell>
          <cell r="G1187">
            <v>13.501351351351429</v>
          </cell>
          <cell r="H1187">
            <v>13.501351351351429</v>
          </cell>
          <cell r="I1187" t="e">
            <v>#N/A</v>
          </cell>
          <cell r="J1187" t="e">
            <v>#N/A</v>
          </cell>
          <cell r="K1187">
            <v>17.5</v>
          </cell>
          <cell r="L1187">
            <v>14</v>
          </cell>
          <cell r="M1187" t="e">
            <v>#N/A</v>
          </cell>
          <cell r="N1187">
            <v>16.5</v>
          </cell>
          <cell r="O1187" t="e">
            <v>#N/A</v>
          </cell>
          <cell r="P1187" t="str">
            <v/>
          </cell>
          <cell r="Q1187" t="str">
            <v/>
          </cell>
          <cell r="R1187">
            <v>16.5</v>
          </cell>
        </row>
        <row r="1188">
          <cell r="A1188" t="str">
            <v/>
          </cell>
          <cell r="B1188" t="str">
            <v/>
          </cell>
          <cell r="C1188" t="str">
            <v>Future</v>
          </cell>
          <cell r="D1188" t="e">
            <v>#N/A</v>
          </cell>
          <cell r="E1188">
            <v>-20.500000000000117</v>
          </cell>
          <cell r="F1188">
            <v>22.000000000000409</v>
          </cell>
          <cell r="G1188">
            <v>13.500000000000078</v>
          </cell>
          <cell r="H1188">
            <v>13.500000000000078</v>
          </cell>
          <cell r="I1188" t="e">
            <v>#N/A</v>
          </cell>
          <cell r="J1188" t="e">
            <v>#N/A</v>
          </cell>
          <cell r="K1188">
            <v>17.5</v>
          </cell>
          <cell r="L1188">
            <v>14</v>
          </cell>
          <cell r="M1188" t="e">
            <v>#N/A</v>
          </cell>
          <cell r="N1188">
            <v>16.5</v>
          </cell>
          <cell r="O1188" t="e">
            <v>#N/A</v>
          </cell>
          <cell r="P1188" t="str">
            <v/>
          </cell>
          <cell r="Q1188" t="str">
            <v/>
          </cell>
          <cell r="R1188">
            <v>16.5</v>
          </cell>
        </row>
        <row r="1189">
          <cell r="A1189" t="str">
            <v/>
          </cell>
          <cell r="B1189" t="str">
            <v/>
          </cell>
          <cell r="C1189" t="str">
            <v>Future</v>
          </cell>
          <cell r="D1189" t="e">
            <v>#N/A</v>
          </cell>
          <cell r="E1189">
            <v>-20.555405405405523</v>
          </cell>
          <cell r="F1189">
            <v>22.012162162162571</v>
          </cell>
          <cell r="G1189">
            <v>13.498648648648727</v>
          </cell>
          <cell r="H1189">
            <v>13.498648648648727</v>
          </cell>
          <cell r="I1189" t="e">
            <v>#N/A</v>
          </cell>
          <cell r="J1189" t="e">
            <v>#N/A</v>
          </cell>
          <cell r="K1189">
            <v>17.5</v>
          </cell>
          <cell r="L1189">
            <v>14</v>
          </cell>
          <cell r="M1189" t="e">
            <v>#N/A</v>
          </cell>
          <cell r="N1189">
            <v>16.5</v>
          </cell>
          <cell r="O1189" t="e">
            <v>#N/A</v>
          </cell>
          <cell r="P1189" t="str">
            <v/>
          </cell>
          <cell r="Q1189" t="str">
            <v/>
          </cell>
          <cell r="R1189">
            <v>16.5</v>
          </cell>
        </row>
        <row r="1190">
          <cell r="A1190" t="str">
            <v/>
          </cell>
          <cell r="B1190" t="str">
            <v/>
          </cell>
          <cell r="C1190" t="str">
            <v>Future</v>
          </cell>
          <cell r="D1190" t="e">
            <v>#N/A</v>
          </cell>
          <cell r="E1190">
            <v>-20.610810810810928</v>
          </cell>
          <cell r="F1190">
            <v>22.024324324324734</v>
          </cell>
          <cell r="G1190">
            <v>13.497297297297376</v>
          </cell>
          <cell r="H1190">
            <v>13.497297297297376</v>
          </cell>
          <cell r="I1190" t="e">
            <v>#N/A</v>
          </cell>
          <cell r="J1190" t="e">
            <v>#N/A</v>
          </cell>
          <cell r="K1190">
            <v>17.5</v>
          </cell>
          <cell r="L1190">
            <v>14</v>
          </cell>
          <cell r="M1190" t="e">
            <v>#N/A</v>
          </cell>
          <cell r="N1190">
            <v>16.5</v>
          </cell>
          <cell r="O1190" t="e">
            <v>#N/A</v>
          </cell>
          <cell r="P1190" t="str">
            <v/>
          </cell>
          <cell r="Q1190" t="str">
            <v/>
          </cell>
          <cell r="R1190">
            <v>16.5</v>
          </cell>
        </row>
        <row r="1191">
          <cell r="A1191" t="str">
            <v/>
          </cell>
          <cell r="B1191" t="str">
            <v/>
          </cell>
          <cell r="C1191" t="str">
            <v>Future</v>
          </cell>
          <cell r="D1191" t="e">
            <v>#N/A</v>
          </cell>
          <cell r="E1191">
            <v>-20.666216216216334</v>
          </cell>
          <cell r="F1191">
            <v>22.036486486486897</v>
          </cell>
          <cell r="G1191">
            <v>13.495945945946024</v>
          </cell>
          <cell r="H1191">
            <v>13.495945945946024</v>
          </cell>
          <cell r="I1191" t="e">
            <v>#N/A</v>
          </cell>
          <cell r="J1191" t="e">
            <v>#N/A</v>
          </cell>
          <cell r="K1191">
            <v>17.5</v>
          </cell>
          <cell r="L1191">
            <v>14</v>
          </cell>
          <cell r="M1191" t="e">
            <v>#N/A</v>
          </cell>
          <cell r="N1191">
            <v>16.5</v>
          </cell>
          <cell r="O1191" t="e">
            <v>#N/A</v>
          </cell>
          <cell r="P1191" t="str">
            <v/>
          </cell>
          <cell r="Q1191" t="str">
            <v/>
          </cell>
          <cell r="R1191">
            <v>16.5</v>
          </cell>
        </row>
        <row r="1192">
          <cell r="A1192" t="str">
            <v/>
          </cell>
          <cell r="B1192" t="str">
            <v/>
          </cell>
          <cell r="C1192" t="str">
            <v>Future</v>
          </cell>
          <cell r="D1192" t="e">
            <v>#N/A</v>
          </cell>
          <cell r="E1192">
            <v>-20.72162162162174</v>
          </cell>
          <cell r="F1192">
            <v>22.04864864864906</v>
          </cell>
          <cell r="G1192">
            <v>13.494594594594673</v>
          </cell>
          <cell r="H1192">
            <v>13.494594594594673</v>
          </cell>
          <cell r="I1192" t="e">
            <v>#N/A</v>
          </cell>
          <cell r="J1192" t="e">
            <v>#N/A</v>
          </cell>
          <cell r="K1192">
            <v>17.5</v>
          </cell>
          <cell r="L1192">
            <v>14</v>
          </cell>
          <cell r="M1192" t="e">
            <v>#N/A</v>
          </cell>
          <cell r="N1192">
            <v>16.5</v>
          </cell>
          <cell r="O1192" t="e">
            <v>#N/A</v>
          </cell>
          <cell r="P1192" t="str">
            <v/>
          </cell>
          <cell r="Q1192" t="str">
            <v/>
          </cell>
          <cell r="R1192">
            <v>16.5</v>
          </cell>
        </row>
        <row r="1193">
          <cell r="A1193" t="str">
            <v/>
          </cell>
          <cell r="B1193" t="str">
            <v/>
          </cell>
          <cell r="C1193" t="str">
            <v>Future</v>
          </cell>
          <cell r="D1193" t="e">
            <v>#N/A</v>
          </cell>
          <cell r="E1193">
            <v>-20.777027027027145</v>
          </cell>
          <cell r="F1193">
            <v>22.060810810811223</v>
          </cell>
          <cell r="G1193">
            <v>13.493243243243322</v>
          </cell>
          <cell r="H1193">
            <v>13.493243243243322</v>
          </cell>
          <cell r="I1193" t="e">
            <v>#N/A</v>
          </cell>
          <cell r="J1193" t="e">
            <v>#N/A</v>
          </cell>
          <cell r="K1193">
            <v>17.5</v>
          </cell>
          <cell r="L1193">
            <v>14</v>
          </cell>
          <cell r="M1193" t="e">
            <v>#N/A</v>
          </cell>
          <cell r="N1193">
            <v>16.5</v>
          </cell>
          <cell r="O1193" t="e">
            <v>#N/A</v>
          </cell>
          <cell r="P1193" t="str">
            <v/>
          </cell>
          <cell r="Q1193" t="str">
            <v/>
          </cell>
          <cell r="R1193">
            <v>16.5</v>
          </cell>
        </row>
        <row r="1194">
          <cell r="A1194" t="str">
            <v/>
          </cell>
          <cell r="B1194" t="str">
            <v/>
          </cell>
          <cell r="C1194" t="str">
            <v>Future</v>
          </cell>
          <cell r="D1194" t="e">
            <v>#N/A</v>
          </cell>
          <cell r="E1194">
            <v>-20.832432432432551</v>
          </cell>
          <cell r="F1194">
            <v>22.072972972973385</v>
          </cell>
          <cell r="G1194">
            <v>13.491891891891971</v>
          </cell>
          <cell r="H1194">
            <v>13.491891891891971</v>
          </cell>
          <cell r="I1194" t="e">
            <v>#N/A</v>
          </cell>
          <cell r="J1194" t="e">
            <v>#N/A</v>
          </cell>
          <cell r="K1194">
            <v>17.5</v>
          </cell>
          <cell r="L1194">
            <v>14</v>
          </cell>
          <cell r="M1194" t="e">
            <v>#N/A</v>
          </cell>
          <cell r="N1194">
            <v>16.5</v>
          </cell>
          <cell r="O1194" t="e">
            <v>#N/A</v>
          </cell>
          <cell r="P1194" t="str">
            <v/>
          </cell>
          <cell r="Q1194" t="str">
            <v/>
          </cell>
          <cell r="R1194">
            <v>16.5</v>
          </cell>
        </row>
        <row r="1195">
          <cell r="A1195" t="str">
            <v/>
          </cell>
          <cell r="B1195" t="str">
            <v/>
          </cell>
          <cell r="C1195" t="str">
            <v>Future</v>
          </cell>
          <cell r="D1195" t="e">
            <v>#N/A</v>
          </cell>
          <cell r="E1195">
            <v>-20.887837837837957</v>
          </cell>
          <cell r="F1195">
            <v>22.085135135135548</v>
          </cell>
          <cell r="G1195">
            <v>13.49054054054062</v>
          </cell>
          <cell r="H1195">
            <v>13.49054054054062</v>
          </cell>
          <cell r="I1195" t="e">
            <v>#N/A</v>
          </cell>
          <cell r="J1195" t="e">
            <v>#N/A</v>
          </cell>
          <cell r="K1195">
            <v>17.5</v>
          </cell>
          <cell r="L1195">
            <v>14</v>
          </cell>
          <cell r="M1195" t="e">
            <v>#N/A</v>
          </cell>
          <cell r="N1195">
            <v>16.5</v>
          </cell>
          <cell r="O1195" t="e">
            <v>#N/A</v>
          </cell>
          <cell r="P1195" t="str">
            <v/>
          </cell>
          <cell r="Q1195" t="str">
            <v/>
          </cell>
          <cell r="R1195">
            <v>16.5</v>
          </cell>
        </row>
        <row r="1196">
          <cell r="A1196" t="str">
            <v/>
          </cell>
          <cell r="B1196" t="str">
            <v/>
          </cell>
          <cell r="C1196" t="str">
            <v>Future</v>
          </cell>
          <cell r="D1196" t="e">
            <v>#N/A</v>
          </cell>
          <cell r="E1196">
            <v>-20.943243243243362</v>
          </cell>
          <cell r="F1196">
            <v>22.097297297297711</v>
          </cell>
          <cell r="G1196">
            <v>13.489189189189268</v>
          </cell>
          <cell r="H1196">
            <v>13.489189189189268</v>
          </cell>
          <cell r="I1196" t="e">
            <v>#N/A</v>
          </cell>
          <cell r="J1196" t="e">
            <v>#N/A</v>
          </cell>
          <cell r="K1196">
            <v>17.5</v>
          </cell>
          <cell r="L1196">
            <v>14</v>
          </cell>
          <cell r="M1196" t="e">
            <v>#N/A</v>
          </cell>
          <cell r="N1196">
            <v>16.5</v>
          </cell>
          <cell r="O1196" t="e">
            <v>#N/A</v>
          </cell>
          <cell r="P1196" t="str">
            <v/>
          </cell>
          <cell r="Q1196" t="str">
            <v/>
          </cell>
          <cell r="R1196">
            <v>16.5</v>
          </cell>
        </row>
        <row r="1197">
          <cell r="A1197" t="str">
            <v/>
          </cell>
          <cell r="B1197" t="str">
            <v/>
          </cell>
          <cell r="C1197" t="str">
            <v>Future</v>
          </cell>
          <cell r="D1197" t="e">
            <v>#N/A</v>
          </cell>
          <cell r="E1197">
            <v>-20.998648648648768</v>
          </cell>
          <cell r="F1197">
            <v>22.109459459459874</v>
          </cell>
          <cell r="G1197">
            <v>13.487837837837917</v>
          </cell>
          <cell r="H1197">
            <v>13.487837837837917</v>
          </cell>
          <cell r="I1197" t="e">
            <v>#N/A</v>
          </cell>
          <cell r="J1197" t="e">
            <v>#N/A</v>
          </cell>
          <cell r="K1197">
            <v>17.5</v>
          </cell>
          <cell r="L1197">
            <v>14</v>
          </cell>
          <cell r="M1197" t="e">
            <v>#N/A</v>
          </cell>
          <cell r="N1197">
            <v>16.5</v>
          </cell>
          <cell r="O1197" t="e">
            <v>#N/A</v>
          </cell>
          <cell r="P1197" t="str">
            <v/>
          </cell>
          <cell r="Q1197" t="str">
            <v/>
          </cell>
          <cell r="R1197">
            <v>16.5</v>
          </cell>
        </row>
        <row r="1198">
          <cell r="A1198" t="str">
            <v/>
          </cell>
          <cell r="B1198" t="str">
            <v/>
          </cell>
          <cell r="C1198" t="str">
            <v>Future</v>
          </cell>
          <cell r="D1198" t="e">
            <v>#N/A</v>
          </cell>
          <cell r="E1198">
            <v>-21.054054054054173</v>
          </cell>
          <cell r="F1198">
            <v>22.121621621622037</v>
          </cell>
          <cell r="G1198">
            <v>13.486486486486566</v>
          </cell>
          <cell r="H1198">
            <v>13.486486486486566</v>
          </cell>
          <cell r="I1198" t="e">
            <v>#N/A</v>
          </cell>
          <cell r="J1198" t="e">
            <v>#N/A</v>
          </cell>
          <cell r="K1198">
            <v>17.5</v>
          </cell>
          <cell r="L1198">
            <v>14</v>
          </cell>
          <cell r="M1198" t="e">
            <v>#N/A</v>
          </cell>
          <cell r="N1198">
            <v>16.5</v>
          </cell>
          <cell r="O1198" t="e">
            <v>#N/A</v>
          </cell>
          <cell r="P1198" t="str">
            <v/>
          </cell>
          <cell r="Q1198" t="str">
            <v/>
          </cell>
          <cell r="R1198">
            <v>16.5</v>
          </cell>
        </row>
        <row r="1199">
          <cell r="A1199" t="str">
            <v/>
          </cell>
          <cell r="B1199" t="str">
            <v/>
          </cell>
          <cell r="C1199" t="str">
            <v>Future</v>
          </cell>
          <cell r="D1199" t="e">
            <v>#N/A</v>
          </cell>
          <cell r="E1199">
            <v>-21.109459459459579</v>
          </cell>
          <cell r="F1199">
            <v>22.1337837837842</v>
          </cell>
          <cell r="G1199">
            <v>13.485135135135215</v>
          </cell>
          <cell r="H1199">
            <v>13.485135135135215</v>
          </cell>
          <cell r="I1199" t="e">
            <v>#N/A</v>
          </cell>
          <cell r="J1199" t="e">
            <v>#N/A</v>
          </cell>
          <cell r="K1199">
            <v>17.5</v>
          </cell>
          <cell r="L1199">
            <v>14</v>
          </cell>
          <cell r="M1199" t="e">
            <v>#N/A</v>
          </cell>
          <cell r="N1199">
            <v>16.5</v>
          </cell>
          <cell r="O1199" t="e">
            <v>#N/A</v>
          </cell>
          <cell r="P1199" t="str">
            <v/>
          </cell>
          <cell r="Q1199" t="str">
            <v/>
          </cell>
          <cell r="R1199">
            <v>16.5</v>
          </cell>
        </row>
        <row r="1200">
          <cell r="A1200" t="str">
            <v/>
          </cell>
          <cell r="B1200" t="str">
            <v/>
          </cell>
          <cell r="C1200" t="str">
            <v>Future</v>
          </cell>
          <cell r="D1200" t="e">
            <v>#N/A</v>
          </cell>
          <cell r="E1200">
            <v>-21.164864864864985</v>
          </cell>
          <cell r="F1200">
            <v>22.145945945946362</v>
          </cell>
          <cell r="G1200">
            <v>13.483783783783863</v>
          </cell>
          <cell r="H1200">
            <v>13.483783783783863</v>
          </cell>
          <cell r="I1200" t="e">
            <v>#N/A</v>
          </cell>
          <cell r="J1200" t="e">
            <v>#N/A</v>
          </cell>
          <cell r="K1200">
            <v>17.5</v>
          </cell>
          <cell r="L1200">
            <v>14</v>
          </cell>
          <cell r="M1200" t="e">
            <v>#N/A</v>
          </cell>
          <cell r="N1200">
            <v>16.5</v>
          </cell>
          <cell r="O1200" t="e">
            <v>#N/A</v>
          </cell>
          <cell r="P1200" t="str">
            <v/>
          </cell>
          <cell r="Q1200" t="str">
            <v/>
          </cell>
          <cell r="R1200">
            <v>16.5</v>
          </cell>
        </row>
        <row r="1201">
          <cell r="A1201" t="str">
            <v/>
          </cell>
          <cell r="B1201" t="str">
            <v/>
          </cell>
          <cell r="C1201" t="str">
            <v>Future</v>
          </cell>
          <cell r="D1201" t="e">
            <v>#N/A</v>
          </cell>
          <cell r="E1201">
            <v>-21.22027027027039</v>
          </cell>
          <cell r="F1201">
            <v>22.158108108108525</v>
          </cell>
          <cell r="G1201">
            <v>13.482432432432512</v>
          </cell>
          <cell r="H1201">
            <v>13.482432432432512</v>
          </cell>
          <cell r="I1201" t="e">
            <v>#N/A</v>
          </cell>
          <cell r="J1201" t="e">
            <v>#N/A</v>
          </cell>
          <cell r="K1201">
            <v>17.5</v>
          </cell>
          <cell r="L1201">
            <v>14</v>
          </cell>
          <cell r="M1201" t="e">
            <v>#N/A</v>
          </cell>
          <cell r="N1201">
            <v>16.5</v>
          </cell>
          <cell r="O1201" t="e">
            <v>#N/A</v>
          </cell>
          <cell r="P1201" t="str">
            <v/>
          </cell>
          <cell r="Q1201" t="str">
            <v/>
          </cell>
          <cell r="R1201">
            <v>16.5</v>
          </cell>
        </row>
        <row r="1202">
          <cell r="A1202" t="str">
            <v/>
          </cell>
          <cell r="B1202" t="str">
            <v/>
          </cell>
          <cell r="C1202" t="str">
            <v>Future</v>
          </cell>
          <cell r="D1202" t="e">
            <v>#N/A</v>
          </cell>
          <cell r="E1202">
            <v>-21.275675675675796</v>
          </cell>
          <cell r="F1202">
            <v>22.170270270270688</v>
          </cell>
          <cell r="G1202">
            <v>13.481081081081161</v>
          </cell>
          <cell r="H1202">
            <v>13.481081081081161</v>
          </cell>
          <cell r="I1202" t="e">
            <v>#N/A</v>
          </cell>
          <cell r="J1202" t="e">
            <v>#N/A</v>
          </cell>
          <cell r="K1202">
            <v>17.5</v>
          </cell>
          <cell r="L1202">
            <v>14</v>
          </cell>
          <cell r="M1202" t="e">
            <v>#N/A</v>
          </cell>
          <cell r="N1202">
            <v>16.5</v>
          </cell>
          <cell r="O1202" t="e">
            <v>#N/A</v>
          </cell>
          <cell r="P1202" t="str">
            <v/>
          </cell>
          <cell r="Q1202" t="str">
            <v/>
          </cell>
          <cell r="R1202">
            <v>16.5</v>
          </cell>
        </row>
        <row r="1203">
          <cell r="A1203" t="str">
            <v/>
          </cell>
          <cell r="B1203" t="str">
            <v/>
          </cell>
          <cell r="C1203" t="str">
            <v>Future</v>
          </cell>
          <cell r="D1203" t="e">
            <v>#N/A</v>
          </cell>
          <cell r="E1203">
            <v>-21.331081081081201</v>
          </cell>
          <cell r="F1203">
            <v>22.182432432432851</v>
          </cell>
          <cell r="G1203">
            <v>13.47972972972981</v>
          </cell>
          <cell r="H1203">
            <v>13.47972972972981</v>
          </cell>
          <cell r="I1203" t="e">
            <v>#N/A</v>
          </cell>
          <cell r="J1203" t="e">
            <v>#N/A</v>
          </cell>
          <cell r="K1203">
            <v>17.5</v>
          </cell>
          <cell r="L1203">
            <v>14</v>
          </cell>
          <cell r="M1203" t="e">
            <v>#N/A</v>
          </cell>
          <cell r="N1203">
            <v>16.5</v>
          </cell>
          <cell r="O1203" t="e">
            <v>#N/A</v>
          </cell>
          <cell r="P1203" t="str">
            <v/>
          </cell>
          <cell r="Q1203" t="str">
            <v/>
          </cell>
          <cell r="R1203">
            <v>16.5</v>
          </cell>
        </row>
        <row r="1204">
          <cell r="A1204" t="str">
            <v/>
          </cell>
          <cell r="B1204" t="str">
            <v/>
          </cell>
          <cell r="C1204" t="str">
            <v>Future</v>
          </cell>
          <cell r="D1204" t="e">
            <v>#N/A</v>
          </cell>
          <cell r="E1204">
            <v>-21.386486486486607</v>
          </cell>
          <cell r="F1204">
            <v>22.194594594595014</v>
          </cell>
          <cell r="G1204">
            <v>13.478378378378459</v>
          </cell>
          <cell r="H1204">
            <v>13.478378378378459</v>
          </cell>
          <cell r="I1204" t="e">
            <v>#N/A</v>
          </cell>
          <cell r="J1204" t="e">
            <v>#N/A</v>
          </cell>
          <cell r="K1204">
            <v>17.5</v>
          </cell>
          <cell r="L1204">
            <v>14</v>
          </cell>
          <cell r="M1204" t="e">
            <v>#N/A</v>
          </cell>
          <cell r="N1204">
            <v>16.5</v>
          </cell>
          <cell r="O1204" t="e">
            <v>#N/A</v>
          </cell>
          <cell r="P1204" t="str">
            <v/>
          </cell>
          <cell r="Q1204" t="str">
            <v/>
          </cell>
          <cell r="R1204">
            <v>16.5</v>
          </cell>
        </row>
        <row r="1205">
          <cell r="A1205" t="str">
            <v/>
          </cell>
          <cell r="B1205" t="str">
            <v/>
          </cell>
          <cell r="C1205" t="str">
            <v>Future</v>
          </cell>
          <cell r="D1205" t="e">
            <v>#N/A</v>
          </cell>
          <cell r="E1205">
            <v>-21.441891891892013</v>
          </cell>
          <cell r="F1205">
            <v>22.206756756757176</v>
          </cell>
          <cell r="G1205">
            <v>13.477027027027107</v>
          </cell>
          <cell r="H1205">
            <v>13.477027027027107</v>
          </cell>
          <cell r="I1205" t="e">
            <v>#N/A</v>
          </cell>
          <cell r="J1205" t="e">
            <v>#N/A</v>
          </cell>
          <cell r="K1205">
            <v>17.5</v>
          </cell>
          <cell r="L1205">
            <v>14</v>
          </cell>
          <cell r="M1205" t="e">
            <v>#N/A</v>
          </cell>
          <cell r="N1205">
            <v>16.5</v>
          </cell>
          <cell r="O1205" t="e">
            <v>#N/A</v>
          </cell>
          <cell r="P1205" t="str">
            <v/>
          </cell>
          <cell r="Q1205" t="str">
            <v/>
          </cell>
          <cell r="R1205">
            <v>16.5</v>
          </cell>
        </row>
        <row r="1206">
          <cell r="A1206" t="str">
            <v/>
          </cell>
          <cell r="B1206" t="str">
            <v/>
          </cell>
          <cell r="C1206" t="str">
            <v>Future</v>
          </cell>
          <cell r="D1206" t="e">
            <v>#N/A</v>
          </cell>
          <cell r="E1206">
            <v>-21.497297297297418</v>
          </cell>
          <cell r="F1206">
            <v>22.218918918919339</v>
          </cell>
          <cell r="G1206">
            <v>13.475675675675756</v>
          </cell>
          <cell r="H1206">
            <v>13.475675675675756</v>
          </cell>
          <cell r="I1206" t="e">
            <v>#N/A</v>
          </cell>
          <cell r="J1206" t="e">
            <v>#N/A</v>
          </cell>
          <cell r="K1206">
            <v>17.5</v>
          </cell>
          <cell r="L1206">
            <v>14</v>
          </cell>
          <cell r="M1206" t="e">
            <v>#N/A</v>
          </cell>
          <cell r="N1206">
            <v>16.5</v>
          </cell>
          <cell r="O1206" t="e">
            <v>#N/A</v>
          </cell>
          <cell r="P1206" t="str">
            <v/>
          </cell>
          <cell r="Q1206" t="str">
            <v/>
          </cell>
          <cell r="R1206">
            <v>16.5</v>
          </cell>
        </row>
        <row r="1207">
          <cell r="A1207" t="str">
            <v/>
          </cell>
          <cell r="B1207" t="str">
            <v/>
          </cell>
          <cell r="C1207" t="str">
            <v>Future</v>
          </cell>
          <cell r="D1207" t="e">
            <v>#N/A</v>
          </cell>
          <cell r="E1207">
            <v>-21.552702702702824</v>
          </cell>
          <cell r="F1207">
            <v>22.231081081081502</v>
          </cell>
          <cell r="G1207">
            <v>13.474324324324405</v>
          </cell>
          <cell r="H1207">
            <v>13.474324324324405</v>
          </cell>
          <cell r="I1207" t="e">
            <v>#N/A</v>
          </cell>
          <cell r="J1207" t="e">
            <v>#N/A</v>
          </cell>
          <cell r="K1207">
            <v>17.5</v>
          </cell>
          <cell r="L1207">
            <v>14</v>
          </cell>
          <cell r="M1207" t="e">
            <v>#N/A</v>
          </cell>
          <cell r="N1207">
            <v>16.5</v>
          </cell>
          <cell r="O1207" t="e">
            <v>#N/A</v>
          </cell>
          <cell r="P1207" t="str">
            <v/>
          </cell>
          <cell r="Q1207" t="str">
            <v/>
          </cell>
          <cell r="R1207">
            <v>16.5</v>
          </cell>
        </row>
        <row r="1208">
          <cell r="A1208" t="str">
            <v/>
          </cell>
          <cell r="B1208" t="str">
            <v/>
          </cell>
          <cell r="C1208" t="str">
            <v>Future</v>
          </cell>
          <cell r="D1208" t="e">
            <v>#N/A</v>
          </cell>
          <cell r="E1208">
            <v>-21.60810810810823</v>
          </cell>
          <cell r="F1208">
            <v>22.243243243243665</v>
          </cell>
          <cell r="G1208">
            <v>13.472972972973054</v>
          </cell>
          <cell r="H1208">
            <v>13.472972972973054</v>
          </cell>
          <cell r="I1208" t="e">
            <v>#N/A</v>
          </cell>
          <cell r="J1208" t="e">
            <v>#N/A</v>
          </cell>
          <cell r="K1208">
            <v>17.5</v>
          </cell>
          <cell r="L1208">
            <v>14</v>
          </cell>
          <cell r="M1208" t="e">
            <v>#N/A</v>
          </cell>
          <cell r="N1208">
            <v>16.5</v>
          </cell>
          <cell r="O1208" t="e">
            <v>#N/A</v>
          </cell>
          <cell r="P1208" t="str">
            <v/>
          </cell>
          <cell r="Q1208" t="str">
            <v/>
          </cell>
          <cell r="R1208">
            <v>16.5</v>
          </cell>
        </row>
        <row r="1209">
          <cell r="A1209" t="str">
            <v/>
          </cell>
          <cell r="B1209" t="str">
            <v/>
          </cell>
          <cell r="C1209" t="str">
            <v>Future</v>
          </cell>
          <cell r="D1209" t="e">
            <v>#N/A</v>
          </cell>
          <cell r="E1209">
            <v>-21.663513513513635</v>
          </cell>
          <cell r="F1209">
            <v>22.255405405405828</v>
          </cell>
          <cell r="G1209">
            <v>13.471621621621702</v>
          </cell>
          <cell r="H1209">
            <v>13.471621621621702</v>
          </cell>
          <cell r="I1209" t="e">
            <v>#N/A</v>
          </cell>
          <cell r="J1209" t="e">
            <v>#N/A</v>
          </cell>
          <cell r="K1209">
            <v>17.5</v>
          </cell>
          <cell r="L1209">
            <v>14</v>
          </cell>
          <cell r="M1209" t="e">
            <v>#N/A</v>
          </cell>
          <cell r="N1209">
            <v>16.5</v>
          </cell>
          <cell r="O1209" t="e">
            <v>#N/A</v>
          </cell>
          <cell r="P1209" t="str">
            <v/>
          </cell>
          <cell r="Q1209" t="str">
            <v/>
          </cell>
          <cell r="R1209">
            <v>16.5</v>
          </cell>
        </row>
        <row r="1210">
          <cell r="A1210" t="str">
            <v/>
          </cell>
          <cell r="B1210" t="str">
            <v/>
          </cell>
          <cell r="C1210" t="str">
            <v>Future</v>
          </cell>
          <cell r="D1210" t="e">
            <v>#N/A</v>
          </cell>
          <cell r="E1210">
            <v>-21.718918918919041</v>
          </cell>
          <cell r="F1210">
            <v>22.26756756756799</v>
          </cell>
          <cell r="G1210">
            <v>13.470270270270351</v>
          </cell>
          <cell r="H1210">
            <v>13.470270270270351</v>
          </cell>
          <cell r="I1210" t="e">
            <v>#N/A</v>
          </cell>
          <cell r="J1210" t="e">
            <v>#N/A</v>
          </cell>
          <cell r="K1210">
            <v>17.5</v>
          </cell>
          <cell r="L1210">
            <v>14</v>
          </cell>
          <cell r="M1210" t="e">
            <v>#N/A</v>
          </cell>
          <cell r="N1210">
            <v>16.5</v>
          </cell>
          <cell r="O1210" t="e">
            <v>#N/A</v>
          </cell>
          <cell r="P1210" t="str">
            <v/>
          </cell>
          <cell r="Q1210" t="str">
            <v/>
          </cell>
          <cell r="R1210">
            <v>16.5</v>
          </cell>
        </row>
        <row r="1211">
          <cell r="A1211" t="str">
            <v/>
          </cell>
          <cell r="B1211" t="str">
            <v/>
          </cell>
          <cell r="C1211" t="str">
            <v>Future</v>
          </cell>
          <cell r="D1211" t="e">
            <v>#N/A</v>
          </cell>
          <cell r="E1211">
            <v>-21.774324324324446</v>
          </cell>
          <cell r="F1211">
            <v>22.279729729730153</v>
          </cell>
          <cell r="G1211">
            <v>13.468918918919</v>
          </cell>
          <cell r="H1211">
            <v>13.468918918919</v>
          </cell>
          <cell r="I1211" t="e">
            <v>#N/A</v>
          </cell>
          <cell r="J1211" t="e">
            <v>#N/A</v>
          </cell>
          <cell r="K1211">
            <v>17.5</v>
          </cell>
          <cell r="L1211">
            <v>14</v>
          </cell>
          <cell r="M1211" t="e">
            <v>#N/A</v>
          </cell>
          <cell r="N1211">
            <v>16.5</v>
          </cell>
          <cell r="O1211" t="e">
            <v>#N/A</v>
          </cell>
          <cell r="P1211" t="str">
            <v/>
          </cell>
          <cell r="Q1211" t="str">
            <v/>
          </cell>
          <cell r="R1211">
            <v>16.5</v>
          </cell>
        </row>
        <row r="1212">
          <cell r="A1212" t="str">
            <v/>
          </cell>
          <cell r="B1212" t="str">
            <v/>
          </cell>
          <cell r="C1212" t="str">
            <v>Future</v>
          </cell>
          <cell r="D1212" t="e">
            <v>#N/A</v>
          </cell>
          <cell r="E1212">
            <v>-21.829729729729852</v>
          </cell>
          <cell r="F1212">
            <v>22.291891891892316</v>
          </cell>
          <cell r="G1212">
            <v>13.467567567567649</v>
          </cell>
          <cell r="H1212">
            <v>13.467567567567649</v>
          </cell>
          <cell r="I1212" t="e">
            <v>#N/A</v>
          </cell>
          <cell r="J1212" t="e">
            <v>#N/A</v>
          </cell>
          <cell r="K1212">
            <v>17.5</v>
          </cell>
          <cell r="L1212">
            <v>14</v>
          </cell>
          <cell r="M1212" t="e">
            <v>#N/A</v>
          </cell>
          <cell r="N1212">
            <v>16.5</v>
          </cell>
          <cell r="O1212" t="e">
            <v>#N/A</v>
          </cell>
          <cell r="P1212" t="str">
            <v/>
          </cell>
          <cell r="Q1212" t="str">
            <v/>
          </cell>
          <cell r="R1212">
            <v>16.5</v>
          </cell>
        </row>
        <row r="1213">
          <cell r="A1213" t="str">
            <v/>
          </cell>
          <cell r="B1213" t="str">
            <v/>
          </cell>
          <cell r="C1213" t="str">
            <v>Future</v>
          </cell>
          <cell r="D1213" t="e">
            <v>#N/A</v>
          </cell>
          <cell r="E1213">
            <v>-21.885135135135258</v>
          </cell>
          <cell r="F1213">
            <v>22.304054054054479</v>
          </cell>
          <cell r="G1213">
            <v>13.466216216216297</v>
          </cell>
          <cell r="H1213">
            <v>13.466216216216297</v>
          </cell>
          <cell r="I1213" t="e">
            <v>#N/A</v>
          </cell>
          <cell r="J1213" t="e">
            <v>#N/A</v>
          </cell>
          <cell r="K1213">
            <v>17.5</v>
          </cell>
          <cell r="L1213">
            <v>14</v>
          </cell>
          <cell r="M1213" t="e">
            <v>#N/A</v>
          </cell>
          <cell r="N1213">
            <v>16.5</v>
          </cell>
          <cell r="O1213" t="e">
            <v>#N/A</v>
          </cell>
          <cell r="P1213" t="str">
            <v/>
          </cell>
          <cell r="Q1213" t="str">
            <v/>
          </cell>
          <cell r="R1213">
            <v>16.5</v>
          </cell>
        </row>
        <row r="1214">
          <cell r="A1214" t="str">
            <v/>
          </cell>
          <cell r="B1214" t="str">
            <v/>
          </cell>
          <cell r="C1214" t="str">
            <v>Future</v>
          </cell>
          <cell r="D1214" t="e">
            <v>#N/A</v>
          </cell>
          <cell r="E1214">
            <v>-21.940540540540663</v>
          </cell>
          <cell r="F1214">
            <v>22.316216216216642</v>
          </cell>
          <cell r="G1214">
            <v>13.464864864864946</v>
          </cell>
          <cell r="H1214">
            <v>13.464864864864946</v>
          </cell>
          <cell r="I1214" t="e">
            <v>#N/A</v>
          </cell>
          <cell r="J1214" t="e">
            <v>#N/A</v>
          </cell>
          <cell r="K1214">
            <v>17.5</v>
          </cell>
          <cell r="L1214">
            <v>14</v>
          </cell>
          <cell r="M1214" t="e">
            <v>#N/A</v>
          </cell>
          <cell r="N1214">
            <v>16.5</v>
          </cell>
          <cell r="O1214" t="e">
            <v>#N/A</v>
          </cell>
          <cell r="P1214" t="str">
            <v/>
          </cell>
          <cell r="Q1214" t="str">
            <v/>
          </cell>
          <cell r="R1214">
            <v>16.5</v>
          </cell>
        </row>
        <row r="1215">
          <cell r="A1215" t="str">
            <v/>
          </cell>
          <cell r="B1215" t="str">
            <v/>
          </cell>
          <cell r="C1215" t="str">
            <v>Future</v>
          </cell>
          <cell r="D1215" t="e">
            <v>#N/A</v>
          </cell>
          <cell r="E1215">
            <v>-21.995945945946069</v>
          </cell>
          <cell r="F1215">
            <v>22.328378378378805</v>
          </cell>
          <cell r="G1215">
            <v>13.463513513513595</v>
          </cell>
          <cell r="H1215">
            <v>13.463513513513595</v>
          </cell>
          <cell r="I1215" t="e">
            <v>#N/A</v>
          </cell>
          <cell r="J1215" t="e">
            <v>#N/A</v>
          </cell>
          <cell r="K1215">
            <v>17.5</v>
          </cell>
          <cell r="L1215">
            <v>14</v>
          </cell>
          <cell r="M1215" t="e">
            <v>#N/A</v>
          </cell>
          <cell r="N1215">
            <v>16.5</v>
          </cell>
          <cell r="O1215" t="e">
            <v>#N/A</v>
          </cell>
          <cell r="P1215" t="str">
            <v/>
          </cell>
          <cell r="Q1215" t="str">
            <v/>
          </cell>
          <cell r="R1215">
            <v>16.5</v>
          </cell>
        </row>
        <row r="1216">
          <cell r="A1216" t="str">
            <v/>
          </cell>
          <cell r="B1216" t="str">
            <v/>
          </cell>
          <cell r="C1216" t="str">
            <v>Future</v>
          </cell>
          <cell r="D1216" t="e">
            <v>#N/A</v>
          </cell>
          <cell r="E1216">
            <v>-22.051351351351475</v>
          </cell>
          <cell r="F1216">
            <v>22.340540540540967</v>
          </cell>
          <cell r="G1216">
            <v>13.462162162162244</v>
          </cell>
          <cell r="H1216">
            <v>13.462162162162244</v>
          </cell>
          <cell r="I1216" t="e">
            <v>#N/A</v>
          </cell>
          <cell r="J1216" t="e">
            <v>#N/A</v>
          </cell>
          <cell r="K1216">
            <v>17.5</v>
          </cell>
          <cell r="L1216">
            <v>14</v>
          </cell>
          <cell r="M1216" t="e">
            <v>#N/A</v>
          </cell>
          <cell r="N1216">
            <v>16.5</v>
          </cell>
          <cell r="O1216" t="e">
            <v>#N/A</v>
          </cell>
          <cell r="P1216" t="str">
            <v/>
          </cell>
          <cell r="Q1216" t="str">
            <v/>
          </cell>
          <cell r="R1216">
            <v>16.5</v>
          </cell>
        </row>
        <row r="1217">
          <cell r="A1217" t="str">
            <v/>
          </cell>
          <cell r="B1217" t="str">
            <v/>
          </cell>
          <cell r="C1217" t="str">
            <v>Future</v>
          </cell>
          <cell r="D1217" t="e">
            <v>#N/A</v>
          </cell>
          <cell r="E1217">
            <v>-22.10675675675688</v>
          </cell>
          <cell r="F1217">
            <v>22.35270270270313</v>
          </cell>
          <cell r="G1217">
            <v>13.460810810810893</v>
          </cell>
          <cell r="H1217">
            <v>13.460810810810893</v>
          </cell>
          <cell r="I1217" t="e">
            <v>#N/A</v>
          </cell>
          <cell r="J1217" t="e">
            <v>#N/A</v>
          </cell>
          <cell r="K1217">
            <v>17.5</v>
          </cell>
          <cell r="L1217">
            <v>14</v>
          </cell>
          <cell r="M1217" t="e">
            <v>#N/A</v>
          </cell>
          <cell r="N1217">
            <v>16.5</v>
          </cell>
          <cell r="O1217" t="e">
            <v>#N/A</v>
          </cell>
          <cell r="P1217" t="str">
            <v/>
          </cell>
          <cell r="Q1217" t="str">
            <v/>
          </cell>
          <cell r="R1217">
            <v>16.5</v>
          </cell>
        </row>
        <row r="1218">
          <cell r="A1218" t="str">
            <v/>
          </cell>
          <cell r="B1218" t="str">
            <v/>
          </cell>
          <cell r="C1218" t="str">
            <v>Future</v>
          </cell>
          <cell r="D1218" t="e">
            <v>#N/A</v>
          </cell>
          <cell r="E1218">
            <v>-22.162162162162286</v>
          </cell>
          <cell r="F1218">
            <v>22.364864864865293</v>
          </cell>
          <cell r="G1218">
            <v>13.459459459459541</v>
          </cell>
          <cell r="H1218">
            <v>13.459459459459541</v>
          </cell>
          <cell r="I1218" t="e">
            <v>#N/A</v>
          </cell>
          <cell r="J1218" t="e">
            <v>#N/A</v>
          </cell>
          <cell r="K1218">
            <v>17.5</v>
          </cell>
          <cell r="L1218">
            <v>14</v>
          </cell>
          <cell r="M1218" t="e">
            <v>#N/A</v>
          </cell>
          <cell r="N1218">
            <v>16.5</v>
          </cell>
          <cell r="O1218" t="e">
            <v>#N/A</v>
          </cell>
          <cell r="P1218" t="str">
            <v/>
          </cell>
          <cell r="Q1218" t="str">
            <v/>
          </cell>
          <cell r="R1218">
            <v>16.5</v>
          </cell>
        </row>
        <row r="1219">
          <cell r="A1219" t="str">
            <v/>
          </cell>
          <cell r="B1219" t="str">
            <v/>
          </cell>
          <cell r="C1219" t="str">
            <v>Future</v>
          </cell>
          <cell r="D1219" t="e">
            <v>#N/A</v>
          </cell>
          <cell r="E1219">
            <v>-22.217567567567691</v>
          </cell>
          <cell r="F1219">
            <v>22.377027027027456</v>
          </cell>
          <cell r="G1219">
            <v>13.45810810810819</v>
          </cell>
          <cell r="H1219">
            <v>13.45810810810819</v>
          </cell>
          <cell r="I1219" t="e">
            <v>#N/A</v>
          </cell>
          <cell r="J1219" t="e">
            <v>#N/A</v>
          </cell>
          <cell r="K1219">
            <v>17.5</v>
          </cell>
          <cell r="L1219">
            <v>14</v>
          </cell>
          <cell r="M1219" t="e">
            <v>#N/A</v>
          </cell>
          <cell r="N1219">
            <v>16.5</v>
          </cell>
          <cell r="O1219" t="e">
            <v>#N/A</v>
          </cell>
          <cell r="P1219" t="str">
            <v/>
          </cell>
          <cell r="Q1219" t="str">
            <v/>
          </cell>
          <cell r="R1219">
            <v>16.5</v>
          </cell>
        </row>
        <row r="1220">
          <cell r="A1220" t="str">
            <v/>
          </cell>
          <cell r="B1220" t="str">
            <v/>
          </cell>
          <cell r="C1220" t="str">
            <v>Future</v>
          </cell>
          <cell r="D1220" t="e">
            <v>#N/A</v>
          </cell>
          <cell r="E1220">
            <v>-22.272972972973097</v>
          </cell>
          <cell r="F1220">
            <v>22.389189189189619</v>
          </cell>
          <cell r="G1220">
            <v>13.456756756756839</v>
          </cell>
          <cell r="H1220">
            <v>13.456756756756839</v>
          </cell>
          <cell r="I1220" t="e">
            <v>#N/A</v>
          </cell>
          <cell r="J1220" t="e">
            <v>#N/A</v>
          </cell>
          <cell r="K1220">
            <v>17.5</v>
          </cell>
          <cell r="L1220">
            <v>14</v>
          </cell>
          <cell r="M1220" t="e">
            <v>#N/A</v>
          </cell>
          <cell r="N1220">
            <v>16.5</v>
          </cell>
          <cell r="O1220" t="e">
            <v>#N/A</v>
          </cell>
          <cell r="P1220" t="str">
            <v/>
          </cell>
          <cell r="Q1220" t="str">
            <v/>
          </cell>
          <cell r="R1220">
            <v>16.5</v>
          </cell>
        </row>
        <row r="1221">
          <cell r="A1221" t="str">
            <v/>
          </cell>
          <cell r="B1221" t="str">
            <v/>
          </cell>
          <cell r="C1221" t="str">
            <v>Future</v>
          </cell>
          <cell r="D1221" t="e">
            <v>#N/A</v>
          </cell>
          <cell r="E1221">
            <v>-22.328378378378503</v>
          </cell>
          <cell r="F1221">
            <v>22.401351351351781</v>
          </cell>
          <cell r="G1221">
            <v>13.455405405405488</v>
          </cell>
          <cell r="H1221">
            <v>13.455405405405488</v>
          </cell>
          <cell r="I1221" t="e">
            <v>#N/A</v>
          </cell>
          <cell r="J1221" t="e">
            <v>#N/A</v>
          </cell>
          <cell r="K1221">
            <v>17.5</v>
          </cell>
          <cell r="L1221">
            <v>14</v>
          </cell>
          <cell r="M1221" t="e">
            <v>#N/A</v>
          </cell>
          <cell r="N1221">
            <v>16.5</v>
          </cell>
          <cell r="O1221" t="e">
            <v>#N/A</v>
          </cell>
          <cell r="P1221" t="str">
            <v/>
          </cell>
          <cell r="Q1221" t="str">
            <v/>
          </cell>
          <cell r="R1221">
            <v>16.5</v>
          </cell>
        </row>
        <row r="1222">
          <cell r="A1222" t="str">
            <v/>
          </cell>
          <cell r="B1222" t="str">
            <v/>
          </cell>
          <cell r="C1222" t="str">
            <v>Future</v>
          </cell>
          <cell r="D1222" t="e">
            <v>#N/A</v>
          </cell>
          <cell r="E1222">
            <v>-22.383783783783908</v>
          </cell>
          <cell r="F1222">
            <v>22.413513513513944</v>
          </cell>
          <cell r="G1222">
            <v>13.454054054054136</v>
          </cell>
          <cell r="H1222">
            <v>13.454054054054136</v>
          </cell>
          <cell r="I1222" t="e">
            <v>#N/A</v>
          </cell>
          <cell r="J1222" t="e">
            <v>#N/A</v>
          </cell>
          <cell r="K1222">
            <v>17.5</v>
          </cell>
          <cell r="L1222">
            <v>14</v>
          </cell>
          <cell r="M1222" t="e">
            <v>#N/A</v>
          </cell>
          <cell r="N1222">
            <v>16.5</v>
          </cell>
          <cell r="O1222" t="e">
            <v>#N/A</v>
          </cell>
          <cell r="P1222" t="str">
            <v/>
          </cell>
          <cell r="Q1222" t="str">
            <v/>
          </cell>
          <cell r="R1222">
            <v>16.5</v>
          </cell>
        </row>
        <row r="1223">
          <cell r="A1223" t="str">
            <v/>
          </cell>
          <cell r="B1223" t="str">
            <v/>
          </cell>
          <cell r="C1223" t="str">
            <v>Future</v>
          </cell>
          <cell r="D1223" t="e">
            <v>#N/A</v>
          </cell>
          <cell r="E1223">
            <v>-22.439189189189314</v>
          </cell>
          <cell r="F1223">
            <v>22.425675675676107</v>
          </cell>
          <cell r="G1223">
            <v>13.452702702702785</v>
          </cell>
          <cell r="H1223">
            <v>13.452702702702785</v>
          </cell>
          <cell r="I1223" t="e">
            <v>#N/A</v>
          </cell>
          <cell r="J1223" t="e">
            <v>#N/A</v>
          </cell>
          <cell r="K1223">
            <v>17.5</v>
          </cell>
          <cell r="L1223">
            <v>14</v>
          </cell>
          <cell r="M1223" t="e">
            <v>#N/A</v>
          </cell>
          <cell r="N1223">
            <v>16.5</v>
          </cell>
          <cell r="O1223" t="e">
            <v>#N/A</v>
          </cell>
          <cell r="P1223" t="str">
            <v/>
          </cell>
          <cell r="Q1223" t="str">
            <v/>
          </cell>
          <cell r="R1223">
            <v>16.5</v>
          </cell>
        </row>
        <row r="1224">
          <cell r="A1224" t="str">
            <v/>
          </cell>
          <cell r="B1224" t="str">
            <v/>
          </cell>
          <cell r="C1224" t="str">
            <v>Future</v>
          </cell>
          <cell r="D1224" t="e">
            <v>#N/A</v>
          </cell>
          <cell r="E1224">
            <v>-22.494594594594719</v>
          </cell>
          <cell r="F1224">
            <v>22.43783783783827</v>
          </cell>
          <cell r="G1224">
            <v>13.451351351351434</v>
          </cell>
          <cell r="H1224">
            <v>13.451351351351434</v>
          </cell>
          <cell r="I1224" t="e">
            <v>#N/A</v>
          </cell>
          <cell r="J1224" t="e">
            <v>#N/A</v>
          </cell>
          <cell r="K1224">
            <v>17.5</v>
          </cell>
          <cell r="L1224">
            <v>14</v>
          </cell>
          <cell r="M1224" t="e">
            <v>#N/A</v>
          </cell>
          <cell r="N1224">
            <v>16.5</v>
          </cell>
          <cell r="O1224" t="e">
            <v>#N/A</v>
          </cell>
          <cell r="P1224" t="str">
            <v/>
          </cell>
          <cell r="Q1224" t="str">
            <v/>
          </cell>
          <cell r="R1224">
            <v>16.5</v>
          </cell>
        </row>
        <row r="1225">
          <cell r="A1225" t="str">
            <v/>
          </cell>
          <cell r="B1225" t="str">
            <v/>
          </cell>
          <cell r="C1225" t="str">
            <v>Future</v>
          </cell>
          <cell r="D1225" t="e">
            <v>#N/A</v>
          </cell>
          <cell r="E1225">
            <v>-22.550000000000125</v>
          </cell>
          <cell r="F1225">
            <v>22.450000000000433</v>
          </cell>
          <cell r="G1225">
            <v>13.450000000000083</v>
          </cell>
          <cell r="H1225">
            <v>13.450000000000083</v>
          </cell>
          <cell r="I1225" t="e">
            <v>#N/A</v>
          </cell>
          <cell r="J1225" t="e">
            <v>#N/A</v>
          </cell>
          <cell r="K1225">
            <v>17.5</v>
          </cell>
          <cell r="L1225">
            <v>14</v>
          </cell>
          <cell r="M1225" t="e">
            <v>#N/A</v>
          </cell>
          <cell r="N1225">
            <v>16.5</v>
          </cell>
          <cell r="O1225" t="e">
            <v>#N/A</v>
          </cell>
          <cell r="P1225" t="str">
            <v/>
          </cell>
          <cell r="Q1225" t="str">
            <v/>
          </cell>
          <cell r="R1225">
            <v>16.5</v>
          </cell>
        </row>
        <row r="1226">
          <cell r="A1226" t="str">
            <v/>
          </cell>
          <cell r="B1226" t="str">
            <v/>
          </cell>
          <cell r="C1226" t="str">
            <v>Future</v>
          </cell>
          <cell r="D1226" t="e">
            <v>#N/A</v>
          </cell>
          <cell r="E1226">
            <v>-22.605405405405531</v>
          </cell>
          <cell r="F1226">
            <v>22.462162162162596</v>
          </cell>
          <cell r="G1226">
            <v>13.448648648648732</v>
          </cell>
          <cell r="H1226">
            <v>13.448648648648732</v>
          </cell>
          <cell r="I1226" t="e">
            <v>#N/A</v>
          </cell>
          <cell r="J1226" t="e">
            <v>#N/A</v>
          </cell>
          <cell r="K1226">
            <v>17.5</v>
          </cell>
          <cell r="L1226">
            <v>14</v>
          </cell>
          <cell r="M1226" t="e">
            <v>#N/A</v>
          </cell>
          <cell r="N1226">
            <v>16.5</v>
          </cell>
          <cell r="O1226" t="e">
            <v>#N/A</v>
          </cell>
          <cell r="P1226" t="str">
            <v/>
          </cell>
          <cell r="Q1226" t="str">
            <v/>
          </cell>
          <cell r="R1226">
            <v>16.5</v>
          </cell>
        </row>
        <row r="1227">
          <cell r="A1227" t="str">
            <v/>
          </cell>
          <cell r="B1227" t="str">
            <v/>
          </cell>
          <cell r="C1227" t="str">
            <v>Future</v>
          </cell>
          <cell r="D1227" t="e">
            <v>#N/A</v>
          </cell>
          <cell r="E1227">
            <v>-22.660810810810936</v>
          </cell>
          <cell r="F1227">
            <v>22.474324324324758</v>
          </cell>
          <cell r="G1227">
            <v>13.44729729729738</v>
          </cell>
          <cell r="H1227">
            <v>13.44729729729738</v>
          </cell>
          <cell r="I1227" t="e">
            <v>#N/A</v>
          </cell>
          <cell r="J1227" t="e">
            <v>#N/A</v>
          </cell>
          <cell r="K1227">
            <v>17.5</v>
          </cell>
          <cell r="L1227">
            <v>14</v>
          </cell>
          <cell r="M1227" t="e">
            <v>#N/A</v>
          </cell>
          <cell r="N1227">
            <v>16.5</v>
          </cell>
          <cell r="O1227" t="e">
            <v>#N/A</v>
          </cell>
          <cell r="P1227" t="str">
            <v/>
          </cell>
          <cell r="Q1227" t="str">
            <v/>
          </cell>
          <cell r="R1227">
            <v>16.5</v>
          </cell>
        </row>
        <row r="1228">
          <cell r="A1228" t="str">
            <v/>
          </cell>
          <cell r="B1228" t="str">
            <v/>
          </cell>
          <cell r="C1228" t="str">
            <v>Future</v>
          </cell>
          <cell r="D1228" t="e">
            <v>#N/A</v>
          </cell>
          <cell r="E1228">
            <v>-22.716216216216342</v>
          </cell>
          <cell r="F1228">
            <v>22.486486486486921</v>
          </cell>
          <cell r="G1228">
            <v>13.445945945946029</v>
          </cell>
          <cell r="H1228">
            <v>13.445945945946029</v>
          </cell>
          <cell r="I1228" t="e">
            <v>#N/A</v>
          </cell>
          <cell r="J1228" t="e">
            <v>#N/A</v>
          </cell>
          <cell r="K1228">
            <v>17.5</v>
          </cell>
          <cell r="L1228">
            <v>14</v>
          </cell>
          <cell r="M1228" t="e">
            <v>#N/A</v>
          </cell>
          <cell r="N1228">
            <v>16.5</v>
          </cell>
          <cell r="O1228" t="e">
            <v>#N/A</v>
          </cell>
          <cell r="P1228" t="str">
            <v/>
          </cell>
          <cell r="Q1228" t="str">
            <v/>
          </cell>
          <cell r="R1228">
            <v>16.5</v>
          </cell>
        </row>
        <row r="1229">
          <cell r="A1229" t="str">
            <v/>
          </cell>
          <cell r="B1229" t="str">
            <v/>
          </cell>
          <cell r="C1229" t="str">
            <v>Future</v>
          </cell>
          <cell r="D1229" t="e">
            <v>#N/A</v>
          </cell>
          <cell r="E1229">
            <v>-22.771621621621748</v>
          </cell>
          <cell r="F1229">
            <v>22.498648648649084</v>
          </cell>
          <cell r="G1229">
            <v>13.444594594594678</v>
          </cell>
          <cell r="H1229">
            <v>13.444594594594678</v>
          </cell>
          <cell r="I1229" t="e">
            <v>#N/A</v>
          </cell>
          <cell r="J1229" t="e">
            <v>#N/A</v>
          </cell>
          <cell r="K1229">
            <v>17.5</v>
          </cell>
          <cell r="L1229">
            <v>14</v>
          </cell>
          <cell r="M1229" t="e">
            <v>#N/A</v>
          </cell>
          <cell r="N1229">
            <v>16.5</v>
          </cell>
          <cell r="O1229" t="e">
            <v>#N/A</v>
          </cell>
          <cell r="P1229" t="str">
            <v/>
          </cell>
          <cell r="Q1229" t="str">
            <v/>
          </cell>
          <cell r="R1229">
            <v>16.5</v>
          </cell>
        </row>
        <row r="1230">
          <cell r="A1230" t="str">
            <v/>
          </cell>
          <cell r="B1230" t="str">
            <v/>
          </cell>
          <cell r="C1230" t="str">
            <v>Future</v>
          </cell>
          <cell r="D1230" t="e">
            <v>#N/A</v>
          </cell>
          <cell r="E1230">
            <v>-22.827027027027153</v>
          </cell>
          <cell r="F1230">
            <v>22.510810810811247</v>
          </cell>
          <cell r="G1230">
            <v>13.443243243243327</v>
          </cell>
          <cell r="H1230">
            <v>13.443243243243327</v>
          </cell>
          <cell r="I1230" t="e">
            <v>#N/A</v>
          </cell>
          <cell r="J1230" t="e">
            <v>#N/A</v>
          </cell>
          <cell r="K1230">
            <v>17.5</v>
          </cell>
          <cell r="L1230">
            <v>14</v>
          </cell>
          <cell r="M1230" t="e">
            <v>#N/A</v>
          </cell>
          <cell r="N1230">
            <v>16.5</v>
          </cell>
          <cell r="O1230" t="e">
            <v>#N/A</v>
          </cell>
          <cell r="P1230" t="str">
            <v/>
          </cell>
          <cell r="Q1230" t="str">
            <v/>
          </cell>
          <cell r="R1230">
            <v>16.5</v>
          </cell>
        </row>
        <row r="1231">
          <cell r="A1231" t="str">
            <v/>
          </cell>
          <cell r="B1231" t="str">
            <v/>
          </cell>
          <cell r="C1231" t="str">
            <v>Future</v>
          </cell>
          <cell r="D1231" t="e">
            <v>#N/A</v>
          </cell>
          <cell r="E1231">
            <v>-22.882432432432559</v>
          </cell>
          <cell r="F1231">
            <v>22.52297297297341</v>
          </cell>
          <cell r="G1231">
            <v>13.441891891891975</v>
          </cell>
          <cell r="H1231">
            <v>13.441891891891975</v>
          </cell>
          <cell r="I1231" t="e">
            <v>#N/A</v>
          </cell>
          <cell r="J1231" t="e">
            <v>#N/A</v>
          </cell>
          <cell r="K1231">
            <v>17.5</v>
          </cell>
          <cell r="L1231">
            <v>14</v>
          </cell>
          <cell r="M1231" t="e">
            <v>#N/A</v>
          </cell>
          <cell r="N1231">
            <v>16.5</v>
          </cell>
          <cell r="O1231" t="e">
            <v>#N/A</v>
          </cell>
          <cell r="P1231" t="str">
            <v/>
          </cell>
          <cell r="Q1231" t="str">
            <v/>
          </cell>
          <cell r="R1231">
            <v>16.5</v>
          </cell>
        </row>
        <row r="1232">
          <cell r="A1232" t="str">
            <v/>
          </cell>
          <cell r="B1232" t="str">
            <v/>
          </cell>
          <cell r="C1232" t="str">
            <v>Future</v>
          </cell>
          <cell r="D1232" t="e">
            <v>#N/A</v>
          </cell>
          <cell r="E1232">
            <v>-22.937837837837964</v>
          </cell>
          <cell r="F1232">
            <v>22.535135135135572</v>
          </cell>
          <cell r="G1232">
            <v>13.440540540540624</v>
          </cell>
          <cell r="H1232">
            <v>13.440540540540624</v>
          </cell>
          <cell r="I1232" t="e">
            <v>#N/A</v>
          </cell>
          <cell r="J1232" t="e">
            <v>#N/A</v>
          </cell>
          <cell r="K1232">
            <v>17.5</v>
          </cell>
          <cell r="L1232">
            <v>14</v>
          </cell>
          <cell r="M1232" t="e">
            <v>#N/A</v>
          </cell>
          <cell r="N1232">
            <v>16.5</v>
          </cell>
          <cell r="O1232" t="e">
            <v>#N/A</v>
          </cell>
          <cell r="P1232" t="str">
            <v/>
          </cell>
          <cell r="Q1232" t="str">
            <v/>
          </cell>
          <cell r="R1232">
            <v>16.5</v>
          </cell>
        </row>
        <row r="1233">
          <cell r="A1233" t="str">
            <v/>
          </cell>
          <cell r="B1233" t="str">
            <v/>
          </cell>
          <cell r="C1233" t="str">
            <v>Future</v>
          </cell>
          <cell r="D1233" t="e">
            <v>#N/A</v>
          </cell>
          <cell r="E1233">
            <v>-22.99324324324337</v>
          </cell>
          <cell r="F1233">
            <v>22.547297297297735</v>
          </cell>
          <cell r="G1233">
            <v>13.439189189189273</v>
          </cell>
          <cell r="H1233">
            <v>13.439189189189273</v>
          </cell>
          <cell r="I1233" t="e">
            <v>#N/A</v>
          </cell>
          <cell r="J1233" t="e">
            <v>#N/A</v>
          </cell>
          <cell r="K1233">
            <v>17.5</v>
          </cell>
          <cell r="L1233">
            <v>14</v>
          </cell>
          <cell r="M1233" t="e">
            <v>#N/A</v>
          </cell>
          <cell r="N1233">
            <v>16.5</v>
          </cell>
          <cell r="O1233" t="e">
            <v>#N/A</v>
          </cell>
          <cell r="P1233" t="str">
            <v/>
          </cell>
          <cell r="Q1233" t="str">
            <v/>
          </cell>
          <cell r="R1233">
            <v>16.5</v>
          </cell>
        </row>
        <row r="1234">
          <cell r="A1234" t="str">
            <v/>
          </cell>
          <cell r="B1234" t="str">
            <v/>
          </cell>
          <cell r="C1234" t="str">
            <v>Future</v>
          </cell>
          <cell r="D1234" t="e">
            <v>#N/A</v>
          </cell>
          <cell r="E1234">
            <v>-23.048648648648776</v>
          </cell>
          <cell r="F1234">
            <v>22.559459459459898</v>
          </cell>
          <cell r="G1234">
            <v>13.437837837837922</v>
          </cell>
          <cell r="H1234">
            <v>13.437837837837922</v>
          </cell>
          <cell r="I1234" t="e">
            <v>#N/A</v>
          </cell>
          <cell r="J1234" t="e">
            <v>#N/A</v>
          </cell>
          <cell r="K1234">
            <v>17.5</v>
          </cell>
          <cell r="L1234">
            <v>14</v>
          </cell>
          <cell r="M1234" t="e">
            <v>#N/A</v>
          </cell>
          <cell r="N1234">
            <v>16.5</v>
          </cell>
          <cell r="O1234" t="e">
            <v>#N/A</v>
          </cell>
          <cell r="P1234" t="str">
            <v/>
          </cell>
          <cell r="Q1234" t="str">
            <v/>
          </cell>
          <cell r="R1234">
            <v>16.5</v>
          </cell>
        </row>
        <row r="1235">
          <cell r="A1235" t="str">
            <v/>
          </cell>
          <cell r="B1235" t="str">
            <v/>
          </cell>
          <cell r="C1235" t="str">
            <v>Future</v>
          </cell>
          <cell r="D1235" t="e">
            <v>#N/A</v>
          </cell>
          <cell r="E1235">
            <v>-23.104054054054181</v>
          </cell>
          <cell r="F1235">
            <v>22.571621621622061</v>
          </cell>
          <cell r="G1235">
            <v>13.436486486486571</v>
          </cell>
          <cell r="H1235">
            <v>13.436486486486571</v>
          </cell>
          <cell r="I1235" t="e">
            <v>#N/A</v>
          </cell>
          <cell r="J1235" t="e">
            <v>#N/A</v>
          </cell>
          <cell r="K1235">
            <v>17.5</v>
          </cell>
          <cell r="L1235">
            <v>14</v>
          </cell>
          <cell r="M1235" t="e">
            <v>#N/A</v>
          </cell>
          <cell r="N1235">
            <v>16.5</v>
          </cell>
          <cell r="O1235" t="e">
            <v>#N/A</v>
          </cell>
          <cell r="P1235" t="str">
            <v/>
          </cell>
          <cell r="Q1235" t="str">
            <v/>
          </cell>
          <cell r="R1235">
            <v>16.5</v>
          </cell>
        </row>
        <row r="1236">
          <cell r="A1236" t="str">
            <v/>
          </cell>
          <cell r="B1236" t="str">
            <v/>
          </cell>
          <cell r="C1236" t="str">
            <v>Future</v>
          </cell>
          <cell r="D1236" t="e">
            <v>#N/A</v>
          </cell>
          <cell r="E1236">
            <v>-23.159459459459587</v>
          </cell>
          <cell r="F1236">
            <v>22.583783783784224</v>
          </cell>
          <cell r="G1236">
            <v>13.435135135135219</v>
          </cell>
          <cell r="H1236">
            <v>13.435135135135219</v>
          </cell>
          <cell r="I1236" t="e">
            <v>#N/A</v>
          </cell>
          <cell r="J1236" t="e">
            <v>#N/A</v>
          </cell>
          <cell r="K1236">
            <v>17.5</v>
          </cell>
          <cell r="L1236">
            <v>14</v>
          </cell>
          <cell r="M1236" t="e">
            <v>#N/A</v>
          </cell>
          <cell r="N1236">
            <v>16.5</v>
          </cell>
          <cell r="O1236" t="e">
            <v>#N/A</v>
          </cell>
          <cell r="P1236" t="str">
            <v/>
          </cell>
          <cell r="Q1236" t="str">
            <v/>
          </cell>
          <cell r="R1236">
            <v>16.5</v>
          </cell>
        </row>
        <row r="1237">
          <cell r="A1237" t="str">
            <v/>
          </cell>
          <cell r="B1237" t="str">
            <v/>
          </cell>
          <cell r="C1237" t="str">
            <v>Future</v>
          </cell>
          <cell r="D1237" t="e">
            <v>#N/A</v>
          </cell>
          <cell r="E1237">
            <v>-23.214864864864992</v>
          </cell>
          <cell r="F1237">
            <v>22.595945945946387</v>
          </cell>
          <cell r="G1237">
            <v>13.433783783783868</v>
          </cell>
          <cell r="H1237">
            <v>13.433783783783868</v>
          </cell>
          <cell r="I1237" t="e">
            <v>#N/A</v>
          </cell>
          <cell r="J1237" t="e">
            <v>#N/A</v>
          </cell>
          <cell r="K1237">
            <v>17.5</v>
          </cell>
          <cell r="L1237">
            <v>14</v>
          </cell>
          <cell r="M1237" t="e">
            <v>#N/A</v>
          </cell>
          <cell r="N1237">
            <v>16.5</v>
          </cell>
          <cell r="O1237" t="e">
            <v>#N/A</v>
          </cell>
          <cell r="P1237" t="str">
            <v/>
          </cell>
          <cell r="Q1237" t="str">
            <v/>
          </cell>
          <cell r="R1237">
            <v>16.5</v>
          </cell>
        </row>
        <row r="1238">
          <cell r="A1238" t="str">
            <v/>
          </cell>
          <cell r="B1238" t="str">
            <v/>
          </cell>
          <cell r="C1238" t="str">
            <v>Future</v>
          </cell>
          <cell r="D1238" t="e">
            <v>#N/A</v>
          </cell>
          <cell r="E1238">
            <v>-23.270270270270398</v>
          </cell>
          <cell r="F1238">
            <v>22.608108108108549</v>
          </cell>
          <cell r="G1238">
            <v>13.432432432432517</v>
          </cell>
          <cell r="H1238">
            <v>13.432432432432517</v>
          </cell>
          <cell r="I1238" t="e">
            <v>#N/A</v>
          </cell>
          <cell r="J1238" t="e">
            <v>#N/A</v>
          </cell>
          <cell r="K1238">
            <v>17.5</v>
          </cell>
          <cell r="L1238">
            <v>14</v>
          </cell>
          <cell r="M1238" t="e">
            <v>#N/A</v>
          </cell>
          <cell r="N1238">
            <v>16.5</v>
          </cell>
          <cell r="O1238" t="e">
            <v>#N/A</v>
          </cell>
          <cell r="P1238" t="str">
            <v/>
          </cell>
          <cell r="Q1238" t="str">
            <v/>
          </cell>
          <cell r="R1238">
            <v>16.5</v>
          </cell>
        </row>
        <row r="1239">
          <cell r="A1239" t="str">
            <v/>
          </cell>
          <cell r="B1239" t="str">
            <v/>
          </cell>
          <cell r="C1239" t="str">
            <v>Future</v>
          </cell>
          <cell r="D1239" t="e">
            <v>#N/A</v>
          </cell>
          <cell r="E1239">
            <v>-23.325675675675804</v>
          </cell>
          <cell r="F1239">
            <v>22.620270270270712</v>
          </cell>
          <cell r="G1239">
            <v>13.431081081081166</v>
          </cell>
          <cell r="H1239">
            <v>13.431081081081166</v>
          </cell>
          <cell r="I1239" t="e">
            <v>#N/A</v>
          </cell>
          <cell r="J1239" t="e">
            <v>#N/A</v>
          </cell>
          <cell r="K1239">
            <v>17.5</v>
          </cell>
          <cell r="L1239">
            <v>14</v>
          </cell>
          <cell r="M1239" t="e">
            <v>#N/A</v>
          </cell>
          <cell r="N1239">
            <v>16.5</v>
          </cell>
          <cell r="O1239" t="e">
            <v>#N/A</v>
          </cell>
          <cell r="P1239" t="str">
            <v/>
          </cell>
          <cell r="Q1239" t="str">
            <v/>
          </cell>
          <cell r="R1239">
            <v>16.5</v>
          </cell>
        </row>
        <row r="1240">
          <cell r="A1240" t="str">
            <v/>
          </cell>
          <cell r="B1240" t="str">
            <v/>
          </cell>
          <cell r="C1240" t="str">
            <v>Future</v>
          </cell>
          <cell r="D1240" t="e">
            <v>#N/A</v>
          </cell>
          <cell r="E1240">
            <v>-23.381081081081209</v>
          </cell>
          <cell r="F1240">
            <v>22.632432432432875</v>
          </cell>
          <cell r="G1240">
            <v>13.429729729729814</v>
          </cell>
          <cell r="H1240">
            <v>13.429729729729814</v>
          </cell>
          <cell r="I1240" t="e">
            <v>#N/A</v>
          </cell>
          <cell r="J1240" t="e">
            <v>#N/A</v>
          </cell>
          <cell r="K1240">
            <v>17.5</v>
          </cell>
          <cell r="L1240">
            <v>14</v>
          </cell>
          <cell r="M1240" t="e">
            <v>#N/A</v>
          </cell>
          <cell r="N1240">
            <v>16.5</v>
          </cell>
          <cell r="O1240" t="e">
            <v>#N/A</v>
          </cell>
          <cell r="P1240" t="str">
            <v/>
          </cell>
          <cell r="Q1240" t="str">
            <v/>
          </cell>
          <cell r="R1240">
            <v>16.5</v>
          </cell>
        </row>
        <row r="1241">
          <cell r="A1241" t="str">
            <v/>
          </cell>
          <cell r="B1241" t="str">
            <v/>
          </cell>
          <cell r="C1241" t="str">
            <v>Future</v>
          </cell>
          <cell r="D1241" t="e">
            <v>#N/A</v>
          </cell>
          <cell r="E1241">
            <v>-23.436486486486615</v>
          </cell>
          <cell r="F1241">
            <v>22.644594594595038</v>
          </cell>
          <cell r="G1241">
            <v>13.428378378378463</v>
          </cell>
          <cell r="H1241">
            <v>13.428378378378463</v>
          </cell>
          <cell r="I1241" t="e">
            <v>#N/A</v>
          </cell>
          <cell r="J1241" t="e">
            <v>#N/A</v>
          </cell>
          <cell r="K1241">
            <v>17.5</v>
          </cell>
          <cell r="L1241">
            <v>14</v>
          </cell>
          <cell r="M1241" t="e">
            <v>#N/A</v>
          </cell>
          <cell r="N1241">
            <v>16.5</v>
          </cell>
          <cell r="O1241" t="e">
            <v>#N/A</v>
          </cell>
          <cell r="P1241" t="str">
            <v/>
          </cell>
          <cell r="Q1241" t="str">
            <v/>
          </cell>
          <cell r="R1241">
            <v>16.5</v>
          </cell>
        </row>
        <row r="1242">
          <cell r="A1242" t="str">
            <v/>
          </cell>
          <cell r="B1242" t="str">
            <v/>
          </cell>
          <cell r="C1242" t="str">
            <v>Future</v>
          </cell>
          <cell r="D1242" t="e">
            <v>#N/A</v>
          </cell>
          <cell r="E1242">
            <v>-23.491891891892021</v>
          </cell>
          <cell r="F1242">
            <v>22.656756756757201</v>
          </cell>
          <cell r="G1242">
            <v>13.427027027027112</v>
          </cell>
          <cell r="H1242">
            <v>13.427027027027112</v>
          </cell>
          <cell r="I1242" t="e">
            <v>#N/A</v>
          </cell>
          <cell r="J1242" t="e">
            <v>#N/A</v>
          </cell>
          <cell r="K1242">
            <v>17.5</v>
          </cell>
          <cell r="L1242">
            <v>14</v>
          </cell>
          <cell r="M1242" t="e">
            <v>#N/A</v>
          </cell>
          <cell r="N1242">
            <v>16.5</v>
          </cell>
          <cell r="O1242" t="e">
            <v>#N/A</v>
          </cell>
          <cell r="P1242" t="str">
            <v/>
          </cell>
          <cell r="Q1242" t="str">
            <v/>
          </cell>
          <cell r="R1242">
            <v>16.5</v>
          </cell>
        </row>
        <row r="1243">
          <cell r="A1243" t="str">
            <v/>
          </cell>
          <cell r="B1243" t="str">
            <v/>
          </cell>
          <cell r="C1243" t="str">
            <v>Future</v>
          </cell>
          <cell r="D1243" t="e">
            <v>#N/A</v>
          </cell>
          <cell r="E1243">
            <v>-23.547297297297426</v>
          </cell>
          <cell r="F1243">
            <v>22.668918918919363</v>
          </cell>
          <cell r="G1243">
            <v>13.425675675675761</v>
          </cell>
          <cell r="H1243">
            <v>13.425675675675761</v>
          </cell>
          <cell r="I1243" t="e">
            <v>#N/A</v>
          </cell>
          <cell r="J1243" t="e">
            <v>#N/A</v>
          </cell>
          <cell r="K1243">
            <v>17.5</v>
          </cell>
          <cell r="L1243">
            <v>14</v>
          </cell>
          <cell r="M1243" t="e">
            <v>#N/A</v>
          </cell>
          <cell r="N1243">
            <v>16.5</v>
          </cell>
          <cell r="O1243" t="e">
            <v>#N/A</v>
          </cell>
          <cell r="P1243" t="str">
            <v/>
          </cell>
          <cell r="Q1243" t="str">
            <v/>
          </cell>
          <cell r="R1243">
            <v>16.5</v>
          </cell>
        </row>
        <row r="1244">
          <cell r="A1244" t="str">
            <v/>
          </cell>
          <cell r="B1244" t="str">
            <v/>
          </cell>
          <cell r="C1244" t="str">
            <v>Future</v>
          </cell>
          <cell r="D1244" t="e">
            <v>#N/A</v>
          </cell>
          <cell r="E1244">
            <v>-23.602702702702832</v>
          </cell>
          <cell r="F1244">
            <v>22.681081081081526</v>
          </cell>
          <cell r="G1244">
            <v>13.424324324324409</v>
          </cell>
          <cell r="H1244">
            <v>13.424324324324409</v>
          </cell>
          <cell r="I1244" t="e">
            <v>#N/A</v>
          </cell>
          <cell r="J1244" t="e">
            <v>#N/A</v>
          </cell>
          <cell r="K1244">
            <v>17.5</v>
          </cell>
          <cell r="L1244">
            <v>14</v>
          </cell>
          <cell r="M1244" t="e">
            <v>#N/A</v>
          </cell>
          <cell r="N1244">
            <v>16.5</v>
          </cell>
          <cell r="O1244" t="e">
            <v>#N/A</v>
          </cell>
          <cell r="P1244" t="str">
            <v/>
          </cell>
          <cell r="Q1244" t="str">
            <v/>
          </cell>
          <cell r="R1244">
            <v>16.5</v>
          </cell>
        </row>
        <row r="1245">
          <cell r="A1245" t="str">
            <v/>
          </cell>
          <cell r="B1245" t="str">
            <v/>
          </cell>
          <cell r="C1245" t="str">
            <v>Future</v>
          </cell>
          <cell r="D1245" t="e">
            <v>#N/A</v>
          </cell>
          <cell r="E1245">
            <v>-23.658108108108237</v>
          </cell>
          <cell r="F1245">
            <v>22.693243243243689</v>
          </cell>
          <cell r="G1245">
            <v>13.422972972973058</v>
          </cell>
          <cell r="H1245">
            <v>13.422972972973058</v>
          </cell>
          <cell r="I1245" t="e">
            <v>#N/A</v>
          </cell>
          <cell r="J1245" t="e">
            <v>#N/A</v>
          </cell>
          <cell r="K1245">
            <v>17.5</v>
          </cell>
          <cell r="L1245">
            <v>14</v>
          </cell>
          <cell r="M1245" t="e">
            <v>#N/A</v>
          </cell>
          <cell r="N1245">
            <v>16.5</v>
          </cell>
          <cell r="O1245" t="e">
            <v>#N/A</v>
          </cell>
          <cell r="P1245" t="str">
            <v/>
          </cell>
          <cell r="Q1245" t="str">
            <v/>
          </cell>
          <cell r="R1245">
            <v>16.5</v>
          </cell>
        </row>
        <row r="1246">
          <cell r="A1246" t="str">
            <v/>
          </cell>
          <cell r="B1246" t="str">
            <v/>
          </cell>
          <cell r="C1246" t="str">
            <v>Future</v>
          </cell>
          <cell r="D1246" t="e">
            <v>#N/A</v>
          </cell>
          <cell r="E1246">
            <v>-23.713513513513643</v>
          </cell>
          <cell r="F1246">
            <v>22.705405405405852</v>
          </cell>
          <cell r="G1246">
            <v>13.421621621621707</v>
          </cell>
          <cell r="H1246">
            <v>13.421621621621707</v>
          </cell>
          <cell r="I1246" t="e">
            <v>#N/A</v>
          </cell>
          <cell r="J1246" t="e">
            <v>#N/A</v>
          </cell>
          <cell r="K1246">
            <v>17.5</v>
          </cell>
          <cell r="L1246">
            <v>14</v>
          </cell>
          <cell r="M1246" t="e">
            <v>#N/A</v>
          </cell>
          <cell r="N1246">
            <v>16.5</v>
          </cell>
          <cell r="O1246" t="e">
            <v>#N/A</v>
          </cell>
          <cell r="P1246" t="str">
            <v/>
          </cell>
          <cell r="Q1246" t="str">
            <v/>
          </cell>
          <cell r="R1246">
            <v>16.5</v>
          </cell>
        </row>
        <row r="1247">
          <cell r="A1247" t="str">
            <v/>
          </cell>
          <cell r="B1247" t="str">
            <v/>
          </cell>
          <cell r="C1247" t="str">
            <v>Future</v>
          </cell>
          <cell r="D1247" t="e">
            <v>#N/A</v>
          </cell>
          <cell r="E1247">
            <v>-23.768918918919049</v>
          </cell>
          <cell r="F1247">
            <v>22.717567567568015</v>
          </cell>
          <cell r="G1247">
            <v>13.420270270270356</v>
          </cell>
          <cell r="H1247">
            <v>13.420270270270356</v>
          </cell>
          <cell r="I1247" t="e">
            <v>#N/A</v>
          </cell>
          <cell r="J1247" t="e">
            <v>#N/A</v>
          </cell>
          <cell r="K1247">
            <v>17.5</v>
          </cell>
          <cell r="L1247">
            <v>14</v>
          </cell>
          <cell r="M1247" t="e">
            <v>#N/A</v>
          </cell>
          <cell r="N1247">
            <v>16.5</v>
          </cell>
          <cell r="O1247" t="e">
            <v>#N/A</v>
          </cell>
          <cell r="P1247" t="str">
            <v/>
          </cell>
          <cell r="Q1247" t="str">
            <v/>
          </cell>
          <cell r="R1247">
            <v>16.5</v>
          </cell>
        </row>
        <row r="1248">
          <cell r="A1248" t="str">
            <v/>
          </cell>
          <cell r="B1248" t="str">
            <v/>
          </cell>
          <cell r="C1248" t="str">
            <v>Future</v>
          </cell>
          <cell r="D1248" t="e">
            <v>#N/A</v>
          </cell>
          <cell r="E1248">
            <v>-23.824324324324454</v>
          </cell>
          <cell r="F1248">
            <v>22.729729729730177</v>
          </cell>
          <cell r="G1248">
            <v>13.418918918919005</v>
          </cell>
          <cell r="H1248">
            <v>13.418918918919005</v>
          </cell>
          <cell r="I1248" t="e">
            <v>#N/A</v>
          </cell>
          <cell r="J1248" t="e">
            <v>#N/A</v>
          </cell>
          <cell r="K1248">
            <v>17.5</v>
          </cell>
          <cell r="L1248">
            <v>14</v>
          </cell>
          <cell r="M1248" t="e">
            <v>#N/A</v>
          </cell>
          <cell r="N1248">
            <v>16.5</v>
          </cell>
          <cell r="O1248" t="e">
            <v>#N/A</v>
          </cell>
          <cell r="P1248" t="str">
            <v/>
          </cell>
          <cell r="Q1248" t="str">
            <v/>
          </cell>
          <cell r="R1248">
            <v>16.5</v>
          </cell>
        </row>
        <row r="1249">
          <cell r="A1249" t="str">
            <v/>
          </cell>
          <cell r="B1249" t="str">
            <v/>
          </cell>
          <cell r="C1249" t="str">
            <v>Future</v>
          </cell>
          <cell r="D1249" t="e">
            <v>#N/A</v>
          </cell>
          <cell r="E1249">
            <v>-23.87972972972986</v>
          </cell>
          <cell r="F1249">
            <v>22.74189189189234</v>
          </cell>
          <cell r="G1249">
            <v>13.417567567567653</v>
          </cell>
          <cell r="H1249">
            <v>13.417567567567653</v>
          </cell>
          <cell r="I1249" t="e">
            <v>#N/A</v>
          </cell>
          <cell r="J1249" t="e">
            <v>#N/A</v>
          </cell>
          <cell r="K1249">
            <v>17.5</v>
          </cell>
          <cell r="L1249">
            <v>14</v>
          </cell>
          <cell r="M1249" t="e">
            <v>#N/A</v>
          </cell>
          <cell r="N1249">
            <v>16.5</v>
          </cell>
          <cell r="O1249" t="e">
            <v>#N/A</v>
          </cell>
          <cell r="P1249" t="str">
            <v/>
          </cell>
          <cell r="Q1249" t="str">
            <v/>
          </cell>
          <cell r="R1249">
            <v>16.5</v>
          </cell>
        </row>
        <row r="1250">
          <cell r="A1250" t="str">
            <v/>
          </cell>
          <cell r="B1250" t="str">
            <v/>
          </cell>
          <cell r="C1250" t="str">
            <v>Future</v>
          </cell>
          <cell r="D1250" t="e">
            <v>#N/A</v>
          </cell>
          <cell r="E1250">
            <v>-23.935135135135265</v>
          </cell>
          <cell r="F1250">
            <v>22.754054054054503</v>
          </cell>
          <cell r="G1250">
            <v>13.416216216216302</v>
          </cell>
          <cell r="H1250">
            <v>13.416216216216302</v>
          </cell>
          <cell r="I1250" t="e">
            <v>#N/A</v>
          </cell>
          <cell r="J1250" t="e">
            <v>#N/A</v>
          </cell>
          <cell r="K1250">
            <v>17.5</v>
          </cell>
          <cell r="L1250">
            <v>14</v>
          </cell>
          <cell r="M1250" t="e">
            <v>#N/A</v>
          </cell>
          <cell r="N1250">
            <v>16.5</v>
          </cell>
          <cell r="O1250" t="e">
            <v>#N/A</v>
          </cell>
          <cell r="P1250" t="str">
            <v/>
          </cell>
          <cell r="Q1250" t="str">
            <v/>
          </cell>
          <cell r="R1250">
            <v>16.5</v>
          </cell>
        </row>
        <row r="1251">
          <cell r="A1251" t="str">
            <v/>
          </cell>
          <cell r="B1251" t="str">
            <v/>
          </cell>
          <cell r="C1251" t="str">
            <v>Future</v>
          </cell>
          <cell r="D1251" t="e">
            <v>#N/A</v>
          </cell>
          <cell r="E1251">
            <v>-23.990540540540671</v>
          </cell>
          <cell r="F1251">
            <v>22.766216216216666</v>
          </cell>
          <cell r="G1251">
            <v>13.414864864864951</v>
          </cell>
          <cell r="H1251">
            <v>13.414864864864951</v>
          </cell>
          <cell r="I1251" t="e">
            <v>#N/A</v>
          </cell>
          <cell r="J1251" t="e">
            <v>#N/A</v>
          </cell>
          <cell r="K1251">
            <v>17.5</v>
          </cell>
          <cell r="L1251">
            <v>14</v>
          </cell>
          <cell r="M1251" t="e">
            <v>#N/A</v>
          </cell>
          <cell r="N1251">
            <v>16.5</v>
          </cell>
          <cell r="O1251" t="e">
            <v>#N/A</v>
          </cell>
          <cell r="P1251" t="str">
            <v/>
          </cell>
          <cell r="Q1251" t="str">
            <v/>
          </cell>
          <cell r="R1251">
            <v>16.5</v>
          </cell>
        </row>
        <row r="1252">
          <cell r="A1252" t="str">
            <v/>
          </cell>
          <cell r="B1252" t="str">
            <v/>
          </cell>
          <cell r="C1252" t="str">
            <v>Future</v>
          </cell>
          <cell r="D1252" t="e">
            <v>#N/A</v>
          </cell>
          <cell r="E1252">
            <v>-24.045945945946077</v>
          </cell>
          <cell r="F1252">
            <v>22.778378378378829</v>
          </cell>
          <cell r="G1252">
            <v>13.4135135135136</v>
          </cell>
          <cell r="H1252">
            <v>13.4135135135136</v>
          </cell>
          <cell r="I1252" t="e">
            <v>#N/A</v>
          </cell>
          <cell r="J1252" t="e">
            <v>#N/A</v>
          </cell>
          <cell r="K1252">
            <v>17.5</v>
          </cell>
          <cell r="L1252">
            <v>14</v>
          </cell>
          <cell r="M1252" t="e">
            <v>#N/A</v>
          </cell>
          <cell r="N1252">
            <v>16.5</v>
          </cell>
          <cell r="O1252" t="e">
            <v>#N/A</v>
          </cell>
          <cell r="P1252" t="str">
            <v/>
          </cell>
          <cell r="Q1252" t="str">
            <v/>
          </cell>
          <cell r="R1252">
            <v>16.5</v>
          </cell>
        </row>
        <row r="1253">
          <cell r="A1253" t="str">
            <v/>
          </cell>
          <cell r="P1253" t="str">
            <v/>
          </cell>
          <cell r="Q1253" t="str">
            <v/>
          </cell>
        </row>
      </sheetData>
      <sheetData sheetId="11" refreshError="1"/>
      <sheetData sheetId="12" refreshError="1"/>
      <sheetData sheetId="13" refreshError="1">
        <row r="1">
          <cell r="N1" t="str">
            <v>SmartCharts</v>
          </cell>
          <cell r="AW1" t="str">
            <v>.</v>
          </cell>
        </row>
        <row r="2">
          <cell r="AW2" t="str">
            <v>.</v>
          </cell>
        </row>
        <row r="3">
          <cell r="AW3" t="str">
            <v>.</v>
          </cell>
        </row>
        <row r="4">
          <cell r="AW4" t="str">
            <v>.</v>
          </cell>
        </row>
        <row r="5">
          <cell r="C5" t="str">
            <v>Define value axis here:</v>
          </cell>
        </row>
        <row r="6">
          <cell r="C6" t="str">
            <v>Capex ($mil)</v>
          </cell>
        </row>
        <row r="10">
          <cell r="C10" t="str">
            <v>Input your data here:</v>
          </cell>
          <cell r="AW10" t="str">
            <v>.</v>
          </cell>
        </row>
        <row r="11">
          <cell r="C11">
            <v>2009</v>
          </cell>
          <cell r="D11">
            <v>800.62199999999996</v>
          </cell>
        </row>
        <row r="12">
          <cell r="C12">
            <v>2010</v>
          </cell>
          <cell r="D12">
            <v>568.05700000000002</v>
          </cell>
          <cell r="AW12" t="str">
            <v>.</v>
          </cell>
        </row>
        <row r="13">
          <cell r="C13" t="str">
            <v>2011e</v>
          </cell>
          <cell r="D13">
            <v>488.18299999999999</v>
          </cell>
          <cell r="AW13" t="str">
            <v>.</v>
          </cell>
        </row>
        <row r="14">
          <cell r="C14" t="str">
            <v>2012e</v>
          </cell>
          <cell r="D14">
            <v>473.17525000000001</v>
          </cell>
          <cell r="AW14" t="str">
            <v>.</v>
          </cell>
        </row>
        <row r="15">
          <cell r="C15" t="str">
            <v>2013e</v>
          </cell>
          <cell r="D15">
            <v>411.15758333333338</v>
          </cell>
          <cell r="AW15" t="str">
            <v>.</v>
          </cell>
        </row>
        <row r="16">
          <cell r="C16" t="str">
            <v>2014e</v>
          </cell>
          <cell r="D16">
            <v>411.15758333333338</v>
          </cell>
          <cell r="AW16" t="str">
            <v>.</v>
          </cell>
        </row>
        <row r="17">
          <cell r="C17" t="str">
            <v>2015e</v>
          </cell>
          <cell r="D17">
            <v>411.15758333333338</v>
          </cell>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14" refreshError="1">
        <row r="1">
          <cell r="P1" t="str">
            <v>SmartCharts</v>
          </cell>
        </row>
        <row r="6">
          <cell r="C6" t="str">
            <v>Input value axis title here:</v>
          </cell>
        </row>
        <row r="7">
          <cell r="C7" t="str">
            <v>Current Dividend as % of Projected FCF</v>
          </cell>
        </row>
        <row r="10">
          <cell r="C10" t="str">
            <v>Input your data here:</v>
          </cell>
          <cell r="BB10" t="str">
            <v>.</v>
          </cell>
        </row>
        <row r="11">
          <cell r="D11" t="str">
            <v>Pre-Dividend FCF</v>
          </cell>
          <cell r="E11" t="str">
            <v>Current Dividend</v>
          </cell>
          <cell r="F11" t="str">
            <v>Div. / FCF</v>
          </cell>
          <cell r="AB11" t="str">
            <v>Cells below are used for chart calculations; please do not make any changes</v>
          </cell>
        </row>
        <row r="12">
          <cell r="AB12">
            <v>244.75657931408091</v>
          </cell>
          <cell r="AC12">
            <v>244.75657931408091</v>
          </cell>
        </row>
        <row r="13">
          <cell r="AB13">
            <v>244.75657931408091</v>
          </cell>
          <cell r="AC13">
            <v>244.75657931408091</v>
          </cell>
        </row>
        <row r="14">
          <cell r="C14" t="str">
            <v>2011e</v>
          </cell>
          <cell r="D14">
            <v>96.736330472514965</v>
          </cell>
          <cell r="E14">
            <v>113</v>
          </cell>
          <cell r="F14">
            <v>1.1681236971471223</v>
          </cell>
          <cell r="AB14">
            <v>148.02024884156594</v>
          </cell>
          <cell r="AC14">
            <v>131.75657931408091</v>
          </cell>
        </row>
        <row r="15">
          <cell r="C15" t="str">
            <v>2012e</v>
          </cell>
          <cell r="D15">
            <v>170.37541823634081</v>
          </cell>
          <cell r="E15">
            <v>113</v>
          </cell>
          <cell r="F15">
            <v>0.66324121853804663</v>
          </cell>
          <cell r="AB15">
            <v>74.381161077740103</v>
          </cell>
          <cell r="AC15">
            <v>131.75657931408091</v>
          </cell>
        </row>
        <row r="16">
          <cell r="C16" t="str">
            <v>2013e</v>
          </cell>
          <cell r="D16">
            <v>192.95025703722308</v>
          </cell>
          <cell r="E16">
            <v>113</v>
          </cell>
          <cell r="F16">
            <v>0.58564316904848979</v>
          </cell>
          <cell r="AB16">
            <v>51.806322276857827</v>
          </cell>
          <cell r="AC16">
            <v>131.75657931408091</v>
          </cell>
        </row>
        <row r="17">
          <cell r="C17" t="str">
            <v>2014e</v>
          </cell>
          <cell r="D17">
            <v>216.27040321437914</v>
          </cell>
          <cell r="E17">
            <v>113</v>
          </cell>
          <cell r="F17">
            <v>0.52249405522210157</v>
          </cell>
          <cell r="AB17">
            <v>28.486176099701765</v>
          </cell>
          <cell r="AC17">
            <v>131.75657931408091</v>
          </cell>
        </row>
        <row r="18">
          <cell r="C18" t="str">
            <v>2015e</v>
          </cell>
          <cell r="D18">
            <v>244.75657931408091</v>
          </cell>
          <cell r="E18">
            <v>113</v>
          </cell>
          <cell r="F18">
            <v>0.46168319689986403</v>
          </cell>
          <cell r="AB18">
            <v>0</v>
          </cell>
          <cell r="AC18">
            <v>131.75657931408091</v>
          </cell>
        </row>
        <row r="19">
          <cell r="AB19">
            <v>244.75657931408091</v>
          </cell>
          <cell r="AC19">
            <v>244.75657931408091</v>
          </cell>
        </row>
        <row r="20">
          <cell r="AB20">
            <v>244.75657931408091</v>
          </cell>
          <cell r="AC20">
            <v>244.75657931408091</v>
          </cell>
        </row>
        <row r="21">
          <cell r="AB21">
            <v>244.75657931408091</v>
          </cell>
          <cell r="AC21">
            <v>244.75657931408091</v>
          </cell>
        </row>
        <row r="22">
          <cell r="AB22">
            <v>244.75657931408091</v>
          </cell>
          <cell r="AC22">
            <v>244.75657931408091</v>
          </cell>
        </row>
        <row r="23">
          <cell r="AB23">
            <v>244.75657931408091</v>
          </cell>
          <cell r="AC23">
            <v>244.75657931408091</v>
          </cell>
        </row>
        <row r="24">
          <cell r="AB24">
            <v>244.75657931408091</v>
          </cell>
          <cell r="AC24">
            <v>244.75657931408091</v>
          </cell>
        </row>
        <row r="25">
          <cell r="AB25">
            <v>244.75657931408091</v>
          </cell>
          <cell r="AC25">
            <v>244.75657931408091</v>
          </cell>
        </row>
        <row r="26">
          <cell r="AB26">
            <v>244.75657931408091</v>
          </cell>
          <cell r="AC26">
            <v>244.75657931408091</v>
          </cell>
        </row>
        <row r="27">
          <cell r="AB27">
            <v>244.75657931408091</v>
          </cell>
          <cell r="AC27">
            <v>244.75657931408091</v>
          </cell>
        </row>
        <row r="28">
          <cell r="AB28">
            <v>244.75657931408091</v>
          </cell>
          <cell r="AC28">
            <v>244.75657931408091</v>
          </cell>
        </row>
        <row r="29">
          <cell r="AB29">
            <v>244.75657931408091</v>
          </cell>
          <cell r="AC29">
            <v>244.75657931408091</v>
          </cell>
        </row>
        <row r="30">
          <cell r="AB30">
            <v>244.75657931408091</v>
          </cell>
          <cell r="AC30">
            <v>244.75657931408091</v>
          </cell>
        </row>
        <row r="31">
          <cell r="AB31">
            <v>244.75657931408091</v>
          </cell>
          <cell r="AC31">
            <v>244.75657931408091</v>
          </cell>
        </row>
        <row r="998">
          <cell r="R998" t="str">
            <v>.</v>
          </cell>
          <cell r="S998" t="str">
            <v>.</v>
          </cell>
          <cell r="T998" t="str">
            <v>.</v>
          </cell>
          <cell r="U998" t="str">
            <v>.</v>
          </cell>
          <cell r="V998" t="str">
            <v>.</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Valuation Summary"/>
      <sheetName val="__FDSCACHE__"/>
      <sheetName val="Financial Summary"/>
      <sheetName val="NVE - Consolidated"/>
      <sheetName val="Nevada Power"/>
      <sheetName val="Sierra Power"/>
      <sheetName val="Parent"/>
      <sheetName val="Debt"/>
      <sheetName val="EPS Walk"/>
      <sheetName val="MWA RR"/>
      <sheetName val="Note Tables"/>
      <sheetName val="mwareDates"/>
      <sheetName val="Capex Chart"/>
      <sheetName val="FCF-Div. Working Chart"/>
      <sheetName val="MW FDS"/>
      <sheetName val="mwareSettings"/>
      <sheetName val="MW-Cache"/>
      <sheetName val="Summary"/>
      <sheetName val="misc"/>
      <sheetName val="Margi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1">
          <cell r="A1" t="str">
            <v>RRS-5.13</v>
          </cell>
          <cell r="D1" t="str">
            <v>RISK-REWARD SNAPSHOT
(You must upload your model to ModelWare to capture changes to your scenario values and NOT delete this worksheet.)</v>
          </cell>
          <cell r="I1" t="str">
            <v>Select Language</v>
          </cell>
          <cell r="N1" t="str">
            <v>http://ChartGallery</v>
          </cell>
          <cell r="O1" t="str">
            <v>http://ChartGallery</v>
          </cell>
          <cell r="AA1" t="str">
            <v>ElementName</v>
          </cell>
          <cell r="AB1" t="str">
            <v>ScaleOverride</v>
          </cell>
          <cell r="AC1" t="str">
            <v>UnitOverride</v>
          </cell>
          <cell r="AD1" t="str">
            <v>ReverseSign</v>
          </cell>
          <cell r="AE1" t="str">
            <v>IsDrivingAssumption</v>
          </cell>
          <cell r="AF1" t="str">
            <v>SegmentID</v>
          </cell>
        </row>
        <row r="2">
          <cell r="B2" t="str">
            <v>Instructions:</v>
          </cell>
          <cell r="G2" t="str">
            <v>Is refreshing chart data too slow? Read below to improve performance.</v>
          </cell>
          <cell r="AQ2" t="str">
            <v>Refer to cell G2 to learn about improving chart refresh performance</v>
          </cell>
        </row>
        <row r="4">
          <cell r="B4" t="str">
            <v>Ticker:</v>
          </cell>
          <cell r="C4" t="str">
            <v>NVE.N</v>
          </cell>
          <cell r="E4" t="str">
            <v>Company Name:</v>
          </cell>
          <cell r="F4" t="str">
            <v>NV Energy Inc.</v>
          </cell>
          <cell r="I4" t="str">
            <v>Sedol:</v>
          </cell>
          <cell r="J4">
            <v>244379</v>
          </cell>
          <cell r="K4" t="str">
            <v>NA</v>
          </cell>
        </row>
        <row r="5">
          <cell r="B5" t="str">
            <v xml:space="preserve">Chart Data Inputs (decimal formats will reflect on chart): </v>
          </cell>
          <cell r="H5" t="str">
            <v>Risk Reward Chart Gallery 
(Click on the below image for other Risk-Reward Charts)</v>
          </cell>
        </row>
        <row r="6">
          <cell r="B6" t="str">
            <v>Bull Case</v>
          </cell>
          <cell r="C6">
            <v>17.5</v>
          </cell>
          <cell r="AA6" t="str">
            <v>mstag:bullCaseValueEstimatePerShare</v>
          </cell>
          <cell r="AB6">
            <v>0</v>
          </cell>
          <cell r="AC6" t="str">
            <v>ISO4217:USD</v>
          </cell>
          <cell r="AD6" t="b">
            <v>0</v>
          </cell>
        </row>
        <row r="7">
          <cell r="B7" t="str">
            <v>Base Case</v>
          </cell>
          <cell r="C7">
            <v>16.5</v>
          </cell>
          <cell r="AA7" t="str">
            <v>mstag:met_12monthIntrinsicValueEstimate</v>
          </cell>
          <cell r="AB7">
            <v>0</v>
          </cell>
          <cell r="AC7" t="str">
            <v>ISO4217:USD</v>
          </cell>
          <cell r="AD7" t="b">
            <v>0</v>
          </cell>
        </row>
        <row r="8">
          <cell r="B8" t="str">
            <v>Bear Case</v>
          </cell>
          <cell r="C8">
            <v>14</v>
          </cell>
          <cell r="K8" t="str">
            <v>日本語</v>
          </cell>
          <cell r="M8" t="str">
            <v>-</v>
          </cell>
          <cell r="AA8" t="str">
            <v>mstag:bearCaseValueEstimatePerShare</v>
          </cell>
          <cell r="AB8">
            <v>0</v>
          </cell>
          <cell r="AC8" t="str">
            <v>ISO4217:USD</v>
          </cell>
          <cell r="AD8" t="b">
            <v>0</v>
          </cell>
        </row>
        <row r="9">
          <cell r="B9" t="str">
            <v>Extreme Upside</v>
          </cell>
          <cell r="K9" t="str">
            <v>English</v>
          </cell>
          <cell r="L9" t="str">
            <v>年</v>
          </cell>
          <cell r="M9" t="str">
            <v>月</v>
          </cell>
          <cell r="N9" t="str">
            <v>-</v>
          </cell>
          <cell r="AA9" t="str">
            <v>mstag:extremeBullCaseValueEstimatePerShare</v>
          </cell>
          <cell r="AB9">
            <v>0</v>
          </cell>
          <cell r="AC9" t="str">
            <v>ISO4217:USD</v>
          </cell>
          <cell r="AD9" t="b">
            <v>0</v>
          </cell>
          <cell r="AH9" t="str">
            <v>Other Refresh Chart Option</v>
          </cell>
        </row>
        <row r="10">
          <cell r="B10" t="str">
            <v>Extreme Downside</v>
          </cell>
          <cell r="O10" t="b">
            <v>0</v>
          </cell>
          <cell r="AA10" t="str">
            <v>mstag:extremeBearCaseValueEstimatePerShare</v>
          </cell>
          <cell r="AB10">
            <v>0</v>
          </cell>
          <cell r="AC10" t="str">
            <v>ISO4217:USD</v>
          </cell>
          <cell r="AD10" t="b">
            <v>0</v>
          </cell>
        </row>
        <row r="11">
          <cell r="B11" t="str">
            <v>Price Target</v>
          </cell>
          <cell r="O11" t="b">
            <v>1</v>
          </cell>
        </row>
        <row r="12">
          <cell r="B12" t="str">
            <v>Currency</v>
          </cell>
          <cell r="C12" t="str">
            <v>USD American Dollar</v>
          </cell>
          <cell r="F12">
            <v>0</v>
          </cell>
        </row>
        <row r="13">
          <cell r="B13" t="str">
            <v>Currency Symbol</v>
          </cell>
          <cell r="C13" t="str">
            <v>$</v>
          </cell>
          <cell r="F13">
            <v>0</v>
          </cell>
          <cell r="I13" t="str">
            <v xml:space="preserve">WARNINGDONOTEDIT_RRS4RL~NVE.N~ </v>
          </cell>
        </row>
        <row r="14">
          <cell r="B14" t="str">
            <v>"Refresh RR Chart" updates chart dates below, as of today. If your PT time horizon is &gt; 1yr. or price history is &lt; 2yrs., adjust Start/End dates and select "Apply Manually Adjusted Dates" option.</v>
          </cell>
        </row>
        <row r="15">
          <cell r="B15" t="str">
            <v>Start Date (-2 Yrs)</v>
          </cell>
          <cell r="C15">
            <v>40050</v>
          </cell>
          <cell r="E15" t="str">
            <v>NA</v>
          </cell>
          <cell r="F15" t="str">
            <v>USD</v>
          </cell>
        </row>
        <row r="16">
          <cell r="B16" t="str">
            <v>End Date (+1 Yr)</v>
          </cell>
          <cell r="C16">
            <v>41146</v>
          </cell>
          <cell r="E16" t="str">
            <v>NA</v>
          </cell>
          <cell r="F16" t="str">
            <v>USD</v>
          </cell>
        </row>
        <row r="17">
          <cell r="B17">
            <v>14.35</v>
          </cell>
          <cell r="C17" t="str">
            <v>Hand entert Share Price</v>
          </cell>
          <cell r="H17" t="str">
            <v>2007-FY</v>
          </cell>
        </row>
        <row r="18">
          <cell r="B18" t="b">
            <v>0</v>
          </cell>
          <cell r="C18">
            <v>40780</v>
          </cell>
        </row>
        <row r="19">
          <cell r="C19" t="str">
            <v>2009-FY</v>
          </cell>
        </row>
        <row r="34">
          <cell r="A34" t="str">
            <v>BullCase</v>
          </cell>
        </row>
        <row r="52">
          <cell r="A52">
            <v>41146</v>
          </cell>
          <cell r="B52">
            <v>764</v>
          </cell>
          <cell r="N52" t="str">
            <v>Aug-12</v>
          </cell>
          <cell r="R52" t="b">
            <v>1</v>
          </cell>
        </row>
        <row r="53">
          <cell r="A53" t="str">
            <v>Header</v>
          </cell>
          <cell r="B53" t="str">
            <v>Date</v>
          </cell>
          <cell r="C53" t="str">
            <v>Past/Future</v>
          </cell>
          <cell r="D53" t="str">
            <v>Historical Stock Performance</v>
          </cell>
          <cell r="E53" t="str">
            <v>Extreme Upside Cone</v>
          </cell>
          <cell r="F53" t="str">
            <v>Blue Cone</v>
          </cell>
          <cell r="G53" t="str">
            <v>Extreme Downside Cone</v>
          </cell>
          <cell r="H53" t="str">
            <v>White Mask</v>
          </cell>
          <cell r="I53" t="str">
            <v>Current Stock Price</v>
          </cell>
          <cell r="J53" t="str">
            <v>Extreme Upside Price(Aug-12)</v>
          </cell>
          <cell r="K53" t="str">
            <v>Bull Price(Aug-12)</v>
          </cell>
          <cell r="L53" t="str">
            <v>Bear Price(Aug-12)</v>
          </cell>
          <cell r="M53" t="str">
            <v>Extreme Downside Price(Aug-12)</v>
          </cell>
          <cell r="N53" t="str">
            <v>Base Case  (Aug-12)</v>
          </cell>
          <cell r="O53" t="str">
            <v>Gray Line</v>
          </cell>
          <cell r="P53" t="str">
            <v>Prices</v>
          </cell>
          <cell r="Q53" t="str">
            <v>Volume</v>
          </cell>
          <cell r="R53" t="str">
            <v>Base Case(Aug-12)</v>
          </cell>
          <cell r="S53" t="str">
            <v>Header Row</v>
          </cell>
          <cell r="T53">
            <v>53</v>
          </cell>
          <cell r="U53">
            <v>0</v>
          </cell>
          <cell r="AI53" t="str">
            <v xml:space="preserve">Display </v>
          </cell>
          <cell r="AJ53" t="str">
            <v>Symbol</v>
          </cell>
          <cell r="AK53" t="str">
            <v>Unit</v>
          </cell>
          <cell r="AL53" t="str">
            <v>FactsetUnit</v>
          </cell>
          <cell r="AM53" t="str">
            <v>Right alligned</v>
          </cell>
          <cell r="AN53" t="str">
            <v>Display 2 Decimal Places for Currency Amount</v>
          </cell>
        </row>
        <row r="54">
          <cell r="A54">
            <v>40050</v>
          </cell>
          <cell r="B54">
            <v>40050</v>
          </cell>
          <cell r="C54" t="str">
            <v>Past</v>
          </cell>
          <cell r="D54">
            <v>12.21</v>
          </cell>
          <cell r="E54" t="e">
            <v>#N/A</v>
          </cell>
          <cell r="F54" t="e">
            <v>#N/A</v>
          </cell>
          <cell r="G54" t="e">
            <v>#N/A</v>
          </cell>
          <cell r="H54" t="e">
            <v>#N/A</v>
          </cell>
          <cell r="I54" t="e">
            <v>#N/A</v>
          </cell>
          <cell r="J54" t="e">
            <v>#N/A</v>
          </cell>
          <cell r="K54" t="e">
            <v>#N/A</v>
          </cell>
          <cell r="L54" t="e">
            <v>#N/A</v>
          </cell>
          <cell r="M54" t="e">
            <v>#N/A</v>
          </cell>
          <cell r="N54" t="e">
            <v>#N/A</v>
          </cell>
          <cell r="O54" t="e">
            <v>#N/A</v>
          </cell>
          <cell r="P54">
            <v>12.21</v>
          </cell>
          <cell r="Q54">
            <v>1.3155129999999999</v>
          </cell>
          <cell r="R54" t="e">
            <v>#N/A</v>
          </cell>
          <cell r="S54" t="str">
            <v>Count</v>
          </cell>
          <cell r="T54">
            <v>764</v>
          </cell>
          <cell r="U54">
            <v>17.5</v>
          </cell>
          <cell r="AI54" t="str">
            <v>AED UAE Dirham</v>
          </cell>
          <cell r="AJ54" t="str">
            <v>AED</v>
          </cell>
          <cell r="AK54" t="str">
            <v>AED</v>
          </cell>
          <cell r="AL54" t="str">
            <v>AED</v>
          </cell>
          <cell r="AM54">
            <v>0</v>
          </cell>
          <cell r="AN54">
            <v>2</v>
          </cell>
        </row>
        <row r="55">
          <cell r="A55">
            <v>40051</v>
          </cell>
          <cell r="B55">
            <v>40051</v>
          </cell>
          <cell r="C55" t="str">
            <v>Past</v>
          </cell>
          <cell r="D55">
            <v>12.3</v>
          </cell>
          <cell r="E55" t="e">
            <v>#N/A</v>
          </cell>
          <cell r="F55" t="e">
            <v>#N/A</v>
          </cell>
          <cell r="G55" t="e">
            <v>#N/A</v>
          </cell>
          <cell r="H55" t="e">
            <v>#N/A</v>
          </cell>
          <cell r="I55" t="e">
            <v>#N/A</v>
          </cell>
          <cell r="J55" t="e">
            <v>#N/A</v>
          </cell>
          <cell r="K55" t="e">
            <v>#N/A</v>
          </cell>
          <cell r="L55" t="e">
            <v>#N/A</v>
          </cell>
          <cell r="M55" t="e">
            <v>#N/A</v>
          </cell>
          <cell r="N55" t="e">
            <v>#N/A</v>
          </cell>
          <cell r="O55" t="e">
            <v>#N/A</v>
          </cell>
          <cell r="P55">
            <v>12.3</v>
          </cell>
          <cell r="Q55">
            <v>1.131678</v>
          </cell>
          <cell r="R55" t="e">
            <v>#N/A</v>
          </cell>
          <cell r="S55" t="str">
            <v>Curr Price</v>
          </cell>
          <cell r="T55">
            <v>14.35</v>
          </cell>
          <cell r="U55">
            <v>506</v>
          </cell>
          <cell r="V55">
            <v>55.094300000000004</v>
          </cell>
          <cell r="AI55" t="str">
            <v>ARS Argentinian Pesos</v>
          </cell>
          <cell r="AJ55" t="str">
            <v>Ar$</v>
          </cell>
          <cell r="AK55" t="str">
            <v>ARS</v>
          </cell>
          <cell r="AL55" t="str">
            <v>ARS</v>
          </cell>
          <cell r="AM55">
            <v>0</v>
          </cell>
          <cell r="AN55">
            <v>2</v>
          </cell>
        </row>
        <row r="56">
          <cell r="A56">
            <v>40052</v>
          </cell>
          <cell r="B56">
            <v>40052</v>
          </cell>
          <cell r="C56" t="str">
            <v>Past</v>
          </cell>
          <cell r="D56">
            <v>12.22</v>
          </cell>
          <cell r="E56" t="e">
            <v>#N/A</v>
          </cell>
          <cell r="F56" t="e">
            <v>#N/A</v>
          </cell>
          <cell r="G56" t="e">
            <v>#N/A</v>
          </cell>
          <cell r="H56" t="e">
            <v>#N/A</v>
          </cell>
          <cell r="I56" t="e">
            <v>#N/A</v>
          </cell>
          <cell r="J56" t="e">
            <v>#N/A</v>
          </cell>
          <cell r="K56" t="e">
            <v>#N/A</v>
          </cell>
          <cell r="L56" t="e">
            <v>#N/A</v>
          </cell>
          <cell r="M56" t="e">
            <v>#N/A</v>
          </cell>
          <cell r="N56" t="e">
            <v>#N/A</v>
          </cell>
          <cell r="O56" t="e">
            <v>#N/A</v>
          </cell>
          <cell r="P56">
            <v>12.22</v>
          </cell>
          <cell r="Q56">
            <v>0.87458399999999992</v>
          </cell>
          <cell r="R56" t="e">
            <v>#N/A</v>
          </cell>
          <cell r="S56" t="str">
            <v>Curr Price Date</v>
          </cell>
          <cell r="T56">
            <v>40780</v>
          </cell>
          <cell r="U56">
            <v>40519.771412037036</v>
          </cell>
          <cell r="AI56" t="str">
            <v>AUD Australian Dollar</v>
          </cell>
          <cell r="AJ56" t="str">
            <v>A$</v>
          </cell>
          <cell r="AK56" t="str">
            <v>AUD</v>
          </cell>
          <cell r="AL56" t="str">
            <v>AUD</v>
          </cell>
          <cell r="AM56">
            <v>0</v>
          </cell>
          <cell r="AN56">
            <v>2</v>
          </cell>
        </row>
        <row r="57">
          <cell r="A57">
            <v>40053</v>
          </cell>
          <cell r="B57">
            <v>40053</v>
          </cell>
          <cell r="C57" t="str">
            <v>Past</v>
          </cell>
          <cell r="D57">
            <v>12.22</v>
          </cell>
          <cell r="E57" t="e">
            <v>#N/A</v>
          </cell>
          <cell r="F57" t="e">
            <v>#N/A</v>
          </cell>
          <cell r="G57" t="e">
            <v>#N/A</v>
          </cell>
          <cell r="H57" t="e">
            <v>#N/A</v>
          </cell>
          <cell r="I57" t="e">
            <v>#N/A</v>
          </cell>
          <cell r="J57" t="e">
            <v>#N/A</v>
          </cell>
          <cell r="K57" t="e">
            <v>#N/A</v>
          </cell>
          <cell r="L57" t="e">
            <v>#N/A</v>
          </cell>
          <cell r="M57" t="e">
            <v>#N/A</v>
          </cell>
          <cell r="N57" t="e">
            <v>#N/A</v>
          </cell>
          <cell r="O57" t="e">
            <v>#N/A</v>
          </cell>
          <cell r="P57">
            <v>12.22</v>
          </cell>
          <cell r="Q57">
            <v>1.1191689999999999</v>
          </cell>
          <cell r="R57" t="e">
            <v>#N/A</v>
          </cell>
          <cell r="S57" t="str">
            <v>Bull-Curr</v>
          </cell>
          <cell r="T57">
            <v>3.1500000000000004</v>
          </cell>
          <cell r="U57">
            <v>1.2162162162162163E-2</v>
          </cell>
          <cell r="AI57" t="str">
            <v>BGL Bulgarian levs</v>
          </cell>
          <cell r="AJ57" t="str">
            <v>BGL</v>
          </cell>
          <cell r="AK57" t="str">
            <v>BGL</v>
          </cell>
          <cell r="AL57" t="str">
            <v>BGN</v>
          </cell>
          <cell r="AM57">
            <v>0</v>
          </cell>
          <cell r="AN57">
            <v>2</v>
          </cell>
        </row>
        <row r="58">
          <cell r="A58">
            <v>40056</v>
          </cell>
          <cell r="B58">
            <v>40056</v>
          </cell>
          <cell r="C58" t="str">
            <v>Past</v>
          </cell>
          <cell r="D58">
            <v>12.06</v>
          </cell>
          <cell r="E58" t="e">
            <v>#N/A</v>
          </cell>
          <cell r="F58" t="e">
            <v>#N/A</v>
          </cell>
          <cell r="G58" t="e">
            <v>#N/A</v>
          </cell>
          <cell r="H58" t="e">
            <v>#N/A</v>
          </cell>
          <cell r="I58" t="e">
            <v>#N/A</v>
          </cell>
          <cell r="J58" t="e">
            <v>#N/A</v>
          </cell>
          <cell r="K58" t="e">
            <v>#N/A</v>
          </cell>
          <cell r="L58" t="e">
            <v>#N/A</v>
          </cell>
          <cell r="M58" t="e">
            <v>#N/A</v>
          </cell>
          <cell r="N58" t="e">
            <v>#N/A</v>
          </cell>
          <cell r="O58" t="e">
            <v>#N/A</v>
          </cell>
          <cell r="P58">
            <v>12.06</v>
          </cell>
          <cell r="Q58">
            <v>1.369715</v>
          </cell>
          <cell r="R58" t="e">
            <v>#N/A</v>
          </cell>
          <cell r="S58" t="str">
            <v>Upp-Cur</v>
          </cell>
          <cell r="T58">
            <v>-14.35</v>
          </cell>
          <cell r="U58">
            <v>-5.5405405405405402E-2</v>
          </cell>
          <cell r="AI58" t="str">
            <v>BMD Bermudan Dollars</v>
          </cell>
          <cell r="AJ58" t="str">
            <v>BMD</v>
          </cell>
          <cell r="AK58" t="str">
            <v>BMD</v>
          </cell>
          <cell r="AL58" t="str">
            <v>BMD</v>
          </cell>
          <cell r="AM58">
            <v>0</v>
          </cell>
          <cell r="AN58">
            <v>2</v>
          </cell>
        </row>
        <row r="59">
          <cell r="A59">
            <v>40057</v>
          </cell>
          <cell r="B59">
            <v>40057</v>
          </cell>
          <cell r="C59" t="str">
            <v>Past</v>
          </cell>
          <cell r="D59">
            <v>11.93</v>
          </cell>
          <cell r="E59" t="e">
            <v>#N/A</v>
          </cell>
          <cell r="F59" t="e">
            <v>#N/A</v>
          </cell>
          <cell r="G59" t="e">
            <v>#N/A</v>
          </cell>
          <cell r="H59" t="e">
            <v>#N/A</v>
          </cell>
          <cell r="I59" t="e">
            <v>#N/A</v>
          </cell>
          <cell r="J59" t="e">
            <v>#N/A</v>
          </cell>
          <cell r="K59" t="e">
            <v>#N/A</v>
          </cell>
          <cell r="L59" t="e">
            <v>#N/A</v>
          </cell>
          <cell r="M59" t="e">
            <v>#N/A</v>
          </cell>
          <cell r="N59" t="e">
            <v>#N/A</v>
          </cell>
          <cell r="O59" t="e">
            <v>#N/A</v>
          </cell>
          <cell r="P59">
            <v>11.93</v>
          </cell>
          <cell r="Q59">
            <v>1.273631</v>
          </cell>
          <cell r="R59" t="e">
            <v>#N/A</v>
          </cell>
          <cell r="S59" t="str">
            <v>Curr-Bear</v>
          </cell>
          <cell r="T59">
            <v>0.34999999999999964</v>
          </cell>
          <cell r="U59">
            <v>1.3513513513513499E-3</v>
          </cell>
          <cell r="AI59" t="str">
            <v>BRL Brazilian Real</v>
          </cell>
          <cell r="AJ59" t="str">
            <v>R$</v>
          </cell>
          <cell r="AK59" t="str">
            <v>BRL</v>
          </cell>
          <cell r="AL59" t="str">
            <v>BRL</v>
          </cell>
          <cell r="AM59">
            <v>0</v>
          </cell>
          <cell r="AN59">
            <v>2</v>
          </cell>
        </row>
        <row r="60">
          <cell r="A60">
            <v>40058</v>
          </cell>
          <cell r="B60">
            <v>40058</v>
          </cell>
          <cell r="C60" t="str">
            <v>Past</v>
          </cell>
          <cell r="D60">
            <v>11.86</v>
          </cell>
          <cell r="E60" t="e">
            <v>#N/A</v>
          </cell>
          <cell r="F60" t="e">
            <v>#N/A</v>
          </cell>
          <cell r="G60" t="e">
            <v>#N/A</v>
          </cell>
          <cell r="H60" t="e">
            <v>#N/A</v>
          </cell>
          <cell r="I60" t="e">
            <v>#N/A</v>
          </cell>
          <cell r="J60" t="e">
            <v>#N/A</v>
          </cell>
          <cell r="K60" t="e">
            <v>#N/A</v>
          </cell>
          <cell r="L60" t="e">
            <v>#N/A</v>
          </cell>
          <cell r="M60" t="e">
            <v>#N/A</v>
          </cell>
          <cell r="N60" t="e">
            <v>#N/A</v>
          </cell>
          <cell r="O60" t="e">
            <v>#N/A</v>
          </cell>
          <cell r="P60">
            <v>11.86</v>
          </cell>
          <cell r="Q60">
            <v>0.99380199999999996</v>
          </cell>
          <cell r="R60" t="e">
            <v>#N/A</v>
          </cell>
          <cell r="S60" t="str">
            <v>Curr-Lower</v>
          </cell>
          <cell r="T60">
            <v>14.35</v>
          </cell>
          <cell r="U60">
            <v>5.5405405405405402E-2</v>
          </cell>
          <cell r="AI60" t="str">
            <v>CAD Canadian Dollars</v>
          </cell>
          <cell r="AJ60" t="str">
            <v>C$</v>
          </cell>
          <cell r="AK60" t="str">
            <v>CAD</v>
          </cell>
          <cell r="AL60" t="str">
            <v>CAD</v>
          </cell>
          <cell r="AM60">
            <v>0</v>
          </cell>
          <cell r="AN60">
            <v>2</v>
          </cell>
        </row>
        <row r="61">
          <cell r="A61">
            <v>40059</v>
          </cell>
          <cell r="B61">
            <v>40059</v>
          </cell>
          <cell r="C61" t="str">
            <v>Past</v>
          </cell>
          <cell r="D61">
            <v>11.82</v>
          </cell>
          <cell r="E61" t="e">
            <v>#N/A</v>
          </cell>
          <cell r="F61" t="e">
            <v>#N/A</v>
          </cell>
          <cell r="G61" t="e">
            <v>#N/A</v>
          </cell>
          <cell r="H61" t="e">
            <v>#N/A</v>
          </cell>
          <cell r="I61" t="e">
            <v>#N/A</v>
          </cell>
          <cell r="J61" t="e">
            <v>#N/A</v>
          </cell>
          <cell r="K61" t="e">
            <v>#N/A</v>
          </cell>
          <cell r="L61" t="e">
            <v>#N/A</v>
          </cell>
          <cell r="M61" t="e">
            <v>#N/A</v>
          </cell>
          <cell r="N61" t="e">
            <v>#N/A</v>
          </cell>
          <cell r="O61" t="e">
            <v>#N/A</v>
          </cell>
          <cell r="P61">
            <v>11.82</v>
          </cell>
          <cell r="Q61">
            <v>1.1897</v>
          </cell>
          <cell r="R61" t="e">
            <v>#N/A</v>
          </cell>
          <cell r="S61" t="str">
            <v>PriceFoundAt</v>
          </cell>
          <cell r="T61">
            <v>506</v>
          </cell>
          <cell r="AI61" t="str">
            <v>CHF Swiss Francs</v>
          </cell>
          <cell r="AJ61" t="str">
            <v>SFr</v>
          </cell>
          <cell r="AK61" t="str">
            <v>CHF</v>
          </cell>
          <cell r="AL61" t="str">
            <v>CHF</v>
          </cell>
          <cell r="AM61">
            <v>0</v>
          </cell>
          <cell r="AN61">
            <v>2</v>
          </cell>
        </row>
        <row r="62">
          <cell r="A62">
            <v>40060</v>
          </cell>
          <cell r="B62">
            <v>40060</v>
          </cell>
          <cell r="C62" t="str">
            <v>Past</v>
          </cell>
          <cell r="D62">
            <v>11.81</v>
          </cell>
          <cell r="E62" t="e">
            <v>#N/A</v>
          </cell>
          <cell r="F62" t="e">
            <v>#N/A</v>
          </cell>
          <cell r="G62" t="e">
            <v>#N/A</v>
          </cell>
          <cell r="H62" t="e">
            <v>#N/A</v>
          </cell>
          <cell r="I62" t="e">
            <v>#N/A</v>
          </cell>
          <cell r="J62" t="e">
            <v>#N/A</v>
          </cell>
          <cell r="K62" t="e">
            <v>#N/A</v>
          </cell>
          <cell r="L62" t="e">
            <v>#N/A</v>
          </cell>
          <cell r="M62" t="e">
            <v>#N/A</v>
          </cell>
          <cell r="N62" t="e">
            <v>#N/A</v>
          </cell>
          <cell r="O62" t="e">
            <v>#N/A</v>
          </cell>
          <cell r="P62">
            <v>11.81</v>
          </cell>
          <cell r="Q62">
            <v>1.1005549999999999</v>
          </cell>
          <cell r="R62" t="e">
            <v>#N/A</v>
          </cell>
          <cell r="S62" t="str">
            <v>Starting Point</v>
          </cell>
          <cell r="T62">
            <v>559</v>
          </cell>
          <cell r="AI62" t="str">
            <v>CLP Chilean Pesos</v>
          </cell>
          <cell r="AJ62" t="str">
            <v>CLP</v>
          </cell>
          <cell r="AK62" t="str">
            <v>CLP</v>
          </cell>
          <cell r="AL62" t="str">
            <v>CLP</v>
          </cell>
          <cell r="AM62">
            <v>0</v>
          </cell>
          <cell r="AN62">
            <v>2</v>
          </cell>
        </row>
        <row r="63">
          <cell r="A63">
            <v>40064</v>
          </cell>
          <cell r="B63">
            <v>40064</v>
          </cell>
          <cell r="C63" t="str">
            <v>Past</v>
          </cell>
          <cell r="D63">
            <v>11.83</v>
          </cell>
          <cell r="E63" t="e">
            <v>#N/A</v>
          </cell>
          <cell r="F63" t="e">
            <v>#N/A</v>
          </cell>
          <cell r="G63" t="e">
            <v>#N/A</v>
          </cell>
          <cell r="H63" t="e">
            <v>#N/A</v>
          </cell>
          <cell r="I63" t="e">
            <v>#N/A</v>
          </cell>
          <cell r="J63" t="e">
            <v>#N/A</v>
          </cell>
          <cell r="K63" t="e">
            <v>#N/A</v>
          </cell>
          <cell r="L63" t="e">
            <v>#N/A</v>
          </cell>
          <cell r="M63" t="e">
            <v>#N/A</v>
          </cell>
          <cell r="N63" t="e">
            <v>#N/A</v>
          </cell>
          <cell r="O63" t="e">
            <v>#N/A</v>
          </cell>
          <cell r="P63">
            <v>11.83</v>
          </cell>
          <cell r="Q63">
            <v>1.2291809999999999</v>
          </cell>
          <cell r="R63" t="e">
            <v>#N/A</v>
          </cell>
          <cell r="S63" t="str">
            <v>Saved</v>
          </cell>
          <cell r="T63">
            <v>259</v>
          </cell>
          <cell r="AI63" t="str">
            <v>CNY Chinese Renminbi Yuan</v>
          </cell>
          <cell r="AJ63" t="str">
            <v>Rmb</v>
          </cell>
          <cell r="AK63" t="str">
            <v>CNY</v>
          </cell>
          <cell r="AL63" t="str">
            <v>CNY</v>
          </cell>
          <cell r="AM63">
            <v>0</v>
          </cell>
          <cell r="AN63">
            <v>2</v>
          </cell>
        </row>
        <row r="64">
          <cell r="A64">
            <v>40065</v>
          </cell>
          <cell r="B64">
            <v>40065</v>
          </cell>
          <cell r="C64" t="str">
            <v>Past</v>
          </cell>
          <cell r="D64">
            <v>11.85</v>
          </cell>
          <cell r="E64" t="e">
            <v>#N/A</v>
          </cell>
          <cell r="F64" t="e">
            <v>#N/A</v>
          </cell>
          <cell r="G64" t="e">
            <v>#N/A</v>
          </cell>
          <cell r="H64" t="e">
            <v>#N/A</v>
          </cell>
          <cell r="I64" t="e">
            <v>#N/A</v>
          </cell>
          <cell r="J64" t="e">
            <v>#N/A</v>
          </cell>
          <cell r="K64" t="e">
            <v>#N/A</v>
          </cell>
          <cell r="L64" t="e">
            <v>#N/A</v>
          </cell>
          <cell r="M64" t="e">
            <v>#N/A</v>
          </cell>
          <cell r="N64" t="e">
            <v>#N/A</v>
          </cell>
          <cell r="O64" t="e">
            <v>#N/A</v>
          </cell>
          <cell r="P64">
            <v>11.85</v>
          </cell>
          <cell r="Q64">
            <v>1.3311300000000001</v>
          </cell>
          <cell r="R64" t="e">
            <v>#N/A</v>
          </cell>
          <cell r="S64" t="str">
            <v>Right alligned</v>
          </cell>
          <cell r="T64">
            <v>0</v>
          </cell>
          <cell r="AI64" t="str">
            <v>COP Colombian Peso</v>
          </cell>
          <cell r="AJ64" t="str">
            <v>COP</v>
          </cell>
          <cell r="AK64" t="str">
            <v>COP</v>
          </cell>
          <cell r="AL64" t="str">
            <v>COP</v>
          </cell>
          <cell r="AM64">
            <v>0</v>
          </cell>
          <cell r="AN64">
            <v>2</v>
          </cell>
        </row>
        <row r="65">
          <cell r="A65">
            <v>40066</v>
          </cell>
          <cell r="B65">
            <v>40066</v>
          </cell>
          <cell r="C65" t="str">
            <v>Past</v>
          </cell>
          <cell r="D65">
            <v>11.88</v>
          </cell>
          <cell r="E65" t="e">
            <v>#N/A</v>
          </cell>
          <cell r="F65" t="e">
            <v>#N/A</v>
          </cell>
          <cell r="G65" t="e">
            <v>#N/A</v>
          </cell>
          <cell r="H65" t="e">
            <v>#N/A</v>
          </cell>
          <cell r="I65" t="e">
            <v>#N/A</v>
          </cell>
          <cell r="J65" t="e">
            <v>#N/A</v>
          </cell>
          <cell r="K65" t="e">
            <v>#N/A</v>
          </cell>
          <cell r="L65" t="e">
            <v>#N/A</v>
          </cell>
          <cell r="M65" t="e">
            <v>#N/A</v>
          </cell>
          <cell r="N65" t="e">
            <v>#N/A</v>
          </cell>
          <cell r="O65" t="e">
            <v>#N/A</v>
          </cell>
          <cell r="P65">
            <v>11.88</v>
          </cell>
          <cell r="Q65">
            <v>2.2897369999999997</v>
          </cell>
          <cell r="R65" t="e">
            <v>#N/A</v>
          </cell>
          <cell r="S65" t="str">
            <v>Decimal</v>
          </cell>
          <cell r="T65">
            <v>2</v>
          </cell>
          <cell r="AI65" t="str">
            <v>CZK Czech Krona</v>
          </cell>
          <cell r="AJ65" t="str">
            <v>Kcs</v>
          </cell>
          <cell r="AK65" t="str">
            <v>CZK</v>
          </cell>
          <cell r="AL65" t="str">
            <v>CZK</v>
          </cell>
          <cell r="AM65">
            <v>0</v>
          </cell>
          <cell r="AN65">
            <v>2</v>
          </cell>
        </row>
        <row r="66">
          <cell r="A66">
            <v>40067</v>
          </cell>
          <cell r="B66">
            <v>40067</v>
          </cell>
          <cell r="C66" t="str">
            <v>Past</v>
          </cell>
          <cell r="D66">
            <v>11.56</v>
          </cell>
          <cell r="E66" t="e">
            <v>#N/A</v>
          </cell>
          <cell r="F66" t="e">
            <v>#N/A</v>
          </cell>
          <cell r="G66" t="e">
            <v>#N/A</v>
          </cell>
          <cell r="H66" t="e">
            <v>#N/A</v>
          </cell>
          <cell r="I66" t="e">
            <v>#N/A</v>
          </cell>
          <cell r="J66" t="e">
            <v>#N/A</v>
          </cell>
          <cell r="K66" t="e">
            <v>#N/A</v>
          </cell>
          <cell r="L66" t="e">
            <v>#N/A</v>
          </cell>
          <cell r="M66" t="e">
            <v>#N/A</v>
          </cell>
          <cell r="N66" t="e">
            <v>#N/A</v>
          </cell>
          <cell r="O66" t="e">
            <v>#N/A</v>
          </cell>
          <cell r="P66">
            <v>11.56</v>
          </cell>
          <cell r="Q66">
            <v>4.1574999999999998</v>
          </cell>
          <cell r="R66" t="e">
            <v>#N/A</v>
          </cell>
          <cell r="S66" t="str">
            <v>default StartDate</v>
          </cell>
          <cell r="T66">
            <v>40050</v>
          </cell>
          <cell r="AI66" t="str">
            <v>DKK Danish Krone</v>
          </cell>
          <cell r="AJ66" t="str">
            <v>DKr</v>
          </cell>
          <cell r="AK66" t="str">
            <v>DKK</v>
          </cell>
          <cell r="AL66" t="str">
            <v>DKK</v>
          </cell>
          <cell r="AM66">
            <v>0</v>
          </cell>
          <cell r="AN66">
            <v>2</v>
          </cell>
        </row>
        <row r="67">
          <cell r="A67">
            <v>40070</v>
          </cell>
          <cell r="B67">
            <v>40070</v>
          </cell>
          <cell r="C67" t="str">
            <v>Past</v>
          </cell>
          <cell r="D67">
            <v>11.76</v>
          </cell>
          <cell r="E67" t="e">
            <v>#N/A</v>
          </cell>
          <cell r="F67" t="e">
            <v>#N/A</v>
          </cell>
          <cell r="G67" t="e">
            <v>#N/A</v>
          </cell>
          <cell r="H67" t="e">
            <v>#N/A</v>
          </cell>
          <cell r="I67" t="e">
            <v>#N/A</v>
          </cell>
          <cell r="J67" t="e">
            <v>#N/A</v>
          </cell>
          <cell r="K67" t="e">
            <v>#N/A</v>
          </cell>
          <cell r="L67" t="e">
            <v>#N/A</v>
          </cell>
          <cell r="M67" t="e">
            <v>#N/A</v>
          </cell>
          <cell r="N67" t="e">
            <v>#N/A</v>
          </cell>
          <cell r="O67" t="e">
            <v>#N/A</v>
          </cell>
          <cell r="P67">
            <v>11.76</v>
          </cell>
          <cell r="Q67">
            <v>3.4181539999999999</v>
          </cell>
          <cell r="R67" t="e">
            <v>#N/A</v>
          </cell>
          <cell r="S67" t="str">
            <v>default EndDate</v>
          </cell>
          <cell r="T67">
            <v>41146</v>
          </cell>
          <cell r="AI67" t="str">
            <v>DZD Algerian Dinar</v>
          </cell>
          <cell r="AJ67" t="str">
            <v>DZD</v>
          </cell>
          <cell r="AK67" t="str">
            <v>DZD</v>
          </cell>
          <cell r="AL67" t="str">
            <v>DZD</v>
          </cell>
          <cell r="AM67">
            <v>0</v>
          </cell>
          <cell r="AN67">
            <v>2</v>
          </cell>
        </row>
        <row r="68">
          <cell r="A68">
            <v>40071</v>
          </cell>
          <cell r="B68">
            <v>40071</v>
          </cell>
          <cell r="C68" t="str">
            <v>Past</v>
          </cell>
          <cell r="D68">
            <v>11.71</v>
          </cell>
          <cell r="E68" t="e">
            <v>#N/A</v>
          </cell>
          <cell r="F68" t="e">
            <v>#N/A</v>
          </cell>
          <cell r="G68" t="e">
            <v>#N/A</v>
          </cell>
          <cell r="H68" t="e">
            <v>#N/A</v>
          </cell>
          <cell r="I68" t="e">
            <v>#N/A</v>
          </cell>
          <cell r="J68" t="e">
            <v>#N/A</v>
          </cell>
          <cell r="K68" t="e">
            <v>#N/A</v>
          </cell>
          <cell r="L68" t="e">
            <v>#N/A</v>
          </cell>
          <cell r="M68" t="e">
            <v>#N/A</v>
          </cell>
          <cell r="N68" t="e">
            <v>#N/A</v>
          </cell>
          <cell r="O68" t="e">
            <v>#N/A</v>
          </cell>
          <cell r="P68">
            <v>11.71</v>
          </cell>
          <cell r="Q68">
            <v>3.6388000000000003</v>
          </cell>
          <cell r="R68" t="e">
            <v>#N/A</v>
          </cell>
          <cell r="S68" t="str">
            <v>Max sharePrice</v>
          </cell>
          <cell r="T68">
            <v>15.89</v>
          </cell>
          <cell r="AI68" t="str">
            <v>EGP Egyptian Pound</v>
          </cell>
          <cell r="AJ68" t="str">
            <v>EGP</v>
          </cell>
          <cell r="AK68" t="str">
            <v>EGP</v>
          </cell>
          <cell r="AL68" t="str">
            <v>EGP</v>
          </cell>
          <cell r="AM68">
            <v>0</v>
          </cell>
          <cell r="AN68">
            <v>2</v>
          </cell>
        </row>
        <row r="69">
          <cell r="A69">
            <v>40072</v>
          </cell>
          <cell r="B69">
            <v>40072</v>
          </cell>
          <cell r="C69" t="str">
            <v>Past</v>
          </cell>
          <cell r="D69">
            <v>11.76</v>
          </cell>
          <cell r="E69" t="e">
            <v>#N/A</v>
          </cell>
          <cell r="F69" t="e">
            <v>#N/A</v>
          </cell>
          <cell r="G69" t="e">
            <v>#N/A</v>
          </cell>
          <cell r="H69" t="e">
            <v>#N/A</v>
          </cell>
          <cell r="I69" t="e">
            <v>#N/A</v>
          </cell>
          <cell r="J69" t="e">
            <v>#N/A</v>
          </cell>
          <cell r="K69" t="e">
            <v>#N/A</v>
          </cell>
          <cell r="L69" t="e">
            <v>#N/A</v>
          </cell>
          <cell r="M69" t="e">
            <v>#N/A</v>
          </cell>
          <cell r="N69" t="e">
            <v>#N/A</v>
          </cell>
          <cell r="O69" t="e">
            <v>#N/A</v>
          </cell>
          <cell r="P69">
            <v>11.76</v>
          </cell>
          <cell r="Q69">
            <v>2.8619700000000003</v>
          </cell>
          <cell r="R69" t="e">
            <v>#N/A</v>
          </cell>
          <cell r="AI69" t="str">
            <v>EUR Euro</v>
          </cell>
          <cell r="AJ69" t="str">
            <v>€</v>
          </cell>
          <cell r="AK69" t="str">
            <v>EUR</v>
          </cell>
          <cell r="AL69" t="str">
            <v>EUR</v>
          </cell>
          <cell r="AM69">
            <v>0</v>
          </cell>
          <cell r="AN69">
            <v>2</v>
          </cell>
        </row>
        <row r="70">
          <cell r="A70">
            <v>40073</v>
          </cell>
          <cell r="B70">
            <v>40073</v>
          </cell>
          <cell r="C70" t="str">
            <v>Past</v>
          </cell>
          <cell r="D70">
            <v>11.85</v>
          </cell>
          <cell r="E70" t="e">
            <v>#N/A</v>
          </cell>
          <cell r="F70" t="e">
            <v>#N/A</v>
          </cell>
          <cell r="G70" t="e">
            <v>#N/A</v>
          </cell>
          <cell r="H70" t="e">
            <v>#N/A</v>
          </cell>
          <cell r="I70" t="e">
            <v>#N/A</v>
          </cell>
          <cell r="J70" t="e">
            <v>#N/A</v>
          </cell>
          <cell r="K70" t="e">
            <v>#N/A</v>
          </cell>
          <cell r="L70" t="e">
            <v>#N/A</v>
          </cell>
          <cell r="M70" t="e">
            <v>#N/A</v>
          </cell>
          <cell r="N70" t="e">
            <v>#N/A</v>
          </cell>
          <cell r="O70" t="e">
            <v>#N/A</v>
          </cell>
          <cell r="P70">
            <v>11.85</v>
          </cell>
          <cell r="Q70">
            <v>2.6357729999999999</v>
          </cell>
          <cell r="R70" t="e">
            <v>#N/A</v>
          </cell>
          <cell r="AI70" t="str">
            <v>GBp British Pence</v>
          </cell>
          <cell r="AJ70" t="str">
            <v>p</v>
          </cell>
          <cell r="AK70" t="str">
            <v>GBp</v>
          </cell>
          <cell r="AL70" t="str">
            <v>GBX</v>
          </cell>
          <cell r="AM70">
            <v>1</v>
          </cell>
          <cell r="AN70">
            <v>0</v>
          </cell>
        </row>
        <row r="71">
          <cell r="A71">
            <v>40074</v>
          </cell>
          <cell r="B71">
            <v>40074</v>
          </cell>
          <cell r="C71" t="str">
            <v>Past</v>
          </cell>
          <cell r="D71">
            <v>11.8</v>
          </cell>
          <cell r="E71" t="e">
            <v>#N/A</v>
          </cell>
          <cell r="F71" t="e">
            <v>#N/A</v>
          </cell>
          <cell r="G71" t="e">
            <v>#N/A</v>
          </cell>
          <cell r="H71" t="e">
            <v>#N/A</v>
          </cell>
          <cell r="I71" t="e">
            <v>#N/A</v>
          </cell>
          <cell r="J71" t="e">
            <v>#N/A</v>
          </cell>
          <cell r="K71" t="e">
            <v>#N/A</v>
          </cell>
          <cell r="L71" t="e">
            <v>#N/A</v>
          </cell>
          <cell r="M71" t="e">
            <v>#N/A</v>
          </cell>
          <cell r="N71" t="e">
            <v>#N/A</v>
          </cell>
          <cell r="O71" t="e">
            <v>#N/A</v>
          </cell>
          <cell r="P71">
            <v>11.8</v>
          </cell>
          <cell r="Q71">
            <v>2.2391289999999997</v>
          </cell>
          <cell r="R71" t="e">
            <v>#N/A</v>
          </cell>
          <cell r="AI71" t="str">
            <v>GBP British Pound</v>
          </cell>
          <cell r="AJ71" t="str">
            <v>₤</v>
          </cell>
          <cell r="AK71" t="str">
            <v>GBP</v>
          </cell>
          <cell r="AL71" t="str">
            <v>GBP</v>
          </cell>
          <cell r="AM71">
            <v>0</v>
          </cell>
          <cell r="AN71">
            <v>2</v>
          </cell>
        </row>
        <row r="72">
          <cell r="A72">
            <v>40077</v>
          </cell>
          <cell r="B72">
            <v>40077</v>
          </cell>
          <cell r="C72" t="str">
            <v>Past</v>
          </cell>
          <cell r="D72">
            <v>11.82</v>
          </cell>
          <cell r="E72" t="e">
            <v>#N/A</v>
          </cell>
          <cell r="F72" t="e">
            <v>#N/A</v>
          </cell>
          <cell r="G72" t="e">
            <v>#N/A</v>
          </cell>
          <cell r="H72" t="e">
            <v>#N/A</v>
          </cell>
          <cell r="I72" t="e">
            <v>#N/A</v>
          </cell>
          <cell r="J72" t="e">
            <v>#N/A</v>
          </cell>
          <cell r="K72" t="e">
            <v>#N/A</v>
          </cell>
          <cell r="L72" t="e">
            <v>#N/A</v>
          </cell>
          <cell r="M72" t="e">
            <v>#N/A</v>
          </cell>
          <cell r="N72" t="e">
            <v>#N/A</v>
          </cell>
          <cell r="O72" t="e">
            <v>#N/A</v>
          </cell>
          <cell r="P72">
            <v>11.82</v>
          </cell>
          <cell r="Q72">
            <v>2.264758</v>
          </cell>
          <cell r="R72" t="e">
            <v>#N/A</v>
          </cell>
          <cell r="AI72" t="str">
            <v>HKD Hong Kong Dollar</v>
          </cell>
          <cell r="AJ72" t="str">
            <v>HK$</v>
          </cell>
          <cell r="AK72" t="str">
            <v>HKD</v>
          </cell>
          <cell r="AL72" t="str">
            <v>HKD</v>
          </cell>
          <cell r="AM72">
            <v>0</v>
          </cell>
          <cell r="AN72">
            <v>2</v>
          </cell>
        </row>
        <row r="73">
          <cell r="A73">
            <v>40078</v>
          </cell>
          <cell r="B73">
            <v>40078</v>
          </cell>
          <cell r="C73" t="str">
            <v>Past</v>
          </cell>
          <cell r="D73">
            <v>11.72</v>
          </cell>
          <cell r="E73" t="e">
            <v>#N/A</v>
          </cell>
          <cell r="F73" t="e">
            <v>#N/A</v>
          </cell>
          <cell r="G73" t="e">
            <v>#N/A</v>
          </cell>
          <cell r="H73" t="e">
            <v>#N/A</v>
          </cell>
          <cell r="I73" t="e">
            <v>#N/A</v>
          </cell>
          <cell r="J73" t="e">
            <v>#N/A</v>
          </cell>
          <cell r="K73" t="e">
            <v>#N/A</v>
          </cell>
          <cell r="L73" t="e">
            <v>#N/A</v>
          </cell>
          <cell r="M73" t="e">
            <v>#N/A</v>
          </cell>
          <cell r="N73" t="e">
            <v>#N/A</v>
          </cell>
          <cell r="O73" t="e">
            <v>#N/A</v>
          </cell>
          <cell r="P73">
            <v>11.72</v>
          </cell>
          <cell r="Q73">
            <v>1.6808400000000001</v>
          </cell>
          <cell r="R73" t="e">
            <v>#N/A</v>
          </cell>
          <cell r="AI73" t="str">
            <v>HUF Hungarian forint</v>
          </cell>
          <cell r="AJ73" t="str">
            <v>Ft</v>
          </cell>
          <cell r="AK73" t="str">
            <v>HUF</v>
          </cell>
          <cell r="AL73" t="str">
            <v>HUF</v>
          </cell>
          <cell r="AM73">
            <v>0</v>
          </cell>
          <cell r="AN73">
            <v>2</v>
          </cell>
        </row>
        <row r="74">
          <cell r="A74">
            <v>40079</v>
          </cell>
          <cell r="B74">
            <v>40079</v>
          </cell>
          <cell r="C74" t="str">
            <v>Past</v>
          </cell>
          <cell r="D74">
            <v>11.64</v>
          </cell>
          <cell r="E74" t="e">
            <v>#N/A</v>
          </cell>
          <cell r="F74" t="e">
            <v>#N/A</v>
          </cell>
          <cell r="G74" t="e">
            <v>#N/A</v>
          </cell>
          <cell r="H74" t="e">
            <v>#N/A</v>
          </cell>
          <cell r="I74" t="e">
            <v>#N/A</v>
          </cell>
          <cell r="J74" t="e">
            <v>#N/A</v>
          </cell>
          <cell r="K74" t="e">
            <v>#N/A</v>
          </cell>
          <cell r="L74" t="e">
            <v>#N/A</v>
          </cell>
          <cell r="M74" t="e">
            <v>#N/A</v>
          </cell>
          <cell r="N74" t="e">
            <v>#N/A</v>
          </cell>
          <cell r="O74" t="e">
            <v>#N/A</v>
          </cell>
          <cell r="P74">
            <v>11.64</v>
          </cell>
          <cell r="Q74">
            <v>2.3194809999999997</v>
          </cell>
          <cell r="R74" t="e">
            <v>#N/A</v>
          </cell>
          <cell r="AI74" t="str">
            <v>IDR Indonesian Rupiah</v>
          </cell>
          <cell r="AJ74" t="str">
            <v>Rp</v>
          </cell>
          <cell r="AK74" t="str">
            <v>IDR</v>
          </cell>
          <cell r="AL74" t="str">
            <v>IDR</v>
          </cell>
          <cell r="AM74">
            <v>0</v>
          </cell>
          <cell r="AN74">
            <v>0</v>
          </cell>
        </row>
        <row r="75">
          <cell r="A75">
            <v>40080</v>
          </cell>
          <cell r="B75">
            <v>40080</v>
          </cell>
          <cell r="C75" t="str">
            <v>Past</v>
          </cell>
          <cell r="D75">
            <v>11.54</v>
          </cell>
          <cell r="E75" t="e">
            <v>#N/A</v>
          </cell>
          <cell r="F75" t="e">
            <v>#N/A</v>
          </cell>
          <cell r="G75" t="e">
            <v>#N/A</v>
          </cell>
          <cell r="H75" t="e">
            <v>#N/A</v>
          </cell>
          <cell r="I75" t="e">
            <v>#N/A</v>
          </cell>
          <cell r="J75" t="e">
            <v>#N/A</v>
          </cell>
          <cell r="K75" t="e">
            <v>#N/A</v>
          </cell>
          <cell r="L75" t="e">
            <v>#N/A</v>
          </cell>
          <cell r="M75" t="e">
            <v>#N/A</v>
          </cell>
          <cell r="N75" t="e">
            <v>#N/A</v>
          </cell>
          <cell r="O75" t="e">
            <v>#N/A</v>
          </cell>
          <cell r="P75">
            <v>11.54</v>
          </cell>
          <cell r="Q75">
            <v>2.1152579999999999</v>
          </cell>
          <cell r="R75" t="e">
            <v>#N/A</v>
          </cell>
          <cell r="AI75" t="str">
            <v>ILS Israeli shekel</v>
          </cell>
          <cell r="AJ75" t="str">
            <v>ILS</v>
          </cell>
          <cell r="AK75" t="str">
            <v>ILS</v>
          </cell>
          <cell r="AL75" t="str">
            <v>ILS</v>
          </cell>
          <cell r="AM75">
            <v>0</v>
          </cell>
          <cell r="AN75">
            <v>2</v>
          </cell>
        </row>
        <row r="76">
          <cell r="A76">
            <v>40081</v>
          </cell>
          <cell r="B76">
            <v>40081</v>
          </cell>
          <cell r="C76" t="str">
            <v>Past</v>
          </cell>
          <cell r="D76">
            <v>11.49</v>
          </cell>
          <cell r="E76" t="e">
            <v>#N/A</v>
          </cell>
          <cell r="F76" t="e">
            <v>#N/A</v>
          </cell>
          <cell r="G76" t="e">
            <v>#N/A</v>
          </cell>
          <cell r="H76" t="e">
            <v>#N/A</v>
          </cell>
          <cell r="I76" t="e">
            <v>#N/A</v>
          </cell>
          <cell r="J76" t="e">
            <v>#N/A</v>
          </cell>
          <cell r="K76" t="e">
            <v>#N/A</v>
          </cell>
          <cell r="L76" t="e">
            <v>#N/A</v>
          </cell>
          <cell r="M76" t="e">
            <v>#N/A</v>
          </cell>
          <cell r="N76" t="e">
            <v>#N/A</v>
          </cell>
          <cell r="O76" t="e">
            <v>#N/A</v>
          </cell>
          <cell r="P76">
            <v>11.49</v>
          </cell>
          <cell r="Q76">
            <v>3.0800739999999998</v>
          </cell>
          <cell r="R76" t="e">
            <v>#N/A</v>
          </cell>
          <cell r="AI76" t="str">
            <v>INR Indian Rupee</v>
          </cell>
          <cell r="AJ76" t="str">
            <v>Rs.</v>
          </cell>
          <cell r="AK76" t="str">
            <v>INR</v>
          </cell>
          <cell r="AL76" t="str">
            <v>INR</v>
          </cell>
          <cell r="AM76">
            <v>0</v>
          </cell>
          <cell r="AN76">
            <v>2</v>
          </cell>
        </row>
        <row r="77">
          <cell r="A77">
            <v>40084</v>
          </cell>
          <cell r="B77">
            <v>40084</v>
          </cell>
          <cell r="C77" t="str">
            <v>Past</v>
          </cell>
          <cell r="D77">
            <v>11.6</v>
          </cell>
          <cell r="E77" t="e">
            <v>#N/A</v>
          </cell>
          <cell r="F77" t="e">
            <v>#N/A</v>
          </cell>
          <cell r="G77" t="e">
            <v>#N/A</v>
          </cell>
          <cell r="H77" t="e">
            <v>#N/A</v>
          </cell>
          <cell r="I77" t="e">
            <v>#N/A</v>
          </cell>
          <cell r="J77" t="e">
            <v>#N/A</v>
          </cell>
          <cell r="K77" t="e">
            <v>#N/A</v>
          </cell>
          <cell r="L77" t="e">
            <v>#N/A</v>
          </cell>
          <cell r="M77" t="e">
            <v>#N/A</v>
          </cell>
          <cell r="N77" t="e">
            <v>#N/A</v>
          </cell>
          <cell r="O77" t="e">
            <v>#N/A</v>
          </cell>
          <cell r="P77">
            <v>11.6</v>
          </cell>
          <cell r="Q77">
            <v>1.955897</v>
          </cell>
          <cell r="R77" t="e">
            <v>#N/A</v>
          </cell>
          <cell r="AI77" t="str">
            <v>IQD Iraqi Dinar</v>
          </cell>
          <cell r="AJ77" t="str">
            <v>IQD</v>
          </cell>
          <cell r="AK77" t="str">
            <v>IQD</v>
          </cell>
          <cell r="AL77" t="str">
            <v>IQD</v>
          </cell>
          <cell r="AM77">
            <v>0</v>
          </cell>
          <cell r="AN77">
            <v>2</v>
          </cell>
        </row>
        <row r="78">
          <cell r="A78">
            <v>40085</v>
          </cell>
          <cell r="B78">
            <v>40085</v>
          </cell>
          <cell r="C78" t="str">
            <v>Past</v>
          </cell>
          <cell r="D78">
            <v>11.58</v>
          </cell>
          <cell r="E78" t="e">
            <v>#N/A</v>
          </cell>
          <cell r="F78" t="e">
            <v>#N/A</v>
          </cell>
          <cell r="G78" t="e">
            <v>#N/A</v>
          </cell>
          <cell r="H78" t="e">
            <v>#N/A</v>
          </cell>
          <cell r="I78" t="e">
            <v>#N/A</v>
          </cell>
          <cell r="J78" t="e">
            <v>#N/A</v>
          </cell>
          <cell r="K78" t="e">
            <v>#N/A</v>
          </cell>
          <cell r="L78" t="e">
            <v>#N/A</v>
          </cell>
          <cell r="M78" t="e">
            <v>#N/A</v>
          </cell>
          <cell r="N78" t="e">
            <v>#N/A</v>
          </cell>
          <cell r="O78" t="e">
            <v>#N/A</v>
          </cell>
          <cell r="P78">
            <v>11.58</v>
          </cell>
          <cell r="Q78">
            <v>1.5703909999999999</v>
          </cell>
          <cell r="R78" t="e">
            <v>#N/A</v>
          </cell>
          <cell r="AI78" t="str">
            <v>IRR Iranian Rial</v>
          </cell>
          <cell r="AJ78" t="str">
            <v>IRR</v>
          </cell>
          <cell r="AK78" t="str">
            <v>IRR</v>
          </cell>
          <cell r="AL78" t="str">
            <v>IRR</v>
          </cell>
          <cell r="AM78">
            <v>0</v>
          </cell>
          <cell r="AN78">
            <v>2</v>
          </cell>
        </row>
        <row r="79">
          <cell r="A79">
            <v>40086</v>
          </cell>
          <cell r="B79">
            <v>40086</v>
          </cell>
          <cell r="C79" t="str">
            <v>Past</v>
          </cell>
          <cell r="D79">
            <v>11.59</v>
          </cell>
          <cell r="E79" t="e">
            <v>#N/A</v>
          </cell>
          <cell r="F79" t="e">
            <v>#N/A</v>
          </cell>
          <cell r="G79" t="e">
            <v>#N/A</v>
          </cell>
          <cell r="H79" t="e">
            <v>#N/A</v>
          </cell>
          <cell r="I79" t="e">
            <v>#N/A</v>
          </cell>
          <cell r="J79" t="e">
            <v>#N/A</v>
          </cell>
          <cell r="K79" t="e">
            <v>#N/A</v>
          </cell>
          <cell r="L79" t="e">
            <v>#N/A</v>
          </cell>
          <cell r="M79" t="e">
            <v>#N/A</v>
          </cell>
          <cell r="N79" t="e">
            <v>#N/A</v>
          </cell>
          <cell r="O79" t="e">
            <v>#N/A</v>
          </cell>
          <cell r="P79">
            <v>11.59</v>
          </cell>
          <cell r="Q79">
            <v>2.2237610000000001</v>
          </cell>
          <cell r="R79" t="e">
            <v>#N/A</v>
          </cell>
          <cell r="AI79" t="str">
            <v>ISK Iceland Krona</v>
          </cell>
          <cell r="AJ79" t="str">
            <v>kr</v>
          </cell>
          <cell r="AK79" t="str">
            <v>ISK</v>
          </cell>
          <cell r="AL79" t="str">
            <v>ISK</v>
          </cell>
          <cell r="AM79">
            <v>0</v>
          </cell>
          <cell r="AN79">
            <v>2</v>
          </cell>
        </row>
        <row r="80">
          <cell r="A80">
            <v>40087</v>
          </cell>
          <cell r="B80">
            <v>40087</v>
          </cell>
          <cell r="C80" t="str">
            <v>Past</v>
          </cell>
          <cell r="D80">
            <v>11.47</v>
          </cell>
          <cell r="E80" t="e">
            <v>#N/A</v>
          </cell>
          <cell r="F80" t="e">
            <v>#N/A</v>
          </cell>
          <cell r="G80" t="e">
            <v>#N/A</v>
          </cell>
          <cell r="H80" t="e">
            <v>#N/A</v>
          </cell>
          <cell r="I80" t="e">
            <v>#N/A</v>
          </cell>
          <cell r="J80" t="e">
            <v>#N/A</v>
          </cell>
          <cell r="K80" t="e">
            <v>#N/A</v>
          </cell>
          <cell r="L80" t="e">
            <v>#N/A</v>
          </cell>
          <cell r="M80" t="e">
            <v>#N/A</v>
          </cell>
          <cell r="N80" t="e">
            <v>#N/A</v>
          </cell>
          <cell r="O80" t="e">
            <v>#N/A</v>
          </cell>
          <cell r="P80">
            <v>11.47</v>
          </cell>
          <cell r="Q80">
            <v>3.3032800000000004</v>
          </cell>
          <cell r="R80" t="e">
            <v>#N/A</v>
          </cell>
          <cell r="AI80" t="str">
            <v>JMD Jamaican Dollars</v>
          </cell>
          <cell r="AJ80" t="str">
            <v>JMD</v>
          </cell>
          <cell r="AK80" t="str">
            <v>JMD</v>
          </cell>
          <cell r="AL80" t="str">
            <v>JMD</v>
          </cell>
          <cell r="AM80">
            <v>0</v>
          </cell>
          <cell r="AN80">
            <v>2</v>
          </cell>
        </row>
        <row r="81">
          <cell r="A81">
            <v>40088</v>
          </cell>
          <cell r="B81">
            <v>40088</v>
          </cell>
          <cell r="C81" t="str">
            <v>Past</v>
          </cell>
          <cell r="D81">
            <v>11.26</v>
          </cell>
          <cell r="E81" t="e">
            <v>#N/A</v>
          </cell>
          <cell r="F81" t="e">
            <v>#N/A</v>
          </cell>
          <cell r="G81" t="e">
            <v>#N/A</v>
          </cell>
          <cell r="H81" t="e">
            <v>#N/A</v>
          </cell>
          <cell r="I81" t="e">
            <v>#N/A</v>
          </cell>
          <cell r="J81" t="e">
            <v>#N/A</v>
          </cell>
          <cell r="K81" t="e">
            <v>#N/A</v>
          </cell>
          <cell r="L81" t="e">
            <v>#N/A</v>
          </cell>
          <cell r="M81" t="e">
            <v>#N/A</v>
          </cell>
          <cell r="N81" t="e">
            <v>#N/A</v>
          </cell>
          <cell r="O81" t="e">
            <v>#N/A</v>
          </cell>
          <cell r="P81">
            <v>11.26</v>
          </cell>
          <cell r="Q81">
            <v>3.5768739999999997</v>
          </cell>
          <cell r="R81" t="e">
            <v>#N/A</v>
          </cell>
          <cell r="AI81" t="str">
            <v>JPY Japanese Yen</v>
          </cell>
          <cell r="AJ81" t="str">
            <v>¥</v>
          </cell>
          <cell r="AK81" t="str">
            <v>JPY</v>
          </cell>
          <cell r="AL81" t="str">
            <v>JPY</v>
          </cell>
          <cell r="AM81">
            <v>0</v>
          </cell>
          <cell r="AN81">
            <v>0</v>
          </cell>
        </row>
        <row r="82">
          <cell r="A82">
            <v>40091</v>
          </cell>
          <cell r="B82">
            <v>40091</v>
          </cell>
          <cell r="C82" t="str">
            <v>Past</v>
          </cell>
          <cell r="D82">
            <v>11.39</v>
          </cell>
          <cell r="E82" t="e">
            <v>#N/A</v>
          </cell>
          <cell r="F82" t="e">
            <v>#N/A</v>
          </cell>
          <cell r="G82" t="e">
            <v>#N/A</v>
          </cell>
          <cell r="H82" t="e">
            <v>#N/A</v>
          </cell>
          <cell r="I82" t="e">
            <v>#N/A</v>
          </cell>
          <cell r="J82" t="e">
            <v>#N/A</v>
          </cell>
          <cell r="K82" t="e">
            <v>#N/A</v>
          </cell>
          <cell r="L82" t="e">
            <v>#N/A</v>
          </cell>
          <cell r="M82" t="e">
            <v>#N/A</v>
          </cell>
          <cell r="N82" t="e">
            <v>#N/A</v>
          </cell>
          <cell r="O82" t="e">
            <v>#N/A</v>
          </cell>
          <cell r="P82">
            <v>11.39</v>
          </cell>
          <cell r="Q82">
            <v>3.0325839999999999</v>
          </cell>
          <cell r="R82" t="e">
            <v>#N/A</v>
          </cell>
          <cell r="AI82" t="str">
            <v>KES Kenyan Shilling</v>
          </cell>
          <cell r="AJ82" t="str">
            <v>KES</v>
          </cell>
          <cell r="AK82" t="str">
            <v>KES</v>
          </cell>
          <cell r="AL82" t="str">
            <v>KES</v>
          </cell>
          <cell r="AM82">
            <v>0</v>
          </cell>
          <cell r="AN82">
            <v>0</v>
          </cell>
        </row>
        <row r="83">
          <cell r="A83">
            <v>40092</v>
          </cell>
          <cell r="B83">
            <v>40092</v>
          </cell>
          <cell r="C83" t="str">
            <v>Past</v>
          </cell>
          <cell r="D83">
            <v>11.43</v>
          </cell>
          <cell r="E83" t="e">
            <v>#N/A</v>
          </cell>
          <cell r="F83" t="e">
            <v>#N/A</v>
          </cell>
          <cell r="G83" t="e">
            <v>#N/A</v>
          </cell>
          <cell r="H83" t="e">
            <v>#N/A</v>
          </cell>
          <cell r="I83" t="e">
            <v>#N/A</v>
          </cell>
          <cell r="J83" t="e">
            <v>#N/A</v>
          </cell>
          <cell r="K83" t="e">
            <v>#N/A</v>
          </cell>
          <cell r="L83" t="e">
            <v>#N/A</v>
          </cell>
          <cell r="M83" t="e">
            <v>#N/A</v>
          </cell>
          <cell r="N83" t="e">
            <v>#N/A</v>
          </cell>
          <cell r="O83" t="e">
            <v>#N/A</v>
          </cell>
          <cell r="P83">
            <v>11.43</v>
          </cell>
          <cell r="Q83">
            <v>2.647376</v>
          </cell>
          <cell r="R83" t="e">
            <v>#N/A</v>
          </cell>
          <cell r="AI83" t="str">
            <v>KRW South Korean Won</v>
          </cell>
          <cell r="AJ83" t="str">
            <v>₩</v>
          </cell>
          <cell r="AK83" t="str">
            <v>KRW</v>
          </cell>
          <cell r="AL83" t="str">
            <v>KRW</v>
          </cell>
          <cell r="AM83">
            <v>0</v>
          </cell>
          <cell r="AN83">
            <v>0</v>
          </cell>
        </row>
        <row r="84">
          <cell r="A84">
            <v>40093</v>
          </cell>
          <cell r="B84">
            <v>40093</v>
          </cell>
          <cell r="C84" t="str">
            <v>Past</v>
          </cell>
          <cell r="D84">
            <v>11.36</v>
          </cell>
          <cell r="E84" t="e">
            <v>#N/A</v>
          </cell>
          <cell r="F84" t="e">
            <v>#N/A</v>
          </cell>
          <cell r="G84" t="e">
            <v>#N/A</v>
          </cell>
          <cell r="H84" t="e">
            <v>#N/A</v>
          </cell>
          <cell r="I84" t="e">
            <v>#N/A</v>
          </cell>
          <cell r="J84" t="e">
            <v>#N/A</v>
          </cell>
          <cell r="K84" t="e">
            <v>#N/A</v>
          </cell>
          <cell r="L84" t="e">
            <v>#N/A</v>
          </cell>
          <cell r="M84" t="e">
            <v>#N/A</v>
          </cell>
          <cell r="N84" t="e">
            <v>#N/A</v>
          </cell>
          <cell r="O84" t="e">
            <v>#N/A</v>
          </cell>
          <cell r="P84">
            <v>11.36</v>
          </cell>
          <cell r="Q84">
            <v>2.1541139999999999</v>
          </cell>
          <cell r="R84" t="e">
            <v>#N/A</v>
          </cell>
          <cell r="AI84" t="str">
            <v>KWD Kuwaiti Dinar</v>
          </cell>
          <cell r="AJ84" t="str">
            <v>KWD</v>
          </cell>
          <cell r="AK84" t="str">
            <v>KWD</v>
          </cell>
          <cell r="AL84" t="str">
            <v>KWD</v>
          </cell>
          <cell r="AM84">
            <v>0</v>
          </cell>
          <cell r="AN84">
            <v>2</v>
          </cell>
        </row>
        <row r="85">
          <cell r="A85">
            <v>40094</v>
          </cell>
          <cell r="B85">
            <v>40094</v>
          </cell>
          <cell r="C85" t="str">
            <v>Past</v>
          </cell>
          <cell r="D85">
            <v>11.37</v>
          </cell>
          <cell r="E85" t="e">
            <v>#N/A</v>
          </cell>
          <cell r="F85" t="e">
            <v>#N/A</v>
          </cell>
          <cell r="G85" t="e">
            <v>#N/A</v>
          </cell>
          <cell r="H85" t="e">
            <v>#N/A</v>
          </cell>
          <cell r="I85" t="e">
            <v>#N/A</v>
          </cell>
          <cell r="J85" t="e">
            <v>#N/A</v>
          </cell>
          <cell r="K85" t="e">
            <v>#N/A</v>
          </cell>
          <cell r="L85" t="e">
            <v>#N/A</v>
          </cell>
          <cell r="M85" t="e">
            <v>#N/A</v>
          </cell>
          <cell r="N85" t="e">
            <v>#N/A</v>
          </cell>
          <cell r="O85" t="e">
            <v>#N/A</v>
          </cell>
          <cell r="P85">
            <v>11.37</v>
          </cell>
          <cell r="Q85">
            <v>3.583091</v>
          </cell>
          <cell r="R85" t="e">
            <v>#N/A</v>
          </cell>
          <cell r="AI85" t="str">
            <v>KYD Cayman Dollars</v>
          </cell>
          <cell r="AJ85" t="str">
            <v>KYD</v>
          </cell>
          <cell r="AK85" t="str">
            <v>KYD</v>
          </cell>
          <cell r="AL85" t="str">
            <v>KYD</v>
          </cell>
          <cell r="AM85">
            <v>0</v>
          </cell>
          <cell r="AN85">
            <v>2</v>
          </cell>
        </row>
        <row r="86">
          <cell r="A86">
            <v>40095</v>
          </cell>
          <cell r="B86">
            <v>40095</v>
          </cell>
          <cell r="C86" t="str">
            <v>Past</v>
          </cell>
          <cell r="D86">
            <v>11.54</v>
          </cell>
          <cell r="E86" t="e">
            <v>#N/A</v>
          </cell>
          <cell r="F86" t="e">
            <v>#N/A</v>
          </cell>
          <cell r="G86" t="e">
            <v>#N/A</v>
          </cell>
          <cell r="H86" t="e">
            <v>#N/A</v>
          </cell>
          <cell r="I86" t="e">
            <v>#N/A</v>
          </cell>
          <cell r="J86" t="e">
            <v>#N/A</v>
          </cell>
          <cell r="K86" t="e">
            <v>#N/A</v>
          </cell>
          <cell r="L86" t="e">
            <v>#N/A</v>
          </cell>
          <cell r="M86" t="e">
            <v>#N/A</v>
          </cell>
          <cell r="N86" t="e">
            <v>#N/A</v>
          </cell>
          <cell r="O86" t="e">
            <v>#N/A</v>
          </cell>
          <cell r="P86">
            <v>11.54</v>
          </cell>
          <cell r="Q86">
            <v>3.244996</v>
          </cell>
          <cell r="R86" t="e">
            <v>#N/A</v>
          </cell>
          <cell r="AI86" t="str">
            <v>LKR Sri Lankan Rupee</v>
          </cell>
          <cell r="AJ86" t="str">
            <v>LKR</v>
          </cell>
          <cell r="AK86" t="str">
            <v>LKR</v>
          </cell>
          <cell r="AL86" t="str">
            <v>LKR</v>
          </cell>
          <cell r="AM86">
            <v>0</v>
          </cell>
          <cell r="AN86">
            <v>2</v>
          </cell>
        </row>
        <row r="87">
          <cell r="A87">
            <v>40098</v>
          </cell>
          <cell r="B87">
            <v>40098</v>
          </cell>
          <cell r="C87" t="str">
            <v>Past</v>
          </cell>
          <cell r="D87">
            <v>11.6</v>
          </cell>
          <cell r="E87" t="e">
            <v>#N/A</v>
          </cell>
          <cell r="F87" t="e">
            <v>#N/A</v>
          </cell>
          <cell r="G87" t="e">
            <v>#N/A</v>
          </cell>
          <cell r="H87" t="e">
            <v>#N/A</v>
          </cell>
          <cell r="I87" t="e">
            <v>#N/A</v>
          </cell>
          <cell r="J87" t="e">
            <v>#N/A</v>
          </cell>
          <cell r="K87" t="e">
            <v>#N/A</v>
          </cell>
          <cell r="L87" t="e">
            <v>#N/A</v>
          </cell>
          <cell r="M87" t="e">
            <v>#N/A</v>
          </cell>
          <cell r="N87" t="e">
            <v>#N/A</v>
          </cell>
          <cell r="O87" t="e">
            <v>#N/A</v>
          </cell>
          <cell r="P87">
            <v>11.6</v>
          </cell>
          <cell r="Q87">
            <v>1.45696</v>
          </cell>
          <cell r="R87" t="e">
            <v>#N/A</v>
          </cell>
          <cell r="AI87" t="str">
            <v>MAD Moroccan Dirham</v>
          </cell>
          <cell r="AJ87" t="str">
            <v>MAD</v>
          </cell>
          <cell r="AK87" t="str">
            <v>MAD</v>
          </cell>
          <cell r="AL87" t="str">
            <v>MAD</v>
          </cell>
          <cell r="AM87">
            <v>0</v>
          </cell>
          <cell r="AN87">
            <v>2</v>
          </cell>
        </row>
        <row r="88">
          <cell r="A88">
            <v>40099</v>
          </cell>
          <cell r="B88">
            <v>40099</v>
          </cell>
          <cell r="C88" t="str">
            <v>Past</v>
          </cell>
          <cell r="D88">
            <v>11.46</v>
          </cell>
          <cell r="E88" t="e">
            <v>#N/A</v>
          </cell>
          <cell r="F88" t="e">
            <v>#N/A</v>
          </cell>
          <cell r="G88" t="e">
            <v>#N/A</v>
          </cell>
          <cell r="H88" t="e">
            <v>#N/A</v>
          </cell>
          <cell r="I88" t="e">
            <v>#N/A</v>
          </cell>
          <cell r="J88" t="e">
            <v>#N/A</v>
          </cell>
          <cell r="K88" t="e">
            <v>#N/A</v>
          </cell>
          <cell r="L88" t="e">
            <v>#N/A</v>
          </cell>
          <cell r="M88" t="e">
            <v>#N/A</v>
          </cell>
          <cell r="N88" t="e">
            <v>#N/A</v>
          </cell>
          <cell r="O88" t="e">
            <v>#N/A</v>
          </cell>
          <cell r="P88">
            <v>11.46</v>
          </cell>
          <cell r="Q88">
            <v>2.1492249999999999</v>
          </cell>
          <cell r="R88" t="e">
            <v>#N/A</v>
          </cell>
          <cell r="AI88" t="str">
            <v>MXN Mexican Pesos (new)</v>
          </cell>
          <cell r="AJ88" t="str">
            <v>M$</v>
          </cell>
          <cell r="AK88" t="str">
            <v>MXN</v>
          </cell>
          <cell r="AL88" t="str">
            <v>MXN</v>
          </cell>
          <cell r="AM88">
            <v>0</v>
          </cell>
          <cell r="AN88">
            <v>2</v>
          </cell>
        </row>
        <row r="89">
          <cell r="A89">
            <v>40100</v>
          </cell>
          <cell r="B89">
            <v>40100</v>
          </cell>
          <cell r="C89" t="str">
            <v>Past</v>
          </cell>
          <cell r="D89">
            <v>11.58</v>
          </cell>
          <cell r="E89" t="e">
            <v>#N/A</v>
          </cell>
          <cell r="F89" t="e">
            <v>#N/A</v>
          </cell>
          <cell r="G89" t="e">
            <v>#N/A</v>
          </cell>
          <cell r="H89" t="e">
            <v>#N/A</v>
          </cell>
          <cell r="I89" t="e">
            <v>#N/A</v>
          </cell>
          <cell r="J89" t="e">
            <v>#N/A</v>
          </cell>
          <cell r="K89" t="e">
            <v>#N/A</v>
          </cell>
          <cell r="L89" t="e">
            <v>#N/A</v>
          </cell>
          <cell r="M89" t="e">
            <v>#N/A</v>
          </cell>
          <cell r="N89" t="e">
            <v>#N/A</v>
          </cell>
          <cell r="O89" t="e">
            <v>#N/A</v>
          </cell>
          <cell r="P89">
            <v>11.58</v>
          </cell>
          <cell r="Q89">
            <v>2.0291129999999997</v>
          </cell>
          <cell r="R89" t="e">
            <v>#N/A</v>
          </cell>
          <cell r="AI89" t="str">
            <v>MYR Malaysian Ringgit</v>
          </cell>
          <cell r="AJ89" t="str">
            <v>RM</v>
          </cell>
          <cell r="AK89" t="str">
            <v>MYR</v>
          </cell>
          <cell r="AL89" t="str">
            <v>MYR</v>
          </cell>
          <cell r="AM89">
            <v>0</v>
          </cell>
          <cell r="AN89">
            <v>2</v>
          </cell>
        </row>
        <row r="90">
          <cell r="A90">
            <v>40101</v>
          </cell>
          <cell r="B90">
            <v>40101</v>
          </cell>
          <cell r="C90" t="str">
            <v>Past</v>
          </cell>
          <cell r="D90">
            <v>11.64</v>
          </cell>
          <cell r="E90" t="e">
            <v>#N/A</v>
          </cell>
          <cell r="F90" t="e">
            <v>#N/A</v>
          </cell>
          <cell r="G90" t="e">
            <v>#N/A</v>
          </cell>
          <cell r="H90" t="e">
            <v>#N/A</v>
          </cell>
          <cell r="I90" t="e">
            <v>#N/A</v>
          </cell>
          <cell r="J90" t="e">
            <v>#N/A</v>
          </cell>
          <cell r="K90" t="e">
            <v>#N/A</v>
          </cell>
          <cell r="L90" t="e">
            <v>#N/A</v>
          </cell>
          <cell r="M90" t="e">
            <v>#N/A</v>
          </cell>
          <cell r="N90" t="e">
            <v>#N/A</v>
          </cell>
          <cell r="O90" t="e">
            <v>#N/A</v>
          </cell>
          <cell r="P90">
            <v>11.64</v>
          </cell>
          <cell r="Q90">
            <v>1.4275819999999999</v>
          </cell>
          <cell r="R90" t="e">
            <v>#N/A</v>
          </cell>
          <cell r="AI90" t="str">
            <v>NOK Norwegian Krone</v>
          </cell>
          <cell r="AJ90" t="str">
            <v>NKr</v>
          </cell>
          <cell r="AK90" t="str">
            <v>NOK</v>
          </cell>
          <cell r="AL90" t="str">
            <v>NOK</v>
          </cell>
          <cell r="AM90">
            <v>0</v>
          </cell>
          <cell r="AN90">
            <v>2</v>
          </cell>
        </row>
        <row r="91">
          <cell r="A91">
            <v>40102</v>
          </cell>
          <cell r="B91">
            <v>40102</v>
          </cell>
          <cell r="C91" t="str">
            <v>Past</v>
          </cell>
          <cell r="D91">
            <v>11.56</v>
          </cell>
          <cell r="E91" t="e">
            <v>#N/A</v>
          </cell>
          <cell r="F91" t="e">
            <v>#N/A</v>
          </cell>
          <cell r="G91" t="e">
            <v>#N/A</v>
          </cell>
          <cell r="H91" t="e">
            <v>#N/A</v>
          </cell>
          <cell r="I91" t="e">
            <v>#N/A</v>
          </cell>
          <cell r="J91" t="e">
            <v>#N/A</v>
          </cell>
          <cell r="K91" t="e">
            <v>#N/A</v>
          </cell>
          <cell r="L91" t="e">
            <v>#N/A</v>
          </cell>
          <cell r="M91" t="e">
            <v>#N/A</v>
          </cell>
          <cell r="N91" t="e">
            <v>#N/A</v>
          </cell>
          <cell r="O91" t="e">
            <v>#N/A</v>
          </cell>
          <cell r="P91">
            <v>11.56</v>
          </cell>
          <cell r="Q91">
            <v>1.6266229999999999</v>
          </cell>
          <cell r="R91" t="e">
            <v>#N/A</v>
          </cell>
          <cell r="AI91" t="str">
            <v>NZD New Zealand Dollars</v>
          </cell>
          <cell r="AJ91" t="str">
            <v>NZ$</v>
          </cell>
          <cell r="AK91" t="str">
            <v>NZD</v>
          </cell>
          <cell r="AL91" t="str">
            <v>NZD</v>
          </cell>
          <cell r="AM91">
            <v>0</v>
          </cell>
          <cell r="AN91">
            <v>2</v>
          </cell>
        </row>
        <row r="92">
          <cell r="A92">
            <v>40105</v>
          </cell>
          <cell r="B92">
            <v>40105</v>
          </cell>
          <cell r="C92" t="str">
            <v>Past</v>
          </cell>
          <cell r="D92">
            <v>11.61</v>
          </cell>
          <cell r="E92" t="e">
            <v>#N/A</v>
          </cell>
          <cell r="F92" t="e">
            <v>#N/A</v>
          </cell>
          <cell r="G92" t="e">
            <v>#N/A</v>
          </cell>
          <cell r="H92" t="e">
            <v>#N/A</v>
          </cell>
          <cell r="I92" t="e">
            <v>#N/A</v>
          </cell>
          <cell r="J92" t="e">
            <v>#N/A</v>
          </cell>
          <cell r="K92" t="e">
            <v>#N/A</v>
          </cell>
          <cell r="L92" t="e">
            <v>#N/A</v>
          </cell>
          <cell r="M92" t="e">
            <v>#N/A</v>
          </cell>
          <cell r="N92" t="e">
            <v>#N/A</v>
          </cell>
          <cell r="O92" t="e">
            <v>#N/A</v>
          </cell>
          <cell r="P92">
            <v>11.61</v>
          </cell>
          <cell r="Q92">
            <v>1.6260700000000001</v>
          </cell>
          <cell r="R92" t="e">
            <v>#N/A</v>
          </cell>
          <cell r="AI92" t="str">
            <v>OMR Rial Omani</v>
          </cell>
          <cell r="AJ92" t="str">
            <v>OMR</v>
          </cell>
          <cell r="AK92" t="str">
            <v>OMR</v>
          </cell>
          <cell r="AL92" t="str">
            <v>OMR</v>
          </cell>
          <cell r="AM92">
            <v>0</v>
          </cell>
          <cell r="AN92">
            <v>2</v>
          </cell>
        </row>
        <row r="93">
          <cell r="A93">
            <v>40106</v>
          </cell>
          <cell r="B93">
            <v>40106</v>
          </cell>
          <cell r="C93" t="str">
            <v>Past</v>
          </cell>
          <cell r="D93">
            <v>11.46</v>
          </cell>
          <cell r="E93" t="e">
            <v>#N/A</v>
          </cell>
          <cell r="F93" t="e">
            <v>#N/A</v>
          </cell>
          <cell r="G93" t="e">
            <v>#N/A</v>
          </cell>
          <cell r="H93" t="e">
            <v>#N/A</v>
          </cell>
          <cell r="I93" t="e">
            <v>#N/A</v>
          </cell>
          <cell r="J93" t="e">
            <v>#N/A</v>
          </cell>
          <cell r="K93" t="e">
            <v>#N/A</v>
          </cell>
          <cell r="L93" t="e">
            <v>#N/A</v>
          </cell>
          <cell r="M93" t="e">
            <v>#N/A</v>
          </cell>
          <cell r="N93" t="e">
            <v>#N/A</v>
          </cell>
          <cell r="O93" t="e">
            <v>#N/A</v>
          </cell>
          <cell r="P93">
            <v>11.46</v>
          </cell>
          <cell r="Q93">
            <v>1.2816339999999999</v>
          </cell>
          <cell r="R93" t="e">
            <v>#N/A</v>
          </cell>
          <cell r="AI93" t="str">
            <v>PAB Panamanian Balboa</v>
          </cell>
          <cell r="AJ93" t="str">
            <v>PAB</v>
          </cell>
          <cell r="AK93" t="str">
            <v>PAB</v>
          </cell>
          <cell r="AL93" t="str">
            <v>PAB</v>
          </cell>
          <cell r="AM93">
            <v>0</v>
          </cell>
          <cell r="AN93">
            <v>2</v>
          </cell>
        </row>
        <row r="94">
          <cell r="A94">
            <v>40107</v>
          </cell>
          <cell r="B94">
            <v>40107</v>
          </cell>
          <cell r="C94" t="str">
            <v>Past</v>
          </cell>
          <cell r="D94">
            <v>11.34</v>
          </cell>
          <cell r="E94" t="e">
            <v>#N/A</v>
          </cell>
          <cell r="F94" t="e">
            <v>#N/A</v>
          </cell>
          <cell r="G94" t="e">
            <v>#N/A</v>
          </cell>
          <cell r="H94" t="e">
            <v>#N/A</v>
          </cell>
          <cell r="I94" t="e">
            <v>#N/A</v>
          </cell>
          <cell r="J94" t="e">
            <v>#N/A</v>
          </cell>
          <cell r="K94" t="e">
            <v>#N/A</v>
          </cell>
          <cell r="L94" t="e">
            <v>#N/A</v>
          </cell>
          <cell r="M94" t="e">
            <v>#N/A</v>
          </cell>
          <cell r="N94" t="e">
            <v>#N/A</v>
          </cell>
          <cell r="O94" t="e">
            <v>#N/A</v>
          </cell>
          <cell r="P94">
            <v>11.34</v>
          </cell>
          <cell r="Q94">
            <v>1.940421</v>
          </cell>
          <cell r="R94" t="e">
            <v>#N/A</v>
          </cell>
          <cell r="AI94" t="str">
            <v>PEN Peruvian PEN</v>
          </cell>
          <cell r="AJ94" t="str">
            <v>PEN</v>
          </cell>
          <cell r="AK94" t="str">
            <v>PEN</v>
          </cell>
          <cell r="AL94" t="str">
            <v>PEN</v>
          </cell>
          <cell r="AM94">
            <v>0</v>
          </cell>
          <cell r="AN94">
            <v>2</v>
          </cell>
        </row>
        <row r="95">
          <cell r="A95">
            <v>40108</v>
          </cell>
          <cell r="B95">
            <v>40108</v>
          </cell>
          <cell r="C95" t="str">
            <v>Past</v>
          </cell>
          <cell r="D95">
            <v>11.33</v>
          </cell>
          <cell r="E95" t="e">
            <v>#N/A</v>
          </cell>
          <cell r="F95" t="e">
            <v>#N/A</v>
          </cell>
          <cell r="G95" t="e">
            <v>#N/A</v>
          </cell>
          <cell r="H95" t="e">
            <v>#N/A</v>
          </cell>
          <cell r="I95" t="e">
            <v>#N/A</v>
          </cell>
          <cell r="J95" t="e">
            <v>#N/A</v>
          </cell>
          <cell r="K95" t="e">
            <v>#N/A</v>
          </cell>
          <cell r="L95" t="e">
            <v>#N/A</v>
          </cell>
          <cell r="M95" t="e">
            <v>#N/A</v>
          </cell>
          <cell r="N95" t="e">
            <v>#N/A</v>
          </cell>
          <cell r="O95" t="e">
            <v>#N/A</v>
          </cell>
          <cell r="P95">
            <v>11.33</v>
          </cell>
          <cell r="Q95">
            <v>2.0317000000000003</v>
          </cell>
          <cell r="R95" t="e">
            <v>#N/A</v>
          </cell>
          <cell r="AI95" t="str">
            <v>PHP Philippino Peso</v>
          </cell>
          <cell r="AJ95" t="str">
            <v>PP</v>
          </cell>
          <cell r="AK95" t="str">
            <v>PHP</v>
          </cell>
          <cell r="AL95" t="str">
            <v>PHP</v>
          </cell>
          <cell r="AM95">
            <v>0</v>
          </cell>
          <cell r="AN95">
            <v>2</v>
          </cell>
        </row>
        <row r="96">
          <cell r="A96">
            <v>40109</v>
          </cell>
          <cell r="B96">
            <v>40109</v>
          </cell>
          <cell r="C96" t="str">
            <v>Past</v>
          </cell>
          <cell r="D96">
            <v>11.28</v>
          </cell>
          <cell r="E96" t="e">
            <v>#N/A</v>
          </cell>
          <cell r="F96" t="e">
            <v>#N/A</v>
          </cell>
          <cell r="G96" t="e">
            <v>#N/A</v>
          </cell>
          <cell r="H96" t="e">
            <v>#N/A</v>
          </cell>
          <cell r="I96" t="e">
            <v>#N/A</v>
          </cell>
          <cell r="J96" t="e">
            <v>#N/A</v>
          </cell>
          <cell r="K96" t="e">
            <v>#N/A</v>
          </cell>
          <cell r="L96" t="e">
            <v>#N/A</v>
          </cell>
          <cell r="M96" t="e">
            <v>#N/A</v>
          </cell>
          <cell r="N96" t="e">
            <v>#N/A</v>
          </cell>
          <cell r="O96" t="e">
            <v>#N/A</v>
          </cell>
          <cell r="P96">
            <v>11.28</v>
          </cell>
          <cell r="Q96">
            <v>2.386104</v>
          </cell>
          <cell r="R96" t="e">
            <v>#N/A</v>
          </cell>
          <cell r="AI96" t="str">
            <v>PKR Pakistani Rupee</v>
          </cell>
          <cell r="AJ96" t="str">
            <v>Rs.</v>
          </cell>
          <cell r="AK96" t="str">
            <v>PKR</v>
          </cell>
          <cell r="AL96" t="str">
            <v>PKR</v>
          </cell>
          <cell r="AM96">
            <v>0</v>
          </cell>
          <cell r="AN96">
            <v>2</v>
          </cell>
        </row>
        <row r="97">
          <cell r="A97">
            <v>40112</v>
          </cell>
          <cell r="B97">
            <v>40112</v>
          </cell>
          <cell r="C97" t="str">
            <v>Past</v>
          </cell>
          <cell r="D97">
            <v>11.37</v>
          </cell>
          <cell r="E97" t="e">
            <v>#N/A</v>
          </cell>
          <cell r="F97" t="e">
            <v>#N/A</v>
          </cell>
          <cell r="G97" t="e">
            <v>#N/A</v>
          </cell>
          <cell r="H97" t="e">
            <v>#N/A</v>
          </cell>
          <cell r="I97" t="e">
            <v>#N/A</v>
          </cell>
          <cell r="J97" t="e">
            <v>#N/A</v>
          </cell>
          <cell r="K97" t="e">
            <v>#N/A</v>
          </cell>
          <cell r="L97" t="e">
            <v>#N/A</v>
          </cell>
          <cell r="M97" t="e">
            <v>#N/A</v>
          </cell>
          <cell r="N97" t="e">
            <v>#N/A</v>
          </cell>
          <cell r="O97" t="e">
            <v>#N/A</v>
          </cell>
          <cell r="P97">
            <v>11.37</v>
          </cell>
          <cell r="Q97">
            <v>3.054189</v>
          </cell>
          <cell r="R97" t="e">
            <v>#N/A</v>
          </cell>
          <cell r="AI97" t="str">
            <v>PLN Polish Zloty</v>
          </cell>
          <cell r="AJ97" t="str">
            <v>zł</v>
          </cell>
          <cell r="AK97" t="str">
            <v>PLN</v>
          </cell>
          <cell r="AL97" t="str">
            <v>PLN</v>
          </cell>
          <cell r="AM97">
            <v>0</v>
          </cell>
          <cell r="AN97">
            <v>2</v>
          </cell>
        </row>
        <row r="98">
          <cell r="A98">
            <v>40113</v>
          </cell>
          <cell r="B98">
            <v>40113</v>
          </cell>
          <cell r="C98" t="str">
            <v>Past</v>
          </cell>
          <cell r="D98">
            <v>11.44</v>
          </cell>
          <cell r="E98" t="e">
            <v>#N/A</v>
          </cell>
          <cell r="F98" t="e">
            <v>#N/A</v>
          </cell>
          <cell r="G98" t="e">
            <v>#N/A</v>
          </cell>
          <cell r="H98" t="e">
            <v>#N/A</v>
          </cell>
          <cell r="I98" t="e">
            <v>#N/A</v>
          </cell>
          <cell r="J98" t="e">
            <v>#N/A</v>
          </cell>
          <cell r="K98" t="e">
            <v>#N/A</v>
          </cell>
          <cell r="L98" t="e">
            <v>#N/A</v>
          </cell>
          <cell r="M98" t="e">
            <v>#N/A</v>
          </cell>
          <cell r="N98" t="e">
            <v>#N/A</v>
          </cell>
          <cell r="O98" t="e">
            <v>#N/A</v>
          </cell>
          <cell r="P98">
            <v>11.44</v>
          </cell>
          <cell r="Q98">
            <v>2.2041369999999998</v>
          </cell>
          <cell r="R98" t="e">
            <v>#N/A</v>
          </cell>
          <cell r="AI98" t="str">
            <v>QAR Qatari Riyal</v>
          </cell>
          <cell r="AJ98" t="str">
            <v>QAR</v>
          </cell>
          <cell r="AK98" t="str">
            <v>QAR</v>
          </cell>
          <cell r="AL98" t="str">
            <v>QAR</v>
          </cell>
          <cell r="AM98">
            <v>0</v>
          </cell>
          <cell r="AN98">
            <v>2</v>
          </cell>
        </row>
        <row r="99">
          <cell r="A99">
            <v>40114</v>
          </cell>
          <cell r="B99">
            <v>40114</v>
          </cell>
          <cell r="C99" t="str">
            <v>Past</v>
          </cell>
          <cell r="D99">
            <v>11.46</v>
          </cell>
          <cell r="E99" t="e">
            <v>#N/A</v>
          </cell>
          <cell r="F99" t="e">
            <v>#N/A</v>
          </cell>
          <cell r="G99" t="e">
            <v>#N/A</v>
          </cell>
          <cell r="H99" t="e">
            <v>#N/A</v>
          </cell>
          <cell r="I99" t="e">
            <v>#N/A</v>
          </cell>
          <cell r="J99" t="e">
            <v>#N/A</v>
          </cell>
          <cell r="K99" t="e">
            <v>#N/A</v>
          </cell>
          <cell r="L99" t="e">
            <v>#N/A</v>
          </cell>
          <cell r="M99" t="e">
            <v>#N/A</v>
          </cell>
          <cell r="N99" t="e">
            <v>#N/A</v>
          </cell>
          <cell r="O99" t="e">
            <v>#N/A</v>
          </cell>
          <cell r="P99">
            <v>11.46</v>
          </cell>
          <cell r="Q99">
            <v>3.8279000000000001</v>
          </cell>
          <cell r="R99" t="e">
            <v>#N/A</v>
          </cell>
          <cell r="AI99" t="str">
            <v>RUB Russian Rouble</v>
          </cell>
          <cell r="AJ99" t="str">
            <v>RUB</v>
          </cell>
          <cell r="AK99" t="str">
            <v>RUB</v>
          </cell>
          <cell r="AL99" t="str">
            <v>RUB</v>
          </cell>
          <cell r="AM99">
            <v>0</v>
          </cell>
          <cell r="AN99">
            <v>2</v>
          </cell>
        </row>
        <row r="100">
          <cell r="A100">
            <v>40115</v>
          </cell>
          <cell r="B100">
            <v>40115</v>
          </cell>
          <cell r="C100" t="str">
            <v>Past</v>
          </cell>
          <cell r="D100">
            <v>11.71</v>
          </cell>
          <cell r="E100" t="e">
            <v>#N/A</v>
          </cell>
          <cell r="F100" t="e">
            <v>#N/A</v>
          </cell>
          <cell r="G100" t="e">
            <v>#N/A</v>
          </cell>
          <cell r="H100" t="e">
            <v>#N/A</v>
          </cell>
          <cell r="I100" t="e">
            <v>#N/A</v>
          </cell>
          <cell r="J100" t="e">
            <v>#N/A</v>
          </cell>
          <cell r="K100" t="e">
            <v>#N/A</v>
          </cell>
          <cell r="L100" t="e">
            <v>#N/A</v>
          </cell>
          <cell r="M100" t="e">
            <v>#N/A</v>
          </cell>
          <cell r="N100" t="e">
            <v>#N/A</v>
          </cell>
          <cell r="O100" t="e">
            <v>#N/A</v>
          </cell>
          <cell r="P100">
            <v>11.71</v>
          </cell>
          <cell r="Q100">
            <v>2.7270479999999999</v>
          </cell>
          <cell r="R100" t="e">
            <v>#N/A</v>
          </cell>
          <cell r="AI100" t="str">
            <v>SAR Saudi Riyal</v>
          </cell>
          <cell r="AJ100" t="str">
            <v>SAR</v>
          </cell>
          <cell r="AK100" t="str">
            <v>SAR</v>
          </cell>
          <cell r="AL100" t="str">
            <v>SAR</v>
          </cell>
          <cell r="AM100">
            <v>0</v>
          </cell>
          <cell r="AN100">
            <v>2</v>
          </cell>
        </row>
        <row r="101">
          <cell r="A101">
            <v>40116</v>
          </cell>
          <cell r="B101">
            <v>40116</v>
          </cell>
          <cell r="C101" t="str">
            <v>Past</v>
          </cell>
          <cell r="D101">
            <v>11.46</v>
          </cell>
          <cell r="E101" t="e">
            <v>#N/A</v>
          </cell>
          <cell r="F101" t="e">
            <v>#N/A</v>
          </cell>
          <cell r="G101" t="e">
            <v>#N/A</v>
          </cell>
          <cell r="H101" t="e">
            <v>#N/A</v>
          </cell>
          <cell r="I101" t="e">
            <v>#N/A</v>
          </cell>
          <cell r="J101" t="e">
            <v>#N/A</v>
          </cell>
          <cell r="K101" t="e">
            <v>#N/A</v>
          </cell>
          <cell r="L101" t="e">
            <v>#N/A</v>
          </cell>
          <cell r="M101" t="e">
            <v>#N/A</v>
          </cell>
          <cell r="N101" t="e">
            <v>#N/A</v>
          </cell>
          <cell r="O101" t="e">
            <v>#N/A</v>
          </cell>
          <cell r="P101">
            <v>11.46</v>
          </cell>
          <cell r="Q101">
            <v>3.0121819999999997</v>
          </cell>
          <cell r="R101" t="e">
            <v>#N/A</v>
          </cell>
          <cell r="AI101" t="str">
            <v>SEK Swedish Krona</v>
          </cell>
          <cell r="AJ101" t="str">
            <v>SKr</v>
          </cell>
          <cell r="AK101" t="str">
            <v>SEK</v>
          </cell>
          <cell r="AL101" t="str">
            <v>SEK</v>
          </cell>
          <cell r="AM101">
            <v>0</v>
          </cell>
          <cell r="AN101">
            <v>2</v>
          </cell>
        </row>
        <row r="102">
          <cell r="A102">
            <v>40119</v>
          </cell>
          <cell r="B102">
            <v>40119</v>
          </cell>
          <cell r="C102" t="str">
            <v>Past</v>
          </cell>
          <cell r="D102">
            <v>11.34</v>
          </cell>
          <cell r="E102" t="e">
            <v>#N/A</v>
          </cell>
          <cell r="F102" t="e">
            <v>#N/A</v>
          </cell>
          <cell r="G102" t="e">
            <v>#N/A</v>
          </cell>
          <cell r="H102" t="e">
            <v>#N/A</v>
          </cell>
          <cell r="I102" t="e">
            <v>#N/A</v>
          </cell>
          <cell r="J102" t="e">
            <v>#N/A</v>
          </cell>
          <cell r="K102" t="e">
            <v>#N/A</v>
          </cell>
          <cell r="L102" t="e">
            <v>#N/A</v>
          </cell>
          <cell r="M102" t="e">
            <v>#N/A</v>
          </cell>
          <cell r="N102" t="e">
            <v>#N/A</v>
          </cell>
          <cell r="O102" t="e">
            <v>#N/A</v>
          </cell>
          <cell r="P102">
            <v>11.34</v>
          </cell>
          <cell r="Q102">
            <v>3.8830300000000002</v>
          </cell>
          <cell r="R102" t="e">
            <v>#N/A</v>
          </cell>
          <cell r="AI102" t="str">
            <v>SGD Singapore Dollar</v>
          </cell>
          <cell r="AJ102" t="str">
            <v>S$</v>
          </cell>
          <cell r="AK102" t="str">
            <v>SGD</v>
          </cell>
          <cell r="AL102" t="str">
            <v>SGD</v>
          </cell>
          <cell r="AM102">
            <v>0</v>
          </cell>
          <cell r="AN102">
            <v>2</v>
          </cell>
        </row>
        <row r="103">
          <cell r="A103">
            <v>40120</v>
          </cell>
          <cell r="B103">
            <v>40120</v>
          </cell>
          <cell r="C103" t="str">
            <v>Past</v>
          </cell>
          <cell r="D103">
            <v>11.46</v>
          </cell>
          <cell r="E103" t="e">
            <v>#N/A</v>
          </cell>
          <cell r="F103" t="e">
            <v>#N/A</v>
          </cell>
          <cell r="G103" t="e">
            <v>#N/A</v>
          </cell>
          <cell r="H103" t="e">
            <v>#N/A</v>
          </cell>
          <cell r="I103" t="e">
            <v>#N/A</v>
          </cell>
          <cell r="J103" t="e">
            <v>#N/A</v>
          </cell>
          <cell r="K103" t="e">
            <v>#N/A</v>
          </cell>
          <cell r="L103" t="e">
            <v>#N/A</v>
          </cell>
          <cell r="M103" t="e">
            <v>#N/A</v>
          </cell>
          <cell r="N103" t="e">
            <v>#N/A</v>
          </cell>
          <cell r="O103" t="e">
            <v>#N/A</v>
          </cell>
          <cell r="P103">
            <v>11.46</v>
          </cell>
          <cell r="Q103">
            <v>2.5635779999999997</v>
          </cell>
          <cell r="R103" t="e">
            <v>#N/A</v>
          </cell>
          <cell r="AI103" t="str">
            <v>THB Thailand Baht</v>
          </cell>
          <cell r="AJ103" t="str">
            <v>Bt</v>
          </cell>
          <cell r="AK103" t="str">
            <v>THB</v>
          </cell>
          <cell r="AL103" t="str">
            <v>THB</v>
          </cell>
          <cell r="AM103">
            <v>0</v>
          </cell>
          <cell r="AN103">
            <v>2</v>
          </cell>
        </row>
        <row r="104">
          <cell r="A104">
            <v>40121</v>
          </cell>
          <cell r="B104">
            <v>40121</v>
          </cell>
          <cell r="C104" t="str">
            <v>Past</v>
          </cell>
          <cell r="D104">
            <v>11.5</v>
          </cell>
          <cell r="E104" t="e">
            <v>#N/A</v>
          </cell>
          <cell r="F104" t="e">
            <v>#N/A</v>
          </cell>
          <cell r="G104" t="e">
            <v>#N/A</v>
          </cell>
          <cell r="H104" t="e">
            <v>#N/A</v>
          </cell>
          <cell r="I104" t="e">
            <v>#N/A</v>
          </cell>
          <cell r="J104" t="e">
            <v>#N/A</v>
          </cell>
          <cell r="K104" t="e">
            <v>#N/A</v>
          </cell>
          <cell r="L104" t="e">
            <v>#N/A</v>
          </cell>
          <cell r="M104" t="e">
            <v>#N/A</v>
          </cell>
          <cell r="N104" t="e">
            <v>#N/A</v>
          </cell>
          <cell r="O104" t="e">
            <v>#N/A</v>
          </cell>
          <cell r="P104">
            <v>11.5</v>
          </cell>
          <cell r="Q104">
            <v>2.1466309999999997</v>
          </cell>
          <cell r="R104" t="e">
            <v>#N/A</v>
          </cell>
          <cell r="AI104" t="str">
            <v>TND Tunisian Dinar</v>
          </cell>
          <cell r="AJ104" t="str">
            <v>TND</v>
          </cell>
          <cell r="AK104" t="str">
            <v>TND</v>
          </cell>
          <cell r="AL104" t="str">
            <v>TND</v>
          </cell>
          <cell r="AM104">
            <v>0</v>
          </cell>
          <cell r="AN104">
            <v>2</v>
          </cell>
        </row>
        <row r="105">
          <cell r="A105">
            <v>40122</v>
          </cell>
          <cell r="B105">
            <v>40122</v>
          </cell>
          <cell r="C105" t="str">
            <v>Past</v>
          </cell>
          <cell r="D105">
            <v>11.73</v>
          </cell>
          <cell r="E105" t="e">
            <v>#N/A</v>
          </cell>
          <cell r="F105" t="e">
            <v>#N/A</v>
          </cell>
          <cell r="G105" t="e">
            <v>#N/A</v>
          </cell>
          <cell r="H105" t="e">
            <v>#N/A</v>
          </cell>
          <cell r="I105" t="e">
            <v>#N/A</v>
          </cell>
          <cell r="J105" t="e">
            <v>#N/A</v>
          </cell>
          <cell r="K105" t="e">
            <v>#N/A</v>
          </cell>
          <cell r="L105" t="e">
            <v>#N/A</v>
          </cell>
          <cell r="M105" t="e">
            <v>#N/A</v>
          </cell>
          <cell r="N105" t="e">
            <v>#N/A</v>
          </cell>
          <cell r="O105" t="e">
            <v>#N/A</v>
          </cell>
          <cell r="P105">
            <v>11.73</v>
          </cell>
          <cell r="Q105">
            <v>1.6737000000000002</v>
          </cell>
          <cell r="R105" t="e">
            <v>#N/A</v>
          </cell>
          <cell r="AI105" t="str">
            <v>TRY Turkish Lira</v>
          </cell>
          <cell r="AJ105" t="str">
            <v>TL</v>
          </cell>
          <cell r="AK105" t="str">
            <v>TRY</v>
          </cell>
          <cell r="AL105" t="str">
            <v>TRY</v>
          </cell>
          <cell r="AM105">
            <v>0</v>
          </cell>
          <cell r="AN105">
            <v>2</v>
          </cell>
        </row>
        <row r="106">
          <cell r="A106">
            <v>40123</v>
          </cell>
          <cell r="B106">
            <v>40123</v>
          </cell>
          <cell r="C106" t="str">
            <v>Past</v>
          </cell>
          <cell r="D106">
            <v>11.76</v>
          </cell>
          <cell r="E106" t="e">
            <v>#N/A</v>
          </cell>
          <cell r="F106" t="e">
            <v>#N/A</v>
          </cell>
          <cell r="G106" t="e">
            <v>#N/A</v>
          </cell>
          <cell r="H106" t="e">
            <v>#N/A</v>
          </cell>
          <cell r="I106" t="e">
            <v>#N/A</v>
          </cell>
          <cell r="J106" t="e">
            <v>#N/A</v>
          </cell>
          <cell r="K106" t="e">
            <v>#N/A</v>
          </cell>
          <cell r="L106" t="e">
            <v>#N/A</v>
          </cell>
          <cell r="M106" t="e">
            <v>#N/A</v>
          </cell>
          <cell r="N106" t="e">
            <v>#N/A</v>
          </cell>
          <cell r="O106" t="e">
            <v>#N/A</v>
          </cell>
          <cell r="P106">
            <v>11.76</v>
          </cell>
          <cell r="Q106">
            <v>1.227522</v>
          </cell>
          <cell r="R106" t="e">
            <v>#N/A</v>
          </cell>
          <cell r="AI106" t="str">
            <v>TWD New Taiwan Dollar</v>
          </cell>
          <cell r="AJ106" t="str">
            <v>NT$</v>
          </cell>
          <cell r="AK106" t="str">
            <v>TWD</v>
          </cell>
          <cell r="AL106" t="str">
            <v>TWD</v>
          </cell>
          <cell r="AM106">
            <v>0</v>
          </cell>
          <cell r="AN106">
            <v>2</v>
          </cell>
        </row>
        <row r="107">
          <cell r="A107">
            <v>40126</v>
          </cell>
          <cell r="B107">
            <v>40126</v>
          </cell>
          <cell r="C107" t="str">
            <v>Past</v>
          </cell>
          <cell r="D107">
            <v>11.76</v>
          </cell>
          <cell r="E107" t="e">
            <v>#N/A</v>
          </cell>
          <cell r="F107" t="e">
            <v>#N/A</v>
          </cell>
          <cell r="G107" t="e">
            <v>#N/A</v>
          </cell>
          <cell r="H107" t="e">
            <v>#N/A</v>
          </cell>
          <cell r="I107" t="e">
            <v>#N/A</v>
          </cell>
          <cell r="J107" t="e">
            <v>#N/A</v>
          </cell>
          <cell r="K107" t="e">
            <v>#N/A</v>
          </cell>
          <cell r="L107" t="e">
            <v>#N/A</v>
          </cell>
          <cell r="M107" t="e">
            <v>#N/A</v>
          </cell>
          <cell r="N107" t="e">
            <v>#N/A</v>
          </cell>
          <cell r="O107" t="e">
            <v>#N/A</v>
          </cell>
          <cell r="P107">
            <v>11.76</v>
          </cell>
          <cell r="Q107">
            <v>2.7558609999999999</v>
          </cell>
          <cell r="R107" t="e">
            <v>#N/A</v>
          </cell>
          <cell r="AI107" t="str">
            <v>UAH Ukrainian Hryvnia</v>
          </cell>
          <cell r="AJ107" t="str">
            <v>UAH</v>
          </cell>
          <cell r="AK107" t="str">
            <v>UAH</v>
          </cell>
          <cell r="AL107" t="str">
            <v>UAH</v>
          </cell>
          <cell r="AM107">
            <v>0</v>
          </cell>
          <cell r="AN107">
            <v>2</v>
          </cell>
        </row>
        <row r="108">
          <cell r="A108">
            <v>40127</v>
          </cell>
          <cell r="B108">
            <v>40127</v>
          </cell>
          <cell r="C108" t="str">
            <v>Past</v>
          </cell>
          <cell r="D108">
            <v>12.04</v>
          </cell>
          <cell r="E108" t="e">
            <v>#N/A</v>
          </cell>
          <cell r="F108" t="e">
            <v>#N/A</v>
          </cell>
          <cell r="G108" t="e">
            <v>#N/A</v>
          </cell>
          <cell r="H108" t="e">
            <v>#N/A</v>
          </cell>
          <cell r="I108" t="e">
            <v>#N/A</v>
          </cell>
          <cell r="J108" t="e">
            <v>#N/A</v>
          </cell>
          <cell r="K108" t="e">
            <v>#N/A</v>
          </cell>
          <cell r="L108" t="e">
            <v>#N/A</v>
          </cell>
          <cell r="M108" t="e">
            <v>#N/A</v>
          </cell>
          <cell r="N108" t="e">
            <v>#N/A</v>
          </cell>
          <cell r="O108" t="e">
            <v>#N/A</v>
          </cell>
          <cell r="P108">
            <v>12.04</v>
          </cell>
          <cell r="Q108">
            <v>5.5502000000000002</v>
          </cell>
          <cell r="R108" t="e">
            <v>#N/A</v>
          </cell>
          <cell r="AI108" t="str">
            <v>USD American Dollar</v>
          </cell>
          <cell r="AJ108" t="str">
            <v>$</v>
          </cell>
          <cell r="AK108" t="str">
            <v>USD</v>
          </cell>
          <cell r="AL108" t="str">
            <v>USD</v>
          </cell>
          <cell r="AM108">
            <v>0</v>
          </cell>
          <cell r="AN108">
            <v>2</v>
          </cell>
        </row>
        <row r="109">
          <cell r="A109">
            <v>40128</v>
          </cell>
          <cell r="B109">
            <v>40128</v>
          </cell>
          <cell r="C109" t="str">
            <v>Past</v>
          </cell>
          <cell r="D109">
            <v>11.87</v>
          </cell>
          <cell r="E109" t="e">
            <v>#N/A</v>
          </cell>
          <cell r="F109" t="e">
            <v>#N/A</v>
          </cell>
          <cell r="G109" t="e">
            <v>#N/A</v>
          </cell>
          <cell r="H109" t="e">
            <v>#N/A</v>
          </cell>
          <cell r="I109" t="e">
            <v>#N/A</v>
          </cell>
          <cell r="J109" t="e">
            <v>#N/A</v>
          </cell>
          <cell r="K109" t="e">
            <v>#N/A</v>
          </cell>
          <cell r="L109" t="e">
            <v>#N/A</v>
          </cell>
          <cell r="M109" t="e">
            <v>#N/A</v>
          </cell>
          <cell r="N109" t="e">
            <v>#N/A</v>
          </cell>
          <cell r="O109" t="e">
            <v>#N/A</v>
          </cell>
          <cell r="P109">
            <v>11.87</v>
          </cell>
          <cell r="Q109">
            <v>1.5279600000000002</v>
          </cell>
          <cell r="R109" t="e">
            <v>#N/A</v>
          </cell>
          <cell r="AI109" t="str">
            <v>VEB Venezuelan Bolivar</v>
          </cell>
          <cell r="AJ109" t="str">
            <v>VEB</v>
          </cell>
          <cell r="AK109" t="str">
            <v>VEB</v>
          </cell>
          <cell r="AL109" t="str">
            <v>VEB</v>
          </cell>
          <cell r="AM109">
            <v>0</v>
          </cell>
          <cell r="AN109">
            <v>2</v>
          </cell>
        </row>
        <row r="110">
          <cell r="A110">
            <v>40129</v>
          </cell>
          <cell r="B110">
            <v>40129</v>
          </cell>
          <cell r="C110" t="str">
            <v>Past</v>
          </cell>
          <cell r="D110">
            <v>11.68</v>
          </cell>
          <cell r="E110" t="e">
            <v>#N/A</v>
          </cell>
          <cell r="F110" t="e">
            <v>#N/A</v>
          </cell>
          <cell r="G110" t="e">
            <v>#N/A</v>
          </cell>
          <cell r="H110" t="e">
            <v>#N/A</v>
          </cell>
          <cell r="I110" t="e">
            <v>#N/A</v>
          </cell>
          <cell r="J110" t="e">
            <v>#N/A</v>
          </cell>
          <cell r="K110" t="e">
            <v>#N/A</v>
          </cell>
          <cell r="L110" t="e">
            <v>#N/A</v>
          </cell>
          <cell r="M110" t="e">
            <v>#N/A</v>
          </cell>
          <cell r="N110" t="e">
            <v>#N/A</v>
          </cell>
          <cell r="O110" t="e">
            <v>#N/A</v>
          </cell>
          <cell r="P110">
            <v>11.68</v>
          </cell>
          <cell r="Q110">
            <v>1.0482609999999999</v>
          </cell>
          <cell r="R110" t="e">
            <v>#N/A</v>
          </cell>
          <cell r="AI110" t="str">
            <v>ZAc South African Cent</v>
          </cell>
          <cell r="AJ110" t="str">
            <v>ZAc</v>
          </cell>
          <cell r="AK110" t="str">
            <v>ZAc</v>
          </cell>
          <cell r="AL110" t="str">
            <v>ZAc</v>
          </cell>
          <cell r="AM110">
            <v>0</v>
          </cell>
          <cell r="AN110">
            <v>0</v>
          </cell>
        </row>
        <row r="111">
          <cell r="A111">
            <v>40130</v>
          </cell>
          <cell r="B111">
            <v>40130</v>
          </cell>
          <cell r="C111" t="str">
            <v>Past</v>
          </cell>
          <cell r="D111">
            <v>11.79</v>
          </cell>
          <cell r="E111" t="e">
            <v>#N/A</v>
          </cell>
          <cell r="F111" t="e">
            <v>#N/A</v>
          </cell>
          <cell r="G111" t="e">
            <v>#N/A</v>
          </cell>
          <cell r="H111" t="e">
            <v>#N/A</v>
          </cell>
          <cell r="I111" t="e">
            <v>#N/A</v>
          </cell>
          <cell r="J111" t="e">
            <v>#N/A</v>
          </cell>
          <cell r="K111" t="e">
            <v>#N/A</v>
          </cell>
          <cell r="L111" t="e">
            <v>#N/A</v>
          </cell>
          <cell r="M111" t="e">
            <v>#N/A</v>
          </cell>
          <cell r="N111" t="e">
            <v>#N/A</v>
          </cell>
          <cell r="O111" t="e">
            <v>#N/A</v>
          </cell>
          <cell r="P111">
            <v>11.79</v>
          </cell>
          <cell r="Q111">
            <v>1.274297</v>
          </cell>
          <cell r="R111" t="e">
            <v>#N/A</v>
          </cell>
          <cell r="AI111" t="str">
            <v>ZAR South African rand</v>
          </cell>
          <cell r="AJ111" t="str">
            <v>ZAR</v>
          </cell>
          <cell r="AK111" t="str">
            <v>ZAR</v>
          </cell>
          <cell r="AL111" t="str">
            <v>ZAR</v>
          </cell>
          <cell r="AM111">
            <v>0</v>
          </cell>
          <cell r="AN111">
            <v>2</v>
          </cell>
        </row>
        <row r="112">
          <cell r="A112">
            <v>40133</v>
          </cell>
          <cell r="B112">
            <v>40133</v>
          </cell>
          <cell r="C112" t="str">
            <v>Past</v>
          </cell>
          <cell r="D112">
            <v>11.94</v>
          </cell>
          <cell r="E112" t="e">
            <v>#N/A</v>
          </cell>
          <cell r="F112" t="e">
            <v>#N/A</v>
          </cell>
          <cell r="G112" t="e">
            <v>#N/A</v>
          </cell>
          <cell r="H112" t="e">
            <v>#N/A</v>
          </cell>
          <cell r="I112" t="e">
            <v>#N/A</v>
          </cell>
          <cell r="J112" t="e">
            <v>#N/A</v>
          </cell>
          <cell r="K112" t="e">
            <v>#N/A</v>
          </cell>
          <cell r="L112" t="e">
            <v>#N/A</v>
          </cell>
          <cell r="M112" t="e">
            <v>#N/A</v>
          </cell>
          <cell r="N112" t="e">
            <v>#N/A</v>
          </cell>
          <cell r="O112" t="e">
            <v>#N/A</v>
          </cell>
          <cell r="P112">
            <v>11.94</v>
          </cell>
          <cell r="Q112">
            <v>0.62196399999999996</v>
          </cell>
          <cell r="R112" t="e">
            <v>#N/A</v>
          </cell>
          <cell r="AI112" t="str">
            <v xml:space="preserve">ZMK Zambian Kwacha </v>
          </cell>
          <cell r="AJ112" t="str">
            <v>ZMK</v>
          </cell>
          <cell r="AK112" t="str">
            <v>ZMK</v>
          </cell>
          <cell r="AL112" t="str">
            <v>ZMK</v>
          </cell>
          <cell r="AM112">
            <v>0</v>
          </cell>
          <cell r="AN112">
            <v>2</v>
          </cell>
        </row>
        <row r="113">
          <cell r="A113">
            <v>40134</v>
          </cell>
          <cell r="B113">
            <v>40134</v>
          </cell>
          <cell r="C113" t="str">
            <v>Past</v>
          </cell>
          <cell r="D113">
            <v>11.9</v>
          </cell>
          <cell r="E113" t="e">
            <v>#N/A</v>
          </cell>
          <cell r="F113" t="e">
            <v>#N/A</v>
          </cell>
          <cell r="G113" t="e">
            <v>#N/A</v>
          </cell>
          <cell r="H113" t="e">
            <v>#N/A</v>
          </cell>
          <cell r="I113" t="e">
            <v>#N/A</v>
          </cell>
          <cell r="J113" t="e">
            <v>#N/A</v>
          </cell>
          <cell r="K113" t="e">
            <v>#N/A</v>
          </cell>
          <cell r="L113" t="e">
            <v>#N/A</v>
          </cell>
          <cell r="M113" t="e">
            <v>#N/A</v>
          </cell>
          <cell r="N113" t="e">
            <v>#N/A</v>
          </cell>
          <cell r="O113" t="e">
            <v>#N/A</v>
          </cell>
          <cell r="P113">
            <v>11.9</v>
          </cell>
          <cell r="Q113">
            <v>0.67125299999999999</v>
          </cell>
          <cell r="R113" t="e">
            <v>#N/A</v>
          </cell>
        </row>
        <row r="114">
          <cell r="A114">
            <v>40135</v>
          </cell>
          <cell r="B114">
            <v>40135</v>
          </cell>
          <cell r="C114" t="str">
            <v>Past</v>
          </cell>
          <cell r="D114">
            <v>11.76</v>
          </cell>
          <cell r="E114" t="e">
            <v>#N/A</v>
          </cell>
          <cell r="F114" t="e">
            <v>#N/A</v>
          </cell>
          <cell r="G114" t="e">
            <v>#N/A</v>
          </cell>
          <cell r="H114" t="e">
            <v>#N/A</v>
          </cell>
          <cell r="I114" t="e">
            <v>#N/A</v>
          </cell>
          <cell r="J114" t="e">
            <v>#N/A</v>
          </cell>
          <cell r="K114" t="e">
            <v>#N/A</v>
          </cell>
          <cell r="L114" t="e">
            <v>#N/A</v>
          </cell>
          <cell r="M114" t="e">
            <v>#N/A</v>
          </cell>
          <cell r="N114" t="e">
            <v>#N/A</v>
          </cell>
          <cell r="O114" t="e">
            <v>#N/A</v>
          </cell>
          <cell r="P114">
            <v>11.76</v>
          </cell>
          <cell r="Q114">
            <v>0.64498599999999995</v>
          </cell>
          <cell r="R114" t="e">
            <v>#N/A</v>
          </cell>
        </row>
        <row r="115">
          <cell r="A115">
            <v>40136</v>
          </cell>
          <cell r="B115">
            <v>40136</v>
          </cell>
          <cell r="C115" t="str">
            <v>Past</v>
          </cell>
          <cell r="D115">
            <v>11.56</v>
          </cell>
          <cell r="E115" t="e">
            <v>#N/A</v>
          </cell>
          <cell r="F115" t="e">
            <v>#N/A</v>
          </cell>
          <cell r="G115" t="e">
            <v>#N/A</v>
          </cell>
          <cell r="H115" t="e">
            <v>#N/A</v>
          </cell>
          <cell r="I115" t="e">
            <v>#N/A</v>
          </cell>
          <cell r="J115" t="e">
            <v>#N/A</v>
          </cell>
          <cell r="K115" t="e">
            <v>#N/A</v>
          </cell>
          <cell r="L115" t="e">
            <v>#N/A</v>
          </cell>
          <cell r="M115" t="e">
            <v>#N/A</v>
          </cell>
          <cell r="N115" t="e">
            <v>#N/A</v>
          </cell>
          <cell r="O115" t="e">
            <v>#N/A</v>
          </cell>
          <cell r="P115">
            <v>11.56</v>
          </cell>
          <cell r="Q115">
            <v>1.2904279999999999</v>
          </cell>
          <cell r="R115" t="e">
            <v>#N/A</v>
          </cell>
        </row>
        <row r="116">
          <cell r="A116">
            <v>40137</v>
          </cell>
          <cell r="B116">
            <v>40137</v>
          </cell>
          <cell r="C116" t="str">
            <v>Past</v>
          </cell>
          <cell r="D116">
            <v>11.49</v>
          </cell>
          <cell r="E116" t="e">
            <v>#N/A</v>
          </cell>
          <cell r="F116" t="e">
            <v>#N/A</v>
          </cell>
          <cell r="G116" t="e">
            <v>#N/A</v>
          </cell>
          <cell r="H116" t="e">
            <v>#N/A</v>
          </cell>
          <cell r="I116" t="e">
            <v>#N/A</v>
          </cell>
          <cell r="J116" t="e">
            <v>#N/A</v>
          </cell>
          <cell r="K116" t="e">
            <v>#N/A</v>
          </cell>
          <cell r="L116" t="e">
            <v>#N/A</v>
          </cell>
          <cell r="M116" t="e">
            <v>#N/A</v>
          </cell>
          <cell r="N116" t="e">
            <v>#N/A</v>
          </cell>
          <cell r="O116" t="e">
            <v>#N/A</v>
          </cell>
          <cell r="P116">
            <v>11.49</v>
          </cell>
          <cell r="Q116">
            <v>0.70999499999999993</v>
          </cell>
          <cell r="R116" t="e">
            <v>#N/A</v>
          </cell>
        </row>
        <row r="117">
          <cell r="A117">
            <v>40140</v>
          </cell>
          <cell r="B117">
            <v>40140</v>
          </cell>
          <cell r="C117" t="str">
            <v>Past</v>
          </cell>
          <cell r="D117">
            <v>11.67</v>
          </cell>
          <cell r="E117" t="e">
            <v>#N/A</v>
          </cell>
          <cell r="F117" t="e">
            <v>#N/A</v>
          </cell>
          <cell r="G117" t="e">
            <v>#N/A</v>
          </cell>
          <cell r="H117" t="e">
            <v>#N/A</v>
          </cell>
          <cell r="I117" t="e">
            <v>#N/A</v>
          </cell>
          <cell r="J117" t="e">
            <v>#N/A</v>
          </cell>
          <cell r="K117" t="e">
            <v>#N/A</v>
          </cell>
          <cell r="L117" t="e">
            <v>#N/A</v>
          </cell>
          <cell r="M117" t="e">
            <v>#N/A</v>
          </cell>
          <cell r="N117" t="e">
            <v>#N/A</v>
          </cell>
          <cell r="O117" t="e">
            <v>#N/A</v>
          </cell>
          <cell r="P117">
            <v>11.67</v>
          </cell>
          <cell r="Q117">
            <v>1.04413</v>
          </cell>
          <cell r="R117" t="e">
            <v>#N/A</v>
          </cell>
        </row>
        <row r="118">
          <cell r="A118">
            <v>40141</v>
          </cell>
          <cell r="B118">
            <v>40141</v>
          </cell>
          <cell r="C118" t="str">
            <v>Past</v>
          </cell>
          <cell r="D118">
            <v>11.61</v>
          </cell>
          <cell r="E118" t="e">
            <v>#N/A</v>
          </cell>
          <cell r="F118" t="e">
            <v>#N/A</v>
          </cell>
          <cell r="G118" t="e">
            <v>#N/A</v>
          </cell>
          <cell r="H118" t="e">
            <v>#N/A</v>
          </cell>
          <cell r="I118" t="e">
            <v>#N/A</v>
          </cell>
          <cell r="J118" t="e">
            <v>#N/A</v>
          </cell>
          <cell r="K118" t="e">
            <v>#N/A</v>
          </cell>
          <cell r="L118" t="e">
            <v>#N/A</v>
          </cell>
          <cell r="M118" t="e">
            <v>#N/A</v>
          </cell>
          <cell r="N118" t="e">
            <v>#N/A</v>
          </cell>
          <cell r="O118" t="e">
            <v>#N/A</v>
          </cell>
          <cell r="P118">
            <v>11.61</v>
          </cell>
          <cell r="Q118">
            <v>1.9307329999999998</v>
          </cell>
          <cell r="R118" t="e">
            <v>#N/A</v>
          </cell>
        </row>
        <row r="119">
          <cell r="A119">
            <v>40142</v>
          </cell>
          <cell r="B119">
            <v>40142</v>
          </cell>
          <cell r="C119" t="str">
            <v>Past</v>
          </cell>
          <cell r="D119">
            <v>11.65</v>
          </cell>
          <cell r="E119" t="e">
            <v>#N/A</v>
          </cell>
          <cell r="F119" t="e">
            <v>#N/A</v>
          </cell>
          <cell r="G119" t="e">
            <v>#N/A</v>
          </cell>
          <cell r="H119" t="e">
            <v>#N/A</v>
          </cell>
          <cell r="I119" t="e">
            <v>#N/A</v>
          </cell>
          <cell r="J119" t="e">
            <v>#N/A</v>
          </cell>
          <cell r="K119" t="e">
            <v>#N/A</v>
          </cell>
          <cell r="L119" t="e">
            <v>#N/A</v>
          </cell>
          <cell r="M119" t="e">
            <v>#N/A</v>
          </cell>
          <cell r="N119" t="e">
            <v>#N/A</v>
          </cell>
          <cell r="O119" t="e">
            <v>#N/A</v>
          </cell>
          <cell r="P119">
            <v>11.65</v>
          </cell>
          <cell r="Q119">
            <v>0.93092900000000001</v>
          </cell>
          <cell r="R119" t="e">
            <v>#N/A</v>
          </cell>
        </row>
        <row r="120">
          <cell r="A120">
            <v>40144</v>
          </cell>
          <cell r="B120">
            <v>40144</v>
          </cell>
          <cell r="C120" t="str">
            <v>Past</v>
          </cell>
          <cell r="D120">
            <v>11.44</v>
          </cell>
          <cell r="E120" t="e">
            <v>#N/A</v>
          </cell>
          <cell r="F120" t="e">
            <v>#N/A</v>
          </cell>
          <cell r="G120" t="e">
            <v>#N/A</v>
          </cell>
          <cell r="H120" t="e">
            <v>#N/A</v>
          </cell>
          <cell r="I120" t="e">
            <v>#N/A</v>
          </cell>
          <cell r="J120" t="e">
            <v>#N/A</v>
          </cell>
          <cell r="K120" t="e">
            <v>#N/A</v>
          </cell>
          <cell r="L120" t="e">
            <v>#N/A</v>
          </cell>
          <cell r="M120" t="e">
            <v>#N/A</v>
          </cell>
          <cell r="N120" t="e">
            <v>#N/A</v>
          </cell>
          <cell r="O120" t="e">
            <v>#N/A</v>
          </cell>
          <cell r="P120">
            <v>11.44</v>
          </cell>
          <cell r="Q120">
            <v>0.54460500000000001</v>
          </cell>
          <cell r="R120" t="e">
            <v>#N/A</v>
          </cell>
        </row>
        <row r="121">
          <cell r="A121">
            <v>40147</v>
          </cell>
          <cell r="B121">
            <v>40147</v>
          </cell>
          <cell r="C121" t="str">
            <v>Past</v>
          </cell>
          <cell r="D121">
            <v>11.64</v>
          </cell>
          <cell r="E121" t="e">
            <v>#N/A</v>
          </cell>
          <cell r="F121" t="e">
            <v>#N/A</v>
          </cell>
          <cell r="G121" t="e">
            <v>#N/A</v>
          </cell>
          <cell r="H121" t="e">
            <v>#N/A</v>
          </cell>
          <cell r="I121" t="e">
            <v>#N/A</v>
          </cell>
          <cell r="J121" t="e">
            <v>#N/A</v>
          </cell>
          <cell r="K121" t="e">
            <v>#N/A</v>
          </cell>
          <cell r="L121" t="e">
            <v>#N/A</v>
          </cell>
          <cell r="M121" t="e">
            <v>#N/A</v>
          </cell>
          <cell r="N121" t="e">
            <v>#N/A</v>
          </cell>
          <cell r="O121" t="e">
            <v>#N/A</v>
          </cell>
          <cell r="P121">
            <v>11.64</v>
          </cell>
          <cell r="Q121">
            <v>3.259204</v>
          </cell>
          <cell r="R121" t="e">
            <v>#N/A</v>
          </cell>
        </row>
        <row r="122">
          <cell r="A122">
            <v>40148</v>
          </cell>
          <cell r="B122">
            <v>40148</v>
          </cell>
          <cell r="C122" t="str">
            <v>Past</v>
          </cell>
          <cell r="D122">
            <v>11.92</v>
          </cell>
          <cell r="E122" t="e">
            <v>#N/A</v>
          </cell>
          <cell r="F122" t="e">
            <v>#N/A</v>
          </cell>
          <cell r="G122" t="e">
            <v>#N/A</v>
          </cell>
          <cell r="H122" t="e">
            <v>#N/A</v>
          </cell>
          <cell r="I122" t="e">
            <v>#N/A</v>
          </cell>
          <cell r="J122" t="e">
            <v>#N/A</v>
          </cell>
          <cell r="K122" t="e">
            <v>#N/A</v>
          </cell>
          <cell r="L122" t="e">
            <v>#N/A</v>
          </cell>
          <cell r="M122" t="e">
            <v>#N/A</v>
          </cell>
          <cell r="N122" t="e">
            <v>#N/A</v>
          </cell>
          <cell r="O122" t="e">
            <v>#N/A</v>
          </cell>
          <cell r="P122">
            <v>11.92</v>
          </cell>
          <cell r="Q122">
            <v>4.5483539999999998</v>
          </cell>
          <cell r="R122" t="e">
            <v>#N/A</v>
          </cell>
        </row>
        <row r="123">
          <cell r="A123">
            <v>40149</v>
          </cell>
          <cell r="B123">
            <v>40149</v>
          </cell>
          <cell r="C123" t="str">
            <v>Past</v>
          </cell>
          <cell r="D123">
            <v>12.08</v>
          </cell>
          <cell r="E123" t="e">
            <v>#N/A</v>
          </cell>
          <cell r="F123" t="e">
            <v>#N/A</v>
          </cell>
          <cell r="G123" t="e">
            <v>#N/A</v>
          </cell>
          <cell r="H123" t="e">
            <v>#N/A</v>
          </cell>
          <cell r="I123" t="e">
            <v>#N/A</v>
          </cell>
          <cell r="J123" t="e">
            <v>#N/A</v>
          </cell>
          <cell r="K123" t="e">
            <v>#N/A</v>
          </cell>
          <cell r="L123" t="e">
            <v>#N/A</v>
          </cell>
          <cell r="M123" t="e">
            <v>#N/A</v>
          </cell>
          <cell r="N123" t="e">
            <v>#N/A</v>
          </cell>
          <cell r="O123" t="e">
            <v>#N/A</v>
          </cell>
          <cell r="P123">
            <v>12.08</v>
          </cell>
          <cell r="Q123">
            <v>1.643826</v>
          </cell>
          <cell r="R123" t="e">
            <v>#N/A</v>
          </cell>
        </row>
        <row r="124">
          <cell r="A124">
            <v>40150</v>
          </cell>
          <cell r="B124">
            <v>40150</v>
          </cell>
          <cell r="C124" t="str">
            <v>Past</v>
          </cell>
          <cell r="D124">
            <v>12.01</v>
          </cell>
          <cell r="E124" t="e">
            <v>#N/A</v>
          </cell>
          <cell r="F124" t="e">
            <v>#N/A</v>
          </cell>
          <cell r="G124" t="e">
            <v>#N/A</v>
          </cell>
          <cell r="H124" t="e">
            <v>#N/A</v>
          </cell>
          <cell r="I124" t="e">
            <v>#N/A</v>
          </cell>
          <cell r="J124" t="e">
            <v>#N/A</v>
          </cell>
          <cell r="K124" t="e">
            <v>#N/A</v>
          </cell>
          <cell r="L124" t="e">
            <v>#N/A</v>
          </cell>
          <cell r="M124" t="e">
            <v>#N/A</v>
          </cell>
          <cell r="N124" t="e">
            <v>#N/A</v>
          </cell>
          <cell r="O124" t="e">
            <v>#N/A</v>
          </cell>
          <cell r="P124">
            <v>12.01</v>
          </cell>
          <cell r="Q124">
            <v>2.0495200000000002</v>
          </cell>
          <cell r="R124" t="e">
            <v>#N/A</v>
          </cell>
        </row>
        <row r="125">
          <cell r="A125">
            <v>40151</v>
          </cell>
          <cell r="B125">
            <v>40151</v>
          </cell>
          <cell r="C125" t="str">
            <v>Past</v>
          </cell>
          <cell r="D125">
            <v>12</v>
          </cell>
          <cell r="E125" t="e">
            <v>#N/A</v>
          </cell>
          <cell r="F125" t="e">
            <v>#N/A</v>
          </cell>
          <cell r="G125" t="e">
            <v>#N/A</v>
          </cell>
          <cell r="H125" t="e">
            <v>#N/A</v>
          </cell>
          <cell r="I125" t="e">
            <v>#N/A</v>
          </cell>
          <cell r="J125" t="e">
            <v>#N/A</v>
          </cell>
          <cell r="K125" t="e">
            <v>#N/A</v>
          </cell>
          <cell r="L125" t="e">
            <v>#N/A</v>
          </cell>
          <cell r="M125" t="e">
            <v>#N/A</v>
          </cell>
          <cell r="N125" t="e">
            <v>#N/A</v>
          </cell>
          <cell r="O125" t="e">
            <v>#N/A</v>
          </cell>
          <cell r="P125">
            <v>12</v>
          </cell>
          <cell r="Q125">
            <v>1.6330449999999999</v>
          </cell>
          <cell r="R125" t="e">
            <v>#N/A</v>
          </cell>
        </row>
        <row r="126">
          <cell r="A126">
            <v>40154</v>
          </cell>
          <cell r="B126">
            <v>40154</v>
          </cell>
          <cell r="C126" t="str">
            <v>Past</v>
          </cell>
          <cell r="D126">
            <v>11.98</v>
          </cell>
          <cell r="E126" t="e">
            <v>#N/A</v>
          </cell>
          <cell r="F126" t="e">
            <v>#N/A</v>
          </cell>
          <cell r="G126" t="e">
            <v>#N/A</v>
          </cell>
          <cell r="H126" t="e">
            <v>#N/A</v>
          </cell>
          <cell r="I126" t="e">
            <v>#N/A</v>
          </cell>
          <cell r="J126" t="e">
            <v>#N/A</v>
          </cell>
          <cell r="K126" t="e">
            <v>#N/A</v>
          </cell>
          <cell r="L126" t="e">
            <v>#N/A</v>
          </cell>
          <cell r="M126" t="e">
            <v>#N/A</v>
          </cell>
          <cell r="N126" t="e">
            <v>#N/A</v>
          </cell>
          <cell r="O126" t="e">
            <v>#N/A</v>
          </cell>
          <cell r="P126">
            <v>11.98</v>
          </cell>
          <cell r="Q126">
            <v>1.9720549999999999</v>
          </cell>
          <cell r="R126" t="e">
            <v>#N/A</v>
          </cell>
        </row>
        <row r="127">
          <cell r="A127">
            <v>40155</v>
          </cell>
          <cell r="B127">
            <v>40155</v>
          </cell>
          <cell r="C127" t="str">
            <v>Past</v>
          </cell>
          <cell r="D127">
            <v>11.96</v>
          </cell>
          <cell r="E127" t="e">
            <v>#N/A</v>
          </cell>
          <cell r="F127" t="e">
            <v>#N/A</v>
          </cell>
          <cell r="G127" t="e">
            <v>#N/A</v>
          </cell>
          <cell r="H127" t="e">
            <v>#N/A</v>
          </cell>
          <cell r="I127" t="e">
            <v>#N/A</v>
          </cell>
          <cell r="J127" t="e">
            <v>#N/A</v>
          </cell>
          <cell r="K127" t="e">
            <v>#N/A</v>
          </cell>
          <cell r="L127" t="e">
            <v>#N/A</v>
          </cell>
          <cell r="M127" t="e">
            <v>#N/A</v>
          </cell>
          <cell r="N127" t="e">
            <v>#N/A</v>
          </cell>
          <cell r="O127" t="e">
            <v>#N/A</v>
          </cell>
          <cell r="P127">
            <v>11.96</v>
          </cell>
          <cell r="Q127">
            <v>1.403686</v>
          </cell>
          <cell r="R127" t="e">
            <v>#N/A</v>
          </cell>
        </row>
        <row r="128">
          <cell r="A128">
            <v>40156</v>
          </cell>
          <cell r="B128">
            <v>40156</v>
          </cell>
          <cell r="C128" t="str">
            <v>Past</v>
          </cell>
          <cell r="D128">
            <v>11.9</v>
          </cell>
          <cell r="E128" t="e">
            <v>#N/A</v>
          </cell>
          <cell r="F128" t="e">
            <v>#N/A</v>
          </cell>
          <cell r="G128" t="e">
            <v>#N/A</v>
          </cell>
          <cell r="H128" t="e">
            <v>#N/A</v>
          </cell>
          <cell r="I128" t="e">
            <v>#N/A</v>
          </cell>
          <cell r="J128" t="e">
            <v>#N/A</v>
          </cell>
          <cell r="K128" t="e">
            <v>#N/A</v>
          </cell>
          <cell r="L128" t="e">
            <v>#N/A</v>
          </cell>
          <cell r="M128" t="e">
            <v>#N/A</v>
          </cell>
          <cell r="N128" t="e">
            <v>#N/A</v>
          </cell>
          <cell r="O128" t="e">
            <v>#N/A</v>
          </cell>
          <cell r="P128">
            <v>11.9</v>
          </cell>
          <cell r="Q128">
            <v>1.402925</v>
          </cell>
          <cell r="R128" t="e">
            <v>#N/A</v>
          </cell>
        </row>
        <row r="129">
          <cell r="A129">
            <v>40157</v>
          </cell>
          <cell r="B129">
            <v>40157</v>
          </cell>
          <cell r="C129" t="str">
            <v>Past</v>
          </cell>
          <cell r="D129">
            <v>11.92</v>
          </cell>
          <cell r="E129" t="e">
            <v>#N/A</v>
          </cell>
          <cell r="F129" t="e">
            <v>#N/A</v>
          </cell>
          <cell r="G129" t="e">
            <v>#N/A</v>
          </cell>
          <cell r="H129" t="e">
            <v>#N/A</v>
          </cell>
          <cell r="I129" t="e">
            <v>#N/A</v>
          </cell>
          <cell r="J129" t="e">
            <v>#N/A</v>
          </cell>
          <cell r="K129" t="e">
            <v>#N/A</v>
          </cell>
          <cell r="L129" t="e">
            <v>#N/A</v>
          </cell>
          <cell r="M129" t="e">
            <v>#N/A</v>
          </cell>
          <cell r="N129" t="e">
            <v>#N/A</v>
          </cell>
          <cell r="O129" t="e">
            <v>#N/A</v>
          </cell>
          <cell r="P129">
            <v>11.92</v>
          </cell>
          <cell r="Q129">
            <v>1.6281049999999999</v>
          </cell>
          <cell r="R129" t="e">
            <v>#N/A</v>
          </cell>
        </row>
        <row r="130">
          <cell r="A130">
            <v>40158</v>
          </cell>
          <cell r="B130">
            <v>40158</v>
          </cell>
          <cell r="C130" t="str">
            <v>Past</v>
          </cell>
          <cell r="D130">
            <v>12.26</v>
          </cell>
          <cell r="E130" t="e">
            <v>#N/A</v>
          </cell>
          <cell r="F130" t="e">
            <v>#N/A</v>
          </cell>
          <cell r="G130" t="e">
            <v>#N/A</v>
          </cell>
          <cell r="H130" t="e">
            <v>#N/A</v>
          </cell>
          <cell r="I130" t="e">
            <v>#N/A</v>
          </cell>
          <cell r="J130" t="e">
            <v>#N/A</v>
          </cell>
          <cell r="K130" t="e">
            <v>#N/A</v>
          </cell>
          <cell r="L130" t="e">
            <v>#N/A</v>
          </cell>
          <cell r="M130" t="e">
            <v>#N/A</v>
          </cell>
          <cell r="N130" t="e">
            <v>#N/A</v>
          </cell>
          <cell r="O130" t="e">
            <v>#N/A</v>
          </cell>
          <cell r="P130">
            <v>12.26</v>
          </cell>
          <cell r="Q130">
            <v>2.5341459999999998</v>
          </cell>
          <cell r="R130" t="e">
            <v>#N/A</v>
          </cell>
        </row>
        <row r="131">
          <cell r="A131">
            <v>40161</v>
          </cell>
          <cell r="B131">
            <v>40161</v>
          </cell>
          <cell r="C131" t="str">
            <v>Past</v>
          </cell>
          <cell r="D131">
            <v>12.39</v>
          </cell>
          <cell r="E131" t="e">
            <v>#N/A</v>
          </cell>
          <cell r="F131" t="e">
            <v>#N/A</v>
          </cell>
          <cell r="G131" t="e">
            <v>#N/A</v>
          </cell>
          <cell r="H131" t="e">
            <v>#N/A</v>
          </cell>
          <cell r="I131" t="e">
            <v>#N/A</v>
          </cell>
          <cell r="J131" t="e">
            <v>#N/A</v>
          </cell>
          <cell r="K131" t="e">
            <v>#N/A</v>
          </cell>
          <cell r="L131" t="e">
            <v>#N/A</v>
          </cell>
          <cell r="M131" t="e">
            <v>#N/A</v>
          </cell>
          <cell r="N131" t="e">
            <v>#N/A</v>
          </cell>
          <cell r="O131" t="e">
            <v>#N/A</v>
          </cell>
          <cell r="P131">
            <v>12.39</v>
          </cell>
          <cell r="Q131">
            <v>1.5428109999999999</v>
          </cell>
          <cell r="R131" t="e">
            <v>#N/A</v>
          </cell>
        </row>
        <row r="132">
          <cell r="A132">
            <v>40162</v>
          </cell>
          <cell r="B132">
            <v>40162</v>
          </cell>
          <cell r="C132" t="str">
            <v>Past</v>
          </cell>
          <cell r="D132">
            <v>12.49</v>
          </cell>
          <cell r="E132" t="e">
            <v>#N/A</v>
          </cell>
          <cell r="F132" t="e">
            <v>#N/A</v>
          </cell>
          <cell r="G132" t="e">
            <v>#N/A</v>
          </cell>
          <cell r="H132" t="e">
            <v>#N/A</v>
          </cell>
          <cell r="I132" t="e">
            <v>#N/A</v>
          </cell>
          <cell r="J132" t="e">
            <v>#N/A</v>
          </cell>
          <cell r="K132" t="e">
            <v>#N/A</v>
          </cell>
          <cell r="L132" t="e">
            <v>#N/A</v>
          </cell>
          <cell r="M132" t="e">
            <v>#N/A</v>
          </cell>
          <cell r="N132" t="e">
            <v>#N/A</v>
          </cell>
          <cell r="O132" t="e">
            <v>#N/A</v>
          </cell>
          <cell r="P132">
            <v>12.49</v>
          </cell>
          <cell r="Q132">
            <v>1.816954</v>
          </cell>
          <cell r="R132" t="e">
            <v>#N/A</v>
          </cell>
        </row>
        <row r="133">
          <cell r="A133">
            <v>40163</v>
          </cell>
          <cell r="B133">
            <v>40163</v>
          </cell>
          <cell r="C133" t="str">
            <v>Past</v>
          </cell>
          <cell r="D133">
            <v>12.67</v>
          </cell>
          <cell r="E133" t="e">
            <v>#N/A</v>
          </cell>
          <cell r="F133" t="e">
            <v>#N/A</v>
          </cell>
          <cell r="G133" t="e">
            <v>#N/A</v>
          </cell>
          <cell r="H133" t="e">
            <v>#N/A</v>
          </cell>
          <cell r="I133" t="e">
            <v>#N/A</v>
          </cell>
          <cell r="J133" t="e">
            <v>#N/A</v>
          </cell>
          <cell r="K133" t="e">
            <v>#N/A</v>
          </cell>
          <cell r="L133" t="e">
            <v>#N/A</v>
          </cell>
          <cell r="M133" t="e">
            <v>#N/A</v>
          </cell>
          <cell r="N133" t="e">
            <v>#N/A</v>
          </cell>
          <cell r="O133" t="e">
            <v>#N/A</v>
          </cell>
          <cell r="P133">
            <v>12.67</v>
          </cell>
          <cell r="Q133">
            <v>3.4078200000000001</v>
          </cell>
          <cell r="R133" t="e">
            <v>#N/A</v>
          </cell>
        </row>
        <row r="134">
          <cell r="A134">
            <v>40164</v>
          </cell>
          <cell r="B134">
            <v>40164</v>
          </cell>
          <cell r="C134" t="str">
            <v>Past</v>
          </cell>
          <cell r="D134">
            <v>12.37</v>
          </cell>
          <cell r="E134" t="e">
            <v>#N/A</v>
          </cell>
          <cell r="F134" t="e">
            <v>#N/A</v>
          </cell>
          <cell r="G134" t="e">
            <v>#N/A</v>
          </cell>
          <cell r="H134" t="e">
            <v>#N/A</v>
          </cell>
          <cell r="I134" t="e">
            <v>#N/A</v>
          </cell>
          <cell r="J134" t="e">
            <v>#N/A</v>
          </cell>
          <cell r="K134" t="e">
            <v>#N/A</v>
          </cell>
          <cell r="L134" t="e">
            <v>#N/A</v>
          </cell>
          <cell r="M134" t="e">
            <v>#N/A</v>
          </cell>
          <cell r="N134" t="e">
            <v>#N/A</v>
          </cell>
          <cell r="O134" t="e">
            <v>#N/A</v>
          </cell>
          <cell r="P134">
            <v>12.37</v>
          </cell>
          <cell r="Q134">
            <v>2.987034</v>
          </cell>
          <cell r="R134" t="e">
            <v>#N/A</v>
          </cell>
        </row>
        <row r="135">
          <cell r="A135">
            <v>40165</v>
          </cell>
          <cell r="B135">
            <v>40165</v>
          </cell>
          <cell r="C135" t="str">
            <v>Past</v>
          </cell>
          <cell r="D135">
            <v>12.39</v>
          </cell>
          <cell r="E135" t="e">
            <v>#N/A</v>
          </cell>
          <cell r="F135" t="e">
            <v>#N/A</v>
          </cell>
          <cell r="G135" t="e">
            <v>#N/A</v>
          </cell>
          <cell r="H135" t="e">
            <v>#N/A</v>
          </cell>
          <cell r="I135" t="e">
            <v>#N/A</v>
          </cell>
          <cell r="J135" t="e">
            <v>#N/A</v>
          </cell>
          <cell r="K135" t="e">
            <v>#N/A</v>
          </cell>
          <cell r="L135" t="e">
            <v>#N/A</v>
          </cell>
          <cell r="M135" t="e">
            <v>#N/A</v>
          </cell>
          <cell r="N135" t="e">
            <v>#N/A</v>
          </cell>
          <cell r="O135" t="e">
            <v>#N/A</v>
          </cell>
          <cell r="P135">
            <v>12.39</v>
          </cell>
          <cell r="Q135">
            <v>2.0287000000000002</v>
          </cell>
          <cell r="R135" t="e">
            <v>#N/A</v>
          </cell>
        </row>
        <row r="136">
          <cell r="A136">
            <v>40168</v>
          </cell>
          <cell r="B136">
            <v>40168</v>
          </cell>
          <cell r="C136" t="str">
            <v>Past</v>
          </cell>
          <cell r="D136">
            <v>12.55</v>
          </cell>
          <cell r="E136" t="e">
            <v>#N/A</v>
          </cell>
          <cell r="F136" t="e">
            <v>#N/A</v>
          </cell>
          <cell r="G136" t="e">
            <v>#N/A</v>
          </cell>
          <cell r="H136" t="e">
            <v>#N/A</v>
          </cell>
          <cell r="I136" t="e">
            <v>#N/A</v>
          </cell>
          <cell r="J136" t="e">
            <v>#N/A</v>
          </cell>
          <cell r="K136" t="e">
            <v>#N/A</v>
          </cell>
          <cell r="L136" t="e">
            <v>#N/A</v>
          </cell>
          <cell r="M136" t="e">
            <v>#N/A</v>
          </cell>
          <cell r="N136" t="e">
            <v>#N/A</v>
          </cell>
          <cell r="O136" t="e">
            <v>#N/A</v>
          </cell>
          <cell r="P136">
            <v>12.55</v>
          </cell>
          <cell r="Q136">
            <v>1.2931679999999999</v>
          </cell>
          <cell r="R136" t="e">
            <v>#N/A</v>
          </cell>
        </row>
        <row r="137">
          <cell r="A137">
            <v>40169</v>
          </cell>
          <cell r="B137">
            <v>40169</v>
          </cell>
          <cell r="C137" t="str">
            <v>Past</v>
          </cell>
          <cell r="D137">
            <v>12.51</v>
          </cell>
          <cell r="E137" t="e">
            <v>#N/A</v>
          </cell>
          <cell r="F137" t="e">
            <v>#N/A</v>
          </cell>
          <cell r="G137" t="e">
            <v>#N/A</v>
          </cell>
          <cell r="H137" t="e">
            <v>#N/A</v>
          </cell>
          <cell r="I137" t="e">
            <v>#N/A</v>
          </cell>
          <cell r="J137" t="e">
            <v>#N/A</v>
          </cell>
          <cell r="K137" t="e">
            <v>#N/A</v>
          </cell>
          <cell r="L137" t="e">
            <v>#N/A</v>
          </cell>
          <cell r="M137" t="e">
            <v>#N/A</v>
          </cell>
          <cell r="N137" t="e">
            <v>#N/A</v>
          </cell>
          <cell r="O137" t="e">
            <v>#N/A</v>
          </cell>
          <cell r="P137">
            <v>12.51</v>
          </cell>
          <cell r="Q137">
            <v>0.98313899999999999</v>
          </cell>
          <cell r="R137" t="e">
            <v>#N/A</v>
          </cell>
        </row>
        <row r="138">
          <cell r="A138">
            <v>40170</v>
          </cell>
          <cell r="B138">
            <v>40170</v>
          </cell>
          <cell r="C138" t="str">
            <v>Past</v>
          </cell>
          <cell r="D138">
            <v>12.53</v>
          </cell>
          <cell r="E138" t="e">
            <v>#N/A</v>
          </cell>
          <cell r="F138" t="e">
            <v>#N/A</v>
          </cell>
          <cell r="G138" t="e">
            <v>#N/A</v>
          </cell>
          <cell r="H138" t="e">
            <v>#N/A</v>
          </cell>
          <cell r="I138" t="e">
            <v>#N/A</v>
          </cell>
          <cell r="J138" t="e">
            <v>#N/A</v>
          </cell>
          <cell r="K138" t="e">
            <v>#N/A</v>
          </cell>
          <cell r="L138" t="e">
            <v>#N/A</v>
          </cell>
          <cell r="M138" t="e">
            <v>#N/A</v>
          </cell>
          <cell r="N138" t="e">
            <v>#N/A</v>
          </cell>
          <cell r="O138" t="e">
            <v>#N/A</v>
          </cell>
          <cell r="P138">
            <v>12.53</v>
          </cell>
          <cell r="Q138">
            <v>1.043939</v>
          </cell>
          <cell r="R138" t="e">
            <v>#N/A</v>
          </cell>
        </row>
        <row r="139">
          <cell r="A139">
            <v>40171</v>
          </cell>
          <cell r="B139">
            <v>40171</v>
          </cell>
          <cell r="C139" t="str">
            <v>Past</v>
          </cell>
          <cell r="D139">
            <v>12.54</v>
          </cell>
          <cell r="E139" t="e">
            <v>#N/A</v>
          </cell>
          <cell r="F139" t="e">
            <v>#N/A</v>
          </cell>
          <cell r="G139" t="e">
            <v>#N/A</v>
          </cell>
          <cell r="H139" t="e">
            <v>#N/A</v>
          </cell>
          <cell r="I139" t="e">
            <v>#N/A</v>
          </cell>
          <cell r="J139" t="e">
            <v>#N/A</v>
          </cell>
          <cell r="K139" t="e">
            <v>#N/A</v>
          </cell>
          <cell r="L139" t="e">
            <v>#N/A</v>
          </cell>
          <cell r="M139" t="e">
            <v>#N/A</v>
          </cell>
          <cell r="N139" t="e">
            <v>#N/A</v>
          </cell>
          <cell r="O139" t="e">
            <v>#N/A</v>
          </cell>
          <cell r="P139">
            <v>12.54</v>
          </cell>
          <cell r="Q139">
            <v>0.188083</v>
          </cell>
          <cell r="R139" t="e">
            <v>#N/A</v>
          </cell>
        </row>
        <row r="140">
          <cell r="A140">
            <v>40175</v>
          </cell>
          <cell r="B140">
            <v>40175</v>
          </cell>
          <cell r="C140" t="str">
            <v>Past</v>
          </cell>
          <cell r="D140">
            <v>12.52</v>
          </cell>
          <cell r="E140" t="e">
            <v>#N/A</v>
          </cell>
          <cell r="F140" t="e">
            <v>#N/A</v>
          </cell>
          <cell r="G140" t="e">
            <v>#N/A</v>
          </cell>
          <cell r="H140" t="e">
            <v>#N/A</v>
          </cell>
          <cell r="I140" t="e">
            <v>#N/A</v>
          </cell>
          <cell r="J140" t="e">
            <v>#N/A</v>
          </cell>
          <cell r="K140" t="e">
            <v>#N/A</v>
          </cell>
          <cell r="L140" t="e">
            <v>#N/A</v>
          </cell>
          <cell r="M140" t="e">
            <v>#N/A</v>
          </cell>
          <cell r="N140" t="e">
            <v>#N/A</v>
          </cell>
          <cell r="O140" t="e">
            <v>#N/A</v>
          </cell>
          <cell r="P140">
            <v>12.52</v>
          </cell>
          <cell r="Q140">
            <v>1.007449</v>
          </cell>
          <cell r="R140" t="e">
            <v>#N/A</v>
          </cell>
        </row>
        <row r="141">
          <cell r="A141">
            <v>40176</v>
          </cell>
          <cell r="B141">
            <v>40176</v>
          </cell>
          <cell r="C141" t="str">
            <v>Past</v>
          </cell>
          <cell r="D141">
            <v>12.53</v>
          </cell>
          <cell r="E141" t="e">
            <v>#N/A</v>
          </cell>
          <cell r="F141" t="e">
            <v>#N/A</v>
          </cell>
          <cell r="G141" t="e">
            <v>#N/A</v>
          </cell>
          <cell r="H141" t="e">
            <v>#N/A</v>
          </cell>
          <cell r="I141" t="e">
            <v>#N/A</v>
          </cell>
          <cell r="J141" t="e">
            <v>#N/A</v>
          </cell>
          <cell r="K141" t="e">
            <v>#N/A</v>
          </cell>
          <cell r="L141" t="e">
            <v>#N/A</v>
          </cell>
          <cell r="M141" t="e">
            <v>#N/A</v>
          </cell>
          <cell r="N141" t="e">
            <v>#N/A</v>
          </cell>
          <cell r="O141" t="e">
            <v>#N/A</v>
          </cell>
          <cell r="P141">
            <v>12.53</v>
          </cell>
          <cell r="Q141">
            <v>1.2915209999999999</v>
          </cell>
          <cell r="R141" t="e">
            <v>#N/A</v>
          </cell>
        </row>
        <row r="142">
          <cell r="A142">
            <v>40177</v>
          </cell>
          <cell r="B142">
            <v>40177</v>
          </cell>
          <cell r="C142" t="str">
            <v>Past</v>
          </cell>
          <cell r="D142">
            <v>12.57</v>
          </cell>
          <cell r="E142" t="e">
            <v>#N/A</v>
          </cell>
          <cell r="F142" t="e">
            <v>#N/A</v>
          </cell>
          <cell r="G142" t="e">
            <v>#N/A</v>
          </cell>
          <cell r="H142" t="e">
            <v>#N/A</v>
          </cell>
          <cell r="I142" t="e">
            <v>#N/A</v>
          </cell>
          <cell r="J142" t="e">
            <v>#N/A</v>
          </cell>
          <cell r="K142" t="e">
            <v>#N/A</v>
          </cell>
          <cell r="L142" t="e">
            <v>#N/A</v>
          </cell>
          <cell r="M142" t="e">
            <v>#N/A</v>
          </cell>
          <cell r="N142" t="e">
            <v>#N/A</v>
          </cell>
          <cell r="O142" t="e">
            <v>#N/A</v>
          </cell>
          <cell r="P142">
            <v>12.57</v>
          </cell>
          <cell r="Q142">
            <v>0.81364099999999995</v>
          </cell>
          <cell r="R142" t="e">
            <v>#N/A</v>
          </cell>
        </row>
        <row r="143">
          <cell r="A143">
            <v>40178</v>
          </cell>
          <cell r="B143">
            <v>40178</v>
          </cell>
          <cell r="C143" t="str">
            <v>Past</v>
          </cell>
          <cell r="D143">
            <v>12.38</v>
          </cell>
          <cell r="E143" t="e">
            <v>#N/A</v>
          </cell>
          <cell r="F143" t="e">
            <v>#N/A</v>
          </cell>
          <cell r="G143" t="e">
            <v>#N/A</v>
          </cell>
          <cell r="H143" t="e">
            <v>#N/A</v>
          </cell>
          <cell r="I143" t="e">
            <v>#N/A</v>
          </cell>
          <cell r="J143" t="e">
            <v>#N/A</v>
          </cell>
          <cell r="K143" t="e">
            <v>#N/A</v>
          </cell>
          <cell r="L143" t="e">
            <v>#N/A</v>
          </cell>
          <cell r="M143" t="e">
            <v>#N/A</v>
          </cell>
          <cell r="N143" t="e">
            <v>#N/A</v>
          </cell>
          <cell r="O143" t="e">
            <v>#N/A</v>
          </cell>
          <cell r="P143">
            <v>12.38</v>
          </cell>
          <cell r="Q143">
            <v>0.75707799999999992</v>
          </cell>
          <cell r="R143" t="e">
            <v>#N/A</v>
          </cell>
        </row>
        <row r="144">
          <cell r="A144">
            <v>40182</v>
          </cell>
          <cell r="B144">
            <v>40182</v>
          </cell>
          <cell r="C144" t="str">
            <v>Past</v>
          </cell>
          <cell r="D144">
            <v>12.49</v>
          </cell>
          <cell r="E144" t="e">
            <v>#N/A</v>
          </cell>
          <cell r="F144" t="e">
            <v>#N/A</v>
          </cell>
          <cell r="G144" t="e">
            <v>#N/A</v>
          </cell>
          <cell r="H144" t="e">
            <v>#N/A</v>
          </cell>
          <cell r="I144" t="e">
            <v>#N/A</v>
          </cell>
          <cell r="J144" t="e">
            <v>#N/A</v>
          </cell>
          <cell r="K144" t="e">
            <v>#N/A</v>
          </cell>
          <cell r="L144" t="e">
            <v>#N/A</v>
          </cell>
          <cell r="M144" t="e">
            <v>#N/A</v>
          </cell>
          <cell r="N144" t="e">
            <v>#N/A</v>
          </cell>
          <cell r="O144" t="e">
            <v>#N/A</v>
          </cell>
          <cell r="P144">
            <v>12.49</v>
          </cell>
          <cell r="Q144">
            <v>1.3208600000000001</v>
          </cell>
          <cell r="R144" t="e">
            <v>#N/A</v>
          </cell>
        </row>
        <row r="145">
          <cell r="A145">
            <v>40183</v>
          </cell>
          <cell r="B145">
            <v>40183</v>
          </cell>
          <cell r="C145" t="str">
            <v>Past</v>
          </cell>
          <cell r="D145">
            <v>12.22</v>
          </cell>
          <cell r="E145" t="e">
            <v>#N/A</v>
          </cell>
          <cell r="F145" t="e">
            <v>#N/A</v>
          </cell>
          <cell r="G145" t="e">
            <v>#N/A</v>
          </cell>
          <cell r="H145" t="e">
            <v>#N/A</v>
          </cell>
          <cell r="I145" t="e">
            <v>#N/A</v>
          </cell>
          <cell r="J145" t="e">
            <v>#N/A</v>
          </cell>
          <cell r="K145" t="e">
            <v>#N/A</v>
          </cell>
          <cell r="L145" t="e">
            <v>#N/A</v>
          </cell>
          <cell r="M145" t="e">
            <v>#N/A</v>
          </cell>
          <cell r="N145" t="e">
            <v>#N/A</v>
          </cell>
          <cell r="O145" t="e">
            <v>#N/A</v>
          </cell>
          <cell r="P145">
            <v>12.22</v>
          </cell>
          <cell r="Q145">
            <v>2.594293</v>
          </cell>
          <cell r="R145" t="e">
            <v>#N/A</v>
          </cell>
        </row>
        <row r="146">
          <cell r="A146">
            <v>40184</v>
          </cell>
          <cell r="B146">
            <v>40184</v>
          </cell>
          <cell r="C146" t="str">
            <v>Past</v>
          </cell>
          <cell r="D146">
            <v>12.18</v>
          </cell>
          <cell r="E146" t="e">
            <v>#N/A</v>
          </cell>
          <cell r="F146" t="e">
            <v>#N/A</v>
          </cell>
          <cell r="G146" t="e">
            <v>#N/A</v>
          </cell>
          <cell r="H146" t="e">
            <v>#N/A</v>
          </cell>
          <cell r="I146" t="e">
            <v>#N/A</v>
          </cell>
          <cell r="J146" t="e">
            <v>#N/A</v>
          </cell>
          <cell r="K146" t="e">
            <v>#N/A</v>
          </cell>
          <cell r="L146" t="e">
            <v>#N/A</v>
          </cell>
          <cell r="M146" t="e">
            <v>#N/A</v>
          </cell>
          <cell r="N146" t="e">
            <v>#N/A</v>
          </cell>
          <cell r="O146" t="e">
            <v>#N/A</v>
          </cell>
          <cell r="P146">
            <v>12.18</v>
          </cell>
          <cell r="Q146">
            <v>2.7537319999999998</v>
          </cell>
          <cell r="R146" t="e">
            <v>#N/A</v>
          </cell>
        </row>
        <row r="147">
          <cell r="A147">
            <v>40185</v>
          </cell>
          <cell r="B147">
            <v>40185</v>
          </cell>
          <cell r="C147" t="str">
            <v>Past</v>
          </cell>
          <cell r="D147">
            <v>11.95</v>
          </cell>
          <cell r="E147" t="e">
            <v>#N/A</v>
          </cell>
          <cell r="F147" t="e">
            <v>#N/A</v>
          </cell>
          <cell r="G147" t="e">
            <v>#N/A</v>
          </cell>
          <cell r="H147" t="e">
            <v>#N/A</v>
          </cell>
          <cell r="I147" t="e">
            <v>#N/A</v>
          </cell>
          <cell r="J147" t="e">
            <v>#N/A</v>
          </cell>
          <cell r="K147" t="e">
            <v>#N/A</v>
          </cell>
          <cell r="L147" t="e">
            <v>#N/A</v>
          </cell>
          <cell r="M147" t="e">
            <v>#N/A</v>
          </cell>
          <cell r="N147" t="e">
            <v>#N/A</v>
          </cell>
          <cell r="O147" t="e">
            <v>#N/A</v>
          </cell>
          <cell r="P147">
            <v>11.95</v>
          </cell>
          <cell r="Q147">
            <v>2.590455</v>
          </cell>
          <cell r="R147" t="e">
            <v>#N/A</v>
          </cell>
        </row>
        <row r="148">
          <cell r="A148">
            <v>40186</v>
          </cell>
          <cell r="B148">
            <v>40186</v>
          </cell>
          <cell r="C148" t="str">
            <v>Past</v>
          </cell>
          <cell r="D148">
            <v>11.88</v>
          </cell>
          <cell r="E148" t="e">
            <v>#N/A</v>
          </cell>
          <cell r="F148" t="e">
            <v>#N/A</v>
          </cell>
          <cell r="G148" t="e">
            <v>#N/A</v>
          </cell>
          <cell r="H148" t="e">
            <v>#N/A</v>
          </cell>
          <cell r="I148" t="e">
            <v>#N/A</v>
          </cell>
          <cell r="J148" t="e">
            <v>#N/A</v>
          </cell>
          <cell r="K148" t="e">
            <v>#N/A</v>
          </cell>
          <cell r="L148" t="e">
            <v>#N/A</v>
          </cell>
          <cell r="M148" t="e">
            <v>#N/A</v>
          </cell>
          <cell r="N148" t="e">
            <v>#N/A</v>
          </cell>
          <cell r="O148" t="e">
            <v>#N/A</v>
          </cell>
          <cell r="P148">
            <v>11.88</v>
          </cell>
          <cell r="Q148">
            <v>2.3484229999999999</v>
          </cell>
          <cell r="R148" t="e">
            <v>#N/A</v>
          </cell>
        </row>
        <row r="149">
          <cell r="A149">
            <v>40189</v>
          </cell>
          <cell r="B149">
            <v>40189</v>
          </cell>
          <cell r="C149" t="str">
            <v>Past</v>
          </cell>
          <cell r="D149">
            <v>11.93</v>
          </cell>
          <cell r="E149" t="e">
            <v>#N/A</v>
          </cell>
          <cell r="F149" t="e">
            <v>#N/A</v>
          </cell>
          <cell r="G149" t="e">
            <v>#N/A</v>
          </cell>
          <cell r="H149" t="e">
            <v>#N/A</v>
          </cell>
          <cell r="I149" t="e">
            <v>#N/A</v>
          </cell>
          <cell r="J149" t="e">
            <v>#N/A</v>
          </cell>
          <cell r="K149" t="e">
            <v>#N/A</v>
          </cell>
          <cell r="L149" t="e">
            <v>#N/A</v>
          </cell>
          <cell r="M149" t="e">
            <v>#N/A</v>
          </cell>
          <cell r="N149" t="e">
            <v>#N/A</v>
          </cell>
          <cell r="O149" t="e">
            <v>#N/A</v>
          </cell>
          <cell r="P149">
            <v>11.93</v>
          </cell>
          <cell r="Q149">
            <v>5.0173579999999998</v>
          </cell>
          <cell r="R149" t="e">
            <v>#N/A</v>
          </cell>
        </row>
        <row r="150">
          <cell r="A150">
            <v>40190</v>
          </cell>
          <cell r="B150">
            <v>40190</v>
          </cell>
          <cell r="C150" t="str">
            <v>Past</v>
          </cell>
          <cell r="D150">
            <v>12.17</v>
          </cell>
          <cell r="E150" t="e">
            <v>#N/A</v>
          </cell>
          <cell r="F150" t="e">
            <v>#N/A</v>
          </cell>
          <cell r="G150" t="e">
            <v>#N/A</v>
          </cell>
          <cell r="H150" t="e">
            <v>#N/A</v>
          </cell>
          <cell r="I150" t="e">
            <v>#N/A</v>
          </cell>
          <cell r="J150" t="e">
            <v>#N/A</v>
          </cell>
          <cell r="K150" t="e">
            <v>#N/A</v>
          </cell>
          <cell r="L150" t="e">
            <v>#N/A</v>
          </cell>
          <cell r="M150" t="e">
            <v>#N/A</v>
          </cell>
          <cell r="N150" t="e">
            <v>#N/A</v>
          </cell>
          <cell r="O150" t="e">
            <v>#N/A</v>
          </cell>
          <cell r="P150">
            <v>12.17</v>
          </cell>
          <cell r="Q150">
            <v>6.0215049999999994</v>
          </cell>
          <cell r="R150" t="e">
            <v>#N/A</v>
          </cell>
        </row>
        <row r="151">
          <cell r="A151">
            <v>40191</v>
          </cell>
          <cell r="B151">
            <v>40191</v>
          </cell>
          <cell r="C151" t="str">
            <v>Past</v>
          </cell>
          <cell r="D151">
            <v>12.36</v>
          </cell>
          <cell r="E151" t="e">
            <v>#N/A</v>
          </cell>
          <cell r="F151" t="e">
            <v>#N/A</v>
          </cell>
          <cell r="G151" t="e">
            <v>#N/A</v>
          </cell>
          <cell r="H151" t="e">
            <v>#N/A</v>
          </cell>
          <cell r="I151" t="e">
            <v>#N/A</v>
          </cell>
          <cell r="J151" t="e">
            <v>#N/A</v>
          </cell>
          <cell r="K151" t="e">
            <v>#N/A</v>
          </cell>
          <cell r="L151" t="e">
            <v>#N/A</v>
          </cell>
          <cell r="M151" t="e">
            <v>#N/A</v>
          </cell>
          <cell r="N151" t="e">
            <v>#N/A</v>
          </cell>
          <cell r="O151" t="e">
            <v>#N/A</v>
          </cell>
          <cell r="P151">
            <v>12.36</v>
          </cell>
          <cell r="Q151">
            <v>2.7192000000000003</v>
          </cell>
          <cell r="R151" t="e">
            <v>#N/A</v>
          </cell>
        </row>
        <row r="152">
          <cell r="A152">
            <v>40192</v>
          </cell>
          <cell r="B152">
            <v>40192</v>
          </cell>
          <cell r="C152" t="str">
            <v>Past</v>
          </cell>
          <cell r="D152">
            <v>12.37</v>
          </cell>
          <cell r="E152" t="e">
            <v>#N/A</v>
          </cell>
          <cell r="F152" t="e">
            <v>#N/A</v>
          </cell>
          <cell r="G152" t="e">
            <v>#N/A</v>
          </cell>
          <cell r="H152" t="e">
            <v>#N/A</v>
          </cell>
          <cell r="I152" t="e">
            <v>#N/A</v>
          </cell>
          <cell r="J152" t="e">
            <v>#N/A</v>
          </cell>
          <cell r="K152" t="e">
            <v>#N/A</v>
          </cell>
          <cell r="L152" t="e">
            <v>#N/A</v>
          </cell>
          <cell r="M152" t="e">
            <v>#N/A</v>
          </cell>
          <cell r="N152" t="e">
            <v>#N/A</v>
          </cell>
          <cell r="O152" t="e">
            <v>#N/A</v>
          </cell>
          <cell r="P152">
            <v>12.37</v>
          </cell>
          <cell r="Q152">
            <v>1.4913419999999999</v>
          </cell>
          <cell r="R152" t="e">
            <v>#N/A</v>
          </cell>
        </row>
        <row r="153">
          <cell r="A153">
            <v>40193</v>
          </cell>
          <cell r="B153">
            <v>40193</v>
          </cell>
          <cell r="C153" t="str">
            <v>Past</v>
          </cell>
          <cell r="D153">
            <v>12.31</v>
          </cell>
          <cell r="E153" t="e">
            <v>#N/A</v>
          </cell>
          <cell r="F153" t="e">
            <v>#N/A</v>
          </cell>
          <cell r="G153" t="e">
            <v>#N/A</v>
          </cell>
          <cell r="H153" t="e">
            <v>#N/A</v>
          </cell>
          <cell r="I153" t="e">
            <v>#N/A</v>
          </cell>
          <cell r="J153" t="e">
            <v>#N/A</v>
          </cell>
          <cell r="K153" t="e">
            <v>#N/A</v>
          </cell>
          <cell r="L153" t="e">
            <v>#N/A</v>
          </cell>
          <cell r="M153" t="e">
            <v>#N/A</v>
          </cell>
          <cell r="N153" t="e">
            <v>#N/A</v>
          </cell>
          <cell r="O153" t="e">
            <v>#N/A</v>
          </cell>
          <cell r="P153">
            <v>12.31</v>
          </cell>
          <cell r="Q153">
            <v>2.846365</v>
          </cell>
          <cell r="R153" t="e">
            <v>#N/A</v>
          </cell>
        </row>
        <row r="154">
          <cell r="A154">
            <v>40197</v>
          </cell>
          <cell r="B154">
            <v>40197</v>
          </cell>
          <cell r="C154" t="str">
            <v>Past</v>
          </cell>
          <cell r="D154">
            <v>12.5</v>
          </cell>
          <cell r="E154" t="e">
            <v>#N/A</v>
          </cell>
          <cell r="F154" t="e">
            <v>#N/A</v>
          </cell>
          <cell r="G154" t="e">
            <v>#N/A</v>
          </cell>
          <cell r="H154" t="e">
            <v>#N/A</v>
          </cell>
          <cell r="I154" t="e">
            <v>#N/A</v>
          </cell>
          <cell r="J154" t="e">
            <v>#N/A</v>
          </cell>
          <cell r="K154" t="e">
            <v>#N/A</v>
          </cell>
          <cell r="L154" t="e">
            <v>#N/A</v>
          </cell>
          <cell r="M154" t="e">
            <v>#N/A</v>
          </cell>
          <cell r="N154" t="e">
            <v>#N/A</v>
          </cell>
          <cell r="O154" t="e">
            <v>#N/A</v>
          </cell>
          <cell r="P154">
            <v>12.5</v>
          </cell>
          <cell r="Q154">
            <v>2.921125</v>
          </cell>
          <cell r="R154" t="e">
            <v>#N/A</v>
          </cell>
        </row>
        <row r="155">
          <cell r="A155">
            <v>40198</v>
          </cell>
          <cell r="B155">
            <v>40198</v>
          </cell>
          <cell r="C155" t="str">
            <v>Past</v>
          </cell>
          <cell r="D155">
            <v>12.54</v>
          </cell>
          <cell r="E155" t="e">
            <v>#N/A</v>
          </cell>
          <cell r="F155" t="e">
            <v>#N/A</v>
          </cell>
          <cell r="G155" t="e">
            <v>#N/A</v>
          </cell>
          <cell r="H155" t="e">
            <v>#N/A</v>
          </cell>
          <cell r="I155" t="e">
            <v>#N/A</v>
          </cell>
          <cell r="J155" t="e">
            <v>#N/A</v>
          </cell>
          <cell r="K155" t="e">
            <v>#N/A</v>
          </cell>
          <cell r="L155" t="e">
            <v>#N/A</v>
          </cell>
          <cell r="M155" t="e">
            <v>#N/A</v>
          </cell>
          <cell r="N155" t="e">
            <v>#N/A</v>
          </cell>
          <cell r="O155" t="e">
            <v>#N/A</v>
          </cell>
          <cell r="P155">
            <v>12.54</v>
          </cell>
          <cell r="Q155">
            <v>5.5452529999999998</v>
          </cell>
          <cell r="R155" t="e">
            <v>#N/A</v>
          </cell>
        </row>
        <row r="156">
          <cell r="A156">
            <v>40199</v>
          </cell>
          <cell r="B156">
            <v>40199</v>
          </cell>
          <cell r="C156" t="str">
            <v>Past</v>
          </cell>
          <cell r="D156">
            <v>12.28</v>
          </cell>
          <cell r="E156" t="e">
            <v>#N/A</v>
          </cell>
          <cell r="F156" t="e">
            <v>#N/A</v>
          </cell>
          <cell r="G156" t="e">
            <v>#N/A</v>
          </cell>
          <cell r="H156" t="e">
            <v>#N/A</v>
          </cell>
          <cell r="I156" t="e">
            <v>#N/A</v>
          </cell>
          <cell r="J156" t="e">
            <v>#N/A</v>
          </cell>
          <cell r="K156" t="e">
            <v>#N/A</v>
          </cell>
          <cell r="L156" t="e">
            <v>#N/A</v>
          </cell>
          <cell r="M156" t="e">
            <v>#N/A</v>
          </cell>
          <cell r="N156" t="e">
            <v>#N/A</v>
          </cell>
          <cell r="O156" t="e">
            <v>#N/A</v>
          </cell>
          <cell r="P156">
            <v>12.28</v>
          </cell>
          <cell r="Q156">
            <v>3.254715</v>
          </cell>
          <cell r="R156" t="e">
            <v>#N/A</v>
          </cell>
        </row>
        <row r="157">
          <cell r="A157">
            <v>40200</v>
          </cell>
          <cell r="B157">
            <v>40200</v>
          </cell>
          <cell r="C157" t="str">
            <v>Past</v>
          </cell>
          <cell r="D157">
            <v>11.99</v>
          </cell>
          <cell r="E157" t="e">
            <v>#N/A</v>
          </cell>
          <cell r="F157" t="e">
            <v>#N/A</v>
          </cell>
          <cell r="G157" t="e">
            <v>#N/A</v>
          </cell>
          <cell r="H157" t="e">
            <v>#N/A</v>
          </cell>
          <cell r="I157" t="e">
            <v>#N/A</v>
          </cell>
          <cell r="J157" t="e">
            <v>#N/A</v>
          </cell>
          <cell r="K157" t="e">
            <v>#N/A</v>
          </cell>
          <cell r="L157" t="e">
            <v>#N/A</v>
          </cell>
          <cell r="M157" t="e">
            <v>#N/A</v>
          </cell>
          <cell r="N157" t="e">
            <v>#N/A</v>
          </cell>
          <cell r="O157" t="e">
            <v>#N/A</v>
          </cell>
          <cell r="P157">
            <v>11.99</v>
          </cell>
          <cell r="Q157">
            <v>2.027603</v>
          </cell>
          <cell r="R157" t="e">
            <v>#N/A</v>
          </cell>
        </row>
        <row r="158">
          <cell r="A158">
            <v>40203</v>
          </cell>
          <cell r="B158">
            <v>40203</v>
          </cell>
          <cell r="C158" t="str">
            <v>Past</v>
          </cell>
          <cell r="D158">
            <v>12.01</v>
          </cell>
          <cell r="E158" t="e">
            <v>#N/A</v>
          </cell>
          <cell r="F158" t="e">
            <v>#N/A</v>
          </cell>
          <cell r="G158" t="e">
            <v>#N/A</v>
          </cell>
          <cell r="H158" t="e">
            <v>#N/A</v>
          </cell>
          <cell r="I158" t="e">
            <v>#N/A</v>
          </cell>
          <cell r="J158" t="e">
            <v>#N/A</v>
          </cell>
          <cell r="K158" t="e">
            <v>#N/A</v>
          </cell>
          <cell r="L158" t="e">
            <v>#N/A</v>
          </cell>
          <cell r="M158" t="e">
            <v>#N/A</v>
          </cell>
          <cell r="N158" t="e">
            <v>#N/A</v>
          </cell>
          <cell r="O158" t="e">
            <v>#N/A</v>
          </cell>
          <cell r="P158">
            <v>12.01</v>
          </cell>
          <cell r="Q158">
            <v>2.0521279999999997</v>
          </cell>
          <cell r="R158" t="e">
            <v>#N/A</v>
          </cell>
        </row>
        <row r="159">
          <cell r="A159">
            <v>40204</v>
          </cell>
          <cell r="B159">
            <v>40204</v>
          </cell>
          <cell r="C159" t="str">
            <v>Past</v>
          </cell>
          <cell r="D159">
            <v>11.98</v>
          </cell>
          <cell r="E159" t="e">
            <v>#N/A</v>
          </cell>
          <cell r="F159" t="e">
            <v>#N/A</v>
          </cell>
          <cell r="G159" t="e">
            <v>#N/A</v>
          </cell>
          <cell r="H159" t="e">
            <v>#N/A</v>
          </cell>
          <cell r="I159" t="e">
            <v>#N/A</v>
          </cell>
          <cell r="J159" t="e">
            <v>#N/A</v>
          </cell>
          <cell r="K159" t="e">
            <v>#N/A</v>
          </cell>
          <cell r="L159" t="e">
            <v>#N/A</v>
          </cell>
          <cell r="M159" t="e">
            <v>#N/A</v>
          </cell>
          <cell r="N159" t="e">
            <v>#N/A</v>
          </cell>
          <cell r="O159" t="e">
            <v>#N/A</v>
          </cell>
          <cell r="P159">
            <v>11.98</v>
          </cell>
          <cell r="Q159">
            <v>1.741779</v>
          </cell>
          <cell r="R159" t="e">
            <v>#N/A</v>
          </cell>
        </row>
        <row r="160">
          <cell r="A160">
            <v>40205</v>
          </cell>
          <cell r="B160">
            <v>40205</v>
          </cell>
          <cell r="C160" t="str">
            <v>Past</v>
          </cell>
          <cell r="D160">
            <v>11.85</v>
          </cell>
          <cell r="E160" t="e">
            <v>#N/A</v>
          </cell>
          <cell r="F160" t="e">
            <v>#N/A</v>
          </cell>
          <cell r="G160" t="e">
            <v>#N/A</v>
          </cell>
          <cell r="H160" t="e">
            <v>#N/A</v>
          </cell>
          <cell r="I160" t="e">
            <v>#N/A</v>
          </cell>
          <cell r="J160" t="e">
            <v>#N/A</v>
          </cell>
          <cell r="K160" t="e">
            <v>#N/A</v>
          </cell>
          <cell r="L160" t="e">
            <v>#N/A</v>
          </cell>
          <cell r="M160" t="e">
            <v>#N/A</v>
          </cell>
          <cell r="N160" t="e">
            <v>#N/A</v>
          </cell>
          <cell r="O160" t="e">
            <v>#N/A</v>
          </cell>
          <cell r="P160">
            <v>11.85</v>
          </cell>
          <cell r="Q160">
            <v>2.2158500000000001</v>
          </cell>
          <cell r="R160" t="e">
            <v>#N/A</v>
          </cell>
        </row>
        <row r="161">
          <cell r="A161">
            <v>40206</v>
          </cell>
          <cell r="B161">
            <v>40206</v>
          </cell>
          <cell r="C161" t="str">
            <v>Past</v>
          </cell>
          <cell r="D161">
            <v>11.74</v>
          </cell>
          <cell r="E161" t="e">
            <v>#N/A</v>
          </cell>
          <cell r="F161" t="e">
            <v>#N/A</v>
          </cell>
          <cell r="G161" t="e">
            <v>#N/A</v>
          </cell>
          <cell r="H161" t="e">
            <v>#N/A</v>
          </cell>
          <cell r="I161" t="e">
            <v>#N/A</v>
          </cell>
          <cell r="J161" t="e">
            <v>#N/A</v>
          </cell>
          <cell r="K161" t="e">
            <v>#N/A</v>
          </cell>
          <cell r="L161" t="e">
            <v>#N/A</v>
          </cell>
          <cell r="M161" t="e">
            <v>#N/A</v>
          </cell>
          <cell r="N161" t="e">
            <v>#N/A</v>
          </cell>
          <cell r="O161" t="e">
            <v>#N/A</v>
          </cell>
          <cell r="P161">
            <v>11.74</v>
          </cell>
          <cell r="Q161">
            <v>2.1453059999999997</v>
          </cell>
          <cell r="R161" t="e">
            <v>#N/A</v>
          </cell>
        </row>
        <row r="162">
          <cell r="A162">
            <v>40207</v>
          </cell>
          <cell r="B162">
            <v>40207</v>
          </cell>
          <cell r="C162" t="str">
            <v>Past</v>
          </cell>
          <cell r="D162">
            <v>11.52</v>
          </cell>
          <cell r="E162" t="e">
            <v>#N/A</v>
          </cell>
          <cell r="F162" t="e">
            <v>#N/A</v>
          </cell>
          <cell r="G162" t="e">
            <v>#N/A</v>
          </cell>
          <cell r="H162" t="e">
            <v>#N/A</v>
          </cell>
          <cell r="I162" t="e">
            <v>#N/A</v>
          </cell>
          <cell r="J162" t="e">
            <v>#N/A</v>
          </cell>
          <cell r="K162" t="e">
            <v>#N/A</v>
          </cell>
          <cell r="L162" t="e">
            <v>#N/A</v>
          </cell>
          <cell r="M162" t="e">
            <v>#N/A</v>
          </cell>
          <cell r="N162" t="e">
            <v>#N/A</v>
          </cell>
          <cell r="O162" t="e">
            <v>#N/A</v>
          </cell>
          <cell r="P162">
            <v>11.52</v>
          </cell>
          <cell r="Q162">
            <v>2.407451</v>
          </cell>
          <cell r="R162" t="e">
            <v>#N/A</v>
          </cell>
        </row>
        <row r="163">
          <cell r="A163">
            <v>40210</v>
          </cell>
          <cell r="B163">
            <v>40210</v>
          </cell>
          <cell r="C163" t="str">
            <v>Past</v>
          </cell>
          <cell r="D163">
            <v>11.58</v>
          </cell>
          <cell r="E163" t="e">
            <v>#N/A</v>
          </cell>
          <cell r="F163" t="e">
            <v>#N/A</v>
          </cell>
          <cell r="G163" t="e">
            <v>#N/A</v>
          </cell>
          <cell r="H163" t="e">
            <v>#N/A</v>
          </cell>
          <cell r="I163" t="e">
            <v>#N/A</v>
          </cell>
          <cell r="J163" t="e">
            <v>#N/A</v>
          </cell>
          <cell r="K163" t="e">
            <v>#N/A</v>
          </cell>
          <cell r="L163" t="e">
            <v>#N/A</v>
          </cell>
          <cell r="M163" t="e">
            <v>#N/A</v>
          </cell>
          <cell r="N163" t="e">
            <v>#N/A</v>
          </cell>
          <cell r="O163" t="e">
            <v>#N/A</v>
          </cell>
          <cell r="P163">
            <v>11.58</v>
          </cell>
          <cell r="Q163">
            <v>1.7375529999999999</v>
          </cell>
          <cell r="R163" t="e">
            <v>#N/A</v>
          </cell>
        </row>
        <row r="164">
          <cell r="A164">
            <v>40211</v>
          </cell>
          <cell r="B164">
            <v>40211</v>
          </cell>
          <cell r="C164" t="str">
            <v>Past</v>
          </cell>
          <cell r="D164">
            <v>11.71</v>
          </cell>
          <cell r="E164" t="e">
            <v>#N/A</v>
          </cell>
          <cell r="F164" t="e">
            <v>#N/A</v>
          </cell>
          <cell r="G164" t="e">
            <v>#N/A</v>
          </cell>
          <cell r="H164" t="e">
            <v>#N/A</v>
          </cell>
          <cell r="I164" t="e">
            <v>#N/A</v>
          </cell>
          <cell r="J164" t="e">
            <v>#N/A</v>
          </cell>
          <cell r="K164" t="e">
            <v>#N/A</v>
          </cell>
          <cell r="L164" t="e">
            <v>#N/A</v>
          </cell>
          <cell r="M164" t="e">
            <v>#N/A</v>
          </cell>
          <cell r="N164" t="e">
            <v>#N/A</v>
          </cell>
          <cell r="O164" t="e">
            <v>#N/A</v>
          </cell>
          <cell r="P164">
            <v>11.71</v>
          </cell>
          <cell r="Q164">
            <v>2.8388329999999997</v>
          </cell>
          <cell r="R164" t="e">
            <v>#N/A</v>
          </cell>
        </row>
        <row r="165">
          <cell r="A165">
            <v>40212</v>
          </cell>
          <cell r="B165">
            <v>40212</v>
          </cell>
          <cell r="C165" t="str">
            <v>Past</v>
          </cell>
          <cell r="D165">
            <v>11.47</v>
          </cell>
          <cell r="E165" t="e">
            <v>#N/A</v>
          </cell>
          <cell r="F165" t="e">
            <v>#N/A</v>
          </cell>
          <cell r="G165" t="e">
            <v>#N/A</v>
          </cell>
          <cell r="H165" t="e">
            <v>#N/A</v>
          </cell>
          <cell r="I165" t="e">
            <v>#N/A</v>
          </cell>
          <cell r="J165" t="e">
            <v>#N/A</v>
          </cell>
          <cell r="K165" t="e">
            <v>#N/A</v>
          </cell>
          <cell r="L165" t="e">
            <v>#N/A</v>
          </cell>
          <cell r="M165" t="e">
            <v>#N/A</v>
          </cell>
          <cell r="N165" t="e">
            <v>#N/A</v>
          </cell>
          <cell r="O165" t="e">
            <v>#N/A</v>
          </cell>
          <cell r="P165">
            <v>11.47</v>
          </cell>
          <cell r="Q165">
            <v>8.2753759999999996</v>
          </cell>
          <cell r="R165" t="e">
            <v>#N/A</v>
          </cell>
        </row>
        <row r="166">
          <cell r="A166">
            <v>40213</v>
          </cell>
          <cell r="B166">
            <v>40213</v>
          </cell>
          <cell r="C166" t="str">
            <v>Past</v>
          </cell>
          <cell r="D166">
            <v>11.44</v>
          </cell>
          <cell r="E166" t="e">
            <v>#N/A</v>
          </cell>
          <cell r="F166" t="e">
            <v>#N/A</v>
          </cell>
          <cell r="G166" t="e">
            <v>#N/A</v>
          </cell>
          <cell r="H166" t="e">
            <v>#N/A</v>
          </cell>
          <cell r="I166" t="e">
            <v>#N/A</v>
          </cell>
          <cell r="J166" t="e">
            <v>#N/A</v>
          </cell>
          <cell r="K166" t="e">
            <v>#N/A</v>
          </cell>
          <cell r="L166" t="e">
            <v>#N/A</v>
          </cell>
          <cell r="M166" t="e">
            <v>#N/A</v>
          </cell>
          <cell r="N166" t="e">
            <v>#N/A</v>
          </cell>
          <cell r="O166" t="e">
            <v>#N/A</v>
          </cell>
          <cell r="P166">
            <v>11.44</v>
          </cell>
          <cell r="Q166">
            <v>5.2136639999999996</v>
          </cell>
          <cell r="R166" t="e">
            <v>#N/A</v>
          </cell>
        </row>
        <row r="167">
          <cell r="A167">
            <v>40214</v>
          </cell>
          <cell r="B167">
            <v>40214</v>
          </cell>
          <cell r="C167" t="str">
            <v>Past</v>
          </cell>
          <cell r="D167">
            <v>11.36</v>
          </cell>
          <cell r="E167" t="e">
            <v>#N/A</v>
          </cell>
          <cell r="F167" t="e">
            <v>#N/A</v>
          </cell>
          <cell r="G167" t="e">
            <v>#N/A</v>
          </cell>
          <cell r="H167" t="e">
            <v>#N/A</v>
          </cell>
          <cell r="I167" t="e">
            <v>#N/A</v>
          </cell>
          <cell r="J167" t="e">
            <v>#N/A</v>
          </cell>
          <cell r="K167" t="e">
            <v>#N/A</v>
          </cell>
          <cell r="L167" t="e">
            <v>#N/A</v>
          </cell>
          <cell r="M167" t="e">
            <v>#N/A</v>
          </cell>
          <cell r="N167" t="e">
            <v>#N/A</v>
          </cell>
          <cell r="O167" t="e">
            <v>#N/A</v>
          </cell>
          <cell r="P167">
            <v>11.36</v>
          </cell>
          <cell r="Q167">
            <v>3.9470300000000003</v>
          </cell>
          <cell r="R167" t="e">
            <v>#N/A</v>
          </cell>
        </row>
        <row r="168">
          <cell r="A168">
            <v>40217</v>
          </cell>
          <cell r="B168">
            <v>40217</v>
          </cell>
          <cell r="C168" t="str">
            <v>Past</v>
          </cell>
          <cell r="D168">
            <v>11.17</v>
          </cell>
          <cell r="E168" t="e">
            <v>#N/A</v>
          </cell>
          <cell r="F168" t="e">
            <v>#N/A</v>
          </cell>
          <cell r="G168" t="e">
            <v>#N/A</v>
          </cell>
          <cell r="H168" t="e">
            <v>#N/A</v>
          </cell>
          <cell r="I168" t="e">
            <v>#N/A</v>
          </cell>
          <cell r="J168" t="e">
            <v>#N/A</v>
          </cell>
          <cell r="K168" t="e">
            <v>#N/A</v>
          </cell>
          <cell r="L168" t="e">
            <v>#N/A</v>
          </cell>
          <cell r="M168" t="e">
            <v>#N/A</v>
          </cell>
          <cell r="N168" t="e">
            <v>#N/A</v>
          </cell>
          <cell r="O168" t="e">
            <v>#N/A</v>
          </cell>
          <cell r="P168">
            <v>11.17</v>
          </cell>
          <cell r="Q168">
            <v>2.7023820000000001</v>
          </cell>
          <cell r="R168" t="e">
            <v>#N/A</v>
          </cell>
        </row>
        <row r="169">
          <cell r="A169">
            <v>40218</v>
          </cell>
          <cell r="B169">
            <v>40218</v>
          </cell>
          <cell r="C169" t="str">
            <v>Past</v>
          </cell>
          <cell r="D169">
            <v>11.17</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v>11.17</v>
          </cell>
          <cell r="Q169">
            <v>2.2356449999999999</v>
          </cell>
          <cell r="R169" t="e">
            <v>#N/A</v>
          </cell>
        </row>
        <row r="170">
          <cell r="A170">
            <v>40219</v>
          </cell>
          <cell r="B170">
            <v>40219</v>
          </cell>
          <cell r="C170" t="str">
            <v>Past</v>
          </cell>
          <cell r="D170">
            <v>11.08</v>
          </cell>
          <cell r="E170" t="e">
            <v>#N/A</v>
          </cell>
          <cell r="F170" t="e">
            <v>#N/A</v>
          </cell>
          <cell r="G170" t="e">
            <v>#N/A</v>
          </cell>
          <cell r="H170" t="e">
            <v>#N/A</v>
          </cell>
          <cell r="I170" t="e">
            <v>#N/A</v>
          </cell>
          <cell r="J170" t="e">
            <v>#N/A</v>
          </cell>
          <cell r="K170" t="e">
            <v>#N/A</v>
          </cell>
          <cell r="L170" t="e">
            <v>#N/A</v>
          </cell>
          <cell r="M170" t="e">
            <v>#N/A</v>
          </cell>
          <cell r="N170" t="e">
            <v>#N/A</v>
          </cell>
          <cell r="O170" t="e">
            <v>#N/A</v>
          </cell>
          <cell r="P170">
            <v>11.08</v>
          </cell>
          <cell r="Q170">
            <v>1.5576589999999999</v>
          </cell>
          <cell r="R170" t="e">
            <v>#N/A</v>
          </cell>
        </row>
        <row r="171">
          <cell r="A171">
            <v>40220</v>
          </cell>
          <cell r="B171">
            <v>40220</v>
          </cell>
          <cell r="C171" t="str">
            <v>Past</v>
          </cell>
          <cell r="D171">
            <v>11.1</v>
          </cell>
          <cell r="E171" t="e">
            <v>#N/A</v>
          </cell>
          <cell r="F171" t="e">
            <v>#N/A</v>
          </cell>
          <cell r="G171" t="e">
            <v>#N/A</v>
          </cell>
          <cell r="H171" t="e">
            <v>#N/A</v>
          </cell>
          <cell r="I171" t="e">
            <v>#N/A</v>
          </cell>
          <cell r="J171" t="e">
            <v>#N/A</v>
          </cell>
          <cell r="K171" t="e">
            <v>#N/A</v>
          </cell>
          <cell r="L171" t="e">
            <v>#N/A</v>
          </cell>
          <cell r="M171" t="e">
            <v>#N/A</v>
          </cell>
          <cell r="N171" t="e">
            <v>#N/A</v>
          </cell>
          <cell r="O171" t="e">
            <v>#N/A</v>
          </cell>
          <cell r="P171">
            <v>11.1</v>
          </cell>
          <cell r="Q171">
            <v>3.0232400000000004</v>
          </cell>
          <cell r="R171" t="e">
            <v>#N/A</v>
          </cell>
        </row>
        <row r="172">
          <cell r="A172">
            <v>40221</v>
          </cell>
          <cell r="B172">
            <v>40221</v>
          </cell>
          <cell r="C172" t="str">
            <v>Past</v>
          </cell>
          <cell r="D172">
            <v>11.09</v>
          </cell>
          <cell r="E172" t="e">
            <v>#N/A</v>
          </cell>
          <cell r="F172" t="e">
            <v>#N/A</v>
          </cell>
          <cell r="G172" t="e">
            <v>#N/A</v>
          </cell>
          <cell r="H172" t="e">
            <v>#N/A</v>
          </cell>
          <cell r="I172" t="e">
            <v>#N/A</v>
          </cell>
          <cell r="J172" t="e">
            <v>#N/A</v>
          </cell>
          <cell r="K172" t="e">
            <v>#N/A</v>
          </cell>
          <cell r="L172" t="e">
            <v>#N/A</v>
          </cell>
          <cell r="M172" t="e">
            <v>#N/A</v>
          </cell>
          <cell r="N172" t="e">
            <v>#N/A</v>
          </cell>
          <cell r="O172" t="e">
            <v>#N/A</v>
          </cell>
          <cell r="P172">
            <v>11.09</v>
          </cell>
          <cell r="Q172">
            <v>2.0410629999999998</v>
          </cell>
          <cell r="R172" t="e">
            <v>#N/A</v>
          </cell>
        </row>
        <row r="173">
          <cell r="A173">
            <v>40225</v>
          </cell>
          <cell r="B173">
            <v>40225</v>
          </cell>
          <cell r="C173" t="str">
            <v>Past</v>
          </cell>
          <cell r="D173">
            <v>11.34</v>
          </cell>
          <cell r="E173" t="e">
            <v>#N/A</v>
          </cell>
          <cell r="F173" t="e">
            <v>#N/A</v>
          </cell>
          <cell r="G173" t="e">
            <v>#N/A</v>
          </cell>
          <cell r="H173" t="e">
            <v>#N/A</v>
          </cell>
          <cell r="I173" t="e">
            <v>#N/A</v>
          </cell>
          <cell r="J173" t="e">
            <v>#N/A</v>
          </cell>
          <cell r="K173" t="e">
            <v>#N/A</v>
          </cell>
          <cell r="L173" t="e">
            <v>#N/A</v>
          </cell>
          <cell r="M173" t="e">
            <v>#N/A</v>
          </cell>
          <cell r="N173" t="e">
            <v>#N/A</v>
          </cell>
          <cell r="O173" t="e">
            <v>#N/A</v>
          </cell>
          <cell r="P173">
            <v>11.34</v>
          </cell>
          <cell r="Q173">
            <v>1.205857</v>
          </cell>
          <cell r="R173" t="e">
            <v>#N/A</v>
          </cell>
        </row>
        <row r="174">
          <cell r="A174">
            <v>40226</v>
          </cell>
          <cell r="B174">
            <v>40226</v>
          </cell>
          <cell r="C174" t="str">
            <v>Past</v>
          </cell>
          <cell r="D174">
            <v>11.39</v>
          </cell>
          <cell r="E174" t="e">
            <v>#N/A</v>
          </cell>
          <cell r="F174" t="e">
            <v>#N/A</v>
          </cell>
          <cell r="G174" t="e">
            <v>#N/A</v>
          </cell>
          <cell r="H174" t="e">
            <v>#N/A</v>
          </cell>
          <cell r="I174" t="e">
            <v>#N/A</v>
          </cell>
          <cell r="J174" t="e">
            <v>#N/A</v>
          </cell>
          <cell r="K174" t="e">
            <v>#N/A</v>
          </cell>
          <cell r="L174" t="e">
            <v>#N/A</v>
          </cell>
          <cell r="M174" t="e">
            <v>#N/A</v>
          </cell>
          <cell r="N174" t="e">
            <v>#N/A</v>
          </cell>
          <cell r="O174" t="e">
            <v>#N/A</v>
          </cell>
          <cell r="P174">
            <v>11.39</v>
          </cell>
          <cell r="Q174">
            <v>1.968005</v>
          </cell>
          <cell r="R174" t="e">
            <v>#N/A</v>
          </cell>
        </row>
        <row r="175">
          <cell r="A175">
            <v>40227</v>
          </cell>
          <cell r="B175">
            <v>40227</v>
          </cell>
          <cell r="C175" t="str">
            <v>Past</v>
          </cell>
          <cell r="D175">
            <v>11.4</v>
          </cell>
          <cell r="E175" t="e">
            <v>#N/A</v>
          </cell>
          <cell r="F175" t="e">
            <v>#N/A</v>
          </cell>
          <cell r="G175" t="e">
            <v>#N/A</v>
          </cell>
          <cell r="H175" t="e">
            <v>#N/A</v>
          </cell>
          <cell r="I175" t="e">
            <v>#N/A</v>
          </cell>
          <cell r="J175" t="e">
            <v>#N/A</v>
          </cell>
          <cell r="K175" t="e">
            <v>#N/A</v>
          </cell>
          <cell r="L175" t="e">
            <v>#N/A</v>
          </cell>
          <cell r="M175" t="e">
            <v>#N/A</v>
          </cell>
          <cell r="N175" t="e">
            <v>#N/A</v>
          </cell>
          <cell r="O175" t="e">
            <v>#N/A</v>
          </cell>
          <cell r="P175">
            <v>11.4</v>
          </cell>
          <cell r="Q175">
            <v>1.733876</v>
          </cell>
          <cell r="R175" t="e">
            <v>#N/A</v>
          </cell>
        </row>
        <row r="176">
          <cell r="A176">
            <v>40228</v>
          </cell>
          <cell r="B176">
            <v>40228</v>
          </cell>
          <cell r="C176" t="str">
            <v>Past</v>
          </cell>
          <cell r="D176">
            <v>11.56</v>
          </cell>
          <cell r="E176" t="e">
            <v>#N/A</v>
          </cell>
          <cell r="F176" t="e">
            <v>#N/A</v>
          </cell>
          <cell r="G176" t="e">
            <v>#N/A</v>
          </cell>
          <cell r="H176" t="e">
            <v>#N/A</v>
          </cell>
          <cell r="I176" t="e">
            <v>#N/A</v>
          </cell>
          <cell r="J176" t="e">
            <v>#N/A</v>
          </cell>
          <cell r="K176" t="e">
            <v>#N/A</v>
          </cell>
          <cell r="L176" t="e">
            <v>#N/A</v>
          </cell>
          <cell r="M176" t="e">
            <v>#N/A</v>
          </cell>
          <cell r="N176" t="e">
            <v>#N/A</v>
          </cell>
          <cell r="O176" t="e">
            <v>#N/A</v>
          </cell>
          <cell r="P176">
            <v>11.56</v>
          </cell>
          <cell r="Q176">
            <v>1.7208400000000001</v>
          </cell>
          <cell r="R176" t="e">
            <v>#N/A</v>
          </cell>
        </row>
        <row r="177">
          <cell r="A177">
            <v>40231</v>
          </cell>
          <cell r="B177">
            <v>40231</v>
          </cell>
          <cell r="C177" t="str">
            <v>Past</v>
          </cell>
          <cell r="D177">
            <v>11.49</v>
          </cell>
          <cell r="E177" t="e">
            <v>#N/A</v>
          </cell>
          <cell r="F177" t="e">
            <v>#N/A</v>
          </cell>
          <cell r="G177" t="e">
            <v>#N/A</v>
          </cell>
          <cell r="H177" t="e">
            <v>#N/A</v>
          </cell>
          <cell r="I177" t="e">
            <v>#N/A</v>
          </cell>
          <cell r="J177" t="e">
            <v>#N/A</v>
          </cell>
          <cell r="K177" t="e">
            <v>#N/A</v>
          </cell>
          <cell r="L177" t="e">
            <v>#N/A</v>
          </cell>
          <cell r="M177" t="e">
            <v>#N/A</v>
          </cell>
          <cell r="N177" t="e">
            <v>#N/A</v>
          </cell>
          <cell r="O177" t="e">
            <v>#N/A</v>
          </cell>
          <cell r="P177">
            <v>11.49</v>
          </cell>
          <cell r="Q177">
            <v>0.80953000000000008</v>
          </cell>
          <cell r="R177" t="e">
            <v>#N/A</v>
          </cell>
        </row>
        <row r="178">
          <cell r="A178">
            <v>40232</v>
          </cell>
          <cell r="B178">
            <v>40232</v>
          </cell>
          <cell r="C178" t="str">
            <v>Past</v>
          </cell>
          <cell r="D178">
            <v>11.31</v>
          </cell>
          <cell r="E178" t="e">
            <v>#N/A</v>
          </cell>
          <cell r="F178" t="e">
            <v>#N/A</v>
          </cell>
          <cell r="G178" t="e">
            <v>#N/A</v>
          </cell>
          <cell r="H178" t="e">
            <v>#N/A</v>
          </cell>
          <cell r="I178" t="e">
            <v>#N/A</v>
          </cell>
          <cell r="J178" t="e">
            <v>#N/A</v>
          </cell>
          <cell r="K178" t="e">
            <v>#N/A</v>
          </cell>
          <cell r="L178" t="e">
            <v>#N/A</v>
          </cell>
          <cell r="M178" t="e">
            <v>#N/A</v>
          </cell>
          <cell r="N178" t="e">
            <v>#N/A</v>
          </cell>
          <cell r="O178" t="e">
            <v>#N/A</v>
          </cell>
          <cell r="P178">
            <v>11.31</v>
          </cell>
          <cell r="Q178">
            <v>2.328532</v>
          </cell>
          <cell r="R178" t="e">
            <v>#N/A</v>
          </cell>
        </row>
        <row r="179">
          <cell r="A179">
            <v>40233</v>
          </cell>
          <cell r="B179">
            <v>40233</v>
          </cell>
          <cell r="C179" t="str">
            <v>Past</v>
          </cell>
          <cell r="D179">
            <v>11.28</v>
          </cell>
          <cell r="E179" t="e">
            <v>#N/A</v>
          </cell>
          <cell r="F179" t="e">
            <v>#N/A</v>
          </cell>
          <cell r="G179" t="e">
            <v>#N/A</v>
          </cell>
          <cell r="H179" t="e">
            <v>#N/A</v>
          </cell>
          <cell r="I179" t="e">
            <v>#N/A</v>
          </cell>
          <cell r="J179" t="e">
            <v>#N/A</v>
          </cell>
          <cell r="K179" t="e">
            <v>#N/A</v>
          </cell>
          <cell r="L179" t="e">
            <v>#N/A</v>
          </cell>
          <cell r="M179" t="e">
            <v>#N/A</v>
          </cell>
          <cell r="N179" t="e">
            <v>#N/A</v>
          </cell>
          <cell r="O179" t="e">
            <v>#N/A</v>
          </cell>
          <cell r="P179">
            <v>11.28</v>
          </cell>
          <cell r="Q179">
            <v>2.9020509999999997</v>
          </cell>
          <cell r="R179" t="e">
            <v>#N/A</v>
          </cell>
        </row>
        <row r="180">
          <cell r="A180">
            <v>40234</v>
          </cell>
          <cell r="B180">
            <v>40234</v>
          </cell>
          <cell r="C180" t="str">
            <v>Past</v>
          </cell>
          <cell r="D180">
            <v>11.23</v>
          </cell>
          <cell r="E180" t="e">
            <v>#N/A</v>
          </cell>
          <cell r="F180" t="e">
            <v>#N/A</v>
          </cell>
          <cell r="G180" t="e">
            <v>#N/A</v>
          </cell>
          <cell r="H180" t="e">
            <v>#N/A</v>
          </cell>
          <cell r="I180" t="e">
            <v>#N/A</v>
          </cell>
          <cell r="J180" t="e">
            <v>#N/A</v>
          </cell>
          <cell r="K180" t="e">
            <v>#N/A</v>
          </cell>
          <cell r="L180" t="e">
            <v>#N/A</v>
          </cell>
          <cell r="M180" t="e">
            <v>#N/A</v>
          </cell>
          <cell r="N180" t="e">
            <v>#N/A</v>
          </cell>
          <cell r="O180" t="e">
            <v>#N/A</v>
          </cell>
          <cell r="P180">
            <v>11.23</v>
          </cell>
          <cell r="Q180">
            <v>2.0132189999999999</v>
          </cell>
          <cell r="R180" t="e">
            <v>#N/A</v>
          </cell>
        </row>
        <row r="181">
          <cell r="A181">
            <v>40235</v>
          </cell>
          <cell r="B181">
            <v>40235</v>
          </cell>
          <cell r="C181" t="str">
            <v>Past</v>
          </cell>
          <cell r="D181">
            <v>11.11</v>
          </cell>
          <cell r="E181" t="e">
            <v>#N/A</v>
          </cell>
          <cell r="F181" t="e">
            <v>#N/A</v>
          </cell>
          <cell r="G181" t="e">
            <v>#N/A</v>
          </cell>
          <cell r="H181" t="e">
            <v>#N/A</v>
          </cell>
          <cell r="I181" t="e">
            <v>#N/A</v>
          </cell>
          <cell r="J181" t="e">
            <v>#N/A</v>
          </cell>
          <cell r="K181" t="e">
            <v>#N/A</v>
          </cell>
          <cell r="L181" t="e">
            <v>#N/A</v>
          </cell>
          <cell r="M181" t="e">
            <v>#N/A</v>
          </cell>
          <cell r="N181" t="e">
            <v>#N/A</v>
          </cell>
          <cell r="O181" t="e">
            <v>#N/A</v>
          </cell>
          <cell r="P181">
            <v>11.11</v>
          </cell>
          <cell r="Q181">
            <v>2.0343549999999997</v>
          </cell>
          <cell r="R181" t="e">
            <v>#N/A</v>
          </cell>
        </row>
        <row r="182">
          <cell r="A182">
            <v>40238</v>
          </cell>
          <cell r="B182">
            <v>40238</v>
          </cell>
          <cell r="C182" t="str">
            <v>Past</v>
          </cell>
          <cell r="D182">
            <v>11.55</v>
          </cell>
          <cell r="E182" t="e">
            <v>#N/A</v>
          </cell>
          <cell r="F182" t="e">
            <v>#N/A</v>
          </cell>
          <cell r="G182" t="e">
            <v>#N/A</v>
          </cell>
          <cell r="H182" t="e">
            <v>#N/A</v>
          </cell>
          <cell r="I182" t="e">
            <v>#N/A</v>
          </cell>
          <cell r="J182" t="e">
            <v>#N/A</v>
          </cell>
          <cell r="K182" t="e">
            <v>#N/A</v>
          </cell>
          <cell r="L182" t="e">
            <v>#N/A</v>
          </cell>
          <cell r="M182" t="e">
            <v>#N/A</v>
          </cell>
          <cell r="N182" t="e">
            <v>#N/A</v>
          </cell>
          <cell r="O182" t="e">
            <v>#N/A</v>
          </cell>
          <cell r="P182">
            <v>11.55</v>
          </cell>
          <cell r="Q182">
            <v>3.2926409999999997</v>
          </cell>
          <cell r="R182" t="e">
            <v>#N/A</v>
          </cell>
        </row>
        <row r="183">
          <cell r="A183">
            <v>40239</v>
          </cell>
          <cell r="B183">
            <v>40239</v>
          </cell>
          <cell r="C183" t="str">
            <v>Past</v>
          </cell>
          <cell r="D183">
            <v>11.68</v>
          </cell>
          <cell r="E183" t="e">
            <v>#N/A</v>
          </cell>
          <cell r="F183" t="e">
            <v>#N/A</v>
          </cell>
          <cell r="G183" t="e">
            <v>#N/A</v>
          </cell>
          <cell r="H183" t="e">
            <v>#N/A</v>
          </cell>
          <cell r="I183" t="e">
            <v>#N/A</v>
          </cell>
          <cell r="J183" t="e">
            <v>#N/A</v>
          </cell>
          <cell r="K183" t="e">
            <v>#N/A</v>
          </cell>
          <cell r="L183" t="e">
            <v>#N/A</v>
          </cell>
          <cell r="M183" t="e">
            <v>#N/A</v>
          </cell>
          <cell r="N183" t="e">
            <v>#N/A</v>
          </cell>
          <cell r="O183" t="e">
            <v>#N/A</v>
          </cell>
          <cell r="P183">
            <v>11.68</v>
          </cell>
          <cell r="Q183">
            <v>1.8359489999999998</v>
          </cell>
          <cell r="R183" t="e">
            <v>#N/A</v>
          </cell>
        </row>
        <row r="184">
          <cell r="A184">
            <v>40240</v>
          </cell>
          <cell r="B184">
            <v>40240</v>
          </cell>
          <cell r="C184" t="str">
            <v>Past</v>
          </cell>
          <cell r="D184">
            <v>11.62</v>
          </cell>
          <cell r="E184" t="e">
            <v>#N/A</v>
          </cell>
          <cell r="F184" t="e">
            <v>#N/A</v>
          </cell>
          <cell r="G184" t="e">
            <v>#N/A</v>
          </cell>
          <cell r="H184" t="e">
            <v>#N/A</v>
          </cell>
          <cell r="I184" t="e">
            <v>#N/A</v>
          </cell>
          <cell r="J184" t="e">
            <v>#N/A</v>
          </cell>
          <cell r="K184" t="e">
            <v>#N/A</v>
          </cell>
          <cell r="L184" t="e">
            <v>#N/A</v>
          </cell>
          <cell r="M184" t="e">
            <v>#N/A</v>
          </cell>
          <cell r="N184" t="e">
            <v>#N/A</v>
          </cell>
          <cell r="O184" t="e">
            <v>#N/A</v>
          </cell>
          <cell r="P184">
            <v>11.62</v>
          </cell>
          <cell r="Q184">
            <v>1.013161</v>
          </cell>
          <cell r="R184" t="e">
            <v>#N/A</v>
          </cell>
        </row>
        <row r="185">
          <cell r="A185">
            <v>40241</v>
          </cell>
          <cell r="B185">
            <v>40241</v>
          </cell>
          <cell r="C185" t="str">
            <v>Past</v>
          </cell>
          <cell r="D185">
            <v>11.6</v>
          </cell>
          <cell r="E185" t="e">
            <v>#N/A</v>
          </cell>
          <cell r="F185" t="e">
            <v>#N/A</v>
          </cell>
          <cell r="G185" t="e">
            <v>#N/A</v>
          </cell>
          <cell r="H185" t="e">
            <v>#N/A</v>
          </cell>
          <cell r="I185" t="e">
            <v>#N/A</v>
          </cell>
          <cell r="J185" t="e">
            <v>#N/A</v>
          </cell>
          <cell r="K185" t="e">
            <v>#N/A</v>
          </cell>
          <cell r="L185" t="e">
            <v>#N/A</v>
          </cell>
          <cell r="M185" t="e">
            <v>#N/A</v>
          </cell>
          <cell r="N185" t="e">
            <v>#N/A</v>
          </cell>
          <cell r="O185" t="e">
            <v>#N/A</v>
          </cell>
          <cell r="P185">
            <v>11.6</v>
          </cell>
          <cell r="Q185">
            <v>0.86625799999999997</v>
          </cell>
          <cell r="R185" t="e">
            <v>#N/A</v>
          </cell>
        </row>
        <row r="186">
          <cell r="A186">
            <v>40242</v>
          </cell>
          <cell r="B186">
            <v>40242</v>
          </cell>
          <cell r="C186" t="str">
            <v>Past</v>
          </cell>
          <cell r="D186">
            <v>11.7</v>
          </cell>
          <cell r="E186" t="e">
            <v>#N/A</v>
          </cell>
          <cell r="F186" t="e">
            <v>#N/A</v>
          </cell>
          <cell r="G186" t="e">
            <v>#N/A</v>
          </cell>
          <cell r="H186" t="e">
            <v>#N/A</v>
          </cell>
          <cell r="I186" t="e">
            <v>#N/A</v>
          </cell>
          <cell r="J186" t="e">
            <v>#N/A</v>
          </cell>
          <cell r="K186" t="e">
            <v>#N/A</v>
          </cell>
          <cell r="L186" t="e">
            <v>#N/A</v>
          </cell>
          <cell r="M186" t="e">
            <v>#N/A</v>
          </cell>
          <cell r="N186" t="e">
            <v>#N/A</v>
          </cell>
          <cell r="O186" t="e">
            <v>#N/A</v>
          </cell>
          <cell r="P186">
            <v>11.7</v>
          </cell>
          <cell r="Q186">
            <v>0.73514099999999993</v>
          </cell>
          <cell r="R186" t="e">
            <v>#N/A</v>
          </cell>
        </row>
        <row r="187">
          <cell r="A187">
            <v>40245</v>
          </cell>
          <cell r="B187">
            <v>40245</v>
          </cell>
          <cell r="C187" t="str">
            <v>Past</v>
          </cell>
          <cell r="D187">
            <v>11.65</v>
          </cell>
          <cell r="E187" t="e">
            <v>#N/A</v>
          </cell>
          <cell r="F187" t="e">
            <v>#N/A</v>
          </cell>
          <cell r="G187" t="e">
            <v>#N/A</v>
          </cell>
          <cell r="H187" t="e">
            <v>#N/A</v>
          </cell>
          <cell r="I187" t="e">
            <v>#N/A</v>
          </cell>
          <cell r="J187" t="e">
            <v>#N/A</v>
          </cell>
          <cell r="K187" t="e">
            <v>#N/A</v>
          </cell>
          <cell r="L187" t="e">
            <v>#N/A</v>
          </cell>
          <cell r="M187" t="e">
            <v>#N/A</v>
          </cell>
          <cell r="N187" t="e">
            <v>#N/A</v>
          </cell>
          <cell r="O187" t="e">
            <v>#N/A</v>
          </cell>
          <cell r="P187">
            <v>11.65</v>
          </cell>
          <cell r="Q187">
            <v>0.86661699999999997</v>
          </cell>
          <cell r="R187" t="e">
            <v>#N/A</v>
          </cell>
        </row>
        <row r="188">
          <cell r="A188">
            <v>40246</v>
          </cell>
          <cell r="B188">
            <v>40246</v>
          </cell>
          <cell r="C188" t="str">
            <v>Past</v>
          </cell>
          <cell r="D188">
            <v>11.72</v>
          </cell>
          <cell r="E188" t="e">
            <v>#N/A</v>
          </cell>
          <cell r="F188" t="e">
            <v>#N/A</v>
          </cell>
          <cell r="G188" t="e">
            <v>#N/A</v>
          </cell>
          <cell r="H188" t="e">
            <v>#N/A</v>
          </cell>
          <cell r="I188" t="e">
            <v>#N/A</v>
          </cell>
          <cell r="J188" t="e">
            <v>#N/A</v>
          </cell>
          <cell r="K188" t="e">
            <v>#N/A</v>
          </cell>
          <cell r="L188" t="e">
            <v>#N/A</v>
          </cell>
          <cell r="M188" t="e">
            <v>#N/A</v>
          </cell>
          <cell r="N188" t="e">
            <v>#N/A</v>
          </cell>
          <cell r="O188" t="e">
            <v>#N/A</v>
          </cell>
          <cell r="P188">
            <v>11.72</v>
          </cell>
          <cell r="Q188">
            <v>1.2221309999999999</v>
          </cell>
          <cell r="R188" t="e">
            <v>#N/A</v>
          </cell>
        </row>
        <row r="189">
          <cell r="A189">
            <v>40247</v>
          </cell>
          <cell r="B189">
            <v>40247</v>
          </cell>
          <cell r="C189" t="str">
            <v>Past</v>
          </cell>
          <cell r="D189">
            <v>11.6</v>
          </cell>
          <cell r="E189" t="e">
            <v>#N/A</v>
          </cell>
          <cell r="F189" t="e">
            <v>#N/A</v>
          </cell>
          <cell r="G189" t="e">
            <v>#N/A</v>
          </cell>
          <cell r="H189" t="e">
            <v>#N/A</v>
          </cell>
          <cell r="I189" t="e">
            <v>#N/A</v>
          </cell>
          <cell r="J189" t="e">
            <v>#N/A</v>
          </cell>
          <cell r="K189" t="e">
            <v>#N/A</v>
          </cell>
          <cell r="L189" t="e">
            <v>#N/A</v>
          </cell>
          <cell r="M189" t="e">
            <v>#N/A</v>
          </cell>
          <cell r="N189" t="e">
            <v>#N/A</v>
          </cell>
          <cell r="O189" t="e">
            <v>#N/A</v>
          </cell>
          <cell r="P189">
            <v>11.6</v>
          </cell>
          <cell r="Q189">
            <v>2.0219130000000001</v>
          </cell>
          <cell r="R189" t="e">
            <v>#N/A</v>
          </cell>
        </row>
        <row r="190">
          <cell r="A190">
            <v>40248</v>
          </cell>
          <cell r="B190">
            <v>40248</v>
          </cell>
          <cell r="C190" t="str">
            <v>Past</v>
          </cell>
          <cell r="D190">
            <v>11.72</v>
          </cell>
          <cell r="E190" t="e">
            <v>#N/A</v>
          </cell>
          <cell r="F190" t="e">
            <v>#N/A</v>
          </cell>
          <cell r="G190" t="e">
            <v>#N/A</v>
          </cell>
          <cell r="H190" t="e">
            <v>#N/A</v>
          </cell>
          <cell r="I190" t="e">
            <v>#N/A</v>
          </cell>
          <cell r="J190" t="e">
            <v>#N/A</v>
          </cell>
          <cell r="K190" t="e">
            <v>#N/A</v>
          </cell>
          <cell r="L190" t="e">
            <v>#N/A</v>
          </cell>
          <cell r="M190" t="e">
            <v>#N/A</v>
          </cell>
          <cell r="N190" t="e">
            <v>#N/A</v>
          </cell>
          <cell r="O190" t="e">
            <v>#N/A</v>
          </cell>
          <cell r="P190">
            <v>11.72</v>
          </cell>
          <cell r="Q190">
            <v>1.8552769999999998</v>
          </cell>
          <cell r="R190" t="e">
            <v>#N/A</v>
          </cell>
        </row>
        <row r="191">
          <cell r="A191">
            <v>40249</v>
          </cell>
          <cell r="B191">
            <v>40249</v>
          </cell>
          <cell r="C191" t="str">
            <v>Past</v>
          </cell>
          <cell r="D191">
            <v>11.69</v>
          </cell>
          <cell r="E191" t="e">
            <v>#N/A</v>
          </cell>
          <cell r="F191" t="e">
            <v>#N/A</v>
          </cell>
          <cell r="G191" t="e">
            <v>#N/A</v>
          </cell>
          <cell r="H191" t="e">
            <v>#N/A</v>
          </cell>
          <cell r="I191" t="e">
            <v>#N/A</v>
          </cell>
          <cell r="J191" t="e">
            <v>#N/A</v>
          </cell>
          <cell r="K191" t="e">
            <v>#N/A</v>
          </cell>
          <cell r="L191" t="e">
            <v>#N/A</v>
          </cell>
          <cell r="M191" t="e">
            <v>#N/A</v>
          </cell>
          <cell r="N191" t="e">
            <v>#N/A</v>
          </cell>
          <cell r="O191" t="e">
            <v>#N/A</v>
          </cell>
          <cell r="P191">
            <v>11.69</v>
          </cell>
          <cell r="Q191">
            <v>1.565866</v>
          </cell>
          <cell r="R191" t="e">
            <v>#N/A</v>
          </cell>
        </row>
        <row r="192">
          <cell r="A192">
            <v>40252</v>
          </cell>
          <cell r="B192">
            <v>40252</v>
          </cell>
          <cell r="C192" t="str">
            <v>Past</v>
          </cell>
          <cell r="D192">
            <v>11.76</v>
          </cell>
          <cell r="E192" t="e">
            <v>#N/A</v>
          </cell>
          <cell r="F192" t="e">
            <v>#N/A</v>
          </cell>
          <cell r="G192" t="e">
            <v>#N/A</v>
          </cell>
          <cell r="H192" t="e">
            <v>#N/A</v>
          </cell>
          <cell r="I192" t="e">
            <v>#N/A</v>
          </cell>
          <cell r="J192" t="e">
            <v>#N/A</v>
          </cell>
          <cell r="K192" t="e">
            <v>#N/A</v>
          </cell>
          <cell r="L192" t="e">
            <v>#N/A</v>
          </cell>
          <cell r="M192" t="e">
            <v>#N/A</v>
          </cell>
          <cell r="N192" t="e">
            <v>#N/A</v>
          </cell>
          <cell r="O192" t="e">
            <v>#N/A</v>
          </cell>
          <cell r="P192">
            <v>11.76</v>
          </cell>
          <cell r="Q192">
            <v>1.1150229999999999</v>
          </cell>
          <cell r="R192" t="e">
            <v>#N/A</v>
          </cell>
        </row>
        <row r="193">
          <cell r="A193">
            <v>40253</v>
          </cell>
          <cell r="B193">
            <v>40253</v>
          </cell>
          <cell r="C193" t="str">
            <v>Past</v>
          </cell>
          <cell r="D193">
            <v>11.93</v>
          </cell>
          <cell r="E193" t="e">
            <v>#N/A</v>
          </cell>
          <cell r="F193" t="e">
            <v>#N/A</v>
          </cell>
          <cell r="G193" t="e">
            <v>#N/A</v>
          </cell>
          <cell r="H193" t="e">
            <v>#N/A</v>
          </cell>
          <cell r="I193" t="e">
            <v>#N/A</v>
          </cell>
          <cell r="J193" t="e">
            <v>#N/A</v>
          </cell>
          <cell r="K193" t="e">
            <v>#N/A</v>
          </cell>
          <cell r="L193" t="e">
            <v>#N/A</v>
          </cell>
          <cell r="M193" t="e">
            <v>#N/A</v>
          </cell>
          <cell r="N193" t="e">
            <v>#N/A</v>
          </cell>
          <cell r="O193" t="e">
            <v>#N/A</v>
          </cell>
          <cell r="P193">
            <v>11.93</v>
          </cell>
          <cell r="Q193">
            <v>1.731938</v>
          </cell>
          <cell r="R193" t="e">
            <v>#N/A</v>
          </cell>
        </row>
        <row r="194">
          <cell r="A194">
            <v>40254</v>
          </cell>
          <cell r="B194">
            <v>40254</v>
          </cell>
          <cell r="C194" t="str">
            <v>Past</v>
          </cell>
          <cell r="D194">
            <v>12.02</v>
          </cell>
          <cell r="E194" t="e">
            <v>#N/A</v>
          </cell>
          <cell r="F194" t="e">
            <v>#N/A</v>
          </cell>
          <cell r="G194" t="e">
            <v>#N/A</v>
          </cell>
          <cell r="H194" t="e">
            <v>#N/A</v>
          </cell>
          <cell r="I194" t="e">
            <v>#N/A</v>
          </cell>
          <cell r="J194" t="e">
            <v>#N/A</v>
          </cell>
          <cell r="K194" t="e">
            <v>#N/A</v>
          </cell>
          <cell r="L194" t="e">
            <v>#N/A</v>
          </cell>
          <cell r="M194" t="e">
            <v>#N/A</v>
          </cell>
          <cell r="N194" t="e">
            <v>#N/A</v>
          </cell>
          <cell r="O194" t="e">
            <v>#N/A</v>
          </cell>
          <cell r="P194">
            <v>12.02</v>
          </cell>
          <cell r="Q194">
            <v>1.4566429999999999</v>
          </cell>
          <cell r="R194" t="e">
            <v>#N/A</v>
          </cell>
        </row>
        <row r="195">
          <cell r="A195">
            <v>40255</v>
          </cell>
          <cell r="B195">
            <v>40255</v>
          </cell>
          <cell r="C195" t="str">
            <v>Past</v>
          </cell>
          <cell r="D195">
            <v>12.03</v>
          </cell>
          <cell r="E195" t="e">
            <v>#N/A</v>
          </cell>
          <cell r="F195" t="e">
            <v>#N/A</v>
          </cell>
          <cell r="G195" t="e">
            <v>#N/A</v>
          </cell>
          <cell r="H195" t="e">
            <v>#N/A</v>
          </cell>
          <cell r="I195" t="e">
            <v>#N/A</v>
          </cell>
          <cell r="J195" t="e">
            <v>#N/A</v>
          </cell>
          <cell r="K195" t="e">
            <v>#N/A</v>
          </cell>
          <cell r="L195" t="e">
            <v>#N/A</v>
          </cell>
          <cell r="M195" t="e">
            <v>#N/A</v>
          </cell>
          <cell r="N195" t="e">
            <v>#N/A</v>
          </cell>
          <cell r="O195" t="e">
            <v>#N/A</v>
          </cell>
          <cell r="P195">
            <v>12.03</v>
          </cell>
          <cell r="Q195">
            <v>0.810307</v>
          </cell>
          <cell r="R195" t="e">
            <v>#N/A</v>
          </cell>
        </row>
        <row r="196">
          <cell r="A196">
            <v>40256</v>
          </cell>
          <cell r="B196">
            <v>40256</v>
          </cell>
          <cell r="C196" t="str">
            <v>Past</v>
          </cell>
          <cell r="D196">
            <v>12</v>
          </cell>
          <cell r="E196" t="e">
            <v>#N/A</v>
          </cell>
          <cell r="F196" t="e">
            <v>#N/A</v>
          </cell>
          <cell r="G196" t="e">
            <v>#N/A</v>
          </cell>
          <cell r="H196" t="e">
            <v>#N/A</v>
          </cell>
          <cell r="I196" t="e">
            <v>#N/A</v>
          </cell>
          <cell r="J196" t="e">
            <v>#N/A</v>
          </cell>
          <cell r="K196" t="e">
            <v>#N/A</v>
          </cell>
          <cell r="L196" t="e">
            <v>#N/A</v>
          </cell>
          <cell r="M196" t="e">
            <v>#N/A</v>
          </cell>
          <cell r="N196" t="e">
            <v>#N/A</v>
          </cell>
          <cell r="O196" t="e">
            <v>#N/A</v>
          </cell>
          <cell r="P196">
            <v>12</v>
          </cell>
          <cell r="Q196">
            <v>1.940742</v>
          </cell>
          <cell r="R196" t="e">
            <v>#N/A</v>
          </cell>
        </row>
        <row r="197">
          <cell r="A197">
            <v>40259</v>
          </cell>
          <cell r="B197">
            <v>40259</v>
          </cell>
          <cell r="C197" t="str">
            <v>Past</v>
          </cell>
          <cell r="D197">
            <v>12.07</v>
          </cell>
          <cell r="E197" t="e">
            <v>#N/A</v>
          </cell>
          <cell r="F197" t="e">
            <v>#N/A</v>
          </cell>
          <cell r="G197" t="e">
            <v>#N/A</v>
          </cell>
          <cell r="H197" t="e">
            <v>#N/A</v>
          </cell>
          <cell r="I197" t="e">
            <v>#N/A</v>
          </cell>
          <cell r="J197" t="e">
            <v>#N/A</v>
          </cell>
          <cell r="K197" t="e">
            <v>#N/A</v>
          </cell>
          <cell r="L197" t="e">
            <v>#N/A</v>
          </cell>
          <cell r="M197" t="e">
            <v>#N/A</v>
          </cell>
          <cell r="N197" t="e">
            <v>#N/A</v>
          </cell>
          <cell r="O197" t="e">
            <v>#N/A</v>
          </cell>
          <cell r="P197">
            <v>12.07</v>
          </cell>
          <cell r="Q197">
            <v>2.8972189999999998</v>
          </cell>
          <cell r="R197" t="e">
            <v>#N/A</v>
          </cell>
        </row>
        <row r="198">
          <cell r="A198">
            <v>40260</v>
          </cell>
          <cell r="B198">
            <v>40260</v>
          </cell>
          <cell r="C198" t="str">
            <v>Past</v>
          </cell>
          <cell r="D198">
            <v>12.1</v>
          </cell>
          <cell r="E198" t="e">
            <v>#N/A</v>
          </cell>
          <cell r="F198" t="e">
            <v>#N/A</v>
          </cell>
          <cell r="G198" t="e">
            <v>#N/A</v>
          </cell>
          <cell r="H198" t="e">
            <v>#N/A</v>
          </cell>
          <cell r="I198" t="e">
            <v>#N/A</v>
          </cell>
          <cell r="J198" t="e">
            <v>#N/A</v>
          </cell>
          <cell r="K198" t="e">
            <v>#N/A</v>
          </cell>
          <cell r="L198" t="e">
            <v>#N/A</v>
          </cell>
          <cell r="M198" t="e">
            <v>#N/A</v>
          </cell>
          <cell r="N198" t="e">
            <v>#N/A</v>
          </cell>
          <cell r="O198" t="e">
            <v>#N/A</v>
          </cell>
          <cell r="P198">
            <v>12.1</v>
          </cell>
          <cell r="Q198">
            <v>1.913257</v>
          </cell>
          <cell r="R198" t="e">
            <v>#N/A</v>
          </cell>
        </row>
        <row r="199">
          <cell r="A199">
            <v>40261</v>
          </cell>
          <cell r="B199">
            <v>40261</v>
          </cell>
          <cell r="C199" t="str">
            <v>Past</v>
          </cell>
          <cell r="D199">
            <v>11.93</v>
          </cell>
          <cell r="E199" t="e">
            <v>#N/A</v>
          </cell>
          <cell r="F199" t="e">
            <v>#N/A</v>
          </cell>
          <cell r="G199" t="e">
            <v>#N/A</v>
          </cell>
          <cell r="H199" t="e">
            <v>#N/A</v>
          </cell>
          <cell r="I199" t="e">
            <v>#N/A</v>
          </cell>
          <cell r="J199" t="e">
            <v>#N/A</v>
          </cell>
          <cell r="K199" t="e">
            <v>#N/A</v>
          </cell>
          <cell r="L199" t="e">
            <v>#N/A</v>
          </cell>
          <cell r="M199" t="e">
            <v>#N/A</v>
          </cell>
          <cell r="N199" t="e">
            <v>#N/A</v>
          </cell>
          <cell r="O199" t="e">
            <v>#N/A</v>
          </cell>
          <cell r="P199">
            <v>11.93</v>
          </cell>
          <cell r="Q199">
            <v>1.8157200000000002</v>
          </cell>
          <cell r="R199" t="e">
            <v>#N/A</v>
          </cell>
        </row>
        <row r="200">
          <cell r="A200">
            <v>40262</v>
          </cell>
          <cell r="B200">
            <v>40262</v>
          </cell>
          <cell r="C200" t="str">
            <v>Past</v>
          </cell>
          <cell r="D200">
            <v>11.8</v>
          </cell>
          <cell r="E200" t="e">
            <v>#N/A</v>
          </cell>
          <cell r="F200" t="e">
            <v>#N/A</v>
          </cell>
          <cell r="G200" t="e">
            <v>#N/A</v>
          </cell>
          <cell r="H200" t="e">
            <v>#N/A</v>
          </cell>
          <cell r="I200" t="e">
            <v>#N/A</v>
          </cell>
          <cell r="J200" t="e">
            <v>#N/A</v>
          </cell>
          <cell r="K200" t="e">
            <v>#N/A</v>
          </cell>
          <cell r="L200" t="e">
            <v>#N/A</v>
          </cell>
          <cell r="M200" t="e">
            <v>#N/A</v>
          </cell>
          <cell r="N200" t="e">
            <v>#N/A</v>
          </cell>
          <cell r="O200" t="e">
            <v>#N/A</v>
          </cell>
          <cell r="P200">
            <v>11.8</v>
          </cell>
          <cell r="Q200">
            <v>1.4980149999999999</v>
          </cell>
          <cell r="R200" t="e">
            <v>#N/A</v>
          </cell>
        </row>
        <row r="201">
          <cell r="A201">
            <v>40263</v>
          </cell>
          <cell r="B201">
            <v>40263</v>
          </cell>
          <cell r="C201" t="str">
            <v>Past</v>
          </cell>
          <cell r="D201">
            <v>12.2</v>
          </cell>
          <cell r="E201" t="e">
            <v>#N/A</v>
          </cell>
          <cell r="F201" t="e">
            <v>#N/A</v>
          </cell>
          <cell r="G201" t="e">
            <v>#N/A</v>
          </cell>
          <cell r="H201" t="e">
            <v>#N/A</v>
          </cell>
          <cell r="I201" t="e">
            <v>#N/A</v>
          </cell>
          <cell r="J201" t="e">
            <v>#N/A</v>
          </cell>
          <cell r="K201" t="e">
            <v>#N/A</v>
          </cell>
          <cell r="L201" t="e">
            <v>#N/A</v>
          </cell>
          <cell r="M201" t="e">
            <v>#N/A</v>
          </cell>
          <cell r="N201" t="e">
            <v>#N/A</v>
          </cell>
          <cell r="O201" t="e">
            <v>#N/A</v>
          </cell>
          <cell r="P201">
            <v>12.2</v>
          </cell>
          <cell r="Q201">
            <v>3.5113669999999999</v>
          </cell>
          <cell r="R201" t="e">
            <v>#N/A</v>
          </cell>
        </row>
        <row r="202">
          <cell r="A202">
            <v>40266</v>
          </cell>
          <cell r="B202">
            <v>40266</v>
          </cell>
          <cell r="C202" t="str">
            <v>Past</v>
          </cell>
          <cell r="D202">
            <v>12.33</v>
          </cell>
          <cell r="E202" t="e">
            <v>#N/A</v>
          </cell>
          <cell r="F202" t="e">
            <v>#N/A</v>
          </cell>
          <cell r="G202" t="e">
            <v>#N/A</v>
          </cell>
          <cell r="H202" t="e">
            <v>#N/A</v>
          </cell>
          <cell r="I202" t="e">
            <v>#N/A</v>
          </cell>
          <cell r="J202" t="e">
            <v>#N/A</v>
          </cell>
          <cell r="K202" t="e">
            <v>#N/A</v>
          </cell>
          <cell r="L202" t="e">
            <v>#N/A</v>
          </cell>
          <cell r="M202" t="e">
            <v>#N/A</v>
          </cell>
          <cell r="N202" t="e">
            <v>#N/A</v>
          </cell>
          <cell r="O202" t="e">
            <v>#N/A</v>
          </cell>
          <cell r="P202">
            <v>12.33</v>
          </cell>
          <cell r="Q202">
            <v>0.98394199999999998</v>
          </cell>
          <cell r="R202" t="e">
            <v>#N/A</v>
          </cell>
        </row>
        <row r="203">
          <cell r="A203">
            <v>40267</v>
          </cell>
          <cell r="B203">
            <v>40267</v>
          </cell>
          <cell r="C203" t="str">
            <v>Past</v>
          </cell>
          <cell r="D203">
            <v>12.39</v>
          </cell>
          <cell r="E203" t="e">
            <v>#N/A</v>
          </cell>
          <cell r="F203" t="e">
            <v>#N/A</v>
          </cell>
          <cell r="G203" t="e">
            <v>#N/A</v>
          </cell>
          <cell r="H203" t="e">
            <v>#N/A</v>
          </cell>
          <cell r="I203" t="e">
            <v>#N/A</v>
          </cell>
          <cell r="J203" t="e">
            <v>#N/A</v>
          </cell>
          <cell r="K203" t="e">
            <v>#N/A</v>
          </cell>
          <cell r="L203" t="e">
            <v>#N/A</v>
          </cell>
          <cell r="M203" t="e">
            <v>#N/A</v>
          </cell>
          <cell r="N203" t="e">
            <v>#N/A</v>
          </cell>
          <cell r="O203" t="e">
            <v>#N/A</v>
          </cell>
          <cell r="P203">
            <v>12.39</v>
          </cell>
          <cell r="Q203">
            <v>1.0866149999999999</v>
          </cell>
          <cell r="R203" t="e">
            <v>#N/A</v>
          </cell>
        </row>
        <row r="204">
          <cell r="A204">
            <v>40268</v>
          </cell>
          <cell r="B204">
            <v>40268</v>
          </cell>
          <cell r="C204" t="str">
            <v>Past</v>
          </cell>
          <cell r="D204">
            <v>12.33</v>
          </cell>
          <cell r="E204" t="e">
            <v>#N/A</v>
          </cell>
          <cell r="F204" t="e">
            <v>#N/A</v>
          </cell>
          <cell r="G204" t="e">
            <v>#N/A</v>
          </cell>
          <cell r="H204" t="e">
            <v>#N/A</v>
          </cell>
          <cell r="I204" t="e">
            <v>#N/A</v>
          </cell>
          <cell r="J204" t="e">
            <v>#N/A</v>
          </cell>
          <cell r="K204" t="e">
            <v>#N/A</v>
          </cell>
          <cell r="L204" t="e">
            <v>#N/A</v>
          </cell>
          <cell r="M204" t="e">
            <v>#N/A</v>
          </cell>
          <cell r="N204" t="e">
            <v>#N/A</v>
          </cell>
          <cell r="O204" t="e">
            <v>#N/A</v>
          </cell>
          <cell r="P204">
            <v>12.33</v>
          </cell>
          <cell r="Q204">
            <v>1.941349</v>
          </cell>
          <cell r="R204" t="e">
            <v>#N/A</v>
          </cell>
        </row>
        <row r="205">
          <cell r="A205">
            <v>40269</v>
          </cell>
          <cell r="B205">
            <v>40269</v>
          </cell>
          <cell r="C205" t="str">
            <v>Past</v>
          </cell>
          <cell r="D205">
            <v>12.37</v>
          </cell>
          <cell r="E205" t="e">
            <v>#N/A</v>
          </cell>
          <cell r="F205" t="e">
            <v>#N/A</v>
          </cell>
          <cell r="G205" t="e">
            <v>#N/A</v>
          </cell>
          <cell r="H205" t="e">
            <v>#N/A</v>
          </cell>
          <cell r="I205" t="e">
            <v>#N/A</v>
          </cell>
          <cell r="J205" t="e">
            <v>#N/A</v>
          </cell>
          <cell r="K205" t="e">
            <v>#N/A</v>
          </cell>
          <cell r="L205" t="e">
            <v>#N/A</v>
          </cell>
          <cell r="M205" t="e">
            <v>#N/A</v>
          </cell>
          <cell r="N205" t="e">
            <v>#N/A</v>
          </cell>
          <cell r="O205" t="e">
            <v>#N/A</v>
          </cell>
          <cell r="P205">
            <v>12.37</v>
          </cell>
          <cell r="Q205">
            <v>1.3437249999999998</v>
          </cell>
          <cell r="R205" t="e">
            <v>#N/A</v>
          </cell>
        </row>
        <row r="206">
          <cell r="A206">
            <v>40273</v>
          </cell>
          <cell r="B206">
            <v>40273</v>
          </cell>
          <cell r="C206" t="str">
            <v>Past</v>
          </cell>
          <cell r="D206">
            <v>12.49</v>
          </cell>
          <cell r="E206" t="e">
            <v>#N/A</v>
          </cell>
          <cell r="F206" t="e">
            <v>#N/A</v>
          </cell>
          <cell r="G206" t="e">
            <v>#N/A</v>
          </cell>
          <cell r="H206" t="e">
            <v>#N/A</v>
          </cell>
          <cell r="I206" t="e">
            <v>#N/A</v>
          </cell>
          <cell r="J206" t="e">
            <v>#N/A</v>
          </cell>
          <cell r="K206" t="e">
            <v>#N/A</v>
          </cell>
          <cell r="L206" t="e">
            <v>#N/A</v>
          </cell>
          <cell r="M206" t="e">
            <v>#N/A</v>
          </cell>
          <cell r="N206" t="e">
            <v>#N/A</v>
          </cell>
          <cell r="O206" t="e">
            <v>#N/A</v>
          </cell>
          <cell r="P206">
            <v>12.49</v>
          </cell>
          <cell r="Q206">
            <v>0.89013000000000009</v>
          </cell>
          <cell r="R206" t="e">
            <v>#N/A</v>
          </cell>
        </row>
        <row r="207">
          <cell r="A207">
            <v>40274</v>
          </cell>
          <cell r="B207">
            <v>40274</v>
          </cell>
          <cell r="C207" t="str">
            <v>Past</v>
          </cell>
          <cell r="D207">
            <v>12.58</v>
          </cell>
          <cell r="E207" t="e">
            <v>#N/A</v>
          </cell>
          <cell r="F207" t="e">
            <v>#N/A</v>
          </cell>
          <cell r="G207" t="e">
            <v>#N/A</v>
          </cell>
          <cell r="H207" t="e">
            <v>#N/A</v>
          </cell>
          <cell r="I207" t="e">
            <v>#N/A</v>
          </cell>
          <cell r="J207" t="e">
            <v>#N/A</v>
          </cell>
          <cell r="K207" t="e">
            <v>#N/A</v>
          </cell>
          <cell r="L207" t="e">
            <v>#N/A</v>
          </cell>
          <cell r="M207" t="e">
            <v>#N/A</v>
          </cell>
          <cell r="N207" t="e">
            <v>#N/A</v>
          </cell>
          <cell r="O207" t="e">
            <v>#N/A</v>
          </cell>
          <cell r="P207">
            <v>12.58</v>
          </cell>
          <cell r="Q207">
            <v>1.018416</v>
          </cell>
          <cell r="R207" t="e">
            <v>#N/A</v>
          </cell>
        </row>
        <row r="208">
          <cell r="A208">
            <v>40275</v>
          </cell>
          <cell r="B208">
            <v>40275</v>
          </cell>
          <cell r="C208" t="str">
            <v>Past</v>
          </cell>
          <cell r="D208">
            <v>12.44</v>
          </cell>
          <cell r="E208" t="e">
            <v>#N/A</v>
          </cell>
          <cell r="F208" t="e">
            <v>#N/A</v>
          </cell>
          <cell r="G208" t="e">
            <v>#N/A</v>
          </cell>
          <cell r="H208" t="e">
            <v>#N/A</v>
          </cell>
          <cell r="I208" t="e">
            <v>#N/A</v>
          </cell>
          <cell r="J208" t="e">
            <v>#N/A</v>
          </cell>
          <cell r="K208" t="e">
            <v>#N/A</v>
          </cell>
          <cell r="L208" t="e">
            <v>#N/A</v>
          </cell>
          <cell r="M208" t="e">
            <v>#N/A</v>
          </cell>
          <cell r="N208" t="e">
            <v>#N/A</v>
          </cell>
          <cell r="O208" t="e">
            <v>#N/A</v>
          </cell>
          <cell r="P208">
            <v>12.44</v>
          </cell>
          <cell r="Q208">
            <v>0.93972099999999992</v>
          </cell>
          <cell r="R208" t="e">
            <v>#N/A</v>
          </cell>
        </row>
        <row r="209">
          <cell r="A209">
            <v>40276</v>
          </cell>
          <cell r="B209">
            <v>40276</v>
          </cell>
          <cell r="C209" t="str">
            <v>Past</v>
          </cell>
          <cell r="D209">
            <v>12.3</v>
          </cell>
          <cell r="E209" t="e">
            <v>#N/A</v>
          </cell>
          <cell r="F209" t="e">
            <v>#N/A</v>
          </cell>
          <cell r="G209" t="e">
            <v>#N/A</v>
          </cell>
          <cell r="H209" t="e">
            <v>#N/A</v>
          </cell>
          <cell r="I209" t="e">
            <v>#N/A</v>
          </cell>
          <cell r="J209" t="e">
            <v>#N/A</v>
          </cell>
          <cell r="K209" t="e">
            <v>#N/A</v>
          </cell>
          <cell r="L209" t="e">
            <v>#N/A</v>
          </cell>
          <cell r="M209" t="e">
            <v>#N/A</v>
          </cell>
          <cell r="N209" t="e">
            <v>#N/A</v>
          </cell>
          <cell r="O209" t="e">
            <v>#N/A</v>
          </cell>
          <cell r="P209">
            <v>12.3</v>
          </cell>
          <cell r="Q209">
            <v>0.7571500000000001</v>
          </cell>
          <cell r="R209" t="e">
            <v>#N/A</v>
          </cell>
        </row>
        <row r="210">
          <cell r="A210">
            <v>40277</v>
          </cell>
          <cell r="B210">
            <v>40277</v>
          </cell>
          <cell r="C210" t="str">
            <v>Past</v>
          </cell>
          <cell r="D210">
            <v>12.29</v>
          </cell>
          <cell r="E210" t="e">
            <v>#N/A</v>
          </cell>
          <cell r="F210" t="e">
            <v>#N/A</v>
          </cell>
          <cell r="G210" t="e">
            <v>#N/A</v>
          </cell>
          <cell r="H210" t="e">
            <v>#N/A</v>
          </cell>
          <cell r="I210" t="e">
            <v>#N/A</v>
          </cell>
          <cell r="J210" t="e">
            <v>#N/A</v>
          </cell>
          <cell r="K210" t="e">
            <v>#N/A</v>
          </cell>
          <cell r="L210" t="e">
            <v>#N/A</v>
          </cell>
          <cell r="M210" t="e">
            <v>#N/A</v>
          </cell>
          <cell r="N210" t="e">
            <v>#N/A</v>
          </cell>
          <cell r="O210" t="e">
            <v>#N/A</v>
          </cell>
          <cell r="P210">
            <v>12.29</v>
          </cell>
          <cell r="Q210">
            <v>1.188437</v>
          </cell>
          <cell r="R210" t="e">
            <v>#N/A</v>
          </cell>
        </row>
        <row r="211">
          <cell r="A211">
            <v>40280</v>
          </cell>
          <cell r="B211">
            <v>40280</v>
          </cell>
          <cell r="C211" t="str">
            <v>Past</v>
          </cell>
          <cell r="D211">
            <v>12.45</v>
          </cell>
          <cell r="E211" t="e">
            <v>#N/A</v>
          </cell>
          <cell r="F211" t="e">
            <v>#N/A</v>
          </cell>
          <cell r="G211" t="e">
            <v>#N/A</v>
          </cell>
          <cell r="H211" t="e">
            <v>#N/A</v>
          </cell>
          <cell r="I211" t="e">
            <v>#N/A</v>
          </cell>
          <cell r="J211" t="e">
            <v>#N/A</v>
          </cell>
          <cell r="K211" t="e">
            <v>#N/A</v>
          </cell>
          <cell r="L211" t="e">
            <v>#N/A</v>
          </cell>
          <cell r="M211" t="e">
            <v>#N/A</v>
          </cell>
          <cell r="N211" t="e">
            <v>#N/A</v>
          </cell>
          <cell r="O211" t="e">
            <v>#N/A</v>
          </cell>
          <cell r="P211">
            <v>12.45</v>
          </cell>
          <cell r="Q211">
            <v>1.376951</v>
          </cell>
          <cell r="R211" t="e">
            <v>#N/A</v>
          </cell>
        </row>
        <row r="212">
          <cell r="A212">
            <v>40281</v>
          </cell>
          <cell r="B212">
            <v>40281</v>
          </cell>
          <cell r="C212" t="str">
            <v>Past</v>
          </cell>
          <cell r="D212">
            <v>12.35</v>
          </cell>
          <cell r="E212" t="e">
            <v>#N/A</v>
          </cell>
          <cell r="F212" t="e">
            <v>#N/A</v>
          </cell>
          <cell r="G212" t="e">
            <v>#N/A</v>
          </cell>
          <cell r="H212" t="e">
            <v>#N/A</v>
          </cell>
          <cell r="I212" t="e">
            <v>#N/A</v>
          </cell>
          <cell r="J212" t="e">
            <v>#N/A</v>
          </cell>
          <cell r="K212" t="e">
            <v>#N/A</v>
          </cell>
          <cell r="L212" t="e">
            <v>#N/A</v>
          </cell>
          <cell r="M212" t="e">
            <v>#N/A</v>
          </cell>
          <cell r="N212" t="e">
            <v>#N/A</v>
          </cell>
          <cell r="O212" t="e">
            <v>#N/A</v>
          </cell>
          <cell r="P212">
            <v>12.35</v>
          </cell>
          <cell r="Q212">
            <v>1.2989089999999999</v>
          </cell>
          <cell r="R212" t="e">
            <v>#N/A</v>
          </cell>
        </row>
        <row r="213">
          <cell r="A213">
            <v>40282</v>
          </cell>
          <cell r="B213">
            <v>40282</v>
          </cell>
          <cell r="C213" t="str">
            <v>Past</v>
          </cell>
          <cell r="D213">
            <v>12.52</v>
          </cell>
          <cell r="E213" t="e">
            <v>#N/A</v>
          </cell>
          <cell r="F213" t="e">
            <v>#N/A</v>
          </cell>
          <cell r="G213" t="e">
            <v>#N/A</v>
          </cell>
          <cell r="H213" t="e">
            <v>#N/A</v>
          </cell>
          <cell r="I213" t="e">
            <v>#N/A</v>
          </cell>
          <cell r="J213" t="e">
            <v>#N/A</v>
          </cell>
          <cell r="K213" t="e">
            <v>#N/A</v>
          </cell>
          <cell r="L213" t="e">
            <v>#N/A</v>
          </cell>
          <cell r="M213" t="e">
            <v>#N/A</v>
          </cell>
          <cell r="N213" t="e">
            <v>#N/A</v>
          </cell>
          <cell r="O213" t="e">
            <v>#N/A</v>
          </cell>
          <cell r="P213">
            <v>12.52</v>
          </cell>
          <cell r="Q213">
            <v>2.1197759999999999</v>
          </cell>
          <cell r="R213" t="e">
            <v>#N/A</v>
          </cell>
        </row>
        <row r="214">
          <cell r="A214">
            <v>40283</v>
          </cell>
          <cell r="B214">
            <v>40283</v>
          </cell>
          <cell r="C214" t="str">
            <v>Past</v>
          </cell>
          <cell r="D214">
            <v>12.46</v>
          </cell>
          <cell r="E214" t="e">
            <v>#N/A</v>
          </cell>
          <cell r="F214" t="e">
            <v>#N/A</v>
          </cell>
          <cell r="G214" t="e">
            <v>#N/A</v>
          </cell>
          <cell r="H214" t="e">
            <v>#N/A</v>
          </cell>
          <cell r="I214" t="e">
            <v>#N/A</v>
          </cell>
          <cell r="J214" t="e">
            <v>#N/A</v>
          </cell>
          <cell r="K214" t="e">
            <v>#N/A</v>
          </cell>
          <cell r="L214" t="e">
            <v>#N/A</v>
          </cell>
          <cell r="M214" t="e">
            <v>#N/A</v>
          </cell>
          <cell r="N214" t="e">
            <v>#N/A</v>
          </cell>
          <cell r="O214" t="e">
            <v>#N/A</v>
          </cell>
          <cell r="P214">
            <v>12.46</v>
          </cell>
          <cell r="Q214">
            <v>1.5679889999999999</v>
          </cell>
          <cell r="R214" t="e">
            <v>#N/A</v>
          </cell>
        </row>
        <row r="215">
          <cell r="A215">
            <v>40284</v>
          </cell>
          <cell r="B215">
            <v>40284</v>
          </cell>
          <cell r="C215" t="str">
            <v>Past</v>
          </cell>
          <cell r="D215">
            <v>12.26</v>
          </cell>
          <cell r="E215" t="e">
            <v>#N/A</v>
          </cell>
          <cell r="F215" t="e">
            <v>#N/A</v>
          </cell>
          <cell r="G215" t="e">
            <v>#N/A</v>
          </cell>
          <cell r="H215" t="e">
            <v>#N/A</v>
          </cell>
          <cell r="I215" t="e">
            <v>#N/A</v>
          </cell>
          <cell r="J215" t="e">
            <v>#N/A</v>
          </cell>
          <cell r="K215" t="e">
            <v>#N/A</v>
          </cell>
          <cell r="L215" t="e">
            <v>#N/A</v>
          </cell>
          <cell r="M215" t="e">
            <v>#N/A</v>
          </cell>
          <cell r="N215" t="e">
            <v>#N/A</v>
          </cell>
          <cell r="O215" t="e">
            <v>#N/A</v>
          </cell>
          <cell r="P215">
            <v>12.26</v>
          </cell>
          <cell r="Q215">
            <v>1.6249600000000002</v>
          </cell>
          <cell r="R215" t="e">
            <v>#N/A</v>
          </cell>
        </row>
        <row r="216">
          <cell r="A216">
            <v>40287</v>
          </cell>
          <cell r="B216">
            <v>40287</v>
          </cell>
          <cell r="C216" t="str">
            <v>Past</v>
          </cell>
          <cell r="D216">
            <v>12.32</v>
          </cell>
          <cell r="E216" t="e">
            <v>#N/A</v>
          </cell>
          <cell r="F216" t="e">
            <v>#N/A</v>
          </cell>
          <cell r="G216" t="e">
            <v>#N/A</v>
          </cell>
          <cell r="H216" t="e">
            <v>#N/A</v>
          </cell>
          <cell r="I216" t="e">
            <v>#N/A</v>
          </cell>
          <cell r="J216" t="e">
            <v>#N/A</v>
          </cell>
          <cell r="K216" t="e">
            <v>#N/A</v>
          </cell>
          <cell r="L216" t="e">
            <v>#N/A</v>
          </cell>
          <cell r="M216" t="e">
            <v>#N/A</v>
          </cell>
          <cell r="N216" t="e">
            <v>#N/A</v>
          </cell>
          <cell r="O216" t="e">
            <v>#N/A</v>
          </cell>
          <cell r="P216">
            <v>12.32</v>
          </cell>
          <cell r="Q216">
            <v>2.0003889999999998</v>
          </cell>
          <cell r="R216" t="e">
            <v>#N/A</v>
          </cell>
        </row>
        <row r="217">
          <cell r="A217">
            <v>40288</v>
          </cell>
          <cell r="B217">
            <v>40288</v>
          </cell>
          <cell r="C217" t="str">
            <v>Past</v>
          </cell>
          <cell r="D217">
            <v>12.52</v>
          </cell>
          <cell r="E217" t="e">
            <v>#N/A</v>
          </cell>
          <cell r="F217" t="e">
            <v>#N/A</v>
          </cell>
          <cell r="G217" t="e">
            <v>#N/A</v>
          </cell>
          <cell r="H217" t="e">
            <v>#N/A</v>
          </cell>
          <cell r="I217" t="e">
            <v>#N/A</v>
          </cell>
          <cell r="J217" t="e">
            <v>#N/A</v>
          </cell>
          <cell r="K217" t="e">
            <v>#N/A</v>
          </cell>
          <cell r="L217" t="e">
            <v>#N/A</v>
          </cell>
          <cell r="M217" t="e">
            <v>#N/A</v>
          </cell>
          <cell r="N217" t="e">
            <v>#N/A</v>
          </cell>
          <cell r="O217" t="e">
            <v>#N/A</v>
          </cell>
          <cell r="P217">
            <v>12.52</v>
          </cell>
          <cell r="Q217">
            <v>1.9799049999999998</v>
          </cell>
          <cell r="R217" t="e">
            <v>#N/A</v>
          </cell>
        </row>
        <row r="218">
          <cell r="A218">
            <v>40289</v>
          </cell>
          <cell r="B218">
            <v>40289</v>
          </cell>
          <cell r="C218" t="str">
            <v>Past</v>
          </cell>
          <cell r="D218">
            <v>12.68</v>
          </cell>
          <cell r="E218" t="e">
            <v>#N/A</v>
          </cell>
          <cell r="F218" t="e">
            <v>#N/A</v>
          </cell>
          <cell r="G218" t="e">
            <v>#N/A</v>
          </cell>
          <cell r="H218" t="e">
            <v>#N/A</v>
          </cell>
          <cell r="I218" t="e">
            <v>#N/A</v>
          </cell>
          <cell r="J218" t="e">
            <v>#N/A</v>
          </cell>
          <cell r="K218" t="e">
            <v>#N/A</v>
          </cell>
          <cell r="L218" t="e">
            <v>#N/A</v>
          </cell>
          <cell r="M218" t="e">
            <v>#N/A</v>
          </cell>
          <cell r="N218" t="e">
            <v>#N/A</v>
          </cell>
          <cell r="O218" t="e">
            <v>#N/A</v>
          </cell>
          <cell r="P218">
            <v>12.68</v>
          </cell>
          <cell r="Q218">
            <v>1.3910549999999999</v>
          </cell>
          <cell r="R218" t="e">
            <v>#N/A</v>
          </cell>
        </row>
        <row r="219">
          <cell r="A219">
            <v>40290</v>
          </cell>
          <cell r="B219">
            <v>40290</v>
          </cell>
          <cell r="C219" t="str">
            <v>Past</v>
          </cell>
          <cell r="D219">
            <v>12.67</v>
          </cell>
          <cell r="E219" t="e">
            <v>#N/A</v>
          </cell>
          <cell r="F219" t="e">
            <v>#N/A</v>
          </cell>
          <cell r="G219" t="e">
            <v>#N/A</v>
          </cell>
          <cell r="H219" t="e">
            <v>#N/A</v>
          </cell>
          <cell r="I219" t="e">
            <v>#N/A</v>
          </cell>
          <cell r="J219" t="e">
            <v>#N/A</v>
          </cell>
          <cell r="K219" t="e">
            <v>#N/A</v>
          </cell>
          <cell r="L219" t="e">
            <v>#N/A</v>
          </cell>
          <cell r="M219" t="e">
            <v>#N/A</v>
          </cell>
          <cell r="N219" t="e">
            <v>#N/A</v>
          </cell>
          <cell r="O219" t="e">
            <v>#N/A</v>
          </cell>
          <cell r="P219">
            <v>12.67</v>
          </cell>
          <cell r="Q219">
            <v>1.328667</v>
          </cell>
          <cell r="R219" t="e">
            <v>#N/A</v>
          </cell>
        </row>
        <row r="220">
          <cell r="A220">
            <v>40291</v>
          </cell>
          <cell r="B220">
            <v>40291</v>
          </cell>
          <cell r="C220" t="str">
            <v>Past</v>
          </cell>
          <cell r="D220">
            <v>12.8</v>
          </cell>
          <cell r="E220" t="e">
            <v>#N/A</v>
          </cell>
          <cell r="F220" t="e">
            <v>#N/A</v>
          </cell>
          <cell r="G220" t="e">
            <v>#N/A</v>
          </cell>
          <cell r="H220" t="e">
            <v>#N/A</v>
          </cell>
          <cell r="I220" t="e">
            <v>#N/A</v>
          </cell>
          <cell r="J220" t="e">
            <v>#N/A</v>
          </cell>
          <cell r="K220" t="e">
            <v>#N/A</v>
          </cell>
          <cell r="L220" t="e">
            <v>#N/A</v>
          </cell>
          <cell r="M220" t="e">
            <v>#N/A</v>
          </cell>
          <cell r="N220" t="e">
            <v>#N/A</v>
          </cell>
          <cell r="O220" t="e">
            <v>#N/A</v>
          </cell>
          <cell r="P220">
            <v>12.8</v>
          </cell>
          <cell r="Q220">
            <v>1.840479</v>
          </cell>
          <cell r="R220" t="e">
            <v>#N/A</v>
          </cell>
        </row>
        <row r="221">
          <cell r="A221">
            <v>40294</v>
          </cell>
          <cell r="B221">
            <v>40294</v>
          </cell>
          <cell r="C221" t="str">
            <v>Past</v>
          </cell>
          <cell r="D221">
            <v>12.83</v>
          </cell>
          <cell r="E221" t="e">
            <v>#N/A</v>
          </cell>
          <cell r="F221" t="e">
            <v>#N/A</v>
          </cell>
          <cell r="G221" t="e">
            <v>#N/A</v>
          </cell>
          <cell r="H221" t="e">
            <v>#N/A</v>
          </cell>
          <cell r="I221" t="e">
            <v>#N/A</v>
          </cell>
          <cell r="J221" t="e">
            <v>#N/A</v>
          </cell>
          <cell r="K221" t="e">
            <v>#N/A</v>
          </cell>
          <cell r="L221" t="e">
            <v>#N/A</v>
          </cell>
          <cell r="M221" t="e">
            <v>#N/A</v>
          </cell>
          <cell r="N221" t="e">
            <v>#N/A</v>
          </cell>
          <cell r="O221" t="e">
            <v>#N/A</v>
          </cell>
          <cell r="P221">
            <v>12.83</v>
          </cell>
          <cell r="Q221">
            <v>1.8009769999999998</v>
          </cell>
          <cell r="R221" t="e">
            <v>#N/A</v>
          </cell>
        </row>
        <row r="222">
          <cell r="A222">
            <v>40295</v>
          </cell>
          <cell r="B222">
            <v>40295</v>
          </cell>
          <cell r="C222" t="str">
            <v>Past</v>
          </cell>
          <cell r="D222">
            <v>12.5</v>
          </cell>
          <cell r="E222" t="e">
            <v>#N/A</v>
          </cell>
          <cell r="F222" t="e">
            <v>#N/A</v>
          </cell>
          <cell r="G222" t="e">
            <v>#N/A</v>
          </cell>
          <cell r="H222" t="e">
            <v>#N/A</v>
          </cell>
          <cell r="I222" t="e">
            <v>#N/A</v>
          </cell>
          <cell r="J222" t="e">
            <v>#N/A</v>
          </cell>
          <cell r="K222" t="e">
            <v>#N/A</v>
          </cell>
          <cell r="L222" t="e">
            <v>#N/A</v>
          </cell>
          <cell r="M222" t="e">
            <v>#N/A</v>
          </cell>
          <cell r="N222" t="e">
            <v>#N/A</v>
          </cell>
          <cell r="O222" t="e">
            <v>#N/A</v>
          </cell>
          <cell r="P222">
            <v>12.5</v>
          </cell>
          <cell r="Q222">
            <v>2.283982</v>
          </cell>
          <cell r="R222" t="e">
            <v>#N/A</v>
          </cell>
        </row>
        <row r="223">
          <cell r="A223">
            <v>40296</v>
          </cell>
          <cell r="B223">
            <v>40296</v>
          </cell>
          <cell r="C223" t="str">
            <v>Past</v>
          </cell>
          <cell r="D223">
            <v>12.57</v>
          </cell>
          <cell r="E223" t="e">
            <v>#N/A</v>
          </cell>
          <cell r="F223" t="e">
            <v>#N/A</v>
          </cell>
          <cell r="G223" t="e">
            <v>#N/A</v>
          </cell>
          <cell r="H223" t="e">
            <v>#N/A</v>
          </cell>
          <cell r="I223" t="e">
            <v>#N/A</v>
          </cell>
          <cell r="J223" t="e">
            <v>#N/A</v>
          </cell>
          <cell r="K223" t="e">
            <v>#N/A</v>
          </cell>
          <cell r="L223" t="e">
            <v>#N/A</v>
          </cell>
          <cell r="M223" t="e">
            <v>#N/A</v>
          </cell>
          <cell r="N223" t="e">
            <v>#N/A</v>
          </cell>
          <cell r="O223" t="e">
            <v>#N/A</v>
          </cell>
          <cell r="P223">
            <v>12.57</v>
          </cell>
          <cell r="Q223">
            <v>1.881316</v>
          </cell>
          <cell r="R223" t="e">
            <v>#N/A</v>
          </cell>
        </row>
        <row r="224">
          <cell r="A224">
            <v>40297</v>
          </cell>
          <cell r="B224">
            <v>40297</v>
          </cell>
          <cell r="C224" t="str">
            <v>Past</v>
          </cell>
          <cell r="D224">
            <v>12.61</v>
          </cell>
          <cell r="E224" t="e">
            <v>#N/A</v>
          </cell>
          <cell r="F224" t="e">
            <v>#N/A</v>
          </cell>
          <cell r="G224" t="e">
            <v>#N/A</v>
          </cell>
          <cell r="H224" t="e">
            <v>#N/A</v>
          </cell>
          <cell r="I224" t="e">
            <v>#N/A</v>
          </cell>
          <cell r="J224" t="e">
            <v>#N/A</v>
          </cell>
          <cell r="K224" t="e">
            <v>#N/A</v>
          </cell>
          <cell r="L224" t="e">
            <v>#N/A</v>
          </cell>
          <cell r="M224" t="e">
            <v>#N/A</v>
          </cell>
          <cell r="N224" t="e">
            <v>#N/A</v>
          </cell>
          <cell r="O224" t="e">
            <v>#N/A</v>
          </cell>
          <cell r="P224">
            <v>12.61</v>
          </cell>
          <cell r="Q224">
            <v>1.0299</v>
          </cell>
          <cell r="R224" t="e">
            <v>#N/A</v>
          </cell>
        </row>
        <row r="225">
          <cell r="A225">
            <v>40298</v>
          </cell>
          <cell r="B225">
            <v>40298</v>
          </cell>
          <cell r="C225" t="str">
            <v>Past</v>
          </cell>
          <cell r="D225">
            <v>12.49</v>
          </cell>
          <cell r="E225" t="e">
            <v>#N/A</v>
          </cell>
          <cell r="F225" t="e">
            <v>#N/A</v>
          </cell>
          <cell r="G225" t="e">
            <v>#N/A</v>
          </cell>
          <cell r="H225" t="e">
            <v>#N/A</v>
          </cell>
          <cell r="I225" t="e">
            <v>#N/A</v>
          </cell>
          <cell r="J225" t="e">
            <v>#N/A</v>
          </cell>
          <cell r="K225" t="e">
            <v>#N/A</v>
          </cell>
          <cell r="L225" t="e">
            <v>#N/A</v>
          </cell>
          <cell r="M225" t="e">
            <v>#N/A</v>
          </cell>
          <cell r="N225" t="e">
            <v>#N/A</v>
          </cell>
          <cell r="O225" t="e">
            <v>#N/A</v>
          </cell>
          <cell r="P225">
            <v>12.49</v>
          </cell>
          <cell r="Q225">
            <v>1.550983</v>
          </cell>
          <cell r="R225" t="e">
            <v>#N/A</v>
          </cell>
        </row>
        <row r="226">
          <cell r="A226">
            <v>40301</v>
          </cell>
          <cell r="B226">
            <v>40301</v>
          </cell>
          <cell r="C226" t="str">
            <v>Past</v>
          </cell>
          <cell r="D226">
            <v>12.74</v>
          </cell>
          <cell r="E226" t="e">
            <v>#N/A</v>
          </cell>
          <cell r="F226" t="e">
            <v>#N/A</v>
          </cell>
          <cell r="G226" t="e">
            <v>#N/A</v>
          </cell>
          <cell r="H226" t="e">
            <v>#N/A</v>
          </cell>
          <cell r="I226" t="e">
            <v>#N/A</v>
          </cell>
          <cell r="J226" t="e">
            <v>#N/A</v>
          </cell>
          <cell r="K226" t="e">
            <v>#N/A</v>
          </cell>
          <cell r="L226" t="e">
            <v>#N/A</v>
          </cell>
          <cell r="M226" t="e">
            <v>#N/A</v>
          </cell>
          <cell r="N226" t="e">
            <v>#N/A</v>
          </cell>
          <cell r="O226" t="e">
            <v>#N/A</v>
          </cell>
          <cell r="P226">
            <v>12.74</v>
          </cell>
          <cell r="Q226">
            <v>0.98091000000000006</v>
          </cell>
          <cell r="R226" t="e">
            <v>#N/A</v>
          </cell>
        </row>
        <row r="227">
          <cell r="A227">
            <v>40302</v>
          </cell>
          <cell r="B227">
            <v>40302</v>
          </cell>
          <cell r="C227" t="str">
            <v>Past</v>
          </cell>
          <cell r="D227">
            <v>12.55</v>
          </cell>
          <cell r="E227" t="e">
            <v>#N/A</v>
          </cell>
          <cell r="F227" t="e">
            <v>#N/A</v>
          </cell>
          <cell r="G227" t="e">
            <v>#N/A</v>
          </cell>
          <cell r="H227" t="e">
            <v>#N/A</v>
          </cell>
          <cell r="I227" t="e">
            <v>#N/A</v>
          </cell>
          <cell r="J227" t="e">
            <v>#N/A</v>
          </cell>
          <cell r="K227" t="e">
            <v>#N/A</v>
          </cell>
          <cell r="L227" t="e">
            <v>#N/A</v>
          </cell>
          <cell r="M227" t="e">
            <v>#N/A</v>
          </cell>
          <cell r="N227" t="e">
            <v>#N/A</v>
          </cell>
          <cell r="O227" t="e">
            <v>#N/A</v>
          </cell>
          <cell r="P227">
            <v>12.55</v>
          </cell>
          <cell r="Q227">
            <v>2.0831219999999999</v>
          </cell>
          <cell r="R227" t="e">
            <v>#N/A</v>
          </cell>
        </row>
        <row r="228">
          <cell r="A228">
            <v>40303</v>
          </cell>
          <cell r="B228">
            <v>40303</v>
          </cell>
          <cell r="C228" t="str">
            <v>Past</v>
          </cell>
          <cell r="D228">
            <v>12.32</v>
          </cell>
          <cell r="E228" t="e">
            <v>#N/A</v>
          </cell>
          <cell r="F228" t="e">
            <v>#N/A</v>
          </cell>
          <cell r="G228" t="e">
            <v>#N/A</v>
          </cell>
          <cell r="H228" t="e">
            <v>#N/A</v>
          </cell>
          <cell r="I228" t="e">
            <v>#N/A</v>
          </cell>
          <cell r="J228" t="e">
            <v>#N/A</v>
          </cell>
          <cell r="K228" t="e">
            <v>#N/A</v>
          </cell>
          <cell r="L228" t="e">
            <v>#N/A</v>
          </cell>
          <cell r="M228" t="e">
            <v>#N/A</v>
          </cell>
          <cell r="N228" t="e">
            <v>#N/A</v>
          </cell>
          <cell r="O228" t="e">
            <v>#N/A</v>
          </cell>
          <cell r="P228">
            <v>12.32</v>
          </cell>
          <cell r="Q228">
            <v>1.9299929999999998</v>
          </cell>
          <cell r="R228" t="e">
            <v>#N/A</v>
          </cell>
        </row>
        <row r="229">
          <cell r="A229">
            <v>40304</v>
          </cell>
          <cell r="B229">
            <v>40304</v>
          </cell>
          <cell r="C229" t="str">
            <v>Past</v>
          </cell>
          <cell r="D229">
            <v>11.84</v>
          </cell>
          <cell r="E229" t="e">
            <v>#N/A</v>
          </cell>
          <cell r="F229" t="e">
            <v>#N/A</v>
          </cell>
          <cell r="G229" t="e">
            <v>#N/A</v>
          </cell>
          <cell r="H229" t="e">
            <v>#N/A</v>
          </cell>
          <cell r="I229" t="e">
            <v>#N/A</v>
          </cell>
          <cell r="J229" t="e">
            <v>#N/A</v>
          </cell>
          <cell r="K229" t="e">
            <v>#N/A</v>
          </cell>
          <cell r="L229" t="e">
            <v>#N/A</v>
          </cell>
          <cell r="M229" t="e">
            <v>#N/A</v>
          </cell>
          <cell r="N229" t="e">
            <v>#N/A</v>
          </cell>
          <cell r="O229" t="e">
            <v>#N/A</v>
          </cell>
          <cell r="P229">
            <v>11.84</v>
          </cell>
          <cell r="Q229">
            <v>3.275773</v>
          </cell>
          <cell r="R229" t="e">
            <v>#N/A</v>
          </cell>
        </row>
        <row r="230">
          <cell r="A230">
            <v>40305</v>
          </cell>
          <cell r="B230">
            <v>40305</v>
          </cell>
          <cell r="C230" t="str">
            <v>Past</v>
          </cell>
          <cell r="D230">
            <v>11.95</v>
          </cell>
          <cell r="E230" t="e">
            <v>#N/A</v>
          </cell>
          <cell r="F230" t="e">
            <v>#N/A</v>
          </cell>
          <cell r="G230" t="e">
            <v>#N/A</v>
          </cell>
          <cell r="H230" t="e">
            <v>#N/A</v>
          </cell>
          <cell r="I230" t="e">
            <v>#N/A</v>
          </cell>
          <cell r="J230" t="e">
            <v>#N/A</v>
          </cell>
          <cell r="K230" t="e">
            <v>#N/A</v>
          </cell>
          <cell r="L230" t="e">
            <v>#N/A</v>
          </cell>
          <cell r="M230" t="e">
            <v>#N/A</v>
          </cell>
          <cell r="N230" t="e">
            <v>#N/A</v>
          </cell>
          <cell r="O230" t="e">
            <v>#N/A</v>
          </cell>
          <cell r="P230">
            <v>11.95</v>
          </cell>
          <cell r="Q230">
            <v>3.9817559999999999</v>
          </cell>
          <cell r="R230" t="e">
            <v>#N/A</v>
          </cell>
        </row>
        <row r="231">
          <cell r="A231">
            <v>40308</v>
          </cell>
          <cell r="B231">
            <v>40308</v>
          </cell>
          <cell r="C231" t="str">
            <v>Past</v>
          </cell>
          <cell r="D231">
            <v>12.42</v>
          </cell>
          <cell r="E231" t="e">
            <v>#N/A</v>
          </cell>
          <cell r="F231" t="e">
            <v>#N/A</v>
          </cell>
          <cell r="G231" t="e">
            <v>#N/A</v>
          </cell>
          <cell r="H231" t="e">
            <v>#N/A</v>
          </cell>
          <cell r="I231" t="e">
            <v>#N/A</v>
          </cell>
          <cell r="J231" t="e">
            <v>#N/A</v>
          </cell>
          <cell r="K231" t="e">
            <v>#N/A</v>
          </cell>
          <cell r="L231" t="e">
            <v>#N/A</v>
          </cell>
          <cell r="M231" t="e">
            <v>#N/A</v>
          </cell>
          <cell r="N231" t="e">
            <v>#N/A</v>
          </cell>
          <cell r="O231" t="e">
            <v>#N/A</v>
          </cell>
          <cell r="P231">
            <v>12.42</v>
          </cell>
          <cell r="Q231">
            <v>1.6023179999999999</v>
          </cell>
          <cell r="R231" t="e">
            <v>#N/A</v>
          </cell>
        </row>
        <row r="232">
          <cell r="A232">
            <v>40309</v>
          </cell>
          <cell r="B232">
            <v>40309</v>
          </cell>
          <cell r="C232" t="str">
            <v>Past</v>
          </cell>
          <cell r="D232">
            <v>12.46</v>
          </cell>
          <cell r="E232" t="e">
            <v>#N/A</v>
          </cell>
          <cell r="F232" t="e">
            <v>#N/A</v>
          </cell>
          <cell r="G232" t="e">
            <v>#N/A</v>
          </cell>
          <cell r="H232" t="e">
            <v>#N/A</v>
          </cell>
          <cell r="I232" t="e">
            <v>#N/A</v>
          </cell>
          <cell r="J232" t="e">
            <v>#N/A</v>
          </cell>
          <cell r="K232" t="e">
            <v>#N/A</v>
          </cell>
          <cell r="L232" t="e">
            <v>#N/A</v>
          </cell>
          <cell r="M232" t="e">
            <v>#N/A</v>
          </cell>
          <cell r="N232" t="e">
            <v>#N/A</v>
          </cell>
          <cell r="O232" t="e">
            <v>#N/A</v>
          </cell>
          <cell r="P232">
            <v>12.46</v>
          </cell>
          <cell r="Q232">
            <v>1.645672</v>
          </cell>
          <cell r="R232" t="e">
            <v>#N/A</v>
          </cell>
        </row>
        <row r="233">
          <cell r="A233">
            <v>40310</v>
          </cell>
          <cell r="B233">
            <v>40310</v>
          </cell>
          <cell r="C233" t="str">
            <v>Past</v>
          </cell>
          <cell r="D233">
            <v>12.74</v>
          </cell>
          <cell r="E233" t="e">
            <v>#N/A</v>
          </cell>
          <cell r="F233" t="e">
            <v>#N/A</v>
          </cell>
          <cell r="G233" t="e">
            <v>#N/A</v>
          </cell>
          <cell r="H233" t="e">
            <v>#N/A</v>
          </cell>
          <cell r="I233" t="e">
            <v>#N/A</v>
          </cell>
          <cell r="J233" t="e">
            <v>#N/A</v>
          </cell>
          <cell r="K233" t="e">
            <v>#N/A</v>
          </cell>
          <cell r="L233" t="e">
            <v>#N/A</v>
          </cell>
          <cell r="M233" t="e">
            <v>#N/A</v>
          </cell>
          <cell r="N233" t="e">
            <v>#N/A</v>
          </cell>
          <cell r="O233" t="e">
            <v>#N/A</v>
          </cell>
          <cell r="P233">
            <v>12.74</v>
          </cell>
          <cell r="Q233">
            <v>1.823553</v>
          </cell>
          <cell r="R233" t="e">
            <v>#N/A</v>
          </cell>
        </row>
        <row r="234">
          <cell r="A234">
            <v>40311</v>
          </cell>
          <cell r="B234">
            <v>40311</v>
          </cell>
          <cell r="C234" t="str">
            <v>Past</v>
          </cell>
          <cell r="D234">
            <v>12.56</v>
          </cell>
          <cell r="E234" t="e">
            <v>#N/A</v>
          </cell>
          <cell r="F234" t="e">
            <v>#N/A</v>
          </cell>
          <cell r="G234" t="e">
            <v>#N/A</v>
          </cell>
          <cell r="H234" t="e">
            <v>#N/A</v>
          </cell>
          <cell r="I234" t="e">
            <v>#N/A</v>
          </cell>
          <cell r="J234" t="e">
            <v>#N/A</v>
          </cell>
          <cell r="K234" t="e">
            <v>#N/A</v>
          </cell>
          <cell r="L234" t="e">
            <v>#N/A</v>
          </cell>
          <cell r="M234" t="e">
            <v>#N/A</v>
          </cell>
          <cell r="N234" t="e">
            <v>#N/A</v>
          </cell>
          <cell r="O234" t="e">
            <v>#N/A</v>
          </cell>
          <cell r="P234">
            <v>12.56</v>
          </cell>
          <cell r="Q234">
            <v>1.317496</v>
          </cell>
          <cell r="R234" t="e">
            <v>#N/A</v>
          </cell>
        </row>
        <row r="235">
          <cell r="A235">
            <v>40312</v>
          </cell>
          <cell r="B235">
            <v>40312</v>
          </cell>
          <cell r="C235" t="str">
            <v>Past</v>
          </cell>
          <cell r="D235">
            <v>12.41</v>
          </cell>
          <cell r="E235" t="e">
            <v>#N/A</v>
          </cell>
          <cell r="F235" t="e">
            <v>#N/A</v>
          </cell>
          <cell r="G235" t="e">
            <v>#N/A</v>
          </cell>
          <cell r="H235" t="e">
            <v>#N/A</v>
          </cell>
          <cell r="I235" t="e">
            <v>#N/A</v>
          </cell>
          <cell r="J235" t="e">
            <v>#N/A</v>
          </cell>
          <cell r="K235" t="e">
            <v>#N/A</v>
          </cell>
          <cell r="L235" t="e">
            <v>#N/A</v>
          </cell>
          <cell r="M235" t="e">
            <v>#N/A</v>
          </cell>
          <cell r="N235" t="e">
            <v>#N/A</v>
          </cell>
          <cell r="O235" t="e">
            <v>#N/A</v>
          </cell>
          <cell r="P235">
            <v>12.41</v>
          </cell>
          <cell r="Q235">
            <v>1.7794029999999998</v>
          </cell>
          <cell r="R235" t="e">
            <v>#N/A</v>
          </cell>
        </row>
        <row r="236">
          <cell r="A236">
            <v>40315</v>
          </cell>
          <cell r="B236">
            <v>40315</v>
          </cell>
          <cell r="C236" t="str">
            <v>Past</v>
          </cell>
          <cell r="D236">
            <v>12.35</v>
          </cell>
          <cell r="E236" t="e">
            <v>#N/A</v>
          </cell>
          <cell r="F236" t="e">
            <v>#N/A</v>
          </cell>
          <cell r="G236" t="e">
            <v>#N/A</v>
          </cell>
          <cell r="H236" t="e">
            <v>#N/A</v>
          </cell>
          <cell r="I236" t="e">
            <v>#N/A</v>
          </cell>
          <cell r="J236" t="e">
            <v>#N/A</v>
          </cell>
          <cell r="K236" t="e">
            <v>#N/A</v>
          </cell>
          <cell r="L236" t="e">
            <v>#N/A</v>
          </cell>
          <cell r="M236" t="e">
            <v>#N/A</v>
          </cell>
          <cell r="N236" t="e">
            <v>#N/A</v>
          </cell>
          <cell r="O236" t="e">
            <v>#N/A</v>
          </cell>
          <cell r="P236">
            <v>12.35</v>
          </cell>
          <cell r="Q236">
            <v>1.611421</v>
          </cell>
          <cell r="R236" t="e">
            <v>#N/A</v>
          </cell>
        </row>
        <row r="237">
          <cell r="A237">
            <v>40316</v>
          </cell>
          <cell r="B237">
            <v>40316</v>
          </cell>
          <cell r="C237" t="str">
            <v>Past</v>
          </cell>
          <cell r="D237">
            <v>12.25</v>
          </cell>
          <cell r="E237" t="e">
            <v>#N/A</v>
          </cell>
          <cell r="F237" t="e">
            <v>#N/A</v>
          </cell>
          <cell r="G237" t="e">
            <v>#N/A</v>
          </cell>
          <cell r="H237" t="e">
            <v>#N/A</v>
          </cell>
          <cell r="I237" t="e">
            <v>#N/A</v>
          </cell>
          <cell r="J237" t="e">
            <v>#N/A</v>
          </cell>
          <cell r="K237" t="e">
            <v>#N/A</v>
          </cell>
          <cell r="L237" t="e">
            <v>#N/A</v>
          </cell>
          <cell r="M237" t="e">
            <v>#N/A</v>
          </cell>
          <cell r="N237" t="e">
            <v>#N/A</v>
          </cell>
          <cell r="O237" t="e">
            <v>#N/A</v>
          </cell>
          <cell r="P237">
            <v>12.25</v>
          </cell>
          <cell r="Q237">
            <v>1.4101409999999999</v>
          </cell>
          <cell r="R237" t="e">
            <v>#N/A</v>
          </cell>
        </row>
        <row r="238">
          <cell r="A238">
            <v>40317</v>
          </cell>
          <cell r="B238">
            <v>40317</v>
          </cell>
          <cell r="C238" t="str">
            <v>Past</v>
          </cell>
          <cell r="D238">
            <v>12.12</v>
          </cell>
          <cell r="E238" t="e">
            <v>#N/A</v>
          </cell>
          <cell r="F238" t="e">
            <v>#N/A</v>
          </cell>
          <cell r="G238" t="e">
            <v>#N/A</v>
          </cell>
          <cell r="H238" t="e">
            <v>#N/A</v>
          </cell>
          <cell r="I238" t="e">
            <v>#N/A</v>
          </cell>
          <cell r="J238" t="e">
            <v>#N/A</v>
          </cell>
          <cell r="K238" t="e">
            <v>#N/A</v>
          </cell>
          <cell r="L238" t="e">
            <v>#N/A</v>
          </cell>
          <cell r="M238" t="e">
            <v>#N/A</v>
          </cell>
          <cell r="N238" t="e">
            <v>#N/A</v>
          </cell>
          <cell r="O238" t="e">
            <v>#N/A</v>
          </cell>
          <cell r="P238">
            <v>12.12</v>
          </cell>
          <cell r="Q238">
            <v>2.0616829999999999</v>
          </cell>
          <cell r="R238" t="e">
            <v>#N/A</v>
          </cell>
        </row>
        <row r="239">
          <cell r="A239">
            <v>40318</v>
          </cell>
          <cell r="B239">
            <v>40318</v>
          </cell>
          <cell r="C239" t="str">
            <v>Past</v>
          </cell>
          <cell r="D239">
            <v>11.77</v>
          </cell>
          <cell r="E239" t="e">
            <v>#N/A</v>
          </cell>
          <cell r="F239" t="e">
            <v>#N/A</v>
          </cell>
          <cell r="G239" t="e">
            <v>#N/A</v>
          </cell>
          <cell r="H239" t="e">
            <v>#N/A</v>
          </cell>
          <cell r="I239" t="e">
            <v>#N/A</v>
          </cell>
          <cell r="J239" t="e">
            <v>#N/A</v>
          </cell>
          <cell r="K239" t="e">
            <v>#N/A</v>
          </cell>
          <cell r="L239" t="e">
            <v>#N/A</v>
          </cell>
          <cell r="M239" t="e">
            <v>#N/A</v>
          </cell>
          <cell r="N239" t="e">
            <v>#N/A</v>
          </cell>
          <cell r="O239" t="e">
            <v>#N/A</v>
          </cell>
          <cell r="P239">
            <v>11.77</v>
          </cell>
          <cell r="Q239">
            <v>2.752262</v>
          </cell>
          <cell r="R239" t="e">
            <v>#N/A</v>
          </cell>
        </row>
        <row r="240">
          <cell r="A240">
            <v>40319</v>
          </cell>
          <cell r="B240">
            <v>40319</v>
          </cell>
          <cell r="C240" t="str">
            <v>Past</v>
          </cell>
          <cell r="D240">
            <v>11.89</v>
          </cell>
          <cell r="E240" t="e">
            <v>#N/A</v>
          </cell>
          <cell r="F240" t="e">
            <v>#N/A</v>
          </cell>
          <cell r="G240" t="e">
            <v>#N/A</v>
          </cell>
          <cell r="H240" t="e">
            <v>#N/A</v>
          </cell>
          <cell r="I240" t="e">
            <v>#N/A</v>
          </cell>
          <cell r="J240" t="e">
            <v>#N/A</v>
          </cell>
          <cell r="K240" t="e">
            <v>#N/A</v>
          </cell>
          <cell r="L240" t="e">
            <v>#N/A</v>
          </cell>
          <cell r="M240" t="e">
            <v>#N/A</v>
          </cell>
          <cell r="N240" t="e">
            <v>#N/A</v>
          </cell>
          <cell r="O240" t="e">
            <v>#N/A</v>
          </cell>
          <cell r="P240">
            <v>11.89</v>
          </cell>
          <cell r="Q240">
            <v>2.8777209999999998</v>
          </cell>
          <cell r="R240" t="e">
            <v>#N/A</v>
          </cell>
        </row>
        <row r="241">
          <cell r="A241">
            <v>40322</v>
          </cell>
          <cell r="B241">
            <v>40322</v>
          </cell>
          <cell r="C241" t="str">
            <v>Past</v>
          </cell>
          <cell r="D241">
            <v>11.81</v>
          </cell>
          <cell r="E241" t="e">
            <v>#N/A</v>
          </cell>
          <cell r="F241" t="e">
            <v>#N/A</v>
          </cell>
          <cell r="G241" t="e">
            <v>#N/A</v>
          </cell>
          <cell r="H241" t="e">
            <v>#N/A</v>
          </cell>
          <cell r="I241" t="e">
            <v>#N/A</v>
          </cell>
          <cell r="J241" t="e">
            <v>#N/A</v>
          </cell>
          <cell r="K241" t="e">
            <v>#N/A</v>
          </cell>
          <cell r="L241" t="e">
            <v>#N/A</v>
          </cell>
          <cell r="M241" t="e">
            <v>#N/A</v>
          </cell>
          <cell r="N241" t="e">
            <v>#N/A</v>
          </cell>
          <cell r="O241" t="e">
            <v>#N/A</v>
          </cell>
          <cell r="P241">
            <v>11.81</v>
          </cell>
          <cell r="Q241">
            <v>2.0820590000000001</v>
          </cell>
          <cell r="R241" t="e">
            <v>#N/A</v>
          </cell>
        </row>
        <row r="242">
          <cell r="A242">
            <v>40323</v>
          </cell>
          <cell r="B242">
            <v>40323</v>
          </cell>
          <cell r="C242" t="str">
            <v>Past</v>
          </cell>
          <cell r="D242">
            <v>11.69</v>
          </cell>
          <cell r="E242" t="e">
            <v>#N/A</v>
          </cell>
          <cell r="F242" t="e">
            <v>#N/A</v>
          </cell>
          <cell r="G242" t="e">
            <v>#N/A</v>
          </cell>
          <cell r="H242" t="e">
            <v>#N/A</v>
          </cell>
          <cell r="I242" t="e">
            <v>#N/A</v>
          </cell>
          <cell r="J242" t="e">
            <v>#N/A</v>
          </cell>
          <cell r="K242" t="e">
            <v>#N/A</v>
          </cell>
          <cell r="L242" t="e">
            <v>#N/A</v>
          </cell>
          <cell r="M242" t="e">
            <v>#N/A</v>
          </cell>
          <cell r="N242" t="e">
            <v>#N/A</v>
          </cell>
          <cell r="O242" t="e">
            <v>#N/A</v>
          </cell>
          <cell r="P242">
            <v>11.69</v>
          </cell>
          <cell r="Q242">
            <v>4.9853079999999999</v>
          </cell>
          <cell r="R242" t="e">
            <v>#N/A</v>
          </cell>
        </row>
        <row r="243">
          <cell r="A243">
            <v>40324</v>
          </cell>
          <cell r="B243">
            <v>40324</v>
          </cell>
          <cell r="C243" t="str">
            <v>Past</v>
          </cell>
          <cell r="D243">
            <v>11.78</v>
          </cell>
          <cell r="E243" t="e">
            <v>#N/A</v>
          </cell>
          <cell r="F243" t="e">
            <v>#N/A</v>
          </cell>
          <cell r="G243" t="e">
            <v>#N/A</v>
          </cell>
          <cell r="H243" t="e">
            <v>#N/A</v>
          </cell>
          <cell r="I243" t="e">
            <v>#N/A</v>
          </cell>
          <cell r="J243" t="e">
            <v>#N/A</v>
          </cell>
          <cell r="K243" t="e">
            <v>#N/A</v>
          </cell>
          <cell r="L243" t="e">
            <v>#N/A</v>
          </cell>
          <cell r="M243" t="e">
            <v>#N/A</v>
          </cell>
          <cell r="N243" t="e">
            <v>#N/A</v>
          </cell>
          <cell r="O243" t="e">
            <v>#N/A</v>
          </cell>
          <cell r="P243">
            <v>11.78</v>
          </cell>
          <cell r="Q243">
            <v>3.5629729999999999</v>
          </cell>
          <cell r="R243" t="e">
            <v>#N/A</v>
          </cell>
        </row>
        <row r="244">
          <cell r="A244">
            <v>40325</v>
          </cell>
          <cell r="B244">
            <v>40325</v>
          </cell>
          <cell r="C244" t="str">
            <v>Past</v>
          </cell>
          <cell r="D244">
            <v>11.69</v>
          </cell>
          <cell r="E244" t="e">
            <v>#N/A</v>
          </cell>
          <cell r="F244" t="e">
            <v>#N/A</v>
          </cell>
          <cell r="G244" t="e">
            <v>#N/A</v>
          </cell>
          <cell r="H244" t="e">
            <v>#N/A</v>
          </cell>
          <cell r="I244" t="e">
            <v>#N/A</v>
          </cell>
          <cell r="J244" t="e">
            <v>#N/A</v>
          </cell>
          <cell r="K244" t="e">
            <v>#N/A</v>
          </cell>
          <cell r="L244" t="e">
            <v>#N/A</v>
          </cell>
          <cell r="M244" t="e">
            <v>#N/A</v>
          </cell>
          <cell r="N244" t="e">
            <v>#N/A</v>
          </cell>
          <cell r="O244" t="e">
            <v>#N/A</v>
          </cell>
          <cell r="P244">
            <v>11.69</v>
          </cell>
          <cell r="Q244">
            <v>1.725136</v>
          </cell>
          <cell r="R244" t="e">
            <v>#N/A</v>
          </cell>
        </row>
        <row r="245">
          <cell r="A245">
            <v>40326</v>
          </cell>
          <cell r="B245">
            <v>40326</v>
          </cell>
          <cell r="C245" t="str">
            <v>Past</v>
          </cell>
          <cell r="D245">
            <v>11.79</v>
          </cell>
          <cell r="E245" t="e">
            <v>#N/A</v>
          </cell>
          <cell r="F245" t="e">
            <v>#N/A</v>
          </cell>
          <cell r="G245" t="e">
            <v>#N/A</v>
          </cell>
          <cell r="H245" t="e">
            <v>#N/A</v>
          </cell>
          <cell r="I245" t="e">
            <v>#N/A</v>
          </cell>
          <cell r="J245" t="e">
            <v>#N/A</v>
          </cell>
          <cell r="K245" t="e">
            <v>#N/A</v>
          </cell>
          <cell r="L245" t="e">
            <v>#N/A</v>
          </cell>
          <cell r="M245" t="e">
            <v>#N/A</v>
          </cell>
          <cell r="N245" t="e">
            <v>#N/A</v>
          </cell>
          <cell r="O245" t="e">
            <v>#N/A</v>
          </cell>
          <cell r="P245">
            <v>11.79</v>
          </cell>
          <cell r="Q245">
            <v>2.8304469999999999</v>
          </cell>
          <cell r="R245" t="e">
            <v>#N/A</v>
          </cell>
        </row>
        <row r="246">
          <cell r="A246">
            <v>40330</v>
          </cell>
          <cell r="B246">
            <v>40330</v>
          </cell>
          <cell r="C246" t="str">
            <v>Past</v>
          </cell>
          <cell r="D246">
            <v>11.6</v>
          </cell>
          <cell r="E246" t="e">
            <v>#N/A</v>
          </cell>
          <cell r="F246" t="e">
            <v>#N/A</v>
          </cell>
          <cell r="G246" t="e">
            <v>#N/A</v>
          </cell>
          <cell r="H246" t="e">
            <v>#N/A</v>
          </cell>
          <cell r="I246" t="e">
            <v>#N/A</v>
          </cell>
          <cell r="J246" t="e">
            <v>#N/A</v>
          </cell>
          <cell r="K246" t="e">
            <v>#N/A</v>
          </cell>
          <cell r="L246" t="e">
            <v>#N/A</v>
          </cell>
          <cell r="M246" t="e">
            <v>#N/A</v>
          </cell>
          <cell r="N246" t="e">
            <v>#N/A</v>
          </cell>
          <cell r="O246" t="e">
            <v>#N/A</v>
          </cell>
          <cell r="P246">
            <v>11.6</v>
          </cell>
          <cell r="Q246">
            <v>1.8102</v>
          </cell>
          <cell r="R246" t="e">
            <v>#N/A</v>
          </cell>
        </row>
        <row r="247">
          <cell r="A247">
            <v>40331</v>
          </cell>
          <cell r="B247">
            <v>40331</v>
          </cell>
          <cell r="C247" t="str">
            <v>Past</v>
          </cell>
          <cell r="D247">
            <v>11.87</v>
          </cell>
          <cell r="E247" t="e">
            <v>#N/A</v>
          </cell>
          <cell r="F247" t="e">
            <v>#N/A</v>
          </cell>
          <cell r="G247" t="e">
            <v>#N/A</v>
          </cell>
          <cell r="H247" t="e">
            <v>#N/A</v>
          </cell>
          <cell r="I247" t="e">
            <v>#N/A</v>
          </cell>
          <cell r="J247" t="e">
            <v>#N/A</v>
          </cell>
          <cell r="K247" t="e">
            <v>#N/A</v>
          </cell>
          <cell r="L247" t="e">
            <v>#N/A</v>
          </cell>
          <cell r="M247" t="e">
            <v>#N/A</v>
          </cell>
          <cell r="N247" t="e">
            <v>#N/A</v>
          </cell>
          <cell r="O247" t="e">
            <v>#N/A</v>
          </cell>
          <cell r="P247">
            <v>11.87</v>
          </cell>
          <cell r="Q247">
            <v>1.2998000000000001</v>
          </cell>
          <cell r="R247" t="e">
            <v>#N/A</v>
          </cell>
        </row>
        <row r="248">
          <cell r="A248">
            <v>40332</v>
          </cell>
          <cell r="B248">
            <v>40332</v>
          </cell>
          <cell r="C248" t="str">
            <v>Past</v>
          </cell>
          <cell r="D248">
            <v>12.14</v>
          </cell>
          <cell r="E248" t="e">
            <v>#N/A</v>
          </cell>
          <cell r="F248" t="e">
            <v>#N/A</v>
          </cell>
          <cell r="G248" t="e">
            <v>#N/A</v>
          </cell>
          <cell r="H248" t="e">
            <v>#N/A</v>
          </cell>
          <cell r="I248" t="e">
            <v>#N/A</v>
          </cell>
          <cell r="J248" t="e">
            <v>#N/A</v>
          </cell>
          <cell r="K248" t="e">
            <v>#N/A</v>
          </cell>
          <cell r="L248" t="e">
            <v>#N/A</v>
          </cell>
          <cell r="M248" t="e">
            <v>#N/A</v>
          </cell>
          <cell r="N248" t="e">
            <v>#N/A</v>
          </cell>
          <cell r="O248" t="e">
            <v>#N/A</v>
          </cell>
          <cell r="P248">
            <v>12.14</v>
          </cell>
          <cell r="Q248">
            <v>1.155041</v>
          </cell>
          <cell r="R248" t="e">
            <v>#N/A</v>
          </cell>
        </row>
        <row r="249">
          <cell r="A249">
            <v>40333</v>
          </cell>
          <cell r="B249">
            <v>40333</v>
          </cell>
          <cell r="C249" t="str">
            <v>Past</v>
          </cell>
          <cell r="D249">
            <v>11.7</v>
          </cell>
          <cell r="E249" t="e">
            <v>#N/A</v>
          </cell>
          <cell r="F249" t="e">
            <v>#N/A</v>
          </cell>
          <cell r="G249" t="e">
            <v>#N/A</v>
          </cell>
          <cell r="H249" t="e">
            <v>#N/A</v>
          </cell>
          <cell r="I249" t="e">
            <v>#N/A</v>
          </cell>
          <cell r="J249" t="e">
            <v>#N/A</v>
          </cell>
          <cell r="K249" t="e">
            <v>#N/A</v>
          </cell>
          <cell r="L249" t="e">
            <v>#N/A</v>
          </cell>
          <cell r="M249" t="e">
            <v>#N/A</v>
          </cell>
          <cell r="N249" t="e">
            <v>#N/A</v>
          </cell>
          <cell r="O249" t="e">
            <v>#N/A</v>
          </cell>
          <cell r="P249">
            <v>11.7</v>
          </cell>
          <cell r="Q249">
            <v>2.746337</v>
          </cell>
          <cell r="R249" t="e">
            <v>#N/A</v>
          </cell>
        </row>
        <row r="250">
          <cell r="A250">
            <v>40336</v>
          </cell>
          <cell r="B250">
            <v>40336</v>
          </cell>
          <cell r="C250" t="str">
            <v>Past</v>
          </cell>
          <cell r="D250">
            <v>11.88</v>
          </cell>
          <cell r="E250" t="e">
            <v>#N/A</v>
          </cell>
          <cell r="F250" t="e">
            <v>#N/A</v>
          </cell>
          <cell r="G250" t="e">
            <v>#N/A</v>
          </cell>
          <cell r="H250" t="e">
            <v>#N/A</v>
          </cell>
          <cell r="I250" t="e">
            <v>#N/A</v>
          </cell>
          <cell r="J250" t="e">
            <v>#N/A</v>
          </cell>
          <cell r="K250" t="e">
            <v>#N/A</v>
          </cell>
          <cell r="L250" t="e">
            <v>#N/A</v>
          </cell>
          <cell r="M250" t="e">
            <v>#N/A</v>
          </cell>
          <cell r="N250" t="e">
            <v>#N/A</v>
          </cell>
          <cell r="O250" t="e">
            <v>#N/A</v>
          </cell>
          <cell r="P250">
            <v>11.88</v>
          </cell>
          <cell r="Q250">
            <v>2.357313</v>
          </cell>
          <cell r="R250" t="e">
            <v>#N/A</v>
          </cell>
        </row>
        <row r="251">
          <cell r="A251">
            <v>40337</v>
          </cell>
          <cell r="B251">
            <v>40337</v>
          </cell>
          <cell r="C251" t="str">
            <v>Past</v>
          </cell>
          <cell r="D251">
            <v>11.96</v>
          </cell>
          <cell r="E251" t="e">
            <v>#N/A</v>
          </cell>
          <cell r="F251" t="e">
            <v>#N/A</v>
          </cell>
          <cell r="G251" t="e">
            <v>#N/A</v>
          </cell>
          <cell r="H251" t="e">
            <v>#N/A</v>
          </cell>
          <cell r="I251" t="e">
            <v>#N/A</v>
          </cell>
          <cell r="J251" t="e">
            <v>#N/A</v>
          </cell>
          <cell r="K251" t="e">
            <v>#N/A</v>
          </cell>
          <cell r="L251" t="e">
            <v>#N/A</v>
          </cell>
          <cell r="M251" t="e">
            <v>#N/A</v>
          </cell>
          <cell r="N251" t="e">
            <v>#N/A</v>
          </cell>
          <cell r="O251" t="e">
            <v>#N/A</v>
          </cell>
          <cell r="P251">
            <v>11.96</v>
          </cell>
          <cell r="Q251">
            <v>2.3212519999999999</v>
          </cell>
          <cell r="R251" t="e">
            <v>#N/A</v>
          </cell>
        </row>
        <row r="252">
          <cell r="A252">
            <v>40338</v>
          </cell>
          <cell r="B252">
            <v>40338</v>
          </cell>
          <cell r="C252" t="str">
            <v>Past</v>
          </cell>
          <cell r="D252">
            <v>11.75</v>
          </cell>
          <cell r="E252" t="e">
            <v>#N/A</v>
          </cell>
          <cell r="F252" t="e">
            <v>#N/A</v>
          </cell>
          <cell r="G252" t="e">
            <v>#N/A</v>
          </cell>
          <cell r="H252" t="e">
            <v>#N/A</v>
          </cell>
          <cell r="I252" t="e">
            <v>#N/A</v>
          </cell>
          <cell r="J252" t="e">
            <v>#N/A</v>
          </cell>
          <cell r="K252" t="e">
            <v>#N/A</v>
          </cell>
          <cell r="L252" t="e">
            <v>#N/A</v>
          </cell>
          <cell r="M252" t="e">
            <v>#N/A</v>
          </cell>
          <cell r="N252" t="e">
            <v>#N/A</v>
          </cell>
          <cell r="O252" t="e">
            <v>#N/A</v>
          </cell>
          <cell r="P252">
            <v>11.75</v>
          </cell>
          <cell r="Q252">
            <v>1.6222349999999999</v>
          </cell>
          <cell r="R252" t="e">
            <v>#N/A</v>
          </cell>
        </row>
        <row r="253">
          <cell r="A253">
            <v>40339</v>
          </cell>
          <cell r="B253">
            <v>40339</v>
          </cell>
          <cell r="C253" t="str">
            <v>Past</v>
          </cell>
          <cell r="D253">
            <v>12.06</v>
          </cell>
          <cell r="E253" t="e">
            <v>#N/A</v>
          </cell>
          <cell r="F253" t="e">
            <v>#N/A</v>
          </cell>
          <cell r="G253" t="e">
            <v>#N/A</v>
          </cell>
          <cell r="H253" t="e">
            <v>#N/A</v>
          </cell>
          <cell r="I253" t="e">
            <v>#N/A</v>
          </cell>
          <cell r="J253" t="e">
            <v>#N/A</v>
          </cell>
          <cell r="K253" t="e">
            <v>#N/A</v>
          </cell>
          <cell r="L253" t="e">
            <v>#N/A</v>
          </cell>
          <cell r="M253" t="e">
            <v>#N/A</v>
          </cell>
          <cell r="N253" t="e">
            <v>#N/A</v>
          </cell>
          <cell r="O253" t="e">
            <v>#N/A</v>
          </cell>
          <cell r="P253">
            <v>12.06</v>
          </cell>
          <cell r="Q253">
            <v>1.7997719999999999</v>
          </cell>
          <cell r="R253" t="e">
            <v>#N/A</v>
          </cell>
        </row>
        <row r="254">
          <cell r="A254">
            <v>40340</v>
          </cell>
          <cell r="B254">
            <v>40340</v>
          </cell>
          <cell r="C254" t="str">
            <v>Past</v>
          </cell>
          <cell r="D254">
            <v>12.06</v>
          </cell>
          <cell r="E254" t="e">
            <v>#N/A</v>
          </cell>
          <cell r="F254" t="e">
            <v>#N/A</v>
          </cell>
          <cell r="G254" t="e">
            <v>#N/A</v>
          </cell>
          <cell r="H254" t="e">
            <v>#N/A</v>
          </cell>
          <cell r="I254" t="e">
            <v>#N/A</v>
          </cell>
          <cell r="J254" t="e">
            <v>#N/A</v>
          </cell>
          <cell r="K254" t="e">
            <v>#N/A</v>
          </cell>
          <cell r="L254" t="e">
            <v>#N/A</v>
          </cell>
          <cell r="M254" t="e">
            <v>#N/A</v>
          </cell>
          <cell r="N254" t="e">
            <v>#N/A</v>
          </cell>
          <cell r="O254" t="e">
            <v>#N/A</v>
          </cell>
          <cell r="P254">
            <v>12.06</v>
          </cell>
          <cell r="Q254">
            <v>1.7262029999999999</v>
          </cell>
          <cell r="R254" t="e">
            <v>#N/A</v>
          </cell>
        </row>
        <row r="255">
          <cell r="A255">
            <v>40343</v>
          </cell>
          <cell r="B255">
            <v>40343</v>
          </cell>
          <cell r="C255" t="str">
            <v>Past</v>
          </cell>
          <cell r="D255">
            <v>12.21</v>
          </cell>
          <cell r="E255" t="e">
            <v>#N/A</v>
          </cell>
          <cell r="F255" t="e">
            <v>#N/A</v>
          </cell>
          <cell r="G255" t="e">
            <v>#N/A</v>
          </cell>
          <cell r="H255" t="e">
            <v>#N/A</v>
          </cell>
          <cell r="I255" t="e">
            <v>#N/A</v>
          </cell>
          <cell r="J255" t="e">
            <v>#N/A</v>
          </cell>
          <cell r="K255" t="e">
            <v>#N/A</v>
          </cell>
          <cell r="L255" t="e">
            <v>#N/A</v>
          </cell>
          <cell r="M255" t="e">
            <v>#N/A</v>
          </cell>
          <cell r="N255" t="e">
            <v>#N/A</v>
          </cell>
          <cell r="O255" t="e">
            <v>#N/A</v>
          </cell>
          <cell r="P255">
            <v>12.21</v>
          </cell>
          <cell r="Q255">
            <v>2.7275359999999997</v>
          </cell>
          <cell r="R255" t="e">
            <v>#N/A</v>
          </cell>
        </row>
        <row r="256">
          <cell r="A256">
            <v>40344</v>
          </cell>
          <cell r="B256">
            <v>40344</v>
          </cell>
          <cell r="C256" t="str">
            <v>Past</v>
          </cell>
          <cell r="D256">
            <v>12.52</v>
          </cell>
          <cell r="E256" t="e">
            <v>#N/A</v>
          </cell>
          <cell r="F256" t="e">
            <v>#N/A</v>
          </cell>
          <cell r="G256" t="e">
            <v>#N/A</v>
          </cell>
          <cell r="H256" t="e">
            <v>#N/A</v>
          </cell>
          <cell r="I256" t="e">
            <v>#N/A</v>
          </cell>
          <cell r="J256" t="e">
            <v>#N/A</v>
          </cell>
          <cell r="K256" t="e">
            <v>#N/A</v>
          </cell>
          <cell r="L256" t="e">
            <v>#N/A</v>
          </cell>
          <cell r="M256" t="e">
            <v>#N/A</v>
          </cell>
          <cell r="N256" t="e">
            <v>#N/A</v>
          </cell>
          <cell r="O256" t="e">
            <v>#N/A</v>
          </cell>
          <cell r="P256">
            <v>12.52</v>
          </cell>
          <cell r="Q256">
            <v>3.219265</v>
          </cell>
          <cell r="R256" t="e">
            <v>#N/A</v>
          </cell>
        </row>
        <row r="257">
          <cell r="A257">
            <v>40345</v>
          </cell>
          <cell r="B257">
            <v>40345</v>
          </cell>
          <cell r="C257" t="str">
            <v>Past</v>
          </cell>
          <cell r="D257">
            <v>12.6</v>
          </cell>
          <cell r="E257" t="e">
            <v>#N/A</v>
          </cell>
          <cell r="F257" t="e">
            <v>#N/A</v>
          </cell>
          <cell r="G257" t="e">
            <v>#N/A</v>
          </cell>
          <cell r="H257" t="e">
            <v>#N/A</v>
          </cell>
          <cell r="I257" t="e">
            <v>#N/A</v>
          </cell>
          <cell r="J257" t="e">
            <v>#N/A</v>
          </cell>
          <cell r="K257" t="e">
            <v>#N/A</v>
          </cell>
          <cell r="L257" t="e">
            <v>#N/A</v>
          </cell>
          <cell r="M257" t="e">
            <v>#N/A</v>
          </cell>
          <cell r="N257" t="e">
            <v>#N/A</v>
          </cell>
          <cell r="O257" t="e">
            <v>#N/A</v>
          </cell>
          <cell r="P257">
            <v>12.6</v>
          </cell>
          <cell r="Q257">
            <v>2.083361</v>
          </cell>
          <cell r="R257" t="e">
            <v>#N/A</v>
          </cell>
        </row>
        <row r="258">
          <cell r="A258">
            <v>40346</v>
          </cell>
          <cell r="B258">
            <v>40346</v>
          </cell>
          <cell r="C258" t="str">
            <v>Past</v>
          </cell>
          <cell r="D258">
            <v>12.72</v>
          </cell>
          <cell r="E258" t="e">
            <v>#N/A</v>
          </cell>
          <cell r="F258" t="e">
            <v>#N/A</v>
          </cell>
          <cell r="G258" t="e">
            <v>#N/A</v>
          </cell>
          <cell r="H258" t="e">
            <v>#N/A</v>
          </cell>
          <cell r="I258" t="e">
            <v>#N/A</v>
          </cell>
          <cell r="J258" t="e">
            <v>#N/A</v>
          </cell>
          <cell r="K258" t="e">
            <v>#N/A</v>
          </cell>
          <cell r="L258" t="e">
            <v>#N/A</v>
          </cell>
          <cell r="M258" t="e">
            <v>#N/A</v>
          </cell>
          <cell r="N258" t="e">
            <v>#N/A</v>
          </cell>
          <cell r="O258" t="e">
            <v>#N/A</v>
          </cell>
          <cell r="P258">
            <v>12.72</v>
          </cell>
          <cell r="Q258">
            <v>2.4469629999999998</v>
          </cell>
          <cell r="R258" t="e">
            <v>#N/A</v>
          </cell>
        </row>
        <row r="259">
          <cell r="A259">
            <v>40347</v>
          </cell>
          <cell r="B259">
            <v>40347</v>
          </cell>
          <cell r="C259" t="str">
            <v>Past</v>
          </cell>
          <cell r="D259">
            <v>12.59</v>
          </cell>
          <cell r="E259" t="e">
            <v>#N/A</v>
          </cell>
          <cell r="F259" t="e">
            <v>#N/A</v>
          </cell>
          <cell r="G259" t="e">
            <v>#N/A</v>
          </cell>
          <cell r="H259" t="e">
            <v>#N/A</v>
          </cell>
          <cell r="I259" t="e">
            <v>#N/A</v>
          </cell>
          <cell r="J259" t="e">
            <v>#N/A</v>
          </cell>
          <cell r="K259" t="e">
            <v>#N/A</v>
          </cell>
          <cell r="L259" t="e">
            <v>#N/A</v>
          </cell>
          <cell r="M259" t="e">
            <v>#N/A</v>
          </cell>
          <cell r="N259" t="e">
            <v>#N/A</v>
          </cell>
          <cell r="O259" t="e">
            <v>#N/A</v>
          </cell>
          <cell r="P259">
            <v>12.59</v>
          </cell>
          <cell r="Q259">
            <v>1.9597</v>
          </cell>
          <cell r="R259" t="e">
            <v>#N/A</v>
          </cell>
        </row>
        <row r="260">
          <cell r="A260">
            <v>40350</v>
          </cell>
          <cell r="B260">
            <v>40350</v>
          </cell>
          <cell r="C260" t="str">
            <v>Past</v>
          </cell>
          <cell r="D260">
            <v>12.49</v>
          </cell>
          <cell r="E260" t="e">
            <v>#N/A</v>
          </cell>
          <cell r="F260" t="e">
            <v>#N/A</v>
          </cell>
          <cell r="G260" t="e">
            <v>#N/A</v>
          </cell>
          <cell r="H260" t="e">
            <v>#N/A</v>
          </cell>
          <cell r="I260" t="e">
            <v>#N/A</v>
          </cell>
          <cell r="J260" t="e">
            <v>#N/A</v>
          </cell>
          <cell r="K260" t="e">
            <v>#N/A</v>
          </cell>
          <cell r="L260" t="e">
            <v>#N/A</v>
          </cell>
          <cell r="M260" t="e">
            <v>#N/A</v>
          </cell>
          <cell r="N260" t="e">
            <v>#N/A</v>
          </cell>
          <cell r="O260" t="e">
            <v>#N/A</v>
          </cell>
          <cell r="P260">
            <v>12.49</v>
          </cell>
          <cell r="Q260">
            <v>3.2103129999999998</v>
          </cell>
          <cell r="R260" t="e">
            <v>#N/A</v>
          </cell>
        </row>
        <row r="261">
          <cell r="A261">
            <v>40351</v>
          </cell>
          <cell r="B261">
            <v>40351</v>
          </cell>
          <cell r="C261" t="str">
            <v>Past</v>
          </cell>
          <cell r="D261">
            <v>12.19</v>
          </cell>
          <cell r="E261" t="e">
            <v>#N/A</v>
          </cell>
          <cell r="F261" t="e">
            <v>#N/A</v>
          </cell>
          <cell r="G261" t="e">
            <v>#N/A</v>
          </cell>
          <cell r="H261" t="e">
            <v>#N/A</v>
          </cell>
          <cell r="I261" t="e">
            <v>#N/A</v>
          </cell>
          <cell r="J261" t="e">
            <v>#N/A</v>
          </cell>
          <cell r="K261" t="e">
            <v>#N/A</v>
          </cell>
          <cell r="L261" t="e">
            <v>#N/A</v>
          </cell>
          <cell r="M261" t="e">
            <v>#N/A</v>
          </cell>
          <cell r="N261" t="e">
            <v>#N/A</v>
          </cell>
          <cell r="O261" t="e">
            <v>#N/A</v>
          </cell>
          <cell r="P261">
            <v>12.19</v>
          </cell>
          <cell r="Q261">
            <v>1.522295</v>
          </cell>
          <cell r="R261" t="e">
            <v>#N/A</v>
          </cell>
        </row>
        <row r="262">
          <cell r="A262">
            <v>40352</v>
          </cell>
          <cell r="B262">
            <v>40352</v>
          </cell>
          <cell r="C262" t="str">
            <v>Past</v>
          </cell>
          <cell r="D262">
            <v>12.02</v>
          </cell>
          <cell r="E262" t="e">
            <v>#N/A</v>
          </cell>
          <cell r="F262" t="e">
            <v>#N/A</v>
          </cell>
          <cell r="G262" t="e">
            <v>#N/A</v>
          </cell>
          <cell r="H262" t="e">
            <v>#N/A</v>
          </cell>
          <cell r="I262" t="e">
            <v>#N/A</v>
          </cell>
          <cell r="J262" t="e">
            <v>#N/A</v>
          </cell>
          <cell r="K262" t="e">
            <v>#N/A</v>
          </cell>
          <cell r="L262" t="e">
            <v>#N/A</v>
          </cell>
          <cell r="M262" t="e">
            <v>#N/A</v>
          </cell>
          <cell r="N262" t="e">
            <v>#N/A</v>
          </cell>
          <cell r="O262" t="e">
            <v>#N/A</v>
          </cell>
          <cell r="P262">
            <v>12.02</v>
          </cell>
          <cell r="Q262">
            <v>0.87350099999999997</v>
          </cell>
          <cell r="R262" t="e">
            <v>#N/A</v>
          </cell>
        </row>
        <row r="263">
          <cell r="A263">
            <v>40353</v>
          </cell>
          <cell r="B263">
            <v>40353</v>
          </cell>
          <cell r="C263" t="str">
            <v>Past</v>
          </cell>
          <cell r="D263">
            <v>11.96</v>
          </cell>
          <cell r="E263" t="e">
            <v>#N/A</v>
          </cell>
          <cell r="F263" t="e">
            <v>#N/A</v>
          </cell>
          <cell r="G263" t="e">
            <v>#N/A</v>
          </cell>
          <cell r="H263" t="e">
            <v>#N/A</v>
          </cell>
          <cell r="I263" t="e">
            <v>#N/A</v>
          </cell>
          <cell r="J263" t="e">
            <v>#N/A</v>
          </cell>
          <cell r="K263" t="e">
            <v>#N/A</v>
          </cell>
          <cell r="L263" t="e">
            <v>#N/A</v>
          </cell>
          <cell r="M263" t="e">
            <v>#N/A</v>
          </cell>
          <cell r="N263" t="e">
            <v>#N/A</v>
          </cell>
          <cell r="O263" t="e">
            <v>#N/A</v>
          </cell>
          <cell r="P263">
            <v>11.96</v>
          </cell>
          <cell r="Q263">
            <v>2.462377</v>
          </cell>
          <cell r="R263" t="e">
            <v>#N/A</v>
          </cell>
        </row>
        <row r="264">
          <cell r="A264">
            <v>40354</v>
          </cell>
          <cell r="B264">
            <v>40354</v>
          </cell>
          <cell r="C264" t="str">
            <v>Past</v>
          </cell>
          <cell r="D264">
            <v>12.07</v>
          </cell>
          <cell r="E264" t="e">
            <v>#N/A</v>
          </cell>
          <cell r="F264" t="e">
            <v>#N/A</v>
          </cell>
          <cell r="G264" t="e">
            <v>#N/A</v>
          </cell>
          <cell r="H264" t="e">
            <v>#N/A</v>
          </cell>
          <cell r="I264" t="e">
            <v>#N/A</v>
          </cell>
          <cell r="J264" t="e">
            <v>#N/A</v>
          </cell>
          <cell r="K264" t="e">
            <v>#N/A</v>
          </cell>
          <cell r="L264" t="e">
            <v>#N/A</v>
          </cell>
          <cell r="M264" t="e">
            <v>#N/A</v>
          </cell>
          <cell r="N264" t="e">
            <v>#N/A</v>
          </cell>
          <cell r="O264" t="e">
            <v>#N/A</v>
          </cell>
          <cell r="P264">
            <v>12.07</v>
          </cell>
          <cell r="Q264">
            <v>3.9080569999999999</v>
          </cell>
          <cell r="R264" t="e">
            <v>#N/A</v>
          </cell>
        </row>
        <row r="265">
          <cell r="A265">
            <v>40357</v>
          </cell>
          <cell r="B265">
            <v>40357</v>
          </cell>
          <cell r="C265" t="str">
            <v>Past</v>
          </cell>
          <cell r="D265">
            <v>12.13</v>
          </cell>
          <cell r="E265" t="e">
            <v>#N/A</v>
          </cell>
          <cell r="F265" t="e">
            <v>#N/A</v>
          </cell>
          <cell r="G265" t="e">
            <v>#N/A</v>
          </cell>
          <cell r="H265" t="e">
            <v>#N/A</v>
          </cell>
          <cell r="I265" t="e">
            <v>#N/A</v>
          </cell>
          <cell r="J265" t="e">
            <v>#N/A</v>
          </cell>
          <cell r="K265" t="e">
            <v>#N/A</v>
          </cell>
          <cell r="L265" t="e">
            <v>#N/A</v>
          </cell>
          <cell r="M265" t="e">
            <v>#N/A</v>
          </cell>
          <cell r="N265" t="e">
            <v>#N/A</v>
          </cell>
          <cell r="O265" t="e">
            <v>#N/A</v>
          </cell>
          <cell r="P265">
            <v>12.13</v>
          </cell>
          <cell r="Q265">
            <v>1.9079279999999998</v>
          </cell>
          <cell r="R265" t="e">
            <v>#N/A</v>
          </cell>
        </row>
        <row r="266">
          <cell r="A266">
            <v>40358</v>
          </cell>
          <cell r="B266">
            <v>40358</v>
          </cell>
          <cell r="C266" t="str">
            <v>Past</v>
          </cell>
          <cell r="D266">
            <v>11.93</v>
          </cell>
          <cell r="E266" t="e">
            <v>#N/A</v>
          </cell>
          <cell r="F266" t="e">
            <v>#N/A</v>
          </cell>
          <cell r="G266" t="e">
            <v>#N/A</v>
          </cell>
          <cell r="H266" t="e">
            <v>#N/A</v>
          </cell>
          <cell r="I266" t="e">
            <v>#N/A</v>
          </cell>
          <cell r="J266" t="e">
            <v>#N/A</v>
          </cell>
          <cell r="K266" t="e">
            <v>#N/A</v>
          </cell>
          <cell r="L266" t="e">
            <v>#N/A</v>
          </cell>
          <cell r="M266" t="e">
            <v>#N/A</v>
          </cell>
          <cell r="N266" t="e">
            <v>#N/A</v>
          </cell>
          <cell r="O266" t="e">
            <v>#N/A</v>
          </cell>
          <cell r="P266">
            <v>11.93</v>
          </cell>
          <cell r="Q266">
            <v>2.6454580000000001</v>
          </cell>
          <cell r="R266" t="e">
            <v>#N/A</v>
          </cell>
        </row>
        <row r="267">
          <cell r="A267">
            <v>40359</v>
          </cell>
          <cell r="B267">
            <v>40359</v>
          </cell>
          <cell r="C267" t="str">
            <v>Past</v>
          </cell>
          <cell r="D267">
            <v>11.81</v>
          </cell>
          <cell r="E267" t="e">
            <v>#N/A</v>
          </cell>
          <cell r="F267" t="e">
            <v>#N/A</v>
          </cell>
          <cell r="G267" t="e">
            <v>#N/A</v>
          </cell>
          <cell r="H267" t="e">
            <v>#N/A</v>
          </cell>
          <cell r="I267" t="e">
            <v>#N/A</v>
          </cell>
          <cell r="J267" t="e">
            <v>#N/A</v>
          </cell>
          <cell r="K267" t="e">
            <v>#N/A</v>
          </cell>
          <cell r="L267" t="e">
            <v>#N/A</v>
          </cell>
          <cell r="M267" t="e">
            <v>#N/A</v>
          </cell>
          <cell r="N267" t="e">
            <v>#N/A</v>
          </cell>
          <cell r="O267" t="e">
            <v>#N/A</v>
          </cell>
          <cell r="P267">
            <v>11.81</v>
          </cell>
          <cell r="Q267">
            <v>3.2041879999999998</v>
          </cell>
          <cell r="R267" t="e">
            <v>#N/A</v>
          </cell>
        </row>
        <row r="268">
          <cell r="A268">
            <v>40360</v>
          </cell>
          <cell r="B268">
            <v>40360</v>
          </cell>
          <cell r="C268" t="str">
            <v>Past</v>
          </cell>
          <cell r="D268">
            <v>11.75</v>
          </cell>
          <cell r="E268" t="e">
            <v>#N/A</v>
          </cell>
          <cell r="F268" t="e">
            <v>#N/A</v>
          </cell>
          <cell r="G268" t="e">
            <v>#N/A</v>
          </cell>
          <cell r="H268" t="e">
            <v>#N/A</v>
          </cell>
          <cell r="I268" t="e">
            <v>#N/A</v>
          </cell>
          <cell r="J268" t="e">
            <v>#N/A</v>
          </cell>
          <cell r="K268" t="e">
            <v>#N/A</v>
          </cell>
          <cell r="L268" t="e">
            <v>#N/A</v>
          </cell>
          <cell r="M268" t="e">
            <v>#N/A</v>
          </cell>
          <cell r="N268" t="e">
            <v>#N/A</v>
          </cell>
          <cell r="O268" t="e">
            <v>#N/A</v>
          </cell>
          <cell r="P268">
            <v>11.75</v>
          </cell>
          <cell r="Q268">
            <v>2.2558889999999998</v>
          </cell>
          <cell r="R268" t="e">
            <v>#N/A</v>
          </cell>
        </row>
        <row r="269">
          <cell r="A269">
            <v>40361</v>
          </cell>
          <cell r="B269">
            <v>40361</v>
          </cell>
          <cell r="C269" t="str">
            <v>Past</v>
          </cell>
          <cell r="D269">
            <v>11.79</v>
          </cell>
          <cell r="E269" t="e">
            <v>#N/A</v>
          </cell>
          <cell r="F269" t="e">
            <v>#N/A</v>
          </cell>
          <cell r="G269" t="e">
            <v>#N/A</v>
          </cell>
          <cell r="H269" t="e">
            <v>#N/A</v>
          </cell>
          <cell r="I269" t="e">
            <v>#N/A</v>
          </cell>
          <cell r="J269" t="e">
            <v>#N/A</v>
          </cell>
          <cell r="K269" t="e">
            <v>#N/A</v>
          </cell>
          <cell r="L269" t="e">
            <v>#N/A</v>
          </cell>
          <cell r="M269" t="e">
            <v>#N/A</v>
          </cell>
          <cell r="N269" t="e">
            <v>#N/A</v>
          </cell>
          <cell r="O269" t="e">
            <v>#N/A</v>
          </cell>
          <cell r="P269">
            <v>11.79</v>
          </cell>
          <cell r="Q269">
            <v>1.5568379999999999</v>
          </cell>
          <cell r="R269" t="e">
            <v>#N/A</v>
          </cell>
        </row>
        <row r="270">
          <cell r="A270">
            <v>40365</v>
          </cell>
          <cell r="B270">
            <v>40365</v>
          </cell>
          <cell r="C270" t="str">
            <v>Past</v>
          </cell>
          <cell r="D270">
            <v>11.95</v>
          </cell>
          <cell r="E270" t="e">
            <v>#N/A</v>
          </cell>
          <cell r="F270" t="e">
            <v>#N/A</v>
          </cell>
          <cell r="G270" t="e">
            <v>#N/A</v>
          </cell>
          <cell r="H270" t="e">
            <v>#N/A</v>
          </cell>
          <cell r="I270" t="e">
            <v>#N/A</v>
          </cell>
          <cell r="J270" t="e">
            <v>#N/A</v>
          </cell>
          <cell r="K270" t="e">
            <v>#N/A</v>
          </cell>
          <cell r="L270" t="e">
            <v>#N/A</v>
          </cell>
          <cell r="M270" t="e">
            <v>#N/A</v>
          </cell>
          <cell r="N270" t="e">
            <v>#N/A</v>
          </cell>
          <cell r="O270" t="e">
            <v>#N/A</v>
          </cell>
          <cell r="P270">
            <v>11.95</v>
          </cell>
          <cell r="Q270">
            <v>2.0747359999999997</v>
          </cell>
          <cell r="R270" t="e">
            <v>#N/A</v>
          </cell>
        </row>
        <row r="271">
          <cell r="A271">
            <v>40366</v>
          </cell>
          <cell r="B271">
            <v>40366</v>
          </cell>
          <cell r="C271" t="str">
            <v>Past</v>
          </cell>
          <cell r="D271">
            <v>12.3</v>
          </cell>
          <cell r="E271" t="e">
            <v>#N/A</v>
          </cell>
          <cell r="F271" t="e">
            <v>#N/A</v>
          </cell>
          <cell r="G271" t="e">
            <v>#N/A</v>
          </cell>
          <cell r="H271" t="e">
            <v>#N/A</v>
          </cell>
          <cell r="I271" t="e">
            <v>#N/A</v>
          </cell>
          <cell r="J271" t="e">
            <v>#N/A</v>
          </cell>
          <cell r="K271" t="e">
            <v>#N/A</v>
          </cell>
          <cell r="L271" t="e">
            <v>#N/A</v>
          </cell>
          <cell r="M271" t="e">
            <v>#N/A</v>
          </cell>
          <cell r="N271" t="e">
            <v>#N/A</v>
          </cell>
          <cell r="O271" t="e">
            <v>#N/A</v>
          </cell>
          <cell r="P271">
            <v>12.3</v>
          </cell>
          <cell r="Q271">
            <v>1.5029669999999999</v>
          </cell>
          <cell r="R271" t="e">
            <v>#N/A</v>
          </cell>
        </row>
        <row r="272">
          <cell r="A272">
            <v>40367</v>
          </cell>
          <cell r="B272">
            <v>40367</v>
          </cell>
          <cell r="C272" t="str">
            <v>Past</v>
          </cell>
          <cell r="D272">
            <v>12.26</v>
          </cell>
          <cell r="E272" t="e">
            <v>#N/A</v>
          </cell>
          <cell r="F272" t="e">
            <v>#N/A</v>
          </cell>
          <cell r="G272" t="e">
            <v>#N/A</v>
          </cell>
          <cell r="H272" t="e">
            <v>#N/A</v>
          </cell>
          <cell r="I272" t="e">
            <v>#N/A</v>
          </cell>
          <cell r="J272" t="e">
            <v>#N/A</v>
          </cell>
          <cell r="K272" t="e">
            <v>#N/A</v>
          </cell>
          <cell r="L272" t="e">
            <v>#N/A</v>
          </cell>
          <cell r="M272" t="e">
            <v>#N/A</v>
          </cell>
          <cell r="N272" t="e">
            <v>#N/A</v>
          </cell>
          <cell r="O272" t="e">
            <v>#N/A</v>
          </cell>
          <cell r="P272">
            <v>12.26</v>
          </cell>
          <cell r="Q272">
            <v>1.6987000000000001</v>
          </cell>
          <cell r="R272" t="e">
            <v>#N/A</v>
          </cell>
        </row>
        <row r="273">
          <cell r="A273">
            <v>40368</v>
          </cell>
          <cell r="B273">
            <v>40368</v>
          </cell>
          <cell r="C273" t="str">
            <v>Past</v>
          </cell>
          <cell r="D273">
            <v>12.6</v>
          </cell>
          <cell r="E273" t="e">
            <v>#N/A</v>
          </cell>
          <cell r="F273" t="e">
            <v>#N/A</v>
          </cell>
          <cell r="G273" t="e">
            <v>#N/A</v>
          </cell>
          <cell r="H273" t="e">
            <v>#N/A</v>
          </cell>
          <cell r="I273" t="e">
            <v>#N/A</v>
          </cell>
          <cell r="J273" t="e">
            <v>#N/A</v>
          </cell>
          <cell r="K273" t="e">
            <v>#N/A</v>
          </cell>
          <cell r="L273" t="e">
            <v>#N/A</v>
          </cell>
          <cell r="M273" t="e">
            <v>#N/A</v>
          </cell>
          <cell r="N273" t="e">
            <v>#N/A</v>
          </cell>
          <cell r="O273" t="e">
            <v>#N/A</v>
          </cell>
          <cell r="P273">
            <v>12.6</v>
          </cell>
          <cell r="Q273">
            <v>2.9425400000000002</v>
          </cell>
          <cell r="R273" t="e">
            <v>#N/A</v>
          </cell>
        </row>
        <row r="274">
          <cell r="A274">
            <v>40371</v>
          </cell>
          <cell r="B274">
            <v>40371</v>
          </cell>
          <cell r="C274" t="str">
            <v>Past</v>
          </cell>
          <cell r="D274">
            <v>12.68</v>
          </cell>
          <cell r="E274" t="e">
            <v>#N/A</v>
          </cell>
          <cell r="F274" t="e">
            <v>#N/A</v>
          </cell>
          <cell r="G274" t="e">
            <v>#N/A</v>
          </cell>
          <cell r="H274" t="e">
            <v>#N/A</v>
          </cell>
          <cell r="I274" t="e">
            <v>#N/A</v>
          </cell>
          <cell r="J274" t="e">
            <v>#N/A</v>
          </cell>
          <cell r="K274" t="e">
            <v>#N/A</v>
          </cell>
          <cell r="L274" t="e">
            <v>#N/A</v>
          </cell>
          <cell r="M274" t="e">
            <v>#N/A</v>
          </cell>
          <cell r="N274" t="e">
            <v>#N/A</v>
          </cell>
          <cell r="O274" t="e">
            <v>#N/A</v>
          </cell>
          <cell r="P274">
            <v>12.68</v>
          </cell>
          <cell r="Q274">
            <v>1.863105</v>
          </cell>
          <cell r="R274" t="e">
            <v>#N/A</v>
          </cell>
        </row>
        <row r="275">
          <cell r="A275">
            <v>40372</v>
          </cell>
          <cell r="B275">
            <v>40372</v>
          </cell>
          <cell r="C275" t="str">
            <v>Past</v>
          </cell>
          <cell r="D275">
            <v>12.68</v>
          </cell>
          <cell r="E275" t="e">
            <v>#N/A</v>
          </cell>
          <cell r="F275" t="e">
            <v>#N/A</v>
          </cell>
          <cell r="G275" t="e">
            <v>#N/A</v>
          </cell>
          <cell r="H275" t="e">
            <v>#N/A</v>
          </cell>
          <cell r="I275" t="e">
            <v>#N/A</v>
          </cell>
          <cell r="J275" t="e">
            <v>#N/A</v>
          </cell>
          <cell r="K275" t="e">
            <v>#N/A</v>
          </cell>
          <cell r="L275" t="e">
            <v>#N/A</v>
          </cell>
          <cell r="M275" t="e">
            <v>#N/A</v>
          </cell>
          <cell r="N275" t="e">
            <v>#N/A</v>
          </cell>
          <cell r="O275" t="e">
            <v>#N/A</v>
          </cell>
          <cell r="P275">
            <v>12.68</v>
          </cell>
          <cell r="Q275">
            <v>1.8854229999999998</v>
          </cell>
          <cell r="R275" t="e">
            <v>#N/A</v>
          </cell>
        </row>
        <row r="276">
          <cell r="A276">
            <v>40373</v>
          </cell>
          <cell r="B276">
            <v>40373</v>
          </cell>
          <cell r="C276" t="str">
            <v>Past</v>
          </cell>
          <cell r="D276">
            <v>12.76</v>
          </cell>
          <cell r="E276" t="e">
            <v>#N/A</v>
          </cell>
          <cell r="F276" t="e">
            <v>#N/A</v>
          </cell>
          <cell r="G276" t="e">
            <v>#N/A</v>
          </cell>
          <cell r="H276" t="e">
            <v>#N/A</v>
          </cell>
          <cell r="I276" t="e">
            <v>#N/A</v>
          </cell>
          <cell r="J276" t="e">
            <v>#N/A</v>
          </cell>
          <cell r="K276" t="e">
            <v>#N/A</v>
          </cell>
          <cell r="L276" t="e">
            <v>#N/A</v>
          </cell>
          <cell r="M276" t="e">
            <v>#N/A</v>
          </cell>
          <cell r="N276" t="e">
            <v>#N/A</v>
          </cell>
          <cell r="O276" t="e">
            <v>#N/A</v>
          </cell>
          <cell r="P276">
            <v>12.76</v>
          </cell>
          <cell r="Q276">
            <v>3.8541569999999998</v>
          </cell>
          <cell r="R276" t="e">
            <v>#N/A</v>
          </cell>
        </row>
        <row r="277">
          <cell r="A277">
            <v>40374</v>
          </cell>
          <cell r="B277">
            <v>40374</v>
          </cell>
          <cell r="C277" t="str">
            <v>Past</v>
          </cell>
          <cell r="D277">
            <v>12.77</v>
          </cell>
          <cell r="E277" t="e">
            <v>#N/A</v>
          </cell>
          <cell r="F277" t="e">
            <v>#N/A</v>
          </cell>
          <cell r="G277" t="e">
            <v>#N/A</v>
          </cell>
          <cell r="H277" t="e">
            <v>#N/A</v>
          </cell>
          <cell r="I277" t="e">
            <v>#N/A</v>
          </cell>
          <cell r="J277" t="e">
            <v>#N/A</v>
          </cell>
          <cell r="K277" t="e">
            <v>#N/A</v>
          </cell>
          <cell r="L277" t="e">
            <v>#N/A</v>
          </cell>
          <cell r="M277" t="e">
            <v>#N/A</v>
          </cell>
          <cell r="N277" t="e">
            <v>#N/A</v>
          </cell>
          <cell r="O277" t="e">
            <v>#N/A</v>
          </cell>
          <cell r="P277">
            <v>12.77</v>
          </cell>
          <cell r="Q277">
            <v>1.5362</v>
          </cell>
          <cell r="R277" t="e">
            <v>#N/A</v>
          </cell>
        </row>
        <row r="278">
          <cell r="A278">
            <v>40375</v>
          </cell>
          <cell r="B278">
            <v>40375</v>
          </cell>
          <cell r="C278" t="str">
            <v>Past</v>
          </cell>
          <cell r="D278">
            <v>12.39</v>
          </cell>
          <cell r="E278" t="e">
            <v>#N/A</v>
          </cell>
          <cell r="F278" t="e">
            <v>#N/A</v>
          </cell>
          <cell r="G278" t="e">
            <v>#N/A</v>
          </cell>
          <cell r="H278" t="e">
            <v>#N/A</v>
          </cell>
          <cell r="I278" t="e">
            <v>#N/A</v>
          </cell>
          <cell r="J278" t="e">
            <v>#N/A</v>
          </cell>
          <cell r="K278" t="e">
            <v>#N/A</v>
          </cell>
          <cell r="L278" t="e">
            <v>#N/A</v>
          </cell>
          <cell r="M278" t="e">
            <v>#N/A</v>
          </cell>
          <cell r="N278" t="e">
            <v>#N/A</v>
          </cell>
          <cell r="O278" t="e">
            <v>#N/A</v>
          </cell>
          <cell r="P278">
            <v>12.39</v>
          </cell>
          <cell r="Q278">
            <v>2.187497</v>
          </cell>
          <cell r="R278" t="e">
            <v>#N/A</v>
          </cell>
        </row>
        <row r="279">
          <cell r="A279">
            <v>40378</v>
          </cell>
          <cell r="B279">
            <v>40378</v>
          </cell>
          <cell r="C279" t="str">
            <v>Past</v>
          </cell>
          <cell r="D279">
            <v>12.57</v>
          </cell>
          <cell r="E279" t="e">
            <v>#N/A</v>
          </cell>
          <cell r="F279" t="e">
            <v>#N/A</v>
          </cell>
          <cell r="G279" t="e">
            <v>#N/A</v>
          </cell>
          <cell r="H279" t="e">
            <v>#N/A</v>
          </cell>
          <cell r="I279" t="e">
            <v>#N/A</v>
          </cell>
          <cell r="J279" t="e">
            <v>#N/A</v>
          </cell>
          <cell r="K279" t="e">
            <v>#N/A</v>
          </cell>
          <cell r="L279" t="e">
            <v>#N/A</v>
          </cell>
          <cell r="M279" t="e">
            <v>#N/A</v>
          </cell>
          <cell r="N279" t="e">
            <v>#N/A</v>
          </cell>
          <cell r="O279" t="e">
            <v>#N/A</v>
          </cell>
          <cell r="P279">
            <v>12.57</v>
          </cell>
          <cell r="Q279">
            <v>1.995854</v>
          </cell>
          <cell r="R279" t="e">
            <v>#N/A</v>
          </cell>
        </row>
        <row r="280">
          <cell r="A280">
            <v>40379</v>
          </cell>
          <cell r="B280">
            <v>40379</v>
          </cell>
          <cell r="C280" t="str">
            <v>Past</v>
          </cell>
          <cell r="D280">
            <v>12.63</v>
          </cell>
          <cell r="E280" t="e">
            <v>#N/A</v>
          </cell>
          <cell r="F280" t="e">
            <v>#N/A</v>
          </cell>
          <cell r="G280" t="e">
            <v>#N/A</v>
          </cell>
          <cell r="H280" t="e">
            <v>#N/A</v>
          </cell>
          <cell r="I280" t="e">
            <v>#N/A</v>
          </cell>
          <cell r="J280" t="e">
            <v>#N/A</v>
          </cell>
          <cell r="K280" t="e">
            <v>#N/A</v>
          </cell>
          <cell r="L280" t="e">
            <v>#N/A</v>
          </cell>
          <cell r="M280" t="e">
            <v>#N/A</v>
          </cell>
          <cell r="N280" t="e">
            <v>#N/A</v>
          </cell>
          <cell r="O280" t="e">
            <v>#N/A</v>
          </cell>
          <cell r="P280">
            <v>12.63</v>
          </cell>
          <cell r="Q280">
            <v>2.4046590000000001</v>
          </cell>
          <cell r="R280" t="e">
            <v>#N/A</v>
          </cell>
        </row>
        <row r="281">
          <cell r="A281">
            <v>40380</v>
          </cell>
          <cell r="B281">
            <v>40380</v>
          </cell>
          <cell r="C281" t="str">
            <v>Past</v>
          </cell>
          <cell r="D281">
            <v>12.55</v>
          </cell>
          <cell r="E281" t="e">
            <v>#N/A</v>
          </cell>
          <cell r="F281" t="e">
            <v>#N/A</v>
          </cell>
          <cell r="G281" t="e">
            <v>#N/A</v>
          </cell>
          <cell r="H281" t="e">
            <v>#N/A</v>
          </cell>
          <cell r="I281" t="e">
            <v>#N/A</v>
          </cell>
          <cell r="J281" t="e">
            <v>#N/A</v>
          </cell>
          <cell r="K281" t="e">
            <v>#N/A</v>
          </cell>
          <cell r="L281" t="e">
            <v>#N/A</v>
          </cell>
          <cell r="M281" t="e">
            <v>#N/A</v>
          </cell>
          <cell r="N281" t="e">
            <v>#N/A</v>
          </cell>
          <cell r="O281" t="e">
            <v>#N/A</v>
          </cell>
          <cell r="P281">
            <v>12.55</v>
          </cell>
          <cell r="Q281">
            <v>3.4714669999999996</v>
          </cell>
          <cell r="R281" t="e">
            <v>#N/A</v>
          </cell>
        </row>
        <row r="282">
          <cell r="A282">
            <v>40381</v>
          </cell>
          <cell r="B282">
            <v>40381</v>
          </cell>
          <cell r="C282" t="str">
            <v>Past</v>
          </cell>
          <cell r="D282">
            <v>12.78</v>
          </cell>
          <cell r="E282" t="e">
            <v>#N/A</v>
          </cell>
          <cell r="F282" t="e">
            <v>#N/A</v>
          </cell>
          <cell r="G282" t="e">
            <v>#N/A</v>
          </cell>
          <cell r="H282" t="e">
            <v>#N/A</v>
          </cell>
          <cell r="I282" t="e">
            <v>#N/A</v>
          </cell>
          <cell r="J282" t="e">
            <v>#N/A</v>
          </cell>
          <cell r="K282" t="e">
            <v>#N/A</v>
          </cell>
          <cell r="L282" t="e">
            <v>#N/A</v>
          </cell>
          <cell r="M282" t="e">
            <v>#N/A</v>
          </cell>
          <cell r="N282" t="e">
            <v>#N/A</v>
          </cell>
          <cell r="O282" t="e">
            <v>#N/A</v>
          </cell>
          <cell r="P282">
            <v>12.78</v>
          </cell>
          <cell r="Q282">
            <v>1.318586</v>
          </cell>
          <cell r="R282" t="e">
            <v>#N/A</v>
          </cell>
        </row>
        <row r="283">
          <cell r="A283">
            <v>40382</v>
          </cell>
          <cell r="B283">
            <v>40382</v>
          </cell>
          <cell r="C283" t="str">
            <v>Past</v>
          </cell>
          <cell r="D283">
            <v>12.82</v>
          </cell>
          <cell r="E283" t="e">
            <v>#N/A</v>
          </cell>
          <cell r="F283" t="e">
            <v>#N/A</v>
          </cell>
          <cell r="G283" t="e">
            <v>#N/A</v>
          </cell>
          <cell r="H283" t="e">
            <v>#N/A</v>
          </cell>
          <cell r="I283" t="e">
            <v>#N/A</v>
          </cell>
          <cell r="J283" t="e">
            <v>#N/A</v>
          </cell>
          <cell r="K283" t="e">
            <v>#N/A</v>
          </cell>
          <cell r="L283" t="e">
            <v>#N/A</v>
          </cell>
          <cell r="M283" t="e">
            <v>#N/A</v>
          </cell>
          <cell r="N283" t="e">
            <v>#N/A</v>
          </cell>
          <cell r="O283" t="e">
            <v>#N/A</v>
          </cell>
          <cell r="P283">
            <v>12.82</v>
          </cell>
          <cell r="Q283">
            <v>1.328279</v>
          </cell>
          <cell r="R283" t="e">
            <v>#N/A</v>
          </cell>
        </row>
        <row r="284">
          <cell r="A284">
            <v>40385</v>
          </cell>
          <cell r="B284">
            <v>40385</v>
          </cell>
          <cell r="C284" t="str">
            <v>Past</v>
          </cell>
          <cell r="D284">
            <v>12.88</v>
          </cell>
          <cell r="E284" t="e">
            <v>#N/A</v>
          </cell>
          <cell r="F284" t="e">
            <v>#N/A</v>
          </cell>
          <cell r="G284" t="e">
            <v>#N/A</v>
          </cell>
          <cell r="H284" t="e">
            <v>#N/A</v>
          </cell>
          <cell r="I284" t="e">
            <v>#N/A</v>
          </cell>
          <cell r="J284" t="e">
            <v>#N/A</v>
          </cell>
          <cell r="K284" t="e">
            <v>#N/A</v>
          </cell>
          <cell r="L284" t="e">
            <v>#N/A</v>
          </cell>
          <cell r="M284" t="e">
            <v>#N/A</v>
          </cell>
          <cell r="N284" t="e">
            <v>#N/A</v>
          </cell>
          <cell r="O284" t="e">
            <v>#N/A</v>
          </cell>
          <cell r="P284">
            <v>12.88</v>
          </cell>
          <cell r="Q284">
            <v>1.9803439999999999</v>
          </cell>
          <cell r="R284" t="e">
            <v>#N/A</v>
          </cell>
        </row>
        <row r="285">
          <cell r="A285">
            <v>40386</v>
          </cell>
          <cell r="B285">
            <v>40386</v>
          </cell>
          <cell r="C285" t="str">
            <v>Past</v>
          </cell>
          <cell r="D285">
            <v>13.12</v>
          </cell>
          <cell r="E285" t="e">
            <v>#N/A</v>
          </cell>
          <cell r="F285" t="e">
            <v>#N/A</v>
          </cell>
          <cell r="G285" t="e">
            <v>#N/A</v>
          </cell>
          <cell r="H285" t="e">
            <v>#N/A</v>
          </cell>
          <cell r="I285" t="e">
            <v>#N/A</v>
          </cell>
          <cell r="J285" t="e">
            <v>#N/A</v>
          </cell>
          <cell r="K285" t="e">
            <v>#N/A</v>
          </cell>
          <cell r="L285" t="e">
            <v>#N/A</v>
          </cell>
          <cell r="M285" t="e">
            <v>#N/A</v>
          </cell>
          <cell r="N285" t="e">
            <v>#N/A</v>
          </cell>
          <cell r="O285" t="e">
            <v>#N/A</v>
          </cell>
          <cell r="P285">
            <v>13.12</v>
          </cell>
          <cell r="Q285">
            <v>2.9478309999999999</v>
          </cell>
          <cell r="R285" t="e">
            <v>#N/A</v>
          </cell>
        </row>
        <row r="286">
          <cell r="A286">
            <v>40387</v>
          </cell>
          <cell r="B286">
            <v>40387</v>
          </cell>
          <cell r="C286" t="str">
            <v>Past</v>
          </cell>
          <cell r="D286">
            <v>12.93</v>
          </cell>
          <cell r="E286" t="e">
            <v>#N/A</v>
          </cell>
          <cell r="F286" t="e">
            <v>#N/A</v>
          </cell>
          <cell r="G286" t="e">
            <v>#N/A</v>
          </cell>
          <cell r="H286" t="e">
            <v>#N/A</v>
          </cell>
          <cell r="I286" t="e">
            <v>#N/A</v>
          </cell>
          <cell r="J286" t="e">
            <v>#N/A</v>
          </cell>
          <cell r="K286" t="e">
            <v>#N/A</v>
          </cell>
          <cell r="L286" t="e">
            <v>#N/A</v>
          </cell>
          <cell r="M286" t="e">
            <v>#N/A</v>
          </cell>
          <cell r="N286" t="e">
            <v>#N/A</v>
          </cell>
          <cell r="O286" t="e">
            <v>#N/A</v>
          </cell>
          <cell r="P286">
            <v>12.93</v>
          </cell>
          <cell r="Q286">
            <v>1.091621</v>
          </cell>
          <cell r="R286" t="e">
            <v>#N/A</v>
          </cell>
        </row>
        <row r="287">
          <cell r="A287">
            <v>40388</v>
          </cell>
          <cell r="B287">
            <v>40388</v>
          </cell>
          <cell r="C287" t="str">
            <v>Past</v>
          </cell>
          <cell r="D287">
            <v>12.73</v>
          </cell>
          <cell r="E287" t="e">
            <v>#N/A</v>
          </cell>
          <cell r="F287" t="e">
            <v>#N/A</v>
          </cell>
          <cell r="G287" t="e">
            <v>#N/A</v>
          </cell>
          <cell r="H287" t="e">
            <v>#N/A</v>
          </cell>
          <cell r="I287" t="e">
            <v>#N/A</v>
          </cell>
          <cell r="J287" t="e">
            <v>#N/A</v>
          </cell>
          <cell r="K287" t="e">
            <v>#N/A</v>
          </cell>
          <cell r="L287" t="e">
            <v>#N/A</v>
          </cell>
          <cell r="M287" t="e">
            <v>#N/A</v>
          </cell>
          <cell r="N287" t="e">
            <v>#N/A</v>
          </cell>
          <cell r="O287" t="e">
            <v>#N/A</v>
          </cell>
          <cell r="P287">
            <v>12.73</v>
          </cell>
          <cell r="Q287">
            <v>1.718626</v>
          </cell>
          <cell r="R287" t="e">
            <v>#N/A</v>
          </cell>
        </row>
        <row r="288">
          <cell r="A288">
            <v>40389</v>
          </cell>
          <cell r="B288">
            <v>40389</v>
          </cell>
          <cell r="C288" t="str">
            <v>Past</v>
          </cell>
          <cell r="D288">
            <v>12.7</v>
          </cell>
          <cell r="E288" t="e">
            <v>#N/A</v>
          </cell>
          <cell r="F288" t="e">
            <v>#N/A</v>
          </cell>
          <cell r="G288" t="e">
            <v>#N/A</v>
          </cell>
          <cell r="H288" t="e">
            <v>#N/A</v>
          </cell>
          <cell r="I288" t="e">
            <v>#N/A</v>
          </cell>
          <cell r="J288" t="e">
            <v>#N/A</v>
          </cell>
          <cell r="K288" t="e">
            <v>#N/A</v>
          </cell>
          <cell r="L288" t="e">
            <v>#N/A</v>
          </cell>
          <cell r="M288" t="e">
            <v>#N/A</v>
          </cell>
          <cell r="N288" t="e">
            <v>#N/A</v>
          </cell>
          <cell r="O288" t="e">
            <v>#N/A</v>
          </cell>
          <cell r="P288">
            <v>12.7</v>
          </cell>
          <cell r="Q288">
            <v>1.846115</v>
          </cell>
          <cell r="R288" t="e">
            <v>#N/A</v>
          </cell>
        </row>
        <row r="289">
          <cell r="A289">
            <v>40392</v>
          </cell>
          <cell r="B289">
            <v>40392</v>
          </cell>
          <cell r="C289" t="str">
            <v>Past</v>
          </cell>
          <cell r="D289">
            <v>12.82</v>
          </cell>
          <cell r="E289" t="e">
            <v>#N/A</v>
          </cell>
          <cell r="F289" t="e">
            <v>#N/A</v>
          </cell>
          <cell r="G289" t="e">
            <v>#N/A</v>
          </cell>
          <cell r="H289" t="e">
            <v>#N/A</v>
          </cell>
          <cell r="I289" t="e">
            <v>#N/A</v>
          </cell>
          <cell r="J289" t="e">
            <v>#N/A</v>
          </cell>
          <cell r="K289" t="e">
            <v>#N/A</v>
          </cell>
          <cell r="L289" t="e">
            <v>#N/A</v>
          </cell>
          <cell r="M289" t="e">
            <v>#N/A</v>
          </cell>
          <cell r="N289" t="e">
            <v>#N/A</v>
          </cell>
          <cell r="O289" t="e">
            <v>#N/A</v>
          </cell>
          <cell r="P289">
            <v>12.82</v>
          </cell>
          <cell r="Q289">
            <v>1.8807369999999999</v>
          </cell>
          <cell r="R289" t="e">
            <v>#N/A</v>
          </cell>
        </row>
        <row r="290">
          <cell r="A290">
            <v>40393</v>
          </cell>
          <cell r="B290">
            <v>40393</v>
          </cell>
          <cell r="C290" t="str">
            <v>Past</v>
          </cell>
          <cell r="D290">
            <v>12.77</v>
          </cell>
          <cell r="E290" t="e">
            <v>#N/A</v>
          </cell>
          <cell r="F290" t="e">
            <v>#N/A</v>
          </cell>
          <cell r="G290" t="e">
            <v>#N/A</v>
          </cell>
          <cell r="H290" t="e">
            <v>#N/A</v>
          </cell>
          <cell r="I290" t="e">
            <v>#N/A</v>
          </cell>
          <cell r="J290" t="e">
            <v>#N/A</v>
          </cell>
          <cell r="K290" t="e">
            <v>#N/A</v>
          </cell>
          <cell r="L290" t="e">
            <v>#N/A</v>
          </cell>
          <cell r="M290" t="e">
            <v>#N/A</v>
          </cell>
          <cell r="N290" t="e">
            <v>#N/A</v>
          </cell>
          <cell r="O290" t="e">
            <v>#N/A</v>
          </cell>
          <cell r="P290">
            <v>12.77</v>
          </cell>
          <cell r="Q290">
            <v>1.263906</v>
          </cell>
          <cell r="R290" t="e">
            <v>#N/A</v>
          </cell>
        </row>
        <row r="291">
          <cell r="A291">
            <v>40394</v>
          </cell>
          <cell r="B291">
            <v>40394</v>
          </cell>
          <cell r="C291" t="str">
            <v>Past</v>
          </cell>
          <cell r="D291">
            <v>12.78</v>
          </cell>
          <cell r="E291" t="e">
            <v>#N/A</v>
          </cell>
          <cell r="F291" t="e">
            <v>#N/A</v>
          </cell>
          <cell r="G291" t="e">
            <v>#N/A</v>
          </cell>
          <cell r="H291" t="e">
            <v>#N/A</v>
          </cell>
          <cell r="I291" t="e">
            <v>#N/A</v>
          </cell>
          <cell r="J291" t="e">
            <v>#N/A</v>
          </cell>
          <cell r="K291" t="e">
            <v>#N/A</v>
          </cell>
          <cell r="L291" t="e">
            <v>#N/A</v>
          </cell>
          <cell r="M291" t="e">
            <v>#N/A</v>
          </cell>
          <cell r="N291" t="e">
            <v>#N/A</v>
          </cell>
          <cell r="O291" t="e">
            <v>#N/A</v>
          </cell>
          <cell r="P291">
            <v>12.78</v>
          </cell>
          <cell r="Q291">
            <v>1.3239029999999998</v>
          </cell>
          <cell r="R291" t="e">
            <v>#N/A</v>
          </cell>
        </row>
        <row r="292">
          <cell r="A292">
            <v>40395</v>
          </cell>
          <cell r="B292">
            <v>40395</v>
          </cell>
          <cell r="C292" t="str">
            <v>Past</v>
          </cell>
          <cell r="D292">
            <v>12.9</v>
          </cell>
          <cell r="E292" t="e">
            <v>#N/A</v>
          </cell>
          <cell r="F292" t="e">
            <v>#N/A</v>
          </cell>
          <cell r="G292" t="e">
            <v>#N/A</v>
          </cell>
          <cell r="H292" t="e">
            <v>#N/A</v>
          </cell>
          <cell r="I292" t="e">
            <v>#N/A</v>
          </cell>
          <cell r="J292" t="e">
            <v>#N/A</v>
          </cell>
          <cell r="K292" t="e">
            <v>#N/A</v>
          </cell>
          <cell r="L292" t="e">
            <v>#N/A</v>
          </cell>
          <cell r="M292" t="e">
            <v>#N/A</v>
          </cell>
          <cell r="N292" t="e">
            <v>#N/A</v>
          </cell>
          <cell r="O292" t="e">
            <v>#N/A</v>
          </cell>
          <cell r="P292">
            <v>12.9</v>
          </cell>
          <cell r="Q292">
            <v>0.96239399999999997</v>
          </cell>
          <cell r="R292" t="e">
            <v>#N/A</v>
          </cell>
        </row>
        <row r="293">
          <cell r="A293">
            <v>40396</v>
          </cell>
          <cell r="B293">
            <v>40396</v>
          </cell>
          <cell r="C293" t="str">
            <v>Past</v>
          </cell>
          <cell r="D293">
            <v>12.86</v>
          </cell>
          <cell r="E293" t="e">
            <v>#N/A</v>
          </cell>
          <cell r="F293" t="e">
            <v>#N/A</v>
          </cell>
          <cell r="G293" t="e">
            <v>#N/A</v>
          </cell>
          <cell r="H293" t="e">
            <v>#N/A</v>
          </cell>
          <cell r="I293" t="e">
            <v>#N/A</v>
          </cell>
          <cell r="J293" t="e">
            <v>#N/A</v>
          </cell>
          <cell r="K293" t="e">
            <v>#N/A</v>
          </cell>
          <cell r="L293" t="e">
            <v>#N/A</v>
          </cell>
          <cell r="M293" t="e">
            <v>#N/A</v>
          </cell>
          <cell r="N293" t="e">
            <v>#N/A</v>
          </cell>
          <cell r="O293" t="e">
            <v>#N/A</v>
          </cell>
          <cell r="P293">
            <v>12.86</v>
          </cell>
          <cell r="Q293">
            <v>1.220923</v>
          </cell>
          <cell r="R293" t="e">
            <v>#N/A</v>
          </cell>
        </row>
        <row r="294">
          <cell r="A294">
            <v>40399</v>
          </cell>
          <cell r="B294">
            <v>40399</v>
          </cell>
          <cell r="C294" t="str">
            <v>Past</v>
          </cell>
          <cell r="D294">
            <v>12.99</v>
          </cell>
          <cell r="E294" t="e">
            <v>#N/A</v>
          </cell>
          <cell r="F294" t="e">
            <v>#N/A</v>
          </cell>
          <cell r="G294" t="e">
            <v>#N/A</v>
          </cell>
          <cell r="H294" t="e">
            <v>#N/A</v>
          </cell>
          <cell r="I294" t="e">
            <v>#N/A</v>
          </cell>
          <cell r="J294" t="e">
            <v>#N/A</v>
          </cell>
          <cell r="K294" t="e">
            <v>#N/A</v>
          </cell>
          <cell r="L294" t="e">
            <v>#N/A</v>
          </cell>
          <cell r="M294" t="e">
            <v>#N/A</v>
          </cell>
          <cell r="N294" t="e">
            <v>#N/A</v>
          </cell>
          <cell r="O294" t="e">
            <v>#N/A</v>
          </cell>
          <cell r="P294">
            <v>12.99</v>
          </cell>
          <cell r="Q294">
            <v>1.9647569999999999</v>
          </cell>
          <cell r="R294" t="e">
            <v>#N/A</v>
          </cell>
        </row>
        <row r="295">
          <cell r="A295">
            <v>40400</v>
          </cell>
          <cell r="B295">
            <v>40400</v>
          </cell>
          <cell r="C295" t="str">
            <v>Past</v>
          </cell>
          <cell r="D295">
            <v>12.96</v>
          </cell>
          <cell r="E295" t="e">
            <v>#N/A</v>
          </cell>
          <cell r="F295" t="e">
            <v>#N/A</v>
          </cell>
          <cell r="G295" t="e">
            <v>#N/A</v>
          </cell>
          <cell r="H295" t="e">
            <v>#N/A</v>
          </cell>
          <cell r="I295" t="e">
            <v>#N/A</v>
          </cell>
          <cell r="J295" t="e">
            <v>#N/A</v>
          </cell>
          <cell r="K295" t="e">
            <v>#N/A</v>
          </cell>
          <cell r="L295" t="e">
            <v>#N/A</v>
          </cell>
          <cell r="M295" t="e">
            <v>#N/A</v>
          </cell>
          <cell r="N295" t="e">
            <v>#N/A</v>
          </cell>
          <cell r="O295" t="e">
            <v>#N/A</v>
          </cell>
          <cell r="P295">
            <v>12.96</v>
          </cell>
          <cell r="Q295">
            <v>1.34331</v>
          </cell>
          <cell r="R295" t="e">
            <v>#N/A</v>
          </cell>
        </row>
        <row r="296">
          <cell r="A296">
            <v>40401</v>
          </cell>
          <cell r="B296">
            <v>40401</v>
          </cell>
          <cell r="C296" t="str">
            <v>Past</v>
          </cell>
          <cell r="D296">
            <v>12.69</v>
          </cell>
          <cell r="E296" t="e">
            <v>#N/A</v>
          </cell>
          <cell r="F296" t="e">
            <v>#N/A</v>
          </cell>
          <cell r="G296" t="e">
            <v>#N/A</v>
          </cell>
          <cell r="H296" t="e">
            <v>#N/A</v>
          </cell>
          <cell r="I296" t="e">
            <v>#N/A</v>
          </cell>
          <cell r="J296" t="e">
            <v>#N/A</v>
          </cell>
          <cell r="K296" t="e">
            <v>#N/A</v>
          </cell>
          <cell r="L296" t="e">
            <v>#N/A</v>
          </cell>
          <cell r="M296" t="e">
            <v>#N/A</v>
          </cell>
          <cell r="N296" t="e">
            <v>#N/A</v>
          </cell>
          <cell r="O296" t="e">
            <v>#N/A</v>
          </cell>
          <cell r="P296">
            <v>12.69</v>
          </cell>
          <cell r="Q296">
            <v>1.5584</v>
          </cell>
          <cell r="R296" t="e">
            <v>#N/A</v>
          </cell>
        </row>
        <row r="297">
          <cell r="A297">
            <v>40402</v>
          </cell>
          <cell r="B297">
            <v>40402</v>
          </cell>
          <cell r="C297" t="str">
            <v>Past</v>
          </cell>
          <cell r="D297">
            <v>12.75</v>
          </cell>
          <cell r="E297" t="e">
            <v>#N/A</v>
          </cell>
          <cell r="F297" t="e">
            <v>#N/A</v>
          </cell>
          <cell r="G297" t="e">
            <v>#N/A</v>
          </cell>
          <cell r="H297" t="e">
            <v>#N/A</v>
          </cell>
          <cell r="I297" t="e">
            <v>#N/A</v>
          </cell>
          <cell r="J297" t="e">
            <v>#N/A</v>
          </cell>
          <cell r="K297" t="e">
            <v>#N/A</v>
          </cell>
          <cell r="L297" t="e">
            <v>#N/A</v>
          </cell>
          <cell r="M297" t="e">
            <v>#N/A</v>
          </cell>
          <cell r="N297" t="e">
            <v>#N/A</v>
          </cell>
          <cell r="O297" t="e">
            <v>#N/A</v>
          </cell>
          <cell r="P297">
            <v>12.75</v>
          </cell>
          <cell r="Q297">
            <v>2.0656810000000001</v>
          </cell>
          <cell r="R297" t="e">
            <v>#N/A</v>
          </cell>
        </row>
        <row r="298">
          <cell r="A298">
            <v>40403</v>
          </cell>
          <cell r="B298">
            <v>40403</v>
          </cell>
          <cell r="C298" t="str">
            <v>Past</v>
          </cell>
          <cell r="D298">
            <v>12.82</v>
          </cell>
          <cell r="E298" t="e">
            <v>#N/A</v>
          </cell>
          <cell r="F298" t="e">
            <v>#N/A</v>
          </cell>
          <cell r="G298" t="e">
            <v>#N/A</v>
          </cell>
          <cell r="H298" t="e">
            <v>#N/A</v>
          </cell>
          <cell r="I298" t="e">
            <v>#N/A</v>
          </cell>
          <cell r="J298" t="e">
            <v>#N/A</v>
          </cell>
          <cell r="K298" t="e">
            <v>#N/A</v>
          </cell>
          <cell r="L298" t="e">
            <v>#N/A</v>
          </cell>
          <cell r="M298" t="e">
            <v>#N/A</v>
          </cell>
          <cell r="N298" t="e">
            <v>#N/A</v>
          </cell>
          <cell r="O298" t="e">
            <v>#N/A</v>
          </cell>
          <cell r="P298">
            <v>12.82</v>
          </cell>
          <cell r="Q298">
            <v>0.93745000000000012</v>
          </cell>
          <cell r="R298" t="e">
            <v>#N/A</v>
          </cell>
        </row>
        <row r="299">
          <cell r="A299">
            <v>40406</v>
          </cell>
          <cell r="B299">
            <v>40406</v>
          </cell>
          <cell r="C299" t="str">
            <v>Past</v>
          </cell>
          <cell r="D299">
            <v>12.82</v>
          </cell>
          <cell r="E299" t="e">
            <v>#N/A</v>
          </cell>
          <cell r="F299" t="e">
            <v>#N/A</v>
          </cell>
          <cell r="G299" t="e">
            <v>#N/A</v>
          </cell>
          <cell r="H299" t="e">
            <v>#N/A</v>
          </cell>
          <cell r="I299" t="e">
            <v>#N/A</v>
          </cell>
          <cell r="J299" t="e">
            <v>#N/A</v>
          </cell>
          <cell r="K299" t="e">
            <v>#N/A</v>
          </cell>
          <cell r="L299" t="e">
            <v>#N/A</v>
          </cell>
          <cell r="M299" t="e">
            <v>#N/A</v>
          </cell>
          <cell r="N299" t="e">
            <v>#N/A</v>
          </cell>
          <cell r="O299" t="e">
            <v>#N/A</v>
          </cell>
          <cell r="P299">
            <v>12.82</v>
          </cell>
          <cell r="Q299">
            <v>0.783667</v>
          </cell>
          <cell r="R299" t="e">
            <v>#N/A</v>
          </cell>
        </row>
        <row r="300">
          <cell r="A300">
            <v>40407</v>
          </cell>
          <cell r="B300">
            <v>40407</v>
          </cell>
          <cell r="C300" t="str">
            <v>Past</v>
          </cell>
          <cell r="D300">
            <v>12.95</v>
          </cell>
          <cell r="E300" t="e">
            <v>#N/A</v>
          </cell>
          <cell r="F300" t="e">
            <v>#N/A</v>
          </cell>
          <cell r="G300" t="e">
            <v>#N/A</v>
          </cell>
          <cell r="H300" t="e">
            <v>#N/A</v>
          </cell>
          <cell r="I300" t="e">
            <v>#N/A</v>
          </cell>
          <cell r="J300" t="e">
            <v>#N/A</v>
          </cell>
          <cell r="K300" t="e">
            <v>#N/A</v>
          </cell>
          <cell r="L300" t="e">
            <v>#N/A</v>
          </cell>
          <cell r="M300" t="e">
            <v>#N/A</v>
          </cell>
          <cell r="N300" t="e">
            <v>#N/A</v>
          </cell>
          <cell r="O300" t="e">
            <v>#N/A</v>
          </cell>
          <cell r="P300">
            <v>12.95</v>
          </cell>
          <cell r="Q300">
            <v>0.81975599999999993</v>
          </cell>
          <cell r="R300" t="e">
            <v>#N/A</v>
          </cell>
        </row>
        <row r="301">
          <cell r="A301">
            <v>40408</v>
          </cell>
          <cell r="B301">
            <v>40408</v>
          </cell>
          <cell r="C301" t="str">
            <v>Past</v>
          </cell>
          <cell r="D301">
            <v>12.84</v>
          </cell>
          <cell r="E301" t="e">
            <v>#N/A</v>
          </cell>
          <cell r="F301" t="e">
            <v>#N/A</v>
          </cell>
          <cell r="G301" t="e">
            <v>#N/A</v>
          </cell>
          <cell r="H301" t="e">
            <v>#N/A</v>
          </cell>
          <cell r="I301" t="e">
            <v>#N/A</v>
          </cell>
          <cell r="J301" t="e">
            <v>#N/A</v>
          </cell>
          <cell r="K301" t="e">
            <v>#N/A</v>
          </cell>
          <cell r="L301" t="e">
            <v>#N/A</v>
          </cell>
          <cell r="M301" t="e">
            <v>#N/A</v>
          </cell>
          <cell r="N301" t="e">
            <v>#N/A</v>
          </cell>
          <cell r="O301" t="e">
            <v>#N/A</v>
          </cell>
          <cell r="P301">
            <v>12.84</v>
          </cell>
          <cell r="Q301">
            <v>1.089143</v>
          </cell>
          <cell r="R301" t="e">
            <v>#N/A</v>
          </cell>
        </row>
        <row r="302">
          <cell r="A302">
            <v>40409</v>
          </cell>
          <cell r="B302">
            <v>40409</v>
          </cell>
          <cell r="C302" t="str">
            <v>Past</v>
          </cell>
          <cell r="D302">
            <v>12.6</v>
          </cell>
          <cell r="E302" t="e">
            <v>#N/A</v>
          </cell>
          <cell r="F302" t="e">
            <v>#N/A</v>
          </cell>
          <cell r="G302" t="e">
            <v>#N/A</v>
          </cell>
          <cell r="H302" t="e">
            <v>#N/A</v>
          </cell>
          <cell r="I302" t="e">
            <v>#N/A</v>
          </cell>
          <cell r="J302" t="e">
            <v>#N/A</v>
          </cell>
          <cell r="K302" t="e">
            <v>#N/A</v>
          </cell>
          <cell r="L302" t="e">
            <v>#N/A</v>
          </cell>
          <cell r="M302" t="e">
            <v>#N/A</v>
          </cell>
          <cell r="N302" t="e">
            <v>#N/A</v>
          </cell>
          <cell r="O302" t="e">
            <v>#N/A</v>
          </cell>
          <cell r="P302">
            <v>12.6</v>
          </cell>
          <cell r="Q302">
            <v>0.71370099999999992</v>
          </cell>
          <cell r="R302" t="e">
            <v>#N/A</v>
          </cell>
        </row>
        <row r="303">
          <cell r="A303">
            <v>40410</v>
          </cell>
          <cell r="B303">
            <v>40410</v>
          </cell>
          <cell r="C303" t="str">
            <v>Past</v>
          </cell>
          <cell r="D303">
            <v>12.57</v>
          </cell>
          <cell r="E303" t="e">
            <v>#N/A</v>
          </cell>
          <cell r="F303" t="e">
            <v>#N/A</v>
          </cell>
          <cell r="G303" t="e">
            <v>#N/A</v>
          </cell>
          <cell r="H303" t="e">
            <v>#N/A</v>
          </cell>
          <cell r="I303" t="e">
            <v>#N/A</v>
          </cell>
          <cell r="J303" t="e">
            <v>#N/A</v>
          </cell>
          <cell r="K303" t="e">
            <v>#N/A</v>
          </cell>
          <cell r="L303" t="e">
            <v>#N/A</v>
          </cell>
          <cell r="M303" t="e">
            <v>#N/A</v>
          </cell>
          <cell r="N303" t="e">
            <v>#N/A</v>
          </cell>
          <cell r="O303" t="e">
            <v>#N/A</v>
          </cell>
          <cell r="P303">
            <v>12.57</v>
          </cell>
          <cell r="Q303">
            <v>1.371812</v>
          </cell>
          <cell r="R303" t="e">
            <v>#N/A</v>
          </cell>
        </row>
        <row r="304">
          <cell r="A304">
            <v>40413</v>
          </cell>
          <cell r="B304">
            <v>40413</v>
          </cell>
          <cell r="C304" t="str">
            <v>Past</v>
          </cell>
          <cell r="D304">
            <v>12.56</v>
          </cell>
          <cell r="E304" t="e">
            <v>#N/A</v>
          </cell>
          <cell r="F304" t="e">
            <v>#N/A</v>
          </cell>
          <cell r="G304" t="e">
            <v>#N/A</v>
          </cell>
          <cell r="H304" t="e">
            <v>#N/A</v>
          </cell>
          <cell r="I304" t="e">
            <v>#N/A</v>
          </cell>
          <cell r="J304" t="e">
            <v>#N/A</v>
          </cell>
          <cell r="K304" t="e">
            <v>#N/A</v>
          </cell>
          <cell r="L304" t="e">
            <v>#N/A</v>
          </cell>
          <cell r="M304" t="e">
            <v>#N/A</v>
          </cell>
          <cell r="N304" t="e">
            <v>#N/A</v>
          </cell>
          <cell r="O304" t="e">
            <v>#N/A</v>
          </cell>
          <cell r="P304">
            <v>12.56</v>
          </cell>
          <cell r="Q304">
            <v>1.7882069999999999</v>
          </cell>
          <cell r="R304" t="e">
            <v>#N/A</v>
          </cell>
        </row>
        <row r="305">
          <cell r="A305">
            <v>40414</v>
          </cell>
          <cell r="B305">
            <v>40414</v>
          </cell>
          <cell r="C305" t="str">
            <v>Past</v>
          </cell>
          <cell r="D305">
            <v>12.51</v>
          </cell>
          <cell r="E305" t="e">
            <v>#N/A</v>
          </cell>
          <cell r="F305" t="e">
            <v>#N/A</v>
          </cell>
          <cell r="G305" t="e">
            <v>#N/A</v>
          </cell>
          <cell r="H305" t="e">
            <v>#N/A</v>
          </cell>
          <cell r="I305" t="e">
            <v>#N/A</v>
          </cell>
          <cell r="J305" t="e">
            <v>#N/A</v>
          </cell>
          <cell r="K305" t="e">
            <v>#N/A</v>
          </cell>
          <cell r="L305" t="e">
            <v>#N/A</v>
          </cell>
          <cell r="M305" t="e">
            <v>#N/A</v>
          </cell>
          <cell r="N305" t="e">
            <v>#N/A</v>
          </cell>
          <cell r="O305" t="e">
            <v>#N/A</v>
          </cell>
          <cell r="P305">
            <v>12.51</v>
          </cell>
          <cell r="Q305">
            <v>1.018284</v>
          </cell>
          <cell r="R305" t="e">
            <v>#N/A</v>
          </cell>
        </row>
        <row r="306">
          <cell r="A306">
            <v>40415</v>
          </cell>
          <cell r="B306">
            <v>40415</v>
          </cell>
          <cell r="C306" t="str">
            <v>Past</v>
          </cell>
          <cell r="D306">
            <v>12.51</v>
          </cell>
          <cell r="E306" t="e">
            <v>#N/A</v>
          </cell>
          <cell r="F306" t="e">
            <v>#N/A</v>
          </cell>
          <cell r="G306" t="e">
            <v>#N/A</v>
          </cell>
          <cell r="H306" t="e">
            <v>#N/A</v>
          </cell>
          <cell r="I306" t="e">
            <v>#N/A</v>
          </cell>
          <cell r="J306" t="e">
            <v>#N/A</v>
          </cell>
          <cell r="K306" t="e">
            <v>#N/A</v>
          </cell>
          <cell r="L306" t="e">
            <v>#N/A</v>
          </cell>
          <cell r="M306" t="e">
            <v>#N/A</v>
          </cell>
          <cell r="N306" t="e">
            <v>#N/A</v>
          </cell>
          <cell r="O306" t="e">
            <v>#N/A</v>
          </cell>
          <cell r="P306">
            <v>12.51</v>
          </cell>
          <cell r="Q306">
            <v>1.948426</v>
          </cell>
          <cell r="R306" t="e">
            <v>#N/A</v>
          </cell>
        </row>
        <row r="307">
          <cell r="A307">
            <v>40416</v>
          </cell>
          <cell r="B307">
            <v>40416</v>
          </cell>
          <cell r="C307" t="str">
            <v>Past</v>
          </cell>
          <cell r="D307">
            <v>12.51</v>
          </cell>
          <cell r="E307" t="e">
            <v>#N/A</v>
          </cell>
          <cell r="F307" t="e">
            <v>#N/A</v>
          </cell>
          <cell r="G307" t="e">
            <v>#N/A</v>
          </cell>
          <cell r="H307" t="e">
            <v>#N/A</v>
          </cell>
          <cell r="I307" t="e">
            <v>#N/A</v>
          </cell>
          <cell r="J307" t="e">
            <v>#N/A</v>
          </cell>
          <cell r="K307" t="e">
            <v>#N/A</v>
          </cell>
          <cell r="L307" t="e">
            <v>#N/A</v>
          </cell>
          <cell r="M307" t="e">
            <v>#N/A</v>
          </cell>
          <cell r="N307" t="e">
            <v>#N/A</v>
          </cell>
          <cell r="O307" t="e">
            <v>#N/A</v>
          </cell>
          <cell r="P307">
            <v>12.51</v>
          </cell>
          <cell r="Q307">
            <v>1.2078149999999999</v>
          </cell>
          <cell r="R307" t="e">
            <v>#N/A</v>
          </cell>
        </row>
        <row r="308">
          <cell r="A308">
            <v>40417</v>
          </cell>
          <cell r="B308">
            <v>40417</v>
          </cell>
          <cell r="C308" t="str">
            <v>Past</v>
          </cell>
          <cell r="D308">
            <v>12.8</v>
          </cell>
          <cell r="E308" t="e">
            <v>#N/A</v>
          </cell>
          <cell r="F308" t="e">
            <v>#N/A</v>
          </cell>
          <cell r="G308" t="e">
            <v>#N/A</v>
          </cell>
          <cell r="H308" t="e">
            <v>#N/A</v>
          </cell>
          <cell r="I308" t="e">
            <v>#N/A</v>
          </cell>
          <cell r="J308" t="e">
            <v>#N/A</v>
          </cell>
          <cell r="K308" t="e">
            <v>#N/A</v>
          </cell>
          <cell r="L308" t="e">
            <v>#N/A</v>
          </cell>
          <cell r="M308" t="e">
            <v>#N/A</v>
          </cell>
          <cell r="N308" t="e">
            <v>#N/A</v>
          </cell>
          <cell r="O308" t="e">
            <v>#N/A</v>
          </cell>
          <cell r="P308">
            <v>12.8</v>
          </cell>
          <cell r="Q308">
            <v>2.2369500000000002</v>
          </cell>
          <cell r="R308" t="e">
            <v>#N/A</v>
          </cell>
        </row>
        <row r="309">
          <cell r="A309">
            <v>40420</v>
          </cell>
          <cell r="B309">
            <v>40420</v>
          </cell>
          <cell r="C309" t="str">
            <v>Past</v>
          </cell>
          <cell r="D309">
            <v>12.64</v>
          </cell>
          <cell r="E309" t="e">
            <v>#N/A</v>
          </cell>
          <cell r="F309" t="e">
            <v>#N/A</v>
          </cell>
          <cell r="G309" t="e">
            <v>#N/A</v>
          </cell>
          <cell r="H309" t="e">
            <v>#N/A</v>
          </cell>
          <cell r="I309" t="e">
            <v>#N/A</v>
          </cell>
          <cell r="J309" t="e">
            <v>#N/A</v>
          </cell>
          <cell r="K309" t="e">
            <v>#N/A</v>
          </cell>
          <cell r="L309" t="e">
            <v>#N/A</v>
          </cell>
          <cell r="M309" t="e">
            <v>#N/A</v>
          </cell>
          <cell r="N309" t="e">
            <v>#N/A</v>
          </cell>
          <cell r="O309" t="e">
            <v>#N/A</v>
          </cell>
          <cell r="P309">
            <v>12.64</v>
          </cell>
          <cell r="Q309">
            <v>1.491317</v>
          </cell>
          <cell r="R309" t="e">
            <v>#N/A</v>
          </cell>
        </row>
        <row r="310">
          <cell r="A310">
            <v>40421</v>
          </cell>
          <cell r="B310">
            <v>40421</v>
          </cell>
          <cell r="C310" t="str">
            <v>Past</v>
          </cell>
          <cell r="D310">
            <v>12.8</v>
          </cell>
          <cell r="E310" t="e">
            <v>#N/A</v>
          </cell>
          <cell r="F310" t="e">
            <v>#N/A</v>
          </cell>
          <cell r="G310" t="e">
            <v>#N/A</v>
          </cell>
          <cell r="H310" t="e">
            <v>#N/A</v>
          </cell>
          <cell r="I310" t="e">
            <v>#N/A</v>
          </cell>
          <cell r="J310" t="e">
            <v>#N/A</v>
          </cell>
          <cell r="K310" t="e">
            <v>#N/A</v>
          </cell>
          <cell r="L310" t="e">
            <v>#N/A</v>
          </cell>
          <cell r="M310" t="e">
            <v>#N/A</v>
          </cell>
          <cell r="N310" t="e">
            <v>#N/A</v>
          </cell>
          <cell r="O310" t="e">
            <v>#N/A</v>
          </cell>
          <cell r="P310">
            <v>12.8</v>
          </cell>
          <cell r="Q310">
            <v>1.946672</v>
          </cell>
          <cell r="R310" t="e">
            <v>#N/A</v>
          </cell>
        </row>
        <row r="311">
          <cell r="A311">
            <v>40422</v>
          </cell>
          <cell r="B311">
            <v>40422</v>
          </cell>
          <cell r="C311" t="str">
            <v>Past</v>
          </cell>
          <cell r="D311">
            <v>13.13</v>
          </cell>
          <cell r="E311" t="e">
            <v>#N/A</v>
          </cell>
          <cell r="F311" t="e">
            <v>#N/A</v>
          </cell>
          <cell r="G311" t="e">
            <v>#N/A</v>
          </cell>
          <cell r="H311" t="e">
            <v>#N/A</v>
          </cell>
          <cell r="I311" t="e">
            <v>#N/A</v>
          </cell>
          <cell r="J311" t="e">
            <v>#N/A</v>
          </cell>
          <cell r="K311" t="e">
            <v>#N/A</v>
          </cell>
          <cell r="L311" t="e">
            <v>#N/A</v>
          </cell>
          <cell r="M311" t="e">
            <v>#N/A</v>
          </cell>
          <cell r="N311" t="e">
            <v>#N/A</v>
          </cell>
          <cell r="O311" t="e">
            <v>#N/A</v>
          </cell>
          <cell r="P311">
            <v>13.13</v>
          </cell>
          <cell r="Q311">
            <v>2.65388</v>
          </cell>
          <cell r="R311" t="e">
            <v>#N/A</v>
          </cell>
        </row>
        <row r="312">
          <cell r="A312">
            <v>40423</v>
          </cell>
          <cell r="B312">
            <v>40423</v>
          </cell>
          <cell r="C312" t="str">
            <v>Past</v>
          </cell>
          <cell r="D312">
            <v>13.07</v>
          </cell>
          <cell r="E312" t="e">
            <v>#N/A</v>
          </cell>
          <cell r="F312" t="e">
            <v>#N/A</v>
          </cell>
          <cell r="G312" t="e">
            <v>#N/A</v>
          </cell>
          <cell r="H312" t="e">
            <v>#N/A</v>
          </cell>
          <cell r="I312" t="e">
            <v>#N/A</v>
          </cell>
          <cell r="J312" t="e">
            <v>#N/A</v>
          </cell>
          <cell r="K312" t="e">
            <v>#N/A</v>
          </cell>
          <cell r="L312" t="e">
            <v>#N/A</v>
          </cell>
          <cell r="M312" t="e">
            <v>#N/A</v>
          </cell>
          <cell r="N312" t="e">
            <v>#N/A</v>
          </cell>
          <cell r="O312" t="e">
            <v>#N/A</v>
          </cell>
          <cell r="P312">
            <v>13.07</v>
          </cell>
          <cell r="Q312">
            <v>3.9073409999999997</v>
          </cell>
          <cell r="R312" t="e">
            <v>#N/A</v>
          </cell>
        </row>
        <row r="313">
          <cell r="A313">
            <v>40424</v>
          </cell>
          <cell r="B313">
            <v>40424</v>
          </cell>
          <cell r="C313" t="str">
            <v>Past</v>
          </cell>
          <cell r="D313">
            <v>13.21</v>
          </cell>
          <cell r="E313" t="e">
            <v>#N/A</v>
          </cell>
          <cell r="F313" t="e">
            <v>#N/A</v>
          </cell>
          <cell r="G313" t="e">
            <v>#N/A</v>
          </cell>
          <cell r="H313" t="e">
            <v>#N/A</v>
          </cell>
          <cell r="I313" t="e">
            <v>#N/A</v>
          </cell>
          <cell r="J313" t="e">
            <v>#N/A</v>
          </cell>
          <cell r="K313" t="e">
            <v>#N/A</v>
          </cell>
          <cell r="L313" t="e">
            <v>#N/A</v>
          </cell>
          <cell r="M313" t="e">
            <v>#N/A</v>
          </cell>
          <cell r="N313" t="e">
            <v>#N/A</v>
          </cell>
          <cell r="O313" t="e">
            <v>#N/A</v>
          </cell>
          <cell r="P313">
            <v>13.21</v>
          </cell>
          <cell r="Q313">
            <v>1.7133909999999999</v>
          </cell>
          <cell r="R313" t="e">
            <v>#N/A</v>
          </cell>
        </row>
        <row r="314">
          <cell r="A314">
            <v>40428</v>
          </cell>
          <cell r="B314">
            <v>40428</v>
          </cell>
          <cell r="C314" t="str">
            <v>Past</v>
          </cell>
          <cell r="D314">
            <v>13.13</v>
          </cell>
          <cell r="E314" t="e">
            <v>#N/A</v>
          </cell>
          <cell r="F314" t="e">
            <v>#N/A</v>
          </cell>
          <cell r="G314" t="e">
            <v>#N/A</v>
          </cell>
          <cell r="H314" t="e">
            <v>#N/A</v>
          </cell>
          <cell r="I314" t="e">
            <v>#N/A</v>
          </cell>
          <cell r="J314" t="e">
            <v>#N/A</v>
          </cell>
          <cell r="K314" t="e">
            <v>#N/A</v>
          </cell>
          <cell r="L314" t="e">
            <v>#N/A</v>
          </cell>
          <cell r="M314" t="e">
            <v>#N/A</v>
          </cell>
          <cell r="N314" t="e">
            <v>#N/A</v>
          </cell>
          <cell r="O314" t="e">
            <v>#N/A</v>
          </cell>
          <cell r="P314">
            <v>13.13</v>
          </cell>
          <cell r="Q314">
            <v>1.388282</v>
          </cell>
          <cell r="R314" t="e">
            <v>#N/A</v>
          </cell>
        </row>
        <row r="315">
          <cell r="A315">
            <v>40429</v>
          </cell>
          <cell r="B315">
            <v>40429</v>
          </cell>
          <cell r="C315" t="str">
            <v>Past</v>
          </cell>
          <cell r="D315">
            <v>12.95</v>
          </cell>
          <cell r="E315" t="e">
            <v>#N/A</v>
          </cell>
          <cell r="F315" t="e">
            <v>#N/A</v>
          </cell>
          <cell r="G315" t="e">
            <v>#N/A</v>
          </cell>
          <cell r="H315" t="e">
            <v>#N/A</v>
          </cell>
          <cell r="I315" t="e">
            <v>#N/A</v>
          </cell>
          <cell r="J315" t="e">
            <v>#N/A</v>
          </cell>
          <cell r="K315" t="e">
            <v>#N/A</v>
          </cell>
          <cell r="L315" t="e">
            <v>#N/A</v>
          </cell>
          <cell r="M315" t="e">
            <v>#N/A</v>
          </cell>
          <cell r="N315" t="e">
            <v>#N/A</v>
          </cell>
          <cell r="O315" t="e">
            <v>#N/A</v>
          </cell>
          <cell r="P315">
            <v>12.95</v>
          </cell>
          <cell r="Q315">
            <v>1.844096</v>
          </cell>
          <cell r="R315" t="e">
            <v>#N/A</v>
          </cell>
        </row>
        <row r="316">
          <cell r="A316">
            <v>40430</v>
          </cell>
          <cell r="B316">
            <v>40430</v>
          </cell>
          <cell r="C316" t="str">
            <v>Past</v>
          </cell>
          <cell r="D316">
            <v>13</v>
          </cell>
          <cell r="E316" t="e">
            <v>#N/A</v>
          </cell>
          <cell r="F316" t="e">
            <v>#N/A</v>
          </cell>
          <cell r="G316" t="e">
            <v>#N/A</v>
          </cell>
          <cell r="H316" t="e">
            <v>#N/A</v>
          </cell>
          <cell r="I316" t="e">
            <v>#N/A</v>
          </cell>
          <cell r="J316" t="e">
            <v>#N/A</v>
          </cell>
          <cell r="K316" t="e">
            <v>#N/A</v>
          </cell>
          <cell r="L316" t="e">
            <v>#N/A</v>
          </cell>
          <cell r="M316" t="e">
            <v>#N/A</v>
          </cell>
          <cell r="N316" t="e">
            <v>#N/A</v>
          </cell>
          <cell r="O316" t="e">
            <v>#N/A</v>
          </cell>
          <cell r="P316">
            <v>13</v>
          </cell>
          <cell r="Q316">
            <v>2.1684220000000001</v>
          </cell>
          <cell r="R316" t="e">
            <v>#N/A</v>
          </cell>
        </row>
        <row r="317">
          <cell r="A317">
            <v>40431</v>
          </cell>
          <cell r="B317">
            <v>40431</v>
          </cell>
          <cell r="C317" t="str">
            <v>Past</v>
          </cell>
          <cell r="D317">
            <v>12.95</v>
          </cell>
          <cell r="E317" t="e">
            <v>#N/A</v>
          </cell>
          <cell r="F317" t="e">
            <v>#N/A</v>
          </cell>
          <cell r="G317" t="e">
            <v>#N/A</v>
          </cell>
          <cell r="H317" t="e">
            <v>#N/A</v>
          </cell>
          <cell r="I317" t="e">
            <v>#N/A</v>
          </cell>
          <cell r="J317" t="e">
            <v>#N/A</v>
          </cell>
          <cell r="K317" t="e">
            <v>#N/A</v>
          </cell>
          <cell r="L317" t="e">
            <v>#N/A</v>
          </cell>
          <cell r="M317" t="e">
            <v>#N/A</v>
          </cell>
          <cell r="N317" t="e">
            <v>#N/A</v>
          </cell>
          <cell r="O317" t="e">
            <v>#N/A</v>
          </cell>
          <cell r="P317">
            <v>12.95</v>
          </cell>
          <cell r="Q317">
            <v>3.4128089999999998</v>
          </cell>
          <cell r="R317" t="e">
            <v>#N/A</v>
          </cell>
        </row>
        <row r="318">
          <cell r="A318">
            <v>40434</v>
          </cell>
          <cell r="B318">
            <v>40434</v>
          </cell>
          <cell r="C318" t="str">
            <v>Past</v>
          </cell>
          <cell r="D318">
            <v>13.13</v>
          </cell>
          <cell r="E318" t="e">
            <v>#N/A</v>
          </cell>
          <cell r="F318" t="e">
            <v>#N/A</v>
          </cell>
          <cell r="G318" t="e">
            <v>#N/A</v>
          </cell>
          <cell r="H318" t="e">
            <v>#N/A</v>
          </cell>
          <cell r="I318" t="e">
            <v>#N/A</v>
          </cell>
          <cell r="J318" t="e">
            <v>#N/A</v>
          </cell>
          <cell r="K318" t="e">
            <v>#N/A</v>
          </cell>
          <cell r="L318" t="e">
            <v>#N/A</v>
          </cell>
          <cell r="M318" t="e">
            <v>#N/A</v>
          </cell>
          <cell r="N318" t="e">
            <v>#N/A</v>
          </cell>
          <cell r="O318" t="e">
            <v>#N/A</v>
          </cell>
          <cell r="P318">
            <v>13.13</v>
          </cell>
          <cell r="Q318">
            <v>1.9109800000000001</v>
          </cell>
          <cell r="R318" t="e">
            <v>#N/A</v>
          </cell>
        </row>
        <row r="319">
          <cell r="A319">
            <v>40435</v>
          </cell>
          <cell r="B319">
            <v>40435</v>
          </cell>
          <cell r="C319" t="str">
            <v>Past</v>
          </cell>
          <cell r="D319">
            <v>13.1</v>
          </cell>
          <cell r="E319" t="e">
            <v>#N/A</v>
          </cell>
          <cell r="F319" t="e">
            <v>#N/A</v>
          </cell>
          <cell r="G319" t="e">
            <v>#N/A</v>
          </cell>
          <cell r="H319" t="e">
            <v>#N/A</v>
          </cell>
          <cell r="I319" t="e">
            <v>#N/A</v>
          </cell>
          <cell r="J319" t="e">
            <v>#N/A</v>
          </cell>
          <cell r="K319" t="e">
            <v>#N/A</v>
          </cell>
          <cell r="L319" t="e">
            <v>#N/A</v>
          </cell>
          <cell r="M319" t="e">
            <v>#N/A</v>
          </cell>
          <cell r="N319" t="e">
            <v>#N/A</v>
          </cell>
          <cell r="O319" t="e">
            <v>#N/A</v>
          </cell>
          <cell r="P319">
            <v>13.1</v>
          </cell>
          <cell r="Q319">
            <v>1.5091000000000001</v>
          </cell>
          <cell r="R319" t="e">
            <v>#N/A</v>
          </cell>
        </row>
        <row r="320">
          <cell r="A320">
            <v>40436</v>
          </cell>
          <cell r="B320">
            <v>40436</v>
          </cell>
          <cell r="C320" t="str">
            <v>Past</v>
          </cell>
          <cell r="D320">
            <v>12.92</v>
          </cell>
          <cell r="E320" t="e">
            <v>#N/A</v>
          </cell>
          <cell r="F320" t="e">
            <v>#N/A</v>
          </cell>
          <cell r="G320" t="e">
            <v>#N/A</v>
          </cell>
          <cell r="H320" t="e">
            <v>#N/A</v>
          </cell>
          <cell r="I320" t="e">
            <v>#N/A</v>
          </cell>
          <cell r="J320" t="e">
            <v>#N/A</v>
          </cell>
          <cell r="K320" t="e">
            <v>#N/A</v>
          </cell>
          <cell r="L320" t="e">
            <v>#N/A</v>
          </cell>
          <cell r="M320" t="e">
            <v>#N/A</v>
          </cell>
          <cell r="N320" t="e">
            <v>#N/A</v>
          </cell>
          <cell r="O320" t="e">
            <v>#N/A</v>
          </cell>
          <cell r="P320">
            <v>12.92</v>
          </cell>
          <cell r="Q320">
            <v>2.0562860000000001</v>
          </cell>
          <cell r="R320" t="e">
            <v>#N/A</v>
          </cell>
        </row>
        <row r="321">
          <cell r="A321">
            <v>40437</v>
          </cell>
          <cell r="B321">
            <v>40437</v>
          </cell>
          <cell r="C321" t="str">
            <v>Past</v>
          </cell>
          <cell r="D321">
            <v>12.71</v>
          </cell>
          <cell r="E321" t="e">
            <v>#N/A</v>
          </cell>
          <cell r="F321" t="e">
            <v>#N/A</v>
          </cell>
          <cell r="G321" t="e">
            <v>#N/A</v>
          </cell>
          <cell r="H321" t="e">
            <v>#N/A</v>
          </cell>
          <cell r="I321" t="e">
            <v>#N/A</v>
          </cell>
          <cell r="J321" t="e">
            <v>#N/A</v>
          </cell>
          <cell r="K321" t="e">
            <v>#N/A</v>
          </cell>
          <cell r="L321" t="e">
            <v>#N/A</v>
          </cell>
          <cell r="M321" t="e">
            <v>#N/A</v>
          </cell>
          <cell r="N321" t="e">
            <v>#N/A</v>
          </cell>
          <cell r="O321" t="e">
            <v>#N/A</v>
          </cell>
          <cell r="P321">
            <v>12.71</v>
          </cell>
          <cell r="Q321">
            <v>1.4083539999999999</v>
          </cell>
          <cell r="R321" t="e">
            <v>#N/A</v>
          </cell>
        </row>
        <row r="322">
          <cell r="A322">
            <v>40438</v>
          </cell>
          <cell r="B322">
            <v>40438</v>
          </cell>
          <cell r="C322" t="str">
            <v>Past</v>
          </cell>
          <cell r="D322">
            <v>12.68</v>
          </cell>
          <cell r="E322" t="e">
            <v>#N/A</v>
          </cell>
          <cell r="F322" t="e">
            <v>#N/A</v>
          </cell>
          <cell r="G322" t="e">
            <v>#N/A</v>
          </cell>
          <cell r="H322" t="e">
            <v>#N/A</v>
          </cell>
          <cell r="I322" t="e">
            <v>#N/A</v>
          </cell>
          <cell r="J322" t="e">
            <v>#N/A</v>
          </cell>
          <cell r="K322" t="e">
            <v>#N/A</v>
          </cell>
          <cell r="L322" t="e">
            <v>#N/A</v>
          </cell>
          <cell r="M322" t="e">
            <v>#N/A</v>
          </cell>
          <cell r="N322" t="e">
            <v>#N/A</v>
          </cell>
          <cell r="O322" t="e">
            <v>#N/A</v>
          </cell>
          <cell r="P322">
            <v>12.68</v>
          </cell>
          <cell r="Q322">
            <v>1.7802609999999999</v>
          </cell>
          <cell r="R322" t="e">
            <v>#N/A</v>
          </cell>
        </row>
        <row r="323">
          <cell r="A323">
            <v>40441</v>
          </cell>
          <cell r="B323">
            <v>40441</v>
          </cell>
          <cell r="C323" t="str">
            <v>Past</v>
          </cell>
          <cell r="D323">
            <v>12.91</v>
          </cell>
          <cell r="E323" t="e">
            <v>#N/A</v>
          </cell>
          <cell r="F323" t="e">
            <v>#N/A</v>
          </cell>
          <cell r="G323" t="e">
            <v>#N/A</v>
          </cell>
          <cell r="H323" t="e">
            <v>#N/A</v>
          </cell>
          <cell r="I323" t="e">
            <v>#N/A</v>
          </cell>
          <cell r="J323" t="e">
            <v>#N/A</v>
          </cell>
          <cell r="K323" t="e">
            <v>#N/A</v>
          </cell>
          <cell r="L323" t="e">
            <v>#N/A</v>
          </cell>
          <cell r="M323" t="e">
            <v>#N/A</v>
          </cell>
          <cell r="N323" t="e">
            <v>#N/A</v>
          </cell>
          <cell r="O323" t="e">
            <v>#N/A</v>
          </cell>
          <cell r="P323">
            <v>12.91</v>
          </cell>
          <cell r="Q323">
            <v>1.297507</v>
          </cell>
          <cell r="R323" t="e">
            <v>#N/A</v>
          </cell>
        </row>
        <row r="324">
          <cell r="A324">
            <v>40442</v>
          </cell>
          <cell r="B324">
            <v>40442</v>
          </cell>
          <cell r="C324" t="str">
            <v>Past</v>
          </cell>
          <cell r="D324">
            <v>12.81</v>
          </cell>
          <cell r="E324" t="e">
            <v>#N/A</v>
          </cell>
          <cell r="F324" t="e">
            <v>#N/A</v>
          </cell>
          <cell r="G324" t="e">
            <v>#N/A</v>
          </cell>
          <cell r="H324" t="e">
            <v>#N/A</v>
          </cell>
          <cell r="I324" t="e">
            <v>#N/A</v>
          </cell>
          <cell r="J324" t="e">
            <v>#N/A</v>
          </cell>
          <cell r="K324" t="e">
            <v>#N/A</v>
          </cell>
          <cell r="L324" t="e">
            <v>#N/A</v>
          </cell>
          <cell r="M324" t="e">
            <v>#N/A</v>
          </cell>
          <cell r="N324" t="e">
            <v>#N/A</v>
          </cell>
          <cell r="O324" t="e">
            <v>#N/A</v>
          </cell>
          <cell r="P324">
            <v>12.81</v>
          </cell>
          <cell r="Q324">
            <v>1.4411429999999998</v>
          </cell>
          <cell r="R324" t="e">
            <v>#N/A</v>
          </cell>
        </row>
        <row r="325">
          <cell r="A325">
            <v>40443</v>
          </cell>
          <cell r="B325">
            <v>40443</v>
          </cell>
          <cell r="C325" t="str">
            <v>Past</v>
          </cell>
          <cell r="D325">
            <v>12.88</v>
          </cell>
          <cell r="E325" t="e">
            <v>#N/A</v>
          </cell>
          <cell r="F325" t="e">
            <v>#N/A</v>
          </cell>
          <cell r="G325" t="e">
            <v>#N/A</v>
          </cell>
          <cell r="H325" t="e">
            <v>#N/A</v>
          </cell>
          <cell r="I325" t="e">
            <v>#N/A</v>
          </cell>
          <cell r="J325" t="e">
            <v>#N/A</v>
          </cell>
          <cell r="K325" t="e">
            <v>#N/A</v>
          </cell>
          <cell r="L325" t="e">
            <v>#N/A</v>
          </cell>
          <cell r="M325" t="e">
            <v>#N/A</v>
          </cell>
          <cell r="N325" t="e">
            <v>#N/A</v>
          </cell>
          <cell r="O325" t="e">
            <v>#N/A</v>
          </cell>
          <cell r="P325">
            <v>12.88</v>
          </cell>
          <cell r="Q325">
            <v>0.79303000000000001</v>
          </cell>
          <cell r="R325" t="e">
            <v>#N/A</v>
          </cell>
        </row>
        <row r="326">
          <cell r="A326">
            <v>40444</v>
          </cell>
          <cell r="B326">
            <v>40444</v>
          </cell>
          <cell r="C326" t="str">
            <v>Past</v>
          </cell>
          <cell r="D326">
            <v>12.95</v>
          </cell>
          <cell r="E326" t="e">
            <v>#N/A</v>
          </cell>
          <cell r="F326" t="e">
            <v>#N/A</v>
          </cell>
          <cell r="G326" t="e">
            <v>#N/A</v>
          </cell>
          <cell r="H326" t="e">
            <v>#N/A</v>
          </cell>
          <cell r="I326" t="e">
            <v>#N/A</v>
          </cell>
          <cell r="J326" t="e">
            <v>#N/A</v>
          </cell>
          <cell r="K326" t="e">
            <v>#N/A</v>
          </cell>
          <cell r="L326" t="e">
            <v>#N/A</v>
          </cell>
          <cell r="M326" t="e">
            <v>#N/A</v>
          </cell>
          <cell r="N326" t="e">
            <v>#N/A</v>
          </cell>
          <cell r="O326" t="e">
            <v>#N/A</v>
          </cell>
          <cell r="P326">
            <v>12.95</v>
          </cell>
          <cell r="Q326">
            <v>1.457676</v>
          </cell>
          <cell r="R326" t="e">
            <v>#N/A</v>
          </cell>
        </row>
        <row r="327">
          <cell r="A327">
            <v>40445</v>
          </cell>
          <cell r="B327">
            <v>40445</v>
          </cell>
          <cell r="C327" t="str">
            <v>Past</v>
          </cell>
          <cell r="D327">
            <v>13.16</v>
          </cell>
          <cell r="E327" t="e">
            <v>#N/A</v>
          </cell>
          <cell r="F327" t="e">
            <v>#N/A</v>
          </cell>
          <cell r="G327" t="e">
            <v>#N/A</v>
          </cell>
          <cell r="H327" t="e">
            <v>#N/A</v>
          </cell>
          <cell r="I327" t="e">
            <v>#N/A</v>
          </cell>
          <cell r="J327" t="e">
            <v>#N/A</v>
          </cell>
          <cell r="K327" t="e">
            <v>#N/A</v>
          </cell>
          <cell r="L327" t="e">
            <v>#N/A</v>
          </cell>
          <cell r="M327" t="e">
            <v>#N/A</v>
          </cell>
          <cell r="N327" t="e">
            <v>#N/A</v>
          </cell>
          <cell r="O327" t="e">
            <v>#N/A</v>
          </cell>
          <cell r="P327">
            <v>13.16</v>
          </cell>
          <cell r="Q327">
            <v>0.86191600000000002</v>
          </cell>
          <cell r="R327" t="e">
            <v>#N/A</v>
          </cell>
        </row>
        <row r="328">
          <cell r="A328">
            <v>40448</v>
          </cell>
          <cell r="B328">
            <v>40448</v>
          </cell>
          <cell r="C328" t="str">
            <v>Past</v>
          </cell>
          <cell r="D328">
            <v>13.18</v>
          </cell>
          <cell r="E328" t="e">
            <v>#N/A</v>
          </cell>
          <cell r="F328" t="e">
            <v>#N/A</v>
          </cell>
          <cell r="G328" t="e">
            <v>#N/A</v>
          </cell>
          <cell r="H328" t="e">
            <v>#N/A</v>
          </cell>
          <cell r="I328" t="e">
            <v>#N/A</v>
          </cell>
          <cell r="J328" t="e">
            <v>#N/A</v>
          </cell>
          <cell r="K328" t="e">
            <v>#N/A</v>
          </cell>
          <cell r="L328" t="e">
            <v>#N/A</v>
          </cell>
          <cell r="M328" t="e">
            <v>#N/A</v>
          </cell>
          <cell r="N328" t="e">
            <v>#N/A</v>
          </cell>
          <cell r="O328" t="e">
            <v>#N/A</v>
          </cell>
          <cell r="P328">
            <v>13.18</v>
          </cell>
          <cell r="Q328">
            <v>1.1820059999999999</v>
          </cell>
          <cell r="R328" t="e">
            <v>#N/A</v>
          </cell>
        </row>
        <row r="329">
          <cell r="A329">
            <v>40449</v>
          </cell>
          <cell r="B329">
            <v>40449</v>
          </cell>
          <cell r="C329" t="str">
            <v>Past</v>
          </cell>
          <cell r="D329">
            <v>13.02</v>
          </cell>
          <cell r="E329" t="e">
            <v>#N/A</v>
          </cell>
          <cell r="F329" t="e">
            <v>#N/A</v>
          </cell>
          <cell r="G329" t="e">
            <v>#N/A</v>
          </cell>
          <cell r="H329" t="e">
            <v>#N/A</v>
          </cell>
          <cell r="I329" t="e">
            <v>#N/A</v>
          </cell>
          <cell r="J329" t="e">
            <v>#N/A</v>
          </cell>
          <cell r="K329" t="e">
            <v>#N/A</v>
          </cell>
          <cell r="L329" t="e">
            <v>#N/A</v>
          </cell>
          <cell r="M329" t="e">
            <v>#N/A</v>
          </cell>
          <cell r="N329" t="e">
            <v>#N/A</v>
          </cell>
          <cell r="O329" t="e">
            <v>#N/A</v>
          </cell>
          <cell r="P329">
            <v>13.02</v>
          </cell>
          <cell r="Q329">
            <v>2.1931620000000001</v>
          </cell>
          <cell r="R329" t="e">
            <v>#N/A</v>
          </cell>
        </row>
        <row r="330">
          <cell r="A330">
            <v>40450</v>
          </cell>
          <cell r="B330">
            <v>40450</v>
          </cell>
          <cell r="C330" t="str">
            <v>Past</v>
          </cell>
          <cell r="D330">
            <v>12.99</v>
          </cell>
          <cell r="E330" t="e">
            <v>#N/A</v>
          </cell>
          <cell r="F330" t="e">
            <v>#N/A</v>
          </cell>
          <cell r="G330" t="e">
            <v>#N/A</v>
          </cell>
          <cell r="H330" t="e">
            <v>#N/A</v>
          </cell>
          <cell r="I330" t="e">
            <v>#N/A</v>
          </cell>
          <cell r="J330" t="e">
            <v>#N/A</v>
          </cell>
          <cell r="K330" t="e">
            <v>#N/A</v>
          </cell>
          <cell r="L330" t="e">
            <v>#N/A</v>
          </cell>
          <cell r="M330" t="e">
            <v>#N/A</v>
          </cell>
          <cell r="N330" t="e">
            <v>#N/A</v>
          </cell>
          <cell r="O330" t="e">
            <v>#N/A</v>
          </cell>
          <cell r="P330">
            <v>12.99</v>
          </cell>
          <cell r="Q330">
            <v>1.350544</v>
          </cell>
          <cell r="R330" t="e">
            <v>#N/A</v>
          </cell>
        </row>
        <row r="331">
          <cell r="A331">
            <v>40451</v>
          </cell>
          <cell r="B331">
            <v>40451</v>
          </cell>
          <cell r="C331" t="str">
            <v>Past</v>
          </cell>
          <cell r="D331">
            <v>13.15</v>
          </cell>
          <cell r="E331" t="e">
            <v>#N/A</v>
          </cell>
          <cell r="F331" t="e">
            <v>#N/A</v>
          </cell>
          <cell r="G331" t="e">
            <v>#N/A</v>
          </cell>
          <cell r="H331" t="e">
            <v>#N/A</v>
          </cell>
          <cell r="I331" t="e">
            <v>#N/A</v>
          </cell>
          <cell r="J331" t="e">
            <v>#N/A</v>
          </cell>
          <cell r="K331" t="e">
            <v>#N/A</v>
          </cell>
          <cell r="L331" t="e">
            <v>#N/A</v>
          </cell>
          <cell r="M331" t="e">
            <v>#N/A</v>
          </cell>
          <cell r="N331" t="e">
            <v>#N/A</v>
          </cell>
          <cell r="O331" t="e">
            <v>#N/A</v>
          </cell>
          <cell r="P331">
            <v>13.15</v>
          </cell>
          <cell r="Q331">
            <v>1.4850939999999999</v>
          </cell>
          <cell r="R331" t="e">
            <v>#N/A</v>
          </cell>
        </row>
        <row r="332">
          <cell r="A332">
            <v>40452</v>
          </cell>
          <cell r="B332">
            <v>40452</v>
          </cell>
          <cell r="C332" t="str">
            <v>Past</v>
          </cell>
          <cell r="D332">
            <v>13.13</v>
          </cell>
          <cell r="E332" t="e">
            <v>#N/A</v>
          </cell>
          <cell r="F332" t="e">
            <v>#N/A</v>
          </cell>
          <cell r="G332" t="e">
            <v>#N/A</v>
          </cell>
          <cell r="H332" t="e">
            <v>#N/A</v>
          </cell>
          <cell r="I332" t="e">
            <v>#N/A</v>
          </cell>
          <cell r="J332" t="e">
            <v>#N/A</v>
          </cell>
          <cell r="K332" t="e">
            <v>#N/A</v>
          </cell>
          <cell r="L332" t="e">
            <v>#N/A</v>
          </cell>
          <cell r="M332" t="e">
            <v>#N/A</v>
          </cell>
          <cell r="N332" t="e">
            <v>#N/A</v>
          </cell>
          <cell r="O332" t="e">
            <v>#N/A</v>
          </cell>
          <cell r="P332">
            <v>13.13</v>
          </cell>
          <cell r="Q332">
            <v>1.921621</v>
          </cell>
          <cell r="R332" t="e">
            <v>#N/A</v>
          </cell>
        </row>
        <row r="333">
          <cell r="A333">
            <v>40455</v>
          </cell>
          <cell r="B333">
            <v>40455</v>
          </cell>
          <cell r="C333" t="str">
            <v>Past</v>
          </cell>
          <cell r="D333">
            <v>12.94</v>
          </cell>
          <cell r="E333" t="e">
            <v>#N/A</v>
          </cell>
          <cell r="F333" t="e">
            <v>#N/A</v>
          </cell>
          <cell r="G333" t="e">
            <v>#N/A</v>
          </cell>
          <cell r="H333" t="e">
            <v>#N/A</v>
          </cell>
          <cell r="I333" t="e">
            <v>#N/A</v>
          </cell>
          <cell r="J333" t="e">
            <v>#N/A</v>
          </cell>
          <cell r="K333" t="e">
            <v>#N/A</v>
          </cell>
          <cell r="L333" t="e">
            <v>#N/A</v>
          </cell>
          <cell r="M333" t="e">
            <v>#N/A</v>
          </cell>
          <cell r="N333" t="e">
            <v>#N/A</v>
          </cell>
          <cell r="O333" t="e">
            <v>#N/A</v>
          </cell>
          <cell r="P333">
            <v>12.94</v>
          </cell>
          <cell r="Q333">
            <v>1.977595</v>
          </cell>
          <cell r="R333" t="e">
            <v>#N/A</v>
          </cell>
        </row>
        <row r="334">
          <cell r="A334">
            <v>40456</v>
          </cell>
          <cell r="B334">
            <v>40456</v>
          </cell>
          <cell r="C334" t="str">
            <v>Past</v>
          </cell>
          <cell r="D334">
            <v>12.94</v>
          </cell>
          <cell r="E334" t="e">
            <v>#N/A</v>
          </cell>
          <cell r="F334" t="e">
            <v>#N/A</v>
          </cell>
          <cell r="G334" t="e">
            <v>#N/A</v>
          </cell>
          <cell r="H334" t="e">
            <v>#N/A</v>
          </cell>
          <cell r="I334" t="e">
            <v>#N/A</v>
          </cell>
          <cell r="J334" t="e">
            <v>#N/A</v>
          </cell>
          <cell r="K334" t="e">
            <v>#N/A</v>
          </cell>
          <cell r="L334" t="e">
            <v>#N/A</v>
          </cell>
          <cell r="M334" t="e">
            <v>#N/A</v>
          </cell>
          <cell r="N334" t="e">
            <v>#N/A</v>
          </cell>
          <cell r="O334" t="e">
            <v>#N/A</v>
          </cell>
          <cell r="P334">
            <v>12.94</v>
          </cell>
          <cell r="Q334">
            <v>2.0961650000000001</v>
          </cell>
          <cell r="R334" t="e">
            <v>#N/A</v>
          </cell>
        </row>
        <row r="335">
          <cell r="A335">
            <v>40457</v>
          </cell>
          <cell r="B335">
            <v>40457</v>
          </cell>
          <cell r="C335" t="str">
            <v>Past</v>
          </cell>
          <cell r="D335">
            <v>12.87</v>
          </cell>
          <cell r="E335" t="e">
            <v>#N/A</v>
          </cell>
          <cell r="F335" t="e">
            <v>#N/A</v>
          </cell>
          <cell r="G335" t="e">
            <v>#N/A</v>
          </cell>
          <cell r="H335" t="e">
            <v>#N/A</v>
          </cell>
          <cell r="I335" t="e">
            <v>#N/A</v>
          </cell>
          <cell r="J335" t="e">
            <v>#N/A</v>
          </cell>
          <cell r="K335" t="e">
            <v>#N/A</v>
          </cell>
          <cell r="L335" t="e">
            <v>#N/A</v>
          </cell>
          <cell r="M335" t="e">
            <v>#N/A</v>
          </cell>
          <cell r="N335" t="e">
            <v>#N/A</v>
          </cell>
          <cell r="O335" t="e">
            <v>#N/A</v>
          </cell>
          <cell r="P335">
            <v>12.87</v>
          </cell>
          <cell r="Q335">
            <v>1.6934449999999999</v>
          </cell>
          <cell r="R335" t="e">
            <v>#N/A</v>
          </cell>
        </row>
        <row r="336">
          <cell r="A336">
            <v>40458</v>
          </cell>
          <cell r="B336">
            <v>40458</v>
          </cell>
          <cell r="C336" t="str">
            <v>Past</v>
          </cell>
          <cell r="D336">
            <v>12.95</v>
          </cell>
          <cell r="E336" t="e">
            <v>#N/A</v>
          </cell>
          <cell r="F336" t="e">
            <v>#N/A</v>
          </cell>
          <cell r="G336" t="e">
            <v>#N/A</v>
          </cell>
          <cell r="H336" t="e">
            <v>#N/A</v>
          </cell>
          <cell r="I336" t="e">
            <v>#N/A</v>
          </cell>
          <cell r="J336" t="e">
            <v>#N/A</v>
          </cell>
          <cell r="K336" t="e">
            <v>#N/A</v>
          </cell>
          <cell r="L336" t="e">
            <v>#N/A</v>
          </cell>
          <cell r="M336" t="e">
            <v>#N/A</v>
          </cell>
          <cell r="N336" t="e">
            <v>#N/A</v>
          </cell>
          <cell r="O336" t="e">
            <v>#N/A</v>
          </cell>
          <cell r="P336">
            <v>12.95</v>
          </cell>
          <cell r="Q336">
            <v>1.0372839999999999</v>
          </cell>
          <cell r="R336" t="e">
            <v>#N/A</v>
          </cell>
        </row>
        <row r="337">
          <cell r="A337">
            <v>40459</v>
          </cell>
          <cell r="B337">
            <v>40459</v>
          </cell>
          <cell r="C337" t="str">
            <v>Past</v>
          </cell>
          <cell r="D337">
            <v>13.07</v>
          </cell>
          <cell r="E337" t="e">
            <v>#N/A</v>
          </cell>
          <cell r="F337" t="e">
            <v>#N/A</v>
          </cell>
          <cell r="G337" t="e">
            <v>#N/A</v>
          </cell>
          <cell r="H337" t="e">
            <v>#N/A</v>
          </cell>
          <cell r="I337" t="e">
            <v>#N/A</v>
          </cell>
          <cell r="J337" t="e">
            <v>#N/A</v>
          </cell>
          <cell r="K337" t="e">
            <v>#N/A</v>
          </cell>
          <cell r="L337" t="e">
            <v>#N/A</v>
          </cell>
          <cell r="M337" t="e">
            <v>#N/A</v>
          </cell>
          <cell r="N337" t="e">
            <v>#N/A</v>
          </cell>
          <cell r="O337" t="e">
            <v>#N/A</v>
          </cell>
          <cell r="P337">
            <v>13.07</v>
          </cell>
          <cell r="Q337">
            <v>1.3130230000000001</v>
          </cell>
          <cell r="R337" t="e">
            <v>#N/A</v>
          </cell>
        </row>
        <row r="338">
          <cell r="A338">
            <v>40462</v>
          </cell>
          <cell r="B338">
            <v>40462</v>
          </cell>
          <cell r="C338" t="str">
            <v>Past</v>
          </cell>
          <cell r="D338">
            <v>12.99</v>
          </cell>
          <cell r="E338" t="e">
            <v>#N/A</v>
          </cell>
          <cell r="F338" t="e">
            <v>#N/A</v>
          </cell>
          <cell r="G338" t="e">
            <v>#N/A</v>
          </cell>
          <cell r="H338" t="e">
            <v>#N/A</v>
          </cell>
          <cell r="I338" t="e">
            <v>#N/A</v>
          </cell>
          <cell r="J338" t="e">
            <v>#N/A</v>
          </cell>
          <cell r="K338" t="e">
            <v>#N/A</v>
          </cell>
          <cell r="L338" t="e">
            <v>#N/A</v>
          </cell>
          <cell r="M338" t="e">
            <v>#N/A</v>
          </cell>
          <cell r="N338" t="e">
            <v>#N/A</v>
          </cell>
          <cell r="O338" t="e">
            <v>#N/A</v>
          </cell>
          <cell r="P338">
            <v>12.99</v>
          </cell>
          <cell r="Q338">
            <v>2.0637059999999998</v>
          </cell>
          <cell r="R338" t="e">
            <v>#N/A</v>
          </cell>
        </row>
        <row r="339">
          <cell r="A339">
            <v>40463</v>
          </cell>
          <cell r="B339">
            <v>40463</v>
          </cell>
          <cell r="C339" t="str">
            <v>Past</v>
          </cell>
          <cell r="D339">
            <v>13.06</v>
          </cell>
          <cell r="E339" t="e">
            <v>#N/A</v>
          </cell>
          <cell r="F339" t="e">
            <v>#N/A</v>
          </cell>
          <cell r="G339" t="e">
            <v>#N/A</v>
          </cell>
          <cell r="H339" t="e">
            <v>#N/A</v>
          </cell>
          <cell r="I339" t="e">
            <v>#N/A</v>
          </cell>
          <cell r="J339" t="e">
            <v>#N/A</v>
          </cell>
          <cell r="K339" t="e">
            <v>#N/A</v>
          </cell>
          <cell r="L339" t="e">
            <v>#N/A</v>
          </cell>
          <cell r="M339" t="e">
            <v>#N/A</v>
          </cell>
          <cell r="N339" t="e">
            <v>#N/A</v>
          </cell>
          <cell r="O339" t="e">
            <v>#N/A</v>
          </cell>
          <cell r="P339">
            <v>13.06</v>
          </cell>
          <cell r="Q339">
            <v>1.4325909999999999</v>
          </cell>
          <cell r="R339" t="e">
            <v>#N/A</v>
          </cell>
        </row>
        <row r="340">
          <cell r="A340">
            <v>40464</v>
          </cell>
          <cell r="B340">
            <v>40464</v>
          </cell>
          <cell r="C340" t="str">
            <v>Past</v>
          </cell>
          <cell r="D340">
            <v>13.01</v>
          </cell>
          <cell r="E340" t="e">
            <v>#N/A</v>
          </cell>
          <cell r="F340" t="e">
            <v>#N/A</v>
          </cell>
          <cell r="G340" t="e">
            <v>#N/A</v>
          </cell>
          <cell r="H340" t="e">
            <v>#N/A</v>
          </cell>
          <cell r="I340" t="e">
            <v>#N/A</v>
          </cell>
          <cell r="J340" t="e">
            <v>#N/A</v>
          </cell>
          <cell r="K340" t="e">
            <v>#N/A</v>
          </cell>
          <cell r="L340" t="e">
            <v>#N/A</v>
          </cell>
          <cell r="M340" t="e">
            <v>#N/A</v>
          </cell>
          <cell r="N340" t="e">
            <v>#N/A</v>
          </cell>
          <cell r="O340" t="e">
            <v>#N/A</v>
          </cell>
          <cell r="P340">
            <v>13.01</v>
          </cell>
          <cell r="Q340">
            <v>1.2016229999999999</v>
          </cell>
          <cell r="R340" t="e">
            <v>#N/A</v>
          </cell>
        </row>
        <row r="341">
          <cell r="A341">
            <v>40465</v>
          </cell>
          <cell r="B341">
            <v>40465</v>
          </cell>
          <cell r="C341" t="str">
            <v>Past</v>
          </cell>
          <cell r="D341">
            <v>13.09</v>
          </cell>
          <cell r="E341" t="e">
            <v>#N/A</v>
          </cell>
          <cell r="F341" t="e">
            <v>#N/A</v>
          </cell>
          <cell r="G341" t="e">
            <v>#N/A</v>
          </cell>
          <cell r="H341" t="e">
            <v>#N/A</v>
          </cell>
          <cell r="I341" t="e">
            <v>#N/A</v>
          </cell>
          <cell r="J341" t="e">
            <v>#N/A</v>
          </cell>
          <cell r="K341" t="e">
            <v>#N/A</v>
          </cell>
          <cell r="L341" t="e">
            <v>#N/A</v>
          </cell>
          <cell r="M341" t="e">
            <v>#N/A</v>
          </cell>
          <cell r="N341" t="e">
            <v>#N/A</v>
          </cell>
          <cell r="O341" t="e">
            <v>#N/A</v>
          </cell>
          <cell r="P341">
            <v>13.09</v>
          </cell>
          <cell r="Q341">
            <v>0.89577699999999993</v>
          </cell>
          <cell r="R341" t="e">
            <v>#N/A</v>
          </cell>
        </row>
        <row r="342">
          <cell r="A342">
            <v>40466</v>
          </cell>
          <cell r="B342">
            <v>40466</v>
          </cell>
          <cell r="C342" t="str">
            <v>Past</v>
          </cell>
          <cell r="D342">
            <v>13.16</v>
          </cell>
          <cell r="E342" t="e">
            <v>#N/A</v>
          </cell>
          <cell r="F342" t="e">
            <v>#N/A</v>
          </cell>
          <cell r="G342" t="e">
            <v>#N/A</v>
          </cell>
          <cell r="H342" t="e">
            <v>#N/A</v>
          </cell>
          <cell r="I342" t="e">
            <v>#N/A</v>
          </cell>
          <cell r="J342" t="e">
            <v>#N/A</v>
          </cell>
          <cell r="K342" t="e">
            <v>#N/A</v>
          </cell>
          <cell r="L342" t="e">
            <v>#N/A</v>
          </cell>
          <cell r="M342" t="e">
            <v>#N/A</v>
          </cell>
          <cell r="N342" t="e">
            <v>#N/A</v>
          </cell>
          <cell r="O342" t="e">
            <v>#N/A</v>
          </cell>
          <cell r="P342">
            <v>13.16</v>
          </cell>
          <cell r="Q342">
            <v>1.373721</v>
          </cell>
          <cell r="R342" t="e">
            <v>#N/A</v>
          </cell>
        </row>
        <row r="343">
          <cell r="A343">
            <v>40469</v>
          </cell>
          <cell r="B343">
            <v>40469</v>
          </cell>
          <cell r="C343" t="str">
            <v>Past</v>
          </cell>
          <cell r="D343">
            <v>13.25</v>
          </cell>
          <cell r="E343" t="e">
            <v>#N/A</v>
          </cell>
          <cell r="F343" t="e">
            <v>#N/A</v>
          </cell>
          <cell r="G343" t="e">
            <v>#N/A</v>
          </cell>
          <cell r="H343" t="e">
            <v>#N/A</v>
          </cell>
          <cell r="I343" t="e">
            <v>#N/A</v>
          </cell>
          <cell r="J343" t="e">
            <v>#N/A</v>
          </cell>
          <cell r="K343" t="e">
            <v>#N/A</v>
          </cell>
          <cell r="L343" t="e">
            <v>#N/A</v>
          </cell>
          <cell r="M343" t="e">
            <v>#N/A</v>
          </cell>
          <cell r="N343" t="e">
            <v>#N/A</v>
          </cell>
          <cell r="O343" t="e">
            <v>#N/A</v>
          </cell>
          <cell r="P343">
            <v>13.25</v>
          </cell>
          <cell r="Q343">
            <v>0.72126899999999994</v>
          </cell>
          <cell r="R343" t="e">
            <v>#N/A</v>
          </cell>
        </row>
        <row r="344">
          <cell r="A344">
            <v>40470</v>
          </cell>
          <cell r="B344">
            <v>40470</v>
          </cell>
          <cell r="C344" t="str">
            <v>Past</v>
          </cell>
          <cell r="D344">
            <v>13.14</v>
          </cell>
          <cell r="E344" t="e">
            <v>#N/A</v>
          </cell>
          <cell r="F344" t="e">
            <v>#N/A</v>
          </cell>
          <cell r="G344" t="e">
            <v>#N/A</v>
          </cell>
          <cell r="H344" t="e">
            <v>#N/A</v>
          </cell>
          <cell r="I344" t="e">
            <v>#N/A</v>
          </cell>
          <cell r="J344" t="e">
            <v>#N/A</v>
          </cell>
          <cell r="K344" t="e">
            <v>#N/A</v>
          </cell>
          <cell r="L344" t="e">
            <v>#N/A</v>
          </cell>
          <cell r="M344" t="e">
            <v>#N/A</v>
          </cell>
          <cell r="N344" t="e">
            <v>#N/A</v>
          </cell>
          <cell r="O344" t="e">
            <v>#N/A</v>
          </cell>
          <cell r="P344">
            <v>13.14</v>
          </cell>
          <cell r="Q344">
            <v>3.069394</v>
          </cell>
          <cell r="R344" t="e">
            <v>#N/A</v>
          </cell>
        </row>
        <row r="345">
          <cell r="A345">
            <v>40471</v>
          </cell>
          <cell r="B345">
            <v>40471</v>
          </cell>
          <cell r="C345" t="str">
            <v>Past</v>
          </cell>
          <cell r="D345">
            <v>13.19</v>
          </cell>
          <cell r="E345" t="e">
            <v>#N/A</v>
          </cell>
          <cell r="F345" t="e">
            <v>#N/A</v>
          </cell>
          <cell r="G345" t="e">
            <v>#N/A</v>
          </cell>
          <cell r="H345" t="e">
            <v>#N/A</v>
          </cell>
          <cell r="I345" t="e">
            <v>#N/A</v>
          </cell>
          <cell r="J345" t="e">
            <v>#N/A</v>
          </cell>
          <cell r="K345" t="e">
            <v>#N/A</v>
          </cell>
          <cell r="L345" t="e">
            <v>#N/A</v>
          </cell>
          <cell r="M345" t="e">
            <v>#N/A</v>
          </cell>
          <cell r="N345" t="e">
            <v>#N/A</v>
          </cell>
          <cell r="O345" t="e">
            <v>#N/A</v>
          </cell>
          <cell r="P345">
            <v>13.19</v>
          </cell>
          <cell r="Q345">
            <v>1.592768</v>
          </cell>
          <cell r="R345" t="e">
            <v>#N/A</v>
          </cell>
        </row>
        <row r="346">
          <cell r="A346">
            <v>40472</v>
          </cell>
          <cell r="B346">
            <v>40472</v>
          </cell>
          <cell r="C346" t="str">
            <v>Past</v>
          </cell>
          <cell r="D346">
            <v>13.17</v>
          </cell>
          <cell r="E346" t="e">
            <v>#N/A</v>
          </cell>
          <cell r="F346" t="e">
            <v>#N/A</v>
          </cell>
          <cell r="G346" t="e">
            <v>#N/A</v>
          </cell>
          <cell r="H346" t="e">
            <v>#N/A</v>
          </cell>
          <cell r="I346" t="e">
            <v>#N/A</v>
          </cell>
          <cell r="J346" t="e">
            <v>#N/A</v>
          </cell>
          <cell r="K346" t="e">
            <v>#N/A</v>
          </cell>
          <cell r="L346" t="e">
            <v>#N/A</v>
          </cell>
          <cell r="M346" t="e">
            <v>#N/A</v>
          </cell>
          <cell r="N346" t="e">
            <v>#N/A</v>
          </cell>
          <cell r="O346" t="e">
            <v>#N/A</v>
          </cell>
          <cell r="P346">
            <v>13.17</v>
          </cell>
          <cell r="Q346">
            <v>2.0111460000000001</v>
          </cell>
          <cell r="R346" t="e">
            <v>#N/A</v>
          </cell>
        </row>
        <row r="347">
          <cell r="A347">
            <v>40473</v>
          </cell>
          <cell r="B347">
            <v>40473</v>
          </cell>
          <cell r="C347" t="str">
            <v>Past</v>
          </cell>
          <cell r="D347">
            <v>13.08</v>
          </cell>
          <cell r="E347" t="e">
            <v>#N/A</v>
          </cell>
          <cell r="F347" t="e">
            <v>#N/A</v>
          </cell>
          <cell r="G347" t="e">
            <v>#N/A</v>
          </cell>
          <cell r="H347" t="e">
            <v>#N/A</v>
          </cell>
          <cell r="I347" t="e">
            <v>#N/A</v>
          </cell>
          <cell r="J347" t="e">
            <v>#N/A</v>
          </cell>
          <cell r="K347" t="e">
            <v>#N/A</v>
          </cell>
          <cell r="L347" t="e">
            <v>#N/A</v>
          </cell>
          <cell r="M347" t="e">
            <v>#N/A</v>
          </cell>
          <cell r="N347" t="e">
            <v>#N/A</v>
          </cell>
          <cell r="O347" t="e">
            <v>#N/A</v>
          </cell>
          <cell r="P347">
            <v>13.08</v>
          </cell>
          <cell r="Q347">
            <v>3.1426209999999997</v>
          </cell>
          <cell r="R347" t="e">
            <v>#N/A</v>
          </cell>
        </row>
        <row r="348">
          <cell r="A348">
            <v>40476</v>
          </cell>
          <cell r="B348">
            <v>40476</v>
          </cell>
          <cell r="C348" t="str">
            <v>Past</v>
          </cell>
          <cell r="D348">
            <v>12.99</v>
          </cell>
          <cell r="E348" t="e">
            <v>#N/A</v>
          </cell>
          <cell r="F348" t="e">
            <v>#N/A</v>
          </cell>
          <cell r="G348" t="e">
            <v>#N/A</v>
          </cell>
          <cell r="H348" t="e">
            <v>#N/A</v>
          </cell>
          <cell r="I348" t="e">
            <v>#N/A</v>
          </cell>
          <cell r="J348" t="e">
            <v>#N/A</v>
          </cell>
          <cell r="K348" t="e">
            <v>#N/A</v>
          </cell>
          <cell r="L348" t="e">
            <v>#N/A</v>
          </cell>
          <cell r="M348" t="e">
            <v>#N/A</v>
          </cell>
          <cell r="N348" t="e">
            <v>#N/A</v>
          </cell>
          <cell r="O348" t="e">
            <v>#N/A</v>
          </cell>
          <cell r="P348">
            <v>12.99</v>
          </cell>
          <cell r="Q348">
            <v>2.530951</v>
          </cell>
          <cell r="R348" t="e">
            <v>#N/A</v>
          </cell>
        </row>
        <row r="349">
          <cell r="A349">
            <v>40477</v>
          </cell>
          <cell r="B349">
            <v>40477</v>
          </cell>
          <cell r="C349" t="str">
            <v>Past</v>
          </cell>
          <cell r="D349">
            <v>13.5</v>
          </cell>
          <cell r="E349" t="e">
            <v>#N/A</v>
          </cell>
          <cell r="F349" t="e">
            <v>#N/A</v>
          </cell>
          <cell r="G349" t="e">
            <v>#N/A</v>
          </cell>
          <cell r="H349" t="e">
            <v>#N/A</v>
          </cell>
          <cell r="I349" t="e">
            <v>#N/A</v>
          </cell>
          <cell r="J349" t="e">
            <v>#N/A</v>
          </cell>
          <cell r="K349" t="e">
            <v>#N/A</v>
          </cell>
          <cell r="L349" t="e">
            <v>#N/A</v>
          </cell>
          <cell r="M349" t="e">
            <v>#N/A</v>
          </cell>
          <cell r="N349" t="e">
            <v>#N/A</v>
          </cell>
          <cell r="O349" t="e">
            <v>#N/A</v>
          </cell>
          <cell r="P349">
            <v>13.5</v>
          </cell>
          <cell r="Q349">
            <v>5.4561000000000002</v>
          </cell>
          <cell r="R349" t="e">
            <v>#N/A</v>
          </cell>
        </row>
        <row r="350">
          <cell r="A350">
            <v>40478</v>
          </cell>
          <cell r="B350">
            <v>40478</v>
          </cell>
          <cell r="C350" t="str">
            <v>Past</v>
          </cell>
          <cell r="D350">
            <v>13.56</v>
          </cell>
          <cell r="E350" t="e">
            <v>#N/A</v>
          </cell>
          <cell r="F350" t="e">
            <v>#N/A</v>
          </cell>
          <cell r="G350" t="e">
            <v>#N/A</v>
          </cell>
          <cell r="H350" t="e">
            <v>#N/A</v>
          </cell>
          <cell r="I350" t="e">
            <v>#N/A</v>
          </cell>
          <cell r="J350" t="e">
            <v>#N/A</v>
          </cell>
          <cell r="K350" t="e">
            <v>#N/A</v>
          </cell>
          <cell r="L350" t="e">
            <v>#N/A</v>
          </cell>
          <cell r="M350" t="e">
            <v>#N/A</v>
          </cell>
          <cell r="N350" t="e">
            <v>#N/A</v>
          </cell>
          <cell r="O350" t="e">
            <v>#N/A</v>
          </cell>
          <cell r="P350">
            <v>13.56</v>
          </cell>
          <cell r="Q350">
            <v>2.7789239999999999</v>
          </cell>
          <cell r="R350" t="e">
            <v>#N/A</v>
          </cell>
        </row>
        <row r="351">
          <cell r="A351">
            <v>40479</v>
          </cell>
          <cell r="B351">
            <v>40479</v>
          </cell>
          <cell r="C351" t="str">
            <v>Past</v>
          </cell>
          <cell r="D351">
            <v>13.61</v>
          </cell>
          <cell r="E351" t="e">
            <v>#N/A</v>
          </cell>
          <cell r="F351" t="e">
            <v>#N/A</v>
          </cell>
          <cell r="G351" t="e">
            <v>#N/A</v>
          </cell>
          <cell r="H351" t="e">
            <v>#N/A</v>
          </cell>
          <cell r="I351" t="e">
            <v>#N/A</v>
          </cell>
          <cell r="J351" t="e">
            <v>#N/A</v>
          </cell>
          <cell r="K351" t="e">
            <v>#N/A</v>
          </cell>
          <cell r="L351" t="e">
            <v>#N/A</v>
          </cell>
          <cell r="M351" t="e">
            <v>#N/A</v>
          </cell>
          <cell r="N351" t="e">
            <v>#N/A</v>
          </cell>
          <cell r="O351" t="e">
            <v>#N/A</v>
          </cell>
          <cell r="P351">
            <v>13.61</v>
          </cell>
          <cell r="Q351">
            <v>2.4458409999999997</v>
          </cell>
          <cell r="R351" t="e">
            <v>#N/A</v>
          </cell>
        </row>
        <row r="352">
          <cell r="A352">
            <v>40480</v>
          </cell>
          <cell r="B352">
            <v>40480</v>
          </cell>
          <cell r="C352" t="str">
            <v>Past</v>
          </cell>
          <cell r="D352">
            <v>13.67</v>
          </cell>
          <cell r="E352" t="e">
            <v>#N/A</v>
          </cell>
          <cell r="F352" t="e">
            <v>#N/A</v>
          </cell>
          <cell r="G352" t="e">
            <v>#N/A</v>
          </cell>
          <cell r="H352" t="e">
            <v>#N/A</v>
          </cell>
          <cell r="I352" t="e">
            <v>#N/A</v>
          </cell>
          <cell r="J352" t="e">
            <v>#N/A</v>
          </cell>
          <cell r="K352" t="e">
            <v>#N/A</v>
          </cell>
          <cell r="L352" t="e">
            <v>#N/A</v>
          </cell>
          <cell r="M352" t="e">
            <v>#N/A</v>
          </cell>
          <cell r="N352" t="e">
            <v>#N/A</v>
          </cell>
          <cell r="O352" t="e">
            <v>#N/A</v>
          </cell>
          <cell r="P352">
            <v>13.67</v>
          </cell>
          <cell r="Q352">
            <v>1.4752000000000001</v>
          </cell>
          <cell r="R352" t="e">
            <v>#N/A</v>
          </cell>
        </row>
        <row r="353">
          <cell r="A353">
            <v>40483</v>
          </cell>
          <cell r="B353">
            <v>40483</v>
          </cell>
          <cell r="C353" t="str">
            <v>Past</v>
          </cell>
          <cell r="D353">
            <v>13.68</v>
          </cell>
          <cell r="E353" t="e">
            <v>#N/A</v>
          </cell>
          <cell r="F353" t="e">
            <v>#N/A</v>
          </cell>
          <cell r="G353" t="e">
            <v>#N/A</v>
          </cell>
          <cell r="H353" t="e">
            <v>#N/A</v>
          </cell>
          <cell r="I353" t="e">
            <v>#N/A</v>
          </cell>
          <cell r="J353" t="e">
            <v>#N/A</v>
          </cell>
          <cell r="K353" t="e">
            <v>#N/A</v>
          </cell>
          <cell r="L353" t="e">
            <v>#N/A</v>
          </cell>
          <cell r="M353" t="e">
            <v>#N/A</v>
          </cell>
          <cell r="N353" t="e">
            <v>#N/A</v>
          </cell>
          <cell r="O353" t="e">
            <v>#N/A</v>
          </cell>
          <cell r="P353">
            <v>13.68</v>
          </cell>
          <cell r="Q353">
            <v>1.9509209999999999</v>
          </cell>
          <cell r="R353" t="e">
            <v>#N/A</v>
          </cell>
        </row>
        <row r="354">
          <cell r="A354">
            <v>40484</v>
          </cell>
          <cell r="B354">
            <v>40484</v>
          </cell>
          <cell r="C354" t="str">
            <v>Past</v>
          </cell>
          <cell r="D354">
            <v>13.83</v>
          </cell>
          <cell r="E354" t="e">
            <v>#N/A</v>
          </cell>
          <cell r="F354" t="e">
            <v>#N/A</v>
          </cell>
          <cell r="G354" t="e">
            <v>#N/A</v>
          </cell>
          <cell r="H354" t="e">
            <v>#N/A</v>
          </cell>
          <cell r="I354" t="e">
            <v>#N/A</v>
          </cell>
          <cell r="J354" t="e">
            <v>#N/A</v>
          </cell>
          <cell r="K354" t="e">
            <v>#N/A</v>
          </cell>
          <cell r="L354" t="e">
            <v>#N/A</v>
          </cell>
          <cell r="M354" t="e">
            <v>#N/A</v>
          </cell>
          <cell r="N354" t="e">
            <v>#N/A</v>
          </cell>
          <cell r="O354" t="e">
            <v>#N/A</v>
          </cell>
          <cell r="P354">
            <v>13.83</v>
          </cell>
          <cell r="Q354">
            <v>1.22519</v>
          </cell>
          <cell r="R354" t="e">
            <v>#N/A</v>
          </cell>
        </row>
        <row r="355">
          <cell r="A355">
            <v>40485</v>
          </cell>
          <cell r="B355">
            <v>40485</v>
          </cell>
          <cell r="C355" t="str">
            <v>Past</v>
          </cell>
          <cell r="D355">
            <v>13.83</v>
          </cell>
          <cell r="E355" t="e">
            <v>#N/A</v>
          </cell>
          <cell r="F355" t="e">
            <v>#N/A</v>
          </cell>
          <cell r="G355" t="e">
            <v>#N/A</v>
          </cell>
          <cell r="H355" t="e">
            <v>#N/A</v>
          </cell>
          <cell r="I355" t="e">
            <v>#N/A</v>
          </cell>
          <cell r="J355" t="e">
            <v>#N/A</v>
          </cell>
          <cell r="K355" t="e">
            <v>#N/A</v>
          </cell>
          <cell r="L355" t="e">
            <v>#N/A</v>
          </cell>
          <cell r="M355" t="e">
            <v>#N/A</v>
          </cell>
          <cell r="N355" t="e">
            <v>#N/A</v>
          </cell>
          <cell r="O355" t="e">
            <v>#N/A</v>
          </cell>
          <cell r="P355">
            <v>13.83</v>
          </cell>
          <cell r="Q355">
            <v>1.352117</v>
          </cell>
          <cell r="R355" t="e">
            <v>#N/A</v>
          </cell>
        </row>
        <row r="356">
          <cell r="A356">
            <v>40486</v>
          </cell>
          <cell r="B356">
            <v>40486</v>
          </cell>
          <cell r="C356" t="str">
            <v>Past</v>
          </cell>
          <cell r="D356">
            <v>14.01</v>
          </cell>
          <cell r="E356" t="e">
            <v>#N/A</v>
          </cell>
          <cell r="F356" t="e">
            <v>#N/A</v>
          </cell>
          <cell r="G356" t="e">
            <v>#N/A</v>
          </cell>
          <cell r="H356" t="e">
            <v>#N/A</v>
          </cell>
          <cell r="I356" t="e">
            <v>#N/A</v>
          </cell>
          <cell r="J356" t="e">
            <v>#N/A</v>
          </cell>
          <cell r="K356" t="e">
            <v>#N/A</v>
          </cell>
          <cell r="L356" t="e">
            <v>#N/A</v>
          </cell>
          <cell r="M356" t="e">
            <v>#N/A</v>
          </cell>
          <cell r="N356" t="e">
            <v>#N/A</v>
          </cell>
          <cell r="O356" t="e">
            <v>#N/A</v>
          </cell>
          <cell r="P356">
            <v>14.01</v>
          </cell>
          <cell r="Q356">
            <v>1.294834</v>
          </cell>
          <cell r="R356" t="e">
            <v>#N/A</v>
          </cell>
        </row>
        <row r="357">
          <cell r="A357">
            <v>40487</v>
          </cell>
          <cell r="B357">
            <v>40487</v>
          </cell>
          <cell r="C357" t="str">
            <v>Past</v>
          </cell>
          <cell r="D357">
            <v>14.08</v>
          </cell>
          <cell r="E357" t="e">
            <v>#N/A</v>
          </cell>
          <cell r="F357" t="e">
            <v>#N/A</v>
          </cell>
          <cell r="G357" t="e">
            <v>#N/A</v>
          </cell>
          <cell r="H357" t="e">
            <v>#N/A</v>
          </cell>
          <cell r="I357" t="e">
            <v>#N/A</v>
          </cell>
          <cell r="J357" t="e">
            <v>#N/A</v>
          </cell>
          <cell r="K357" t="e">
            <v>#N/A</v>
          </cell>
          <cell r="L357" t="e">
            <v>#N/A</v>
          </cell>
          <cell r="M357" t="e">
            <v>#N/A</v>
          </cell>
          <cell r="N357" t="e">
            <v>#N/A</v>
          </cell>
          <cell r="O357" t="e">
            <v>#N/A</v>
          </cell>
          <cell r="P357">
            <v>14.08</v>
          </cell>
          <cell r="Q357">
            <v>1.4330669999999999</v>
          </cell>
          <cell r="R357" t="e">
            <v>#N/A</v>
          </cell>
        </row>
        <row r="358">
          <cell r="A358">
            <v>40490</v>
          </cell>
          <cell r="B358">
            <v>40490</v>
          </cell>
          <cell r="C358" t="str">
            <v>Past</v>
          </cell>
          <cell r="D358">
            <v>14.04</v>
          </cell>
          <cell r="E358" t="e">
            <v>#N/A</v>
          </cell>
          <cell r="F358" t="e">
            <v>#N/A</v>
          </cell>
          <cell r="G358" t="e">
            <v>#N/A</v>
          </cell>
          <cell r="H358" t="e">
            <v>#N/A</v>
          </cell>
          <cell r="I358" t="e">
            <v>#N/A</v>
          </cell>
          <cell r="J358" t="e">
            <v>#N/A</v>
          </cell>
          <cell r="K358" t="e">
            <v>#N/A</v>
          </cell>
          <cell r="L358" t="e">
            <v>#N/A</v>
          </cell>
          <cell r="M358" t="e">
            <v>#N/A</v>
          </cell>
          <cell r="N358" t="e">
            <v>#N/A</v>
          </cell>
          <cell r="O358" t="e">
            <v>#N/A</v>
          </cell>
          <cell r="P358">
            <v>14.04</v>
          </cell>
          <cell r="Q358">
            <v>1.399796</v>
          </cell>
          <cell r="R358" t="e">
            <v>#N/A</v>
          </cell>
        </row>
        <row r="359">
          <cell r="A359">
            <v>40491</v>
          </cell>
          <cell r="B359">
            <v>40491</v>
          </cell>
          <cell r="C359" t="str">
            <v>Past</v>
          </cell>
          <cell r="D359">
            <v>13.95</v>
          </cell>
          <cell r="E359" t="e">
            <v>#N/A</v>
          </cell>
          <cell r="F359" t="e">
            <v>#N/A</v>
          </cell>
          <cell r="G359" t="e">
            <v>#N/A</v>
          </cell>
          <cell r="H359" t="e">
            <v>#N/A</v>
          </cell>
          <cell r="I359" t="e">
            <v>#N/A</v>
          </cell>
          <cell r="J359" t="e">
            <v>#N/A</v>
          </cell>
          <cell r="K359" t="e">
            <v>#N/A</v>
          </cell>
          <cell r="L359" t="e">
            <v>#N/A</v>
          </cell>
          <cell r="M359" t="e">
            <v>#N/A</v>
          </cell>
          <cell r="N359" t="e">
            <v>#N/A</v>
          </cell>
          <cell r="O359" t="e">
            <v>#N/A</v>
          </cell>
          <cell r="P359">
            <v>13.95</v>
          </cell>
          <cell r="Q359">
            <v>1.2766789999999999</v>
          </cell>
          <cell r="R359" t="e">
            <v>#N/A</v>
          </cell>
        </row>
        <row r="360">
          <cell r="A360">
            <v>40492</v>
          </cell>
          <cell r="B360">
            <v>40492</v>
          </cell>
          <cell r="C360" t="str">
            <v>Past</v>
          </cell>
          <cell r="D360">
            <v>13.85</v>
          </cell>
          <cell r="E360" t="e">
            <v>#N/A</v>
          </cell>
          <cell r="F360" t="e">
            <v>#N/A</v>
          </cell>
          <cell r="G360" t="e">
            <v>#N/A</v>
          </cell>
          <cell r="H360" t="e">
            <v>#N/A</v>
          </cell>
          <cell r="I360" t="e">
            <v>#N/A</v>
          </cell>
          <cell r="J360" t="e">
            <v>#N/A</v>
          </cell>
          <cell r="K360" t="e">
            <v>#N/A</v>
          </cell>
          <cell r="L360" t="e">
            <v>#N/A</v>
          </cell>
          <cell r="M360" t="e">
            <v>#N/A</v>
          </cell>
          <cell r="N360" t="e">
            <v>#N/A</v>
          </cell>
          <cell r="O360" t="e">
            <v>#N/A</v>
          </cell>
          <cell r="P360">
            <v>13.85</v>
          </cell>
          <cell r="Q360">
            <v>1.4169559999999999</v>
          </cell>
          <cell r="R360" t="e">
            <v>#N/A</v>
          </cell>
        </row>
        <row r="361">
          <cell r="A361">
            <v>40493</v>
          </cell>
          <cell r="B361">
            <v>40493</v>
          </cell>
          <cell r="C361" t="str">
            <v>Past</v>
          </cell>
          <cell r="D361">
            <v>13.81</v>
          </cell>
          <cell r="E361" t="e">
            <v>#N/A</v>
          </cell>
          <cell r="F361" t="e">
            <v>#N/A</v>
          </cell>
          <cell r="G361" t="e">
            <v>#N/A</v>
          </cell>
          <cell r="H361" t="e">
            <v>#N/A</v>
          </cell>
          <cell r="I361" t="e">
            <v>#N/A</v>
          </cell>
          <cell r="J361" t="e">
            <v>#N/A</v>
          </cell>
          <cell r="K361" t="e">
            <v>#N/A</v>
          </cell>
          <cell r="L361" t="e">
            <v>#N/A</v>
          </cell>
          <cell r="M361" t="e">
            <v>#N/A</v>
          </cell>
          <cell r="N361" t="e">
            <v>#N/A</v>
          </cell>
          <cell r="O361" t="e">
            <v>#N/A</v>
          </cell>
          <cell r="P361">
            <v>13.81</v>
          </cell>
          <cell r="Q361">
            <v>1.0204959999999998</v>
          </cell>
          <cell r="R361" t="e">
            <v>#N/A</v>
          </cell>
        </row>
        <row r="362">
          <cell r="A362">
            <v>40494</v>
          </cell>
          <cell r="B362">
            <v>40494</v>
          </cell>
          <cell r="C362" t="str">
            <v>Past</v>
          </cell>
          <cell r="D362">
            <v>13.78</v>
          </cell>
          <cell r="E362" t="e">
            <v>#N/A</v>
          </cell>
          <cell r="F362" t="e">
            <v>#N/A</v>
          </cell>
          <cell r="G362" t="e">
            <v>#N/A</v>
          </cell>
          <cell r="H362" t="e">
            <v>#N/A</v>
          </cell>
          <cell r="I362" t="e">
            <v>#N/A</v>
          </cell>
          <cell r="J362" t="e">
            <v>#N/A</v>
          </cell>
          <cell r="K362" t="e">
            <v>#N/A</v>
          </cell>
          <cell r="L362" t="e">
            <v>#N/A</v>
          </cell>
          <cell r="M362" t="e">
            <v>#N/A</v>
          </cell>
          <cell r="N362" t="e">
            <v>#N/A</v>
          </cell>
          <cell r="O362" t="e">
            <v>#N/A</v>
          </cell>
          <cell r="P362">
            <v>13.78</v>
          </cell>
          <cell r="Q362">
            <v>2.466567</v>
          </cell>
          <cell r="R362" t="e">
            <v>#N/A</v>
          </cell>
        </row>
        <row r="363">
          <cell r="A363">
            <v>40497</v>
          </cell>
          <cell r="B363">
            <v>40497</v>
          </cell>
          <cell r="C363" t="str">
            <v>Past</v>
          </cell>
          <cell r="D363">
            <v>13.86</v>
          </cell>
          <cell r="E363" t="e">
            <v>#N/A</v>
          </cell>
          <cell r="F363" t="e">
            <v>#N/A</v>
          </cell>
          <cell r="G363" t="e">
            <v>#N/A</v>
          </cell>
          <cell r="H363" t="e">
            <v>#N/A</v>
          </cell>
          <cell r="I363" t="e">
            <v>#N/A</v>
          </cell>
          <cell r="J363" t="e">
            <v>#N/A</v>
          </cell>
          <cell r="K363" t="e">
            <v>#N/A</v>
          </cell>
          <cell r="L363" t="e">
            <v>#N/A</v>
          </cell>
          <cell r="M363" t="e">
            <v>#N/A</v>
          </cell>
          <cell r="N363" t="e">
            <v>#N/A</v>
          </cell>
          <cell r="O363" t="e">
            <v>#N/A</v>
          </cell>
          <cell r="P363">
            <v>13.86</v>
          </cell>
          <cell r="Q363">
            <v>1.445506</v>
          </cell>
          <cell r="R363" t="e">
            <v>#N/A</v>
          </cell>
        </row>
        <row r="364">
          <cell r="A364">
            <v>40498</v>
          </cell>
          <cell r="B364">
            <v>40498</v>
          </cell>
          <cell r="C364" t="str">
            <v>Past</v>
          </cell>
          <cell r="D364">
            <v>13.58</v>
          </cell>
          <cell r="E364" t="e">
            <v>#N/A</v>
          </cell>
          <cell r="F364" t="e">
            <v>#N/A</v>
          </cell>
          <cell r="G364" t="e">
            <v>#N/A</v>
          </cell>
          <cell r="H364" t="e">
            <v>#N/A</v>
          </cell>
          <cell r="I364" t="e">
            <v>#N/A</v>
          </cell>
          <cell r="J364" t="e">
            <v>#N/A</v>
          </cell>
          <cell r="K364" t="e">
            <v>#N/A</v>
          </cell>
          <cell r="L364" t="e">
            <v>#N/A</v>
          </cell>
          <cell r="M364" t="e">
            <v>#N/A</v>
          </cell>
          <cell r="N364" t="e">
            <v>#N/A</v>
          </cell>
          <cell r="O364" t="e">
            <v>#N/A</v>
          </cell>
          <cell r="P364">
            <v>13.58</v>
          </cell>
          <cell r="Q364">
            <v>2.116126</v>
          </cell>
          <cell r="R364" t="e">
            <v>#N/A</v>
          </cell>
        </row>
        <row r="365">
          <cell r="A365">
            <v>40499</v>
          </cell>
          <cell r="B365">
            <v>40499</v>
          </cell>
          <cell r="C365" t="str">
            <v>Past</v>
          </cell>
          <cell r="D365">
            <v>13.57</v>
          </cell>
          <cell r="E365" t="e">
            <v>#N/A</v>
          </cell>
          <cell r="F365" t="e">
            <v>#N/A</v>
          </cell>
          <cell r="G365" t="e">
            <v>#N/A</v>
          </cell>
          <cell r="H365" t="e">
            <v>#N/A</v>
          </cell>
          <cell r="I365" t="e">
            <v>#N/A</v>
          </cell>
          <cell r="J365" t="e">
            <v>#N/A</v>
          </cell>
          <cell r="K365" t="e">
            <v>#N/A</v>
          </cell>
          <cell r="L365" t="e">
            <v>#N/A</v>
          </cell>
          <cell r="M365" t="e">
            <v>#N/A</v>
          </cell>
          <cell r="N365" t="e">
            <v>#N/A</v>
          </cell>
          <cell r="O365" t="e">
            <v>#N/A</v>
          </cell>
          <cell r="P365">
            <v>13.57</v>
          </cell>
          <cell r="Q365">
            <v>1.1772229999999999</v>
          </cell>
          <cell r="R365" t="e">
            <v>#N/A</v>
          </cell>
        </row>
        <row r="366">
          <cell r="A366">
            <v>40500</v>
          </cell>
          <cell r="B366">
            <v>40500</v>
          </cell>
          <cell r="C366" t="str">
            <v>Past</v>
          </cell>
          <cell r="D366">
            <v>13.69</v>
          </cell>
          <cell r="E366" t="e">
            <v>#N/A</v>
          </cell>
          <cell r="F366" t="e">
            <v>#N/A</v>
          </cell>
          <cell r="G366" t="e">
            <v>#N/A</v>
          </cell>
          <cell r="H366" t="e">
            <v>#N/A</v>
          </cell>
          <cell r="I366" t="e">
            <v>#N/A</v>
          </cell>
          <cell r="J366" t="e">
            <v>#N/A</v>
          </cell>
          <cell r="K366" t="e">
            <v>#N/A</v>
          </cell>
          <cell r="L366" t="e">
            <v>#N/A</v>
          </cell>
          <cell r="M366" t="e">
            <v>#N/A</v>
          </cell>
          <cell r="N366" t="e">
            <v>#N/A</v>
          </cell>
          <cell r="O366" t="e">
            <v>#N/A</v>
          </cell>
          <cell r="P366">
            <v>13.69</v>
          </cell>
          <cell r="Q366">
            <v>0.73825699999999994</v>
          </cell>
          <cell r="R366" t="e">
            <v>#N/A</v>
          </cell>
        </row>
        <row r="367">
          <cell r="A367">
            <v>40501</v>
          </cell>
          <cell r="B367">
            <v>40501</v>
          </cell>
          <cell r="C367" t="str">
            <v>Past</v>
          </cell>
          <cell r="D367">
            <v>13.71</v>
          </cell>
          <cell r="E367" t="e">
            <v>#N/A</v>
          </cell>
          <cell r="F367" t="e">
            <v>#N/A</v>
          </cell>
          <cell r="G367" t="e">
            <v>#N/A</v>
          </cell>
          <cell r="H367" t="e">
            <v>#N/A</v>
          </cell>
          <cell r="I367" t="e">
            <v>#N/A</v>
          </cell>
          <cell r="J367" t="e">
            <v>#N/A</v>
          </cell>
          <cell r="K367" t="e">
            <v>#N/A</v>
          </cell>
          <cell r="L367" t="e">
            <v>#N/A</v>
          </cell>
          <cell r="M367" t="e">
            <v>#N/A</v>
          </cell>
          <cell r="N367" t="e">
            <v>#N/A</v>
          </cell>
          <cell r="O367" t="e">
            <v>#N/A</v>
          </cell>
          <cell r="P367">
            <v>13.71</v>
          </cell>
          <cell r="Q367">
            <v>0.69165399999999999</v>
          </cell>
          <cell r="R367" t="e">
            <v>#N/A</v>
          </cell>
        </row>
        <row r="368">
          <cell r="A368">
            <v>40504</v>
          </cell>
          <cell r="B368">
            <v>40504</v>
          </cell>
          <cell r="C368" t="str">
            <v>Past</v>
          </cell>
          <cell r="D368">
            <v>13.9</v>
          </cell>
          <cell r="E368" t="e">
            <v>#N/A</v>
          </cell>
          <cell r="F368" t="e">
            <v>#N/A</v>
          </cell>
          <cell r="G368" t="e">
            <v>#N/A</v>
          </cell>
          <cell r="H368" t="e">
            <v>#N/A</v>
          </cell>
          <cell r="I368" t="e">
            <v>#N/A</v>
          </cell>
          <cell r="J368" t="e">
            <v>#N/A</v>
          </cell>
          <cell r="K368" t="e">
            <v>#N/A</v>
          </cell>
          <cell r="L368" t="e">
            <v>#N/A</v>
          </cell>
          <cell r="M368" t="e">
            <v>#N/A</v>
          </cell>
          <cell r="N368" t="e">
            <v>#N/A</v>
          </cell>
          <cell r="O368" t="e">
            <v>#N/A</v>
          </cell>
          <cell r="P368">
            <v>13.9</v>
          </cell>
          <cell r="Q368">
            <v>1.7465309999999998</v>
          </cell>
          <cell r="R368" t="e">
            <v>#N/A</v>
          </cell>
        </row>
        <row r="369">
          <cell r="A369">
            <v>40505</v>
          </cell>
          <cell r="B369">
            <v>40505</v>
          </cell>
          <cell r="C369" t="str">
            <v>Past</v>
          </cell>
          <cell r="D369">
            <v>13.77</v>
          </cell>
          <cell r="E369" t="e">
            <v>#N/A</v>
          </cell>
          <cell r="F369" t="e">
            <v>#N/A</v>
          </cell>
          <cell r="G369" t="e">
            <v>#N/A</v>
          </cell>
          <cell r="H369" t="e">
            <v>#N/A</v>
          </cell>
          <cell r="I369" t="e">
            <v>#N/A</v>
          </cell>
          <cell r="J369" t="e">
            <v>#N/A</v>
          </cell>
          <cell r="K369" t="e">
            <v>#N/A</v>
          </cell>
          <cell r="L369" t="e">
            <v>#N/A</v>
          </cell>
          <cell r="M369" t="e">
            <v>#N/A</v>
          </cell>
          <cell r="N369" t="e">
            <v>#N/A</v>
          </cell>
          <cell r="O369" t="e">
            <v>#N/A</v>
          </cell>
          <cell r="P369">
            <v>13.77</v>
          </cell>
          <cell r="Q369">
            <v>1.594803</v>
          </cell>
          <cell r="R369" t="e">
            <v>#N/A</v>
          </cell>
        </row>
        <row r="370">
          <cell r="A370">
            <v>40506</v>
          </cell>
          <cell r="B370">
            <v>40506</v>
          </cell>
          <cell r="C370" t="str">
            <v>Past</v>
          </cell>
          <cell r="D370">
            <v>13.92</v>
          </cell>
          <cell r="E370" t="e">
            <v>#N/A</v>
          </cell>
          <cell r="F370" t="e">
            <v>#N/A</v>
          </cell>
          <cell r="G370" t="e">
            <v>#N/A</v>
          </cell>
          <cell r="H370" t="e">
            <v>#N/A</v>
          </cell>
          <cell r="I370" t="e">
            <v>#N/A</v>
          </cell>
          <cell r="J370" t="e">
            <v>#N/A</v>
          </cell>
          <cell r="K370" t="e">
            <v>#N/A</v>
          </cell>
          <cell r="L370" t="e">
            <v>#N/A</v>
          </cell>
          <cell r="M370" t="e">
            <v>#N/A</v>
          </cell>
          <cell r="N370" t="e">
            <v>#N/A</v>
          </cell>
          <cell r="O370" t="e">
            <v>#N/A</v>
          </cell>
          <cell r="P370">
            <v>13.92</v>
          </cell>
          <cell r="Q370">
            <v>1.474548</v>
          </cell>
          <cell r="R370" t="e">
            <v>#N/A</v>
          </cell>
        </row>
        <row r="371">
          <cell r="A371">
            <v>40508</v>
          </cell>
          <cell r="B371">
            <v>40508</v>
          </cell>
          <cell r="C371" t="str">
            <v>Past</v>
          </cell>
          <cell r="D371">
            <v>13.83</v>
          </cell>
          <cell r="E371" t="e">
            <v>#N/A</v>
          </cell>
          <cell r="F371" t="e">
            <v>#N/A</v>
          </cell>
          <cell r="G371" t="e">
            <v>#N/A</v>
          </cell>
          <cell r="H371" t="e">
            <v>#N/A</v>
          </cell>
          <cell r="I371" t="e">
            <v>#N/A</v>
          </cell>
          <cell r="J371" t="e">
            <v>#N/A</v>
          </cell>
          <cell r="K371" t="e">
            <v>#N/A</v>
          </cell>
          <cell r="L371" t="e">
            <v>#N/A</v>
          </cell>
          <cell r="M371" t="e">
            <v>#N/A</v>
          </cell>
          <cell r="N371" t="e">
            <v>#N/A</v>
          </cell>
          <cell r="O371" t="e">
            <v>#N/A</v>
          </cell>
          <cell r="P371">
            <v>13.83</v>
          </cell>
          <cell r="Q371">
            <v>0.74225599999999992</v>
          </cell>
          <cell r="R371" t="e">
            <v>#N/A</v>
          </cell>
        </row>
        <row r="372">
          <cell r="A372">
            <v>40511</v>
          </cell>
          <cell r="B372">
            <v>40511</v>
          </cell>
          <cell r="C372" t="str">
            <v>Past</v>
          </cell>
          <cell r="D372">
            <v>13.7</v>
          </cell>
          <cell r="E372" t="e">
            <v>#N/A</v>
          </cell>
          <cell r="F372" t="e">
            <v>#N/A</v>
          </cell>
          <cell r="G372" t="e">
            <v>#N/A</v>
          </cell>
          <cell r="H372" t="e">
            <v>#N/A</v>
          </cell>
          <cell r="I372" t="e">
            <v>#N/A</v>
          </cell>
          <cell r="J372" t="e">
            <v>#N/A</v>
          </cell>
          <cell r="K372" t="e">
            <v>#N/A</v>
          </cell>
          <cell r="L372" t="e">
            <v>#N/A</v>
          </cell>
          <cell r="M372" t="e">
            <v>#N/A</v>
          </cell>
          <cell r="N372" t="e">
            <v>#N/A</v>
          </cell>
          <cell r="O372" t="e">
            <v>#N/A</v>
          </cell>
          <cell r="P372">
            <v>13.7</v>
          </cell>
          <cell r="Q372">
            <v>1.363807</v>
          </cell>
          <cell r="R372" t="e">
            <v>#N/A</v>
          </cell>
        </row>
        <row r="373">
          <cell r="A373">
            <v>40512</v>
          </cell>
          <cell r="B373">
            <v>40512</v>
          </cell>
          <cell r="C373" t="str">
            <v>Past</v>
          </cell>
          <cell r="D373">
            <v>13.69</v>
          </cell>
          <cell r="E373" t="e">
            <v>#N/A</v>
          </cell>
          <cell r="F373" t="e">
            <v>#N/A</v>
          </cell>
          <cell r="G373" t="e">
            <v>#N/A</v>
          </cell>
          <cell r="H373" t="e">
            <v>#N/A</v>
          </cell>
          <cell r="I373" t="e">
            <v>#N/A</v>
          </cell>
          <cell r="J373" t="e">
            <v>#N/A</v>
          </cell>
          <cell r="K373" t="e">
            <v>#N/A</v>
          </cell>
          <cell r="L373" t="e">
            <v>#N/A</v>
          </cell>
          <cell r="M373" t="e">
            <v>#N/A</v>
          </cell>
          <cell r="N373" t="e">
            <v>#N/A</v>
          </cell>
          <cell r="O373" t="e">
            <v>#N/A</v>
          </cell>
          <cell r="P373">
            <v>13.69</v>
          </cell>
          <cell r="Q373">
            <v>1.213838</v>
          </cell>
          <cell r="R373" t="e">
            <v>#N/A</v>
          </cell>
        </row>
        <row r="374">
          <cell r="A374">
            <v>40513</v>
          </cell>
          <cell r="B374">
            <v>40513</v>
          </cell>
          <cell r="C374" t="str">
            <v>Past</v>
          </cell>
          <cell r="D374">
            <v>13.89</v>
          </cell>
          <cell r="E374" t="e">
            <v>#N/A</v>
          </cell>
          <cell r="F374" t="e">
            <v>#N/A</v>
          </cell>
          <cell r="G374" t="e">
            <v>#N/A</v>
          </cell>
          <cell r="H374" t="e">
            <v>#N/A</v>
          </cell>
          <cell r="I374" t="e">
            <v>#N/A</v>
          </cell>
          <cell r="J374" t="e">
            <v>#N/A</v>
          </cell>
          <cell r="K374" t="e">
            <v>#N/A</v>
          </cell>
          <cell r="L374" t="e">
            <v>#N/A</v>
          </cell>
          <cell r="M374" t="e">
            <v>#N/A</v>
          </cell>
          <cell r="N374" t="e">
            <v>#N/A</v>
          </cell>
          <cell r="O374" t="e">
            <v>#N/A</v>
          </cell>
          <cell r="P374">
            <v>13.89</v>
          </cell>
          <cell r="Q374">
            <v>1.3721729999999999</v>
          </cell>
          <cell r="R374" t="e">
            <v>#N/A</v>
          </cell>
        </row>
        <row r="375">
          <cell r="A375">
            <v>40514</v>
          </cell>
          <cell r="B375">
            <v>40514</v>
          </cell>
          <cell r="C375" t="str">
            <v>Past</v>
          </cell>
          <cell r="D375">
            <v>13.94</v>
          </cell>
          <cell r="E375" t="e">
            <v>#N/A</v>
          </cell>
          <cell r="F375" t="e">
            <v>#N/A</v>
          </cell>
          <cell r="G375" t="e">
            <v>#N/A</v>
          </cell>
          <cell r="H375" t="e">
            <v>#N/A</v>
          </cell>
          <cell r="I375" t="e">
            <v>#N/A</v>
          </cell>
          <cell r="J375" t="e">
            <v>#N/A</v>
          </cell>
          <cell r="K375" t="e">
            <v>#N/A</v>
          </cell>
          <cell r="L375" t="e">
            <v>#N/A</v>
          </cell>
          <cell r="M375" t="e">
            <v>#N/A</v>
          </cell>
          <cell r="N375" t="e">
            <v>#N/A</v>
          </cell>
          <cell r="O375" t="e">
            <v>#N/A</v>
          </cell>
          <cell r="P375">
            <v>13.94</v>
          </cell>
          <cell r="Q375">
            <v>1.5730659999999999</v>
          </cell>
          <cell r="R375" t="e">
            <v>#N/A</v>
          </cell>
        </row>
        <row r="376">
          <cell r="A376">
            <v>40515</v>
          </cell>
          <cell r="B376">
            <v>40515</v>
          </cell>
          <cell r="C376" t="str">
            <v>Past</v>
          </cell>
          <cell r="D376">
            <v>13.92</v>
          </cell>
          <cell r="E376" t="e">
            <v>#N/A</v>
          </cell>
          <cell r="F376" t="e">
            <v>#N/A</v>
          </cell>
          <cell r="G376" t="e">
            <v>#N/A</v>
          </cell>
          <cell r="H376" t="e">
            <v>#N/A</v>
          </cell>
          <cell r="I376" t="e">
            <v>#N/A</v>
          </cell>
          <cell r="J376" t="e">
            <v>#N/A</v>
          </cell>
          <cell r="K376" t="e">
            <v>#N/A</v>
          </cell>
          <cell r="L376" t="e">
            <v>#N/A</v>
          </cell>
          <cell r="M376" t="e">
            <v>#N/A</v>
          </cell>
          <cell r="N376" t="e">
            <v>#N/A</v>
          </cell>
          <cell r="O376" t="e">
            <v>#N/A</v>
          </cell>
          <cell r="P376">
            <v>13.92</v>
          </cell>
          <cell r="Q376">
            <v>1.3870339999999999</v>
          </cell>
          <cell r="R376" t="e">
            <v>#N/A</v>
          </cell>
        </row>
        <row r="377">
          <cell r="A377">
            <v>40518</v>
          </cell>
          <cell r="B377">
            <v>40518</v>
          </cell>
          <cell r="C377" t="str">
            <v>Past</v>
          </cell>
          <cell r="D377">
            <v>13.9</v>
          </cell>
          <cell r="E377" t="e">
            <v>#N/A</v>
          </cell>
          <cell r="F377" t="e">
            <v>#N/A</v>
          </cell>
          <cell r="G377" t="e">
            <v>#N/A</v>
          </cell>
          <cell r="H377" t="e">
            <v>#N/A</v>
          </cell>
          <cell r="I377" t="e">
            <v>#N/A</v>
          </cell>
          <cell r="J377" t="e">
            <v>#N/A</v>
          </cell>
          <cell r="K377" t="e">
            <v>#N/A</v>
          </cell>
          <cell r="L377" t="e">
            <v>#N/A</v>
          </cell>
          <cell r="M377" t="e">
            <v>#N/A</v>
          </cell>
          <cell r="N377" t="e">
            <v>#N/A</v>
          </cell>
          <cell r="O377" t="e">
            <v>#N/A</v>
          </cell>
          <cell r="P377">
            <v>13.9</v>
          </cell>
          <cell r="Q377">
            <v>0.99063099999999993</v>
          </cell>
          <cell r="R377" t="e">
            <v>#N/A</v>
          </cell>
        </row>
        <row r="378">
          <cell r="A378">
            <v>40519</v>
          </cell>
          <cell r="B378">
            <v>40519</v>
          </cell>
          <cell r="C378" t="str">
            <v>Past</v>
          </cell>
          <cell r="D378">
            <v>13.85</v>
          </cell>
          <cell r="E378" t="e">
            <v>#N/A</v>
          </cell>
          <cell r="F378" t="e">
            <v>#N/A</v>
          </cell>
          <cell r="G378" t="e">
            <v>#N/A</v>
          </cell>
          <cell r="H378" t="e">
            <v>#N/A</v>
          </cell>
          <cell r="I378" t="e">
            <v>#N/A</v>
          </cell>
          <cell r="J378" t="e">
            <v>#N/A</v>
          </cell>
          <cell r="K378" t="e">
            <v>#N/A</v>
          </cell>
          <cell r="L378" t="e">
            <v>#N/A</v>
          </cell>
          <cell r="M378" t="e">
            <v>#N/A</v>
          </cell>
          <cell r="N378" t="e">
            <v>#N/A</v>
          </cell>
          <cell r="O378" t="e">
            <v>#N/A</v>
          </cell>
          <cell r="P378">
            <v>13.85</v>
          </cell>
          <cell r="Q378">
            <v>1.4670259999999999</v>
          </cell>
          <cell r="R378" t="e">
            <v>#N/A</v>
          </cell>
        </row>
        <row r="379">
          <cell r="A379">
            <v>40520</v>
          </cell>
          <cell r="B379">
            <v>40520</v>
          </cell>
          <cell r="C379" t="str">
            <v>Past</v>
          </cell>
          <cell r="D379">
            <v>13.68</v>
          </cell>
          <cell r="E379" t="e">
            <v>#N/A</v>
          </cell>
          <cell r="F379" t="e">
            <v>#N/A</v>
          </cell>
          <cell r="G379" t="e">
            <v>#N/A</v>
          </cell>
          <cell r="H379" t="e">
            <v>#N/A</v>
          </cell>
          <cell r="I379" t="e">
            <v>#N/A</v>
          </cell>
          <cell r="J379" t="e">
            <v>#N/A</v>
          </cell>
          <cell r="K379" t="e">
            <v>#N/A</v>
          </cell>
          <cell r="L379" t="e">
            <v>#N/A</v>
          </cell>
          <cell r="M379" t="e">
            <v>#N/A</v>
          </cell>
          <cell r="N379" t="e">
            <v>#N/A</v>
          </cell>
          <cell r="O379" t="e">
            <v>#N/A</v>
          </cell>
          <cell r="P379">
            <v>13.68</v>
          </cell>
          <cell r="Q379">
            <v>1.306387</v>
          </cell>
          <cell r="R379" t="e">
            <v>#N/A</v>
          </cell>
        </row>
        <row r="380">
          <cell r="A380">
            <v>40521</v>
          </cell>
          <cell r="B380">
            <v>40521</v>
          </cell>
          <cell r="C380" t="str">
            <v>Past</v>
          </cell>
          <cell r="D380">
            <v>13.76</v>
          </cell>
          <cell r="E380" t="e">
            <v>#N/A</v>
          </cell>
          <cell r="F380" t="e">
            <v>#N/A</v>
          </cell>
          <cell r="G380" t="e">
            <v>#N/A</v>
          </cell>
          <cell r="H380" t="e">
            <v>#N/A</v>
          </cell>
          <cell r="I380" t="e">
            <v>#N/A</v>
          </cell>
          <cell r="J380" t="e">
            <v>#N/A</v>
          </cell>
          <cell r="K380" t="e">
            <v>#N/A</v>
          </cell>
          <cell r="L380" t="e">
            <v>#N/A</v>
          </cell>
          <cell r="M380" t="e">
            <v>#N/A</v>
          </cell>
          <cell r="N380" t="e">
            <v>#N/A</v>
          </cell>
          <cell r="O380" t="e">
            <v>#N/A</v>
          </cell>
          <cell r="P380">
            <v>13.76</v>
          </cell>
          <cell r="Q380">
            <v>1.0436049999999999</v>
          </cell>
          <cell r="R380" t="e">
            <v>#N/A</v>
          </cell>
        </row>
        <row r="381">
          <cell r="A381">
            <v>40522</v>
          </cell>
          <cell r="B381">
            <v>40522</v>
          </cell>
          <cell r="C381" t="str">
            <v>Past</v>
          </cell>
          <cell r="D381">
            <v>13.85</v>
          </cell>
          <cell r="E381" t="e">
            <v>#N/A</v>
          </cell>
          <cell r="F381" t="e">
            <v>#N/A</v>
          </cell>
          <cell r="G381" t="e">
            <v>#N/A</v>
          </cell>
          <cell r="H381" t="e">
            <v>#N/A</v>
          </cell>
          <cell r="I381" t="e">
            <v>#N/A</v>
          </cell>
          <cell r="J381" t="e">
            <v>#N/A</v>
          </cell>
          <cell r="K381" t="e">
            <v>#N/A</v>
          </cell>
          <cell r="L381" t="e">
            <v>#N/A</v>
          </cell>
          <cell r="M381" t="e">
            <v>#N/A</v>
          </cell>
          <cell r="N381" t="e">
            <v>#N/A</v>
          </cell>
          <cell r="O381" t="e">
            <v>#N/A</v>
          </cell>
          <cell r="P381">
            <v>13.85</v>
          </cell>
          <cell r="Q381">
            <v>0.75632599999999994</v>
          </cell>
          <cell r="R381" t="e">
            <v>#N/A</v>
          </cell>
        </row>
        <row r="382">
          <cell r="A382">
            <v>40525</v>
          </cell>
          <cell r="B382">
            <v>40525</v>
          </cell>
          <cell r="C382" t="str">
            <v>Past</v>
          </cell>
          <cell r="D382">
            <v>13.92</v>
          </cell>
          <cell r="E382" t="e">
            <v>#N/A</v>
          </cell>
          <cell r="F382" t="e">
            <v>#N/A</v>
          </cell>
          <cell r="G382" t="e">
            <v>#N/A</v>
          </cell>
          <cell r="H382" t="e">
            <v>#N/A</v>
          </cell>
          <cell r="I382" t="e">
            <v>#N/A</v>
          </cell>
          <cell r="J382" t="e">
            <v>#N/A</v>
          </cell>
          <cell r="K382" t="e">
            <v>#N/A</v>
          </cell>
          <cell r="L382" t="e">
            <v>#N/A</v>
          </cell>
          <cell r="M382" t="e">
            <v>#N/A</v>
          </cell>
          <cell r="N382" t="e">
            <v>#N/A</v>
          </cell>
          <cell r="O382" t="e">
            <v>#N/A</v>
          </cell>
          <cell r="P382">
            <v>13.92</v>
          </cell>
          <cell r="Q382">
            <v>1.0436159999999999</v>
          </cell>
          <cell r="R382" t="e">
            <v>#N/A</v>
          </cell>
        </row>
        <row r="383">
          <cell r="A383">
            <v>40526</v>
          </cell>
          <cell r="B383">
            <v>40526</v>
          </cell>
          <cell r="C383" t="str">
            <v>Past</v>
          </cell>
          <cell r="D383">
            <v>13.99</v>
          </cell>
          <cell r="E383" t="e">
            <v>#N/A</v>
          </cell>
          <cell r="F383" t="e">
            <v>#N/A</v>
          </cell>
          <cell r="G383" t="e">
            <v>#N/A</v>
          </cell>
          <cell r="H383" t="e">
            <v>#N/A</v>
          </cell>
          <cell r="I383" t="e">
            <v>#N/A</v>
          </cell>
          <cell r="J383" t="e">
            <v>#N/A</v>
          </cell>
          <cell r="K383" t="e">
            <v>#N/A</v>
          </cell>
          <cell r="L383" t="e">
            <v>#N/A</v>
          </cell>
          <cell r="M383" t="e">
            <v>#N/A</v>
          </cell>
          <cell r="N383" t="e">
            <v>#N/A</v>
          </cell>
          <cell r="O383" t="e">
            <v>#N/A</v>
          </cell>
          <cell r="P383">
            <v>13.99</v>
          </cell>
          <cell r="Q383">
            <v>1.1892600000000002</v>
          </cell>
          <cell r="R383" t="e">
            <v>#N/A</v>
          </cell>
        </row>
        <row r="384">
          <cell r="A384">
            <v>40527</v>
          </cell>
          <cell r="B384">
            <v>40527</v>
          </cell>
          <cell r="C384" t="str">
            <v>Past</v>
          </cell>
          <cell r="D384">
            <v>13.75</v>
          </cell>
          <cell r="E384" t="e">
            <v>#N/A</v>
          </cell>
          <cell r="F384" t="e">
            <v>#N/A</v>
          </cell>
          <cell r="G384" t="e">
            <v>#N/A</v>
          </cell>
          <cell r="H384" t="e">
            <v>#N/A</v>
          </cell>
          <cell r="I384" t="e">
            <v>#N/A</v>
          </cell>
          <cell r="J384" t="e">
            <v>#N/A</v>
          </cell>
          <cell r="K384" t="e">
            <v>#N/A</v>
          </cell>
          <cell r="L384" t="e">
            <v>#N/A</v>
          </cell>
          <cell r="M384" t="e">
            <v>#N/A</v>
          </cell>
          <cell r="N384" t="e">
            <v>#N/A</v>
          </cell>
          <cell r="O384" t="e">
            <v>#N/A</v>
          </cell>
          <cell r="P384">
            <v>13.75</v>
          </cell>
          <cell r="Q384">
            <v>1.3205</v>
          </cell>
          <cell r="R384" t="e">
            <v>#N/A</v>
          </cell>
        </row>
        <row r="385">
          <cell r="A385">
            <v>40528</v>
          </cell>
          <cell r="B385">
            <v>40528</v>
          </cell>
          <cell r="C385" t="str">
            <v>Past</v>
          </cell>
          <cell r="D385">
            <v>14.08</v>
          </cell>
          <cell r="E385" t="e">
            <v>#N/A</v>
          </cell>
          <cell r="F385" t="e">
            <v>#N/A</v>
          </cell>
          <cell r="G385" t="e">
            <v>#N/A</v>
          </cell>
          <cell r="H385" t="e">
            <v>#N/A</v>
          </cell>
          <cell r="I385" t="e">
            <v>#N/A</v>
          </cell>
          <cell r="J385" t="e">
            <v>#N/A</v>
          </cell>
          <cell r="K385" t="e">
            <v>#N/A</v>
          </cell>
          <cell r="L385" t="e">
            <v>#N/A</v>
          </cell>
          <cell r="M385" t="e">
            <v>#N/A</v>
          </cell>
          <cell r="N385" t="e">
            <v>#N/A</v>
          </cell>
          <cell r="O385" t="e">
            <v>#N/A</v>
          </cell>
          <cell r="P385">
            <v>14.08</v>
          </cell>
          <cell r="Q385">
            <v>1.730621</v>
          </cell>
          <cell r="R385" t="e">
            <v>#N/A</v>
          </cell>
        </row>
        <row r="386">
          <cell r="A386">
            <v>40529</v>
          </cell>
          <cell r="B386">
            <v>40529</v>
          </cell>
          <cell r="C386" t="str">
            <v>Past</v>
          </cell>
          <cell r="D386">
            <v>14.28</v>
          </cell>
          <cell r="E386" t="e">
            <v>#N/A</v>
          </cell>
          <cell r="F386" t="e">
            <v>#N/A</v>
          </cell>
          <cell r="G386" t="e">
            <v>#N/A</v>
          </cell>
          <cell r="H386" t="e">
            <v>#N/A</v>
          </cell>
          <cell r="I386" t="e">
            <v>#N/A</v>
          </cell>
          <cell r="J386" t="e">
            <v>#N/A</v>
          </cell>
          <cell r="K386" t="e">
            <v>#N/A</v>
          </cell>
          <cell r="L386" t="e">
            <v>#N/A</v>
          </cell>
          <cell r="M386" t="e">
            <v>#N/A</v>
          </cell>
          <cell r="N386" t="e">
            <v>#N/A</v>
          </cell>
          <cell r="O386" t="e">
            <v>#N/A</v>
          </cell>
          <cell r="P386">
            <v>14.28</v>
          </cell>
          <cell r="Q386">
            <v>2.4079000000000002</v>
          </cell>
          <cell r="R386" t="e">
            <v>#N/A</v>
          </cell>
        </row>
        <row r="387">
          <cell r="A387">
            <v>40532</v>
          </cell>
          <cell r="B387">
            <v>40532</v>
          </cell>
          <cell r="C387" t="str">
            <v>Past</v>
          </cell>
          <cell r="D387">
            <v>14.29</v>
          </cell>
          <cell r="E387" t="e">
            <v>#N/A</v>
          </cell>
          <cell r="F387" t="e">
            <v>#N/A</v>
          </cell>
          <cell r="G387" t="e">
            <v>#N/A</v>
          </cell>
          <cell r="H387" t="e">
            <v>#N/A</v>
          </cell>
          <cell r="I387" t="e">
            <v>#N/A</v>
          </cell>
          <cell r="J387" t="e">
            <v>#N/A</v>
          </cell>
          <cell r="K387" t="e">
            <v>#N/A</v>
          </cell>
          <cell r="L387" t="e">
            <v>#N/A</v>
          </cell>
          <cell r="M387" t="e">
            <v>#N/A</v>
          </cell>
          <cell r="N387" t="e">
            <v>#N/A</v>
          </cell>
          <cell r="O387" t="e">
            <v>#N/A</v>
          </cell>
          <cell r="P387">
            <v>14.29</v>
          </cell>
          <cell r="Q387">
            <v>1.9979749999999998</v>
          </cell>
          <cell r="R387" t="e">
            <v>#N/A</v>
          </cell>
        </row>
        <row r="388">
          <cell r="A388">
            <v>40533</v>
          </cell>
          <cell r="B388">
            <v>40533</v>
          </cell>
          <cell r="C388" t="str">
            <v>Past</v>
          </cell>
          <cell r="D388">
            <v>14.25</v>
          </cell>
          <cell r="E388" t="e">
            <v>#N/A</v>
          </cell>
          <cell r="F388" t="e">
            <v>#N/A</v>
          </cell>
          <cell r="G388" t="e">
            <v>#N/A</v>
          </cell>
          <cell r="H388" t="e">
            <v>#N/A</v>
          </cell>
          <cell r="I388" t="e">
            <v>#N/A</v>
          </cell>
          <cell r="J388" t="e">
            <v>#N/A</v>
          </cell>
          <cell r="K388" t="e">
            <v>#N/A</v>
          </cell>
          <cell r="L388" t="e">
            <v>#N/A</v>
          </cell>
          <cell r="M388" t="e">
            <v>#N/A</v>
          </cell>
          <cell r="N388" t="e">
            <v>#N/A</v>
          </cell>
          <cell r="O388" t="e">
            <v>#N/A</v>
          </cell>
          <cell r="P388">
            <v>14.25</v>
          </cell>
          <cell r="Q388">
            <v>1.2516749999999999</v>
          </cell>
          <cell r="R388" t="e">
            <v>#N/A</v>
          </cell>
        </row>
        <row r="389">
          <cell r="A389">
            <v>40534</v>
          </cell>
          <cell r="B389">
            <v>40534</v>
          </cell>
          <cell r="C389" t="str">
            <v>Past</v>
          </cell>
          <cell r="D389">
            <v>14.28</v>
          </cell>
          <cell r="E389" t="e">
            <v>#N/A</v>
          </cell>
          <cell r="F389" t="e">
            <v>#N/A</v>
          </cell>
          <cell r="G389" t="e">
            <v>#N/A</v>
          </cell>
          <cell r="H389" t="e">
            <v>#N/A</v>
          </cell>
          <cell r="I389" t="e">
            <v>#N/A</v>
          </cell>
          <cell r="J389" t="e">
            <v>#N/A</v>
          </cell>
          <cell r="K389" t="e">
            <v>#N/A</v>
          </cell>
          <cell r="L389" t="e">
            <v>#N/A</v>
          </cell>
          <cell r="M389" t="e">
            <v>#N/A</v>
          </cell>
          <cell r="N389" t="e">
            <v>#N/A</v>
          </cell>
          <cell r="O389" t="e">
            <v>#N/A</v>
          </cell>
          <cell r="P389">
            <v>14.28</v>
          </cell>
          <cell r="Q389">
            <v>0.79402699999999993</v>
          </cell>
          <cell r="R389" t="e">
            <v>#N/A</v>
          </cell>
        </row>
        <row r="390">
          <cell r="A390">
            <v>40535</v>
          </cell>
          <cell r="B390">
            <v>40535</v>
          </cell>
          <cell r="C390" t="str">
            <v>Past</v>
          </cell>
          <cell r="D390">
            <v>14.18</v>
          </cell>
          <cell r="E390" t="e">
            <v>#N/A</v>
          </cell>
          <cell r="F390" t="e">
            <v>#N/A</v>
          </cell>
          <cell r="G390" t="e">
            <v>#N/A</v>
          </cell>
          <cell r="H390" t="e">
            <v>#N/A</v>
          </cell>
          <cell r="I390" t="e">
            <v>#N/A</v>
          </cell>
          <cell r="J390" t="e">
            <v>#N/A</v>
          </cell>
          <cell r="K390" t="e">
            <v>#N/A</v>
          </cell>
          <cell r="L390" t="e">
            <v>#N/A</v>
          </cell>
          <cell r="M390" t="e">
            <v>#N/A</v>
          </cell>
          <cell r="N390" t="e">
            <v>#N/A</v>
          </cell>
          <cell r="O390" t="e">
            <v>#N/A</v>
          </cell>
          <cell r="P390">
            <v>14.18</v>
          </cell>
          <cell r="Q390">
            <v>0.76441799999999993</v>
          </cell>
          <cell r="R390" t="e">
            <v>#N/A</v>
          </cell>
        </row>
        <row r="391">
          <cell r="A391">
            <v>40539</v>
          </cell>
          <cell r="B391">
            <v>40539</v>
          </cell>
          <cell r="C391" t="str">
            <v>Past</v>
          </cell>
          <cell r="D391">
            <v>14.08</v>
          </cell>
          <cell r="E391" t="e">
            <v>#N/A</v>
          </cell>
          <cell r="F391" t="e">
            <v>#N/A</v>
          </cell>
          <cell r="G391" t="e">
            <v>#N/A</v>
          </cell>
          <cell r="H391" t="e">
            <v>#N/A</v>
          </cell>
          <cell r="I391" t="e">
            <v>#N/A</v>
          </cell>
          <cell r="J391" t="e">
            <v>#N/A</v>
          </cell>
          <cell r="K391" t="e">
            <v>#N/A</v>
          </cell>
          <cell r="L391" t="e">
            <v>#N/A</v>
          </cell>
          <cell r="M391" t="e">
            <v>#N/A</v>
          </cell>
          <cell r="N391" t="e">
            <v>#N/A</v>
          </cell>
          <cell r="O391" t="e">
            <v>#N/A</v>
          </cell>
          <cell r="P391">
            <v>14.08</v>
          </cell>
          <cell r="Q391">
            <v>0.87445699999999993</v>
          </cell>
          <cell r="R391" t="e">
            <v>#N/A</v>
          </cell>
        </row>
        <row r="392">
          <cell r="A392">
            <v>40540</v>
          </cell>
          <cell r="B392">
            <v>40540</v>
          </cell>
          <cell r="C392" t="str">
            <v>Past</v>
          </cell>
          <cell r="D392">
            <v>14.11</v>
          </cell>
          <cell r="E392" t="e">
            <v>#N/A</v>
          </cell>
          <cell r="F392" t="e">
            <v>#N/A</v>
          </cell>
          <cell r="G392" t="e">
            <v>#N/A</v>
          </cell>
          <cell r="H392" t="e">
            <v>#N/A</v>
          </cell>
          <cell r="I392" t="e">
            <v>#N/A</v>
          </cell>
          <cell r="J392" t="e">
            <v>#N/A</v>
          </cell>
          <cell r="K392" t="e">
            <v>#N/A</v>
          </cell>
          <cell r="L392" t="e">
            <v>#N/A</v>
          </cell>
          <cell r="M392" t="e">
            <v>#N/A</v>
          </cell>
          <cell r="N392" t="e">
            <v>#N/A</v>
          </cell>
          <cell r="O392" t="e">
            <v>#N/A</v>
          </cell>
          <cell r="P392">
            <v>14.11</v>
          </cell>
          <cell r="Q392">
            <v>0.879606</v>
          </cell>
          <cell r="R392" t="e">
            <v>#N/A</v>
          </cell>
        </row>
        <row r="393">
          <cell r="A393">
            <v>40541</v>
          </cell>
          <cell r="B393">
            <v>40541</v>
          </cell>
          <cell r="C393" t="str">
            <v>Past</v>
          </cell>
          <cell r="D393">
            <v>14.03</v>
          </cell>
          <cell r="E393" t="e">
            <v>#N/A</v>
          </cell>
          <cell r="F393" t="e">
            <v>#N/A</v>
          </cell>
          <cell r="G393" t="e">
            <v>#N/A</v>
          </cell>
          <cell r="H393" t="e">
            <v>#N/A</v>
          </cell>
          <cell r="I393" t="e">
            <v>#N/A</v>
          </cell>
          <cell r="J393" t="e">
            <v>#N/A</v>
          </cell>
          <cell r="K393" t="e">
            <v>#N/A</v>
          </cell>
          <cell r="L393" t="e">
            <v>#N/A</v>
          </cell>
          <cell r="M393" t="e">
            <v>#N/A</v>
          </cell>
          <cell r="N393" t="e">
            <v>#N/A</v>
          </cell>
          <cell r="O393" t="e">
            <v>#N/A</v>
          </cell>
          <cell r="P393">
            <v>14.03</v>
          </cell>
          <cell r="Q393">
            <v>0.75955799999999996</v>
          </cell>
          <cell r="R393" t="e">
            <v>#N/A</v>
          </cell>
        </row>
        <row r="394">
          <cell r="A394">
            <v>40542</v>
          </cell>
          <cell r="B394">
            <v>40542</v>
          </cell>
          <cell r="C394" t="str">
            <v>Past</v>
          </cell>
          <cell r="D394">
            <v>14.07</v>
          </cell>
          <cell r="E394" t="e">
            <v>#N/A</v>
          </cell>
          <cell r="F394" t="e">
            <v>#N/A</v>
          </cell>
          <cell r="G394" t="e">
            <v>#N/A</v>
          </cell>
          <cell r="H394" t="e">
            <v>#N/A</v>
          </cell>
          <cell r="I394" t="e">
            <v>#N/A</v>
          </cell>
          <cell r="J394" t="e">
            <v>#N/A</v>
          </cell>
          <cell r="K394" t="e">
            <v>#N/A</v>
          </cell>
          <cell r="L394" t="e">
            <v>#N/A</v>
          </cell>
          <cell r="M394" t="e">
            <v>#N/A</v>
          </cell>
          <cell r="N394" t="e">
            <v>#N/A</v>
          </cell>
          <cell r="O394" t="e">
            <v>#N/A</v>
          </cell>
          <cell r="P394">
            <v>14.07</v>
          </cell>
          <cell r="Q394">
            <v>0.94450699999999999</v>
          </cell>
          <cell r="R394" t="e">
            <v>#N/A</v>
          </cell>
        </row>
        <row r="395">
          <cell r="A395">
            <v>40543</v>
          </cell>
          <cell r="B395">
            <v>40543</v>
          </cell>
          <cell r="C395" t="str">
            <v>Past</v>
          </cell>
          <cell r="D395">
            <v>14.05</v>
          </cell>
          <cell r="E395" t="e">
            <v>#N/A</v>
          </cell>
          <cell r="F395" t="e">
            <v>#N/A</v>
          </cell>
          <cell r="G395" t="e">
            <v>#N/A</v>
          </cell>
          <cell r="H395" t="e">
            <v>#N/A</v>
          </cell>
          <cell r="I395" t="e">
            <v>#N/A</v>
          </cell>
          <cell r="J395" t="e">
            <v>#N/A</v>
          </cell>
          <cell r="K395" t="e">
            <v>#N/A</v>
          </cell>
          <cell r="L395" t="e">
            <v>#N/A</v>
          </cell>
          <cell r="M395" t="e">
            <v>#N/A</v>
          </cell>
          <cell r="N395" t="e">
            <v>#N/A</v>
          </cell>
          <cell r="O395" t="e">
            <v>#N/A</v>
          </cell>
          <cell r="P395">
            <v>14.05</v>
          </cell>
          <cell r="Q395">
            <v>1.224086</v>
          </cell>
          <cell r="R395" t="e">
            <v>#N/A</v>
          </cell>
        </row>
        <row r="396">
          <cell r="A396">
            <v>40546</v>
          </cell>
          <cell r="B396">
            <v>40546</v>
          </cell>
          <cell r="C396" t="str">
            <v>Past</v>
          </cell>
          <cell r="D396">
            <v>14.06</v>
          </cell>
          <cell r="E396" t="e">
            <v>#N/A</v>
          </cell>
          <cell r="F396" t="e">
            <v>#N/A</v>
          </cell>
          <cell r="G396" t="e">
            <v>#N/A</v>
          </cell>
          <cell r="H396" t="e">
            <v>#N/A</v>
          </cell>
          <cell r="I396" t="e">
            <v>#N/A</v>
          </cell>
          <cell r="J396" t="e">
            <v>#N/A</v>
          </cell>
          <cell r="K396" t="e">
            <v>#N/A</v>
          </cell>
          <cell r="L396" t="e">
            <v>#N/A</v>
          </cell>
          <cell r="M396" t="e">
            <v>#N/A</v>
          </cell>
          <cell r="N396" t="e">
            <v>#N/A</v>
          </cell>
          <cell r="O396" t="e">
            <v>#N/A</v>
          </cell>
          <cell r="P396">
            <v>14.06</v>
          </cell>
          <cell r="Q396">
            <v>1.7396849999999999</v>
          </cell>
          <cell r="R396" t="e">
            <v>#N/A</v>
          </cell>
        </row>
        <row r="397">
          <cell r="A397">
            <v>40547</v>
          </cell>
          <cell r="B397">
            <v>40547</v>
          </cell>
          <cell r="C397" t="str">
            <v>Past</v>
          </cell>
          <cell r="D397">
            <v>14.08</v>
          </cell>
          <cell r="E397" t="e">
            <v>#N/A</v>
          </cell>
          <cell r="F397" t="e">
            <v>#N/A</v>
          </cell>
          <cell r="G397" t="e">
            <v>#N/A</v>
          </cell>
          <cell r="H397" t="e">
            <v>#N/A</v>
          </cell>
          <cell r="I397" t="e">
            <v>#N/A</v>
          </cell>
          <cell r="J397" t="e">
            <v>#N/A</v>
          </cell>
          <cell r="K397" t="e">
            <v>#N/A</v>
          </cell>
          <cell r="L397" t="e">
            <v>#N/A</v>
          </cell>
          <cell r="M397" t="e">
            <v>#N/A</v>
          </cell>
          <cell r="N397" t="e">
            <v>#N/A</v>
          </cell>
          <cell r="O397" t="e">
            <v>#N/A</v>
          </cell>
          <cell r="P397">
            <v>14.08</v>
          </cell>
          <cell r="Q397">
            <v>2.190725</v>
          </cell>
          <cell r="R397" t="e">
            <v>#N/A</v>
          </cell>
        </row>
        <row r="398">
          <cell r="A398">
            <v>40548</v>
          </cell>
          <cell r="B398">
            <v>40548</v>
          </cell>
          <cell r="C398" t="str">
            <v>Past</v>
          </cell>
          <cell r="D398">
            <v>13.93</v>
          </cell>
          <cell r="E398" t="e">
            <v>#N/A</v>
          </cell>
          <cell r="F398" t="e">
            <v>#N/A</v>
          </cell>
          <cell r="G398" t="e">
            <v>#N/A</v>
          </cell>
          <cell r="H398" t="e">
            <v>#N/A</v>
          </cell>
          <cell r="I398" t="e">
            <v>#N/A</v>
          </cell>
          <cell r="J398" t="e">
            <v>#N/A</v>
          </cell>
          <cell r="K398" t="e">
            <v>#N/A</v>
          </cell>
          <cell r="L398" t="e">
            <v>#N/A</v>
          </cell>
          <cell r="M398" t="e">
            <v>#N/A</v>
          </cell>
          <cell r="N398" t="e">
            <v>#N/A</v>
          </cell>
          <cell r="O398" t="e">
            <v>#N/A</v>
          </cell>
          <cell r="P398">
            <v>13.93</v>
          </cell>
          <cell r="Q398">
            <v>1.9877959999999999</v>
          </cell>
          <cell r="R398" t="e">
            <v>#N/A</v>
          </cell>
        </row>
        <row r="399">
          <cell r="A399">
            <v>40549</v>
          </cell>
          <cell r="B399">
            <v>40549</v>
          </cell>
          <cell r="C399" t="str">
            <v>Past</v>
          </cell>
          <cell r="D399">
            <v>14.11</v>
          </cell>
          <cell r="E399" t="e">
            <v>#N/A</v>
          </cell>
          <cell r="F399" t="e">
            <v>#N/A</v>
          </cell>
          <cell r="G399" t="e">
            <v>#N/A</v>
          </cell>
          <cell r="H399" t="e">
            <v>#N/A</v>
          </cell>
          <cell r="I399" t="e">
            <v>#N/A</v>
          </cell>
          <cell r="J399" t="e">
            <v>#N/A</v>
          </cell>
          <cell r="K399" t="e">
            <v>#N/A</v>
          </cell>
          <cell r="L399" t="e">
            <v>#N/A</v>
          </cell>
          <cell r="M399" t="e">
            <v>#N/A</v>
          </cell>
          <cell r="N399" t="e">
            <v>#N/A</v>
          </cell>
          <cell r="O399" t="e">
            <v>#N/A</v>
          </cell>
          <cell r="P399">
            <v>14.11</v>
          </cell>
          <cell r="Q399">
            <v>1.7270289999999999</v>
          </cell>
          <cell r="R399" t="e">
            <v>#N/A</v>
          </cell>
        </row>
        <row r="400">
          <cell r="A400">
            <v>40550</v>
          </cell>
          <cell r="B400">
            <v>40550</v>
          </cell>
          <cell r="C400" t="str">
            <v>Past</v>
          </cell>
          <cell r="D400">
            <v>14.37</v>
          </cell>
          <cell r="E400" t="e">
            <v>#N/A</v>
          </cell>
          <cell r="F400" t="e">
            <v>#N/A</v>
          </cell>
          <cell r="G400" t="e">
            <v>#N/A</v>
          </cell>
          <cell r="H400" t="e">
            <v>#N/A</v>
          </cell>
          <cell r="I400" t="e">
            <v>#N/A</v>
          </cell>
          <cell r="J400" t="e">
            <v>#N/A</v>
          </cell>
          <cell r="K400" t="e">
            <v>#N/A</v>
          </cell>
          <cell r="L400" t="e">
            <v>#N/A</v>
          </cell>
          <cell r="M400" t="e">
            <v>#N/A</v>
          </cell>
          <cell r="N400" t="e">
            <v>#N/A</v>
          </cell>
          <cell r="O400" t="e">
            <v>#N/A</v>
          </cell>
          <cell r="P400">
            <v>14.37</v>
          </cell>
          <cell r="Q400">
            <v>3.0117249999999998</v>
          </cell>
          <cell r="R400" t="e">
            <v>#N/A</v>
          </cell>
        </row>
        <row r="401">
          <cell r="A401">
            <v>40553</v>
          </cell>
          <cell r="B401">
            <v>40553</v>
          </cell>
          <cell r="C401" t="str">
            <v>Past</v>
          </cell>
          <cell r="D401">
            <v>14.61</v>
          </cell>
          <cell r="E401" t="e">
            <v>#N/A</v>
          </cell>
          <cell r="F401" t="e">
            <v>#N/A</v>
          </cell>
          <cell r="G401" t="e">
            <v>#N/A</v>
          </cell>
          <cell r="H401" t="e">
            <v>#N/A</v>
          </cell>
          <cell r="I401" t="e">
            <v>#N/A</v>
          </cell>
          <cell r="J401" t="e">
            <v>#N/A</v>
          </cell>
          <cell r="K401" t="e">
            <v>#N/A</v>
          </cell>
          <cell r="L401" t="e">
            <v>#N/A</v>
          </cell>
          <cell r="M401" t="e">
            <v>#N/A</v>
          </cell>
          <cell r="N401" t="e">
            <v>#N/A</v>
          </cell>
          <cell r="O401" t="e">
            <v>#N/A</v>
          </cell>
          <cell r="P401">
            <v>14.61</v>
          </cell>
          <cell r="Q401">
            <v>4.0006430000000002</v>
          </cell>
          <cell r="R401" t="e">
            <v>#N/A</v>
          </cell>
        </row>
        <row r="402">
          <cell r="A402">
            <v>40554</v>
          </cell>
          <cell r="B402">
            <v>40554</v>
          </cell>
          <cell r="C402" t="str">
            <v>Past</v>
          </cell>
          <cell r="D402">
            <v>14.51</v>
          </cell>
          <cell r="E402" t="e">
            <v>#N/A</v>
          </cell>
          <cell r="F402" t="e">
            <v>#N/A</v>
          </cell>
          <cell r="G402" t="e">
            <v>#N/A</v>
          </cell>
          <cell r="H402" t="e">
            <v>#N/A</v>
          </cell>
          <cell r="I402" t="e">
            <v>#N/A</v>
          </cell>
          <cell r="J402" t="e">
            <v>#N/A</v>
          </cell>
          <cell r="K402" t="e">
            <v>#N/A</v>
          </cell>
          <cell r="L402" t="e">
            <v>#N/A</v>
          </cell>
          <cell r="M402" t="e">
            <v>#N/A</v>
          </cell>
          <cell r="N402" t="e">
            <v>#N/A</v>
          </cell>
          <cell r="O402" t="e">
            <v>#N/A</v>
          </cell>
          <cell r="P402">
            <v>14.51</v>
          </cell>
          <cell r="Q402">
            <v>4.0806439999999995</v>
          </cell>
          <cell r="R402" t="e">
            <v>#N/A</v>
          </cell>
        </row>
        <row r="403">
          <cell r="A403">
            <v>40555</v>
          </cell>
          <cell r="B403">
            <v>40555</v>
          </cell>
          <cell r="C403" t="str">
            <v>Past</v>
          </cell>
          <cell r="D403">
            <v>14.43</v>
          </cell>
          <cell r="E403" t="e">
            <v>#N/A</v>
          </cell>
          <cell r="F403" t="e">
            <v>#N/A</v>
          </cell>
          <cell r="G403" t="e">
            <v>#N/A</v>
          </cell>
          <cell r="H403" t="e">
            <v>#N/A</v>
          </cell>
          <cell r="I403" t="e">
            <v>#N/A</v>
          </cell>
          <cell r="J403" t="e">
            <v>#N/A</v>
          </cell>
          <cell r="K403" t="e">
            <v>#N/A</v>
          </cell>
          <cell r="L403" t="e">
            <v>#N/A</v>
          </cell>
          <cell r="M403" t="e">
            <v>#N/A</v>
          </cell>
          <cell r="N403" t="e">
            <v>#N/A</v>
          </cell>
          <cell r="O403" t="e">
            <v>#N/A</v>
          </cell>
          <cell r="P403">
            <v>14.43</v>
          </cell>
          <cell r="Q403">
            <v>2.0791939999999998</v>
          </cell>
          <cell r="R403" t="e">
            <v>#N/A</v>
          </cell>
        </row>
        <row r="404">
          <cell r="A404">
            <v>40556</v>
          </cell>
          <cell r="B404">
            <v>40556</v>
          </cell>
          <cell r="C404" t="str">
            <v>Past</v>
          </cell>
          <cell r="D404">
            <v>14.36</v>
          </cell>
          <cell r="E404" t="e">
            <v>#N/A</v>
          </cell>
          <cell r="F404" t="e">
            <v>#N/A</v>
          </cell>
          <cell r="G404" t="e">
            <v>#N/A</v>
          </cell>
          <cell r="H404" t="e">
            <v>#N/A</v>
          </cell>
          <cell r="I404" t="e">
            <v>#N/A</v>
          </cell>
          <cell r="J404" t="e">
            <v>#N/A</v>
          </cell>
          <cell r="K404" t="e">
            <v>#N/A</v>
          </cell>
          <cell r="L404" t="e">
            <v>#N/A</v>
          </cell>
          <cell r="M404" t="e">
            <v>#N/A</v>
          </cell>
          <cell r="N404" t="e">
            <v>#N/A</v>
          </cell>
          <cell r="O404" t="e">
            <v>#N/A</v>
          </cell>
          <cell r="P404">
            <v>14.36</v>
          </cell>
          <cell r="Q404">
            <v>1.522567</v>
          </cell>
          <cell r="R404" t="e">
            <v>#N/A</v>
          </cell>
        </row>
        <row r="405">
          <cell r="A405">
            <v>40557</v>
          </cell>
          <cell r="B405">
            <v>40557</v>
          </cell>
          <cell r="C405" t="str">
            <v>Past</v>
          </cell>
          <cell r="D405">
            <v>14.27</v>
          </cell>
          <cell r="E405" t="e">
            <v>#N/A</v>
          </cell>
          <cell r="F405" t="e">
            <v>#N/A</v>
          </cell>
          <cell r="G405" t="e">
            <v>#N/A</v>
          </cell>
          <cell r="H405" t="e">
            <v>#N/A</v>
          </cell>
          <cell r="I405" t="e">
            <v>#N/A</v>
          </cell>
          <cell r="J405" t="e">
            <v>#N/A</v>
          </cell>
          <cell r="K405" t="e">
            <v>#N/A</v>
          </cell>
          <cell r="L405" t="e">
            <v>#N/A</v>
          </cell>
          <cell r="M405" t="e">
            <v>#N/A</v>
          </cell>
          <cell r="N405" t="e">
            <v>#N/A</v>
          </cell>
          <cell r="O405" t="e">
            <v>#N/A</v>
          </cell>
          <cell r="P405">
            <v>14.27</v>
          </cell>
          <cell r="Q405">
            <v>2.7702709999999997</v>
          </cell>
          <cell r="R405" t="e">
            <v>#N/A</v>
          </cell>
        </row>
        <row r="406">
          <cell r="A406">
            <v>40561</v>
          </cell>
          <cell r="B406">
            <v>40561</v>
          </cell>
          <cell r="C406" t="str">
            <v>Past</v>
          </cell>
          <cell r="D406">
            <v>14.38</v>
          </cell>
          <cell r="E406" t="e">
            <v>#N/A</v>
          </cell>
          <cell r="F406" t="e">
            <v>#N/A</v>
          </cell>
          <cell r="G406" t="e">
            <v>#N/A</v>
          </cell>
          <cell r="H406" t="e">
            <v>#N/A</v>
          </cell>
          <cell r="I406" t="e">
            <v>#N/A</v>
          </cell>
          <cell r="J406" t="e">
            <v>#N/A</v>
          </cell>
          <cell r="K406" t="e">
            <v>#N/A</v>
          </cell>
          <cell r="L406" t="e">
            <v>#N/A</v>
          </cell>
          <cell r="M406" t="e">
            <v>#N/A</v>
          </cell>
          <cell r="N406" t="e">
            <v>#N/A</v>
          </cell>
          <cell r="O406" t="e">
            <v>#N/A</v>
          </cell>
          <cell r="P406">
            <v>14.38</v>
          </cell>
          <cell r="Q406">
            <v>2.0298439999999998</v>
          </cell>
          <cell r="R406" t="e">
            <v>#N/A</v>
          </cell>
        </row>
        <row r="407">
          <cell r="A407">
            <v>40562</v>
          </cell>
          <cell r="B407">
            <v>40562</v>
          </cell>
          <cell r="C407" t="str">
            <v>Past</v>
          </cell>
          <cell r="D407">
            <v>14.21</v>
          </cell>
          <cell r="E407" t="e">
            <v>#N/A</v>
          </cell>
          <cell r="F407" t="e">
            <v>#N/A</v>
          </cell>
          <cell r="G407" t="e">
            <v>#N/A</v>
          </cell>
          <cell r="H407" t="e">
            <v>#N/A</v>
          </cell>
          <cell r="I407" t="e">
            <v>#N/A</v>
          </cell>
          <cell r="J407" t="e">
            <v>#N/A</v>
          </cell>
          <cell r="K407" t="e">
            <v>#N/A</v>
          </cell>
          <cell r="L407" t="e">
            <v>#N/A</v>
          </cell>
          <cell r="M407" t="e">
            <v>#N/A</v>
          </cell>
          <cell r="N407" t="e">
            <v>#N/A</v>
          </cell>
          <cell r="O407" t="e">
            <v>#N/A</v>
          </cell>
          <cell r="P407">
            <v>14.21</v>
          </cell>
          <cell r="Q407">
            <v>3.6351309999999999</v>
          </cell>
          <cell r="R407" t="e">
            <v>#N/A</v>
          </cell>
        </row>
        <row r="408">
          <cell r="A408">
            <v>40563</v>
          </cell>
          <cell r="B408">
            <v>40563</v>
          </cell>
          <cell r="C408" t="str">
            <v>Past</v>
          </cell>
          <cell r="D408">
            <v>14.19</v>
          </cell>
          <cell r="E408" t="e">
            <v>#N/A</v>
          </cell>
          <cell r="F408" t="e">
            <v>#N/A</v>
          </cell>
          <cell r="G408" t="e">
            <v>#N/A</v>
          </cell>
          <cell r="H408" t="e">
            <v>#N/A</v>
          </cell>
          <cell r="I408" t="e">
            <v>#N/A</v>
          </cell>
          <cell r="J408" t="e">
            <v>#N/A</v>
          </cell>
          <cell r="K408" t="e">
            <v>#N/A</v>
          </cell>
          <cell r="L408" t="e">
            <v>#N/A</v>
          </cell>
          <cell r="M408" t="e">
            <v>#N/A</v>
          </cell>
          <cell r="N408" t="e">
            <v>#N/A</v>
          </cell>
          <cell r="O408" t="e">
            <v>#N/A</v>
          </cell>
          <cell r="P408">
            <v>14.19</v>
          </cell>
          <cell r="Q408">
            <v>3.5365069999999998</v>
          </cell>
          <cell r="R408" t="e">
            <v>#N/A</v>
          </cell>
        </row>
        <row r="409">
          <cell r="A409">
            <v>40564</v>
          </cell>
          <cell r="B409">
            <v>40564</v>
          </cell>
          <cell r="C409" t="str">
            <v>Past</v>
          </cell>
          <cell r="D409">
            <v>14.25</v>
          </cell>
          <cell r="E409" t="e">
            <v>#N/A</v>
          </cell>
          <cell r="F409" t="e">
            <v>#N/A</v>
          </cell>
          <cell r="G409" t="e">
            <v>#N/A</v>
          </cell>
          <cell r="H409" t="e">
            <v>#N/A</v>
          </cell>
          <cell r="I409" t="e">
            <v>#N/A</v>
          </cell>
          <cell r="J409" t="e">
            <v>#N/A</v>
          </cell>
          <cell r="K409" t="e">
            <v>#N/A</v>
          </cell>
          <cell r="L409" t="e">
            <v>#N/A</v>
          </cell>
          <cell r="M409" t="e">
            <v>#N/A</v>
          </cell>
          <cell r="N409" t="e">
            <v>#N/A</v>
          </cell>
          <cell r="O409" t="e">
            <v>#N/A</v>
          </cell>
          <cell r="P409">
            <v>14.25</v>
          </cell>
          <cell r="Q409">
            <v>2.2865470000000001</v>
          </cell>
          <cell r="R409" t="e">
            <v>#N/A</v>
          </cell>
        </row>
        <row r="410">
          <cell r="A410">
            <v>40567</v>
          </cell>
          <cell r="B410">
            <v>40567</v>
          </cell>
          <cell r="C410" t="str">
            <v>Past</v>
          </cell>
          <cell r="D410">
            <v>14.49</v>
          </cell>
          <cell r="E410" t="e">
            <v>#N/A</v>
          </cell>
          <cell r="F410" t="e">
            <v>#N/A</v>
          </cell>
          <cell r="G410" t="e">
            <v>#N/A</v>
          </cell>
          <cell r="H410" t="e">
            <v>#N/A</v>
          </cell>
          <cell r="I410" t="e">
            <v>#N/A</v>
          </cell>
          <cell r="J410" t="e">
            <v>#N/A</v>
          </cell>
          <cell r="K410" t="e">
            <v>#N/A</v>
          </cell>
          <cell r="L410" t="e">
            <v>#N/A</v>
          </cell>
          <cell r="M410" t="e">
            <v>#N/A</v>
          </cell>
          <cell r="N410" t="e">
            <v>#N/A</v>
          </cell>
          <cell r="O410" t="e">
            <v>#N/A</v>
          </cell>
          <cell r="P410">
            <v>14.49</v>
          </cell>
          <cell r="Q410">
            <v>2.6884429999999999</v>
          </cell>
          <cell r="R410" t="e">
            <v>#N/A</v>
          </cell>
        </row>
        <row r="411">
          <cell r="A411">
            <v>40568</v>
          </cell>
          <cell r="B411">
            <v>40568</v>
          </cell>
          <cell r="C411" t="str">
            <v>Past</v>
          </cell>
          <cell r="D411">
            <v>14.43</v>
          </cell>
          <cell r="E411" t="e">
            <v>#N/A</v>
          </cell>
          <cell r="F411" t="e">
            <v>#N/A</v>
          </cell>
          <cell r="G411" t="e">
            <v>#N/A</v>
          </cell>
          <cell r="H411" t="e">
            <v>#N/A</v>
          </cell>
          <cell r="I411" t="e">
            <v>#N/A</v>
          </cell>
          <cell r="J411" t="e">
            <v>#N/A</v>
          </cell>
          <cell r="K411" t="e">
            <v>#N/A</v>
          </cell>
          <cell r="L411" t="e">
            <v>#N/A</v>
          </cell>
          <cell r="M411" t="e">
            <v>#N/A</v>
          </cell>
          <cell r="N411" t="e">
            <v>#N/A</v>
          </cell>
          <cell r="O411" t="e">
            <v>#N/A</v>
          </cell>
          <cell r="P411">
            <v>14.43</v>
          </cell>
          <cell r="Q411">
            <v>2.0426500000000001</v>
          </cell>
          <cell r="R411" t="e">
            <v>#N/A</v>
          </cell>
        </row>
        <row r="412">
          <cell r="A412">
            <v>40569</v>
          </cell>
          <cell r="B412">
            <v>40569</v>
          </cell>
          <cell r="C412" t="str">
            <v>Past</v>
          </cell>
          <cell r="D412">
            <v>14.39</v>
          </cell>
          <cell r="E412" t="e">
            <v>#N/A</v>
          </cell>
          <cell r="F412" t="e">
            <v>#N/A</v>
          </cell>
          <cell r="G412" t="e">
            <v>#N/A</v>
          </cell>
          <cell r="H412" t="e">
            <v>#N/A</v>
          </cell>
          <cell r="I412" t="e">
            <v>#N/A</v>
          </cell>
          <cell r="J412" t="e">
            <v>#N/A</v>
          </cell>
          <cell r="K412" t="e">
            <v>#N/A</v>
          </cell>
          <cell r="L412" t="e">
            <v>#N/A</v>
          </cell>
          <cell r="M412" t="e">
            <v>#N/A</v>
          </cell>
          <cell r="N412" t="e">
            <v>#N/A</v>
          </cell>
          <cell r="O412" t="e">
            <v>#N/A</v>
          </cell>
          <cell r="P412">
            <v>14.39</v>
          </cell>
          <cell r="Q412">
            <v>1.254094</v>
          </cell>
          <cell r="R412" t="e">
            <v>#N/A</v>
          </cell>
        </row>
        <row r="413">
          <cell r="A413">
            <v>40570</v>
          </cell>
          <cell r="B413">
            <v>40570</v>
          </cell>
          <cell r="C413" t="str">
            <v>Past</v>
          </cell>
          <cell r="D413">
            <v>14.54</v>
          </cell>
          <cell r="E413" t="e">
            <v>#N/A</v>
          </cell>
          <cell r="F413" t="e">
            <v>#N/A</v>
          </cell>
          <cell r="G413" t="e">
            <v>#N/A</v>
          </cell>
          <cell r="H413" t="e">
            <v>#N/A</v>
          </cell>
          <cell r="I413" t="e">
            <v>#N/A</v>
          </cell>
          <cell r="J413" t="e">
            <v>#N/A</v>
          </cell>
          <cell r="K413" t="e">
            <v>#N/A</v>
          </cell>
          <cell r="L413" t="e">
            <v>#N/A</v>
          </cell>
          <cell r="M413" t="e">
            <v>#N/A</v>
          </cell>
          <cell r="N413" t="e">
            <v>#N/A</v>
          </cell>
          <cell r="O413" t="e">
            <v>#N/A</v>
          </cell>
          <cell r="P413">
            <v>14.54</v>
          </cell>
          <cell r="Q413">
            <v>2.1760169999999999</v>
          </cell>
          <cell r="R413" t="e">
            <v>#N/A</v>
          </cell>
        </row>
        <row r="414">
          <cell r="A414">
            <v>40571</v>
          </cell>
          <cell r="B414">
            <v>40571</v>
          </cell>
          <cell r="C414" t="str">
            <v>Past</v>
          </cell>
          <cell r="D414">
            <v>14.37</v>
          </cell>
          <cell r="E414" t="e">
            <v>#N/A</v>
          </cell>
          <cell r="F414" t="e">
            <v>#N/A</v>
          </cell>
          <cell r="G414" t="e">
            <v>#N/A</v>
          </cell>
          <cell r="H414" t="e">
            <v>#N/A</v>
          </cell>
          <cell r="I414" t="e">
            <v>#N/A</v>
          </cell>
          <cell r="J414" t="e">
            <v>#N/A</v>
          </cell>
          <cell r="K414" t="e">
            <v>#N/A</v>
          </cell>
          <cell r="L414" t="e">
            <v>#N/A</v>
          </cell>
          <cell r="M414" t="e">
            <v>#N/A</v>
          </cell>
          <cell r="N414" t="e">
            <v>#N/A</v>
          </cell>
          <cell r="O414" t="e">
            <v>#N/A</v>
          </cell>
          <cell r="P414">
            <v>14.37</v>
          </cell>
          <cell r="Q414">
            <v>1.1273309999999999</v>
          </cell>
          <cell r="R414" t="e">
            <v>#N/A</v>
          </cell>
        </row>
        <row r="415">
          <cell r="A415">
            <v>40574</v>
          </cell>
          <cell r="B415">
            <v>40574</v>
          </cell>
          <cell r="C415" t="str">
            <v>Past</v>
          </cell>
          <cell r="D415">
            <v>14.37</v>
          </cell>
          <cell r="E415" t="e">
            <v>#N/A</v>
          </cell>
          <cell r="F415" t="e">
            <v>#N/A</v>
          </cell>
          <cell r="G415" t="e">
            <v>#N/A</v>
          </cell>
          <cell r="H415" t="e">
            <v>#N/A</v>
          </cell>
          <cell r="I415" t="e">
            <v>#N/A</v>
          </cell>
          <cell r="J415" t="e">
            <v>#N/A</v>
          </cell>
          <cell r="K415" t="e">
            <v>#N/A</v>
          </cell>
          <cell r="L415" t="e">
            <v>#N/A</v>
          </cell>
          <cell r="M415" t="e">
            <v>#N/A</v>
          </cell>
          <cell r="N415" t="e">
            <v>#N/A</v>
          </cell>
          <cell r="O415" t="e">
            <v>#N/A</v>
          </cell>
          <cell r="P415">
            <v>14.37</v>
          </cell>
          <cell r="Q415">
            <v>2.4396409999999999</v>
          </cell>
          <cell r="R415" t="e">
            <v>#N/A</v>
          </cell>
        </row>
        <row r="416">
          <cell r="A416">
            <v>40575</v>
          </cell>
          <cell r="B416">
            <v>40575</v>
          </cell>
          <cell r="C416" t="str">
            <v>Past</v>
          </cell>
          <cell r="D416">
            <v>14.65</v>
          </cell>
          <cell r="E416" t="e">
            <v>#N/A</v>
          </cell>
          <cell r="F416" t="e">
            <v>#N/A</v>
          </cell>
          <cell r="G416" t="e">
            <v>#N/A</v>
          </cell>
          <cell r="H416" t="e">
            <v>#N/A</v>
          </cell>
          <cell r="I416" t="e">
            <v>#N/A</v>
          </cell>
          <cell r="J416" t="e">
            <v>#N/A</v>
          </cell>
          <cell r="K416" t="e">
            <v>#N/A</v>
          </cell>
          <cell r="L416" t="e">
            <v>#N/A</v>
          </cell>
          <cell r="M416" t="e">
            <v>#N/A</v>
          </cell>
          <cell r="N416" t="e">
            <v>#N/A</v>
          </cell>
          <cell r="O416" t="e">
            <v>#N/A</v>
          </cell>
          <cell r="P416">
            <v>14.65</v>
          </cell>
          <cell r="Q416">
            <v>1.3703000000000001</v>
          </cell>
          <cell r="R416" t="e">
            <v>#N/A</v>
          </cell>
        </row>
        <row r="417">
          <cell r="A417">
            <v>40576</v>
          </cell>
          <cell r="B417">
            <v>40576</v>
          </cell>
          <cell r="C417" t="str">
            <v>Past</v>
          </cell>
          <cell r="D417">
            <v>14.55</v>
          </cell>
          <cell r="E417" t="e">
            <v>#N/A</v>
          </cell>
          <cell r="F417" t="e">
            <v>#N/A</v>
          </cell>
          <cell r="G417" t="e">
            <v>#N/A</v>
          </cell>
          <cell r="H417" t="e">
            <v>#N/A</v>
          </cell>
          <cell r="I417" t="e">
            <v>#N/A</v>
          </cell>
          <cell r="J417" t="e">
            <v>#N/A</v>
          </cell>
          <cell r="K417" t="e">
            <v>#N/A</v>
          </cell>
          <cell r="L417" t="e">
            <v>#N/A</v>
          </cell>
          <cell r="M417" t="e">
            <v>#N/A</v>
          </cell>
          <cell r="N417" t="e">
            <v>#N/A</v>
          </cell>
          <cell r="O417" t="e">
            <v>#N/A</v>
          </cell>
          <cell r="P417">
            <v>14.55</v>
          </cell>
          <cell r="Q417">
            <v>0.97767199999999999</v>
          </cell>
          <cell r="R417" t="e">
            <v>#N/A</v>
          </cell>
        </row>
        <row r="418">
          <cell r="A418">
            <v>40577</v>
          </cell>
          <cell r="B418">
            <v>40577</v>
          </cell>
          <cell r="C418" t="str">
            <v>Past</v>
          </cell>
          <cell r="D418">
            <v>14.55</v>
          </cell>
          <cell r="E418" t="e">
            <v>#N/A</v>
          </cell>
          <cell r="F418" t="e">
            <v>#N/A</v>
          </cell>
          <cell r="G418" t="e">
            <v>#N/A</v>
          </cell>
          <cell r="H418" t="e">
            <v>#N/A</v>
          </cell>
          <cell r="I418" t="e">
            <v>#N/A</v>
          </cell>
          <cell r="J418" t="e">
            <v>#N/A</v>
          </cell>
          <cell r="K418" t="e">
            <v>#N/A</v>
          </cell>
          <cell r="L418" t="e">
            <v>#N/A</v>
          </cell>
          <cell r="M418" t="e">
            <v>#N/A</v>
          </cell>
          <cell r="N418" t="e">
            <v>#N/A</v>
          </cell>
          <cell r="O418" t="e">
            <v>#N/A</v>
          </cell>
          <cell r="P418">
            <v>14.55</v>
          </cell>
          <cell r="Q418">
            <v>1.0440859999999998</v>
          </cell>
          <cell r="R418" t="e">
            <v>#N/A</v>
          </cell>
        </row>
        <row r="419">
          <cell r="A419">
            <v>40578</v>
          </cell>
          <cell r="B419">
            <v>40578</v>
          </cell>
          <cell r="C419" t="str">
            <v>Past</v>
          </cell>
          <cell r="D419">
            <v>14.47</v>
          </cell>
          <cell r="E419" t="e">
            <v>#N/A</v>
          </cell>
          <cell r="F419" t="e">
            <v>#N/A</v>
          </cell>
          <cell r="G419" t="e">
            <v>#N/A</v>
          </cell>
          <cell r="H419" t="e">
            <v>#N/A</v>
          </cell>
          <cell r="I419" t="e">
            <v>#N/A</v>
          </cell>
          <cell r="J419" t="e">
            <v>#N/A</v>
          </cell>
          <cell r="K419" t="e">
            <v>#N/A</v>
          </cell>
          <cell r="L419" t="e">
            <v>#N/A</v>
          </cell>
          <cell r="M419" t="e">
            <v>#N/A</v>
          </cell>
          <cell r="N419" t="e">
            <v>#N/A</v>
          </cell>
          <cell r="O419" t="e">
            <v>#N/A</v>
          </cell>
          <cell r="P419">
            <v>14.47</v>
          </cell>
          <cell r="Q419">
            <v>0.59531299999999998</v>
          </cell>
          <cell r="R419" t="e">
            <v>#N/A</v>
          </cell>
        </row>
        <row r="420">
          <cell r="A420">
            <v>40581</v>
          </cell>
          <cell r="B420">
            <v>40581</v>
          </cell>
          <cell r="C420" t="str">
            <v>Past</v>
          </cell>
          <cell r="D420">
            <v>14.54</v>
          </cell>
          <cell r="E420" t="e">
            <v>#N/A</v>
          </cell>
          <cell r="F420" t="e">
            <v>#N/A</v>
          </cell>
          <cell r="G420" t="e">
            <v>#N/A</v>
          </cell>
          <cell r="H420" t="e">
            <v>#N/A</v>
          </cell>
          <cell r="I420" t="e">
            <v>#N/A</v>
          </cell>
          <cell r="J420" t="e">
            <v>#N/A</v>
          </cell>
          <cell r="K420" t="e">
            <v>#N/A</v>
          </cell>
          <cell r="L420" t="e">
            <v>#N/A</v>
          </cell>
          <cell r="M420" t="e">
            <v>#N/A</v>
          </cell>
          <cell r="N420" t="e">
            <v>#N/A</v>
          </cell>
          <cell r="O420" t="e">
            <v>#N/A</v>
          </cell>
          <cell r="P420">
            <v>14.54</v>
          </cell>
          <cell r="Q420">
            <v>0.78476099999999993</v>
          </cell>
          <cell r="R420" t="e">
            <v>#N/A</v>
          </cell>
        </row>
        <row r="421">
          <cell r="A421">
            <v>40582</v>
          </cell>
          <cell r="B421">
            <v>40582</v>
          </cell>
          <cell r="C421" t="str">
            <v>Past</v>
          </cell>
          <cell r="D421">
            <v>14.53</v>
          </cell>
          <cell r="E421" t="e">
            <v>#N/A</v>
          </cell>
          <cell r="F421" t="e">
            <v>#N/A</v>
          </cell>
          <cell r="G421" t="e">
            <v>#N/A</v>
          </cell>
          <cell r="H421" t="e">
            <v>#N/A</v>
          </cell>
          <cell r="I421" t="e">
            <v>#N/A</v>
          </cell>
          <cell r="J421" t="e">
            <v>#N/A</v>
          </cell>
          <cell r="K421" t="e">
            <v>#N/A</v>
          </cell>
          <cell r="L421" t="e">
            <v>#N/A</v>
          </cell>
          <cell r="M421" t="e">
            <v>#N/A</v>
          </cell>
          <cell r="N421" t="e">
            <v>#N/A</v>
          </cell>
          <cell r="O421" t="e">
            <v>#N/A</v>
          </cell>
          <cell r="P421">
            <v>14.53</v>
          </cell>
          <cell r="Q421">
            <v>1.0100449999999999</v>
          </cell>
          <cell r="R421" t="e">
            <v>#N/A</v>
          </cell>
        </row>
        <row r="422">
          <cell r="A422">
            <v>40583</v>
          </cell>
          <cell r="B422">
            <v>40583</v>
          </cell>
          <cell r="C422" t="str">
            <v>Past</v>
          </cell>
          <cell r="D422">
            <v>14.51</v>
          </cell>
          <cell r="E422" t="e">
            <v>#N/A</v>
          </cell>
          <cell r="F422" t="e">
            <v>#N/A</v>
          </cell>
          <cell r="G422" t="e">
            <v>#N/A</v>
          </cell>
          <cell r="H422" t="e">
            <v>#N/A</v>
          </cell>
          <cell r="I422" t="e">
            <v>#N/A</v>
          </cell>
          <cell r="J422" t="e">
            <v>#N/A</v>
          </cell>
          <cell r="K422" t="e">
            <v>#N/A</v>
          </cell>
          <cell r="L422" t="e">
            <v>#N/A</v>
          </cell>
          <cell r="M422" t="e">
            <v>#N/A</v>
          </cell>
          <cell r="N422" t="e">
            <v>#N/A</v>
          </cell>
          <cell r="O422" t="e">
            <v>#N/A</v>
          </cell>
          <cell r="P422">
            <v>14.51</v>
          </cell>
          <cell r="Q422">
            <v>1.1109639999999998</v>
          </cell>
          <cell r="R422" t="e">
            <v>#N/A</v>
          </cell>
        </row>
        <row r="423">
          <cell r="A423">
            <v>40584</v>
          </cell>
          <cell r="B423">
            <v>40584</v>
          </cell>
          <cell r="C423" t="str">
            <v>Past</v>
          </cell>
          <cell r="D423">
            <v>14.61</v>
          </cell>
          <cell r="E423" t="e">
            <v>#N/A</v>
          </cell>
          <cell r="F423" t="e">
            <v>#N/A</v>
          </cell>
          <cell r="G423" t="e">
            <v>#N/A</v>
          </cell>
          <cell r="H423" t="e">
            <v>#N/A</v>
          </cell>
          <cell r="I423" t="e">
            <v>#N/A</v>
          </cell>
          <cell r="J423" t="e">
            <v>#N/A</v>
          </cell>
          <cell r="K423" t="e">
            <v>#N/A</v>
          </cell>
          <cell r="L423" t="e">
            <v>#N/A</v>
          </cell>
          <cell r="M423" t="e">
            <v>#N/A</v>
          </cell>
          <cell r="N423" t="e">
            <v>#N/A</v>
          </cell>
          <cell r="O423" t="e">
            <v>#N/A</v>
          </cell>
          <cell r="P423">
            <v>14.61</v>
          </cell>
          <cell r="Q423">
            <v>1.1675180000000001</v>
          </cell>
          <cell r="R423" t="e">
            <v>#N/A</v>
          </cell>
        </row>
        <row r="424">
          <cell r="A424">
            <v>40585</v>
          </cell>
          <cell r="B424">
            <v>40585</v>
          </cell>
          <cell r="C424" t="str">
            <v>Past</v>
          </cell>
          <cell r="D424">
            <v>14.59</v>
          </cell>
          <cell r="E424" t="e">
            <v>#N/A</v>
          </cell>
          <cell r="F424" t="e">
            <v>#N/A</v>
          </cell>
          <cell r="G424" t="e">
            <v>#N/A</v>
          </cell>
          <cell r="H424" t="e">
            <v>#N/A</v>
          </cell>
          <cell r="I424" t="e">
            <v>#N/A</v>
          </cell>
          <cell r="J424" t="e">
            <v>#N/A</v>
          </cell>
          <cell r="K424" t="e">
            <v>#N/A</v>
          </cell>
          <cell r="L424" t="e">
            <v>#N/A</v>
          </cell>
          <cell r="M424" t="e">
            <v>#N/A</v>
          </cell>
          <cell r="N424" t="e">
            <v>#N/A</v>
          </cell>
          <cell r="O424" t="e">
            <v>#N/A</v>
          </cell>
          <cell r="P424">
            <v>14.59</v>
          </cell>
          <cell r="Q424">
            <v>1.118268</v>
          </cell>
          <cell r="R424" t="e">
            <v>#N/A</v>
          </cell>
        </row>
        <row r="425">
          <cell r="A425">
            <v>40588</v>
          </cell>
          <cell r="B425">
            <v>40588</v>
          </cell>
          <cell r="C425" t="str">
            <v>Past</v>
          </cell>
          <cell r="D425">
            <v>14.58</v>
          </cell>
          <cell r="E425" t="e">
            <v>#N/A</v>
          </cell>
          <cell r="F425" t="e">
            <v>#N/A</v>
          </cell>
          <cell r="G425" t="e">
            <v>#N/A</v>
          </cell>
          <cell r="H425" t="e">
            <v>#N/A</v>
          </cell>
          <cell r="I425" t="e">
            <v>#N/A</v>
          </cell>
          <cell r="J425" t="e">
            <v>#N/A</v>
          </cell>
          <cell r="K425" t="e">
            <v>#N/A</v>
          </cell>
          <cell r="L425" t="e">
            <v>#N/A</v>
          </cell>
          <cell r="M425" t="e">
            <v>#N/A</v>
          </cell>
          <cell r="N425" t="e">
            <v>#N/A</v>
          </cell>
          <cell r="O425" t="e">
            <v>#N/A</v>
          </cell>
          <cell r="P425">
            <v>14.58</v>
          </cell>
          <cell r="Q425">
            <v>1.7586619999999999</v>
          </cell>
          <cell r="R425" t="e">
            <v>#N/A</v>
          </cell>
        </row>
        <row r="426">
          <cell r="A426">
            <v>40589</v>
          </cell>
          <cell r="B426">
            <v>40589</v>
          </cell>
          <cell r="C426" t="str">
            <v>Past</v>
          </cell>
          <cell r="D426">
            <v>14.68</v>
          </cell>
          <cell r="E426" t="e">
            <v>#N/A</v>
          </cell>
          <cell r="F426" t="e">
            <v>#N/A</v>
          </cell>
          <cell r="G426" t="e">
            <v>#N/A</v>
          </cell>
          <cell r="H426" t="e">
            <v>#N/A</v>
          </cell>
          <cell r="I426" t="e">
            <v>#N/A</v>
          </cell>
          <cell r="J426" t="e">
            <v>#N/A</v>
          </cell>
          <cell r="K426" t="e">
            <v>#N/A</v>
          </cell>
          <cell r="L426" t="e">
            <v>#N/A</v>
          </cell>
          <cell r="M426" t="e">
            <v>#N/A</v>
          </cell>
          <cell r="N426" t="e">
            <v>#N/A</v>
          </cell>
          <cell r="O426" t="e">
            <v>#N/A</v>
          </cell>
          <cell r="P426">
            <v>14.68</v>
          </cell>
          <cell r="Q426">
            <v>1.2413719999999999</v>
          </cell>
          <cell r="R426" t="e">
            <v>#N/A</v>
          </cell>
        </row>
        <row r="427">
          <cell r="A427">
            <v>40590</v>
          </cell>
          <cell r="B427">
            <v>40590</v>
          </cell>
          <cell r="C427" t="str">
            <v>Past</v>
          </cell>
          <cell r="D427">
            <v>14.74</v>
          </cell>
          <cell r="E427" t="e">
            <v>#N/A</v>
          </cell>
          <cell r="F427" t="e">
            <v>#N/A</v>
          </cell>
          <cell r="G427" t="e">
            <v>#N/A</v>
          </cell>
          <cell r="H427" t="e">
            <v>#N/A</v>
          </cell>
          <cell r="I427" t="e">
            <v>#N/A</v>
          </cell>
          <cell r="J427" t="e">
            <v>#N/A</v>
          </cell>
          <cell r="K427" t="e">
            <v>#N/A</v>
          </cell>
          <cell r="L427" t="e">
            <v>#N/A</v>
          </cell>
          <cell r="M427" t="e">
            <v>#N/A</v>
          </cell>
          <cell r="N427" t="e">
            <v>#N/A</v>
          </cell>
          <cell r="O427" t="e">
            <v>#N/A</v>
          </cell>
          <cell r="P427">
            <v>14.74</v>
          </cell>
          <cell r="Q427">
            <v>1.006011</v>
          </cell>
          <cell r="R427" t="e">
            <v>#N/A</v>
          </cell>
        </row>
        <row r="428">
          <cell r="A428">
            <v>40591</v>
          </cell>
          <cell r="B428">
            <v>40591</v>
          </cell>
          <cell r="C428" t="str">
            <v>Past</v>
          </cell>
          <cell r="D428">
            <v>14.78</v>
          </cell>
          <cell r="E428" t="e">
            <v>#N/A</v>
          </cell>
          <cell r="F428" t="e">
            <v>#N/A</v>
          </cell>
          <cell r="G428" t="e">
            <v>#N/A</v>
          </cell>
          <cell r="H428" t="e">
            <v>#N/A</v>
          </cell>
          <cell r="I428" t="e">
            <v>#N/A</v>
          </cell>
          <cell r="J428" t="e">
            <v>#N/A</v>
          </cell>
          <cell r="K428" t="e">
            <v>#N/A</v>
          </cell>
          <cell r="L428" t="e">
            <v>#N/A</v>
          </cell>
          <cell r="M428" t="e">
            <v>#N/A</v>
          </cell>
          <cell r="N428" t="e">
            <v>#N/A</v>
          </cell>
          <cell r="O428" t="e">
            <v>#N/A</v>
          </cell>
          <cell r="P428">
            <v>14.78</v>
          </cell>
          <cell r="Q428">
            <v>1.5522549999999999</v>
          </cell>
          <cell r="R428" t="e">
            <v>#N/A</v>
          </cell>
        </row>
        <row r="429">
          <cell r="A429">
            <v>40592</v>
          </cell>
          <cell r="B429">
            <v>40592</v>
          </cell>
          <cell r="C429" t="str">
            <v>Past</v>
          </cell>
          <cell r="D429">
            <v>14.92</v>
          </cell>
          <cell r="E429" t="e">
            <v>#N/A</v>
          </cell>
          <cell r="F429" t="e">
            <v>#N/A</v>
          </cell>
          <cell r="G429" t="e">
            <v>#N/A</v>
          </cell>
          <cell r="H429" t="e">
            <v>#N/A</v>
          </cell>
          <cell r="I429" t="e">
            <v>#N/A</v>
          </cell>
          <cell r="J429" t="e">
            <v>#N/A</v>
          </cell>
          <cell r="K429" t="e">
            <v>#N/A</v>
          </cell>
          <cell r="L429" t="e">
            <v>#N/A</v>
          </cell>
          <cell r="M429" t="e">
            <v>#N/A</v>
          </cell>
          <cell r="N429" t="e">
            <v>#N/A</v>
          </cell>
          <cell r="O429" t="e">
            <v>#N/A</v>
          </cell>
          <cell r="P429">
            <v>14.92</v>
          </cell>
          <cell r="Q429">
            <v>3.2853879999999998</v>
          </cell>
          <cell r="R429" t="e">
            <v>#N/A</v>
          </cell>
        </row>
        <row r="430">
          <cell r="A430">
            <v>40596</v>
          </cell>
          <cell r="B430">
            <v>40596</v>
          </cell>
          <cell r="C430" t="str">
            <v>Past</v>
          </cell>
          <cell r="D430">
            <v>14.86</v>
          </cell>
          <cell r="E430" t="e">
            <v>#N/A</v>
          </cell>
          <cell r="F430" t="e">
            <v>#N/A</v>
          </cell>
          <cell r="G430" t="e">
            <v>#N/A</v>
          </cell>
          <cell r="H430" t="e">
            <v>#N/A</v>
          </cell>
          <cell r="I430" t="e">
            <v>#N/A</v>
          </cell>
          <cell r="J430" t="e">
            <v>#N/A</v>
          </cell>
          <cell r="K430" t="e">
            <v>#N/A</v>
          </cell>
          <cell r="L430" t="e">
            <v>#N/A</v>
          </cell>
          <cell r="M430" t="e">
            <v>#N/A</v>
          </cell>
          <cell r="N430" t="e">
            <v>#N/A</v>
          </cell>
          <cell r="O430" t="e">
            <v>#N/A</v>
          </cell>
          <cell r="P430">
            <v>14.86</v>
          </cell>
          <cell r="Q430">
            <v>1.7888649999999999</v>
          </cell>
          <cell r="R430" t="e">
            <v>#N/A</v>
          </cell>
        </row>
        <row r="431">
          <cell r="A431">
            <v>40597</v>
          </cell>
          <cell r="B431">
            <v>40597</v>
          </cell>
          <cell r="C431" t="str">
            <v>Past</v>
          </cell>
          <cell r="D431">
            <v>14.69</v>
          </cell>
          <cell r="E431" t="e">
            <v>#N/A</v>
          </cell>
          <cell r="F431" t="e">
            <v>#N/A</v>
          </cell>
          <cell r="G431" t="e">
            <v>#N/A</v>
          </cell>
          <cell r="H431" t="e">
            <v>#N/A</v>
          </cell>
          <cell r="I431" t="e">
            <v>#N/A</v>
          </cell>
          <cell r="J431" t="e">
            <v>#N/A</v>
          </cell>
          <cell r="K431" t="e">
            <v>#N/A</v>
          </cell>
          <cell r="L431" t="e">
            <v>#N/A</v>
          </cell>
          <cell r="M431" t="e">
            <v>#N/A</v>
          </cell>
          <cell r="N431" t="e">
            <v>#N/A</v>
          </cell>
          <cell r="O431" t="e">
            <v>#N/A</v>
          </cell>
          <cell r="P431">
            <v>14.69</v>
          </cell>
          <cell r="Q431">
            <v>1.544481</v>
          </cell>
          <cell r="R431" t="e">
            <v>#N/A</v>
          </cell>
        </row>
        <row r="432">
          <cell r="A432">
            <v>40598</v>
          </cell>
          <cell r="B432">
            <v>40598</v>
          </cell>
          <cell r="C432" t="str">
            <v>Past</v>
          </cell>
          <cell r="D432">
            <v>14.56</v>
          </cell>
          <cell r="E432" t="e">
            <v>#N/A</v>
          </cell>
          <cell r="F432" t="e">
            <v>#N/A</v>
          </cell>
          <cell r="G432" t="e">
            <v>#N/A</v>
          </cell>
          <cell r="H432" t="e">
            <v>#N/A</v>
          </cell>
          <cell r="I432" t="e">
            <v>#N/A</v>
          </cell>
          <cell r="J432" t="e">
            <v>#N/A</v>
          </cell>
          <cell r="K432" t="e">
            <v>#N/A</v>
          </cell>
          <cell r="L432" t="e">
            <v>#N/A</v>
          </cell>
          <cell r="M432" t="e">
            <v>#N/A</v>
          </cell>
          <cell r="N432" t="e">
            <v>#N/A</v>
          </cell>
          <cell r="O432" t="e">
            <v>#N/A</v>
          </cell>
          <cell r="P432">
            <v>14.56</v>
          </cell>
          <cell r="Q432">
            <v>1.3997700000000002</v>
          </cell>
          <cell r="R432" t="e">
            <v>#N/A</v>
          </cell>
        </row>
        <row r="433">
          <cell r="A433">
            <v>40599</v>
          </cell>
          <cell r="B433">
            <v>40599</v>
          </cell>
          <cell r="C433" t="str">
            <v>Past</v>
          </cell>
          <cell r="D433">
            <v>14.63</v>
          </cell>
          <cell r="E433" t="e">
            <v>#N/A</v>
          </cell>
          <cell r="F433" t="e">
            <v>#N/A</v>
          </cell>
          <cell r="G433" t="e">
            <v>#N/A</v>
          </cell>
          <cell r="H433" t="e">
            <v>#N/A</v>
          </cell>
          <cell r="I433" t="e">
            <v>#N/A</v>
          </cell>
          <cell r="J433" t="e">
            <v>#N/A</v>
          </cell>
          <cell r="K433" t="e">
            <v>#N/A</v>
          </cell>
          <cell r="L433" t="e">
            <v>#N/A</v>
          </cell>
          <cell r="M433" t="e">
            <v>#N/A</v>
          </cell>
          <cell r="N433" t="e">
            <v>#N/A</v>
          </cell>
          <cell r="O433" t="e">
            <v>#N/A</v>
          </cell>
          <cell r="P433">
            <v>14.63</v>
          </cell>
          <cell r="Q433">
            <v>1.2756859999999999</v>
          </cell>
          <cell r="R433" t="e">
            <v>#N/A</v>
          </cell>
        </row>
        <row r="434">
          <cell r="A434">
            <v>40602</v>
          </cell>
          <cell r="B434">
            <v>40602</v>
          </cell>
          <cell r="C434" t="str">
            <v>Past</v>
          </cell>
          <cell r="D434">
            <v>14.69</v>
          </cell>
          <cell r="E434" t="e">
            <v>#N/A</v>
          </cell>
          <cell r="F434" t="e">
            <v>#N/A</v>
          </cell>
          <cell r="G434" t="e">
            <v>#N/A</v>
          </cell>
          <cell r="H434" t="e">
            <v>#N/A</v>
          </cell>
          <cell r="I434" t="e">
            <v>#N/A</v>
          </cell>
          <cell r="J434" t="e">
            <v>#N/A</v>
          </cell>
          <cell r="K434" t="e">
            <v>#N/A</v>
          </cell>
          <cell r="L434" t="e">
            <v>#N/A</v>
          </cell>
          <cell r="M434" t="e">
            <v>#N/A</v>
          </cell>
          <cell r="N434" t="e">
            <v>#N/A</v>
          </cell>
          <cell r="O434" t="e">
            <v>#N/A</v>
          </cell>
          <cell r="P434">
            <v>14.69</v>
          </cell>
          <cell r="Q434">
            <v>1.8974500000000001</v>
          </cell>
          <cell r="R434" t="e">
            <v>#N/A</v>
          </cell>
        </row>
        <row r="435">
          <cell r="A435">
            <v>40603</v>
          </cell>
          <cell r="B435">
            <v>40603</v>
          </cell>
          <cell r="C435" t="str">
            <v>Past</v>
          </cell>
          <cell r="D435">
            <v>14.55</v>
          </cell>
          <cell r="E435" t="e">
            <v>#N/A</v>
          </cell>
          <cell r="F435" t="e">
            <v>#N/A</v>
          </cell>
          <cell r="G435" t="e">
            <v>#N/A</v>
          </cell>
          <cell r="H435" t="e">
            <v>#N/A</v>
          </cell>
          <cell r="I435" t="e">
            <v>#N/A</v>
          </cell>
          <cell r="J435" t="e">
            <v>#N/A</v>
          </cell>
          <cell r="K435" t="e">
            <v>#N/A</v>
          </cell>
          <cell r="L435" t="e">
            <v>#N/A</v>
          </cell>
          <cell r="M435" t="e">
            <v>#N/A</v>
          </cell>
          <cell r="N435" t="e">
            <v>#N/A</v>
          </cell>
          <cell r="O435" t="e">
            <v>#N/A</v>
          </cell>
          <cell r="P435">
            <v>14.55</v>
          </cell>
          <cell r="Q435">
            <v>1.179567</v>
          </cell>
          <cell r="R435" t="e">
            <v>#N/A</v>
          </cell>
        </row>
        <row r="436">
          <cell r="A436">
            <v>40604</v>
          </cell>
          <cell r="B436">
            <v>40604</v>
          </cell>
          <cell r="C436" t="str">
            <v>Past</v>
          </cell>
          <cell r="D436">
            <v>14.64</v>
          </cell>
          <cell r="E436" t="e">
            <v>#N/A</v>
          </cell>
          <cell r="F436" t="e">
            <v>#N/A</v>
          </cell>
          <cell r="G436" t="e">
            <v>#N/A</v>
          </cell>
          <cell r="H436" t="e">
            <v>#N/A</v>
          </cell>
          <cell r="I436" t="e">
            <v>#N/A</v>
          </cell>
          <cell r="J436" t="e">
            <v>#N/A</v>
          </cell>
          <cell r="K436" t="e">
            <v>#N/A</v>
          </cell>
          <cell r="L436" t="e">
            <v>#N/A</v>
          </cell>
          <cell r="M436" t="e">
            <v>#N/A</v>
          </cell>
          <cell r="N436" t="e">
            <v>#N/A</v>
          </cell>
          <cell r="O436" t="e">
            <v>#N/A</v>
          </cell>
          <cell r="P436">
            <v>14.64</v>
          </cell>
          <cell r="Q436">
            <v>1.235517</v>
          </cell>
          <cell r="R436" t="e">
            <v>#N/A</v>
          </cell>
        </row>
        <row r="437">
          <cell r="A437">
            <v>40605</v>
          </cell>
          <cell r="B437">
            <v>40605</v>
          </cell>
          <cell r="C437" t="str">
            <v>Past</v>
          </cell>
          <cell r="D437">
            <v>14.83</v>
          </cell>
          <cell r="E437" t="e">
            <v>#N/A</v>
          </cell>
          <cell r="F437" t="e">
            <v>#N/A</v>
          </cell>
          <cell r="G437" t="e">
            <v>#N/A</v>
          </cell>
          <cell r="H437" t="e">
            <v>#N/A</v>
          </cell>
          <cell r="I437" t="e">
            <v>#N/A</v>
          </cell>
          <cell r="J437" t="e">
            <v>#N/A</v>
          </cell>
          <cell r="K437" t="e">
            <v>#N/A</v>
          </cell>
          <cell r="L437" t="e">
            <v>#N/A</v>
          </cell>
          <cell r="M437" t="e">
            <v>#N/A</v>
          </cell>
          <cell r="N437" t="e">
            <v>#N/A</v>
          </cell>
          <cell r="O437" t="e">
            <v>#N/A</v>
          </cell>
          <cell r="P437">
            <v>14.83</v>
          </cell>
          <cell r="Q437">
            <v>1.411872</v>
          </cell>
          <cell r="R437" t="e">
            <v>#N/A</v>
          </cell>
        </row>
        <row r="438">
          <cell r="A438">
            <v>40606</v>
          </cell>
          <cell r="B438">
            <v>40606</v>
          </cell>
          <cell r="C438" t="str">
            <v>Past</v>
          </cell>
          <cell r="D438">
            <v>14.68</v>
          </cell>
          <cell r="E438" t="e">
            <v>#N/A</v>
          </cell>
          <cell r="F438" t="e">
            <v>#N/A</v>
          </cell>
          <cell r="G438" t="e">
            <v>#N/A</v>
          </cell>
          <cell r="H438" t="e">
            <v>#N/A</v>
          </cell>
          <cell r="I438" t="e">
            <v>#N/A</v>
          </cell>
          <cell r="J438" t="e">
            <v>#N/A</v>
          </cell>
          <cell r="K438" t="e">
            <v>#N/A</v>
          </cell>
          <cell r="L438" t="e">
            <v>#N/A</v>
          </cell>
          <cell r="M438" t="e">
            <v>#N/A</v>
          </cell>
          <cell r="N438" t="e">
            <v>#N/A</v>
          </cell>
          <cell r="O438" t="e">
            <v>#N/A</v>
          </cell>
          <cell r="P438">
            <v>14.68</v>
          </cell>
          <cell r="Q438">
            <v>0.85889299999999991</v>
          </cell>
          <cell r="R438" t="e">
            <v>#N/A</v>
          </cell>
        </row>
        <row r="439">
          <cell r="A439">
            <v>40609</v>
          </cell>
          <cell r="B439">
            <v>40609</v>
          </cell>
          <cell r="C439" t="str">
            <v>Past</v>
          </cell>
          <cell r="D439">
            <v>14.7</v>
          </cell>
          <cell r="E439" t="e">
            <v>#N/A</v>
          </cell>
          <cell r="F439" t="e">
            <v>#N/A</v>
          </cell>
          <cell r="G439" t="e">
            <v>#N/A</v>
          </cell>
          <cell r="H439" t="e">
            <v>#N/A</v>
          </cell>
          <cell r="I439" t="e">
            <v>#N/A</v>
          </cell>
          <cell r="J439" t="e">
            <v>#N/A</v>
          </cell>
          <cell r="K439" t="e">
            <v>#N/A</v>
          </cell>
          <cell r="L439" t="e">
            <v>#N/A</v>
          </cell>
          <cell r="M439" t="e">
            <v>#N/A</v>
          </cell>
          <cell r="N439" t="e">
            <v>#N/A</v>
          </cell>
          <cell r="O439" t="e">
            <v>#N/A</v>
          </cell>
          <cell r="P439">
            <v>14.7</v>
          </cell>
          <cell r="Q439">
            <v>1.3134239999999999</v>
          </cell>
          <cell r="R439" t="e">
            <v>#N/A</v>
          </cell>
        </row>
        <row r="440">
          <cell r="A440">
            <v>40610</v>
          </cell>
          <cell r="B440">
            <v>40610</v>
          </cell>
          <cell r="C440" t="str">
            <v>Past</v>
          </cell>
          <cell r="D440">
            <v>14.88</v>
          </cell>
          <cell r="E440" t="e">
            <v>#N/A</v>
          </cell>
          <cell r="F440" t="e">
            <v>#N/A</v>
          </cell>
          <cell r="G440" t="e">
            <v>#N/A</v>
          </cell>
          <cell r="H440" t="e">
            <v>#N/A</v>
          </cell>
          <cell r="I440" t="e">
            <v>#N/A</v>
          </cell>
          <cell r="J440" t="e">
            <v>#N/A</v>
          </cell>
          <cell r="K440" t="e">
            <v>#N/A</v>
          </cell>
          <cell r="L440" t="e">
            <v>#N/A</v>
          </cell>
          <cell r="M440" t="e">
            <v>#N/A</v>
          </cell>
          <cell r="N440" t="e">
            <v>#N/A</v>
          </cell>
          <cell r="O440" t="e">
            <v>#N/A</v>
          </cell>
          <cell r="P440">
            <v>14.88</v>
          </cell>
          <cell r="Q440">
            <v>1.3189700000000002</v>
          </cell>
          <cell r="R440" t="e">
            <v>#N/A</v>
          </cell>
        </row>
        <row r="441">
          <cell r="A441">
            <v>40611</v>
          </cell>
          <cell r="B441">
            <v>40611</v>
          </cell>
          <cell r="C441" t="str">
            <v>Past</v>
          </cell>
          <cell r="D441">
            <v>14.91</v>
          </cell>
          <cell r="E441" t="e">
            <v>#N/A</v>
          </cell>
          <cell r="F441" t="e">
            <v>#N/A</v>
          </cell>
          <cell r="G441" t="e">
            <v>#N/A</v>
          </cell>
          <cell r="H441" t="e">
            <v>#N/A</v>
          </cell>
          <cell r="I441" t="e">
            <v>#N/A</v>
          </cell>
          <cell r="J441" t="e">
            <v>#N/A</v>
          </cell>
          <cell r="K441" t="e">
            <v>#N/A</v>
          </cell>
          <cell r="L441" t="e">
            <v>#N/A</v>
          </cell>
          <cell r="M441" t="e">
            <v>#N/A</v>
          </cell>
          <cell r="N441" t="e">
            <v>#N/A</v>
          </cell>
          <cell r="O441" t="e">
            <v>#N/A</v>
          </cell>
          <cell r="P441">
            <v>14.91</v>
          </cell>
          <cell r="Q441">
            <v>1.1770129999999999</v>
          </cell>
          <cell r="R441" t="e">
            <v>#N/A</v>
          </cell>
        </row>
        <row r="442">
          <cell r="A442">
            <v>40612</v>
          </cell>
          <cell r="B442">
            <v>40612</v>
          </cell>
          <cell r="C442" t="str">
            <v>Past</v>
          </cell>
          <cell r="D442">
            <v>14.67</v>
          </cell>
          <cell r="E442" t="e">
            <v>#N/A</v>
          </cell>
          <cell r="F442" t="e">
            <v>#N/A</v>
          </cell>
          <cell r="G442" t="e">
            <v>#N/A</v>
          </cell>
          <cell r="H442" t="e">
            <v>#N/A</v>
          </cell>
          <cell r="I442" t="e">
            <v>#N/A</v>
          </cell>
          <cell r="J442" t="e">
            <v>#N/A</v>
          </cell>
          <cell r="K442" t="e">
            <v>#N/A</v>
          </cell>
          <cell r="L442" t="e">
            <v>#N/A</v>
          </cell>
          <cell r="M442" t="e">
            <v>#N/A</v>
          </cell>
          <cell r="N442" t="e">
            <v>#N/A</v>
          </cell>
          <cell r="O442" t="e">
            <v>#N/A</v>
          </cell>
          <cell r="P442">
            <v>14.67</v>
          </cell>
          <cell r="Q442">
            <v>2.195319</v>
          </cell>
          <cell r="R442" t="e">
            <v>#N/A</v>
          </cell>
        </row>
        <row r="443">
          <cell r="A443">
            <v>40613</v>
          </cell>
          <cell r="B443">
            <v>40613</v>
          </cell>
          <cell r="C443" t="str">
            <v>Past</v>
          </cell>
          <cell r="D443">
            <v>14.83</v>
          </cell>
          <cell r="E443" t="e">
            <v>#N/A</v>
          </cell>
          <cell r="F443" t="e">
            <v>#N/A</v>
          </cell>
          <cell r="G443" t="e">
            <v>#N/A</v>
          </cell>
          <cell r="H443" t="e">
            <v>#N/A</v>
          </cell>
          <cell r="I443" t="e">
            <v>#N/A</v>
          </cell>
          <cell r="J443" t="e">
            <v>#N/A</v>
          </cell>
          <cell r="K443" t="e">
            <v>#N/A</v>
          </cell>
          <cell r="L443" t="e">
            <v>#N/A</v>
          </cell>
          <cell r="M443" t="e">
            <v>#N/A</v>
          </cell>
          <cell r="N443" t="e">
            <v>#N/A</v>
          </cell>
          <cell r="O443" t="e">
            <v>#N/A</v>
          </cell>
          <cell r="P443">
            <v>14.83</v>
          </cell>
          <cell r="Q443">
            <v>2.5068239999999999</v>
          </cell>
          <cell r="R443" t="e">
            <v>#N/A</v>
          </cell>
        </row>
        <row r="444">
          <cell r="A444">
            <v>40616</v>
          </cell>
          <cell r="B444">
            <v>40616</v>
          </cell>
          <cell r="C444" t="str">
            <v>Past</v>
          </cell>
          <cell r="D444">
            <v>14.83</v>
          </cell>
          <cell r="E444" t="e">
            <v>#N/A</v>
          </cell>
          <cell r="F444" t="e">
            <v>#N/A</v>
          </cell>
          <cell r="G444" t="e">
            <v>#N/A</v>
          </cell>
          <cell r="H444" t="e">
            <v>#N/A</v>
          </cell>
          <cell r="I444" t="e">
            <v>#N/A</v>
          </cell>
          <cell r="J444" t="e">
            <v>#N/A</v>
          </cell>
          <cell r="K444" t="e">
            <v>#N/A</v>
          </cell>
          <cell r="L444" t="e">
            <v>#N/A</v>
          </cell>
          <cell r="M444" t="e">
            <v>#N/A</v>
          </cell>
          <cell r="N444" t="e">
            <v>#N/A</v>
          </cell>
          <cell r="O444" t="e">
            <v>#N/A</v>
          </cell>
          <cell r="P444">
            <v>14.83</v>
          </cell>
          <cell r="Q444">
            <v>1.7697939999999999</v>
          </cell>
          <cell r="R444" t="e">
            <v>#N/A</v>
          </cell>
        </row>
        <row r="445">
          <cell r="A445">
            <v>40617</v>
          </cell>
          <cell r="B445">
            <v>40617</v>
          </cell>
          <cell r="C445" t="str">
            <v>Past</v>
          </cell>
          <cell r="D445">
            <v>14.54</v>
          </cell>
          <cell r="E445" t="e">
            <v>#N/A</v>
          </cell>
          <cell r="F445" t="e">
            <v>#N/A</v>
          </cell>
          <cell r="G445" t="e">
            <v>#N/A</v>
          </cell>
          <cell r="H445" t="e">
            <v>#N/A</v>
          </cell>
          <cell r="I445" t="e">
            <v>#N/A</v>
          </cell>
          <cell r="J445" t="e">
            <v>#N/A</v>
          </cell>
          <cell r="K445" t="e">
            <v>#N/A</v>
          </cell>
          <cell r="L445" t="e">
            <v>#N/A</v>
          </cell>
          <cell r="M445" t="e">
            <v>#N/A</v>
          </cell>
          <cell r="N445" t="e">
            <v>#N/A</v>
          </cell>
          <cell r="O445" t="e">
            <v>#N/A</v>
          </cell>
          <cell r="P445">
            <v>14.54</v>
          </cell>
          <cell r="Q445">
            <v>1.7034609999999999</v>
          </cell>
          <cell r="R445" t="e">
            <v>#N/A</v>
          </cell>
        </row>
        <row r="446">
          <cell r="A446">
            <v>40618</v>
          </cell>
          <cell r="B446">
            <v>40618</v>
          </cell>
          <cell r="C446" t="str">
            <v>Past</v>
          </cell>
          <cell r="D446">
            <v>14.31</v>
          </cell>
          <cell r="E446" t="e">
            <v>#N/A</v>
          </cell>
          <cell r="F446" t="e">
            <v>#N/A</v>
          </cell>
          <cell r="G446" t="e">
            <v>#N/A</v>
          </cell>
          <cell r="H446" t="e">
            <v>#N/A</v>
          </cell>
          <cell r="I446" t="e">
            <v>#N/A</v>
          </cell>
          <cell r="J446" t="e">
            <v>#N/A</v>
          </cell>
          <cell r="K446" t="e">
            <v>#N/A</v>
          </cell>
          <cell r="L446" t="e">
            <v>#N/A</v>
          </cell>
          <cell r="M446" t="e">
            <v>#N/A</v>
          </cell>
          <cell r="N446" t="e">
            <v>#N/A</v>
          </cell>
          <cell r="O446" t="e">
            <v>#N/A</v>
          </cell>
          <cell r="P446">
            <v>14.31</v>
          </cell>
          <cell r="Q446">
            <v>2.262054</v>
          </cell>
          <cell r="R446" t="e">
            <v>#N/A</v>
          </cell>
        </row>
        <row r="447">
          <cell r="A447">
            <v>40619</v>
          </cell>
          <cell r="B447">
            <v>40619</v>
          </cell>
          <cell r="C447" t="str">
            <v>Past</v>
          </cell>
          <cell r="D447">
            <v>14.33</v>
          </cell>
          <cell r="E447" t="e">
            <v>#N/A</v>
          </cell>
          <cell r="F447" t="e">
            <v>#N/A</v>
          </cell>
          <cell r="G447" t="e">
            <v>#N/A</v>
          </cell>
          <cell r="H447" t="e">
            <v>#N/A</v>
          </cell>
          <cell r="I447" t="e">
            <v>#N/A</v>
          </cell>
          <cell r="J447" t="e">
            <v>#N/A</v>
          </cell>
          <cell r="K447" t="e">
            <v>#N/A</v>
          </cell>
          <cell r="L447" t="e">
            <v>#N/A</v>
          </cell>
          <cell r="M447" t="e">
            <v>#N/A</v>
          </cell>
          <cell r="N447" t="e">
            <v>#N/A</v>
          </cell>
          <cell r="O447" t="e">
            <v>#N/A</v>
          </cell>
          <cell r="P447">
            <v>14.33</v>
          </cell>
          <cell r="Q447">
            <v>1.7244809999999999</v>
          </cell>
          <cell r="R447" t="e">
            <v>#N/A</v>
          </cell>
        </row>
        <row r="448">
          <cell r="A448">
            <v>40620</v>
          </cell>
          <cell r="B448">
            <v>40620</v>
          </cell>
          <cell r="C448" t="str">
            <v>Past</v>
          </cell>
          <cell r="D448">
            <v>14.35</v>
          </cell>
          <cell r="E448" t="e">
            <v>#N/A</v>
          </cell>
          <cell r="F448" t="e">
            <v>#N/A</v>
          </cell>
          <cell r="G448" t="e">
            <v>#N/A</v>
          </cell>
          <cell r="H448" t="e">
            <v>#N/A</v>
          </cell>
          <cell r="I448" t="e">
            <v>#N/A</v>
          </cell>
          <cell r="J448" t="e">
            <v>#N/A</v>
          </cell>
          <cell r="K448" t="e">
            <v>#N/A</v>
          </cell>
          <cell r="L448" t="e">
            <v>#N/A</v>
          </cell>
          <cell r="M448" t="e">
            <v>#N/A</v>
          </cell>
          <cell r="N448" t="e">
            <v>#N/A</v>
          </cell>
          <cell r="O448" t="e">
            <v>#N/A</v>
          </cell>
          <cell r="P448">
            <v>14.35</v>
          </cell>
          <cell r="Q448">
            <v>1.5717639999999999</v>
          </cell>
          <cell r="R448" t="e">
            <v>#N/A</v>
          </cell>
        </row>
        <row r="449">
          <cell r="A449">
            <v>40623</v>
          </cell>
          <cell r="B449">
            <v>40623</v>
          </cell>
          <cell r="C449" t="str">
            <v>Past</v>
          </cell>
          <cell r="D449">
            <v>14.68</v>
          </cell>
          <cell r="E449" t="e">
            <v>#N/A</v>
          </cell>
          <cell r="F449" t="e">
            <v>#N/A</v>
          </cell>
          <cell r="G449" t="e">
            <v>#N/A</v>
          </cell>
          <cell r="H449" t="e">
            <v>#N/A</v>
          </cell>
          <cell r="I449" t="e">
            <v>#N/A</v>
          </cell>
          <cell r="J449" t="e">
            <v>#N/A</v>
          </cell>
          <cell r="K449" t="e">
            <v>#N/A</v>
          </cell>
          <cell r="L449" t="e">
            <v>#N/A</v>
          </cell>
          <cell r="M449" t="e">
            <v>#N/A</v>
          </cell>
          <cell r="N449" t="e">
            <v>#N/A</v>
          </cell>
          <cell r="O449" t="e">
            <v>#N/A</v>
          </cell>
          <cell r="P449">
            <v>14.68</v>
          </cell>
          <cell r="Q449">
            <v>1.8070109999999999</v>
          </cell>
          <cell r="R449" t="e">
            <v>#N/A</v>
          </cell>
        </row>
        <row r="450">
          <cell r="A450">
            <v>40624</v>
          </cell>
          <cell r="B450">
            <v>40624</v>
          </cell>
          <cell r="C450" t="str">
            <v>Past</v>
          </cell>
          <cell r="D450">
            <v>14.54</v>
          </cell>
          <cell r="E450" t="e">
            <v>#N/A</v>
          </cell>
          <cell r="F450" t="e">
            <v>#N/A</v>
          </cell>
          <cell r="G450" t="e">
            <v>#N/A</v>
          </cell>
          <cell r="H450" t="e">
            <v>#N/A</v>
          </cell>
          <cell r="I450" t="e">
            <v>#N/A</v>
          </cell>
          <cell r="J450" t="e">
            <v>#N/A</v>
          </cell>
          <cell r="K450" t="e">
            <v>#N/A</v>
          </cell>
          <cell r="L450" t="e">
            <v>#N/A</v>
          </cell>
          <cell r="M450" t="e">
            <v>#N/A</v>
          </cell>
          <cell r="N450" t="e">
            <v>#N/A</v>
          </cell>
          <cell r="O450" t="e">
            <v>#N/A</v>
          </cell>
          <cell r="P450">
            <v>14.54</v>
          </cell>
          <cell r="Q450">
            <v>1.435576</v>
          </cell>
          <cell r="R450" t="e">
            <v>#N/A</v>
          </cell>
        </row>
        <row r="451">
          <cell r="A451">
            <v>40625</v>
          </cell>
          <cell r="B451">
            <v>40625</v>
          </cell>
          <cell r="C451" t="str">
            <v>Past</v>
          </cell>
          <cell r="D451">
            <v>14.49</v>
          </cell>
          <cell r="E451" t="e">
            <v>#N/A</v>
          </cell>
          <cell r="F451" t="e">
            <v>#N/A</v>
          </cell>
          <cell r="G451" t="e">
            <v>#N/A</v>
          </cell>
          <cell r="H451" t="e">
            <v>#N/A</v>
          </cell>
          <cell r="I451" t="e">
            <v>#N/A</v>
          </cell>
          <cell r="J451" t="e">
            <v>#N/A</v>
          </cell>
          <cell r="K451" t="e">
            <v>#N/A</v>
          </cell>
          <cell r="L451" t="e">
            <v>#N/A</v>
          </cell>
          <cell r="M451" t="e">
            <v>#N/A</v>
          </cell>
          <cell r="N451" t="e">
            <v>#N/A</v>
          </cell>
          <cell r="O451" t="e">
            <v>#N/A</v>
          </cell>
          <cell r="P451">
            <v>14.49</v>
          </cell>
          <cell r="Q451">
            <v>1.24529</v>
          </cell>
          <cell r="R451" t="e">
            <v>#N/A</v>
          </cell>
        </row>
        <row r="452">
          <cell r="A452">
            <v>40626</v>
          </cell>
          <cell r="B452">
            <v>40626</v>
          </cell>
          <cell r="C452" t="str">
            <v>Past</v>
          </cell>
          <cell r="D452">
            <v>14.5</v>
          </cell>
          <cell r="E452" t="e">
            <v>#N/A</v>
          </cell>
          <cell r="F452" t="e">
            <v>#N/A</v>
          </cell>
          <cell r="G452" t="e">
            <v>#N/A</v>
          </cell>
          <cell r="H452" t="e">
            <v>#N/A</v>
          </cell>
          <cell r="I452" t="e">
            <v>#N/A</v>
          </cell>
          <cell r="J452" t="e">
            <v>#N/A</v>
          </cell>
          <cell r="K452" t="e">
            <v>#N/A</v>
          </cell>
          <cell r="L452" t="e">
            <v>#N/A</v>
          </cell>
          <cell r="M452" t="e">
            <v>#N/A</v>
          </cell>
          <cell r="N452" t="e">
            <v>#N/A</v>
          </cell>
          <cell r="O452" t="e">
            <v>#N/A</v>
          </cell>
          <cell r="P452">
            <v>14.5</v>
          </cell>
          <cell r="Q452">
            <v>1.491544</v>
          </cell>
          <cell r="R452" t="e">
            <v>#N/A</v>
          </cell>
        </row>
        <row r="453">
          <cell r="A453">
            <v>40627</v>
          </cell>
          <cell r="B453">
            <v>40627</v>
          </cell>
          <cell r="C453" t="str">
            <v>Past</v>
          </cell>
          <cell r="D453">
            <v>14.58</v>
          </cell>
          <cell r="E453" t="e">
            <v>#N/A</v>
          </cell>
          <cell r="F453" t="e">
            <v>#N/A</v>
          </cell>
          <cell r="G453" t="e">
            <v>#N/A</v>
          </cell>
          <cell r="H453" t="e">
            <v>#N/A</v>
          </cell>
          <cell r="I453" t="e">
            <v>#N/A</v>
          </cell>
          <cell r="J453" t="e">
            <v>#N/A</v>
          </cell>
          <cell r="K453" t="e">
            <v>#N/A</v>
          </cell>
          <cell r="L453" t="e">
            <v>#N/A</v>
          </cell>
          <cell r="M453" t="e">
            <v>#N/A</v>
          </cell>
          <cell r="N453" t="e">
            <v>#N/A</v>
          </cell>
          <cell r="O453" t="e">
            <v>#N/A</v>
          </cell>
          <cell r="P453">
            <v>14.58</v>
          </cell>
          <cell r="Q453">
            <v>1.252939</v>
          </cell>
          <cell r="R453" t="e">
            <v>#N/A</v>
          </cell>
        </row>
        <row r="454">
          <cell r="A454">
            <v>40630</v>
          </cell>
          <cell r="B454">
            <v>40630</v>
          </cell>
          <cell r="C454" t="str">
            <v>Past</v>
          </cell>
          <cell r="D454">
            <v>14.53</v>
          </cell>
          <cell r="E454" t="e">
            <v>#N/A</v>
          </cell>
          <cell r="F454" t="e">
            <v>#N/A</v>
          </cell>
          <cell r="G454" t="e">
            <v>#N/A</v>
          </cell>
          <cell r="H454" t="e">
            <v>#N/A</v>
          </cell>
          <cell r="I454" t="e">
            <v>#N/A</v>
          </cell>
          <cell r="J454" t="e">
            <v>#N/A</v>
          </cell>
          <cell r="K454" t="e">
            <v>#N/A</v>
          </cell>
          <cell r="L454" t="e">
            <v>#N/A</v>
          </cell>
          <cell r="M454" t="e">
            <v>#N/A</v>
          </cell>
          <cell r="N454" t="e">
            <v>#N/A</v>
          </cell>
          <cell r="O454" t="e">
            <v>#N/A</v>
          </cell>
          <cell r="P454">
            <v>14.53</v>
          </cell>
          <cell r="Q454">
            <v>1.033458</v>
          </cell>
          <cell r="R454" t="e">
            <v>#N/A</v>
          </cell>
        </row>
        <row r="455">
          <cell r="A455">
            <v>40631</v>
          </cell>
          <cell r="B455">
            <v>40631</v>
          </cell>
          <cell r="C455" t="str">
            <v>Past</v>
          </cell>
          <cell r="D455">
            <v>14.7</v>
          </cell>
          <cell r="E455" t="e">
            <v>#N/A</v>
          </cell>
          <cell r="F455" t="e">
            <v>#N/A</v>
          </cell>
          <cell r="G455" t="e">
            <v>#N/A</v>
          </cell>
          <cell r="H455" t="e">
            <v>#N/A</v>
          </cell>
          <cell r="I455" t="e">
            <v>#N/A</v>
          </cell>
          <cell r="J455" t="e">
            <v>#N/A</v>
          </cell>
          <cell r="K455" t="e">
            <v>#N/A</v>
          </cell>
          <cell r="L455" t="e">
            <v>#N/A</v>
          </cell>
          <cell r="M455" t="e">
            <v>#N/A</v>
          </cell>
          <cell r="N455" t="e">
            <v>#N/A</v>
          </cell>
          <cell r="O455" t="e">
            <v>#N/A</v>
          </cell>
          <cell r="P455">
            <v>14.7</v>
          </cell>
          <cell r="Q455">
            <v>1.3141769999999999</v>
          </cell>
          <cell r="R455" t="e">
            <v>#N/A</v>
          </cell>
        </row>
        <row r="456">
          <cell r="A456">
            <v>40632</v>
          </cell>
          <cell r="B456">
            <v>40632</v>
          </cell>
          <cell r="C456" t="str">
            <v>Past</v>
          </cell>
          <cell r="D456">
            <v>14.89</v>
          </cell>
          <cell r="E456" t="e">
            <v>#N/A</v>
          </cell>
          <cell r="F456" t="e">
            <v>#N/A</v>
          </cell>
          <cell r="G456" t="e">
            <v>#N/A</v>
          </cell>
          <cell r="H456" t="e">
            <v>#N/A</v>
          </cell>
          <cell r="I456" t="e">
            <v>#N/A</v>
          </cell>
          <cell r="J456" t="e">
            <v>#N/A</v>
          </cell>
          <cell r="K456" t="e">
            <v>#N/A</v>
          </cell>
          <cell r="L456" t="e">
            <v>#N/A</v>
          </cell>
          <cell r="M456" t="e">
            <v>#N/A</v>
          </cell>
          <cell r="N456" t="e">
            <v>#N/A</v>
          </cell>
          <cell r="O456" t="e">
            <v>#N/A</v>
          </cell>
          <cell r="P456">
            <v>14.89</v>
          </cell>
          <cell r="Q456">
            <v>1.3115600000000001</v>
          </cell>
          <cell r="R456" t="e">
            <v>#N/A</v>
          </cell>
        </row>
        <row r="457">
          <cell r="A457">
            <v>40633</v>
          </cell>
          <cell r="B457">
            <v>40633</v>
          </cell>
          <cell r="C457" t="str">
            <v>Past</v>
          </cell>
          <cell r="D457">
            <v>14.89</v>
          </cell>
          <cell r="E457" t="e">
            <v>#N/A</v>
          </cell>
          <cell r="F457" t="e">
            <v>#N/A</v>
          </cell>
          <cell r="G457" t="e">
            <v>#N/A</v>
          </cell>
          <cell r="H457" t="e">
            <v>#N/A</v>
          </cell>
          <cell r="I457" t="e">
            <v>#N/A</v>
          </cell>
          <cell r="J457" t="e">
            <v>#N/A</v>
          </cell>
          <cell r="K457" t="e">
            <v>#N/A</v>
          </cell>
          <cell r="L457" t="e">
            <v>#N/A</v>
          </cell>
          <cell r="M457" t="e">
            <v>#N/A</v>
          </cell>
          <cell r="N457" t="e">
            <v>#N/A</v>
          </cell>
          <cell r="O457" t="e">
            <v>#N/A</v>
          </cell>
          <cell r="P457">
            <v>14.89</v>
          </cell>
          <cell r="Q457">
            <v>0.96714199999999995</v>
          </cell>
          <cell r="R457" t="e">
            <v>#N/A</v>
          </cell>
        </row>
        <row r="458">
          <cell r="A458">
            <v>40634</v>
          </cell>
          <cell r="B458">
            <v>40634</v>
          </cell>
          <cell r="C458" t="str">
            <v>Past</v>
          </cell>
          <cell r="D458">
            <v>15.03</v>
          </cell>
          <cell r="E458" t="e">
            <v>#N/A</v>
          </cell>
          <cell r="F458" t="e">
            <v>#N/A</v>
          </cell>
          <cell r="G458" t="e">
            <v>#N/A</v>
          </cell>
          <cell r="H458" t="e">
            <v>#N/A</v>
          </cell>
          <cell r="I458" t="e">
            <v>#N/A</v>
          </cell>
          <cell r="J458" t="e">
            <v>#N/A</v>
          </cell>
          <cell r="K458" t="e">
            <v>#N/A</v>
          </cell>
          <cell r="L458" t="e">
            <v>#N/A</v>
          </cell>
          <cell r="M458" t="e">
            <v>#N/A</v>
          </cell>
          <cell r="N458" t="e">
            <v>#N/A</v>
          </cell>
          <cell r="O458" t="e">
            <v>#N/A</v>
          </cell>
          <cell r="P458">
            <v>15.03</v>
          </cell>
          <cell r="Q458">
            <v>1.0310729999999999</v>
          </cell>
          <cell r="R458" t="e">
            <v>#N/A</v>
          </cell>
        </row>
        <row r="459">
          <cell r="A459">
            <v>40637</v>
          </cell>
          <cell r="B459">
            <v>40637</v>
          </cell>
          <cell r="C459" t="str">
            <v>Past</v>
          </cell>
          <cell r="D459">
            <v>15.07</v>
          </cell>
          <cell r="E459" t="e">
            <v>#N/A</v>
          </cell>
          <cell r="F459" t="e">
            <v>#N/A</v>
          </cell>
          <cell r="G459" t="e">
            <v>#N/A</v>
          </cell>
          <cell r="H459" t="e">
            <v>#N/A</v>
          </cell>
          <cell r="I459" t="e">
            <v>#N/A</v>
          </cell>
          <cell r="J459" t="e">
            <v>#N/A</v>
          </cell>
          <cell r="K459" t="e">
            <v>#N/A</v>
          </cell>
          <cell r="L459" t="e">
            <v>#N/A</v>
          </cell>
          <cell r="M459" t="e">
            <v>#N/A</v>
          </cell>
          <cell r="N459" t="e">
            <v>#N/A</v>
          </cell>
          <cell r="O459" t="e">
            <v>#N/A</v>
          </cell>
          <cell r="P459">
            <v>15.07</v>
          </cell>
          <cell r="Q459">
            <v>1.8920779999999999</v>
          </cell>
          <cell r="R459" t="e">
            <v>#N/A</v>
          </cell>
        </row>
        <row r="460">
          <cell r="A460">
            <v>40638</v>
          </cell>
          <cell r="B460">
            <v>40638</v>
          </cell>
          <cell r="C460" t="str">
            <v>Past</v>
          </cell>
          <cell r="D460">
            <v>15.08</v>
          </cell>
          <cell r="E460" t="e">
            <v>#N/A</v>
          </cell>
          <cell r="F460" t="e">
            <v>#N/A</v>
          </cell>
          <cell r="G460" t="e">
            <v>#N/A</v>
          </cell>
          <cell r="H460" t="e">
            <v>#N/A</v>
          </cell>
          <cell r="I460" t="e">
            <v>#N/A</v>
          </cell>
          <cell r="J460" t="e">
            <v>#N/A</v>
          </cell>
          <cell r="K460" t="e">
            <v>#N/A</v>
          </cell>
          <cell r="L460" t="e">
            <v>#N/A</v>
          </cell>
          <cell r="M460" t="e">
            <v>#N/A</v>
          </cell>
          <cell r="N460" t="e">
            <v>#N/A</v>
          </cell>
          <cell r="O460" t="e">
            <v>#N/A</v>
          </cell>
          <cell r="P460">
            <v>15.08</v>
          </cell>
          <cell r="Q460">
            <v>1.070727</v>
          </cell>
          <cell r="R460" t="e">
            <v>#N/A</v>
          </cell>
        </row>
        <row r="461">
          <cell r="A461">
            <v>40639</v>
          </cell>
          <cell r="B461">
            <v>40639</v>
          </cell>
          <cell r="C461" t="str">
            <v>Past</v>
          </cell>
          <cell r="D461">
            <v>15.22</v>
          </cell>
          <cell r="E461" t="e">
            <v>#N/A</v>
          </cell>
          <cell r="F461" t="e">
            <v>#N/A</v>
          </cell>
          <cell r="G461" t="e">
            <v>#N/A</v>
          </cell>
          <cell r="H461" t="e">
            <v>#N/A</v>
          </cell>
          <cell r="I461" t="e">
            <v>#N/A</v>
          </cell>
          <cell r="J461" t="e">
            <v>#N/A</v>
          </cell>
          <cell r="K461" t="e">
            <v>#N/A</v>
          </cell>
          <cell r="L461" t="e">
            <v>#N/A</v>
          </cell>
          <cell r="M461" t="e">
            <v>#N/A</v>
          </cell>
          <cell r="N461" t="e">
            <v>#N/A</v>
          </cell>
          <cell r="O461" t="e">
            <v>#N/A</v>
          </cell>
          <cell r="P461">
            <v>15.22</v>
          </cell>
          <cell r="Q461">
            <v>2.4883349999999997</v>
          </cell>
          <cell r="R461" t="e">
            <v>#N/A</v>
          </cell>
        </row>
        <row r="462">
          <cell r="A462">
            <v>40640</v>
          </cell>
          <cell r="B462">
            <v>40640</v>
          </cell>
          <cell r="C462" t="str">
            <v>Past</v>
          </cell>
          <cell r="D462">
            <v>15.03</v>
          </cell>
          <cell r="E462" t="e">
            <v>#N/A</v>
          </cell>
          <cell r="F462" t="e">
            <v>#N/A</v>
          </cell>
          <cell r="G462" t="e">
            <v>#N/A</v>
          </cell>
          <cell r="H462" t="e">
            <v>#N/A</v>
          </cell>
          <cell r="I462" t="e">
            <v>#N/A</v>
          </cell>
          <cell r="J462" t="e">
            <v>#N/A</v>
          </cell>
          <cell r="K462" t="e">
            <v>#N/A</v>
          </cell>
          <cell r="L462" t="e">
            <v>#N/A</v>
          </cell>
          <cell r="M462" t="e">
            <v>#N/A</v>
          </cell>
          <cell r="N462" t="e">
            <v>#N/A</v>
          </cell>
          <cell r="O462" t="e">
            <v>#N/A</v>
          </cell>
          <cell r="P462">
            <v>15.03</v>
          </cell>
          <cell r="Q462">
            <v>1.381759</v>
          </cell>
          <cell r="R462" t="e">
            <v>#N/A</v>
          </cell>
        </row>
        <row r="463">
          <cell r="A463">
            <v>40641</v>
          </cell>
          <cell r="B463">
            <v>40641</v>
          </cell>
          <cell r="C463" t="str">
            <v>Past</v>
          </cell>
          <cell r="D463">
            <v>15.03</v>
          </cell>
          <cell r="E463" t="e">
            <v>#N/A</v>
          </cell>
          <cell r="F463" t="e">
            <v>#N/A</v>
          </cell>
          <cell r="G463" t="e">
            <v>#N/A</v>
          </cell>
          <cell r="H463" t="e">
            <v>#N/A</v>
          </cell>
          <cell r="I463" t="e">
            <v>#N/A</v>
          </cell>
          <cell r="J463" t="e">
            <v>#N/A</v>
          </cell>
          <cell r="K463" t="e">
            <v>#N/A</v>
          </cell>
          <cell r="L463" t="e">
            <v>#N/A</v>
          </cell>
          <cell r="M463" t="e">
            <v>#N/A</v>
          </cell>
          <cell r="N463" t="e">
            <v>#N/A</v>
          </cell>
          <cell r="O463" t="e">
            <v>#N/A</v>
          </cell>
          <cell r="P463">
            <v>15.03</v>
          </cell>
          <cell r="Q463">
            <v>1.7781319999999998</v>
          </cell>
          <cell r="R463" t="e">
            <v>#N/A</v>
          </cell>
        </row>
        <row r="464">
          <cell r="A464">
            <v>40644</v>
          </cell>
          <cell r="B464">
            <v>40644</v>
          </cell>
          <cell r="C464" t="str">
            <v>Past</v>
          </cell>
          <cell r="D464">
            <v>14.74</v>
          </cell>
          <cell r="E464" t="e">
            <v>#N/A</v>
          </cell>
          <cell r="F464" t="e">
            <v>#N/A</v>
          </cell>
          <cell r="G464" t="e">
            <v>#N/A</v>
          </cell>
          <cell r="H464" t="e">
            <v>#N/A</v>
          </cell>
          <cell r="I464" t="e">
            <v>#N/A</v>
          </cell>
          <cell r="J464" t="e">
            <v>#N/A</v>
          </cell>
          <cell r="K464" t="e">
            <v>#N/A</v>
          </cell>
          <cell r="L464" t="e">
            <v>#N/A</v>
          </cell>
          <cell r="M464" t="e">
            <v>#N/A</v>
          </cell>
          <cell r="N464" t="e">
            <v>#N/A</v>
          </cell>
          <cell r="O464" t="e">
            <v>#N/A</v>
          </cell>
          <cell r="P464">
            <v>14.74</v>
          </cell>
          <cell r="Q464">
            <v>1.324306</v>
          </cell>
          <cell r="R464" t="e">
            <v>#N/A</v>
          </cell>
        </row>
        <row r="465">
          <cell r="A465">
            <v>40645</v>
          </cell>
          <cell r="B465">
            <v>40645</v>
          </cell>
          <cell r="C465" t="str">
            <v>Past</v>
          </cell>
          <cell r="D465">
            <v>14.64</v>
          </cell>
          <cell r="E465" t="e">
            <v>#N/A</v>
          </cell>
          <cell r="F465" t="e">
            <v>#N/A</v>
          </cell>
          <cell r="G465" t="e">
            <v>#N/A</v>
          </cell>
          <cell r="H465" t="e">
            <v>#N/A</v>
          </cell>
          <cell r="I465" t="e">
            <v>#N/A</v>
          </cell>
          <cell r="J465" t="e">
            <v>#N/A</v>
          </cell>
          <cell r="K465" t="e">
            <v>#N/A</v>
          </cell>
          <cell r="L465" t="e">
            <v>#N/A</v>
          </cell>
          <cell r="M465" t="e">
            <v>#N/A</v>
          </cell>
          <cell r="N465" t="e">
            <v>#N/A</v>
          </cell>
          <cell r="O465" t="e">
            <v>#N/A</v>
          </cell>
          <cell r="P465">
            <v>14.64</v>
          </cell>
          <cell r="Q465">
            <v>0.74409799999999993</v>
          </cell>
          <cell r="R465" t="e">
            <v>#N/A</v>
          </cell>
        </row>
        <row r="466">
          <cell r="A466">
            <v>40646</v>
          </cell>
          <cell r="B466">
            <v>40646</v>
          </cell>
          <cell r="C466" t="str">
            <v>Past</v>
          </cell>
          <cell r="D466">
            <v>14.68</v>
          </cell>
          <cell r="E466" t="e">
            <v>#N/A</v>
          </cell>
          <cell r="F466" t="e">
            <v>#N/A</v>
          </cell>
          <cell r="G466" t="e">
            <v>#N/A</v>
          </cell>
          <cell r="H466" t="e">
            <v>#N/A</v>
          </cell>
          <cell r="I466" t="e">
            <v>#N/A</v>
          </cell>
          <cell r="J466" t="e">
            <v>#N/A</v>
          </cell>
          <cell r="K466" t="e">
            <v>#N/A</v>
          </cell>
          <cell r="L466" t="e">
            <v>#N/A</v>
          </cell>
          <cell r="M466" t="e">
            <v>#N/A</v>
          </cell>
          <cell r="N466" t="e">
            <v>#N/A</v>
          </cell>
          <cell r="O466" t="e">
            <v>#N/A</v>
          </cell>
          <cell r="P466">
            <v>14.68</v>
          </cell>
          <cell r="Q466">
            <v>0.85418099999999997</v>
          </cell>
          <cell r="R466" t="e">
            <v>#N/A</v>
          </cell>
        </row>
        <row r="467">
          <cell r="A467">
            <v>40647</v>
          </cell>
          <cell r="B467">
            <v>40647</v>
          </cell>
          <cell r="C467" t="str">
            <v>Past</v>
          </cell>
          <cell r="D467">
            <v>14.78</v>
          </cell>
          <cell r="E467" t="e">
            <v>#N/A</v>
          </cell>
          <cell r="F467" t="e">
            <v>#N/A</v>
          </cell>
          <cell r="G467" t="e">
            <v>#N/A</v>
          </cell>
          <cell r="H467" t="e">
            <v>#N/A</v>
          </cell>
          <cell r="I467" t="e">
            <v>#N/A</v>
          </cell>
          <cell r="J467" t="e">
            <v>#N/A</v>
          </cell>
          <cell r="K467" t="e">
            <v>#N/A</v>
          </cell>
          <cell r="L467" t="e">
            <v>#N/A</v>
          </cell>
          <cell r="M467" t="e">
            <v>#N/A</v>
          </cell>
          <cell r="N467" t="e">
            <v>#N/A</v>
          </cell>
          <cell r="O467" t="e">
            <v>#N/A</v>
          </cell>
          <cell r="P467">
            <v>14.78</v>
          </cell>
          <cell r="Q467">
            <v>0.80073699999999992</v>
          </cell>
          <cell r="R467" t="e">
            <v>#N/A</v>
          </cell>
        </row>
        <row r="468">
          <cell r="A468">
            <v>40648</v>
          </cell>
          <cell r="B468">
            <v>40648</v>
          </cell>
          <cell r="C468" t="str">
            <v>Past</v>
          </cell>
          <cell r="D468">
            <v>14.87</v>
          </cell>
          <cell r="E468" t="e">
            <v>#N/A</v>
          </cell>
          <cell r="F468" t="e">
            <v>#N/A</v>
          </cell>
          <cell r="G468" t="e">
            <v>#N/A</v>
          </cell>
          <cell r="H468" t="e">
            <v>#N/A</v>
          </cell>
          <cell r="I468" t="e">
            <v>#N/A</v>
          </cell>
          <cell r="J468" t="e">
            <v>#N/A</v>
          </cell>
          <cell r="K468" t="e">
            <v>#N/A</v>
          </cell>
          <cell r="L468" t="e">
            <v>#N/A</v>
          </cell>
          <cell r="M468" t="e">
            <v>#N/A</v>
          </cell>
          <cell r="N468" t="e">
            <v>#N/A</v>
          </cell>
          <cell r="O468" t="e">
            <v>#N/A</v>
          </cell>
          <cell r="P468">
            <v>14.87</v>
          </cell>
          <cell r="Q468">
            <v>0.85800100000000001</v>
          </cell>
          <cell r="R468" t="e">
            <v>#N/A</v>
          </cell>
        </row>
        <row r="469">
          <cell r="A469">
            <v>40651</v>
          </cell>
          <cell r="B469">
            <v>40651</v>
          </cell>
          <cell r="C469" t="str">
            <v>Past</v>
          </cell>
          <cell r="D469">
            <v>14.66</v>
          </cell>
          <cell r="E469" t="e">
            <v>#N/A</v>
          </cell>
          <cell r="F469" t="e">
            <v>#N/A</v>
          </cell>
          <cell r="G469" t="e">
            <v>#N/A</v>
          </cell>
          <cell r="H469" t="e">
            <v>#N/A</v>
          </cell>
          <cell r="I469" t="e">
            <v>#N/A</v>
          </cell>
          <cell r="J469" t="e">
            <v>#N/A</v>
          </cell>
          <cell r="K469" t="e">
            <v>#N/A</v>
          </cell>
          <cell r="L469" t="e">
            <v>#N/A</v>
          </cell>
          <cell r="M469" t="e">
            <v>#N/A</v>
          </cell>
          <cell r="N469" t="e">
            <v>#N/A</v>
          </cell>
          <cell r="O469" t="e">
            <v>#N/A</v>
          </cell>
          <cell r="P469">
            <v>14.66</v>
          </cell>
          <cell r="Q469">
            <v>1.6471739999999999</v>
          </cell>
          <cell r="R469" t="e">
            <v>#N/A</v>
          </cell>
        </row>
        <row r="470">
          <cell r="A470">
            <v>40652</v>
          </cell>
          <cell r="B470">
            <v>40652</v>
          </cell>
          <cell r="C470" t="str">
            <v>Past</v>
          </cell>
          <cell r="D470">
            <v>14.67</v>
          </cell>
          <cell r="E470" t="e">
            <v>#N/A</v>
          </cell>
          <cell r="F470" t="e">
            <v>#N/A</v>
          </cell>
          <cell r="G470" t="e">
            <v>#N/A</v>
          </cell>
          <cell r="H470" t="e">
            <v>#N/A</v>
          </cell>
          <cell r="I470" t="e">
            <v>#N/A</v>
          </cell>
          <cell r="J470" t="e">
            <v>#N/A</v>
          </cell>
          <cell r="K470" t="e">
            <v>#N/A</v>
          </cell>
          <cell r="L470" t="e">
            <v>#N/A</v>
          </cell>
          <cell r="M470" t="e">
            <v>#N/A</v>
          </cell>
          <cell r="N470" t="e">
            <v>#N/A</v>
          </cell>
          <cell r="O470" t="e">
            <v>#N/A</v>
          </cell>
          <cell r="P470">
            <v>14.67</v>
          </cell>
          <cell r="Q470">
            <v>0.76988299999999998</v>
          </cell>
          <cell r="R470" t="e">
            <v>#N/A</v>
          </cell>
        </row>
        <row r="471">
          <cell r="A471">
            <v>40653</v>
          </cell>
          <cell r="B471">
            <v>40653</v>
          </cell>
          <cell r="C471" t="str">
            <v>Past</v>
          </cell>
          <cell r="D471">
            <v>14.87</v>
          </cell>
          <cell r="E471" t="e">
            <v>#N/A</v>
          </cell>
          <cell r="F471" t="e">
            <v>#N/A</v>
          </cell>
          <cell r="G471" t="e">
            <v>#N/A</v>
          </cell>
          <cell r="H471" t="e">
            <v>#N/A</v>
          </cell>
          <cell r="I471" t="e">
            <v>#N/A</v>
          </cell>
          <cell r="J471" t="e">
            <v>#N/A</v>
          </cell>
          <cell r="K471" t="e">
            <v>#N/A</v>
          </cell>
          <cell r="L471" t="e">
            <v>#N/A</v>
          </cell>
          <cell r="M471" t="e">
            <v>#N/A</v>
          </cell>
          <cell r="N471" t="e">
            <v>#N/A</v>
          </cell>
          <cell r="O471" t="e">
            <v>#N/A</v>
          </cell>
          <cell r="P471">
            <v>14.87</v>
          </cell>
          <cell r="Q471">
            <v>1.3099069999999999</v>
          </cell>
          <cell r="R471" t="e">
            <v>#N/A</v>
          </cell>
        </row>
        <row r="472">
          <cell r="A472">
            <v>40654</v>
          </cell>
          <cell r="B472">
            <v>40654</v>
          </cell>
          <cell r="C472" t="str">
            <v>Past</v>
          </cell>
          <cell r="D472">
            <v>14.9</v>
          </cell>
          <cell r="E472" t="e">
            <v>#N/A</v>
          </cell>
          <cell r="F472" t="e">
            <v>#N/A</v>
          </cell>
          <cell r="G472" t="e">
            <v>#N/A</v>
          </cell>
          <cell r="H472" t="e">
            <v>#N/A</v>
          </cell>
          <cell r="I472" t="e">
            <v>#N/A</v>
          </cell>
          <cell r="J472" t="e">
            <v>#N/A</v>
          </cell>
          <cell r="K472" t="e">
            <v>#N/A</v>
          </cell>
          <cell r="L472" t="e">
            <v>#N/A</v>
          </cell>
          <cell r="M472" t="e">
            <v>#N/A</v>
          </cell>
          <cell r="N472" t="e">
            <v>#N/A</v>
          </cell>
          <cell r="O472" t="e">
            <v>#N/A</v>
          </cell>
          <cell r="P472">
            <v>14.9</v>
          </cell>
          <cell r="Q472">
            <v>0.91618899999999992</v>
          </cell>
          <cell r="R472" t="e">
            <v>#N/A</v>
          </cell>
        </row>
        <row r="473">
          <cell r="A473">
            <v>40658</v>
          </cell>
          <cell r="B473">
            <v>40658</v>
          </cell>
          <cell r="C473" t="str">
            <v>Past</v>
          </cell>
          <cell r="D473">
            <v>14.89</v>
          </cell>
          <cell r="E473" t="e">
            <v>#N/A</v>
          </cell>
          <cell r="F473" t="e">
            <v>#N/A</v>
          </cell>
          <cell r="G473" t="e">
            <v>#N/A</v>
          </cell>
          <cell r="H473" t="e">
            <v>#N/A</v>
          </cell>
          <cell r="I473" t="e">
            <v>#N/A</v>
          </cell>
          <cell r="J473" t="e">
            <v>#N/A</v>
          </cell>
          <cell r="K473" t="e">
            <v>#N/A</v>
          </cell>
          <cell r="L473" t="e">
            <v>#N/A</v>
          </cell>
          <cell r="M473" t="e">
            <v>#N/A</v>
          </cell>
          <cell r="N473" t="e">
            <v>#N/A</v>
          </cell>
          <cell r="O473" t="e">
            <v>#N/A</v>
          </cell>
          <cell r="P473">
            <v>14.89</v>
          </cell>
          <cell r="Q473">
            <v>0.50272499999999998</v>
          </cell>
          <cell r="R473" t="e">
            <v>#N/A</v>
          </cell>
        </row>
        <row r="474">
          <cell r="A474">
            <v>40659</v>
          </cell>
          <cell r="B474">
            <v>40659</v>
          </cell>
          <cell r="C474" t="str">
            <v>Past</v>
          </cell>
          <cell r="D474">
            <v>14.99</v>
          </cell>
          <cell r="E474" t="e">
            <v>#N/A</v>
          </cell>
          <cell r="F474" t="e">
            <v>#N/A</v>
          </cell>
          <cell r="G474" t="e">
            <v>#N/A</v>
          </cell>
          <cell r="H474" t="e">
            <v>#N/A</v>
          </cell>
          <cell r="I474" t="e">
            <v>#N/A</v>
          </cell>
          <cell r="J474" t="e">
            <v>#N/A</v>
          </cell>
          <cell r="K474" t="e">
            <v>#N/A</v>
          </cell>
          <cell r="L474" t="e">
            <v>#N/A</v>
          </cell>
          <cell r="M474" t="e">
            <v>#N/A</v>
          </cell>
          <cell r="N474" t="e">
            <v>#N/A</v>
          </cell>
          <cell r="O474" t="e">
            <v>#N/A</v>
          </cell>
          <cell r="P474">
            <v>14.99</v>
          </cell>
          <cell r="Q474">
            <v>1.0861239999999999</v>
          </cell>
          <cell r="R474" t="e">
            <v>#N/A</v>
          </cell>
        </row>
        <row r="475">
          <cell r="A475">
            <v>40660</v>
          </cell>
          <cell r="B475">
            <v>40660</v>
          </cell>
          <cell r="C475" t="str">
            <v>Past</v>
          </cell>
          <cell r="D475">
            <v>15.02</v>
          </cell>
          <cell r="E475" t="e">
            <v>#N/A</v>
          </cell>
          <cell r="F475" t="e">
            <v>#N/A</v>
          </cell>
          <cell r="G475" t="e">
            <v>#N/A</v>
          </cell>
          <cell r="H475" t="e">
            <v>#N/A</v>
          </cell>
          <cell r="I475" t="e">
            <v>#N/A</v>
          </cell>
          <cell r="J475" t="e">
            <v>#N/A</v>
          </cell>
          <cell r="K475" t="e">
            <v>#N/A</v>
          </cell>
          <cell r="L475" t="e">
            <v>#N/A</v>
          </cell>
          <cell r="M475" t="e">
            <v>#N/A</v>
          </cell>
          <cell r="N475" t="e">
            <v>#N/A</v>
          </cell>
          <cell r="O475" t="e">
            <v>#N/A</v>
          </cell>
          <cell r="P475">
            <v>15.02</v>
          </cell>
          <cell r="Q475">
            <v>1.3666639999999999</v>
          </cell>
          <cell r="R475" t="e">
            <v>#N/A</v>
          </cell>
        </row>
        <row r="476">
          <cell r="A476">
            <v>40661</v>
          </cell>
          <cell r="B476">
            <v>40661</v>
          </cell>
          <cell r="C476" t="str">
            <v>Past</v>
          </cell>
          <cell r="D476">
            <v>15.13</v>
          </cell>
          <cell r="E476" t="e">
            <v>#N/A</v>
          </cell>
          <cell r="F476" t="e">
            <v>#N/A</v>
          </cell>
          <cell r="G476" t="e">
            <v>#N/A</v>
          </cell>
          <cell r="H476" t="e">
            <v>#N/A</v>
          </cell>
          <cell r="I476" t="e">
            <v>#N/A</v>
          </cell>
          <cell r="J476" t="e">
            <v>#N/A</v>
          </cell>
          <cell r="K476" t="e">
            <v>#N/A</v>
          </cell>
          <cell r="L476" t="e">
            <v>#N/A</v>
          </cell>
          <cell r="M476" t="e">
            <v>#N/A</v>
          </cell>
          <cell r="N476" t="e">
            <v>#N/A</v>
          </cell>
          <cell r="O476" t="e">
            <v>#N/A</v>
          </cell>
          <cell r="P476">
            <v>15.13</v>
          </cell>
          <cell r="Q476">
            <v>3.1455869999999999</v>
          </cell>
          <cell r="R476" t="e">
            <v>#N/A</v>
          </cell>
        </row>
        <row r="477">
          <cell r="A477">
            <v>40662</v>
          </cell>
          <cell r="B477">
            <v>40662</v>
          </cell>
          <cell r="C477" t="str">
            <v>Past</v>
          </cell>
          <cell r="D477">
            <v>15.19</v>
          </cell>
          <cell r="E477" t="e">
            <v>#N/A</v>
          </cell>
          <cell r="F477" t="e">
            <v>#N/A</v>
          </cell>
          <cell r="G477" t="e">
            <v>#N/A</v>
          </cell>
          <cell r="H477" t="e">
            <v>#N/A</v>
          </cell>
          <cell r="I477" t="e">
            <v>#N/A</v>
          </cell>
          <cell r="J477" t="e">
            <v>#N/A</v>
          </cell>
          <cell r="K477" t="e">
            <v>#N/A</v>
          </cell>
          <cell r="L477" t="e">
            <v>#N/A</v>
          </cell>
          <cell r="M477" t="e">
            <v>#N/A</v>
          </cell>
          <cell r="N477" t="e">
            <v>#N/A</v>
          </cell>
          <cell r="O477" t="e">
            <v>#N/A</v>
          </cell>
          <cell r="P477">
            <v>15.19</v>
          </cell>
          <cell r="Q477">
            <v>1.173627</v>
          </cell>
          <cell r="R477" t="e">
            <v>#N/A</v>
          </cell>
        </row>
        <row r="478">
          <cell r="A478">
            <v>40665</v>
          </cell>
          <cell r="B478">
            <v>40665</v>
          </cell>
          <cell r="C478" t="str">
            <v>Past</v>
          </cell>
          <cell r="D478">
            <v>15.23</v>
          </cell>
          <cell r="E478" t="e">
            <v>#N/A</v>
          </cell>
          <cell r="F478" t="e">
            <v>#N/A</v>
          </cell>
          <cell r="G478" t="e">
            <v>#N/A</v>
          </cell>
          <cell r="H478" t="e">
            <v>#N/A</v>
          </cell>
          <cell r="I478" t="e">
            <v>#N/A</v>
          </cell>
          <cell r="J478" t="e">
            <v>#N/A</v>
          </cell>
          <cell r="K478" t="e">
            <v>#N/A</v>
          </cell>
          <cell r="L478" t="e">
            <v>#N/A</v>
          </cell>
          <cell r="M478" t="e">
            <v>#N/A</v>
          </cell>
          <cell r="N478" t="e">
            <v>#N/A</v>
          </cell>
          <cell r="O478" t="e">
            <v>#N/A</v>
          </cell>
          <cell r="P478">
            <v>15.23</v>
          </cell>
          <cell r="Q478">
            <v>1.4589559999999999</v>
          </cell>
          <cell r="R478" t="e">
            <v>#N/A</v>
          </cell>
        </row>
        <row r="479">
          <cell r="A479">
            <v>40666</v>
          </cell>
          <cell r="B479">
            <v>40666</v>
          </cell>
          <cell r="C479" t="str">
            <v>Past</v>
          </cell>
          <cell r="D479">
            <v>15.35</v>
          </cell>
          <cell r="E479" t="e">
            <v>#N/A</v>
          </cell>
          <cell r="F479" t="e">
            <v>#N/A</v>
          </cell>
          <cell r="G479" t="e">
            <v>#N/A</v>
          </cell>
          <cell r="H479" t="e">
            <v>#N/A</v>
          </cell>
          <cell r="I479" t="e">
            <v>#N/A</v>
          </cell>
          <cell r="J479" t="e">
            <v>#N/A</v>
          </cell>
          <cell r="K479" t="e">
            <v>#N/A</v>
          </cell>
          <cell r="L479" t="e">
            <v>#N/A</v>
          </cell>
          <cell r="M479" t="e">
            <v>#N/A</v>
          </cell>
          <cell r="N479" t="e">
            <v>#N/A</v>
          </cell>
          <cell r="O479" t="e">
            <v>#N/A</v>
          </cell>
          <cell r="P479">
            <v>15.35</v>
          </cell>
          <cell r="Q479">
            <v>1.2028179999999999</v>
          </cell>
          <cell r="R479" t="e">
            <v>#N/A</v>
          </cell>
        </row>
        <row r="480">
          <cell r="A480">
            <v>40667</v>
          </cell>
          <cell r="B480">
            <v>40667</v>
          </cell>
          <cell r="C480" t="str">
            <v>Past</v>
          </cell>
          <cell r="D480">
            <v>15.35</v>
          </cell>
          <cell r="E480" t="e">
            <v>#N/A</v>
          </cell>
          <cell r="F480" t="e">
            <v>#N/A</v>
          </cell>
          <cell r="G480" t="e">
            <v>#N/A</v>
          </cell>
          <cell r="H480" t="e">
            <v>#N/A</v>
          </cell>
          <cell r="I480" t="e">
            <v>#N/A</v>
          </cell>
          <cell r="J480" t="e">
            <v>#N/A</v>
          </cell>
          <cell r="K480" t="e">
            <v>#N/A</v>
          </cell>
          <cell r="L480" t="e">
            <v>#N/A</v>
          </cell>
          <cell r="M480" t="e">
            <v>#N/A</v>
          </cell>
          <cell r="N480" t="e">
            <v>#N/A</v>
          </cell>
          <cell r="O480" t="e">
            <v>#N/A</v>
          </cell>
          <cell r="P480">
            <v>15.35</v>
          </cell>
          <cell r="Q480">
            <v>1.497406</v>
          </cell>
          <cell r="R480" t="e">
            <v>#N/A</v>
          </cell>
        </row>
        <row r="481">
          <cell r="A481">
            <v>40668</v>
          </cell>
          <cell r="B481">
            <v>40668</v>
          </cell>
          <cell r="C481" t="str">
            <v>Past</v>
          </cell>
          <cell r="D481">
            <v>15.32</v>
          </cell>
          <cell r="E481" t="e">
            <v>#N/A</v>
          </cell>
          <cell r="F481" t="e">
            <v>#N/A</v>
          </cell>
          <cell r="G481" t="e">
            <v>#N/A</v>
          </cell>
          <cell r="H481" t="e">
            <v>#N/A</v>
          </cell>
          <cell r="I481" t="e">
            <v>#N/A</v>
          </cell>
          <cell r="J481" t="e">
            <v>#N/A</v>
          </cell>
          <cell r="K481" t="e">
            <v>#N/A</v>
          </cell>
          <cell r="L481" t="e">
            <v>#N/A</v>
          </cell>
          <cell r="M481" t="e">
            <v>#N/A</v>
          </cell>
          <cell r="N481" t="e">
            <v>#N/A</v>
          </cell>
          <cell r="O481" t="e">
            <v>#N/A</v>
          </cell>
          <cell r="P481">
            <v>15.32</v>
          </cell>
          <cell r="Q481">
            <v>1.251004</v>
          </cell>
          <cell r="R481" t="e">
            <v>#N/A</v>
          </cell>
        </row>
        <row r="482">
          <cell r="A482">
            <v>40669</v>
          </cell>
          <cell r="B482">
            <v>40669</v>
          </cell>
          <cell r="C482" t="str">
            <v>Past</v>
          </cell>
          <cell r="D482">
            <v>15.45</v>
          </cell>
          <cell r="E482" t="e">
            <v>#N/A</v>
          </cell>
          <cell r="F482" t="e">
            <v>#N/A</v>
          </cell>
          <cell r="G482" t="e">
            <v>#N/A</v>
          </cell>
          <cell r="H482" t="e">
            <v>#N/A</v>
          </cell>
          <cell r="I482" t="e">
            <v>#N/A</v>
          </cell>
          <cell r="J482" t="e">
            <v>#N/A</v>
          </cell>
          <cell r="K482" t="e">
            <v>#N/A</v>
          </cell>
          <cell r="L482" t="e">
            <v>#N/A</v>
          </cell>
          <cell r="M482" t="e">
            <v>#N/A</v>
          </cell>
          <cell r="N482" t="e">
            <v>#N/A</v>
          </cell>
          <cell r="O482" t="e">
            <v>#N/A</v>
          </cell>
          <cell r="P482">
            <v>15.45</v>
          </cell>
          <cell r="Q482">
            <v>1.1364030000000001</v>
          </cell>
          <cell r="R482" t="e">
            <v>#N/A</v>
          </cell>
        </row>
        <row r="483">
          <cell r="A483">
            <v>40672</v>
          </cell>
          <cell r="B483">
            <v>40672</v>
          </cell>
          <cell r="C483" t="str">
            <v>Past</v>
          </cell>
          <cell r="D483">
            <v>15.47</v>
          </cell>
          <cell r="E483" t="e">
            <v>#N/A</v>
          </cell>
          <cell r="F483" t="e">
            <v>#N/A</v>
          </cell>
          <cell r="G483" t="e">
            <v>#N/A</v>
          </cell>
          <cell r="H483" t="e">
            <v>#N/A</v>
          </cell>
          <cell r="I483" t="e">
            <v>#N/A</v>
          </cell>
          <cell r="J483" t="e">
            <v>#N/A</v>
          </cell>
          <cell r="K483" t="e">
            <v>#N/A</v>
          </cell>
          <cell r="L483" t="e">
            <v>#N/A</v>
          </cell>
          <cell r="M483" t="e">
            <v>#N/A</v>
          </cell>
          <cell r="N483" t="e">
            <v>#N/A</v>
          </cell>
          <cell r="O483" t="e">
            <v>#N/A</v>
          </cell>
          <cell r="P483">
            <v>15.47</v>
          </cell>
          <cell r="Q483">
            <v>0.66692499999999999</v>
          </cell>
          <cell r="R483" t="e">
            <v>#N/A</v>
          </cell>
        </row>
        <row r="484">
          <cell r="A484">
            <v>40673</v>
          </cell>
          <cell r="B484">
            <v>40673</v>
          </cell>
          <cell r="C484" t="str">
            <v>Past</v>
          </cell>
          <cell r="D484">
            <v>15.73</v>
          </cell>
          <cell r="E484" t="e">
            <v>#N/A</v>
          </cell>
          <cell r="F484" t="e">
            <v>#N/A</v>
          </cell>
          <cell r="G484" t="e">
            <v>#N/A</v>
          </cell>
          <cell r="H484" t="e">
            <v>#N/A</v>
          </cell>
          <cell r="I484" t="e">
            <v>#N/A</v>
          </cell>
          <cell r="J484" t="e">
            <v>#N/A</v>
          </cell>
          <cell r="K484" t="e">
            <v>#N/A</v>
          </cell>
          <cell r="L484" t="e">
            <v>#N/A</v>
          </cell>
          <cell r="M484" t="e">
            <v>#N/A</v>
          </cell>
          <cell r="N484" t="e">
            <v>#N/A</v>
          </cell>
          <cell r="O484" t="e">
            <v>#N/A</v>
          </cell>
          <cell r="P484">
            <v>15.73</v>
          </cell>
          <cell r="Q484">
            <v>1.8866289999999999</v>
          </cell>
          <cell r="R484" t="e">
            <v>#N/A</v>
          </cell>
        </row>
        <row r="485">
          <cell r="A485">
            <v>40674</v>
          </cell>
          <cell r="B485">
            <v>40674</v>
          </cell>
          <cell r="C485" t="str">
            <v>Past</v>
          </cell>
          <cell r="D485">
            <v>15.7</v>
          </cell>
          <cell r="E485" t="e">
            <v>#N/A</v>
          </cell>
          <cell r="F485" t="e">
            <v>#N/A</v>
          </cell>
          <cell r="G485" t="e">
            <v>#N/A</v>
          </cell>
          <cell r="H485" t="e">
            <v>#N/A</v>
          </cell>
          <cell r="I485" t="e">
            <v>#N/A</v>
          </cell>
          <cell r="J485" t="e">
            <v>#N/A</v>
          </cell>
          <cell r="K485" t="e">
            <v>#N/A</v>
          </cell>
          <cell r="L485" t="e">
            <v>#N/A</v>
          </cell>
          <cell r="M485" t="e">
            <v>#N/A</v>
          </cell>
          <cell r="N485" t="e">
            <v>#N/A</v>
          </cell>
          <cell r="O485" t="e">
            <v>#N/A</v>
          </cell>
          <cell r="P485">
            <v>15.7</v>
          </cell>
          <cell r="Q485">
            <v>1.11927</v>
          </cell>
          <cell r="R485" t="e">
            <v>#N/A</v>
          </cell>
        </row>
        <row r="486">
          <cell r="A486">
            <v>40675</v>
          </cell>
          <cell r="B486">
            <v>40675</v>
          </cell>
          <cell r="C486" t="str">
            <v>Past</v>
          </cell>
          <cell r="D486">
            <v>15.84</v>
          </cell>
          <cell r="E486" t="e">
            <v>#N/A</v>
          </cell>
          <cell r="F486" t="e">
            <v>#N/A</v>
          </cell>
          <cell r="G486" t="e">
            <v>#N/A</v>
          </cell>
          <cell r="H486" t="e">
            <v>#N/A</v>
          </cell>
          <cell r="I486" t="e">
            <v>#N/A</v>
          </cell>
          <cell r="J486" t="e">
            <v>#N/A</v>
          </cell>
          <cell r="K486" t="e">
            <v>#N/A</v>
          </cell>
          <cell r="L486" t="e">
            <v>#N/A</v>
          </cell>
          <cell r="M486" t="e">
            <v>#N/A</v>
          </cell>
          <cell r="N486" t="e">
            <v>#N/A</v>
          </cell>
          <cell r="O486" t="e">
            <v>#N/A</v>
          </cell>
          <cell r="P486">
            <v>15.84</v>
          </cell>
          <cell r="Q486">
            <v>1.401851</v>
          </cell>
          <cell r="R486" t="e">
            <v>#N/A</v>
          </cell>
        </row>
        <row r="487">
          <cell r="A487">
            <v>40676</v>
          </cell>
          <cell r="B487">
            <v>40676</v>
          </cell>
          <cell r="C487" t="str">
            <v>Past</v>
          </cell>
          <cell r="D487">
            <v>15.73</v>
          </cell>
          <cell r="E487" t="e">
            <v>#N/A</v>
          </cell>
          <cell r="F487" t="e">
            <v>#N/A</v>
          </cell>
          <cell r="G487" t="e">
            <v>#N/A</v>
          </cell>
          <cell r="H487" t="e">
            <v>#N/A</v>
          </cell>
          <cell r="I487" t="e">
            <v>#N/A</v>
          </cell>
          <cell r="J487" t="e">
            <v>#N/A</v>
          </cell>
          <cell r="K487" t="e">
            <v>#N/A</v>
          </cell>
          <cell r="L487" t="e">
            <v>#N/A</v>
          </cell>
          <cell r="M487" t="e">
            <v>#N/A</v>
          </cell>
          <cell r="N487" t="e">
            <v>#N/A</v>
          </cell>
          <cell r="O487" t="e">
            <v>#N/A</v>
          </cell>
          <cell r="P487">
            <v>15.73</v>
          </cell>
          <cell r="Q487">
            <v>1.107809</v>
          </cell>
          <cell r="R487" t="e">
            <v>#N/A</v>
          </cell>
        </row>
        <row r="488">
          <cell r="A488">
            <v>40679</v>
          </cell>
          <cell r="B488">
            <v>40679</v>
          </cell>
          <cell r="C488" t="str">
            <v>Past</v>
          </cell>
          <cell r="D488">
            <v>15.68</v>
          </cell>
          <cell r="E488" t="e">
            <v>#N/A</v>
          </cell>
          <cell r="F488" t="e">
            <v>#N/A</v>
          </cell>
          <cell r="G488" t="e">
            <v>#N/A</v>
          </cell>
          <cell r="H488" t="e">
            <v>#N/A</v>
          </cell>
          <cell r="I488" t="e">
            <v>#N/A</v>
          </cell>
          <cell r="J488" t="e">
            <v>#N/A</v>
          </cell>
          <cell r="K488" t="e">
            <v>#N/A</v>
          </cell>
          <cell r="L488" t="e">
            <v>#N/A</v>
          </cell>
          <cell r="M488" t="e">
            <v>#N/A</v>
          </cell>
          <cell r="N488" t="e">
            <v>#N/A</v>
          </cell>
          <cell r="O488" t="e">
            <v>#N/A</v>
          </cell>
          <cell r="P488">
            <v>15.68</v>
          </cell>
          <cell r="Q488">
            <v>0.97081499999999998</v>
          </cell>
          <cell r="R488" t="e">
            <v>#N/A</v>
          </cell>
        </row>
        <row r="489">
          <cell r="A489">
            <v>40680</v>
          </cell>
          <cell r="B489">
            <v>40680</v>
          </cell>
          <cell r="C489" t="str">
            <v>Past</v>
          </cell>
          <cell r="D489">
            <v>15.7</v>
          </cell>
          <cell r="E489" t="e">
            <v>#N/A</v>
          </cell>
          <cell r="F489" t="e">
            <v>#N/A</v>
          </cell>
          <cell r="G489" t="e">
            <v>#N/A</v>
          </cell>
          <cell r="H489" t="e">
            <v>#N/A</v>
          </cell>
          <cell r="I489" t="e">
            <v>#N/A</v>
          </cell>
          <cell r="J489" t="e">
            <v>#N/A</v>
          </cell>
          <cell r="K489" t="e">
            <v>#N/A</v>
          </cell>
          <cell r="L489" t="e">
            <v>#N/A</v>
          </cell>
          <cell r="M489" t="e">
            <v>#N/A</v>
          </cell>
          <cell r="N489" t="e">
            <v>#N/A</v>
          </cell>
          <cell r="O489" t="e">
            <v>#N/A</v>
          </cell>
          <cell r="P489">
            <v>15.7</v>
          </cell>
          <cell r="Q489">
            <v>1.0844129999999998</v>
          </cell>
          <cell r="R489" t="e">
            <v>#N/A</v>
          </cell>
        </row>
        <row r="490">
          <cell r="A490">
            <v>40681</v>
          </cell>
          <cell r="B490">
            <v>40681</v>
          </cell>
          <cell r="C490" t="str">
            <v>Past</v>
          </cell>
          <cell r="D490">
            <v>15.74</v>
          </cell>
          <cell r="E490" t="e">
            <v>#N/A</v>
          </cell>
          <cell r="F490" t="e">
            <v>#N/A</v>
          </cell>
          <cell r="G490" t="e">
            <v>#N/A</v>
          </cell>
          <cell r="H490" t="e">
            <v>#N/A</v>
          </cell>
          <cell r="I490" t="e">
            <v>#N/A</v>
          </cell>
          <cell r="J490" t="e">
            <v>#N/A</v>
          </cell>
          <cell r="K490" t="e">
            <v>#N/A</v>
          </cell>
          <cell r="L490" t="e">
            <v>#N/A</v>
          </cell>
          <cell r="M490" t="e">
            <v>#N/A</v>
          </cell>
          <cell r="N490" t="e">
            <v>#N/A</v>
          </cell>
          <cell r="O490" t="e">
            <v>#N/A</v>
          </cell>
          <cell r="P490">
            <v>15.74</v>
          </cell>
          <cell r="Q490">
            <v>1.2470839999999999</v>
          </cell>
          <cell r="R490" t="e">
            <v>#N/A</v>
          </cell>
        </row>
        <row r="491">
          <cell r="A491">
            <v>40682</v>
          </cell>
          <cell r="B491">
            <v>40682</v>
          </cell>
          <cell r="C491" t="str">
            <v>Past</v>
          </cell>
          <cell r="D491">
            <v>15.83</v>
          </cell>
          <cell r="E491" t="e">
            <v>#N/A</v>
          </cell>
          <cell r="F491" t="e">
            <v>#N/A</v>
          </cell>
          <cell r="G491" t="e">
            <v>#N/A</v>
          </cell>
          <cell r="H491" t="e">
            <v>#N/A</v>
          </cell>
          <cell r="I491" t="e">
            <v>#N/A</v>
          </cell>
          <cell r="J491" t="e">
            <v>#N/A</v>
          </cell>
          <cell r="K491" t="e">
            <v>#N/A</v>
          </cell>
          <cell r="L491" t="e">
            <v>#N/A</v>
          </cell>
          <cell r="M491" t="e">
            <v>#N/A</v>
          </cell>
          <cell r="N491" t="e">
            <v>#N/A</v>
          </cell>
          <cell r="O491" t="e">
            <v>#N/A</v>
          </cell>
          <cell r="P491">
            <v>15.83</v>
          </cell>
          <cell r="Q491">
            <v>1.4872179999999999</v>
          </cell>
          <cell r="R491" t="e">
            <v>#N/A</v>
          </cell>
        </row>
        <row r="492">
          <cell r="A492">
            <v>40683</v>
          </cell>
          <cell r="B492">
            <v>40683</v>
          </cell>
          <cell r="C492" t="str">
            <v>Past</v>
          </cell>
          <cell r="D492">
            <v>15.89</v>
          </cell>
          <cell r="E492" t="e">
            <v>#N/A</v>
          </cell>
          <cell r="F492" t="e">
            <v>#N/A</v>
          </cell>
          <cell r="G492" t="e">
            <v>#N/A</v>
          </cell>
          <cell r="H492" t="e">
            <v>#N/A</v>
          </cell>
          <cell r="I492" t="e">
            <v>#N/A</v>
          </cell>
          <cell r="J492" t="e">
            <v>#N/A</v>
          </cell>
          <cell r="K492" t="e">
            <v>#N/A</v>
          </cell>
          <cell r="L492" t="e">
            <v>#N/A</v>
          </cell>
          <cell r="M492" t="e">
            <v>#N/A</v>
          </cell>
          <cell r="N492" t="e">
            <v>#N/A</v>
          </cell>
          <cell r="O492" t="e">
            <v>#N/A</v>
          </cell>
          <cell r="P492">
            <v>15.89</v>
          </cell>
          <cell r="Q492">
            <v>1.526613</v>
          </cell>
          <cell r="R492" t="e">
            <v>#N/A</v>
          </cell>
        </row>
        <row r="493">
          <cell r="A493">
            <v>40686</v>
          </cell>
          <cell r="B493">
            <v>40686</v>
          </cell>
          <cell r="C493" t="str">
            <v>Past</v>
          </cell>
          <cell r="D493">
            <v>15.58</v>
          </cell>
          <cell r="E493" t="e">
            <v>#N/A</v>
          </cell>
          <cell r="F493" t="e">
            <v>#N/A</v>
          </cell>
          <cell r="G493" t="e">
            <v>#N/A</v>
          </cell>
          <cell r="H493" t="e">
            <v>#N/A</v>
          </cell>
          <cell r="I493" t="e">
            <v>#N/A</v>
          </cell>
          <cell r="J493" t="e">
            <v>#N/A</v>
          </cell>
          <cell r="K493" t="e">
            <v>#N/A</v>
          </cell>
          <cell r="L493" t="e">
            <v>#N/A</v>
          </cell>
          <cell r="M493" t="e">
            <v>#N/A</v>
          </cell>
          <cell r="N493" t="e">
            <v>#N/A</v>
          </cell>
          <cell r="O493" t="e">
            <v>#N/A</v>
          </cell>
          <cell r="P493">
            <v>15.58</v>
          </cell>
          <cell r="Q493">
            <v>0.90938699999999995</v>
          </cell>
          <cell r="R493" t="e">
            <v>#N/A</v>
          </cell>
        </row>
        <row r="494">
          <cell r="A494">
            <v>40687</v>
          </cell>
          <cell r="B494">
            <v>40687</v>
          </cell>
          <cell r="C494" t="str">
            <v>Past</v>
          </cell>
          <cell r="D494">
            <v>15.45</v>
          </cell>
          <cell r="E494" t="e">
            <v>#N/A</v>
          </cell>
          <cell r="F494" t="e">
            <v>#N/A</v>
          </cell>
          <cell r="G494" t="e">
            <v>#N/A</v>
          </cell>
          <cell r="H494" t="e">
            <v>#N/A</v>
          </cell>
          <cell r="I494" t="e">
            <v>#N/A</v>
          </cell>
          <cell r="J494" t="e">
            <v>#N/A</v>
          </cell>
          <cell r="K494" t="e">
            <v>#N/A</v>
          </cell>
          <cell r="L494" t="e">
            <v>#N/A</v>
          </cell>
          <cell r="M494" t="e">
            <v>#N/A</v>
          </cell>
          <cell r="N494" t="e">
            <v>#N/A</v>
          </cell>
          <cell r="O494" t="e">
            <v>#N/A</v>
          </cell>
          <cell r="P494">
            <v>15.45</v>
          </cell>
          <cell r="Q494">
            <v>1.10145</v>
          </cell>
          <cell r="R494" t="e">
            <v>#N/A</v>
          </cell>
        </row>
        <row r="495">
          <cell r="A495">
            <v>40688</v>
          </cell>
          <cell r="B495">
            <v>40688</v>
          </cell>
          <cell r="C495" t="str">
            <v>Past</v>
          </cell>
          <cell r="D495">
            <v>15.44</v>
          </cell>
          <cell r="E495" t="e">
            <v>#N/A</v>
          </cell>
          <cell r="F495" t="e">
            <v>#N/A</v>
          </cell>
          <cell r="G495" t="e">
            <v>#N/A</v>
          </cell>
          <cell r="H495" t="e">
            <v>#N/A</v>
          </cell>
          <cell r="I495" t="e">
            <v>#N/A</v>
          </cell>
          <cell r="J495" t="e">
            <v>#N/A</v>
          </cell>
          <cell r="K495" t="e">
            <v>#N/A</v>
          </cell>
          <cell r="L495" t="e">
            <v>#N/A</v>
          </cell>
          <cell r="M495" t="e">
            <v>#N/A</v>
          </cell>
          <cell r="N495" t="e">
            <v>#N/A</v>
          </cell>
          <cell r="O495" t="e">
            <v>#N/A</v>
          </cell>
          <cell r="P495">
            <v>15.44</v>
          </cell>
          <cell r="Q495">
            <v>0.66003800000000001</v>
          </cell>
          <cell r="R495" t="e">
            <v>#N/A</v>
          </cell>
        </row>
        <row r="496">
          <cell r="A496">
            <v>40689</v>
          </cell>
          <cell r="B496">
            <v>40689</v>
          </cell>
          <cell r="C496" t="str">
            <v>Past</v>
          </cell>
          <cell r="D496">
            <v>15.54</v>
          </cell>
          <cell r="E496" t="e">
            <v>#N/A</v>
          </cell>
          <cell r="F496" t="e">
            <v>#N/A</v>
          </cell>
          <cell r="G496" t="e">
            <v>#N/A</v>
          </cell>
          <cell r="H496" t="e">
            <v>#N/A</v>
          </cell>
          <cell r="I496" t="e">
            <v>#N/A</v>
          </cell>
          <cell r="J496" t="e">
            <v>#N/A</v>
          </cell>
          <cell r="K496" t="e">
            <v>#N/A</v>
          </cell>
          <cell r="L496" t="e">
            <v>#N/A</v>
          </cell>
          <cell r="M496" t="e">
            <v>#N/A</v>
          </cell>
          <cell r="N496" t="e">
            <v>#N/A</v>
          </cell>
          <cell r="O496" t="e">
            <v>#N/A</v>
          </cell>
          <cell r="P496">
            <v>15.54</v>
          </cell>
          <cell r="Q496">
            <v>1.0232129999999999</v>
          </cell>
          <cell r="R496" t="e">
            <v>#N/A</v>
          </cell>
        </row>
        <row r="497">
          <cell r="A497">
            <v>40690</v>
          </cell>
          <cell r="B497">
            <v>40690</v>
          </cell>
          <cell r="C497" t="str">
            <v>Past</v>
          </cell>
          <cell r="D497">
            <v>15.54</v>
          </cell>
          <cell r="E497" t="e">
            <v>#N/A</v>
          </cell>
          <cell r="F497" t="e">
            <v>#N/A</v>
          </cell>
          <cell r="G497" t="e">
            <v>#N/A</v>
          </cell>
          <cell r="H497" t="e">
            <v>#N/A</v>
          </cell>
          <cell r="I497" t="e">
            <v>#N/A</v>
          </cell>
          <cell r="J497" t="e">
            <v>#N/A</v>
          </cell>
          <cell r="K497" t="e">
            <v>#N/A</v>
          </cell>
          <cell r="L497" t="e">
            <v>#N/A</v>
          </cell>
          <cell r="M497" t="e">
            <v>#N/A</v>
          </cell>
          <cell r="N497" t="e">
            <v>#N/A</v>
          </cell>
          <cell r="O497" t="e">
            <v>#N/A</v>
          </cell>
          <cell r="P497">
            <v>15.54</v>
          </cell>
          <cell r="Q497">
            <v>0.67053600000000002</v>
          </cell>
          <cell r="R497" t="e">
            <v>#N/A</v>
          </cell>
        </row>
        <row r="498">
          <cell r="A498">
            <v>40694</v>
          </cell>
          <cell r="B498">
            <v>40694</v>
          </cell>
          <cell r="C498" t="str">
            <v>Past</v>
          </cell>
          <cell r="D498">
            <v>15.77</v>
          </cell>
          <cell r="E498" t="e">
            <v>#N/A</v>
          </cell>
          <cell r="F498" t="e">
            <v>#N/A</v>
          </cell>
          <cell r="G498" t="e">
            <v>#N/A</v>
          </cell>
          <cell r="H498" t="e">
            <v>#N/A</v>
          </cell>
          <cell r="I498" t="e">
            <v>#N/A</v>
          </cell>
          <cell r="J498" t="e">
            <v>#N/A</v>
          </cell>
          <cell r="K498" t="e">
            <v>#N/A</v>
          </cell>
          <cell r="L498" t="e">
            <v>#N/A</v>
          </cell>
          <cell r="M498" t="e">
            <v>#N/A</v>
          </cell>
          <cell r="N498" t="e">
            <v>#N/A</v>
          </cell>
          <cell r="O498" t="e">
            <v>#N/A</v>
          </cell>
          <cell r="P498">
            <v>15.77</v>
          </cell>
          <cell r="Q498">
            <v>1.214715</v>
          </cell>
          <cell r="R498" t="e">
            <v>#N/A</v>
          </cell>
        </row>
        <row r="499">
          <cell r="A499">
            <v>40695</v>
          </cell>
          <cell r="B499">
            <v>40695</v>
          </cell>
          <cell r="C499" t="str">
            <v>Past</v>
          </cell>
          <cell r="D499">
            <v>15.54</v>
          </cell>
          <cell r="E499" t="e">
            <v>#N/A</v>
          </cell>
          <cell r="F499" t="e">
            <v>#N/A</v>
          </cell>
          <cell r="G499" t="e">
            <v>#N/A</v>
          </cell>
          <cell r="H499" t="e">
            <v>#N/A</v>
          </cell>
          <cell r="I499" t="e">
            <v>#N/A</v>
          </cell>
          <cell r="J499" t="e">
            <v>#N/A</v>
          </cell>
          <cell r="K499" t="e">
            <v>#N/A</v>
          </cell>
          <cell r="L499" t="e">
            <v>#N/A</v>
          </cell>
          <cell r="M499" t="e">
            <v>#N/A</v>
          </cell>
          <cell r="N499" t="e">
            <v>#N/A</v>
          </cell>
          <cell r="O499" t="e">
            <v>#N/A</v>
          </cell>
          <cell r="P499">
            <v>15.54</v>
          </cell>
          <cell r="Q499">
            <v>1.767245</v>
          </cell>
          <cell r="R499" t="e">
            <v>#N/A</v>
          </cell>
        </row>
        <row r="500">
          <cell r="A500">
            <v>40696</v>
          </cell>
          <cell r="B500">
            <v>40696</v>
          </cell>
          <cell r="C500" t="str">
            <v>Past</v>
          </cell>
          <cell r="D500">
            <v>15.48</v>
          </cell>
          <cell r="E500" t="e">
            <v>#N/A</v>
          </cell>
          <cell r="F500" t="e">
            <v>#N/A</v>
          </cell>
          <cell r="G500" t="e">
            <v>#N/A</v>
          </cell>
          <cell r="H500" t="e">
            <v>#N/A</v>
          </cell>
          <cell r="I500" t="e">
            <v>#N/A</v>
          </cell>
          <cell r="J500" t="e">
            <v>#N/A</v>
          </cell>
          <cell r="K500" t="e">
            <v>#N/A</v>
          </cell>
          <cell r="L500" t="e">
            <v>#N/A</v>
          </cell>
          <cell r="M500" t="e">
            <v>#N/A</v>
          </cell>
          <cell r="N500" t="e">
            <v>#N/A</v>
          </cell>
          <cell r="O500" t="e">
            <v>#N/A</v>
          </cell>
          <cell r="P500">
            <v>15.48</v>
          </cell>
          <cell r="Q500">
            <v>1.4389000000000001</v>
          </cell>
          <cell r="R500" t="e">
            <v>#N/A</v>
          </cell>
        </row>
        <row r="501">
          <cell r="A501">
            <v>40697</v>
          </cell>
          <cell r="B501">
            <v>40697</v>
          </cell>
          <cell r="C501" t="str">
            <v>Past</v>
          </cell>
          <cell r="D501">
            <v>15.21</v>
          </cell>
          <cell r="E501" t="e">
            <v>#N/A</v>
          </cell>
          <cell r="F501" t="e">
            <v>#N/A</v>
          </cell>
          <cell r="G501" t="e">
            <v>#N/A</v>
          </cell>
          <cell r="H501" t="e">
            <v>#N/A</v>
          </cell>
          <cell r="I501" t="e">
            <v>#N/A</v>
          </cell>
          <cell r="J501" t="e">
            <v>#N/A</v>
          </cell>
          <cell r="K501" t="e">
            <v>#N/A</v>
          </cell>
          <cell r="L501" t="e">
            <v>#N/A</v>
          </cell>
          <cell r="M501" t="e">
            <v>#N/A</v>
          </cell>
          <cell r="N501" t="e">
            <v>#N/A</v>
          </cell>
          <cell r="O501" t="e">
            <v>#N/A</v>
          </cell>
          <cell r="P501">
            <v>15.21</v>
          </cell>
          <cell r="Q501">
            <v>1.2053719999999999</v>
          </cell>
          <cell r="R501" t="e">
            <v>#N/A</v>
          </cell>
        </row>
        <row r="502">
          <cell r="A502">
            <v>40700</v>
          </cell>
          <cell r="B502">
            <v>40700</v>
          </cell>
          <cell r="C502" t="str">
            <v>Past</v>
          </cell>
          <cell r="D502">
            <v>15.03</v>
          </cell>
          <cell r="E502" t="e">
            <v>#N/A</v>
          </cell>
          <cell r="F502" t="e">
            <v>#N/A</v>
          </cell>
          <cell r="G502" t="e">
            <v>#N/A</v>
          </cell>
          <cell r="H502" t="e">
            <v>#N/A</v>
          </cell>
          <cell r="I502" t="e">
            <v>#N/A</v>
          </cell>
          <cell r="J502" t="e">
            <v>#N/A</v>
          </cell>
          <cell r="K502" t="e">
            <v>#N/A</v>
          </cell>
          <cell r="L502" t="e">
            <v>#N/A</v>
          </cell>
          <cell r="M502" t="e">
            <v>#N/A</v>
          </cell>
          <cell r="N502" t="e">
            <v>#N/A</v>
          </cell>
          <cell r="O502" t="e">
            <v>#N/A</v>
          </cell>
          <cell r="P502">
            <v>15.03</v>
          </cell>
          <cell r="Q502">
            <v>1.5388409999999999</v>
          </cell>
          <cell r="R502" t="e">
            <v>#N/A</v>
          </cell>
        </row>
        <row r="503">
          <cell r="A503">
            <v>40701</v>
          </cell>
          <cell r="B503">
            <v>40701</v>
          </cell>
          <cell r="C503" t="str">
            <v>Past</v>
          </cell>
          <cell r="D503">
            <v>15.2</v>
          </cell>
          <cell r="E503" t="e">
            <v>#N/A</v>
          </cell>
          <cell r="F503" t="e">
            <v>#N/A</v>
          </cell>
          <cell r="G503" t="e">
            <v>#N/A</v>
          </cell>
          <cell r="H503" t="e">
            <v>#N/A</v>
          </cell>
          <cell r="I503" t="e">
            <v>#N/A</v>
          </cell>
          <cell r="J503" t="e">
            <v>#N/A</v>
          </cell>
          <cell r="K503" t="e">
            <v>#N/A</v>
          </cell>
          <cell r="L503" t="e">
            <v>#N/A</v>
          </cell>
          <cell r="M503" t="e">
            <v>#N/A</v>
          </cell>
          <cell r="N503" t="e">
            <v>#N/A</v>
          </cell>
          <cell r="O503" t="e">
            <v>#N/A</v>
          </cell>
          <cell r="P503">
            <v>15.2</v>
          </cell>
          <cell r="Q503">
            <v>3.3628109999999998</v>
          </cell>
          <cell r="R503" t="e">
            <v>#N/A</v>
          </cell>
        </row>
        <row r="504">
          <cell r="A504">
            <v>40702</v>
          </cell>
          <cell r="B504">
            <v>40702</v>
          </cell>
          <cell r="C504" t="str">
            <v>Past</v>
          </cell>
          <cell r="D504">
            <v>15.55</v>
          </cell>
          <cell r="E504" t="e">
            <v>#N/A</v>
          </cell>
          <cell r="F504" t="e">
            <v>#N/A</v>
          </cell>
          <cell r="G504" t="e">
            <v>#N/A</v>
          </cell>
          <cell r="H504" t="e">
            <v>#N/A</v>
          </cell>
          <cell r="I504" t="e">
            <v>#N/A</v>
          </cell>
          <cell r="J504" t="e">
            <v>#N/A</v>
          </cell>
          <cell r="K504" t="e">
            <v>#N/A</v>
          </cell>
          <cell r="L504" t="e">
            <v>#N/A</v>
          </cell>
          <cell r="M504" t="e">
            <v>#N/A</v>
          </cell>
          <cell r="N504" t="e">
            <v>#N/A</v>
          </cell>
          <cell r="O504" t="e">
            <v>#N/A</v>
          </cell>
          <cell r="P504">
            <v>15.55</v>
          </cell>
          <cell r="Q504">
            <v>3.4263000000000003</v>
          </cell>
          <cell r="R504" t="e">
            <v>#N/A</v>
          </cell>
        </row>
        <row r="505">
          <cell r="A505">
            <v>40703</v>
          </cell>
          <cell r="B505">
            <v>40703</v>
          </cell>
          <cell r="C505" t="str">
            <v>Past</v>
          </cell>
          <cell r="D505">
            <v>15.38</v>
          </cell>
          <cell r="E505" t="e">
            <v>#N/A</v>
          </cell>
          <cell r="F505" t="e">
            <v>#N/A</v>
          </cell>
          <cell r="G505" t="e">
            <v>#N/A</v>
          </cell>
          <cell r="H505" t="e">
            <v>#N/A</v>
          </cell>
          <cell r="I505" t="e">
            <v>#N/A</v>
          </cell>
          <cell r="J505" t="e">
            <v>#N/A</v>
          </cell>
          <cell r="K505" t="e">
            <v>#N/A</v>
          </cell>
          <cell r="L505" t="e">
            <v>#N/A</v>
          </cell>
          <cell r="M505" t="e">
            <v>#N/A</v>
          </cell>
          <cell r="N505" t="e">
            <v>#N/A</v>
          </cell>
          <cell r="O505" t="e">
            <v>#N/A</v>
          </cell>
          <cell r="P505">
            <v>15.38</v>
          </cell>
          <cell r="Q505">
            <v>4.3216890000000001</v>
          </cell>
          <cell r="R505" t="e">
            <v>#N/A</v>
          </cell>
        </row>
        <row r="506">
          <cell r="A506">
            <v>40704</v>
          </cell>
          <cell r="B506">
            <v>40704</v>
          </cell>
          <cell r="C506" t="str">
            <v>Past</v>
          </cell>
          <cell r="D506">
            <v>15.69</v>
          </cell>
          <cell r="E506" t="e">
            <v>#N/A</v>
          </cell>
          <cell r="F506" t="e">
            <v>#N/A</v>
          </cell>
          <cell r="G506" t="e">
            <v>#N/A</v>
          </cell>
          <cell r="H506" t="e">
            <v>#N/A</v>
          </cell>
          <cell r="I506" t="e">
            <v>#N/A</v>
          </cell>
          <cell r="J506" t="e">
            <v>#N/A</v>
          </cell>
          <cell r="K506" t="e">
            <v>#N/A</v>
          </cell>
          <cell r="L506" t="e">
            <v>#N/A</v>
          </cell>
          <cell r="M506" t="e">
            <v>#N/A</v>
          </cell>
          <cell r="N506" t="e">
            <v>#N/A</v>
          </cell>
          <cell r="O506" t="e">
            <v>#N/A</v>
          </cell>
          <cell r="P506">
            <v>15.69</v>
          </cell>
          <cell r="Q506">
            <v>4.2505619999999995</v>
          </cell>
          <cell r="R506" t="e">
            <v>#N/A</v>
          </cell>
        </row>
        <row r="507">
          <cell r="A507">
            <v>40707</v>
          </cell>
          <cell r="B507">
            <v>40707</v>
          </cell>
          <cell r="C507" t="str">
            <v>Past</v>
          </cell>
          <cell r="D507">
            <v>15.65</v>
          </cell>
          <cell r="E507" t="e">
            <v>#N/A</v>
          </cell>
          <cell r="F507" t="e">
            <v>#N/A</v>
          </cell>
          <cell r="G507" t="e">
            <v>#N/A</v>
          </cell>
          <cell r="H507" t="e">
            <v>#N/A</v>
          </cell>
          <cell r="I507" t="e">
            <v>#N/A</v>
          </cell>
          <cell r="J507" t="e">
            <v>#N/A</v>
          </cell>
          <cell r="K507" t="e">
            <v>#N/A</v>
          </cell>
          <cell r="L507" t="e">
            <v>#N/A</v>
          </cell>
          <cell r="M507" t="e">
            <v>#N/A</v>
          </cell>
          <cell r="N507" t="e">
            <v>#N/A</v>
          </cell>
          <cell r="O507" t="e">
            <v>#N/A</v>
          </cell>
          <cell r="P507">
            <v>15.65</v>
          </cell>
          <cell r="Q507">
            <v>4.1095300000000003</v>
          </cell>
          <cell r="R507" t="e">
            <v>#N/A</v>
          </cell>
        </row>
        <row r="508">
          <cell r="A508">
            <v>40708</v>
          </cell>
          <cell r="B508">
            <v>40708</v>
          </cell>
          <cell r="C508" t="str">
            <v>Past</v>
          </cell>
          <cell r="D508">
            <v>15.54</v>
          </cell>
          <cell r="E508" t="e">
            <v>#N/A</v>
          </cell>
          <cell r="F508" t="e">
            <v>#N/A</v>
          </cell>
          <cell r="G508" t="e">
            <v>#N/A</v>
          </cell>
          <cell r="H508" t="e">
            <v>#N/A</v>
          </cell>
          <cell r="I508" t="e">
            <v>#N/A</v>
          </cell>
          <cell r="J508" t="e">
            <v>#N/A</v>
          </cell>
          <cell r="K508" t="e">
            <v>#N/A</v>
          </cell>
          <cell r="L508" t="e">
            <v>#N/A</v>
          </cell>
          <cell r="M508" t="e">
            <v>#N/A</v>
          </cell>
          <cell r="N508" t="e">
            <v>#N/A</v>
          </cell>
          <cell r="O508" t="e">
            <v>#N/A</v>
          </cell>
          <cell r="P508">
            <v>15.54</v>
          </cell>
          <cell r="Q508">
            <v>4.4835189999999994</v>
          </cell>
          <cell r="R508" t="e">
            <v>#N/A</v>
          </cell>
        </row>
        <row r="509">
          <cell r="A509">
            <v>40709</v>
          </cell>
          <cell r="B509">
            <v>40709</v>
          </cell>
          <cell r="C509" t="str">
            <v>Past</v>
          </cell>
          <cell r="D509">
            <v>15.37</v>
          </cell>
          <cell r="E509" t="e">
            <v>#N/A</v>
          </cell>
          <cell r="F509" t="e">
            <v>#N/A</v>
          </cell>
          <cell r="G509" t="e">
            <v>#N/A</v>
          </cell>
          <cell r="H509" t="e">
            <v>#N/A</v>
          </cell>
          <cell r="I509" t="e">
            <v>#N/A</v>
          </cell>
          <cell r="J509" t="e">
            <v>#N/A</v>
          </cell>
          <cell r="K509" t="e">
            <v>#N/A</v>
          </cell>
          <cell r="L509" t="e">
            <v>#N/A</v>
          </cell>
          <cell r="M509" t="e">
            <v>#N/A</v>
          </cell>
          <cell r="N509" t="e">
            <v>#N/A</v>
          </cell>
          <cell r="O509" t="e">
            <v>#N/A</v>
          </cell>
          <cell r="P509">
            <v>15.37</v>
          </cell>
          <cell r="Q509">
            <v>2.9629879999999997</v>
          </cell>
          <cell r="R509" t="e">
            <v>#N/A</v>
          </cell>
        </row>
        <row r="510">
          <cell r="A510">
            <v>40710</v>
          </cell>
          <cell r="B510">
            <v>40710</v>
          </cell>
          <cell r="C510" t="str">
            <v>Past</v>
          </cell>
          <cell r="D510">
            <v>15.4</v>
          </cell>
          <cell r="E510" t="e">
            <v>#N/A</v>
          </cell>
          <cell r="F510" t="e">
            <v>#N/A</v>
          </cell>
          <cell r="G510" t="e">
            <v>#N/A</v>
          </cell>
          <cell r="H510" t="e">
            <v>#N/A</v>
          </cell>
          <cell r="I510" t="e">
            <v>#N/A</v>
          </cell>
          <cell r="J510" t="e">
            <v>#N/A</v>
          </cell>
          <cell r="K510" t="e">
            <v>#N/A</v>
          </cell>
          <cell r="L510" t="e">
            <v>#N/A</v>
          </cell>
          <cell r="M510" t="e">
            <v>#N/A</v>
          </cell>
          <cell r="N510" t="e">
            <v>#N/A</v>
          </cell>
          <cell r="O510" t="e">
            <v>#N/A</v>
          </cell>
          <cell r="P510">
            <v>15.4</v>
          </cell>
          <cell r="Q510">
            <v>2.338606</v>
          </cell>
          <cell r="R510" t="e">
            <v>#N/A</v>
          </cell>
        </row>
        <row r="511">
          <cell r="A511">
            <v>40711</v>
          </cell>
          <cell r="B511">
            <v>40711</v>
          </cell>
          <cell r="C511" t="str">
            <v>Past</v>
          </cell>
          <cell r="D511">
            <v>15.45</v>
          </cell>
          <cell r="E511" t="e">
            <v>#N/A</v>
          </cell>
          <cell r="F511" t="e">
            <v>#N/A</v>
          </cell>
          <cell r="G511" t="e">
            <v>#N/A</v>
          </cell>
          <cell r="H511" t="e">
            <v>#N/A</v>
          </cell>
          <cell r="I511" t="e">
            <v>#N/A</v>
          </cell>
          <cell r="J511" t="e">
            <v>#N/A</v>
          </cell>
          <cell r="K511" t="e">
            <v>#N/A</v>
          </cell>
          <cell r="L511" t="e">
            <v>#N/A</v>
          </cell>
          <cell r="M511" t="e">
            <v>#N/A</v>
          </cell>
          <cell r="N511" t="e">
            <v>#N/A</v>
          </cell>
          <cell r="O511" t="e">
            <v>#N/A</v>
          </cell>
          <cell r="P511">
            <v>15.45</v>
          </cell>
          <cell r="Q511">
            <v>2.8604409999999998</v>
          </cell>
          <cell r="R511" t="e">
            <v>#N/A</v>
          </cell>
        </row>
        <row r="512">
          <cell r="A512">
            <v>40714</v>
          </cell>
          <cell r="B512">
            <v>40714</v>
          </cell>
          <cell r="C512" t="str">
            <v>Past</v>
          </cell>
          <cell r="D512">
            <v>15.4</v>
          </cell>
          <cell r="E512" t="e">
            <v>#N/A</v>
          </cell>
          <cell r="F512" t="e">
            <v>#N/A</v>
          </cell>
          <cell r="G512" t="e">
            <v>#N/A</v>
          </cell>
          <cell r="H512" t="e">
            <v>#N/A</v>
          </cell>
          <cell r="I512" t="e">
            <v>#N/A</v>
          </cell>
          <cell r="J512" t="e">
            <v>#N/A</v>
          </cell>
          <cell r="K512" t="e">
            <v>#N/A</v>
          </cell>
          <cell r="L512" t="e">
            <v>#N/A</v>
          </cell>
          <cell r="M512" t="e">
            <v>#N/A</v>
          </cell>
          <cell r="N512" t="e">
            <v>#N/A</v>
          </cell>
          <cell r="O512" t="e">
            <v>#N/A</v>
          </cell>
          <cell r="P512">
            <v>15.4</v>
          </cell>
          <cell r="Q512">
            <v>3.7483</v>
          </cell>
          <cell r="R512" t="e">
            <v>#N/A</v>
          </cell>
        </row>
        <row r="513">
          <cell r="A513">
            <v>40715</v>
          </cell>
          <cell r="B513">
            <v>40715</v>
          </cell>
          <cell r="C513" t="str">
            <v>Past</v>
          </cell>
          <cell r="D513">
            <v>15.5</v>
          </cell>
          <cell r="E513" t="e">
            <v>#N/A</v>
          </cell>
          <cell r="F513" t="e">
            <v>#N/A</v>
          </cell>
          <cell r="G513" t="e">
            <v>#N/A</v>
          </cell>
          <cell r="H513" t="e">
            <v>#N/A</v>
          </cell>
          <cell r="I513" t="e">
            <v>#N/A</v>
          </cell>
          <cell r="J513" t="e">
            <v>#N/A</v>
          </cell>
          <cell r="K513" t="e">
            <v>#N/A</v>
          </cell>
          <cell r="L513" t="e">
            <v>#N/A</v>
          </cell>
          <cell r="M513" t="e">
            <v>#N/A</v>
          </cell>
          <cell r="N513" t="e">
            <v>#N/A</v>
          </cell>
          <cell r="O513" t="e">
            <v>#N/A</v>
          </cell>
          <cell r="P513">
            <v>15.5</v>
          </cell>
          <cell r="Q513">
            <v>4.0320909999999994</v>
          </cell>
          <cell r="R513" t="e">
            <v>#N/A</v>
          </cell>
        </row>
        <row r="514">
          <cell r="A514">
            <v>40716</v>
          </cell>
          <cell r="B514">
            <v>40716</v>
          </cell>
          <cell r="C514" t="str">
            <v>Past</v>
          </cell>
          <cell r="D514">
            <v>15.32</v>
          </cell>
          <cell r="E514" t="e">
            <v>#N/A</v>
          </cell>
          <cell r="F514" t="e">
            <v>#N/A</v>
          </cell>
          <cell r="G514" t="e">
            <v>#N/A</v>
          </cell>
          <cell r="H514" t="e">
            <v>#N/A</v>
          </cell>
          <cell r="I514" t="e">
            <v>#N/A</v>
          </cell>
          <cell r="J514" t="e">
            <v>#N/A</v>
          </cell>
          <cell r="K514" t="e">
            <v>#N/A</v>
          </cell>
          <cell r="L514" t="e">
            <v>#N/A</v>
          </cell>
          <cell r="M514" t="e">
            <v>#N/A</v>
          </cell>
          <cell r="N514" t="e">
            <v>#N/A</v>
          </cell>
          <cell r="O514" t="e">
            <v>#N/A</v>
          </cell>
          <cell r="P514">
            <v>15.32</v>
          </cell>
          <cell r="Q514">
            <v>2.2638000000000003</v>
          </cell>
          <cell r="R514" t="e">
            <v>#N/A</v>
          </cell>
        </row>
        <row r="515">
          <cell r="A515">
            <v>40717</v>
          </cell>
          <cell r="B515">
            <v>40717</v>
          </cell>
          <cell r="C515" t="str">
            <v>Past</v>
          </cell>
          <cell r="D515">
            <v>15.1</v>
          </cell>
          <cell r="E515" t="e">
            <v>#N/A</v>
          </cell>
          <cell r="F515" t="e">
            <v>#N/A</v>
          </cell>
          <cell r="G515" t="e">
            <v>#N/A</v>
          </cell>
          <cell r="H515" t="e">
            <v>#N/A</v>
          </cell>
          <cell r="I515" t="e">
            <v>#N/A</v>
          </cell>
          <cell r="J515" t="e">
            <v>#N/A</v>
          </cell>
          <cell r="K515" t="e">
            <v>#N/A</v>
          </cell>
          <cell r="L515" t="e">
            <v>#N/A</v>
          </cell>
          <cell r="M515" t="e">
            <v>#N/A</v>
          </cell>
          <cell r="N515" t="e">
            <v>#N/A</v>
          </cell>
          <cell r="O515" t="e">
            <v>#N/A</v>
          </cell>
          <cell r="P515">
            <v>15.1</v>
          </cell>
          <cell r="Q515">
            <v>3.6845919999999999</v>
          </cell>
          <cell r="R515" t="e">
            <v>#N/A</v>
          </cell>
        </row>
        <row r="516">
          <cell r="A516">
            <v>40718</v>
          </cell>
          <cell r="B516">
            <v>40718</v>
          </cell>
          <cell r="C516" t="str">
            <v>Past</v>
          </cell>
          <cell r="D516">
            <v>15.1</v>
          </cell>
          <cell r="E516" t="e">
            <v>#N/A</v>
          </cell>
          <cell r="F516" t="e">
            <v>#N/A</v>
          </cell>
          <cell r="G516" t="e">
            <v>#N/A</v>
          </cell>
          <cell r="H516" t="e">
            <v>#N/A</v>
          </cell>
          <cell r="I516" t="e">
            <v>#N/A</v>
          </cell>
          <cell r="J516" t="e">
            <v>#N/A</v>
          </cell>
          <cell r="K516" t="e">
            <v>#N/A</v>
          </cell>
          <cell r="L516" t="e">
            <v>#N/A</v>
          </cell>
          <cell r="M516" t="e">
            <v>#N/A</v>
          </cell>
          <cell r="N516" t="e">
            <v>#N/A</v>
          </cell>
          <cell r="O516" t="e">
            <v>#N/A</v>
          </cell>
          <cell r="P516">
            <v>15.1</v>
          </cell>
          <cell r="Q516">
            <v>2.8938419999999998</v>
          </cell>
          <cell r="R516" t="e">
            <v>#N/A</v>
          </cell>
        </row>
        <row r="517">
          <cell r="A517">
            <v>40721</v>
          </cell>
          <cell r="B517">
            <v>40721</v>
          </cell>
          <cell r="C517" t="str">
            <v>Past</v>
          </cell>
          <cell r="D517">
            <v>15.23</v>
          </cell>
          <cell r="E517" t="e">
            <v>#N/A</v>
          </cell>
          <cell r="F517" t="e">
            <v>#N/A</v>
          </cell>
          <cell r="G517" t="e">
            <v>#N/A</v>
          </cell>
          <cell r="H517" t="e">
            <v>#N/A</v>
          </cell>
          <cell r="I517" t="e">
            <v>#N/A</v>
          </cell>
          <cell r="J517" t="e">
            <v>#N/A</v>
          </cell>
          <cell r="K517" t="e">
            <v>#N/A</v>
          </cell>
          <cell r="L517" t="e">
            <v>#N/A</v>
          </cell>
          <cell r="M517" t="e">
            <v>#N/A</v>
          </cell>
          <cell r="N517" t="e">
            <v>#N/A</v>
          </cell>
          <cell r="O517" t="e">
            <v>#N/A</v>
          </cell>
          <cell r="P517">
            <v>15.23</v>
          </cell>
          <cell r="Q517">
            <v>1.7149000000000001</v>
          </cell>
          <cell r="R517" t="e">
            <v>#N/A</v>
          </cell>
        </row>
        <row r="518">
          <cell r="A518">
            <v>40722</v>
          </cell>
          <cell r="B518">
            <v>40722</v>
          </cell>
          <cell r="C518" t="str">
            <v>Past</v>
          </cell>
          <cell r="D518">
            <v>15.24</v>
          </cell>
          <cell r="E518" t="e">
            <v>#N/A</v>
          </cell>
          <cell r="F518" t="e">
            <v>#N/A</v>
          </cell>
          <cell r="G518" t="e">
            <v>#N/A</v>
          </cell>
          <cell r="H518" t="e">
            <v>#N/A</v>
          </cell>
          <cell r="I518" t="e">
            <v>#N/A</v>
          </cell>
          <cell r="J518" t="e">
            <v>#N/A</v>
          </cell>
          <cell r="K518" t="e">
            <v>#N/A</v>
          </cell>
          <cell r="L518" t="e">
            <v>#N/A</v>
          </cell>
          <cell r="M518" t="e">
            <v>#N/A</v>
          </cell>
          <cell r="N518" t="e">
            <v>#N/A</v>
          </cell>
          <cell r="O518" t="e">
            <v>#N/A</v>
          </cell>
          <cell r="P518">
            <v>15.24</v>
          </cell>
          <cell r="Q518">
            <v>2.6037949999999999</v>
          </cell>
          <cell r="R518" t="e">
            <v>#N/A</v>
          </cell>
        </row>
        <row r="519">
          <cell r="A519">
            <v>40723</v>
          </cell>
          <cell r="B519">
            <v>40723</v>
          </cell>
          <cell r="C519" t="str">
            <v>Past</v>
          </cell>
          <cell r="D519">
            <v>15.31</v>
          </cell>
          <cell r="E519" t="e">
            <v>#N/A</v>
          </cell>
          <cell r="F519" t="e">
            <v>#N/A</v>
          </cell>
          <cell r="G519" t="e">
            <v>#N/A</v>
          </cell>
          <cell r="H519" t="e">
            <v>#N/A</v>
          </cell>
          <cell r="I519" t="e">
            <v>#N/A</v>
          </cell>
          <cell r="J519" t="e">
            <v>#N/A</v>
          </cell>
          <cell r="K519" t="e">
            <v>#N/A</v>
          </cell>
          <cell r="L519" t="e">
            <v>#N/A</v>
          </cell>
          <cell r="M519" t="e">
            <v>#N/A</v>
          </cell>
          <cell r="N519" t="e">
            <v>#N/A</v>
          </cell>
          <cell r="O519" t="e">
            <v>#N/A</v>
          </cell>
          <cell r="P519">
            <v>15.31</v>
          </cell>
          <cell r="Q519">
            <v>2.3394059999999999</v>
          </cell>
          <cell r="R519" t="e">
            <v>#N/A</v>
          </cell>
        </row>
        <row r="520">
          <cell r="A520">
            <v>40724</v>
          </cell>
          <cell r="B520">
            <v>40724</v>
          </cell>
          <cell r="C520" t="str">
            <v>Past</v>
          </cell>
          <cell r="D520">
            <v>15.35</v>
          </cell>
          <cell r="E520" t="e">
            <v>#N/A</v>
          </cell>
          <cell r="F520" t="e">
            <v>#N/A</v>
          </cell>
          <cell r="G520" t="e">
            <v>#N/A</v>
          </cell>
          <cell r="H520" t="e">
            <v>#N/A</v>
          </cell>
          <cell r="I520" t="e">
            <v>#N/A</v>
          </cell>
          <cell r="J520" t="e">
            <v>#N/A</v>
          </cell>
          <cell r="K520" t="e">
            <v>#N/A</v>
          </cell>
          <cell r="L520" t="e">
            <v>#N/A</v>
          </cell>
          <cell r="M520" t="e">
            <v>#N/A</v>
          </cell>
          <cell r="N520" t="e">
            <v>#N/A</v>
          </cell>
          <cell r="O520" t="e">
            <v>#N/A</v>
          </cell>
          <cell r="P520">
            <v>15.35</v>
          </cell>
          <cell r="Q520">
            <v>2.2514089999999998</v>
          </cell>
          <cell r="R520" t="e">
            <v>#N/A</v>
          </cell>
        </row>
        <row r="521">
          <cell r="A521">
            <v>40725</v>
          </cell>
          <cell r="B521">
            <v>40725</v>
          </cell>
          <cell r="C521" t="str">
            <v>Past</v>
          </cell>
          <cell r="D521">
            <v>15.59</v>
          </cell>
          <cell r="E521" t="e">
            <v>#N/A</v>
          </cell>
          <cell r="F521" t="e">
            <v>#N/A</v>
          </cell>
          <cell r="G521" t="e">
            <v>#N/A</v>
          </cell>
          <cell r="H521" t="e">
            <v>#N/A</v>
          </cell>
          <cell r="I521" t="e">
            <v>#N/A</v>
          </cell>
          <cell r="J521" t="e">
            <v>#N/A</v>
          </cell>
          <cell r="K521" t="e">
            <v>#N/A</v>
          </cell>
          <cell r="L521" t="e">
            <v>#N/A</v>
          </cell>
          <cell r="M521" t="e">
            <v>#N/A</v>
          </cell>
          <cell r="N521" t="e">
            <v>#N/A</v>
          </cell>
          <cell r="O521" t="e">
            <v>#N/A</v>
          </cell>
          <cell r="P521">
            <v>15.59</v>
          </cell>
          <cell r="Q521">
            <v>1.3990500000000001</v>
          </cell>
          <cell r="R521" t="e">
            <v>#N/A</v>
          </cell>
        </row>
        <row r="522">
          <cell r="A522">
            <v>40729</v>
          </cell>
          <cell r="B522">
            <v>40729</v>
          </cell>
          <cell r="C522" t="str">
            <v>Past</v>
          </cell>
          <cell r="D522">
            <v>15.55</v>
          </cell>
          <cell r="E522" t="e">
            <v>#N/A</v>
          </cell>
          <cell r="F522" t="e">
            <v>#N/A</v>
          </cell>
          <cell r="G522" t="e">
            <v>#N/A</v>
          </cell>
          <cell r="H522" t="e">
            <v>#N/A</v>
          </cell>
          <cell r="I522" t="e">
            <v>#N/A</v>
          </cell>
          <cell r="J522" t="e">
            <v>#N/A</v>
          </cell>
          <cell r="K522" t="e">
            <v>#N/A</v>
          </cell>
          <cell r="L522" t="e">
            <v>#N/A</v>
          </cell>
          <cell r="M522" t="e">
            <v>#N/A</v>
          </cell>
          <cell r="N522" t="e">
            <v>#N/A</v>
          </cell>
          <cell r="O522" t="e">
            <v>#N/A</v>
          </cell>
          <cell r="P522">
            <v>15.55</v>
          </cell>
          <cell r="Q522">
            <v>1.5489000000000002</v>
          </cell>
          <cell r="R522" t="e">
            <v>#N/A</v>
          </cell>
        </row>
        <row r="523">
          <cell r="A523">
            <v>40730</v>
          </cell>
          <cell r="B523">
            <v>40730</v>
          </cell>
          <cell r="C523" t="str">
            <v>Past</v>
          </cell>
          <cell r="D523">
            <v>15.59</v>
          </cell>
          <cell r="E523" t="e">
            <v>#N/A</v>
          </cell>
          <cell r="F523" t="e">
            <v>#N/A</v>
          </cell>
          <cell r="G523" t="e">
            <v>#N/A</v>
          </cell>
          <cell r="H523" t="e">
            <v>#N/A</v>
          </cell>
          <cell r="I523" t="e">
            <v>#N/A</v>
          </cell>
          <cell r="J523" t="e">
            <v>#N/A</v>
          </cell>
          <cell r="K523" t="e">
            <v>#N/A</v>
          </cell>
          <cell r="L523" t="e">
            <v>#N/A</v>
          </cell>
          <cell r="M523" t="e">
            <v>#N/A</v>
          </cell>
          <cell r="N523" t="e">
            <v>#N/A</v>
          </cell>
          <cell r="O523" t="e">
            <v>#N/A</v>
          </cell>
          <cell r="P523">
            <v>15.59</v>
          </cell>
          <cell r="Q523">
            <v>1.2207249999999998</v>
          </cell>
          <cell r="R523" t="e">
            <v>#N/A</v>
          </cell>
        </row>
        <row r="524">
          <cell r="A524">
            <v>40731</v>
          </cell>
          <cell r="B524">
            <v>40731</v>
          </cell>
          <cell r="C524" t="str">
            <v>Past</v>
          </cell>
          <cell r="D524">
            <v>15.61</v>
          </cell>
          <cell r="E524" t="e">
            <v>#N/A</v>
          </cell>
          <cell r="F524" t="e">
            <v>#N/A</v>
          </cell>
          <cell r="G524" t="e">
            <v>#N/A</v>
          </cell>
          <cell r="H524" t="e">
            <v>#N/A</v>
          </cell>
          <cell r="I524" t="e">
            <v>#N/A</v>
          </cell>
          <cell r="J524" t="e">
            <v>#N/A</v>
          </cell>
          <cell r="K524" t="e">
            <v>#N/A</v>
          </cell>
          <cell r="L524" t="e">
            <v>#N/A</v>
          </cell>
          <cell r="M524" t="e">
            <v>#N/A</v>
          </cell>
          <cell r="N524" t="e">
            <v>#N/A</v>
          </cell>
          <cell r="O524" t="e">
            <v>#N/A</v>
          </cell>
          <cell r="P524">
            <v>15.61</v>
          </cell>
          <cell r="Q524">
            <v>1.3784529999999999</v>
          </cell>
          <cell r="R524" t="e">
            <v>#N/A</v>
          </cell>
        </row>
        <row r="525">
          <cell r="A525">
            <v>40732</v>
          </cell>
          <cell r="B525">
            <v>40732</v>
          </cell>
          <cell r="C525" t="str">
            <v>Past</v>
          </cell>
          <cell r="D525">
            <v>15.51</v>
          </cell>
          <cell r="E525" t="e">
            <v>#N/A</v>
          </cell>
          <cell r="F525" t="e">
            <v>#N/A</v>
          </cell>
          <cell r="G525" t="e">
            <v>#N/A</v>
          </cell>
          <cell r="H525" t="e">
            <v>#N/A</v>
          </cell>
          <cell r="I525" t="e">
            <v>#N/A</v>
          </cell>
          <cell r="J525" t="e">
            <v>#N/A</v>
          </cell>
          <cell r="K525" t="e">
            <v>#N/A</v>
          </cell>
          <cell r="L525" t="e">
            <v>#N/A</v>
          </cell>
          <cell r="M525" t="e">
            <v>#N/A</v>
          </cell>
          <cell r="N525" t="e">
            <v>#N/A</v>
          </cell>
          <cell r="O525" t="e">
            <v>#N/A</v>
          </cell>
          <cell r="P525">
            <v>15.51</v>
          </cell>
          <cell r="Q525">
            <v>1.8003829999999998</v>
          </cell>
          <cell r="R525" t="e">
            <v>#N/A</v>
          </cell>
        </row>
        <row r="526">
          <cell r="A526">
            <v>40735</v>
          </cell>
          <cell r="B526">
            <v>40735</v>
          </cell>
          <cell r="C526" t="str">
            <v>Past</v>
          </cell>
          <cell r="D526">
            <v>15.24</v>
          </cell>
          <cell r="E526" t="e">
            <v>#N/A</v>
          </cell>
          <cell r="F526" t="e">
            <v>#N/A</v>
          </cell>
          <cell r="G526" t="e">
            <v>#N/A</v>
          </cell>
          <cell r="H526" t="e">
            <v>#N/A</v>
          </cell>
          <cell r="I526" t="e">
            <v>#N/A</v>
          </cell>
          <cell r="J526" t="e">
            <v>#N/A</v>
          </cell>
          <cell r="K526" t="e">
            <v>#N/A</v>
          </cell>
          <cell r="L526" t="e">
            <v>#N/A</v>
          </cell>
          <cell r="M526" t="e">
            <v>#N/A</v>
          </cell>
          <cell r="N526" t="e">
            <v>#N/A</v>
          </cell>
          <cell r="O526" t="e">
            <v>#N/A</v>
          </cell>
          <cell r="P526">
            <v>15.24</v>
          </cell>
          <cell r="Q526">
            <v>1.3767149999999999</v>
          </cell>
          <cell r="R526" t="e">
            <v>#N/A</v>
          </cell>
        </row>
        <row r="527">
          <cell r="A527">
            <v>40736</v>
          </cell>
          <cell r="B527">
            <v>40736</v>
          </cell>
          <cell r="C527" t="str">
            <v>Past</v>
          </cell>
          <cell r="D527">
            <v>15.29</v>
          </cell>
          <cell r="E527" t="e">
            <v>#N/A</v>
          </cell>
          <cell r="F527" t="e">
            <v>#N/A</v>
          </cell>
          <cell r="G527" t="e">
            <v>#N/A</v>
          </cell>
          <cell r="H527" t="e">
            <v>#N/A</v>
          </cell>
          <cell r="I527" t="e">
            <v>#N/A</v>
          </cell>
          <cell r="J527" t="e">
            <v>#N/A</v>
          </cell>
          <cell r="K527" t="e">
            <v>#N/A</v>
          </cell>
          <cell r="L527" t="e">
            <v>#N/A</v>
          </cell>
          <cell r="M527" t="e">
            <v>#N/A</v>
          </cell>
          <cell r="N527" t="e">
            <v>#N/A</v>
          </cell>
          <cell r="O527" t="e">
            <v>#N/A</v>
          </cell>
          <cell r="P527">
            <v>15.29</v>
          </cell>
          <cell r="Q527">
            <v>1.7635969999999999</v>
          </cell>
          <cell r="R527" t="e">
            <v>#N/A</v>
          </cell>
        </row>
        <row r="528">
          <cell r="A528">
            <v>40737</v>
          </cell>
          <cell r="B528">
            <v>40737</v>
          </cell>
          <cell r="C528" t="str">
            <v>Past</v>
          </cell>
          <cell r="D528">
            <v>15.3</v>
          </cell>
          <cell r="E528" t="e">
            <v>#N/A</v>
          </cell>
          <cell r="F528" t="e">
            <v>#N/A</v>
          </cell>
          <cell r="G528" t="e">
            <v>#N/A</v>
          </cell>
          <cell r="H528" t="e">
            <v>#N/A</v>
          </cell>
          <cell r="I528" t="e">
            <v>#N/A</v>
          </cell>
          <cell r="J528" t="e">
            <v>#N/A</v>
          </cell>
          <cell r="K528" t="e">
            <v>#N/A</v>
          </cell>
          <cell r="L528" t="e">
            <v>#N/A</v>
          </cell>
          <cell r="M528" t="e">
            <v>#N/A</v>
          </cell>
          <cell r="N528" t="e">
            <v>#N/A</v>
          </cell>
          <cell r="O528" t="e">
            <v>#N/A</v>
          </cell>
          <cell r="P528">
            <v>15.3</v>
          </cell>
          <cell r="Q528">
            <v>1.718731</v>
          </cell>
          <cell r="R528" t="e">
            <v>#N/A</v>
          </cell>
        </row>
        <row r="529">
          <cell r="A529">
            <v>40738</v>
          </cell>
          <cell r="B529">
            <v>40738</v>
          </cell>
          <cell r="C529" t="str">
            <v>Past</v>
          </cell>
          <cell r="D529">
            <v>15.16</v>
          </cell>
          <cell r="E529" t="e">
            <v>#N/A</v>
          </cell>
          <cell r="F529" t="e">
            <v>#N/A</v>
          </cell>
          <cell r="G529" t="e">
            <v>#N/A</v>
          </cell>
          <cell r="H529" t="e">
            <v>#N/A</v>
          </cell>
          <cell r="I529" t="e">
            <v>#N/A</v>
          </cell>
          <cell r="J529" t="e">
            <v>#N/A</v>
          </cell>
          <cell r="K529" t="e">
            <v>#N/A</v>
          </cell>
          <cell r="L529" t="e">
            <v>#N/A</v>
          </cell>
          <cell r="M529" t="e">
            <v>#N/A</v>
          </cell>
          <cell r="N529" t="e">
            <v>#N/A</v>
          </cell>
          <cell r="O529" t="e">
            <v>#N/A</v>
          </cell>
          <cell r="P529">
            <v>15.16</v>
          </cell>
          <cell r="Q529">
            <v>1.5739669999999999</v>
          </cell>
          <cell r="R529" t="e">
            <v>#N/A</v>
          </cell>
        </row>
        <row r="530">
          <cell r="A530">
            <v>40739</v>
          </cell>
          <cell r="B530">
            <v>40739</v>
          </cell>
          <cell r="C530" t="str">
            <v>Past</v>
          </cell>
          <cell r="D530">
            <v>15.22</v>
          </cell>
          <cell r="E530" t="e">
            <v>#N/A</v>
          </cell>
          <cell r="F530" t="e">
            <v>#N/A</v>
          </cell>
          <cell r="G530" t="e">
            <v>#N/A</v>
          </cell>
          <cell r="H530" t="e">
            <v>#N/A</v>
          </cell>
          <cell r="I530" t="e">
            <v>#N/A</v>
          </cell>
          <cell r="J530" t="e">
            <v>#N/A</v>
          </cell>
          <cell r="K530" t="e">
            <v>#N/A</v>
          </cell>
          <cell r="L530" t="e">
            <v>#N/A</v>
          </cell>
          <cell r="M530" t="e">
            <v>#N/A</v>
          </cell>
          <cell r="N530" t="e">
            <v>#N/A</v>
          </cell>
          <cell r="O530" t="e">
            <v>#N/A</v>
          </cell>
          <cell r="P530">
            <v>15.22</v>
          </cell>
          <cell r="Q530">
            <v>1.518662</v>
          </cell>
          <cell r="R530" t="e">
            <v>#N/A</v>
          </cell>
        </row>
        <row r="531">
          <cell r="A531">
            <v>40742</v>
          </cell>
          <cell r="B531">
            <v>40742</v>
          </cell>
          <cell r="C531" t="str">
            <v>Past</v>
          </cell>
          <cell r="D531">
            <v>15.08</v>
          </cell>
          <cell r="E531" t="e">
            <v>#N/A</v>
          </cell>
          <cell r="F531" t="e">
            <v>#N/A</v>
          </cell>
          <cell r="G531" t="e">
            <v>#N/A</v>
          </cell>
          <cell r="H531" t="e">
            <v>#N/A</v>
          </cell>
          <cell r="I531" t="e">
            <v>#N/A</v>
          </cell>
          <cell r="J531" t="e">
            <v>#N/A</v>
          </cell>
          <cell r="K531" t="e">
            <v>#N/A</v>
          </cell>
          <cell r="L531" t="e">
            <v>#N/A</v>
          </cell>
          <cell r="M531" t="e">
            <v>#N/A</v>
          </cell>
          <cell r="N531" t="e">
            <v>#N/A</v>
          </cell>
          <cell r="O531" t="e">
            <v>#N/A</v>
          </cell>
          <cell r="P531">
            <v>15.08</v>
          </cell>
          <cell r="Q531">
            <v>1.8748959999999999</v>
          </cell>
          <cell r="R531" t="e">
            <v>#N/A</v>
          </cell>
        </row>
        <row r="532">
          <cell r="A532">
            <v>40743</v>
          </cell>
          <cell r="B532">
            <v>40743</v>
          </cell>
          <cell r="C532" t="str">
            <v>Past</v>
          </cell>
          <cell r="D532">
            <v>15.12</v>
          </cell>
          <cell r="E532" t="e">
            <v>#N/A</v>
          </cell>
          <cell r="F532" t="e">
            <v>#N/A</v>
          </cell>
          <cell r="G532" t="e">
            <v>#N/A</v>
          </cell>
          <cell r="H532" t="e">
            <v>#N/A</v>
          </cell>
          <cell r="I532" t="e">
            <v>#N/A</v>
          </cell>
          <cell r="J532" t="e">
            <v>#N/A</v>
          </cell>
          <cell r="K532" t="e">
            <v>#N/A</v>
          </cell>
          <cell r="L532" t="e">
            <v>#N/A</v>
          </cell>
          <cell r="M532" t="e">
            <v>#N/A</v>
          </cell>
          <cell r="N532" t="e">
            <v>#N/A</v>
          </cell>
          <cell r="O532" t="e">
            <v>#N/A</v>
          </cell>
          <cell r="P532">
            <v>15.12</v>
          </cell>
          <cell r="Q532">
            <v>1.273741</v>
          </cell>
          <cell r="R532" t="e">
            <v>#N/A</v>
          </cell>
        </row>
        <row r="533">
          <cell r="A533">
            <v>40744</v>
          </cell>
          <cell r="B533">
            <v>40744</v>
          </cell>
          <cell r="C533" t="str">
            <v>Past</v>
          </cell>
          <cell r="D533">
            <v>15.34</v>
          </cell>
          <cell r="E533" t="e">
            <v>#N/A</v>
          </cell>
          <cell r="F533" t="e">
            <v>#N/A</v>
          </cell>
          <cell r="G533" t="e">
            <v>#N/A</v>
          </cell>
          <cell r="H533" t="e">
            <v>#N/A</v>
          </cell>
          <cell r="I533" t="e">
            <v>#N/A</v>
          </cell>
          <cell r="J533" t="e">
            <v>#N/A</v>
          </cell>
          <cell r="K533" t="e">
            <v>#N/A</v>
          </cell>
          <cell r="L533" t="e">
            <v>#N/A</v>
          </cell>
          <cell r="M533" t="e">
            <v>#N/A</v>
          </cell>
          <cell r="N533" t="e">
            <v>#N/A</v>
          </cell>
          <cell r="O533" t="e">
            <v>#N/A</v>
          </cell>
          <cell r="P533">
            <v>15.34</v>
          </cell>
          <cell r="Q533">
            <v>1.0193000000000001</v>
          </cell>
          <cell r="R533" t="e">
            <v>#N/A</v>
          </cell>
        </row>
        <row r="534">
          <cell r="A534">
            <v>40745</v>
          </cell>
          <cell r="B534">
            <v>40745</v>
          </cell>
          <cell r="C534" t="str">
            <v>Past</v>
          </cell>
          <cell r="D534">
            <v>15.47</v>
          </cell>
          <cell r="E534" t="e">
            <v>#N/A</v>
          </cell>
          <cell r="F534" t="e">
            <v>#N/A</v>
          </cell>
          <cell r="G534" t="e">
            <v>#N/A</v>
          </cell>
          <cell r="H534" t="e">
            <v>#N/A</v>
          </cell>
          <cell r="I534" t="e">
            <v>#N/A</v>
          </cell>
          <cell r="J534" t="e">
            <v>#N/A</v>
          </cell>
          <cell r="K534" t="e">
            <v>#N/A</v>
          </cell>
          <cell r="L534" t="e">
            <v>#N/A</v>
          </cell>
          <cell r="M534" t="e">
            <v>#N/A</v>
          </cell>
          <cell r="N534" t="e">
            <v>#N/A</v>
          </cell>
          <cell r="O534" t="e">
            <v>#N/A</v>
          </cell>
          <cell r="P534">
            <v>15.47</v>
          </cell>
          <cell r="Q534">
            <v>1.356128</v>
          </cell>
          <cell r="R534" t="e">
            <v>#N/A</v>
          </cell>
        </row>
        <row r="535">
          <cell r="A535">
            <v>40746</v>
          </cell>
          <cell r="B535">
            <v>40746</v>
          </cell>
          <cell r="C535" t="str">
            <v>Past</v>
          </cell>
          <cell r="D535">
            <v>15.27</v>
          </cell>
          <cell r="E535" t="e">
            <v>#N/A</v>
          </cell>
          <cell r="F535" t="e">
            <v>#N/A</v>
          </cell>
          <cell r="G535" t="e">
            <v>#N/A</v>
          </cell>
          <cell r="H535" t="e">
            <v>#N/A</v>
          </cell>
          <cell r="I535" t="e">
            <v>#N/A</v>
          </cell>
          <cell r="J535" t="e">
            <v>#N/A</v>
          </cell>
          <cell r="K535" t="e">
            <v>#N/A</v>
          </cell>
          <cell r="L535" t="e">
            <v>#N/A</v>
          </cell>
          <cell r="M535" t="e">
            <v>#N/A</v>
          </cell>
          <cell r="N535" t="e">
            <v>#N/A</v>
          </cell>
          <cell r="O535" t="e">
            <v>#N/A</v>
          </cell>
          <cell r="P535">
            <v>15.27</v>
          </cell>
          <cell r="Q535">
            <v>1.5000300000000002</v>
          </cell>
          <cell r="R535" t="e">
            <v>#N/A</v>
          </cell>
        </row>
        <row r="536">
          <cell r="A536">
            <v>40749</v>
          </cell>
          <cell r="B536">
            <v>40749</v>
          </cell>
          <cell r="C536" t="str">
            <v>Past</v>
          </cell>
          <cell r="D536">
            <v>15.17</v>
          </cell>
          <cell r="E536" t="e">
            <v>#N/A</v>
          </cell>
          <cell r="F536" t="e">
            <v>#N/A</v>
          </cell>
          <cell r="G536" t="e">
            <v>#N/A</v>
          </cell>
          <cell r="H536" t="e">
            <v>#N/A</v>
          </cell>
          <cell r="I536" t="e">
            <v>#N/A</v>
          </cell>
          <cell r="J536" t="e">
            <v>#N/A</v>
          </cell>
          <cell r="K536" t="e">
            <v>#N/A</v>
          </cell>
          <cell r="L536" t="e">
            <v>#N/A</v>
          </cell>
          <cell r="M536" t="e">
            <v>#N/A</v>
          </cell>
          <cell r="N536" t="e">
            <v>#N/A</v>
          </cell>
          <cell r="O536" t="e">
            <v>#N/A</v>
          </cell>
          <cell r="P536">
            <v>15.17</v>
          </cell>
          <cell r="Q536">
            <v>1.7525819999999999</v>
          </cell>
          <cell r="R536" t="e">
            <v>#N/A</v>
          </cell>
        </row>
        <row r="537">
          <cell r="A537">
            <v>40750</v>
          </cell>
          <cell r="B537">
            <v>40750</v>
          </cell>
          <cell r="C537" t="str">
            <v>Past</v>
          </cell>
          <cell r="D537">
            <v>15.11</v>
          </cell>
          <cell r="E537" t="e">
            <v>#N/A</v>
          </cell>
          <cell r="F537" t="e">
            <v>#N/A</v>
          </cell>
          <cell r="G537" t="e">
            <v>#N/A</v>
          </cell>
          <cell r="H537" t="e">
            <v>#N/A</v>
          </cell>
          <cell r="I537" t="e">
            <v>#N/A</v>
          </cell>
          <cell r="J537" t="e">
            <v>#N/A</v>
          </cell>
          <cell r="K537" t="e">
            <v>#N/A</v>
          </cell>
          <cell r="L537" t="e">
            <v>#N/A</v>
          </cell>
          <cell r="M537" t="e">
            <v>#N/A</v>
          </cell>
          <cell r="N537" t="e">
            <v>#N/A</v>
          </cell>
          <cell r="O537" t="e">
            <v>#N/A</v>
          </cell>
          <cell r="P537">
            <v>15.11</v>
          </cell>
          <cell r="Q537">
            <v>0.94330799999999992</v>
          </cell>
          <cell r="R537" t="e">
            <v>#N/A</v>
          </cell>
        </row>
        <row r="538">
          <cell r="A538">
            <v>40751</v>
          </cell>
          <cell r="B538">
            <v>40751</v>
          </cell>
          <cell r="C538" t="str">
            <v>Past</v>
          </cell>
          <cell r="D538">
            <v>15.08</v>
          </cell>
          <cell r="E538" t="e">
            <v>#N/A</v>
          </cell>
          <cell r="F538" t="e">
            <v>#N/A</v>
          </cell>
          <cell r="G538" t="e">
            <v>#N/A</v>
          </cell>
          <cell r="H538" t="e">
            <v>#N/A</v>
          </cell>
          <cell r="I538" t="e">
            <v>#N/A</v>
          </cell>
          <cell r="J538" t="e">
            <v>#N/A</v>
          </cell>
          <cell r="K538" t="e">
            <v>#N/A</v>
          </cell>
          <cell r="L538" t="e">
            <v>#N/A</v>
          </cell>
          <cell r="M538" t="e">
            <v>#N/A</v>
          </cell>
          <cell r="N538" t="e">
            <v>#N/A</v>
          </cell>
          <cell r="O538" t="e">
            <v>#N/A</v>
          </cell>
          <cell r="P538">
            <v>15.08</v>
          </cell>
          <cell r="Q538">
            <v>1.8040179999999999</v>
          </cell>
          <cell r="R538" t="e">
            <v>#N/A</v>
          </cell>
        </row>
        <row r="539">
          <cell r="A539">
            <v>40752</v>
          </cell>
          <cell r="B539">
            <v>40752</v>
          </cell>
          <cell r="C539" t="str">
            <v>Past</v>
          </cell>
          <cell r="D539">
            <v>15.01</v>
          </cell>
          <cell r="E539" t="e">
            <v>#N/A</v>
          </cell>
          <cell r="F539" t="e">
            <v>#N/A</v>
          </cell>
          <cell r="G539" t="e">
            <v>#N/A</v>
          </cell>
          <cell r="H539" t="e">
            <v>#N/A</v>
          </cell>
          <cell r="I539" t="e">
            <v>#N/A</v>
          </cell>
          <cell r="J539" t="e">
            <v>#N/A</v>
          </cell>
          <cell r="K539" t="e">
            <v>#N/A</v>
          </cell>
          <cell r="L539" t="e">
            <v>#N/A</v>
          </cell>
          <cell r="M539" t="e">
            <v>#N/A</v>
          </cell>
          <cell r="N539" t="e">
            <v>#N/A</v>
          </cell>
          <cell r="O539" t="e">
            <v>#N/A</v>
          </cell>
          <cell r="P539">
            <v>15.01</v>
          </cell>
          <cell r="Q539">
            <v>1.6958300000000002</v>
          </cell>
          <cell r="R539" t="e">
            <v>#N/A</v>
          </cell>
        </row>
        <row r="540">
          <cell r="A540">
            <v>40753</v>
          </cell>
          <cell r="B540">
            <v>40753</v>
          </cell>
          <cell r="C540" t="str">
            <v>Past</v>
          </cell>
          <cell r="D540">
            <v>14.84</v>
          </cell>
          <cell r="E540" t="e">
            <v>#N/A</v>
          </cell>
          <cell r="F540" t="e">
            <v>#N/A</v>
          </cell>
          <cell r="G540" t="e">
            <v>#N/A</v>
          </cell>
          <cell r="H540" t="e">
            <v>#N/A</v>
          </cell>
          <cell r="I540" t="e">
            <v>#N/A</v>
          </cell>
          <cell r="J540" t="e">
            <v>#N/A</v>
          </cell>
          <cell r="K540" t="e">
            <v>#N/A</v>
          </cell>
          <cell r="L540" t="e">
            <v>#N/A</v>
          </cell>
          <cell r="M540" t="e">
            <v>#N/A</v>
          </cell>
          <cell r="N540" t="e">
            <v>#N/A</v>
          </cell>
          <cell r="O540" t="e">
            <v>#N/A</v>
          </cell>
          <cell r="P540">
            <v>14.84</v>
          </cell>
          <cell r="Q540">
            <v>2.0042</v>
          </cell>
          <cell r="R540" t="e">
            <v>#N/A</v>
          </cell>
        </row>
        <row r="541">
          <cell r="A541">
            <v>40756</v>
          </cell>
          <cell r="B541">
            <v>40756</v>
          </cell>
          <cell r="C541" t="str">
            <v>Past</v>
          </cell>
          <cell r="D541">
            <v>14.55</v>
          </cell>
          <cell r="E541" t="e">
            <v>#N/A</v>
          </cell>
          <cell r="F541" t="e">
            <v>#N/A</v>
          </cell>
          <cell r="G541" t="e">
            <v>#N/A</v>
          </cell>
          <cell r="H541" t="e">
            <v>#N/A</v>
          </cell>
          <cell r="I541" t="e">
            <v>#N/A</v>
          </cell>
          <cell r="J541" t="e">
            <v>#N/A</v>
          </cell>
          <cell r="K541" t="e">
            <v>#N/A</v>
          </cell>
          <cell r="L541" t="e">
            <v>#N/A</v>
          </cell>
          <cell r="M541" t="e">
            <v>#N/A</v>
          </cell>
          <cell r="N541" t="e">
            <v>#N/A</v>
          </cell>
          <cell r="O541" t="e">
            <v>#N/A</v>
          </cell>
          <cell r="P541">
            <v>14.55</v>
          </cell>
          <cell r="Q541">
            <v>5.4451649999999994</v>
          </cell>
          <cell r="R541" t="e">
            <v>#N/A</v>
          </cell>
        </row>
        <row r="542">
          <cell r="A542">
            <v>40757</v>
          </cell>
          <cell r="B542">
            <v>40757</v>
          </cell>
          <cell r="C542" t="str">
            <v>Past</v>
          </cell>
          <cell r="D542">
            <v>14.24</v>
          </cell>
          <cell r="E542" t="e">
            <v>#N/A</v>
          </cell>
          <cell r="F542" t="e">
            <v>#N/A</v>
          </cell>
          <cell r="G542" t="e">
            <v>#N/A</v>
          </cell>
          <cell r="H542" t="e">
            <v>#N/A</v>
          </cell>
          <cell r="I542" t="e">
            <v>#N/A</v>
          </cell>
          <cell r="J542" t="e">
            <v>#N/A</v>
          </cell>
          <cell r="K542" t="e">
            <v>#N/A</v>
          </cell>
          <cell r="L542" t="e">
            <v>#N/A</v>
          </cell>
          <cell r="M542" t="e">
            <v>#N/A</v>
          </cell>
          <cell r="N542" t="e">
            <v>#N/A</v>
          </cell>
          <cell r="O542" t="e">
            <v>#N/A</v>
          </cell>
          <cell r="P542">
            <v>14.24</v>
          </cell>
          <cell r="Q542">
            <v>4.5422519999999995</v>
          </cell>
          <cell r="R542" t="e">
            <v>#N/A</v>
          </cell>
        </row>
        <row r="543">
          <cell r="A543">
            <v>40758</v>
          </cell>
          <cell r="B543">
            <v>40758</v>
          </cell>
          <cell r="C543" t="str">
            <v>Past</v>
          </cell>
          <cell r="D543">
            <v>14.26</v>
          </cell>
          <cell r="E543" t="e">
            <v>#N/A</v>
          </cell>
          <cell r="F543" t="e">
            <v>#N/A</v>
          </cell>
          <cell r="G543" t="e">
            <v>#N/A</v>
          </cell>
          <cell r="H543" t="e">
            <v>#N/A</v>
          </cell>
          <cell r="I543" t="e">
            <v>#N/A</v>
          </cell>
          <cell r="J543" t="e">
            <v>#N/A</v>
          </cell>
          <cell r="K543" t="e">
            <v>#N/A</v>
          </cell>
          <cell r="L543" t="e">
            <v>#N/A</v>
          </cell>
          <cell r="M543" t="e">
            <v>#N/A</v>
          </cell>
          <cell r="N543" t="e">
            <v>#N/A</v>
          </cell>
          <cell r="O543" t="e">
            <v>#N/A</v>
          </cell>
          <cell r="P543">
            <v>14.26</v>
          </cell>
          <cell r="Q543">
            <v>3.8783000000000003</v>
          </cell>
          <cell r="R543" t="e">
            <v>#N/A</v>
          </cell>
        </row>
        <row r="544">
          <cell r="A544">
            <v>40759</v>
          </cell>
          <cell r="B544">
            <v>40759</v>
          </cell>
          <cell r="C544" t="str">
            <v>Past</v>
          </cell>
          <cell r="D544">
            <v>13.68</v>
          </cell>
          <cell r="E544" t="e">
            <v>#N/A</v>
          </cell>
          <cell r="F544" t="e">
            <v>#N/A</v>
          </cell>
          <cell r="G544" t="e">
            <v>#N/A</v>
          </cell>
          <cell r="H544" t="e">
            <v>#N/A</v>
          </cell>
          <cell r="I544" t="e">
            <v>#N/A</v>
          </cell>
          <cell r="J544" t="e">
            <v>#N/A</v>
          </cell>
          <cell r="K544" t="e">
            <v>#N/A</v>
          </cell>
          <cell r="L544" t="e">
            <v>#N/A</v>
          </cell>
          <cell r="M544" t="e">
            <v>#N/A</v>
          </cell>
          <cell r="N544" t="e">
            <v>#N/A</v>
          </cell>
          <cell r="O544" t="e">
            <v>#N/A</v>
          </cell>
          <cell r="P544">
            <v>13.68</v>
          </cell>
          <cell r="Q544">
            <v>3.3178739999999998</v>
          </cell>
          <cell r="R544" t="e">
            <v>#N/A</v>
          </cell>
        </row>
        <row r="545">
          <cell r="A545">
            <v>40760</v>
          </cell>
          <cell r="B545">
            <v>40760</v>
          </cell>
          <cell r="C545" t="str">
            <v>Past</v>
          </cell>
          <cell r="D545">
            <v>13.43</v>
          </cell>
          <cell r="E545" t="e">
            <v>#N/A</v>
          </cell>
          <cell r="F545" t="e">
            <v>#N/A</v>
          </cell>
          <cell r="G545" t="e">
            <v>#N/A</v>
          </cell>
          <cell r="H545" t="e">
            <v>#N/A</v>
          </cell>
          <cell r="I545" t="e">
            <v>#N/A</v>
          </cell>
          <cell r="J545" t="e">
            <v>#N/A</v>
          </cell>
          <cell r="K545" t="e">
            <v>#N/A</v>
          </cell>
          <cell r="L545" t="e">
            <v>#N/A</v>
          </cell>
          <cell r="M545" t="e">
            <v>#N/A</v>
          </cell>
          <cell r="N545" t="e">
            <v>#N/A</v>
          </cell>
          <cell r="O545" t="e">
            <v>#N/A</v>
          </cell>
          <cell r="P545">
            <v>13.43</v>
          </cell>
          <cell r="Q545">
            <v>10.9306</v>
          </cell>
          <cell r="R545" t="e">
            <v>#N/A</v>
          </cell>
        </row>
        <row r="546">
          <cell r="A546">
            <v>40763</v>
          </cell>
          <cell r="B546">
            <v>40763</v>
          </cell>
          <cell r="C546" t="str">
            <v>Past</v>
          </cell>
          <cell r="D546">
            <v>12.48</v>
          </cell>
          <cell r="E546" t="e">
            <v>#N/A</v>
          </cell>
          <cell r="F546" t="e">
            <v>#N/A</v>
          </cell>
          <cell r="G546" t="e">
            <v>#N/A</v>
          </cell>
          <cell r="H546" t="e">
            <v>#N/A</v>
          </cell>
          <cell r="I546" t="e">
            <v>#N/A</v>
          </cell>
          <cell r="J546" t="e">
            <v>#N/A</v>
          </cell>
          <cell r="K546" t="e">
            <v>#N/A</v>
          </cell>
          <cell r="L546" t="e">
            <v>#N/A</v>
          </cell>
          <cell r="M546" t="e">
            <v>#N/A</v>
          </cell>
          <cell r="N546" t="e">
            <v>#N/A</v>
          </cell>
          <cell r="O546" t="e">
            <v>#N/A</v>
          </cell>
          <cell r="P546">
            <v>12.48</v>
          </cell>
          <cell r="Q546">
            <v>5.4664239999999999</v>
          </cell>
          <cell r="R546" t="e">
            <v>#N/A</v>
          </cell>
        </row>
        <row r="547">
          <cell r="A547">
            <v>40764</v>
          </cell>
          <cell r="B547">
            <v>40764</v>
          </cell>
          <cell r="C547" t="str">
            <v>Past</v>
          </cell>
          <cell r="D547">
            <v>13.03</v>
          </cell>
          <cell r="E547" t="e">
            <v>#N/A</v>
          </cell>
          <cell r="F547" t="e">
            <v>#N/A</v>
          </cell>
          <cell r="G547" t="e">
            <v>#N/A</v>
          </cell>
          <cell r="H547" t="e">
            <v>#N/A</v>
          </cell>
          <cell r="I547" t="e">
            <v>#N/A</v>
          </cell>
          <cell r="J547" t="e">
            <v>#N/A</v>
          </cell>
          <cell r="K547" t="e">
            <v>#N/A</v>
          </cell>
          <cell r="L547" t="e">
            <v>#N/A</v>
          </cell>
          <cell r="M547" t="e">
            <v>#N/A</v>
          </cell>
          <cell r="N547" t="e">
            <v>#N/A</v>
          </cell>
          <cell r="O547" t="e">
            <v>#N/A</v>
          </cell>
          <cell r="P547">
            <v>13.03</v>
          </cell>
          <cell r="Q547">
            <v>10.383920000000002</v>
          </cell>
          <cell r="R547" t="e">
            <v>#N/A</v>
          </cell>
        </row>
        <row r="548">
          <cell r="A548">
            <v>40765</v>
          </cell>
          <cell r="B548">
            <v>40765</v>
          </cell>
          <cell r="C548" t="str">
            <v>Past</v>
          </cell>
          <cell r="D548">
            <v>12.99</v>
          </cell>
          <cell r="E548" t="e">
            <v>#N/A</v>
          </cell>
          <cell r="F548" t="e">
            <v>#N/A</v>
          </cell>
          <cell r="G548" t="e">
            <v>#N/A</v>
          </cell>
          <cell r="H548" t="e">
            <v>#N/A</v>
          </cell>
          <cell r="I548" t="e">
            <v>#N/A</v>
          </cell>
          <cell r="J548" t="e">
            <v>#N/A</v>
          </cell>
          <cell r="K548" t="e">
            <v>#N/A</v>
          </cell>
          <cell r="L548" t="e">
            <v>#N/A</v>
          </cell>
          <cell r="M548" t="e">
            <v>#N/A</v>
          </cell>
          <cell r="N548" t="e">
            <v>#N/A</v>
          </cell>
          <cell r="O548" t="e">
            <v>#N/A</v>
          </cell>
          <cell r="P548">
            <v>12.99</v>
          </cell>
          <cell r="Q548">
            <v>6.6745519999999994</v>
          </cell>
          <cell r="R548" t="e">
            <v>#N/A</v>
          </cell>
        </row>
        <row r="549">
          <cell r="A549">
            <v>40766</v>
          </cell>
          <cell r="B549">
            <v>40766</v>
          </cell>
          <cell r="C549" t="str">
            <v>Past</v>
          </cell>
          <cell r="D549">
            <v>13.8</v>
          </cell>
          <cell r="E549" t="e">
            <v>#N/A</v>
          </cell>
          <cell r="F549" t="e">
            <v>#N/A</v>
          </cell>
          <cell r="G549" t="e">
            <v>#N/A</v>
          </cell>
          <cell r="H549" t="e">
            <v>#N/A</v>
          </cell>
          <cell r="I549" t="e">
            <v>#N/A</v>
          </cell>
          <cell r="J549" t="e">
            <v>#N/A</v>
          </cell>
          <cell r="K549" t="e">
            <v>#N/A</v>
          </cell>
          <cell r="L549" t="e">
            <v>#N/A</v>
          </cell>
          <cell r="M549" t="e">
            <v>#N/A</v>
          </cell>
          <cell r="N549" t="e">
            <v>#N/A</v>
          </cell>
          <cell r="O549" t="e">
            <v>#N/A</v>
          </cell>
          <cell r="P549">
            <v>13.8</v>
          </cell>
          <cell r="Q549">
            <v>5.9046940000000001</v>
          </cell>
          <cell r="R549" t="e">
            <v>#N/A</v>
          </cell>
        </row>
        <row r="550">
          <cell r="A550">
            <v>40767</v>
          </cell>
          <cell r="B550">
            <v>40767</v>
          </cell>
          <cell r="C550" t="str">
            <v>Past</v>
          </cell>
          <cell r="D550">
            <v>13.74</v>
          </cell>
          <cell r="E550" t="e">
            <v>#N/A</v>
          </cell>
          <cell r="F550" t="e">
            <v>#N/A</v>
          </cell>
          <cell r="G550" t="e">
            <v>#N/A</v>
          </cell>
          <cell r="H550" t="e">
            <v>#N/A</v>
          </cell>
          <cell r="I550" t="e">
            <v>#N/A</v>
          </cell>
          <cell r="J550" t="e">
            <v>#N/A</v>
          </cell>
          <cell r="K550" t="e">
            <v>#N/A</v>
          </cell>
          <cell r="L550" t="e">
            <v>#N/A</v>
          </cell>
          <cell r="M550" t="e">
            <v>#N/A</v>
          </cell>
          <cell r="N550" t="e">
            <v>#N/A</v>
          </cell>
          <cell r="O550" t="e">
            <v>#N/A</v>
          </cell>
          <cell r="P550">
            <v>13.74</v>
          </cell>
          <cell r="Q550">
            <v>3.7796319999999999</v>
          </cell>
          <cell r="R550" t="e">
            <v>#N/A</v>
          </cell>
        </row>
        <row r="551">
          <cell r="A551">
            <v>40770</v>
          </cell>
          <cell r="B551">
            <v>40770</v>
          </cell>
          <cell r="C551" t="str">
            <v>Past</v>
          </cell>
          <cell r="D551">
            <v>14.3</v>
          </cell>
          <cell r="E551" t="e">
            <v>#N/A</v>
          </cell>
          <cell r="F551" t="e">
            <v>#N/A</v>
          </cell>
          <cell r="G551" t="e">
            <v>#N/A</v>
          </cell>
          <cell r="H551" t="e">
            <v>#N/A</v>
          </cell>
          <cell r="I551" t="e">
            <v>#N/A</v>
          </cell>
          <cell r="J551" t="e">
            <v>#N/A</v>
          </cell>
          <cell r="K551" t="e">
            <v>#N/A</v>
          </cell>
          <cell r="L551" t="e">
            <v>#N/A</v>
          </cell>
          <cell r="M551" t="e">
            <v>#N/A</v>
          </cell>
          <cell r="N551" t="e">
            <v>#N/A</v>
          </cell>
          <cell r="O551" t="e">
            <v>#N/A</v>
          </cell>
          <cell r="P551">
            <v>14.3</v>
          </cell>
          <cell r="Q551">
            <v>3.0225</v>
          </cell>
          <cell r="R551" t="e">
            <v>#N/A</v>
          </cell>
        </row>
        <row r="552">
          <cell r="A552">
            <v>40771</v>
          </cell>
          <cell r="B552">
            <v>40771</v>
          </cell>
          <cell r="C552" t="str">
            <v>Past</v>
          </cell>
          <cell r="D552">
            <v>14.63</v>
          </cell>
          <cell r="E552" t="e">
            <v>#N/A</v>
          </cell>
          <cell r="F552" t="e">
            <v>#N/A</v>
          </cell>
          <cell r="G552" t="e">
            <v>#N/A</v>
          </cell>
          <cell r="H552" t="e">
            <v>#N/A</v>
          </cell>
          <cell r="I552" t="e">
            <v>#N/A</v>
          </cell>
          <cell r="J552" t="e">
            <v>#N/A</v>
          </cell>
          <cell r="K552" t="e">
            <v>#N/A</v>
          </cell>
          <cell r="L552" t="e">
            <v>#N/A</v>
          </cell>
          <cell r="M552" t="e">
            <v>#N/A</v>
          </cell>
          <cell r="N552" t="e">
            <v>#N/A</v>
          </cell>
          <cell r="O552" t="e">
            <v>#N/A</v>
          </cell>
          <cell r="P552">
            <v>14.63</v>
          </cell>
          <cell r="Q552">
            <v>11.01886</v>
          </cell>
          <cell r="R552" t="e">
            <v>#N/A</v>
          </cell>
        </row>
        <row r="553">
          <cell r="A553">
            <v>40772</v>
          </cell>
          <cell r="B553">
            <v>40772</v>
          </cell>
          <cell r="C553" t="str">
            <v>Past</v>
          </cell>
          <cell r="D553">
            <v>14.49</v>
          </cell>
          <cell r="E553" t="e">
            <v>#N/A</v>
          </cell>
          <cell r="F553" t="e">
            <v>#N/A</v>
          </cell>
          <cell r="G553" t="e">
            <v>#N/A</v>
          </cell>
          <cell r="H553" t="e">
            <v>#N/A</v>
          </cell>
          <cell r="I553" t="e">
            <v>#N/A</v>
          </cell>
          <cell r="J553" t="e">
            <v>#N/A</v>
          </cell>
          <cell r="K553" t="e">
            <v>#N/A</v>
          </cell>
          <cell r="L553" t="e">
            <v>#N/A</v>
          </cell>
          <cell r="M553" t="e">
            <v>#N/A</v>
          </cell>
          <cell r="N553" t="e">
            <v>#N/A</v>
          </cell>
          <cell r="O553" t="e">
            <v>#N/A</v>
          </cell>
          <cell r="P553">
            <v>14.49</v>
          </cell>
          <cell r="Q553">
            <v>3.505992</v>
          </cell>
          <cell r="R553" t="e">
            <v>#N/A</v>
          </cell>
        </row>
        <row r="554">
          <cell r="A554">
            <v>40773</v>
          </cell>
          <cell r="B554">
            <v>40773</v>
          </cell>
          <cell r="C554" t="str">
            <v>Past</v>
          </cell>
          <cell r="D554">
            <v>14.3</v>
          </cell>
          <cell r="E554" t="e">
            <v>#N/A</v>
          </cell>
          <cell r="F554" t="e">
            <v>#N/A</v>
          </cell>
          <cell r="G554" t="e">
            <v>#N/A</v>
          </cell>
          <cell r="H554" t="e">
            <v>#N/A</v>
          </cell>
          <cell r="I554" t="e">
            <v>#N/A</v>
          </cell>
          <cell r="J554" t="e">
            <v>#N/A</v>
          </cell>
          <cell r="K554" t="e">
            <v>#N/A</v>
          </cell>
          <cell r="L554" t="e">
            <v>#N/A</v>
          </cell>
          <cell r="M554" t="e">
            <v>#N/A</v>
          </cell>
          <cell r="N554" t="e">
            <v>#N/A</v>
          </cell>
          <cell r="O554" t="e">
            <v>#N/A</v>
          </cell>
          <cell r="P554">
            <v>14.3</v>
          </cell>
          <cell r="Q554">
            <v>4.7268319999999999</v>
          </cell>
          <cell r="R554" t="e">
            <v>#N/A</v>
          </cell>
        </row>
        <row r="555">
          <cell r="A555">
            <v>40774</v>
          </cell>
          <cell r="B555">
            <v>40774</v>
          </cell>
          <cell r="C555" t="str">
            <v>Past</v>
          </cell>
          <cell r="D555">
            <v>14.46</v>
          </cell>
          <cell r="E555" t="e">
            <v>#N/A</v>
          </cell>
          <cell r="F555" t="e">
            <v>#N/A</v>
          </cell>
          <cell r="G555" t="e">
            <v>#N/A</v>
          </cell>
          <cell r="H555" t="e">
            <v>#N/A</v>
          </cell>
          <cell r="I555" t="e">
            <v>#N/A</v>
          </cell>
          <cell r="J555" t="e">
            <v>#N/A</v>
          </cell>
          <cell r="K555" t="e">
            <v>#N/A</v>
          </cell>
          <cell r="L555" t="e">
            <v>#N/A</v>
          </cell>
          <cell r="M555" t="e">
            <v>#N/A</v>
          </cell>
          <cell r="N555" t="e">
            <v>#N/A</v>
          </cell>
          <cell r="O555" t="e">
            <v>#N/A</v>
          </cell>
          <cell r="P555">
            <v>14.46</v>
          </cell>
          <cell r="Q555">
            <v>7.8624469999999995</v>
          </cell>
          <cell r="R555" t="e">
            <v>#N/A</v>
          </cell>
        </row>
        <row r="556">
          <cell r="A556">
            <v>40777</v>
          </cell>
          <cell r="B556">
            <v>40777</v>
          </cell>
          <cell r="C556" t="str">
            <v>Past</v>
          </cell>
          <cell r="D556">
            <v>14.22</v>
          </cell>
          <cell r="E556" t="e">
            <v>#N/A</v>
          </cell>
          <cell r="F556" t="e">
            <v>#N/A</v>
          </cell>
          <cell r="G556" t="e">
            <v>#N/A</v>
          </cell>
          <cell r="H556" t="e">
            <v>#N/A</v>
          </cell>
          <cell r="I556" t="e">
            <v>#N/A</v>
          </cell>
          <cell r="J556" t="e">
            <v>#N/A</v>
          </cell>
          <cell r="K556" t="e">
            <v>#N/A</v>
          </cell>
          <cell r="L556" t="e">
            <v>#N/A</v>
          </cell>
          <cell r="M556" t="e">
            <v>#N/A</v>
          </cell>
          <cell r="N556" t="e">
            <v>#N/A</v>
          </cell>
          <cell r="O556" t="e">
            <v>#N/A</v>
          </cell>
          <cell r="P556">
            <v>14.22</v>
          </cell>
          <cell r="Q556">
            <v>3.313774</v>
          </cell>
          <cell r="R556" t="e">
            <v>#N/A</v>
          </cell>
        </row>
        <row r="557">
          <cell r="A557">
            <v>40778</v>
          </cell>
          <cell r="B557">
            <v>40778</v>
          </cell>
          <cell r="C557" t="str">
            <v>Past</v>
          </cell>
          <cell r="D557">
            <v>14.34</v>
          </cell>
          <cell r="E557" t="e">
            <v>#N/A</v>
          </cell>
          <cell r="F557" t="e">
            <v>#N/A</v>
          </cell>
          <cell r="G557" t="e">
            <v>#N/A</v>
          </cell>
          <cell r="H557" t="e">
            <v>#N/A</v>
          </cell>
          <cell r="I557" t="e">
            <v>#N/A</v>
          </cell>
          <cell r="J557" t="e">
            <v>#N/A</v>
          </cell>
          <cell r="K557" t="e">
            <v>#N/A</v>
          </cell>
          <cell r="L557" t="e">
            <v>#N/A</v>
          </cell>
          <cell r="M557" t="e">
            <v>#N/A</v>
          </cell>
          <cell r="N557" t="e">
            <v>#N/A</v>
          </cell>
          <cell r="O557" t="e">
            <v>#N/A</v>
          </cell>
          <cell r="P557">
            <v>14.34</v>
          </cell>
          <cell r="Q557">
            <v>5.3917320000000002</v>
          </cell>
          <cell r="R557" t="e">
            <v>#N/A</v>
          </cell>
        </row>
        <row r="558">
          <cell r="A558">
            <v>40779</v>
          </cell>
          <cell r="B558">
            <v>40779</v>
          </cell>
          <cell r="C558" t="str">
            <v>Past</v>
          </cell>
          <cell r="D558">
            <v>14.6</v>
          </cell>
          <cell r="E558" t="e">
            <v>#N/A</v>
          </cell>
          <cell r="F558" t="e">
            <v>#N/A</v>
          </cell>
          <cell r="G558" t="e">
            <v>#N/A</v>
          </cell>
          <cell r="H558" t="e">
            <v>#N/A</v>
          </cell>
          <cell r="I558" t="e">
            <v>#N/A</v>
          </cell>
          <cell r="J558" t="e">
            <v>#N/A</v>
          </cell>
          <cell r="K558" t="e">
            <v>#N/A</v>
          </cell>
          <cell r="L558" t="e">
            <v>#N/A</v>
          </cell>
          <cell r="M558" t="e">
            <v>#N/A</v>
          </cell>
          <cell r="N558" t="e">
            <v>#N/A</v>
          </cell>
          <cell r="O558">
            <v>0</v>
          </cell>
          <cell r="P558">
            <v>14.6</v>
          </cell>
          <cell r="Q558">
            <v>2.3300529999999999</v>
          </cell>
          <cell r="R558" t="e">
            <v>#N/A</v>
          </cell>
        </row>
        <row r="559">
          <cell r="A559">
            <v>40780</v>
          </cell>
          <cell r="B559">
            <v>40780</v>
          </cell>
          <cell r="C559" t="str">
            <v>Current</v>
          </cell>
          <cell r="D559">
            <v>14.35</v>
          </cell>
          <cell r="E559">
            <v>14.35</v>
          </cell>
          <cell r="F559">
            <v>14.35</v>
          </cell>
          <cell r="G559">
            <v>14.35</v>
          </cell>
          <cell r="H559">
            <v>14.35</v>
          </cell>
          <cell r="I559">
            <v>14.35</v>
          </cell>
          <cell r="J559" t="e">
            <v>#N/A</v>
          </cell>
          <cell r="K559" t="e">
            <v>#N/A</v>
          </cell>
          <cell r="L559" t="e">
            <v>#N/A</v>
          </cell>
          <cell r="M559" t="e">
            <v>#N/A</v>
          </cell>
          <cell r="N559" t="e">
            <v>#N/A</v>
          </cell>
          <cell r="O559">
            <v>55.094300000000004</v>
          </cell>
          <cell r="P559">
            <v>14.35</v>
          </cell>
          <cell r="Q559">
            <v>2.5751249999999999</v>
          </cell>
          <cell r="R559" t="e">
            <v>#N/A</v>
          </cell>
        </row>
        <row r="560">
          <cell r="A560">
            <v>40781</v>
          </cell>
          <cell r="B560">
            <v>40781</v>
          </cell>
          <cell r="C560" t="str">
            <v>Future</v>
          </cell>
          <cell r="D560" t="e">
            <v>#N/A</v>
          </cell>
          <cell r="E560">
            <v>14.294594594594594</v>
          </cell>
          <cell r="F560">
            <v>14.362162162162162</v>
          </cell>
          <cell r="G560">
            <v>14.348648648648648</v>
          </cell>
          <cell r="H560">
            <v>14.348648648648648</v>
          </cell>
          <cell r="I560" t="e">
            <v>#N/A</v>
          </cell>
          <cell r="J560" t="e">
            <v>#N/A</v>
          </cell>
          <cell r="K560" t="e">
            <v>#N/A</v>
          </cell>
          <cell r="L560" t="e">
            <v>#N/A</v>
          </cell>
          <cell r="M560" t="e">
            <v>#N/A</v>
          </cell>
          <cell r="N560" t="e">
            <v>#N/A</v>
          </cell>
          <cell r="O560" t="e">
            <v>#N/A</v>
          </cell>
          <cell r="P560">
            <v>14.52</v>
          </cell>
          <cell r="Q560">
            <v>0</v>
          </cell>
          <cell r="R560" t="e">
            <v>#N/A</v>
          </cell>
        </row>
        <row r="561">
          <cell r="A561">
            <v>40784</v>
          </cell>
          <cell r="B561">
            <v>40784</v>
          </cell>
          <cell r="C561" t="str">
            <v>Future</v>
          </cell>
          <cell r="D561" t="e">
            <v>#N/A</v>
          </cell>
          <cell r="E561">
            <v>14.239189189189188</v>
          </cell>
          <cell r="F561">
            <v>14.374324324324325</v>
          </cell>
          <cell r="G561">
            <v>14.347297297297297</v>
          </cell>
          <cell r="H561">
            <v>14.347297297297297</v>
          </cell>
          <cell r="I561" t="e">
            <v>#N/A</v>
          </cell>
          <cell r="J561" t="e">
            <v>#N/A</v>
          </cell>
          <cell r="K561" t="e">
            <v>#N/A</v>
          </cell>
          <cell r="L561" t="e">
            <v>#N/A</v>
          </cell>
          <cell r="M561" t="e">
            <v>#N/A</v>
          </cell>
          <cell r="N561" t="e">
            <v>#N/A</v>
          </cell>
          <cell r="O561" t="e">
            <v>#N/A</v>
          </cell>
          <cell r="P561">
            <v>14.52</v>
          </cell>
          <cell r="Q561" t="str">
            <v/>
          </cell>
          <cell r="R561" t="e">
            <v>#N/A</v>
          </cell>
        </row>
        <row r="562">
          <cell r="A562">
            <v>40785</v>
          </cell>
          <cell r="B562">
            <v>40785</v>
          </cell>
          <cell r="C562" t="str">
            <v>Future</v>
          </cell>
          <cell r="D562" t="e">
            <v>#N/A</v>
          </cell>
          <cell r="E562">
            <v>14.183783783783783</v>
          </cell>
          <cell r="F562">
            <v>14.386486486486488</v>
          </cell>
          <cell r="G562">
            <v>14.345945945945946</v>
          </cell>
          <cell r="H562">
            <v>14.345945945945946</v>
          </cell>
          <cell r="I562" t="e">
            <v>#N/A</v>
          </cell>
          <cell r="J562" t="e">
            <v>#N/A</v>
          </cell>
          <cell r="K562" t="e">
            <v>#N/A</v>
          </cell>
          <cell r="L562" t="e">
            <v>#N/A</v>
          </cell>
          <cell r="M562" t="e">
            <v>#N/A</v>
          </cell>
          <cell r="N562" t="e">
            <v>#N/A</v>
          </cell>
          <cell r="O562" t="e">
            <v>#N/A</v>
          </cell>
          <cell r="P562">
            <v>14.52</v>
          </cell>
          <cell r="Q562" t="str">
            <v/>
          </cell>
          <cell r="R562" t="e">
            <v>#N/A</v>
          </cell>
        </row>
        <row r="563">
          <cell r="A563">
            <v>40786</v>
          </cell>
          <cell r="B563">
            <v>40786</v>
          </cell>
          <cell r="C563" t="str">
            <v>Future</v>
          </cell>
          <cell r="D563" t="e">
            <v>#N/A</v>
          </cell>
          <cell r="E563">
            <v>14.128378378378377</v>
          </cell>
          <cell r="F563">
            <v>14.398648648648651</v>
          </cell>
          <cell r="G563">
            <v>14.344594594594595</v>
          </cell>
          <cell r="H563">
            <v>14.344594594594595</v>
          </cell>
          <cell r="I563" t="e">
            <v>#N/A</v>
          </cell>
          <cell r="J563" t="e">
            <v>#N/A</v>
          </cell>
          <cell r="K563" t="e">
            <v>#N/A</v>
          </cell>
          <cell r="L563" t="e">
            <v>#N/A</v>
          </cell>
          <cell r="M563" t="e">
            <v>#N/A</v>
          </cell>
          <cell r="N563" t="e">
            <v>#N/A</v>
          </cell>
          <cell r="O563" t="e">
            <v>#N/A</v>
          </cell>
          <cell r="P563">
            <v>14.52</v>
          </cell>
          <cell r="Q563" t="str">
            <v/>
          </cell>
          <cell r="R563" t="e">
            <v>#N/A</v>
          </cell>
        </row>
        <row r="564">
          <cell r="A564">
            <v>40787</v>
          </cell>
          <cell r="B564">
            <v>40787</v>
          </cell>
          <cell r="C564" t="str">
            <v>Future</v>
          </cell>
          <cell r="D564" t="e">
            <v>#N/A</v>
          </cell>
          <cell r="E564">
            <v>14.072972972972972</v>
          </cell>
          <cell r="F564">
            <v>14.410810810810814</v>
          </cell>
          <cell r="G564">
            <v>14.343243243243244</v>
          </cell>
          <cell r="H564">
            <v>14.343243243243244</v>
          </cell>
          <cell r="I564" t="e">
            <v>#N/A</v>
          </cell>
          <cell r="J564" t="e">
            <v>#N/A</v>
          </cell>
          <cell r="K564" t="e">
            <v>#N/A</v>
          </cell>
          <cell r="L564" t="e">
            <v>#N/A</v>
          </cell>
          <cell r="M564" t="e">
            <v>#N/A</v>
          </cell>
          <cell r="N564" t="e">
            <v>#N/A</v>
          </cell>
          <cell r="O564" t="e">
            <v>#N/A</v>
          </cell>
          <cell r="P564">
            <v>14.52</v>
          </cell>
          <cell r="Q564" t="str">
            <v/>
          </cell>
          <cell r="R564" t="e">
            <v>#N/A</v>
          </cell>
        </row>
        <row r="565">
          <cell r="A565">
            <v>40788</v>
          </cell>
          <cell r="B565">
            <v>40788</v>
          </cell>
          <cell r="C565" t="str">
            <v>Future</v>
          </cell>
          <cell r="D565" t="e">
            <v>#N/A</v>
          </cell>
          <cell r="E565">
            <v>14.017567567567566</v>
          </cell>
          <cell r="F565">
            <v>14.422972972972977</v>
          </cell>
          <cell r="G565">
            <v>14.341891891891892</v>
          </cell>
          <cell r="H565">
            <v>14.341891891891892</v>
          </cell>
          <cell r="I565" t="e">
            <v>#N/A</v>
          </cell>
          <cell r="J565" t="e">
            <v>#N/A</v>
          </cell>
          <cell r="K565" t="e">
            <v>#N/A</v>
          </cell>
          <cell r="L565" t="e">
            <v>#N/A</v>
          </cell>
          <cell r="M565" t="e">
            <v>#N/A</v>
          </cell>
          <cell r="N565" t="e">
            <v>#N/A</v>
          </cell>
          <cell r="O565" t="e">
            <v>#N/A</v>
          </cell>
          <cell r="P565">
            <v>14.52</v>
          </cell>
          <cell r="Q565" t="str">
            <v/>
          </cell>
          <cell r="R565" t="e">
            <v>#N/A</v>
          </cell>
        </row>
        <row r="566">
          <cell r="A566">
            <v>40792</v>
          </cell>
          <cell r="B566">
            <v>40792</v>
          </cell>
          <cell r="C566" t="str">
            <v>Future</v>
          </cell>
          <cell r="D566" t="e">
            <v>#N/A</v>
          </cell>
          <cell r="E566">
            <v>13.96216216216216</v>
          </cell>
          <cell r="F566">
            <v>14.435135135135139</v>
          </cell>
          <cell r="G566">
            <v>14.340540540540541</v>
          </cell>
          <cell r="H566">
            <v>14.340540540540541</v>
          </cell>
          <cell r="I566" t="e">
            <v>#N/A</v>
          </cell>
          <cell r="J566" t="e">
            <v>#N/A</v>
          </cell>
          <cell r="K566" t="e">
            <v>#N/A</v>
          </cell>
          <cell r="L566" t="e">
            <v>#N/A</v>
          </cell>
          <cell r="M566" t="e">
            <v>#N/A</v>
          </cell>
          <cell r="N566" t="e">
            <v>#N/A</v>
          </cell>
          <cell r="O566" t="e">
            <v>#N/A</v>
          </cell>
          <cell r="P566">
            <v>14.52</v>
          </cell>
          <cell r="Q566" t="str">
            <v/>
          </cell>
          <cell r="R566" t="e">
            <v>#N/A</v>
          </cell>
        </row>
        <row r="567">
          <cell r="A567">
            <v>40793</v>
          </cell>
          <cell r="B567">
            <v>40793</v>
          </cell>
          <cell r="C567" t="str">
            <v>Future</v>
          </cell>
          <cell r="D567" t="e">
            <v>#N/A</v>
          </cell>
          <cell r="E567">
            <v>13.906756756756755</v>
          </cell>
          <cell r="F567">
            <v>14.447297297297302</v>
          </cell>
          <cell r="G567">
            <v>14.33918918918919</v>
          </cell>
          <cell r="H567">
            <v>14.33918918918919</v>
          </cell>
          <cell r="I567" t="e">
            <v>#N/A</v>
          </cell>
          <cell r="J567" t="e">
            <v>#N/A</v>
          </cell>
          <cell r="K567" t="e">
            <v>#N/A</v>
          </cell>
          <cell r="L567" t="e">
            <v>#N/A</v>
          </cell>
          <cell r="M567" t="e">
            <v>#N/A</v>
          </cell>
          <cell r="N567" t="e">
            <v>#N/A</v>
          </cell>
          <cell r="O567" t="e">
            <v>#N/A</v>
          </cell>
          <cell r="P567">
            <v>14.52</v>
          </cell>
          <cell r="Q567" t="str">
            <v/>
          </cell>
          <cell r="R567" t="e">
            <v>#N/A</v>
          </cell>
        </row>
        <row r="568">
          <cell r="A568">
            <v>40794</v>
          </cell>
          <cell r="B568">
            <v>40794</v>
          </cell>
          <cell r="C568" t="str">
            <v>Future</v>
          </cell>
          <cell r="D568" t="e">
            <v>#N/A</v>
          </cell>
          <cell r="E568">
            <v>13.851351351351349</v>
          </cell>
          <cell r="F568">
            <v>14.459459459459465</v>
          </cell>
          <cell r="G568">
            <v>14.337837837837839</v>
          </cell>
          <cell r="H568">
            <v>14.337837837837839</v>
          </cell>
          <cell r="I568" t="e">
            <v>#N/A</v>
          </cell>
          <cell r="J568" t="e">
            <v>#N/A</v>
          </cell>
          <cell r="K568" t="e">
            <v>#N/A</v>
          </cell>
          <cell r="L568" t="e">
            <v>#N/A</v>
          </cell>
          <cell r="M568" t="e">
            <v>#N/A</v>
          </cell>
          <cell r="N568" t="e">
            <v>#N/A</v>
          </cell>
          <cell r="O568" t="e">
            <v>#N/A</v>
          </cell>
          <cell r="P568">
            <v>14.52</v>
          </cell>
          <cell r="Q568" t="str">
            <v/>
          </cell>
          <cell r="R568" t="e">
            <v>#N/A</v>
          </cell>
        </row>
        <row r="569">
          <cell r="A569">
            <v>40795</v>
          </cell>
          <cell r="B569">
            <v>40795</v>
          </cell>
          <cell r="C569" t="str">
            <v>Future</v>
          </cell>
          <cell r="D569" t="e">
            <v>#N/A</v>
          </cell>
          <cell r="E569">
            <v>13.795945945945943</v>
          </cell>
          <cell r="F569">
            <v>14.471621621621628</v>
          </cell>
          <cell r="G569">
            <v>14.336486486486487</v>
          </cell>
          <cell r="H569">
            <v>14.336486486486487</v>
          </cell>
          <cell r="I569" t="e">
            <v>#N/A</v>
          </cell>
          <cell r="J569" t="e">
            <v>#N/A</v>
          </cell>
          <cell r="K569" t="e">
            <v>#N/A</v>
          </cell>
          <cell r="L569" t="e">
            <v>#N/A</v>
          </cell>
          <cell r="M569" t="e">
            <v>#N/A</v>
          </cell>
          <cell r="N569" t="e">
            <v>#N/A</v>
          </cell>
          <cell r="O569" t="e">
            <v>#N/A</v>
          </cell>
          <cell r="P569">
            <v>14.52</v>
          </cell>
          <cell r="Q569" t="str">
            <v/>
          </cell>
          <cell r="R569" t="e">
            <v>#N/A</v>
          </cell>
        </row>
        <row r="570">
          <cell r="A570">
            <v>40798</v>
          </cell>
          <cell r="B570">
            <v>40798</v>
          </cell>
          <cell r="C570" t="str">
            <v>Future</v>
          </cell>
          <cell r="D570" t="e">
            <v>#N/A</v>
          </cell>
          <cell r="E570">
            <v>13.740540540540538</v>
          </cell>
          <cell r="F570">
            <v>14.483783783783791</v>
          </cell>
          <cell r="G570">
            <v>14.335135135135136</v>
          </cell>
          <cell r="H570">
            <v>14.335135135135136</v>
          </cell>
          <cell r="I570" t="e">
            <v>#N/A</v>
          </cell>
          <cell r="J570" t="e">
            <v>#N/A</v>
          </cell>
          <cell r="K570" t="e">
            <v>#N/A</v>
          </cell>
          <cell r="L570" t="e">
            <v>#N/A</v>
          </cell>
          <cell r="M570" t="e">
            <v>#N/A</v>
          </cell>
          <cell r="N570" t="e">
            <v>#N/A</v>
          </cell>
          <cell r="O570" t="e">
            <v>#N/A</v>
          </cell>
          <cell r="P570">
            <v>14.52</v>
          </cell>
          <cell r="Q570" t="str">
            <v/>
          </cell>
          <cell r="R570" t="e">
            <v>#N/A</v>
          </cell>
        </row>
        <row r="571">
          <cell r="A571">
            <v>40799</v>
          </cell>
          <cell r="B571">
            <v>40799</v>
          </cell>
          <cell r="C571" t="str">
            <v>Future</v>
          </cell>
          <cell r="D571" t="e">
            <v>#N/A</v>
          </cell>
          <cell r="E571">
            <v>13.685135135135132</v>
          </cell>
          <cell r="F571">
            <v>14.495945945945953</v>
          </cell>
          <cell r="G571">
            <v>14.333783783783785</v>
          </cell>
          <cell r="H571">
            <v>14.333783783783785</v>
          </cell>
          <cell r="I571" t="e">
            <v>#N/A</v>
          </cell>
          <cell r="J571" t="e">
            <v>#N/A</v>
          </cell>
          <cell r="K571" t="e">
            <v>#N/A</v>
          </cell>
          <cell r="L571" t="e">
            <v>#N/A</v>
          </cell>
          <cell r="M571" t="e">
            <v>#N/A</v>
          </cell>
          <cell r="N571" t="e">
            <v>#N/A</v>
          </cell>
          <cell r="O571" t="e">
            <v>#N/A</v>
          </cell>
          <cell r="P571">
            <v>14.52</v>
          </cell>
          <cell r="Q571" t="str">
            <v/>
          </cell>
          <cell r="R571" t="e">
            <v>#N/A</v>
          </cell>
        </row>
        <row r="572">
          <cell r="A572">
            <v>40800</v>
          </cell>
          <cell r="B572">
            <v>40800</v>
          </cell>
          <cell r="C572" t="str">
            <v>Future</v>
          </cell>
          <cell r="D572" t="e">
            <v>#N/A</v>
          </cell>
          <cell r="E572">
            <v>13.629729729729727</v>
          </cell>
          <cell r="F572">
            <v>14.508108108108116</v>
          </cell>
          <cell r="G572">
            <v>14.332432432432434</v>
          </cell>
          <cell r="H572">
            <v>14.332432432432434</v>
          </cell>
          <cell r="I572" t="e">
            <v>#N/A</v>
          </cell>
          <cell r="J572" t="e">
            <v>#N/A</v>
          </cell>
          <cell r="K572" t="e">
            <v>#N/A</v>
          </cell>
          <cell r="L572" t="e">
            <v>#N/A</v>
          </cell>
          <cell r="M572" t="e">
            <v>#N/A</v>
          </cell>
          <cell r="N572" t="e">
            <v>#N/A</v>
          </cell>
          <cell r="O572" t="e">
            <v>#N/A</v>
          </cell>
          <cell r="P572">
            <v>14.52</v>
          </cell>
          <cell r="Q572" t="str">
            <v/>
          </cell>
          <cell r="R572" t="e">
            <v>#N/A</v>
          </cell>
        </row>
        <row r="573">
          <cell r="A573">
            <v>40801</v>
          </cell>
          <cell r="B573">
            <v>40801</v>
          </cell>
          <cell r="C573" t="str">
            <v>Future</v>
          </cell>
          <cell r="D573" t="e">
            <v>#N/A</v>
          </cell>
          <cell r="E573">
            <v>13.574324324324321</v>
          </cell>
          <cell r="F573">
            <v>14.520270270270279</v>
          </cell>
          <cell r="G573">
            <v>14.331081081081082</v>
          </cell>
          <cell r="H573">
            <v>14.331081081081082</v>
          </cell>
          <cell r="I573" t="e">
            <v>#N/A</v>
          </cell>
          <cell r="J573" t="e">
            <v>#N/A</v>
          </cell>
          <cell r="K573" t="e">
            <v>#N/A</v>
          </cell>
          <cell r="L573" t="e">
            <v>#N/A</v>
          </cell>
          <cell r="M573" t="e">
            <v>#N/A</v>
          </cell>
          <cell r="N573" t="e">
            <v>#N/A</v>
          </cell>
          <cell r="O573" t="e">
            <v>#N/A</v>
          </cell>
          <cell r="P573">
            <v>14.52</v>
          </cell>
          <cell r="Q573" t="str">
            <v/>
          </cell>
          <cell r="R573" t="e">
            <v>#N/A</v>
          </cell>
        </row>
        <row r="574">
          <cell r="A574">
            <v>40802</v>
          </cell>
          <cell r="B574">
            <v>40802</v>
          </cell>
          <cell r="C574" t="str">
            <v>Future</v>
          </cell>
          <cell r="D574" t="e">
            <v>#N/A</v>
          </cell>
          <cell r="E574">
            <v>13.518918918918915</v>
          </cell>
          <cell r="F574">
            <v>14.532432432432442</v>
          </cell>
          <cell r="G574">
            <v>14.329729729729731</v>
          </cell>
          <cell r="H574">
            <v>14.329729729729731</v>
          </cell>
          <cell r="I574" t="e">
            <v>#N/A</v>
          </cell>
          <cell r="J574" t="e">
            <v>#N/A</v>
          </cell>
          <cell r="K574" t="e">
            <v>#N/A</v>
          </cell>
          <cell r="L574" t="e">
            <v>#N/A</v>
          </cell>
          <cell r="M574" t="e">
            <v>#N/A</v>
          </cell>
          <cell r="N574" t="e">
            <v>#N/A</v>
          </cell>
          <cell r="O574" t="e">
            <v>#N/A</v>
          </cell>
          <cell r="P574">
            <v>14.52</v>
          </cell>
          <cell r="Q574" t="str">
            <v/>
          </cell>
          <cell r="R574" t="e">
            <v>#N/A</v>
          </cell>
        </row>
        <row r="575">
          <cell r="A575">
            <v>40805</v>
          </cell>
          <cell r="B575">
            <v>40805</v>
          </cell>
          <cell r="C575" t="str">
            <v>Future</v>
          </cell>
          <cell r="D575" t="e">
            <v>#N/A</v>
          </cell>
          <cell r="E575">
            <v>13.46351351351351</v>
          </cell>
          <cell r="F575">
            <v>14.544594594594605</v>
          </cell>
          <cell r="G575">
            <v>14.32837837837838</v>
          </cell>
          <cell r="H575">
            <v>14.32837837837838</v>
          </cell>
          <cell r="I575" t="e">
            <v>#N/A</v>
          </cell>
          <cell r="J575" t="e">
            <v>#N/A</v>
          </cell>
          <cell r="K575" t="e">
            <v>#N/A</v>
          </cell>
          <cell r="L575" t="e">
            <v>#N/A</v>
          </cell>
          <cell r="M575" t="e">
            <v>#N/A</v>
          </cell>
          <cell r="N575" t="e">
            <v>#N/A</v>
          </cell>
          <cell r="O575" t="e">
            <v>#N/A</v>
          </cell>
          <cell r="P575">
            <v>14.52</v>
          </cell>
          <cell r="Q575" t="str">
            <v/>
          </cell>
          <cell r="R575" t="e">
            <v>#N/A</v>
          </cell>
        </row>
        <row r="576">
          <cell r="A576">
            <v>40806</v>
          </cell>
          <cell r="B576">
            <v>40806</v>
          </cell>
          <cell r="C576" t="str">
            <v>Future</v>
          </cell>
          <cell r="D576" t="e">
            <v>#N/A</v>
          </cell>
          <cell r="E576">
            <v>13.408108108108104</v>
          </cell>
          <cell r="F576">
            <v>14.556756756756768</v>
          </cell>
          <cell r="G576">
            <v>14.327027027027029</v>
          </cell>
          <cell r="H576">
            <v>14.327027027027029</v>
          </cell>
          <cell r="I576" t="e">
            <v>#N/A</v>
          </cell>
          <cell r="J576" t="e">
            <v>#N/A</v>
          </cell>
          <cell r="K576" t="e">
            <v>#N/A</v>
          </cell>
          <cell r="L576" t="e">
            <v>#N/A</v>
          </cell>
          <cell r="M576" t="e">
            <v>#N/A</v>
          </cell>
          <cell r="N576" t="e">
            <v>#N/A</v>
          </cell>
          <cell r="O576" t="e">
            <v>#N/A</v>
          </cell>
          <cell r="P576">
            <v>14.52</v>
          </cell>
          <cell r="Q576" t="str">
            <v/>
          </cell>
          <cell r="R576" t="e">
            <v>#N/A</v>
          </cell>
        </row>
        <row r="577">
          <cell r="A577">
            <v>40807</v>
          </cell>
          <cell r="B577">
            <v>40807</v>
          </cell>
          <cell r="C577" t="str">
            <v>Future</v>
          </cell>
          <cell r="D577" t="e">
            <v>#N/A</v>
          </cell>
          <cell r="E577">
            <v>13.352702702702699</v>
          </cell>
          <cell r="F577">
            <v>14.56891891891893</v>
          </cell>
          <cell r="G577">
            <v>14.325675675675678</v>
          </cell>
          <cell r="H577">
            <v>14.325675675675678</v>
          </cell>
          <cell r="I577" t="e">
            <v>#N/A</v>
          </cell>
          <cell r="J577" t="e">
            <v>#N/A</v>
          </cell>
          <cell r="K577" t="e">
            <v>#N/A</v>
          </cell>
          <cell r="L577" t="e">
            <v>#N/A</v>
          </cell>
          <cell r="M577" t="e">
            <v>#N/A</v>
          </cell>
          <cell r="N577" t="e">
            <v>#N/A</v>
          </cell>
          <cell r="O577" t="e">
            <v>#N/A</v>
          </cell>
          <cell r="P577">
            <v>14.52</v>
          </cell>
          <cell r="Q577" t="str">
            <v/>
          </cell>
          <cell r="R577" t="e">
            <v>#N/A</v>
          </cell>
        </row>
        <row r="578">
          <cell r="A578">
            <v>40808</v>
          </cell>
          <cell r="B578">
            <v>40808</v>
          </cell>
          <cell r="C578" t="str">
            <v>Future</v>
          </cell>
          <cell r="D578" t="e">
            <v>#N/A</v>
          </cell>
          <cell r="E578">
            <v>13.297297297297293</v>
          </cell>
          <cell r="F578">
            <v>14.581081081081093</v>
          </cell>
          <cell r="G578">
            <v>14.324324324324326</v>
          </cell>
          <cell r="H578">
            <v>14.324324324324326</v>
          </cell>
          <cell r="I578" t="e">
            <v>#N/A</v>
          </cell>
          <cell r="J578" t="e">
            <v>#N/A</v>
          </cell>
          <cell r="K578" t="e">
            <v>#N/A</v>
          </cell>
          <cell r="L578" t="e">
            <v>#N/A</v>
          </cell>
          <cell r="M578" t="e">
            <v>#N/A</v>
          </cell>
          <cell r="N578" t="e">
            <v>#N/A</v>
          </cell>
          <cell r="O578" t="e">
            <v>#N/A</v>
          </cell>
          <cell r="P578">
            <v>14.52</v>
          </cell>
          <cell r="Q578" t="str">
            <v/>
          </cell>
          <cell r="R578" t="e">
            <v>#N/A</v>
          </cell>
        </row>
        <row r="579">
          <cell r="A579">
            <v>40809</v>
          </cell>
          <cell r="B579">
            <v>40809</v>
          </cell>
          <cell r="C579" t="str">
            <v>Future</v>
          </cell>
          <cell r="D579" t="e">
            <v>#N/A</v>
          </cell>
          <cell r="E579">
            <v>13.241891891891887</v>
          </cell>
          <cell r="F579">
            <v>14.593243243243256</v>
          </cell>
          <cell r="G579">
            <v>14.322972972972975</v>
          </cell>
          <cell r="H579">
            <v>14.322972972972975</v>
          </cell>
          <cell r="I579" t="e">
            <v>#N/A</v>
          </cell>
          <cell r="J579" t="e">
            <v>#N/A</v>
          </cell>
          <cell r="K579" t="e">
            <v>#N/A</v>
          </cell>
          <cell r="L579" t="e">
            <v>#N/A</v>
          </cell>
          <cell r="M579" t="e">
            <v>#N/A</v>
          </cell>
          <cell r="N579" t="e">
            <v>#N/A</v>
          </cell>
          <cell r="O579" t="e">
            <v>#N/A</v>
          </cell>
          <cell r="P579">
            <v>14.52</v>
          </cell>
          <cell r="Q579" t="str">
            <v/>
          </cell>
          <cell r="R579" t="e">
            <v>#N/A</v>
          </cell>
        </row>
        <row r="580">
          <cell r="A580">
            <v>40812</v>
          </cell>
          <cell r="B580">
            <v>40812</v>
          </cell>
          <cell r="C580" t="str">
            <v>Future</v>
          </cell>
          <cell r="D580" t="e">
            <v>#N/A</v>
          </cell>
          <cell r="E580">
            <v>13.186486486486482</v>
          </cell>
          <cell r="F580">
            <v>14.605405405405419</v>
          </cell>
          <cell r="G580">
            <v>14.321621621621624</v>
          </cell>
          <cell r="H580">
            <v>14.321621621621624</v>
          </cell>
          <cell r="I580" t="e">
            <v>#N/A</v>
          </cell>
          <cell r="J580" t="e">
            <v>#N/A</v>
          </cell>
          <cell r="K580" t="e">
            <v>#N/A</v>
          </cell>
          <cell r="L580" t="e">
            <v>#N/A</v>
          </cell>
          <cell r="M580" t="e">
            <v>#N/A</v>
          </cell>
          <cell r="N580" t="e">
            <v>#N/A</v>
          </cell>
          <cell r="O580" t="e">
            <v>#N/A</v>
          </cell>
          <cell r="P580">
            <v>14.52</v>
          </cell>
          <cell r="Q580" t="str">
            <v/>
          </cell>
          <cell r="R580" t="e">
            <v>#N/A</v>
          </cell>
        </row>
        <row r="581">
          <cell r="A581">
            <v>40813</v>
          </cell>
          <cell r="B581">
            <v>40813</v>
          </cell>
          <cell r="C581" t="str">
            <v>Future</v>
          </cell>
          <cell r="D581" t="e">
            <v>#N/A</v>
          </cell>
          <cell r="E581">
            <v>13.131081081081076</v>
          </cell>
          <cell r="F581">
            <v>14.617567567567582</v>
          </cell>
          <cell r="G581">
            <v>14.320270270270273</v>
          </cell>
          <cell r="H581">
            <v>14.320270270270273</v>
          </cell>
          <cell r="I581" t="e">
            <v>#N/A</v>
          </cell>
          <cell r="J581" t="e">
            <v>#N/A</v>
          </cell>
          <cell r="K581" t="e">
            <v>#N/A</v>
          </cell>
          <cell r="L581" t="e">
            <v>#N/A</v>
          </cell>
          <cell r="M581" t="e">
            <v>#N/A</v>
          </cell>
          <cell r="N581" t="e">
            <v>#N/A</v>
          </cell>
          <cell r="O581" t="e">
            <v>#N/A</v>
          </cell>
          <cell r="P581">
            <v>14.52</v>
          </cell>
          <cell r="Q581" t="str">
            <v/>
          </cell>
          <cell r="R581" t="e">
            <v>#N/A</v>
          </cell>
        </row>
        <row r="582">
          <cell r="A582">
            <v>40814</v>
          </cell>
          <cell r="B582">
            <v>40814</v>
          </cell>
          <cell r="C582" t="str">
            <v>Future</v>
          </cell>
          <cell r="D582" t="e">
            <v>#N/A</v>
          </cell>
          <cell r="E582">
            <v>13.07567567567567</v>
          </cell>
          <cell r="F582">
            <v>14.629729729729744</v>
          </cell>
          <cell r="G582">
            <v>14.318918918918921</v>
          </cell>
          <cell r="H582">
            <v>14.318918918918921</v>
          </cell>
          <cell r="I582" t="e">
            <v>#N/A</v>
          </cell>
          <cell r="J582" t="e">
            <v>#N/A</v>
          </cell>
          <cell r="K582" t="e">
            <v>#N/A</v>
          </cell>
          <cell r="L582" t="e">
            <v>#N/A</v>
          </cell>
          <cell r="M582" t="e">
            <v>#N/A</v>
          </cell>
          <cell r="N582" t="e">
            <v>#N/A</v>
          </cell>
          <cell r="O582" t="e">
            <v>#N/A</v>
          </cell>
          <cell r="P582">
            <v>14.52</v>
          </cell>
          <cell r="Q582" t="str">
            <v/>
          </cell>
          <cell r="R582" t="e">
            <v>#N/A</v>
          </cell>
        </row>
        <row r="583">
          <cell r="A583">
            <v>40815</v>
          </cell>
          <cell r="B583">
            <v>40815</v>
          </cell>
          <cell r="C583" t="str">
            <v>Future</v>
          </cell>
          <cell r="D583" t="e">
            <v>#N/A</v>
          </cell>
          <cell r="E583">
            <v>13.020270270270265</v>
          </cell>
          <cell r="F583">
            <v>14.641891891891907</v>
          </cell>
          <cell r="G583">
            <v>14.31756756756757</v>
          </cell>
          <cell r="H583">
            <v>14.31756756756757</v>
          </cell>
          <cell r="I583" t="e">
            <v>#N/A</v>
          </cell>
          <cell r="J583" t="e">
            <v>#N/A</v>
          </cell>
          <cell r="K583" t="e">
            <v>#N/A</v>
          </cell>
          <cell r="L583" t="e">
            <v>#N/A</v>
          </cell>
          <cell r="M583" t="e">
            <v>#N/A</v>
          </cell>
          <cell r="N583" t="e">
            <v>#N/A</v>
          </cell>
          <cell r="O583" t="e">
            <v>#N/A</v>
          </cell>
          <cell r="P583">
            <v>14.52</v>
          </cell>
          <cell r="Q583" t="str">
            <v/>
          </cell>
          <cell r="R583" t="e">
            <v>#N/A</v>
          </cell>
        </row>
        <row r="584">
          <cell r="A584">
            <v>40816</v>
          </cell>
          <cell r="B584">
            <v>40816</v>
          </cell>
          <cell r="C584" t="str">
            <v>Future</v>
          </cell>
          <cell r="D584" t="e">
            <v>#N/A</v>
          </cell>
          <cell r="E584">
            <v>12.964864864864859</v>
          </cell>
          <cell r="F584">
            <v>14.65405405405407</v>
          </cell>
          <cell r="G584">
            <v>14.316216216216219</v>
          </cell>
          <cell r="H584">
            <v>14.316216216216219</v>
          </cell>
          <cell r="I584" t="e">
            <v>#N/A</v>
          </cell>
          <cell r="J584" t="e">
            <v>#N/A</v>
          </cell>
          <cell r="K584" t="e">
            <v>#N/A</v>
          </cell>
          <cell r="L584" t="e">
            <v>#N/A</v>
          </cell>
          <cell r="M584" t="e">
            <v>#N/A</v>
          </cell>
          <cell r="N584" t="e">
            <v>#N/A</v>
          </cell>
          <cell r="O584" t="e">
            <v>#N/A</v>
          </cell>
          <cell r="P584">
            <v>14.52</v>
          </cell>
          <cell r="Q584" t="str">
            <v/>
          </cell>
          <cell r="R584" t="e">
            <v>#N/A</v>
          </cell>
        </row>
        <row r="585">
          <cell r="A585">
            <v>40819</v>
          </cell>
          <cell r="B585">
            <v>40819</v>
          </cell>
          <cell r="C585" t="str">
            <v>Future</v>
          </cell>
          <cell r="D585" t="e">
            <v>#N/A</v>
          </cell>
          <cell r="E585">
            <v>12.909459459459454</v>
          </cell>
          <cell r="F585">
            <v>14.666216216216233</v>
          </cell>
          <cell r="G585">
            <v>14.314864864864868</v>
          </cell>
          <cell r="H585">
            <v>14.314864864864868</v>
          </cell>
          <cell r="I585" t="e">
            <v>#N/A</v>
          </cell>
          <cell r="J585" t="e">
            <v>#N/A</v>
          </cell>
          <cell r="K585" t="e">
            <v>#N/A</v>
          </cell>
          <cell r="L585" t="e">
            <v>#N/A</v>
          </cell>
          <cell r="M585" t="e">
            <v>#N/A</v>
          </cell>
          <cell r="N585" t="e">
            <v>#N/A</v>
          </cell>
          <cell r="O585" t="e">
            <v>#N/A</v>
          </cell>
          <cell r="P585">
            <v>14.52</v>
          </cell>
          <cell r="Q585" t="str">
            <v/>
          </cell>
          <cell r="R585" t="e">
            <v>#N/A</v>
          </cell>
        </row>
        <row r="586">
          <cell r="A586">
            <v>40820</v>
          </cell>
          <cell r="B586">
            <v>40820</v>
          </cell>
          <cell r="C586" t="str">
            <v>Future</v>
          </cell>
          <cell r="D586" t="e">
            <v>#N/A</v>
          </cell>
          <cell r="E586">
            <v>12.854054054054048</v>
          </cell>
          <cell r="F586">
            <v>14.678378378378396</v>
          </cell>
          <cell r="G586">
            <v>14.313513513513517</v>
          </cell>
          <cell r="H586">
            <v>14.313513513513517</v>
          </cell>
          <cell r="I586" t="e">
            <v>#N/A</v>
          </cell>
          <cell r="J586" t="e">
            <v>#N/A</v>
          </cell>
          <cell r="K586" t="e">
            <v>#N/A</v>
          </cell>
          <cell r="L586" t="e">
            <v>#N/A</v>
          </cell>
          <cell r="M586" t="e">
            <v>#N/A</v>
          </cell>
          <cell r="N586" t="e">
            <v>#N/A</v>
          </cell>
          <cell r="O586" t="e">
            <v>#N/A</v>
          </cell>
          <cell r="P586">
            <v>14.52</v>
          </cell>
          <cell r="Q586" t="str">
            <v/>
          </cell>
          <cell r="R586" t="e">
            <v>#N/A</v>
          </cell>
        </row>
        <row r="587">
          <cell r="A587">
            <v>40821</v>
          </cell>
          <cell r="B587">
            <v>40821</v>
          </cell>
          <cell r="C587" t="str">
            <v>Future</v>
          </cell>
          <cell r="D587" t="e">
            <v>#N/A</v>
          </cell>
          <cell r="E587">
            <v>12.798648648648642</v>
          </cell>
          <cell r="F587">
            <v>14.690540540540558</v>
          </cell>
          <cell r="G587">
            <v>14.312162162162165</v>
          </cell>
          <cell r="H587">
            <v>14.312162162162165</v>
          </cell>
          <cell r="I587" t="e">
            <v>#N/A</v>
          </cell>
          <cell r="J587" t="e">
            <v>#N/A</v>
          </cell>
          <cell r="K587" t="e">
            <v>#N/A</v>
          </cell>
          <cell r="L587" t="e">
            <v>#N/A</v>
          </cell>
          <cell r="M587" t="e">
            <v>#N/A</v>
          </cell>
          <cell r="N587" t="e">
            <v>#N/A</v>
          </cell>
          <cell r="O587" t="e">
            <v>#N/A</v>
          </cell>
          <cell r="P587">
            <v>14.52</v>
          </cell>
          <cell r="Q587" t="str">
            <v/>
          </cell>
          <cell r="R587" t="e">
            <v>#N/A</v>
          </cell>
        </row>
        <row r="588">
          <cell r="A588">
            <v>40822</v>
          </cell>
          <cell r="B588">
            <v>40822</v>
          </cell>
          <cell r="C588" t="str">
            <v>Future</v>
          </cell>
          <cell r="D588" t="e">
            <v>#N/A</v>
          </cell>
          <cell r="E588">
            <v>12.743243243243237</v>
          </cell>
          <cell r="F588">
            <v>14.702702702702721</v>
          </cell>
          <cell r="G588">
            <v>14.310810810810814</v>
          </cell>
          <cell r="H588">
            <v>14.310810810810814</v>
          </cell>
          <cell r="I588" t="e">
            <v>#N/A</v>
          </cell>
          <cell r="J588" t="e">
            <v>#N/A</v>
          </cell>
          <cell r="K588" t="e">
            <v>#N/A</v>
          </cell>
          <cell r="L588" t="e">
            <v>#N/A</v>
          </cell>
          <cell r="M588" t="e">
            <v>#N/A</v>
          </cell>
          <cell r="N588" t="e">
            <v>#N/A</v>
          </cell>
          <cell r="O588" t="e">
            <v>#N/A</v>
          </cell>
          <cell r="P588">
            <v>14.52</v>
          </cell>
          <cell r="Q588" t="str">
            <v/>
          </cell>
          <cell r="R588" t="e">
            <v>#N/A</v>
          </cell>
        </row>
        <row r="589">
          <cell r="A589">
            <v>40823</v>
          </cell>
          <cell r="B589">
            <v>40823</v>
          </cell>
          <cell r="C589" t="str">
            <v>Future</v>
          </cell>
          <cell r="D589" t="e">
            <v>#N/A</v>
          </cell>
          <cell r="E589">
            <v>12.687837837837831</v>
          </cell>
          <cell r="F589">
            <v>14.714864864864884</v>
          </cell>
          <cell r="G589">
            <v>14.309459459459463</v>
          </cell>
          <cell r="H589">
            <v>14.309459459459463</v>
          </cell>
          <cell r="I589" t="e">
            <v>#N/A</v>
          </cell>
          <cell r="J589" t="e">
            <v>#N/A</v>
          </cell>
          <cell r="K589" t="e">
            <v>#N/A</v>
          </cell>
          <cell r="L589" t="e">
            <v>#N/A</v>
          </cell>
          <cell r="M589" t="e">
            <v>#N/A</v>
          </cell>
          <cell r="N589" t="e">
            <v>#N/A</v>
          </cell>
          <cell r="O589" t="e">
            <v>#N/A</v>
          </cell>
          <cell r="P589">
            <v>14.52</v>
          </cell>
          <cell r="Q589" t="str">
            <v/>
          </cell>
          <cell r="R589" t="e">
            <v>#N/A</v>
          </cell>
        </row>
        <row r="590">
          <cell r="A590">
            <v>40826</v>
          </cell>
          <cell r="B590">
            <v>40826</v>
          </cell>
          <cell r="C590" t="str">
            <v>Future</v>
          </cell>
          <cell r="D590" t="e">
            <v>#N/A</v>
          </cell>
          <cell r="E590">
            <v>12.632432432432426</v>
          </cell>
          <cell r="F590">
            <v>14.727027027027047</v>
          </cell>
          <cell r="G590">
            <v>14.308108108108112</v>
          </cell>
          <cell r="H590">
            <v>14.308108108108112</v>
          </cell>
          <cell r="I590" t="e">
            <v>#N/A</v>
          </cell>
          <cell r="J590" t="e">
            <v>#N/A</v>
          </cell>
          <cell r="K590" t="e">
            <v>#N/A</v>
          </cell>
          <cell r="L590" t="e">
            <v>#N/A</v>
          </cell>
          <cell r="M590" t="e">
            <v>#N/A</v>
          </cell>
          <cell r="N590" t="e">
            <v>#N/A</v>
          </cell>
          <cell r="O590" t="e">
            <v>#N/A</v>
          </cell>
          <cell r="P590">
            <v>14.52</v>
          </cell>
          <cell r="Q590" t="str">
            <v/>
          </cell>
          <cell r="R590" t="e">
            <v>#N/A</v>
          </cell>
        </row>
        <row r="591">
          <cell r="A591">
            <v>40827</v>
          </cell>
          <cell r="B591">
            <v>40827</v>
          </cell>
          <cell r="C591" t="str">
            <v>Future</v>
          </cell>
          <cell r="D591" t="e">
            <v>#N/A</v>
          </cell>
          <cell r="E591">
            <v>12.57702702702702</v>
          </cell>
          <cell r="F591">
            <v>14.73918918918921</v>
          </cell>
          <cell r="G591">
            <v>14.30675675675676</v>
          </cell>
          <cell r="H591">
            <v>14.30675675675676</v>
          </cell>
          <cell r="I591" t="e">
            <v>#N/A</v>
          </cell>
          <cell r="J591" t="e">
            <v>#N/A</v>
          </cell>
          <cell r="K591" t="e">
            <v>#N/A</v>
          </cell>
          <cell r="L591" t="e">
            <v>#N/A</v>
          </cell>
          <cell r="M591" t="e">
            <v>#N/A</v>
          </cell>
          <cell r="N591" t="e">
            <v>#N/A</v>
          </cell>
          <cell r="O591" t="e">
            <v>#N/A</v>
          </cell>
          <cell r="P591">
            <v>14.52</v>
          </cell>
          <cell r="Q591" t="str">
            <v/>
          </cell>
          <cell r="R591" t="e">
            <v>#N/A</v>
          </cell>
        </row>
        <row r="592">
          <cell r="A592">
            <v>40828</v>
          </cell>
          <cell r="B592">
            <v>40828</v>
          </cell>
          <cell r="C592" t="str">
            <v>Future</v>
          </cell>
          <cell r="D592" t="e">
            <v>#N/A</v>
          </cell>
          <cell r="E592">
            <v>12.521621621621614</v>
          </cell>
          <cell r="F592">
            <v>14.751351351351373</v>
          </cell>
          <cell r="G592">
            <v>14.305405405405409</v>
          </cell>
          <cell r="H592">
            <v>14.305405405405409</v>
          </cell>
          <cell r="I592" t="e">
            <v>#N/A</v>
          </cell>
          <cell r="J592" t="e">
            <v>#N/A</v>
          </cell>
          <cell r="K592" t="e">
            <v>#N/A</v>
          </cell>
          <cell r="L592" t="e">
            <v>#N/A</v>
          </cell>
          <cell r="M592" t="e">
            <v>#N/A</v>
          </cell>
          <cell r="N592" t="e">
            <v>#N/A</v>
          </cell>
          <cell r="O592" t="e">
            <v>#N/A</v>
          </cell>
          <cell r="P592">
            <v>14.52</v>
          </cell>
          <cell r="Q592" t="str">
            <v/>
          </cell>
          <cell r="R592" t="e">
            <v>#N/A</v>
          </cell>
        </row>
        <row r="593">
          <cell r="A593">
            <v>40829</v>
          </cell>
          <cell r="B593">
            <v>40829</v>
          </cell>
          <cell r="C593" t="str">
            <v>Future</v>
          </cell>
          <cell r="D593" t="e">
            <v>#N/A</v>
          </cell>
          <cell r="E593">
            <v>12.466216216216209</v>
          </cell>
          <cell r="F593">
            <v>14.763513513513535</v>
          </cell>
          <cell r="G593">
            <v>14.304054054054058</v>
          </cell>
          <cell r="H593">
            <v>14.304054054054058</v>
          </cell>
          <cell r="I593" t="e">
            <v>#N/A</v>
          </cell>
          <cell r="J593" t="e">
            <v>#N/A</v>
          </cell>
          <cell r="K593" t="e">
            <v>#N/A</v>
          </cell>
          <cell r="L593" t="e">
            <v>#N/A</v>
          </cell>
          <cell r="M593" t="e">
            <v>#N/A</v>
          </cell>
          <cell r="N593" t="e">
            <v>#N/A</v>
          </cell>
          <cell r="O593" t="e">
            <v>#N/A</v>
          </cell>
          <cell r="P593">
            <v>14.52</v>
          </cell>
          <cell r="Q593" t="str">
            <v/>
          </cell>
          <cell r="R593" t="e">
            <v>#N/A</v>
          </cell>
        </row>
        <row r="594">
          <cell r="A594">
            <v>40830</v>
          </cell>
          <cell r="B594">
            <v>40830</v>
          </cell>
          <cell r="C594" t="str">
            <v>Future</v>
          </cell>
          <cell r="D594" t="e">
            <v>#N/A</v>
          </cell>
          <cell r="E594">
            <v>12.410810810810803</v>
          </cell>
          <cell r="F594">
            <v>14.775675675675698</v>
          </cell>
          <cell r="G594">
            <v>14.302702702702707</v>
          </cell>
          <cell r="H594">
            <v>14.302702702702707</v>
          </cell>
          <cell r="I594" t="e">
            <v>#N/A</v>
          </cell>
          <cell r="J594" t="e">
            <v>#N/A</v>
          </cell>
          <cell r="K594" t="e">
            <v>#N/A</v>
          </cell>
          <cell r="L594" t="e">
            <v>#N/A</v>
          </cell>
          <cell r="M594" t="e">
            <v>#N/A</v>
          </cell>
          <cell r="N594" t="e">
            <v>#N/A</v>
          </cell>
          <cell r="O594" t="e">
            <v>#N/A</v>
          </cell>
          <cell r="P594">
            <v>14.52</v>
          </cell>
          <cell r="Q594" t="str">
            <v/>
          </cell>
          <cell r="R594" t="e">
            <v>#N/A</v>
          </cell>
        </row>
        <row r="595">
          <cell r="A595">
            <v>40833</v>
          </cell>
          <cell r="B595">
            <v>40833</v>
          </cell>
          <cell r="C595" t="str">
            <v>Future</v>
          </cell>
          <cell r="D595" t="e">
            <v>#N/A</v>
          </cell>
          <cell r="E595">
            <v>12.355405405405397</v>
          </cell>
          <cell r="F595">
            <v>14.787837837837861</v>
          </cell>
          <cell r="G595">
            <v>14.301351351351355</v>
          </cell>
          <cell r="H595">
            <v>14.301351351351355</v>
          </cell>
          <cell r="I595" t="e">
            <v>#N/A</v>
          </cell>
          <cell r="J595" t="e">
            <v>#N/A</v>
          </cell>
          <cell r="K595" t="e">
            <v>#N/A</v>
          </cell>
          <cell r="L595" t="e">
            <v>#N/A</v>
          </cell>
          <cell r="M595" t="e">
            <v>#N/A</v>
          </cell>
          <cell r="N595" t="e">
            <v>#N/A</v>
          </cell>
          <cell r="O595" t="e">
            <v>#N/A</v>
          </cell>
          <cell r="P595">
            <v>14.52</v>
          </cell>
          <cell r="Q595" t="str">
            <v/>
          </cell>
          <cell r="R595" t="e">
            <v>#N/A</v>
          </cell>
        </row>
        <row r="596">
          <cell r="A596">
            <v>40834</v>
          </cell>
          <cell r="B596">
            <v>40834</v>
          </cell>
          <cell r="C596" t="str">
            <v>Future</v>
          </cell>
          <cell r="D596" t="e">
            <v>#N/A</v>
          </cell>
          <cell r="E596">
            <v>12.299999999999992</v>
          </cell>
          <cell r="F596">
            <v>14.800000000000024</v>
          </cell>
          <cell r="G596">
            <v>14.300000000000004</v>
          </cell>
          <cell r="H596">
            <v>14.300000000000004</v>
          </cell>
          <cell r="I596" t="e">
            <v>#N/A</v>
          </cell>
          <cell r="J596" t="e">
            <v>#N/A</v>
          </cell>
          <cell r="K596" t="e">
            <v>#N/A</v>
          </cell>
          <cell r="L596" t="e">
            <v>#N/A</v>
          </cell>
          <cell r="M596" t="e">
            <v>#N/A</v>
          </cell>
          <cell r="N596" t="e">
            <v>#N/A</v>
          </cell>
          <cell r="O596" t="e">
            <v>#N/A</v>
          </cell>
          <cell r="P596">
            <v>14.52</v>
          </cell>
          <cell r="Q596" t="str">
            <v/>
          </cell>
          <cell r="R596" t="e">
            <v>#N/A</v>
          </cell>
        </row>
        <row r="597">
          <cell r="A597">
            <v>40835</v>
          </cell>
          <cell r="B597">
            <v>40835</v>
          </cell>
          <cell r="C597" t="str">
            <v>Future</v>
          </cell>
          <cell r="D597" t="e">
            <v>#N/A</v>
          </cell>
          <cell r="E597">
            <v>12.244594594594586</v>
          </cell>
          <cell r="F597">
            <v>14.812162162162187</v>
          </cell>
          <cell r="G597">
            <v>14.298648648648653</v>
          </cell>
          <cell r="H597">
            <v>14.298648648648653</v>
          </cell>
          <cell r="I597" t="e">
            <v>#N/A</v>
          </cell>
          <cell r="J597" t="e">
            <v>#N/A</v>
          </cell>
          <cell r="K597" t="e">
            <v>#N/A</v>
          </cell>
          <cell r="L597" t="e">
            <v>#N/A</v>
          </cell>
          <cell r="M597" t="e">
            <v>#N/A</v>
          </cell>
          <cell r="N597" t="e">
            <v>#N/A</v>
          </cell>
          <cell r="O597" t="e">
            <v>#N/A</v>
          </cell>
          <cell r="P597">
            <v>14.52</v>
          </cell>
          <cell r="Q597" t="str">
            <v/>
          </cell>
          <cell r="R597" t="e">
            <v>#N/A</v>
          </cell>
        </row>
        <row r="598">
          <cell r="A598">
            <v>40836</v>
          </cell>
          <cell r="B598">
            <v>40836</v>
          </cell>
          <cell r="C598" t="str">
            <v>Future</v>
          </cell>
          <cell r="D598" t="e">
            <v>#N/A</v>
          </cell>
          <cell r="E598">
            <v>12.189189189189181</v>
          </cell>
          <cell r="F598">
            <v>14.824324324324349</v>
          </cell>
          <cell r="G598">
            <v>14.297297297297302</v>
          </cell>
          <cell r="H598">
            <v>14.297297297297302</v>
          </cell>
          <cell r="I598" t="e">
            <v>#N/A</v>
          </cell>
          <cell r="J598" t="e">
            <v>#N/A</v>
          </cell>
          <cell r="K598" t="e">
            <v>#N/A</v>
          </cell>
          <cell r="L598" t="e">
            <v>#N/A</v>
          </cell>
          <cell r="M598" t="e">
            <v>#N/A</v>
          </cell>
          <cell r="N598" t="e">
            <v>#N/A</v>
          </cell>
          <cell r="O598" t="e">
            <v>#N/A</v>
          </cell>
          <cell r="P598">
            <v>14.52</v>
          </cell>
          <cell r="Q598" t="str">
            <v/>
          </cell>
          <cell r="R598" t="e">
            <v>#N/A</v>
          </cell>
        </row>
        <row r="599">
          <cell r="A599">
            <v>40837</v>
          </cell>
          <cell r="B599">
            <v>40837</v>
          </cell>
          <cell r="C599" t="str">
            <v>Future</v>
          </cell>
          <cell r="D599" t="e">
            <v>#N/A</v>
          </cell>
          <cell r="E599">
            <v>12.133783783783775</v>
          </cell>
          <cell r="F599">
            <v>14.836486486486512</v>
          </cell>
          <cell r="G599">
            <v>14.295945945945951</v>
          </cell>
          <cell r="H599">
            <v>14.295945945945951</v>
          </cell>
          <cell r="I599" t="e">
            <v>#N/A</v>
          </cell>
          <cell r="J599" t="e">
            <v>#N/A</v>
          </cell>
          <cell r="K599" t="e">
            <v>#N/A</v>
          </cell>
          <cell r="L599" t="e">
            <v>#N/A</v>
          </cell>
          <cell r="M599" t="e">
            <v>#N/A</v>
          </cell>
          <cell r="N599" t="e">
            <v>#N/A</v>
          </cell>
          <cell r="O599" t="e">
            <v>#N/A</v>
          </cell>
          <cell r="P599">
            <v>14.52</v>
          </cell>
          <cell r="Q599" t="str">
            <v/>
          </cell>
          <cell r="R599" t="e">
            <v>#N/A</v>
          </cell>
        </row>
        <row r="600">
          <cell r="A600">
            <v>40840</v>
          </cell>
          <cell r="B600">
            <v>40840</v>
          </cell>
          <cell r="C600" t="str">
            <v>Future</v>
          </cell>
          <cell r="D600" t="e">
            <v>#N/A</v>
          </cell>
          <cell r="E600">
            <v>12.078378378378369</v>
          </cell>
          <cell r="F600">
            <v>14.848648648648675</v>
          </cell>
          <cell r="G600">
            <v>14.294594594594599</v>
          </cell>
          <cell r="H600">
            <v>14.294594594594599</v>
          </cell>
          <cell r="I600" t="e">
            <v>#N/A</v>
          </cell>
          <cell r="J600" t="e">
            <v>#N/A</v>
          </cell>
          <cell r="K600" t="e">
            <v>#N/A</v>
          </cell>
          <cell r="L600" t="e">
            <v>#N/A</v>
          </cell>
          <cell r="M600" t="e">
            <v>#N/A</v>
          </cell>
          <cell r="N600" t="e">
            <v>#N/A</v>
          </cell>
          <cell r="O600" t="e">
            <v>#N/A</v>
          </cell>
          <cell r="P600">
            <v>14.52</v>
          </cell>
          <cell r="Q600" t="str">
            <v/>
          </cell>
          <cell r="R600" t="e">
            <v>#N/A</v>
          </cell>
        </row>
        <row r="601">
          <cell r="A601">
            <v>40841</v>
          </cell>
          <cell r="B601">
            <v>40841</v>
          </cell>
          <cell r="C601" t="str">
            <v>Future</v>
          </cell>
          <cell r="D601" t="e">
            <v>#N/A</v>
          </cell>
          <cell r="E601">
            <v>12.022972972972964</v>
          </cell>
          <cell r="F601">
            <v>14.860810810810838</v>
          </cell>
          <cell r="G601">
            <v>14.293243243243248</v>
          </cell>
          <cell r="H601">
            <v>14.293243243243248</v>
          </cell>
          <cell r="I601" t="e">
            <v>#N/A</v>
          </cell>
          <cell r="J601" t="e">
            <v>#N/A</v>
          </cell>
          <cell r="K601" t="e">
            <v>#N/A</v>
          </cell>
          <cell r="L601" t="e">
            <v>#N/A</v>
          </cell>
          <cell r="M601" t="e">
            <v>#N/A</v>
          </cell>
          <cell r="N601" t="e">
            <v>#N/A</v>
          </cell>
          <cell r="O601" t="e">
            <v>#N/A</v>
          </cell>
          <cell r="P601">
            <v>14.52</v>
          </cell>
          <cell r="Q601" t="str">
            <v/>
          </cell>
          <cell r="R601" t="e">
            <v>#N/A</v>
          </cell>
        </row>
        <row r="602">
          <cell r="A602">
            <v>40842</v>
          </cell>
          <cell r="B602">
            <v>40842</v>
          </cell>
          <cell r="C602" t="str">
            <v>Future</v>
          </cell>
          <cell r="D602" t="e">
            <v>#N/A</v>
          </cell>
          <cell r="E602">
            <v>11.967567567567558</v>
          </cell>
          <cell r="F602">
            <v>14.872972972973001</v>
          </cell>
          <cell r="G602">
            <v>14.291891891891897</v>
          </cell>
          <cell r="H602">
            <v>14.291891891891897</v>
          </cell>
          <cell r="I602" t="e">
            <v>#N/A</v>
          </cell>
          <cell r="J602" t="e">
            <v>#N/A</v>
          </cell>
          <cell r="K602" t="e">
            <v>#N/A</v>
          </cell>
          <cell r="L602" t="e">
            <v>#N/A</v>
          </cell>
          <cell r="M602" t="e">
            <v>#N/A</v>
          </cell>
          <cell r="N602" t="e">
            <v>#N/A</v>
          </cell>
          <cell r="O602" t="e">
            <v>#N/A</v>
          </cell>
          <cell r="P602">
            <v>14.52</v>
          </cell>
          <cell r="Q602" t="str">
            <v/>
          </cell>
          <cell r="R602" t="e">
            <v>#N/A</v>
          </cell>
        </row>
        <row r="603">
          <cell r="A603">
            <v>40843</v>
          </cell>
          <cell r="B603">
            <v>40843</v>
          </cell>
          <cell r="C603" t="str">
            <v>Future</v>
          </cell>
          <cell r="D603" t="e">
            <v>#N/A</v>
          </cell>
          <cell r="E603">
            <v>11.912162162162153</v>
          </cell>
          <cell r="F603">
            <v>14.885135135135164</v>
          </cell>
          <cell r="G603">
            <v>14.290540540540546</v>
          </cell>
          <cell r="H603">
            <v>14.290540540540546</v>
          </cell>
          <cell r="I603" t="e">
            <v>#N/A</v>
          </cell>
          <cell r="J603" t="e">
            <v>#N/A</v>
          </cell>
          <cell r="K603" t="e">
            <v>#N/A</v>
          </cell>
          <cell r="L603" t="e">
            <v>#N/A</v>
          </cell>
          <cell r="M603" t="e">
            <v>#N/A</v>
          </cell>
          <cell r="N603" t="e">
            <v>#N/A</v>
          </cell>
          <cell r="O603" t="e">
            <v>#N/A</v>
          </cell>
          <cell r="P603">
            <v>14.52</v>
          </cell>
          <cell r="Q603" t="str">
            <v/>
          </cell>
          <cell r="R603" t="e">
            <v>#N/A</v>
          </cell>
        </row>
        <row r="604">
          <cell r="A604">
            <v>40844</v>
          </cell>
          <cell r="B604">
            <v>40844</v>
          </cell>
          <cell r="C604" t="str">
            <v>Future</v>
          </cell>
          <cell r="D604" t="e">
            <v>#N/A</v>
          </cell>
          <cell r="E604">
            <v>11.856756756756747</v>
          </cell>
          <cell r="F604">
            <v>14.897297297297326</v>
          </cell>
          <cell r="G604">
            <v>14.289189189189194</v>
          </cell>
          <cell r="H604">
            <v>14.289189189189194</v>
          </cell>
          <cell r="I604" t="e">
            <v>#N/A</v>
          </cell>
          <cell r="J604" t="e">
            <v>#N/A</v>
          </cell>
          <cell r="K604" t="e">
            <v>#N/A</v>
          </cell>
          <cell r="L604" t="e">
            <v>#N/A</v>
          </cell>
          <cell r="M604" t="e">
            <v>#N/A</v>
          </cell>
          <cell r="N604" t="e">
            <v>#N/A</v>
          </cell>
          <cell r="O604" t="e">
            <v>#N/A</v>
          </cell>
          <cell r="P604">
            <v>14.52</v>
          </cell>
          <cell r="Q604" t="str">
            <v/>
          </cell>
          <cell r="R604" t="e">
            <v>#N/A</v>
          </cell>
        </row>
        <row r="605">
          <cell r="A605">
            <v>40847</v>
          </cell>
          <cell r="B605">
            <v>40847</v>
          </cell>
          <cell r="C605" t="str">
            <v>Future</v>
          </cell>
          <cell r="D605" t="e">
            <v>#N/A</v>
          </cell>
          <cell r="E605">
            <v>11.801351351351341</v>
          </cell>
          <cell r="F605">
            <v>14.909459459459489</v>
          </cell>
          <cell r="G605">
            <v>14.287837837837843</v>
          </cell>
          <cell r="H605">
            <v>14.287837837837843</v>
          </cell>
          <cell r="I605" t="e">
            <v>#N/A</v>
          </cell>
          <cell r="J605" t="e">
            <v>#N/A</v>
          </cell>
          <cell r="K605" t="e">
            <v>#N/A</v>
          </cell>
          <cell r="L605" t="e">
            <v>#N/A</v>
          </cell>
          <cell r="M605" t="e">
            <v>#N/A</v>
          </cell>
          <cell r="N605" t="e">
            <v>#N/A</v>
          </cell>
          <cell r="O605" t="e">
            <v>#N/A</v>
          </cell>
          <cell r="P605">
            <v>14.52</v>
          </cell>
          <cell r="Q605" t="str">
            <v/>
          </cell>
          <cell r="R605" t="e">
            <v>#N/A</v>
          </cell>
        </row>
        <row r="606">
          <cell r="A606">
            <v>40848</v>
          </cell>
          <cell r="B606">
            <v>40848</v>
          </cell>
          <cell r="C606" t="str">
            <v>Future</v>
          </cell>
          <cell r="D606" t="e">
            <v>#N/A</v>
          </cell>
          <cell r="E606">
            <v>11.745945945945936</v>
          </cell>
          <cell r="F606">
            <v>14.921621621621652</v>
          </cell>
          <cell r="G606">
            <v>14.286486486486492</v>
          </cell>
          <cell r="H606">
            <v>14.286486486486492</v>
          </cell>
          <cell r="I606" t="e">
            <v>#N/A</v>
          </cell>
          <cell r="J606" t="e">
            <v>#N/A</v>
          </cell>
          <cell r="K606" t="e">
            <v>#N/A</v>
          </cell>
          <cell r="L606" t="e">
            <v>#N/A</v>
          </cell>
          <cell r="M606" t="e">
            <v>#N/A</v>
          </cell>
          <cell r="N606" t="e">
            <v>#N/A</v>
          </cell>
          <cell r="O606" t="e">
            <v>#N/A</v>
          </cell>
          <cell r="P606">
            <v>14.52</v>
          </cell>
          <cell r="Q606" t="str">
            <v/>
          </cell>
          <cell r="R606" t="e">
            <v>#N/A</v>
          </cell>
        </row>
        <row r="607">
          <cell r="A607">
            <v>40849</v>
          </cell>
          <cell r="B607">
            <v>40849</v>
          </cell>
          <cell r="C607" t="str">
            <v>Future</v>
          </cell>
          <cell r="D607" t="e">
            <v>#N/A</v>
          </cell>
          <cell r="E607">
            <v>11.69054054054053</v>
          </cell>
          <cell r="F607">
            <v>14.933783783783815</v>
          </cell>
          <cell r="G607">
            <v>14.285135135135141</v>
          </cell>
          <cell r="H607">
            <v>14.285135135135141</v>
          </cell>
          <cell r="I607" t="e">
            <v>#N/A</v>
          </cell>
          <cell r="J607" t="e">
            <v>#N/A</v>
          </cell>
          <cell r="K607" t="e">
            <v>#N/A</v>
          </cell>
          <cell r="L607" t="e">
            <v>#N/A</v>
          </cell>
          <cell r="M607" t="e">
            <v>#N/A</v>
          </cell>
          <cell r="N607" t="e">
            <v>#N/A</v>
          </cell>
          <cell r="O607" t="e">
            <v>#N/A</v>
          </cell>
          <cell r="P607">
            <v>14.52</v>
          </cell>
          <cell r="Q607" t="str">
            <v/>
          </cell>
          <cell r="R607" t="e">
            <v>#N/A</v>
          </cell>
        </row>
        <row r="608">
          <cell r="A608">
            <v>40850</v>
          </cell>
          <cell r="B608">
            <v>40850</v>
          </cell>
          <cell r="C608" t="str">
            <v>Future</v>
          </cell>
          <cell r="D608" t="e">
            <v>#N/A</v>
          </cell>
          <cell r="E608">
            <v>11.635135135135124</v>
          </cell>
          <cell r="F608">
            <v>14.945945945945978</v>
          </cell>
          <cell r="G608">
            <v>14.28378378378379</v>
          </cell>
          <cell r="H608">
            <v>14.28378378378379</v>
          </cell>
          <cell r="I608" t="e">
            <v>#N/A</v>
          </cell>
          <cell r="J608" t="e">
            <v>#N/A</v>
          </cell>
          <cell r="K608" t="e">
            <v>#N/A</v>
          </cell>
          <cell r="L608" t="e">
            <v>#N/A</v>
          </cell>
          <cell r="M608" t="e">
            <v>#N/A</v>
          </cell>
          <cell r="N608" t="e">
            <v>#N/A</v>
          </cell>
          <cell r="O608" t="e">
            <v>#N/A</v>
          </cell>
          <cell r="P608">
            <v>14.52</v>
          </cell>
          <cell r="Q608" t="str">
            <v/>
          </cell>
          <cell r="R608" t="e">
            <v>#N/A</v>
          </cell>
        </row>
        <row r="609">
          <cell r="A609">
            <v>40851</v>
          </cell>
          <cell r="B609">
            <v>40851</v>
          </cell>
          <cell r="C609" t="str">
            <v>Future</v>
          </cell>
          <cell r="D609" t="e">
            <v>#N/A</v>
          </cell>
          <cell r="E609">
            <v>11.579729729729719</v>
          </cell>
          <cell r="F609">
            <v>14.95810810810814</v>
          </cell>
          <cell r="G609">
            <v>14.282432432432438</v>
          </cell>
          <cell r="H609">
            <v>14.282432432432438</v>
          </cell>
          <cell r="I609" t="e">
            <v>#N/A</v>
          </cell>
          <cell r="J609" t="e">
            <v>#N/A</v>
          </cell>
          <cell r="K609" t="e">
            <v>#N/A</v>
          </cell>
          <cell r="L609" t="e">
            <v>#N/A</v>
          </cell>
          <cell r="M609" t="e">
            <v>#N/A</v>
          </cell>
          <cell r="N609" t="e">
            <v>#N/A</v>
          </cell>
          <cell r="O609" t="e">
            <v>#N/A</v>
          </cell>
          <cell r="P609">
            <v>14.52</v>
          </cell>
          <cell r="Q609" t="str">
            <v/>
          </cell>
          <cell r="R609" t="e">
            <v>#N/A</v>
          </cell>
        </row>
        <row r="610">
          <cell r="A610">
            <v>40854</v>
          </cell>
          <cell r="B610">
            <v>40854</v>
          </cell>
          <cell r="C610" t="str">
            <v>Future</v>
          </cell>
          <cell r="D610" t="e">
            <v>#N/A</v>
          </cell>
          <cell r="E610">
            <v>11.524324324324313</v>
          </cell>
          <cell r="F610">
            <v>14.970270270270303</v>
          </cell>
          <cell r="G610">
            <v>14.281081081081087</v>
          </cell>
          <cell r="H610">
            <v>14.281081081081087</v>
          </cell>
          <cell r="I610" t="e">
            <v>#N/A</v>
          </cell>
          <cell r="J610" t="e">
            <v>#N/A</v>
          </cell>
          <cell r="K610" t="e">
            <v>#N/A</v>
          </cell>
          <cell r="L610" t="e">
            <v>#N/A</v>
          </cell>
          <cell r="M610" t="e">
            <v>#N/A</v>
          </cell>
          <cell r="N610" t="e">
            <v>#N/A</v>
          </cell>
          <cell r="O610" t="e">
            <v>#N/A</v>
          </cell>
          <cell r="P610">
            <v>14.52</v>
          </cell>
          <cell r="Q610" t="str">
            <v/>
          </cell>
          <cell r="R610" t="e">
            <v>#N/A</v>
          </cell>
        </row>
        <row r="611">
          <cell r="A611">
            <v>40855</v>
          </cell>
          <cell r="B611">
            <v>40855</v>
          </cell>
          <cell r="C611" t="str">
            <v>Future</v>
          </cell>
          <cell r="D611" t="e">
            <v>#N/A</v>
          </cell>
          <cell r="E611">
            <v>11.468918918918908</v>
          </cell>
          <cell r="F611">
            <v>14.982432432432466</v>
          </cell>
          <cell r="G611">
            <v>14.279729729729736</v>
          </cell>
          <cell r="H611">
            <v>14.279729729729736</v>
          </cell>
          <cell r="I611" t="e">
            <v>#N/A</v>
          </cell>
          <cell r="J611" t="e">
            <v>#N/A</v>
          </cell>
          <cell r="K611" t="e">
            <v>#N/A</v>
          </cell>
          <cell r="L611" t="e">
            <v>#N/A</v>
          </cell>
          <cell r="M611" t="e">
            <v>#N/A</v>
          </cell>
          <cell r="N611" t="e">
            <v>#N/A</v>
          </cell>
          <cell r="O611" t="e">
            <v>#N/A</v>
          </cell>
          <cell r="P611">
            <v>14.52</v>
          </cell>
          <cell r="Q611" t="str">
            <v/>
          </cell>
          <cell r="R611" t="e">
            <v>#N/A</v>
          </cell>
        </row>
        <row r="612">
          <cell r="A612">
            <v>40856</v>
          </cell>
          <cell r="B612">
            <v>40856</v>
          </cell>
          <cell r="C612" t="str">
            <v>Future</v>
          </cell>
          <cell r="D612" t="e">
            <v>#N/A</v>
          </cell>
          <cell r="E612">
            <v>11.413513513513502</v>
          </cell>
          <cell r="F612">
            <v>14.994594594594629</v>
          </cell>
          <cell r="G612">
            <v>14.278378378378385</v>
          </cell>
          <cell r="H612">
            <v>14.278378378378385</v>
          </cell>
          <cell r="I612" t="e">
            <v>#N/A</v>
          </cell>
          <cell r="J612" t="e">
            <v>#N/A</v>
          </cell>
          <cell r="K612" t="e">
            <v>#N/A</v>
          </cell>
          <cell r="L612" t="e">
            <v>#N/A</v>
          </cell>
          <cell r="M612" t="e">
            <v>#N/A</v>
          </cell>
          <cell r="N612" t="e">
            <v>#N/A</v>
          </cell>
          <cell r="O612" t="e">
            <v>#N/A</v>
          </cell>
          <cell r="P612">
            <v>14.52</v>
          </cell>
          <cell r="Q612" t="str">
            <v/>
          </cell>
          <cell r="R612" t="e">
            <v>#N/A</v>
          </cell>
        </row>
        <row r="613">
          <cell r="A613">
            <v>40857</v>
          </cell>
          <cell r="B613">
            <v>40857</v>
          </cell>
          <cell r="C613" t="str">
            <v>Future</v>
          </cell>
          <cell r="D613" t="e">
            <v>#N/A</v>
          </cell>
          <cell r="E613">
            <v>11.358108108108096</v>
          </cell>
          <cell r="F613">
            <v>15.006756756756792</v>
          </cell>
          <cell r="G613">
            <v>14.277027027027033</v>
          </cell>
          <cell r="H613">
            <v>14.277027027027033</v>
          </cell>
          <cell r="I613" t="e">
            <v>#N/A</v>
          </cell>
          <cell r="J613" t="e">
            <v>#N/A</v>
          </cell>
          <cell r="K613" t="e">
            <v>#N/A</v>
          </cell>
          <cell r="L613" t="e">
            <v>#N/A</v>
          </cell>
          <cell r="M613" t="e">
            <v>#N/A</v>
          </cell>
          <cell r="N613" t="e">
            <v>#N/A</v>
          </cell>
          <cell r="O613" t="e">
            <v>#N/A</v>
          </cell>
          <cell r="P613">
            <v>14.52</v>
          </cell>
          <cell r="Q613" t="str">
            <v/>
          </cell>
          <cell r="R613" t="e">
            <v>#N/A</v>
          </cell>
        </row>
        <row r="614">
          <cell r="A614">
            <v>40858</v>
          </cell>
          <cell r="B614">
            <v>40858</v>
          </cell>
          <cell r="C614" t="str">
            <v>Future</v>
          </cell>
          <cell r="D614" t="e">
            <v>#N/A</v>
          </cell>
          <cell r="E614">
            <v>11.302702702702691</v>
          </cell>
          <cell r="F614">
            <v>15.018918918918954</v>
          </cell>
          <cell r="G614">
            <v>14.275675675675682</v>
          </cell>
          <cell r="H614">
            <v>14.275675675675682</v>
          </cell>
          <cell r="I614" t="e">
            <v>#N/A</v>
          </cell>
          <cell r="J614" t="e">
            <v>#N/A</v>
          </cell>
          <cell r="K614" t="e">
            <v>#N/A</v>
          </cell>
          <cell r="L614" t="e">
            <v>#N/A</v>
          </cell>
          <cell r="M614" t="e">
            <v>#N/A</v>
          </cell>
          <cell r="N614" t="e">
            <v>#N/A</v>
          </cell>
          <cell r="O614" t="e">
            <v>#N/A</v>
          </cell>
          <cell r="P614">
            <v>14.52</v>
          </cell>
          <cell r="Q614" t="str">
            <v/>
          </cell>
          <cell r="R614" t="e">
            <v>#N/A</v>
          </cell>
        </row>
        <row r="615">
          <cell r="A615">
            <v>40861</v>
          </cell>
          <cell r="B615">
            <v>40861</v>
          </cell>
          <cell r="C615" t="str">
            <v>Future</v>
          </cell>
          <cell r="D615" t="e">
            <v>#N/A</v>
          </cell>
          <cell r="E615">
            <v>11.247297297297285</v>
          </cell>
          <cell r="F615">
            <v>15.031081081081117</v>
          </cell>
          <cell r="G615">
            <v>14.274324324324331</v>
          </cell>
          <cell r="H615">
            <v>14.274324324324331</v>
          </cell>
          <cell r="I615" t="e">
            <v>#N/A</v>
          </cell>
          <cell r="J615" t="e">
            <v>#N/A</v>
          </cell>
          <cell r="K615" t="e">
            <v>#N/A</v>
          </cell>
          <cell r="L615" t="e">
            <v>#N/A</v>
          </cell>
          <cell r="M615" t="e">
            <v>#N/A</v>
          </cell>
          <cell r="N615" t="e">
            <v>#N/A</v>
          </cell>
          <cell r="O615" t="e">
            <v>#N/A</v>
          </cell>
          <cell r="P615">
            <v>14.52</v>
          </cell>
          <cell r="Q615" t="str">
            <v/>
          </cell>
          <cell r="R615" t="e">
            <v>#N/A</v>
          </cell>
        </row>
        <row r="616">
          <cell r="A616">
            <v>40862</v>
          </cell>
          <cell r="B616">
            <v>40862</v>
          </cell>
          <cell r="C616" t="str">
            <v>Future</v>
          </cell>
          <cell r="D616" t="e">
            <v>#N/A</v>
          </cell>
          <cell r="E616">
            <v>11.191891891891879</v>
          </cell>
          <cell r="F616">
            <v>15.04324324324328</v>
          </cell>
          <cell r="G616">
            <v>14.27297297297298</v>
          </cell>
          <cell r="H616">
            <v>14.27297297297298</v>
          </cell>
          <cell r="I616" t="e">
            <v>#N/A</v>
          </cell>
          <cell r="J616" t="e">
            <v>#N/A</v>
          </cell>
          <cell r="K616" t="e">
            <v>#N/A</v>
          </cell>
          <cell r="L616" t="e">
            <v>#N/A</v>
          </cell>
          <cell r="M616" t="e">
            <v>#N/A</v>
          </cell>
          <cell r="N616" t="e">
            <v>#N/A</v>
          </cell>
          <cell r="O616" t="e">
            <v>#N/A</v>
          </cell>
          <cell r="P616">
            <v>14.52</v>
          </cell>
          <cell r="Q616" t="str">
            <v/>
          </cell>
          <cell r="R616" t="e">
            <v>#N/A</v>
          </cell>
        </row>
        <row r="617">
          <cell r="A617">
            <v>40863</v>
          </cell>
          <cell r="B617">
            <v>40863</v>
          </cell>
          <cell r="C617" t="str">
            <v>Future</v>
          </cell>
          <cell r="D617" t="e">
            <v>#N/A</v>
          </cell>
          <cell r="E617">
            <v>11.136486486486474</v>
          </cell>
          <cell r="F617">
            <v>15.055405405405443</v>
          </cell>
          <cell r="G617">
            <v>14.271621621621629</v>
          </cell>
          <cell r="H617">
            <v>14.271621621621629</v>
          </cell>
          <cell r="I617" t="e">
            <v>#N/A</v>
          </cell>
          <cell r="J617" t="e">
            <v>#N/A</v>
          </cell>
          <cell r="K617" t="e">
            <v>#N/A</v>
          </cell>
          <cell r="L617" t="e">
            <v>#N/A</v>
          </cell>
          <cell r="M617" t="e">
            <v>#N/A</v>
          </cell>
          <cell r="N617" t="e">
            <v>#N/A</v>
          </cell>
          <cell r="O617" t="e">
            <v>#N/A</v>
          </cell>
          <cell r="P617">
            <v>14.52</v>
          </cell>
          <cell r="Q617" t="str">
            <v/>
          </cell>
          <cell r="R617" t="e">
            <v>#N/A</v>
          </cell>
        </row>
        <row r="618">
          <cell r="A618">
            <v>40864</v>
          </cell>
          <cell r="B618">
            <v>40864</v>
          </cell>
          <cell r="C618" t="str">
            <v>Future</v>
          </cell>
          <cell r="D618" t="e">
            <v>#N/A</v>
          </cell>
          <cell r="E618">
            <v>11.081081081081068</v>
          </cell>
          <cell r="F618">
            <v>15.067567567567606</v>
          </cell>
          <cell r="G618">
            <v>14.270270270270277</v>
          </cell>
          <cell r="H618">
            <v>14.270270270270277</v>
          </cell>
          <cell r="I618" t="e">
            <v>#N/A</v>
          </cell>
          <cell r="J618" t="e">
            <v>#N/A</v>
          </cell>
          <cell r="K618" t="e">
            <v>#N/A</v>
          </cell>
          <cell r="L618" t="e">
            <v>#N/A</v>
          </cell>
          <cell r="M618" t="e">
            <v>#N/A</v>
          </cell>
          <cell r="N618" t="e">
            <v>#N/A</v>
          </cell>
          <cell r="O618" t="e">
            <v>#N/A</v>
          </cell>
          <cell r="P618">
            <v>14.52</v>
          </cell>
          <cell r="Q618" t="str">
            <v/>
          </cell>
          <cell r="R618" t="e">
            <v>#N/A</v>
          </cell>
        </row>
        <row r="619">
          <cell r="A619">
            <v>40865</v>
          </cell>
          <cell r="B619">
            <v>40865</v>
          </cell>
          <cell r="C619" t="str">
            <v>Future</v>
          </cell>
          <cell r="D619" t="e">
            <v>#N/A</v>
          </cell>
          <cell r="E619">
            <v>11.025675675675663</v>
          </cell>
          <cell r="F619">
            <v>15.079729729729769</v>
          </cell>
          <cell r="G619">
            <v>14.268918918918926</v>
          </cell>
          <cell r="H619">
            <v>14.268918918918926</v>
          </cell>
          <cell r="I619" t="e">
            <v>#N/A</v>
          </cell>
          <cell r="J619" t="e">
            <v>#N/A</v>
          </cell>
          <cell r="K619" t="e">
            <v>#N/A</v>
          </cell>
          <cell r="L619" t="e">
            <v>#N/A</v>
          </cell>
          <cell r="M619" t="e">
            <v>#N/A</v>
          </cell>
          <cell r="N619" t="e">
            <v>#N/A</v>
          </cell>
          <cell r="O619" t="e">
            <v>#N/A</v>
          </cell>
          <cell r="P619">
            <v>14.52</v>
          </cell>
          <cell r="Q619" t="str">
            <v/>
          </cell>
          <cell r="R619" t="e">
            <v>#N/A</v>
          </cell>
        </row>
        <row r="620">
          <cell r="A620">
            <v>40868</v>
          </cell>
          <cell r="B620">
            <v>40868</v>
          </cell>
          <cell r="C620" t="str">
            <v>Future</v>
          </cell>
          <cell r="D620" t="e">
            <v>#N/A</v>
          </cell>
          <cell r="E620">
            <v>10.970270270270257</v>
          </cell>
          <cell r="F620">
            <v>15.091891891891931</v>
          </cell>
          <cell r="G620">
            <v>14.267567567567575</v>
          </cell>
          <cell r="H620">
            <v>14.267567567567575</v>
          </cell>
          <cell r="I620" t="e">
            <v>#N/A</v>
          </cell>
          <cell r="J620" t="e">
            <v>#N/A</v>
          </cell>
          <cell r="K620" t="e">
            <v>#N/A</v>
          </cell>
          <cell r="L620" t="e">
            <v>#N/A</v>
          </cell>
          <cell r="M620" t="e">
            <v>#N/A</v>
          </cell>
          <cell r="N620" t="e">
            <v>#N/A</v>
          </cell>
          <cell r="O620" t="e">
            <v>#N/A</v>
          </cell>
          <cell r="P620">
            <v>14.52</v>
          </cell>
          <cell r="Q620" t="str">
            <v/>
          </cell>
          <cell r="R620" t="e">
            <v>#N/A</v>
          </cell>
        </row>
        <row r="621">
          <cell r="A621">
            <v>40869</v>
          </cell>
          <cell r="B621">
            <v>40869</v>
          </cell>
          <cell r="C621" t="str">
            <v>Future</v>
          </cell>
          <cell r="D621" t="e">
            <v>#N/A</v>
          </cell>
          <cell r="E621">
            <v>10.914864864864851</v>
          </cell>
          <cell r="F621">
            <v>15.104054054054094</v>
          </cell>
          <cell r="G621">
            <v>14.266216216216224</v>
          </cell>
          <cell r="H621">
            <v>14.266216216216224</v>
          </cell>
          <cell r="I621" t="e">
            <v>#N/A</v>
          </cell>
          <cell r="J621" t="e">
            <v>#N/A</v>
          </cell>
          <cell r="K621" t="e">
            <v>#N/A</v>
          </cell>
          <cell r="L621" t="e">
            <v>#N/A</v>
          </cell>
          <cell r="M621" t="e">
            <v>#N/A</v>
          </cell>
          <cell r="N621" t="e">
            <v>#N/A</v>
          </cell>
          <cell r="O621" t="e">
            <v>#N/A</v>
          </cell>
          <cell r="P621">
            <v>14.52</v>
          </cell>
          <cell r="Q621" t="str">
            <v/>
          </cell>
          <cell r="R621" t="e">
            <v>#N/A</v>
          </cell>
        </row>
        <row r="622">
          <cell r="A622">
            <v>40870</v>
          </cell>
          <cell r="B622">
            <v>40870</v>
          </cell>
          <cell r="C622" t="str">
            <v>Future</v>
          </cell>
          <cell r="D622" t="e">
            <v>#N/A</v>
          </cell>
          <cell r="E622">
            <v>10.859459459459446</v>
          </cell>
          <cell r="F622">
            <v>15.116216216216257</v>
          </cell>
          <cell r="G622">
            <v>14.264864864864872</v>
          </cell>
          <cell r="H622">
            <v>14.264864864864872</v>
          </cell>
          <cell r="I622" t="e">
            <v>#N/A</v>
          </cell>
          <cell r="J622" t="e">
            <v>#N/A</v>
          </cell>
          <cell r="K622" t="e">
            <v>#N/A</v>
          </cell>
          <cell r="L622" t="e">
            <v>#N/A</v>
          </cell>
          <cell r="M622" t="e">
            <v>#N/A</v>
          </cell>
          <cell r="N622" t="e">
            <v>#N/A</v>
          </cell>
          <cell r="O622" t="e">
            <v>#N/A</v>
          </cell>
          <cell r="P622">
            <v>14.52</v>
          </cell>
          <cell r="Q622" t="str">
            <v/>
          </cell>
          <cell r="R622" t="e">
            <v>#N/A</v>
          </cell>
        </row>
        <row r="623">
          <cell r="A623">
            <v>40872</v>
          </cell>
          <cell r="B623">
            <v>40872</v>
          </cell>
          <cell r="C623" t="str">
            <v>Future</v>
          </cell>
          <cell r="D623" t="e">
            <v>#N/A</v>
          </cell>
          <cell r="E623">
            <v>10.80405405405404</v>
          </cell>
          <cell r="F623">
            <v>15.12837837837842</v>
          </cell>
          <cell r="G623">
            <v>14.263513513513521</v>
          </cell>
          <cell r="H623">
            <v>14.263513513513521</v>
          </cell>
          <cell r="I623" t="e">
            <v>#N/A</v>
          </cell>
          <cell r="J623" t="e">
            <v>#N/A</v>
          </cell>
          <cell r="K623" t="e">
            <v>#N/A</v>
          </cell>
          <cell r="L623" t="e">
            <v>#N/A</v>
          </cell>
          <cell r="M623" t="e">
            <v>#N/A</v>
          </cell>
          <cell r="N623" t="e">
            <v>#N/A</v>
          </cell>
          <cell r="O623" t="e">
            <v>#N/A</v>
          </cell>
          <cell r="P623">
            <v>14.52</v>
          </cell>
          <cell r="Q623" t="str">
            <v/>
          </cell>
          <cell r="R623" t="e">
            <v>#N/A</v>
          </cell>
        </row>
        <row r="624">
          <cell r="A624">
            <v>40875</v>
          </cell>
          <cell r="B624">
            <v>40875</v>
          </cell>
          <cell r="C624" t="str">
            <v>Future</v>
          </cell>
          <cell r="D624" t="e">
            <v>#N/A</v>
          </cell>
          <cell r="E624">
            <v>10.748648648648635</v>
          </cell>
          <cell r="F624">
            <v>15.140540540540583</v>
          </cell>
          <cell r="G624">
            <v>14.26216216216217</v>
          </cell>
          <cell r="H624">
            <v>14.26216216216217</v>
          </cell>
          <cell r="I624" t="e">
            <v>#N/A</v>
          </cell>
          <cell r="J624" t="e">
            <v>#N/A</v>
          </cell>
          <cell r="K624" t="e">
            <v>#N/A</v>
          </cell>
          <cell r="L624" t="e">
            <v>#N/A</v>
          </cell>
          <cell r="M624" t="e">
            <v>#N/A</v>
          </cell>
          <cell r="N624" t="e">
            <v>#N/A</v>
          </cell>
          <cell r="O624" t="e">
            <v>#N/A</v>
          </cell>
          <cell r="P624">
            <v>14.52</v>
          </cell>
          <cell r="Q624" t="str">
            <v/>
          </cell>
          <cell r="R624" t="e">
            <v>#N/A</v>
          </cell>
        </row>
        <row r="625">
          <cell r="A625">
            <v>40876</v>
          </cell>
          <cell r="B625">
            <v>40876</v>
          </cell>
          <cell r="C625" t="str">
            <v>Future</v>
          </cell>
          <cell r="D625" t="e">
            <v>#N/A</v>
          </cell>
          <cell r="E625">
            <v>10.693243243243229</v>
          </cell>
          <cell r="F625">
            <v>15.152702702702745</v>
          </cell>
          <cell r="G625">
            <v>14.260810810810819</v>
          </cell>
          <cell r="H625">
            <v>14.260810810810819</v>
          </cell>
          <cell r="I625" t="e">
            <v>#N/A</v>
          </cell>
          <cell r="J625" t="e">
            <v>#N/A</v>
          </cell>
          <cell r="K625" t="e">
            <v>#N/A</v>
          </cell>
          <cell r="L625" t="e">
            <v>#N/A</v>
          </cell>
          <cell r="M625" t="e">
            <v>#N/A</v>
          </cell>
          <cell r="N625" t="e">
            <v>#N/A</v>
          </cell>
          <cell r="O625" t="e">
            <v>#N/A</v>
          </cell>
          <cell r="P625">
            <v>14.52</v>
          </cell>
          <cell r="Q625" t="str">
            <v/>
          </cell>
          <cell r="R625" t="e">
            <v>#N/A</v>
          </cell>
        </row>
        <row r="626">
          <cell r="A626">
            <v>40877</v>
          </cell>
          <cell r="B626">
            <v>40877</v>
          </cell>
          <cell r="C626" t="str">
            <v>Future</v>
          </cell>
          <cell r="D626" t="e">
            <v>#N/A</v>
          </cell>
          <cell r="E626">
            <v>10.637837837837823</v>
          </cell>
          <cell r="F626">
            <v>15.164864864864908</v>
          </cell>
          <cell r="G626">
            <v>14.259459459459467</v>
          </cell>
          <cell r="H626">
            <v>14.259459459459467</v>
          </cell>
          <cell r="I626" t="e">
            <v>#N/A</v>
          </cell>
          <cell r="J626" t="e">
            <v>#N/A</v>
          </cell>
          <cell r="K626" t="e">
            <v>#N/A</v>
          </cell>
          <cell r="L626" t="e">
            <v>#N/A</v>
          </cell>
          <cell r="M626" t="e">
            <v>#N/A</v>
          </cell>
          <cell r="N626" t="e">
            <v>#N/A</v>
          </cell>
          <cell r="O626" t="e">
            <v>#N/A</v>
          </cell>
          <cell r="P626">
            <v>14.52</v>
          </cell>
          <cell r="Q626" t="str">
            <v/>
          </cell>
          <cell r="R626" t="e">
            <v>#N/A</v>
          </cell>
        </row>
        <row r="627">
          <cell r="A627">
            <v>40878</v>
          </cell>
          <cell r="B627">
            <v>40878</v>
          </cell>
          <cell r="C627" t="str">
            <v>Future</v>
          </cell>
          <cell r="D627" t="e">
            <v>#N/A</v>
          </cell>
          <cell r="E627">
            <v>10.582432432432418</v>
          </cell>
          <cell r="F627">
            <v>15.177027027027071</v>
          </cell>
          <cell r="G627">
            <v>14.258108108108116</v>
          </cell>
          <cell r="H627">
            <v>14.258108108108116</v>
          </cell>
          <cell r="I627" t="e">
            <v>#N/A</v>
          </cell>
          <cell r="J627" t="e">
            <v>#N/A</v>
          </cell>
          <cell r="K627" t="e">
            <v>#N/A</v>
          </cell>
          <cell r="L627" t="e">
            <v>#N/A</v>
          </cell>
          <cell r="M627" t="e">
            <v>#N/A</v>
          </cell>
          <cell r="N627" t="e">
            <v>#N/A</v>
          </cell>
          <cell r="O627" t="e">
            <v>#N/A</v>
          </cell>
          <cell r="P627">
            <v>14.52</v>
          </cell>
          <cell r="Q627" t="str">
            <v/>
          </cell>
          <cell r="R627" t="e">
            <v>#N/A</v>
          </cell>
        </row>
        <row r="628">
          <cell r="A628">
            <v>40879</v>
          </cell>
          <cell r="B628">
            <v>40879</v>
          </cell>
          <cell r="C628" t="str">
            <v>Future</v>
          </cell>
          <cell r="D628" t="e">
            <v>#N/A</v>
          </cell>
          <cell r="E628">
            <v>10.527027027027012</v>
          </cell>
          <cell r="F628">
            <v>15.189189189189234</v>
          </cell>
          <cell r="G628">
            <v>14.256756756756765</v>
          </cell>
          <cell r="H628">
            <v>14.256756756756765</v>
          </cell>
          <cell r="I628" t="e">
            <v>#N/A</v>
          </cell>
          <cell r="J628" t="e">
            <v>#N/A</v>
          </cell>
          <cell r="K628" t="e">
            <v>#N/A</v>
          </cell>
          <cell r="L628" t="e">
            <v>#N/A</v>
          </cell>
          <cell r="M628" t="e">
            <v>#N/A</v>
          </cell>
          <cell r="N628" t="e">
            <v>#N/A</v>
          </cell>
          <cell r="O628" t="e">
            <v>#N/A</v>
          </cell>
          <cell r="P628">
            <v>14.52</v>
          </cell>
          <cell r="Q628" t="str">
            <v/>
          </cell>
          <cell r="R628" t="e">
            <v>#N/A</v>
          </cell>
        </row>
        <row r="629">
          <cell r="A629">
            <v>40882</v>
          </cell>
          <cell r="B629">
            <v>40882</v>
          </cell>
          <cell r="C629" t="str">
            <v>Future</v>
          </cell>
          <cell r="D629" t="e">
            <v>#N/A</v>
          </cell>
          <cell r="E629">
            <v>10.471621621621606</v>
          </cell>
          <cell r="F629">
            <v>15.201351351351397</v>
          </cell>
          <cell r="G629">
            <v>14.255405405405414</v>
          </cell>
          <cell r="H629">
            <v>14.255405405405414</v>
          </cell>
          <cell r="I629" t="e">
            <v>#N/A</v>
          </cell>
          <cell r="J629" t="e">
            <v>#N/A</v>
          </cell>
          <cell r="K629" t="e">
            <v>#N/A</v>
          </cell>
          <cell r="L629" t="e">
            <v>#N/A</v>
          </cell>
          <cell r="M629" t="e">
            <v>#N/A</v>
          </cell>
          <cell r="N629" t="e">
            <v>#N/A</v>
          </cell>
          <cell r="O629" t="e">
            <v>#N/A</v>
          </cell>
          <cell r="P629">
            <v>14.52</v>
          </cell>
          <cell r="Q629" t="str">
            <v/>
          </cell>
          <cell r="R629" t="e">
            <v>#N/A</v>
          </cell>
        </row>
        <row r="630">
          <cell r="A630">
            <v>40883</v>
          </cell>
          <cell r="B630">
            <v>40883</v>
          </cell>
          <cell r="C630" t="str">
            <v>Future</v>
          </cell>
          <cell r="D630" t="e">
            <v>#N/A</v>
          </cell>
          <cell r="E630">
            <v>10.416216216216201</v>
          </cell>
          <cell r="F630">
            <v>15.21351351351356</v>
          </cell>
          <cell r="G630">
            <v>14.254054054054063</v>
          </cell>
          <cell r="H630">
            <v>14.254054054054063</v>
          </cell>
          <cell r="I630" t="e">
            <v>#N/A</v>
          </cell>
          <cell r="J630" t="e">
            <v>#N/A</v>
          </cell>
          <cell r="K630" t="e">
            <v>#N/A</v>
          </cell>
          <cell r="L630" t="e">
            <v>#N/A</v>
          </cell>
          <cell r="M630" t="e">
            <v>#N/A</v>
          </cell>
          <cell r="N630" t="e">
            <v>#N/A</v>
          </cell>
          <cell r="O630" t="e">
            <v>#N/A</v>
          </cell>
          <cell r="P630">
            <v>14.52</v>
          </cell>
          <cell r="Q630" t="str">
            <v/>
          </cell>
          <cell r="R630" t="e">
            <v>#N/A</v>
          </cell>
        </row>
        <row r="631">
          <cell r="A631">
            <v>40884</v>
          </cell>
          <cell r="B631">
            <v>40884</v>
          </cell>
          <cell r="C631" t="str">
            <v>Future</v>
          </cell>
          <cell r="D631" t="e">
            <v>#N/A</v>
          </cell>
          <cell r="E631">
            <v>10.360810810810795</v>
          </cell>
          <cell r="F631">
            <v>15.225675675675722</v>
          </cell>
          <cell r="G631">
            <v>14.252702702702711</v>
          </cell>
          <cell r="H631">
            <v>14.252702702702711</v>
          </cell>
          <cell r="I631" t="e">
            <v>#N/A</v>
          </cell>
          <cell r="J631" t="e">
            <v>#N/A</v>
          </cell>
          <cell r="K631" t="e">
            <v>#N/A</v>
          </cell>
          <cell r="L631" t="e">
            <v>#N/A</v>
          </cell>
          <cell r="M631" t="e">
            <v>#N/A</v>
          </cell>
          <cell r="N631" t="e">
            <v>#N/A</v>
          </cell>
          <cell r="O631" t="e">
            <v>#N/A</v>
          </cell>
          <cell r="P631">
            <v>14.52</v>
          </cell>
          <cell r="Q631" t="str">
            <v/>
          </cell>
          <cell r="R631" t="e">
            <v>#N/A</v>
          </cell>
        </row>
        <row r="632">
          <cell r="A632">
            <v>40885</v>
          </cell>
          <cell r="B632">
            <v>40885</v>
          </cell>
          <cell r="C632" t="str">
            <v>Future</v>
          </cell>
          <cell r="D632" t="e">
            <v>#N/A</v>
          </cell>
          <cell r="E632">
            <v>10.30540540540539</v>
          </cell>
          <cell r="F632">
            <v>15.237837837837885</v>
          </cell>
          <cell r="G632">
            <v>14.25135135135136</v>
          </cell>
          <cell r="H632">
            <v>14.25135135135136</v>
          </cell>
          <cell r="I632" t="e">
            <v>#N/A</v>
          </cell>
          <cell r="J632" t="e">
            <v>#N/A</v>
          </cell>
          <cell r="K632" t="e">
            <v>#N/A</v>
          </cell>
          <cell r="L632" t="e">
            <v>#N/A</v>
          </cell>
          <cell r="M632" t="e">
            <v>#N/A</v>
          </cell>
          <cell r="N632" t="e">
            <v>#N/A</v>
          </cell>
          <cell r="O632" t="e">
            <v>#N/A</v>
          </cell>
          <cell r="P632">
            <v>14.52</v>
          </cell>
          <cell r="Q632" t="str">
            <v/>
          </cell>
          <cell r="R632" t="e">
            <v>#N/A</v>
          </cell>
        </row>
        <row r="633">
          <cell r="A633">
            <v>40886</v>
          </cell>
          <cell r="B633">
            <v>40886</v>
          </cell>
          <cell r="C633" t="str">
            <v>Future</v>
          </cell>
          <cell r="D633" t="e">
            <v>#N/A</v>
          </cell>
          <cell r="E633">
            <v>10.249999999999984</v>
          </cell>
          <cell r="F633">
            <v>15.250000000000048</v>
          </cell>
          <cell r="G633">
            <v>14.250000000000009</v>
          </cell>
          <cell r="H633">
            <v>14.250000000000009</v>
          </cell>
          <cell r="I633" t="e">
            <v>#N/A</v>
          </cell>
          <cell r="J633" t="e">
            <v>#N/A</v>
          </cell>
          <cell r="K633" t="e">
            <v>#N/A</v>
          </cell>
          <cell r="L633" t="e">
            <v>#N/A</v>
          </cell>
          <cell r="M633" t="e">
            <v>#N/A</v>
          </cell>
          <cell r="N633" t="e">
            <v>#N/A</v>
          </cell>
          <cell r="O633" t="e">
            <v>#N/A</v>
          </cell>
          <cell r="P633">
            <v>14.52</v>
          </cell>
          <cell r="Q633" t="str">
            <v/>
          </cell>
          <cell r="R633" t="e">
            <v>#N/A</v>
          </cell>
        </row>
        <row r="634">
          <cell r="A634">
            <v>40889</v>
          </cell>
          <cell r="B634">
            <v>40889</v>
          </cell>
          <cell r="C634" t="str">
            <v>Future</v>
          </cell>
          <cell r="D634" t="e">
            <v>#N/A</v>
          </cell>
          <cell r="E634">
            <v>10.194594594594578</v>
          </cell>
          <cell r="F634">
            <v>15.262162162162211</v>
          </cell>
          <cell r="G634">
            <v>14.248648648648658</v>
          </cell>
          <cell r="H634">
            <v>14.248648648648658</v>
          </cell>
          <cell r="I634" t="e">
            <v>#N/A</v>
          </cell>
          <cell r="J634" t="e">
            <v>#N/A</v>
          </cell>
          <cell r="K634" t="e">
            <v>#N/A</v>
          </cell>
          <cell r="L634" t="e">
            <v>#N/A</v>
          </cell>
          <cell r="M634" t="e">
            <v>#N/A</v>
          </cell>
          <cell r="N634" t="e">
            <v>#N/A</v>
          </cell>
          <cell r="O634" t="e">
            <v>#N/A</v>
          </cell>
          <cell r="P634">
            <v>14.52</v>
          </cell>
          <cell r="Q634" t="str">
            <v/>
          </cell>
          <cell r="R634" t="e">
            <v>#N/A</v>
          </cell>
        </row>
        <row r="635">
          <cell r="A635">
            <v>40890</v>
          </cell>
          <cell r="B635">
            <v>40890</v>
          </cell>
          <cell r="C635" t="str">
            <v>Future</v>
          </cell>
          <cell r="D635" t="e">
            <v>#N/A</v>
          </cell>
          <cell r="E635">
            <v>10.139189189189173</v>
          </cell>
          <cell r="F635">
            <v>15.274324324324374</v>
          </cell>
          <cell r="G635">
            <v>14.247297297297306</v>
          </cell>
          <cell r="H635">
            <v>14.247297297297306</v>
          </cell>
          <cell r="I635" t="e">
            <v>#N/A</v>
          </cell>
          <cell r="J635" t="e">
            <v>#N/A</v>
          </cell>
          <cell r="K635" t="e">
            <v>#N/A</v>
          </cell>
          <cell r="L635" t="e">
            <v>#N/A</v>
          </cell>
          <cell r="M635" t="e">
            <v>#N/A</v>
          </cell>
          <cell r="N635" t="e">
            <v>#N/A</v>
          </cell>
          <cell r="O635" t="e">
            <v>#N/A</v>
          </cell>
          <cell r="P635">
            <v>14.52</v>
          </cell>
          <cell r="Q635" t="str">
            <v/>
          </cell>
          <cell r="R635" t="e">
            <v>#N/A</v>
          </cell>
        </row>
        <row r="636">
          <cell r="A636">
            <v>40891</v>
          </cell>
          <cell r="B636">
            <v>40891</v>
          </cell>
          <cell r="C636" t="str">
            <v>Future</v>
          </cell>
          <cell r="D636" t="e">
            <v>#N/A</v>
          </cell>
          <cell r="E636">
            <v>10.083783783783767</v>
          </cell>
          <cell r="F636">
            <v>15.286486486486536</v>
          </cell>
          <cell r="G636">
            <v>14.245945945945955</v>
          </cell>
          <cell r="H636">
            <v>14.245945945945955</v>
          </cell>
          <cell r="I636" t="e">
            <v>#N/A</v>
          </cell>
          <cell r="J636" t="e">
            <v>#N/A</v>
          </cell>
          <cell r="K636" t="e">
            <v>#N/A</v>
          </cell>
          <cell r="L636" t="e">
            <v>#N/A</v>
          </cell>
          <cell r="M636" t="e">
            <v>#N/A</v>
          </cell>
          <cell r="N636" t="e">
            <v>#N/A</v>
          </cell>
          <cell r="O636" t="e">
            <v>#N/A</v>
          </cell>
          <cell r="P636">
            <v>14.52</v>
          </cell>
          <cell r="Q636" t="str">
            <v/>
          </cell>
          <cell r="R636" t="e">
            <v>#N/A</v>
          </cell>
        </row>
        <row r="637">
          <cell r="A637">
            <v>40892</v>
          </cell>
          <cell r="B637">
            <v>40892</v>
          </cell>
          <cell r="C637" t="str">
            <v>Future</v>
          </cell>
          <cell r="D637" t="e">
            <v>#N/A</v>
          </cell>
          <cell r="E637">
            <v>10.028378378378362</v>
          </cell>
          <cell r="F637">
            <v>15.298648648648699</v>
          </cell>
          <cell r="G637">
            <v>14.244594594594604</v>
          </cell>
          <cell r="H637">
            <v>14.244594594594604</v>
          </cell>
          <cell r="I637" t="e">
            <v>#N/A</v>
          </cell>
          <cell r="J637" t="e">
            <v>#N/A</v>
          </cell>
          <cell r="K637" t="e">
            <v>#N/A</v>
          </cell>
          <cell r="L637" t="e">
            <v>#N/A</v>
          </cell>
          <cell r="M637" t="e">
            <v>#N/A</v>
          </cell>
          <cell r="N637" t="e">
            <v>#N/A</v>
          </cell>
          <cell r="O637" t="e">
            <v>#N/A</v>
          </cell>
          <cell r="P637">
            <v>14.52</v>
          </cell>
          <cell r="Q637" t="str">
            <v/>
          </cell>
          <cell r="R637" t="e">
            <v>#N/A</v>
          </cell>
        </row>
        <row r="638">
          <cell r="A638">
            <v>40893</v>
          </cell>
          <cell r="B638">
            <v>40893</v>
          </cell>
          <cell r="C638" t="str">
            <v>Future</v>
          </cell>
          <cell r="D638" t="e">
            <v>#N/A</v>
          </cell>
          <cell r="E638">
            <v>9.9729729729729559</v>
          </cell>
          <cell r="F638">
            <v>15.310810810810862</v>
          </cell>
          <cell r="G638">
            <v>14.243243243243253</v>
          </cell>
          <cell r="H638">
            <v>14.243243243243253</v>
          </cell>
          <cell r="I638" t="e">
            <v>#N/A</v>
          </cell>
          <cell r="J638" t="e">
            <v>#N/A</v>
          </cell>
          <cell r="K638" t="e">
            <v>#N/A</v>
          </cell>
          <cell r="L638" t="e">
            <v>#N/A</v>
          </cell>
          <cell r="M638" t="e">
            <v>#N/A</v>
          </cell>
          <cell r="N638" t="e">
            <v>#N/A</v>
          </cell>
          <cell r="O638" t="e">
            <v>#N/A</v>
          </cell>
          <cell r="P638">
            <v>14.52</v>
          </cell>
          <cell r="Q638" t="str">
            <v/>
          </cell>
          <cell r="R638" t="e">
            <v>#N/A</v>
          </cell>
        </row>
        <row r="639">
          <cell r="A639">
            <v>40896</v>
          </cell>
          <cell r="B639">
            <v>40896</v>
          </cell>
          <cell r="C639" t="str">
            <v>Future</v>
          </cell>
          <cell r="D639" t="e">
            <v>#N/A</v>
          </cell>
          <cell r="E639">
            <v>9.9175675675675503</v>
          </cell>
          <cell r="F639">
            <v>15.322972972973025</v>
          </cell>
          <cell r="G639">
            <v>14.241891891891902</v>
          </cell>
          <cell r="H639">
            <v>14.241891891891902</v>
          </cell>
          <cell r="I639" t="e">
            <v>#N/A</v>
          </cell>
          <cell r="J639" t="e">
            <v>#N/A</v>
          </cell>
          <cell r="K639" t="e">
            <v>#N/A</v>
          </cell>
          <cell r="L639" t="e">
            <v>#N/A</v>
          </cell>
          <cell r="M639" t="e">
            <v>#N/A</v>
          </cell>
          <cell r="N639" t="e">
            <v>#N/A</v>
          </cell>
          <cell r="O639" t="e">
            <v>#N/A</v>
          </cell>
          <cell r="P639">
            <v>14.52</v>
          </cell>
          <cell r="Q639" t="str">
            <v/>
          </cell>
          <cell r="R639" t="e">
            <v>#N/A</v>
          </cell>
        </row>
        <row r="640">
          <cell r="A640">
            <v>40897</v>
          </cell>
          <cell r="B640">
            <v>40897</v>
          </cell>
          <cell r="C640" t="str">
            <v>Future</v>
          </cell>
          <cell r="D640" t="e">
            <v>#N/A</v>
          </cell>
          <cell r="E640">
            <v>9.8621621621621447</v>
          </cell>
          <cell r="F640">
            <v>15.335135135135188</v>
          </cell>
          <cell r="G640">
            <v>14.24054054054055</v>
          </cell>
          <cell r="H640">
            <v>14.24054054054055</v>
          </cell>
          <cell r="I640" t="e">
            <v>#N/A</v>
          </cell>
          <cell r="J640" t="e">
            <v>#N/A</v>
          </cell>
          <cell r="K640" t="e">
            <v>#N/A</v>
          </cell>
          <cell r="L640" t="e">
            <v>#N/A</v>
          </cell>
          <cell r="M640" t="e">
            <v>#N/A</v>
          </cell>
          <cell r="N640" t="e">
            <v>#N/A</v>
          </cell>
          <cell r="O640" t="e">
            <v>#N/A</v>
          </cell>
          <cell r="P640">
            <v>14.52</v>
          </cell>
          <cell r="Q640" t="str">
            <v/>
          </cell>
          <cell r="R640" t="e">
            <v>#N/A</v>
          </cell>
        </row>
        <row r="641">
          <cell r="A641">
            <v>40898</v>
          </cell>
          <cell r="B641">
            <v>40898</v>
          </cell>
          <cell r="C641" t="str">
            <v>Future</v>
          </cell>
          <cell r="D641" t="e">
            <v>#N/A</v>
          </cell>
          <cell r="E641">
            <v>9.8067567567567391</v>
          </cell>
          <cell r="F641">
            <v>15.34729729729735</v>
          </cell>
          <cell r="G641">
            <v>14.239189189189199</v>
          </cell>
          <cell r="H641">
            <v>14.239189189189199</v>
          </cell>
          <cell r="I641" t="e">
            <v>#N/A</v>
          </cell>
          <cell r="J641" t="e">
            <v>#N/A</v>
          </cell>
          <cell r="K641" t="e">
            <v>#N/A</v>
          </cell>
          <cell r="L641" t="e">
            <v>#N/A</v>
          </cell>
          <cell r="M641" t="e">
            <v>#N/A</v>
          </cell>
          <cell r="N641" t="e">
            <v>#N/A</v>
          </cell>
          <cell r="O641" t="e">
            <v>#N/A</v>
          </cell>
          <cell r="P641">
            <v>14.52</v>
          </cell>
          <cell r="Q641" t="str">
            <v/>
          </cell>
          <cell r="R641" t="e">
            <v>#N/A</v>
          </cell>
        </row>
        <row r="642">
          <cell r="A642">
            <v>40899</v>
          </cell>
          <cell r="B642">
            <v>40899</v>
          </cell>
          <cell r="C642" t="str">
            <v>Future</v>
          </cell>
          <cell r="D642" t="e">
            <v>#N/A</v>
          </cell>
          <cell r="E642">
            <v>9.7513513513513335</v>
          </cell>
          <cell r="F642">
            <v>15.359459459459513</v>
          </cell>
          <cell r="G642">
            <v>14.237837837837848</v>
          </cell>
          <cell r="H642">
            <v>14.237837837837848</v>
          </cell>
          <cell r="I642" t="e">
            <v>#N/A</v>
          </cell>
          <cell r="J642" t="e">
            <v>#N/A</v>
          </cell>
          <cell r="K642" t="e">
            <v>#N/A</v>
          </cell>
          <cell r="L642" t="e">
            <v>#N/A</v>
          </cell>
          <cell r="M642" t="e">
            <v>#N/A</v>
          </cell>
          <cell r="N642" t="e">
            <v>#N/A</v>
          </cell>
          <cell r="O642" t="e">
            <v>#N/A</v>
          </cell>
          <cell r="P642">
            <v>14.52</v>
          </cell>
          <cell r="Q642" t="str">
            <v/>
          </cell>
          <cell r="R642" t="e">
            <v>#N/A</v>
          </cell>
        </row>
        <row r="643">
          <cell r="A643">
            <v>40900</v>
          </cell>
          <cell r="B643">
            <v>40900</v>
          </cell>
          <cell r="C643" t="str">
            <v>Future</v>
          </cell>
          <cell r="D643" t="e">
            <v>#N/A</v>
          </cell>
          <cell r="E643">
            <v>9.6959459459459278</v>
          </cell>
          <cell r="F643">
            <v>15.371621621621676</v>
          </cell>
          <cell r="G643">
            <v>14.236486486486497</v>
          </cell>
          <cell r="H643">
            <v>14.236486486486497</v>
          </cell>
          <cell r="I643" t="e">
            <v>#N/A</v>
          </cell>
          <cell r="J643" t="e">
            <v>#N/A</v>
          </cell>
          <cell r="K643" t="e">
            <v>#N/A</v>
          </cell>
          <cell r="L643" t="e">
            <v>#N/A</v>
          </cell>
          <cell r="M643" t="e">
            <v>#N/A</v>
          </cell>
          <cell r="N643" t="e">
            <v>#N/A</v>
          </cell>
          <cell r="O643" t="e">
            <v>#N/A</v>
          </cell>
          <cell r="P643">
            <v>14.52</v>
          </cell>
          <cell r="Q643" t="str">
            <v/>
          </cell>
          <cell r="R643" t="e">
            <v>#N/A</v>
          </cell>
        </row>
        <row r="644">
          <cell r="A644">
            <v>40904</v>
          </cell>
          <cell r="B644">
            <v>40904</v>
          </cell>
          <cell r="C644" t="str">
            <v>Future</v>
          </cell>
          <cell r="D644" t="e">
            <v>#N/A</v>
          </cell>
          <cell r="E644">
            <v>9.6405405405405222</v>
          </cell>
          <cell r="F644">
            <v>15.383783783783839</v>
          </cell>
          <cell r="G644">
            <v>14.235135135135145</v>
          </cell>
          <cell r="H644">
            <v>14.235135135135145</v>
          </cell>
          <cell r="I644" t="e">
            <v>#N/A</v>
          </cell>
          <cell r="J644" t="e">
            <v>#N/A</v>
          </cell>
          <cell r="K644" t="e">
            <v>#N/A</v>
          </cell>
          <cell r="L644" t="e">
            <v>#N/A</v>
          </cell>
          <cell r="M644" t="e">
            <v>#N/A</v>
          </cell>
          <cell r="N644" t="e">
            <v>#N/A</v>
          </cell>
          <cell r="O644" t="e">
            <v>#N/A</v>
          </cell>
          <cell r="P644">
            <v>14.52</v>
          </cell>
          <cell r="Q644" t="str">
            <v/>
          </cell>
          <cell r="R644" t="e">
            <v>#N/A</v>
          </cell>
        </row>
        <row r="645">
          <cell r="A645">
            <v>40905</v>
          </cell>
          <cell r="B645">
            <v>40905</v>
          </cell>
          <cell r="C645" t="str">
            <v>Future</v>
          </cell>
          <cell r="D645" t="e">
            <v>#N/A</v>
          </cell>
          <cell r="E645">
            <v>9.5851351351351166</v>
          </cell>
          <cell r="F645">
            <v>15.395945945946002</v>
          </cell>
          <cell r="G645">
            <v>14.233783783783794</v>
          </cell>
          <cell r="H645">
            <v>14.233783783783794</v>
          </cell>
          <cell r="I645" t="e">
            <v>#N/A</v>
          </cell>
          <cell r="J645" t="e">
            <v>#N/A</v>
          </cell>
          <cell r="K645" t="e">
            <v>#N/A</v>
          </cell>
          <cell r="L645" t="e">
            <v>#N/A</v>
          </cell>
          <cell r="M645" t="e">
            <v>#N/A</v>
          </cell>
          <cell r="N645" t="e">
            <v>#N/A</v>
          </cell>
          <cell r="O645" t="e">
            <v>#N/A</v>
          </cell>
          <cell r="P645">
            <v>14.52</v>
          </cell>
          <cell r="Q645" t="str">
            <v/>
          </cell>
          <cell r="R645" t="e">
            <v>#N/A</v>
          </cell>
        </row>
        <row r="646">
          <cell r="A646">
            <v>40906</v>
          </cell>
          <cell r="B646">
            <v>40906</v>
          </cell>
          <cell r="C646" t="str">
            <v>Future</v>
          </cell>
          <cell r="D646" t="e">
            <v>#N/A</v>
          </cell>
          <cell r="E646">
            <v>9.529729729729711</v>
          </cell>
          <cell r="F646">
            <v>15.408108108108165</v>
          </cell>
          <cell r="G646">
            <v>14.232432432432443</v>
          </cell>
          <cell r="H646">
            <v>14.232432432432443</v>
          </cell>
          <cell r="I646" t="e">
            <v>#N/A</v>
          </cell>
          <cell r="J646" t="e">
            <v>#N/A</v>
          </cell>
          <cell r="K646" t="e">
            <v>#N/A</v>
          </cell>
          <cell r="L646" t="e">
            <v>#N/A</v>
          </cell>
          <cell r="M646" t="e">
            <v>#N/A</v>
          </cell>
          <cell r="N646" t="e">
            <v>#N/A</v>
          </cell>
          <cell r="O646" t="e">
            <v>#N/A</v>
          </cell>
          <cell r="P646">
            <v>14.52</v>
          </cell>
          <cell r="Q646" t="str">
            <v/>
          </cell>
          <cell r="R646" t="e">
            <v>#N/A</v>
          </cell>
        </row>
        <row r="647">
          <cell r="A647">
            <v>40907</v>
          </cell>
          <cell r="B647">
            <v>40907</v>
          </cell>
          <cell r="C647" t="str">
            <v>Future</v>
          </cell>
          <cell r="D647" t="e">
            <v>#N/A</v>
          </cell>
          <cell r="E647">
            <v>9.4743243243243054</v>
          </cell>
          <cell r="F647">
            <v>15.420270270270327</v>
          </cell>
          <cell r="G647">
            <v>14.231081081081092</v>
          </cell>
          <cell r="H647">
            <v>14.231081081081092</v>
          </cell>
          <cell r="I647" t="e">
            <v>#N/A</v>
          </cell>
          <cell r="J647" t="e">
            <v>#N/A</v>
          </cell>
          <cell r="K647" t="e">
            <v>#N/A</v>
          </cell>
          <cell r="L647" t="e">
            <v>#N/A</v>
          </cell>
          <cell r="M647" t="e">
            <v>#N/A</v>
          </cell>
          <cell r="N647" t="e">
            <v>#N/A</v>
          </cell>
          <cell r="O647" t="e">
            <v>#N/A</v>
          </cell>
          <cell r="P647">
            <v>14.52</v>
          </cell>
          <cell r="Q647" t="str">
            <v/>
          </cell>
          <cell r="R647" t="e">
            <v>#N/A</v>
          </cell>
        </row>
        <row r="648">
          <cell r="A648">
            <v>40910</v>
          </cell>
          <cell r="B648">
            <v>40910</v>
          </cell>
          <cell r="C648" t="str">
            <v>Future</v>
          </cell>
          <cell r="D648" t="e">
            <v>#N/A</v>
          </cell>
          <cell r="E648">
            <v>9.4189189189188998</v>
          </cell>
          <cell r="F648">
            <v>15.43243243243249</v>
          </cell>
          <cell r="G648">
            <v>14.22972972972974</v>
          </cell>
          <cell r="H648">
            <v>14.22972972972974</v>
          </cell>
          <cell r="I648" t="e">
            <v>#N/A</v>
          </cell>
          <cell r="J648" t="e">
            <v>#N/A</v>
          </cell>
          <cell r="K648" t="e">
            <v>#N/A</v>
          </cell>
          <cell r="L648" t="e">
            <v>#N/A</v>
          </cell>
          <cell r="M648" t="e">
            <v>#N/A</v>
          </cell>
          <cell r="N648" t="e">
            <v>#N/A</v>
          </cell>
          <cell r="O648" t="e">
            <v>#N/A</v>
          </cell>
          <cell r="P648">
            <v>14.52</v>
          </cell>
          <cell r="Q648" t="str">
            <v/>
          </cell>
          <cell r="R648" t="e">
            <v>#N/A</v>
          </cell>
        </row>
        <row r="649">
          <cell r="A649">
            <v>40911</v>
          </cell>
          <cell r="B649">
            <v>40911</v>
          </cell>
          <cell r="C649" t="str">
            <v>Future</v>
          </cell>
          <cell r="D649" t="e">
            <v>#N/A</v>
          </cell>
          <cell r="E649">
            <v>9.3635135135134941</v>
          </cell>
          <cell r="F649">
            <v>15.444594594594653</v>
          </cell>
          <cell r="G649">
            <v>14.228378378378389</v>
          </cell>
          <cell r="H649">
            <v>14.228378378378389</v>
          </cell>
          <cell r="I649" t="e">
            <v>#N/A</v>
          </cell>
          <cell r="J649" t="e">
            <v>#N/A</v>
          </cell>
          <cell r="K649" t="e">
            <v>#N/A</v>
          </cell>
          <cell r="L649" t="e">
            <v>#N/A</v>
          </cell>
          <cell r="M649" t="e">
            <v>#N/A</v>
          </cell>
          <cell r="N649" t="e">
            <v>#N/A</v>
          </cell>
          <cell r="O649" t="e">
            <v>#N/A</v>
          </cell>
          <cell r="P649">
            <v>14.52</v>
          </cell>
          <cell r="Q649" t="str">
            <v/>
          </cell>
          <cell r="R649" t="e">
            <v>#N/A</v>
          </cell>
        </row>
        <row r="650">
          <cell r="A650">
            <v>40912</v>
          </cell>
          <cell r="B650">
            <v>40912</v>
          </cell>
          <cell r="C650" t="str">
            <v>Future</v>
          </cell>
          <cell r="D650" t="e">
            <v>#N/A</v>
          </cell>
          <cell r="E650">
            <v>9.3081081081080885</v>
          </cell>
          <cell r="F650">
            <v>15.456756756756816</v>
          </cell>
          <cell r="G650">
            <v>14.227027027027038</v>
          </cell>
          <cell r="H650">
            <v>14.227027027027038</v>
          </cell>
          <cell r="I650" t="e">
            <v>#N/A</v>
          </cell>
          <cell r="J650" t="e">
            <v>#N/A</v>
          </cell>
          <cell r="K650" t="e">
            <v>#N/A</v>
          </cell>
          <cell r="L650" t="e">
            <v>#N/A</v>
          </cell>
          <cell r="M650" t="e">
            <v>#N/A</v>
          </cell>
          <cell r="N650" t="e">
            <v>#N/A</v>
          </cell>
          <cell r="O650" t="e">
            <v>#N/A</v>
          </cell>
          <cell r="P650">
            <v>14.52</v>
          </cell>
          <cell r="Q650" t="str">
            <v/>
          </cell>
          <cell r="R650" t="e">
            <v>#N/A</v>
          </cell>
        </row>
        <row r="651">
          <cell r="A651">
            <v>40913</v>
          </cell>
          <cell r="B651">
            <v>40913</v>
          </cell>
          <cell r="C651" t="str">
            <v>Future</v>
          </cell>
          <cell r="D651" t="e">
            <v>#N/A</v>
          </cell>
          <cell r="E651">
            <v>9.2527027027026829</v>
          </cell>
          <cell r="F651">
            <v>15.468918918918979</v>
          </cell>
          <cell r="G651">
            <v>14.225675675675687</v>
          </cell>
          <cell r="H651">
            <v>14.225675675675687</v>
          </cell>
          <cell r="I651" t="e">
            <v>#N/A</v>
          </cell>
          <cell r="J651" t="e">
            <v>#N/A</v>
          </cell>
          <cell r="K651" t="e">
            <v>#N/A</v>
          </cell>
          <cell r="L651" t="e">
            <v>#N/A</v>
          </cell>
          <cell r="M651" t="e">
            <v>#N/A</v>
          </cell>
          <cell r="N651" t="e">
            <v>#N/A</v>
          </cell>
          <cell r="O651" t="e">
            <v>#N/A</v>
          </cell>
          <cell r="P651">
            <v>14.52</v>
          </cell>
          <cell r="Q651" t="str">
            <v/>
          </cell>
          <cell r="R651" t="e">
            <v>#N/A</v>
          </cell>
        </row>
        <row r="652">
          <cell r="A652">
            <v>40914</v>
          </cell>
          <cell r="B652">
            <v>40914</v>
          </cell>
          <cell r="C652" t="str">
            <v>Future</v>
          </cell>
          <cell r="D652" t="e">
            <v>#N/A</v>
          </cell>
          <cell r="E652">
            <v>9.1972972972972773</v>
          </cell>
          <cell r="F652">
            <v>15.481081081081141</v>
          </cell>
          <cell r="G652">
            <v>14.224324324324336</v>
          </cell>
          <cell r="H652">
            <v>14.224324324324336</v>
          </cell>
          <cell r="I652" t="e">
            <v>#N/A</v>
          </cell>
          <cell r="J652" t="e">
            <v>#N/A</v>
          </cell>
          <cell r="K652" t="e">
            <v>#N/A</v>
          </cell>
          <cell r="L652" t="e">
            <v>#N/A</v>
          </cell>
          <cell r="M652" t="e">
            <v>#N/A</v>
          </cell>
          <cell r="N652" t="e">
            <v>#N/A</v>
          </cell>
          <cell r="O652" t="e">
            <v>#N/A</v>
          </cell>
          <cell r="P652">
            <v>14.52</v>
          </cell>
          <cell r="Q652" t="str">
            <v/>
          </cell>
          <cell r="R652" t="e">
            <v>#N/A</v>
          </cell>
        </row>
        <row r="653">
          <cell r="A653">
            <v>40917</v>
          </cell>
          <cell r="B653">
            <v>40917</v>
          </cell>
          <cell r="C653" t="str">
            <v>Future</v>
          </cell>
          <cell r="D653" t="e">
            <v>#N/A</v>
          </cell>
          <cell r="E653">
            <v>9.1418918918918717</v>
          </cell>
          <cell r="F653">
            <v>15.493243243243304</v>
          </cell>
          <cell r="G653">
            <v>14.222972972972984</v>
          </cell>
          <cell r="H653">
            <v>14.222972972972984</v>
          </cell>
          <cell r="I653" t="e">
            <v>#N/A</v>
          </cell>
          <cell r="J653" t="e">
            <v>#N/A</v>
          </cell>
          <cell r="K653" t="e">
            <v>#N/A</v>
          </cell>
          <cell r="L653" t="e">
            <v>#N/A</v>
          </cell>
          <cell r="M653" t="e">
            <v>#N/A</v>
          </cell>
          <cell r="N653" t="e">
            <v>#N/A</v>
          </cell>
          <cell r="O653" t="e">
            <v>#N/A</v>
          </cell>
          <cell r="P653">
            <v>14.52</v>
          </cell>
          <cell r="Q653" t="str">
            <v/>
          </cell>
          <cell r="R653" t="e">
            <v>#N/A</v>
          </cell>
        </row>
        <row r="654">
          <cell r="A654">
            <v>40918</v>
          </cell>
          <cell r="B654">
            <v>40918</v>
          </cell>
          <cell r="C654" t="str">
            <v>Future</v>
          </cell>
          <cell r="D654" t="e">
            <v>#N/A</v>
          </cell>
          <cell r="E654">
            <v>9.0864864864864661</v>
          </cell>
          <cell r="F654">
            <v>15.505405405405467</v>
          </cell>
          <cell r="G654">
            <v>14.221621621621633</v>
          </cell>
          <cell r="H654">
            <v>14.221621621621633</v>
          </cell>
          <cell r="I654" t="e">
            <v>#N/A</v>
          </cell>
          <cell r="J654" t="e">
            <v>#N/A</v>
          </cell>
          <cell r="K654" t="e">
            <v>#N/A</v>
          </cell>
          <cell r="L654" t="e">
            <v>#N/A</v>
          </cell>
          <cell r="M654" t="e">
            <v>#N/A</v>
          </cell>
          <cell r="N654" t="e">
            <v>#N/A</v>
          </cell>
          <cell r="O654" t="e">
            <v>#N/A</v>
          </cell>
          <cell r="P654">
            <v>14.52</v>
          </cell>
          <cell r="Q654" t="str">
            <v/>
          </cell>
          <cell r="R654" t="e">
            <v>#N/A</v>
          </cell>
        </row>
        <row r="655">
          <cell r="A655">
            <v>40919</v>
          </cell>
          <cell r="B655">
            <v>40919</v>
          </cell>
          <cell r="C655" t="str">
            <v>Future</v>
          </cell>
          <cell r="D655" t="e">
            <v>#N/A</v>
          </cell>
          <cell r="E655">
            <v>9.0310810810810604</v>
          </cell>
          <cell r="F655">
            <v>15.51756756756763</v>
          </cell>
          <cell r="G655">
            <v>14.220270270270282</v>
          </cell>
          <cell r="H655">
            <v>14.220270270270282</v>
          </cell>
          <cell r="I655" t="e">
            <v>#N/A</v>
          </cell>
          <cell r="J655" t="e">
            <v>#N/A</v>
          </cell>
          <cell r="K655" t="e">
            <v>#N/A</v>
          </cell>
          <cell r="L655" t="e">
            <v>#N/A</v>
          </cell>
          <cell r="M655" t="e">
            <v>#N/A</v>
          </cell>
          <cell r="N655" t="e">
            <v>#N/A</v>
          </cell>
          <cell r="O655" t="e">
            <v>#N/A</v>
          </cell>
          <cell r="P655">
            <v>14.52</v>
          </cell>
          <cell r="Q655" t="str">
            <v/>
          </cell>
          <cell r="R655" t="e">
            <v>#N/A</v>
          </cell>
        </row>
        <row r="656">
          <cell r="A656">
            <v>40920</v>
          </cell>
          <cell r="B656">
            <v>40920</v>
          </cell>
          <cell r="C656" t="str">
            <v>Future</v>
          </cell>
          <cell r="D656" t="e">
            <v>#N/A</v>
          </cell>
          <cell r="E656">
            <v>8.9756756756756548</v>
          </cell>
          <cell r="F656">
            <v>15.529729729729793</v>
          </cell>
          <cell r="G656">
            <v>14.218918918918931</v>
          </cell>
          <cell r="H656">
            <v>14.218918918918931</v>
          </cell>
          <cell r="I656" t="e">
            <v>#N/A</v>
          </cell>
          <cell r="J656" t="e">
            <v>#N/A</v>
          </cell>
          <cell r="K656" t="e">
            <v>#N/A</v>
          </cell>
          <cell r="L656" t="e">
            <v>#N/A</v>
          </cell>
          <cell r="M656" t="e">
            <v>#N/A</v>
          </cell>
          <cell r="N656" t="e">
            <v>#N/A</v>
          </cell>
          <cell r="O656" t="e">
            <v>#N/A</v>
          </cell>
          <cell r="P656">
            <v>14.52</v>
          </cell>
          <cell r="Q656" t="str">
            <v/>
          </cell>
          <cell r="R656" t="e">
            <v>#N/A</v>
          </cell>
        </row>
        <row r="657">
          <cell r="A657">
            <v>40921</v>
          </cell>
          <cell r="B657">
            <v>40921</v>
          </cell>
          <cell r="C657" t="str">
            <v>Future</v>
          </cell>
          <cell r="D657" t="e">
            <v>#N/A</v>
          </cell>
          <cell r="E657">
            <v>8.9202702702702492</v>
          </cell>
          <cell r="F657">
            <v>15.541891891891956</v>
          </cell>
          <cell r="G657">
            <v>14.217567567567579</v>
          </cell>
          <cell r="H657">
            <v>14.217567567567579</v>
          </cell>
          <cell r="I657" t="e">
            <v>#N/A</v>
          </cell>
          <cell r="J657" t="e">
            <v>#N/A</v>
          </cell>
          <cell r="K657" t="e">
            <v>#N/A</v>
          </cell>
          <cell r="L657" t="e">
            <v>#N/A</v>
          </cell>
          <cell r="M657" t="e">
            <v>#N/A</v>
          </cell>
          <cell r="N657" t="e">
            <v>#N/A</v>
          </cell>
          <cell r="O657" t="e">
            <v>#N/A</v>
          </cell>
          <cell r="P657">
            <v>14.52</v>
          </cell>
          <cell r="Q657" t="str">
            <v/>
          </cell>
          <cell r="R657" t="e">
            <v>#N/A</v>
          </cell>
        </row>
        <row r="658">
          <cell r="A658">
            <v>40924</v>
          </cell>
          <cell r="B658">
            <v>40924</v>
          </cell>
          <cell r="C658" t="str">
            <v>Future</v>
          </cell>
          <cell r="D658" t="e">
            <v>#N/A</v>
          </cell>
          <cell r="E658">
            <v>8.8648648648648436</v>
          </cell>
          <cell r="F658">
            <v>15.554054054054118</v>
          </cell>
          <cell r="G658">
            <v>14.216216216216228</v>
          </cell>
          <cell r="H658">
            <v>14.216216216216228</v>
          </cell>
          <cell r="I658" t="e">
            <v>#N/A</v>
          </cell>
          <cell r="J658" t="e">
            <v>#N/A</v>
          </cell>
          <cell r="K658" t="e">
            <v>#N/A</v>
          </cell>
          <cell r="L658" t="e">
            <v>#N/A</v>
          </cell>
          <cell r="M658" t="e">
            <v>#N/A</v>
          </cell>
          <cell r="N658" t="e">
            <v>#N/A</v>
          </cell>
          <cell r="O658" t="e">
            <v>#N/A</v>
          </cell>
          <cell r="P658">
            <v>14.52</v>
          </cell>
          <cell r="Q658" t="str">
            <v/>
          </cell>
          <cell r="R658" t="e">
            <v>#N/A</v>
          </cell>
        </row>
        <row r="659">
          <cell r="A659">
            <v>40925</v>
          </cell>
          <cell r="B659">
            <v>40925</v>
          </cell>
          <cell r="C659" t="str">
            <v>Future</v>
          </cell>
          <cell r="D659" t="e">
            <v>#N/A</v>
          </cell>
          <cell r="E659">
            <v>8.809459459459438</v>
          </cell>
          <cell r="F659">
            <v>15.566216216216281</v>
          </cell>
          <cell r="G659">
            <v>14.214864864864877</v>
          </cell>
          <cell r="H659">
            <v>14.214864864864877</v>
          </cell>
          <cell r="I659" t="e">
            <v>#N/A</v>
          </cell>
          <cell r="J659" t="e">
            <v>#N/A</v>
          </cell>
          <cell r="K659" t="e">
            <v>#N/A</v>
          </cell>
          <cell r="L659" t="e">
            <v>#N/A</v>
          </cell>
          <cell r="M659" t="e">
            <v>#N/A</v>
          </cell>
          <cell r="N659" t="e">
            <v>#N/A</v>
          </cell>
          <cell r="O659" t="e">
            <v>#N/A</v>
          </cell>
          <cell r="P659">
            <v>14.52</v>
          </cell>
          <cell r="Q659" t="str">
            <v/>
          </cell>
          <cell r="R659" t="e">
            <v>#N/A</v>
          </cell>
        </row>
        <row r="660">
          <cell r="A660">
            <v>40926</v>
          </cell>
          <cell r="B660">
            <v>40926</v>
          </cell>
          <cell r="C660" t="str">
            <v>Future</v>
          </cell>
          <cell r="D660" t="e">
            <v>#N/A</v>
          </cell>
          <cell r="E660">
            <v>8.7540540540540324</v>
          </cell>
          <cell r="F660">
            <v>15.578378378378444</v>
          </cell>
          <cell r="G660">
            <v>14.213513513513526</v>
          </cell>
          <cell r="H660">
            <v>14.213513513513526</v>
          </cell>
          <cell r="I660" t="e">
            <v>#N/A</v>
          </cell>
          <cell r="J660" t="e">
            <v>#N/A</v>
          </cell>
          <cell r="K660" t="e">
            <v>#N/A</v>
          </cell>
          <cell r="L660" t="e">
            <v>#N/A</v>
          </cell>
          <cell r="M660" t="e">
            <v>#N/A</v>
          </cell>
          <cell r="N660" t="e">
            <v>#N/A</v>
          </cell>
          <cell r="O660" t="e">
            <v>#N/A</v>
          </cell>
          <cell r="P660">
            <v>14.52</v>
          </cell>
          <cell r="Q660" t="str">
            <v/>
          </cell>
          <cell r="R660" t="e">
            <v>#N/A</v>
          </cell>
        </row>
        <row r="661">
          <cell r="A661">
            <v>40927</v>
          </cell>
          <cell r="B661">
            <v>40927</v>
          </cell>
          <cell r="C661" t="str">
            <v>Future</v>
          </cell>
          <cell r="D661" t="e">
            <v>#N/A</v>
          </cell>
          <cell r="E661">
            <v>8.6986486486486267</v>
          </cell>
          <cell r="F661">
            <v>15.590540540540607</v>
          </cell>
          <cell r="G661">
            <v>14.212162162162175</v>
          </cell>
          <cell r="H661">
            <v>14.212162162162175</v>
          </cell>
          <cell r="I661" t="e">
            <v>#N/A</v>
          </cell>
          <cell r="J661" t="e">
            <v>#N/A</v>
          </cell>
          <cell r="K661" t="e">
            <v>#N/A</v>
          </cell>
          <cell r="L661" t="e">
            <v>#N/A</v>
          </cell>
          <cell r="M661" t="e">
            <v>#N/A</v>
          </cell>
          <cell r="N661" t="e">
            <v>#N/A</v>
          </cell>
          <cell r="O661" t="e">
            <v>#N/A</v>
          </cell>
          <cell r="P661">
            <v>14.52</v>
          </cell>
          <cell r="Q661" t="str">
            <v/>
          </cell>
          <cell r="R661" t="e">
            <v>#N/A</v>
          </cell>
        </row>
        <row r="662">
          <cell r="A662">
            <v>40928</v>
          </cell>
          <cell r="B662">
            <v>40928</v>
          </cell>
          <cell r="C662" t="str">
            <v>Future</v>
          </cell>
          <cell r="D662" t="e">
            <v>#N/A</v>
          </cell>
          <cell r="E662">
            <v>8.6432432432432211</v>
          </cell>
          <cell r="F662">
            <v>15.60270270270277</v>
          </cell>
          <cell r="G662">
            <v>14.210810810810823</v>
          </cell>
          <cell r="H662">
            <v>14.210810810810823</v>
          </cell>
          <cell r="I662" t="e">
            <v>#N/A</v>
          </cell>
          <cell r="J662" t="e">
            <v>#N/A</v>
          </cell>
          <cell r="K662" t="e">
            <v>#N/A</v>
          </cell>
          <cell r="L662" t="e">
            <v>#N/A</v>
          </cell>
          <cell r="M662" t="e">
            <v>#N/A</v>
          </cell>
          <cell r="N662" t="e">
            <v>#N/A</v>
          </cell>
          <cell r="O662" t="e">
            <v>#N/A</v>
          </cell>
          <cell r="P662">
            <v>14.52</v>
          </cell>
          <cell r="Q662" t="str">
            <v/>
          </cell>
          <cell r="R662" t="e">
            <v>#N/A</v>
          </cell>
        </row>
        <row r="663">
          <cell r="A663">
            <v>40931</v>
          </cell>
          <cell r="B663">
            <v>40931</v>
          </cell>
          <cell r="C663" t="str">
            <v>Future</v>
          </cell>
          <cell r="D663" t="e">
            <v>#N/A</v>
          </cell>
          <cell r="E663">
            <v>8.5878378378378155</v>
          </cell>
          <cell r="F663">
            <v>15.614864864864932</v>
          </cell>
          <cell r="G663">
            <v>14.209459459459472</v>
          </cell>
          <cell r="H663">
            <v>14.209459459459472</v>
          </cell>
          <cell r="I663" t="e">
            <v>#N/A</v>
          </cell>
          <cell r="J663" t="e">
            <v>#N/A</v>
          </cell>
          <cell r="K663" t="e">
            <v>#N/A</v>
          </cell>
          <cell r="L663" t="e">
            <v>#N/A</v>
          </cell>
          <cell r="M663" t="e">
            <v>#N/A</v>
          </cell>
          <cell r="N663" t="e">
            <v>#N/A</v>
          </cell>
          <cell r="O663" t="e">
            <v>#N/A</v>
          </cell>
          <cell r="P663">
            <v>14.52</v>
          </cell>
          <cell r="Q663" t="str">
            <v/>
          </cell>
          <cell r="R663" t="e">
            <v>#N/A</v>
          </cell>
        </row>
        <row r="664">
          <cell r="A664">
            <v>40932</v>
          </cell>
          <cell r="B664">
            <v>40932</v>
          </cell>
          <cell r="C664" t="str">
            <v>Future</v>
          </cell>
          <cell r="D664" t="e">
            <v>#N/A</v>
          </cell>
          <cell r="E664">
            <v>8.5324324324324099</v>
          </cell>
          <cell r="F664">
            <v>15.627027027027095</v>
          </cell>
          <cell r="G664">
            <v>14.208108108108121</v>
          </cell>
          <cell r="H664">
            <v>14.208108108108121</v>
          </cell>
          <cell r="I664" t="e">
            <v>#N/A</v>
          </cell>
          <cell r="J664" t="e">
            <v>#N/A</v>
          </cell>
          <cell r="K664" t="e">
            <v>#N/A</v>
          </cell>
          <cell r="L664" t="e">
            <v>#N/A</v>
          </cell>
          <cell r="M664" t="e">
            <v>#N/A</v>
          </cell>
          <cell r="N664" t="e">
            <v>#N/A</v>
          </cell>
          <cell r="O664" t="e">
            <v>#N/A</v>
          </cell>
          <cell r="P664">
            <v>14.52</v>
          </cell>
          <cell r="Q664" t="str">
            <v/>
          </cell>
          <cell r="R664" t="e">
            <v>#N/A</v>
          </cell>
        </row>
        <row r="665">
          <cell r="A665">
            <v>40933</v>
          </cell>
          <cell r="B665">
            <v>40933</v>
          </cell>
          <cell r="C665" t="str">
            <v>Future</v>
          </cell>
          <cell r="D665" t="e">
            <v>#N/A</v>
          </cell>
          <cell r="E665">
            <v>8.4770270270270043</v>
          </cell>
          <cell r="F665">
            <v>15.639189189189258</v>
          </cell>
          <cell r="G665">
            <v>14.20675675675677</v>
          </cell>
          <cell r="H665">
            <v>14.20675675675677</v>
          </cell>
          <cell r="I665" t="e">
            <v>#N/A</v>
          </cell>
          <cell r="J665" t="e">
            <v>#N/A</v>
          </cell>
          <cell r="K665" t="e">
            <v>#N/A</v>
          </cell>
          <cell r="L665" t="e">
            <v>#N/A</v>
          </cell>
          <cell r="M665" t="e">
            <v>#N/A</v>
          </cell>
          <cell r="N665" t="e">
            <v>#N/A</v>
          </cell>
          <cell r="O665" t="e">
            <v>#N/A</v>
          </cell>
          <cell r="P665">
            <v>14.52</v>
          </cell>
          <cell r="Q665" t="str">
            <v/>
          </cell>
          <cell r="R665" t="e">
            <v>#N/A</v>
          </cell>
        </row>
        <row r="666">
          <cell r="A666">
            <v>40934</v>
          </cell>
          <cell r="B666">
            <v>40934</v>
          </cell>
          <cell r="C666" t="str">
            <v>Future</v>
          </cell>
          <cell r="D666" t="e">
            <v>#N/A</v>
          </cell>
          <cell r="E666">
            <v>8.4216216216215987</v>
          </cell>
          <cell r="F666">
            <v>15.651351351351421</v>
          </cell>
          <cell r="G666">
            <v>14.205405405405418</v>
          </cell>
          <cell r="H666">
            <v>14.205405405405418</v>
          </cell>
          <cell r="I666" t="e">
            <v>#N/A</v>
          </cell>
          <cell r="J666" t="e">
            <v>#N/A</v>
          </cell>
          <cell r="K666" t="e">
            <v>#N/A</v>
          </cell>
          <cell r="L666" t="e">
            <v>#N/A</v>
          </cell>
          <cell r="M666" t="e">
            <v>#N/A</v>
          </cell>
          <cell r="N666" t="e">
            <v>#N/A</v>
          </cell>
          <cell r="O666" t="e">
            <v>#N/A</v>
          </cell>
          <cell r="P666">
            <v>14.52</v>
          </cell>
          <cell r="Q666" t="str">
            <v/>
          </cell>
          <cell r="R666" t="e">
            <v>#N/A</v>
          </cell>
        </row>
        <row r="667">
          <cell r="A667">
            <v>40935</v>
          </cell>
          <cell r="B667">
            <v>40935</v>
          </cell>
          <cell r="C667" t="str">
            <v>Future</v>
          </cell>
          <cell r="D667" t="e">
            <v>#N/A</v>
          </cell>
          <cell r="E667">
            <v>8.366216216216193</v>
          </cell>
          <cell r="F667">
            <v>15.663513513513584</v>
          </cell>
          <cell r="G667">
            <v>14.204054054054067</v>
          </cell>
          <cell r="H667">
            <v>14.204054054054067</v>
          </cell>
          <cell r="I667" t="e">
            <v>#N/A</v>
          </cell>
          <cell r="J667" t="e">
            <v>#N/A</v>
          </cell>
          <cell r="K667" t="e">
            <v>#N/A</v>
          </cell>
          <cell r="L667" t="e">
            <v>#N/A</v>
          </cell>
          <cell r="M667" t="e">
            <v>#N/A</v>
          </cell>
          <cell r="N667" t="e">
            <v>#N/A</v>
          </cell>
          <cell r="O667" t="e">
            <v>#N/A</v>
          </cell>
          <cell r="P667">
            <v>14.52</v>
          </cell>
          <cell r="Q667" t="str">
            <v/>
          </cell>
          <cell r="R667" t="e">
            <v>#N/A</v>
          </cell>
        </row>
        <row r="668">
          <cell r="A668">
            <v>40938</v>
          </cell>
          <cell r="B668">
            <v>40938</v>
          </cell>
          <cell r="C668" t="str">
            <v>Future</v>
          </cell>
          <cell r="D668" t="e">
            <v>#N/A</v>
          </cell>
          <cell r="E668">
            <v>8.3108108108107874</v>
          </cell>
          <cell r="F668">
            <v>15.675675675675746</v>
          </cell>
          <cell r="G668">
            <v>14.202702702702716</v>
          </cell>
          <cell r="H668">
            <v>14.202702702702716</v>
          </cell>
          <cell r="I668" t="e">
            <v>#N/A</v>
          </cell>
          <cell r="J668" t="e">
            <v>#N/A</v>
          </cell>
          <cell r="K668" t="e">
            <v>#N/A</v>
          </cell>
          <cell r="L668" t="e">
            <v>#N/A</v>
          </cell>
          <cell r="M668" t="e">
            <v>#N/A</v>
          </cell>
          <cell r="N668" t="e">
            <v>#N/A</v>
          </cell>
          <cell r="O668" t="e">
            <v>#N/A</v>
          </cell>
          <cell r="P668">
            <v>14.52</v>
          </cell>
          <cell r="Q668" t="str">
            <v/>
          </cell>
          <cell r="R668" t="e">
            <v>#N/A</v>
          </cell>
        </row>
        <row r="669">
          <cell r="A669">
            <v>40939</v>
          </cell>
          <cell r="B669">
            <v>40939</v>
          </cell>
          <cell r="C669" t="str">
            <v>Future</v>
          </cell>
          <cell r="D669" t="e">
            <v>#N/A</v>
          </cell>
          <cell r="E669">
            <v>8.2554054054053818</v>
          </cell>
          <cell r="F669">
            <v>15.687837837837909</v>
          </cell>
          <cell r="G669">
            <v>14.201351351351365</v>
          </cell>
          <cell r="H669">
            <v>14.201351351351365</v>
          </cell>
          <cell r="I669" t="e">
            <v>#N/A</v>
          </cell>
          <cell r="J669" t="e">
            <v>#N/A</v>
          </cell>
          <cell r="K669" t="e">
            <v>#N/A</v>
          </cell>
          <cell r="L669" t="e">
            <v>#N/A</v>
          </cell>
          <cell r="M669" t="e">
            <v>#N/A</v>
          </cell>
          <cell r="N669" t="e">
            <v>#N/A</v>
          </cell>
          <cell r="O669" t="e">
            <v>#N/A</v>
          </cell>
          <cell r="P669">
            <v>14.52</v>
          </cell>
          <cell r="Q669" t="str">
            <v/>
          </cell>
          <cell r="R669" t="e">
            <v>#N/A</v>
          </cell>
        </row>
        <row r="670">
          <cell r="A670">
            <v>40940</v>
          </cell>
          <cell r="B670">
            <v>40940</v>
          </cell>
          <cell r="C670" t="str">
            <v>Future</v>
          </cell>
          <cell r="D670" t="e">
            <v>#N/A</v>
          </cell>
          <cell r="E670">
            <v>8.1999999999999762</v>
          </cell>
          <cell r="F670">
            <v>15.700000000000072</v>
          </cell>
          <cell r="G670">
            <v>14.200000000000014</v>
          </cell>
          <cell r="H670">
            <v>14.200000000000014</v>
          </cell>
          <cell r="I670" t="e">
            <v>#N/A</v>
          </cell>
          <cell r="J670" t="e">
            <v>#N/A</v>
          </cell>
          <cell r="K670" t="e">
            <v>#N/A</v>
          </cell>
          <cell r="L670" t="e">
            <v>#N/A</v>
          </cell>
          <cell r="M670" t="e">
            <v>#N/A</v>
          </cell>
          <cell r="N670" t="e">
            <v>#N/A</v>
          </cell>
          <cell r="O670" t="e">
            <v>#N/A</v>
          </cell>
          <cell r="P670">
            <v>14.52</v>
          </cell>
          <cell r="Q670" t="str">
            <v/>
          </cell>
          <cell r="R670" t="e">
            <v>#N/A</v>
          </cell>
        </row>
        <row r="671">
          <cell r="A671">
            <v>40941</v>
          </cell>
          <cell r="B671">
            <v>40941</v>
          </cell>
          <cell r="C671" t="str">
            <v>Future</v>
          </cell>
          <cell r="D671" t="e">
            <v>#N/A</v>
          </cell>
          <cell r="E671">
            <v>8.1445945945945706</v>
          </cell>
          <cell r="F671">
            <v>15.712162162162235</v>
          </cell>
          <cell r="G671">
            <v>14.198648648648662</v>
          </cell>
          <cell r="H671">
            <v>14.198648648648662</v>
          </cell>
          <cell r="I671" t="e">
            <v>#N/A</v>
          </cell>
          <cell r="J671" t="e">
            <v>#N/A</v>
          </cell>
          <cell r="K671" t="e">
            <v>#N/A</v>
          </cell>
          <cell r="L671" t="e">
            <v>#N/A</v>
          </cell>
          <cell r="M671" t="e">
            <v>#N/A</v>
          </cell>
          <cell r="N671" t="e">
            <v>#N/A</v>
          </cell>
          <cell r="O671" t="e">
            <v>#N/A</v>
          </cell>
          <cell r="P671">
            <v>14.52</v>
          </cell>
          <cell r="Q671" t="str">
            <v/>
          </cell>
          <cell r="R671" t="e">
            <v>#N/A</v>
          </cell>
        </row>
        <row r="672">
          <cell r="A672">
            <v>40942</v>
          </cell>
          <cell r="B672">
            <v>40942</v>
          </cell>
          <cell r="C672" t="str">
            <v>Future</v>
          </cell>
          <cell r="D672" t="e">
            <v>#N/A</v>
          </cell>
          <cell r="E672">
            <v>8.089189189189165</v>
          </cell>
          <cell r="F672">
            <v>15.724324324324398</v>
          </cell>
          <cell r="G672">
            <v>14.197297297297311</v>
          </cell>
          <cell r="H672">
            <v>14.197297297297311</v>
          </cell>
          <cell r="I672" t="e">
            <v>#N/A</v>
          </cell>
          <cell r="J672" t="e">
            <v>#N/A</v>
          </cell>
          <cell r="K672" t="e">
            <v>#N/A</v>
          </cell>
          <cell r="L672" t="e">
            <v>#N/A</v>
          </cell>
          <cell r="M672" t="e">
            <v>#N/A</v>
          </cell>
          <cell r="N672" t="e">
            <v>#N/A</v>
          </cell>
          <cell r="O672" t="e">
            <v>#N/A</v>
          </cell>
          <cell r="P672">
            <v>14.52</v>
          </cell>
          <cell r="Q672" t="str">
            <v/>
          </cell>
          <cell r="R672" t="e">
            <v>#N/A</v>
          </cell>
        </row>
        <row r="673">
          <cell r="A673">
            <v>40945</v>
          </cell>
          <cell r="B673">
            <v>40945</v>
          </cell>
          <cell r="C673" t="str">
            <v>Future</v>
          </cell>
          <cell r="D673" t="e">
            <v>#N/A</v>
          </cell>
          <cell r="E673">
            <v>8.0337837837837593</v>
          </cell>
          <cell r="F673">
            <v>15.736486486486561</v>
          </cell>
          <cell r="G673">
            <v>14.19594594594596</v>
          </cell>
          <cell r="H673">
            <v>14.19594594594596</v>
          </cell>
          <cell r="I673" t="e">
            <v>#N/A</v>
          </cell>
          <cell r="J673" t="e">
            <v>#N/A</v>
          </cell>
          <cell r="K673" t="e">
            <v>#N/A</v>
          </cell>
          <cell r="L673" t="e">
            <v>#N/A</v>
          </cell>
          <cell r="M673" t="e">
            <v>#N/A</v>
          </cell>
          <cell r="N673" t="e">
            <v>#N/A</v>
          </cell>
          <cell r="O673" t="e">
            <v>#N/A</v>
          </cell>
          <cell r="P673">
            <v>14.52</v>
          </cell>
          <cell r="Q673" t="str">
            <v/>
          </cell>
          <cell r="R673" t="e">
            <v>#N/A</v>
          </cell>
        </row>
        <row r="674">
          <cell r="A674">
            <v>40946</v>
          </cell>
          <cell r="B674">
            <v>40946</v>
          </cell>
          <cell r="C674" t="str">
            <v>Future</v>
          </cell>
          <cell r="D674" t="e">
            <v>#N/A</v>
          </cell>
          <cell r="E674">
            <v>7.9783783783783537</v>
          </cell>
          <cell r="F674">
            <v>15.748648648648723</v>
          </cell>
          <cell r="G674">
            <v>14.194594594594609</v>
          </cell>
          <cell r="H674">
            <v>14.194594594594609</v>
          </cell>
          <cell r="I674" t="e">
            <v>#N/A</v>
          </cell>
          <cell r="J674" t="e">
            <v>#N/A</v>
          </cell>
          <cell r="K674" t="e">
            <v>#N/A</v>
          </cell>
          <cell r="L674" t="e">
            <v>#N/A</v>
          </cell>
          <cell r="M674" t="e">
            <v>#N/A</v>
          </cell>
          <cell r="N674" t="e">
            <v>#N/A</v>
          </cell>
          <cell r="O674" t="e">
            <v>#N/A</v>
          </cell>
          <cell r="P674">
            <v>14.52</v>
          </cell>
          <cell r="Q674" t="str">
            <v/>
          </cell>
          <cell r="R674" t="e">
            <v>#N/A</v>
          </cell>
        </row>
        <row r="675">
          <cell r="A675">
            <v>40947</v>
          </cell>
          <cell r="B675">
            <v>40947</v>
          </cell>
          <cell r="C675" t="str">
            <v>Future</v>
          </cell>
          <cell r="D675" t="e">
            <v>#N/A</v>
          </cell>
          <cell r="E675">
            <v>7.9229729729729481</v>
          </cell>
          <cell r="F675">
            <v>15.760810810810886</v>
          </cell>
          <cell r="G675">
            <v>14.193243243243257</v>
          </cell>
          <cell r="H675">
            <v>14.193243243243257</v>
          </cell>
          <cell r="I675" t="e">
            <v>#N/A</v>
          </cell>
          <cell r="J675" t="e">
            <v>#N/A</v>
          </cell>
          <cell r="K675" t="e">
            <v>#N/A</v>
          </cell>
          <cell r="L675" t="e">
            <v>#N/A</v>
          </cell>
          <cell r="M675" t="e">
            <v>#N/A</v>
          </cell>
          <cell r="N675" t="e">
            <v>#N/A</v>
          </cell>
          <cell r="O675" t="e">
            <v>#N/A</v>
          </cell>
          <cell r="P675">
            <v>14.52</v>
          </cell>
          <cell r="Q675" t="str">
            <v/>
          </cell>
          <cell r="R675" t="e">
            <v>#N/A</v>
          </cell>
        </row>
        <row r="676">
          <cell r="A676">
            <v>40948</v>
          </cell>
          <cell r="B676">
            <v>40948</v>
          </cell>
          <cell r="C676" t="str">
            <v>Future</v>
          </cell>
          <cell r="D676" t="e">
            <v>#N/A</v>
          </cell>
          <cell r="E676">
            <v>7.8675675675675425</v>
          </cell>
          <cell r="F676">
            <v>15.772972972973049</v>
          </cell>
          <cell r="G676">
            <v>14.191891891891906</v>
          </cell>
          <cell r="H676">
            <v>14.191891891891906</v>
          </cell>
          <cell r="I676" t="e">
            <v>#N/A</v>
          </cell>
          <cell r="J676" t="e">
            <v>#N/A</v>
          </cell>
          <cell r="K676" t="e">
            <v>#N/A</v>
          </cell>
          <cell r="L676" t="e">
            <v>#N/A</v>
          </cell>
          <cell r="M676" t="e">
            <v>#N/A</v>
          </cell>
          <cell r="N676" t="e">
            <v>#N/A</v>
          </cell>
          <cell r="O676" t="e">
            <v>#N/A</v>
          </cell>
          <cell r="P676">
            <v>14.52</v>
          </cell>
          <cell r="Q676" t="str">
            <v/>
          </cell>
          <cell r="R676" t="e">
            <v>#N/A</v>
          </cell>
        </row>
        <row r="677">
          <cell r="A677">
            <v>40949</v>
          </cell>
          <cell r="B677">
            <v>40949</v>
          </cell>
          <cell r="C677" t="str">
            <v>Future</v>
          </cell>
          <cell r="D677" t="e">
            <v>#N/A</v>
          </cell>
          <cell r="E677">
            <v>7.8121621621621369</v>
          </cell>
          <cell r="F677">
            <v>15.785135135135212</v>
          </cell>
          <cell r="G677">
            <v>14.190540540540555</v>
          </cell>
          <cell r="H677">
            <v>14.190540540540555</v>
          </cell>
          <cell r="I677" t="e">
            <v>#N/A</v>
          </cell>
          <cell r="J677" t="e">
            <v>#N/A</v>
          </cell>
          <cell r="K677" t="e">
            <v>#N/A</v>
          </cell>
          <cell r="L677" t="e">
            <v>#N/A</v>
          </cell>
          <cell r="M677" t="e">
            <v>#N/A</v>
          </cell>
          <cell r="N677" t="e">
            <v>#N/A</v>
          </cell>
          <cell r="O677" t="e">
            <v>#N/A</v>
          </cell>
          <cell r="P677">
            <v>14.52</v>
          </cell>
          <cell r="Q677" t="str">
            <v/>
          </cell>
          <cell r="R677" t="e">
            <v>#N/A</v>
          </cell>
        </row>
        <row r="678">
          <cell r="A678">
            <v>40952</v>
          </cell>
          <cell r="B678">
            <v>40952</v>
          </cell>
          <cell r="C678" t="str">
            <v>Future</v>
          </cell>
          <cell r="D678" t="e">
            <v>#N/A</v>
          </cell>
          <cell r="E678">
            <v>7.7567567567567313</v>
          </cell>
          <cell r="F678">
            <v>15.797297297297375</v>
          </cell>
          <cell r="G678">
            <v>14.189189189189204</v>
          </cell>
          <cell r="H678">
            <v>14.189189189189204</v>
          </cell>
          <cell r="I678" t="e">
            <v>#N/A</v>
          </cell>
          <cell r="J678" t="e">
            <v>#N/A</v>
          </cell>
          <cell r="K678" t="e">
            <v>#N/A</v>
          </cell>
          <cell r="L678" t="e">
            <v>#N/A</v>
          </cell>
          <cell r="M678" t="e">
            <v>#N/A</v>
          </cell>
          <cell r="N678" t="e">
            <v>#N/A</v>
          </cell>
          <cell r="O678" t="e">
            <v>#N/A</v>
          </cell>
          <cell r="P678">
            <v>14.52</v>
          </cell>
          <cell r="Q678" t="str">
            <v/>
          </cell>
          <cell r="R678" t="e">
            <v>#N/A</v>
          </cell>
        </row>
        <row r="679">
          <cell r="A679">
            <v>40953</v>
          </cell>
          <cell r="B679">
            <v>40953</v>
          </cell>
          <cell r="C679" t="str">
            <v>Future</v>
          </cell>
          <cell r="D679" t="e">
            <v>#N/A</v>
          </cell>
          <cell r="E679">
            <v>7.7013513513513256</v>
          </cell>
          <cell r="F679">
            <v>15.809459459459537</v>
          </cell>
          <cell r="G679">
            <v>14.187837837837852</v>
          </cell>
          <cell r="H679">
            <v>14.187837837837852</v>
          </cell>
          <cell r="I679" t="e">
            <v>#N/A</v>
          </cell>
          <cell r="J679" t="e">
            <v>#N/A</v>
          </cell>
          <cell r="K679" t="e">
            <v>#N/A</v>
          </cell>
          <cell r="L679" t="e">
            <v>#N/A</v>
          </cell>
          <cell r="M679" t="e">
            <v>#N/A</v>
          </cell>
          <cell r="N679" t="e">
            <v>#N/A</v>
          </cell>
          <cell r="O679" t="e">
            <v>#N/A</v>
          </cell>
          <cell r="P679">
            <v>14.52</v>
          </cell>
          <cell r="Q679" t="str">
            <v/>
          </cell>
          <cell r="R679" t="e">
            <v>#N/A</v>
          </cell>
        </row>
        <row r="680">
          <cell r="A680">
            <v>40954</v>
          </cell>
          <cell r="B680">
            <v>40954</v>
          </cell>
          <cell r="C680" t="str">
            <v>Future</v>
          </cell>
          <cell r="D680" t="e">
            <v>#N/A</v>
          </cell>
          <cell r="E680">
            <v>7.64594594594592</v>
          </cell>
          <cell r="F680">
            <v>15.8216216216217</v>
          </cell>
          <cell r="G680">
            <v>14.186486486486501</v>
          </cell>
          <cell r="H680">
            <v>14.186486486486501</v>
          </cell>
          <cell r="I680" t="e">
            <v>#N/A</v>
          </cell>
          <cell r="J680" t="e">
            <v>#N/A</v>
          </cell>
          <cell r="K680" t="e">
            <v>#N/A</v>
          </cell>
          <cell r="L680" t="e">
            <v>#N/A</v>
          </cell>
          <cell r="M680" t="e">
            <v>#N/A</v>
          </cell>
          <cell r="N680" t="e">
            <v>#N/A</v>
          </cell>
          <cell r="O680" t="e">
            <v>#N/A</v>
          </cell>
          <cell r="P680">
            <v>14.52</v>
          </cell>
          <cell r="Q680" t="str">
            <v/>
          </cell>
          <cell r="R680" t="e">
            <v>#N/A</v>
          </cell>
        </row>
        <row r="681">
          <cell r="A681">
            <v>40955</v>
          </cell>
          <cell r="B681">
            <v>40955</v>
          </cell>
          <cell r="C681" t="str">
            <v>Future</v>
          </cell>
          <cell r="D681" t="e">
            <v>#N/A</v>
          </cell>
          <cell r="E681">
            <v>7.5905405405405144</v>
          </cell>
          <cell r="F681">
            <v>15.833783783783863</v>
          </cell>
          <cell r="G681">
            <v>14.18513513513515</v>
          </cell>
          <cell r="H681">
            <v>14.18513513513515</v>
          </cell>
          <cell r="I681" t="e">
            <v>#N/A</v>
          </cell>
          <cell r="J681" t="e">
            <v>#N/A</v>
          </cell>
          <cell r="K681" t="e">
            <v>#N/A</v>
          </cell>
          <cell r="L681" t="e">
            <v>#N/A</v>
          </cell>
          <cell r="M681" t="e">
            <v>#N/A</v>
          </cell>
          <cell r="N681" t="e">
            <v>#N/A</v>
          </cell>
          <cell r="O681" t="e">
            <v>#N/A</v>
          </cell>
          <cell r="P681">
            <v>14.52</v>
          </cell>
          <cell r="Q681" t="str">
            <v/>
          </cell>
          <cell r="R681" t="e">
            <v>#N/A</v>
          </cell>
        </row>
        <row r="682">
          <cell r="A682">
            <v>40956</v>
          </cell>
          <cell r="B682">
            <v>40956</v>
          </cell>
          <cell r="C682" t="str">
            <v>Future</v>
          </cell>
          <cell r="D682" t="e">
            <v>#N/A</v>
          </cell>
          <cell r="E682">
            <v>7.5351351351351088</v>
          </cell>
          <cell r="F682">
            <v>15.845945945946026</v>
          </cell>
          <cell r="G682">
            <v>14.183783783783799</v>
          </cell>
          <cell r="H682">
            <v>14.183783783783799</v>
          </cell>
          <cell r="I682" t="e">
            <v>#N/A</v>
          </cell>
          <cell r="J682" t="e">
            <v>#N/A</v>
          </cell>
          <cell r="K682" t="e">
            <v>#N/A</v>
          </cell>
          <cell r="L682" t="e">
            <v>#N/A</v>
          </cell>
          <cell r="M682" t="e">
            <v>#N/A</v>
          </cell>
          <cell r="N682" t="e">
            <v>#N/A</v>
          </cell>
          <cell r="O682" t="e">
            <v>#N/A</v>
          </cell>
          <cell r="P682">
            <v>14.52</v>
          </cell>
          <cell r="Q682" t="str">
            <v/>
          </cell>
          <cell r="R682" t="e">
            <v>#N/A</v>
          </cell>
        </row>
        <row r="683">
          <cell r="A683">
            <v>40959</v>
          </cell>
          <cell r="B683">
            <v>40959</v>
          </cell>
          <cell r="C683" t="str">
            <v>Future</v>
          </cell>
          <cell r="D683" t="e">
            <v>#N/A</v>
          </cell>
          <cell r="E683">
            <v>7.4797297297297032</v>
          </cell>
          <cell r="F683">
            <v>15.858108108108189</v>
          </cell>
          <cell r="G683">
            <v>14.182432432432448</v>
          </cell>
          <cell r="H683">
            <v>14.182432432432448</v>
          </cell>
          <cell r="I683" t="e">
            <v>#N/A</v>
          </cell>
          <cell r="J683" t="e">
            <v>#N/A</v>
          </cell>
          <cell r="K683" t="e">
            <v>#N/A</v>
          </cell>
          <cell r="L683" t="e">
            <v>#N/A</v>
          </cell>
          <cell r="M683" t="e">
            <v>#N/A</v>
          </cell>
          <cell r="N683" t="e">
            <v>#N/A</v>
          </cell>
          <cell r="O683" t="e">
            <v>#N/A</v>
          </cell>
          <cell r="P683">
            <v>14.52</v>
          </cell>
          <cell r="Q683" t="str">
            <v/>
          </cell>
          <cell r="R683" t="e">
            <v>#N/A</v>
          </cell>
        </row>
        <row r="684">
          <cell r="A684">
            <v>40960</v>
          </cell>
          <cell r="B684">
            <v>40960</v>
          </cell>
          <cell r="C684" t="str">
            <v>Future</v>
          </cell>
          <cell r="D684" t="e">
            <v>#N/A</v>
          </cell>
          <cell r="E684">
            <v>7.4243243243242976</v>
          </cell>
          <cell r="F684">
            <v>15.870270270270352</v>
          </cell>
          <cell r="G684">
            <v>14.181081081081096</v>
          </cell>
          <cell r="H684">
            <v>14.181081081081096</v>
          </cell>
          <cell r="I684" t="e">
            <v>#N/A</v>
          </cell>
          <cell r="J684" t="e">
            <v>#N/A</v>
          </cell>
          <cell r="K684" t="e">
            <v>#N/A</v>
          </cell>
          <cell r="L684" t="e">
            <v>#N/A</v>
          </cell>
          <cell r="M684" t="e">
            <v>#N/A</v>
          </cell>
          <cell r="N684" t="e">
            <v>#N/A</v>
          </cell>
          <cell r="O684" t="e">
            <v>#N/A</v>
          </cell>
          <cell r="P684">
            <v>14.52</v>
          </cell>
          <cell r="Q684" t="str">
            <v/>
          </cell>
          <cell r="R684" t="e">
            <v>#N/A</v>
          </cell>
        </row>
        <row r="685">
          <cell r="A685">
            <v>40961</v>
          </cell>
          <cell r="B685">
            <v>40961</v>
          </cell>
          <cell r="C685" t="str">
            <v>Future</v>
          </cell>
          <cell r="D685" t="e">
            <v>#N/A</v>
          </cell>
          <cell r="E685">
            <v>7.3689189189188919</v>
          </cell>
          <cell r="F685">
            <v>15.882432432432514</v>
          </cell>
          <cell r="G685">
            <v>14.179729729729745</v>
          </cell>
          <cell r="H685">
            <v>14.179729729729745</v>
          </cell>
          <cell r="I685" t="e">
            <v>#N/A</v>
          </cell>
          <cell r="J685" t="e">
            <v>#N/A</v>
          </cell>
          <cell r="K685" t="e">
            <v>#N/A</v>
          </cell>
          <cell r="L685" t="e">
            <v>#N/A</v>
          </cell>
          <cell r="M685" t="e">
            <v>#N/A</v>
          </cell>
          <cell r="N685" t="e">
            <v>#N/A</v>
          </cell>
          <cell r="O685" t="e">
            <v>#N/A</v>
          </cell>
          <cell r="P685">
            <v>14.52</v>
          </cell>
          <cell r="Q685" t="str">
            <v/>
          </cell>
          <cell r="R685" t="e">
            <v>#N/A</v>
          </cell>
        </row>
        <row r="686">
          <cell r="A686">
            <v>40962</v>
          </cell>
          <cell r="B686">
            <v>40962</v>
          </cell>
          <cell r="C686" t="str">
            <v>Future</v>
          </cell>
          <cell r="D686" t="e">
            <v>#N/A</v>
          </cell>
          <cell r="E686">
            <v>7.3135135135134863</v>
          </cell>
          <cell r="F686">
            <v>15.894594594594677</v>
          </cell>
          <cell r="G686">
            <v>14.178378378378394</v>
          </cell>
          <cell r="H686">
            <v>14.178378378378394</v>
          </cell>
          <cell r="I686" t="e">
            <v>#N/A</v>
          </cell>
          <cell r="J686" t="e">
            <v>#N/A</v>
          </cell>
          <cell r="K686" t="e">
            <v>#N/A</v>
          </cell>
          <cell r="L686" t="e">
            <v>#N/A</v>
          </cell>
          <cell r="M686" t="e">
            <v>#N/A</v>
          </cell>
          <cell r="N686" t="e">
            <v>#N/A</v>
          </cell>
          <cell r="O686" t="e">
            <v>#N/A</v>
          </cell>
          <cell r="P686">
            <v>14.52</v>
          </cell>
          <cell r="Q686" t="str">
            <v/>
          </cell>
          <cell r="R686" t="e">
            <v>#N/A</v>
          </cell>
        </row>
        <row r="687">
          <cell r="A687">
            <v>40963</v>
          </cell>
          <cell r="B687">
            <v>40963</v>
          </cell>
          <cell r="C687" t="str">
            <v>Future</v>
          </cell>
          <cell r="D687" t="e">
            <v>#N/A</v>
          </cell>
          <cell r="E687">
            <v>7.2581081081080807</v>
          </cell>
          <cell r="F687">
            <v>15.90675675675684</v>
          </cell>
          <cell r="G687">
            <v>14.177027027027043</v>
          </cell>
          <cell r="H687">
            <v>14.177027027027043</v>
          </cell>
          <cell r="I687" t="e">
            <v>#N/A</v>
          </cell>
          <cell r="J687" t="e">
            <v>#N/A</v>
          </cell>
          <cell r="K687" t="e">
            <v>#N/A</v>
          </cell>
          <cell r="L687" t="e">
            <v>#N/A</v>
          </cell>
          <cell r="M687" t="e">
            <v>#N/A</v>
          </cell>
          <cell r="N687" t="e">
            <v>#N/A</v>
          </cell>
          <cell r="O687" t="e">
            <v>#N/A</v>
          </cell>
          <cell r="P687">
            <v>14.52</v>
          </cell>
          <cell r="Q687" t="str">
            <v/>
          </cell>
          <cell r="R687" t="e">
            <v>#N/A</v>
          </cell>
        </row>
        <row r="688">
          <cell r="A688">
            <v>40966</v>
          </cell>
          <cell r="B688">
            <v>40966</v>
          </cell>
          <cell r="C688" t="str">
            <v>Future</v>
          </cell>
          <cell r="D688" t="e">
            <v>#N/A</v>
          </cell>
          <cell r="E688">
            <v>7.2027027027026751</v>
          </cell>
          <cell r="F688">
            <v>15.918918918919003</v>
          </cell>
          <cell r="G688">
            <v>14.175675675675691</v>
          </cell>
          <cell r="H688">
            <v>14.175675675675691</v>
          </cell>
          <cell r="I688" t="e">
            <v>#N/A</v>
          </cell>
          <cell r="J688" t="e">
            <v>#N/A</v>
          </cell>
          <cell r="K688" t="e">
            <v>#N/A</v>
          </cell>
          <cell r="L688" t="e">
            <v>#N/A</v>
          </cell>
          <cell r="M688" t="e">
            <v>#N/A</v>
          </cell>
          <cell r="N688" t="e">
            <v>#N/A</v>
          </cell>
          <cell r="O688" t="e">
            <v>#N/A</v>
          </cell>
          <cell r="P688">
            <v>14.52</v>
          </cell>
          <cell r="Q688" t="str">
            <v/>
          </cell>
          <cell r="R688" t="e">
            <v>#N/A</v>
          </cell>
        </row>
        <row r="689">
          <cell r="A689">
            <v>40967</v>
          </cell>
          <cell r="B689">
            <v>40967</v>
          </cell>
          <cell r="C689" t="str">
            <v>Future</v>
          </cell>
          <cell r="D689" t="e">
            <v>#N/A</v>
          </cell>
          <cell r="E689">
            <v>7.1472972972972695</v>
          </cell>
          <cell r="F689">
            <v>15.931081081081166</v>
          </cell>
          <cell r="G689">
            <v>14.17432432432434</v>
          </cell>
          <cell r="H689">
            <v>14.17432432432434</v>
          </cell>
          <cell r="I689" t="e">
            <v>#N/A</v>
          </cell>
          <cell r="J689" t="e">
            <v>#N/A</v>
          </cell>
          <cell r="K689" t="e">
            <v>#N/A</v>
          </cell>
          <cell r="L689" t="e">
            <v>#N/A</v>
          </cell>
          <cell r="M689" t="e">
            <v>#N/A</v>
          </cell>
          <cell r="N689" t="e">
            <v>#N/A</v>
          </cell>
          <cell r="O689" t="e">
            <v>#N/A</v>
          </cell>
          <cell r="P689">
            <v>14.52</v>
          </cell>
          <cell r="Q689" t="str">
            <v/>
          </cell>
          <cell r="R689" t="e">
            <v>#N/A</v>
          </cell>
        </row>
        <row r="690">
          <cell r="A690">
            <v>40968</v>
          </cell>
          <cell r="B690">
            <v>40968</v>
          </cell>
          <cell r="C690" t="str">
            <v>Future</v>
          </cell>
          <cell r="D690" t="e">
            <v>#N/A</v>
          </cell>
          <cell r="E690">
            <v>7.0918918918918639</v>
          </cell>
          <cell r="F690">
            <v>15.943243243243328</v>
          </cell>
          <cell r="G690">
            <v>14.172972972972989</v>
          </cell>
          <cell r="H690">
            <v>14.172972972972989</v>
          </cell>
          <cell r="I690" t="e">
            <v>#N/A</v>
          </cell>
          <cell r="J690" t="e">
            <v>#N/A</v>
          </cell>
          <cell r="K690" t="e">
            <v>#N/A</v>
          </cell>
          <cell r="L690" t="e">
            <v>#N/A</v>
          </cell>
          <cell r="M690" t="e">
            <v>#N/A</v>
          </cell>
          <cell r="N690" t="e">
            <v>#N/A</v>
          </cell>
          <cell r="O690" t="e">
            <v>#N/A</v>
          </cell>
          <cell r="P690">
            <v>14.52</v>
          </cell>
          <cell r="Q690" t="str">
            <v/>
          </cell>
          <cell r="R690" t="e">
            <v>#N/A</v>
          </cell>
        </row>
        <row r="691">
          <cell r="A691">
            <v>40969</v>
          </cell>
          <cell r="B691">
            <v>40969</v>
          </cell>
          <cell r="C691" t="str">
            <v>Future</v>
          </cell>
          <cell r="D691" t="e">
            <v>#N/A</v>
          </cell>
          <cell r="E691">
            <v>7.0364864864864582</v>
          </cell>
          <cell r="F691">
            <v>15.955405405405491</v>
          </cell>
          <cell r="G691">
            <v>14.171621621621638</v>
          </cell>
          <cell r="H691">
            <v>14.171621621621638</v>
          </cell>
          <cell r="I691" t="e">
            <v>#N/A</v>
          </cell>
          <cell r="J691" t="e">
            <v>#N/A</v>
          </cell>
          <cell r="K691" t="e">
            <v>#N/A</v>
          </cell>
          <cell r="L691" t="e">
            <v>#N/A</v>
          </cell>
          <cell r="M691" t="e">
            <v>#N/A</v>
          </cell>
          <cell r="N691" t="e">
            <v>#N/A</v>
          </cell>
          <cell r="O691" t="e">
            <v>#N/A</v>
          </cell>
          <cell r="P691">
            <v>14.52</v>
          </cell>
          <cell r="Q691" t="str">
            <v/>
          </cell>
          <cell r="R691" t="e">
            <v>#N/A</v>
          </cell>
        </row>
        <row r="692">
          <cell r="A692">
            <v>40970</v>
          </cell>
          <cell r="B692">
            <v>40970</v>
          </cell>
          <cell r="C692" t="str">
            <v>Future</v>
          </cell>
          <cell r="D692" t="e">
            <v>#N/A</v>
          </cell>
          <cell r="E692">
            <v>6.9810810810810526</v>
          </cell>
          <cell r="F692">
            <v>15.967567567567654</v>
          </cell>
          <cell r="G692">
            <v>14.170270270270287</v>
          </cell>
          <cell r="H692">
            <v>14.170270270270287</v>
          </cell>
          <cell r="I692" t="e">
            <v>#N/A</v>
          </cell>
          <cell r="J692" t="e">
            <v>#N/A</v>
          </cell>
          <cell r="K692" t="e">
            <v>#N/A</v>
          </cell>
          <cell r="L692" t="e">
            <v>#N/A</v>
          </cell>
          <cell r="M692" t="e">
            <v>#N/A</v>
          </cell>
          <cell r="N692" t="e">
            <v>#N/A</v>
          </cell>
          <cell r="O692" t="e">
            <v>#N/A</v>
          </cell>
          <cell r="P692">
            <v>14.52</v>
          </cell>
          <cell r="Q692" t="str">
            <v/>
          </cell>
          <cell r="R692" t="e">
            <v>#N/A</v>
          </cell>
        </row>
        <row r="693">
          <cell r="A693">
            <v>40973</v>
          </cell>
          <cell r="B693">
            <v>40973</v>
          </cell>
          <cell r="C693" t="str">
            <v>Future</v>
          </cell>
          <cell r="D693" t="e">
            <v>#N/A</v>
          </cell>
          <cell r="E693">
            <v>6.925675675675647</v>
          </cell>
          <cell r="F693">
            <v>15.979729729729817</v>
          </cell>
          <cell r="G693">
            <v>14.168918918918935</v>
          </cell>
          <cell r="H693">
            <v>14.168918918918935</v>
          </cell>
          <cell r="I693" t="e">
            <v>#N/A</v>
          </cell>
          <cell r="J693" t="e">
            <v>#N/A</v>
          </cell>
          <cell r="K693" t="e">
            <v>#N/A</v>
          </cell>
          <cell r="L693" t="e">
            <v>#N/A</v>
          </cell>
          <cell r="M693" t="e">
            <v>#N/A</v>
          </cell>
          <cell r="N693" t="e">
            <v>#N/A</v>
          </cell>
          <cell r="O693" t="e">
            <v>#N/A</v>
          </cell>
          <cell r="P693">
            <v>14.52</v>
          </cell>
          <cell r="Q693" t="str">
            <v/>
          </cell>
          <cell r="R693" t="e">
            <v>#N/A</v>
          </cell>
        </row>
        <row r="694">
          <cell r="A694">
            <v>40974</v>
          </cell>
          <cell r="B694">
            <v>40974</v>
          </cell>
          <cell r="C694" t="str">
            <v>Future</v>
          </cell>
          <cell r="D694" t="e">
            <v>#N/A</v>
          </cell>
          <cell r="E694">
            <v>6.8702702702702414</v>
          </cell>
          <cell r="F694">
            <v>15.99189189189198</v>
          </cell>
          <cell r="G694">
            <v>14.167567567567584</v>
          </cell>
          <cell r="H694">
            <v>14.167567567567584</v>
          </cell>
          <cell r="I694" t="e">
            <v>#N/A</v>
          </cell>
          <cell r="J694" t="e">
            <v>#N/A</v>
          </cell>
          <cell r="K694" t="e">
            <v>#N/A</v>
          </cell>
          <cell r="L694" t="e">
            <v>#N/A</v>
          </cell>
          <cell r="M694" t="e">
            <v>#N/A</v>
          </cell>
          <cell r="N694" t="e">
            <v>#N/A</v>
          </cell>
          <cell r="O694" t="e">
            <v>#N/A</v>
          </cell>
          <cell r="P694">
            <v>14.52</v>
          </cell>
          <cell r="Q694" t="str">
            <v/>
          </cell>
          <cell r="R694" t="e">
            <v>#N/A</v>
          </cell>
        </row>
        <row r="695">
          <cell r="A695">
            <v>40975</v>
          </cell>
          <cell r="B695">
            <v>40975</v>
          </cell>
          <cell r="C695" t="str">
            <v>Future</v>
          </cell>
          <cell r="D695" t="e">
            <v>#N/A</v>
          </cell>
          <cell r="E695">
            <v>6.8148648648648358</v>
          </cell>
          <cell r="F695">
            <v>16.004054054054141</v>
          </cell>
          <cell r="G695">
            <v>14.166216216216233</v>
          </cell>
          <cell r="H695">
            <v>14.166216216216233</v>
          </cell>
          <cell r="I695" t="e">
            <v>#N/A</v>
          </cell>
          <cell r="J695" t="e">
            <v>#N/A</v>
          </cell>
          <cell r="K695" t="e">
            <v>#N/A</v>
          </cell>
          <cell r="L695" t="e">
            <v>#N/A</v>
          </cell>
          <cell r="M695" t="e">
            <v>#N/A</v>
          </cell>
          <cell r="N695" t="e">
            <v>#N/A</v>
          </cell>
          <cell r="O695" t="e">
            <v>#N/A</v>
          </cell>
          <cell r="P695">
            <v>14.52</v>
          </cell>
          <cell r="Q695" t="str">
            <v/>
          </cell>
          <cell r="R695" t="e">
            <v>#N/A</v>
          </cell>
        </row>
        <row r="696">
          <cell r="A696">
            <v>40976</v>
          </cell>
          <cell r="B696">
            <v>40976</v>
          </cell>
          <cell r="C696" t="str">
            <v>Future</v>
          </cell>
          <cell r="D696" t="e">
            <v>#N/A</v>
          </cell>
          <cell r="E696">
            <v>6.7594594594594302</v>
          </cell>
          <cell r="F696">
            <v>16.016216216216304</v>
          </cell>
          <cell r="G696">
            <v>14.164864864864882</v>
          </cell>
          <cell r="H696">
            <v>14.164864864864882</v>
          </cell>
          <cell r="I696" t="e">
            <v>#N/A</v>
          </cell>
          <cell r="J696" t="e">
            <v>#N/A</v>
          </cell>
          <cell r="K696" t="e">
            <v>#N/A</v>
          </cell>
          <cell r="L696" t="e">
            <v>#N/A</v>
          </cell>
          <cell r="M696" t="e">
            <v>#N/A</v>
          </cell>
          <cell r="N696" t="e">
            <v>#N/A</v>
          </cell>
          <cell r="O696" t="e">
            <v>#N/A</v>
          </cell>
          <cell r="P696">
            <v>14.52</v>
          </cell>
          <cell r="Q696" t="str">
            <v/>
          </cell>
          <cell r="R696" t="e">
            <v>#N/A</v>
          </cell>
        </row>
        <row r="697">
          <cell r="A697">
            <v>40977</v>
          </cell>
          <cell r="B697">
            <v>40977</v>
          </cell>
          <cell r="C697" t="str">
            <v>Future</v>
          </cell>
          <cell r="D697" t="e">
            <v>#N/A</v>
          </cell>
          <cell r="E697">
            <v>6.7040540540540245</v>
          </cell>
          <cell r="F697">
            <v>16.028378378378466</v>
          </cell>
          <cell r="G697">
            <v>14.16351351351353</v>
          </cell>
          <cell r="H697">
            <v>14.16351351351353</v>
          </cell>
          <cell r="I697" t="e">
            <v>#N/A</v>
          </cell>
          <cell r="J697" t="e">
            <v>#N/A</v>
          </cell>
          <cell r="K697" t="e">
            <v>#N/A</v>
          </cell>
          <cell r="L697" t="e">
            <v>#N/A</v>
          </cell>
          <cell r="M697" t="e">
            <v>#N/A</v>
          </cell>
          <cell r="N697" t="e">
            <v>#N/A</v>
          </cell>
          <cell r="O697" t="e">
            <v>#N/A</v>
          </cell>
          <cell r="P697">
            <v>14.52</v>
          </cell>
          <cell r="Q697" t="str">
            <v/>
          </cell>
          <cell r="R697" t="e">
            <v>#N/A</v>
          </cell>
        </row>
        <row r="698">
          <cell r="A698">
            <v>40980</v>
          </cell>
          <cell r="B698">
            <v>40980</v>
          </cell>
          <cell r="C698" t="str">
            <v>Future</v>
          </cell>
          <cell r="D698" t="e">
            <v>#N/A</v>
          </cell>
          <cell r="E698">
            <v>6.6486486486486189</v>
          </cell>
          <cell r="F698">
            <v>16.040540540540629</v>
          </cell>
          <cell r="G698">
            <v>14.162162162162179</v>
          </cell>
          <cell r="H698">
            <v>14.162162162162179</v>
          </cell>
          <cell r="I698" t="e">
            <v>#N/A</v>
          </cell>
          <cell r="J698" t="e">
            <v>#N/A</v>
          </cell>
          <cell r="K698" t="e">
            <v>#N/A</v>
          </cell>
          <cell r="L698" t="e">
            <v>#N/A</v>
          </cell>
          <cell r="M698" t="e">
            <v>#N/A</v>
          </cell>
          <cell r="N698" t="e">
            <v>#N/A</v>
          </cell>
          <cell r="O698" t="e">
            <v>#N/A</v>
          </cell>
          <cell r="P698">
            <v>14.52</v>
          </cell>
          <cell r="Q698" t="str">
            <v/>
          </cell>
          <cell r="R698" t="e">
            <v>#N/A</v>
          </cell>
        </row>
        <row r="699">
          <cell r="A699">
            <v>40981</v>
          </cell>
          <cell r="B699">
            <v>40981</v>
          </cell>
          <cell r="C699" t="str">
            <v>Future</v>
          </cell>
          <cell r="D699" t="e">
            <v>#N/A</v>
          </cell>
          <cell r="E699">
            <v>6.5932432432432133</v>
          </cell>
          <cell r="F699">
            <v>16.052702702702792</v>
          </cell>
          <cell r="G699">
            <v>14.160810810810828</v>
          </cell>
          <cell r="H699">
            <v>14.160810810810828</v>
          </cell>
          <cell r="I699" t="e">
            <v>#N/A</v>
          </cell>
          <cell r="J699" t="e">
            <v>#N/A</v>
          </cell>
          <cell r="K699" t="e">
            <v>#N/A</v>
          </cell>
          <cell r="L699" t="e">
            <v>#N/A</v>
          </cell>
          <cell r="M699" t="e">
            <v>#N/A</v>
          </cell>
          <cell r="N699" t="e">
            <v>#N/A</v>
          </cell>
          <cell r="O699" t="e">
            <v>#N/A</v>
          </cell>
          <cell r="P699">
            <v>14.52</v>
          </cell>
          <cell r="Q699" t="str">
            <v/>
          </cell>
          <cell r="R699" t="e">
            <v>#N/A</v>
          </cell>
        </row>
        <row r="700">
          <cell r="A700">
            <v>40982</v>
          </cell>
          <cell r="B700">
            <v>40982</v>
          </cell>
          <cell r="C700" t="str">
            <v>Future</v>
          </cell>
          <cell r="D700" t="e">
            <v>#N/A</v>
          </cell>
          <cell r="E700">
            <v>6.5378378378378077</v>
          </cell>
          <cell r="F700">
            <v>16.064864864864955</v>
          </cell>
          <cell r="G700">
            <v>14.159459459459477</v>
          </cell>
          <cell r="H700">
            <v>14.159459459459477</v>
          </cell>
          <cell r="I700" t="e">
            <v>#N/A</v>
          </cell>
          <cell r="J700" t="e">
            <v>#N/A</v>
          </cell>
          <cell r="K700" t="e">
            <v>#N/A</v>
          </cell>
          <cell r="L700" t="e">
            <v>#N/A</v>
          </cell>
          <cell r="M700" t="e">
            <v>#N/A</v>
          </cell>
          <cell r="N700" t="e">
            <v>#N/A</v>
          </cell>
          <cell r="O700" t="e">
            <v>#N/A</v>
          </cell>
          <cell r="P700">
            <v>14.52</v>
          </cell>
          <cell r="Q700" t="str">
            <v/>
          </cell>
          <cell r="R700" t="e">
            <v>#N/A</v>
          </cell>
        </row>
        <row r="701">
          <cell r="A701">
            <v>40983</v>
          </cell>
          <cell r="B701">
            <v>40983</v>
          </cell>
          <cell r="C701" t="str">
            <v>Future</v>
          </cell>
          <cell r="D701" t="e">
            <v>#N/A</v>
          </cell>
          <cell r="E701">
            <v>6.4824324324324021</v>
          </cell>
          <cell r="F701">
            <v>16.077027027027118</v>
          </cell>
          <cell r="G701">
            <v>14.158108108108125</v>
          </cell>
          <cell r="H701">
            <v>14.158108108108125</v>
          </cell>
          <cell r="I701" t="e">
            <v>#N/A</v>
          </cell>
          <cell r="J701" t="e">
            <v>#N/A</v>
          </cell>
          <cell r="K701" t="e">
            <v>#N/A</v>
          </cell>
          <cell r="L701" t="e">
            <v>#N/A</v>
          </cell>
          <cell r="M701" t="e">
            <v>#N/A</v>
          </cell>
          <cell r="N701" t="e">
            <v>#N/A</v>
          </cell>
          <cell r="O701" t="e">
            <v>#N/A</v>
          </cell>
          <cell r="P701">
            <v>14.52</v>
          </cell>
          <cell r="Q701" t="str">
            <v/>
          </cell>
          <cell r="R701" t="e">
            <v>#N/A</v>
          </cell>
        </row>
        <row r="702">
          <cell r="A702">
            <v>40984</v>
          </cell>
          <cell r="B702">
            <v>40984</v>
          </cell>
          <cell r="C702" t="str">
            <v>Future</v>
          </cell>
          <cell r="D702" t="e">
            <v>#N/A</v>
          </cell>
          <cell r="E702">
            <v>6.4270270270269965</v>
          </cell>
          <cell r="F702">
            <v>16.08918918918928</v>
          </cell>
          <cell r="G702">
            <v>14.156756756756774</v>
          </cell>
          <cell r="H702">
            <v>14.156756756756774</v>
          </cell>
          <cell r="I702" t="e">
            <v>#N/A</v>
          </cell>
          <cell r="J702" t="e">
            <v>#N/A</v>
          </cell>
          <cell r="K702" t="e">
            <v>#N/A</v>
          </cell>
          <cell r="L702" t="e">
            <v>#N/A</v>
          </cell>
          <cell r="M702" t="e">
            <v>#N/A</v>
          </cell>
          <cell r="N702" t="e">
            <v>#N/A</v>
          </cell>
          <cell r="O702" t="e">
            <v>#N/A</v>
          </cell>
          <cell r="P702">
            <v>14.52</v>
          </cell>
          <cell r="Q702" t="str">
            <v/>
          </cell>
          <cell r="R702" t="e">
            <v>#N/A</v>
          </cell>
        </row>
        <row r="703">
          <cell r="A703">
            <v>40987</v>
          </cell>
          <cell r="B703">
            <v>40987</v>
          </cell>
          <cell r="C703" t="str">
            <v>Future</v>
          </cell>
          <cell r="D703" t="e">
            <v>#N/A</v>
          </cell>
          <cell r="E703">
            <v>6.3716216216215908</v>
          </cell>
          <cell r="F703">
            <v>16.101351351351443</v>
          </cell>
          <cell r="G703">
            <v>14.155405405405423</v>
          </cell>
          <cell r="H703">
            <v>14.155405405405423</v>
          </cell>
          <cell r="I703" t="e">
            <v>#N/A</v>
          </cell>
          <cell r="J703" t="e">
            <v>#N/A</v>
          </cell>
          <cell r="K703" t="e">
            <v>#N/A</v>
          </cell>
          <cell r="L703" t="e">
            <v>#N/A</v>
          </cell>
          <cell r="M703" t="e">
            <v>#N/A</v>
          </cell>
          <cell r="N703" t="e">
            <v>#N/A</v>
          </cell>
          <cell r="O703" t="e">
            <v>#N/A</v>
          </cell>
          <cell r="P703">
            <v>14.52</v>
          </cell>
          <cell r="Q703" t="str">
            <v/>
          </cell>
          <cell r="R703" t="e">
            <v>#N/A</v>
          </cell>
        </row>
        <row r="704">
          <cell r="A704">
            <v>40988</v>
          </cell>
          <cell r="B704">
            <v>40988</v>
          </cell>
          <cell r="C704" t="str">
            <v>Future</v>
          </cell>
          <cell r="D704" t="e">
            <v>#N/A</v>
          </cell>
          <cell r="E704">
            <v>6.3162162162161852</v>
          </cell>
          <cell r="F704">
            <v>16.113513513513606</v>
          </cell>
          <cell r="G704">
            <v>14.154054054054072</v>
          </cell>
          <cell r="H704">
            <v>14.154054054054072</v>
          </cell>
          <cell r="I704" t="e">
            <v>#N/A</v>
          </cell>
          <cell r="J704" t="e">
            <v>#N/A</v>
          </cell>
          <cell r="K704" t="e">
            <v>#N/A</v>
          </cell>
          <cell r="L704" t="e">
            <v>#N/A</v>
          </cell>
          <cell r="M704" t="e">
            <v>#N/A</v>
          </cell>
          <cell r="N704" t="e">
            <v>#N/A</v>
          </cell>
          <cell r="O704" t="e">
            <v>#N/A</v>
          </cell>
          <cell r="P704">
            <v>14.52</v>
          </cell>
          <cell r="Q704" t="str">
            <v/>
          </cell>
          <cell r="R704" t="e">
            <v>#N/A</v>
          </cell>
        </row>
        <row r="705">
          <cell r="A705">
            <v>40989</v>
          </cell>
          <cell r="B705">
            <v>40989</v>
          </cell>
          <cell r="C705" t="str">
            <v>Future</v>
          </cell>
          <cell r="D705" t="e">
            <v>#N/A</v>
          </cell>
          <cell r="E705">
            <v>6.2608108108107796</v>
          </cell>
          <cell r="F705">
            <v>16.125675675675769</v>
          </cell>
          <cell r="G705">
            <v>14.152702702702721</v>
          </cell>
          <cell r="H705">
            <v>14.152702702702721</v>
          </cell>
          <cell r="I705" t="e">
            <v>#N/A</v>
          </cell>
          <cell r="J705" t="e">
            <v>#N/A</v>
          </cell>
          <cell r="K705" t="e">
            <v>#N/A</v>
          </cell>
          <cell r="L705" t="e">
            <v>#N/A</v>
          </cell>
          <cell r="M705" t="e">
            <v>#N/A</v>
          </cell>
          <cell r="N705" t="e">
            <v>#N/A</v>
          </cell>
          <cell r="O705" t="e">
            <v>#N/A</v>
          </cell>
          <cell r="P705">
            <v>14.52</v>
          </cell>
          <cell r="Q705" t="str">
            <v/>
          </cell>
          <cell r="R705" t="e">
            <v>#N/A</v>
          </cell>
        </row>
        <row r="706">
          <cell r="A706">
            <v>40990</v>
          </cell>
          <cell r="B706">
            <v>40990</v>
          </cell>
          <cell r="C706" t="str">
            <v>Future</v>
          </cell>
          <cell r="D706" t="e">
            <v>#N/A</v>
          </cell>
          <cell r="E706">
            <v>6.205405405405374</v>
          </cell>
          <cell r="F706">
            <v>16.137837837837932</v>
          </cell>
          <cell r="G706">
            <v>14.151351351351369</v>
          </cell>
          <cell r="H706">
            <v>14.151351351351369</v>
          </cell>
          <cell r="I706" t="e">
            <v>#N/A</v>
          </cell>
          <cell r="J706" t="e">
            <v>#N/A</v>
          </cell>
          <cell r="K706" t="e">
            <v>#N/A</v>
          </cell>
          <cell r="L706" t="e">
            <v>#N/A</v>
          </cell>
          <cell r="M706" t="e">
            <v>#N/A</v>
          </cell>
          <cell r="N706" t="e">
            <v>#N/A</v>
          </cell>
          <cell r="O706" t="e">
            <v>#N/A</v>
          </cell>
          <cell r="P706">
            <v>14.52</v>
          </cell>
          <cell r="Q706" t="str">
            <v/>
          </cell>
          <cell r="R706" t="e">
            <v>#N/A</v>
          </cell>
        </row>
        <row r="707">
          <cell r="A707">
            <v>40991</v>
          </cell>
          <cell r="B707">
            <v>40991</v>
          </cell>
          <cell r="C707" t="str">
            <v>Future</v>
          </cell>
          <cell r="D707" t="e">
            <v>#N/A</v>
          </cell>
          <cell r="E707">
            <v>6.1499999999999684</v>
          </cell>
          <cell r="F707">
            <v>16.150000000000095</v>
          </cell>
          <cell r="G707">
            <v>14.150000000000018</v>
          </cell>
          <cell r="H707">
            <v>14.150000000000018</v>
          </cell>
          <cell r="I707" t="e">
            <v>#N/A</v>
          </cell>
          <cell r="J707" t="e">
            <v>#N/A</v>
          </cell>
          <cell r="K707" t="e">
            <v>#N/A</v>
          </cell>
          <cell r="L707" t="e">
            <v>#N/A</v>
          </cell>
          <cell r="M707" t="e">
            <v>#N/A</v>
          </cell>
          <cell r="N707" t="e">
            <v>#N/A</v>
          </cell>
          <cell r="O707" t="e">
            <v>#N/A</v>
          </cell>
          <cell r="P707">
            <v>14.52</v>
          </cell>
          <cell r="Q707" t="str">
            <v/>
          </cell>
          <cell r="R707" t="e">
            <v>#N/A</v>
          </cell>
        </row>
        <row r="708">
          <cell r="A708">
            <v>40994</v>
          </cell>
          <cell r="B708">
            <v>40994</v>
          </cell>
          <cell r="C708" t="str">
            <v>Future</v>
          </cell>
          <cell r="D708" t="e">
            <v>#N/A</v>
          </cell>
          <cell r="E708">
            <v>6.0945945945945628</v>
          </cell>
          <cell r="F708">
            <v>16.162162162162257</v>
          </cell>
          <cell r="G708">
            <v>14.148648648648667</v>
          </cell>
          <cell r="H708">
            <v>14.148648648648667</v>
          </cell>
          <cell r="I708" t="e">
            <v>#N/A</v>
          </cell>
          <cell r="J708" t="e">
            <v>#N/A</v>
          </cell>
          <cell r="K708" t="e">
            <v>#N/A</v>
          </cell>
          <cell r="L708" t="e">
            <v>#N/A</v>
          </cell>
          <cell r="M708" t="e">
            <v>#N/A</v>
          </cell>
          <cell r="N708" t="e">
            <v>#N/A</v>
          </cell>
          <cell r="O708" t="e">
            <v>#N/A</v>
          </cell>
          <cell r="P708">
            <v>14.52</v>
          </cell>
          <cell r="Q708" t="str">
            <v/>
          </cell>
          <cell r="R708" t="e">
            <v>#N/A</v>
          </cell>
        </row>
        <row r="709">
          <cell r="A709">
            <v>40995</v>
          </cell>
          <cell r="B709">
            <v>40995</v>
          </cell>
          <cell r="C709" t="str">
            <v>Future</v>
          </cell>
          <cell r="D709" t="e">
            <v>#N/A</v>
          </cell>
          <cell r="E709">
            <v>6.0391891891891571</v>
          </cell>
          <cell r="F709">
            <v>16.17432432432442</v>
          </cell>
          <cell r="G709">
            <v>14.147297297297316</v>
          </cell>
          <cell r="H709">
            <v>14.147297297297316</v>
          </cell>
          <cell r="I709" t="e">
            <v>#N/A</v>
          </cell>
          <cell r="J709" t="e">
            <v>#N/A</v>
          </cell>
          <cell r="K709" t="e">
            <v>#N/A</v>
          </cell>
          <cell r="L709" t="e">
            <v>#N/A</v>
          </cell>
          <cell r="M709" t="e">
            <v>#N/A</v>
          </cell>
          <cell r="N709" t="e">
            <v>#N/A</v>
          </cell>
          <cell r="O709" t="e">
            <v>#N/A</v>
          </cell>
          <cell r="P709">
            <v>14.52</v>
          </cell>
          <cell r="Q709" t="str">
            <v/>
          </cell>
          <cell r="R709" t="e">
            <v>#N/A</v>
          </cell>
        </row>
        <row r="710">
          <cell r="A710">
            <v>40996</v>
          </cell>
          <cell r="B710">
            <v>40996</v>
          </cell>
          <cell r="C710" t="str">
            <v>Future</v>
          </cell>
          <cell r="D710" t="e">
            <v>#N/A</v>
          </cell>
          <cell r="E710">
            <v>5.9837837837837515</v>
          </cell>
          <cell r="F710">
            <v>16.186486486486583</v>
          </cell>
          <cell r="G710">
            <v>14.145945945945964</v>
          </cell>
          <cell r="H710">
            <v>14.145945945945964</v>
          </cell>
          <cell r="I710" t="e">
            <v>#N/A</v>
          </cell>
          <cell r="J710" t="e">
            <v>#N/A</v>
          </cell>
          <cell r="K710" t="e">
            <v>#N/A</v>
          </cell>
          <cell r="L710" t="e">
            <v>#N/A</v>
          </cell>
          <cell r="M710" t="e">
            <v>#N/A</v>
          </cell>
          <cell r="N710" t="e">
            <v>#N/A</v>
          </cell>
          <cell r="O710" t="e">
            <v>#N/A</v>
          </cell>
          <cell r="P710">
            <v>14.52</v>
          </cell>
          <cell r="Q710" t="str">
            <v/>
          </cell>
          <cell r="R710" t="e">
            <v>#N/A</v>
          </cell>
        </row>
        <row r="711">
          <cell r="A711">
            <v>40997</v>
          </cell>
          <cell r="B711">
            <v>40997</v>
          </cell>
          <cell r="C711" t="str">
            <v>Future</v>
          </cell>
          <cell r="D711" t="e">
            <v>#N/A</v>
          </cell>
          <cell r="E711">
            <v>5.9283783783783459</v>
          </cell>
          <cell r="F711">
            <v>16.198648648648746</v>
          </cell>
          <cell r="G711">
            <v>14.144594594594613</v>
          </cell>
          <cell r="H711">
            <v>14.144594594594613</v>
          </cell>
          <cell r="I711" t="e">
            <v>#N/A</v>
          </cell>
          <cell r="J711" t="e">
            <v>#N/A</v>
          </cell>
          <cell r="K711" t="e">
            <v>#N/A</v>
          </cell>
          <cell r="L711" t="e">
            <v>#N/A</v>
          </cell>
          <cell r="M711" t="e">
            <v>#N/A</v>
          </cell>
          <cell r="N711" t="e">
            <v>#N/A</v>
          </cell>
          <cell r="O711" t="e">
            <v>#N/A</v>
          </cell>
          <cell r="P711">
            <v>14.52</v>
          </cell>
          <cell r="Q711" t="str">
            <v/>
          </cell>
          <cell r="R711" t="e">
            <v>#N/A</v>
          </cell>
        </row>
        <row r="712">
          <cell r="A712">
            <v>40998</v>
          </cell>
          <cell r="B712">
            <v>40998</v>
          </cell>
          <cell r="C712" t="str">
            <v>Future</v>
          </cell>
          <cell r="D712" t="e">
            <v>#N/A</v>
          </cell>
          <cell r="E712">
            <v>5.8729729729729403</v>
          </cell>
          <cell r="F712">
            <v>16.210810810810909</v>
          </cell>
          <cell r="G712">
            <v>14.143243243243262</v>
          </cell>
          <cell r="H712">
            <v>14.143243243243262</v>
          </cell>
          <cell r="I712" t="e">
            <v>#N/A</v>
          </cell>
          <cell r="J712" t="e">
            <v>#N/A</v>
          </cell>
          <cell r="K712" t="e">
            <v>#N/A</v>
          </cell>
          <cell r="L712" t="e">
            <v>#N/A</v>
          </cell>
          <cell r="M712" t="e">
            <v>#N/A</v>
          </cell>
          <cell r="N712" t="e">
            <v>#N/A</v>
          </cell>
          <cell r="O712" t="e">
            <v>#N/A</v>
          </cell>
          <cell r="P712">
            <v>14.52</v>
          </cell>
          <cell r="Q712" t="str">
            <v/>
          </cell>
          <cell r="R712" t="e">
            <v>#N/A</v>
          </cell>
        </row>
        <row r="713">
          <cell r="A713">
            <v>41001</v>
          </cell>
          <cell r="B713">
            <v>41001</v>
          </cell>
          <cell r="C713" t="str">
            <v>Future</v>
          </cell>
          <cell r="D713" t="e">
            <v>#N/A</v>
          </cell>
          <cell r="E713">
            <v>5.8175675675675347</v>
          </cell>
          <cell r="F713">
            <v>16.222972972973071</v>
          </cell>
          <cell r="G713">
            <v>14.141891891891911</v>
          </cell>
          <cell r="H713">
            <v>14.141891891891911</v>
          </cell>
          <cell r="I713" t="e">
            <v>#N/A</v>
          </cell>
          <cell r="J713" t="e">
            <v>#N/A</v>
          </cell>
          <cell r="K713" t="e">
            <v>#N/A</v>
          </cell>
          <cell r="L713" t="e">
            <v>#N/A</v>
          </cell>
          <cell r="M713" t="e">
            <v>#N/A</v>
          </cell>
          <cell r="N713" t="e">
            <v>#N/A</v>
          </cell>
          <cell r="O713" t="e">
            <v>#N/A</v>
          </cell>
          <cell r="P713">
            <v>14.52</v>
          </cell>
          <cell r="Q713" t="str">
            <v/>
          </cell>
          <cell r="R713" t="e">
            <v>#N/A</v>
          </cell>
        </row>
        <row r="714">
          <cell r="A714">
            <v>41002</v>
          </cell>
          <cell r="B714">
            <v>41002</v>
          </cell>
          <cell r="C714" t="str">
            <v>Future</v>
          </cell>
          <cell r="D714" t="e">
            <v>#N/A</v>
          </cell>
          <cell r="E714">
            <v>5.7621621621621291</v>
          </cell>
          <cell r="F714">
            <v>16.235135135135234</v>
          </cell>
          <cell r="G714">
            <v>14.14054054054056</v>
          </cell>
          <cell r="H714">
            <v>14.14054054054056</v>
          </cell>
          <cell r="I714" t="e">
            <v>#N/A</v>
          </cell>
          <cell r="J714" t="e">
            <v>#N/A</v>
          </cell>
          <cell r="K714" t="e">
            <v>#N/A</v>
          </cell>
          <cell r="L714" t="e">
            <v>#N/A</v>
          </cell>
          <cell r="M714" t="e">
            <v>#N/A</v>
          </cell>
          <cell r="N714" t="e">
            <v>#N/A</v>
          </cell>
          <cell r="O714" t="e">
            <v>#N/A</v>
          </cell>
          <cell r="P714">
            <v>14.52</v>
          </cell>
          <cell r="Q714" t="str">
            <v/>
          </cell>
          <cell r="R714" t="e">
            <v>#N/A</v>
          </cell>
        </row>
        <row r="715">
          <cell r="A715">
            <v>41003</v>
          </cell>
          <cell r="B715">
            <v>41003</v>
          </cell>
          <cell r="C715" t="str">
            <v>Future</v>
          </cell>
          <cell r="D715" t="e">
            <v>#N/A</v>
          </cell>
          <cell r="E715">
            <v>5.7067567567567234</v>
          </cell>
          <cell r="F715">
            <v>16.247297297297397</v>
          </cell>
          <cell r="G715">
            <v>14.139189189189208</v>
          </cell>
          <cell r="H715">
            <v>14.139189189189208</v>
          </cell>
          <cell r="I715" t="e">
            <v>#N/A</v>
          </cell>
          <cell r="J715" t="e">
            <v>#N/A</v>
          </cell>
          <cell r="K715" t="e">
            <v>#N/A</v>
          </cell>
          <cell r="L715" t="e">
            <v>#N/A</v>
          </cell>
          <cell r="M715" t="e">
            <v>#N/A</v>
          </cell>
          <cell r="N715" t="e">
            <v>#N/A</v>
          </cell>
          <cell r="O715" t="e">
            <v>#N/A</v>
          </cell>
          <cell r="P715">
            <v>14.52</v>
          </cell>
          <cell r="Q715" t="str">
            <v/>
          </cell>
          <cell r="R715" t="e">
            <v>#N/A</v>
          </cell>
        </row>
        <row r="716">
          <cell r="A716">
            <v>41004</v>
          </cell>
          <cell r="B716">
            <v>41004</v>
          </cell>
          <cell r="C716" t="str">
            <v>Future</v>
          </cell>
          <cell r="D716" t="e">
            <v>#N/A</v>
          </cell>
          <cell r="E716">
            <v>5.6513513513513178</v>
          </cell>
          <cell r="F716">
            <v>16.25945945945956</v>
          </cell>
          <cell r="G716">
            <v>14.137837837837857</v>
          </cell>
          <cell r="H716">
            <v>14.137837837837857</v>
          </cell>
          <cell r="I716" t="e">
            <v>#N/A</v>
          </cell>
          <cell r="J716" t="e">
            <v>#N/A</v>
          </cell>
          <cell r="K716" t="e">
            <v>#N/A</v>
          </cell>
          <cell r="L716" t="e">
            <v>#N/A</v>
          </cell>
          <cell r="M716" t="e">
            <v>#N/A</v>
          </cell>
          <cell r="N716" t="e">
            <v>#N/A</v>
          </cell>
          <cell r="O716" t="e">
            <v>#N/A</v>
          </cell>
          <cell r="P716">
            <v>14.52</v>
          </cell>
          <cell r="Q716" t="str">
            <v/>
          </cell>
          <cell r="R716" t="e">
            <v>#N/A</v>
          </cell>
        </row>
        <row r="717">
          <cell r="A717">
            <v>41005</v>
          </cell>
          <cell r="B717">
            <v>41005</v>
          </cell>
          <cell r="C717" t="str">
            <v>Future</v>
          </cell>
          <cell r="D717" t="e">
            <v>#N/A</v>
          </cell>
          <cell r="E717">
            <v>5.5959459459459122</v>
          </cell>
          <cell r="F717">
            <v>16.271621621621723</v>
          </cell>
          <cell r="G717">
            <v>14.136486486486506</v>
          </cell>
          <cell r="H717">
            <v>14.136486486486506</v>
          </cell>
          <cell r="I717" t="e">
            <v>#N/A</v>
          </cell>
          <cell r="J717" t="e">
            <v>#N/A</v>
          </cell>
          <cell r="K717" t="e">
            <v>#N/A</v>
          </cell>
          <cell r="L717" t="e">
            <v>#N/A</v>
          </cell>
          <cell r="M717" t="e">
            <v>#N/A</v>
          </cell>
          <cell r="N717" t="e">
            <v>#N/A</v>
          </cell>
          <cell r="O717" t="e">
            <v>#N/A</v>
          </cell>
          <cell r="P717">
            <v>14.52</v>
          </cell>
          <cell r="Q717" t="str">
            <v/>
          </cell>
          <cell r="R717" t="e">
            <v>#N/A</v>
          </cell>
        </row>
        <row r="718">
          <cell r="A718">
            <v>41008</v>
          </cell>
          <cell r="B718">
            <v>41008</v>
          </cell>
          <cell r="C718" t="str">
            <v>Future</v>
          </cell>
          <cell r="D718" t="e">
            <v>#N/A</v>
          </cell>
          <cell r="E718">
            <v>5.5405405405405066</v>
          </cell>
          <cell r="F718">
            <v>16.283783783783885</v>
          </cell>
          <cell r="G718">
            <v>14.135135135135155</v>
          </cell>
          <cell r="H718">
            <v>14.135135135135155</v>
          </cell>
          <cell r="I718" t="e">
            <v>#N/A</v>
          </cell>
          <cell r="J718" t="e">
            <v>#N/A</v>
          </cell>
          <cell r="K718" t="e">
            <v>#N/A</v>
          </cell>
          <cell r="L718" t="e">
            <v>#N/A</v>
          </cell>
          <cell r="M718" t="e">
            <v>#N/A</v>
          </cell>
          <cell r="N718" t="e">
            <v>#N/A</v>
          </cell>
          <cell r="O718" t="e">
            <v>#N/A</v>
          </cell>
          <cell r="P718">
            <v>14.52</v>
          </cell>
          <cell r="Q718" t="str">
            <v/>
          </cell>
          <cell r="R718" t="e">
            <v>#N/A</v>
          </cell>
        </row>
        <row r="719">
          <cell r="A719">
            <v>41009</v>
          </cell>
          <cell r="B719">
            <v>41009</v>
          </cell>
          <cell r="C719" t="str">
            <v>Future</v>
          </cell>
          <cell r="D719" t="e">
            <v>#N/A</v>
          </cell>
          <cell r="E719">
            <v>5.485135135135101</v>
          </cell>
          <cell r="F719">
            <v>16.295945945946048</v>
          </cell>
          <cell r="G719">
            <v>14.133783783783803</v>
          </cell>
          <cell r="H719">
            <v>14.133783783783803</v>
          </cell>
          <cell r="I719" t="e">
            <v>#N/A</v>
          </cell>
          <cell r="J719" t="e">
            <v>#N/A</v>
          </cell>
          <cell r="K719" t="e">
            <v>#N/A</v>
          </cell>
          <cell r="L719" t="e">
            <v>#N/A</v>
          </cell>
          <cell r="M719" t="e">
            <v>#N/A</v>
          </cell>
          <cell r="N719" t="e">
            <v>#N/A</v>
          </cell>
          <cell r="O719" t="e">
            <v>#N/A</v>
          </cell>
          <cell r="P719">
            <v>14.52</v>
          </cell>
          <cell r="Q719" t="str">
            <v/>
          </cell>
          <cell r="R719" t="e">
            <v>#N/A</v>
          </cell>
        </row>
        <row r="720">
          <cell r="A720">
            <v>41010</v>
          </cell>
          <cell r="B720">
            <v>41010</v>
          </cell>
          <cell r="C720" t="str">
            <v>Future</v>
          </cell>
          <cell r="D720" t="e">
            <v>#N/A</v>
          </cell>
          <cell r="E720">
            <v>5.4297297297296954</v>
          </cell>
          <cell r="F720">
            <v>16.308108108108211</v>
          </cell>
          <cell r="G720">
            <v>14.132432432432452</v>
          </cell>
          <cell r="H720">
            <v>14.132432432432452</v>
          </cell>
          <cell r="I720" t="e">
            <v>#N/A</v>
          </cell>
          <cell r="J720" t="e">
            <v>#N/A</v>
          </cell>
          <cell r="K720" t="e">
            <v>#N/A</v>
          </cell>
          <cell r="L720" t="e">
            <v>#N/A</v>
          </cell>
          <cell r="M720" t="e">
            <v>#N/A</v>
          </cell>
          <cell r="N720" t="e">
            <v>#N/A</v>
          </cell>
          <cell r="O720" t="e">
            <v>#N/A</v>
          </cell>
          <cell r="P720">
            <v>14.52</v>
          </cell>
          <cell r="Q720" t="str">
            <v/>
          </cell>
          <cell r="R720" t="e">
            <v>#N/A</v>
          </cell>
        </row>
        <row r="721">
          <cell r="A721">
            <v>41011</v>
          </cell>
          <cell r="B721">
            <v>41011</v>
          </cell>
          <cell r="C721" t="str">
            <v>Future</v>
          </cell>
          <cell r="D721" t="e">
            <v>#N/A</v>
          </cell>
          <cell r="E721">
            <v>5.3743243243242897</v>
          </cell>
          <cell r="F721">
            <v>16.320270270270374</v>
          </cell>
          <cell r="G721">
            <v>14.131081081081101</v>
          </cell>
          <cell r="H721">
            <v>14.131081081081101</v>
          </cell>
          <cell r="I721" t="e">
            <v>#N/A</v>
          </cell>
          <cell r="J721" t="e">
            <v>#N/A</v>
          </cell>
          <cell r="K721" t="e">
            <v>#N/A</v>
          </cell>
          <cell r="L721" t="e">
            <v>#N/A</v>
          </cell>
          <cell r="M721" t="e">
            <v>#N/A</v>
          </cell>
          <cell r="N721" t="e">
            <v>#N/A</v>
          </cell>
          <cell r="O721" t="e">
            <v>#N/A</v>
          </cell>
          <cell r="P721">
            <v>14.52</v>
          </cell>
          <cell r="Q721" t="str">
            <v/>
          </cell>
          <cell r="R721" t="e">
            <v>#N/A</v>
          </cell>
        </row>
        <row r="722">
          <cell r="A722">
            <v>41012</v>
          </cell>
          <cell r="B722">
            <v>41012</v>
          </cell>
          <cell r="C722" t="str">
            <v>Future</v>
          </cell>
          <cell r="D722" t="e">
            <v>#N/A</v>
          </cell>
          <cell r="E722">
            <v>5.3189189189188841</v>
          </cell>
          <cell r="F722">
            <v>16.332432432432537</v>
          </cell>
          <cell r="G722">
            <v>14.12972972972975</v>
          </cell>
          <cell r="H722">
            <v>14.12972972972975</v>
          </cell>
          <cell r="I722" t="e">
            <v>#N/A</v>
          </cell>
          <cell r="J722" t="e">
            <v>#N/A</v>
          </cell>
          <cell r="K722" t="e">
            <v>#N/A</v>
          </cell>
          <cell r="L722" t="e">
            <v>#N/A</v>
          </cell>
          <cell r="M722" t="e">
            <v>#N/A</v>
          </cell>
          <cell r="N722" t="e">
            <v>#N/A</v>
          </cell>
          <cell r="O722" t="e">
            <v>#N/A</v>
          </cell>
          <cell r="P722">
            <v>14.52</v>
          </cell>
          <cell r="Q722" t="str">
            <v/>
          </cell>
          <cell r="R722" t="e">
            <v>#N/A</v>
          </cell>
        </row>
        <row r="723">
          <cell r="A723">
            <v>41015</v>
          </cell>
          <cell r="B723">
            <v>41015</v>
          </cell>
          <cell r="C723" t="str">
            <v>Future</v>
          </cell>
          <cell r="D723" t="e">
            <v>#N/A</v>
          </cell>
          <cell r="E723">
            <v>5.2635135135134785</v>
          </cell>
          <cell r="F723">
            <v>16.3445945945947</v>
          </cell>
          <cell r="G723">
            <v>14.128378378378398</v>
          </cell>
          <cell r="H723">
            <v>14.128378378378398</v>
          </cell>
          <cell r="I723" t="e">
            <v>#N/A</v>
          </cell>
          <cell r="J723" t="e">
            <v>#N/A</v>
          </cell>
          <cell r="K723" t="e">
            <v>#N/A</v>
          </cell>
          <cell r="L723" t="e">
            <v>#N/A</v>
          </cell>
          <cell r="M723" t="e">
            <v>#N/A</v>
          </cell>
          <cell r="N723" t="e">
            <v>#N/A</v>
          </cell>
          <cell r="O723" t="e">
            <v>#N/A</v>
          </cell>
          <cell r="P723">
            <v>14.52</v>
          </cell>
          <cell r="Q723" t="str">
            <v/>
          </cell>
          <cell r="R723" t="e">
            <v>#N/A</v>
          </cell>
        </row>
        <row r="724">
          <cell r="A724">
            <v>41016</v>
          </cell>
          <cell r="B724">
            <v>41016</v>
          </cell>
          <cell r="C724" t="str">
            <v>Future</v>
          </cell>
          <cell r="D724" t="e">
            <v>#N/A</v>
          </cell>
          <cell r="E724">
            <v>5.2081081081080729</v>
          </cell>
          <cell r="F724">
            <v>16.356756756756862</v>
          </cell>
          <cell r="G724">
            <v>14.127027027027047</v>
          </cell>
          <cell r="H724">
            <v>14.127027027027047</v>
          </cell>
          <cell r="I724" t="e">
            <v>#N/A</v>
          </cell>
          <cell r="J724" t="e">
            <v>#N/A</v>
          </cell>
          <cell r="K724" t="e">
            <v>#N/A</v>
          </cell>
          <cell r="L724" t="e">
            <v>#N/A</v>
          </cell>
          <cell r="M724" t="e">
            <v>#N/A</v>
          </cell>
          <cell r="N724" t="e">
            <v>#N/A</v>
          </cell>
          <cell r="O724" t="e">
            <v>#N/A</v>
          </cell>
          <cell r="P724">
            <v>14.52</v>
          </cell>
          <cell r="Q724" t="str">
            <v/>
          </cell>
          <cell r="R724" t="e">
            <v>#N/A</v>
          </cell>
        </row>
        <row r="725">
          <cell r="A725">
            <v>41017</v>
          </cell>
          <cell r="B725">
            <v>41017</v>
          </cell>
          <cell r="C725" t="str">
            <v>Future</v>
          </cell>
          <cell r="D725" t="e">
            <v>#N/A</v>
          </cell>
          <cell r="E725">
            <v>5.1527027027026673</v>
          </cell>
          <cell r="F725">
            <v>16.368918918919025</v>
          </cell>
          <cell r="G725">
            <v>14.125675675675696</v>
          </cell>
          <cell r="H725">
            <v>14.125675675675696</v>
          </cell>
          <cell r="I725" t="e">
            <v>#N/A</v>
          </cell>
          <cell r="J725" t="e">
            <v>#N/A</v>
          </cell>
          <cell r="K725" t="e">
            <v>#N/A</v>
          </cell>
          <cell r="L725" t="e">
            <v>#N/A</v>
          </cell>
          <cell r="M725" t="e">
            <v>#N/A</v>
          </cell>
          <cell r="N725" t="e">
            <v>#N/A</v>
          </cell>
          <cell r="O725" t="e">
            <v>#N/A</v>
          </cell>
          <cell r="P725">
            <v>14.52</v>
          </cell>
          <cell r="Q725" t="str">
            <v/>
          </cell>
          <cell r="R725" t="e">
            <v>#N/A</v>
          </cell>
        </row>
        <row r="726">
          <cell r="A726">
            <v>41018</v>
          </cell>
          <cell r="B726">
            <v>41018</v>
          </cell>
          <cell r="C726" t="str">
            <v>Future</v>
          </cell>
          <cell r="D726" t="e">
            <v>#N/A</v>
          </cell>
          <cell r="E726">
            <v>5.0972972972972617</v>
          </cell>
          <cell r="F726">
            <v>16.381081081081188</v>
          </cell>
          <cell r="G726">
            <v>14.124324324324345</v>
          </cell>
          <cell r="H726">
            <v>14.124324324324345</v>
          </cell>
          <cell r="I726" t="e">
            <v>#N/A</v>
          </cell>
          <cell r="J726" t="e">
            <v>#N/A</v>
          </cell>
          <cell r="K726" t="e">
            <v>#N/A</v>
          </cell>
          <cell r="L726" t="e">
            <v>#N/A</v>
          </cell>
          <cell r="M726" t="e">
            <v>#N/A</v>
          </cell>
          <cell r="N726" t="e">
            <v>#N/A</v>
          </cell>
          <cell r="O726" t="e">
            <v>#N/A</v>
          </cell>
          <cell r="P726">
            <v>14.52</v>
          </cell>
          <cell r="Q726" t="str">
            <v/>
          </cell>
          <cell r="R726" t="e">
            <v>#N/A</v>
          </cell>
        </row>
        <row r="727">
          <cell r="A727">
            <v>41019</v>
          </cell>
          <cell r="B727">
            <v>41019</v>
          </cell>
          <cell r="C727" t="str">
            <v>Future</v>
          </cell>
          <cell r="D727" t="e">
            <v>#N/A</v>
          </cell>
          <cell r="E727">
            <v>5.041891891891856</v>
          </cell>
          <cell r="F727">
            <v>16.393243243243351</v>
          </cell>
          <cell r="G727">
            <v>14.122972972972994</v>
          </cell>
          <cell r="H727">
            <v>14.122972972972994</v>
          </cell>
          <cell r="I727" t="e">
            <v>#N/A</v>
          </cell>
          <cell r="J727" t="e">
            <v>#N/A</v>
          </cell>
          <cell r="K727" t="e">
            <v>#N/A</v>
          </cell>
          <cell r="L727" t="e">
            <v>#N/A</v>
          </cell>
          <cell r="M727" t="e">
            <v>#N/A</v>
          </cell>
          <cell r="N727" t="e">
            <v>#N/A</v>
          </cell>
          <cell r="O727" t="e">
            <v>#N/A</v>
          </cell>
          <cell r="P727">
            <v>14.52</v>
          </cell>
          <cell r="Q727" t="str">
            <v/>
          </cell>
          <cell r="R727" t="e">
            <v>#N/A</v>
          </cell>
        </row>
        <row r="728">
          <cell r="A728">
            <v>41022</v>
          </cell>
          <cell r="B728">
            <v>41022</v>
          </cell>
          <cell r="C728" t="str">
            <v>Future</v>
          </cell>
          <cell r="D728" t="e">
            <v>#N/A</v>
          </cell>
          <cell r="E728">
            <v>4.9864864864864504</v>
          </cell>
          <cell r="F728">
            <v>16.405405405405514</v>
          </cell>
          <cell r="G728">
            <v>14.121621621621642</v>
          </cell>
          <cell r="H728">
            <v>14.121621621621642</v>
          </cell>
          <cell r="I728" t="e">
            <v>#N/A</v>
          </cell>
          <cell r="J728" t="e">
            <v>#N/A</v>
          </cell>
          <cell r="K728" t="e">
            <v>#N/A</v>
          </cell>
          <cell r="L728" t="e">
            <v>#N/A</v>
          </cell>
          <cell r="M728" t="e">
            <v>#N/A</v>
          </cell>
          <cell r="N728" t="e">
            <v>#N/A</v>
          </cell>
          <cell r="O728" t="e">
            <v>#N/A</v>
          </cell>
          <cell r="P728">
            <v>14.52</v>
          </cell>
          <cell r="Q728" t="str">
            <v/>
          </cell>
          <cell r="R728" t="e">
            <v>#N/A</v>
          </cell>
        </row>
        <row r="729">
          <cell r="A729">
            <v>41023</v>
          </cell>
          <cell r="B729">
            <v>41023</v>
          </cell>
          <cell r="C729" t="str">
            <v>Future</v>
          </cell>
          <cell r="D729" t="e">
            <v>#N/A</v>
          </cell>
          <cell r="E729">
            <v>4.9310810810810448</v>
          </cell>
          <cell r="F729">
            <v>16.417567567567676</v>
          </cell>
          <cell r="G729">
            <v>14.120270270270291</v>
          </cell>
          <cell r="H729">
            <v>14.120270270270291</v>
          </cell>
          <cell r="I729" t="e">
            <v>#N/A</v>
          </cell>
          <cell r="J729" t="e">
            <v>#N/A</v>
          </cell>
          <cell r="K729" t="e">
            <v>#N/A</v>
          </cell>
          <cell r="L729" t="e">
            <v>#N/A</v>
          </cell>
          <cell r="M729" t="e">
            <v>#N/A</v>
          </cell>
          <cell r="N729" t="e">
            <v>#N/A</v>
          </cell>
          <cell r="O729" t="e">
            <v>#N/A</v>
          </cell>
          <cell r="P729">
            <v>14.52</v>
          </cell>
          <cell r="Q729" t="str">
            <v/>
          </cell>
          <cell r="R729" t="e">
            <v>#N/A</v>
          </cell>
        </row>
        <row r="730">
          <cell r="A730">
            <v>41024</v>
          </cell>
          <cell r="B730">
            <v>41024</v>
          </cell>
          <cell r="C730" t="str">
            <v>Future</v>
          </cell>
          <cell r="D730" t="e">
            <v>#N/A</v>
          </cell>
          <cell r="E730">
            <v>4.8756756756756392</v>
          </cell>
          <cell r="F730">
            <v>16.429729729729839</v>
          </cell>
          <cell r="G730">
            <v>14.11891891891894</v>
          </cell>
          <cell r="H730">
            <v>14.11891891891894</v>
          </cell>
          <cell r="I730" t="e">
            <v>#N/A</v>
          </cell>
          <cell r="J730" t="e">
            <v>#N/A</v>
          </cell>
          <cell r="K730" t="e">
            <v>#N/A</v>
          </cell>
          <cell r="L730" t="e">
            <v>#N/A</v>
          </cell>
          <cell r="M730" t="e">
            <v>#N/A</v>
          </cell>
          <cell r="N730" t="e">
            <v>#N/A</v>
          </cell>
          <cell r="O730" t="e">
            <v>#N/A</v>
          </cell>
          <cell r="P730">
            <v>14.52</v>
          </cell>
          <cell r="Q730" t="str">
            <v/>
          </cell>
          <cell r="R730" t="e">
            <v>#N/A</v>
          </cell>
        </row>
        <row r="731">
          <cell r="A731">
            <v>41025</v>
          </cell>
          <cell r="B731">
            <v>41025</v>
          </cell>
          <cell r="C731" t="str">
            <v>Future</v>
          </cell>
          <cell r="D731" t="e">
            <v>#N/A</v>
          </cell>
          <cell r="E731">
            <v>4.8202702702702336</v>
          </cell>
          <cell r="F731">
            <v>16.441891891892002</v>
          </cell>
          <cell r="G731">
            <v>14.117567567567589</v>
          </cell>
          <cell r="H731">
            <v>14.117567567567589</v>
          </cell>
          <cell r="I731" t="e">
            <v>#N/A</v>
          </cell>
          <cell r="J731" t="e">
            <v>#N/A</v>
          </cell>
          <cell r="K731" t="e">
            <v>#N/A</v>
          </cell>
          <cell r="L731" t="e">
            <v>#N/A</v>
          </cell>
          <cell r="M731" t="e">
            <v>#N/A</v>
          </cell>
          <cell r="N731" t="e">
            <v>#N/A</v>
          </cell>
          <cell r="O731" t="e">
            <v>#N/A</v>
          </cell>
          <cell r="P731">
            <v>14.52</v>
          </cell>
          <cell r="Q731" t="str">
            <v/>
          </cell>
          <cell r="R731" t="e">
            <v>#N/A</v>
          </cell>
        </row>
        <row r="732">
          <cell r="A732">
            <v>41026</v>
          </cell>
          <cell r="B732">
            <v>41026</v>
          </cell>
          <cell r="C732" t="str">
            <v>Future</v>
          </cell>
          <cell r="D732" t="e">
            <v>#N/A</v>
          </cell>
          <cell r="E732">
            <v>4.764864864864828</v>
          </cell>
          <cell r="F732">
            <v>16.454054054054165</v>
          </cell>
          <cell r="G732">
            <v>14.116216216216237</v>
          </cell>
          <cell r="H732">
            <v>14.116216216216237</v>
          </cell>
          <cell r="I732" t="e">
            <v>#N/A</v>
          </cell>
          <cell r="J732" t="e">
            <v>#N/A</v>
          </cell>
          <cell r="K732" t="e">
            <v>#N/A</v>
          </cell>
          <cell r="L732" t="e">
            <v>#N/A</v>
          </cell>
          <cell r="M732" t="e">
            <v>#N/A</v>
          </cell>
          <cell r="N732" t="e">
            <v>#N/A</v>
          </cell>
          <cell r="O732" t="e">
            <v>#N/A</v>
          </cell>
          <cell r="P732">
            <v>14.52</v>
          </cell>
          <cell r="Q732" t="str">
            <v/>
          </cell>
          <cell r="R732" t="e">
            <v>#N/A</v>
          </cell>
        </row>
        <row r="733">
          <cell r="A733">
            <v>41029</v>
          </cell>
          <cell r="B733">
            <v>41029</v>
          </cell>
          <cell r="C733" t="str">
            <v>Future</v>
          </cell>
          <cell r="D733" t="e">
            <v>#N/A</v>
          </cell>
          <cell r="E733">
            <v>4.7094594594594223</v>
          </cell>
          <cell r="F733">
            <v>16.466216216216328</v>
          </cell>
          <cell r="G733">
            <v>14.114864864864886</v>
          </cell>
          <cell r="H733">
            <v>14.114864864864886</v>
          </cell>
          <cell r="I733" t="e">
            <v>#N/A</v>
          </cell>
          <cell r="J733" t="e">
            <v>#N/A</v>
          </cell>
          <cell r="K733" t="e">
            <v>#N/A</v>
          </cell>
          <cell r="L733" t="e">
            <v>#N/A</v>
          </cell>
          <cell r="M733" t="e">
            <v>#N/A</v>
          </cell>
          <cell r="N733" t="e">
            <v>#N/A</v>
          </cell>
          <cell r="O733" t="e">
            <v>#N/A</v>
          </cell>
          <cell r="P733">
            <v>14.52</v>
          </cell>
          <cell r="Q733" t="str">
            <v/>
          </cell>
          <cell r="R733" t="e">
            <v>#N/A</v>
          </cell>
        </row>
        <row r="734">
          <cell r="A734">
            <v>41030</v>
          </cell>
          <cell r="B734">
            <v>41030</v>
          </cell>
          <cell r="C734" t="str">
            <v>Future</v>
          </cell>
          <cell r="D734" t="e">
            <v>#N/A</v>
          </cell>
          <cell r="E734">
            <v>4.6540540540540167</v>
          </cell>
          <cell r="F734">
            <v>16.478378378378491</v>
          </cell>
          <cell r="G734">
            <v>14.113513513513535</v>
          </cell>
          <cell r="H734">
            <v>14.113513513513535</v>
          </cell>
          <cell r="I734" t="e">
            <v>#N/A</v>
          </cell>
          <cell r="J734" t="e">
            <v>#N/A</v>
          </cell>
          <cell r="K734" t="e">
            <v>#N/A</v>
          </cell>
          <cell r="L734" t="e">
            <v>#N/A</v>
          </cell>
          <cell r="M734" t="e">
            <v>#N/A</v>
          </cell>
          <cell r="N734" t="e">
            <v>#N/A</v>
          </cell>
          <cell r="O734" t="e">
            <v>#N/A</v>
          </cell>
          <cell r="P734">
            <v>14.52</v>
          </cell>
          <cell r="Q734" t="str">
            <v/>
          </cell>
          <cell r="R734" t="e">
            <v>#N/A</v>
          </cell>
        </row>
        <row r="735">
          <cell r="A735">
            <v>41031</v>
          </cell>
          <cell r="B735">
            <v>41031</v>
          </cell>
          <cell r="C735" t="str">
            <v>Future</v>
          </cell>
          <cell r="D735" t="e">
            <v>#N/A</v>
          </cell>
          <cell r="E735">
            <v>4.5986486486486111</v>
          </cell>
          <cell r="F735">
            <v>16.490540540540653</v>
          </cell>
          <cell r="G735">
            <v>14.112162162162184</v>
          </cell>
          <cell r="H735">
            <v>14.112162162162184</v>
          </cell>
          <cell r="I735" t="e">
            <v>#N/A</v>
          </cell>
          <cell r="J735" t="e">
            <v>#N/A</v>
          </cell>
          <cell r="K735" t="e">
            <v>#N/A</v>
          </cell>
          <cell r="L735" t="e">
            <v>#N/A</v>
          </cell>
          <cell r="M735" t="e">
            <v>#N/A</v>
          </cell>
          <cell r="N735" t="e">
            <v>#N/A</v>
          </cell>
          <cell r="O735" t="e">
            <v>#N/A</v>
          </cell>
          <cell r="P735">
            <v>14.52</v>
          </cell>
          <cell r="Q735" t="str">
            <v/>
          </cell>
          <cell r="R735" t="e">
            <v>#N/A</v>
          </cell>
        </row>
        <row r="736">
          <cell r="A736">
            <v>41032</v>
          </cell>
          <cell r="B736">
            <v>41032</v>
          </cell>
          <cell r="C736" t="str">
            <v>Future</v>
          </cell>
          <cell r="D736" t="e">
            <v>#N/A</v>
          </cell>
          <cell r="E736">
            <v>4.5432432432432055</v>
          </cell>
          <cell r="F736">
            <v>16.502702702702816</v>
          </cell>
          <cell r="G736">
            <v>14.110810810810833</v>
          </cell>
          <cell r="H736">
            <v>14.110810810810833</v>
          </cell>
          <cell r="I736" t="e">
            <v>#N/A</v>
          </cell>
          <cell r="J736" t="e">
            <v>#N/A</v>
          </cell>
          <cell r="K736" t="e">
            <v>#N/A</v>
          </cell>
          <cell r="L736" t="e">
            <v>#N/A</v>
          </cell>
          <cell r="M736" t="e">
            <v>#N/A</v>
          </cell>
          <cell r="N736" t="e">
            <v>#N/A</v>
          </cell>
          <cell r="O736" t="e">
            <v>#N/A</v>
          </cell>
          <cell r="P736">
            <v>14.52</v>
          </cell>
          <cell r="Q736" t="str">
            <v/>
          </cell>
          <cell r="R736" t="e">
            <v>#N/A</v>
          </cell>
        </row>
        <row r="737">
          <cell r="A737">
            <v>41033</v>
          </cell>
          <cell r="B737">
            <v>41033</v>
          </cell>
          <cell r="C737" t="str">
            <v>Future</v>
          </cell>
          <cell r="D737" t="e">
            <v>#N/A</v>
          </cell>
          <cell r="E737">
            <v>4.4878378378377999</v>
          </cell>
          <cell r="F737">
            <v>16.514864864864979</v>
          </cell>
          <cell r="G737">
            <v>14.109459459459481</v>
          </cell>
          <cell r="H737">
            <v>14.109459459459481</v>
          </cell>
          <cell r="I737" t="e">
            <v>#N/A</v>
          </cell>
          <cell r="J737" t="e">
            <v>#N/A</v>
          </cell>
          <cell r="K737" t="e">
            <v>#N/A</v>
          </cell>
          <cell r="L737" t="e">
            <v>#N/A</v>
          </cell>
          <cell r="M737" t="e">
            <v>#N/A</v>
          </cell>
          <cell r="N737" t="e">
            <v>#N/A</v>
          </cell>
          <cell r="O737" t="e">
            <v>#N/A</v>
          </cell>
          <cell r="P737">
            <v>14.52</v>
          </cell>
          <cell r="Q737" t="str">
            <v/>
          </cell>
          <cell r="R737" t="e">
            <v>#N/A</v>
          </cell>
        </row>
        <row r="738">
          <cell r="A738">
            <v>41036</v>
          </cell>
          <cell r="B738">
            <v>41036</v>
          </cell>
          <cell r="C738" t="str">
            <v>Future</v>
          </cell>
          <cell r="D738" t="e">
            <v>#N/A</v>
          </cell>
          <cell r="E738">
            <v>4.4324324324323943</v>
          </cell>
          <cell r="F738">
            <v>16.527027027027142</v>
          </cell>
          <cell r="G738">
            <v>14.10810810810813</v>
          </cell>
          <cell r="H738">
            <v>14.10810810810813</v>
          </cell>
          <cell r="I738" t="e">
            <v>#N/A</v>
          </cell>
          <cell r="J738" t="e">
            <v>#N/A</v>
          </cell>
          <cell r="K738" t="e">
            <v>#N/A</v>
          </cell>
          <cell r="L738" t="e">
            <v>#N/A</v>
          </cell>
          <cell r="M738" t="e">
            <v>#N/A</v>
          </cell>
          <cell r="N738" t="e">
            <v>#N/A</v>
          </cell>
          <cell r="O738" t="e">
            <v>#N/A</v>
          </cell>
          <cell r="P738">
            <v>14.52</v>
          </cell>
          <cell r="Q738" t="str">
            <v/>
          </cell>
          <cell r="R738" t="e">
            <v>#N/A</v>
          </cell>
        </row>
        <row r="739">
          <cell r="A739">
            <v>41037</v>
          </cell>
          <cell r="B739">
            <v>41037</v>
          </cell>
          <cell r="C739" t="str">
            <v>Future</v>
          </cell>
          <cell r="D739" t="e">
            <v>#N/A</v>
          </cell>
          <cell r="E739">
            <v>4.3770270270269886</v>
          </cell>
          <cell r="F739">
            <v>16.539189189189305</v>
          </cell>
          <cell r="G739">
            <v>14.106756756756779</v>
          </cell>
          <cell r="H739">
            <v>14.106756756756779</v>
          </cell>
          <cell r="I739" t="e">
            <v>#N/A</v>
          </cell>
          <cell r="J739" t="e">
            <v>#N/A</v>
          </cell>
          <cell r="K739" t="e">
            <v>#N/A</v>
          </cell>
          <cell r="L739" t="e">
            <v>#N/A</v>
          </cell>
          <cell r="M739" t="e">
            <v>#N/A</v>
          </cell>
          <cell r="N739" t="e">
            <v>#N/A</v>
          </cell>
          <cell r="O739" t="e">
            <v>#N/A</v>
          </cell>
          <cell r="P739">
            <v>14.52</v>
          </cell>
          <cell r="Q739" t="str">
            <v/>
          </cell>
          <cell r="R739" t="e">
            <v>#N/A</v>
          </cell>
        </row>
        <row r="740">
          <cell r="A740">
            <v>41038</v>
          </cell>
          <cell r="B740">
            <v>41038</v>
          </cell>
          <cell r="C740" t="str">
            <v>Future</v>
          </cell>
          <cell r="D740" t="e">
            <v>#N/A</v>
          </cell>
          <cell r="E740">
            <v>4.321621621621583</v>
          </cell>
          <cell r="F740">
            <v>16.551351351351467</v>
          </cell>
          <cell r="G740">
            <v>14.105405405405428</v>
          </cell>
          <cell r="H740">
            <v>14.105405405405428</v>
          </cell>
          <cell r="I740" t="e">
            <v>#N/A</v>
          </cell>
          <cell r="J740" t="e">
            <v>#N/A</v>
          </cell>
          <cell r="K740" t="e">
            <v>#N/A</v>
          </cell>
          <cell r="L740" t="e">
            <v>#N/A</v>
          </cell>
          <cell r="M740" t="e">
            <v>#N/A</v>
          </cell>
          <cell r="N740" t="e">
            <v>#N/A</v>
          </cell>
          <cell r="O740" t="e">
            <v>#N/A</v>
          </cell>
          <cell r="P740">
            <v>14.52</v>
          </cell>
          <cell r="Q740" t="str">
            <v/>
          </cell>
          <cell r="R740" t="e">
            <v>#N/A</v>
          </cell>
        </row>
        <row r="741">
          <cell r="A741">
            <v>41039</v>
          </cell>
          <cell r="B741">
            <v>41039</v>
          </cell>
          <cell r="C741" t="str">
            <v>Future</v>
          </cell>
          <cell r="D741" t="e">
            <v>#N/A</v>
          </cell>
          <cell r="E741">
            <v>4.2662162162161774</v>
          </cell>
          <cell r="F741">
            <v>16.56351351351363</v>
          </cell>
          <cell r="G741">
            <v>14.104054054054076</v>
          </cell>
          <cell r="H741">
            <v>14.104054054054076</v>
          </cell>
          <cell r="I741" t="e">
            <v>#N/A</v>
          </cell>
          <cell r="J741" t="e">
            <v>#N/A</v>
          </cell>
          <cell r="K741" t="e">
            <v>#N/A</v>
          </cell>
          <cell r="L741" t="e">
            <v>#N/A</v>
          </cell>
          <cell r="M741" t="e">
            <v>#N/A</v>
          </cell>
          <cell r="N741" t="e">
            <v>#N/A</v>
          </cell>
          <cell r="O741" t="e">
            <v>#N/A</v>
          </cell>
          <cell r="P741">
            <v>14.52</v>
          </cell>
          <cell r="Q741" t="str">
            <v/>
          </cell>
          <cell r="R741" t="e">
            <v>#N/A</v>
          </cell>
        </row>
        <row r="742">
          <cell r="A742">
            <v>41040</v>
          </cell>
          <cell r="B742">
            <v>41040</v>
          </cell>
          <cell r="C742" t="str">
            <v>Future</v>
          </cell>
          <cell r="D742" t="e">
            <v>#N/A</v>
          </cell>
          <cell r="E742">
            <v>4.2108108108107718</v>
          </cell>
          <cell r="F742">
            <v>16.575675675675793</v>
          </cell>
          <cell r="G742">
            <v>14.102702702702725</v>
          </cell>
          <cell r="H742">
            <v>14.102702702702725</v>
          </cell>
          <cell r="I742" t="e">
            <v>#N/A</v>
          </cell>
          <cell r="J742" t="e">
            <v>#N/A</v>
          </cell>
          <cell r="K742" t="e">
            <v>#N/A</v>
          </cell>
          <cell r="L742" t="e">
            <v>#N/A</v>
          </cell>
          <cell r="M742" t="e">
            <v>#N/A</v>
          </cell>
          <cell r="N742" t="e">
            <v>#N/A</v>
          </cell>
          <cell r="O742" t="e">
            <v>#N/A</v>
          </cell>
          <cell r="P742">
            <v>14.52</v>
          </cell>
          <cell r="Q742" t="str">
            <v/>
          </cell>
          <cell r="R742" t="e">
            <v>#N/A</v>
          </cell>
        </row>
        <row r="743">
          <cell r="A743">
            <v>41043</v>
          </cell>
          <cell r="B743">
            <v>41043</v>
          </cell>
          <cell r="C743" t="str">
            <v>Future</v>
          </cell>
          <cell r="D743" t="e">
            <v>#N/A</v>
          </cell>
          <cell r="E743">
            <v>4.1554054054053662</v>
          </cell>
          <cell r="F743">
            <v>16.587837837837956</v>
          </cell>
          <cell r="G743">
            <v>14.101351351351374</v>
          </cell>
          <cell r="H743">
            <v>14.101351351351374</v>
          </cell>
          <cell r="I743" t="e">
            <v>#N/A</v>
          </cell>
          <cell r="J743" t="e">
            <v>#N/A</v>
          </cell>
          <cell r="K743" t="e">
            <v>#N/A</v>
          </cell>
          <cell r="L743" t="e">
            <v>#N/A</v>
          </cell>
          <cell r="M743" t="e">
            <v>#N/A</v>
          </cell>
          <cell r="N743" t="e">
            <v>#N/A</v>
          </cell>
          <cell r="O743" t="e">
            <v>#N/A</v>
          </cell>
          <cell r="P743">
            <v>14.52</v>
          </cell>
          <cell r="Q743" t="str">
            <v/>
          </cell>
          <cell r="R743" t="e">
            <v>#N/A</v>
          </cell>
        </row>
        <row r="744">
          <cell r="A744">
            <v>41044</v>
          </cell>
          <cell r="B744">
            <v>41044</v>
          </cell>
          <cell r="C744" t="str">
            <v>Future</v>
          </cell>
          <cell r="D744" t="e">
            <v>#N/A</v>
          </cell>
          <cell r="E744">
            <v>4.0999999999999606</v>
          </cell>
          <cell r="F744">
            <v>16.600000000000119</v>
          </cell>
          <cell r="G744">
            <v>14.100000000000023</v>
          </cell>
          <cell r="H744">
            <v>14.100000000000023</v>
          </cell>
          <cell r="I744" t="e">
            <v>#N/A</v>
          </cell>
          <cell r="J744" t="e">
            <v>#N/A</v>
          </cell>
          <cell r="K744" t="e">
            <v>#N/A</v>
          </cell>
          <cell r="L744" t="e">
            <v>#N/A</v>
          </cell>
          <cell r="M744" t="e">
            <v>#N/A</v>
          </cell>
          <cell r="N744" t="e">
            <v>#N/A</v>
          </cell>
          <cell r="O744" t="e">
            <v>#N/A</v>
          </cell>
          <cell r="P744">
            <v>14.52</v>
          </cell>
          <cell r="Q744" t="str">
            <v/>
          </cell>
          <cell r="R744" t="e">
            <v>#N/A</v>
          </cell>
        </row>
        <row r="745">
          <cell r="A745">
            <v>41045</v>
          </cell>
          <cell r="B745">
            <v>41045</v>
          </cell>
          <cell r="C745" t="str">
            <v>Future</v>
          </cell>
          <cell r="D745" t="e">
            <v>#N/A</v>
          </cell>
          <cell r="E745">
            <v>4.0445945945945549</v>
          </cell>
          <cell r="F745">
            <v>16.612162162162281</v>
          </cell>
          <cell r="G745">
            <v>14.098648648648672</v>
          </cell>
          <cell r="H745">
            <v>14.098648648648672</v>
          </cell>
          <cell r="I745" t="e">
            <v>#N/A</v>
          </cell>
          <cell r="J745" t="e">
            <v>#N/A</v>
          </cell>
          <cell r="K745" t="e">
            <v>#N/A</v>
          </cell>
          <cell r="L745" t="e">
            <v>#N/A</v>
          </cell>
          <cell r="M745" t="e">
            <v>#N/A</v>
          </cell>
          <cell r="N745" t="e">
            <v>#N/A</v>
          </cell>
          <cell r="O745" t="e">
            <v>#N/A</v>
          </cell>
          <cell r="P745">
            <v>14.52</v>
          </cell>
          <cell r="Q745" t="str">
            <v/>
          </cell>
          <cell r="R745" t="e">
            <v>#N/A</v>
          </cell>
        </row>
        <row r="746">
          <cell r="A746">
            <v>41046</v>
          </cell>
          <cell r="B746">
            <v>41046</v>
          </cell>
          <cell r="C746" t="str">
            <v>Future</v>
          </cell>
          <cell r="D746" t="e">
            <v>#N/A</v>
          </cell>
          <cell r="E746">
            <v>3.9891891891891493</v>
          </cell>
          <cell r="F746">
            <v>16.624324324324444</v>
          </cell>
          <cell r="G746">
            <v>14.09729729729732</v>
          </cell>
          <cell r="H746">
            <v>14.09729729729732</v>
          </cell>
          <cell r="I746" t="e">
            <v>#N/A</v>
          </cell>
          <cell r="J746" t="e">
            <v>#N/A</v>
          </cell>
          <cell r="K746" t="e">
            <v>#N/A</v>
          </cell>
          <cell r="L746" t="e">
            <v>#N/A</v>
          </cell>
          <cell r="M746" t="e">
            <v>#N/A</v>
          </cell>
          <cell r="N746" t="e">
            <v>#N/A</v>
          </cell>
          <cell r="O746" t="e">
            <v>#N/A</v>
          </cell>
          <cell r="P746">
            <v>14.52</v>
          </cell>
          <cell r="Q746" t="str">
            <v/>
          </cell>
          <cell r="R746" t="e">
            <v>#N/A</v>
          </cell>
        </row>
        <row r="747">
          <cell r="A747">
            <v>41047</v>
          </cell>
          <cell r="B747">
            <v>41047</v>
          </cell>
          <cell r="C747" t="str">
            <v>Future</v>
          </cell>
          <cell r="D747" t="e">
            <v>#N/A</v>
          </cell>
          <cell r="E747">
            <v>3.9337837837837437</v>
          </cell>
          <cell r="F747">
            <v>16.636486486486607</v>
          </cell>
          <cell r="G747">
            <v>14.095945945945969</v>
          </cell>
          <cell r="H747">
            <v>14.095945945945969</v>
          </cell>
          <cell r="I747" t="e">
            <v>#N/A</v>
          </cell>
          <cell r="J747" t="e">
            <v>#N/A</v>
          </cell>
          <cell r="K747" t="e">
            <v>#N/A</v>
          </cell>
          <cell r="L747" t="e">
            <v>#N/A</v>
          </cell>
          <cell r="M747" t="e">
            <v>#N/A</v>
          </cell>
          <cell r="N747" t="e">
            <v>#N/A</v>
          </cell>
          <cell r="O747" t="e">
            <v>#N/A</v>
          </cell>
          <cell r="P747">
            <v>14.52</v>
          </cell>
          <cell r="Q747" t="str">
            <v/>
          </cell>
          <cell r="R747" t="e">
            <v>#N/A</v>
          </cell>
        </row>
        <row r="748">
          <cell r="A748">
            <v>41050</v>
          </cell>
          <cell r="B748">
            <v>41050</v>
          </cell>
          <cell r="C748" t="str">
            <v>Future</v>
          </cell>
          <cell r="D748" t="e">
            <v>#N/A</v>
          </cell>
          <cell r="E748">
            <v>3.8783783783783381</v>
          </cell>
          <cell r="F748">
            <v>16.64864864864877</v>
          </cell>
          <cell r="G748">
            <v>14.094594594594618</v>
          </cell>
          <cell r="H748">
            <v>14.094594594594618</v>
          </cell>
          <cell r="I748" t="e">
            <v>#N/A</v>
          </cell>
          <cell r="J748" t="e">
            <v>#N/A</v>
          </cell>
          <cell r="K748" t="e">
            <v>#N/A</v>
          </cell>
          <cell r="L748" t="e">
            <v>#N/A</v>
          </cell>
          <cell r="M748" t="e">
            <v>#N/A</v>
          </cell>
          <cell r="N748" t="e">
            <v>#N/A</v>
          </cell>
          <cell r="O748" t="e">
            <v>#N/A</v>
          </cell>
          <cell r="P748">
            <v>14.52</v>
          </cell>
          <cell r="Q748" t="str">
            <v/>
          </cell>
          <cell r="R748" t="e">
            <v>#N/A</v>
          </cell>
        </row>
        <row r="749">
          <cell r="A749">
            <v>41051</v>
          </cell>
          <cell r="B749">
            <v>41051</v>
          </cell>
          <cell r="C749" t="str">
            <v>Future</v>
          </cell>
          <cell r="D749" t="e">
            <v>#N/A</v>
          </cell>
          <cell r="E749">
            <v>3.8229729729729325</v>
          </cell>
          <cell r="F749">
            <v>16.660810810810933</v>
          </cell>
          <cell r="G749">
            <v>14.093243243243267</v>
          </cell>
          <cell r="H749">
            <v>14.093243243243267</v>
          </cell>
          <cell r="I749" t="e">
            <v>#N/A</v>
          </cell>
          <cell r="J749" t="e">
            <v>#N/A</v>
          </cell>
          <cell r="K749" t="e">
            <v>#N/A</v>
          </cell>
          <cell r="L749" t="e">
            <v>#N/A</v>
          </cell>
          <cell r="M749" t="e">
            <v>#N/A</v>
          </cell>
          <cell r="N749" t="e">
            <v>#N/A</v>
          </cell>
          <cell r="O749" t="e">
            <v>#N/A</v>
          </cell>
          <cell r="P749">
            <v>14.52</v>
          </cell>
          <cell r="Q749" t="str">
            <v/>
          </cell>
          <cell r="R749" t="e">
            <v>#N/A</v>
          </cell>
        </row>
        <row r="750">
          <cell r="A750">
            <v>41052</v>
          </cell>
          <cell r="B750">
            <v>41052</v>
          </cell>
          <cell r="C750" t="str">
            <v>Future</v>
          </cell>
          <cell r="D750" t="e">
            <v>#N/A</v>
          </cell>
          <cell r="E750">
            <v>3.7675675675675269</v>
          </cell>
          <cell r="F750">
            <v>16.672972972973096</v>
          </cell>
          <cell r="G750">
            <v>14.091891891891915</v>
          </cell>
          <cell r="H750">
            <v>14.091891891891915</v>
          </cell>
          <cell r="I750" t="e">
            <v>#N/A</v>
          </cell>
          <cell r="J750" t="e">
            <v>#N/A</v>
          </cell>
          <cell r="K750" t="e">
            <v>#N/A</v>
          </cell>
          <cell r="L750" t="e">
            <v>#N/A</v>
          </cell>
          <cell r="M750" t="e">
            <v>#N/A</v>
          </cell>
          <cell r="N750" t="e">
            <v>#N/A</v>
          </cell>
          <cell r="O750" t="e">
            <v>#N/A</v>
          </cell>
          <cell r="P750">
            <v>14.52</v>
          </cell>
          <cell r="Q750" t="str">
            <v/>
          </cell>
          <cell r="R750" t="e">
            <v>#N/A</v>
          </cell>
        </row>
        <row r="751">
          <cell r="A751">
            <v>41053</v>
          </cell>
          <cell r="B751">
            <v>41053</v>
          </cell>
          <cell r="C751" t="str">
            <v>Future</v>
          </cell>
          <cell r="D751" t="e">
            <v>#N/A</v>
          </cell>
          <cell r="E751">
            <v>3.7121621621621212</v>
          </cell>
          <cell r="F751">
            <v>16.685135135135258</v>
          </cell>
          <cell r="G751">
            <v>14.090540540540564</v>
          </cell>
          <cell r="H751">
            <v>14.090540540540564</v>
          </cell>
          <cell r="I751" t="e">
            <v>#N/A</v>
          </cell>
          <cell r="J751" t="e">
            <v>#N/A</v>
          </cell>
          <cell r="K751" t="e">
            <v>#N/A</v>
          </cell>
          <cell r="L751" t="e">
            <v>#N/A</v>
          </cell>
          <cell r="M751" t="e">
            <v>#N/A</v>
          </cell>
          <cell r="N751" t="e">
            <v>#N/A</v>
          </cell>
          <cell r="O751" t="e">
            <v>#N/A</v>
          </cell>
          <cell r="P751">
            <v>14.52</v>
          </cell>
          <cell r="Q751" t="str">
            <v/>
          </cell>
          <cell r="R751" t="e">
            <v>#N/A</v>
          </cell>
        </row>
        <row r="752">
          <cell r="A752">
            <v>41054</v>
          </cell>
          <cell r="B752">
            <v>41054</v>
          </cell>
          <cell r="C752" t="str">
            <v>Future</v>
          </cell>
          <cell r="D752" t="e">
            <v>#N/A</v>
          </cell>
          <cell r="E752">
            <v>3.6567567567567156</v>
          </cell>
          <cell r="F752">
            <v>16.697297297297421</v>
          </cell>
          <cell r="G752">
            <v>14.089189189189213</v>
          </cell>
          <cell r="H752">
            <v>14.089189189189213</v>
          </cell>
          <cell r="I752" t="e">
            <v>#N/A</v>
          </cell>
          <cell r="J752" t="e">
            <v>#N/A</v>
          </cell>
          <cell r="K752" t="e">
            <v>#N/A</v>
          </cell>
          <cell r="L752" t="e">
            <v>#N/A</v>
          </cell>
          <cell r="M752" t="e">
            <v>#N/A</v>
          </cell>
          <cell r="N752" t="e">
            <v>#N/A</v>
          </cell>
          <cell r="O752" t="e">
            <v>#N/A</v>
          </cell>
          <cell r="P752">
            <v>14.52</v>
          </cell>
          <cell r="Q752" t="str">
            <v/>
          </cell>
          <cell r="R752" t="e">
            <v>#N/A</v>
          </cell>
        </row>
        <row r="753">
          <cell r="A753">
            <v>41057</v>
          </cell>
          <cell r="B753">
            <v>41057</v>
          </cell>
          <cell r="C753" t="str">
            <v>Future</v>
          </cell>
          <cell r="D753" t="e">
            <v>#N/A</v>
          </cell>
          <cell r="E753">
            <v>3.60135135135131</v>
          </cell>
          <cell r="F753">
            <v>16.709459459459584</v>
          </cell>
          <cell r="G753">
            <v>14.087837837837862</v>
          </cell>
          <cell r="H753">
            <v>14.087837837837862</v>
          </cell>
          <cell r="I753" t="e">
            <v>#N/A</v>
          </cell>
          <cell r="J753" t="e">
            <v>#N/A</v>
          </cell>
          <cell r="K753" t="e">
            <v>#N/A</v>
          </cell>
          <cell r="L753" t="e">
            <v>#N/A</v>
          </cell>
          <cell r="M753" t="e">
            <v>#N/A</v>
          </cell>
          <cell r="N753" t="e">
            <v>#N/A</v>
          </cell>
          <cell r="O753" t="e">
            <v>#N/A</v>
          </cell>
          <cell r="P753">
            <v>14.52</v>
          </cell>
          <cell r="Q753" t="str">
            <v/>
          </cell>
          <cell r="R753" t="e">
            <v>#N/A</v>
          </cell>
        </row>
        <row r="754">
          <cell r="A754">
            <v>41058</v>
          </cell>
          <cell r="B754">
            <v>41058</v>
          </cell>
          <cell r="C754" t="str">
            <v>Future</v>
          </cell>
          <cell r="D754" t="e">
            <v>#N/A</v>
          </cell>
          <cell r="E754">
            <v>3.5459459459459044</v>
          </cell>
          <cell r="F754">
            <v>16.721621621621747</v>
          </cell>
          <cell r="G754">
            <v>14.08648648648651</v>
          </cell>
          <cell r="H754">
            <v>14.08648648648651</v>
          </cell>
          <cell r="I754" t="e">
            <v>#N/A</v>
          </cell>
          <cell r="J754" t="e">
            <v>#N/A</v>
          </cell>
          <cell r="K754" t="e">
            <v>#N/A</v>
          </cell>
          <cell r="L754" t="e">
            <v>#N/A</v>
          </cell>
          <cell r="M754" t="e">
            <v>#N/A</v>
          </cell>
          <cell r="N754" t="e">
            <v>#N/A</v>
          </cell>
          <cell r="O754" t="e">
            <v>#N/A</v>
          </cell>
          <cell r="P754">
            <v>14.52</v>
          </cell>
          <cell r="Q754" t="str">
            <v/>
          </cell>
          <cell r="R754" t="e">
            <v>#N/A</v>
          </cell>
        </row>
        <row r="755">
          <cell r="A755">
            <v>41059</v>
          </cell>
          <cell r="B755">
            <v>41059</v>
          </cell>
          <cell r="C755" t="str">
            <v>Future</v>
          </cell>
          <cell r="D755" t="e">
            <v>#N/A</v>
          </cell>
          <cell r="E755">
            <v>3.4905405405404988</v>
          </cell>
          <cell r="F755">
            <v>16.73378378378391</v>
          </cell>
          <cell r="G755">
            <v>14.085135135135159</v>
          </cell>
          <cell r="H755">
            <v>14.085135135135159</v>
          </cell>
          <cell r="I755" t="e">
            <v>#N/A</v>
          </cell>
          <cell r="J755" t="e">
            <v>#N/A</v>
          </cell>
          <cell r="K755" t="e">
            <v>#N/A</v>
          </cell>
          <cell r="L755" t="e">
            <v>#N/A</v>
          </cell>
          <cell r="M755" t="e">
            <v>#N/A</v>
          </cell>
          <cell r="N755" t="e">
            <v>#N/A</v>
          </cell>
          <cell r="O755" t="e">
            <v>#N/A</v>
          </cell>
          <cell r="P755">
            <v>14.52</v>
          </cell>
          <cell r="Q755" t="str">
            <v/>
          </cell>
          <cell r="R755" t="e">
            <v>#N/A</v>
          </cell>
        </row>
        <row r="756">
          <cell r="A756">
            <v>41060</v>
          </cell>
          <cell r="B756">
            <v>41060</v>
          </cell>
          <cell r="C756" t="str">
            <v>Future</v>
          </cell>
          <cell r="D756" t="e">
            <v>#N/A</v>
          </cell>
          <cell r="E756">
            <v>3.4351351351350932</v>
          </cell>
          <cell r="F756">
            <v>16.745945945946072</v>
          </cell>
          <cell r="G756">
            <v>14.083783783783808</v>
          </cell>
          <cell r="H756">
            <v>14.083783783783808</v>
          </cell>
          <cell r="I756" t="e">
            <v>#N/A</v>
          </cell>
          <cell r="J756" t="e">
            <v>#N/A</v>
          </cell>
          <cell r="K756" t="e">
            <v>#N/A</v>
          </cell>
          <cell r="L756" t="e">
            <v>#N/A</v>
          </cell>
          <cell r="M756" t="e">
            <v>#N/A</v>
          </cell>
          <cell r="N756" t="e">
            <v>#N/A</v>
          </cell>
          <cell r="O756" t="e">
            <v>#N/A</v>
          </cell>
          <cell r="P756">
            <v>14.52</v>
          </cell>
          <cell r="Q756" t="str">
            <v/>
          </cell>
          <cell r="R756" t="e">
            <v>#N/A</v>
          </cell>
        </row>
        <row r="757">
          <cell r="A757">
            <v>41061</v>
          </cell>
          <cell r="B757">
            <v>41061</v>
          </cell>
          <cell r="C757" t="str">
            <v>Future</v>
          </cell>
          <cell r="D757" t="e">
            <v>#N/A</v>
          </cell>
          <cell r="E757">
            <v>3.3797297297296875</v>
          </cell>
          <cell r="F757">
            <v>16.758108108108235</v>
          </cell>
          <cell r="G757">
            <v>14.082432432432457</v>
          </cell>
          <cell r="H757">
            <v>14.082432432432457</v>
          </cell>
          <cell r="I757" t="e">
            <v>#N/A</v>
          </cell>
          <cell r="J757" t="e">
            <v>#N/A</v>
          </cell>
          <cell r="K757" t="e">
            <v>#N/A</v>
          </cell>
          <cell r="L757" t="e">
            <v>#N/A</v>
          </cell>
          <cell r="M757" t="e">
            <v>#N/A</v>
          </cell>
          <cell r="N757" t="e">
            <v>#N/A</v>
          </cell>
          <cell r="O757" t="e">
            <v>#N/A</v>
          </cell>
          <cell r="P757">
            <v>14.52</v>
          </cell>
          <cell r="Q757" t="str">
            <v/>
          </cell>
          <cell r="R757" t="e">
            <v>#N/A</v>
          </cell>
        </row>
        <row r="758">
          <cell r="A758">
            <v>41064</v>
          </cell>
          <cell r="B758">
            <v>41064</v>
          </cell>
          <cell r="C758" t="str">
            <v>Future</v>
          </cell>
          <cell r="D758" t="e">
            <v>#N/A</v>
          </cell>
          <cell r="E758">
            <v>3.3243243243242819</v>
          </cell>
          <cell r="F758">
            <v>16.770270270270398</v>
          </cell>
          <cell r="G758">
            <v>14.081081081081106</v>
          </cell>
          <cell r="H758">
            <v>14.081081081081106</v>
          </cell>
          <cell r="I758" t="e">
            <v>#N/A</v>
          </cell>
          <cell r="J758" t="e">
            <v>#N/A</v>
          </cell>
          <cell r="K758" t="e">
            <v>#N/A</v>
          </cell>
          <cell r="L758" t="e">
            <v>#N/A</v>
          </cell>
          <cell r="M758" t="e">
            <v>#N/A</v>
          </cell>
          <cell r="N758" t="e">
            <v>#N/A</v>
          </cell>
          <cell r="O758" t="e">
            <v>#N/A</v>
          </cell>
          <cell r="P758">
            <v>14.52</v>
          </cell>
          <cell r="Q758" t="str">
            <v/>
          </cell>
          <cell r="R758" t="e">
            <v>#N/A</v>
          </cell>
        </row>
        <row r="759">
          <cell r="A759">
            <v>41065</v>
          </cell>
          <cell r="B759">
            <v>41065</v>
          </cell>
          <cell r="C759" t="str">
            <v>Future</v>
          </cell>
          <cell r="D759" t="e">
            <v>#N/A</v>
          </cell>
          <cell r="E759">
            <v>3.2689189189188763</v>
          </cell>
          <cell r="F759">
            <v>16.782432432432561</v>
          </cell>
          <cell r="G759">
            <v>14.079729729729754</v>
          </cell>
          <cell r="H759">
            <v>14.079729729729754</v>
          </cell>
          <cell r="I759" t="e">
            <v>#N/A</v>
          </cell>
          <cell r="J759" t="e">
            <v>#N/A</v>
          </cell>
          <cell r="K759" t="e">
            <v>#N/A</v>
          </cell>
          <cell r="L759" t="e">
            <v>#N/A</v>
          </cell>
          <cell r="M759" t="e">
            <v>#N/A</v>
          </cell>
          <cell r="N759" t="e">
            <v>#N/A</v>
          </cell>
          <cell r="O759" t="e">
            <v>#N/A</v>
          </cell>
          <cell r="P759">
            <v>14.52</v>
          </cell>
          <cell r="Q759" t="str">
            <v/>
          </cell>
          <cell r="R759" t="e">
            <v>#N/A</v>
          </cell>
        </row>
        <row r="760">
          <cell r="A760">
            <v>41066</v>
          </cell>
          <cell r="B760">
            <v>41066</v>
          </cell>
          <cell r="C760" t="str">
            <v>Future</v>
          </cell>
          <cell r="D760" t="e">
            <v>#N/A</v>
          </cell>
          <cell r="E760">
            <v>3.2135135135134707</v>
          </cell>
          <cell r="F760">
            <v>16.794594594594724</v>
          </cell>
          <cell r="G760">
            <v>14.078378378378403</v>
          </cell>
          <cell r="H760">
            <v>14.078378378378403</v>
          </cell>
          <cell r="I760" t="e">
            <v>#N/A</v>
          </cell>
          <cell r="J760" t="e">
            <v>#N/A</v>
          </cell>
          <cell r="K760" t="e">
            <v>#N/A</v>
          </cell>
          <cell r="L760" t="e">
            <v>#N/A</v>
          </cell>
          <cell r="M760" t="e">
            <v>#N/A</v>
          </cell>
          <cell r="N760" t="e">
            <v>#N/A</v>
          </cell>
          <cell r="O760" t="e">
            <v>#N/A</v>
          </cell>
          <cell r="P760">
            <v>14.52</v>
          </cell>
          <cell r="Q760" t="str">
            <v/>
          </cell>
          <cell r="R760" t="e">
            <v>#N/A</v>
          </cell>
        </row>
        <row r="761">
          <cell r="A761">
            <v>41067</v>
          </cell>
          <cell r="B761">
            <v>41067</v>
          </cell>
          <cell r="C761" t="str">
            <v>Future</v>
          </cell>
          <cell r="D761" t="e">
            <v>#N/A</v>
          </cell>
          <cell r="E761">
            <v>3.1581081081080651</v>
          </cell>
          <cell r="F761">
            <v>16.806756756756887</v>
          </cell>
          <cell r="G761">
            <v>14.077027027027052</v>
          </cell>
          <cell r="H761">
            <v>14.077027027027052</v>
          </cell>
          <cell r="I761" t="e">
            <v>#N/A</v>
          </cell>
          <cell r="J761" t="e">
            <v>#N/A</v>
          </cell>
          <cell r="K761" t="e">
            <v>#N/A</v>
          </cell>
          <cell r="L761" t="e">
            <v>#N/A</v>
          </cell>
          <cell r="M761" t="e">
            <v>#N/A</v>
          </cell>
          <cell r="N761" t="e">
            <v>#N/A</v>
          </cell>
          <cell r="O761" t="e">
            <v>#N/A</v>
          </cell>
          <cell r="P761">
            <v>14.52</v>
          </cell>
          <cell r="Q761" t="str">
            <v/>
          </cell>
          <cell r="R761" t="e">
            <v>#N/A</v>
          </cell>
        </row>
        <row r="762">
          <cell r="A762">
            <v>41068</v>
          </cell>
          <cell r="B762">
            <v>41068</v>
          </cell>
          <cell r="C762" t="str">
            <v>Future</v>
          </cell>
          <cell r="D762" t="e">
            <v>#N/A</v>
          </cell>
          <cell r="E762">
            <v>3.1027027027026595</v>
          </cell>
          <cell r="F762">
            <v>16.818918918919049</v>
          </cell>
          <cell r="G762">
            <v>14.075675675675701</v>
          </cell>
          <cell r="H762">
            <v>14.075675675675701</v>
          </cell>
          <cell r="I762" t="e">
            <v>#N/A</v>
          </cell>
          <cell r="J762" t="e">
            <v>#N/A</v>
          </cell>
          <cell r="K762" t="e">
            <v>#N/A</v>
          </cell>
          <cell r="L762" t="e">
            <v>#N/A</v>
          </cell>
          <cell r="M762" t="e">
            <v>#N/A</v>
          </cell>
          <cell r="N762" t="e">
            <v>#N/A</v>
          </cell>
          <cell r="O762" t="e">
            <v>#N/A</v>
          </cell>
          <cell r="P762">
            <v>14.52</v>
          </cell>
          <cell r="Q762" t="str">
            <v/>
          </cell>
          <cell r="R762" t="e">
            <v>#N/A</v>
          </cell>
        </row>
        <row r="763">
          <cell r="A763">
            <v>41071</v>
          </cell>
          <cell r="B763">
            <v>41071</v>
          </cell>
          <cell r="C763" t="str">
            <v>Future</v>
          </cell>
          <cell r="D763" t="e">
            <v>#N/A</v>
          </cell>
          <cell r="E763">
            <v>3.0472972972972538</v>
          </cell>
          <cell r="F763">
            <v>16.831081081081212</v>
          </cell>
          <cell r="G763">
            <v>14.074324324324349</v>
          </cell>
          <cell r="H763">
            <v>14.074324324324349</v>
          </cell>
          <cell r="I763" t="e">
            <v>#N/A</v>
          </cell>
          <cell r="J763" t="e">
            <v>#N/A</v>
          </cell>
          <cell r="K763" t="e">
            <v>#N/A</v>
          </cell>
          <cell r="L763" t="e">
            <v>#N/A</v>
          </cell>
          <cell r="M763" t="e">
            <v>#N/A</v>
          </cell>
          <cell r="N763" t="e">
            <v>#N/A</v>
          </cell>
          <cell r="O763" t="e">
            <v>#N/A</v>
          </cell>
          <cell r="P763">
            <v>14.52</v>
          </cell>
          <cell r="Q763" t="str">
            <v/>
          </cell>
          <cell r="R763" t="e">
            <v>#N/A</v>
          </cell>
        </row>
        <row r="764">
          <cell r="A764">
            <v>41072</v>
          </cell>
          <cell r="B764">
            <v>41072</v>
          </cell>
          <cell r="C764" t="str">
            <v>Future</v>
          </cell>
          <cell r="D764" t="e">
            <v>#N/A</v>
          </cell>
          <cell r="E764">
            <v>2.9918918918918482</v>
          </cell>
          <cell r="F764">
            <v>16.843243243243375</v>
          </cell>
          <cell r="G764">
            <v>14.072972972972998</v>
          </cell>
          <cell r="H764">
            <v>14.072972972972998</v>
          </cell>
          <cell r="I764" t="e">
            <v>#N/A</v>
          </cell>
          <cell r="J764" t="e">
            <v>#N/A</v>
          </cell>
          <cell r="K764" t="e">
            <v>#N/A</v>
          </cell>
          <cell r="L764" t="e">
            <v>#N/A</v>
          </cell>
          <cell r="M764" t="e">
            <v>#N/A</v>
          </cell>
          <cell r="N764" t="e">
            <v>#N/A</v>
          </cell>
          <cell r="O764" t="e">
            <v>#N/A</v>
          </cell>
          <cell r="P764">
            <v>14.52</v>
          </cell>
          <cell r="Q764" t="str">
            <v/>
          </cell>
          <cell r="R764" t="e">
            <v>#N/A</v>
          </cell>
        </row>
        <row r="765">
          <cell r="A765">
            <v>41073</v>
          </cell>
          <cell r="B765">
            <v>41073</v>
          </cell>
          <cell r="C765" t="str">
            <v>Future</v>
          </cell>
          <cell r="D765" t="e">
            <v>#N/A</v>
          </cell>
          <cell r="E765">
            <v>2.9364864864864426</v>
          </cell>
          <cell r="F765">
            <v>16.855405405405538</v>
          </cell>
          <cell r="G765">
            <v>14.071621621621647</v>
          </cell>
          <cell r="H765">
            <v>14.071621621621647</v>
          </cell>
          <cell r="I765" t="e">
            <v>#N/A</v>
          </cell>
          <cell r="J765" t="e">
            <v>#N/A</v>
          </cell>
          <cell r="K765" t="e">
            <v>#N/A</v>
          </cell>
          <cell r="L765" t="e">
            <v>#N/A</v>
          </cell>
          <cell r="M765" t="e">
            <v>#N/A</v>
          </cell>
          <cell r="N765" t="e">
            <v>#N/A</v>
          </cell>
          <cell r="O765" t="e">
            <v>#N/A</v>
          </cell>
          <cell r="P765">
            <v>14.52</v>
          </cell>
          <cell r="Q765" t="str">
            <v/>
          </cell>
          <cell r="R765" t="e">
            <v>#N/A</v>
          </cell>
        </row>
        <row r="766">
          <cell r="A766">
            <v>41074</v>
          </cell>
          <cell r="B766">
            <v>41074</v>
          </cell>
          <cell r="C766" t="str">
            <v>Future</v>
          </cell>
          <cell r="D766" t="e">
            <v>#N/A</v>
          </cell>
          <cell r="E766">
            <v>2.881081081081037</v>
          </cell>
          <cell r="F766">
            <v>16.867567567567701</v>
          </cell>
          <cell r="G766">
            <v>14.070270270270296</v>
          </cell>
          <cell r="H766">
            <v>14.070270270270296</v>
          </cell>
          <cell r="I766" t="e">
            <v>#N/A</v>
          </cell>
          <cell r="J766" t="e">
            <v>#N/A</v>
          </cell>
          <cell r="K766" t="e">
            <v>#N/A</v>
          </cell>
          <cell r="L766" t="e">
            <v>#N/A</v>
          </cell>
          <cell r="M766" t="e">
            <v>#N/A</v>
          </cell>
          <cell r="N766" t="e">
            <v>#N/A</v>
          </cell>
          <cell r="O766" t="e">
            <v>#N/A</v>
          </cell>
          <cell r="P766">
            <v>14.52</v>
          </cell>
          <cell r="Q766" t="str">
            <v/>
          </cell>
          <cell r="R766" t="e">
            <v>#N/A</v>
          </cell>
        </row>
        <row r="767">
          <cell r="A767">
            <v>41075</v>
          </cell>
          <cell r="B767">
            <v>41075</v>
          </cell>
          <cell r="C767" t="str">
            <v>Future</v>
          </cell>
          <cell r="D767" t="e">
            <v>#N/A</v>
          </cell>
          <cell r="E767">
            <v>2.8256756756756314</v>
          </cell>
          <cell r="F767">
            <v>16.879729729729863</v>
          </cell>
          <cell r="G767">
            <v>14.068918918918945</v>
          </cell>
          <cell r="H767">
            <v>14.068918918918945</v>
          </cell>
          <cell r="I767" t="e">
            <v>#N/A</v>
          </cell>
          <cell r="J767" t="e">
            <v>#N/A</v>
          </cell>
          <cell r="K767" t="e">
            <v>#N/A</v>
          </cell>
          <cell r="L767" t="e">
            <v>#N/A</v>
          </cell>
          <cell r="M767" t="e">
            <v>#N/A</v>
          </cell>
          <cell r="N767" t="e">
            <v>#N/A</v>
          </cell>
          <cell r="O767" t="e">
            <v>#N/A</v>
          </cell>
          <cell r="P767">
            <v>14.52</v>
          </cell>
          <cell r="Q767" t="str">
            <v/>
          </cell>
          <cell r="R767" t="e">
            <v>#N/A</v>
          </cell>
        </row>
        <row r="768">
          <cell r="A768">
            <v>41078</v>
          </cell>
          <cell r="B768">
            <v>41078</v>
          </cell>
          <cell r="C768" t="str">
            <v>Future</v>
          </cell>
          <cell r="D768" t="e">
            <v>#N/A</v>
          </cell>
          <cell r="E768">
            <v>2.7702702702702258</v>
          </cell>
          <cell r="F768">
            <v>16.891891891892026</v>
          </cell>
          <cell r="G768">
            <v>14.067567567567593</v>
          </cell>
          <cell r="H768">
            <v>14.067567567567593</v>
          </cell>
          <cell r="I768" t="e">
            <v>#N/A</v>
          </cell>
          <cell r="J768" t="e">
            <v>#N/A</v>
          </cell>
          <cell r="K768" t="e">
            <v>#N/A</v>
          </cell>
          <cell r="L768" t="e">
            <v>#N/A</v>
          </cell>
          <cell r="M768" t="e">
            <v>#N/A</v>
          </cell>
          <cell r="N768" t="e">
            <v>#N/A</v>
          </cell>
          <cell r="O768" t="e">
            <v>#N/A</v>
          </cell>
          <cell r="P768">
            <v>14.52</v>
          </cell>
          <cell r="Q768" t="str">
            <v/>
          </cell>
          <cell r="R768" t="e">
            <v>#N/A</v>
          </cell>
        </row>
        <row r="769">
          <cell r="A769">
            <v>41079</v>
          </cell>
          <cell r="B769">
            <v>41079</v>
          </cell>
          <cell r="C769" t="str">
            <v>Future</v>
          </cell>
          <cell r="D769" t="e">
            <v>#N/A</v>
          </cell>
          <cell r="E769">
            <v>2.7148648648648201</v>
          </cell>
          <cell r="F769">
            <v>16.904054054054189</v>
          </cell>
          <cell r="G769">
            <v>14.066216216216242</v>
          </cell>
          <cell r="H769">
            <v>14.066216216216242</v>
          </cell>
          <cell r="I769" t="e">
            <v>#N/A</v>
          </cell>
          <cell r="J769" t="e">
            <v>#N/A</v>
          </cell>
          <cell r="K769" t="e">
            <v>#N/A</v>
          </cell>
          <cell r="L769" t="e">
            <v>#N/A</v>
          </cell>
          <cell r="M769" t="e">
            <v>#N/A</v>
          </cell>
          <cell r="N769" t="e">
            <v>#N/A</v>
          </cell>
          <cell r="O769" t="e">
            <v>#N/A</v>
          </cell>
          <cell r="P769">
            <v>14.52</v>
          </cell>
          <cell r="Q769" t="str">
            <v/>
          </cell>
          <cell r="R769" t="e">
            <v>#N/A</v>
          </cell>
        </row>
        <row r="770">
          <cell r="A770">
            <v>41080</v>
          </cell>
          <cell r="B770">
            <v>41080</v>
          </cell>
          <cell r="C770" t="str">
            <v>Future</v>
          </cell>
          <cell r="D770" t="e">
            <v>#N/A</v>
          </cell>
          <cell r="E770">
            <v>2.6594594594594145</v>
          </cell>
          <cell r="F770">
            <v>16.916216216216352</v>
          </cell>
          <cell r="G770">
            <v>14.064864864864891</v>
          </cell>
          <cell r="H770">
            <v>14.064864864864891</v>
          </cell>
          <cell r="I770" t="e">
            <v>#N/A</v>
          </cell>
          <cell r="J770" t="e">
            <v>#N/A</v>
          </cell>
          <cell r="K770" t="e">
            <v>#N/A</v>
          </cell>
          <cell r="L770" t="e">
            <v>#N/A</v>
          </cell>
          <cell r="M770" t="e">
            <v>#N/A</v>
          </cell>
          <cell r="N770" t="e">
            <v>#N/A</v>
          </cell>
          <cell r="O770" t="e">
            <v>#N/A</v>
          </cell>
          <cell r="P770">
            <v>14.52</v>
          </cell>
          <cell r="Q770" t="str">
            <v/>
          </cell>
          <cell r="R770" t="e">
            <v>#N/A</v>
          </cell>
        </row>
        <row r="771">
          <cell r="A771">
            <v>41081</v>
          </cell>
          <cell r="B771">
            <v>41081</v>
          </cell>
          <cell r="C771" t="str">
            <v>Future</v>
          </cell>
          <cell r="D771" t="e">
            <v>#N/A</v>
          </cell>
          <cell r="E771">
            <v>2.6040540540540089</v>
          </cell>
          <cell r="F771">
            <v>16.928378378378515</v>
          </cell>
          <cell r="G771">
            <v>14.06351351351354</v>
          </cell>
          <cell r="H771">
            <v>14.06351351351354</v>
          </cell>
          <cell r="I771" t="e">
            <v>#N/A</v>
          </cell>
          <cell r="J771" t="e">
            <v>#N/A</v>
          </cell>
          <cell r="K771" t="e">
            <v>#N/A</v>
          </cell>
          <cell r="L771" t="e">
            <v>#N/A</v>
          </cell>
          <cell r="M771" t="e">
            <v>#N/A</v>
          </cell>
          <cell r="N771" t="e">
            <v>#N/A</v>
          </cell>
          <cell r="O771" t="e">
            <v>#N/A</v>
          </cell>
          <cell r="P771">
            <v>14.52</v>
          </cell>
          <cell r="Q771" t="str">
            <v/>
          </cell>
          <cell r="R771" t="e">
            <v>#N/A</v>
          </cell>
        </row>
        <row r="772">
          <cell r="A772">
            <v>41082</v>
          </cell>
          <cell r="B772">
            <v>41082</v>
          </cell>
          <cell r="C772" t="str">
            <v>Future</v>
          </cell>
          <cell r="D772" t="e">
            <v>#N/A</v>
          </cell>
          <cell r="E772">
            <v>2.5486486486486033</v>
          </cell>
          <cell r="F772">
            <v>16.940540540540677</v>
          </cell>
          <cell r="G772">
            <v>14.062162162162188</v>
          </cell>
          <cell r="H772">
            <v>14.062162162162188</v>
          </cell>
          <cell r="I772" t="e">
            <v>#N/A</v>
          </cell>
          <cell r="J772" t="e">
            <v>#N/A</v>
          </cell>
          <cell r="K772" t="e">
            <v>#N/A</v>
          </cell>
          <cell r="L772" t="e">
            <v>#N/A</v>
          </cell>
          <cell r="M772" t="e">
            <v>#N/A</v>
          </cell>
          <cell r="N772" t="e">
            <v>#N/A</v>
          </cell>
          <cell r="O772" t="e">
            <v>#N/A</v>
          </cell>
          <cell r="P772">
            <v>14.52</v>
          </cell>
          <cell r="Q772" t="str">
            <v/>
          </cell>
          <cell r="R772" t="e">
            <v>#N/A</v>
          </cell>
        </row>
        <row r="773">
          <cell r="A773">
            <v>41085</v>
          </cell>
          <cell r="B773">
            <v>41085</v>
          </cell>
          <cell r="C773" t="str">
            <v>Future</v>
          </cell>
          <cell r="D773" t="e">
            <v>#N/A</v>
          </cell>
          <cell r="E773">
            <v>2.4932432432431977</v>
          </cell>
          <cell r="F773">
            <v>16.95270270270284</v>
          </cell>
          <cell r="G773">
            <v>14.060810810810837</v>
          </cell>
          <cell r="H773">
            <v>14.060810810810837</v>
          </cell>
          <cell r="I773" t="e">
            <v>#N/A</v>
          </cell>
          <cell r="J773" t="e">
            <v>#N/A</v>
          </cell>
          <cell r="K773" t="e">
            <v>#N/A</v>
          </cell>
          <cell r="L773" t="e">
            <v>#N/A</v>
          </cell>
          <cell r="M773" t="e">
            <v>#N/A</v>
          </cell>
          <cell r="N773" t="e">
            <v>#N/A</v>
          </cell>
          <cell r="O773" t="e">
            <v>#N/A</v>
          </cell>
          <cell r="P773">
            <v>14.52</v>
          </cell>
          <cell r="Q773" t="str">
            <v/>
          </cell>
          <cell r="R773" t="e">
            <v>#N/A</v>
          </cell>
        </row>
        <row r="774">
          <cell r="A774">
            <v>41086</v>
          </cell>
          <cell r="B774">
            <v>41086</v>
          </cell>
          <cell r="C774" t="str">
            <v>Future</v>
          </cell>
          <cell r="D774" t="e">
            <v>#N/A</v>
          </cell>
          <cell r="E774">
            <v>2.4378378378377921</v>
          </cell>
          <cell r="F774">
            <v>16.964864864865003</v>
          </cell>
          <cell r="G774">
            <v>14.059459459459486</v>
          </cell>
          <cell r="H774">
            <v>14.059459459459486</v>
          </cell>
          <cell r="I774" t="e">
            <v>#N/A</v>
          </cell>
          <cell r="J774" t="e">
            <v>#N/A</v>
          </cell>
          <cell r="K774" t="e">
            <v>#N/A</v>
          </cell>
          <cell r="L774" t="e">
            <v>#N/A</v>
          </cell>
          <cell r="M774" t="e">
            <v>#N/A</v>
          </cell>
          <cell r="N774" t="e">
            <v>#N/A</v>
          </cell>
          <cell r="O774" t="e">
            <v>#N/A</v>
          </cell>
          <cell r="P774">
            <v>14.52</v>
          </cell>
          <cell r="Q774" t="str">
            <v/>
          </cell>
          <cell r="R774" t="e">
            <v>#N/A</v>
          </cell>
        </row>
        <row r="775">
          <cell r="A775">
            <v>41087</v>
          </cell>
          <cell r="B775">
            <v>41087</v>
          </cell>
          <cell r="C775" t="str">
            <v>Future</v>
          </cell>
          <cell r="D775" t="e">
            <v>#N/A</v>
          </cell>
          <cell r="E775">
            <v>2.3824324324323864</v>
          </cell>
          <cell r="F775">
            <v>16.977027027027166</v>
          </cell>
          <cell r="G775">
            <v>14.058108108108135</v>
          </cell>
          <cell r="H775">
            <v>14.058108108108135</v>
          </cell>
          <cell r="I775" t="e">
            <v>#N/A</v>
          </cell>
          <cell r="J775" t="e">
            <v>#N/A</v>
          </cell>
          <cell r="K775" t="e">
            <v>#N/A</v>
          </cell>
          <cell r="L775" t="e">
            <v>#N/A</v>
          </cell>
          <cell r="M775" t="e">
            <v>#N/A</v>
          </cell>
          <cell r="N775" t="e">
            <v>#N/A</v>
          </cell>
          <cell r="O775" t="e">
            <v>#N/A</v>
          </cell>
          <cell r="P775">
            <v>14.52</v>
          </cell>
          <cell r="Q775" t="str">
            <v/>
          </cell>
          <cell r="R775" t="e">
            <v>#N/A</v>
          </cell>
        </row>
        <row r="776">
          <cell r="A776">
            <v>41088</v>
          </cell>
          <cell r="B776">
            <v>41088</v>
          </cell>
          <cell r="C776" t="str">
            <v>Future</v>
          </cell>
          <cell r="D776" t="e">
            <v>#N/A</v>
          </cell>
          <cell r="E776">
            <v>2.3270270270269808</v>
          </cell>
          <cell r="F776">
            <v>16.989189189189329</v>
          </cell>
          <cell r="G776">
            <v>14.056756756756783</v>
          </cell>
          <cell r="H776">
            <v>14.056756756756783</v>
          </cell>
          <cell r="I776" t="e">
            <v>#N/A</v>
          </cell>
          <cell r="J776" t="e">
            <v>#N/A</v>
          </cell>
          <cell r="K776" t="e">
            <v>#N/A</v>
          </cell>
          <cell r="L776" t="e">
            <v>#N/A</v>
          </cell>
          <cell r="M776" t="e">
            <v>#N/A</v>
          </cell>
          <cell r="N776" t="e">
            <v>#N/A</v>
          </cell>
          <cell r="O776" t="e">
            <v>#N/A</v>
          </cell>
          <cell r="P776">
            <v>14.52</v>
          </cell>
          <cell r="Q776" t="str">
            <v/>
          </cell>
          <cell r="R776" t="e">
            <v>#N/A</v>
          </cell>
        </row>
        <row r="777">
          <cell r="A777">
            <v>41089</v>
          </cell>
          <cell r="B777">
            <v>41089</v>
          </cell>
          <cell r="C777" t="str">
            <v>Future</v>
          </cell>
          <cell r="D777" t="e">
            <v>#N/A</v>
          </cell>
          <cell r="E777">
            <v>2.2716216216215752</v>
          </cell>
          <cell r="F777">
            <v>17.001351351351492</v>
          </cell>
          <cell r="G777">
            <v>14.055405405405432</v>
          </cell>
          <cell r="H777">
            <v>14.055405405405432</v>
          </cell>
          <cell r="I777" t="e">
            <v>#N/A</v>
          </cell>
          <cell r="J777" t="e">
            <v>#N/A</v>
          </cell>
          <cell r="K777" t="e">
            <v>#N/A</v>
          </cell>
          <cell r="L777" t="e">
            <v>#N/A</v>
          </cell>
          <cell r="M777" t="e">
            <v>#N/A</v>
          </cell>
          <cell r="N777" t="e">
            <v>#N/A</v>
          </cell>
          <cell r="O777" t="e">
            <v>#N/A</v>
          </cell>
          <cell r="P777">
            <v>14.52</v>
          </cell>
          <cell r="Q777" t="str">
            <v/>
          </cell>
          <cell r="R777" t="e">
            <v>#N/A</v>
          </cell>
        </row>
        <row r="778">
          <cell r="A778">
            <v>41092</v>
          </cell>
          <cell r="B778">
            <v>41092</v>
          </cell>
          <cell r="C778" t="str">
            <v>Future</v>
          </cell>
          <cell r="D778" t="e">
            <v>#N/A</v>
          </cell>
          <cell r="E778">
            <v>2.2162162162161696</v>
          </cell>
          <cell r="F778">
            <v>17.013513513513654</v>
          </cell>
          <cell r="G778">
            <v>14.054054054054081</v>
          </cell>
          <cell r="H778">
            <v>14.054054054054081</v>
          </cell>
          <cell r="I778" t="e">
            <v>#N/A</v>
          </cell>
          <cell r="J778" t="e">
            <v>#N/A</v>
          </cell>
          <cell r="K778" t="e">
            <v>#N/A</v>
          </cell>
          <cell r="L778" t="e">
            <v>#N/A</v>
          </cell>
          <cell r="M778" t="e">
            <v>#N/A</v>
          </cell>
          <cell r="N778" t="e">
            <v>#N/A</v>
          </cell>
          <cell r="O778" t="e">
            <v>#N/A</v>
          </cell>
          <cell r="P778">
            <v>14.52</v>
          </cell>
          <cell r="Q778" t="str">
            <v/>
          </cell>
          <cell r="R778" t="e">
            <v>#N/A</v>
          </cell>
        </row>
        <row r="779">
          <cell r="A779">
            <v>41093</v>
          </cell>
          <cell r="B779">
            <v>41093</v>
          </cell>
          <cell r="C779" t="str">
            <v>Future</v>
          </cell>
          <cell r="D779" t="e">
            <v>#N/A</v>
          </cell>
          <cell r="E779">
            <v>2.160810810810764</v>
          </cell>
          <cell r="F779">
            <v>17.025675675675817</v>
          </cell>
          <cell r="G779">
            <v>14.05270270270273</v>
          </cell>
          <cell r="H779">
            <v>14.05270270270273</v>
          </cell>
          <cell r="I779" t="e">
            <v>#N/A</v>
          </cell>
          <cell r="J779" t="e">
            <v>#N/A</v>
          </cell>
          <cell r="K779" t="e">
            <v>#N/A</v>
          </cell>
          <cell r="L779" t="e">
            <v>#N/A</v>
          </cell>
          <cell r="M779" t="e">
            <v>#N/A</v>
          </cell>
          <cell r="N779" t="e">
            <v>#N/A</v>
          </cell>
          <cell r="O779" t="e">
            <v>#N/A</v>
          </cell>
          <cell r="P779">
            <v>14.52</v>
          </cell>
          <cell r="Q779" t="str">
            <v/>
          </cell>
          <cell r="R779" t="e">
            <v>#N/A</v>
          </cell>
        </row>
        <row r="780">
          <cell r="A780">
            <v>41094</v>
          </cell>
          <cell r="B780">
            <v>41094</v>
          </cell>
          <cell r="C780" t="str">
            <v>Future</v>
          </cell>
          <cell r="D780" t="e">
            <v>#N/A</v>
          </cell>
          <cell r="E780">
            <v>2.1054054054053584</v>
          </cell>
          <cell r="F780">
            <v>17.03783783783798</v>
          </cell>
          <cell r="G780">
            <v>14.051351351351379</v>
          </cell>
          <cell r="H780">
            <v>14.051351351351379</v>
          </cell>
          <cell r="I780" t="e">
            <v>#N/A</v>
          </cell>
          <cell r="J780" t="e">
            <v>#N/A</v>
          </cell>
          <cell r="K780" t="e">
            <v>#N/A</v>
          </cell>
          <cell r="L780" t="e">
            <v>#N/A</v>
          </cell>
          <cell r="M780" t="e">
            <v>#N/A</v>
          </cell>
          <cell r="N780" t="e">
            <v>#N/A</v>
          </cell>
          <cell r="O780" t="e">
            <v>#N/A</v>
          </cell>
          <cell r="P780">
            <v>14.52</v>
          </cell>
          <cell r="Q780" t="str">
            <v/>
          </cell>
          <cell r="R780" t="e">
            <v>#N/A</v>
          </cell>
        </row>
        <row r="781">
          <cell r="A781">
            <v>41095</v>
          </cell>
          <cell r="B781">
            <v>41095</v>
          </cell>
          <cell r="C781" t="str">
            <v>Future</v>
          </cell>
          <cell r="D781" t="e">
            <v>#N/A</v>
          </cell>
          <cell r="E781">
            <v>2.0499999999999527</v>
          </cell>
          <cell r="F781">
            <v>17.050000000000143</v>
          </cell>
          <cell r="G781">
            <v>14.050000000000027</v>
          </cell>
          <cell r="H781">
            <v>14.050000000000027</v>
          </cell>
          <cell r="I781" t="e">
            <v>#N/A</v>
          </cell>
          <cell r="J781" t="e">
            <v>#N/A</v>
          </cell>
          <cell r="K781" t="e">
            <v>#N/A</v>
          </cell>
          <cell r="L781" t="e">
            <v>#N/A</v>
          </cell>
          <cell r="M781" t="e">
            <v>#N/A</v>
          </cell>
          <cell r="N781" t="e">
            <v>#N/A</v>
          </cell>
          <cell r="O781" t="e">
            <v>#N/A</v>
          </cell>
          <cell r="P781">
            <v>14.52</v>
          </cell>
          <cell r="Q781" t="str">
            <v/>
          </cell>
          <cell r="R781" t="e">
            <v>#N/A</v>
          </cell>
        </row>
        <row r="782">
          <cell r="A782">
            <v>41096</v>
          </cell>
          <cell r="B782">
            <v>41096</v>
          </cell>
          <cell r="C782" t="str">
            <v>Future</v>
          </cell>
          <cell r="D782" t="e">
            <v>#N/A</v>
          </cell>
          <cell r="E782">
            <v>1.9945945945945474</v>
          </cell>
          <cell r="F782">
            <v>17.062162162162306</v>
          </cell>
          <cell r="G782">
            <v>14.048648648648676</v>
          </cell>
          <cell r="H782">
            <v>14.048648648648676</v>
          </cell>
          <cell r="I782" t="e">
            <v>#N/A</v>
          </cell>
          <cell r="J782" t="e">
            <v>#N/A</v>
          </cell>
          <cell r="K782" t="e">
            <v>#N/A</v>
          </cell>
          <cell r="L782" t="e">
            <v>#N/A</v>
          </cell>
          <cell r="M782" t="e">
            <v>#N/A</v>
          </cell>
          <cell r="N782" t="e">
            <v>#N/A</v>
          </cell>
          <cell r="O782" t="e">
            <v>#N/A</v>
          </cell>
          <cell r="P782">
            <v>14.52</v>
          </cell>
          <cell r="Q782" t="str">
            <v/>
          </cell>
          <cell r="R782" t="e">
            <v>#N/A</v>
          </cell>
        </row>
        <row r="783">
          <cell r="A783">
            <v>41099</v>
          </cell>
          <cell r="B783">
            <v>41099</v>
          </cell>
          <cell r="C783" t="str">
            <v>Future</v>
          </cell>
          <cell r="D783" t="e">
            <v>#N/A</v>
          </cell>
          <cell r="E783">
            <v>1.939189189189142</v>
          </cell>
          <cell r="F783">
            <v>17.074324324324468</v>
          </cell>
          <cell r="G783">
            <v>14.047297297297325</v>
          </cell>
          <cell r="H783">
            <v>14.047297297297325</v>
          </cell>
          <cell r="I783" t="e">
            <v>#N/A</v>
          </cell>
          <cell r="J783" t="e">
            <v>#N/A</v>
          </cell>
          <cell r="K783" t="e">
            <v>#N/A</v>
          </cell>
          <cell r="L783" t="e">
            <v>#N/A</v>
          </cell>
          <cell r="M783" t="e">
            <v>#N/A</v>
          </cell>
          <cell r="N783" t="e">
            <v>#N/A</v>
          </cell>
          <cell r="O783" t="e">
            <v>#N/A</v>
          </cell>
          <cell r="P783">
            <v>14.52</v>
          </cell>
          <cell r="Q783" t="str">
            <v/>
          </cell>
          <cell r="R783" t="e">
            <v>#N/A</v>
          </cell>
        </row>
        <row r="784">
          <cell r="A784">
            <v>41100</v>
          </cell>
          <cell r="B784">
            <v>41100</v>
          </cell>
          <cell r="C784" t="str">
            <v>Future</v>
          </cell>
          <cell r="D784" t="e">
            <v>#N/A</v>
          </cell>
          <cell r="E784">
            <v>1.8837837837837366</v>
          </cell>
          <cell r="F784">
            <v>17.086486486486631</v>
          </cell>
          <cell r="G784">
            <v>14.045945945945974</v>
          </cell>
          <cell r="H784">
            <v>14.045945945945974</v>
          </cell>
          <cell r="I784" t="e">
            <v>#N/A</v>
          </cell>
          <cell r="J784" t="e">
            <v>#N/A</v>
          </cell>
          <cell r="K784" t="e">
            <v>#N/A</v>
          </cell>
          <cell r="L784" t="e">
            <v>#N/A</v>
          </cell>
          <cell r="M784" t="e">
            <v>#N/A</v>
          </cell>
          <cell r="N784" t="e">
            <v>#N/A</v>
          </cell>
          <cell r="O784" t="e">
            <v>#N/A</v>
          </cell>
          <cell r="P784">
            <v>14.52</v>
          </cell>
          <cell r="Q784" t="str">
            <v/>
          </cell>
          <cell r="R784" t="e">
            <v>#N/A</v>
          </cell>
        </row>
        <row r="785">
          <cell r="A785">
            <v>41101</v>
          </cell>
          <cell r="B785">
            <v>41101</v>
          </cell>
          <cell r="C785" t="str">
            <v>Future</v>
          </cell>
          <cell r="D785" t="e">
            <v>#N/A</v>
          </cell>
          <cell r="E785">
            <v>1.8283783783783312</v>
          </cell>
          <cell r="F785">
            <v>17.098648648648794</v>
          </cell>
          <cell r="G785">
            <v>14.044594594594622</v>
          </cell>
          <cell r="H785">
            <v>14.044594594594622</v>
          </cell>
          <cell r="I785" t="e">
            <v>#N/A</v>
          </cell>
          <cell r="J785" t="e">
            <v>#N/A</v>
          </cell>
          <cell r="K785" t="e">
            <v>#N/A</v>
          </cell>
          <cell r="L785" t="e">
            <v>#N/A</v>
          </cell>
          <cell r="M785" t="e">
            <v>#N/A</v>
          </cell>
          <cell r="N785" t="e">
            <v>#N/A</v>
          </cell>
          <cell r="O785" t="e">
            <v>#N/A</v>
          </cell>
          <cell r="P785">
            <v>14.52</v>
          </cell>
          <cell r="Q785" t="str">
            <v/>
          </cell>
          <cell r="R785" t="e">
            <v>#N/A</v>
          </cell>
        </row>
        <row r="786">
          <cell r="A786">
            <v>41102</v>
          </cell>
          <cell r="B786">
            <v>41102</v>
          </cell>
          <cell r="C786" t="str">
            <v>Future</v>
          </cell>
          <cell r="D786" t="e">
            <v>#N/A</v>
          </cell>
          <cell r="E786">
            <v>1.7729729729729258</v>
          </cell>
          <cell r="F786">
            <v>17.110810810810957</v>
          </cell>
          <cell r="G786">
            <v>14.043243243243271</v>
          </cell>
          <cell r="H786">
            <v>14.043243243243271</v>
          </cell>
          <cell r="I786" t="e">
            <v>#N/A</v>
          </cell>
          <cell r="J786" t="e">
            <v>#N/A</v>
          </cell>
          <cell r="K786" t="e">
            <v>#N/A</v>
          </cell>
          <cell r="L786" t="e">
            <v>#N/A</v>
          </cell>
          <cell r="M786" t="e">
            <v>#N/A</v>
          </cell>
          <cell r="N786" t="e">
            <v>#N/A</v>
          </cell>
          <cell r="O786" t="e">
            <v>#N/A</v>
          </cell>
          <cell r="P786">
            <v>14.52</v>
          </cell>
          <cell r="Q786" t="str">
            <v/>
          </cell>
          <cell r="R786" t="e">
            <v>#N/A</v>
          </cell>
        </row>
        <row r="787">
          <cell r="A787">
            <v>41103</v>
          </cell>
          <cell r="B787">
            <v>41103</v>
          </cell>
          <cell r="C787" t="str">
            <v>Future</v>
          </cell>
          <cell r="D787" t="e">
            <v>#N/A</v>
          </cell>
          <cell r="E787">
            <v>1.7175675675675204</v>
          </cell>
          <cell r="F787">
            <v>17.12297297297312</v>
          </cell>
          <cell r="G787">
            <v>14.04189189189192</v>
          </cell>
          <cell r="H787">
            <v>14.04189189189192</v>
          </cell>
          <cell r="I787" t="e">
            <v>#N/A</v>
          </cell>
          <cell r="J787" t="e">
            <v>#N/A</v>
          </cell>
          <cell r="K787" t="e">
            <v>#N/A</v>
          </cell>
          <cell r="L787" t="e">
            <v>#N/A</v>
          </cell>
          <cell r="M787" t="e">
            <v>#N/A</v>
          </cell>
          <cell r="N787" t="e">
            <v>#N/A</v>
          </cell>
          <cell r="O787" t="e">
            <v>#N/A</v>
          </cell>
          <cell r="P787">
            <v>14.52</v>
          </cell>
          <cell r="Q787" t="str">
            <v/>
          </cell>
          <cell r="R787" t="e">
            <v>#N/A</v>
          </cell>
        </row>
        <row r="788">
          <cell r="A788">
            <v>41106</v>
          </cell>
          <cell r="B788">
            <v>41106</v>
          </cell>
          <cell r="C788" t="str">
            <v>Future</v>
          </cell>
          <cell r="D788" t="e">
            <v>#N/A</v>
          </cell>
          <cell r="E788">
            <v>1.662162162162115</v>
          </cell>
          <cell r="F788">
            <v>17.135135135135283</v>
          </cell>
          <cell r="G788">
            <v>14.040540540540569</v>
          </cell>
          <cell r="H788">
            <v>14.040540540540569</v>
          </cell>
          <cell r="I788" t="e">
            <v>#N/A</v>
          </cell>
          <cell r="J788" t="e">
            <v>#N/A</v>
          </cell>
          <cell r="K788" t="e">
            <v>#N/A</v>
          </cell>
          <cell r="L788" t="e">
            <v>#N/A</v>
          </cell>
          <cell r="M788" t="e">
            <v>#N/A</v>
          </cell>
          <cell r="N788" t="e">
            <v>#N/A</v>
          </cell>
          <cell r="O788" t="e">
            <v>#N/A</v>
          </cell>
          <cell r="P788">
            <v>14.52</v>
          </cell>
          <cell r="Q788" t="str">
            <v/>
          </cell>
          <cell r="R788" t="e">
            <v>#N/A</v>
          </cell>
        </row>
        <row r="789">
          <cell r="A789">
            <v>41107</v>
          </cell>
          <cell r="B789">
            <v>41107</v>
          </cell>
          <cell r="C789" t="str">
            <v>Future</v>
          </cell>
          <cell r="D789" t="e">
            <v>#N/A</v>
          </cell>
          <cell r="E789">
            <v>1.6067567567567096</v>
          </cell>
          <cell r="F789">
            <v>17.147297297297445</v>
          </cell>
          <cell r="G789">
            <v>14.039189189189218</v>
          </cell>
          <cell r="H789">
            <v>14.039189189189218</v>
          </cell>
          <cell r="I789" t="e">
            <v>#N/A</v>
          </cell>
          <cell r="J789" t="e">
            <v>#N/A</v>
          </cell>
          <cell r="K789" t="e">
            <v>#N/A</v>
          </cell>
          <cell r="L789" t="e">
            <v>#N/A</v>
          </cell>
          <cell r="M789" t="e">
            <v>#N/A</v>
          </cell>
          <cell r="N789" t="e">
            <v>#N/A</v>
          </cell>
          <cell r="O789" t="e">
            <v>#N/A</v>
          </cell>
          <cell r="P789">
            <v>14.52</v>
          </cell>
          <cell r="Q789" t="str">
            <v/>
          </cell>
          <cell r="R789" t="e">
            <v>#N/A</v>
          </cell>
        </row>
        <row r="790">
          <cell r="A790">
            <v>41108</v>
          </cell>
          <cell r="B790">
            <v>41108</v>
          </cell>
          <cell r="C790" t="str">
            <v>Future</v>
          </cell>
          <cell r="D790" t="e">
            <v>#N/A</v>
          </cell>
          <cell r="E790">
            <v>1.5513513513513042</v>
          </cell>
          <cell r="F790">
            <v>17.159459459459608</v>
          </cell>
          <cell r="G790">
            <v>14.037837837837866</v>
          </cell>
          <cell r="H790">
            <v>14.037837837837866</v>
          </cell>
          <cell r="I790" t="e">
            <v>#N/A</v>
          </cell>
          <cell r="J790" t="e">
            <v>#N/A</v>
          </cell>
          <cell r="K790" t="e">
            <v>#N/A</v>
          </cell>
          <cell r="L790" t="e">
            <v>#N/A</v>
          </cell>
          <cell r="M790" t="e">
            <v>#N/A</v>
          </cell>
          <cell r="N790" t="e">
            <v>#N/A</v>
          </cell>
          <cell r="O790" t="e">
            <v>#N/A</v>
          </cell>
          <cell r="P790">
            <v>14.52</v>
          </cell>
          <cell r="Q790" t="str">
            <v/>
          </cell>
          <cell r="R790" t="e">
            <v>#N/A</v>
          </cell>
        </row>
        <row r="791">
          <cell r="A791">
            <v>41109</v>
          </cell>
          <cell r="B791">
            <v>41109</v>
          </cell>
          <cell r="C791" t="str">
            <v>Future</v>
          </cell>
          <cell r="D791" t="e">
            <v>#N/A</v>
          </cell>
          <cell r="E791">
            <v>1.4959459459458988</v>
          </cell>
          <cell r="F791">
            <v>17.171621621621771</v>
          </cell>
          <cell r="G791">
            <v>14.036486486486515</v>
          </cell>
          <cell r="H791">
            <v>14.036486486486515</v>
          </cell>
          <cell r="I791" t="e">
            <v>#N/A</v>
          </cell>
          <cell r="J791" t="e">
            <v>#N/A</v>
          </cell>
          <cell r="K791" t="e">
            <v>#N/A</v>
          </cell>
          <cell r="L791" t="e">
            <v>#N/A</v>
          </cell>
          <cell r="M791" t="e">
            <v>#N/A</v>
          </cell>
          <cell r="N791" t="e">
            <v>#N/A</v>
          </cell>
          <cell r="O791" t="e">
            <v>#N/A</v>
          </cell>
          <cell r="P791">
            <v>14.52</v>
          </cell>
          <cell r="Q791" t="str">
            <v/>
          </cell>
          <cell r="R791" t="e">
            <v>#N/A</v>
          </cell>
        </row>
        <row r="792">
          <cell r="A792">
            <v>41110</v>
          </cell>
          <cell r="B792">
            <v>41110</v>
          </cell>
          <cell r="C792" t="str">
            <v>Future</v>
          </cell>
          <cell r="D792" t="e">
            <v>#N/A</v>
          </cell>
          <cell r="E792">
            <v>1.4405405405404934</v>
          </cell>
          <cell r="F792">
            <v>17.183783783783934</v>
          </cell>
          <cell r="G792">
            <v>14.035135135135164</v>
          </cell>
          <cell r="H792">
            <v>14.035135135135164</v>
          </cell>
          <cell r="I792" t="e">
            <v>#N/A</v>
          </cell>
          <cell r="J792" t="e">
            <v>#N/A</v>
          </cell>
          <cell r="K792" t="e">
            <v>#N/A</v>
          </cell>
          <cell r="L792" t="e">
            <v>#N/A</v>
          </cell>
          <cell r="M792" t="e">
            <v>#N/A</v>
          </cell>
          <cell r="N792" t="e">
            <v>#N/A</v>
          </cell>
          <cell r="O792" t="e">
            <v>#N/A</v>
          </cell>
          <cell r="P792">
            <v>14.52</v>
          </cell>
          <cell r="Q792" t="str">
            <v/>
          </cell>
          <cell r="R792" t="e">
            <v>#N/A</v>
          </cell>
        </row>
        <row r="793">
          <cell r="A793">
            <v>41113</v>
          </cell>
          <cell r="B793">
            <v>41113</v>
          </cell>
          <cell r="C793" t="str">
            <v>Future</v>
          </cell>
          <cell r="D793" t="e">
            <v>#N/A</v>
          </cell>
          <cell r="E793">
            <v>1.385135135135088</v>
          </cell>
          <cell r="F793">
            <v>17.195945945946097</v>
          </cell>
          <cell r="G793">
            <v>14.033783783783813</v>
          </cell>
          <cell r="H793">
            <v>14.033783783783813</v>
          </cell>
          <cell r="I793" t="e">
            <v>#N/A</v>
          </cell>
          <cell r="J793" t="e">
            <v>#N/A</v>
          </cell>
          <cell r="K793" t="e">
            <v>#N/A</v>
          </cell>
          <cell r="L793" t="e">
            <v>#N/A</v>
          </cell>
          <cell r="M793" t="e">
            <v>#N/A</v>
          </cell>
          <cell r="N793" t="e">
            <v>#N/A</v>
          </cell>
          <cell r="O793" t="e">
            <v>#N/A</v>
          </cell>
          <cell r="P793">
            <v>14.52</v>
          </cell>
          <cell r="Q793" t="str">
            <v/>
          </cell>
          <cell r="R793" t="e">
            <v>#N/A</v>
          </cell>
        </row>
        <row r="794">
          <cell r="A794">
            <v>41114</v>
          </cell>
          <cell r="B794">
            <v>41114</v>
          </cell>
          <cell r="C794" t="str">
            <v>Future</v>
          </cell>
          <cell r="D794" t="e">
            <v>#N/A</v>
          </cell>
          <cell r="E794">
            <v>1.3297297297296826</v>
          </cell>
          <cell r="F794">
            <v>17.208108108108259</v>
          </cell>
          <cell r="G794">
            <v>14.032432432432461</v>
          </cell>
          <cell r="H794">
            <v>14.032432432432461</v>
          </cell>
          <cell r="I794" t="e">
            <v>#N/A</v>
          </cell>
          <cell r="J794" t="e">
            <v>#N/A</v>
          </cell>
          <cell r="K794" t="e">
            <v>#N/A</v>
          </cell>
          <cell r="L794" t="e">
            <v>#N/A</v>
          </cell>
          <cell r="M794" t="e">
            <v>#N/A</v>
          </cell>
          <cell r="N794" t="e">
            <v>#N/A</v>
          </cell>
          <cell r="O794" t="e">
            <v>#N/A</v>
          </cell>
          <cell r="P794">
            <v>14.52</v>
          </cell>
          <cell r="Q794" t="str">
            <v/>
          </cell>
          <cell r="R794" t="e">
            <v>#N/A</v>
          </cell>
        </row>
        <row r="795">
          <cell r="A795">
            <v>41115</v>
          </cell>
          <cell r="B795">
            <v>41115</v>
          </cell>
          <cell r="C795" t="str">
            <v>Future</v>
          </cell>
          <cell r="D795" t="e">
            <v>#N/A</v>
          </cell>
          <cell r="E795">
            <v>1.2743243243242772</v>
          </cell>
          <cell r="F795">
            <v>17.220270270270422</v>
          </cell>
          <cell r="G795">
            <v>14.03108108108111</v>
          </cell>
          <cell r="H795">
            <v>14.03108108108111</v>
          </cell>
          <cell r="I795" t="e">
            <v>#N/A</v>
          </cell>
          <cell r="J795" t="e">
            <v>#N/A</v>
          </cell>
          <cell r="K795" t="e">
            <v>#N/A</v>
          </cell>
          <cell r="L795" t="e">
            <v>#N/A</v>
          </cell>
          <cell r="M795" t="e">
            <v>#N/A</v>
          </cell>
          <cell r="N795" t="e">
            <v>#N/A</v>
          </cell>
          <cell r="O795" t="e">
            <v>#N/A</v>
          </cell>
          <cell r="P795">
            <v>14.52</v>
          </cell>
          <cell r="Q795" t="str">
            <v/>
          </cell>
          <cell r="R795" t="e">
            <v>#N/A</v>
          </cell>
        </row>
        <row r="796">
          <cell r="A796">
            <v>41116</v>
          </cell>
          <cell r="B796">
            <v>41116</v>
          </cell>
          <cell r="C796" t="str">
            <v>Future</v>
          </cell>
          <cell r="D796" t="e">
            <v>#N/A</v>
          </cell>
          <cell r="E796">
            <v>1.2189189189188718</v>
          </cell>
          <cell r="F796">
            <v>17.232432432432585</v>
          </cell>
          <cell r="G796">
            <v>14.029729729729759</v>
          </cell>
          <cell r="H796">
            <v>14.029729729729759</v>
          </cell>
          <cell r="I796" t="e">
            <v>#N/A</v>
          </cell>
          <cell r="J796" t="e">
            <v>#N/A</v>
          </cell>
          <cell r="K796" t="e">
            <v>#N/A</v>
          </cell>
          <cell r="L796" t="e">
            <v>#N/A</v>
          </cell>
          <cell r="M796" t="e">
            <v>#N/A</v>
          </cell>
          <cell r="N796" t="e">
            <v>#N/A</v>
          </cell>
          <cell r="O796" t="e">
            <v>#N/A</v>
          </cell>
          <cell r="P796">
            <v>14.52</v>
          </cell>
          <cell r="Q796" t="str">
            <v/>
          </cell>
          <cell r="R796" t="e">
            <v>#N/A</v>
          </cell>
        </row>
        <row r="797">
          <cell r="A797">
            <v>41117</v>
          </cell>
          <cell r="B797">
            <v>41117</v>
          </cell>
          <cell r="C797" t="str">
            <v>Future</v>
          </cell>
          <cell r="D797" t="e">
            <v>#N/A</v>
          </cell>
          <cell r="E797">
            <v>1.1635135135134664</v>
          </cell>
          <cell r="F797">
            <v>17.244594594594748</v>
          </cell>
          <cell r="G797">
            <v>14.028378378378408</v>
          </cell>
          <cell r="H797">
            <v>14.028378378378408</v>
          </cell>
          <cell r="I797" t="e">
            <v>#N/A</v>
          </cell>
          <cell r="J797" t="e">
            <v>#N/A</v>
          </cell>
          <cell r="K797" t="e">
            <v>#N/A</v>
          </cell>
          <cell r="L797" t="e">
            <v>#N/A</v>
          </cell>
          <cell r="M797" t="e">
            <v>#N/A</v>
          </cell>
          <cell r="N797" t="e">
            <v>#N/A</v>
          </cell>
          <cell r="O797" t="e">
            <v>#N/A</v>
          </cell>
          <cell r="P797">
            <v>14.52</v>
          </cell>
          <cell r="Q797" t="str">
            <v/>
          </cell>
          <cell r="R797" t="e">
            <v>#N/A</v>
          </cell>
        </row>
        <row r="798">
          <cell r="A798">
            <v>41120</v>
          </cell>
          <cell r="B798">
            <v>41120</v>
          </cell>
          <cell r="C798" t="str">
            <v>Future</v>
          </cell>
          <cell r="D798" t="e">
            <v>#N/A</v>
          </cell>
          <cell r="E798">
            <v>1.108108108108061</v>
          </cell>
          <cell r="F798">
            <v>17.256756756756911</v>
          </cell>
          <cell r="G798">
            <v>14.027027027027057</v>
          </cell>
          <cell r="H798">
            <v>14.027027027027057</v>
          </cell>
          <cell r="I798" t="e">
            <v>#N/A</v>
          </cell>
          <cell r="J798" t="e">
            <v>#N/A</v>
          </cell>
          <cell r="K798" t="e">
            <v>#N/A</v>
          </cell>
          <cell r="L798" t="e">
            <v>#N/A</v>
          </cell>
          <cell r="M798" t="e">
            <v>#N/A</v>
          </cell>
          <cell r="N798" t="e">
            <v>#N/A</v>
          </cell>
          <cell r="O798" t="e">
            <v>#N/A</v>
          </cell>
          <cell r="P798">
            <v>14.52</v>
          </cell>
          <cell r="Q798" t="str">
            <v/>
          </cell>
          <cell r="R798" t="e">
            <v>#N/A</v>
          </cell>
        </row>
        <row r="799">
          <cell r="A799">
            <v>41121</v>
          </cell>
          <cell r="B799">
            <v>41121</v>
          </cell>
          <cell r="C799" t="str">
            <v>Future</v>
          </cell>
          <cell r="D799" t="e">
            <v>#N/A</v>
          </cell>
          <cell r="E799">
            <v>1.0527027027026556</v>
          </cell>
          <cell r="F799">
            <v>17.268918918919073</v>
          </cell>
          <cell r="G799">
            <v>14.025675675675705</v>
          </cell>
          <cell r="H799">
            <v>14.025675675675705</v>
          </cell>
          <cell r="I799" t="e">
            <v>#N/A</v>
          </cell>
          <cell r="J799" t="e">
            <v>#N/A</v>
          </cell>
          <cell r="K799" t="e">
            <v>#N/A</v>
          </cell>
          <cell r="L799" t="e">
            <v>#N/A</v>
          </cell>
          <cell r="M799" t="e">
            <v>#N/A</v>
          </cell>
          <cell r="N799" t="e">
            <v>#N/A</v>
          </cell>
          <cell r="O799" t="e">
            <v>#N/A</v>
          </cell>
          <cell r="P799">
            <v>14.52</v>
          </cell>
          <cell r="Q799" t="str">
            <v/>
          </cell>
          <cell r="R799" t="e">
            <v>#N/A</v>
          </cell>
        </row>
        <row r="800">
          <cell r="A800">
            <v>41122</v>
          </cell>
          <cell r="B800">
            <v>41122</v>
          </cell>
          <cell r="C800" t="str">
            <v>Future</v>
          </cell>
          <cell r="D800" t="e">
            <v>#N/A</v>
          </cell>
          <cell r="E800">
            <v>0.99729729729725025</v>
          </cell>
          <cell r="F800">
            <v>17.281081081081236</v>
          </cell>
          <cell r="G800">
            <v>14.024324324324354</v>
          </cell>
          <cell r="H800">
            <v>14.024324324324354</v>
          </cell>
          <cell r="I800" t="e">
            <v>#N/A</v>
          </cell>
          <cell r="J800" t="e">
            <v>#N/A</v>
          </cell>
          <cell r="K800" t="e">
            <v>#N/A</v>
          </cell>
          <cell r="L800" t="e">
            <v>#N/A</v>
          </cell>
          <cell r="M800" t="e">
            <v>#N/A</v>
          </cell>
          <cell r="N800" t="e">
            <v>#N/A</v>
          </cell>
          <cell r="O800" t="e">
            <v>#N/A</v>
          </cell>
          <cell r="P800">
            <v>14.52</v>
          </cell>
          <cell r="Q800" t="str">
            <v/>
          </cell>
          <cell r="R800" t="e">
            <v>#N/A</v>
          </cell>
        </row>
        <row r="801">
          <cell r="A801">
            <v>41123</v>
          </cell>
          <cell r="B801">
            <v>41123</v>
          </cell>
          <cell r="C801" t="str">
            <v>Future</v>
          </cell>
          <cell r="D801" t="e">
            <v>#N/A</v>
          </cell>
          <cell r="E801">
            <v>0.94189189189184486</v>
          </cell>
          <cell r="F801">
            <v>17.293243243243399</v>
          </cell>
          <cell r="G801">
            <v>14.022972972973003</v>
          </cell>
          <cell r="H801">
            <v>14.022972972973003</v>
          </cell>
          <cell r="I801" t="e">
            <v>#N/A</v>
          </cell>
          <cell r="J801" t="e">
            <v>#N/A</v>
          </cell>
          <cell r="K801" t="e">
            <v>#N/A</v>
          </cell>
          <cell r="L801" t="e">
            <v>#N/A</v>
          </cell>
          <cell r="M801" t="e">
            <v>#N/A</v>
          </cell>
          <cell r="N801" t="e">
            <v>#N/A</v>
          </cell>
          <cell r="O801" t="e">
            <v>#N/A</v>
          </cell>
          <cell r="P801">
            <v>14.52</v>
          </cell>
          <cell r="Q801" t="str">
            <v/>
          </cell>
          <cell r="R801" t="e">
            <v>#N/A</v>
          </cell>
        </row>
        <row r="802">
          <cell r="A802">
            <v>41124</v>
          </cell>
          <cell r="B802">
            <v>41124</v>
          </cell>
          <cell r="C802" t="str">
            <v>Future</v>
          </cell>
          <cell r="D802" t="e">
            <v>#N/A</v>
          </cell>
          <cell r="E802">
            <v>0.88648648648643946</v>
          </cell>
          <cell r="F802">
            <v>17.305405405405562</v>
          </cell>
          <cell r="G802">
            <v>14.021621621621652</v>
          </cell>
          <cell r="H802">
            <v>14.021621621621652</v>
          </cell>
          <cell r="I802" t="e">
            <v>#N/A</v>
          </cell>
          <cell r="J802" t="e">
            <v>#N/A</v>
          </cell>
          <cell r="K802" t="e">
            <v>#N/A</v>
          </cell>
          <cell r="L802" t="e">
            <v>#N/A</v>
          </cell>
          <cell r="M802" t="e">
            <v>#N/A</v>
          </cell>
          <cell r="N802" t="e">
            <v>#N/A</v>
          </cell>
          <cell r="O802" t="e">
            <v>#N/A</v>
          </cell>
          <cell r="P802">
            <v>14.52</v>
          </cell>
          <cell r="Q802" t="str">
            <v/>
          </cell>
          <cell r="R802" t="e">
            <v>#N/A</v>
          </cell>
        </row>
        <row r="803">
          <cell r="A803">
            <v>41127</v>
          </cell>
          <cell r="B803">
            <v>41127</v>
          </cell>
          <cell r="C803" t="str">
            <v>Future</v>
          </cell>
          <cell r="D803" t="e">
            <v>#N/A</v>
          </cell>
          <cell r="E803">
            <v>0.83108108108103407</v>
          </cell>
          <cell r="F803">
            <v>17.317567567567725</v>
          </cell>
          <cell r="G803">
            <v>14.0202702702703</v>
          </cell>
          <cell r="H803">
            <v>14.0202702702703</v>
          </cell>
          <cell r="I803" t="e">
            <v>#N/A</v>
          </cell>
          <cell r="J803" t="e">
            <v>#N/A</v>
          </cell>
          <cell r="K803" t="e">
            <v>#N/A</v>
          </cell>
          <cell r="L803" t="e">
            <v>#N/A</v>
          </cell>
          <cell r="M803" t="e">
            <v>#N/A</v>
          </cell>
          <cell r="N803" t="e">
            <v>#N/A</v>
          </cell>
          <cell r="O803" t="e">
            <v>#N/A</v>
          </cell>
          <cell r="P803">
            <v>14.52</v>
          </cell>
          <cell r="Q803" t="str">
            <v/>
          </cell>
          <cell r="R803" t="e">
            <v>#N/A</v>
          </cell>
        </row>
        <row r="804">
          <cell r="A804">
            <v>41128</v>
          </cell>
          <cell r="B804">
            <v>41128</v>
          </cell>
          <cell r="C804" t="str">
            <v>Future</v>
          </cell>
          <cell r="D804" t="e">
            <v>#N/A</v>
          </cell>
          <cell r="E804">
            <v>0.77567567567562867</v>
          </cell>
          <cell r="F804">
            <v>17.329729729729888</v>
          </cell>
          <cell r="G804">
            <v>14.018918918918949</v>
          </cell>
          <cell r="H804">
            <v>14.018918918918949</v>
          </cell>
          <cell r="I804" t="e">
            <v>#N/A</v>
          </cell>
          <cell r="J804" t="e">
            <v>#N/A</v>
          </cell>
          <cell r="K804" t="e">
            <v>#N/A</v>
          </cell>
          <cell r="L804" t="e">
            <v>#N/A</v>
          </cell>
          <cell r="M804" t="e">
            <v>#N/A</v>
          </cell>
          <cell r="N804" t="e">
            <v>#N/A</v>
          </cell>
          <cell r="O804" t="e">
            <v>#N/A</v>
          </cell>
          <cell r="P804">
            <v>14.52</v>
          </cell>
          <cell r="Q804" t="str">
            <v/>
          </cell>
          <cell r="R804" t="e">
            <v>#N/A</v>
          </cell>
        </row>
        <row r="805">
          <cell r="A805">
            <v>41129</v>
          </cell>
          <cell r="B805">
            <v>41129</v>
          </cell>
          <cell r="C805" t="str">
            <v>Future</v>
          </cell>
          <cell r="D805" t="e">
            <v>#N/A</v>
          </cell>
          <cell r="E805">
            <v>0.72027027027022328</v>
          </cell>
          <cell r="F805">
            <v>17.34189189189205</v>
          </cell>
          <cell r="G805">
            <v>14.017567567567598</v>
          </cell>
          <cell r="H805">
            <v>14.017567567567598</v>
          </cell>
          <cell r="I805" t="e">
            <v>#N/A</v>
          </cell>
          <cell r="J805" t="e">
            <v>#N/A</v>
          </cell>
          <cell r="K805" t="e">
            <v>#N/A</v>
          </cell>
          <cell r="L805" t="e">
            <v>#N/A</v>
          </cell>
          <cell r="M805" t="e">
            <v>#N/A</v>
          </cell>
          <cell r="N805" t="e">
            <v>#N/A</v>
          </cell>
          <cell r="O805" t="e">
            <v>#N/A</v>
          </cell>
          <cell r="P805">
            <v>14.52</v>
          </cell>
          <cell r="Q805" t="str">
            <v/>
          </cell>
          <cell r="R805" t="e">
            <v>#N/A</v>
          </cell>
        </row>
        <row r="806">
          <cell r="A806">
            <v>41130</v>
          </cell>
          <cell r="B806">
            <v>41130</v>
          </cell>
          <cell r="C806" t="str">
            <v>Future</v>
          </cell>
          <cell r="D806" t="e">
            <v>#N/A</v>
          </cell>
          <cell r="E806">
            <v>0.66486486486481788</v>
          </cell>
          <cell r="F806">
            <v>17.354054054054213</v>
          </cell>
          <cell r="G806">
            <v>14.016216216216247</v>
          </cell>
          <cell r="H806">
            <v>14.016216216216247</v>
          </cell>
          <cell r="I806" t="e">
            <v>#N/A</v>
          </cell>
          <cell r="J806" t="e">
            <v>#N/A</v>
          </cell>
          <cell r="K806" t="e">
            <v>#N/A</v>
          </cell>
          <cell r="L806" t="e">
            <v>#N/A</v>
          </cell>
          <cell r="M806" t="e">
            <v>#N/A</v>
          </cell>
          <cell r="N806" t="e">
            <v>#N/A</v>
          </cell>
          <cell r="O806" t="e">
            <v>#N/A</v>
          </cell>
          <cell r="P806">
            <v>14.52</v>
          </cell>
          <cell r="Q806" t="str">
            <v/>
          </cell>
          <cell r="R806" t="e">
            <v>#N/A</v>
          </cell>
        </row>
        <row r="807">
          <cell r="A807">
            <v>41131</v>
          </cell>
          <cell r="B807">
            <v>41131</v>
          </cell>
          <cell r="C807" t="str">
            <v>Future</v>
          </cell>
          <cell r="D807" t="e">
            <v>#N/A</v>
          </cell>
          <cell r="E807">
            <v>0.60945945945941249</v>
          </cell>
          <cell r="F807">
            <v>17.366216216216376</v>
          </cell>
          <cell r="G807">
            <v>14.014864864864895</v>
          </cell>
          <cell r="H807">
            <v>14.014864864864895</v>
          </cell>
          <cell r="I807" t="e">
            <v>#N/A</v>
          </cell>
          <cell r="J807" t="e">
            <v>#N/A</v>
          </cell>
          <cell r="K807" t="e">
            <v>#N/A</v>
          </cell>
          <cell r="L807" t="e">
            <v>#N/A</v>
          </cell>
          <cell r="M807" t="e">
            <v>#N/A</v>
          </cell>
          <cell r="N807" t="e">
            <v>#N/A</v>
          </cell>
          <cell r="O807" t="e">
            <v>#N/A</v>
          </cell>
          <cell r="P807">
            <v>14.52</v>
          </cell>
          <cell r="Q807" t="str">
            <v/>
          </cell>
          <cell r="R807" t="e">
            <v>#N/A</v>
          </cell>
        </row>
        <row r="808">
          <cell r="A808">
            <v>41134</v>
          </cell>
          <cell r="B808">
            <v>41134</v>
          </cell>
          <cell r="C808" t="str">
            <v>Future</v>
          </cell>
          <cell r="D808" t="e">
            <v>#N/A</v>
          </cell>
          <cell r="E808">
            <v>0.55405405405400709</v>
          </cell>
          <cell r="F808">
            <v>17.378378378378539</v>
          </cell>
          <cell r="G808">
            <v>14.013513513513544</v>
          </cell>
          <cell r="H808">
            <v>14.013513513513544</v>
          </cell>
          <cell r="I808" t="e">
            <v>#N/A</v>
          </cell>
          <cell r="J808" t="e">
            <v>#N/A</v>
          </cell>
          <cell r="K808" t="e">
            <v>#N/A</v>
          </cell>
          <cell r="L808" t="e">
            <v>#N/A</v>
          </cell>
          <cell r="M808" t="e">
            <v>#N/A</v>
          </cell>
          <cell r="N808" t="e">
            <v>#N/A</v>
          </cell>
          <cell r="O808" t="e">
            <v>#N/A</v>
          </cell>
          <cell r="P808">
            <v>14.52</v>
          </cell>
          <cell r="Q808" t="str">
            <v/>
          </cell>
          <cell r="R808" t="e">
            <v>#N/A</v>
          </cell>
        </row>
        <row r="809">
          <cell r="A809">
            <v>41135</v>
          </cell>
          <cell r="B809">
            <v>41135</v>
          </cell>
          <cell r="C809" t="str">
            <v>Future</v>
          </cell>
          <cell r="D809" t="e">
            <v>#N/A</v>
          </cell>
          <cell r="E809">
            <v>0.4986486486486017</v>
          </cell>
          <cell r="F809">
            <v>17.390540540540702</v>
          </cell>
          <cell r="G809">
            <v>14.012162162162193</v>
          </cell>
          <cell r="H809">
            <v>14.012162162162193</v>
          </cell>
          <cell r="I809" t="e">
            <v>#N/A</v>
          </cell>
          <cell r="J809" t="e">
            <v>#N/A</v>
          </cell>
          <cell r="K809" t="e">
            <v>#N/A</v>
          </cell>
          <cell r="L809" t="e">
            <v>#N/A</v>
          </cell>
          <cell r="M809" t="e">
            <v>#N/A</v>
          </cell>
          <cell r="N809" t="e">
            <v>#N/A</v>
          </cell>
          <cell r="O809" t="e">
            <v>#N/A</v>
          </cell>
          <cell r="P809">
            <v>14.52</v>
          </cell>
          <cell r="Q809" t="str">
            <v/>
          </cell>
          <cell r="R809" t="e">
            <v>#N/A</v>
          </cell>
        </row>
        <row r="810">
          <cell r="A810">
            <v>41136</v>
          </cell>
          <cell r="B810">
            <v>41136</v>
          </cell>
          <cell r="C810" t="str">
            <v>Future</v>
          </cell>
          <cell r="D810" t="e">
            <v>#N/A</v>
          </cell>
          <cell r="E810">
            <v>0.44324324324319631</v>
          </cell>
          <cell r="F810">
            <v>17.402702702702864</v>
          </cell>
          <cell r="G810">
            <v>14.010810810810842</v>
          </cell>
          <cell r="H810">
            <v>14.010810810810842</v>
          </cell>
          <cell r="I810" t="e">
            <v>#N/A</v>
          </cell>
          <cell r="J810" t="e">
            <v>#N/A</v>
          </cell>
          <cell r="K810" t="e">
            <v>#N/A</v>
          </cell>
          <cell r="L810" t="e">
            <v>#N/A</v>
          </cell>
          <cell r="M810" t="e">
            <v>#N/A</v>
          </cell>
          <cell r="N810" t="e">
            <v>#N/A</v>
          </cell>
          <cell r="O810" t="e">
            <v>#N/A</v>
          </cell>
          <cell r="P810">
            <v>14.52</v>
          </cell>
          <cell r="Q810" t="str">
            <v/>
          </cell>
          <cell r="R810" t="e">
            <v>#N/A</v>
          </cell>
        </row>
        <row r="811">
          <cell r="A811">
            <v>41137</v>
          </cell>
          <cell r="B811">
            <v>41137</v>
          </cell>
          <cell r="C811" t="str">
            <v>Future</v>
          </cell>
          <cell r="D811" t="e">
            <v>#N/A</v>
          </cell>
          <cell r="E811">
            <v>0.38783783783779091</v>
          </cell>
          <cell r="F811">
            <v>17.414864864865027</v>
          </cell>
          <cell r="G811">
            <v>14.009459459459491</v>
          </cell>
          <cell r="H811">
            <v>14.009459459459491</v>
          </cell>
          <cell r="I811" t="e">
            <v>#N/A</v>
          </cell>
          <cell r="J811" t="e">
            <v>#N/A</v>
          </cell>
          <cell r="K811" t="e">
            <v>#N/A</v>
          </cell>
          <cell r="L811" t="e">
            <v>#N/A</v>
          </cell>
          <cell r="M811" t="e">
            <v>#N/A</v>
          </cell>
          <cell r="N811" t="e">
            <v>#N/A</v>
          </cell>
          <cell r="O811" t="e">
            <v>#N/A</v>
          </cell>
          <cell r="P811">
            <v>14.52</v>
          </cell>
          <cell r="Q811" t="str">
            <v/>
          </cell>
          <cell r="R811" t="e">
            <v>#N/A</v>
          </cell>
        </row>
        <row r="812">
          <cell r="A812">
            <v>41138</v>
          </cell>
          <cell r="B812">
            <v>41138</v>
          </cell>
          <cell r="C812" t="str">
            <v>Future</v>
          </cell>
          <cell r="D812" t="e">
            <v>#N/A</v>
          </cell>
          <cell r="E812">
            <v>0.33243243243238552</v>
          </cell>
          <cell r="F812">
            <v>17.42702702702719</v>
          </cell>
          <cell r="G812">
            <v>14.008108108108139</v>
          </cell>
          <cell r="H812">
            <v>14.008108108108139</v>
          </cell>
          <cell r="I812" t="e">
            <v>#N/A</v>
          </cell>
          <cell r="J812" t="e">
            <v>#N/A</v>
          </cell>
          <cell r="K812" t="e">
            <v>#N/A</v>
          </cell>
          <cell r="L812" t="e">
            <v>#N/A</v>
          </cell>
          <cell r="M812" t="e">
            <v>#N/A</v>
          </cell>
          <cell r="N812" t="e">
            <v>#N/A</v>
          </cell>
          <cell r="O812" t="e">
            <v>#N/A</v>
          </cell>
          <cell r="P812">
            <v>14.52</v>
          </cell>
          <cell r="Q812" t="str">
            <v/>
          </cell>
          <cell r="R812" t="e">
            <v>#N/A</v>
          </cell>
        </row>
        <row r="813">
          <cell r="A813">
            <v>41141</v>
          </cell>
          <cell r="B813">
            <v>41141</v>
          </cell>
          <cell r="C813" t="str">
            <v>Future</v>
          </cell>
          <cell r="D813" t="e">
            <v>#N/A</v>
          </cell>
          <cell r="E813">
            <v>0.27702702702698012</v>
          </cell>
          <cell r="F813">
            <v>17.439189189189353</v>
          </cell>
          <cell r="G813">
            <v>14.006756756756788</v>
          </cell>
          <cell r="H813">
            <v>14.006756756756788</v>
          </cell>
          <cell r="I813" t="e">
            <v>#N/A</v>
          </cell>
          <cell r="J813" t="e">
            <v>#N/A</v>
          </cell>
          <cell r="K813" t="e">
            <v>#N/A</v>
          </cell>
          <cell r="L813" t="e">
            <v>#N/A</v>
          </cell>
          <cell r="M813" t="e">
            <v>#N/A</v>
          </cell>
          <cell r="N813" t="e">
            <v>#N/A</v>
          </cell>
          <cell r="O813" t="e">
            <v>#N/A</v>
          </cell>
          <cell r="P813">
            <v>14.52</v>
          </cell>
          <cell r="Q813" t="str">
            <v/>
          </cell>
          <cell r="R813" t="e">
            <v>#N/A</v>
          </cell>
        </row>
        <row r="814">
          <cell r="A814">
            <v>41142</v>
          </cell>
          <cell r="B814">
            <v>41142</v>
          </cell>
          <cell r="C814" t="str">
            <v>Future</v>
          </cell>
          <cell r="D814" t="e">
            <v>#N/A</v>
          </cell>
          <cell r="E814">
            <v>0.22162162162157473</v>
          </cell>
          <cell r="F814">
            <v>17.451351351351516</v>
          </cell>
          <cell r="G814">
            <v>14.005405405405437</v>
          </cell>
          <cell r="H814">
            <v>14.005405405405437</v>
          </cell>
          <cell r="I814" t="e">
            <v>#N/A</v>
          </cell>
          <cell r="J814" t="e">
            <v>#N/A</v>
          </cell>
          <cell r="K814" t="e">
            <v>#N/A</v>
          </cell>
          <cell r="L814" t="e">
            <v>#N/A</v>
          </cell>
          <cell r="M814" t="e">
            <v>#N/A</v>
          </cell>
          <cell r="N814" t="e">
            <v>#N/A</v>
          </cell>
          <cell r="O814" t="e">
            <v>#N/A</v>
          </cell>
          <cell r="P814">
            <v>14.52</v>
          </cell>
          <cell r="Q814" t="str">
            <v/>
          </cell>
          <cell r="R814" t="e">
            <v>#N/A</v>
          </cell>
        </row>
        <row r="815">
          <cell r="A815">
            <v>41143</v>
          </cell>
          <cell r="B815">
            <v>41143</v>
          </cell>
          <cell r="C815" t="str">
            <v>Future</v>
          </cell>
          <cell r="D815" t="e">
            <v>#N/A</v>
          </cell>
          <cell r="E815">
            <v>0.16621621621616933</v>
          </cell>
          <cell r="F815">
            <v>17.463513513513679</v>
          </cell>
          <cell r="G815">
            <v>14.004054054054086</v>
          </cell>
          <cell r="H815">
            <v>14.004054054054086</v>
          </cell>
          <cell r="I815" t="e">
            <v>#N/A</v>
          </cell>
          <cell r="J815" t="e">
            <v>#N/A</v>
          </cell>
          <cell r="K815" t="e">
            <v>#N/A</v>
          </cell>
          <cell r="L815" t="e">
            <v>#N/A</v>
          </cell>
          <cell r="M815" t="e">
            <v>#N/A</v>
          </cell>
          <cell r="N815" t="e">
            <v>#N/A</v>
          </cell>
          <cell r="O815" t="e">
            <v>#N/A</v>
          </cell>
          <cell r="P815">
            <v>14.52</v>
          </cell>
          <cell r="Q815" t="str">
            <v/>
          </cell>
          <cell r="R815" t="e">
            <v>#N/A</v>
          </cell>
        </row>
        <row r="816">
          <cell r="A816">
            <v>41144</v>
          </cell>
          <cell r="B816">
            <v>41144</v>
          </cell>
          <cell r="C816" t="str">
            <v>Future</v>
          </cell>
          <cell r="D816" t="e">
            <v>#N/A</v>
          </cell>
          <cell r="E816">
            <v>0.11081081081076394</v>
          </cell>
          <cell r="F816">
            <v>17.475675675675841</v>
          </cell>
          <cell r="G816">
            <v>14.002702702702734</v>
          </cell>
          <cell r="H816">
            <v>14.002702702702734</v>
          </cell>
          <cell r="I816" t="e">
            <v>#N/A</v>
          </cell>
          <cell r="J816" t="e">
            <v>#N/A</v>
          </cell>
          <cell r="K816" t="e">
            <v>#N/A</v>
          </cell>
          <cell r="L816" t="e">
            <v>#N/A</v>
          </cell>
          <cell r="M816" t="e">
            <v>#N/A</v>
          </cell>
          <cell r="N816" t="e">
            <v>#N/A</v>
          </cell>
          <cell r="O816" t="e">
            <v>#N/A</v>
          </cell>
          <cell r="P816">
            <v>14.52</v>
          </cell>
          <cell r="Q816" t="str">
            <v/>
          </cell>
          <cell r="R816" t="e">
            <v>#N/A</v>
          </cell>
        </row>
        <row r="817">
          <cell r="A817">
            <v>41145</v>
          </cell>
          <cell r="B817">
            <v>41145</v>
          </cell>
          <cell r="C817" t="str">
            <v>Future</v>
          </cell>
          <cell r="D817" t="e">
            <v>#N/A</v>
          </cell>
          <cell r="E817">
            <v>5.5405405405358536E-2</v>
          </cell>
          <cell r="F817">
            <v>17.487837837838004</v>
          </cell>
          <cell r="G817">
            <v>14.001351351351383</v>
          </cell>
          <cell r="H817">
            <v>14.001351351351383</v>
          </cell>
          <cell r="I817" t="e">
            <v>#N/A</v>
          </cell>
          <cell r="J817" t="e">
            <v>#N/A</v>
          </cell>
          <cell r="K817">
            <v>17.5</v>
          </cell>
          <cell r="L817">
            <v>14</v>
          </cell>
          <cell r="M817" t="e">
            <v>#N/A</v>
          </cell>
          <cell r="N817">
            <v>16.5</v>
          </cell>
          <cell r="O817" t="e">
            <v>#N/A</v>
          </cell>
          <cell r="P817">
            <v>14.52</v>
          </cell>
          <cell r="Q817" t="str">
            <v/>
          </cell>
          <cell r="R817">
            <v>16.5</v>
          </cell>
        </row>
        <row r="818">
          <cell r="A818" t="str">
            <v/>
          </cell>
          <cell r="B818" t="str">
            <v/>
          </cell>
          <cell r="C818" t="str">
            <v>Future</v>
          </cell>
          <cell r="D818" t="e">
            <v>#N/A</v>
          </cell>
          <cell r="E818">
            <v>-4.686528942698942E-14</v>
          </cell>
          <cell r="F818">
            <v>17.500000000000167</v>
          </cell>
          <cell r="G818">
            <v>14.000000000000032</v>
          </cell>
          <cell r="H818">
            <v>14.000000000000032</v>
          </cell>
          <cell r="I818" t="e">
            <v>#N/A</v>
          </cell>
          <cell r="J818" t="e">
            <v>#N/A</v>
          </cell>
          <cell r="K818">
            <v>17.5</v>
          </cell>
          <cell r="L818">
            <v>14</v>
          </cell>
          <cell r="M818" t="e">
            <v>#N/A</v>
          </cell>
          <cell r="N818">
            <v>16.5</v>
          </cell>
          <cell r="O818" t="e">
            <v>#N/A</v>
          </cell>
          <cell r="P818" t="str">
            <v/>
          </cell>
          <cell r="Q818" t="str">
            <v/>
          </cell>
          <cell r="R818">
            <v>16.5</v>
          </cell>
        </row>
        <row r="819">
          <cell r="A819" t="str">
            <v/>
          </cell>
          <cell r="B819" t="str">
            <v/>
          </cell>
          <cell r="C819" t="str">
            <v>Future</v>
          </cell>
          <cell r="D819" t="e">
            <v>#N/A</v>
          </cell>
          <cell r="E819">
            <v>-5.5405405405452267E-2</v>
          </cell>
          <cell r="F819">
            <v>17.51216216216233</v>
          </cell>
          <cell r="G819">
            <v>13.998648648648681</v>
          </cell>
          <cell r="H819">
            <v>13.998648648648681</v>
          </cell>
          <cell r="I819" t="e">
            <v>#N/A</v>
          </cell>
          <cell r="J819" t="e">
            <v>#N/A</v>
          </cell>
          <cell r="K819">
            <v>17.5</v>
          </cell>
          <cell r="L819">
            <v>14</v>
          </cell>
          <cell r="M819" t="e">
            <v>#N/A</v>
          </cell>
          <cell r="N819">
            <v>16.5</v>
          </cell>
          <cell r="O819" t="e">
            <v>#N/A</v>
          </cell>
          <cell r="P819" t="str">
            <v/>
          </cell>
          <cell r="Q819" t="str">
            <v/>
          </cell>
          <cell r="R819">
            <v>16.5</v>
          </cell>
        </row>
        <row r="820">
          <cell r="A820" t="str">
            <v/>
          </cell>
          <cell r="B820" t="str">
            <v/>
          </cell>
          <cell r="C820" t="str">
            <v>Future</v>
          </cell>
          <cell r="D820" t="e">
            <v>#N/A</v>
          </cell>
          <cell r="E820">
            <v>-0.11081081081085767</v>
          </cell>
          <cell r="F820">
            <v>17.524324324324493</v>
          </cell>
          <cell r="G820">
            <v>13.99729729729733</v>
          </cell>
          <cell r="H820">
            <v>13.99729729729733</v>
          </cell>
          <cell r="I820" t="e">
            <v>#N/A</v>
          </cell>
          <cell r="J820" t="e">
            <v>#N/A</v>
          </cell>
          <cell r="K820">
            <v>17.5</v>
          </cell>
          <cell r="L820">
            <v>14</v>
          </cell>
          <cell r="M820" t="e">
            <v>#N/A</v>
          </cell>
          <cell r="N820">
            <v>16.5</v>
          </cell>
          <cell r="O820" t="e">
            <v>#N/A</v>
          </cell>
          <cell r="P820" t="str">
            <v/>
          </cell>
          <cell r="Q820" t="str">
            <v/>
          </cell>
          <cell r="R820">
            <v>16.5</v>
          </cell>
        </row>
        <row r="821">
          <cell r="A821" t="str">
            <v/>
          </cell>
          <cell r="B821" t="str">
            <v/>
          </cell>
          <cell r="C821" t="str">
            <v>Future</v>
          </cell>
          <cell r="D821" t="e">
            <v>#N/A</v>
          </cell>
          <cell r="E821">
            <v>-0.16621621621626306</v>
          </cell>
          <cell r="F821">
            <v>17.536486486486655</v>
          </cell>
          <cell r="G821">
            <v>13.995945945945978</v>
          </cell>
          <cell r="H821">
            <v>13.995945945945978</v>
          </cell>
          <cell r="I821" t="e">
            <v>#N/A</v>
          </cell>
          <cell r="J821" t="e">
            <v>#N/A</v>
          </cell>
          <cell r="K821">
            <v>17.5</v>
          </cell>
          <cell r="L821">
            <v>14</v>
          </cell>
          <cell r="M821" t="e">
            <v>#N/A</v>
          </cell>
          <cell r="N821">
            <v>16.5</v>
          </cell>
          <cell r="O821" t="e">
            <v>#N/A</v>
          </cell>
          <cell r="P821" t="str">
            <v/>
          </cell>
          <cell r="Q821" t="str">
            <v/>
          </cell>
          <cell r="R821">
            <v>16.5</v>
          </cell>
        </row>
        <row r="822">
          <cell r="A822" t="str">
            <v/>
          </cell>
          <cell r="B822" t="str">
            <v/>
          </cell>
          <cell r="C822" t="str">
            <v>Future</v>
          </cell>
          <cell r="D822" t="e">
            <v>#N/A</v>
          </cell>
          <cell r="E822">
            <v>-0.22162162162166846</v>
          </cell>
          <cell r="F822">
            <v>17.548648648648818</v>
          </cell>
          <cell r="G822">
            <v>13.994594594594627</v>
          </cell>
          <cell r="H822">
            <v>13.994594594594627</v>
          </cell>
          <cell r="I822" t="e">
            <v>#N/A</v>
          </cell>
          <cell r="J822" t="e">
            <v>#N/A</v>
          </cell>
          <cell r="K822">
            <v>17.5</v>
          </cell>
          <cell r="L822">
            <v>14</v>
          </cell>
          <cell r="M822" t="e">
            <v>#N/A</v>
          </cell>
          <cell r="N822">
            <v>16.5</v>
          </cell>
          <cell r="O822" t="e">
            <v>#N/A</v>
          </cell>
          <cell r="P822" t="str">
            <v/>
          </cell>
          <cell r="Q822" t="str">
            <v/>
          </cell>
          <cell r="R822">
            <v>16.5</v>
          </cell>
        </row>
        <row r="823">
          <cell r="A823" t="str">
            <v/>
          </cell>
          <cell r="B823" t="str">
            <v/>
          </cell>
          <cell r="C823" t="str">
            <v>Future</v>
          </cell>
          <cell r="D823" t="e">
            <v>#N/A</v>
          </cell>
          <cell r="E823">
            <v>-0.27702702702707388</v>
          </cell>
          <cell r="F823">
            <v>17.560810810810981</v>
          </cell>
          <cell r="G823">
            <v>13.993243243243276</v>
          </cell>
          <cell r="H823">
            <v>13.993243243243276</v>
          </cell>
          <cell r="I823" t="e">
            <v>#N/A</v>
          </cell>
          <cell r="J823" t="e">
            <v>#N/A</v>
          </cell>
          <cell r="K823">
            <v>17.5</v>
          </cell>
          <cell r="L823">
            <v>14</v>
          </cell>
          <cell r="M823" t="e">
            <v>#N/A</v>
          </cell>
          <cell r="N823">
            <v>16.5</v>
          </cell>
          <cell r="O823" t="e">
            <v>#N/A</v>
          </cell>
          <cell r="P823" t="str">
            <v/>
          </cell>
          <cell r="Q823" t="str">
            <v/>
          </cell>
          <cell r="R823">
            <v>16.5</v>
          </cell>
        </row>
        <row r="824">
          <cell r="A824" t="str">
            <v/>
          </cell>
          <cell r="B824" t="str">
            <v/>
          </cell>
          <cell r="C824" t="str">
            <v>Future</v>
          </cell>
          <cell r="D824" t="e">
            <v>#N/A</v>
          </cell>
          <cell r="E824">
            <v>-0.33243243243247927</v>
          </cell>
          <cell r="F824">
            <v>17.572972972973144</v>
          </cell>
          <cell r="G824">
            <v>13.991891891891925</v>
          </cell>
          <cell r="H824">
            <v>13.991891891891925</v>
          </cell>
          <cell r="I824" t="e">
            <v>#N/A</v>
          </cell>
          <cell r="J824" t="e">
            <v>#N/A</v>
          </cell>
          <cell r="K824">
            <v>17.5</v>
          </cell>
          <cell r="L824">
            <v>14</v>
          </cell>
          <cell r="M824" t="e">
            <v>#N/A</v>
          </cell>
          <cell r="N824">
            <v>16.5</v>
          </cell>
          <cell r="O824" t="e">
            <v>#N/A</v>
          </cell>
          <cell r="P824" t="str">
            <v/>
          </cell>
          <cell r="Q824" t="str">
            <v/>
          </cell>
          <cell r="R824">
            <v>16.5</v>
          </cell>
        </row>
        <row r="825">
          <cell r="A825" t="str">
            <v/>
          </cell>
          <cell r="B825" t="str">
            <v/>
          </cell>
          <cell r="C825" t="str">
            <v>Future</v>
          </cell>
          <cell r="D825" t="e">
            <v>#N/A</v>
          </cell>
          <cell r="E825">
            <v>-0.38783783783788467</v>
          </cell>
          <cell r="F825">
            <v>17.585135135135307</v>
          </cell>
          <cell r="G825">
            <v>13.990540540540573</v>
          </cell>
          <cell r="H825">
            <v>13.990540540540573</v>
          </cell>
          <cell r="I825" t="e">
            <v>#N/A</v>
          </cell>
          <cell r="J825" t="e">
            <v>#N/A</v>
          </cell>
          <cell r="K825">
            <v>17.5</v>
          </cell>
          <cell r="L825">
            <v>14</v>
          </cell>
          <cell r="M825" t="e">
            <v>#N/A</v>
          </cell>
          <cell r="N825">
            <v>16.5</v>
          </cell>
          <cell r="O825" t="e">
            <v>#N/A</v>
          </cell>
          <cell r="P825" t="str">
            <v/>
          </cell>
          <cell r="Q825" t="str">
            <v/>
          </cell>
          <cell r="R825">
            <v>16.5</v>
          </cell>
        </row>
        <row r="826">
          <cell r="A826" t="str">
            <v/>
          </cell>
          <cell r="B826" t="str">
            <v/>
          </cell>
          <cell r="C826" t="str">
            <v>Future</v>
          </cell>
          <cell r="D826" t="e">
            <v>#N/A</v>
          </cell>
          <cell r="E826">
            <v>-0.44324324324329006</v>
          </cell>
          <cell r="F826">
            <v>17.597297297297469</v>
          </cell>
          <cell r="G826">
            <v>13.989189189189222</v>
          </cell>
          <cell r="H826">
            <v>13.989189189189222</v>
          </cell>
          <cell r="I826" t="e">
            <v>#N/A</v>
          </cell>
          <cell r="J826" t="e">
            <v>#N/A</v>
          </cell>
          <cell r="K826">
            <v>17.5</v>
          </cell>
          <cell r="L826">
            <v>14</v>
          </cell>
          <cell r="M826" t="e">
            <v>#N/A</v>
          </cell>
          <cell r="N826">
            <v>16.5</v>
          </cell>
          <cell r="O826" t="e">
            <v>#N/A</v>
          </cell>
          <cell r="P826" t="str">
            <v/>
          </cell>
          <cell r="Q826" t="str">
            <v/>
          </cell>
          <cell r="R826">
            <v>16.5</v>
          </cell>
        </row>
        <row r="827">
          <cell r="A827" t="str">
            <v/>
          </cell>
          <cell r="B827" t="str">
            <v/>
          </cell>
          <cell r="C827" t="str">
            <v>Future</v>
          </cell>
          <cell r="D827" t="e">
            <v>#N/A</v>
          </cell>
          <cell r="E827">
            <v>-0.49864864864869546</v>
          </cell>
          <cell r="F827">
            <v>17.609459459459632</v>
          </cell>
          <cell r="G827">
            <v>13.987837837837871</v>
          </cell>
          <cell r="H827">
            <v>13.987837837837871</v>
          </cell>
          <cell r="I827" t="e">
            <v>#N/A</v>
          </cell>
          <cell r="J827" t="e">
            <v>#N/A</v>
          </cell>
          <cell r="K827">
            <v>17.5</v>
          </cell>
          <cell r="L827">
            <v>14</v>
          </cell>
          <cell r="M827" t="e">
            <v>#N/A</v>
          </cell>
          <cell r="N827">
            <v>16.5</v>
          </cell>
          <cell r="O827" t="e">
            <v>#N/A</v>
          </cell>
          <cell r="P827" t="str">
            <v/>
          </cell>
          <cell r="Q827" t="str">
            <v/>
          </cell>
          <cell r="R827">
            <v>16.5</v>
          </cell>
        </row>
        <row r="828">
          <cell r="A828" t="str">
            <v/>
          </cell>
          <cell r="B828" t="str">
            <v/>
          </cell>
          <cell r="C828" t="str">
            <v>Future</v>
          </cell>
          <cell r="D828" t="e">
            <v>#N/A</v>
          </cell>
          <cell r="E828">
            <v>-0.55405405405410091</v>
          </cell>
          <cell r="F828">
            <v>17.621621621621795</v>
          </cell>
          <cell r="G828">
            <v>13.98648648648652</v>
          </cell>
          <cell r="H828">
            <v>13.98648648648652</v>
          </cell>
          <cell r="I828" t="e">
            <v>#N/A</v>
          </cell>
          <cell r="J828" t="e">
            <v>#N/A</v>
          </cell>
          <cell r="K828">
            <v>17.5</v>
          </cell>
          <cell r="L828">
            <v>14</v>
          </cell>
          <cell r="M828" t="e">
            <v>#N/A</v>
          </cell>
          <cell r="N828">
            <v>16.5</v>
          </cell>
          <cell r="O828" t="e">
            <v>#N/A</v>
          </cell>
          <cell r="P828" t="str">
            <v/>
          </cell>
          <cell r="Q828" t="str">
            <v/>
          </cell>
          <cell r="R828">
            <v>16.5</v>
          </cell>
        </row>
        <row r="829">
          <cell r="A829" t="str">
            <v/>
          </cell>
          <cell r="B829" t="str">
            <v/>
          </cell>
          <cell r="C829" t="str">
            <v>Future</v>
          </cell>
          <cell r="D829" t="e">
            <v>#N/A</v>
          </cell>
          <cell r="E829">
            <v>-0.6094594594595063</v>
          </cell>
          <cell r="F829">
            <v>17.633783783783958</v>
          </cell>
          <cell r="G829">
            <v>13.985135135135168</v>
          </cell>
          <cell r="H829">
            <v>13.985135135135168</v>
          </cell>
          <cell r="I829" t="e">
            <v>#N/A</v>
          </cell>
          <cell r="J829" t="e">
            <v>#N/A</v>
          </cell>
          <cell r="K829">
            <v>17.5</v>
          </cell>
          <cell r="L829">
            <v>14</v>
          </cell>
          <cell r="M829" t="e">
            <v>#N/A</v>
          </cell>
          <cell r="N829">
            <v>16.5</v>
          </cell>
          <cell r="O829" t="e">
            <v>#N/A</v>
          </cell>
          <cell r="P829" t="str">
            <v/>
          </cell>
          <cell r="Q829" t="str">
            <v/>
          </cell>
          <cell r="R829">
            <v>16.5</v>
          </cell>
        </row>
        <row r="830">
          <cell r="A830" t="str">
            <v/>
          </cell>
          <cell r="B830" t="str">
            <v/>
          </cell>
          <cell r="C830" t="str">
            <v>Future</v>
          </cell>
          <cell r="D830" t="e">
            <v>#N/A</v>
          </cell>
          <cell r="E830">
            <v>-0.6648648648649117</v>
          </cell>
          <cell r="F830">
            <v>17.645945945946121</v>
          </cell>
          <cell r="G830">
            <v>13.983783783783817</v>
          </cell>
          <cell r="H830">
            <v>13.983783783783817</v>
          </cell>
          <cell r="I830" t="e">
            <v>#N/A</v>
          </cell>
          <cell r="J830" t="e">
            <v>#N/A</v>
          </cell>
          <cell r="K830">
            <v>17.5</v>
          </cell>
          <cell r="L830">
            <v>14</v>
          </cell>
          <cell r="M830" t="e">
            <v>#N/A</v>
          </cell>
          <cell r="N830">
            <v>16.5</v>
          </cell>
          <cell r="O830" t="e">
            <v>#N/A</v>
          </cell>
          <cell r="P830" t="str">
            <v/>
          </cell>
          <cell r="Q830" t="str">
            <v/>
          </cell>
          <cell r="R830">
            <v>16.5</v>
          </cell>
        </row>
        <row r="831">
          <cell r="A831" t="str">
            <v/>
          </cell>
          <cell r="B831" t="str">
            <v/>
          </cell>
          <cell r="C831" t="str">
            <v>Future</v>
          </cell>
          <cell r="D831" t="e">
            <v>#N/A</v>
          </cell>
          <cell r="E831">
            <v>-0.72027027027031709</v>
          </cell>
          <cell r="F831">
            <v>17.658108108108284</v>
          </cell>
          <cell r="G831">
            <v>13.982432432432466</v>
          </cell>
          <cell r="H831">
            <v>13.982432432432466</v>
          </cell>
          <cell r="I831" t="e">
            <v>#N/A</v>
          </cell>
          <cell r="J831" t="e">
            <v>#N/A</v>
          </cell>
          <cell r="K831">
            <v>17.5</v>
          </cell>
          <cell r="L831">
            <v>14</v>
          </cell>
          <cell r="M831" t="e">
            <v>#N/A</v>
          </cell>
          <cell r="N831">
            <v>16.5</v>
          </cell>
          <cell r="O831" t="e">
            <v>#N/A</v>
          </cell>
          <cell r="P831" t="str">
            <v/>
          </cell>
          <cell r="Q831" t="str">
            <v/>
          </cell>
          <cell r="R831">
            <v>16.5</v>
          </cell>
        </row>
        <row r="832">
          <cell r="A832" t="str">
            <v/>
          </cell>
          <cell r="B832" t="str">
            <v/>
          </cell>
          <cell r="C832" t="str">
            <v>Future</v>
          </cell>
          <cell r="D832" t="e">
            <v>#N/A</v>
          </cell>
          <cell r="E832">
            <v>-0.77567567567572249</v>
          </cell>
          <cell r="F832">
            <v>17.670270270270446</v>
          </cell>
          <cell r="G832">
            <v>13.981081081081115</v>
          </cell>
          <cell r="H832">
            <v>13.981081081081115</v>
          </cell>
          <cell r="I832" t="e">
            <v>#N/A</v>
          </cell>
          <cell r="J832" t="e">
            <v>#N/A</v>
          </cell>
          <cell r="K832">
            <v>17.5</v>
          </cell>
          <cell r="L832">
            <v>14</v>
          </cell>
          <cell r="M832" t="e">
            <v>#N/A</v>
          </cell>
          <cell r="N832">
            <v>16.5</v>
          </cell>
          <cell r="O832" t="e">
            <v>#N/A</v>
          </cell>
          <cell r="P832" t="str">
            <v/>
          </cell>
          <cell r="Q832" t="str">
            <v/>
          </cell>
          <cell r="R832">
            <v>16.5</v>
          </cell>
        </row>
        <row r="833">
          <cell r="A833" t="str">
            <v/>
          </cell>
          <cell r="B833" t="str">
            <v/>
          </cell>
          <cell r="C833" t="str">
            <v>Future</v>
          </cell>
          <cell r="D833" t="e">
            <v>#N/A</v>
          </cell>
          <cell r="E833">
            <v>-0.83108108108112788</v>
          </cell>
          <cell r="F833">
            <v>17.682432432432609</v>
          </cell>
          <cell r="G833">
            <v>13.979729729729764</v>
          </cell>
          <cell r="H833">
            <v>13.979729729729764</v>
          </cell>
          <cell r="I833" t="e">
            <v>#N/A</v>
          </cell>
          <cell r="J833" t="e">
            <v>#N/A</v>
          </cell>
          <cell r="K833">
            <v>17.5</v>
          </cell>
          <cell r="L833">
            <v>14</v>
          </cell>
          <cell r="M833" t="e">
            <v>#N/A</v>
          </cell>
          <cell r="N833">
            <v>16.5</v>
          </cell>
          <cell r="O833" t="e">
            <v>#N/A</v>
          </cell>
          <cell r="P833" t="str">
            <v/>
          </cell>
          <cell r="Q833" t="str">
            <v/>
          </cell>
          <cell r="R833">
            <v>16.5</v>
          </cell>
        </row>
        <row r="834">
          <cell r="A834" t="str">
            <v/>
          </cell>
          <cell r="B834" t="str">
            <v/>
          </cell>
          <cell r="C834" t="str">
            <v>Future</v>
          </cell>
          <cell r="D834" t="e">
            <v>#N/A</v>
          </cell>
          <cell r="E834">
            <v>-0.88648648648653328</v>
          </cell>
          <cell r="F834">
            <v>17.694594594594772</v>
          </cell>
          <cell r="G834">
            <v>13.978378378378412</v>
          </cell>
          <cell r="H834">
            <v>13.978378378378412</v>
          </cell>
          <cell r="I834" t="e">
            <v>#N/A</v>
          </cell>
          <cell r="J834" t="e">
            <v>#N/A</v>
          </cell>
          <cell r="K834">
            <v>17.5</v>
          </cell>
          <cell r="L834">
            <v>14</v>
          </cell>
          <cell r="M834" t="e">
            <v>#N/A</v>
          </cell>
          <cell r="N834">
            <v>16.5</v>
          </cell>
          <cell r="O834" t="e">
            <v>#N/A</v>
          </cell>
          <cell r="P834" t="str">
            <v/>
          </cell>
          <cell r="Q834" t="str">
            <v/>
          </cell>
          <cell r="R834">
            <v>16.5</v>
          </cell>
        </row>
        <row r="835">
          <cell r="A835" t="str">
            <v/>
          </cell>
          <cell r="B835" t="str">
            <v/>
          </cell>
          <cell r="C835" t="str">
            <v>Future</v>
          </cell>
          <cell r="D835" t="e">
            <v>#N/A</v>
          </cell>
          <cell r="E835">
            <v>-0.94189189189193867</v>
          </cell>
          <cell r="F835">
            <v>17.706756756756935</v>
          </cell>
          <cell r="G835">
            <v>13.977027027027061</v>
          </cell>
          <cell r="H835">
            <v>13.977027027027061</v>
          </cell>
          <cell r="I835" t="e">
            <v>#N/A</v>
          </cell>
          <cell r="J835" t="e">
            <v>#N/A</v>
          </cell>
          <cell r="K835">
            <v>17.5</v>
          </cell>
          <cell r="L835">
            <v>14</v>
          </cell>
          <cell r="M835" t="e">
            <v>#N/A</v>
          </cell>
          <cell r="N835">
            <v>16.5</v>
          </cell>
          <cell r="O835" t="e">
            <v>#N/A</v>
          </cell>
          <cell r="P835" t="str">
            <v/>
          </cell>
          <cell r="Q835" t="str">
            <v/>
          </cell>
          <cell r="R835">
            <v>16.5</v>
          </cell>
        </row>
        <row r="836">
          <cell r="A836" t="str">
            <v/>
          </cell>
          <cell r="B836" t="str">
            <v/>
          </cell>
          <cell r="C836" t="str">
            <v>Future</v>
          </cell>
          <cell r="D836" t="e">
            <v>#N/A</v>
          </cell>
          <cell r="E836">
            <v>-0.99729729729734407</v>
          </cell>
          <cell r="F836">
            <v>17.718918918919098</v>
          </cell>
          <cell r="G836">
            <v>13.97567567567571</v>
          </cell>
          <cell r="H836">
            <v>13.97567567567571</v>
          </cell>
          <cell r="I836" t="e">
            <v>#N/A</v>
          </cell>
          <cell r="J836" t="e">
            <v>#N/A</v>
          </cell>
          <cell r="K836">
            <v>17.5</v>
          </cell>
          <cell r="L836">
            <v>14</v>
          </cell>
          <cell r="M836" t="e">
            <v>#N/A</v>
          </cell>
          <cell r="N836">
            <v>16.5</v>
          </cell>
          <cell r="O836" t="e">
            <v>#N/A</v>
          </cell>
          <cell r="P836" t="str">
            <v/>
          </cell>
          <cell r="Q836" t="str">
            <v/>
          </cell>
          <cell r="R836">
            <v>16.5</v>
          </cell>
        </row>
        <row r="837">
          <cell r="A837" t="str">
            <v/>
          </cell>
          <cell r="B837" t="str">
            <v/>
          </cell>
          <cell r="C837" t="str">
            <v>Future</v>
          </cell>
          <cell r="D837" t="e">
            <v>#N/A</v>
          </cell>
          <cell r="E837">
            <v>-1.0527027027027496</v>
          </cell>
          <cell r="F837">
            <v>17.73108108108126</v>
          </cell>
          <cell r="G837">
            <v>13.974324324324359</v>
          </cell>
          <cell r="H837">
            <v>13.974324324324359</v>
          </cell>
          <cell r="I837" t="e">
            <v>#N/A</v>
          </cell>
          <cell r="J837" t="e">
            <v>#N/A</v>
          </cell>
          <cell r="K837">
            <v>17.5</v>
          </cell>
          <cell r="L837">
            <v>14</v>
          </cell>
          <cell r="M837" t="e">
            <v>#N/A</v>
          </cell>
          <cell r="N837">
            <v>16.5</v>
          </cell>
          <cell r="O837" t="e">
            <v>#N/A</v>
          </cell>
          <cell r="P837" t="str">
            <v/>
          </cell>
          <cell r="Q837" t="str">
            <v/>
          </cell>
          <cell r="R837">
            <v>16.5</v>
          </cell>
        </row>
        <row r="838">
          <cell r="A838" t="str">
            <v/>
          </cell>
          <cell r="B838" t="str">
            <v/>
          </cell>
          <cell r="C838" t="str">
            <v>Future</v>
          </cell>
          <cell r="D838" t="e">
            <v>#N/A</v>
          </cell>
          <cell r="E838">
            <v>-1.108108108108155</v>
          </cell>
          <cell r="F838">
            <v>17.743243243243423</v>
          </cell>
          <cell r="G838">
            <v>13.972972972973007</v>
          </cell>
          <cell r="H838">
            <v>13.972972972973007</v>
          </cell>
          <cell r="I838" t="e">
            <v>#N/A</v>
          </cell>
          <cell r="J838" t="e">
            <v>#N/A</v>
          </cell>
          <cell r="K838">
            <v>17.5</v>
          </cell>
          <cell r="L838">
            <v>14</v>
          </cell>
          <cell r="M838" t="e">
            <v>#N/A</v>
          </cell>
          <cell r="N838">
            <v>16.5</v>
          </cell>
          <cell r="O838" t="e">
            <v>#N/A</v>
          </cell>
          <cell r="P838" t="str">
            <v/>
          </cell>
          <cell r="Q838" t="str">
            <v/>
          </cell>
          <cell r="R838">
            <v>16.5</v>
          </cell>
        </row>
        <row r="839">
          <cell r="A839" t="str">
            <v/>
          </cell>
          <cell r="B839" t="str">
            <v/>
          </cell>
          <cell r="C839" t="str">
            <v>Future</v>
          </cell>
          <cell r="D839" t="e">
            <v>#N/A</v>
          </cell>
          <cell r="E839">
            <v>-1.1635135135135604</v>
          </cell>
          <cell r="F839">
            <v>17.755405405405586</v>
          </cell>
          <cell r="G839">
            <v>13.971621621621656</v>
          </cell>
          <cell r="H839">
            <v>13.971621621621656</v>
          </cell>
          <cell r="I839" t="e">
            <v>#N/A</v>
          </cell>
          <cell r="J839" t="e">
            <v>#N/A</v>
          </cell>
          <cell r="K839">
            <v>17.5</v>
          </cell>
          <cell r="L839">
            <v>14</v>
          </cell>
          <cell r="M839" t="e">
            <v>#N/A</v>
          </cell>
          <cell r="N839">
            <v>16.5</v>
          </cell>
          <cell r="O839" t="e">
            <v>#N/A</v>
          </cell>
          <cell r="P839" t="str">
            <v/>
          </cell>
          <cell r="Q839" t="str">
            <v/>
          </cell>
          <cell r="R839">
            <v>16.5</v>
          </cell>
        </row>
        <row r="840">
          <cell r="A840" t="str">
            <v/>
          </cell>
          <cell r="B840" t="str">
            <v/>
          </cell>
          <cell r="C840" t="str">
            <v>Future</v>
          </cell>
          <cell r="D840" t="e">
            <v>#N/A</v>
          </cell>
          <cell r="E840">
            <v>-1.2189189189189658</v>
          </cell>
          <cell r="F840">
            <v>17.767567567567749</v>
          </cell>
          <cell r="G840">
            <v>13.970270270270305</v>
          </cell>
          <cell r="H840">
            <v>13.970270270270305</v>
          </cell>
          <cell r="I840" t="e">
            <v>#N/A</v>
          </cell>
          <cell r="J840" t="e">
            <v>#N/A</v>
          </cell>
          <cell r="K840">
            <v>17.5</v>
          </cell>
          <cell r="L840">
            <v>14</v>
          </cell>
          <cell r="M840" t="e">
            <v>#N/A</v>
          </cell>
          <cell r="N840">
            <v>16.5</v>
          </cell>
          <cell r="O840" t="e">
            <v>#N/A</v>
          </cell>
          <cell r="P840" t="str">
            <v/>
          </cell>
          <cell r="Q840" t="str">
            <v/>
          </cell>
          <cell r="R840">
            <v>16.5</v>
          </cell>
        </row>
        <row r="841">
          <cell r="A841" t="str">
            <v/>
          </cell>
          <cell r="B841" t="str">
            <v/>
          </cell>
          <cell r="C841" t="str">
            <v>Future</v>
          </cell>
          <cell r="D841" t="e">
            <v>#N/A</v>
          </cell>
          <cell r="E841">
            <v>-1.2743243243243711</v>
          </cell>
          <cell r="F841">
            <v>17.779729729729912</v>
          </cell>
          <cell r="G841">
            <v>13.968918918918954</v>
          </cell>
          <cell r="H841">
            <v>13.968918918918954</v>
          </cell>
          <cell r="I841" t="e">
            <v>#N/A</v>
          </cell>
          <cell r="J841" t="e">
            <v>#N/A</v>
          </cell>
          <cell r="K841">
            <v>17.5</v>
          </cell>
          <cell r="L841">
            <v>14</v>
          </cell>
          <cell r="M841" t="e">
            <v>#N/A</v>
          </cell>
          <cell r="N841">
            <v>16.5</v>
          </cell>
          <cell r="O841" t="e">
            <v>#N/A</v>
          </cell>
          <cell r="P841" t="str">
            <v/>
          </cell>
          <cell r="Q841" t="str">
            <v/>
          </cell>
          <cell r="R841">
            <v>16.5</v>
          </cell>
        </row>
        <row r="842">
          <cell r="A842" t="str">
            <v/>
          </cell>
          <cell r="B842" t="str">
            <v/>
          </cell>
          <cell r="C842" t="str">
            <v>Future</v>
          </cell>
          <cell r="D842" t="e">
            <v>#N/A</v>
          </cell>
          <cell r="E842">
            <v>-1.3297297297297765</v>
          </cell>
          <cell r="F842">
            <v>17.791891891892075</v>
          </cell>
          <cell r="G842">
            <v>13.967567567567603</v>
          </cell>
          <cell r="H842">
            <v>13.967567567567603</v>
          </cell>
          <cell r="I842" t="e">
            <v>#N/A</v>
          </cell>
          <cell r="J842" t="e">
            <v>#N/A</v>
          </cell>
          <cell r="K842">
            <v>17.5</v>
          </cell>
          <cell r="L842">
            <v>14</v>
          </cell>
          <cell r="M842" t="e">
            <v>#N/A</v>
          </cell>
          <cell r="N842">
            <v>16.5</v>
          </cell>
          <cell r="O842" t="e">
            <v>#N/A</v>
          </cell>
          <cell r="P842" t="str">
            <v/>
          </cell>
          <cell r="Q842" t="str">
            <v/>
          </cell>
          <cell r="R842">
            <v>16.5</v>
          </cell>
        </row>
        <row r="843">
          <cell r="A843" t="str">
            <v/>
          </cell>
          <cell r="B843" t="str">
            <v/>
          </cell>
          <cell r="C843" t="str">
            <v>Future</v>
          </cell>
          <cell r="D843" t="e">
            <v>#N/A</v>
          </cell>
          <cell r="E843">
            <v>-1.3851351351351819</v>
          </cell>
          <cell r="F843">
            <v>17.804054054054237</v>
          </cell>
          <cell r="G843">
            <v>13.966216216216251</v>
          </cell>
          <cell r="H843">
            <v>13.966216216216251</v>
          </cell>
          <cell r="I843" t="e">
            <v>#N/A</v>
          </cell>
          <cell r="J843" t="e">
            <v>#N/A</v>
          </cell>
          <cell r="K843">
            <v>17.5</v>
          </cell>
          <cell r="L843">
            <v>14</v>
          </cell>
          <cell r="M843" t="e">
            <v>#N/A</v>
          </cell>
          <cell r="N843">
            <v>16.5</v>
          </cell>
          <cell r="O843" t="e">
            <v>#N/A</v>
          </cell>
          <cell r="P843" t="str">
            <v/>
          </cell>
          <cell r="Q843" t="str">
            <v/>
          </cell>
          <cell r="R843">
            <v>16.5</v>
          </cell>
        </row>
        <row r="844">
          <cell r="A844" t="str">
            <v/>
          </cell>
          <cell r="B844" t="str">
            <v/>
          </cell>
          <cell r="C844" t="str">
            <v>Future</v>
          </cell>
          <cell r="D844" t="e">
            <v>#N/A</v>
          </cell>
          <cell r="E844">
            <v>-1.4405405405405873</v>
          </cell>
          <cell r="F844">
            <v>17.8162162162164</v>
          </cell>
          <cell r="G844">
            <v>13.9648648648649</v>
          </cell>
          <cell r="H844">
            <v>13.9648648648649</v>
          </cell>
          <cell r="I844" t="e">
            <v>#N/A</v>
          </cell>
          <cell r="J844" t="e">
            <v>#N/A</v>
          </cell>
          <cell r="K844">
            <v>17.5</v>
          </cell>
          <cell r="L844">
            <v>14</v>
          </cell>
          <cell r="M844" t="e">
            <v>#N/A</v>
          </cell>
          <cell r="N844">
            <v>16.5</v>
          </cell>
          <cell r="O844" t="e">
            <v>#N/A</v>
          </cell>
          <cell r="P844" t="str">
            <v/>
          </cell>
          <cell r="Q844" t="str">
            <v/>
          </cell>
          <cell r="R844">
            <v>16.5</v>
          </cell>
        </row>
        <row r="845">
          <cell r="A845" t="str">
            <v/>
          </cell>
          <cell r="B845" t="str">
            <v/>
          </cell>
          <cell r="C845" t="str">
            <v>Future</v>
          </cell>
          <cell r="D845" t="e">
            <v>#N/A</v>
          </cell>
          <cell r="E845">
            <v>-1.4959459459459927</v>
          </cell>
          <cell r="F845">
            <v>17.828378378378563</v>
          </cell>
          <cell r="G845">
            <v>13.963513513513549</v>
          </cell>
          <cell r="H845">
            <v>13.963513513513549</v>
          </cell>
          <cell r="I845" t="e">
            <v>#N/A</v>
          </cell>
          <cell r="J845" t="e">
            <v>#N/A</v>
          </cell>
          <cell r="K845">
            <v>17.5</v>
          </cell>
          <cell r="L845">
            <v>14</v>
          </cell>
          <cell r="M845" t="e">
            <v>#N/A</v>
          </cell>
          <cell r="N845">
            <v>16.5</v>
          </cell>
          <cell r="O845" t="e">
            <v>#N/A</v>
          </cell>
          <cell r="P845" t="str">
            <v/>
          </cell>
          <cell r="Q845" t="str">
            <v/>
          </cell>
          <cell r="R845">
            <v>16.5</v>
          </cell>
        </row>
        <row r="846">
          <cell r="A846" t="str">
            <v/>
          </cell>
          <cell r="B846" t="str">
            <v/>
          </cell>
          <cell r="C846" t="str">
            <v>Future</v>
          </cell>
          <cell r="D846" t="e">
            <v>#N/A</v>
          </cell>
          <cell r="E846">
            <v>-1.5513513513513981</v>
          </cell>
          <cell r="F846">
            <v>17.840540540540726</v>
          </cell>
          <cell r="G846">
            <v>13.962162162162198</v>
          </cell>
          <cell r="H846">
            <v>13.962162162162198</v>
          </cell>
          <cell r="I846" t="e">
            <v>#N/A</v>
          </cell>
          <cell r="J846" t="e">
            <v>#N/A</v>
          </cell>
          <cell r="K846">
            <v>17.5</v>
          </cell>
          <cell r="L846">
            <v>14</v>
          </cell>
          <cell r="M846" t="e">
            <v>#N/A</v>
          </cell>
          <cell r="N846">
            <v>16.5</v>
          </cell>
          <cell r="O846" t="e">
            <v>#N/A</v>
          </cell>
          <cell r="P846" t="str">
            <v/>
          </cell>
          <cell r="Q846" t="str">
            <v/>
          </cell>
          <cell r="R846">
            <v>16.5</v>
          </cell>
        </row>
        <row r="847">
          <cell r="A847" t="str">
            <v/>
          </cell>
          <cell r="B847" t="str">
            <v/>
          </cell>
          <cell r="C847" t="str">
            <v>Future</v>
          </cell>
          <cell r="D847" t="e">
            <v>#N/A</v>
          </cell>
          <cell r="E847">
            <v>-1.6067567567568035</v>
          </cell>
          <cell r="F847">
            <v>17.852702702702889</v>
          </cell>
          <cell r="G847">
            <v>13.960810810810846</v>
          </cell>
          <cell r="H847">
            <v>13.960810810810846</v>
          </cell>
          <cell r="I847" t="e">
            <v>#N/A</v>
          </cell>
          <cell r="J847" t="e">
            <v>#N/A</v>
          </cell>
          <cell r="K847">
            <v>17.5</v>
          </cell>
          <cell r="L847">
            <v>14</v>
          </cell>
          <cell r="M847" t="e">
            <v>#N/A</v>
          </cell>
          <cell r="N847">
            <v>16.5</v>
          </cell>
          <cell r="O847" t="e">
            <v>#N/A</v>
          </cell>
          <cell r="P847" t="str">
            <v/>
          </cell>
          <cell r="Q847" t="str">
            <v/>
          </cell>
          <cell r="R847">
            <v>16.5</v>
          </cell>
        </row>
        <row r="848">
          <cell r="A848" t="str">
            <v/>
          </cell>
          <cell r="B848" t="str">
            <v/>
          </cell>
          <cell r="C848" t="str">
            <v>Future</v>
          </cell>
          <cell r="D848" t="e">
            <v>#N/A</v>
          </cell>
          <cell r="E848">
            <v>-1.6621621621622089</v>
          </cell>
          <cell r="F848">
            <v>17.864864864865051</v>
          </cell>
          <cell r="G848">
            <v>13.959459459459495</v>
          </cell>
          <cell r="H848">
            <v>13.959459459459495</v>
          </cell>
          <cell r="I848" t="e">
            <v>#N/A</v>
          </cell>
          <cell r="J848" t="e">
            <v>#N/A</v>
          </cell>
          <cell r="K848">
            <v>17.5</v>
          </cell>
          <cell r="L848">
            <v>14</v>
          </cell>
          <cell r="M848" t="e">
            <v>#N/A</v>
          </cell>
          <cell r="N848">
            <v>16.5</v>
          </cell>
          <cell r="O848" t="e">
            <v>#N/A</v>
          </cell>
          <cell r="P848" t="str">
            <v/>
          </cell>
          <cell r="Q848" t="str">
            <v/>
          </cell>
          <cell r="R848">
            <v>16.5</v>
          </cell>
        </row>
        <row r="849">
          <cell r="A849" t="str">
            <v/>
          </cell>
          <cell r="B849" t="str">
            <v/>
          </cell>
          <cell r="C849" t="str">
            <v>Future</v>
          </cell>
          <cell r="D849" t="e">
            <v>#N/A</v>
          </cell>
          <cell r="E849">
            <v>-1.7175675675676143</v>
          </cell>
          <cell r="F849">
            <v>17.877027027027214</v>
          </cell>
          <cell r="G849">
            <v>13.958108108108144</v>
          </cell>
          <cell r="H849">
            <v>13.958108108108144</v>
          </cell>
          <cell r="I849" t="e">
            <v>#N/A</v>
          </cell>
          <cell r="J849" t="e">
            <v>#N/A</v>
          </cell>
          <cell r="K849">
            <v>17.5</v>
          </cell>
          <cell r="L849">
            <v>14</v>
          </cell>
          <cell r="M849" t="e">
            <v>#N/A</v>
          </cell>
          <cell r="N849">
            <v>16.5</v>
          </cell>
          <cell r="O849" t="e">
            <v>#N/A</v>
          </cell>
          <cell r="P849" t="str">
            <v/>
          </cell>
          <cell r="Q849" t="str">
            <v/>
          </cell>
          <cell r="R849">
            <v>16.5</v>
          </cell>
        </row>
        <row r="850">
          <cell r="A850" t="str">
            <v/>
          </cell>
          <cell r="B850" t="str">
            <v/>
          </cell>
          <cell r="C850" t="str">
            <v>Future</v>
          </cell>
          <cell r="D850" t="e">
            <v>#N/A</v>
          </cell>
          <cell r="E850">
            <v>-1.7729729729730197</v>
          </cell>
          <cell r="F850">
            <v>17.889189189189377</v>
          </cell>
          <cell r="G850">
            <v>13.956756756756793</v>
          </cell>
          <cell r="H850">
            <v>13.956756756756793</v>
          </cell>
          <cell r="I850" t="e">
            <v>#N/A</v>
          </cell>
          <cell r="J850" t="e">
            <v>#N/A</v>
          </cell>
          <cell r="K850">
            <v>17.5</v>
          </cell>
          <cell r="L850">
            <v>14</v>
          </cell>
          <cell r="M850" t="e">
            <v>#N/A</v>
          </cell>
          <cell r="N850">
            <v>16.5</v>
          </cell>
          <cell r="O850" t="e">
            <v>#N/A</v>
          </cell>
          <cell r="P850" t="str">
            <v/>
          </cell>
          <cell r="Q850" t="str">
            <v/>
          </cell>
          <cell r="R850">
            <v>16.5</v>
          </cell>
        </row>
        <row r="851">
          <cell r="A851" t="str">
            <v/>
          </cell>
          <cell r="B851" t="str">
            <v/>
          </cell>
          <cell r="C851" t="str">
            <v>Future</v>
          </cell>
          <cell r="D851" t="e">
            <v>#N/A</v>
          </cell>
          <cell r="E851">
            <v>-1.8283783783784251</v>
          </cell>
          <cell r="F851">
            <v>17.90135135135154</v>
          </cell>
          <cell r="G851">
            <v>13.955405405405441</v>
          </cell>
          <cell r="H851">
            <v>13.955405405405441</v>
          </cell>
          <cell r="I851" t="e">
            <v>#N/A</v>
          </cell>
          <cell r="J851" t="e">
            <v>#N/A</v>
          </cell>
          <cell r="K851">
            <v>17.5</v>
          </cell>
          <cell r="L851">
            <v>14</v>
          </cell>
          <cell r="M851" t="e">
            <v>#N/A</v>
          </cell>
          <cell r="N851">
            <v>16.5</v>
          </cell>
          <cell r="O851" t="e">
            <v>#N/A</v>
          </cell>
          <cell r="P851" t="str">
            <v/>
          </cell>
          <cell r="Q851" t="str">
            <v/>
          </cell>
          <cell r="R851">
            <v>16.5</v>
          </cell>
        </row>
        <row r="852">
          <cell r="A852" t="str">
            <v/>
          </cell>
          <cell r="B852" t="str">
            <v/>
          </cell>
          <cell r="C852" t="str">
            <v>Future</v>
          </cell>
          <cell r="D852" t="e">
            <v>#N/A</v>
          </cell>
          <cell r="E852">
            <v>-1.8837837837838305</v>
          </cell>
          <cell r="F852">
            <v>17.913513513513703</v>
          </cell>
          <cell r="G852">
            <v>13.95405405405409</v>
          </cell>
          <cell r="H852">
            <v>13.95405405405409</v>
          </cell>
          <cell r="I852" t="e">
            <v>#N/A</v>
          </cell>
          <cell r="J852" t="e">
            <v>#N/A</v>
          </cell>
          <cell r="K852">
            <v>17.5</v>
          </cell>
          <cell r="L852">
            <v>14</v>
          </cell>
          <cell r="M852" t="e">
            <v>#N/A</v>
          </cell>
          <cell r="N852">
            <v>16.5</v>
          </cell>
          <cell r="O852" t="e">
            <v>#N/A</v>
          </cell>
          <cell r="P852" t="str">
            <v/>
          </cell>
          <cell r="Q852" t="str">
            <v/>
          </cell>
          <cell r="R852">
            <v>16.5</v>
          </cell>
        </row>
        <row r="853">
          <cell r="A853" t="str">
            <v/>
          </cell>
          <cell r="B853" t="str">
            <v/>
          </cell>
          <cell r="C853" t="str">
            <v>Future</v>
          </cell>
          <cell r="D853" t="e">
            <v>#N/A</v>
          </cell>
          <cell r="E853">
            <v>-1.9391891891892359</v>
          </cell>
          <cell r="F853">
            <v>17.925675675675866</v>
          </cell>
          <cell r="G853">
            <v>13.952702702702739</v>
          </cell>
          <cell r="H853">
            <v>13.952702702702739</v>
          </cell>
          <cell r="I853" t="e">
            <v>#N/A</v>
          </cell>
          <cell r="J853" t="e">
            <v>#N/A</v>
          </cell>
          <cell r="K853">
            <v>17.5</v>
          </cell>
          <cell r="L853">
            <v>14</v>
          </cell>
          <cell r="M853" t="e">
            <v>#N/A</v>
          </cell>
          <cell r="N853">
            <v>16.5</v>
          </cell>
          <cell r="O853" t="e">
            <v>#N/A</v>
          </cell>
          <cell r="P853" t="str">
            <v/>
          </cell>
          <cell r="Q853" t="str">
            <v/>
          </cell>
          <cell r="R853">
            <v>16.5</v>
          </cell>
        </row>
        <row r="854">
          <cell r="A854" t="str">
            <v/>
          </cell>
          <cell r="B854" t="str">
            <v/>
          </cell>
          <cell r="C854" t="str">
            <v>Future</v>
          </cell>
          <cell r="D854" t="e">
            <v>#N/A</v>
          </cell>
          <cell r="E854">
            <v>-1.9945945945946413</v>
          </cell>
          <cell r="F854">
            <v>17.937837837838028</v>
          </cell>
          <cell r="G854">
            <v>13.951351351351388</v>
          </cell>
          <cell r="H854">
            <v>13.951351351351388</v>
          </cell>
          <cell r="I854" t="e">
            <v>#N/A</v>
          </cell>
          <cell r="J854" t="e">
            <v>#N/A</v>
          </cell>
          <cell r="K854">
            <v>17.5</v>
          </cell>
          <cell r="L854">
            <v>14</v>
          </cell>
          <cell r="M854" t="e">
            <v>#N/A</v>
          </cell>
          <cell r="N854">
            <v>16.5</v>
          </cell>
          <cell r="O854" t="e">
            <v>#N/A</v>
          </cell>
          <cell r="P854" t="str">
            <v/>
          </cell>
          <cell r="Q854" t="str">
            <v/>
          </cell>
          <cell r="R854">
            <v>16.5</v>
          </cell>
        </row>
        <row r="855">
          <cell r="A855" t="str">
            <v/>
          </cell>
          <cell r="B855" t="str">
            <v/>
          </cell>
          <cell r="C855" t="str">
            <v>Future</v>
          </cell>
          <cell r="D855" t="e">
            <v>#N/A</v>
          </cell>
          <cell r="E855">
            <v>-2.0500000000000469</v>
          </cell>
          <cell r="F855">
            <v>17.950000000000191</v>
          </cell>
          <cell r="G855">
            <v>13.950000000000037</v>
          </cell>
          <cell r="H855">
            <v>13.950000000000037</v>
          </cell>
          <cell r="I855" t="e">
            <v>#N/A</v>
          </cell>
          <cell r="J855" t="e">
            <v>#N/A</v>
          </cell>
          <cell r="K855">
            <v>17.5</v>
          </cell>
          <cell r="L855">
            <v>14</v>
          </cell>
          <cell r="M855" t="e">
            <v>#N/A</v>
          </cell>
          <cell r="N855">
            <v>16.5</v>
          </cell>
          <cell r="O855" t="e">
            <v>#N/A</v>
          </cell>
          <cell r="P855" t="str">
            <v/>
          </cell>
          <cell r="Q855" t="str">
            <v/>
          </cell>
          <cell r="R855">
            <v>16.5</v>
          </cell>
        </row>
        <row r="856">
          <cell r="A856" t="str">
            <v/>
          </cell>
          <cell r="B856" t="str">
            <v/>
          </cell>
          <cell r="C856" t="str">
            <v>Future</v>
          </cell>
          <cell r="D856" t="e">
            <v>#N/A</v>
          </cell>
          <cell r="E856">
            <v>-2.1054054054054525</v>
          </cell>
          <cell r="F856">
            <v>17.962162162162354</v>
          </cell>
          <cell r="G856">
            <v>13.948648648648685</v>
          </cell>
          <cell r="H856">
            <v>13.948648648648685</v>
          </cell>
          <cell r="I856" t="e">
            <v>#N/A</v>
          </cell>
          <cell r="J856" t="e">
            <v>#N/A</v>
          </cell>
          <cell r="K856">
            <v>17.5</v>
          </cell>
          <cell r="L856">
            <v>14</v>
          </cell>
          <cell r="M856" t="e">
            <v>#N/A</v>
          </cell>
          <cell r="N856">
            <v>16.5</v>
          </cell>
          <cell r="O856" t="e">
            <v>#N/A</v>
          </cell>
          <cell r="P856" t="str">
            <v/>
          </cell>
          <cell r="Q856" t="str">
            <v/>
          </cell>
          <cell r="R856">
            <v>16.5</v>
          </cell>
        </row>
        <row r="857">
          <cell r="A857" t="str">
            <v/>
          </cell>
          <cell r="B857" t="str">
            <v/>
          </cell>
          <cell r="C857" t="str">
            <v>Future</v>
          </cell>
          <cell r="D857" t="e">
            <v>#N/A</v>
          </cell>
          <cell r="E857">
            <v>-2.1608108108108581</v>
          </cell>
          <cell r="F857">
            <v>17.974324324324517</v>
          </cell>
          <cell r="G857">
            <v>13.947297297297334</v>
          </cell>
          <cell r="H857">
            <v>13.947297297297334</v>
          </cell>
          <cell r="I857" t="e">
            <v>#N/A</v>
          </cell>
          <cell r="J857" t="e">
            <v>#N/A</v>
          </cell>
          <cell r="K857">
            <v>17.5</v>
          </cell>
          <cell r="L857">
            <v>14</v>
          </cell>
          <cell r="M857" t="e">
            <v>#N/A</v>
          </cell>
          <cell r="N857">
            <v>16.5</v>
          </cell>
          <cell r="O857" t="e">
            <v>#N/A</v>
          </cell>
          <cell r="P857" t="str">
            <v/>
          </cell>
          <cell r="Q857" t="str">
            <v/>
          </cell>
          <cell r="R857">
            <v>16.5</v>
          </cell>
        </row>
        <row r="858">
          <cell r="A858" t="str">
            <v/>
          </cell>
          <cell r="B858" t="str">
            <v/>
          </cell>
          <cell r="C858" t="str">
            <v>Future</v>
          </cell>
          <cell r="D858" t="e">
            <v>#N/A</v>
          </cell>
          <cell r="E858">
            <v>-2.2162162162162637</v>
          </cell>
          <cell r="F858">
            <v>17.98648648648668</v>
          </cell>
          <cell r="G858">
            <v>13.945945945945983</v>
          </cell>
          <cell r="H858">
            <v>13.945945945945983</v>
          </cell>
          <cell r="I858" t="e">
            <v>#N/A</v>
          </cell>
          <cell r="J858" t="e">
            <v>#N/A</v>
          </cell>
          <cell r="K858">
            <v>17.5</v>
          </cell>
          <cell r="L858">
            <v>14</v>
          </cell>
          <cell r="M858" t="e">
            <v>#N/A</v>
          </cell>
          <cell r="N858">
            <v>16.5</v>
          </cell>
          <cell r="O858" t="e">
            <v>#N/A</v>
          </cell>
          <cell r="P858" t="str">
            <v/>
          </cell>
          <cell r="Q858" t="str">
            <v/>
          </cell>
          <cell r="R858">
            <v>16.5</v>
          </cell>
        </row>
        <row r="859">
          <cell r="A859" t="str">
            <v/>
          </cell>
          <cell r="B859" t="str">
            <v/>
          </cell>
          <cell r="C859" t="str">
            <v>Future</v>
          </cell>
          <cell r="D859" t="e">
            <v>#N/A</v>
          </cell>
          <cell r="E859">
            <v>-2.2716216216216694</v>
          </cell>
          <cell r="F859">
            <v>17.998648648648842</v>
          </cell>
          <cell r="G859">
            <v>13.944594594594632</v>
          </cell>
          <cell r="H859">
            <v>13.944594594594632</v>
          </cell>
          <cell r="I859" t="e">
            <v>#N/A</v>
          </cell>
          <cell r="J859" t="e">
            <v>#N/A</v>
          </cell>
          <cell r="K859">
            <v>17.5</v>
          </cell>
          <cell r="L859">
            <v>14</v>
          </cell>
          <cell r="M859" t="e">
            <v>#N/A</v>
          </cell>
          <cell r="N859">
            <v>16.5</v>
          </cell>
          <cell r="O859" t="e">
            <v>#N/A</v>
          </cell>
          <cell r="P859" t="str">
            <v/>
          </cell>
          <cell r="Q859" t="str">
            <v/>
          </cell>
          <cell r="R859">
            <v>16.5</v>
          </cell>
        </row>
        <row r="860">
          <cell r="A860" t="str">
            <v/>
          </cell>
          <cell r="B860" t="str">
            <v/>
          </cell>
          <cell r="C860" t="str">
            <v>Future</v>
          </cell>
          <cell r="D860" t="e">
            <v>#N/A</v>
          </cell>
          <cell r="E860">
            <v>-2.327027027027075</v>
          </cell>
          <cell r="F860">
            <v>18.010810810811005</v>
          </cell>
          <cell r="G860">
            <v>13.94324324324328</v>
          </cell>
          <cell r="H860">
            <v>13.94324324324328</v>
          </cell>
          <cell r="I860" t="e">
            <v>#N/A</v>
          </cell>
          <cell r="J860" t="e">
            <v>#N/A</v>
          </cell>
          <cell r="K860">
            <v>17.5</v>
          </cell>
          <cell r="L860">
            <v>14</v>
          </cell>
          <cell r="M860" t="e">
            <v>#N/A</v>
          </cell>
          <cell r="N860">
            <v>16.5</v>
          </cell>
          <cell r="O860" t="e">
            <v>#N/A</v>
          </cell>
          <cell r="P860" t="str">
            <v/>
          </cell>
          <cell r="Q860" t="str">
            <v/>
          </cell>
          <cell r="R860">
            <v>16.5</v>
          </cell>
        </row>
        <row r="861">
          <cell r="A861" t="str">
            <v/>
          </cell>
          <cell r="B861" t="str">
            <v/>
          </cell>
          <cell r="C861" t="str">
            <v>Future</v>
          </cell>
          <cell r="D861" t="e">
            <v>#N/A</v>
          </cell>
          <cell r="E861">
            <v>-2.3824324324324806</v>
          </cell>
          <cell r="F861">
            <v>18.022972972973168</v>
          </cell>
          <cell r="G861">
            <v>13.941891891891929</v>
          </cell>
          <cell r="H861">
            <v>13.941891891891929</v>
          </cell>
          <cell r="I861" t="e">
            <v>#N/A</v>
          </cell>
          <cell r="J861" t="e">
            <v>#N/A</v>
          </cell>
          <cell r="K861">
            <v>17.5</v>
          </cell>
          <cell r="L861">
            <v>14</v>
          </cell>
          <cell r="M861" t="e">
            <v>#N/A</v>
          </cell>
          <cell r="N861">
            <v>16.5</v>
          </cell>
          <cell r="O861" t="e">
            <v>#N/A</v>
          </cell>
          <cell r="P861" t="str">
            <v/>
          </cell>
          <cell r="Q861" t="str">
            <v/>
          </cell>
          <cell r="R861">
            <v>16.5</v>
          </cell>
        </row>
        <row r="862">
          <cell r="A862" t="str">
            <v/>
          </cell>
          <cell r="B862" t="str">
            <v/>
          </cell>
          <cell r="C862" t="str">
            <v>Future</v>
          </cell>
          <cell r="D862" t="e">
            <v>#N/A</v>
          </cell>
          <cell r="E862">
            <v>-2.4378378378378862</v>
          </cell>
          <cell r="F862">
            <v>18.035135135135331</v>
          </cell>
          <cell r="G862">
            <v>13.940540540540578</v>
          </cell>
          <cell r="H862">
            <v>13.940540540540578</v>
          </cell>
          <cell r="I862" t="e">
            <v>#N/A</v>
          </cell>
          <cell r="J862" t="e">
            <v>#N/A</v>
          </cell>
          <cell r="K862">
            <v>17.5</v>
          </cell>
          <cell r="L862">
            <v>14</v>
          </cell>
          <cell r="M862" t="e">
            <v>#N/A</v>
          </cell>
          <cell r="N862">
            <v>16.5</v>
          </cell>
          <cell r="O862" t="e">
            <v>#N/A</v>
          </cell>
          <cell r="P862" t="str">
            <v/>
          </cell>
          <cell r="Q862" t="str">
            <v/>
          </cell>
          <cell r="R862">
            <v>16.5</v>
          </cell>
        </row>
        <row r="863">
          <cell r="A863" t="str">
            <v/>
          </cell>
          <cell r="B863" t="str">
            <v/>
          </cell>
          <cell r="C863" t="str">
            <v>Future</v>
          </cell>
          <cell r="D863" t="e">
            <v>#N/A</v>
          </cell>
          <cell r="E863">
            <v>-2.4932432432432918</v>
          </cell>
          <cell r="F863">
            <v>18.047297297297494</v>
          </cell>
          <cell r="G863">
            <v>13.939189189189227</v>
          </cell>
          <cell r="H863">
            <v>13.939189189189227</v>
          </cell>
          <cell r="I863" t="e">
            <v>#N/A</v>
          </cell>
          <cell r="J863" t="e">
            <v>#N/A</v>
          </cell>
          <cell r="K863">
            <v>17.5</v>
          </cell>
          <cell r="L863">
            <v>14</v>
          </cell>
          <cell r="M863" t="e">
            <v>#N/A</v>
          </cell>
          <cell r="N863">
            <v>16.5</v>
          </cell>
          <cell r="O863" t="e">
            <v>#N/A</v>
          </cell>
          <cell r="P863" t="str">
            <v/>
          </cell>
          <cell r="Q863" t="str">
            <v/>
          </cell>
          <cell r="R863">
            <v>16.5</v>
          </cell>
        </row>
        <row r="864">
          <cell r="A864" t="str">
            <v/>
          </cell>
          <cell r="B864" t="str">
            <v/>
          </cell>
          <cell r="C864" t="str">
            <v>Future</v>
          </cell>
          <cell r="D864" t="e">
            <v>#N/A</v>
          </cell>
          <cell r="E864">
            <v>-2.5486486486486974</v>
          </cell>
          <cell r="F864">
            <v>18.059459459459656</v>
          </cell>
          <cell r="G864">
            <v>13.937837837837876</v>
          </cell>
          <cell r="H864">
            <v>13.937837837837876</v>
          </cell>
          <cell r="I864" t="e">
            <v>#N/A</v>
          </cell>
          <cell r="J864" t="e">
            <v>#N/A</v>
          </cell>
          <cell r="K864">
            <v>17.5</v>
          </cell>
          <cell r="L864">
            <v>14</v>
          </cell>
          <cell r="M864" t="e">
            <v>#N/A</v>
          </cell>
          <cell r="N864">
            <v>16.5</v>
          </cell>
          <cell r="O864" t="e">
            <v>#N/A</v>
          </cell>
          <cell r="P864" t="str">
            <v/>
          </cell>
          <cell r="Q864" t="str">
            <v/>
          </cell>
          <cell r="R864">
            <v>16.5</v>
          </cell>
        </row>
        <row r="865">
          <cell r="A865" t="str">
            <v/>
          </cell>
          <cell r="B865" t="str">
            <v/>
          </cell>
          <cell r="C865" t="str">
            <v>Future</v>
          </cell>
          <cell r="D865" t="e">
            <v>#N/A</v>
          </cell>
          <cell r="E865">
            <v>-2.6040540540541031</v>
          </cell>
          <cell r="F865">
            <v>18.071621621621819</v>
          </cell>
          <cell r="G865">
            <v>13.936486486486524</v>
          </cell>
          <cell r="H865">
            <v>13.936486486486524</v>
          </cell>
          <cell r="I865" t="e">
            <v>#N/A</v>
          </cell>
          <cell r="J865" t="e">
            <v>#N/A</v>
          </cell>
          <cell r="K865">
            <v>17.5</v>
          </cell>
          <cell r="L865">
            <v>14</v>
          </cell>
          <cell r="M865" t="e">
            <v>#N/A</v>
          </cell>
          <cell r="N865">
            <v>16.5</v>
          </cell>
          <cell r="O865" t="e">
            <v>#N/A</v>
          </cell>
          <cell r="P865" t="str">
            <v/>
          </cell>
          <cell r="Q865" t="str">
            <v/>
          </cell>
          <cell r="R865">
            <v>16.5</v>
          </cell>
        </row>
        <row r="866">
          <cell r="A866" t="str">
            <v/>
          </cell>
          <cell r="B866" t="str">
            <v/>
          </cell>
          <cell r="C866" t="str">
            <v>Future</v>
          </cell>
          <cell r="D866" t="e">
            <v>#N/A</v>
          </cell>
          <cell r="E866">
            <v>-2.6594594594595087</v>
          </cell>
          <cell r="F866">
            <v>18.083783783783982</v>
          </cell>
          <cell r="G866">
            <v>13.935135135135173</v>
          </cell>
          <cell r="H866">
            <v>13.935135135135173</v>
          </cell>
          <cell r="I866" t="e">
            <v>#N/A</v>
          </cell>
          <cell r="J866" t="e">
            <v>#N/A</v>
          </cell>
          <cell r="K866">
            <v>17.5</v>
          </cell>
          <cell r="L866">
            <v>14</v>
          </cell>
          <cell r="M866" t="e">
            <v>#N/A</v>
          </cell>
          <cell r="N866">
            <v>16.5</v>
          </cell>
          <cell r="O866" t="e">
            <v>#N/A</v>
          </cell>
          <cell r="P866" t="str">
            <v/>
          </cell>
          <cell r="Q866" t="str">
            <v/>
          </cell>
          <cell r="R866">
            <v>16.5</v>
          </cell>
        </row>
        <row r="867">
          <cell r="A867" t="str">
            <v/>
          </cell>
          <cell r="B867" t="str">
            <v/>
          </cell>
          <cell r="C867" t="str">
            <v>Future</v>
          </cell>
          <cell r="D867" t="e">
            <v>#N/A</v>
          </cell>
          <cell r="E867">
            <v>-2.7148648648649143</v>
          </cell>
          <cell r="F867">
            <v>18.095945945946145</v>
          </cell>
          <cell r="G867">
            <v>13.933783783783822</v>
          </cell>
          <cell r="H867">
            <v>13.933783783783822</v>
          </cell>
          <cell r="I867" t="e">
            <v>#N/A</v>
          </cell>
          <cell r="J867" t="e">
            <v>#N/A</v>
          </cell>
          <cell r="K867">
            <v>17.5</v>
          </cell>
          <cell r="L867">
            <v>14</v>
          </cell>
          <cell r="M867" t="e">
            <v>#N/A</v>
          </cell>
          <cell r="N867">
            <v>16.5</v>
          </cell>
          <cell r="O867" t="e">
            <v>#N/A</v>
          </cell>
          <cell r="P867" t="str">
            <v/>
          </cell>
          <cell r="Q867" t="str">
            <v/>
          </cell>
          <cell r="R867">
            <v>16.5</v>
          </cell>
        </row>
        <row r="868">
          <cell r="A868" t="str">
            <v/>
          </cell>
          <cell r="B868" t="str">
            <v/>
          </cell>
          <cell r="C868" t="str">
            <v>Future</v>
          </cell>
          <cell r="D868" t="e">
            <v>#N/A</v>
          </cell>
          <cell r="E868">
            <v>-2.7702702702703199</v>
          </cell>
          <cell r="F868">
            <v>18.108108108108308</v>
          </cell>
          <cell r="G868">
            <v>13.932432432432471</v>
          </cell>
          <cell r="H868">
            <v>13.932432432432471</v>
          </cell>
          <cell r="I868" t="e">
            <v>#N/A</v>
          </cell>
          <cell r="J868" t="e">
            <v>#N/A</v>
          </cell>
          <cell r="K868">
            <v>17.5</v>
          </cell>
          <cell r="L868">
            <v>14</v>
          </cell>
          <cell r="M868" t="e">
            <v>#N/A</v>
          </cell>
          <cell r="N868">
            <v>16.5</v>
          </cell>
          <cell r="O868" t="e">
            <v>#N/A</v>
          </cell>
          <cell r="P868" t="str">
            <v/>
          </cell>
          <cell r="Q868" t="str">
            <v/>
          </cell>
          <cell r="R868">
            <v>16.5</v>
          </cell>
        </row>
        <row r="869">
          <cell r="A869" t="str">
            <v/>
          </cell>
          <cell r="B869" t="str">
            <v/>
          </cell>
          <cell r="C869" t="str">
            <v>Future</v>
          </cell>
          <cell r="D869" t="e">
            <v>#N/A</v>
          </cell>
          <cell r="E869">
            <v>-2.8256756756757255</v>
          </cell>
          <cell r="F869">
            <v>18.120270270270471</v>
          </cell>
          <cell r="G869">
            <v>13.931081081081119</v>
          </cell>
          <cell r="H869">
            <v>13.931081081081119</v>
          </cell>
          <cell r="I869" t="e">
            <v>#N/A</v>
          </cell>
          <cell r="J869" t="e">
            <v>#N/A</v>
          </cell>
          <cell r="K869">
            <v>17.5</v>
          </cell>
          <cell r="L869">
            <v>14</v>
          </cell>
          <cell r="M869" t="e">
            <v>#N/A</v>
          </cell>
          <cell r="N869">
            <v>16.5</v>
          </cell>
          <cell r="O869" t="e">
            <v>#N/A</v>
          </cell>
          <cell r="P869" t="str">
            <v/>
          </cell>
          <cell r="Q869" t="str">
            <v/>
          </cell>
          <cell r="R869">
            <v>16.5</v>
          </cell>
        </row>
        <row r="870">
          <cell r="A870" t="str">
            <v/>
          </cell>
          <cell r="B870" t="str">
            <v/>
          </cell>
          <cell r="C870" t="str">
            <v>Future</v>
          </cell>
          <cell r="D870" t="e">
            <v>#N/A</v>
          </cell>
          <cell r="E870">
            <v>-2.8810810810811311</v>
          </cell>
          <cell r="F870">
            <v>18.132432432432633</v>
          </cell>
          <cell r="G870">
            <v>13.929729729729768</v>
          </cell>
          <cell r="H870">
            <v>13.929729729729768</v>
          </cell>
          <cell r="I870" t="e">
            <v>#N/A</v>
          </cell>
          <cell r="J870" t="e">
            <v>#N/A</v>
          </cell>
          <cell r="K870">
            <v>17.5</v>
          </cell>
          <cell r="L870">
            <v>14</v>
          </cell>
          <cell r="M870" t="e">
            <v>#N/A</v>
          </cell>
          <cell r="N870">
            <v>16.5</v>
          </cell>
          <cell r="O870" t="e">
            <v>#N/A</v>
          </cell>
          <cell r="P870" t="str">
            <v/>
          </cell>
          <cell r="Q870" t="str">
            <v/>
          </cell>
          <cell r="R870">
            <v>16.5</v>
          </cell>
        </row>
        <row r="871">
          <cell r="A871" t="str">
            <v/>
          </cell>
          <cell r="B871" t="str">
            <v/>
          </cell>
          <cell r="C871" t="str">
            <v>Future</v>
          </cell>
          <cell r="D871" t="e">
            <v>#N/A</v>
          </cell>
          <cell r="E871">
            <v>-2.9364864864865368</v>
          </cell>
          <cell r="F871">
            <v>18.144594594594796</v>
          </cell>
          <cell r="G871">
            <v>13.928378378378417</v>
          </cell>
          <cell r="H871">
            <v>13.928378378378417</v>
          </cell>
          <cell r="I871" t="e">
            <v>#N/A</v>
          </cell>
          <cell r="J871" t="e">
            <v>#N/A</v>
          </cell>
          <cell r="K871">
            <v>17.5</v>
          </cell>
          <cell r="L871">
            <v>14</v>
          </cell>
          <cell r="M871" t="e">
            <v>#N/A</v>
          </cell>
          <cell r="N871">
            <v>16.5</v>
          </cell>
          <cell r="O871" t="e">
            <v>#N/A</v>
          </cell>
          <cell r="P871" t="str">
            <v/>
          </cell>
          <cell r="Q871" t="str">
            <v/>
          </cell>
          <cell r="R871">
            <v>16.5</v>
          </cell>
        </row>
        <row r="872">
          <cell r="A872" t="str">
            <v/>
          </cell>
          <cell r="B872" t="str">
            <v/>
          </cell>
          <cell r="C872" t="str">
            <v>Future</v>
          </cell>
          <cell r="D872" t="e">
            <v>#N/A</v>
          </cell>
          <cell r="E872">
            <v>-2.9918918918919424</v>
          </cell>
          <cell r="F872">
            <v>18.156756756756959</v>
          </cell>
          <cell r="G872">
            <v>13.927027027027066</v>
          </cell>
          <cell r="H872">
            <v>13.927027027027066</v>
          </cell>
          <cell r="I872" t="e">
            <v>#N/A</v>
          </cell>
          <cell r="J872" t="e">
            <v>#N/A</v>
          </cell>
          <cell r="K872">
            <v>17.5</v>
          </cell>
          <cell r="L872">
            <v>14</v>
          </cell>
          <cell r="M872" t="e">
            <v>#N/A</v>
          </cell>
          <cell r="N872">
            <v>16.5</v>
          </cell>
          <cell r="O872" t="e">
            <v>#N/A</v>
          </cell>
          <cell r="P872" t="str">
            <v/>
          </cell>
          <cell r="Q872" t="str">
            <v/>
          </cell>
          <cell r="R872">
            <v>16.5</v>
          </cell>
        </row>
        <row r="873">
          <cell r="A873" t="str">
            <v/>
          </cell>
          <cell r="B873" t="str">
            <v/>
          </cell>
          <cell r="C873" t="str">
            <v>Future</v>
          </cell>
          <cell r="D873" t="e">
            <v>#N/A</v>
          </cell>
          <cell r="E873">
            <v>-3.047297297297348</v>
          </cell>
          <cell r="F873">
            <v>18.168918918919122</v>
          </cell>
          <cell r="G873">
            <v>13.925675675675715</v>
          </cell>
          <cell r="H873">
            <v>13.925675675675715</v>
          </cell>
          <cell r="I873" t="e">
            <v>#N/A</v>
          </cell>
          <cell r="J873" t="e">
            <v>#N/A</v>
          </cell>
          <cell r="K873">
            <v>17.5</v>
          </cell>
          <cell r="L873">
            <v>14</v>
          </cell>
          <cell r="M873" t="e">
            <v>#N/A</v>
          </cell>
          <cell r="N873">
            <v>16.5</v>
          </cell>
          <cell r="O873" t="e">
            <v>#N/A</v>
          </cell>
          <cell r="P873" t="str">
            <v/>
          </cell>
          <cell r="Q873" t="str">
            <v/>
          </cell>
          <cell r="R873">
            <v>16.5</v>
          </cell>
        </row>
        <row r="874">
          <cell r="A874" t="str">
            <v/>
          </cell>
          <cell r="B874" t="str">
            <v/>
          </cell>
          <cell r="C874" t="str">
            <v>Future</v>
          </cell>
          <cell r="D874" t="e">
            <v>#N/A</v>
          </cell>
          <cell r="E874">
            <v>-3.1027027027027536</v>
          </cell>
          <cell r="F874">
            <v>18.181081081081285</v>
          </cell>
          <cell r="G874">
            <v>13.924324324324363</v>
          </cell>
          <cell r="H874">
            <v>13.924324324324363</v>
          </cell>
          <cell r="I874" t="e">
            <v>#N/A</v>
          </cell>
          <cell r="J874" t="e">
            <v>#N/A</v>
          </cell>
          <cell r="K874">
            <v>17.5</v>
          </cell>
          <cell r="L874">
            <v>14</v>
          </cell>
          <cell r="M874" t="e">
            <v>#N/A</v>
          </cell>
          <cell r="N874">
            <v>16.5</v>
          </cell>
          <cell r="O874" t="e">
            <v>#N/A</v>
          </cell>
          <cell r="P874" t="str">
            <v/>
          </cell>
          <cell r="Q874" t="str">
            <v/>
          </cell>
          <cell r="R874">
            <v>16.5</v>
          </cell>
        </row>
        <row r="875">
          <cell r="A875" t="str">
            <v/>
          </cell>
          <cell r="B875" t="str">
            <v/>
          </cell>
          <cell r="C875" t="str">
            <v>Future</v>
          </cell>
          <cell r="D875" t="e">
            <v>#N/A</v>
          </cell>
          <cell r="E875">
            <v>-3.1581081081081592</v>
          </cell>
          <cell r="F875">
            <v>18.193243243243447</v>
          </cell>
          <cell r="G875">
            <v>13.922972972973012</v>
          </cell>
          <cell r="H875">
            <v>13.922972972973012</v>
          </cell>
          <cell r="I875" t="e">
            <v>#N/A</v>
          </cell>
          <cell r="J875" t="e">
            <v>#N/A</v>
          </cell>
          <cell r="K875">
            <v>17.5</v>
          </cell>
          <cell r="L875">
            <v>14</v>
          </cell>
          <cell r="M875" t="e">
            <v>#N/A</v>
          </cell>
          <cell r="N875">
            <v>16.5</v>
          </cell>
          <cell r="O875" t="e">
            <v>#N/A</v>
          </cell>
          <cell r="P875" t="str">
            <v/>
          </cell>
          <cell r="Q875" t="str">
            <v/>
          </cell>
          <cell r="R875">
            <v>16.5</v>
          </cell>
        </row>
        <row r="876">
          <cell r="A876" t="str">
            <v/>
          </cell>
          <cell r="B876" t="str">
            <v/>
          </cell>
          <cell r="C876" t="str">
            <v>Future</v>
          </cell>
          <cell r="D876" t="e">
            <v>#N/A</v>
          </cell>
          <cell r="E876">
            <v>-3.2135135135135648</v>
          </cell>
          <cell r="F876">
            <v>18.20540540540561</v>
          </cell>
          <cell r="G876">
            <v>13.921621621621661</v>
          </cell>
          <cell r="H876">
            <v>13.921621621621661</v>
          </cell>
          <cell r="I876" t="e">
            <v>#N/A</v>
          </cell>
          <cell r="J876" t="e">
            <v>#N/A</v>
          </cell>
          <cell r="K876">
            <v>17.5</v>
          </cell>
          <cell r="L876">
            <v>14</v>
          </cell>
          <cell r="M876" t="e">
            <v>#N/A</v>
          </cell>
          <cell r="N876">
            <v>16.5</v>
          </cell>
          <cell r="O876" t="e">
            <v>#N/A</v>
          </cell>
          <cell r="P876" t="str">
            <v/>
          </cell>
          <cell r="Q876" t="str">
            <v/>
          </cell>
          <cell r="R876">
            <v>16.5</v>
          </cell>
        </row>
        <row r="877">
          <cell r="A877" t="str">
            <v/>
          </cell>
          <cell r="B877" t="str">
            <v/>
          </cell>
          <cell r="C877" t="str">
            <v>Future</v>
          </cell>
          <cell r="D877" t="e">
            <v>#N/A</v>
          </cell>
          <cell r="E877">
            <v>-3.2689189189189705</v>
          </cell>
          <cell r="F877">
            <v>18.217567567567773</v>
          </cell>
          <cell r="G877">
            <v>13.92027027027031</v>
          </cell>
          <cell r="H877">
            <v>13.92027027027031</v>
          </cell>
          <cell r="I877" t="e">
            <v>#N/A</v>
          </cell>
          <cell r="J877" t="e">
            <v>#N/A</v>
          </cell>
          <cell r="K877">
            <v>17.5</v>
          </cell>
          <cell r="L877">
            <v>14</v>
          </cell>
          <cell r="M877" t="e">
            <v>#N/A</v>
          </cell>
          <cell r="N877">
            <v>16.5</v>
          </cell>
          <cell r="O877" t="e">
            <v>#N/A</v>
          </cell>
          <cell r="P877" t="str">
            <v/>
          </cell>
          <cell r="Q877" t="str">
            <v/>
          </cell>
          <cell r="R877">
            <v>16.5</v>
          </cell>
        </row>
        <row r="878">
          <cell r="A878" t="str">
            <v/>
          </cell>
          <cell r="B878" t="str">
            <v/>
          </cell>
          <cell r="C878" t="str">
            <v>Future</v>
          </cell>
          <cell r="D878" t="e">
            <v>#N/A</v>
          </cell>
          <cell r="E878">
            <v>-3.3243243243243761</v>
          </cell>
          <cell r="F878">
            <v>18.229729729729936</v>
          </cell>
          <cell r="G878">
            <v>13.918918918918958</v>
          </cell>
          <cell r="H878">
            <v>13.918918918918958</v>
          </cell>
          <cell r="I878" t="e">
            <v>#N/A</v>
          </cell>
          <cell r="J878" t="e">
            <v>#N/A</v>
          </cell>
          <cell r="K878">
            <v>17.5</v>
          </cell>
          <cell r="L878">
            <v>14</v>
          </cell>
          <cell r="M878" t="e">
            <v>#N/A</v>
          </cell>
          <cell r="N878">
            <v>16.5</v>
          </cell>
          <cell r="O878" t="e">
            <v>#N/A</v>
          </cell>
          <cell r="P878" t="str">
            <v/>
          </cell>
          <cell r="Q878" t="str">
            <v/>
          </cell>
          <cell r="R878">
            <v>16.5</v>
          </cell>
        </row>
        <row r="879">
          <cell r="A879" t="str">
            <v/>
          </cell>
          <cell r="B879" t="str">
            <v/>
          </cell>
          <cell r="C879" t="str">
            <v>Future</v>
          </cell>
          <cell r="D879" t="e">
            <v>#N/A</v>
          </cell>
          <cell r="E879">
            <v>-3.3797297297297817</v>
          </cell>
          <cell r="F879">
            <v>18.241891891892099</v>
          </cell>
          <cell r="G879">
            <v>13.917567567567607</v>
          </cell>
          <cell r="H879">
            <v>13.917567567567607</v>
          </cell>
          <cell r="I879" t="e">
            <v>#N/A</v>
          </cell>
          <cell r="J879" t="e">
            <v>#N/A</v>
          </cell>
          <cell r="K879">
            <v>17.5</v>
          </cell>
          <cell r="L879">
            <v>14</v>
          </cell>
          <cell r="M879" t="e">
            <v>#N/A</v>
          </cell>
          <cell r="N879">
            <v>16.5</v>
          </cell>
          <cell r="O879" t="e">
            <v>#N/A</v>
          </cell>
          <cell r="P879" t="str">
            <v/>
          </cell>
          <cell r="Q879" t="str">
            <v/>
          </cell>
          <cell r="R879">
            <v>16.5</v>
          </cell>
        </row>
        <row r="880">
          <cell r="A880" t="str">
            <v/>
          </cell>
          <cell r="B880" t="str">
            <v/>
          </cell>
          <cell r="C880" t="str">
            <v>Future</v>
          </cell>
          <cell r="D880" t="e">
            <v>#N/A</v>
          </cell>
          <cell r="E880">
            <v>-3.4351351351351873</v>
          </cell>
          <cell r="F880">
            <v>18.254054054054262</v>
          </cell>
          <cell r="G880">
            <v>13.916216216216256</v>
          </cell>
          <cell r="H880">
            <v>13.916216216216256</v>
          </cell>
          <cell r="I880" t="e">
            <v>#N/A</v>
          </cell>
          <cell r="J880" t="e">
            <v>#N/A</v>
          </cell>
          <cell r="K880">
            <v>17.5</v>
          </cell>
          <cell r="L880">
            <v>14</v>
          </cell>
          <cell r="M880" t="e">
            <v>#N/A</v>
          </cell>
          <cell r="N880">
            <v>16.5</v>
          </cell>
          <cell r="O880" t="e">
            <v>#N/A</v>
          </cell>
          <cell r="P880" t="str">
            <v/>
          </cell>
          <cell r="Q880" t="str">
            <v/>
          </cell>
          <cell r="R880">
            <v>16.5</v>
          </cell>
        </row>
        <row r="881">
          <cell r="A881" t="str">
            <v/>
          </cell>
          <cell r="B881" t="str">
            <v/>
          </cell>
          <cell r="C881" t="str">
            <v>Future</v>
          </cell>
          <cell r="D881" t="e">
            <v>#N/A</v>
          </cell>
          <cell r="E881">
            <v>-3.4905405405405929</v>
          </cell>
          <cell r="F881">
            <v>18.266216216216424</v>
          </cell>
          <cell r="G881">
            <v>13.914864864864905</v>
          </cell>
          <cell r="H881">
            <v>13.914864864864905</v>
          </cell>
          <cell r="I881" t="e">
            <v>#N/A</v>
          </cell>
          <cell r="J881" t="e">
            <v>#N/A</v>
          </cell>
          <cell r="K881">
            <v>17.5</v>
          </cell>
          <cell r="L881">
            <v>14</v>
          </cell>
          <cell r="M881" t="e">
            <v>#N/A</v>
          </cell>
          <cell r="N881">
            <v>16.5</v>
          </cell>
          <cell r="O881" t="e">
            <v>#N/A</v>
          </cell>
          <cell r="P881" t="str">
            <v/>
          </cell>
          <cell r="Q881" t="str">
            <v/>
          </cell>
          <cell r="R881">
            <v>16.5</v>
          </cell>
        </row>
        <row r="882">
          <cell r="A882" t="str">
            <v/>
          </cell>
          <cell r="B882" t="str">
            <v/>
          </cell>
          <cell r="C882" t="str">
            <v>Future</v>
          </cell>
          <cell r="D882" t="e">
            <v>#N/A</v>
          </cell>
          <cell r="E882">
            <v>-3.5459459459459985</v>
          </cell>
          <cell r="F882">
            <v>18.278378378378587</v>
          </cell>
          <cell r="G882">
            <v>13.913513513513553</v>
          </cell>
          <cell r="H882">
            <v>13.913513513513553</v>
          </cell>
          <cell r="I882" t="e">
            <v>#N/A</v>
          </cell>
          <cell r="J882" t="e">
            <v>#N/A</v>
          </cell>
          <cell r="K882">
            <v>17.5</v>
          </cell>
          <cell r="L882">
            <v>14</v>
          </cell>
          <cell r="M882" t="e">
            <v>#N/A</v>
          </cell>
          <cell r="N882">
            <v>16.5</v>
          </cell>
          <cell r="O882" t="e">
            <v>#N/A</v>
          </cell>
          <cell r="P882" t="str">
            <v/>
          </cell>
          <cell r="Q882" t="str">
            <v/>
          </cell>
          <cell r="R882">
            <v>16.5</v>
          </cell>
        </row>
        <row r="883">
          <cell r="A883" t="str">
            <v/>
          </cell>
          <cell r="B883" t="str">
            <v/>
          </cell>
          <cell r="C883" t="str">
            <v>Future</v>
          </cell>
          <cell r="D883" t="e">
            <v>#N/A</v>
          </cell>
          <cell r="E883">
            <v>-3.6013513513514042</v>
          </cell>
          <cell r="F883">
            <v>18.29054054054075</v>
          </cell>
          <cell r="G883">
            <v>13.912162162162202</v>
          </cell>
          <cell r="H883">
            <v>13.912162162162202</v>
          </cell>
          <cell r="I883" t="e">
            <v>#N/A</v>
          </cell>
          <cell r="J883" t="e">
            <v>#N/A</v>
          </cell>
          <cell r="K883">
            <v>17.5</v>
          </cell>
          <cell r="L883">
            <v>14</v>
          </cell>
          <cell r="M883" t="e">
            <v>#N/A</v>
          </cell>
          <cell r="N883">
            <v>16.5</v>
          </cell>
          <cell r="O883" t="e">
            <v>#N/A</v>
          </cell>
          <cell r="P883" t="str">
            <v/>
          </cell>
          <cell r="Q883" t="str">
            <v/>
          </cell>
          <cell r="R883">
            <v>16.5</v>
          </cell>
        </row>
        <row r="884">
          <cell r="A884" t="str">
            <v/>
          </cell>
          <cell r="B884" t="str">
            <v/>
          </cell>
          <cell r="C884" t="str">
            <v>Future</v>
          </cell>
          <cell r="D884" t="e">
            <v>#N/A</v>
          </cell>
          <cell r="E884">
            <v>-3.6567567567568098</v>
          </cell>
          <cell r="F884">
            <v>18.302702702702913</v>
          </cell>
          <cell r="G884">
            <v>13.910810810810851</v>
          </cell>
          <cell r="H884">
            <v>13.910810810810851</v>
          </cell>
          <cell r="I884" t="e">
            <v>#N/A</v>
          </cell>
          <cell r="J884" t="e">
            <v>#N/A</v>
          </cell>
          <cell r="K884">
            <v>17.5</v>
          </cell>
          <cell r="L884">
            <v>14</v>
          </cell>
          <cell r="M884" t="e">
            <v>#N/A</v>
          </cell>
          <cell r="N884">
            <v>16.5</v>
          </cell>
          <cell r="O884" t="e">
            <v>#N/A</v>
          </cell>
          <cell r="P884" t="str">
            <v/>
          </cell>
          <cell r="Q884" t="str">
            <v/>
          </cell>
          <cell r="R884">
            <v>16.5</v>
          </cell>
        </row>
        <row r="885">
          <cell r="A885" t="str">
            <v/>
          </cell>
          <cell r="B885" t="str">
            <v/>
          </cell>
          <cell r="C885" t="str">
            <v>Future</v>
          </cell>
          <cell r="D885" t="e">
            <v>#N/A</v>
          </cell>
          <cell r="E885">
            <v>-3.7121621621622154</v>
          </cell>
          <cell r="F885">
            <v>18.314864864865076</v>
          </cell>
          <cell r="G885">
            <v>13.9094594594595</v>
          </cell>
          <cell r="H885">
            <v>13.9094594594595</v>
          </cell>
          <cell r="I885" t="e">
            <v>#N/A</v>
          </cell>
          <cell r="J885" t="e">
            <v>#N/A</v>
          </cell>
          <cell r="K885">
            <v>17.5</v>
          </cell>
          <cell r="L885">
            <v>14</v>
          </cell>
          <cell r="M885" t="e">
            <v>#N/A</v>
          </cell>
          <cell r="N885">
            <v>16.5</v>
          </cell>
          <cell r="O885" t="e">
            <v>#N/A</v>
          </cell>
          <cell r="P885" t="str">
            <v/>
          </cell>
          <cell r="Q885" t="str">
            <v/>
          </cell>
          <cell r="R885">
            <v>16.5</v>
          </cell>
        </row>
        <row r="886">
          <cell r="A886" t="str">
            <v/>
          </cell>
          <cell r="B886" t="str">
            <v/>
          </cell>
          <cell r="C886" t="str">
            <v>Future</v>
          </cell>
          <cell r="D886" t="e">
            <v>#N/A</v>
          </cell>
          <cell r="E886">
            <v>-3.767567567567621</v>
          </cell>
          <cell r="F886">
            <v>18.327027027027238</v>
          </cell>
          <cell r="G886">
            <v>13.908108108108149</v>
          </cell>
          <cell r="H886">
            <v>13.908108108108149</v>
          </cell>
          <cell r="I886" t="e">
            <v>#N/A</v>
          </cell>
          <cell r="J886" t="e">
            <v>#N/A</v>
          </cell>
          <cell r="K886">
            <v>17.5</v>
          </cell>
          <cell r="L886">
            <v>14</v>
          </cell>
          <cell r="M886" t="e">
            <v>#N/A</v>
          </cell>
          <cell r="N886">
            <v>16.5</v>
          </cell>
          <cell r="O886" t="e">
            <v>#N/A</v>
          </cell>
          <cell r="P886" t="str">
            <v/>
          </cell>
          <cell r="Q886" t="str">
            <v/>
          </cell>
          <cell r="R886">
            <v>16.5</v>
          </cell>
        </row>
        <row r="887">
          <cell r="A887" t="str">
            <v/>
          </cell>
          <cell r="B887" t="str">
            <v/>
          </cell>
          <cell r="C887" t="str">
            <v>Future</v>
          </cell>
          <cell r="D887" t="e">
            <v>#N/A</v>
          </cell>
          <cell r="E887">
            <v>-3.8229729729730266</v>
          </cell>
          <cell r="F887">
            <v>18.339189189189401</v>
          </cell>
          <cell r="G887">
            <v>13.906756756756797</v>
          </cell>
          <cell r="H887">
            <v>13.906756756756797</v>
          </cell>
          <cell r="I887" t="e">
            <v>#N/A</v>
          </cell>
          <cell r="J887" t="e">
            <v>#N/A</v>
          </cell>
          <cell r="K887">
            <v>17.5</v>
          </cell>
          <cell r="L887">
            <v>14</v>
          </cell>
          <cell r="M887" t="e">
            <v>#N/A</v>
          </cell>
          <cell r="N887">
            <v>16.5</v>
          </cell>
          <cell r="O887" t="e">
            <v>#N/A</v>
          </cell>
          <cell r="P887" t="str">
            <v/>
          </cell>
          <cell r="Q887" t="str">
            <v/>
          </cell>
          <cell r="R887">
            <v>16.5</v>
          </cell>
        </row>
        <row r="888">
          <cell r="A888" t="str">
            <v/>
          </cell>
          <cell r="B888" t="str">
            <v/>
          </cell>
          <cell r="C888" t="str">
            <v>Future</v>
          </cell>
          <cell r="D888" t="e">
            <v>#N/A</v>
          </cell>
          <cell r="E888">
            <v>-3.8783783783784322</v>
          </cell>
          <cell r="F888">
            <v>18.351351351351564</v>
          </cell>
          <cell r="G888">
            <v>13.905405405405446</v>
          </cell>
          <cell r="H888">
            <v>13.905405405405446</v>
          </cell>
          <cell r="I888" t="e">
            <v>#N/A</v>
          </cell>
          <cell r="J888" t="e">
            <v>#N/A</v>
          </cell>
          <cell r="K888">
            <v>17.5</v>
          </cell>
          <cell r="L888">
            <v>14</v>
          </cell>
          <cell r="M888" t="e">
            <v>#N/A</v>
          </cell>
          <cell r="N888">
            <v>16.5</v>
          </cell>
          <cell r="O888" t="e">
            <v>#N/A</v>
          </cell>
          <cell r="P888" t="str">
            <v/>
          </cell>
          <cell r="Q888" t="str">
            <v/>
          </cell>
          <cell r="R888">
            <v>16.5</v>
          </cell>
        </row>
        <row r="889">
          <cell r="A889" t="str">
            <v/>
          </cell>
          <cell r="B889" t="str">
            <v/>
          </cell>
          <cell r="C889" t="str">
            <v>Future</v>
          </cell>
          <cell r="D889" t="e">
            <v>#N/A</v>
          </cell>
          <cell r="E889">
            <v>-3.9337837837838379</v>
          </cell>
          <cell r="F889">
            <v>18.363513513513727</v>
          </cell>
          <cell r="G889">
            <v>13.904054054054095</v>
          </cell>
          <cell r="H889">
            <v>13.904054054054095</v>
          </cell>
          <cell r="I889" t="e">
            <v>#N/A</v>
          </cell>
          <cell r="J889" t="e">
            <v>#N/A</v>
          </cell>
          <cell r="K889">
            <v>17.5</v>
          </cell>
          <cell r="L889">
            <v>14</v>
          </cell>
          <cell r="M889" t="e">
            <v>#N/A</v>
          </cell>
          <cell r="N889">
            <v>16.5</v>
          </cell>
          <cell r="O889" t="e">
            <v>#N/A</v>
          </cell>
          <cell r="P889" t="str">
            <v/>
          </cell>
          <cell r="Q889" t="str">
            <v/>
          </cell>
          <cell r="R889">
            <v>16.5</v>
          </cell>
        </row>
        <row r="890">
          <cell r="A890" t="str">
            <v/>
          </cell>
          <cell r="B890" t="str">
            <v/>
          </cell>
          <cell r="C890" t="str">
            <v>Future</v>
          </cell>
          <cell r="D890" t="e">
            <v>#N/A</v>
          </cell>
          <cell r="E890">
            <v>-3.9891891891892435</v>
          </cell>
          <cell r="F890">
            <v>18.37567567567589</v>
          </cell>
          <cell r="G890">
            <v>13.902702702702744</v>
          </cell>
          <cell r="H890">
            <v>13.902702702702744</v>
          </cell>
          <cell r="I890" t="e">
            <v>#N/A</v>
          </cell>
          <cell r="J890" t="e">
            <v>#N/A</v>
          </cell>
          <cell r="K890">
            <v>17.5</v>
          </cell>
          <cell r="L890">
            <v>14</v>
          </cell>
          <cell r="M890" t="e">
            <v>#N/A</v>
          </cell>
          <cell r="N890">
            <v>16.5</v>
          </cell>
          <cell r="O890" t="e">
            <v>#N/A</v>
          </cell>
          <cell r="P890" t="str">
            <v/>
          </cell>
          <cell r="Q890" t="str">
            <v/>
          </cell>
          <cell r="R890">
            <v>16.5</v>
          </cell>
        </row>
        <row r="891">
          <cell r="A891" t="str">
            <v/>
          </cell>
          <cell r="B891" t="str">
            <v/>
          </cell>
          <cell r="C891" t="str">
            <v>Future</v>
          </cell>
          <cell r="D891" t="e">
            <v>#N/A</v>
          </cell>
          <cell r="E891">
            <v>-4.0445945945946491</v>
          </cell>
          <cell r="F891">
            <v>18.387837837838052</v>
          </cell>
          <cell r="G891">
            <v>13.901351351351392</v>
          </cell>
          <cell r="H891">
            <v>13.901351351351392</v>
          </cell>
          <cell r="I891" t="e">
            <v>#N/A</v>
          </cell>
          <cell r="J891" t="e">
            <v>#N/A</v>
          </cell>
          <cell r="K891">
            <v>17.5</v>
          </cell>
          <cell r="L891">
            <v>14</v>
          </cell>
          <cell r="M891" t="e">
            <v>#N/A</v>
          </cell>
          <cell r="N891">
            <v>16.5</v>
          </cell>
          <cell r="O891" t="e">
            <v>#N/A</v>
          </cell>
          <cell r="P891" t="str">
            <v/>
          </cell>
          <cell r="Q891" t="str">
            <v/>
          </cell>
          <cell r="R891">
            <v>16.5</v>
          </cell>
        </row>
        <row r="892">
          <cell r="A892" t="str">
            <v/>
          </cell>
          <cell r="B892" t="str">
            <v/>
          </cell>
          <cell r="C892" t="str">
            <v>Future</v>
          </cell>
          <cell r="D892" t="e">
            <v>#N/A</v>
          </cell>
          <cell r="E892">
            <v>-4.1000000000000547</v>
          </cell>
          <cell r="F892">
            <v>18.400000000000215</v>
          </cell>
          <cell r="G892">
            <v>13.900000000000041</v>
          </cell>
          <cell r="H892">
            <v>13.900000000000041</v>
          </cell>
          <cell r="I892" t="e">
            <v>#N/A</v>
          </cell>
          <cell r="J892" t="e">
            <v>#N/A</v>
          </cell>
          <cell r="K892">
            <v>17.5</v>
          </cell>
          <cell r="L892">
            <v>14</v>
          </cell>
          <cell r="M892" t="e">
            <v>#N/A</v>
          </cell>
          <cell r="N892">
            <v>16.5</v>
          </cell>
          <cell r="O892" t="e">
            <v>#N/A</v>
          </cell>
          <cell r="P892" t="str">
            <v/>
          </cell>
          <cell r="Q892" t="str">
            <v/>
          </cell>
          <cell r="R892">
            <v>16.5</v>
          </cell>
        </row>
        <row r="893">
          <cell r="A893" t="str">
            <v/>
          </cell>
          <cell r="B893" t="str">
            <v/>
          </cell>
          <cell r="C893" t="str">
            <v>Future</v>
          </cell>
          <cell r="D893" t="e">
            <v>#N/A</v>
          </cell>
          <cell r="E893">
            <v>-4.1554054054054603</v>
          </cell>
          <cell r="F893">
            <v>18.412162162162378</v>
          </cell>
          <cell r="G893">
            <v>13.89864864864869</v>
          </cell>
          <cell r="H893">
            <v>13.89864864864869</v>
          </cell>
          <cell r="I893" t="e">
            <v>#N/A</v>
          </cell>
          <cell r="J893" t="e">
            <v>#N/A</v>
          </cell>
          <cell r="K893">
            <v>17.5</v>
          </cell>
          <cell r="L893">
            <v>14</v>
          </cell>
          <cell r="M893" t="e">
            <v>#N/A</v>
          </cell>
          <cell r="N893">
            <v>16.5</v>
          </cell>
          <cell r="O893" t="e">
            <v>#N/A</v>
          </cell>
          <cell r="P893" t="str">
            <v/>
          </cell>
          <cell r="Q893" t="str">
            <v/>
          </cell>
          <cell r="R893">
            <v>16.5</v>
          </cell>
        </row>
        <row r="894">
          <cell r="A894" t="str">
            <v/>
          </cell>
          <cell r="B894" t="str">
            <v/>
          </cell>
          <cell r="C894" t="str">
            <v>Future</v>
          </cell>
          <cell r="D894" t="e">
            <v>#N/A</v>
          </cell>
          <cell r="E894">
            <v>-4.2108108108108659</v>
          </cell>
          <cell r="F894">
            <v>18.424324324324541</v>
          </cell>
          <cell r="G894">
            <v>13.897297297297339</v>
          </cell>
          <cell r="H894">
            <v>13.897297297297339</v>
          </cell>
          <cell r="I894" t="e">
            <v>#N/A</v>
          </cell>
          <cell r="J894" t="e">
            <v>#N/A</v>
          </cell>
          <cell r="K894">
            <v>17.5</v>
          </cell>
          <cell r="L894">
            <v>14</v>
          </cell>
          <cell r="M894" t="e">
            <v>#N/A</v>
          </cell>
          <cell r="N894">
            <v>16.5</v>
          </cell>
          <cell r="O894" t="e">
            <v>#N/A</v>
          </cell>
          <cell r="P894" t="str">
            <v/>
          </cell>
          <cell r="Q894" t="str">
            <v/>
          </cell>
          <cell r="R894">
            <v>16.5</v>
          </cell>
        </row>
        <row r="895">
          <cell r="A895" t="str">
            <v/>
          </cell>
          <cell r="B895" t="str">
            <v/>
          </cell>
          <cell r="C895" t="str">
            <v>Future</v>
          </cell>
          <cell r="D895" t="e">
            <v>#N/A</v>
          </cell>
          <cell r="E895">
            <v>-4.2662162162162716</v>
          </cell>
          <cell r="F895">
            <v>18.436486486486704</v>
          </cell>
          <cell r="G895">
            <v>13.895945945945988</v>
          </cell>
          <cell r="H895">
            <v>13.895945945945988</v>
          </cell>
          <cell r="I895" t="e">
            <v>#N/A</v>
          </cell>
          <cell r="J895" t="e">
            <v>#N/A</v>
          </cell>
          <cell r="K895">
            <v>17.5</v>
          </cell>
          <cell r="L895">
            <v>14</v>
          </cell>
          <cell r="M895" t="e">
            <v>#N/A</v>
          </cell>
          <cell r="N895">
            <v>16.5</v>
          </cell>
          <cell r="O895" t="e">
            <v>#N/A</v>
          </cell>
          <cell r="P895" t="str">
            <v/>
          </cell>
          <cell r="Q895" t="str">
            <v/>
          </cell>
          <cell r="R895">
            <v>16.5</v>
          </cell>
        </row>
        <row r="896">
          <cell r="A896" t="str">
            <v/>
          </cell>
          <cell r="B896" t="str">
            <v/>
          </cell>
          <cell r="C896" t="str">
            <v>Future</v>
          </cell>
          <cell r="D896" t="e">
            <v>#N/A</v>
          </cell>
          <cell r="E896">
            <v>-4.3216216216216772</v>
          </cell>
          <cell r="F896">
            <v>18.448648648648867</v>
          </cell>
          <cell r="G896">
            <v>13.894594594594636</v>
          </cell>
          <cell r="H896">
            <v>13.894594594594636</v>
          </cell>
          <cell r="I896" t="e">
            <v>#N/A</v>
          </cell>
          <cell r="J896" t="e">
            <v>#N/A</v>
          </cell>
          <cell r="K896">
            <v>17.5</v>
          </cell>
          <cell r="L896">
            <v>14</v>
          </cell>
          <cell r="M896" t="e">
            <v>#N/A</v>
          </cell>
          <cell r="N896">
            <v>16.5</v>
          </cell>
          <cell r="O896" t="e">
            <v>#N/A</v>
          </cell>
          <cell r="P896" t="str">
            <v/>
          </cell>
          <cell r="Q896" t="str">
            <v/>
          </cell>
          <cell r="R896">
            <v>16.5</v>
          </cell>
        </row>
        <row r="897">
          <cell r="A897" t="str">
            <v/>
          </cell>
          <cell r="B897" t="str">
            <v/>
          </cell>
          <cell r="C897" t="str">
            <v>Future</v>
          </cell>
          <cell r="D897" t="e">
            <v>#N/A</v>
          </cell>
          <cell r="E897">
            <v>-4.3770270270270828</v>
          </cell>
          <cell r="F897">
            <v>18.460810810811029</v>
          </cell>
          <cell r="G897">
            <v>13.893243243243285</v>
          </cell>
          <cell r="H897">
            <v>13.893243243243285</v>
          </cell>
          <cell r="I897" t="e">
            <v>#N/A</v>
          </cell>
          <cell r="J897" t="e">
            <v>#N/A</v>
          </cell>
          <cell r="K897">
            <v>17.5</v>
          </cell>
          <cell r="L897">
            <v>14</v>
          </cell>
          <cell r="M897" t="e">
            <v>#N/A</v>
          </cell>
          <cell r="N897">
            <v>16.5</v>
          </cell>
          <cell r="O897" t="e">
            <v>#N/A</v>
          </cell>
          <cell r="P897" t="str">
            <v/>
          </cell>
          <cell r="Q897" t="str">
            <v/>
          </cell>
          <cell r="R897">
            <v>16.5</v>
          </cell>
        </row>
        <row r="898">
          <cell r="A898" t="str">
            <v/>
          </cell>
          <cell r="B898" t="str">
            <v/>
          </cell>
          <cell r="C898" t="str">
            <v>Future</v>
          </cell>
          <cell r="D898" t="e">
            <v>#N/A</v>
          </cell>
          <cell r="E898">
            <v>-4.4324324324324884</v>
          </cell>
          <cell r="F898">
            <v>18.472972972973192</v>
          </cell>
          <cell r="G898">
            <v>13.891891891891934</v>
          </cell>
          <cell r="H898">
            <v>13.891891891891934</v>
          </cell>
          <cell r="I898" t="e">
            <v>#N/A</v>
          </cell>
          <cell r="J898" t="e">
            <v>#N/A</v>
          </cell>
          <cell r="K898">
            <v>17.5</v>
          </cell>
          <cell r="L898">
            <v>14</v>
          </cell>
          <cell r="M898" t="e">
            <v>#N/A</v>
          </cell>
          <cell r="N898">
            <v>16.5</v>
          </cell>
          <cell r="O898" t="e">
            <v>#N/A</v>
          </cell>
          <cell r="P898" t="str">
            <v/>
          </cell>
          <cell r="Q898" t="str">
            <v/>
          </cell>
          <cell r="R898">
            <v>16.5</v>
          </cell>
        </row>
        <row r="899">
          <cell r="A899" t="str">
            <v/>
          </cell>
          <cell r="B899" t="str">
            <v/>
          </cell>
          <cell r="C899" t="str">
            <v>Future</v>
          </cell>
          <cell r="D899" t="e">
            <v>#N/A</v>
          </cell>
          <cell r="E899">
            <v>-4.487837837837894</v>
          </cell>
          <cell r="F899">
            <v>18.485135135135355</v>
          </cell>
          <cell r="G899">
            <v>13.890540540540583</v>
          </cell>
          <cell r="H899">
            <v>13.890540540540583</v>
          </cell>
          <cell r="I899" t="e">
            <v>#N/A</v>
          </cell>
          <cell r="J899" t="e">
            <v>#N/A</v>
          </cell>
          <cell r="K899">
            <v>17.5</v>
          </cell>
          <cell r="L899">
            <v>14</v>
          </cell>
          <cell r="M899" t="e">
            <v>#N/A</v>
          </cell>
          <cell r="N899">
            <v>16.5</v>
          </cell>
          <cell r="O899" t="e">
            <v>#N/A</v>
          </cell>
          <cell r="P899" t="str">
            <v/>
          </cell>
          <cell r="Q899" t="str">
            <v/>
          </cell>
          <cell r="R899">
            <v>16.5</v>
          </cell>
        </row>
        <row r="900">
          <cell r="A900" t="str">
            <v/>
          </cell>
          <cell r="B900" t="str">
            <v/>
          </cell>
          <cell r="C900" t="str">
            <v>Future</v>
          </cell>
          <cell r="D900" t="e">
            <v>#N/A</v>
          </cell>
          <cell r="E900">
            <v>-4.5432432432432996</v>
          </cell>
          <cell r="F900">
            <v>18.497297297297518</v>
          </cell>
          <cell r="G900">
            <v>13.889189189189231</v>
          </cell>
          <cell r="H900">
            <v>13.889189189189231</v>
          </cell>
          <cell r="I900" t="e">
            <v>#N/A</v>
          </cell>
          <cell r="J900" t="e">
            <v>#N/A</v>
          </cell>
          <cell r="K900">
            <v>17.5</v>
          </cell>
          <cell r="L900">
            <v>14</v>
          </cell>
          <cell r="M900" t="e">
            <v>#N/A</v>
          </cell>
          <cell r="N900">
            <v>16.5</v>
          </cell>
          <cell r="O900" t="e">
            <v>#N/A</v>
          </cell>
          <cell r="P900" t="str">
            <v/>
          </cell>
          <cell r="Q900" t="str">
            <v/>
          </cell>
          <cell r="R900">
            <v>16.5</v>
          </cell>
        </row>
        <row r="901">
          <cell r="A901" t="str">
            <v/>
          </cell>
          <cell r="B901" t="str">
            <v/>
          </cell>
          <cell r="C901" t="str">
            <v>Future</v>
          </cell>
          <cell r="D901" t="e">
            <v>#N/A</v>
          </cell>
          <cell r="E901">
            <v>-4.5986486486487053</v>
          </cell>
          <cell r="F901">
            <v>18.509459459459681</v>
          </cell>
          <cell r="G901">
            <v>13.88783783783788</v>
          </cell>
          <cell r="H901">
            <v>13.88783783783788</v>
          </cell>
          <cell r="I901" t="e">
            <v>#N/A</v>
          </cell>
          <cell r="J901" t="e">
            <v>#N/A</v>
          </cell>
          <cell r="K901">
            <v>17.5</v>
          </cell>
          <cell r="L901">
            <v>14</v>
          </cell>
          <cell r="M901" t="e">
            <v>#N/A</v>
          </cell>
          <cell r="N901">
            <v>16.5</v>
          </cell>
          <cell r="O901" t="e">
            <v>#N/A</v>
          </cell>
          <cell r="P901" t="str">
            <v/>
          </cell>
          <cell r="Q901" t="str">
            <v/>
          </cell>
          <cell r="R901">
            <v>16.5</v>
          </cell>
        </row>
        <row r="902">
          <cell r="A902" t="str">
            <v/>
          </cell>
          <cell r="B902" t="str">
            <v/>
          </cell>
          <cell r="C902" t="str">
            <v>Future</v>
          </cell>
          <cell r="D902" t="e">
            <v>#N/A</v>
          </cell>
          <cell r="E902">
            <v>-4.6540540540541109</v>
          </cell>
          <cell r="F902">
            <v>18.521621621621843</v>
          </cell>
          <cell r="G902">
            <v>13.886486486486529</v>
          </cell>
          <cell r="H902">
            <v>13.886486486486529</v>
          </cell>
          <cell r="I902" t="e">
            <v>#N/A</v>
          </cell>
          <cell r="J902" t="e">
            <v>#N/A</v>
          </cell>
          <cell r="K902">
            <v>17.5</v>
          </cell>
          <cell r="L902">
            <v>14</v>
          </cell>
          <cell r="M902" t="e">
            <v>#N/A</v>
          </cell>
          <cell r="N902">
            <v>16.5</v>
          </cell>
          <cell r="O902" t="e">
            <v>#N/A</v>
          </cell>
          <cell r="P902" t="str">
            <v/>
          </cell>
          <cell r="Q902" t="str">
            <v/>
          </cell>
          <cell r="R902">
            <v>16.5</v>
          </cell>
        </row>
        <row r="903">
          <cell r="A903" t="str">
            <v/>
          </cell>
          <cell r="B903" t="str">
            <v/>
          </cell>
          <cell r="C903" t="str">
            <v>Future</v>
          </cell>
          <cell r="D903" t="e">
            <v>#N/A</v>
          </cell>
          <cell r="E903">
            <v>-4.7094594594595165</v>
          </cell>
          <cell r="F903">
            <v>18.533783783784006</v>
          </cell>
          <cell r="G903">
            <v>13.885135135135178</v>
          </cell>
          <cell r="H903">
            <v>13.885135135135178</v>
          </cell>
          <cell r="I903" t="e">
            <v>#N/A</v>
          </cell>
          <cell r="J903" t="e">
            <v>#N/A</v>
          </cell>
          <cell r="K903">
            <v>17.5</v>
          </cell>
          <cell r="L903">
            <v>14</v>
          </cell>
          <cell r="M903" t="e">
            <v>#N/A</v>
          </cell>
          <cell r="N903">
            <v>16.5</v>
          </cell>
          <cell r="O903" t="e">
            <v>#N/A</v>
          </cell>
          <cell r="P903" t="str">
            <v/>
          </cell>
          <cell r="Q903" t="str">
            <v/>
          </cell>
          <cell r="R903">
            <v>16.5</v>
          </cell>
        </row>
        <row r="904">
          <cell r="A904" t="str">
            <v/>
          </cell>
          <cell r="B904" t="str">
            <v/>
          </cell>
          <cell r="C904" t="str">
            <v>Future</v>
          </cell>
          <cell r="D904" t="e">
            <v>#N/A</v>
          </cell>
          <cell r="E904">
            <v>-4.7648648648649221</v>
          </cell>
          <cell r="F904">
            <v>18.545945945946169</v>
          </cell>
          <cell r="G904">
            <v>13.883783783783826</v>
          </cell>
          <cell r="H904">
            <v>13.883783783783826</v>
          </cell>
          <cell r="I904" t="e">
            <v>#N/A</v>
          </cell>
          <cell r="J904" t="e">
            <v>#N/A</v>
          </cell>
          <cell r="K904">
            <v>17.5</v>
          </cell>
          <cell r="L904">
            <v>14</v>
          </cell>
          <cell r="M904" t="e">
            <v>#N/A</v>
          </cell>
          <cell r="N904">
            <v>16.5</v>
          </cell>
          <cell r="O904" t="e">
            <v>#N/A</v>
          </cell>
          <cell r="P904" t="str">
            <v/>
          </cell>
          <cell r="Q904" t="str">
            <v/>
          </cell>
          <cell r="R904">
            <v>16.5</v>
          </cell>
        </row>
        <row r="905">
          <cell r="A905" t="str">
            <v/>
          </cell>
          <cell r="B905" t="str">
            <v/>
          </cell>
          <cell r="C905" t="str">
            <v>Future</v>
          </cell>
          <cell r="D905" t="e">
            <v>#N/A</v>
          </cell>
          <cell r="E905">
            <v>-4.8202702702703277</v>
          </cell>
          <cell r="F905">
            <v>18.558108108108332</v>
          </cell>
          <cell r="G905">
            <v>13.882432432432475</v>
          </cell>
          <cell r="H905">
            <v>13.882432432432475</v>
          </cell>
          <cell r="I905" t="e">
            <v>#N/A</v>
          </cell>
          <cell r="J905" t="e">
            <v>#N/A</v>
          </cell>
          <cell r="K905">
            <v>17.5</v>
          </cell>
          <cell r="L905">
            <v>14</v>
          </cell>
          <cell r="M905" t="e">
            <v>#N/A</v>
          </cell>
          <cell r="N905">
            <v>16.5</v>
          </cell>
          <cell r="O905" t="e">
            <v>#N/A</v>
          </cell>
          <cell r="P905" t="str">
            <v/>
          </cell>
          <cell r="Q905" t="str">
            <v/>
          </cell>
          <cell r="R905">
            <v>16.5</v>
          </cell>
        </row>
        <row r="906">
          <cell r="A906" t="str">
            <v/>
          </cell>
          <cell r="B906" t="str">
            <v/>
          </cell>
          <cell r="C906" t="str">
            <v>Future</v>
          </cell>
          <cell r="D906" t="e">
            <v>#N/A</v>
          </cell>
          <cell r="E906">
            <v>-4.8756756756757333</v>
          </cell>
          <cell r="F906">
            <v>18.570270270270495</v>
          </cell>
          <cell r="G906">
            <v>13.881081081081124</v>
          </cell>
          <cell r="H906">
            <v>13.881081081081124</v>
          </cell>
          <cell r="I906" t="e">
            <v>#N/A</v>
          </cell>
          <cell r="J906" t="e">
            <v>#N/A</v>
          </cell>
          <cell r="K906">
            <v>17.5</v>
          </cell>
          <cell r="L906">
            <v>14</v>
          </cell>
          <cell r="M906" t="e">
            <v>#N/A</v>
          </cell>
          <cell r="N906">
            <v>16.5</v>
          </cell>
          <cell r="O906" t="e">
            <v>#N/A</v>
          </cell>
          <cell r="P906" t="str">
            <v/>
          </cell>
          <cell r="Q906" t="str">
            <v/>
          </cell>
          <cell r="R906">
            <v>16.5</v>
          </cell>
        </row>
        <row r="907">
          <cell r="A907" t="str">
            <v/>
          </cell>
          <cell r="B907" t="str">
            <v/>
          </cell>
          <cell r="C907" t="str">
            <v>Future</v>
          </cell>
          <cell r="D907" t="e">
            <v>#N/A</v>
          </cell>
          <cell r="E907">
            <v>-4.931081081081139</v>
          </cell>
          <cell r="F907">
            <v>18.582432432432658</v>
          </cell>
          <cell r="G907">
            <v>13.879729729729773</v>
          </cell>
          <cell r="H907">
            <v>13.879729729729773</v>
          </cell>
          <cell r="I907" t="e">
            <v>#N/A</v>
          </cell>
          <cell r="J907" t="e">
            <v>#N/A</v>
          </cell>
          <cell r="K907">
            <v>17.5</v>
          </cell>
          <cell r="L907">
            <v>14</v>
          </cell>
          <cell r="M907" t="e">
            <v>#N/A</v>
          </cell>
          <cell r="N907">
            <v>16.5</v>
          </cell>
          <cell r="O907" t="e">
            <v>#N/A</v>
          </cell>
          <cell r="P907" t="str">
            <v/>
          </cell>
          <cell r="Q907" t="str">
            <v/>
          </cell>
          <cell r="R907">
            <v>16.5</v>
          </cell>
        </row>
        <row r="908">
          <cell r="A908" t="str">
            <v/>
          </cell>
          <cell r="B908" t="str">
            <v/>
          </cell>
          <cell r="C908" t="str">
            <v>Future</v>
          </cell>
          <cell r="D908" t="e">
            <v>#N/A</v>
          </cell>
          <cell r="E908">
            <v>-4.9864864864865446</v>
          </cell>
          <cell r="F908">
            <v>18.59459459459482</v>
          </cell>
          <cell r="G908">
            <v>13.878378378378422</v>
          </cell>
          <cell r="H908">
            <v>13.878378378378422</v>
          </cell>
          <cell r="I908" t="e">
            <v>#N/A</v>
          </cell>
          <cell r="J908" t="e">
            <v>#N/A</v>
          </cell>
          <cell r="K908">
            <v>17.5</v>
          </cell>
          <cell r="L908">
            <v>14</v>
          </cell>
          <cell r="M908" t="e">
            <v>#N/A</v>
          </cell>
          <cell r="N908">
            <v>16.5</v>
          </cell>
          <cell r="O908" t="e">
            <v>#N/A</v>
          </cell>
          <cell r="P908" t="str">
            <v/>
          </cell>
          <cell r="Q908" t="str">
            <v/>
          </cell>
          <cell r="R908">
            <v>16.5</v>
          </cell>
        </row>
        <row r="909">
          <cell r="A909" t="str">
            <v/>
          </cell>
          <cell r="B909" t="str">
            <v/>
          </cell>
          <cell r="C909" t="str">
            <v>Future</v>
          </cell>
          <cell r="D909" t="e">
            <v>#N/A</v>
          </cell>
          <cell r="E909">
            <v>-5.0418918918919502</v>
          </cell>
          <cell r="F909">
            <v>18.606756756756983</v>
          </cell>
          <cell r="G909">
            <v>13.87702702702707</v>
          </cell>
          <cell r="H909">
            <v>13.87702702702707</v>
          </cell>
          <cell r="I909" t="e">
            <v>#N/A</v>
          </cell>
          <cell r="J909" t="e">
            <v>#N/A</v>
          </cell>
          <cell r="K909">
            <v>17.5</v>
          </cell>
          <cell r="L909">
            <v>14</v>
          </cell>
          <cell r="M909" t="e">
            <v>#N/A</v>
          </cell>
          <cell r="N909">
            <v>16.5</v>
          </cell>
          <cell r="O909" t="e">
            <v>#N/A</v>
          </cell>
          <cell r="P909" t="str">
            <v/>
          </cell>
          <cell r="Q909" t="str">
            <v/>
          </cell>
          <cell r="R909">
            <v>16.5</v>
          </cell>
        </row>
        <row r="910">
          <cell r="A910" t="str">
            <v/>
          </cell>
          <cell r="B910" t="str">
            <v/>
          </cell>
          <cell r="C910" t="str">
            <v>Future</v>
          </cell>
          <cell r="D910" t="e">
            <v>#N/A</v>
          </cell>
          <cell r="E910">
            <v>-5.0972972972973558</v>
          </cell>
          <cell r="F910">
            <v>18.618918918919146</v>
          </cell>
          <cell r="G910">
            <v>13.875675675675719</v>
          </cell>
          <cell r="H910">
            <v>13.875675675675719</v>
          </cell>
          <cell r="I910" t="e">
            <v>#N/A</v>
          </cell>
          <cell r="J910" t="e">
            <v>#N/A</v>
          </cell>
          <cell r="K910">
            <v>17.5</v>
          </cell>
          <cell r="L910">
            <v>14</v>
          </cell>
          <cell r="M910" t="e">
            <v>#N/A</v>
          </cell>
          <cell r="N910">
            <v>16.5</v>
          </cell>
          <cell r="O910" t="e">
            <v>#N/A</v>
          </cell>
          <cell r="P910" t="str">
            <v/>
          </cell>
          <cell r="Q910" t="str">
            <v/>
          </cell>
          <cell r="R910">
            <v>16.5</v>
          </cell>
        </row>
        <row r="911">
          <cell r="A911" t="str">
            <v/>
          </cell>
          <cell r="B911" t="str">
            <v/>
          </cell>
          <cell r="C911" t="str">
            <v>Future</v>
          </cell>
          <cell r="D911" t="e">
            <v>#N/A</v>
          </cell>
          <cell r="E911">
            <v>-5.1527027027027614</v>
          </cell>
          <cell r="F911">
            <v>18.631081081081309</v>
          </cell>
          <cell r="G911">
            <v>13.874324324324368</v>
          </cell>
          <cell r="H911">
            <v>13.874324324324368</v>
          </cell>
          <cell r="I911" t="e">
            <v>#N/A</v>
          </cell>
          <cell r="J911" t="e">
            <v>#N/A</v>
          </cell>
          <cell r="K911">
            <v>17.5</v>
          </cell>
          <cell r="L911">
            <v>14</v>
          </cell>
          <cell r="M911" t="e">
            <v>#N/A</v>
          </cell>
          <cell r="N911">
            <v>16.5</v>
          </cell>
          <cell r="O911" t="e">
            <v>#N/A</v>
          </cell>
          <cell r="P911" t="str">
            <v/>
          </cell>
          <cell r="Q911" t="str">
            <v/>
          </cell>
          <cell r="R911">
            <v>16.5</v>
          </cell>
        </row>
        <row r="912">
          <cell r="A912" t="str">
            <v/>
          </cell>
          <cell r="B912" t="str">
            <v/>
          </cell>
          <cell r="C912" t="str">
            <v>Future</v>
          </cell>
          <cell r="D912" t="e">
            <v>#N/A</v>
          </cell>
          <cell r="E912">
            <v>-5.208108108108167</v>
          </cell>
          <cell r="F912">
            <v>18.643243243243472</v>
          </cell>
          <cell r="G912">
            <v>13.872972972973017</v>
          </cell>
          <cell r="H912">
            <v>13.872972972973017</v>
          </cell>
          <cell r="I912" t="e">
            <v>#N/A</v>
          </cell>
          <cell r="J912" t="e">
            <v>#N/A</v>
          </cell>
          <cell r="K912">
            <v>17.5</v>
          </cell>
          <cell r="L912">
            <v>14</v>
          </cell>
          <cell r="M912" t="e">
            <v>#N/A</v>
          </cell>
          <cell r="N912">
            <v>16.5</v>
          </cell>
          <cell r="O912" t="e">
            <v>#N/A</v>
          </cell>
          <cell r="P912" t="str">
            <v/>
          </cell>
          <cell r="Q912" t="str">
            <v/>
          </cell>
          <cell r="R912">
            <v>16.5</v>
          </cell>
        </row>
        <row r="913">
          <cell r="A913" t="str">
            <v/>
          </cell>
          <cell r="B913" t="str">
            <v/>
          </cell>
          <cell r="C913" t="str">
            <v>Future</v>
          </cell>
          <cell r="D913" t="e">
            <v>#N/A</v>
          </cell>
          <cell r="E913">
            <v>-5.2635135135135727</v>
          </cell>
          <cell r="F913">
            <v>18.655405405405634</v>
          </cell>
          <cell r="G913">
            <v>13.871621621621665</v>
          </cell>
          <cell r="H913">
            <v>13.871621621621665</v>
          </cell>
          <cell r="I913" t="e">
            <v>#N/A</v>
          </cell>
          <cell r="J913" t="e">
            <v>#N/A</v>
          </cell>
          <cell r="K913">
            <v>17.5</v>
          </cell>
          <cell r="L913">
            <v>14</v>
          </cell>
          <cell r="M913" t="e">
            <v>#N/A</v>
          </cell>
          <cell r="N913">
            <v>16.5</v>
          </cell>
          <cell r="O913" t="e">
            <v>#N/A</v>
          </cell>
          <cell r="P913" t="str">
            <v/>
          </cell>
          <cell r="Q913" t="str">
            <v/>
          </cell>
          <cell r="R913">
            <v>16.5</v>
          </cell>
        </row>
        <row r="914">
          <cell r="A914" t="str">
            <v/>
          </cell>
          <cell r="B914" t="str">
            <v/>
          </cell>
          <cell r="C914" t="str">
            <v>Future</v>
          </cell>
          <cell r="D914" t="e">
            <v>#N/A</v>
          </cell>
          <cell r="E914">
            <v>-5.3189189189189783</v>
          </cell>
          <cell r="F914">
            <v>18.667567567567797</v>
          </cell>
          <cell r="G914">
            <v>13.870270270270314</v>
          </cell>
          <cell r="H914">
            <v>13.870270270270314</v>
          </cell>
          <cell r="I914" t="e">
            <v>#N/A</v>
          </cell>
          <cell r="J914" t="e">
            <v>#N/A</v>
          </cell>
          <cell r="K914">
            <v>17.5</v>
          </cell>
          <cell r="L914">
            <v>14</v>
          </cell>
          <cell r="M914" t="e">
            <v>#N/A</v>
          </cell>
          <cell r="N914">
            <v>16.5</v>
          </cell>
          <cell r="O914" t="e">
            <v>#N/A</v>
          </cell>
          <cell r="P914" t="str">
            <v/>
          </cell>
          <cell r="Q914" t="str">
            <v/>
          </cell>
          <cell r="R914">
            <v>16.5</v>
          </cell>
        </row>
        <row r="915">
          <cell r="A915" t="str">
            <v/>
          </cell>
          <cell r="B915" t="str">
            <v/>
          </cell>
          <cell r="C915" t="str">
            <v>Future</v>
          </cell>
          <cell r="D915" t="e">
            <v>#N/A</v>
          </cell>
          <cell r="E915">
            <v>-5.3743243243243839</v>
          </cell>
          <cell r="F915">
            <v>18.67972972972996</v>
          </cell>
          <cell r="G915">
            <v>13.868918918918963</v>
          </cell>
          <cell r="H915">
            <v>13.868918918918963</v>
          </cell>
          <cell r="I915" t="e">
            <v>#N/A</v>
          </cell>
          <cell r="J915" t="e">
            <v>#N/A</v>
          </cell>
          <cell r="K915">
            <v>17.5</v>
          </cell>
          <cell r="L915">
            <v>14</v>
          </cell>
          <cell r="M915" t="e">
            <v>#N/A</v>
          </cell>
          <cell r="N915">
            <v>16.5</v>
          </cell>
          <cell r="O915" t="e">
            <v>#N/A</v>
          </cell>
          <cell r="P915" t="str">
            <v/>
          </cell>
          <cell r="Q915" t="str">
            <v/>
          </cell>
          <cell r="R915">
            <v>16.5</v>
          </cell>
        </row>
        <row r="916">
          <cell r="A916" t="str">
            <v/>
          </cell>
          <cell r="B916" t="str">
            <v/>
          </cell>
          <cell r="C916" t="str">
            <v>Future</v>
          </cell>
          <cell r="D916" t="e">
            <v>#N/A</v>
          </cell>
          <cell r="E916">
            <v>-5.4297297297297895</v>
          </cell>
          <cell r="F916">
            <v>18.691891891892123</v>
          </cell>
          <cell r="G916">
            <v>13.867567567567612</v>
          </cell>
          <cell r="H916">
            <v>13.867567567567612</v>
          </cell>
          <cell r="I916" t="e">
            <v>#N/A</v>
          </cell>
          <cell r="J916" t="e">
            <v>#N/A</v>
          </cell>
          <cell r="K916">
            <v>17.5</v>
          </cell>
          <cell r="L916">
            <v>14</v>
          </cell>
          <cell r="M916" t="e">
            <v>#N/A</v>
          </cell>
          <cell r="N916">
            <v>16.5</v>
          </cell>
          <cell r="O916" t="e">
            <v>#N/A</v>
          </cell>
          <cell r="P916" t="str">
            <v/>
          </cell>
          <cell r="Q916" t="str">
            <v/>
          </cell>
          <cell r="R916">
            <v>16.5</v>
          </cell>
        </row>
        <row r="917">
          <cell r="A917" t="str">
            <v/>
          </cell>
          <cell r="B917" t="str">
            <v/>
          </cell>
          <cell r="C917" t="str">
            <v>Future</v>
          </cell>
          <cell r="D917" t="e">
            <v>#N/A</v>
          </cell>
          <cell r="E917">
            <v>-5.4851351351351951</v>
          </cell>
          <cell r="F917">
            <v>18.704054054054286</v>
          </cell>
          <cell r="G917">
            <v>13.866216216216261</v>
          </cell>
          <cell r="H917">
            <v>13.866216216216261</v>
          </cell>
          <cell r="I917" t="e">
            <v>#N/A</v>
          </cell>
          <cell r="J917" t="e">
            <v>#N/A</v>
          </cell>
          <cell r="K917">
            <v>17.5</v>
          </cell>
          <cell r="L917">
            <v>14</v>
          </cell>
          <cell r="M917" t="e">
            <v>#N/A</v>
          </cell>
          <cell r="N917">
            <v>16.5</v>
          </cell>
          <cell r="O917" t="e">
            <v>#N/A</v>
          </cell>
          <cell r="P917" t="str">
            <v/>
          </cell>
          <cell r="Q917" t="str">
            <v/>
          </cell>
          <cell r="R917">
            <v>16.5</v>
          </cell>
        </row>
        <row r="918">
          <cell r="A918" t="str">
            <v/>
          </cell>
          <cell r="B918" t="str">
            <v/>
          </cell>
          <cell r="C918" t="str">
            <v>Future</v>
          </cell>
          <cell r="D918" t="e">
            <v>#N/A</v>
          </cell>
          <cell r="E918">
            <v>-5.5405405405406007</v>
          </cell>
          <cell r="F918">
            <v>18.716216216216448</v>
          </cell>
          <cell r="G918">
            <v>13.864864864864909</v>
          </cell>
          <cell r="H918">
            <v>13.864864864864909</v>
          </cell>
          <cell r="I918" t="e">
            <v>#N/A</v>
          </cell>
          <cell r="J918" t="e">
            <v>#N/A</v>
          </cell>
          <cell r="K918">
            <v>17.5</v>
          </cell>
          <cell r="L918">
            <v>14</v>
          </cell>
          <cell r="M918" t="e">
            <v>#N/A</v>
          </cell>
          <cell r="N918">
            <v>16.5</v>
          </cell>
          <cell r="O918" t="e">
            <v>#N/A</v>
          </cell>
          <cell r="P918" t="str">
            <v/>
          </cell>
          <cell r="Q918" t="str">
            <v/>
          </cell>
          <cell r="R918">
            <v>16.5</v>
          </cell>
        </row>
        <row r="919">
          <cell r="A919" t="str">
            <v/>
          </cell>
          <cell r="B919" t="str">
            <v/>
          </cell>
          <cell r="C919" t="str">
            <v>Future</v>
          </cell>
          <cell r="D919" t="e">
            <v>#N/A</v>
          </cell>
          <cell r="E919">
            <v>-5.5959459459460064</v>
          </cell>
          <cell r="F919">
            <v>18.728378378378611</v>
          </cell>
          <cell r="G919">
            <v>13.863513513513558</v>
          </cell>
          <cell r="H919">
            <v>13.863513513513558</v>
          </cell>
          <cell r="I919" t="e">
            <v>#N/A</v>
          </cell>
          <cell r="J919" t="e">
            <v>#N/A</v>
          </cell>
          <cell r="K919">
            <v>17.5</v>
          </cell>
          <cell r="L919">
            <v>14</v>
          </cell>
          <cell r="M919" t="e">
            <v>#N/A</v>
          </cell>
          <cell r="N919">
            <v>16.5</v>
          </cell>
          <cell r="O919" t="e">
            <v>#N/A</v>
          </cell>
          <cell r="P919" t="str">
            <v/>
          </cell>
          <cell r="Q919" t="str">
            <v/>
          </cell>
          <cell r="R919">
            <v>16.5</v>
          </cell>
        </row>
        <row r="920">
          <cell r="A920" t="str">
            <v/>
          </cell>
          <cell r="B920" t="str">
            <v/>
          </cell>
          <cell r="C920" t="str">
            <v>Future</v>
          </cell>
          <cell r="D920" t="e">
            <v>#N/A</v>
          </cell>
          <cell r="E920">
            <v>-5.651351351351412</v>
          </cell>
          <cell r="F920">
            <v>18.740540540540774</v>
          </cell>
          <cell r="G920">
            <v>13.862162162162207</v>
          </cell>
          <cell r="H920">
            <v>13.862162162162207</v>
          </cell>
          <cell r="I920" t="e">
            <v>#N/A</v>
          </cell>
          <cell r="J920" t="e">
            <v>#N/A</v>
          </cell>
          <cell r="K920">
            <v>17.5</v>
          </cell>
          <cell r="L920">
            <v>14</v>
          </cell>
          <cell r="M920" t="e">
            <v>#N/A</v>
          </cell>
          <cell r="N920">
            <v>16.5</v>
          </cell>
          <cell r="O920" t="e">
            <v>#N/A</v>
          </cell>
          <cell r="P920" t="str">
            <v/>
          </cell>
          <cell r="Q920" t="str">
            <v/>
          </cell>
          <cell r="R920">
            <v>16.5</v>
          </cell>
        </row>
        <row r="921">
          <cell r="A921" t="str">
            <v/>
          </cell>
          <cell r="B921" t="str">
            <v/>
          </cell>
          <cell r="C921" t="str">
            <v>Future</v>
          </cell>
          <cell r="D921" t="e">
            <v>#N/A</v>
          </cell>
          <cell r="E921">
            <v>-5.7067567567568176</v>
          </cell>
          <cell r="F921">
            <v>18.752702702702937</v>
          </cell>
          <cell r="G921">
            <v>13.860810810810856</v>
          </cell>
          <cell r="H921">
            <v>13.860810810810856</v>
          </cell>
          <cell r="I921" t="e">
            <v>#N/A</v>
          </cell>
          <cell r="J921" t="e">
            <v>#N/A</v>
          </cell>
          <cell r="K921">
            <v>17.5</v>
          </cell>
          <cell r="L921">
            <v>14</v>
          </cell>
          <cell r="M921" t="e">
            <v>#N/A</v>
          </cell>
          <cell r="N921">
            <v>16.5</v>
          </cell>
          <cell r="O921" t="e">
            <v>#N/A</v>
          </cell>
          <cell r="P921" t="str">
            <v/>
          </cell>
          <cell r="Q921" t="str">
            <v/>
          </cell>
          <cell r="R921">
            <v>16.5</v>
          </cell>
        </row>
        <row r="922">
          <cell r="A922" t="str">
            <v/>
          </cell>
          <cell r="B922" t="str">
            <v/>
          </cell>
          <cell r="C922" t="str">
            <v>Future</v>
          </cell>
          <cell r="D922" t="e">
            <v>#N/A</v>
          </cell>
          <cell r="E922">
            <v>-5.7621621621622232</v>
          </cell>
          <cell r="F922">
            <v>18.7648648648651</v>
          </cell>
          <cell r="G922">
            <v>13.859459459459504</v>
          </cell>
          <cell r="H922">
            <v>13.859459459459504</v>
          </cell>
          <cell r="I922" t="e">
            <v>#N/A</v>
          </cell>
          <cell r="J922" t="e">
            <v>#N/A</v>
          </cell>
          <cell r="K922">
            <v>17.5</v>
          </cell>
          <cell r="L922">
            <v>14</v>
          </cell>
          <cell r="M922" t="e">
            <v>#N/A</v>
          </cell>
          <cell r="N922">
            <v>16.5</v>
          </cell>
          <cell r="O922" t="e">
            <v>#N/A</v>
          </cell>
          <cell r="P922" t="str">
            <v/>
          </cell>
          <cell r="Q922" t="str">
            <v/>
          </cell>
          <cell r="R922">
            <v>16.5</v>
          </cell>
        </row>
        <row r="923">
          <cell r="A923" t="str">
            <v/>
          </cell>
          <cell r="B923" t="str">
            <v/>
          </cell>
          <cell r="C923" t="str">
            <v>Future</v>
          </cell>
          <cell r="D923" t="e">
            <v>#N/A</v>
          </cell>
          <cell r="E923">
            <v>-5.8175675675676288</v>
          </cell>
          <cell r="F923">
            <v>18.777027027027263</v>
          </cell>
          <cell r="G923">
            <v>13.858108108108153</v>
          </cell>
          <cell r="H923">
            <v>13.858108108108153</v>
          </cell>
          <cell r="I923" t="e">
            <v>#N/A</v>
          </cell>
          <cell r="J923" t="e">
            <v>#N/A</v>
          </cell>
          <cell r="K923">
            <v>17.5</v>
          </cell>
          <cell r="L923">
            <v>14</v>
          </cell>
          <cell r="M923" t="e">
            <v>#N/A</v>
          </cell>
          <cell r="N923">
            <v>16.5</v>
          </cell>
          <cell r="O923" t="e">
            <v>#N/A</v>
          </cell>
          <cell r="P923" t="str">
            <v/>
          </cell>
          <cell r="Q923" t="str">
            <v/>
          </cell>
          <cell r="R923">
            <v>16.5</v>
          </cell>
        </row>
        <row r="924">
          <cell r="A924" t="str">
            <v/>
          </cell>
          <cell r="B924" t="str">
            <v/>
          </cell>
          <cell r="C924" t="str">
            <v>Future</v>
          </cell>
          <cell r="D924" t="e">
            <v>#N/A</v>
          </cell>
          <cell r="E924">
            <v>-5.8729729729730344</v>
          </cell>
          <cell r="F924">
            <v>18.789189189189425</v>
          </cell>
          <cell r="G924">
            <v>13.856756756756802</v>
          </cell>
          <cell r="H924">
            <v>13.856756756756802</v>
          </cell>
          <cell r="I924" t="e">
            <v>#N/A</v>
          </cell>
          <cell r="J924" t="e">
            <v>#N/A</v>
          </cell>
          <cell r="K924">
            <v>17.5</v>
          </cell>
          <cell r="L924">
            <v>14</v>
          </cell>
          <cell r="M924" t="e">
            <v>#N/A</v>
          </cell>
          <cell r="N924">
            <v>16.5</v>
          </cell>
          <cell r="O924" t="e">
            <v>#N/A</v>
          </cell>
          <cell r="P924" t="str">
            <v/>
          </cell>
          <cell r="Q924" t="str">
            <v/>
          </cell>
          <cell r="R924">
            <v>16.5</v>
          </cell>
        </row>
        <row r="925">
          <cell r="A925" t="str">
            <v/>
          </cell>
          <cell r="B925" t="str">
            <v/>
          </cell>
          <cell r="C925" t="str">
            <v>Future</v>
          </cell>
          <cell r="D925" t="e">
            <v>#N/A</v>
          </cell>
          <cell r="E925">
            <v>-5.9283783783784401</v>
          </cell>
          <cell r="F925">
            <v>18.801351351351588</v>
          </cell>
          <cell r="G925">
            <v>13.855405405405451</v>
          </cell>
          <cell r="H925">
            <v>13.855405405405451</v>
          </cell>
          <cell r="I925" t="e">
            <v>#N/A</v>
          </cell>
          <cell r="J925" t="e">
            <v>#N/A</v>
          </cell>
          <cell r="K925">
            <v>17.5</v>
          </cell>
          <cell r="L925">
            <v>14</v>
          </cell>
          <cell r="M925" t="e">
            <v>#N/A</v>
          </cell>
          <cell r="N925">
            <v>16.5</v>
          </cell>
          <cell r="O925" t="e">
            <v>#N/A</v>
          </cell>
          <cell r="P925" t="str">
            <v/>
          </cell>
          <cell r="Q925" t="str">
            <v/>
          </cell>
          <cell r="R925">
            <v>16.5</v>
          </cell>
        </row>
        <row r="926">
          <cell r="A926" t="str">
            <v/>
          </cell>
          <cell r="B926" t="str">
            <v/>
          </cell>
          <cell r="C926" t="str">
            <v>Future</v>
          </cell>
          <cell r="D926" t="e">
            <v>#N/A</v>
          </cell>
          <cell r="E926">
            <v>-5.9837837837838457</v>
          </cell>
          <cell r="F926">
            <v>18.813513513513751</v>
          </cell>
          <cell r="G926">
            <v>13.8540540540541</v>
          </cell>
          <cell r="H926">
            <v>13.8540540540541</v>
          </cell>
          <cell r="I926" t="e">
            <v>#N/A</v>
          </cell>
          <cell r="J926" t="e">
            <v>#N/A</v>
          </cell>
          <cell r="K926">
            <v>17.5</v>
          </cell>
          <cell r="L926">
            <v>14</v>
          </cell>
          <cell r="M926" t="e">
            <v>#N/A</v>
          </cell>
          <cell r="N926">
            <v>16.5</v>
          </cell>
          <cell r="O926" t="e">
            <v>#N/A</v>
          </cell>
          <cell r="P926" t="str">
            <v/>
          </cell>
          <cell r="Q926" t="str">
            <v/>
          </cell>
          <cell r="R926">
            <v>16.5</v>
          </cell>
        </row>
        <row r="927">
          <cell r="A927" t="str">
            <v/>
          </cell>
          <cell r="B927" t="str">
            <v/>
          </cell>
          <cell r="C927" t="str">
            <v>Future</v>
          </cell>
          <cell r="D927" t="e">
            <v>#N/A</v>
          </cell>
          <cell r="E927">
            <v>-6.0391891891892513</v>
          </cell>
          <cell r="F927">
            <v>18.825675675675914</v>
          </cell>
          <cell r="G927">
            <v>13.852702702702748</v>
          </cell>
          <cell r="H927">
            <v>13.852702702702748</v>
          </cell>
          <cell r="I927" t="e">
            <v>#N/A</v>
          </cell>
          <cell r="J927" t="e">
            <v>#N/A</v>
          </cell>
          <cell r="K927">
            <v>17.5</v>
          </cell>
          <cell r="L927">
            <v>14</v>
          </cell>
          <cell r="M927" t="e">
            <v>#N/A</v>
          </cell>
          <cell r="N927">
            <v>16.5</v>
          </cell>
          <cell r="O927" t="e">
            <v>#N/A</v>
          </cell>
          <cell r="P927" t="str">
            <v/>
          </cell>
          <cell r="Q927" t="str">
            <v/>
          </cell>
          <cell r="R927">
            <v>16.5</v>
          </cell>
        </row>
        <row r="928">
          <cell r="A928" t="str">
            <v/>
          </cell>
          <cell r="B928" t="str">
            <v/>
          </cell>
          <cell r="C928" t="str">
            <v>Future</v>
          </cell>
          <cell r="D928" t="e">
            <v>#N/A</v>
          </cell>
          <cell r="E928">
            <v>-6.0945945945946569</v>
          </cell>
          <cell r="F928">
            <v>18.837837837838077</v>
          </cell>
          <cell r="G928">
            <v>13.851351351351397</v>
          </cell>
          <cell r="H928">
            <v>13.851351351351397</v>
          </cell>
          <cell r="I928" t="e">
            <v>#N/A</v>
          </cell>
          <cell r="J928" t="e">
            <v>#N/A</v>
          </cell>
          <cell r="K928">
            <v>17.5</v>
          </cell>
          <cell r="L928">
            <v>14</v>
          </cell>
          <cell r="M928" t="e">
            <v>#N/A</v>
          </cell>
          <cell r="N928">
            <v>16.5</v>
          </cell>
          <cell r="O928" t="e">
            <v>#N/A</v>
          </cell>
          <cell r="P928" t="str">
            <v/>
          </cell>
          <cell r="Q928" t="str">
            <v/>
          </cell>
          <cell r="R928">
            <v>16.5</v>
          </cell>
        </row>
        <row r="929">
          <cell r="A929" t="str">
            <v/>
          </cell>
          <cell r="B929" t="str">
            <v/>
          </cell>
          <cell r="C929" t="str">
            <v>Future</v>
          </cell>
          <cell r="D929" t="e">
            <v>#N/A</v>
          </cell>
          <cell r="E929">
            <v>-6.1500000000000625</v>
          </cell>
          <cell r="F929">
            <v>18.850000000000239</v>
          </cell>
          <cell r="G929">
            <v>13.850000000000046</v>
          </cell>
          <cell r="H929">
            <v>13.850000000000046</v>
          </cell>
          <cell r="I929" t="e">
            <v>#N/A</v>
          </cell>
          <cell r="J929" t="e">
            <v>#N/A</v>
          </cell>
          <cell r="K929">
            <v>17.5</v>
          </cell>
          <cell r="L929">
            <v>14</v>
          </cell>
          <cell r="M929" t="e">
            <v>#N/A</v>
          </cell>
          <cell r="N929">
            <v>16.5</v>
          </cell>
          <cell r="O929" t="e">
            <v>#N/A</v>
          </cell>
          <cell r="P929" t="str">
            <v/>
          </cell>
          <cell r="Q929" t="str">
            <v/>
          </cell>
          <cell r="R929">
            <v>16.5</v>
          </cell>
        </row>
        <row r="930">
          <cell r="A930" t="str">
            <v/>
          </cell>
          <cell r="B930" t="str">
            <v/>
          </cell>
          <cell r="C930" t="str">
            <v>Future</v>
          </cell>
          <cell r="D930" t="e">
            <v>#N/A</v>
          </cell>
          <cell r="E930">
            <v>-6.2054054054054681</v>
          </cell>
          <cell r="F930">
            <v>18.862162162162402</v>
          </cell>
          <cell r="G930">
            <v>13.848648648648695</v>
          </cell>
          <cell r="H930">
            <v>13.848648648648695</v>
          </cell>
          <cell r="I930" t="e">
            <v>#N/A</v>
          </cell>
          <cell r="J930" t="e">
            <v>#N/A</v>
          </cell>
          <cell r="K930">
            <v>17.5</v>
          </cell>
          <cell r="L930">
            <v>14</v>
          </cell>
          <cell r="M930" t="e">
            <v>#N/A</v>
          </cell>
          <cell r="N930">
            <v>16.5</v>
          </cell>
          <cell r="O930" t="e">
            <v>#N/A</v>
          </cell>
          <cell r="P930" t="str">
            <v/>
          </cell>
          <cell r="Q930" t="str">
            <v/>
          </cell>
          <cell r="R930">
            <v>16.5</v>
          </cell>
        </row>
        <row r="931">
          <cell r="A931" t="str">
            <v/>
          </cell>
          <cell r="B931" t="str">
            <v/>
          </cell>
          <cell r="C931" t="str">
            <v>Future</v>
          </cell>
          <cell r="D931" t="e">
            <v>#N/A</v>
          </cell>
          <cell r="E931">
            <v>-6.2608108108108738</v>
          </cell>
          <cell r="F931">
            <v>18.874324324324565</v>
          </cell>
          <cell r="G931">
            <v>13.847297297297343</v>
          </cell>
          <cell r="H931">
            <v>13.847297297297343</v>
          </cell>
          <cell r="I931" t="e">
            <v>#N/A</v>
          </cell>
          <cell r="J931" t="e">
            <v>#N/A</v>
          </cell>
          <cell r="K931">
            <v>17.5</v>
          </cell>
          <cell r="L931">
            <v>14</v>
          </cell>
          <cell r="M931" t="e">
            <v>#N/A</v>
          </cell>
          <cell r="N931">
            <v>16.5</v>
          </cell>
          <cell r="O931" t="e">
            <v>#N/A</v>
          </cell>
          <cell r="P931" t="str">
            <v/>
          </cell>
          <cell r="Q931" t="str">
            <v/>
          </cell>
          <cell r="R931">
            <v>16.5</v>
          </cell>
        </row>
        <row r="932">
          <cell r="A932" t="str">
            <v/>
          </cell>
          <cell r="B932" t="str">
            <v/>
          </cell>
          <cell r="C932" t="str">
            <v>Future</v>
          </cell>
          <cell r="D932" t="e">
            <v>#N/A</v>
          </cell>
          <cell r="E932">
            <v>-6.3162162162162794</v>
          </cell>
          <cell r="F932">
            <v>18.886486486486728</v>
          </cell>
          <cell r="G932">
            <v>13.845945945945992</v>
          </cell>
          <cell r="H932">
            <v>13.845945945945992</v>
          </cell>
          <cell r="I932" t="e">
            <v>#N/A</v>
          </cell>
          <cell r="J932" t="e">
            <v>#N/A</v>
          </cell>
          <cell r="K932">
            <v>17.5</v>
          </cell>
          <cell r="L932">
            <v>14</v>
          </cell>
          <cell r="M932" t="e">
            <v>#N/A</v>
          </cell>
          <cell r="N932">
            <v>16.5</v>
          </cell>
          <cell r="O932" t="e">
            <v>#N/A</v>
          </cell>
          <cell r="P932" t="str">
            <v/>
          </cell>
          <cell r="Q932" t="str">
            <v/>
          </cell>
          <cell r="R932">
            <v>16.5</v>
          </cell>
        </row>
        <row r="933">
          <cell r="A933" t="str">
            <v/>
          </cell>
          <cell r="B933" t="str">
            <v/>
          </cell>
          <cell r="C933" t="str">
            <v>Future</v>
          </cell>
          <cell r="D933" t="e">
            <v>#N/A</v>
          </cell>
          <cell r="E933">
            <v>-6.371621621621685</v>
          </cell>
          <cell r="F933">
            <v>18.898648648648891</v>
          </cell>
          <cell r="G933">
            <v>13.844594594594641</v>
          </cell>
          <cell r="H933">
            <v>13.844594594594641</v>
          </cell>
          <cell r="I933" t="e">
            <v>#N/A</v>
          </cell>
          <cell r="J933" t="e">
            <v>#N/A</v>
          </cell>
          <cell r="K933">
            <v>17.5</v>
          </cell>
          <cell r="L933">
            <v>14</v>
          </cell>
          <cell r="M933" t="e">
            <v>#N/A</v>
          </cell>
          <cell r="N933">
            <v>16.5</v>
          </cell>
          <cell r="O933" t="e">
            <v>#N/A</v>
          </cell>
          <cell r="P933" t="str">
            <v/>
          </cell>
          <cell r="Q933" t="str">
            <v/>
          </cell>
          <cell r="R933">
            <v>16.5</v>
          </cell>
        </row>
        <row r="934">
          <cell r="A934" t="str">
            <v/>
          </cell>
          <cell r="B934" t="str">
            <v/>
          </cell>
          <cell r="C934" t="str">
            <v>Future</v>
          </cell>
          <cell r="D934" t="e">
            <v>#N/A</v>
          </cell>
          <cell r="E934">
            <v>-6.4270270270270906</v>
          </cell>
          <cell r="F934">
            <v>18.910810810811054</v>
          </cell>
          <cell r="G934">
            <v>13.84324324324329</v>
          </cell>
          <cell r="H934">
            <v>13.84324324324329</v>
          </cell>
          <cell r="I934" t="e">
            <v>#N/A</v>
          </cell>
          <cell r="J934" t="e">
            <v>#N/A</v>
          </cell>
          <cell r="K934">
            <v>17.5</v>
          </cell>
          <cell r="L934">
            <v>14</v>
          </cell>
          <cell r="M934" t="e">
            <v>#N/A</v>
          </cell>
          <cell r="N934">
            <v>16.5</v>
          </cell>
          <cell r="O934" t="e">
            <v>#N/A</v>
          </cell>
          <cell r="P934" t="str">
            <v/>
          </cell>
          <cell r="Q934" t="str">
            <v/>
          </cell>
          <cell r="R934">
            <v>16.5</v>
          </cell>
        </row>
        <row r="935">
          <cell r="A935" t="str">
            <v/>
          </cell>
          <cell r="B935" t="str">
            <v/>
          </cell>
          <cell r="C935" t="str">
            <v>Future</v>
          </cell>
          <cell r="D935" t="e">
            <v>#N/A</v>
          </cell>
          <cell r="E935">
            <v>-6.4824324324324962</v>
          </cell>
          <cell r="F935">
            <v>18.922972972973216</v>
          </cell>
          <cell r="G935">
            <v>13.841891891891938</v>
          </cell>
          <cell r="H935">
            <v>13.841891891891938</v>
          </cell>
          <cell r="I935" t="e">
            <v>#N/A</v>
          </cell>
          <cell r="J935" t="e">
            <v>#N/A</v>
          </cell>
          <cell r="K935">
            <v>17.5</v>
          </cell>
          <cell r="L935">
            <v>14</v>
          </cell>
          <cell r="M935" t="e">
            <v>#N/A</v>
          </cell>
          <cell r="N935">
            <v>16.5</v>
          </cell>
          <cell r="O935" t="e">
            <v>#N/A</v>
          </cell>
          <cell r="P935" t="str">
            <v/>
          </cell>
          <cell r="Q935" t="str">
            <v/>
          </cell>
          <cell r="R935">
            <v>16.5</v>
          </cell>
        </row>
        <row r="936">
          <cell r="A936" t="str">
            <v/>
          </cell>
          <cell r="B936" t="str">
            <v/>
          </cell>
          <cell r="C936" t="str">
            <v>Future</v>
          </cell>
          <cell r="D936" t="e">
            <v>#N/A</v>
          </cell>
          <cell r="E936">
            <v>-6.5378378378379018</v>
          </cell>
          <cell r="F936">
            <v>18.935135135135379</v>
          </cell>
          <cell r="G936">
            <v>13.840540540540587</v>
          </cell>
          <cell r="H936">
            <v>13.840540540540587</v>
          </cell>
          <cell r="I936" t="e">
            <v>#N/A</v>
          </cell>
          <cell r="J936" t="e">
            <v>#N/A</v>
          </cell>
          <cell r="K936">
            <v>17.5</v>
          </cell>
          <cell r="L936">
            <v>14</v>
          </cell>
          <cell r="M936" t="e">
            <v>#N/A</v>
          </cell>
          <cell r="N936">
            <v>16.5</v>
          </cell>
          <cell r="O936" t="e">
            <v>#N/A</v>
          </cell>
          <cell r="P936" t="str">
            <v/>
          </cell>
          <cell r="Q936" t="str">
            <v/>
          </cell>
          <cell r="R936">
            <v>16.5</v>
          </cell>
        </row>
        <row r="937">
          <cell r="A937" t="str">
            <v/>
          </cell>
          <cell r="B937" t="str">
            <v/>
          </cell>
          <cell r="C937" t="str">
            <v>Future</v>
          </cell>
          <cell r="D937" t="e">
            <v>#N/A</v>
          </cell>
          <cell r="E937">
            <v>-6.5932432432433075</v>
          </cell>
          <cell r="F937">
            <v>18.947297297297542</v>
          </cell>
          <cell r="G937">
            <v>13.839189189189236</v>
          </cell>
          <cell r="H937">
            <v>13.839189189189236</v>
          </cell>
          <cell r="I937" t="e">
            <v>#N/A</v>
          </cell>
          <cell r="J937" t="e">
            <v>#N/A</v>
          </cell>
          <cell r="K937">
            <v>17.5</v>
          </cell>
          <cell r="L937">
            <v>14</v>
          </cell>
          <cell r="M937" t="e">
            <v>#N/A</v>
          </cell>
          <cell r="N937">
            <v>16.5</v>
          </cell>
          <cell r="O937" t="e">
            <v>#N/A</v>
          </cell>
          <cell r="P937" t="str">
            <v/>
          </cell>
          <cell r="Q937" t="str">
            <v/>
          </cell>
          <cell r="R937">
            <v>16.5</v>
          </cell>
        </row>
        <row r="938">
          <cell r="A938" t="str">
            <v/>
          </cell>
          <cell r="B938" t="str">
            <v/>
          </cell>
          <cell r="C938" t="str">
            <v>Future</v>
          </cell>
          <cell r="D938" t="e">
            <v>#N/A</v>
          </cell>
          <cell r="E938">
            <v>-6.6486486486487131</v>
          </cell>
          <cell r="F938">
            <v>18.959459459459705</v>
          </cell>
          <cell r="G938">
            <v>13.837837837837885</v>
          </cell>
          <cell r="H938">
            <v>13.837837837837885</v>
          </cell>
          <cell r="I938" t="e">
            <v>#N/A</v>
          </cell>
          <cell r="J938" t="e">
            <v>#N/A</v>
          </cell>
          <cell r="K938">
            <v>17.5</v>
          </cell>
          <cell r="L938">
            <v>14</v>
          </cell>
          <cell r="M938" t="e">
            <v>#N/A</v>
          </cell>
          <cell r="N938">
            <v>16.5</v>
          </cell>
          <cell r="O938" t="e">
            <v>#N/A</v>
          </cell>
          <cell r="P938" t="str">
            <v/>
          </cell>
          <cell r="Q938" t="str">
            <v/>
          </cell>
          <cell r="R938">
            <v>16.5</v>
          </cell>
        </row>
        <row r="939">
          <cell r="A939" t="str">
            <v/>
          </cell>
          <cell r="B939" t="str">
            <v/>
          </cell>
          <cell r="C939" t="str">
            <v>Future</v>
          </cell>
          <cell r="D939" t="e">
            <v>#N/A</v>
          </cell>
          <cell r="E939">
            <v>-6.7040540540541187</v>
          </cell>
          <cell r="F939">
            <v>18.971621621621868</v>
          </cell>
          <cell r="G939">
            <v>13.836486486486534</v>
          </cell>
          <cell r="H939">
            <v>13.836486486486534</v>
          </cell>
          <cell r="I939" t="e">
            <v>#N/A</v>
          </cell>
          <cell r="J939" t="e">
            <v>#N/A</v>
          </cell>
          <cell r="K939">
            <v>17.5</v>
          </cell>
          <cell r="L939">
            <v>14</v>
          </cell>
          <cell r="M939" t="e">
            <v>#N/A</v>
          </cell>
          <cell r="N939">
            <v>16.5</v>
          </cell>
          <cell r="O939" t="e">
            <v>#N/A</v>
          </cell>
          <cell r="P939" t="str">
            <v/>
          </cell>
          <cell r="Q939" t="str">
            <v/>
          </cell>
          <cell r="R939">
            <v>16.5</v>
          </cell>
        </row>
        <row r="940">
          <cell r="A940" t="str">
            <v/>
          </cell>
          <cell r="B940" t="str">
            <v/>
          </cell>
          <cell r="C940" t="str">
            <v>Future</v>
          </cell>
          <cell r="D940" t="e">
            <v>#N/A</v>
          </cell>
          <cell r="E940">
            <v>-6.7594594594595243</v>
          </cell>
          <cell r="F940">
            <v>18.98378378378403</v>
          </cell>
          <cell r="G940">
            <v>13.835135135135182</v>
          </cell>
          <cell r="H940">
            <v>13.835135135135182</v>
          </cell>
          <cell r="I940" t="e">
            <v>#N/A</v>
          </cell>
          <cell r="J940" t="e">
            <v>#N/A</v>
          </cell>
          <cell r="K940">
            <v>17.5</v>
          </cell>
          <cell r="L940">
            <v>14</v>
          </cell>
          <cell r="M940" t="e">
            <v>#N/A</v>
          </cell>
          <cell r="N940">
            <v>16.5</v>
          </cell>
          <cell r="O940" t="e">
            <v>#N/A</v>
          </cell>
          <cell r="P940" t="str">
            <v/>
          </cell>
          <cell r="Q940" t="str">
            <v/>
          </cell>
          <cell r="R940">
            <v>16.5</v>
          </cell>
        </row>
        <row r="941">
          <cell r="A941" t="str">
            <v/>
          </cell>
          <cell r="B941" t="str">
            <v/>
          </cell>
          <cell r="C941" t="str">
            <v>Future</v>
          </cell>
          <cell r="D941" t="e">
            <v>#N/A</v>
          </cell>
          <cell r="E941">
            <v>-6.8148648648649299</v>
          </cell>
          <cell r="F941">
            <v>18.995945945946193</v>
          </cell>
          <cell r="G941">
            <v>13.833783783783831</v>
          </cell>
          <cell r="H941">
            <v>13.833783783783831</v>
          </cell>
          <cell r="I941" t="e">
            <v>#N/A</v>
          </cell>
          <cell r="J941" t="e">
            <v>#N/A</v>
          </cell>
          <cell r="K941">
            <v>17.5</v>
          </cell>
          <cell r="L941">
            <v>14</v>
          </cell>
          <cell r="M941" t="e">
            <v>#N/A</v>
          </cell>
          <cell r="N941">
            <v>16.5</v>
          </cell>
          <cell r="O941" t="e">
            <v>#N/A</v>
          </cell>
          <cell r="P941" t="str">
            <v/>
          </cell>
          <cell r="Q941" t="str">
            <v/>
          </cell>
          <cell r="R941">
            <v>16.5</v>
          </cell>
        </row>
        <row r="942">
          <cell r="A942" t="str">
            <v/>
          </cell>
          <cell r="B942" t="str">
            <v/>
          </cell>
          <cell r="C942" t="str">
            <v>Future</v>
          </cell>
          <cell r="D942" t="e">
            <v>#N/A</v>
          </cell>
          <cell r="E942">
            <v>-6.8702702702703355</v>
          </cell>
          <cell r="F942">
            <v>19.008108108108356</v>
          </cell>
          <cell r="G942">
            <v>13.83243243243248</v>
          </cell>
          <cell r="H942">
            <v>13.83243243243248</v>
          </cell>
          <cell r="I942" t="e">
            <v>#N/A</v>
          </cell>
          <cell r="J942" t="e">
            <v>#N/A</v>
          </cell>
          <cell r="K942">
            <v>17.5</v>
          </cell>
          <cell r="L942">
            <v>14</v>
          </cell>
          <cell r="M942" t="e">
            <v>#N/A</v>
          </cell>
          <cell r="N942">
            <v>16.5</v>
          </cell>
          <cell r="O942" t="e">
            <v>#N/A</v>
          </cell>
          <cell r="P942" t="str">
            <v/>
          </cell>
          <cell r="Q942" t="str">
            <v/>
          </cell>
          <cell r="R942">
            <v>16.5</v>
          </cell>
        </row>
        <row r="943">
          <cell r="A943" t="str">
            <v/>
          </cell>
          <cell r="B943" t="str">
            <v/>
          </cell>
          <cell r="C943" t="str">
            <v>Future</v>
          </cell>
          <cell r="D943" t="e">
            <v>#N/A</v>
          </cell>
          <cell r="E943">
            <v>-6.9256756756757412</v>
          </cell>
          <cell r="F943">
            <v>19.020270270270519</v>
          </cell>
          <cell r="G943">
            <v>13.831081081081129</v>
          </cell>
          <cell r="H943">
            <v>13.831081081081129</v>
          </cell>
          <cell r="I943" t="e">
            <v>#N/A</v>
          </cell>
          <cell r="J943" t="e">
            <v>#N/A</v>
          </cell>
          <cell r="K943">
            <v>17.5</v>
          </cell>
          <cell r="L943">
            <v>14</v>
          </cell>
          <cell r="M943" t="e">
            <v>#N/A</v>
          </cell>
          <cell r="N943">
            <v>16.5</v>
          </cell>
          <cell r="O943" t="e">
            <v>#N/A</v>
          </cell>
          <cell r="P943" t="str">
            <v/>
          </cell>
          <cell r="Q943" t="str">
            <v/>
          </cell>
          <cell r="R943">
            <v>16.5</v>
          </cell>
        </row>
        <row r="944">
          <cell r="A944" t="str">
            <v/>
          </cell>
          <cell r="B944" t="str">
            <v/>
          </cell>
          <cell r="C944" t="str">
            <v>Future</v>
          </cell>
          <cell r="D944" t="e">
            <v>#N/A</v>
          </cell>
          <cell r="E944">
            <v>-6.9810810810811468</v>
          </cell>
          <cell r="F944">
            <v>19.032432432432682</v>
          </cell>
          <cell r="G944">
            <v>13.829729729729777</v>
          </cell>
          <cell r="H944">
            <v>13.829729729729777</v>
          </cell>
          <cell r="I944" t="e">
            <v>#N/A</v>
          </cell>
          <cell r="J944" t="e">
            <v>#N/A</v>
          </cell>
          <cell r="K944">
            <v>17.5</v>
          </cell>
          <cell r="L944">
            <v>14</v>
          </cell>
          <cell r="M944" t="e">
            <v>#N/A</v>
          </cell>
          <cell r="N944">
            <v>16.5</v>
          </cell>
          <cell r="O944" t="e">
            <v>#N/A</v>
          </cell>
          <cell r="P944" t="str">
            <v/>
          </cell>
          <cell r="Q944" t="str">
            <v/>
          </cell>
          <cell r="R944">
            <v>16.5</v>
          </cell>
        </row>
        <row r="945">
          <cell r="A945" t="str">
            <v/>
          </cell>
          <cell r="B945" t="str">
            <v/>
          </cell>
          <cell r="C945" t="str">
            <v>Future</v>
          </cell>
          <cell r="D945" t="e">
            <v>#N/A</v>
          </cell>
          <cell r="E945">
            <v>-7.0364864864865524</v>
          </cell>
          <cell r="F945">
            <v>19.044594594594844</v>
          </cell>
          <cell r="G945">
            <v>13.828378378378426</v>
          </cell>
          <cell r="H945">
            <v>13.828378378378426</v>
          </cell>
          <cell r="I945" t="e">
            <v>#N/A</v>
          </cell>
          <cell r="J945" t="e">
            <v>#N/A</v>
          </cell>
          <cell r="K945">
            <v>17.5</v>
          </cell>
          <cell r="L945">
            <v>14</v>
          </cell>
          <cell r="M945" t="e">
            <v>#N/A</v>
          </cell>
          <cell r="N945">
            <v>16.5</v>
          </cell>
          <cell r="O945" t="e">
            <v>#N/A</v>
          </cell>
          <cell r="P945" t="str">
            <v/>
          </cell>
          <cell r="Q945" t="str">
            <v/>
          </cell>
          <cell r="R945">
            <v>16.5</v>
          </cell>
        </row>
        <row r="946">
          <cell r="A946" t="str">
            <v/>
          </cell>
          <cell r="B946" t="str">
            <v/>
          </cell>
          <cell r="C946" t="str">
            <v>Future</v>
          </cell>
          <cell r="D946" t="e">
            <v>#N/A</v>
          </cell>
          <cell r="E946">
            <v>-7.091891891891958</v>
          </cell>
          <cell r="F946">
            <v>19.056756756757007</v>
          </cell>
          <cell r="G946">
            <v>13.827027027027075</v>
          </cell>
          <cell r="H946">
            <v>13.827027027027075</v>
          </cell>
          <cell r="I946" t="e">
            <v>#N/A</v>
          </cell>
          <cell r="J946" t="e">
            <v>#N/A</v>
          </cell>
          <cell r="K946">
            <v>17.5</v>
          </cell>
          <cell r="L946">
            <v>14</v>
          </cell>
          <cell r="M946" t="e">
            <v>#N/A</v>
          </cell>
          <cell r="N946">
            <v>16.5</v>
          </cell>
          <cell r="O946" t="e">
            <v>#N/A</v>
          </cell>
          <cell r="P946" t="str">
            <v/>
          </cell>
          <cell r="Q946" t="str">
            <v/>
          </cell>
          <cell r="R946">
            <v>16.5</v>
          </cell>
        </row>
        <row r="947">
          <cell r="A947" t="str">
            <v/>
          </cell>
          <cell r="B947" t="str">
            <v/>
          </cell>
          <cell r="C947" t="str">
            <v>Future</v>
          </cell>
          <cell r="D947" t="e">
            <v>#N/A</v>
          </cell>
          <cell r="E947">
            <v>-7.1472972972973636</v>
          </cell>
          <cell r="F947">
            <v>19.06891891891917</v>
          </cell>
          <cell r="G947">
            <v>13.825675675675724</v>
          </cell>
          <cell r="H947">
            <v>13.825675675675724</v>
          </cell>
          <cell r="I947" t="e">
            <v>#N/A</v>
          </cell>
          <cell r="J947" t="e">
            <v>#N/A</v>
          </cell>
          <cell r="K947">
            <v>17.5</v>
          </cell>
          <cell r="L947">
            <v>14</v>
          </cell>
          <cell r="M947" t="e">
            <v>#N/A</v>
          </cell>
          <cell r="N947">
            <v>16.5</v>
          </cell>
          <cell r="O947" t="e">
            <v>#N/A</v>
          </cell>
          <cell r="P947" t="str">
            <v/>
          </cell>
          <cell r="Q947" t="str">
            <v/>
          </cell>
          <cell r="R947">
            <v>16.5</v>
          </cell>
        </row>
        <row r="948">
          <cell r="A948" t="str">
            <v/>
          </cell>
          <cell r="B948" t="str">
            <v/>
          </cell>
          <cell r="C948" t="str">
            <v>Future</v>
          </cell>
          <cell r="D948" t="e">
            <v>#N/A</v>
          </cell>
          <cell r="E948">
            <v>-7.2027027027027692</v>
          </cell>
          <cell r="F948">
            <v>19.081081081081333</v>
          </cell>
          <cell r="G948">
            <v>13.824324324324373</v>
          </cell>
          <cell r="H948">
            <v>13.824324324324373</v>
          </cell>
          <cell r="I948" t="e">
            <v>#N/A</v>
          </cell>
          <cell r="J948" t="e">
            <v>#N/A</v>
          </cell>
          <cell r="K948">
            <v>17.5</v>
          </cell>
          <cell r="L948">
            <v>14</v>
          </cell>
          <cell r="M948" t="e">
            <v>#N/A</v>
          </cell>
          <cell r="N948">
            <v>16.5</v>
          </cell>
          <cell r="O948" t="e">
            <v>#N/A</v>
          </cell>
          <cell r="P948" t="str">
            <v/>
          </cell>
          <cell r="Q948" t="str">
            <v/>
          </cell>
          <cell r="R948">
            <v>16.5</v>
          </cell>
        </row>
        <row r="949">
          <cell r="A949" t="str">
            <v/>
          </cell>
          <cell r="B949" t="str">
            <v/>
          </cell>
          <cell r="C949" t="str">
            <v>Future</v>
          </cell>
          <cell r="D949" t="e">
            <v>#N/A</v>
          </cell>
          <cell r="E949">
            <v>-7.2581081081081749</v>
          </cell>
          <cell r="F949">
            <v>19.093243243243496</v>
          </cell>
          <cell r="G949">
            <v>13.822972972973021</v>
          </cell>
          <cell r="H949">
            <v>13.822972972973021</v>
          </cell>
          <cell r="I949" t="e">
            <v>#N/A</v>
          </cell>
          <cell r="J949" t="e">
            <v>#N/A</v>
          </cell>
          <cell r="K949">
            <v>17.5</v>
          </cell>
          <cell r="L949">
            <v>14</v>
          </cell>
          <cell r="M949" t="e">
            <v>#N/A</v>
          </cell>
          <cell r="N949">
            <v>16.5</v>
          </cell>
          <cell r="O949" t="e">
            <v>#N/A</v>
          </cell>
          <cell r="P949" t="str">
            <v/>
          </cell>
          <cell r="Q949" t="str">
            <v/>
          </cell>
          <cell r="R949">
            <v>16.5</v>
          </cell>
        </row>
        <row r="950">
          <cell r="A950" t="str">
            <v/>
          </cell>
          <cell r="B950" t="str">
            <v/>
          </cell>
          <cell r="C950" t="str">
            <v>Future</v>
          </cell>
          <cell r="D950" t="e">
            <v>#N/A</v>
          </cell>
          <cell r="E950">
            <v>-7.3135135135135805</v>
          </cell>
          <cell r="F950">
            <v>19.105405405405659</v>
          </cell>
          <cell r="G950">
            <v>13.82162162162167</v>
          </cell>
          <cell r="H950">
            <v>13.82162162162167</v>
          </cell>
          <cell r="I950" t="e">
            <v>#N/A</v>
          </cell>
          <cell r="J950" t="e">
            <v>#N/A</v>
          </cell>
          <cell r="K950">
            <v>17.5</v>
          </cell>
          <cell r="L950">
            <v>14</v>
          </cell>
          <cell r="M950" t="e">
            <v>#N/A</v>
          </cell>
          <cell r="N950">
            <v>16.5</v>
          </cell>
          <cell r="O950" t="e">
            <v>#N/A</v>
          </cell>
          <cell r="P950" t="str">
            <v/>
          </cell>
          <cell r="Q950" t="str">
            <v/>
          </cell>
          <cell r="R950">
            <v>16.5</v>
          </cell>
        </row>
        <row r="951">
          <cell r="A951" t="str">
            <v/>
          </cell>
          <cell r="B951" t="str">
            <v/>
          </cell>
          <cell r="C951" t="str">
            <v>Future</v>
          </cell>
          <cell r="D951" t="e">
            <v>#N/A</v>
          </cell>
          <cell r="E951">
            <v>-7.3689189189189861</v>
          </cell>
          <cell r="F951">
            <v>19.117567567567821</v>
          </cell>
          <cell r="G951">
            <v>13.820270270270319</v>
          </cell>
          <cell r="H951">
            <v>13.820270270270319</v>
          </cell>
          <cell r="I951" t="e">
            <v>#N/A</v>
          </cell>
          <cell r="J951" t="e">
            <v>#N/A</v>
          </cell>
          <cell r="K951">
            <v>17.5</v>
          </cell>
          <cell r="L951">
            <v>14</v>
          </cell>
          <cell r="M951" t="e">
            <v>#N/A</v>
          </cell>
          <cell r="N951">
            <v>16.5</v>
          </cell>
          <cell r="O951" t="e">
            <v>#N/A</v>
          </cell>
          <cell r="P951" t="str">
            <v/>
          </cell>
          <cell r="Q951" t="str">
            <v/>
          </cell>
          <cell r="R951">
            <v>16.5</v>
          </cell>
        </row>
        <row r="952">
          <cell r="A952" t="str">
            <v/>
          </cell>
          <cell r="B952" t="str">
            <v/>
          </cell>
          <cell r="C952" t="str">
            <v>Future</v>
          </cell>
          <cell r="D952" t="e">
            <v>#N/A</v>
          </cell>
          <cell r="E952">
            <v>-7.4243243243243917</v>
          </cell>
          <cell r="F952">
            <v>19.129729729729984</v>
          </cell>
          <cell r="G952">
            <v>13.818918918918968</v>
          </cell>
          <cell r="H952">
            <v>13.818918918918968</v>
          </cell>
          <cell r="I952" t="e">
            <v>#N/A</v>
          </cell>
          <cell r="J952" t="e">
            <v>#N/A</v>
          </cell>
          <cell r="K952">
            <v>17.5</v>
          </cell>
          <cell r="L952">
            <v>14</v>
          </cell>
          <cell r="M952" t="e">
            <v>#N/A</v>
          </cell>
          <cell r="N952">
            <v>16.5</v>
          </cell>
          <cell r="O952" t="e">
            <v>#N/A</v>
          </cell>
          <cell r="P952" t="str">
            <v/>
          </cell>
          <cell r="Q952" t="str">
            <v/>
          </cell>
          <cell r="R952">
            <v>16.5</v>
          </cell>
        </row>
        <row r="953">
          <cell r="A953" t="str">
            <v/>
          </cell>
          <cell r="B953" t="str">
            <v/>
          </cell>
          <cell r="C953" t="str">
            <v>Future</v>
          </cell>
          <cell r="D953" t="e">
            <v>#N/A</v>
          </cell>
          <cell r="E953">
            <v>-7.4797297297297973</v>
          </cell>
          <cell r="F953">
            <v>19.141891891892147</v>
          </cell>
          <cell r="G953">
            <v>13.817567567567616</v>
          </cell>
          <cell r="H953">
            <v>13.817567567567616</v>
          </cell>
          <cell r="I953" t="e">
            <v>#N/A</v>
          </cell>
          <cell r="J953" t="e">
            <v>#N/A</v>
          </cell>
          <cell r="K953">
            <v>17.5</v>
          </cell>
          <cell r="L953">
            <v>14</v>
          </cell>
          <cell r="M953" t="e">
            <v>#N/A</v>
          </cell>
          <cell r="N953">
            <v>16.5</v>
          </cell>
          <cell r="O953" t="e">
            <v>#N/A</v>
          </cell>
          <cell r="P953" t="str">
            <v/>
          </cell>
          <cell r="Q953" t="str">
            <v/>
          </cell>
          <cell r="R953">
            <v>16.5</v>
          </cell>
        </row>
        <row r="954">
          <cell r="A954" t="str">
            <v/>
          </cell>
          <cell r="B954" t="str">
            <v/>
          </cell>
          <cell r="C954" t="str">
            <v>Future</v>
          </cell>
          <cell r="D954" t="e">
            <v>#N/A</v>
          </cell>
          <cell r="E954">
            <v>-7.5351351351352029</v>
          </cell>
          <cell r="F954">
            <v>19.15405405405431</v>
          </cell>
          <cell r="G954">
            <v>13.816216216216265</v>
          </cell>
          <cell r="H954">
            <v>13.816216216216265</v>
          </cell>
          <cell r="I954" t="e">
            <v>#N/A</v>
          </cell>
          <cell r="J954" t="e">
            <v>#N/A</v>
          </cell>
          <cell r="K954">
            <v>17.5</v>
          </cell>
          <cell r="L954">
            <v>14</v>
          </cell>
          <cell r="M954" t="e">
            <v>#N/A</v>
          </cell>
          <cell r="N954">
            <v>16.5</v>
          </cell>
          <cell r="O954" t="e">
            <v>#N/A</v>
          </cell>
          <cell r="P954" t="str">
            <v/>
          </cell>
          <cell r="Q954" t="str">
            <v/>
          </cell>
          <cell r="R954">
            <v>16.5</v>
          </cell>
        </row>
        <row r="955">
          <cell r="A955" t="str">
            <v/>
          </cell>
          <cell r="B955" t="str">
            <v/>
          </cell>
          <cell r="C955" t="str">
            <v>Future</v>
          </cell>
          <cell r="D955" t="e">
            <v>#N/A</v>
          </cell>
          <cell r="E955">
            <v>-7.5905405405406086</v>
          </cell>
          <cell r="F955">
            <v>19.166216216216473</v>
          </cell>
          <cell r="G955">
            <v>13.814864864864914</v>
          </cell>
          <cell r="H955">
            <v>13.814864864864914</v>
          </cell>
          <cell r="I955" t="e">
            <v>#N/A</v>
          </cell>
          <cell r="J955" t="e">
            <v>#N/A</v>
          </cell>
          <cell r="K955">
            <v>17.5</v>
          </cell>
          <cell r="L955">
            <v>14</v>
          </cell>
          <cell r="M955" t="e">
            <v>#N/A</v>
          </cell>
          <cell r="N955">
            <v>16.5</v>
          </cell>
          <cell r="O955" t="e">
            <v>#N/A</v>
          </cell>
          <cell r="P955" t="str">
            <v/>
          </cell>
          <cell r="Q955" t="str">
            <v/>
          </cell>
          <cell r="R955">
            <v>16.5</v>
          </cell>
        </row>
        <row r="956">
          <cell r="A956" t="str">
            <v/>
          </cell>
          <cell r="B956" t="str">
            <v/>
          </cell>
          <cell r="C956" t="str">
            <v>Future</v>
          </cell>
          <cell r="D956" t="e">
            <v>#N/A</v>
          </cell>
          <cell r="E956">
            <v>-7.6459459459460142</v>
          </cell>
          <cell r="F956">
            <v>19.178378378378635</v>
          </cell>
          <cell r="G956">
            <v>13.813513513513563</v>
          </cell>
          <cell r="H956">
            <v>13.813513513513563</v>
          </cell>
          <cell r="I956" t="e">
            <v>#N/A</v>
          </cell>
          <cell r="J956" t="e">
            <v>#N/A</v>
          </cell>
          <cell r="K956">
            <v>17.5</v>
          </cell>
          <cell r="L956">
            <v>14</v>
          </cell>
          <cell r="M956" t="e">
            <v>#N/A</v>
          </cell>
          <cell r="N956">
            <v>16.5</v>
          </cell>
          <cell r="O956" t="e">
            <v>#N/A</v>
          </cell>
          <cell r="P956" t="str">
            <v/>
          </cell>
          <cell r="Q956" t="str">
            <v/>
          </cell>
          <cell r="R956">
            <v>16.5</v>
          </cell>
        </row>
        <row r="957">
          <cell r="A957" t="str">
            <v/>
          </cell>
          <cell r="B957" t="str">
            <v/>
          </cell>
          <cell r="C957" t="str">
            <v>Future</v>
          </cell>
          <cell r="D957" t="e">
            <v>#N/A</v>
          </cell>
          <cell r="E957">
            <v>-7.7013513513514198</v>
          </cell>
          <cell r="F957">
            <v>19.190540540540798</v>
          </cell>
          <cell r="G957">
            <v>13.812162162162211</v>
          </cell>
          <cell r="H957">
            <v>13.812162162162211</v>
          </cell>
          <cell r="I957" t="e">
            <v>#N/A</v>
          </cell>
          <cell r="J957" t="e">
            <v>#N/A</v>
          </cell>
          <cell r="K957">
            <v>17.5</v>
          </cell>
          <cell r="L957">
            <v>14</v>
          </cell>
          <cell r="M957" t="e">
            <v>#N/A</v>
          </cell>
          <cell r="N957">
            <v>16.5</v>
          </cell>
          <cell r="O957" t="e">
            <v>#N/A</v>
          </cell>
          <cell r="P957" t="str">
            <v/>
          </cell>
          <cell r="Q957" t="str">
            <v/>
          </cell>
          <cell r="R957">
            <v>16.5</v>
          </cell>
        </row>
        <row r="958">
          <cell r="A958" t="str">
            <v/>
          </cell>
          <cell r="B958" t="str">
            <v/>
          </cell>
          <cell r="C958" t="str">
            <v>Future</v>
          </cell>
          <cell r="D958" t="e">
            <v>#N/A</v>
          </cell>
          <cell r="E958">
            <v>-7.7567567567568254</v>
          </cell>
          <cell r="F958">
            <v>19.202702702702961</v>
          </cell>
          <cell r="G958">
            <v>13.81081081081086</v>
          </cell>
          <cell r="H958">
            <v>13.81081081081086</v>
          </cell>
          <cell r="I958" t="e">
            <v>#N/A</v>
          </cell>
          <cell r="J958" t="e">
            <v>#N/A</v>
          </cell>
          <cell r="K958">
            <v>17.5</v>
          </cell>
          <cell r="L958">
            <v>14</v>
          </cell>
          <cell r="M958" t="e">
            <v>#N/A</v>
          </cell>
          <cell r="N958">
            <v>16.5</v>
          </cell>
          <cell r="O958" t="e">
            <v>#N/A</v>
          </cell>
          <cell r="P958" t="str">
            <v/>
          </cell>
          <cell r="Q958" t="str">
            <v/>
          </cell>
          <cell r="R958">
            <v>16.5</v>
          </cell>
        </row>
        <row r="959">
          <cell r="A959" t="str">
            <v/>
          </cell>
          <cell r="B959" t="str">
            <v/>
          </cell>
          <cell r="C959" t="str">
            <v>Future</v>
          </cell>
          <cell r="D959" t="e">
            <v>#N/A</v>
          </cell>
          <cell r="E959">
            <v>-7.812162162162231</v>
          </cell>
          <cell r="F959">
            <v>19.214864864865124</v>
          </cell>
          <cell r="G959">
            <v>13.809459459459509</v>
          </cell>
          <cell r="H959">
            <v>13.809459459459509</v>
          </cell>
          <cell r="I959" t="e">
            <v>#N/A</v>
          </cell>
          <cell r="J959" t="e">
            <v>#N/A</v>
          </cell>
          <cell r="K959">
            <v>17.5</v>
          </cell>
          <cell r="L959">
            <v>14</v>
          </cell>
          <cell r="M959" t="e">
            <v>#N/A</v>
          </cell>
          <cell r="N959">
            <v>16.5</v>
          </cell>
          <cell r="O959" t="e">
            <v>#N/A</v>
          </cell>
          <cell r="P959" t="str">
            <v/>
          </cell>
          <cell r="Q959" t="str">
            <v/>
          </cell>
          <cell r="R959">
            <v>16.5</v>
          </cell>
        </row>
        <row r="960">
          <cell r="A960" t="str">
            <v/>
          </cell>
          <cell r="B960" t="str">
            <v/>
          </cell>
          <cell r="C960" t="str">
            <v>Future</v>
          </cell>
          <cell r="D960" t="e">
            <v>#N/A</v>
          </cell>
          <cell r="E960">
            <v>-7.8675675675676366</v>
          </cell>
          <cell r="F960">
            <v>19.227027027027287</v>
          </cell>
          <cell r="G960">
            <v>13.808108108108158</v>
          </cell>
          <cell r="H960">
            <v>13.808108108108158</v>
          </cell>
          <cell r="I960" t="e">
            <v>#N/A</v>
          </cell>
          <cell r="J960" t="e">
            <v>#N/A</v>
          </cell>
          <cell r="K960">
            <v>17.5</v>
          </cell>
          <cell r="L960">
            <v>14</v>
          </cell>
          <cell r="M960" t="e">
            <v>#N/A</v>
          </cell>
          <cell r="N960">
            <v>16.5</v>
          </cell>
          <cell r="O960" t="e">
            <v>#N/A</v>
          </cell>
          <cell r="P960" t="str">
            <v/>
          </cell>
          <cell r="Q960" t="str">
            <v/>
          </cell>
          <cell r="R960">
            <v>16.5</v>
          </cell>
        </row>
        <row r="961">
          <cell r="A961" t="str">
            <v/>
          </cell>
          <cell r="B961" t="str">
            <v/>
          </cell>
          <cell r="C961" t="str">
            <v>Future</v>
          </cell>
          <cell r="D961" t="e">
            <v>#N/A</v>
          </cell>
          <cell r="E961">
            <v>-7.9229729729730423</v>
          </cell>
          <cell r="F961">
            <v>19.23918918918945</v>
          </cell>
          <cell r="G961">
            <v>13.806756756756807</v>
          </cell>
          <cell r="H961">
            <v>13.806756756756807</v>
          </cell>
          <cell r="I961" t="e">
            <v>#N/A</v>
          </cell>
          <cell r="J961" t="e">
            <v>#N/A</v>
          </cell>
          <cell r="K961">
            <v>17.5</v>
          </cell>
          <cell r="L961">
            <v>14</v>
          </cell>
          <cell r="M961" t="e">
            <v>#N/A</v>
          </cell>
          <cell r="N961">
            <v>16.5</v>
          </cell>
          <cell r="O961" t="e">
            <v>#N/A</v>
          </cell>
          <cell r="P961" t="str">
            <v/>
          </cell>
          <cell r="Q961" t="str">
            <v/>
          </cell>
          <cell r="R961">
            <v>16.5</v>
          </cell>
        </row>
        <row r="962">
          <cell r="A962" t="str">
            <v/>
          </cell>
          <cell r="B962" t="str">
            <v/>
          </cell>
          <cell r="C962" t="str">
            <v>Future</v>
          </cell>
          <cell r="D962" t="e">
            <v>#N/A</v>
          </cell>
          <cell r="E962">
            <v>-7.9783783783784479</v>
          </cell>
          <cell r="F962">
            <v>19.251351351351612</v>
          </cell>
          <cell r="G962">
            <v>13.805405405405455</v>
          </cell>
          <cell r="H962">
            <v>13.805405405405455</v>
          </cell>
          <cell r="I962" t="e">
            <v>#N/A</v>
          </cell>
          <cell r="J962" t="e">
            <v>#N/A</v>
          </cell>
          <cell r="K962">
            <v>17.5</v>
          </cell>
          <cell r="L962">
            <v>14</v>
          </cell>
          <cell r="M962" t="e">
            <v>#N/A</v>
          </cell>
          <cell r="N962">
            <v>16.5</v>
          </cell>
          <cell r="O962" t="e">
            <v>#N/A</v>
          </cell>
          <cell r="P962" t="str">
            <v/>
          </cell>
          <cell r="Q962" t="str">
            <v/>
          </cell>
          <cell r="R962">
            <v>16.5</v>
          </cell>
        </row>
        <row r="963">
          <cell r="A963" t="str">
            <v/>
          </cell>
          <cell r="B963" t="str">
            <v/>
          </cell>
          <cell r="C963" t="str">
            <v>Future</v>
          </cell>
          <cell r="D963" t="e">
            <v>#N/A</v>
          </cell>
          <cell r="E963">
            <v>-8.0337837837838535</v>
          </cell>
          <cell r="F963">
            <v>19.263513513513775</v>
          </cell>
          <cell r="G963">
            <v>13.804054054054104</v>
          </cell>
          <cell r="H963">
            <v>13.804054054054104</v>
          </cell>
          <cell r="I963" t="e">
            <v>#N/A</v>
          </cell>
          <cell r="J963" t="e">
            <v>#N/A</v>
          </cell>
          <cell r="K963">
            <v>17.5</v>
          </cell>
          <cell r="L963">
            <v>14</v>
          </cell>
          <cell r="M963" t="e">
            <v>#N/A</v>
          </cell>
          <cell r="N963">
            <v>16.5</v>
          </cell>
          <cell r="O963" t="e">
            <v>#N/A</v>
          </cell>
          <cell r="P963" t="str">
            <v/>
          </cell>
          <cell r="Q963" t="str">
            <v/>
          </cell>
          <cell r="R963">
            <v>16.5</v>
          </cell>
        </row>
        <row r="964">
          <cell r="A964" t="str">
            <v/>
          </cell>
          <cell r="B964" t="str">
            <v/>
          </cell>
          <cell r="C964" t="str">
            <v>Future</v>
          </cell>
          <cell r="D964" t="e">
            <v>#N/A</v>
          </cell>
          <cell r="E964">
            <v>-8.0891891891892591</v>
          </cell>
          <cell r="F964">
            <v>19.275675675675938</v>
          </cell>
          <cell r="G964">
            <v>13.802702702702753</v>
          </cell>
          <cell r="H964">
            <v>13.802702702702753</v>
          </cell>
          <cell r="I964" t="e">
            <v>#N/A</v>
          </cell>
          <cell r="J964" t="e">
            <v>#N/A</v>
          </cell>
          <cell r="K964">
            <v>17.5</v>
          </cell>
          <cell r="L964">
            <v>14</v>
          </cell>
          <cell r="M964" t="e">
            <v>#N/A</v>
          </cell>
          <cell r="N964">
            <v>16.5</v>
          </cell>
          <cell r="O964" t="e">
            <v>#N/A</v>
          </cell>
          <cell r="P964" t="str">
            <v/>
          </cell>
          <cell r="Q964" t="str">
            <v/>
          </cell>
          <cell r="R964">
            <v>16.5</v>
          </cell>
        </row>
        <row r="965">
          <cell r="A965" t="str">
            <v/>
          </cell>
          <cell r="B965" t="str">
            <v/>
          </cell>
          <cell r="C965" t="str">
            <v>Future</v>
          </cell>
          <cell r="D965" t="e">
            <v>#N/A</v>
          </cell>
          <cell r="E965">
            <v>-8.1445945945946647</v>
          </cell>
          <cell r="F965">
            <v>19.287837837838101</v>
          </cell>
          <cell r="G965">
            <v>13.801351351351402</v>
          </cell>
          <cell r="H965">
            <v>13.801351351351402</v>
          </cell>
          <cell r="I965" t="e">
            <v>#N/A</v>
          </cell>
          <cell r="J965" t="e">
            <v>#N/A</v>
          </cell>
          <cell r="K965">
            <v>17.5</v>
          </cell>
          <cell r="L965">
            <v>14</v>
          </cell>
          <cell r="M965" t="e">
            <v>#N/A</v>
          </cell>
          <cell r="N965">
            <v>16.5</v>
          </cell>
          <cell r="O965" t="e">
            <v>#N/A</v>
          </cell>
          <cell r="P965" t="str">
            <v/>
          </cell>
          <cell r="Q965" t="str">
            <v/>
          </cell>
          <cell r="R965">
            <v>16.5</v>
          </cell>
        </row>
        <row r="966">
          <cell r="A966" t="str">
            <v/>
          </cell>
          <cell r="B966" t="str">
            <v/>
          </cell>
          <cell r="C966" t="str">
            <v>Future</v>
          </cell>
          <cell r="D966" t="e">
            <v>#N/A</v>
          </cell>
          <cell r="E966">
            <v>-8.2000000000000703</v>
          </cell>
          <cell r="F966">
            <v>19.300000000000264</v>
          </cell>
          <cell r="G966">
            <v>13.80000000000005</v>
          </cell>
          <cell r="H966">
            <v>13.80000000000005</v>
          </cell>
          <cell r="I966" t="e">
            <v>#N/A</v>
          </cell>
          <cell r="J966" t="e">
            <v>#N/A</v>
          </cell>
          <cell r="K966">
            <v>17.5</v>
          </cell>
          <cell r="L966">
            <v>14</v>
          </cell>
          <cell r="M966" t="e">
            <v>#N/A</v>
          </cell>
          <cell r="N966">
            <v>16.5</v>
          </cell>
          <cell r="O966" t="e">
            <v>#N/A</v>
          </cell>
          <cell r="P966" t="str">
            <v/>
          </cell>
          <cell r="Q966" t="str">
            <v/>
          </cell>
          <cell r="R966">
            <v>16.5</v>
          </cell>
        </row>
        <row r="967">
          <cell r="A967" t="str">
            <v/>
          </cell>
          <cell r="B967" t="str">
            <v/>
          </cell>
          <cell r="C967" t="str">
            <v>Future</v>
          </cell>
          <cell r="D967" t="e">
            <v>#N/A</v>
          </cell>
          <cell r="E967">
            <v>-8.255405405405476</v>
          </cell>
          <cell r="F967">
            <v>19.312162162162426</v>
          </cell>
          <cell r="G967">
            <v>13.798648648648699</v>
          </cell>
          <cell r="H967">
            <v>13.798648648648699</v>
          </cell>
          <cell r="I967" t="e">
            <v>#N/A</v>
          </cell>
          <cell r="J967" t="e">
            <v>#N/A</v>
          </cell>
          <cell r="K967">
            <v>17.5</v>
          </cell>
          <cell r="L967">
            <v>14</v>
          </cell>
          <cell r="M967" t="e">
            <v>#N/A</v>
          </cell>
          <cell r="N967">
            <v>16.5</v>
          </cell>
          <cell r="O967" t="e">
            <v>#N/A</v>
          </cell>
          <cell r="P967" t="str">
            <v/>
          </cell>
          <cell r="Q967" t="str">
            <v/>
          </cell>
          <cell r="R967">
            <v>16.5</v>
          </cell>
        </row>
        <row r="968">
          <cell r="A968" t="str">
            <v/>
          </cell>
          <cell r="B968" t="str">
            <v/>
          </cell>
          <cell r="C968" t="str">
            <v>Future</v>
          </cell>
          <cell r="D968" t="e">
            <v>#N/A</v>
          </cell>
          <cell r="E968">
            <v>-8.3108108108108816</v>
          </cell>
          <cell r="F968">
            <v>19.324324324324589</v>
          </cell>
          <cell r="G968">
            <v>13.797297297297348</v>
          </cell>
          <cell r="H968">
            <v>13.797297297297348</v>
          </cell>
          <cell r="I968" t="e">
            <v>#N/A</v>
          </cell>
          <cell r="J968" t="e">
            <v>#N/A</v>
          </cell>
          <cell r="K968">
            <v>17.5</v>
          </cell>
          <cell r="L968">
            <v>14</v>
          </cell>
          <cell r="M968" t="e">
            <v>#N/A</v>
          </cell>
          <cell r="N968">
            <v>16.5</v>
          </cell>
          <cell r="O968" t="e">
            <v>#N/A</v>
          </cell>
          <cell r="P968" t="str">
            <v/>
          </cell>
          <cell r="Q968" t="str">
            <v/>
          </cell>
          <cell r="R968">
            <v>16.5</v>
          </cell>
        </row>
        <row r="969">
          <cell r="A969" t="str">
            <v/>
          </cell>
          <cell r="B969" t="str">
            <v/>
          </cell>
          <cell r="C969" t="str">
            <v>Future</v>
          </cell>
          <cell r="D969" t="e">
            <v>#N/A</v>
          </cell>
          <cell r="E969">
            <v>-8.3662162162162872</v>
          </cell>
          <cell r="F969">
            <v>19.336486486486752</v>
          </cell>
          <cell r="G969">
            <v>13.795945945945997</v>
          </cell>
          <cell r="H969">
            <v>13.795945945945997</v>
          </cell>
          <cell r="I969" t="e">
            <v>#N/A</v>
          </cell>
          <cell r="J969" t="e">
            <v>#N/A</v>
          </cell>
          <cell r="K969">
            <v>17.5</v>
          </cell>
          <cell r="L969">
            <v>14</v>
          </cell>
          <cell r="M969" t="e">
            <v>#N/A</v>
          </cell>
          <cell r="N969">
            <v>16.5</v>
          </cell>
          <cell r="O969" t="e">
            <v>#N/A</v>
          </cell>
          <cell r="P969" t="str">
            <v/>
          </cell>
          <cell r="Q969" t="str">
            <v/>
          </cell>
          <cell r="R969">
            <v>16.5</v>
          </cell>
        </row>
        <row r="970">
          <cell r="A970" t="str">
            <v/>
          </cell>
          <cell r="B970" t="str">
            <v/>
          </cell>
          <cell r="C970" t="str">
            <v>Future</v>
          </cell>
          <cell r="D970" t="e">
            <v>#N/A</v>
          </cell>
          <cell r="E970">
            <v>-8.4216216216216928</v>
          </cell>
          <cell r="F970">
            <v>19.348648648648915</v>
          </cell>
          <cell r="G970">
            <v>13.794594594594646</v>
          </cell>
          <cell r="H970">
            <v>13.794594594594646</v>
          </cell>
          <cell r="I970" t="e">
            <v>#N/A</v>
          </cell>
          <cell r="J970" t="e">
            <v>#N/A</v>
          </cell>
          <cell r="K970">
            <v>17.5</v>
          </cell>
          <cell r="L970">
            <v>14</v>
          </cell>
          <cell r="M970" t="e">
            <v>#N/A</v>
          </cell>
          <cell r="N970">
            <v>16.5</v>
          </cell>
          <cell r="O970" t="e">
            <v>#N/A</v>
          </cell>
          <cell r="P970" t="str">
            <v/>
          </cell>
          <cell r="Q970" t="str">
            <v/>
          </cell>
          <cell r="R970">
            <v>16.5</v>
          </cell>
        </row>
        <row r="971">
          <cell r="A971" t="str">
            <v/>
          </cell>
          <cell r="B971" t="str">
            <v/>
          </cell>
          <cell r="C971" t="str">
            <v>Future</v>
          </cell>
          <cell r="D971" t="e">
            <v>#N/A</v>
          </cell>
          <cell r="E971">
            <v>-8.4770270270270984</v>
          </cell>
          <cell r="F971">
            <v>19.360810810811078</v>
          </cell>
          <cell r="G971">
            <v>13.793243243243294</v>
          </cell>
          <cell r="H971">
            <v>13.793243243243294</v>
          </cell>
          <cell r="I971" t="e">
            <v>#N/A</v>
          </cell>
          <cell r="J971" t="e">
            <v>#N/A</v>
          </cell>
          <cell r="K971">
            <v>17.5</v>
          </cell>
          <cell r="L971">
            <v>14</v>
          </cell>
          <cell r="M971" t="e">
            <v>#N/A</v>
          </cell>
          <cell r="N971">
            <v>16.5</v>
          </cell>
          <cell r="O971" t="e">
            <v>#N/A</v>
          </cell>
          <cell r="P971" t="str">
            <v/>
          </cell>
          <cell r="Q971" t="str">
            <v/>
          </cell>
          <cell r="R971">
            <v>16.5</v>
          </cell>
        </row>
        <row r="972">
          <cell r="A972" t="str">
            <v/>
          </cell>
          <cell r="B972" t="str">
            <v/>
          </cell>
          <cell r="C972" t="str">
            <v>Future</v>
          </cell>
          <cell r="D972" t="e">
            <v>#N/A</v>
          </cell>
          <cell r="E972">
            <v>-8.532432432432504</v>
          </cell>
          <cell r="F972">
            <v>19.372972972973241</v>
          </cell>
          <cell r="G972">
            <v>13.791891891891943</v>
          </cell>
          <cell r="H972">
            <v>13.791891891891943</v>
          </cell>
          <cell r="I972" t="e">
            <v>#N/A</v>
          </cell>
          <cell r="J972" t="e">
            <v>#N/A</v>
          </cell>
          <cell r="K972">
            <v>17.5</v>
          </cell>
          <cell r="L972">
            <v>14</v>
          </cell>
          <cell r="M972" t="e">
            <v>#N/A</v>
          </cell>
          <cell r="N972">
            <v>16.5</v>
          </cell>
          <cell r="O972" t="e">
            <v>#N/A</v>
          </cell>
          <cell r="P972" t="str">
            <v/>
          </cell>
          <cell r="Q972" t="str">
            <v/>
          </cell>
          <cell r="R972">
            <v>16.5</v>
          </cell>
        </row>
        <row r="973">
          <cell r="A973" t="str">
            <v/>
          </cell>
          <cell r="B973" t="str">
            <v/>
          </cell>
          <cell r="C973" t="str">
            <v>Future</v>
          </cell>
          <cell r="D973" t="e">
            <v>#N/A</v>
          </cell>
          <cell r="E973">
            <v>-8.5878378378379097</v>
          </cell>
          <cell r="F973">
            <v>19.385135135135403</v>
          </cell>
          <cell r="G973">
            <v>13.790540540540592</v>
          </cell>
          <cell r="H973">
            <v>13.790540540540592</v>
          </cell>
          <cell r="I973" t="e">
            <v>#N/A</v>
          </cell>
          <cell r="J973" t="e">
            <v>#N/A</v>
          </cell>
          <cell r="K973">
            <v>17.5</v>
          </cell>
          <cell r="L973">
            <v>14</v>
          </cell>
          <cell r="M973" t="e">
            <v>#N/A</v>
          </cell>
          <cell r="N973">
            <v>16.5</v>
          </cell>
          <cell r="O973" t="e">
            <v>#N/A</v>
          </cell>
          <cell r="P973" t="str">
            <v/>
          </cell>
          <cell r="Q973" t="str">
            <v/>
          </cell>
          <cell r="R973">
            <v>16.5</v>
          </cell>
        </row>
        <row r="974">
          <cell r="A974" t="str">
            <v/>
          </cell>
          <cell r="B974" t="str">
            <v/>
          </cell>
          <cell r="C974" t="str">
            <v>Future</v>
          </cell>
          <cell r="D974" t="e">
            <v>#N/A</v>
          </cell>
          <cell r="E974">
            <v>-8.6432432432433153</v>
          </cell>
          <cell r="F974">
            <v>19.397297297297566</v>
          </cell>
          <cell r="G974">
            <v>13.789189189189241</v>
          </cell>
          <cell r="H974">
            <v>13.789189189189241</v>
          </cell>
          <cell r="I974" t="e">
            <v>#N/A</v>
          </cell>
          <cell r="J974" t="e">
            <v>#N/A</v>
          </cell>
          <cell r="K974">
            <v>17.5</v>
          </cell>
          <cell r="L974">
            <v>14</v>
          </cell>
          <cell r="M974" t="e">
            <v>#N/A</v>
          </cell>
          <cell r="N974">
            <v>16.5</v>
          </cell>
          <cell r="O974" t="e">
            <v>#N/A</v>
          </cell>
          <cell r="P974" t="str">
            <v/>
          </cell>
          <cell r="Q974" t="str">
            <v/>
          </cell>
          <cell r="R974">
            <v>16.5</v>
          </cell>
        </row>
        <row r="975">
          <cell r="A975" t="str">
            <v/>
          </cell>
          <cell r="B975" t="str">
            <v/>
          </cell>
          <cell r="C975" t="str">
            <v>Future</v>
          </cell>
          <cell r="D975" t="e">
            <v>#N/A</v>
          </cell>
          <cell r="E975">
            <v>-8.6986486486487209</v>
          </cell>
          <cell r="F975">
            <v>19.409459459459729</v>
          </cell>
          <cell r="G975">
            <v>13.787837837837889</v>
          </cell>
          <cell r="H975">
            <v>13.787837837837889</v>
          </cell>
          <cell r="I975" t="e">
            <v>#N/A</v>
          </cell>
          <cell r="J975" t="e">
            <v>#N/A</v>
          </cell>
          <cell r="K975">
            <v>17.5</v>
          </cell>
          <cell r="L975">
            <v>14</v>
          </cell>
          <cell r="M975" t="e">
            <v>#N/A</v>
          </cell>
          <cell r="N975">
            <v>16.5</v>
          </cell>
          <cell r="O975" t="e">
            <v>#N/A</v>
          </cell>
          <cell r="P975" t="str">
            <v/>
          </cell>
          <cell r="Q975" t="str">
            <v/>
          </cell>
          <cell r="R975">
            <v>16.5</v>
          </cell>
        </row>
        <row r="976">
          <cell r="A976" t="str">
            <v/>
          </cell>
          <cell r="B976" t="str">
            <v/>
          </cell>
          <cell r="C976" t="str">
            <v>Future</v>
          </cell>
          <cell r="D976" t="e">
            <v>#N/A</v>
          </cell>
          <cell r="E976">
            <v>-8.7540540540541265</v>
          </cell>
          <cell r="F976">
            <v>19.421621621621892</v>
          </cell>
          <cell r="G976">
            <v>13.786486486486538</v>
          </cell>
          <cell r="H976">
            <v>13.786486486486538</v>
          </cell>
          <cell r="I976" t="e">
            <v>#N/A</v>
          </cell>
          <cell r="J976" t="e">
            <v>#N/A</v>
          </cell>
          <cell r="K976">
            <v>17.5</v>
          </cell>
          <cell r="L976">
            <v>14</v>
          </cell>
          <cell r="M976" t="e">
            <v>#N/A</v>
          </cell>
          <cell r="N976">
            <v>16.5</v>
          </cell>
          <cell r="O976" t="e">
            <v>#N/A</v>
          </cell>
          <cell r="P976" t="str">
            <v/>
          </cell>
          <cell r="Q976" t="str">
            <v/>
          </cell>
          <cell r="R976">
            <v>16.5</v>
          </cell>
        </row>
        <row r="977">
          <cell r="A977" t="str">
            <v/>
          </cell>
          <cell r="B977" t="str">
            <v/>
          </cell>
          <cell r="C977" t="str">
            <v>Future</v>
          </cell>
          <cell r="D977" t="e">
            <v>#N/A</v>
          </cell>
          <cell r="E977">
            <v>-8.8094594594595321</v>
          </cell>
          <cell r="F977">
            <v>19.433783783784055</v>
          </cell>
          <cell r="G977">
            <v>13.785135135135187</v>
          </cell>
          <cell r="H977">
            <v>13.785135135135187</v>
          </cell>
          <cell r="I977" t="e">
            <v>#N/A</v>
          </cell>
          <cell r="J977" t="e">
            <v>#N/A</v>
          </cell>
          <cell r="K977">
            <v>17.5</v>
          </cell>
          <cell r="L977">
            <v>14</v>
          </cell>
          <cell r="M977" t="e">
            <v>#N/A</v>
          </cell>
          <cell r="N977">
            <v>16.5</v>
          </cell>
          <cell r="O977" t="e">
            <v>#N/A</v>
          </cell>
          <cell r="P977" t="str">
            <v/>
          </cell>
          <cell r="Q977" t="str">
            <v/>
          </cell>
          <cell r="R977">
            <v>16.5</v>
          </cell>
        </row>
        <row r="978">
          <cell r="A978" t="str">
            <v/>
          </cell>
          <cell r="B978" t="str">
            <v/>
          </cell>
          <cell r="C978" t="str">
            <v>Future</v>
          </cell>
          <cell r="D978" t="e">
            <v>#N/A</v>
          </cell>
          <cell r="E978">
            <v>-8.8648648648649377</v>
          </cell>
          <cell r="F978">
            <v>19.445945945946217</v>
          </cell>
          <cell r="G978">
            <v>13.783783783783836</v>
          </cell>
          <cell r="H978">
            <v>13.783783783783836</v>
          </cell>
          <cell r="I978" t="e">
            <v>#N/A</v>
          </cell>
          <cell r="J978" t="e">
            <v>#N/A</v>
          </cell>
          <cell r="K978">
            <v>17.5</v>
          </cell>
          <cell r="L978">
            <v>14</v>
          </cell>
          <cell r="M978" t="e">
            <v>#N/A</v>
          </cell>
          <cell r="N978">
            <v>16.5</v>
          </cell>
          <cell r="O978" t="e">
            <v>#N/A</v>
          </cell>
          <cell r="P978" t="str">
            <v/>
          </cell>
          <cell r="Q978" t="str">
            <v/>
          </cell>
          <cell r="R978">
            <v>16.5</v>
          </cell>
        </row>
        <row r="979">
          <cell r="A979" t="str">
            <v/>
          </cell>
          <cell r="B979" t="str">
            <v/>
          </cell>
          <cell r="C979" t="str">
            <v>Future</v>
          </cell>
          <cell r="D979" t="e">
            <v>#N/A</v>
          </cell>
          <cell r="E979">
            <v>-8.9202702702703434</v>
          </cell>
          <cell r="F979">
            <v>19.45810810810838</v>
          </cell>
          <cell r="G979">
            <v>13.782432432432485</v>
          </cell>
          <cell r="H979">
            <v>13.782432432432485</v>
          </cell>
          <cell r="I979" t="e">
            <v>#N/A</v>
          </cell>
          <cell r="J979" t="e">
            <v>#N/A</v>
          </cell>
          <cell r="K979">
            <v>17.5</v>
          </cell>
          <cell r="L979">
            <v>14</v>
          </cell>
          <cell r="M979" t="e">
            <v>#N/A</v>
          </cell>
          <cell r="N979">
            <v>16.5</v>
          </cell>
          <cell r="O979" t="e">
            <v>#N/A</v>
          </cell>
          <cell r="P979" t="str">
            <v/>
          </cell>
          <cell r="Q979" t="str">
            <v/>
          </cell>
          <cell r="R979">
            <v>16.5</v>
          </cell>
        </row>
        <row r="980">
          <cell r="A980" t="str">
            <v/>
          </cell>
          <cell r="B980" t="str">
            <v/>
          </cell>
          <cell r="C980" t="str">
            <v>Future</v>
          </cell>
          <cell r="D980" t="e">
            <v>#N/A</v>
          </cell>
          <cell r="E980">
            <v>-8.975675675675749</v>
          </cell>
          <cell r="F980">
            <v>19.470270270270543</v>
          </cell>
          <cell r="G980">
            <v>13.781081081081133</v>
          </cell>
          <cell r="H980">
            <v>13.781081081081133</v>
          </cell>
          <cell r="I980" t="e">
            <v>#N/A</v>
          </cell>
          <cell r="J980" t="e">
            <v>#N/A</v>
          </cell>
          <cell r="K980">
            <v>17.5</v>
          </cell>
          <cell r="L980">
            <v>14</v>
          </cell>
          <cell r="M980" t="e">
            <v>#N/A</v>
          </cell>
          <cell r="N980">
            <v>16.5</v>
          </cell>
          <cell r="O980" t="e">
            <v>#N/A</v>
          </cell>
          <cell r="P980" t="str">
            <v/>
          </cell>
          <cell r="Q980" t="str">
            <v/>
          </cell>
          <cell r="R980">
            <v>16.5</v>
          </cell>
        </row>
        <row r="981">
          <cell r="A981" t="str">
            <v/>
          </cell>
          <cell r="B981" t="str">
            <v/>
          </cell>
          <cell r="C981" t="str">
            <v>Future</v>
          </cell>
          <cell r="D981" t="e">
            <v>#N/A</v>
          </cell>
          <cell r="E981">
            <v>-9.0310810810811546</v>
          </cell>
          <cell r="F981">
            <v>19.482432432432706</v>
          </cell>
          <cell r="G981">
            <v>13.779729729729782</v>
          </cell>
          <cell r="H981">
            <v>13.779729729729782</v>
          </cell>
          <cell r="I981" t="e">
            <v>#N/A</v>
          </cell>
          <cell r="J981" t="e">
            <v>#N/A</v>
          </cell>
          <cell r="K981">
            <v>17.5</v>
          </cell>
          <cell r="L981">
            <v>14</v>
          </cell>
          <cell r="M981" t="e">
            <v>#N/A</v>
          </cell>
          <cell r="N981">
            <v>16.5</v>
          </cell>
          <cell r="O981" t="e">
            <v>#N/A</v>
          </cell>
          <cell r="P981" t="str">
            <v/>
          </cell>
          <cell r="Q981" t="str">
            <v/>
          </cell>
          <cell r="R981">
            <v>16.5</v>
          </cell>
        </row>
        <row r="982">
          <cell r="A982" t="str">
            <v/>
          </cell>
          <cell r="B982" t="str">
            <v/>
          </cell>
          <cell r="C982" t="str">
            <v>Future</v>
          </cell>
          <cell r="D982" t="e">
            <v>#N/A</v>
          </cell>
          <cell r="E982">
            <v>-9.0864864864865602</v>
          </cell>
          <cell r="F982">
            <v>19.494594594594869</v>
          </cell>
          <cell r="G982">
            <v>13.778378378378431</v>
          </cell>
          <cell r="H982">
            <v>13.778378378378431</v>
          </cell>
          <cell r="I982" t="e">
            <v>#N/A</v>
          </cell>
          <cell r="J982" t="e">
            <v>#N/A</v>
          </cell>
          <cell r="K982">
            <v>17.5</v>
          </cell>
          <cell r="L982">
            <v>14</v>
          </cell>
          <cell r="M982" t="e">
            <v>#N/A</v>
          </cell>
          <cell r="N982">
            <v>16.5</v>
          </cell>
          <cell r="O982" t="e">
            <v>#N/A</v>
          </cell>
          <cell r="P982" t="str">
            <v/>
          </cell>
          <cell r="Q982" t="str">
            <v/>
          </cell>
          <cell r="R982">
            <v>16.5</v>
          </cell>
        </row>
        <row r="983">
          <cell r="A983" t="str">
            <v/>
          </cell>
          <cell r="B983" t="str">
            <v/>
          </cell>
          <cell r="C983" t="str">
            <v>Future</v>
          </cell>
          <cell r="D983" t="e">
            <v>#N/A</v>
          </cell>
          <cell r="E983">
            <v>-9.1418918918919658</v>
          </cell>
          <cell r="F983">
            <v>19.506756756757031</v>
          </cell>
          <cell r="G983">
            <v>13.77702702702708</v>
          </cell>
          <cell r="H983">
            <v>13.77702702702708</v>
          </cell>
          <cell r="I983" t="e">
            <v>#N/A</v>
          </cell>
          <cell r="J983" t="e">
            <v>#N/A</v>
          </cell>
          <cell r="K983">
            <v>17.5</v>
          </cell>
          <cell r="L983">
            <v>14</v>
          </cell>
          <cell r="M983" t="e">
            <v>#N/A</v>
          </cell>
          <cell r="N983">
            <v>16.5</v>
          </cell>
          <cell r="O983" t="e">
            <v>#N/A</v>
          </cell>
          <cell r="P983" t="str">
            <v/>
          </cell>
          <cell r="Q983" t="str">
            <v/>
          </cell>
          <cell r="R983">
            <v>16.5</v>
          </cell>
        </row>
        <row r="984">
          <cell r="A984" t="str">
            <v/>
          </cell>
          <cell r="B984" t="str">
            <v/>
          </cell>
          <cell r="C984" t="str">
            <v>Future</v>
          </cell>
          <cell r="D984" t="e">
            <v>#N/A</v>
          </cell>
          <cell r="E984">
            <v>-9.1972972972973714</v>
          </cell>
          <cell r="F984">
            <v>19.518918918919194</v>
          </cell>
          <cell r="G984">
            <v>13.775675675675728</v>
          </cell>
          <cell r="H984">
            <v>13.775675675675728</v>
          </cell>
          <cell r="I984" t="e">
            <v>#N/A</v>
          </cell>
          <cell r="J984" t="e">
            <v>#N/A</v>
          </cell>
          <cell r="K984">
            <v>17.5</v>
          </cell>
          <cell r="L984">
            <v>14</v>
          </cell>
          <cell r="M984" t="e">
            <v>#N/A</v>
          </cell>
          <cell r="N984">
            <v>16.5</v>
          </cell>
          <cell r="O984" t="e">
            <v>#N/A</v>
          </cell>
          <cell r="P984" t="str">
            <v/>
          </cell>
          <cell r="Q984" t="str">
            <v/>
          </cell>
          <cell r="R984">
            <v>16.5</v>
          </cell>
        </row>
        <row r="985">
          <cell r="A985" t="str">
            <v/>
          </cell>
          <cell r="B985" t="str">
            <v/>
          </cell>
          <cell r="C985" t="str">
            <v>Future</v>
          </cell>
          <cell r="D985" t="e">
            <v>#N/A</v>
          </cell>
          <cell r="E985">
            <v>-9.2527027027027771</v>
          </cell>
          <cell r="F985">
            <v>19.531081081081357</v>
          </cell>
          <cell r="G985">
            <v>13.774324324324377</v>
          </cell>
          <cell r="H985">
            <v>13.774324324324377</v>
          </cell>
          <cell r="I985" t="e">
            <v>#N/A</v>
          </cell>
          <cell r="J985" t="e">
            <v>#N/A</v>
          </cell>
          <cell r="K985">
            <v>17.5</v>
          </cell>
          <cell r="L985">
            <v>14</v>
          </cell>
          <cell r="M985" t="e">
            <v>#N/A</v>
          </cell>
          <cell r="N985">
            <v>16.5</v>
          </cell>
          <cell r="O985" t="e">
            <v>#N/A</v>
          </cell>
          <cell r="P985" t="str">
            <v/>
          </cell>
          <cell r="Q985" t="str">
            <v/>
          </cell>
          <cell r="R985">
            <v>16.5</v>
          </cell>
        </row>
        <row r="986">
          <cell r="A986" t="str">
            <v/>
          </cell>
          <cell r="B986" t="str">
            <v/>
          </cell>
          <cell r="C986" t="str">
            <v>Future</v>
          </cell>
          <cell r="D986" t="e">
            <v>#N/A</v>
          </cell>
          <cell r="E986">
            <v>-9.3081081081081827</v>
          </cell>
          <cell r="F986">
            <v>19.54324324324352</v>
          </cell>
          <cell r="G986">
            <v>13.772972972973026</v>
          </cell>
          <cell r="H986">
            <v>13.772972972973026</v>
          </cell>
          <cell r="I986" t="e">
            <v>#N/A</v>
          </cell>
          <cell r="J986" t="e">
            <v>#N/A</v>
          </cell>
          <cell r="K986">
            <v>17.5</v>
          </cell>
          <cell r="L986">
            <v>14</v>
          </cell>
          <cell r="M986" t="e">
            <v>#N/A</v>
          </cell>
          <cell r="N986">
            <v>16.5</v>
          </cell>
          <cell r="O986" t="e">
            <v>#N/A</v>
          </cell>
          <cell r="P986" t="str">
            <v/>
          </cell>
          <cell r="Q986" t="str">
            <v/>
          </cell>
          <cell r="R986">
            <v>16.5</v>
          </cell>
        </row>
        <row r="987">
          <cell r="A987" t="str">
            <v/>
          </cell>
          <cell r="B987" t="str">
            <v/>
          </cell>
          <cell r="C987" t="str">
            <v>Future</v>
          </cell>
          <cell r="D987" t="e">
            <v>#N/A</v>
          </cell>
          <cell r="E987">
            <v>-9.3635135135135883</v>
          </cell>
          <cell r="F987">
            <v>19.555405405405683</v>
          </cell>
          <cell r="G987">
            <v>13.771621621621675</v>
          </cell>
          <cell r="H987">
            <v>13.771621621621675</v>
          </cell>
          <cell r="I987" t="e">
            <v>#N/A</v>
          </cell>
          <cell r="J987" t="e">
            <v>#N/A</v>
          </cell>
          <cell r="K987">
            <v>17.5</v>
          </cell>
          <cell r="L987">
            <v>14</v>
          </cell>
          <cell r="M987" t="e">
            <v>#N/A</v>
          </cell>
          <cell r="N987">
            <v>16.5</v>
          </cell>
          <cell r="O987" t="e">
            <v>#N/A</v>
          </cell>
          <cell r="P987" t="str">
            <v/>
          </cell>
          <cell r="Q987" t="str">
            <v/>
          </cell>
          <cell r="R987">
            <v>16.5</v>
          </cell>
        </row>
        <row r="988">
          <cell r="A988" t="str">
            <v/>
          </cell>
          <cell r="B988" t="str">
            <v/>
          </cell>
          <cell r="C988" t="str">
            <v>Future</v>
          </cell>
          <cell r="D988" t="e">
            <v>#N/A</v>
          </cell>
          <cell r="E988">
            <v>-9.4189189189189939</v>
          </cell>
          <cell r="F988">
            <v>19.567567567567846</v>
          </cell>
          <cell r="G988">
            <v>13.770270270270323</v>
          </cell>
          <cell r="H988">
            <v>13.770270270270323</v>
          </cell>
          <cell r="I988" t="e">
            <v>#N/A</v>
          </cell>
          <cell r="J988" t="e">
            <v>#N/A</v>
          </cell>
          <cell r="K988">
            <v>17.5</v>
          </cell>
          <cell r="L988">
            <v>14</v>
          </cell>
          <cell r="M988" t="e">
            <v>#N/A</v>
          </cell>
          <cell r="N988">
            <v>16.5</v>
          </cell>
          <cell r="O988" t="e">
            <v>#N/A</v>
          </cell>
          <cell r="P988" t="str">
            <v/>
          </cell>
          <cell r="Q988" t="str">
            <v/>
          </cell>
          <cell r="R988">
            <v>16.5</v>
          </cell>
        </row>
        <row r="989">
          <cell r="A989" t="str">
            <v/>
          </cell>
          <cell r="B989" t="str">
            <v/>
          </cell>
          <cell r="C989" t="str">
            <v>Future</v>
          </cell>
          <cell r="D989" t="e">
            <v>#N/A</v>
          </cell>
          <cell r="E989">
            <v>-9.4743243243243995</v>
          </cell>
          <cell r="F989">
            <v>19.579729729730008</v>
          </cell>
          <cell r="G989">
            <v>13.768918918918972</v>
          </cell>
          <cell r="H989">
            <v>13.768918918918972</v>
          </cell>
          <cell r="I989" t="e">
            <v>#N/A</v>
          </cell>
          <cell r="J989" t="e">
            <v>#N/A</v>
          </cell>
          <cell r="K989">
            <v>17.5</v>
          </cell>
          <cell r="L989">
            <v>14</v>
          </cell>
          <cell r="M989" t="e">
            <v>#N/A</v>
          </cell>
          <cell r="N989">
            <v>16.5</v>
          </cell>
          <cell r="O989" t="e">
            <v>#N/A</v>
          </cell>
          <cell r="P989" t="str">
            <v/>
          </cell>
          <cell r="Q989" t="str">
            <v/>
          </cell>
          <cell r="R989">
            <v>16.5</v>
          </cell>
        </row>
        <row r="990">
          <cell r="A990" t="str">
            <v/>
          </cell>
          <cell r="B990" t="str">
            <v/>
          </cell>
          <cell r="C990" t="str">
            <v>Future</v>
          </cell>
          <cell r="D990" t="e">
            <v>#N/A</v>
          </cell>
          <cell r="E990">
            <v>-9.5297297297298051</v>
          </cell>
          <cell r="F990">
            <v>19.591891891892171</v>
          </cell>
          <cell r="G990">
            <v>13.767567567567621</v>
          </cell>
          <cell r="H990">
            <v>13.767567567567621</v>
          </cell>
          <cell r="I990" t="e">
            <v>#N/A</v>
          </cell>
          <cell r="J990" t="e">
            <v>#N/A</v>
          </cell>
          <cell r="K990">
            <v>17.5</v>
          </cell>
          <cell r="L990">
            <v>14</v>
          </cell>
          <cell r="M990" t="e">
            <v>#N/A</v>
          </cell>
          <cell r="N990">
            <v>16.5</v>
          </cell>
          <cell r="O990" t="e">
            <v>#N/A</v>
          </cell>
          <cell r="P990" t="str">
            <v/>
          </cell>
          <cell r="Q990" t="str">
            <v/>
          </cell>
          <cell r="R990">
            <v>16.5</v>
          </cell>
        </row>
        <row r="991">
          <cell r="A991" t="str">
            <v/>
          </cell>
          <cell r="B991" t="str">
            <v/>
          </cell>
          <cell r="C991" t="str">
            <v>Future</v>
          </cell>
          <cell r="D991" t="e">
            <v>#N/A</v>
          </cell>
          <cell r="E991">
            <v>-9.5851351351352108</v>
          </cell>
          <cell r="F991">
            <v>19.604054054054334</v>
          </cell>
          <cell r="G991">
            <v>13.76621621621627</v>
          </cell>
          <cell r="H991">
            <v>13.76621621621627</v>
          </cell>
          <cell r="I991" t="e">
            <v>#N/A</v>
          </cell>
          <cell r="J991" t="e">
            <v>#N/A</v>
          </cell>
          <cell r="K991">
            <v>17.5</v>
          </cell>
          <cell r="L991">
            <v>14</v>
          </cell>
          <cell r="M991" t="e">
            <v>#N/A</v>
          </cell>
          <cell r="N991">
            <v>16.5</v>
          </cell>
          <cell r="O991" t="e">
            <v>#N/A</v>
          </cell>
          <cell r="P991" t="str">
            <v/>
          </cell>
          <cell r="Q991" t="str">
            <v/>
          </cell>
          <cell r="R991">
            <v>16.5</v>
          </cell>
        </row>
        <row r="992">
          <cell r="A992" t="str">
            <v/>
          </cell>
          <cell r="B992" t="str">
            <v/>
          </cell>
          <cell r="C992" t="str">
            <v>Future</v>
          </cell>
          <cell r="D992" t="e">
            <v>#N/A</v>
          </cell>
          <cell r="E992">
            <v>-9.6405405405406164</v>
          </cell>
          <cell r="F992">
            <v>19.616216216216497</v>
          </cell>
          <cell r="G992">
            <v>13.764864864864919</v>
          </cell>
          <cell r="H992">
            <v>13.764864864864919</v>
          </cell>
          <cell r="I992" t="e">
            <v>#N/A</v>
          </cell>
          <cell r="J992" t="e">
            <v>#N/A</v>
          </cell>
          <cell r="K992">
            <v>17.5</v>
          </cell>
          <cell r="L992">
            <v>14</v>
          </cell>
          <cell r="M992" t="e">
            <v>#N/A</v>
          </cell>
          <cell r="N992">
            <v>16.5</v>
          </cell>
          <cell r="O992" t="e">
            <v>#N/A</v>
          </cell>
          <cell r="P992" t="str">
            <v/>
          </cell>
          <cell r="Q992" t="str">
            <v/>
          </cell>
          <cell r="R992">
            <v>16.5</v>
          </cell>
        </row>
        <row r="993">
          <cell r="A993" t="str">
            <v/>
          </cell>
          <cell r="B993" t="str">
            <v/>
          </cell>
          <cell r="C993" t="str">
            <v>Future</v>
          </cell>
          <cell r="D993" t="e">
            <v>#N/A</v>
          </cell>
          <cell r="E993">
            <v>-9.695945945946022</v>
          </cell>
          <cell r="F993">
            <v>19.62837837837866</v>
          </cell>
          <cell r="G993">
            <v>13.763513513513567</v>
          </cell>
          <cell r="H993">
            <v>13.763513513513567</v>
          </cell>
          <cell r="I993" t="e">
            <v>#N/A</v>
          </cell>
          <cell r="J993" t="e">
            <v>#N/A</v>
          </cell>
          <cell r="K993">
            <v>17.5</v>
          </cell>
          <cell r="L993">
            <v>14</v>
          </cell>
          <cell r="M993" t="e">
            <v>#N/A</v>
          </cell>
          <cell r="N993">
            <v>16.5</v>
          </cell>
          <cell r="O993" t="e">
            <v>#N/A</v>
          </cell>
          <cell r="P993" t="str">
            <v/>
          </cell>
          <cell r="Q993" t="str">
            <v/>
          </cell>
          <cell r="R993">
            <v>16.5</v>
          </cell>
        </row>
        <row r="994">
          <cell r="A994" t="str">
            <v/>
          </cell>
          <cell r="B994" t="str">
            <v/>
          </cell>
          <cell r="C994" t="str">
            <v>Future</v>
          </cell>
          <cell r="D994" t="e">
            <v>#N/A</v>
          </cell>
          <cell r="E994">
            <v>-9.7513513513514276</v>
          </cell>
          <cell r="F994">
            <v>19.640540540540822</v>
          </cell>
          <cell r="G994">
            <v>13.762162162162216</v>
          </cell>
          <cell r="H994">
            <v>13.762162162162216</v>
          </cell>
          <cell r="I994" t="e">
            <v>#N/A</v>
          </cell>
          <cell r="J994" t="e">
            <v>#N/A</v>
          </cell>
          <cell r="K994">
            <v>17.5</v>
          </cell>
          <cell r="L994">
            <v>14</v>
          </cell>
          <cell r="M994" t="e">
            <v>#N/A</v>
          </cell>
          <cell r="N994">
            <v>16.5</v>
          </cell>
          <cell r="O994" t="e">
            <v>#N/A</v>
          </cell>
          <cell r="P994" t="str">
            <v/>
          </cell>
          <cell r="Q994" t="str">
            <v/>
          </cell>
          <cell r="R994">
            <v>16.5</v>
          </cell>
        </row>
        <row r="995">
          <cell r="A995" t="str">
            <v/>
          </cell>
          <cell r="B995" t="str">
            <v/>
          </cell>
          <cell r="C995" t="str">
            <v>Future</v>
          </cell>
          <cell r="D995" t="e">
            <v>#N/A</v>
          </cell>
          <cell r="E995">
            <v>-9.8067567567568332</v>
          </cell>
          <cell r="F995">
            <v>19.652702702702985</v>
          </cell>
          <cell r="G995">
            <v>13.760810810810865</v>
          </cell>
          <cell r="H995">
            <v>13.760810810810865</v>
          </cell>
          <cell r="I995" t="e">
            <v>#N/A</v>
          </cell>
          <cell r="J995" t="e">
            <v>#N/A</v>
          </cell>
          <cell r="K995">
            <v>17.5</v>
          </cell>
          <cell r="L995">
            <v>14</v>
          </cell>
          <cell r="M995" t="e">
            <v>#N/A</v>
          </cell>
          <cell r="N995">
            <v>16.5</v>
          </cell>
          <cell r="O995" t="e">
            <v>#N/A</v>
          </cell>
          <cell r="P995" t="str">
            <v/>
          </cell>
          <cell r="Q995" t="str">
            <v/>
          </cell>
          <cell r="R995">
            <v>16.5</v>
          </cell>
        </row>
        <row r="996">
          <cell r="A996" t="str">
            <v/>
          </cell>
          <cell r="B996" t="str">
            <v/>
          </cell>
          <cell r="C996" t="str">
            <v>Future</v>
          </cell>
          <cell r="D996" t="e">
            <v>#N/A</v>
          </cell>
          <cell r="E996">
            <v>-9.8621621621622388</v>
          </cell>
          <cell r="F996">
            <v>19.664864864865148</v>
          </cell>
          <cell r="G996">
            <v>13.759459459459514</v>
          </cell>
          <cell r="H996">
            <v>13.759459459459514</v>
          </cell>
          <cell r="I996" t="e">
            <v>#N/A</v>
          </cell>
          <cell r="J996" t="e">
            <v>#N/A</v>
          </cell>
          <cell r="K996">
            <v>17.5</v>
          </cell>
          <cell r="L996">
            <v>14</v>
          </cell>
          <cell r="M996" t="e">
            <v>#N/A</v>
          </cell>
          <cell r="N996">
            <v>16.5</v>
          </cell>
          <cell r="O996" t="e">
            <v>#N/A</v>
          </cell>
          <cell r="P996" t="str">
            <v/>
          </cell>
          <cell r="Q996" t="str">
            <v/>
          </cell>
          <cell r="R996">
            <v>16.5</v>
          </cell>
        </row>
        <row r="997">
          <cell r="A997" t="str">
            <v/>
          </cell>
          <cell r="B997" t="str">
            <v/>
          </cell>
          <cell r="C997" t="str">
            <v>Future</v>
          </cell>
          <cell r="D997" t="e">
            <v>#N/A</v>
          </cell>
          <cell r="E997">
            <v>-9.9175675675676445</v>
          </cell>
          <cell r="F997">
            <v>19.677027027027311</v>
          </cell>
          <cell r="G997">
            <v>13.758108108108162</v>
          </cell>
          <cell r="H997">
            <v>13.758108108108162</v>
          </cell>
          <cell r="I997" t="e">
            <v>#N/A</v>
          </cell>
          <cell r="J997" t="e">
            <v>#N/A</v>
          </cell>
          <cell r="K997">
            <v>17.5</v>
          </cell>
          <cell r="L997">
            <v>14</v>
          </cell>
          <cell r="M997" t="e">
            <v>#N/A</v>
          </cell>
          <cell r="N997">
            <v>16.5</v>
          </cell>
          <cell r="O997" t="e">
            <v>#N/A</v>
          </cell>
          <cell r="P997" t="str">
            <v/>
          </cell>
          <cell r="Q997" t="str">
            <v/>
          </cell>
          <cell r="R997">
            <v>16.5</v>
          </cell>
        </row>
        <row r="998">
          <cell r="A998" t="str">
            <v/>
          </cell>
          <cell r="B998" t="str">
            <v/>
          </cell>
          <cell r="C998" t="str">
            <v>Future</v>
          </cell>
          <cell r="D998" t="e">
            <v>#N/A</v>
          </cell>
          <cell r="E998">
            <v>-9.9729729729730501</v>
          </cell>
          <cell r="F998">
            <v>19.689189189189474</v>
          </cell>
          <cell r="G998">
            <v>13.756756756756811</v>
          </cell>
          <cell r="H998">
            <v>13.756756756756811</v>
          </cell>
          <cell r="I998" t="e">
            <v>#N/A</v>
          </cell>
          <cell r="J998" t="e">
            <v>#N/A</v>
          </cell>
          <cell r="K998">
            <v>17.5</v>
          </cell>
          <cell r="L998">
            <v>14</v>
          </cell>
          <cell r="M998" t="e">
            <v>#N/A</v>
          </cell>
          <cell r="N998">
            <v>16.5</v>
          </cell>
          <cell r="O998" t="e">
            <v>#N/A</v>
          </cell>
          <cell r="P998" t="str">
            <v/>
          </cell>
          <cell r="Q998" t="str">
            <v/>
          </cell>
          <cell r="R998">
            <v>16.5</v>
          </cell>
        </row>
        <row r="999">
          <cell r="A999" t="str">
            <v/>
          </cell>
          <cell r="B999" t="str">
            <v/>
          </cell>
          <cell r="C999" t="str">
            <v>Future</v>
          </cell>
          <cell r="D999" t="e">
            <v>#N/A</v>
          </cell>
          <cell r="E999">
            <v>-10.028378378378456</v>
          </cell>
          <cell r="F999">
            <v>19.701351351351637</v>
          </cell>
          <cell r="G999">
            <v>13.75540540540546</v>
          </cell>
          <cell r="H999">
            <v>13.75540540540546</v>
          </cell>
          <cell r="I999" t="e">
            <v>#N/A</v>
          </cell>
          <cell r="J999" t="e">
            <v>#N/A</v>
          </cell>
          <cell r="K999">
            <v>17.5</v>
          </cell>
          <cell r="L999">
            <v>14</v>
          </cell>
          <cell r="M999" t="e">
            <v>#N/A</v>
          </cell>
          <cell r="N999">
            <v>16.5</v>
          </cell>
          <cell r="O999" t="e">
            <v>#N/A</v>
          </cell>
          <cell r="P999" t="str">
            <v/>
          </cell>
          <cell r="Q999" t="str">
            <v/>
          </cell>
          <cell r="R999">
            <v>16.5</v>
          </cell>
        </row>
        <row r="1000">
          <cell r="A1000" t="str">
            <v/>
          </cell>
          <cell r="B1000" t="str">
            <v/>
          </cell>
          <cell r="C1000" t="str">
            <v>Future</v>
          </cell>
          <cell r="D1000" t="e">
            <v>#N/A</v>
          </cell>
          <cell r="E1000">
            <v>-10.083783783783861</v>
          </cell>
          <cell r="F1000">
            <v>19.713513513513799</v>
          </cell>
          <cell r="G1000">
            <v>13.754054054054109</v>
          </cell>
          <cell r="H1000">
            <v>13.754054054054109</v>
          </cell>
          <cell r="I1000" t="e">
            <v>#N/A</v>
          </cell>
          <cell r="J1000" t="e">
            <v>#N/A</v>
          </cell>
          <cell r="K1000">
            <v>17.5</v>
          </cell>
          <cell r="L1000">
            <v>14</v>
          </cell>
          <cell r="M1000" t="e">
            <v>#N/A</v>
          </cell>
          <cell r="N1000">
            <v>16.5</v>
          </cell>
          <cell r="O1000" t="e">
            <v>#N/A</v>
          </cell>
          <cell r="P1000" t="str">
            <v/>
          </cell>
          <cell r="Q1000" t="str">
            <v/>
          </cell>
          <cell r="R1000">
            <v>16.5</v>
          </cell>
        </row>
        <row r="1001">
          <cell r="A1001" t="str">
            <v/>
          </cell>
          <cell r="B1001" t="str">
            <v/>
          </cell>
          <cell r="C1001" t="str">
            <v>Future</v>
          </cell>
          <cell r="D1001" t="e">
            <v>#N/A</v>
          </cell>
          <cell r="E1001">
            <v>-10.139189189189267</v>
          </cell>
          <cell r="F1001">
            <v>19.725675675675962</v>
          </cell>
          <cell r="G1001">
            <v>13.752702702702758</v>
          </cell>
          <cell r="H1001">
            <v>13.752702702702758</v>
          </cell>
          <cell r="I1001" t="e">
            <v>#N/A</v>
          </cell>
          <cell r="J1001" t="e">
            <v>#N/A</v>
          </cell>
          <cell r="K1001">
            <v>17.5</v>
          </cell>
          <cell r="L1001">
            <v>14</v>
          </cell>
          <cell r="M1001" t="e">
            <v>#N/A</v>
          </cell>
          <cell r="N1001">
            <v>16.5</v>
          </cell>
          <cell r="O1001" t="e">
            <v>#N/A</v>
          </cell>
          <cell r="P1001" t="str">
            <v/>
          </cell>
          <cell r="Q1001" t="str">
            <v/>
          </cell>
          <cell r="R1001">
            <v>16.5</v>
          </cell>
        </row>
        <row r="1002">
          <cell r="A1002" t="str">
            <v/>
          </cell>
          <cell r="B1002" t="str">
            <v/>
          </cell>
          <cell r="C1002" t="str">
            <v>Future</v>
          </cell>
          <cell r="D1002" t="e">
            <v>#N/A</v>
          </cell>
          <cell r="E1002">
            <v>-10.194594594594673</v>
          </cell>
          <cell r="F1002">
            <v>19.737837837838125</v>
          </cell>
          <cell r="G1002">
            <v>13.751351351351406</v>
          </cell>
          <cell r="H1002">
            <v>13.751351351351406</v>
          </cell>
          <cell r="I1002" t="e">
            <v>#N/A</v>
          </cell>
          <cell r="J1002" t="e">
            <v>#N/A</v>
          </cell>
          <cell r="K1002">
            <v>17.5</v>
          </cell>
          <cell r="L1002">
            <v>14</v>
          </cell>
          <cell r="M1002" t="e">
            <v>#N/A</v>
          </cell>
          <cell r="N1002">
            <v>16.5</v>
          </cell>
          <cell r="O1002" t="e">
            <v>#N/A</v>
          </cell>
          <cell r="P1002" t="str">
            <v/>
          </cell>
          <cell r="Q1002" t="str">
            <v/>
          </cell>
          <cell r="R1002">
            <v>16.5</v>
          </cell>
        </row>
        <row r="1003">
          <cell r="A1003" t="str">
            <v/>
          </cell>
          <cell r="B1003" t="str">
            <v/>
          </cell>
          <cell r="C1003" t="str">
            <v>Future</v>
          </cell>
          <cell r="D1003" t="e">
            <v>#N/A</v>
          </cell>
          <cell r="E1003">
            <v>-10.250000000000078</v>
          </cell>
          <cell r="F1003">
            <v>19.750000000000288</v>
          </cell>
          <cell r="G1003">
            <v>13.750000000000055</v>
          </cell>
          <cell r="H1003">
            <v>13.750000000000055</v>
          </cell>
          <cell r="I1003" t="e">
            <v>#N/A</v>
          </cell>
          <cell r="J1003" t="e">
            <v>#N/A</v>
          </cell>
          <cell r="K1003">
            <v>17.5</v>
          </cell>
          <cell r="L1003">
            <v>14</v>
          </cell>
          <cell r="M1003" t="e">
            <v>#N/A</v>
          </cell>
          <cell r="N1003">
            <v>16.5</v>
          </cell>
          <cell r="O1003" t="e">
            <v>#N/A</v>
          </cell>
          <cell r="P1003" t="str">
            <v/>
          </cell>
          <cell r="Q1003" t="str">
            <v/>
          </cell>
          <cell r="R1003">
            <v>16.5</v>
          </cell>
        </row>
        <row r="1004">
          <cell r="A1004" t="str">
            <v/>
          </cell>
          <cell r="B1004" t="str">
            <v/>
          </cell>
          <cell r="C1004" t="str">
            <v>Future</v>
          </cell>
          <cell r="D1004" t="e">
            <v>#N/A</v>
          </cell>
          <cell r="E1004">
            <v>-10.305405405405484</v>
          </cell>
          <cell r="F1004">
            <v>19.762162162162451</v>
          </cell>
          <cell r="G1004">
            <v>13.748648648648704</v>
          </cell>
          <cell r="H1004">
            <v>13.748648648648704</v>
          </cell>
          <cell r="I1004" t="e">
            <v>#N/A</v>
          </cell>
          <cell r="J1004" t="e">
            <v>#N/A</v>
          </cell>
          <cell r="K1004">
            <v>17.5</v>
          </cell>
          <cell r="L1004">
            <v>14</v>
          </cell>
          <cell r="M1004" t="e">
            <v>#N/A</v>
          </cell>
          <cell r="N1004">
            <v>16.5</v>
          </cell>
          <cell r="O1004" t="e">
            <v>#N/A</v>
          </cell>
          <cell r="P1004" t="str">
            <v/>
          </cell>
          <cell r="Q1004" t="str">
            <v/>
          </cell>
          <cell r="R1004">
            <v>16.5</v>
          </cell>
        </row>
        <row r="1005">
          <cell r="A1005" t="str">
            <v/>
          </cell>
          <cell r="B1005" t="str">
            <v/>
          </cell>
          <cell r="C1005" t="str">
            <v>Future</v>
          </cell>
          <cell r="D1005" t="e">
            <v>#N/A</v>
          </cell>
          <cell r="E1005">
            <v>-10.360810810810889</v>
          </cell>
          <cell r="F1005">
            <v>19.774324324324613</v>
          </cell>
          <cell r="G1005">
            <v>13.747297297297353</v>
          </cell>
          <cell r="H1005">
            <v>13.747297297297353</v>
          </cell>
          <cell r="I1005" t="e">
            <v>#N/A</v>
          </cell>
          <cell r="J1005" t="e">
            <v>#N/A</v>
          </cell>
          <cell r="K1005">
            <v>17.5</v>
          </cell>
          <cell r="L1005">
            <v>14</v>
          </cell>
          <cell r="M1005" t="e">
            <v>#N/A</v>
          </cell>
          <cell r="N1005">
            <v>16.5</v>
          </cell>
          <cell r="O1005" t="e">
            <v>#N/A</v>
          </cell>
          <cell r="P1005" t="str">
            <v/>
          </cell>
          <cell r="Q1005" t="str">
            <v/>
          </cell>
          <cell r="R1005">
            <v>16.5</v>
          </cell>
        </row>
        <row r="1006">
          <cell r="A1006" t="str">
            <v/>
          </cell>
          <cell r="B1006" t="str">
            <v/>
          </cell>
          <cell r="C1006" t="str">
            <v>Future</v>
          </cell>
          <cell r="D1006" t="e">
            <v>#N/A</v>
          </cell>
          <cell r="E1006">
            <v>-10.416216216216295</v>
          </cell>
          <cell r="F1006">
            <v>19.786486486486776</v>
          </cell>
          <cell r="G1006">
            <v>13.745945945946001</v>
          </cell>
          <cell r="H1006">
            <v>13.745945945946001</v>
          </cell>
          <cell r="I1006" t="e">
            <v>#N/A</v>
          </cell>
          <cell r="J1006" t="e">
            <v>#N/A</v>
          </cell>
          <cell r="K1006">
            <v>17.5</v>
          </cell>
          <cell r="L1006">
            <v>14</v>
          </cell>
          <cell r="M1006" t="e">
            <v>#N/A</v>
          </cell>
          <cell r="N1006">
            <v>16.5</v>
          </cell>
          <cell r="O1006" t="e">
            <v>#N/A</v>
          </cell>
          <cell r="P1006" t="str">
            <v/>
          </cell>
          <cell r="Q1006" t="str">
            <v/>
          </cell>
          <cell r="R1006">
            <v>16.5</v>
          </cell>
        </row>
        <row r="1007">
          <cell r="A1007" t="str">
            <v/>
          </cell>
          <cell r="B1007" t="str">
            <v/>
          </cell>
          <cell r="C1007" t="str">
            <v>Future</v>
          </cell>
          <cell r="D1007" t="e">
            <v>#N/A</v>
          </cell>
          <cell r="E1007">
            <v>-10.471621621621701</v>
          </cell>
          <cell r="F1007">
            <v>19.798648648648939</v>
          </cell>
          <cell r="G1007">
            <v>13.74459459459465</v>
          </cell>
          <cell r="H1007">
            <v>13.74459459459465</v>
          </cell>
          <cell r="I1007" t="e">
            <v>#N/A</v>
          </cell>
          <cell r="J1007" t="e">
            <v>#N/A</v>
          </cell>
          <cell r="K1007">
            <v>17.5</v>
          </cell>
          <cell r="L1007">
            <v>14</v>
          </cell>
          <cell r="M1007" t="e">
            <v>#N/A</v>
          </cell>
          <cell r="N1007">
            <v>16.5</v>
          </cell>
          <cell r="O1007" t="e">
            <v>#N/A</v>
          </cell>
          <cell r="P1007" t="str">
            <v/>
          </cell>
          <cell r="Q1007" t="str">
            <v/>
          </cell>
          <cell r="R1007">
            <v>16.5</v>
          </cell>
        </row>
        <row r="1008">
          <cell r="A1008" t="str">
            <v/>
          </cell>
          <cell r="B1008" t="str">
            <v/>
          </cell>
          <cell r="C1008" t="str">
            <v>Future</v>
          </cell>
          <cell r="D1008" t="e">
            <v>#N/A</v>
          </cell>
          <cell r="E1008">
            <v>-10.527027027027106</v>
          </cell>
          <cell r="F1008">
            <v>19.810810810811102</v>
          </cell>
          <cell r="G1008">
            <v>13.743243243243299</v>
          </cell>
          <cell r="H1008">
            <v>13.743243243243299</v>
          </cell>
          <cell r="I1008" t="e">
            <v>#N/A</v>
          </cell>
          <cell r="J1008" t="e">
            <v>#N/A</v>
          </cell>
          <cell r="K1008">
            <v>17.5</v>
          </cell>
          <cell r="L1008">
            <v>14</v>
          </cell>
          <cell r="M1008" t="e">
            <v>#N/A</v>
          </cell>
          <cell r="N1008">
            <v>16.5</v>
          </cell>
          <cell r="O1008" t="e">
            <v>#N/A</v>
          </cell>
          <cell r="P1008" t="str">
            <v/>
          </cell>
          <cell r="Q1008" t="str">
            <v/>
          </cell>
          <cell r="R1008">
            <v>16.5</v>
          </cell>
        </row>
        <row r="1009">
          <cell r="A1009" t="str">
            <v/>
          </cell>
          <cell r="B1009" t="str">
            <v/>
          </cell>
          <cell r="C1009" t="str">
            <v>Future</v>
          </cell>
          <cell r="D1009" t="e">
            <v>#N/A</v>
          </cell>
          <cell r="E1009">
            <v>-10.582432432432512</v>
          </cell>
          <cell r="F1009">
            <v>19.822972972973265</v>
          </cell>
          <cell r="G1009">
            <v>13.741891891891948</v>
          </cell>
          <cell r="H1009">
            <v>13.741891891891948</v>
          </cell>
          <cell r="I1009" t="e">
            <v>#N/A</v>
          </cell>
          <cell r="J1009" t="e">
            <v>#N/A</v>
          </cell>
          <cell r="K1009">
            <v>17.5</v>
          </cell>
          <cell r="L1009">
            <v>14</v>
          </cell>
          <cell r="M1009" t="e">
            <v>#N/A</v>
          </cell>
          <cell r="N1009">
            <v>16.5</v>
          </cell>
          <cell r="O1009" t="e">
            <v>#N/A</v>
          </cell>
          <cell r="P1009" t="str">
            <v/>
          </cell>
          <cell r="Q1009" t="str">
            <v/>
          </cell>
          <cell r="R1009">
            <v>16.5</v>
          </cell>
        </row>
        <row r="1010">
          <cell r="A1010" t="str">
            <v/>
          </cell>
          <cell r="B1010" t="str">
            <v/>
          </cell>
          <cell r="C1010" t="str">
            <v>Future</v>
          </cell>
          <cell r="D1010" t="e">
            <v>#N/A</v>
          </cell>
          <cell r="E1010">
            <v>-10.637837837837917</v>
          </cell>
          <cell r="F1010">
            <v>19.835135135135427</v>
          </cell>
          <cell r="G1010">
            <v>13.740540540540596</v>
          </cell>
          <cell r="H1010">
            <v>13.740540540540596</v>
          </cell>
          <cell r="I1010" t="e">
            <v>#N/A</v>
          </cell>
          <cell r="J1010" t="e">
            <v>#N/A</v>
          </cell>
          <cell r="K1010">
            <v>17.5</v>
          </cell>
          <cell r="L1010">
            <v>14</v>
          </cell>
          <cell r="M1010" t="e">
            <v>#N/A</v>
          </cell>
          <cell r="N1010">
            <v>16.5</v>
          </cell>
          <cell r="O1010" t="e">
            <v>#N/A</v>
          </cell>
          <cell r="P1010" t="str">
            <v/>
          </cell>
          <cell r="Q1010" t="str">
            <v/>
          </cell>
          <cell r="R1010">
            <v>16.5</v>
          </cell>
        </row>
        <row r="1011">
          <cell r="A1011" t="str">
            <v/>
          </cell>
          <cell r="B1011" t="str">
            <v/>
          </cell>
          <cell r="C1011" t="str">
            <v>Future</v>
          </cell>
          <cell r="D1011" t="e">
            <v>#N/A</v>
          </cell>
          <cell r="E1011">
            <v>-10.693243243243323</v>
          </cell>
          <cell r="F1011">
            <v>19.84729729729759</v>
          </cell>
          <cell r="G1011">
            <v>13.739189189189245</v>
          </cell>
          <cell r="H1011">
            <v>13.739189189189245</v>
          </cell>
          <cell r="I1011" t="e">
            <v>#N/A</v>
          </cell>
          <cell r="J1011" t="e">
            <v>#N/A</v>
          </cell>
          <cell r="K1011">
            <v>17.5</v>
          </cell>
          <cell r="L1011">
            <v>14</v>
          </cell>
          <cell r="M1011" t="e">
            <v>#N/A</v>
          </cell>
          <cell r="N1011">
            <v>16.5</v>
          </cell>
          <cell r="O1011" t="e">
            <v>#N/A</v>
          </cell>
          <cell r="P1011" t="str">
            <v/>
          </cell>
          <cell r="Q1011" t="str">
            <v/>
          </cell>
          <cell r="R1011">
            <v>16.5</v>
          </cell>
        </row>
        <row r="1012">
          <cell r="A1012" t="str">
            <v/>
          </cell>
          <cell r="B1012" t="str">
            <v/>
          </cell>
          <cell r="C1012" t="str">
            <v>Future</v>
          </cell>
          <cell r="D1012" t="e">
            <v>#N/A</v>
          </cell>
          <cell r="E1012">
            <v>-10.748648648648729</v>
          </cell>
          <cell r="F1012">
            <v>19.859459459459753</v>
          </cell>
          <cell r="G1012">
            <v>13.737837837837894</v>
          </cell>
          <cell r="H1012">
            <v>13.737837837837894</v>
          </cell>
          <cell r="I1012" t="e">
            <v>#N/A</v>
          </cell>
          <cell r="J1012" t="e">
            <v>#N/A</v>
          </cell>
          <cell r="K1012">
            <v>17.5</v>
          </cell>
          <cell r="L1012">
            <v>14</v>
          </cell>
          <cell r="M1012" t="e">
            <v>#N/A</v>
          </cell>
          <cell r="N1012">
            <v>16.5</v>
          </cell>
          <cell r="O1012" t="e">
            <v>#N/A</v>
          </cell>
          <cell r="P1012" t="str">
            <v/>
          </cell>
          <cell r="Q1012" t="str">
            <v/>
          </cell>
          <cell r="R1012">
            <v>16.5</v>
          </cell>
        </row>
        <row r="1013">
          <cell r="A1013" t="str">
            <v/>
          </cell>
          <cell r="B1013" t="str">
            <v/>
          </cell>
          <cell r="C1013" t="str">
            <v>Future</v>
          </cell>
          <cell r="D1013" t="e">
            <v>#N/A</v>
          </cell>
          <cell r="E1013">
            <v>-10.804054054054134</v>
          </cell>
          <cell r="F1013">
            <v>19.871621621621916</v>
          </cell>
          <cell r="G1013">
            <v>13.736486486486543</v>
          </cell>
          <cell r="H1013">
            <v>13.736486486486543</v>
          </cell>
          <cell r="I1013" t="e">
            <v>#N/A</v>
          </cell>
          <cell r="J1013" t="e">
            <v>#N/A</v>
          </cell>
          <cell r="K1013">
            <v>17.5</v>
          </cell>
          <cell r="L1013">
            <v>14</v>
          </cell>
          <cell r="M1013" t="e">
            <v>#N/A</v>
          </cell>
          <cell r="N1013">
            <v>16.5</v>
          </cell>
          <cell r="O1013" t="e">
            <v>#N/A</v>
          </cell>
          <cell r="P1013" t="str">
            <v/>
          </cell>
          <cell r="Q1013" t="str">
            <v/>
          </cell>
          <cell r="R1013">
            <v>16.5</v>
          </cell>
        </row>
        <row r="1014">
          <cell r="A1014" t="str">
            <v/>
          </cell>
          <cell r="B1014" t="str">
            <v/>
          </cell>
          <cell r="C1014" t="str">
            <v>Future</v>
          </cell>
          <cell r="D1014" t="e">
            <v>#N/A</v>
          </cell>
          <cell r="E1014">
            <v>-10.85945945945954</v>
          </cell>
          <cell r="F1014">
            <v>19.883783783784079</v>
          </cell>
          <cell r="G1014">
            <v>13.735135135135192</v>
          </cell>
          <cell r="H1014">
            <v>13.735135135135192</v>
          </cell>
          <cell r="I1014" t="e">
            <v>#N/A</v>
          </cell>
          <cell r="J1014" t="e">
            <v>#N/A</v>
          </cell>
          <cell r="K1014">
            <v>17.5</v>
          </cell>
          <cell r="L1014">
            <v>14</v>
          </cell>
          <cell r="M1014" t="e">
            <v>#N/A</v>
          </cell>
          <cell r="N1014">
            <v>16.5</v>
          </cell>
          <cell r="O1014" t="e">
            <v>#N/A</v>
          </cell>
          <cell r="P1014" t="str">
            <v/>
          </cell>
          <cell r="Q1014" t="str">
            <v/>
          </cell>
          <cell r="R1014">
            <v>16.5</v>
          </cell>
        </row>
        <row r="1015">
          <cell r="A1015" t="str">
            <v/>
          </cell>
          <cell r="B1015" t="str">
            <v/>
          </cell>
          <cell r="C1015" t="str">
            <v>Future</v>
          </cell>
          <cell r="D1015" t="e">
            <v>#N/A</v>
          </cell>
          <cell r="E1015">
            <v>-10.914864864864946</v>
          </cell>
          <cell r="F1015">
            <v>19.895945945946242</v>
          </cell>
          <cell r="G1015">
            <v>13.73378378378384</v>
          </cell>
          <cell r="H1015">
            <v>13.73378378378384</v>
          </cell>
          <cell r="I1015" t="e">
            <v>#N/A</v>
          </cell>
          <cell r="J1015" t="e">
            <v>#N/A</v>
          </cell>
          <cell r="K1015">
            <v>17.5</v>
          </cell>
          <cell r="L1015">
            <v>14</v>
          </cell>
          <cell r="M1015" t="e">
            <v>#N/A</v>
          </cell>
          <cell r="N1015">
            <v>16.5</v>
          </cell>
          <cell r="O1015" t="e">
            <v>#N/A</v>
          </cell>
          <cell r="P1015" t="str">
            <v/>
          </cell>
          <cell r="Q1015" t="str">
            <v/>
          </cell>
          <cell r="R1015">
            <v>16.5</v>
          </cell>
        </row>
        <row r="1016">
          <cell r="A1016" t="str">
            <v/>
          </cell>
          <cell r="B1016" t="str">
            <v/>
          </cell>
          <cell r="C1016" t="str">
            <v>Future</v>
          </cell>
          <cell r="D1016" t="e">
            <v>#N/A</v>
          </cell>
          <cell r="E1016">
            <v>-10.970270270270351</v>
          </cell>
          <cell r="F1016">
            <v>19.908108108108404</v>
          </cell>
          <cell r="G1016">
            <v>13.732432432432489</v>
          </cell>
          <cell r="H1016">
            <v>13.732432432432489</v>
          </cell>
          <cell r="I1016" t="e">
            <v>#N/A</v>
          </cell>
          <cell r="J1016" t="e">
            <v>#N/A</v>
          </cell>
          <cell r="K1016">
            <v>17.5</v>
          </cell>
          <cell r="L1016">
            <v>14</v>
          </cell>
          <cell r="M1016" t="e">
            <v>#N/A</v>
          </cell>
          <cell r="N1016">
            <v>16.5</v>
          </cell>
          <cell r="O1016" t="e">
            <v>#N/A</v>
          </cell>
          <cell r="P1016" t="str">
            <v/>
          </cell>
          <cell r="Q1016" t="str">
            <v/>
          </cell>
          <cell r="R1016">
            <v>16.5</v>
          </cell>
        </row>
        <row r="1017">
          <cell r="A1017" t="str">
            <v/>
          </cell>
          <cell r="B1017" t="str">
            <v/>
          </cell>
          <cell r="C1017" t="str">
            <v>Future</v>
          </cell>
          <cell r="D1017" t="e">
            <v>#N/A</v>
          </cell>
          <cell r="E1017">
            <v>-11.025675675675757</v>
          </cell>
          <cell r="F1017">
            <v>19.920270270270567</v>
          </cell>
          <cell r="G1017">
            <v>13.731081081081138</v>
          </cell>
          <cell r="H1017">
            <v>13.731081081081138</v>
          </cell>
          <cell r="I1017" t="e">
            <v>#N/A</v>
          </cell>
          <cell r="J1017" t="e">
            <v>#N/A</v>
          </cell>
          <cell r="K1017">
            <v>17.5</v>
          </cell>
          <cell r="L1017">
            <v>14</v>
          </cell>
          <cell r="M1017" t="e">
            <v>#N/A</v>
          </cell>
          <cell r="N1017">
            <v>16.5</v>
          </cell>
          <cell r="O1017" t="e">
            <v>#N/A</v>
          </cell>
          <cell r="P1017" t="str">
            <v/>
          </cell>
          <cell r="Q1017" t="str">
            <v/>
          </cell>
          <cell r="R1017">
            <v>16.5</v>
          </cell>
        </row>
        <row r="1018">
          <cell r="A1018" t="str">
            <v/>
          </cell>
          <cell r="B1018" t="str">
            <v/>
          </cell>
          <cell r="C1018" t="str">
            <v>Future</v>
          </cell>
          <cell r="D1018" t="e">
            <v>#N/A</v>
          </cell>
          <cell r="E1018">
            <v>-11.081081081081162</v>
          </cell>
          <cell r="F1018">
            <v>19.93243243243273</v>
          </cell>
          <cell r="G1018">
            <v>13.729729729729787</v>
          </cell>
          <cell r="H1018">
            <v>13.729729729729787</v>
          </cell>
          <cell r="I1018" t="e">
            <v>#N/A</v>
          </cell>
          <cell r="J1018" t="e">
            <v>#N/A</v>
          </cell>
          <cell r="K1018">
            <v>17.5</v>
          </cell>
          <cell r="L1018">
            <v>14</v>
          </cell>
          <cell r="M1018" t="e">
            <v>#N/A</v>
          </cell>
          <cell r="N1018">
            <v>16.5</v>
          </cell>
          <cell r="O1018" t="e">
            <v>#N/A</v>
          </cell>
          <cell r="P1018" t="str">
            <v/>
          </cell>
          <cell r="Q1018" t="str">
            <v/>
          </cell>
          <cell r="R1018">
            <v>16.5</v>
          </cell>
        </row>
        <row r="1019">
          <cell r="A1019" t="str">
            <v/>
          </cell>
          <cell r="B1019" t="str">
            <v/>
          </cell>
          <cell r="C1019" t="str">
            <v>Future</v>
          </cell>
          <cell r="D1019" t="e">
            <v>#N/A</v>
          </cell>
          <cell r="E1019">
            <v>-11.136486486486568</v>
          </cell>
          <cell r="F1019">
            <v>19.944594594594893</v>
          </cell>
          <cell r="G1019">
            <v>13.728378378378435</v>
          </cell>
          <cell r="H1019">
            <v>13.728378378378435</v>
          </cell>
          <cell r="I1019" t="e">
            <v>#N/A</v>
          </cell>
          <cell r="J1019" t="e">
            <v>#N/A</v>
          </cell>
          <cell r="K1019">
            <v>17.5</v>
          </cell>
          <cell r="L1019">
            <v>14</v>
          </cell>
          <cell r="M1019" t="e">
            <v>#N/A</v>
          </cell>
          <cell r="N1019">
            <v>16.5</v>
          </cell>
          <cell r="O1019" t="e">
            <v>#N/A</v>
          </cell>
          <cell r="P1019" t="str">
            <v/>
          </cell>
          <cell r="Q1019" t="str">
            <v/>
          </cell>
          <cell r="R1019">
            <v>16.5</v>
          </cell>
        </row>
        <row r="1020">
          <cell r="A1020" t="str">
            <v/>
          </cell>
          <cell r="B1020" t="str">
            <v/>
          </cell>
          <cell r="C1020" t="str">
            <v>Future</v>
          </cell>
          <cell r="D1020" t="e">
            <v>#N/A</v>
          </cell>
          <cell r="E1020">
            <v>-11.191891891891974</v>
          </cell>
          <cell r="F1020">
            <v>19.956756756757056</v>
          </cell>
          <cell r="G1020">
            <v>13.727027027027084</v>
          </cell>
          <cell r="H1020">
            <v>13.727027027027084</v>
          </cell>
          <cell r="I1020" t="e">
            <v>#N/A</v>
          </cell>
          <cell r="J1020" t="e">
            <v>#N/A</v>
          </cell>
          <cell r="K1020">
            <v>17.5</v>
          </cell>
          <cell r="L1020">
            <v>14</v>
          </cell>
          <cell r="M1020" t="e">
            <v>#N/A</v>
          </cell>
          <cell r="N1020">
            <v>16.5</v>
          </cell>
          <cell r="O1020" t="e">
            <v>#N/A</v>
          </cell>
          <cell r="P1020" t="str">
            <v/>
          </cell>
          <cell r="Q1020" t="str">
            <v/>
          </cell>
          <cell r="R1020">
            <v>16.5</v>
          </cell>
        </row>
        <row r="1021">
          <cell r="A1021" t="str">
            <v/>
          </cell>
          <cell r="B1021" t="str">
            <v/>
          </cell>
          <cell r="C1021" t="str">
            <v>Future</v>
          </cell>
          <cell r="D1021" t="e">
            <v>#N/A</v>
          </cell>
          <cell r="E1021">
            <v>-11.247297297297379</v>
          </cell>
          <cell r="F1021">
            <v>19.968918918919218</v>
          </cell>
          <cell r="G1021">
            <v>13.725675675675733</v>
          </cell>
          <cell r="H1021">
            <v>13.725675675675733</v>
          </cell>
          <cell r="I1021" t="e">
            <v>#N/A</v>
          </cell>
          <cell r="J1021" t="e">
            <v>#N/A</v>
          </cell>
          <cell r="K1021">
            <v>17.5</v>
          </cell>
          <cell r="L1021">
            <v>14</v>
          </cell>
          <cell r="M1021" t="e">
            <v>#N/A</v>
          </cell>
          <cell r="N1021">
            <v>16.5</v>
          </cell>
          <cell r="O1021" t="e">
            <v>#N/A</v>
          </cell>
          <cell r="P1021" t="str">
            <v/>
          </cell>
          <cell r="Q1021" t="str">
            <v/>
          </cell>
          <cell r="R1021">
            <v>16.5</v>
          </cell>
        </row>
        <row r="1022">
          <cell r="A1022" t="str">
            <v/>
          </cell>
          <cell r="B1022" t="str">
            <v/>
          </cell>
          <cell r="C1022" t="str">
            <v>Future</v>
          </cell>
          <cell r="D1022" t="e">
            <v>#N/A</v>
          </cell>
          <cell r="E1022">
            <v>-11.302702702702785</v>
          </cell>
          <cell r="F1022">
            <v>19.981081081081381</v>
          </cell>
          <cell r="G1022">
            <v>13.724324324324382</v>
          </cell>
          <cell r="H1022">
            <v>13.724324324324382</v>
          </cell>
          <cell r="I1022" t="e">
            <v>#N/A</v>
          </cell>
          <cell r="J1022" t="e">
            <v>#N/A</v>
          </cell>
          <cell r="K1022">
            <v>17.5</v>
          </cell>
          <cell r="L1022">
            <v>14</v>
          </cell>
          <cell r="M1022" t="e">
            <v>#N/A</v>
          </cell>
          <cell r="N1022">
            <v>16.5</v>
          </cell>
          <cell r="O1022" t="e">
            <v>#N/A</v>
          </cell>
          <cell r="P1022" t="str">
            <v/>
          </cell>
          <cell r="Q1022" t="str">
            <v/>
          </cell>
          <cell r="R1022">
            <v>16.5</v>
          </cell>
        </row>
        <row r="1023">
          <cell r="A1023" t="str">
            <v/>
          </cell>
          <cell r="B1023" t="str">
            <v/>
          </cell>
          <cell r="C1023" t="str">
            <v>Future</v>
          </cell>
          <cell r="D1023" t="e">
            <v>#N/A</v>
          </cell>
          <cell r="E1023">
            <v>-11.35810810810819</v>
          </cell>
          <cell r="F1023">
            <v>19.993243243243544</v>
          </cell>
          <cell r="G1023">
            <v>13.722972972973031</v>
          </cell>
          <cell r="H1023">
            <v>13.722972972973031</v>
          </cell>
          <cell r="I1023" t="e">
            <v>#N/A</v>
          </cell>
          <cell r="J1023" t="e">
            <v>#N/A</v>
          </cell>
          <cell r="K1023">
            <v>17.5</v>
          </cell>
          <cell r="L1023">
            <v>14</v>
          </cell>
          <cell r="M1023" t="e">
            <v>#N/A</v>
          </cell>
          <cell r="N1023">
            <v>16.5</v>
          </cell>
          <cell r="O1023" t="e">
            <v>#N/A</v>
          </cell>
          <cell r="P1023" t="str">
            <v/>
          </cell>
          <cell r="Q1023" t="str">
            <v/>
          </cell>
          <cell r="R1023">
            <v>16.5</v>
          </cell>
        </row>
        <row r="1024">
          <cell r="A1024" t="str">
            <v/>
          </cell>
          <cell r="B1024" t="str">
            <v/>
          </cell>
          <cell r="C1024" t="str">
            <v>Future</v>
          </cell>
          <cell r="D1024" t="e">
            <v>#N/A</v>
          </cell>
          <cell r="E1024">
            <v>-11.413513513513596</v>
          </cell>
          <cell r="F1024">
            <v>20.005405405405707</v>
          </cell>
          <cell r="G1024">
            <v>13.721621621621679</v>
          </cell>
          <cell r="H1024">
            <v>13.721621621621679</v>
          </cell>
          <cell r="I1024" t="e">
            <v>#N/A</v>
          </cell>
          <cell r="J1024" t="e">
            <v>#N/A</v>
          </cell>
          <cell r="K1024">
            <v>17.5</v>
          </cell>
          <cell r="L1024">
            <v>14</v>
          </cell>
          <cell r="M1024" t="e">
            <v>#N/A</v>
          </cell>
          <cell r="N1024">
            <v>16.5</v>
          </cell>
          <cell r="O1024" t="e">
            <v>#N/A</v>
          </cell>
          <cell r="P1024" t="str">
            <v/>
          </cell>
          <cell r="Q1024" t="str">
            <v/>
          </cell>
          <cell r="R1024">
            <v>16.5</v>
          </cell>
        </row>
        <row r="1025">
          <cell r="A1025" t="str">
            <v/>
          </cell>
          <cell r="B1025" t="str">
            <v/>
          </cell>
          <cell r="C1025" t="str">
            <v>Future</v>
          </cell>
          <cell r="D1025" t="e">
            <v>#N/A</v>
          </cell>
          <cell r="E1025">
            <v>-11.468918918919002</v>
          </cell>
          <cell r="F1025">
            <v>20.01756756756787</v>
          </cell>
          <cell r="G1025">
            <v>13.720270270270328</v>
          </cell>
          <cell r="H1025">
            <v>13.720270270270328</v>
          </cell>
          <cell r="I1025" t="e">
            <v>#N/A</v>
          </cell>
          <cell r="J1025" t="e">
            <v>#N/A</v>
          </cell>
          <cell r="K1025">
            <v>17.5</v>
          </cell>
          <cell r="L1025">
            <v>14</v>
          </cell>
          <cell r="M1025" t="e">
            <v>#N/A</v>
          </cell>
          <cell r="N1025">
            <v>16.5</v>
          </cell>
          <cell r="O1025" t="e">
            <v>#N/A</v>
          </cell>
          <cell r="P1025" t="str">
            <v/>
          </cell>
          <cell r="Q1025" t="str">
            <v/>
          </cell>
          <cell r="R1025">
            <v>16.5</v>
          </cell>
        </row>
        <row r="1026">
          <cell r="A1026" t="str">
            <v/>
          </cell>
          <cell r="B1026" t="str">
            <v/>
          </cell>
          <cell r="C1026" t="str">
            <v>Future</v>
          </cell>
          <cell r="D1026" t="e">
            <v>#N/A</v>
          </cell>
          <cell r="E1026">
            <v>-11.524324324324407</v>
          </cell>
          <cell r="F1026">
            <v>20.029729729730033</v>
          </cell>
          <cell r="G1026">
            <v>13.718918918918977</v>
          </cell>
          <cell r="H1026">
            <v>13.718918918918977</v>
          </cell>
          <cell r="I1026" t="e">
            <v>#N/A</v>
          </cell>
          <cell r="J1026" t="e">
            <v>#N/A</v>
          </cell>
          <cell r="K1026">
            <v>17.5</v>
          </cell>
          <cell r="L1026">
            <v>14</v>
          </cell>
          <cell r="M1026" t="e">
            <v>#N/A</v>
          </cell>
          <cell r="N1026">
            <v>16.5</v>
          </cell>
          <cell r="O1026" t="e">
            <v>#N/A</v>
          </cell>
          <cell r="P1026" t="str">
            <v/>
          </cell>
          <cell r="Q1026" t="str">
            <v/>
          </cell>
          <cell r="R1026">
            <v>16.5</v>
          </cell>
        </row>
        <row r="1027">
          <cell r="A1027" t="str">
            <v/>
          </cell>
          <cell r="B1027" t="str">
            <v/>
          </cell>
          <cell r="C1027" t="str">
            <v>Future</v>
          </cell>
          <cell r="D1027" t="e">
            <v>#N/A</v>
          </cell>
          <cell r="E1027">
            <v>-11.579729729729813</v>
          </cell>
          <cell r="F1027">
            <v>20.041891891892195</v>
          </cell>
          <cell r="G1027">
            <v>13.717567567567626</v>
          </cell>
          <cell r="H1027">
            <v>13.717567567567626</v>
          </cell>
          <cell r="I1027" t="e">
            <v>#N/A</v>
          </cell>
          <cell r="J1027" t="e">
            <v>#N/A</v>
          </cell>
          <cell r="K1027">
            <v>17.5</v>
          </cell>
          <cell r="L1027">
            <v>14</v>
          </cell>
          <cell r="M1027" t="e">
            <v>#N/A</v>
          </cell>
          <cell r="N1027">
            <v>16.5</v>
          </cell>
          <cell r="O1027" t="e">
            <v>#N/A</v>
          </cell>
          <cell r="P1027" t="str">
            <v/>
          </cell>
          <cell r="Q1027" t="str">
            <v/>
          </cell>
          <cell r="R1027">
            <v>16.5</v>
          </cell>
        </row>
        <row r="1028">
          <cell r="A1028" t="str">
            <v/>
          </cell>
          <cell r="B1028" t="str">
            <v/>
          </cell>
          <cell r="C1028" t="str">
            <v>Future</v>
          </cell>
          <cell r="D1028" t="e">
            <v>#N/A</v>
          </cell>
          <cell r="E1028">
            <v>-11.635135135135219</v>
          </cell>
          <cell r="F1028">
            <v>20.054054054054358</v>
          </cell>
          <cell r="G1028">
            <v>13.716216216216274</v>
          </cell>
          <cell r="H1028">
            <v>13.716216216216274</v>
          </cell>
          <cell r="I1028" t="e">
            <v>#N/A</v>
          </cell>
          <cell r="J1028" t="e">
            <v>#N/A</v>
          </cell>
          <cell r="K1028">
            <v>17.5</v>
          </cell>
          <cell r="L1028">
            <v>14</v>
          </cell>
          <cell r="M1028" t="e">
            <v>#N/A</v>
          </cell>
          <cell r="N1028">
            <v>16.5</v>
          </cell>
          <cell r="O1028" t="e">
            <v>#N/A</v>
          </cell>
          <cell r="P1028" t="str">
            <v/>
          </cell>
          <cell r="Q1028" t="str">
            <v/>
          </cell>
          <cell r="R1028">
            <v>16.5</v>
          </cell>
        </row>
        <row r="1029">
          <cell r="A1029" t="str">
            <v/>
          </cell>
          <cell r="B1029" t="str">
            <v/>
          </cell>
          <cell r="C1029" t="str">
            <v>Future</v>
          </cell>
          <cell r="D1029" t="e">
            <v>#N/A</v>
          </cell>
          <cell r="E1029">
            <v>-11.690540540540624</v>
          </cell>
          <cell r="F1029">
            <v>20.066216216216521</v>
          </cell>
          <cell r="G1029">
            <v>13.714864864864923</v>
          </cell>
          <cell r="H1029">
            <v>13.714864864864923</v>
          </cell>
          <cell r="I1029" t="e">
            <v>#N/A</v>
          </cell>
          <cell r="J1029" t="e">
            <v>#N/A</v>
          </cell>
          <cell r="K1029">
            <v>17.5</v>
          </cell>
          <cell r="L1029">
            <v>14</v>
          </cell>
          <cell r="M1029" t="e">
            <v>#N/A</v>
          </cell>
          <cell r="N1029">
            <v>16.5</v>
          </cell>
          <cell r="O1029" t="e">
            <v>#N/A</v>
          </cell>
          <cell r="P1029" t="str">
            <v/>
          </cell>
          <cell r="Q1029" t="str">
            <v/>
          </cell>
          <cell r="R1029">
            <v>16.5</v>
          </cell>
        </row>
        <row r="1030">
          <cell r="A1030" t="str">
            <v/>
          </cell>
          <cell r="B1030" t="str">
            <v/>
          </cell>
          <cell r="C1030" t="str">
            <v>Future</v>
          </cell>
          <cell r="D1030" t="e">
            <v>#N/A</v>
          </cell>
          <cell r="E1030">
            <v>-11.74594594594603</v>
          </cell>
          <cell r="F1030">
            <v>20.078378378378684</v>
          </cell>
          <cell r="G1030">
            <v>13.713513513513572</v>
          </cell>
          <cell r="H1030">
            <v>13.713513513513572</v>
          </cell>
          <cell r="I1030" t="e">
            <v>#N/A</v>
          </cell>
          <cell r="J1030" t="e">
            <v>#N/A</v>
          </cell>
          <cell r="K1030">
            <v>17.5</v>
          </cell>
          <cell r="L1030">
            <v>14</v>
          </cell>
          <cell r="M1030" t="e">
            <v>#N/A</v>
          </cell>
          <cell r="N1030">
            <v>16.5</v>
          </cell>
          <cell r="O1030" t="e">
            <v>#N/A</v>
          </cell>
          <cell r="P1030" t="str">
            <v/>
          </cell>
          <cell r="Q1030" t="str">
            <v/>
          </cell>
          <cell r="R1030">
            <v>16.5</v>
          </cell>
        </row>
        <row r="1031">
          <cell r="A1031" t="str">
            <v/>
          </cell>
          <cell r="B1031" t="str">
            <v/>
          </cell>
          <cell r="C1031" t="str">
            <v>Future</v>
          </cell>
          <cell r="D1031" t="e">
            <v>#N/A</v>
          </cell>
          <cell r="E1031">
            <v>-11.801351351351435</v>
          </cell>
          <cell r="F1031">
            <v>20.090540540540847</v>
          </cell>
          <cell r="G1031">
            <v>13.712162162162221</v>
          </cell>
          <cell r="H1031">
            <v>13.712162162162221</v>
          </cell>
          <cell r="I1031" t="e">
            <v>#N/A</v>
          </cell>
          <cell r="J1031" t="e">
            <v>#N/A</v>
          </cell>
          <cell r="K1031">
            <v>17.5</v>
          </cell>
          <cell r="L1031">
            <v>14</v>
          </cell>
          <cell r="M1031" t="e">
            <v>#N/A</v>
          </cell>
          <cell r="N1031">
            <v>16.5</v>
          </cell>
          <cell r="O1031" t="e">
            <v>#N/A</v>
          </cell>
          <cell r="P1031" t="str">
            <v/>
          </cell>
          <cell r="Q1031" t="str">
            <v/>
          </cell>
          <cell r="R1031">
            <v>16.5</v>
          </cell>
        </row>
        <row r="1032">
          <cell r="A1032" t="str">
            <v/>
          </cell>
          <cell r="B1032" t="str">
            <v/>
          </cell>
          <cell r="C1032" t="str">
            <v>Future</v>
          </cell>
          <cell r="D1032" t="e">
            <v>#N/A</v>
          </cell>
          <cell r="E1032">
            <v>-11.856756756756841</v>
          </cell>
          <cell r="F1032">
            <v>20.102702702703009</v>
          </cell>
          <cell r="G1032">
            <v>13.710810810810869</v>
          </cell>
          <cell r="H1032">
            <v>13.710810810810869</v>
          </cell>
          <cell r="I1032" t="e">
            <v>#N/A</v>
          </cell>
          <cell r="J1032" t="e">
            <v>#N/A</v>
          </cell>
          <cell r="K1032">
            <v>17.5</v>
          </cell>
          <cell r="L1032">
            <v>14</v>
          </cell>
          <cell r="M1032" t="e">
            <v>#N/A</v>
          </cell>
          <cell r="N1032">
            <v>16.5</v>
          </cell>
          <cell r="O1032" t="e">
            <v>#N/A</v>
          </cell>
          <cell r="P1032" t="str">
            <v/>
          </cell>
          <cell r="Q1032" t="str">
            <v/>
          </cell>
          <cell r="R1032">
            <v>16.5</v>
          </cell>
        </row>
        <row r="1033">
          <cell r="A1033" t="str">
            <v/>
          </cell>
          <cell r="B1033" t="str">
            <v/>
          </cell>
          <cell r="C1033" t="str">
            <v>Future</v>
          </cell>
          <cell r="D1033" t="e">
            <v>#N/A</v>
          </cell>
          <cell r="E1033">
            <v>-11.912162162162247</v>
          </cell>
          <cell r="F1033">
            <v>20.114864864865172</v>
          </cell>
          <cell r="G1033">
            <v>13.709459459459518</v>
          </cell>
          <cell r="H1033">
            <v>13.709459459459518</v>
          </cell>
          <cell r="I1033" t="e">
            <v>#N/A</v>
          </cell>
          <cell r="J1033" t="e">
            <v>#N/A</v>
          </cell>
          <cell r="K1033">
            <v>17.5</v>
          </cell>
          <cell r="L1033">
            <v>14</v>
          </cell>
          <cell r="M1033" t="e">
            <v>#N/A</v>
          </cell>
          <cell r="N1033">
            <v>16.5</v>
          </cell>
          <cell r="O1033" t="e">
            <v>#N/A</v>
          </cell>
          <cell r="P1033" t="str">
            <v/>
          </cell>
          <cell r="Q1033" t="str">
            <v/>
          </cell>
          <cell r="R1033">
            <v>16.5</v>
          </cell>
        </row>
        <row r="1034">
          <cell r="A1034" t="str">
            <v/>
          </cell>
          <cell r="B1034" t="str">
            <v/>
          </cell>
          <cell r="C1034" t="str">
            <v>Future</v>
          </cell>
          <cell r="D1034" t="e">
            <v>#N/A</v>
          </cell>
          <cell r="E1034">
            <v>-11.967567567567652</v>
          </cell>
          <cell r="F1034">
            <v>20.127027027027335</v>
          </cell>
          <cell r="G1034">
            <v>13.708108108108167</v>
          </cell>
          <cell r="H1034">
            <v>13.708108108108167</v>
          </cell>
          <cell r="I1034" t="e">
            <v>#N/A</v>
          </cell>
          <cell r="J1034" t="e">
            <v>#N/A</v>
          </cell>
          <cell r="K1034">
            <v>17.5</v>
          </cell>
          <cell r="L1034">
            <v>14</v>
          </cell>
          <cell r="M1034" t="e">
            <v>#N/A</v>
          </cell>
          <cell r="N1034">
            <v>16.5</v>
          </cell>
          <cell r="O1034" t="e">
            <v>#N/A</v>
          </cell>
          <cell r="P1034" t="str">
            <v/>
          </cell>
          <cell r="Q1034" t="str">
            <v/>
          </cell>
          <cell r="R1034">
            <v>16.5</v>
          </cell>
        </row>
        <row r="1035">
          <cell r="A1035" t="str">
            <v/>
          </cell>
          <cell r="B1035" t="str">
            <v/>
          </cell>
          <cell r="C1035" t="str">
            <v>Future</v>
          </cell>
          <cell r="D1035" t="e">
            <v>#N/A</v>
          </cell>
          <cell r="E1035">
            <v>-12.022972972973058</v>
          </cell>
          <cell r="F1035">
            <v>20.139189189189498</v>
          </cell>
          <cell r="G1035">
            <v>13.706756756756816</v>
          </cell>
          <cell r="H1035">
            <v>13.706756756756816</v>
          </cell>
          <cell r="I1035" t="e">
            <v>#N/A</v>
          </cell>
          <cell r="J1035" t="e">
            <v>#N/A</v>
          </cell>
          <cell r="K1035">
            <v>17.5</v>
          </cell>
          <cell r="L1035">
            <v>14</v>
          </cell>
          <cell r="M1035" t="e">
            <v>#N/A</v>
          </cell>
          <cell r="N1035">
            <v>16.5</v>
          </cell>
          <cell r="O1035" t="e">
            <v>#N/A</v>
          </cell>
          <cell r="P1035" t="str">
            <v/>
          </cell>
          <cell r="Q1035" t="str">
            <v/>
          </cell>
          <cell r="R1035">
            <v>16.5</v>
          </cell>
        </row>
        <row r="1036">
          <cell r="A1036" t="str">
            <v/>
          </cell>
          <cell r="B1036" t="str">
            <v/>
          </cell>
          <cell r="C1036" t="str">
            <v>Future</v>
          </cell>
          <cell r="D1036" t="e">
            <v>#N/A</v>
          </cell>
          <cell r="E1036">
            <v>-12.078378378378464</v>
          </cell>
          <cell r="F1036">
            <v>20.151351351351661</v>
          </cell>
          <cell r="G1036">
            <v>13.705405405405465</v>
          </cell>
          <cell r="H1036">
            <v>13.705405405405465</v>
          </cell>
          <cell r="I1036" t="e">
            <v>#N/A</v>
          </cell>
          <cell r="J1036" t="e">
            <v>#N/A</v>
          </cell>
          <cell r="K1036">
            <v>17.5</v>
          </cell>
          <cell r="L1036">
            <v>14</v>
          </cell>
          <cell r="M1036" t="e">
            <v>#N/A</v>
          </cell>
          <cell r="N1036">
            <v>16.5</v>
          </cell>
          <cell r="O1036" t="e">
            <v>#N/A</v>
          </cell>
          <cell r="P1036" t="str">
            <v/>
          </cell>
          <cell r="Q1036" t="str">
            <v/>
          </cell>
          <cell r="R1036">
            <v>16.5</v>
          </cell>
        </row>
        <row r="1037">
          <cell r="A1037" t="str">
            <v/>
          </cell>
          <cell r="B1037" t="str">
            <v/>
          </cell>
          <cell r="C1037" t="str">
            <v>Future</v>
          </cell>
          <cell r="D1037" t="e">
            <v>#N/A</v>
          </cell>
          <cell r="E1037">
            <v>-12.133783783783869</v>
          </cell>
          <cell r="F1037">
            <v>20.163513513513823</v>
          </cell>
          <cell r="G1037">
            <v>13.704054054054113</v>
          </cell>
          <cell r="H1037">
            <v>13.704054054054113</v>
          </cell>
          <cell r="I1037" t="e">
            <v>#N/A</v>
          </cell>
          <cell r="J1037" t="e">
            <v>#N/A</v>
          </cell>
          <cell r="K1037">
            <v>17.5</v>
          </cell>
          <cell r="L1037">
            <v>14</v>
          </cell>
          <cell r="M1037" t="e">
            <v>#N/A</v>
          </cell>
          <cell r="N1037">
            <v>16.5</v>
          </cell>
          <cell r="O1037" t="e">
            <v>#N/A</v>
          </cell>
          <cell r="P1037" t="str">
            <v/>
          </cell>
          <cell r="Q1037" t="str">
            <v/>
          </cell>
          <cell r="R1037">
            <v>16.5</v>
          </cell>
        </row>
        <row r="1038">
          <cell r="A1038" t="str">
            <v/>
          </cell>
          <cell r="B1038" t="str">
            <v/>
          </cell>
          <cell r="C1038" t="str">
            <v>Future</v>
          </cell>
          <cell r="D1038" t="e">
            <v>#N/A</v>
          </cell>
          <cell r="E1038">
            <v>-12.189189189189275</v>
          </cell>
          <cell r="F1038">
            <v>20.175675675675986</v>
          </cell>
          <cell r="G1038">
            <v>13.702702702702762</v>
          </cell>
          <cell r="H1038">
            <v>13.702702702702762</v>
          </cell>
          <cell r="I1038" t="e">
            <v>#N/A</v>
          </cell>
          <cell r="J1038" t="e">
            <v>#N/A</v>
          </cell>
          <cell r="K1038">
            <v>17.5</v>
          </cell>
          <cell r="L1038">
            <v>14</v>
          </cell>
          <cell r="M1038" t="e">
            <v>#N/A</v>
          </cell>
          <cell r="N1038">
            <v>16.5</v>
          </cell>
          <cell r="O1038" t="e">
            <v>#N/A</v>
          </cell>
          <cell r="P1038" t="str">
            <v/>
          </cell>
          <cell r="Q1038" t="str">
            <v/>
          </cell>
          <cell r="R1038">
            <v>16.5</v>
          </cell>
        </row>
        <row r="1039">
          <cell r="A1039" t="str">
            <v/>
          </cell>
          <cell r="B1039" t="str">
            <v/>
          </cell>
          <cell r="C1039" t="str">
            <v>Future</v>
          </cell>
          <cell r="D1039" t="e">
            <v>#N/A</v>
          </cell>
          <cell r="E1039">
            <v>-12.24459459459468</v>
          </cell>
          <cell r="F1039">
            <v>20.187837837838149</v>
          </cell>
          <cell r="G1039">
            <v>13.701351351351411</v>
          </cell>
          <cell r="H1039">
            <v>13.701351351351411</v>
          </cell>
          <cell r="I1039" t="e">
            <v>#N/A</v>
          </cell>
          <cell r="J1039" t="e">
            <v>#N/A</v>
          </cell>
          <cell r="K1039">
            <v>17.5</v>
          </cell>
          <cell r="L1039">
            <v>14</v>
          </cell>
          <cell r="M1039" t="e">
            <v>#N/A</v>
          </cell>
          <cell r="N1039">
            <v>16.5</v>
          </cell>
          <cell r="O1039" t="e">
            <v>#N/A</v>
          </cell>
          <cell r="P1039" t="str">
            <v/>
          </cell>
          <cell r="Q1039" t="str">
            <v/>
          </cell>
          <cell r="R1039">
            <v>16.5</v>
          </cell>
        </row>
        <row r="1040">
          <cell r="A1040" t="str">
            <v/>
          </cell>
          <cell r="B1040" t="str">
            <v/>
          </cell>
          <cell r="C1040" t="str">
            <v>Future</v>
          </cell>
          <cell r="D1040" t="e">
            <v>#N/A</v>
          </cell>
          <cell r="E1040">
            <v>-12.300000000000086</v>
          </cell>
          <cell r="F1040">
            <v>20.200000000000312</v>
          </cell>
          <cell r="G1040">
            <v>13.70000000000006</v>
          </cell>
          <cell r="H1040">
            <v>13.70000000000006</v>
          </cell>
          <cell r="I1040" t="e">
            <v>#N/A</v>
          </cell>
          <cell r="J1040" t="e">
            <v>#N/A</v>
          </cell>
          <cell r="K1040">
            <v>17.5</v>
          </cell>
          <cell r="L1040">
            <v>14</v>
          </cell>
          <cell r="M1040" t="e">
            <v>#N/A</v>
          </cell>
          <cell r="N1040">
            <v>16.5</v>
          </cell>
          <cell r="O1040" t="e">
            <v>#N/A</v>
          </cell>
          <cell r="P1040" t="str">
            <v/>
          </cell>
          <cell r="Q1040" t="str">
            <v/>
          </cell>
          <cell r="R1040">
            <v>16.5</v>
          </cell>
        </row>
        <row r="1041">
          <cell r="A1041" t="str">
            <v/>
          </cell>
          <cell r="B1041" t="str">
            <v/>
          </cell>
          <cell r="C1041" t="str">
            <v>Future</v>
          </cell>
          <cell r="D1041" t="e">
            <v>#N/A</v>
          </cell>
          <cell r="E1041">
            <v>-12.355405405405492</v>
          </cell>
          <cell r="F1041">
            <v>20.212162162162475</v>
          </cell>
          <cell r="G1041">
            <v>13.698648648648708</v>
          </cell>
          <cell r="H1041">
            <v>13.698648648648708</v>
          </cell>
          <cell r="I1041" t="e">
            <v>#N/A</v>
          </cell>
          <cell r="J1041" t="e">
            <v>#N/A</v>
          </cell>
          <cell r="K1041">
            <v>17.5</v>
          </cell>
          <cell r="L1041">
            <v>14</v>
          </cell>
          <cell r="M1041" t="e">
            <v>#N/A</v>
          </cell>
          <cell r="N1041">
            <v>16.5</v>
          </cell>
          <cell r="O1041" t="e">
            <v>#N/A</v>
          </cell>
          <cell r="P1041" t="str">
            <v/>
          </cell>
          <cell r="Q1041" t="str">
            <v/>
          </cell>
          <cell r="R1041">
            <v>16.5</v>
          </cell>
        </row>
        <row r="1042">
          <cell r="A1042" t="str">
            <v/>
          </cell>
          <cell r="B1042" t="str">
            <v/>
          </cell>
          <cell r="C1042" t="str">
            <v>Future</v>
          </cell>
          <cell r="D1042" t="e">
            <v>#N/A</v>
          </cell>
          <cell r="E1042">
            <v>-12.410810810810897</v>
          </cell>
          <cell r="F1042">
            <v>20.224324324324638</v>
          </cell>
          <cell r="G1042">
            <v>13.697297297297357</v>
          </cell>
          <cell r="H1042">
            <v>13.697297297297357</v>
          </cell>
          <cell r="I1042" t="e">
            <v>#N/A</v>
          </cell>
          <cell r="J1042" t="e">
            <v>#N/A</v>
          </cell>
          <cell r="K1042">
            <v>17.5</v>
          </cell>
          <cell r="L1042">
            <v>14</v>
          </cell>
          <cell r="M1042" t="e">
            <v>#N/A</v>
          </cell>
          <cell r="N1042">
            <v>16.5</v>
          </cell>
          <cell r="O1042" t="e">
            <v>#N/A</v>
          </cell>
          <cell r="P1042" t="str">
            <v/>
          </cell>
          <cell r="Q1042" t="str">
            <v/>
          </cell>
          <cell r="R1042">
            <v>16.5</v>
          </cell>
        </row>
        <row r="1043">
          <cell r="A1043" t="str">
            <v/>
          </cell>
          <cell r="B1043" t="str">
            <v/>
          </cell>
          <cell r="C1043" t="str">
            <v>Future</v>
          </cell>
          <cell r="D1043" t="e">
            <v>#N/A</v>
          </cell>
          <cell r="E1043">
            <v>-12.466216216216303</v>
          </cell>
          <cell r="F1043">
            <v>20.2364864864868</v>
          </cell>
          <cell r="G1043">
            <v>13.695945945946006</v>
          </cell>
          <cell r="H1043">
            <v>13.695945945946006</v>
          </cell>
          <cell r="I1043" t="e">
            <v>#N/A</v>
          </cell>
          <cell r="J1043" t="e">
            <v>#N/A</v>
          </cell>
          <cell r="K1043">
            <v>17.5</v>
          </cell>
          <cell r="L1043">
            <v>14</v>
          </cell>
          <cell r="M1043" t="e">
            <v>#N/A</v>
          </cell>
          <cell r="N1043">
            <v>16.5</v>
          </cell>
          <cell r="O1043" t="e">
            <v>#N/A</v>
          </cell>
          <cell r="P1043" t="str">
            <v/>
          </cell>
          <cell r="Q1043" t="str">
            <v/>
          </cell>
          <cell r="R1043">
            <v>16.5</v>
          </cell>
        </row>
        <row r="1044">
          <cell r="A1044" t="str">
            <v/>
          </cell>
          <cell r="B1044" t="str">
            <v/>
          </cell>
          <cell r="C1044" t="str">
            <v>Future</v>
          </cell>
          <cell r="D1044" t="e">
            <v>#N/A</v>
          </cell>
          <cell r="E1044">
            <v>-12.521621621621708</v>
          </cell>
          <cell r="F1044">
            <v>20.248648648648963</v>
          </cell>
          <cell r="G1044">
            <v>13.694594594594655</v>
          </cell>
          <cell r="H1044">
            <v>13.694594594594655</v>
          </cell>
          <cell r="I1044" t="e">
            <v>#N/A</v>
          </cell>
          <cell r="J1044" t="e">
            <v>#N/A</v>
          </cell>
          <cell r="K1044">
            <v>17.5</v>
          </cell>
          <cell r="L1044">
            <v>14</v>
          </cell>
          <cell r="M1044" t="e">
            <v>#N/A</v>
          </cell>
          <cell r="N1044">
            <v>16.5</v>
          </cell>
          <cell r="O1044" t="e">
            <v>#N/A</v>
          </cell>
          <cell r="P1044" t="str">
            <v/>
          </cell>
          <cell r="Q1044" t="str">
            <v/>
          </cell>
          <cell r="R1044">
            <v>16.5</v>
          </cell>
        </row>
        <row r="1045">
          <cell r="A1045" t="str">
            <v/>
          </cell>
          <cell r="B1045" t="str">
            <v/>
          </cell>
          <cell r="C1045" t="str">
            <v>Future</v>
          </cell>
          <cell r="D1045" t="e">
            <v>#N/A</v>
          </cell>
          <cell r="E1045">
            <v>-12.577027027027114</v>
          </cell>
          <cell r="F1045">
            <v>20.260810810811126</v>
          </cell>
          <cell r="G1045">
            <v>13.693243243243304</v>
          </cell>
          <cell r="H1045">
            <v>13.693243243243304</v>
          </cell>
          <cell r="I1045" t="e">
            <v>#N/A</v>
          </cell>
          <cell r="J1045" t="e">
            <v>#N/A</v>
          </cell>
          <cell r="K1045">
            <v>17.5</v>
          </cell>
          <cell r="L1045">
            <v>14</v>
          </cell>
          <cell r="M1045" t="e">
            <v>#N/A</v>
          </cell>
          <cell r="N1045">
            <v>16.5</v>
          </cell>
          <cell r="O1045" t="e">
            <v>#N/A</v>
          </cell>
          <cell r="P1045" t="str">
            <v/>
          </cell>
          <cell r="Q1045" t="str">
            <v/>
          </cell>
          <cell r="R1045">
            <v>16.5</v>
          </cell>
        </row>
        <row r="1046">
          <cell r="A1046" t="str">
            <v/>
          </cell>
          <cell r="B1046" t="str">
            <v/>
          </cell>
          <cell r="C1046" t="str">
            <v>Future</v>
          </cell>
          <cell r="D1046" t="e">
            <v>#N/A</v>
          </cell>
          <cell r="E1046">
            <v>-12.63243243243252</v>
          </cell>
          <cell r="F1046">
            <v>20.272972972973289</v>
          </cell>
          <cell r="G1046">
            <v>13.691891891891952</v>
          </cell>
          <cell r="H1046">
            <v>13.691891891891952</v>
          </cell>
          <cell r="I1046" t="e">
            <v>#N/A</v>
          </cell>
          <cell r="J1046" t="e">
            <v>#N/A</v>
          </cell>
          <cell r="K1046">
            <v>17.5</v>
          </cell>
          <cell r="L1046">
            <v>14</v>
          </cell>
          <cell r="M1046" t="e">
            <v>#N/A</v>
          </cell>
          <cell r="N1046">
            <v>16.5</v>
          </cell>
          <cell r="O1046" t="e">
            <v>#N/A</v>
          </cell>
          <cell r="P1046" t="str">
            <v/>
          </cell>
          <cell r="Q1046" t="str">
            <v/>
          </cell>
          <cell r="R1046">
            <v>16.5</v>
          </cell>
        </row>
        <row r="1047">
          <cell r="A1047" t="str">
            <v/>
          </cell>
          <cell r="B1047" t="str">
            <v/>
          </cell>
          <cell r="C1047" t="str">
            <v>Future</v>
          </cell>
          <cell r="D1047" t="e">
            <v>#N/A</v>
          </cell>
          <cell r="E1047">
            <v>-12.687837837837925</v>
          </cell>
          <cell r="F1047">
            <v>20.285135135135452</v>
          </cell>
          <cell r="G1047">
            <v>13.690540540540601</v>
          </cell>
          <cell r="H1047">
            <v>13.690540540540601</v>
          </cell>
          <cell r="I1047" t="e">
            <v>#N/A</v>
          </cell>
          <cell r="J1047" t="e">
            <v>#N/A</v>
          </cell>
          <cell r="K1047">
            <v>17.5</v>
          </cell>
          <cell r="L1047">
            <v>14</v>
          </cell>
          <cell r="M1047" t="e">
            <v>#N/A</v>
          </cell>
          <cell r="N1047">
            <v>16.5</v>
          </cell>
          <cell r="O1047" t="e">
            <v>#N/A</v>
          </cell>
          <cell r="P1047" t="str">
            <v/>
          </cell>
          <cell r="Q1047" t="str">
            <v/>
          </cell>
          <cell r="R1047">
            <v>16.5</v>
          </cell>
        </row>
        <row r="1048">
          <cell r="A1048" t="str">
            <v/>
          </cell>
          <cell r="B1048" t="str">
            <v/>
          </cell>
          <cell r="C1048" t="str">
            <v>Future</v>
          </cell>
          <cell r="D1048" t="e">
            <v>#N/A</v>
          </cell>
          <cell r="E1048">
            <v>-12.743243243243331</v>
          </cell>
          <cell r="F1048">
            <v>20.297297297297614</v>
          </cell>
          <cell r="G1048">
            <v>13.68918918918925</v>
          </cell>
          <cell r="H1048">
            <v>13.68918918918925</v>
          </cell>
          <cell r="I1048" t="e">
            <v>#N/A</v>
          </cell>
          <cell r="J1048" t="e">
            <v>#N/A</v>
          </cell>
          <cell r="K1048">
            <v>17.5</v>
          </cell>
          <cell r="L1048">
            <v>14</v>
          </cell>
          <cell r="M1048" t="e">
            <v>#N/A</v>
          </cell>
          <cell r="N1048">
            <v>16.5</v>
          </cell>
          <cell r="O1048" t="e">
            <v>#N/A</v>
          </cell>
          <cell r="P1048" t="str">
            <v/>
          </cell>
          <cell r="Q1048" t="str">
            <v/>
          </cell>
          <cell r="R1048">
            <v>16.5</v>
          </cell>
        </row>
        <row r="1049">
          <cell r="A1049" t="str">
            <v/>
          </cell>
          <cell r="B1049" t="str">
            <v/>
          </cell>
          <cell r="C1049" t="str">
            <v>Future</v>
          </cell>
          <cell r="D1049" t="e">
            <v>#N/A</v>
          </cell>
          <cell r="E1049">
            <v>-12.798648648648737</v>
          </cell>
          <cell r="F1049">
            <v>20.309459459459777</v>
          </cell>
          <cell r="G1049">
            <v>13.687837837837899</v>
          </cell>
          <cell r="H1049">
            <v>13.687837837837899</v>
          </cell>
          <cell r="I1049" t="e">
            <v>#N/A</v>
          </cell>
          <cell r="J1049" t="e">
            <v>#N/A</v>
          </cell>
          <cell r="K1049">
            <v>17.5</v>
          </cell>
          <cell r="L1049">
            <v>14</v>
          </cell>
          <cell r="M1049" t="e">
            <v>#N/A</v>
          </cell>
          <cell r="N1049">
            <v>16.5</v>
          </cell>
          <cell r="O1049" t="e">
            <v>#N/A</v>
          </cell>
          <cell r="P1049" t="str">
            <v/>
          </cell>
          <cell r="Q1049" t="str">
            <v/>
          </cell>
          <cell r="R1049">
            <v>16.5</v>
          </cell>
        </row>
        <row r="1050">
          <cell r="A1050" t="str">
            <v/>
          </cell>
          <cell r="B1050" t="str">
            <v/>
          </cell>
          <cell r="C1050" t="str">
            <v>Future</v>
          </cell>
          <cell r="D1050" t="e">
            <v>#N/A</v>
          </cell>
          <cell r="E1050">
            <v>-12.854054054054142</v>
          </cell>
          <cell r="F1050">
            <v>20.32162162162194</v>
          </cell>
          <cell r="G1050">
            <v>13.686486486486547</v>
          </cell>
          <cell r="H1050">
            <v>13.686486486486547</v>
          </cell>
          <cell r="I1050" t="e">
            <v>#N/A</v>
          </cell>
          <cell r="J1050" t="e">
            <v>#N/A</v>
          </cell>
          <cell r="K1050">
            <v>17.5</v>
          </cell>
          <cell r="L1050">
            <v>14</v>
          </cell>
          <cell r="M1050" t="e">
            <v>#N/A</v>
          </cell>
          <cell r="N1050">
            <v>16.5</v>
          </cell>
          <cell r="O1050" t="e">
            <v>#N/A</v>
          </cell>
          <cell r="P1050" t="str">
            <v/>
          </cell>
          <cell r="Q1050" t="str">
            <v/>
          </cell>
          <cell r="R1050">
            <v>16.5</v>
          </cell>
        </row>
        <row r="1051">
          <cell r="A1051" t="str">
            <v/>
          </cell>
          <cell r="B1051" t="str">
            <v/>
          </cell>
          <cell r="C1051" t="str">
            <v>Future</v>
          </cell>
          <cell r="D1051" t="e">
            <v>#N/A</v>
          </cell>
          <cell r="E1051">
            <v>-12.909459459459548</v>
          </cell>
          <cell r="F1051">
            <v>20.333783783784103</v>
          </cell>
          <cell r="G1051">
            <v>13.685135135135196</v>
          </cell>
          <cell r="H1051">
            <v>13.685135135135196</v>
          </cell>
          <cell r="I1051" t="e">
            <v>#N/A</v>
          </cell>
          <cell r="J1051" t="e">
            <v>#N/A</v>
          </cell>
          <cell r="K1051">
            <v>17.5</v>
          </cell>
          <cell r="L1051">
            <v>14</v>
          </cell>
          <cell r="M1051" t="e">
            <v>#N/A</v>
          </cell>
          <cell r="N1051">
            <v>16.5</v>
          </cell>
          <cell r="O1051" t="e">
            <v>#N/A</v>
          </cell>
          <cell r="P1051" t="str">
            <v/>
          </cell>
          <cell r="Q1051" t="str">
            <v/>
          </cell>
          <cell r="R1051">
            <v>16.5</v>
          </cell>
        </row>
        <row r="1052">
          <cell r="A1052" t="str">
            <v/>
          </cell>
          <cell r="B1052" t="str">
            <v/>
          </cell>
          <cell r="C1052" t="str">
            <v>Future</v>
          </cell>
          <cell r="D1052" t="e">
            <v>#N/A</v>
          </cell>
          <cell r="E1052">
            <v>-12.964864864864953</v>
          </cell>
          <cell r="F1052">
            <v>20.345945945946266</v>
          </cell>
          <cell r="G1052">
            <v>13.683783783783845</v>
          </cell>
          <cell r="H1052">
            <v>13.683783783783845</v>
          </cell>
          <cell r="I1052" t="e">
            <v>#N/A</v>
          </cell>
          <cell r="J1052" t="e">
            <v>#N/A</v>
          </cell>
          <cell r="K1052">
            <v>17.5</v>
          </cell>
          <cell r="L1052">
            <v>14</v>
          </cell>
          <cell r="M1052" t="e">
            <v>#N/A</v>
          </cell>
          <cell r="N1052">
            <v>16.5</v>
          </cell>
          <cell r="O1052" t="e">
            <v>#N/A</v>
          </cell>
          <cell r="P1052" t="str">
            <v/>
          </cell>
          <cell r="Q1052" t="str">
            <v/>
          </cell>
          <cell r="R1052">
            <v>16.5</v>
          </cell>
        </row>
        <row r="1053">
          <cell r="A1053" t="str">
            <v/>
          </cell>
          <cell r="B1053" t="str">
            <v/>
          </cell>
          <cell r="C1053" t="str">
            <v>Future</v>
          </cell>
          <cell r="D1053" t="e">
            <v>#N/A</v>
          </cell>
          <cell r="E1053">
            <v>-13.020270270270359</v>
          </cell>
          <cell r="F1053">
            <v>20.358108108108429</v>
          </cell>
          <cell r="G1053">
            <v>13.682432432432494</v>
          </cell>
          <cell r="H1053">
            <v>13.682432432432494</v>
          </cell>
          <cell r="I1053" t="e">
            <v>#N/A</v>
          </cell>
          <cell r="J1053" t="e">
            <v>#N/A</v>
          </cell>
          <cell r="K1053">
            <v>17.5</v>
          </cell>
          <cell r="L1053">
            <v>14</v>
          </cell>
          <cell r="M1053" t="e">
            <v>#N/A</v>
          </cell>
          <cell r="N1053">
            <v>16.5</v>
          </cell>
          <cell r="O1053" t="e">
            <v>#N/A</v>
          </cell>
          <cell r="P1053" t="str">
            <v/>
          </cell>
          <cell r="Q1053" t="str">
            <v/>
          </cell>
          <cell r="R1053">
            <v>16.5</v>
          </cell>
        </row>
        <row r="1054">
          <cell r="A1054" t="str">
            <v/>
          </cell>
          <cell r="B1054" t="str">
            <v/>
          </cell>
          <cell r="C1054" t="str">
            <v>Future</v>
          </cell>
          <cell r="D1054" t="e">
            <v>#N/A</v>
          </cell>
          <cell r="E1054">
            <v>-13.075675675675765</v>
          </cell>
          <cell r="F1054">
            <v>20.370270270270591</v>
          </cell>
          <cell r="G1054">
            <v>13.681081081081143</v>
          </cell>
          <cell r="H1054">
            <v>13.681081081081143</v>
          </cell>
          <cell r="I1054" t="e">
            <v>#N/A</v>
          </cell>
          <cell r="J1054" t="e">
            <v>#N/A</v>
          </cell>
          <cell r="K1054">
            <v>17.5</v>
          </cell>
          <cell r="L1054">
            <v>14</v>
          </cell>
          <cell r="M1054" t="e">
            <v>#N/A</v>
          </cell>
          <cell r="N1054">
            <v>16.5</v>
          </cell>
          <cell r="O1054" t="e">
            <v>#N/A</v>
          </cell>
          <cell r="P1054" t="str">
            <v/>
          </cell>
          <cell r="Q1054" t="str">
            <v/>
          </cell>
          <cell r="R1054">
            <v>16.5</v>
          </cell>
        </row>
        <row r="1055">
          <cell r="A1055" t="str">
            <v/>
          </cell>
          <cell r="B1055" t="str">
            <v/>
          </cell>
          <cell r="C1055" t="str">
            <v>Future</v>
          </cell>
          <cell r="D1055" t="e">
            <v>#N/A</v>
          </cell>
          <cell r="E1055">
            <v>-13.13108108108117</v>
          </cell>
          <cell r="F1055">
            <v>20.382432432432754</v>
          </cell>
          <cell r="G1055">
            <v>13.679729729729791</v>
          </cell>
          <cell r="H1055">
            <v>13.679729729729791</v>
          </cell>
          <cell r="I1055" t="e">
            <v>#N/A</v>
          </cell>
          <cell r="J1055" t="e">
            <v>#N/A</v>
          </cell>
          <cell r="K1055">
            <v>17.5</v>
          </cell>
          <cell r="L1055">
            <v>14</v>
          </cell>
          <cell r="M1055" t="e">
            <v>#N/A</v>
          </cell>
          <cell r="N1055">
            <v>16.5</v>
          </cell>
          <cell r="O1055" t="e">
            <v>#N/A</v>
          </cell>
          <cell r="P1055" t="str">
            <v/>
          </cell>
          <cell r="Q1055" t="str">
            <v/>
          </cell>
          <cell r="R1055">
            <v>16.5</v>
          </cell>
        </row>
        <row r="1056">
          <cell r="A1056" t="str">
            <v/>
          </cell>
          <cell r="B1056" t="str">
            <v/>
          </cell>
          <cell r="C1056" t="str">
            <v>Future</v>
          </cell>
          <cell r="D1056" t="e">
            <v>#N/A</v>
          </cell>
          <cell r="E1056">
            <v>-13.186486486486576</v>
          </cell>
          <cell r="F1056">
            <v>20.394594594594917</v>
          </cell>
          <cell r="G1056">
            <v>13.67837837837844</v>
          </cell>
          <cell r="H1056">
            <v>13.67837837837844</v>
          </cell>
          <cell r="I1056" t="e">
            <v>#N/A</v>
          </cell>
          <cell r="J1056" t="e">
            <v>#N/A</v>
          </cell>
          <cell r="K1056">
            <v>17.5</v>
          </cell>
          <cell r="L1056">
            <v>14</v>
          </cell>
          <cell r="M1056" t="e">
            <v>#N/A</v>
          </cell>
          <cell r="N1056">
            <v>16.5</v>
          </cell>
          <cell r="O1056" t="e">
            <v>#N/A</v>
          </cell>
          <cell r="P1056" t="str">
            <v/>
          </cell>
          <cell r="Q1056" t="str">
            <v/>
          </cell>
          <cell r="R1056">
            <v>16.5</v>
          </cell>
        </row>
        <row r="1057">
          <cell r="A1057" t="str">
            <v/>
          </cell>
          <cell r="B1057" t="str">
            <v/>
          </cell>
          <cell r="C1057" t="str">
            <v>Future</v>
          </cell>
          <cell r="D1057" t="e">
            <v>#N/A</v>
          </cell>
          <cell r="E1057">
            <v>-13.241891891891981</v>
          </cell>
          <cell r="F1057">
            <v>20.40675675675708</v>
          </cell>
          <cell r="G1057">
            <v>13.677027027027089</v>
          </cell>
          <cell r="H1057">
            <v>13.677027027027089</v>
          </cell>
          <cell r="I1057" t="e">
            <v>#N/A</v>
          </cell>
          <cell r="J1057" t="e">
            <v>#N/A</v>
          </cell>
          <cell r="K1057">
            <v>17.5</v>
          </cell>
          <cell r="L1057">
            <v>14</v>
          </cell>
          <cell r="M1057" t="e">
            <v>#N/A</v>
          </cell>
          <cell r="N1057">
            <v>16.5</v>
          </cell>
          <cell r="O1057" t="e">
            <v>#N/A</v>
          </cell>
          <cell r="P1057" t="str">
            <v/>
          </cell>
          <cell r="Q1057" t="str">
            <v/>
          </cell>
          <cell r="R1057">
            <v>16.5</v>
          </cell>
        </row>
        <row r="1058">
          <cell r="A1058" t="str">
            <v/>
          </cell>
          <cell r="B1058" t="str">
            <v/>
          </cell>
          <cell r="C1058" t="str">
            <v>Future</v>
          </cell>
          <cell r="D1058" t="e">
            <v>#N/A</v>
          </cell>
          <cell r="E1058">
            <v>-13.297297297297387</v>
          </cell>
          <cell r="F1058">
            <v>20.418918918919243</v>
          </cell>
          <cell r="G1058">
            <v>13.675675675675738</v>
          </cell>
          <cell r="H1058">
            <v>13.675675675675738</v>
          </cell>
          <cell r="I1058" t="e">
            <v>#N/A</v>
          </cell>
          <cell r="J1058" t="e">
            <v>#N/A</v>
          </cell>
          <cell r="K1058">
            <v>17.5</v>
          </cell>
          <cell r="L1058">
            <v>14</v>
          </cell>
          <cell r="M1058" t="e">
            <v>#N/A</v>
          </cell>
          <cell r="N1058">
            <v>16.5</v>
          </cell>
          <cell r="O1058" t="e">
            <v>#N/A</v>
          </cell>
          <cell r="P1058" t="str">
            <v/>
          </cell>
          <cell r="Q1058" t="str">
            <v/>
          </cell>
          <cell r="R1058">
            <v>16.5</v>
          </cell>
        </row>
        <row r="1059">
          <cell r="A1059" t="str">
            <v/>
          </cell>
          <cell r="B1059" t="str">
            <v/>
          </cell>
          <cell r="C1059" t="str">
            <v>Future</v>
          </cell>
          <cell r="D1059" t="e">
            <v>#N/A</v>
          </cell>
          <cell r="E1059">
            <v>-13.352702702702793</v>
          </cell>
          <cell r="F1059">
            <v>20.431081081081405</v>
          </cell>
          <cell r="G1059">
            <v>13.674324324324386</v>
          </cell>
          <cell r="H1059">
            <v>13.674324324324386</v>
          </cell>
          <cell r="I1059" t="e">
            <v>#N/A</v>
          </cell>
          <cell r="J1059" t="e">
            <v>#N/A</v>
          </cell>
          <cell r="K1059">
            <v>17.5</v>
          </cell>
          <cell r="L1059">
            <v>14</v>
          </cell>
          <cell r="M1059" t="e">
            <v>#N/A</v>
          </cell>
          <cell r="N1059">
            <v>16.5</v>
          </cell>
          <cell r="O1059" t="e">
            <v>#N/A</v>
          </cell>
          <cell r="P1059" t="str">
            <v/>
          </cell>
          <cell r="Q1059" t="str">
            <v/>
          </cell>
          <cell r="R1059">
            <v>16.5</v>
          </cell>
        </row>
        <row r="1060">
          <cell r="A1060" t="str">
            <v/>
          </cell>
          <cell r="B1060" t="str">
            <v/>
          </cell>
          <cell r="C1060" t="str">
            <v>Future</v>
          </cell>
          <cell r="D1060" t="e">
            <v>#N/A</v>
          </cell>
          <cell r="E1060">
            <v>-13.408108108108198</v>
          </cell>
          <cell r="F1060">
            <v>20.443243243243568</v>
          </cell>
          <cell r="G1060">
            <v>13.672972972973035</v>
          </cell>
          <cell r="H1060">
            <v>13.672972972973035</v>
          </cell>
          <cell r="I1060" t="e">
            <v>#N/A</v>
          </cell>
          <cell r="J1060" t="e">
            <v>#N/A</v>
          </cell>
          <cell r="K1060">
            <v>17.5</v>
          </cell>
          <cell r="L1060">
            <v>14</v>
          </cell>
          <cell r="M1060" t="e">
            <v>#N/A</v>
          </cell>
          <cell r="N1060">
            <v>16.5</v>
          </cell>
          <cell r="O1060" t="e">
            <v>#N/A</v>
          </cell>
          <cell r="P1060" t="str">
            <v/>
          </cell>
          <cell r="Q1060" t="str">
            <v/>
          </cell>
          <cell r="R1060">
            <v>16.5</v>
          </cell>
        </row>
        <row r="1061">
          <cell r="A1061" t="str">
            <v/>
          </cell>
          <cell r="B1061" t="str">
            <v/>
          </cell>
          <cell r="C1061" t="str">
            <v>Future</v>
          </cell>
          <cell r="D1061" t="e">
            <v>#N/A</v>
          </cell>
          <cell r="E1061">
            <v>-13.463513513513604</v>
          </cell>
          <cell r="F1061">
            <v>20.455405405405731</v>
          </cell>
          <cell r="G1061">
            <v>13.671621621621684</v>
          </cell>
          <cell r="H1061">
            <v>13.671621621621684</v>
          </cell>
          <cell r="I1061" t="e">
            <v>#N/A</v>
          </cell>
          <cell r="J1061" t="e">
            <v>#N/A</v>
          </cell>
          <cell r="K1061">
            <v>17.5</v>
          </cell>
          <cell r="L1061">
            <v>14</v>
          </cell>
          <cell r="M1061" t="e">
            <v>#N/A</v>
          </cell>
          <cell r="N1061">
            <v>16.5</v>
          </cell>
          <cell r="O1061" t="e">
            <v>#N/A</v>
          </cell>
          <cell r="P1061" t="str">
            <v/>
          </cell>
          <cell r="Q1061" t="str">
            <v/>
          </cell>
          <cell r="R1061">
            <v>16.5</v>
          </cell>
        </row>
        <row r="1062">
          <cell r="A1062" t="str">
            <v/>
          </cell>
          <cell r="B1062" t="str">
            <v/>
          </cell>
          <cell r="C1062" t="str">
            <v>Future</v>
          </cell>
          <cell r="D1062" t="e">
            <v>#N/A</v>
          </cell>
          <cell r="E1062">
            <v>-13.51891891891901</v>
          </cell>
          <cell r="F1062">
            <v>20.467567567567894</v>
          </cell>
          <cell r="G1062">
            <v>13.670270270270333</v>
          </cell>
          <cell r="H1062">
            <v>13.670270270270333</v>
          </cell>
          <cell r="I1062" t="e">
            <v>#N/A</v>
          </cell>
          <cell r="J1062" t="e">
            <v>#N/A</v>
          </cell>
          <cell r="K1062">
            <v>17.5</v>
          </cell>
          <cell r="L1062">
            <v>14</v>
          </cell>
          <cell r="M1062" t="e">
            <v>#N/A</v>
          </cell>
          <cell r="N1062">
            <v>16.5</v>
          </cell>
          <cell r="O1062" t="e">
            <v>#N/A</v>
          </cell>
          <cell r="P1062" t="str">
            <v/>
          </cell>
          <cell r="Q1062" t="str">
            <v/>
          </cell>
          <cell r="R1062">
            <v>16.5</v>
          </cell>
        </row>
        <row r="1063">
          <cell r="A1063" t="str">
            <v/>
          </cell>
          <cell r="B1063" t="str">
            <v/>
          </cell>
          <cell r="C1063" t="str">
            <v>Future</v>
          </cell>
          <cell r="D1063" t="e">
            <v>#N/A</v>
          </cell>
          <cell r="E1063">
            <v>-13.574324324324415</v>
          </cell>
          <cell r="F1063">
            <v>20.479729729730057</v>
          </cell>
          <cell r="G1063">
            <v>13.668918918918981</v>
          </cell>
          <cell r="H1063">
            <v>13.668918918918981</v>
          </cell>
          <cell r="I1063" t="e">
            <v>#N/A</v>
          </cell>
          <cell r="J1063" t="e">
            <v>#N/A</v>
          </cell>
          <cell r="K1063">
            <v>17.5</v>
          </cell>
          <cell r="L1063">
            <v>14</v>
          </cell>
          <cell r="M1063" t="e">
            <v>#N/A</v>
          </cell>
          <cell r="N1063">
            <v>16.5</v>
          </cell>
          <cell r="O1063" t="e">
            <v>#N/A</v>
          </cell>
          <cell r="P1063" t="str">
            <v/>
          </cell>
          <cell r="Q1063" t="str">
            <v/>
          </cell>
          <cell r="R1063">
            <v>16.5</v>
          </cell>
        </row>
        <row r="1064">
          <cell r="A1064" t="str">
            <v/>
          </cell>
          <cell r="B1064" t="str">
            <v/>
          </cell>
          <cell r="C1064" t="str">
            <v>Future</v>
          </cell>
          <cell r="D1064" t="e">
            <v>#N/A</v>
          </cell>
          <cell r="E1064">
            <v>-13.629729729729821</v>
          </cell>
          <cell r="F1064">
            <v>20.491891891892219</v>
          </cell>
          <cell r="G1064">
            <v>13.66756756756763</v>
          </cell>
          <cell r="H1064">
            <v>13.66756756756763</v>
          </cell>
          <cell r="I1064" t="e">
            <v>#N/A</v>
          </cell>
          <cell r="J1064" t="e">
            <v>#N/A</v>
          </cell>
          <cell r="K1064">
            <v>17.5</v>
          </cell>
          <cell r="L1064">
            <v>14</v>
          </cell>
          <cell r="M1064" t="e">
            <v>#N/A</v>
          </cell>
          <cell r="N1064">
            <v>16.5</v>
          </cell>
          <cell r="O1064" t="e">
            <v>#N/A</v>
          </cell>
          <cell r="P1064" t="str">
            <v/>
          </cell>
          <cell r="Q1064" t="str">
            <v/>
          </cell>
          <cell r="R1064">
            <v>16.5</v>
          </cell>
        </row>
        <row r="1065">
          <cell r="A1065" t="str">
            <v/>
          </cell>
          <cell r="B1065" t="str">
            <v/>
          </cell>
          <cell r="C1065" t="str">
            <v>Future</v>
          </cell>
          <cell r="D1065" t="e">
            <v>#N/A</v>
          </cell>
          <cell r="E1065">
            <v>-13.685135135135226</v>
          </cell>
          <cell r="F1065">
            <v>20.504054054054382</v>
          </cell>
          <cell r="G1065">
            <v>13.666216216216279</v>
          </cell>
          <cell r="H1065">
            <v>13.666216216216279</v>
          </cell>
          <cell r="I1065" t="e">
            <v>#N/A</v>
          </cell>
          <cell r="J1065" t="e">
            <v>#N/A</v>
          </cell>
          <cell r="K1065">
            <v>17.5</v>
          </cell>
          <cell r="L1065">
            <v>14</v>
          </cell>
          <cell r="M1065" t="e">
            <v>#N/A</v>
          </cell>
          <cell r="N1065">
            <v>16.5</v>
          </cell>
          <cell r="O1065" t="e">
            <v>#N/A</v>
          </cell>
          <cell r="P1065" t="str">
            <v/>
          </cell>
          <cell r="Q1065" t="str">
            <v/>
          </cell>
          <cell r="R1065">
            <v>16.5</v>
          </cell>
        </row>
        <row r="1066">
          <cell r="A1066" t="str">
            <v/>
          </cell>
          <cell r="B1066" t="str">
            <v/>
          </cell>
          <cell r="C1066" t="str">
            <v>Future</v>
          </cell>
          <cell r="D1066" t="e">
            <v>#N/A</v>
          </cell>
          <cell r="E1066">
            <v>-13.740540540540632</v>
          </cell>
          <cell r="F1066">
            <v>20.516216216216545</v>
          </cell>
          <cell r="G1066">
            <v>13.664864864864928</v>
          </cell>
          <cell r="H1066">
            <v>13.664864864864928</v>
          </cell>
          <cell r="I1066" t="e">
            <v>#N/A</v>
          </cell>
          <cell r="J1066" t="e">
            <v>#N/A</v>
          </cell>
          <cell r="K1066">
            <v>17.5</v>
          </cell>
          <cell r="L1066">
            <v>14</v>
          </cell>
          <cell r="M1066" t="e">
            <v>#N/A</v>
          </cell>
          <cell r="N1066">
            <v>16.5</v>
          </cell>
          <cell r="O1066" t="e">
            <v>#N/A</v>
          </cell>
          <cell r="P1066" t="str">
            <v/>
          </cell>
          <cell r="Q1066" t="str">
            <v/>
          </cell>
          <cell r="R1066">
            <v>16.5</v>
          </cell>
        </row>
        <row r="1067">
          <cell r="A1067" t="str">
            <v/>
          </cell>
          <cell r="B1067" t="str">
            <v/>
          </cell>
          <cell r="C1067" t="str">
            <v>Future</v>
          </cell>
          <cell r="D1067" t="e">
            <v>#N/A</v>
          </cell>
          <cell r="E1067">
            <v>-13.795945945946038</v>
          </cell>
          <cell r="F1067">
            <v>20.528378378378708</v>
          </cell>
          <cell r="G1067">
            <v>13.663513513513577</v>
          </cell>
          <cell r="H1067">
            <v>13.663513513513577</v>
          </cell>
          <cell r="I1067" t="e">
            <v>#N/A</v>
          </cell>
          <cell r="J1067" t="e">
            <v>#N/A</v>
          </cell>
          <cell r="K1067">
            <v>17.5</v>
          </cell>
          <cell r="L1067">
            <v>14</v>
          </cell>
          <cell r="M1067" t="e">
            <v>#N/A</v>
          </cell>
          <cell r="N1067">
            <v>16.5</v>
          </cell>
          <cell r="O1067" t="e">
            <v>#N/A</v>
          </cell>
          <cell r="P1067" t="str">
            <v/>
          </cell>
          <cell r="Q1067" t="str">
            <v/>
          </cell>
          <cell r="R1067">
            <v>16.5</v>
          </cell>
        </row>
        <row r="1068">
          <cell r="A1068" t="str">
            <v/>
          </cell>
          <cell r="B1068" t="str">
            <v/>
          </cell>
          <cell r="C1068" t="str">
            <v>Future</v>
          </cell>
          <cell r="D1068" t="e">
            <v>#N/A</v>
          </cell>
          <cell r="E1068">
            <v>-13.851351351351443</v>
          </cell>
          <cell r="F1068">
            <v>20.540540540540871</v>
          </cell>
          <cell r="G1068">
            <v>13.662162162162225</v>
          </cell>
          <cell r="H1068">
            <v>13.662162162162225</v>
          </cell>
          <cell r="I1068" t="e">
            <v>#N/A</v>
          </cell>
          <cell r="J1068" t="e">
            <v>#N/A</v>
          </cell>
          <cell r="K1068">
            <v>17.5</v>
          </cell>
          <cell r="L1068">
            <v>14</v>
          </cell>
          <cell r="M1068" t="e">
            <v>#N/A</v>
          </cell>
          <cell r="N1068">
            <v>16.5</v>
          </cell>
          <cell r="O1068" t="e">
            <v>#N/A</v>
          </cell>
          <cell r="P1068" t="str">
            <v/>
          </cell>
          <cell r="Q1068" t="str">
            <v/>
          </cell>
          <cell r="R1068">
            <v>16.5</v>
          </cell>
        </row>
        <row r="1069">
          <cell r="A1069" t="str">
            <v/>
          </cell>
          <cell r="B1069" t="str">
            <v/>
          </cell>
          <cell r="C1069" t="str">
            <v>Future</v>
          </cell>
          <cell r="D1069" t="e">
            <v>#N/A</v>
          </cell>
          <cell r="E1069">
            <v>-13.906756756756849</v>
          </cell>
          <cell r="F1069">
            <v>20.552702702703034</v>
          </cell>
          <cell r="G1069">
            <v>13.660810810810874</v>
          </cell>
          <cell r="H1069">
            <v>13.660810810810874</v>
          </cell>
          <cell r="I1069" t="e">
            <v>#N/A</v>
          </cell>
          <cell r="J1069" t="e">
            <v>#N/A</v>
          </cell>
          <cell r="K1069">
            <v>17.5</v>
          </cell>
          <cell r="L1069">
            <v>14</v>
          </cell>
          <cell r="M1069" t="e">
            <v>#N/A</v>
          </cell>
          <cell r="N1069">
            <v>16.5</v>
          </cell>
          <cell r="O1069" t="e">
            <v>#N/A</v>
          </cell>
          <cell r="P1069" t="str">
            <v/>
          </cell>
          <cell r="Q1069" t="str">
            <v/>
          </cell>
          <cell r="R1069">
            <v>16.5</v>
          </cell>
        </row>
        <row r="1070">
          <cell r="A1070" t="str">
            <v/>
          </cell>
          <cell r="B1070" t="str">
            <v/>
          </cell>
          <cell r="C1070" t="str">
            <v>Future</v>
          </cell>
          <cell r="D1070" t="e">
            <v>#N/A</v>
          </cell>
          <cell r="E1070">
            <v>-13.962162162162254</v>
          </cell>
          <cell r="F1070">
            <v>20.564864864865196</v>
          </cell>
          <cell r="G1070">
            <v>13.659459459459523</v>
          </cell>
          <cell r="H1070">
            <v>13.659459459459523</v>
          </cell>
          <cell r="I1070" t="e">
            <v>#N/A</v>
          </cell>
          <cell r="J1070" t="e">
            <v>#N/A</v>
          </cell>
          <cell r="K1070">
            <v>17.5</v>
          </cell>
          <cell r="L1070">
            <v>14</v>
          </cell>
          <cell r="M1070" t="e">
            <v>#N/A</v>
          </cell>
          <cell r="N1070">
            <v>16.5</v>
          </cell>
          <cell r="O1070" t="e">
            <v>#N/A</v>
          </cell>
          <cell r="P1070" t="str">
            <v/>
          </cell>
          <cell r="Q1070" t="str">
            <v/>
          </cell>
          <cell r="R1070">
            <v>16.5</v>
          </cell>
        </row>
        <row r="1071">
          <cell r="A1071" t="str">
            <v/>
          </cell>
          <cell r="B1071" t="str">
            <v/>
          </cell>
          <cell r="C1071" t="str">
            <v>Future</v>
          </cell>
          <cell r="D1071" t="e">
            <v>#N/A</v>
          </cell>
          <cell r="E1071">
            <v>-14.01756756756766</v>
          </cell>
          <cell r="F1071">
            <v>20.577027027027359</v>
          </cell>
          <cell r="G1071">
            <v>13.658108108108172</v>
          </cell>
          <cell r="H1071">
            <v>13.658108108108172</v>
          </cell>
          <cell r="I1071" t="e">
            <v>#N/A</v>
          </cell>
          <cell r="J1071" t="e">
            <v>#N/A</v>
          </cell>
          <cell r="K1071">
            <v>17.5</v>
          </cell>
          <cell r="L1071">
            <v>14</v>
          </cell>
          <cell r="M1071" t="e">
            <v>#N/A</v>
          </cell>
          <cell r="N1071">
            <v>16.5</v>
          </cell>
          <cell r="O1071" t="e">
            <v>#N/A</v>
          </cell>
          <cell r="P1071" t="str">
            <v/>
          </cell>
          <cell r="Q1071" t="str">
            <v/>
          </cell>
          <cell r="R1071">
            <v>16.5</v>
          </cell>
        </row>
        <row r="1072">
          <cell r="A1072" t="str">
            <v/>
          </cell>
          <cell r="B1072" t="str">
            <v/>
          </cell>
          <cell r="C1072" t="str">
            <v>Future</v>
          </cell>
          <cell r="D1072" t="e">
            <v>#N/A</v>
          </cell>
          <cell r="E1072">
            <v>-14.072972972973066</v>
          </cell>
          <cell r="F1072">
            <v>20.589189189189522</v>
          </cell>
          <cell r="G1072">
            <v>13.65675675675682</v>
          </cell>
          <cell r="H1072">
            <v>13.65675675675682</v>
          </cell>
          <cell r="I1072" t="e">
            <v>#N/A</v>
          </cell>
          <cell r="J1072" t="e">
            <v>#N/A</v>
          </cell>
          <cell r="K1072">
            <v>17.5</v>
          </cell>
          <cell r="L1072">
            <v>14</v>
          </cell>
          <cell r="M1072" t="e">
            <v>#N/A</v>
          </cell>
          <cell r="N1072">
            <v>16.5</v>
          </cell>
          <cell r="O1072" t="e">
            <v>#N/A</v>
          </cell>
          <cell r="P1072" t="str">
            <v/>
          </cell>
          <cell r="Q1072" t="str">
            <v/>
          </cell>
          <cell r="R1072">
            <v>16.5</v>
          </cell>
        </row>
        <row r="1073">
          <cell r="A1073" t="str">
            <v/>
          </cell>
          <cell r="B1073" t="str">
            <v/>
          </cell>
          <cell r="C1073" t="str">
            <v>Future</v>
          </cell>
          <cell r="D1073" t="e">
            <v>#N/A</v>
          </cell>
          <cell r="E1073">
            <v>-14.128378378378471</v>
          </cell>
          <cell r="F1073">
            <v>20.601351351351685</v>
          </cell>
          <cell r="G1073">
            <v>13.655405405405469</v>
          </cell>
          <cell r="H1073">
            <v>13.655405405405469</v>
          </cell>
          <cell r="I1073" t="e">
            <v>#N/A</v>
          </cell>
          <cell r="J1073" t="e">
            <v>#N/A</v>
          </cell>
          <cell r="K1073">
            <v>17.5</v>
          </cell>
          <cell r="L1073">
            <v>14</v>
          </cell>
          <cell r="M1073" t="e">
            <v>#N/A</v>
          </cell>
          <cell r="N1073">
            <v>16.5</v>
          </cell>
          <cell r="O1073" t="e">
            <v>#N/A</v>
          </cell>
          <cell r="P1073" t="str">
            <v/>
          </cell>
          <cell r="Q1073" t="str">
            <v/>
          </cell>
          <cell r="R1073">
            <v>16.5</v>
          </cell>
        </row>
        <row r="1074">
          <cell r="A1074" t="str">
            <v/>
          </cell>
          <cell r="B1074" t="str">
            <v/>
          </cell>
          <cell r="C1074" t="str">
            <v>Future</v>
          </cell>
          <cell r="D1074" t="e">
            <v>#N/A</v>
          </cell>
          <cell r="E1074">
            <v>-14.183783783783877</v>
          </cell>
          <cell r="F1074">
            <v>20.613513513513848</v>
          </cell>
          <cell r="G1074">
            <v>13.654054054054118</v>
          </cell>
          <cell r="H1074">
            <v>13.654054054054118</v>
          </cell>
          <cell r="I1074" t="e">
            <v>#N/A</v>
          </cell>
          <cell r="J1074" t="e">
            <v>#N/A</v>
          </cell>
          <cell r="K1074">
            <v>17.5</v>
          </cell>
          <cell r="L1074">
            <v>14</v>
          </cell>
          <cell r="M1074" t="e">
            <v>#N/A</v>
          </cell>
          <cell r="N1074">
            <v>16.5</v>
          </cell>
          <cell r="O1074" t="e">
            <v>#N/A</v>
          </cell>
          <cell r="P1074" t="str">
            <v/>
          </cell>
          <cell r="Q1074" t="str">
            <v/>
          </cell>
          <cell r="R1074">
            <v>16.5</v>
          </cell>
        </row>
        <row r="1075">
          <cell r="A1075" t="str">
            <v/>
          </cell>
          <cell r="B1075" t="str">
            <v/>
          </cell>
          <cell r="C1075" t="str">
            <v>Future</v>
          </cell>
          <cell r="D1075" t="e">
            <v>#N/A</v>
          </cell>
          <cell r="E1075">
            <v>-14.239189189189283</v>
          </cell>
          <cell r="F1075">
            <v>20.62567567567601</v>
          </cell>
          <cell r="G1075">
            <v>13.652702702702767</v>
          </cell>
          <cell r="H1075">
            <v>13.652702702702767</v>
          </cell>
          <cell r="I1075" t="e">
            <v>#N/A</v>
          </cell>
          <cell r="J1075" t="e">
            <v>#N/A</v>
          </cell>
          <cell r="K1075">
            <v>17.5</v>
          </cell>
          <cell r="L1075">
            <v>14</v>
          </cell>
          <cell r="M1075" t="e">
            <v>#N/A</v>
          </cell>
          <cell r="N1075">
            <v>16.5</v>
          </cell>
          <cell r="O1075" t="e">
            <v>#N/A</v>
          </cell>
          <cell r="P1075" t="str">
            <v/>
          </cell>
          <cell r="Q1075" t="str">
            <v/>
          </cell>
          <cell r="R1075">
            <v>16.5</v>
          </cell>
        </row>
        <row r="1076">
          <cell r="A1076" t="str">
            <v/>
          </cell>
          <cell r="B1076" t="str">
            <v/>
          </cell>
          <cell r="C1076" t="str">
            <v>Future</v>
          </cell>
          <cell r="D1076" t="e">
            <v>#N/A</v>
          </cell>
          <cell r="E1076">
            <v>-14.294594594594688</v>
          </cell>
          <cell r="F1076">
            <v>20.637837837838173</v>
          </cell>
          <cell r="G1076">
            <v>13.651351351351416</v>
          </cell>
          <cell r="H1076">
            <v>13.651351351351416</v>
          </cell>
          <cell r="I1076" t="e">
            <v>#N/A</v>
          </cell>
          <cell r="J1076" t="e">
            <v>#N/A</v>
          </cell>
          <cell r="K1076">
            <v>17.5</v>
          </cell>
          <cell r="L1076">
            <v>14</v>
          </cell>
          <cell r="M1076" t="e">
            <v>#N/A</v>
          </cell>
          <cell r="N1076">
            <v>16.5</v>
          </cell>
          <cell r="O1076" t="e">
            <v>#N/A</v>
          </cell>
          <cell r="P1076" t="str">
            <v/>
          </cell>
          <cell r="Q1076" t="str">
            <v/>
          </cell>
          <cell r="R1076">
            <v>16.5</v>
          </cell>
        </row>
        <row r="1077">
          <cell r="A1077" t="str">
            <v/>
          </cell>
          <cell r="B1077" t="str">
            <v/>
          </cell>
          <cell r="C1077" t="str">
            <v>Future</v>
          </cell>
          <cell r="D1077" t="e">
            <v>#N/A</v>
          </cell>
          <cell r="E1077">
            <v>-14.350000000000094</v>
          </cell>
          <cell r="F1077">
            <v>20.650000000000336</v>
          </cell>
          <cell r="G1077">
            <v>13.650000000000064</v>
          </cell>
          <cell r="H1077">
            <v>13.650000000000064</v>
          </cell>
          <cell r="I1077" t="e">
            <v>#N/A</v>
          </cell>
          <cell r="J1077" t="e">
            <v>#N/A</v>
          </cell>
          <cell r="K1077">
            <v>17.5</v>
          </cell>
          <cell r="L1077">
            <v>14</v>
          </cell>
          <cell r="M1077" t="e">
            <v>#N/A</v>
          </cell>
          <cell r="N1077">
            <v>16.5</v>
          </cell>
          <cell r="O1077" t="e">
            <v>#N/A</v>
          </cell>
          <cell r="P1077" t="str">
            <v/>
          </cell>
          <cell r="Q1077" t="str">
            <v/>
          </cell>
          <cell r="R1077">
            <v>16.5</v>
          </cell>
        </row>
        <row r="1078">
          <cell r="A1078" t="str">
            <v/>
          </cell>
          <cell r="B1078" t="str">
            <v/>
          </cell>
          <cell r="C1078" t="str">
            <v>Future</v>
          </cell>
          <cell r="D1078" t="e">
            <v>#N/A</v>
          </cell>
          <cell r="E1078">
            <v>-14.405405405405499</v>
          </cell>
          <cell r="F1078">
            <v>20.662162162162499</v>
          </cell>
          <cell r="G1078">
            <v>13.648648648648713</v>
          </cell>
          <cell r="H1078">
            <v>13.648648648648713</v>
          </cell>
          <cell r="I1078" t="e">
            <v>#N/A</v>
          </cell>
          <cell r="J1078" t="e">
            <v>#N/A</v>
          </cell>
          <cell r="K1078">
            <v>17.5</v>
          </cell>
          <cell r="L1078">
            <v>14</v>
          </cell>
          <cell r="M1078" t="e">
            <v>#N/A</v>
          </cell>
          <cell r="N1078">
            <v>16.5</v>
          </cell>
          <cell r="O1078" t="e">
            <v>#N/A</v>
          </cell>
          <cell r="P1078" t="str">
            <v/>
          </cell>
          <cell r="Q1078" t="str">
            <v/>
          </cell>
          <cell r="R1078">
            <v>16.5</v>
          </cell>
        </row>
        <row r="1079">
          <cell r="A1079" t="str">
            <v/>
          </cell>
          <cell r="B1079" t="str">
            <v/>
          </cell>
          <cell r="C1079" t="str">
            <v>Future</v>
          </cell>
          <cell r="D1079" t="e">
            <v>#N/A</v>
          </cell>
          <cell r="E1079">
            <v>-14.460810810810905</v>
          </cell>
          <cell r="F1079">
            <v>20.674324324324662</v>
          </cell>
          <cell r="G1079">
            <v>13.647297297297362</v>
          </cell>
          <cell r="H1079">
            <v>13.647297297297362</v>
          </cell>
          <cell r="I1079" t="e">
            <v>#N/A</v>
          </cell>
          <cell r="J1079" t="e">
            <v>#N/A</v>
          </cell>
          <cell r="K1079">
            <v>17.5</v>
          </cell>
          <cell r="L1079">
            <v>14</v>
          </cell>
          <cell r="M1079" t="e">
            <v>#N/A</v>
          </cell>
          <cell r="N1079">
            <v>16.5</v>
          </cell>
          <cell r="O1079" t="e">
            <v>#N/A</v>
          </cell>
          <cell r="P1079" t="str">
            <v/>
          </cell>
          <cell r="Q1079" t="str">
            <v/>
          </cell>
          <cell r="R1079">
            <v>16.5</v>
          </cell>
        </row>
        <row r="1080">
          <cell r="A1080" t="str">
            <v/>
          </cell>
          <cell r="B1080" t="str">
            <v/>
          </cell>
          <cell r="C1080" t="str">
            <v>Future</v>
          </cell>
          <cell r="D1080" t="e">
            <v>#N/A</v>
          </cell>
          <cell r="E1080">
            <v>-14.516216216216311</v>
          </cell>
          <cell r="F1080">
            <v>20.686486486486825</v>
          </cell>
          <cell r="G1080">
            <v>13.645945945946011</v>
          </cell>
          <cell r="H1080">
            <v>13.645945945946011</v>
          </cell>
          <cell r="I1080" t="e">
            <v>#N/A</v>
          </cell>
          <cell r="J1080" t="e">
            <v>#N/A</v>
          </cell>
          <cell r="K1080">
            <v>17.5</v>
          </cell>
          <cell r="L1080">
            <v>14</v>
          </cell>
          <cell r="M1080" t="e">
            <v>#N/A</v>
          </cell>
          <cell r="N1080">
            <v>16.5</v>
          </cell>
          <cell r="O1080" t="e">
            <v>#N/A</v>
          </cell>
          <cell r="P1080" t="str">
            <v/>
          </cell>
          <cell r="Q1080" t="str">
            <v/>
          </cell>
          <cell r="R1080">
            <v>16.5</v>
          </cell>
        </row>
        <row r="1081">
          <cell r="A1081" t="str">
            <v/>
          </cell>
          <cell r="B1081" t="str">
            <v/>
          </cell>
          <cell r="C1081" t="str">
            <v>Future</v>
          </cell>
          <cell r="D1081" t="e">
            <v>#N/A</v>
          </cell>
          <cell r="E1081">
            <v>-14.571621621621716</v>
          </cell>
          <cell r="F1081">
            <v>20.698648648648987</v>
          </cell>
          <cell r="G1081">
            <v>13.644594594594659</v>
          </cell>
          <cell r="H1081">
            <v>13.644594594594659</v>
          </cell>
          <cell r="I1081" t="e">
            <v>#N/A</v>
          </cell>
          <cell r="J1081" t="e">
            <v>#N/A</v>
          </cell>
          <cell r="K1081">
            <v>17.5</v>
          </cell>
          <cell r="L1081">
            <v>14</v>
          </cell>
          <cell r="M1081" t="e">
            <v>#N/A</v>
          </cell>
          <cell r="N1081">
            <v>16.5</v>
          </cell>
          <cell r="O1081" t="e">
            <v>#N/A</v>
          </cell>
          <cell r="P1081" t="str">
            <v/>
          </cell>
          <cell r="Q1081" t="str">
            <v/>
          </cell>
          <cell r="R1081">
            <v>16.5</v>
          </cell>
        </row>
        <row r="1082">
          <cell r="A1082" t="str">
            <v/>
          </cell>
          <cell r="B1082" t="str">
            <v/>
          </cell>
          <cell r="C1082" t="str">
            <v>Future</v>
          </cell>
          <cell r="D1082" t="e">
            <v>#N/A</v>
          </cell>
          <cell r="E1082">
            <v>-14.627027027027122</v>
          </cell>
          <cell r="F1082">
            <v>20.71081081081115</v>
          </cell>
          <cell r="G1082">
            <v>13.643243243243308</v>
          </cell>
          <cell r="H1082">
            <v>13.643243243243308</v>
          </cell>
          <cell r="I1082" t="e">
            <v>#N/A</v>
          </cell>
          <cell r="J1082" t="e">
            <v>#N/A</v>
          </cell>
          <cell r="K1082">
            <v>17.5</v>
          </cell>
          <cell r="L1082">
            <v>14</v>
          </cell>
          <cell r="M1082" t="e">
            <v>#N/A</v>
          </cell>
          <cell r="N1082">
            <v>16.5</v>
          </cell>
          <cell r="O1082" t="e">
            <v>#N/A</v>
          </cell>
          <cell r="P1082" t="str">
            <v/>
          </cell>
          <cell r="Q1082" t="str">
            <v/>
          </cell>
          <cell r="R1082">
            <v>16.5</v>
          </cell>
        </row>
        <row r="1083">
          <cell r="A1083" t="str">
            <v/>
          </cell>
          <cell r="B1083" t="str">
            <v/>
          </cell>
          <cell r="C1083" t="str">
            <v>Future</v>
          </cell>
          <cell r="D1083" t="e">
            <v>#N/A</v>
          </cell>
          <cell r="E1083">
            <v>-14.682432432432527</v>
          </cell>
          <cell r="F1083">
            <v>20.722972972973313</v>
          </cell>
          <cell r="G1083">
            <v>13.641891891891957</v>
          </cell>
          <cell r="H1083">
            <v>13.641891891891957</v>
          </cell>
          <cell r="I1083" t="e">
            <v>#N/A</v>
          </cell>
          <cell r="J1083" t="e">
            <v>#N/A</v>
          </cell>
          <cell r="K1083">
            <v>17.5</v>
          </cell>
          <cell r="L1083">
            <v>14</v>
          </cell>
          <cell r="M1083" t="e">
            <v>#N/A</v>
          </cell>
          <cell r="N1083">
            <v>16.5</v>
          </cell>
          <cell r="O1083" t="e">
            <v>#N/A</v>
          </cell>
          <cell r="P1083" t="str">
            <v/>
          </cell>
          <cell r="Q1083" t="str">
            <v/>
          </cell>
          <cell r="R1083">
            <v>16.5</v>
          </cell>
        </row>
        <row r="1084">
          <cell r="A1084" t="str">
            <v/>
          </cell>
          <cell r="B1084" t="str">
            <v/>
          </cell>
          <cell r="C1084" t="str">
            <v>Future</v>
          </cell>
          <cell r="D1084" t="e">
            <v>#N/A</v>
          </cell>
          <cell r="E1084">
            <v>-14.737837837837933</v>
          </cell>
          <cell r="F1084">
            <v>20.735135135135476</v>
          </cell>
          <cell r="G1084">
            <v>13.640540540540606</v>
          </cell>
          <cell r="H1084">
            <v>13.640540540540606</v>
          </cell>
          <cell r="I1084" t="e">
            <v>#N/A</v>
          </cell>
          <cell r="J1084" t="e">
            <v>#N/A</v>
          </cell>
          <cell r="K1084">
            <v>17.5</v>
          </cell>
          <cell r="L1084">
            <v>14</v>
          </cell>
          <cell r="M1084" t="e">
            <v>#N/A</v>
          </cell>
          <cell r="N1084">
            <v>16.5</v>
          </cell>
          <cell r="O1084" t="e">
            <v>#N/A</v>
          </cell>
          <cell r="P1084" t="str">
            <v/>
          </cell>
          <cell r="Q1084" t="str">
            <v/>
          </cell>
          <cell r="R1084">
            <v>16.5</v>
          </cell>
        </row>
        <row r="1085">
          <cell r="A1085" t="str">
            <v/>
          </cell>
          <cell r="B1085" t="str">
            <v/>
          </cell>
          <cell r="C1085" t="str">
            <v>Future</v>
          </cell>
          <cell r="D1085" t="e">
            <v>#N/A</v>
          </cell>
          <cell r="E1085">
            <v>-14.793243243243339</v>
          </cell>
          <cell r="F1085">
            <v>20.747297297297639</v>
          </cell>
          <cell r="G1085">
            <v>13.639189189189254</v>
          </cell>
          <cell r="H1085">
            <v>13.639189189189254</v>
          </cell>
          <cell r="I1085" t="e">
            <v>#N/A</v>
          </cell>
          <cell r="J1085" t="e">
            <v>#N/A</v>
          </cell>
          <cell r="K1085">
            <v>17.5</v>
          </cell>
          <cell r="L1085">
            <v>14</v>
          </cell>
          <cell r="M1085" t="e">
            <v>#N/A</v>
          </cell>
          <cell r="N1085">
            <v>16.5</v>
          </cell>
          <cell r="O1085" t="e">
            <v>#N/A</v>
          </cell>
          <cell r="P1085" t="str">
            <v/>
          </cell>
          <cell r="Q1085" t="str">
            <v/>
          </cell>
          <cell r="R1085">
            <v>16.5</v>
          </cell>
        </row>
        <row r="1086">
          <cell r="A1086" t="str">
            <v/>
          </cell>
          <cell r="B1086" t="str">
            <v/>
          </cell>
          <cell r="C1086" t="str">
            <v>Future</v>
          </cell>
          <cell r="D1086" t="e">
            <v>#N/A</v>
          </cell>
          <cell r="E1086">
            <v>-14.848648648648744</v>
          </cell>
          <cell r="F1086">
            <v>20.759459459459801</v>
          </cell>
          <cell r="G1086">
            <v>13.637837837837903</v>
          </cell>
          <cell r="H1086">
            <v>13.637837837837903</v>
          </cell>
          <cell r="I1086" t="e">
            <v>#N/A</v>
          </cell>
          <cell r="J1086" t="e">
            <v>#N/A</v>
          </cell>
          <cell r="K1086">
            <v>17.5</v>
          </cell>
          <cell r="L1086">
            <v>14</v>
          </cell>
          <cell r="M1086" t="e">
            <v>#N/A</v>
          </cell>
          <cell r="N1086">
            <v>16.5</v>
          </cell>
          <cell r="O1086" t="e">
            <v>#N/A</v>
          </cell>
          <cell r="P1086" t="str">
            <v/>
          </cell>
          <cell r="Q1086" t="str">
            <v/>
          </cell>
          <cell r="R1086">
            <v>16.5</v>
          </cell>
        </row>
        <row r="1087">
          <cell r="A1087" t="str">
            <v/>
          </cell>
          <cell r="B1087" t="str">
            <v/>
          </cell>
          <cell r="C1087" t="str">
            <v>Future</v>
          </cell>
          <cell r="D1087" t="e">
            <v>#N/A</v>
          </cell>
          <cell r="E1087">
            <v>-14.90405405405415</v>
          </cell>
          <cell r="F1087">
            <v>20.771621621621964</v>
          </cell>
          <cell r="G1087">
            <v>13.636486486486552</v>
          </cell>
          <cell r="H1087">
            <v>13.636486486486552</v>
          </cell>
          <cell r="I1087" t="e">
            <v>#N/A</v>
          </cell>
          <cell r="J1087" t="e">
            <v>#N/A</v>
          </cell>
          <cell r="K1087">
            <v>17.5</v>
          </cell>
          <cell r="L1087">
            <v>14</v>
          </cell>
          <cell r="M1087" t="e">
            <v>#N/A</v>
          </cell>
          <cell r="N1087">
            <v>16.5</v>
          </cell>
          <cell r="O1087" t="e">
            <v>#N/A</v>
          </cell>
          <cell r="P1087" t="str">
            <v/>
          </cell>
          <cell r="Q1087" t="str">
            <v/>
          </cell>
          <cell r="R1087">
            <v>16.5</v>
          </cell>
        </row>
        <row r="1088">
          <cell r="A1088" t="str">
            <v/>
          </cell>
          <cell r="B1088" t="str">
            <v/>
          </cell>
          <cell r="C1088" t="str">
            <v>Future</v>
          </cell>
          <cell r="D1088" t="e">
            <v>#N/A</v>
          </cell>
          <cell r="E1088">
            <v>-14.959459459459556</v>
          </cell>
          <cell r="F1088">
            <v>20.783783783784127</v>
          </cell>
          <cell r="G1088">
            <v>13.635135135135201</v>
          </cell>
          <cell r="H1088">
            <v>13.635135135135201</v>
          </cell>
          <cell r="I1088" t="e">
            <v>#N/A</v>
          </cell>
          <cell r="J1088" t="e">
            <v>#N/A</v>
          </cell>
          <cell r="K1088">
            <v>17.5</v>
          </cell>
          <cell r="L1088">
            <v>14</v>
          </cell>
          <cell r="M1088" t="e">
            <v>#N/A</v>
          </cell>
          <cell r="N1088">
            <v>16.5</v>
          </cell>
          <cell r="O1088" t="e">
            <v>#N/A</v>
          </cell>
          <cell r="P1088" t="str">
            <v/>
          </cell>
          <cell r="Q1088" t="str">
            <v/>
          </cell>
          <cell r="R1088">
            <v>16.5</v>
          </cell>
        </row>
        <row r="1089">
          <cell r="A1089" t="str">
            <v/>
          </cell>
          <cell r="B1089" t="str">
            <v/>
          </cell>
          <cell r="C1089" t="str">
            <v>Future</v>
          </cell>
          <cell r="D1089" t="e">
            <v>#N/A</v>
          </cell>
          <cell r="E1089">
            <v>-15.014864864864961</v>
          </cell>
          <cell r="F1089">
            <v>20.79594594594629</v>
          </cell>
          <cell r="G1089">
            <v>13.63378378378385</v>
          </cell>
          <cell r="H1089">
            <v>13.63378378378385</v>
          </cell>
          <cell r="I1089" t="e">
            <v>#N/A</v>
          </cell>
          <cell r="J1089" t="e">
            <v>#N/A</v>
          </cell>
          <cell r="K1089">
            <v>17.5</v>
          </cell>
          <cell r="L1089">
            <v>14</v>
          </cell>
          <cell r="M1089" t="e">
            <v>#N/A</v>
          </cell>
          <cell r="N1089">
            <v>16.5</v>
          </cell>
          <cell r="O1089" t="e">
            <v>#N/A</v>
          </cell>
          <cell r="P1089" t="str">
            <v/>
          </cell>
          <cell r="Q1089" t="str">
            <v/>
          </cell>
          <cell r="R1089">
            <v>16.5</v>
          </cell>
        </row>
        <row r="1090">
          <cell r="A1090" t="str">
            <v/>
          </cell>
          <cell r="B1090" t="str">
            <v/>
          </cell>
          <cell r="C1090" t="str">
            <v>Future</v>
          </cell>
          <cell r="D1090" t="e">
            <v>#N/A</v>
          </cell>
          <cell r="E1090">
            <v>-15.070270270270367</v>
          </cell>
          <cell r="F1090">
            <v>20.808108108108453</v>
          </cell>
          <cell r="G1090">
            <v>13.632432432432498</v>
          </cell>
          <cell r="H1090">
            <v>13.632432432432498</v>
          </cell>
          <cell r="I1090" t="e">
            <v>#N/A</v>
          </cell>
          <cell r="J1090" t="e">
            <v>#N/A</v>
          </cell>
          <cell r="K1090">
            <v>17.5</v>
          </cell>
          <cell r="L1090">
            <v>14</v>
          </cell>
          <cell r="M1090" t="e">
            <v>#N/A</v>
          </cell>
          <cell r="N1090">
            <v>16.5</v>
          </cell>
          <cell r="O1090" t="e">
            <v>#N/A</v>
          </cell>
          <cell r="P1090" t="str">
            <v/>
          </cell>
          <cell r="Q1090" t="str">
            <v/>
          </cell>
          <cell r="R1090">
            <v>16.5</v>
          </cell>
        </row>
        <row r="1091">
          <cell r="A1091" t="str">
            <v/>
          </cell>
          <cell r="B1091" t="str">
            <v/>
          </cell>
          <cell r="C1091" t="str">
            <v>Future</v>
          </cell>
          <cell r="D1091" t="e">
            <v>#N/A</v>
          </cell>
          <cell r="E1091">
            <v>-15.125675675675772</v>
          </cell>
          <cell r="F1091">
            <v>20.820270270270615</v>
          </cell>
          <cell r="G1091">
            <v>13.631081081081147</v>
          </cell>
          <cell r="H1091">
            <v>13.631081081081147</v>
          </cell>
          <cell r="I1091" t="e">
            <v>#N/A</v>
          </cell>
          <cell r="J1091" t="e">
            <v>#N/A</v>
          </cell>
          <cell r="K1091">
            <v>17.5</v>
          </cell>
          <cell r="L1091">
            <v>14</v>
          </cell>
          <cell r="M1091" t="e">
            <v>#N/A</v>
          </cell>
          <cell r="N1091">
            <v>16.5</v>
          </cell>
          <cell r="O1091" t="e">
            <v>#N/A</v>
          </cell>
          <cell r="P1091" t="str">
            <v/>
          </cell>
          <cell r="Q1091" t="str">
            <v/>
          </cell>
          <cell r="R1091">
            <v>16.5</v>
          </cell>
        </row>
        <row r="1092">
          <cell r="A1092" t="str">
            <v/>
          </cell>
          <cell r="B1092" t="str">
            <v/>
          </cell>
          <cell r="C1092" t="str">
            <v>Future</v>
          </cell>
          <cell r="D1092" t="e">
            <v>#N/A</v>
          </cell>
          <cell r="E1092">
            <v>-15.181081081081178</v>
          </cell>
          <cell r="F1092">
            <v>20.832432432432778</v>
          </cell>
          <cell r="G1092">
            <v>13.629729729729796</v>
          </cell>
          <cell r="H1092">
            <v>13.629729729729796</v>
          </cell>
          <cell r="I1092" t="e">
            <v>#N/A</v>
          </cell>
          <cell r="J1092" t="e">
            <v>#N/A</v>
          </cell>
          <cell r="K1092">
            <v>17.5</v>
          </cell>
          <cell r="L1092">
            <v>14</v>
          </cell>
          <cell r="M1092" t="e">
            <v>#N/A</v>
          </cell>
          <cell r="N1092">
            <v>16.5</v>
          </cell>
          <cell r="O1092" t="e">
            <v>#N/A</v>
          </cell>
          <cell r="P1092" t="str">
            <v/>
          </cell>
          <cell r="Q1092" t="str">
            <v/>
          </cell>
          <cell r="R1092">
            <v>16.5</v>
          </cell>
        </row>
        <row r="1093">
          <cell r="A1093" t="str">
            <v/>
          </cell>
          <cell r="B1093" t="str">
            <v/>
          </cell>
          <cell r="C1093" t="str">
            <v>Future</v>
          </cell>
          <cell r="D1093" t="e">
            <v>#N/A</v>
          </cell>
          <cell r="E1093">
            <v>-15.236486486486584</v>
          </cell>
          <cell r="F1093">
            <v>20.844594594594941</v>
          </cell>
          <cell r="G1093">
            <v>13.628378378378445</v>
          </cell>
          <cell r="H1093">
            <v>13.628378378378445</v>
          </cell>
          <cell r="I1093" t="e">
            <v>#N/A</v>
          </cell>
          <cell r="J1093" t="e">
            <v>#N/A</v>
          </cell>
          <cell r="K1093">
            <v>17.5</v>
          </cell>
          <cell r="L1093">
            <v>14</v>
          </cell>
          <cell r="M1093" t="e">
            <v>#N/A</v>
          </cell>
          <cell r="N1093">
            <v>16.5</v>
          </cell>
          <cell r="O1093" t="e">
            <v>#N/A</v>
          </cell>
          <cell r="P1093" t="str">
            <v/>
          </cell>
          <cell r="Q1093" t="str">
            <v/>
          </cell>
          <cell r="R1093">
            <v>16.5</v>
          </cell>
        </row>
        <row r="1094">
          <cell r="A1094" t="str">
            <v/>
          </cell>
          <cell r="B1094" t="str">
            <v/>
          </cell>
          <cell r="C1094" t="str">
            <v>Future</v>
          </cell>
          <cell r="D1094" t="e">
            <v>#N/A</v>
          </cell>
          <cell r="E1094">
            <v>-15.291891891891989</v>
          </cell>
          <cell r="F1094">
            <v>20.856756756757104</v>
          </cell>
          <cell r="G1094">
            <v>13.627027027027093</v>
          </cell>
          <cell r="H1094">
            <v>13.627027027027093</v>
          </cell>
          <cell r="I1094" t="e">
            <v>#N/A</v>
          </cell>
          <cell r="J1094" t="e">
            <v>#N/A</v>
          </cell>
          <cell r="K1094">
            <v>17.5</v>
          </cell>
          <cell r="L1094">
            <v>14</v>
          </cell>
          <cell r="M1094" t="e">
            <v>#N/A</v>
          </cell>
          <cell r="N1094">
            <v>16.5</v>
          </cell>
          <cell r="O1094" t="e">
            <v>#N/A</v>
          </cell>
          <cell r="P1094" t="str">
            <v/>
          </cell>
          <cell r="Q1094" t="str">
            <v/>
          </cell>
          <cell r="R1094">
            <v>16.5</v>
          </cell>
        </row>
        <row r="1095">
          <cell r="A1095" t="str">
            <v/>
          </cell>
          <cell r="B1095" t="str">
            <v/>
          </cell>
          <cell r="C1095" t="str">
            <v>Future</v>
          </cell>
          <cell r="D1095" t="e">
            <v>#N/A</v>
          </cell>
          <cell r="E1095">
            <v>-15.347297297297395</v>
          </cell>
          <cell r="F1095">
            <v>20.868918918919267</v>
          </cell>
          <cell r="G1095">
            <v>13.625675675675742</v>
          </cell>
          <cell r="H1095">
            <v>13.625675675675742</v>
          </cell>
          <cell r="I1095" t="e">
            <v>#N/A</v>
          </cell>
          <cell r="J1095" t="e">
            <v>#N/A</v>
          </cell>
          <cell r="K1095">
            <v>17.5</v>
          </cell>
          <cell r="L1095">
            <v>14</v>
          </cell>
          <cell r="M1095" t="e">
            <v>#N/A</v>
          </cell>
          <cell r="N1095">
            <v>16.5</v>
          </cell>
          <cell r="O1095" t="e">
            <v>#N/A</v>
          </cell>
          <cell r="P1095" t="str">
            <v/>
          </cell>
          <cell r="Q1095" t="str">
            <v/>
          </cell>
          <cell r="R1095">
            <v>16.5</v>
          </cell>
        </row>
        <row r="1096">
          <cell r="A1096" t="str">
            <v/>
          </cell>
          <cell r="B1096" t="str">
            <v/>
          </cell>
          <cell r="C1096" t="str">
            <v>Future</v>
          </cell>
          <cell r="D1096" t="e">
            <v>#N/A</v>
          </cell>
          <cell r="E1096">
            <v>-15.402702702702801</v>
          </cell>
          <cell r="F1096">
            <v>20.88108108108143</v>
          </cell>
          <cell r="G1096">
            <v>13.624324324324391</v>
          </cell>
          <cell r="H1096">
            <v>13.624324324324391</v>
          </cell>
          <cell r="I1096" t="e">
            <v>#N/A</v>
          </cell>
          <cell r="J1096" t="e">
            <v>#N/A</v>
          </cell>
          <cell r="K1096">
            <v>17.5</v>
          </cell>
          <cell r="L1096">
            <v>14</v>
          </cell>
          <cell r="M1096" t="e">
            <v>#N/A</v>
          </cell>
          <cell r="N1096">
            <v>16.5</v>
          </cell>
          <cell r="O1096" t="e">
            <v>#N/A</v>
          </cell>
          <cell r="P1096" t="str">
            <v/>
          </cell>
          <cell r="Q1096" t="str">
            <v/>
          </cell>
          <cell r="R1096">
            <v>16.5</v>
          </cell>
        </row>
        <row r="1097">
          <cell r="A1097" t="str">
            <v/>
          </cell>
          <cell r="B1097" t="str">
            <v/>
          </cell>
          <cell r="C1097" t="str">
            <v>Future</v>
          </cell>
          <cell r="D1097" t="e">
            <v>#N/A</v>
          </cell>
          <cell r="E1097">
            <v>-15.458108108108206</v>
          </cell>
          <cell r="F1097">
            <v>20.893243243243592</v>
          </cell>
          <cell r="G1097">
            <v>13.62297297297304</v>
          </cell>
          <cell r="H1097">
            <v>13.62297297297304</v>
          </cell>
          <cell r="I1097" t="e">
            <v>#N/A</v>
          </cell>
          <cell r="J1097" t="e">
            <v>#N/A</v>
          </cell>
          <cell r="K1097">
            <v>17.5</v>
          </cell>
          <cell r="L1097">
            <v>14</v>
          </cell>
          <cell r="M1097" t="e">
            <v>#N/A</v>
          </cell>
          <cell r="N1097">
            <v>16.5</v>
          </cell>
          <cell r="O1097" t="e">
            <v>#N/A</v>
          </cell>
          <cell r="P1097" t="str">
            <v/>
          </cell>
          <cell r="Q1097" t="str">
            <v/>
          </cell>
          <cell r="R1097">
            <v>16.5</v>
          </cell>
        </row>
        <row r="1098">
          <cell r="A1098" t="str">
            <v/>
          </cell>
          <cell r="B1098" t="str">
            <v/>
          </cell>
          <cell r="C1098" t="str">
            <v>Future</v>
          </cell>
          <cell r="D1098" t="e">
            <v>#N/A</v>
          </cell>
          <cell r="E1098">
            <v>-15.513513513513612</v>
          </cell>
          <cell r="F1098">
            <v>20.905405405405755</v>
          </cell>
          <cell r="G1098">
            <v>13.621621621621689</v>
          </cell>
          <cell r="H1098">
            <v>13.621621621621689</v>
          </cell>
          <cell r="I1098" t="e">
            <v>#N/A</v>
          </cell>
          <cell r="J1098" t="e">
            <v>#N/A</v>
          </cell>
          <cell r="K1098">
            <v>17.5</v>
          </cell>
          <cell r="L1098">
            <v>14</v>
          </cell>
          <cell r="M1098" t="e">
            <v>#N/A</v>
          </cell>
          <cell r="N1098">
            <v>16.5</v>
          </cell>
          <cell r="O1098" t="e">
            <v>#N/A</v>
          </cell>
          <cell r="P1098" t="str">
            <v/>
          </cell>
          <cell r="Q1098" t="str">
            <v/>
          </cell>
          <cell r="R1098">
            <v>16.5</v>
          </cell>
        </row>
        <row r="1099">
          <cell r="A1099" t="str">
            <v/>
          </cell>
          <cell r="B1099" t="str">
            <v/>
          </cell>
          <cell r="C1099" t="str">
            <v>Future</v>
          </cell>
          <cell r="D1099" t="e">
            <v>#N/A</v>
          </cell>
          <cell r="E1099">
            <v>-15.568918918919017</v>
          </cell>
          <cell r="F1099">
            <v>20.917567567567918</v>
          </cell>
          <cell r="G1099">
            <v>13.620270270270337</v>
          </cell>
          <cell r="H1099">
            <v>13.620270270270337</v>
          </cell>
          <cell r="I1099" t="e">
            <v>#N/A</v>
          </cell>
          <cell r="J1099" t="e">
            <v>#N/A</v>
          </cell>
          <cell r="K1099">
            <v>17.5</v>
          </cell>
          <cell r="L1099">
            <v>14</v>
          </cell>
          <cell r="M1099" t="e">
            <v>#N/A</v>
          </cell>
          <cell r="N1099">
            <v>16.5</v>
          </cell>
          <cell r="O1099" t="e">
            <v>#N/A</v>
          </cell>
          <cell r="P1099" t="str">
            <v/>
          </cell>
          <cell r="Q1099" t="str">
            <v/>
          </cell>
          <cell r="R1099">
            <v>16.5</v>
          </cell>
        </row>
        <row r="1100">
          <cell r="A1100" t="str">
            <v/>
          </cell>
          <cell r="B1100" t="str">
            <v/>
          </cell>
          <cell r="C1100" t="str">
            <v>Future</v>
          </cell>
          <cell r="D1100" t="e">
            <v>#N/A</v>
          </cell>
          <cell r="E1100">
            <v>-15.624324324324423</v>
          </cell>
          <cell r="F1100">
            <v>20.929729729730081</v>
          </cell>
          <cell r="G1100">
            <v>13.618918918918986</v>
          </cell>
          <cell r="H1100">
            <v>13.618918918918986</v>
          </cell>
          <cell r="I1100" t="e">
            <v>#N/A</v>
          </cell>
          <cell r="J1100" t="e">
            <v>#N/A</v>
          </cell>
          <cell r="K1100">
            <v>17.5</v>
          </cell>
          <cell r="L1100">
            <v>14</v>
          </cell>
          <cell r="M1100" t="e">
            <v>#N/A</v>
          </cell>
          <cell r="N1100">
            <v>16.5</v>
          </cell>
          <cell r="O1100" t="e">
            <v>#N/A</v>
          </cell>
          <cell r="P1100" t="str">
            <v/>
          </cell>
          <cell r="Q1100" t="str">
            <v/>
          </cell>
          <cell r="R1100">
            <v>16.5</v>
          </cell>
        </row>
        <row r="1101">
          <cell r="A1101" t="str">
            <v/>
          </cell>
          <cell r="B1101" t="str">
            <v/>
          </cell>
          <cell r="C1101" t="str">
            <v>Future</v>
          </cell>
          <cell r="D1101" t="e">
            <v>#N/A</v>
          </cell>
          <cell r="E1101">
            <v>-15.679729729729829</v>
          </cell>
          <cell r="F1101">
            <v>20.941891891892244</v>
          </cell>
          <cell r="G1101">
            <v>13.617567567567635</v>
          </cell>
          <cell r="H1101">
            <v>13.617567567567635</v>
          </cell>
          <cell r="I1101" t="e">
            <v>#N/A</v>
          </cell>
          <cell r="J1101" t="e">
            <v>#N/A</v>
          </cell>
          <cell r="K1101">
            <v>17.5</v>
          </cell>
          <cell r="L1101">
            <v>14</v>
          </cell>
          <cell r="M1101" t="e">
            <v>#N/A</v>
          </cell>
          <cell r="N1101">
            <v>16.5</v>
          </cell>
          <cell r="O1101" t="e">
            <v>#N/A</v>
          </cell>
          <cell r="P1101" t="str">
            <v/>
          </cell>
          <cell r="Q1101" t="str">
            <v/>
          </cell>
          <cell r="R1101">
            <v>16.5</v>
          </cell>
        </row>
        <row r="1102">
          <cell r="A1102" t="str">
            <v/>
          </cell>
          <cell r="B1102" t="str">
            <v/>
          </cell>
          <cell r="C1102" t="str">
            <v>Future</v>
          </cell>
          <cell r="D1102" t="e">
            <v>#N/A</v>
          </cell>
          <cell r="E1102">
            <v>-15.735135135135234</v>
          </cell>
          <cell r="F1102">
            <v>20.954054054054406</v>
          </cell>
          <cell r="G1102">
            <v>13.616216216216284</v>
          </cell>
          <cell r="H1102">
            <v>13.616216216216284</v>
          </cell>
          <cell r="I1102" t="e">
            <v>#N/A</v>
          </cell>
          <cell r="J1102" t="e">
            <v>#N/A</v>
          </cell>
          <cell r="K1102">
            <v>17.5</v>
          </cell>
          <cell r="L1102">
            <v>14</v>
          </cell>
          <cell r="M1102" t="e">
            <v>#N/A</v>
          </cell>
          <cell r="N1102">
            <v>16.5</v>
          </cell>
          <cell r="O1102" t="e">
            <v>#N/A</v>
          </cell>
          <cell r="P1102" t="str">
            <v/>
          </cell>
          <cell r="Q1102" t="str">
            <v/>
          </cell>
          <cell r="R1102">
            <v>16.5</v>
          </cell>
        </row>
        <row r="1103">
          <cell r="A1103" t="str">
            <v/>
          </cell>
          <cell r="B1103" t="str">
            <v/>
          </cell>
          <cell r="C1103" t="str">
            <v>Future</v>
          </cell>
          <cell r="D1103" t="e">
            <v>#N/A</v>
          </cell>
          <cell r="E1103">
            <v>-15.79054054054064</v>
          </cell>
          <cell r="F1103">
            <v>20.966216216216569</v>
          </cell>
          <cell r="G1103">
            <v>13.614864864864932</v>
          </cell>
          <cell r="H1103">
            <v>13.614864864864932</v>
          </cell>
          <cell r="I1103" t="e">
            <v>#N/A</v>
          </cell>
          <cell r="J1103" t="e">
            <v>#N/A</v>
          </cell>
          <cell r="K1103">
            <v>17.5</v>
          </cell>
          <cell r="L1103">
            <v>14</v>
          </cell>
          <cell r="M1103" t="e">
            <v>#N/A</v>
          </cell>
          <cell r="N1103">
            <v>16.5</v>
          </cell>
          <cell r="O1103" t="e">
            <v>#N/A</v>
          </cell>
          <cell r="P1103" t="str">
            <v/>
          </cell>
          <cell r="Q1103" t="str">
            <v/>
          </cell>
          <cell r="R1103">
            <v>16.5</v>
          </cell>
        </row>
        <row r="1104">
          <cell r="A1104" t="str">
            <v/>
          </cell>
          <cell r="B1104" t="str">
            <v/>
          </cell>
          <cell r="C1104" t="str">
            <v>Future</v>
          </cell>
          <cell r="D1104" t="e">
            <v>#N/A</v>
          </cell>
          <cell r="E1104">
            <v>-15.845945945946045</v>
          </cell>
          <cell r="F1104">
            <v>20.978378378378732</v>
          </cell>
          <cell r="G1104">
            <v>13.613513513513581</v>
          </cell>
          <cell r="H1104">
            <v>13.613513513513581</v>
          </cell>
          <cell r="I1104" t="e">
            <v>#N/A</v>
          </cell>
          <cell r="J1104" t="e">
            <v>#N/A</v>
          </cell>
          <cell r="K1104">
            <v>17.5</v>
          </cell>
          <cell r="L1104">
            <v>14</v>
          </cell>
          <cell r="M1104" t="e">
            <v>#N/A</v>
          </cell>
          <cell r="N1104">
            <v>16.5</v>
          </cell>
          <cell r="O1104" t="e">
            <v>#N/A</v>
          </cell>
          <cell r="P1104" t="str">
            <v/>
          </cell>
          <cell r="Q1104" t="str">
            <v/>
          </cell>
          <cell r="R1104">
            <v>16.5</v>
          </cell>
        </row>
        <row r="1105">
          <cell r="A1105" t="str">
            <v/>
          </cell>
          <cell r="B1105" t="str">
            <v/>
          </cell>
          <cell r="C1105" t="str">
            <v>Future</v>
          </cell>
          <cell r="D1105" t="e">
            <v>#N/A</v>
          </cell>
          <cell r="E1105">
            <v>-15.901351351351451</v>
          </cell>
          <cell r="F1105">
            <v>20.990540540540895</v>
          </cell>
          <cell r="G1105">
            <v>13.61216216216223</v>
          </cell>
          <cell r="H1105">
            <v>13.61216216216223</v>
          </cell>
          <cell r="I1105" t="e">
            <v>#N/A</v>
          </cell>
          <cell r="J1105" t="e">
            <v>#N/A</v>
          </cell>
          <cell r="K1105">
            <v>17.5</v>
          </cell>
          <cell r="L1105">
            <v>14</v>
          </cell>
          <cell r="M1105" t="e">
            <v>#N/A</v>
          </cell>
          <cell r="N1105">
            <v>16.5</v>
          </cell>
          <cell r="O1105" t="e">
            <v>#N/A</v>
          </cell>
          <cell r="P1105" t="str">
            <v/>
          </cell>
          <cell r="Q1105" t="str">
            <v/>
          </cell>
          <cell r="R1105">
            <v>16.5</v>
          </cell>
        </row>
        <row r="1106">
          <cell r="A1106" t="str">
            <v/>
          </cell>
          <cell r="B1106" t="str">
            <v/>
          </cell>
          <cell r="C1106" t="str">
            <v>Future</v>
          </cell>
          <cell r="D1106" t="e">
            <v>#N/A</v>
          </cell>
          <cell r="E1106">
            <v>-15.956756756756857</v>
          </cell>
          <cell r="F1106">
            <v>21.002702702703058</v>
          </cell>
          <cell r="G1106">
            <v>13.610810810810879</v>
          </cell>
          <cell r="H1106">
            <v>13.610810810810879</v>
          </cell>
          <cell r="I1106" t="e">
            <v>#N/A</v>
          </cell>
          <cell r="J1106" t="e">
            <v>#N/A</v>
          </cell>
          <cell r="K1106">
            <v>17.5</v>
          </cell>
          <cell r="L1106">
            <v>14</v>
          </cell>
          <cell r="M1106" t="e">
            <v>#N/A</v>
          </cell>
          <cell r="N1106">
            <v>16.5</v>
          </cell>
          <cell r="O1106" t="e">
            <v>#N/A</v>
          </cell>
          <cell r="P1106" t="str">
            <v/>
          </cell>
          <cell r="Q1106" t="str">
            <v/>
          </cell>
          <cell r="R1106">
            <v>16.5</v>
          </cell>
        </row>
        <row r="1107">
          <cell r="A1107" t="str">
            <v/>
          </cell>
          <cell r="B1107" t="str">
            <v/>
          </cell>
          <cell r="C1107" t="str">
            <v>Future</v>
          </cell>
          <cell r="D1107" t="e">
            <v>#N/A</v>
          </cell>
          <cell r="E1107">
            <v>-16.012162162162262</v>
          </cell>
          <cell r="F1107">
            <v>21.014864864865221</v>
          </cell>
          <cell r="G1107">
            <v>13.609459459459528</v>
          </cell>
          <cell r="H1107">
            <v>13.609459459459528</v>
          </cell>
          <cell r="I1107" t="e">
            <v>#N/A</v>
          </cell>
          <cell r="J1107" t="e">
            <v>#N/A</v>
          </cell>
          <cell r="K1107">
            <v>17.5</v>
          </cell>
          <cell r="L1107">
            <v>14</v>
          </cell>
          <cell r="M1107" t="e">
            <v>#N/A</v>
          </cell>
          <cell r="N1107">
            <v>16.5</v>
          </cell>
          <cell r="O1107" t="e">
            <v>#N/A</v>
          </cell>
          <cell r="P1107" t="str">
            <v/>
          </cell>
          <cell r="Q1107" t="str">
            <v/>
          </cell>
          <cell r="R1107">
            <v>16.5</v>
          </cell>
        </row>
        <row r="1108">
          <cell r="A1108" t="str">
            <v/>
          </cell>
          <cell r="B1108" t="str">
            <v/>
          </cell>
          <cell r="C1108" t="str">
            <v>Future</v>
          </cell>
          <cell r="D1108" t="e">
            <v>#N/A</v>
          </cell>
          <cell r="E1108">
            <v>-16.067567567567668</v>
          </cell>
          <cell r="F1108">
            <v>21.027027027027383</v>
          </cell>
          <cell r="G1108">
            <v>13.608108108108176</v>
          </cell>
          <cell r="H1108">
            <v>13.608108108108176</v>
          </cell>
          <cell r="I1108" t="e">
            <v>#N/A</v>
          </cell>
          <cell r="J1108" t="e">
            <v>#N/A</v>
          </cell>
          <cell r="K1108">
            <v>17.5</v>
          </cell>
          <cell r="L1108">
            <v>14</v>
          </cell>
          <cell r="M1108" t="e">
            <v>#N/A</v>
          </cell>
          <cell r="N1108">
            <v>16.5</v>
          </cell>
          <cell r="O1108" t="e">
            <v>#N/A</v>
          </cell>
          <cell r="P1108" t="str">
            <v/>
          </cell>
          <cell r="Q1108" t="str">
            <v/>
          </cell>
          <cell r="R1108">
            <v>16.5</v>
          </cell>
        </row>
        <row r="1109">
          <cell r="A1109" t="str">
            <v/>
          </cell>
          <cell r="B1109" t="str">
            <v/>
          </cell>
          <cell r="C1109" t="str">
            <v>Future</v>
          </cell>
          <cell r="D1109" t="e">
            <v>#N/A</v>
          </cell>
          <cell r="E1109">
            <v>-16.122972972973074</v>
          </cell>
          <cell r="F1109">
            <v>21.039189189189546</v>
          </cell>
          <cell r="G1109">
            <v>13.606756756756825</v>
          </cell>
          <cell r="H1109">
            <v>13.606756756756825</v>
          </cell>
          <cell r="I1109" t="e">
            <v>#N/A</v>
          </cell>
          <cell r="J1109" t="e">
            <v>#N/A</v>
          </cell>
          <cell r="K1109">
            <v>17.5</v>
          </cell>
          <cell r="L1109">
            <v>14</v>
          </cell>
          <cell r="M1109" t="e">
            <v>#N/A</v>
          </cell>
          <cell r="N1109">
            <v>16.5</v>
          </cell>
          <cell r="O1109" t="e">
            <v>#N/A</v>
          </cell>
          <cell r="P1109" t="str">
            <v/>
          </cell>
          <cell r="Q1109" t="str">
            <v/>
          </cell>
          <cell r="R1109">
            <v>16.5</v>
          </cell>
        </row>
        <row r="1110">
          <cell r="A1110" t="str">
            <v/>
          </cell>
          <cell r="B1110" t="str">
            <v/>
          </cell>
          <cell r="C1110" t="str">
            <v>Future</v>
          </cell>
          <cell r="D1110" t="e">
            <v>#N/A</v>
          </cell>
          <cell r="E1110">
            <v>-16.178378378378479</v>
          </cell>
          <cell r="F1110">
            <v>21.051351351351709</v>
          </cell>
          <cell r="G1110">
            <v>13.605405405405474</v>
          </cell>
          <cell r="H1110">
            <v>13.605405405405474</v>
          </cell>
          <cell r="I1110" t="e">
            <v>#N/A</v>
          </cell>
          <cell r="J1110" t="e">
            <v>#N/A</v>
          </cell>
          <cell r="K1110">
            <v>17.5</v>
          </cell>
          <cell r="L1110">
            <v>14</v>
          </cell>
          <cell r="M1110" t="e">
            <v>#N/A</v>
          </cell>
          <cell r="N1110">
            <v>16.5</v>
          </cell>
          <cell r="O1110" t="e">
            <v>#N/A</v>
          </cell>
          <cell r="P1110" t="str">
            <v/>
          </cell>
          <cell r="Q1110" t="str">
            <v/>
          </cell>
          <cell r="R1110">
            <v>16.5</v>
          </cell>
        </row>
        <row r="1111">
          <cell r="A1111" t="str">
            <v/>
          </cell>
          <cell r="B1111" t="str">
            <v/>
          </cell>
          <cell r="C1111" t="str">
            <v>Future</v>
          </cell>
          <cell r="D1111" t="e">
            <v>#N/A</v>
          </cell>
          <cell r="E1111">
            <v>-16.233783783783885</v>
          </cell>
          <cell r="F1111">
            <v>21.063513513513872</v>
          </cell>
          <cell r="G1111">
            <v>13.604054054054123</v>
          </cell>
          <cell r="H1111">
            <v>13.604054054054123</v>
          </cell>
          <cell r="I1111" t="e">
            <v>#N/A</v>
          </cell>
          <cell r="J1111" t="e">
            <v>#N/A</v>
          </cell>
          <cell r="K1111">
            <v>17.5</v>
          </cell>
          <cell r="L1111">
            <v>14</v>
          </cell>
          <cell r="M1111" t="e">
            <v>#N/A</v>
          </cell>
          <cell r="N1111">
            <v>16.5</v>
          </cell>
          <cell r="O1111" t="e">
            <v>#N/A</v>
          </cell>
          <cell r="P1111" t="str">
            <v/>
          </cell>
          <cell r="Q1111" t="str">
            <v/>
          </cell>
          <cell r="R1111">
            <v>16.5</v>
          </cell>
        </row>
        <row r="1112">
          <cell r="A1112" t="str">
            <v/>
          </cell>
          <cell r="B1112" t="str">
            <v/>
          </cell>
          <cell r="C1112" t="str">
            <v>Future</v>
          </cell>
          <cell r="D1112" t="e">
            <v>#N/A</v>
          </cell>
          <cell r="E1112">
            <v>-16.28918918918929</v>
          </cell>
          <cell r="F1112">
            <v>21.075675675676035</v>
          </cell>
          <cell r="G1112">
            <v>13.602702702702771</v>
          </cell>
          <cell r="H1112">
            <v>13.602702702702771</v>
          </cell>
          <cell r="I1112" t="e">
            <v>#N/A</v>
          </cell>
          <cell r="J1112" t="e">
            <v>#N/A</v>
          </cell>
          <cell r="K1112">
            <v>17.5</v>
          </cell>
          <cell r="L1112">
            <v>14</v>
          </cell>
          <cell r="M1112" t="e">
            <v>#N/A</v>
          </cell>
          <cell r="N1112">
            <v>16.5</v>
          </cell>
          <cell r="O1112" t="e">
            <v>#N/A</v>
          </cell>
          <cell r="P1112" t="str">
            <v/>
          </cell>
          <cell r="Q1112" t="str">
            <v/>
          </cell>
          <cell r="R1112">
            <v>16.5</v>
          </cell>
        </row>
        <row r="1113">
          <cell r="A1113" t="str">
            <v/>
          </cell>
          <cell r="B1113" t="str">
            <v/>
          </cell>
          <cell r="C1113" t="str">
            <v>Future</v>
          </cell>
          <cell r="D1113" t="e">
            <v>#N/A</v>
          </cell>
          <cell r="E1113">
            <v>-16.344594594594696</v>
          </cell>
          <cell r="F1113">
            <v>21.087837837838197</v>
          </cell>
          <cell r="G1113">
            <v>13.60135135135142</v>
          </cell>
          <cell r="H1113">
            <v>13.60135135135142</v>
          </cell>
          <cell r="I1113" t="e">
            <v>#N/A</v>
          </cell>
          <cell r="J1113" t="e">
            <v>#N/A</v>
          </cell>
          <cell r="K1113">
            <v>17.5</v>
          </cell>
          <cell r="L1113">
            <v>14</v>
          </cell>
          <cell r="M1113" t="e">
            <v>#N/A</v>
          </cell>
          <cell r="N1113">
            <v>16.5</v>
          </cell>
          <cell r="O1113" t="e">
            <v>#N/A</v>
          </cell>
          <cell r="P1113" t="str">
            <v/>
          </cell>
          <cell r="Q1113" t="str">
            <v/>
          </cell>
          <cell r="R1113">
            <v>16.5</v>
          </cell>
        </row>
        <row r="1114">
          <cell r="A1114" t="str">
            <v/>
          </cell>
          <cell r="B1114" t="str">
            <v/>
          </cell>
          <cell r="C1114" t="str">
            <v>Future</v>
          </cell>
          <cell r="D1114" t="e">
            <v>#N/A</v>
          </cell>
          <cell r="E1114">
            <v>-16.400000000000102</v>
          </cell>
          <cell r="F1114">
            <v>21.10000000000036</v>
          </cell>
          <cell r="G1114">
            <v>13.600000000000069</v>
          </cell>
          <cell r="H1114">
            <v>13.600000000000069</v>
          </cell>
          <cell r="I1114" t="e">
            <v>#N/A</v>
          </cell>
          <cell r="J1114" t="e">
            <v>#N/A</v>
          </cell>
          <cell r="K1114">
            <v>17.5</v>
          </cell>
          <cell r="L1114">
            <v>14</v>
          </cell>
          <cell r="M1114" t="e">
            <v>#N/A</v>
          </cell>
          <cell r="N1114">
            <v>16.5</v>
          </cell>
          <cell r="O1114" t="e">
            <v>#N/A</v>
          </cell>
          <cell r="P1114" t="str">
            <v/>
          </cell>
          <cell r="Q1114" t="str">
            <v/>
          </cell>
          <cell r="R1114">
            <v>16.5</v>
          </cell>
        </row>
        <row r="1115">
          <cell r="A1115" t="str">
            <v/>
          </cell>
          <cell r="B1115" t="str">
            <v/>
          </cell>
          <cell r="C1115" t="str">
            <v>Future</v>
          </cell>
          <cell r="D1115" t="e">
            <v>#N/A</v>
          </cell>
          <cell r="E1115">
            <v>-16.455405405405507</v>
          </cell>
          <cell r="F1115">
            <v>21.112162162162523</v>
          </cell>
          <cell r="G1115">
            <v>13.598648648648718</v>
          </cell>
          <cell r="H1115">
            <v>13.598648648648718</v>
          </cell>
          <cell r="I1115" t="e">
            <v>#N/A</v>
          </cell>
          <cell r="J1115" t="e">
            <v>#N/A</v>
          </cell>
          <cell r="K1115">
            <v>17.5</v>
          </cell>
          <cell r="L1115">
            <v>14</v>
          </cell>
          <cell r="M1115" t="e">
            <v>#N/A</v>
          </cell>
          <cell r="N1115">
            <v>16.5</v>
          </cell>
          <cell r="O1115" t="e">
            <v>#N/A</v>
          </cell>
          <cell r="P1115" t="str">
            <v/>
          </cell>
          <cell r="Q1115" t="str">
            <v/>
          </cell>
          <cell r="R1115">
            <v>16.5</v>
          </cell>
        </row>
        <row r="1116">
          <cell r="A1116" t="str">
            <v/>
          </cell>
          <cell r="B1116" t="str">
            <v/>
          </cell>
          <cell r="C1116" t="str">
            <v>Future</v>
          </cell>
          <cell r="D1116" t="e">
            <v>#N/A</v>
          </cell>
          <cell r="E1116">
            <v>-16.510810810810913</v>
          </cell>
          <cell r="F1116">
            <v>21.124324324324686</v>
          </cell>
          <cell r="G1116">
            <v>13.597297297297366</v>
          </cell>
          <cell r="H1116">
            <v>13.597297297297366</v>
          </cell>
          <cell r="I1116" t="e">
            <v>#N/A</v>
          </cell>
          <cell r="J1116" t="e">
            <v>#N/A</v>
          </cell>
          <cell r="K1116">
            <v>17.5</v>
          </cell>
          <cell r="L1116">
            <v>14</v>
          </cell>
          <cell r="M1116" t="e">
            <v>#N/A</v>
          </cell>
          <cell r="N1116">
            <v>16.5</v>
          </cell>
          <cell r="O1116" t="e">
            <v>#N/A</v>
          </cell>
          <cell r="P1116" t="str">
            <v/>
          </cell>
          <cell r="Q1116" t="str">
            <v/>
          </cell>
          <cell r="R1116">
            <v>16.5</v>
          </cell>
        </row>
        <row r="1117">
          <cell r="A1117" t="str">
            <v/>
          </cell>
          <cell r="B1117" t="str">
            <v/>
          </cell>
          <cell r="C1117" t="str">
            <v>Future</v>
          </cell>
          <cell r="D1117" t="e">
            <v>#N/A</v>
          </cell>
          <cell r="E1117">
            <v>-16.566216216216318</v>
          </cell>
          <cell r="F1117">
            <v>21.136486486486849</v>
          </cell>
          <cell r="G1117">
            <v>13.595945945946015</v>
          </cell>
          <cell r="H1117">
            <v>13.595945945946015</v>
          </cell>
          <cell r="I1117" t="e">
            <v>#N/A</v>
          </cell>
          <cell r="J1117" t="e">
            <v>#N/A</v>
          </cell>
          <cell r="K1117">
            <v>17.5</v>
          </cell>
          <cell r="L1117">
            <v>14</v>
          </cell>
          <cell r="M1117" t="e">
            <v>#N/A</v>
          </cell>
          <cell r="N1117">
            <v>16.5</v>
          </cell>
          <cell r="O1117" t="e">
            <v>#N/A</v>
          </cell>
          <cell r="P1117" t="str">
            <v/>
          </cell>
          <cell r="Q1117" t="str">
            <v/>
          </cell>
          <cell r="R1117">
            <v>16.5</v>
          </cell>
        </row>
        <row r="1118">
          <cell r="A1118" t="str">
            <v/>
          </cell>
          <cell r="B1118" t="str">
            <v/>
          </cell>
          <cell r="C1118" t="str">
            <v>Future</v>
          </cell>
          <cell r="D1118" t="e">
            <v>#N/A</v>
          </cell>
          <cell r="E1118">
            <v>-16.621621621621724</v>
          </cell>
          <cell r="F1118">
            <v>21.148648648649012</v>
          </cell>
          <cell r="G1118">
            <v>13.594594594594664</v>
          </cell>
          <cell r="H1118">
            <v>13.594594594594664</v>
          </cell>
          <cell r="I1118" t="e">
            <v>#N/A</v>
          </cell>
          <cell r="J1118" t="e">
            <v>#N/A</v>
          </cell>
          <cell r="K1118">
            <v>17.5</v>
          </cell>
          <cell r="L1118">
            <v>14</v>
          </cell>
          <cell r="M1118" t="e">
            <v>#N/A</v>
          </cell>
          <cell r="N1118">
            <v>16.5</v>
          </cell>
          <cell r="O1118" t="e">
            <v>#N/A</v>
          </cell>
          <cell r="P1118" t="str">
            <v/>
          </cell>
          <cell r="Q1118" t="str">
            <v/>
          </cell>
          <cell r="R1118">
            <v>16.5</v>
          </cell>
        </row>
        <row r="1119">
          <cell r="A1119" t="str">
            <v/>
          </cell>
          <cell r="B1119" t="str">
            <v/>
          </cell>
          <cell r="C1119" t="str">
            <v>Future</v>
          </cell>
          <cell r="D1119" t="e">
            <v>#N/A</v>
          </cell>
          <cell r="E1119">
            <v>-16.67702702702713</v>
          </cell>
          <cell r="F1119">
            <v>21.160810810811174</v>
          </cell>
          <cell r="G1119">
            <v>13.593243243243313</v>
          </cell>
          <cell r="H1119">
            <v>13.593243243243313</v>
          </cell>
          <cell r="I1119" t="e">
            <v>#N/A</v>
          </cell>
          <cell r="J1119" t="e">
            <v>#N/A</v>
          </cell>
          <cell r="K1119">
            <v>17.5</v>
          </cell>
          <cell r="L1119">
            <v>14</v>
          </cell>
          <cell r="M1119" t="e">
            <v>#N/A</v>
          </cell>
          <cell r="N1119">
            <v>16.5</v>
          </cell>
          <cell r="O1119" t="e">
            <v>#N/A</v>
          </cell>
          <cell r="P1119" t="str">
            <v/>
          </cell>
          <cell r="Q1119" t="str">
            <v/>
          </cell>
          <cell r="R1119">
            <v>16.5</v>
          </cell>
        </row>
        <row r="1120">
          <cell r="A1120" t="str">
            <v/>
          </cell>
          <cell r="B1120" t="str">
            <v/>
          </cell>
          <cell r="C1120" t="str">
            <v>Future</v>
          </cell>
          <cell r="D1120" t="e">
            <v>#N/A</v>
          </cell>
          <cell r="E1120">
            <v>-16.732432432432535</v>
          </cell>
          <cell r="F1120">
            <v>21.172972972973337</v>
          </cell>
          <cell r="G1120">
            <v>13.591891891891962</v>
          </cell>
          <cell r="H1120">
            <v>13.591891891891962</v>
          </cell>
          <cell r="I1120" t="e">
            <v>#N/A</v>
          </cell>
          <cell r="J1120" t="e">
            <v>#N/A</v>
          </cell>
          <cell r="K1120">
            <v>17.5</v>
          </cell>
          <cell r="L1120">
            <v>14</v>
          </cell>
          <cell r="M1120" t="e">
            <v>#N/A</v>
          </cell>
          <cell r="N1120">
            <v>16.5</v>
          </cell>
          <cell r="O1120" t="e">
            <v>#N/A</v>
          </cell>
          <cell r="P1120" t="str">
            <v/>
          </cell>
          <cell r="Q1120" t="str">
            <v/>
          </cell>
          <cell r="R1120">
            <v>16.5</v>
          </cell>
        </row>
        <row r="1121">
          <cell r="A1121" t="str">
            <v/>
          </cell>
          <cell r="B1121" t="str">
            <v/>
          </cell>
          <cell r="C1121" t="str">
            <v>Future</v>
          </cell>
          <cell r="D1121" t="e">
            <v>#N/A</v>
          </cell>
          <cell r="E1121">
            <v>-16.787837837837941</v>
          </cell>
          <cell r="F1121">
            <v>21.1851351351355</v>
          </cell>
          <cell r="G1121">
            <v>13.59054054054061</v>
          </cell>
          <cell r="H1121">
            <v>13.59054054054061</v>
          </cell>
          <cell r="I1121" t="e">
            <v>#N/A</v>
          </cell>
          <cell r="J1121" t="e">
            <v>#N/A</v>
          </cell>
          <cell r="K1121">
            <v>17.5</v>
          </cell>
          <cell r="L1121">
            <v>14</v>
          </cell>
          <cell r="M1121" t="e">
            <v>#N/A</v>
          </cell>
          <cell r="N1121">
            <v>16.5</v>
          </cell>
          <cell r="O1121" t="e">
            <v>#N/A</v>
          </cell>
          <cell r="P1121" t="str">
            <v/>
          </cell>
          <cell r="Q1121" t="str">
            <v/>
          </cell>
          <cell r="R1121">
            <v>16.5</v>
          </cell>
        </row>
        <row r="1122">
          <cell r="A1122" t="str">
            <v/>
          </cell>
          <cell r="B1122" t="str">
            <v/>
          </cell>
          <cell r="C1122" t="str">
            <v>Future</v>
          </cell>
          <cell r="D1122" t="e">
            <v>#N/A</v>
          </cell>
          <cell r="E1122">
            <v>-16.843243243243347</v>
          </cell>
          <cell r="F1122">
            <v>21.197297297297663</v>
          </cell>
          <cell r="G1122">
            <v>13.589189189189259</v>
          </cell>
          <cell r="H1122">
            <v>13.589189189189259</v>
          </cell>
          <cell r="I1122" t="e">
            <v>#N/A</v>
          </cell>
          <cell r="J1122" t="e">
            <v>#N/A</v>
          </cell>
          <cell r="K1122">
            <v>17.5</v>
          </cell>
          <cell r="L1122">
            <v>14</v>
          </cell>
          <cell r="M1122" t="e">
            <v>#N/A</v>
          </cell>
          <cell r="N1122">
            <v>16.5</v>
          </cell>
          <cell r="O1122" t="e">
            <v>#N/A</v>
          </cell>
          <cell r="P1122" t="str">
            <v/>
          </cell>
          <cell r="Q1122" t="str">
            <v/>
          </cell>
          <cell r="R1122">
            <v>16.5</v>
          </cell>
        </row>
        <row r="1123">
          <cell r="A1123" t="str">
            <v/>
          </cell>
          <cell r="B1123" t="str">
            <v/>
          </cell>
          <cell r="C1123" t="str">
            <v>Future</v>
          </cell>
          <cell r="D1123" t="e">
            <v>#N/A</v>
          </cell>
          <cell r="E1123">
            <v>-16.898648648648752</v>
          </cell>
          <cell r="F1123">
            <v>21.209459459459826</v>
          </cell>
          <cell r="G1123">
            <v>13.587837837837908</v>
          </cell>
          <cell r="H1123">
            <v>13.587837837837908</v>
          </cell>
          <cell r="I1123" t="e">
            <v>#N/A</v>
          </cell>
          <cell r="J1123" t="e">
            <v>#N/A</v>
          </cell>
          <cell r="K1123">
            <v>17.5</v>
          </cell>
          <cell r="L1123">
            <v>14</v>
          </cell>
          <cell r="M1123" t="e">
            <v>#N/A</v>
          </cell>
          <cell r="N1123">
            <v>16.5</v>
          </cell>
          <cell r="O1123" t="e">
            <v>#N/A</v>
          </cell>
          <cell r="P1123" t="str">
            <v/>
          </cell>
          <cell r="Q1123" t="str">
            <v/>
          </cell>
          <cell r="R1123">
            <v>16.5</v>
          </cell>
        </row>
        <row r="1124">
          <cell r="A1124" t="str">
            <v/>
          </cell>
          <cell r="B1124" t="str">
            <v/>
          </cell>
          <cell r="C1124" t="str">
            <v>Future</v>
          </cell>
          <cell r="D1124" t="e">
            <v>#N/A</v>
          </cell>
          <cell r="E1124">
            <v>-16.954054054054158</v>
          </cell>
          <cell r="F1124">
            <v>21.221621621621988</v>
          </cell>
          <cell r="G1124">
            <v>13.586486486486557</v>
          </cell>
          <cell r="H1124">
            <v>13.586486486486557</v>
          </cell>
          <cell r="I1124" t="e">
            <v>#N/A</v>
          </cell>
          <cell r="J1124" t="e">
            <v>#N/A</v>
          </cell>
          <cell r="K1124">
            <v>17.5</v>
          </cell>
          <cell r="L1124">
            <v>14</v>
          </cell>
          <cell r="M1124" t="e">
            <v>#N/A</v>
          </cell>
          <cell r="N1124">
            <v>16.5</v>
          </cell>
          <cell r="O1124" t="e">
            <v>#N/A</v>
          </cell>
          <cell r="P1124" t="str">
            <v/>
          </cell>
          <cell r="Q1124" t="str">
            <v/>
          </cell>
          <cell r="R1124">
            <v>16.5</v>
          </cell>
        </row>
        <row r="1125">
          <cell r="A1125" t="str">
            <v/>
          </cell>
          <cell r="B1125" t="str">
            <v/>
          </cell>
          <cell r="C1125" t="str">
            <v>Future</v>
          </cell>
          <cell r="D1125" t="e">
            <v>#N/A</v>
          </cell>
          <cell r="E1125">
            <v>-17.009459459459563</v>
          </cell>
          <cell r="F1125">
            <v>21.233783783784151</v>
          </cell>
          <cell r="G1125">
            <v>13.585135135135205</v>
          </cell>
          <cell r="H1125">
            <v>13.585135135135205</v>
          </cell>
          <cell r="I1125" t="e">
            <v>#N/A</v>
          </cell>
          <cell r="J1125" t="e">
            <v>#N/A</v>
          </cell>
          <cell r="K1125">
            <v>17.5</v>
          </cell>
          <cell r="L1125">
            <v>14</v>
          </cell>
          <cell r="M1125" t="e">
            <v>#N/A</v>
          </cell>
          <cell r="N1125">
            <v>16.5</v>
          </cell>
          <cell r="O1125" t="e">
            <v>#N/A</v>
          </cell>
          <cell r="P1125" t="str">
            <v/>
          </cell>
          <cell r="Q1125" t="str">
            <v/>
          </cell>
          <cell r="R1125">
            <v>16.5</v>
          </cell>
        </row>
        <row r="1126">
          <cell r="A1126" t="str">
            <v/>
          </cell>
          <cell r="B1126" t="str">
            <v/>
          </cell>
          <cell r="C1126" t="str">
            <v>Future</v>
          </cell>
          <cell r="D1126" t="e">
            <v>#N/A</v>
          </cell>
          <cell r="E1126">
            <v>-17.064864864864969</v>
          </cell>
          <cell r="F1126">
            <v>21.245945945946314</v>
          </cell>
          <cell r="G1126">
            <v>13.583783783783854</v>
          </cell>
          <cell r="H1126">
            <v>13.583783783783854</v>
          </cell>
          <cell r="I1126" t="e">
            <v>#N/A</v>
          </cell>
          <cell r="J1126" t="e">
            <v>#N/A</v>
          </cell>
          <cell r="K1126">
            <v>17.5</v>
          </cell>
          <cell r="L1126">
            <v>14</v>
          </cell>
          <cell r="M1126" t="e">
            <v>#N/A</v>
          </cell>
          <cell r="N1126">
            <v>16.5</v>
          </cell>
          <cell r="O1126" t="e">
            <v>#N/A</v>
          </cell>
          <cell r="P1126" t="str">
            <v/>
          </cell>
          <cell r="Q1126" t="str">
            <v/>
          </cell>
          <cell r="R1126">
            <v>16.5</v>
          </cell>
        </row>
        <row r="1127">
          <cell r="A1127" t="str">
            <v/>
          </cell>
          <cell r="B1127" t="str">
            <v/>
          </cell>
          <cell r="C1127" t="str">
            <v>Future</v>
          </cell>
          <cell r="D1127" t="e">
            <v>#N/A</v>
          </cell>
          <cell r="E1127">
            <v>-17.120270270270375</v>
          </cell>
          <cell r="F1127">
            <v>21.258108108108477</v>
          </cell>
          <cell r="G1127">
            <v>13.582432432432503</v>
          </cell>
          <cell r="H1127">
            <v>13.582432432432503</v>
          </cell>
          <cell r="I1127" t="e">
            <v>#N/A</v>
          </cell>
          <cell r="J1127" t="e">
            <v>#N/A</v>
          </cell>
          <cell r="K1127">
            <v>17.5</v>
          </cell>
          <cell r="L1127">
            <v>14</v>
          </cell>
          <cell r="M1127" t="e">
            <v>#N/A</v>
          </cell>
          <cell r="N1127">
            <v>16.5</v>
          </cell>
          <cell r="O1127" t="e">
            <v>#N/A</v>
          </cell>
          <cell r="P1127" t="str">
            <v/>
          </cell>
          <cell r="Q1127" t="str">
            <v/>
          </cell>
          <cell r="R1127">
            <v>16.5</v>
          </cell>
        </row>
        <row r="1128">
          <cell r="A1128" t="str">
            <v/>
          </cell>
          <cell r="B1128" t="str">
            <v/>
          </cell>
          <cell r="C1128" t="str">
            <v>Future</v>
          </cell>
          <cell r="D1128" t="e">
            <v>#N/A</v>
          </cell>
          <cell r="E1128">
            <v>-17.17567567567578</v>
          </cell>
          <cell r="F1128">
            <v>21.27027027027064</v>
          </cell>
          <cell r="G1128">
            <v>13.581081081081152</v>
          </cell>
          <cell r="H1128">
            <v>13.581081081081152</v>
          </cell>
          <cell r="I1128" t="e">
            <v>#N/A</v>
          </cell>
          <cell r="J1128" t="e">
            <v>#N/A</v>
          </cell>
          <cell r="K1128">
            <v>17.5</v>
          </cell>
          <cell r="L1128">
            <v>14</v>
          </cell>
          <cell r="M1128" t="e">
            <v>#N/A</v>
          </cell>
          <cell r="N1128">
            <v>16.5</v>
          </cell>
          <cell r="O1128" t="e">
            <v>#N/A</v>
          </cell>
          <cell r="P1128" t="str">
            <v/>
          </cell>
          <cell r="Q1128" t="str">
            <v/>
          </cell>
          <cell r="R1128">
            <v>16.5</v>
          </cell>
        </row>
        <row r="1129">
          <cell r="A1129" t="str">
            <v/>
          </cell>
          <cell r="B1129" t="str">
            <v/>
          </cell>
          <cell r="C1129" t="str">
            <v>Future</v>
          </cell>
          <cell r="D1129" t="e">
            <v>#N/A</v>
          </cell>
          <cell r="E1129">
            <v>-17.231081081081186</v>
          </cell>
          <cell r="F1129">
            <v>21.282432432432802</v>
          </cell>
          <cell r="G1129">
            <v>13.579729729729801</v>
          </cell>
          <cell r="H1129">
            <v>13.579729729729801</v>
          </cell>
          <cell r="I1129" t="e">
            <v>#N/A</v>
          </cell>
          <cell r="J1129" t="e">
            <v>#N/A</v>
          </cell>
          <cell r="K1129">
            <v>17.5</v>
          </cell>
          <cell r="L1129">
            <v>14</v>
          </cell>
          <cell r="M1129" t="e">
            <v>#N/A</v>
          </cell>
          <cell r="N1129">
            <v>16.5</v>
          </cell>
          <cell r="O1129" t="e">
            <v>#N/A</v>
          </cell>
          <cell r="P1129" t="str">
            <v/>
          </cell>
          <cell r="Q1129" t="str">
            <v/>
          </cell>
          <cell r="R1129">
            <v>16.5</v>
          </cell>
        </row>
        <row r="1130">
          <cell r="A1130" t="str">
            <v/>
          </cell>
          <cell r="B1130" t="str">
            <v/>
          </cell>
          <cell r="C1130" t="str">
            <v>Future</v>
          </cell>
          <cell r="D1130" t="e">
            <v>#N/A</v>
          </cell>
          <cell r="E1130">
            <v>-17.286486486486591</v>
          </cell>
          <cell r="F1130">
            <v>21.294594594594965</v>
          </cell>
          <cell r="G1130">
            <v>13.578378378378449</v>
          </cell>
          <cell r="H1130">
            <v>13.578378378378449</v>
          </cell>
          <cell r="I1130" t="e">
            <v>#N/A</v>
          </cell>
          <cell r="J1130" t="e">
            <v>#N/A</v>
          </cell>
          <cell r="K1130">
            <v>17.5</v>
          </cell>
          <cell r="L1130">
            <v>14</v>
          </cell>
          <cell r="M1130" t="e">
            <v>#N/A</v>
          </cell>
          <cell r="N1130">
            <v>16.5</v>
          </cell>
          <cell r="O1130" t="e">
            <v>#N/A</v>
          </cell>
          <cell r="P1130" t="str">
            <v/>
          </cell>
          <cell r="Q1130" t="str">
            <v/>
          </cell>
          <cell r="R1130">
            <v>16.5</v>
          </cell>
        </row>
        <row r="1131">
          <cell r="A1131" t="str">
            <v/>
          </cell>
          <cell r="B1131" t="str">
            <v/>
          </cell>
          <cell r="C1131" t="str">
            <v>Future</v>
          </cell>
          <cell r="D1131" t="e">
            <v>#N/A</v>
          </cell>
          <cell r="E1131">
            <v>-17.341891891891997</v>
          </cell>
          <cell r="F1131">
            <v>21.306756756757128</v>
          </cell>
          <cell r="G1131">
            <v>13.577027027027098</v>
          </cell>
          <cell r="H1131">
            <v>13.577027027027098</v>
          </cell>
          <cell r="I1131" t="e">
            <v>#N/A</v>
          </cell>
          <cell r="J1131" t="e">
            <v>#N/A</v>
          </cell>
          <cell r="K1131">
            <v>17.5</v>
          </cell>
          <cell r="L1131">
            <v>14</v>
          </cell>
          <cell r="M1131" t="e">
            <v>#N/A</v>
          </cell>
          <cell r="N1131">
            <v>16.5</v>
          </cell>
          <cell r="O1131" t="e">
            <v>#N/A</v>
          </cell>
          <cell r="P1131" t="str">
            <v/>
          </cell>
          <cell r="Q1131" t="str">
            <v/>
          </cell>
          <cell r="R1131">
            <v>16.5</v>
          </cell>
        </row>
        <row r="1132">
          <cell r="A1132" t="str">
            <v/>
          </cell>
          <cell r="B1132" t="str">
            <v/>
          </cell>
          <cell r="C1132" t="str">
            <v>Future</v>
          </cell>
          <cell r="D1132" t="e">
            <v>#N/A</v>
          </cell>
          <cell r="E1132">
            <v>-17.397297297297403</v>
          </cell>
          <cell r="F1132">
            <v>21.318918918919291</v>
          </cell>
          <cell r="G1132">
            <v>13.575675675675747</v>
          </cell>
          <cell r="H1132">
            <v>13.575675675675747</v>
          </cell>
          <cell r="I1132" t="e">
            <v>#N/A</v>
          </cell>
          <cell r="J1132" t="e">
            <v>#N/A</v>
          </cell>
          <cell r="K1132">
            <v>17.5</v>
          </cell>
          <cell r="L1132">
            <v>14</v>
          </cell>
          <cell r="M1132" t="e">
            <v>#N/A</v>
          </cell>
          <cell r="N1132">
            <v>16.5</v>
          </cell>
          <cell r="O1132" t="e">
            <v>#N/A</v>
          </cell>
          <cell r="P1132" t="str">
            <v/>
          </cell>
          <cell r="Q1132" t="str">
            <v/>
          </cell>
          <cell r="R1132">
            <v>16.5</v>
          </cell>
        </row>
        <row r="1133">
          <cell r="A1133" t="str">
            <v/>
          </cell>
          <cell r="B1133" t="str">
            <v/>
          </cell>
          <cell r="C1133" t="str">
            <v>Future</v>
          </cell>
          <cell r="D1133" t="e">
            <v>#N/A</v>
          </cell>
          <cell r="E1133">
            <v>-17.452702702702808</v>
          </cell>
          <cell r="F1133">
            <v>21.331081081081454</v>
          </cell>
          <cell r="G1133">
            <v>13.574324324324396</v>
          </cell>
          <cell r="H1133">
            <v>13.574324324324396</v>
          </cell>
          <cell r="I1133" t="e">
            <v>#N/A</v>
          </cell>
          <cell r="J1133" t="e">
            <v>#N/A</v>
          </cell>
          <cell r="K1133">
            <v>17.5</v>
          </cell>
          <cell r="L1133">
            <v>14</v>
          </cell>
          <cell r="M1133" t="e">
            <v>#N/A</v>
          </cell>
          <cell r="N1133">
            <v>16.5</v>
          </cell>
          <cell r="O1133" t="e">
            <v>#N/A</v>
          </cell>
          <cell r="P1133" t="str">
            <v/>
          </cell>
          <cell r="Q1133" t="str">
            <v/>
          </cell>
          <cell r="R1133">
            <v>16.5</v>
          </cell>
        </row>
        <row r="1134">
          <cell r="A1134" t="str">
            <v/>
          </cell>
          <cell r="B1134" t="str">
            <v/>
          </cell>
          <cell r="C1134" t="str">
            <v>Future</v>
          </cell>
          <cell r="D1134" t="e">
            <v>#N/A</v>
          </cell>
          <cell r="E1134">
            <v>-17.508108108108214</v>
          </cell>
          <cell r="F1134">
            <v>21.343243243243617</v>
          </cell>
          <cell r="G1134">
            <v>13.572972972973044</v>
          </cell>
          <cell r="H1134">
            <v>13.572972972973044</v>
          </cell>
          <cell r="I1134" t="e">
            <v>#N/A</v>
          </cell>
          <cell r="J1134" t="e">
            <v>#N/A</v>
          </cell>
          <cell r="K1134">
            <v>17.5</v>
          </cell>
          <cell r="L1134">
            <v>14</v>
          </cell>
          <cell r="M1134" t="e">
            <v>#N/A</v>
          </cell>
          <cell r="N1134">
            <v>16.5</v>
          </cell>
          <cell r="O1134" t="e">
            <v>#N/A</v>
          </cell>
          <cell r="P1134" t="str">
            <v/>
          </cell>
          <cell r="Q1134" t="str">
            <v/>
          </cell>
          <cell r="R1134">
            <v>16.5</v>
          </cell>
        </row>
        <row r="1135">
          <cell r="A1135" t="str">
            <v/>
          </cell>
          <cell r="B1135" t="str">
            <v/>
          </cell>
          <cell r="C1135" t="str">
            <v>Future</v>
          </cell>
          <cell r="D1135" t="e">
            <v>#N/A</v>
          </cell>
          <cell r="E1135">
            <v>-17.56351351351362</v>
          </cell>
          <cell r="F1135">
            <v>21.355405405405779</v>
          </cell>
          <cell r="G1135">
            <v>13.571621621621693</v>
          </cell>
          <cell r="H1135">
            <v>13.571621621621693</v>
          </cell>
          <cell r="I1135" t="e">
            <v>#N/A</v>
          </cell>
          <cell r="J1135" t="e">
            <v>#N/A</v>
          </cell>
          <cell r="K1135">
            <v>17.5</v>
          </cell>
          <cell r="L1135">
            <v>14</v>
          </cell>
          <cell r="M1135" t="e">
            <v>#N/A</v>
          </cell>
          <cell r="N1135">
            <v>16.5</v>
          </cell>
          <cell r="O1135" t="e">
            <v>#N/A</v>
          </cell>
          <cell r="P1135" t="str">
            <v/>
          </cell>
          <cell r="Q1135" t="str">
            <v/>
          </cell>
          <cell r="R1135">
            <v>16.5</v>
          </cell>
        </row>
        <row r="1136">
          <cell r="A1136" t="str">
            <v/>
          </cell>
          <cell r="B1136" t="str">
            <v/>
          </cell>
          <cell r="C1136" t="str">
            <v>Future</v>
          </cell>
          <cell r="D1136" t="e">
            <v>#N/A</v>
          </cell>
          <cell r="E1136">
            <v>-17.618918918919025</v>
          </cell>
          <cell r="F1136">
            <v>21.367567567567942</v>
          </cell>
          <cell r="G1136">
            <v>13.570270270270342</v>
          </cell>
          <cell r="H1136">
            <v>13.570270270270342</v>
          </cell>
          <cell r="I1136" t="e">
            <v>#N/A</v>
          </cell>
          <cell r="J1136" t="e">
            <v>#N/A</v>
          </cell>
          <cell r="K1136">
            <v>17.5</v>
          </cell>
          <cell r="L1136">
            <v>14</v>
          </cell>
          <cell r="M1136" t="e">
            <v>#N/A</v>
          </cell>
          <cell r="N1136">
            <v>16.5</v>
          </cell>
          <cell r="O1136" t="e">
            <v>#N/A</v>
          </cell>
          <cell r="P1136" t="str">
            <v/>
          </cell>
          <cell r="Q1136" t="str">
            <v/>
          </cell>
          <cell r="R1136">
            <v>16.5</v>
          </cell>
        </row>
        <row r="1137">
          <cell r="A1137" t="str">
            <v/>
          </cell>
          <cell r="B1137" t="str">
            <v/>
          </cell>
          <cell r="C1137" t="str">
            <v>Future</v>
          </cell>
          <cell r="D1137" t="e">
            <v>#N/A</v>
          </cell>
          <cell r="E1137">
            <v>-17.674324324324431</v>
          </cell>
          <cell r="F1137">
            <v>21.379729729730105</v>
          </cell>
          <cell r="G1137">
            <v>13.568918918918991</v>
          </cell>
          <cell r="H1137">
            <v>13.568918918918991</v>
          </cell>
          <cell r="I1137" t="e">
            <v>#N/A</v>
          </cell>
          <cell r="J1137" t="e">
            <v>#N/A</v>
          </cell>
          <cell r="K1137">
            <v>17.5</v>
          </cell>
          <cell r="L1137">
            <v>14</v>
          </cell>
          <cell r="M1137" t="e">
            <v>#N/A</v>
          </cell>
          <cell r="N1137">
            <v>16.5</v>
          </cell>
          <cell r="O1137" t="e">
            <v>#N/A</v>
          </cell>
          <cell r="P1137" t="str">
            <v/>
          </cell>
          <cell r="Q1137" t="str">
            <v/>
          </cell>
          <cell r="R1137">
            <v>16.5</v>
          </cell>
        </row>
        <row r="1138">
          <cell r="A1138" t="str">
            <v/>
          </cell>
          <cell r="B1138" t="str">
            <v/>
          </cell>
          <cell r="C1138" t="str">
            <v>Future</v>
          </cell>
          <cell r="D1138" t="e">
            <v>#N/A</v>
          </cell>
          <cell r="E1138">
            <v>-17.729729729729836</v>
          </cell>
          <cell r="F1138">
            <v>21.391891891892268</v>
          </cell>
          <cell r="G1138">
            <v>13.567567567567639</v>
          </cell>
          <cell r="H1138">
            <v>13.567567567567639</v>
          </cell>
          <cell r="I1138" t="e">
            <v>#N/A</v>
          </cell>
          <cell r="J1138" t="e">
            <v>#N/A</v>
          </cell>
          <cell r="K1138">
            <v>17.5</v>
          </cell>
          <cell r="L1138">
            <v>14</v>
          </cell>
          <cell r="M1138" t="e">
            <v>#N/A</v>
          </cell>
          <cell r="N1138">
            <v>16.5</v>
          </cell>
          <cell r="O1138" t="e">
            <v>#N/A</v>
          </cell>
          <cell r="P1138" t="str">
            <v/>
          </cell>
          <cell r="Q1138" t="str">
            <v/>
          </cell>
          <cell r="R1138">
            <v>16.5</v>
          </cell>
        </row>
        <row r="1139">
          <cell r="A1139" t="str">
            <v/>
          </cell>
          <cell r="B1139" t="str">
            <v/>
          </cell>
          <cell r="C1139" t="str">
            <v>Future</v>
          </cell>
          <cell r="D1139" t="e">
            <v>#N/A</v>
          </cell>
          <cell r="E1139">
            <v>-17.785135135135242</v>
          </cell>
          <cell r="F1139">
            <v>21.404054054054431</v>
          </cell>
          <cell r="G1139">
            <v>13.566216216216288</v>
          </cell>
          <cell r="H1139">
            <v>13.566216216216288</v>
          </cell>
          <cell r="I1139" t="e">
            <v>#N/A</v>
          </cell>
          <cell r="J1139" t="e">
            <v>#N/A</v>
          </cell>
          <cell r="K1139">
            <v>17.5</v>
          </cell>
          <cell r="L1139">
            <v>14</v>
          </cell>
          <cell r="M1139" t="e">
            <v>#N/A</v>
          </cell>
          <cell r="N1139">
            <v>16.5</v>
          </cell>
          <cell r="O1139" t="e">
            <v>#N/A</v>
          </cell>
          <cell r="P1139" t="str">
            <v/>
          </cell>
          <cell r="Q1139" t="str">
            <v/>
          </cell>
          <cell r="R1139">
            <v>16.5</v>
          </cell>
        </row>
        <row r="1140">
          <cell r="A1140" t="str">
            <v/>
          </cell>
          <cell r="B1140" t="str">
            <v/>
          </cell>
          <cell r="C1140" t="str">
            <v>Future</v>
          </cell>
          <cell r="D1140" t="e">
            <v>#N/A</v>
          </cell>
          <cell r="E1140">
            <v>-17.840540540540648</v>
          </cell>
          <cell r="F1140">
            <v>21.416216216216593</v>
          </cell>
          <cell r="G1140">
            <v>13.564864864864937</v>
          </cell>
          <cell r="H1140">
            <v>13.564864864864937</v>
          </cell>
          <cell r="I1140" t="e">
            <v>#N/A</v>
          </cell>
          <cell r="J1140" t="e">
            <v>#N/A</v>
          </cell>
          <cell r="K1140">
            <v>17.5</v>
          </cell>
          <cell r="L1140">
            <v>14</v>
          </cell>
          <cell r="M1140" t="e">
            <v>#N/A</v>
          </cell>
          <cell r="N1140">
            <v>16.5</v>
          </cell>
          <cell r="O1140" t="e">
            <v>#N/A</v>
          </cell>
          <cell r="P1140" t="str">
            <v/>
          </cell>
          <cell r="Q1140" t="str">
            <v/>
          </cell>
          <cell r="R1140">
            <v>16.5</v>
          </cell>
        </row>
        <row r="1141">
          <cell r="A1141" t="str">
            <v/>
          </cell>
          <cell r="B1141" t="str">
            <v/>
          </cell>
          <cell r="C1141" t="str">
            <v>Future</v>
          </cell>
          <cell r="D1141" t="e">
            <v>#N/A</v>
          </cell>
          <cell r="E1141">
            <v>-17.895945945946053</v>
          </cell>
          <cell r="F1141">
            <v>21.428378378378756</v>
          </cell>
          <cell r="G1141">
            <v>13.563513513513586</v>
          </cell>
          <cell r="H1141">
            <v>13.563513513513586</v>
          </cell>
          <cell r="I1141" t="e">
            <v>#N/A</v>
          </cell>
          <cell r="J1141" t="e">
            <v>#N/A</v>
          </cell>
          <cell r="K1141">
            <v>17.5</v>
          </cell>
          <cell r="L1141">
            <v>14</v>
          </cell>
          <cell r="M1141" t="e">
            <v>#N/A</v>
          </cell>
          <cell r="N1141">
            <v>16.5</v>
          </cell>
          <cell r="O1141" t="e">
            <v>#N/A</v>
          </cell>
          <cell r="P1141" t="str">
            <v/>
          </cell>
          <cell r="Q1141" t="str">
            <v/>
          </cell>
          <cell r="R1141">
            <v>16.5</v>
          </cell>
        </row>
        <row r="1142">
          <cell r="A1142" t="str">
            <v/>
          </cell>
          <cell r="B1142" t="str">
            <v/>
          </cell>
          <cell r="C1142" t="str">
            <v>Future</v>
          </cell>
          <cell r="D1142" t="e">
            <v>#N/A</v>
          </cell>
          <cell r="E1142">
            <v>-17.951351351351459</v>
          </cell>
          <cell r="F1142">
            <v>21.440540540540919</v>
          </cell>
          <cell r="G1142">
            <v>13.562162162162235</v>
          </cell>
          <cell r="H1142">
            <v>13.562162162162235</v>
          </cell>
          <cell r="I1142" t="e">
            <v>#N/A</v>
          </cell>
          <cell r="J1142" t="e">
            <v>#N/A</v>
          </cell>
          <cell r="K1142">
            <v>17.5</v>
          </cell>
          <cell r="L1142">
            <v>14</v>
          </cell>
          <cell r="M1142" t="e">
            <v>#N/A</v>
          </cell>
          <cell r="N1142">
            <v>16.5</v>
          </cell>
          <cell r="O1142" t="e">
            <v>#N/A</v>
          </cell>
          <cell r="P1142" t="str">
            <v/>
          </cell>
          <cell r="Q1142" t="str">
            <v/>
          </cell>
          <cell r="R1142">
            <v>16.5</v>
          </cell>
        </row>
        <row r="1143">
          <cell r="A1143" t="str">
            <v/>
          </cell>
          <cell r="B1143" t="str">
            <v/>
          </cell>
          <cell r="C1143" t="str">
            <v>Future</v>
          </cell>
          <cell r="D1143" t="e">
            <v>#N/A</v>
          </cell>
          <cell r="E1143">
            <v>-18.006756756756864</v>
          </cell>
          <cell r="F1143">
            <v>21.452702702703082</v>
          </cell>
          <cell r="G1143">
            <v>13.560810810810883</v>
          </cell>
          <cell r="H1143">
            <v>13.560810810810883</v>
          </cell>
          <cell r="I1143" t="e">
            <v>#N/A</v>
          </cell>
          <cell r="J1143" t="e">
            <v>#N/A</v>
          </cell>
          <cell r="K1143">
            <v>17.5</v>
          </cell>
          <cell r="L1143">
            <v>14</v>
          </cell>
          <cell r="M1143" t="e">
            <v>#N/A</v>
          </cell>
          <cell r="N1143">
            <v>16.5</v>
          </cell>
          <cell r="O1143" t="e">
            <v>#N/A</v>
          </cell>
          <cell r="P1143" t="str">
            <v/>
          </cell>
          <cell r="Q1143" t="str">
            <v/>
          </cell>
          <cell r="R1143">
            <v>16.5</v>
          </cell>
        </row>
        <row r="1144">
          <cell r="A1144" t="str">
            <v/>
          </cell>
          <cell r="B1144" t="str">
            <v/>
          </cell>
          <cell r="C1144" t="str">
            <v>Future</v>
          </cell>
          <cell r="D1144" t="e">
            <v>#N/A</v>
          </cell>
          <cell r="E1144">
            <v>-18.06216216216227</v>
          </cell>
          <cell r="F1144">
            <v>21.464864864865245</v>
          </cell>
          <cell r="G1144">
            <v>13.559459459459532</v>
          </cell>
          <cell r="H1144">
            <v>13.559459459459532</v>
          </cell>
          <cell r="I1144" t="e">
            <v>#N/A</v>
          </cell>
          <cell r="J1144" t="e">
            <v>#N/A</v>
          </cell>
          <cell r="K1144">
            <v>17.5</v>
          </cell>
          <cell r="L1144">
            <v>14</v>
          </cell>
          <cell r="M1144" t="e">
            <v>#N/A</v>
          </cell>
          <cell r="N1144">
            <v>16.5</v>
          </cell>
          <cell r="O1144" t="e">
            <v>#N/A</v>
          </cell>
          <cell r="P1144" t="str">
            <v/>
          </cell>
          <cell r="Q1144" t="str">
            <v/>
          </cell>
          <cell r="R1144">
            <v>16.5</v>
          </cell>
        </row>
        <row r="1145">
          <cell r="A1145" t="str">
            <v/>
          </cell>
          <cell r="B1145" t="str">
            <v/>
          </cell>
          <cell r="C1145" t="str">
            <v>Future</v>
          </cell>
          <cell r="D1145" t="e">
            <v>#N/A</v>
          </cell>
          <cell r="E1145">
            <v>-18.117567567567676</v>
          </cell>
          <cell r="F1145">
            <v>21.477027027027408</v>
          </cell>
          <cell r="G1145">
            <v>13.558108108108181</v>
          </cell>
          <cell r="H1145">
            <v>13.558108108108181</v>
          </cell>
          <cell r="I1145" t="e">
            <v>#N/A</v>
          </cell>
          <cell r="J1145" t="e">
            <v>#N/A</v>
          </cell>
          <cell r="K1145">
            <v>17.5</v>
          </cell>
          <cell r="L1145">
            <v>14</v>
          </cell>
          <cell r="M1145" t="e">
            <v>#N/A</v>
          </cell>
          <cell r="N1145">
            <v>16.5</v>
          </cell>
          <cell r="O1145" t="e">
            <v>#N/A</v>
          </cell>
          <cell r="P1145" t="str">
            <v/>
          </cell>
          <cell r="Q1145" t="str">
            <v/>
          </cell>
          <cell r="R1145">
            <v>16.5</v>
          </cell>
        </row>
        <row r="1146">
          <cell r="A1146" t="str">
            <v/>
          </cell>
          <cell r="B1146" t="str">
            <v/>
          </cell>
          <cell r="C1146" t="str">
            <v>Future</v>
          </cell>
          <cell r="D1146" t="e">
            <v>#N/A</v>
          </cell>
          <cell r="E1146">
            <v>-18.172972972973081</v>
          </cell>
          <cell r="F1146">
            <v>21.48918918918957</v>
          </cell>
          <cell r="G1146">
            <v>13.55675675675683</v>
          </cell>
          <cell r="H1146">
            <v>13.55675675675683</v>
          </cell>
          <cell r="I1146" t="e">
            <v>#N/A</v>
          </cell>
          <cell r="J1146" t="e">
            <v>#N/A</v>
          </cell>
          <cell r="K1146">
            <v>17.5</v>
          </cell>
          <cell r="L1146">
            <v>14</v>
          </cell>
          <cell r="M1146" t="e">
            <v>#N/A</v>
          </cell>
          <cell r="N1146">
            <v>16.5</v>
          </cell>
          <cell r="O1146" t="e">
            <v>#N/A</v>
          </cell>
          <cell r="P1146" t="str">
            <v/>
          </cell>
          <cell r="Q1146" t="str">
            <v/>
          </cell>
          <cell r="R1146">
            <v>16.5</v>
          </cell>
        </row>
        <row r="1147">
          <cell r="A1147" t="str">
            <v/>
          </cell>
          <cell r="B1147" t="str">
            <v/>
          </cell>
          <cell r="C1147" t="str">
            <v>Future</v>
          </cell>
          <cell r="D1147" t="e">
            <v>#N/A</v>
          </cell>
          <cell r="E1147">
            <v>-18.228378378378487</v>
          </cell>
          <cell r="F1147">
            <v>21.501351351351733</v>
          </cell>
          <cell r="G1147">
            <v>13.555405405405478</v>
          </cell>
          <cell r="H1147">
            <v>13.555405405405478</v>
          </cell>
          <cell r="I1147" t="e">
            <v>#N/A</v>
          </cell>
          <cell r="J1147" t="e">
            <v>#N/A</v>
          </cell>
          <cell r="K1147">
            <v>17.5</v>
          </cell>
          <cell r="L1147">
            <v>14</v>
          </cell>
          <cell r="M1147" t="e">
            <v>#N/A</v>
          </cell>
          <cell r="N1147">
            <v>16.5</v>
          </cell>
          <cell r="O1147" t="e">
            <v>#N/A</v>
          </cell>
          <cell r="P1147" t="str">
            <v/>
          </cell>
          <cell r="Q1147" t="str">
            <v/>
          </cell>
          <cell r="R1147">
            <v>16.5</v>
          </cell>
        </row>
        <row r="1148">
          <cell r="A1148" t="str">
            <v/>
          </cell>
          <cell r="B1148" t="str">
            <v/>
          </cell>
          <cell r="C1148" t="str">
            <v>Future</v>
          </cell>
          <cell r="D1148" t="e">
            <v>#N/A</v>
          </cell>
          <cell r="E1148">
            <v>-18.283783783783893</v>
          </cell>
          <cell r="F1148">
            <v>21.513513513513896</v>
          </cell>
          <cell r="G1148">
            <v>13.554054054054127</v>
          </cell>
          <cell r="H1148">
            <v>13.554054054054127</v>
          </cell>
          <cell r="I1148" t="e">
            <v>#N/A</v>
          </cell>
          <cell r="J1148" t="e">
            <v>#N/A</v>
          </cell>
          <cell r="K1148">
            <v>17.5</v>
          </cell>
          <cell r="L1148">
            <v>14</v>
          </cell>
          <cell r="M1148" t="e">
            <v>#N/A</v>
          </cell>
          <cell r="N1148">
            <v>16.5</v>
          </cell>
          <cell r="O1148" t="e">
            <v>#N/A</v>
          </cell>
          <cell r="P1148" t="str">
            <v/>
          </cell>
          <cell r="Q1148" t="str">
            <v/>
          </cell>
          <cell r="R1148">
            <v>16.5</v>
          </cell>
        </row>
        <row r="1149">
          <cell r="A1149" t="str">
            <v/>
          </cell>
          <cell r="B1149" t="str">
            <v/>
          </cell>
          <cell r="C1149" t="str">
            <v>Future</v>
          </cell>
          <cell r="D1149" t="e">
            <v>#N/A</v>
          </cell>
          <cell r="E1149">
            <v>-18.339189189189298</v>
          </cell>
          <cell r="F1149">
            <v>21.525675675676059</v>
          </cell>
          <cell r="G1149">
            <v>13.552702702702776</v>
          </cell>
          <cell r="H1149">
            <v>13.552702702702776</v>
          </cell>
          <cell r="I1149" t="e">
            <v>#N/A</v>
          </cell>
          <cell r="J1149" t="e">
            <v>#N/A</v>
          </cell>
          <cell r="K1149">
            <v>17.5</v>
          </cell>
          <cell r="L1149">
            <v>14</v>
          </cell>
          <cell r="M1149" t="e">
            <v>#N/A</v>
          </cell>
          <cell r="N1149">
            <v>16.5</v>
          </cell>
          <cell r="O1149" t="e">
            <v>#N/A</v>
          </cell>
          <cell r="P1149" t="str">
            <v/>
          </cell>
          <cell r="Q1149" t="str">
            <v/>
          </cell>
          <cell r="R1149">
            <v>16.5</v>
          </cell>
        </row>
        <row r="1150">
          <cell r="A1150" t="str">
            <v/>
          </cell>
          <cell r="B1150" t="str">
            <v/>
          </cell>
          <cell r="C1150" t="str">
            <v>Future</v>
          </cell>
          <cell r="D1150" t="e">
            <v>#N/A</v>
          </cell>
          <cell r="E1150">
            <v>-18.394594594594704</v>
          </cell>
          <cell r="F1150">
            <v>21.537837837838222</v>
          </cell>
          <cell r="G1150">
            <v>13.551351351351425</v>
          </cell>
          <cell r="H1150">
            <v>13.551351351351425</v>
          </cell>
          <cell r="I1150" t="e">
            <v>#N/A</v>
          </cell>
          <cell r="J1150" t="e">
            <v>#N/A</v>
          </cell>
          <cell r="K1150">
            <v>17.5</v>
          </cell>
          <cell r="L1150">
            <v>14</v>
          </cell>
          <cell r="M1150" t="e">
            <v>#N/A</v>
          </cell>
          <cell r="N1150">
            <v>16.5</v>
          </cell>
          <cell r="O1150" t="e">
            <v>#N/A</v>
          </cell>
          <cell r="P1150" t="str">
            <v/>
          </cell>
          <cell r="Q1150" t="str">
            <v/>
          </cell>
          <cell r="R1150">
            <v>16.5</v>
          </cell>
        </row>
        <row r="1151">
          <cell r="A1151" t="str">
            <v/>
          </cell>
          <cell r="B1151" t="str">
            <v/>
          </cell>
          <cell r="C1151" t="str">
            <v>Future</v>
          </cell>
          <cell r="D1151" t="e">
            <v>#N/A</v>
          </cell>
          <cell r="E1151">
            <v>-18.450000000000109</v>
          </cell>
          <cell r="F1151">
            <v>21.550000000000384</v>
          </cell>
          <cell r="G1151">
            <v>13.550000000000074</v>
          </cell>
          <cell r="H1151">
            <v>13.550000000000074</v>
          </cell>
          <cell r="I1151" t="e">
            <v>#N/A</v>
          </cell>
          <cell r="J1151" t="e">
            <v>#N/A</v>
          </cell>
          <cell r="K1151">
            <v>17.5</v>
          </cell>
          <cell r="L1151">
            <v>14</v>
          </cell>
          <cell r="M1151" t="e">
            <v>#N/A</v>
          </cell>
          <cell r="N1151">
            <v>16.5</v>
          </cell>
          <cell r="O1151" t="e">
            <v>#N/A</v>
          </cell>
          <cell r="P1151" t="str">
            <v/>
          </cell>
          <cell r="Q1151" t="str">
            <v/>
          </cell>
          <cell r="R1151">
            <v>16.5</v>
          </cell>
        </row>
        <row r="1152">
          <cell r="A1152" t="str">
            <v/>
          </cell>
          <cell r="B1152" t="str">
            <v/>
          </cell>
          <cell r="C1152" t="str">
            <v>Future</v>
          </cell>
          <cell r="D1152" t="e">
            <v>#N/A</v>
          </cell>
          <cell r="E1152">
            <v>-18.505405405405515</v>
          </cell>
          <cell r="F1152">
            <v>21.562162162162547</v>
          </cell>
          <cell r="G1152">
            <v>13.548648648648722</v>
          </cell>
          <cell r="H1152">
            <v>13.548648648648722</v>
          </cell>
          <cell r="I1152" t="e">
            <v>#N/A</v>
          </cell>
          <cell r="J1152" t="e">
            <v>#N/A</v>
          </cell>
          <cell r="K1152">
            <v>17.5</v>
          </cell>
          <cell r="L1152">
            <v>14</v>
          </cell>
          <cell r="M1152" t="e">
            <v>#N/A</v>
          </cell>
          <cell r="N1152">
            <v>16.5</v>
          </cell>
          <cell r="O1152" t="e">
            <v>#N/A</v>
          </cell>
          <cell r="P1152" t="str">
            <v/>
          </cell>
          <cell r="Q1152" t="str">
            <v/>
          </cell>
          <cell r="R1152">
            <v>16.5</v>
          </cell>
        </row>
        <row r="1153">
          <cell r="A1153" t="str">
            <v/>
          </cell>
          <cell r="B1153" t="str">
            <v/>
          </cell>
          <cell r="C1153" t="str">
            <v>Future</v>
          </cell>
          <cell r="D1153" t="e">
            <v>#N/A</v>
          </cell>
          <cell r="E1153">
            <v>-18.560810810810921</v>
          </cell>
          <cell r="F1153">
            <v>21.57432432432471</v>
          </cell>
          <cell r="G1153">
            <v>13.547297297297371</v>
          </cell>
          <cell r="H1153">
            <v>13.547297297297371</v>
          </cell>
          <cell r="I1153" t="e">
            <v>#N/A</v>
          </cell>
          <cell r="J1153" t="e">
            <v>#N/A</v>
          </cell>
          <cell r="K1153">
            <v>17.5</v>
          </cell>
          <cell r="L1153">
            <v>14</v>
          </cell>
          <cell r="M1153" t="e">
            <v>#N/A</v>
          </cell>
          <cell r="N1153">
            <v>16.5</v>
          </cell>
          <cell r="O1153" t="e">
            <v>#N/A</v>
          </cell>
          <cell r="P1153" t="str">
            <v/>
          </cell>
          <cell r="Q1153" t="str">
            <v/>
          </cell>
          <cell r="R1153">
            <v>16.5</v>
          </cell>
        </row>
        <row r="1154">
          <cell r="A1154" t="str">
            <v/>
          </cell>
          <cell r="B1154" t="str">
            <v/>
          </cell>
          <cell r="C1154" t="str">
            <v>Future</v>
          </cell>
          <cell r="D1154" t="e">
            <v>#N/A</v>
          </cell>
          <cell r="E1154">
            <v>-18.616216216216326</v>
          </cell>
          <cell r="F1154">
            <v>21.586486486486873</v>
          </cell>
          <cell r="G1154">
            <v>13.54594594594602</v>
          </cell>
          <cell r="H1154">
            <v>13.54594594594602</v>
          </cell>
          <cell r="I1154" t="e">
            <v>#N/A</v>
          </cell>
          <cell r="J1154" t="e">
            <v>#N/A</v>
          </cell>
          <cell r="K1154">
            <v>17.5</v>
          </cell>
          <cell r="L1154">
            <v>14</v>
          </cell>
          <cell r="M1154" t="e">
            <v>#N/A</v>
          </cell>
          <cell r="N1154">
            <v>16.5</v>
          </cell>
          <cell r="O1154" t="e">
            <v>#N/A</v>
          </cell>
          <cell r="P1154" t="str">
            <v/>
          </cell>
          <cell r="Q1154" t="str">
            <v/>
          </cell>
          <cell r="R1154">
            <v>16.5</v>
          </cell>
        </row>
        <row r="1155">
          <cell r="A1155" t="str">
            <v/>
          </cell>
          <cell r="B1155" t="str">
            <v/>
          </cell>
          <cell r="C1155" t="str">
            <v>Future</v>
          </cell>
          <cell r="D1155" t="e">
            <v>#N/A</v>
          </cell>
          <cell r="E1155">
            <v>-18.671621621621732</v>
          </cell>
          <cell r="F1155">
            <v>21.598648648649036</v>
          </cell>
          <cell r="G1155">
            <v>13.544594594594669</v>
          </cell>
          <cell r="H1155">
            <v>13.544594594594669</v>
          </cell>
          <cell r="I1155" t="e">
            <v>#N/A</v>
          </cell>
          <cell r="J1155" t="e">
            <v>#N/A</v>
          </cell>
          <cell r="K1155">
            <v>17.5</v>
          </cell>
          <cell r="L1155">
            <v>14</v>
          </cell>
          <cell r="M1155" t="e">
            <v>#N/A</v>
          </cell>
          <cell r="N1155">
            <v>16.5</v>
          </cell>
          <cell r="O1155" t="e">
            <v>#N/A</v>
          </cell>
          <cell r="P1155" t="str">
            <v/>
          </cell>
          <cell r="Q1155" t="str">
            <v/>
          </cell>
          <cell r="R1155">
            <v>16.5</v>
          </cell>
        </row>
        <row r="1156">
          <cell r="A1156" t="str">
            <v/>
          </cell>
          <cell r="B1156" t="str">
            <v/>
          </cell>
          <cell r="C1156" t="str">
            <v>Future</v>
          </cell>
          <cell r="D1156" t="e">
            <v>#N/A</v>
          </cell>
          <cell r="E1156">
            <v>-18.727027027027138</v>
          </cell>
          <cell r="F1156">
            <v>21.610810810811198</v>
          </cell>
          <cell r="G1156">
            <v>13.543243243243317</v>
          </cell>
          <cell r="H1156">
            <v>13.543243243243317</v>
          </cell>
          <cell r="I1156" t="e">
            <v>#N/A</v>
          </cell>
          <cell r="J1156" t="e">
            <v>#N/A</v>
          </cell>
          <cell r="K1156">
            <v>17.5</v>
          </cell>
          <cell r="L1156">
            <v>14</v>
          </cell>
          <cell r="M1156" t="e">
            <v>#N/A</v>
          </cell>
          <cell r="N1156">
            <v>16.5</v>
          </cell>
          <cell r="O1156" t="e">
            <v>#N/A</v>
          </cell>
          <cell r="P1156" t="str">
            <v/>
          </cell>
          <cell r="Q1156" t="str">
            <v/>
          </cell>
          <cell r="R1156">
            <v>16.5</v>
          </cell>
        </row>
        <row r="1157">
          <cell r="A1157" t="str">
            <v/>
          </cell>
          <cell r="B1157" t="str">
            <v/>
          </cell>
          <cell r="C1157" t="str">
            <v>Future</v>
          </cell>
          <cell r="D1157" t="e">
            <v>#N/A</v>
          </cell>
          <cell r="E1157">
            <v>-18.782432432432543</v>
          </cell>
          <cell r="F1157">
            <v>21.622972972973361</v>
          </cell>
          <cell r="G1157">
            <v>13.541891891891966</v>
          </cell>
          <cell r="H1157">
            <v>13.541891891891966</v>
          </cell>
          <cell r="I1157" t="e">
            <v>#N/A</v>
          </cell>
          <cell r="J1157" t="e">
            <v>#N/A</v>
          </cell>
          <cell r="K1157">
            <v>17.5</v>
          </cell>
          <cell r="L1157">
            <v>14</v>
          </cell>
          <cell r="M1157" t="e">
            <v>#N/A</v>
          </cell>
          <cell r="N1157">
            <v>16.5</v>
          </cell>
          <cell r="O1157" t="e">
            <v>#N/A</v>
          </cell>
          <cell r="P1157" t="str">
            <v/>
          </cell>
          <cell r="Q1157" t="str">
            <v/>
          </cell>
          <cell r="R1157">
            <v>16.5</v>
          </cell>
        </row>
        <row r="1158">
          <cell r="A1158" t="str">
            <v/>
          </cell>
          <cell r="B1158" t="str">
            <v/>
          </cell>
          <cell r="C1158" t="str">
            <v>Future</v>
          </cell>
          <cell r="D1158" t="e">
            <v>#N/A</v>
          </cell>
          <cell r="E1158">
            <v>-18.837837837837949</v>
          </cell>
          <cell r="F1158">
            <v>21.635135135135524</v>
          </cell>
          <cell r="G1158">
            <v>13.540540540540615</v>
          </cell>
          <cell r="H1158">
            <v>13.540540540540615</v>
          </cell>
          <cell r="I1158" t="e">
            <v>#N/A</v>
          </cell>
          <cell r="J1158" t="e">
            <v>#N/A</v>
          </cell>
          <cell r="K1158">
            <v>17.5</v>
          </cell>
          <cell r="L1158">
            <v>14</v>
          </cell>
          <cell r="M1158" t="e">
            <v>#N/A</v>
          </cell>
          <cell r="N1158">
            <v>16.5</v>
          </cell>
          <cell r="O1158" t="e">
            <v>#N/A</v>
          </cell>
          <cell r="P1158" t="str">
            <v/>
          </cell>
          <cell r="Q1158" t="str">
            <v/>
          </cell>
          <cell r="R1158">
            <v>16.5</v>
          </cell>
        </row>
        <row r="1159">
          <cell r="A1159" t="str">
            <v/>
          </cell>
          <cell r="B1159" t="str">
            <v/>
          </cell>
          <cell r="C1159" t="str">
            <v>Future</v>
          </cell>
          <cell r="D1159" t="e">
            <v>#N/A</v>
          </cell>
          <cell r="E1159">
            <v>-18.893243243243354</v>
          </cell>
          <cell r="F1159">
            <v>21.647297297297687</v>
          </cell>
          <cell r="G1159">
            <v>13.539189189189264</v>
          </cell>
          <cell r="H1159">
            <v>13.539189189189264</v>
          </cell>
          <cell r="I1159" t="e">
            <v>#N/A</v>
          </cell>
          <cell r="J1159" t="e">
            <v>#N/A</v>
          </cell>
          <cell r="K1159">
            <v>17.5</v>
          </cell>
          <cell r="L1159">
            <v>14</v>
          </cell>
          <cell r="M1159" t="e">
            <v>#N/A</v>
          </cell>
          <cell r="N1159">
            <v>16.5</v>
          </cell>
          <cell r="O1159" t="e">
            <v>#N/A</v>
          </cell>
          <cell r="P1159" t="str">
            <v/>
          </cell>
          <cell r="Q1159" t="str">
            <v/>
          </cell>
          <cell r="R1159">
            <v>16.5</v>
          </cell>
        </row>
        <row r="1160">
          <cell r="A1160" t="str">
            <v/>
          </cell>
          <cell r="B1160" t="str">
            <v/>
          </cell>
          <cell r="C1160" t="str">
            <v>Future</v>
          </cell>
          <cell r="D1160" t="e">
            <v>#N/A</v>
          </cell>
          <cell r="E1160">
            <v>-18.94864864864876</v>
          </cell>
          <cell r="F1160">
            <v>21.65945945945985</v>
          </cell>
          <cell r="G1160">
            <v>13.537837837837913</v>
          </cell>
          <cell r="H1160">
            <v>13.537837837837913</v>
          </cell>
          <cell r="I1160" t="e">
            <v>#N/A</v>
          </cell>
          <cell r="J1160" t="e">
            <v>#N/A</v>
          </cell>
          <cell r="K1160">
            <v>17.5</v>
          </cell>
          <cell r="L1160">
            <v>14</v>
          </cell>
          <cell r="M1160" t="e">
            <v>#N/A</v>
          </cell>
          <cell r="N1160">
            <v>16.5</v>
          </cell>
          <cell r="O1160" t="e">
            <v>#N/A</v>
          </cell>
          <cell r="P1160" t="str">
            <v/>
          </cell>
          <cell r="Q1160" t="str">
            <v/>
          </cell>
          <cell r="R1160">
            <v>16.5</v>
          </cell>
        </row>
        <row r="1161">
          <cell r="A1161" t="str">
            <v/>
          </cell>
          <cell r="B1161" t="str">
            <v/>
          </cell>
          <cell r="C1161" t="str">
            <v>Future</v>
          </cell>
          <cell r="D1161" t="e">
            <v>#N/A</v>
          </cell>
          <cell r="E1161">
            <v>-19.004054054054166</v>
          </cell>
          <cell r="F1161">
            <v>21.671621621622013</v>
          </cell>
          <cell r="G1161">
            <v>13.536486486486561</v>
          </cell>
          <cell r="H1161">
            <v>13.536486486486561</v>
          </cell>
          <cell r="I1161" t="e">
            <v>#N/A</v>
          </cell>
          <cell r="J1161" t="e">
            <v>#N/A</v>
          </cell>
          <cell r="K1161">
            <v>17.5</v>
          </cell>
          <cell r="L1161">
            <v>14</v>
          </cell>
          <cell r="M1161" t="e">
            <v>#N/A</v>
          </cell>
          <cell r="N1161">
            <v>16.5</v>
          </cell>
          <cell r="O1161" t="e">
            <v>#N/A</v>
          </cell>
          <cell r="P1161" t="str">
            <v/>
          </cell>
          <cell r="Q1161" t="str">
            <v/>
          </cell>
          <cell r="R1161">
            <v>16.5</v>
          </cell>
        </row>
        <row r="1162">
          <cell r="A1162" t="str">
            <v/>
          </cell>
          <cell r="B1162" t="str">
            <v/>
          </cell>
          <cell r="C1162" t="str">
            <v>Future</v>
          </cell>
          <cell r="D1162" t="e">
            <v>#N/A</v>
          </cell>
          <cell r="E1162">
            <v>-19.059459459459571</v>
          </cell>
          <cell r="F1162">
            <v>21.683783783784175</v>
          </cell>
          <cell r="G1162">
            <v>13.53513513513521</v>
          </cell>
          <cell r="H1162">
            <v>13.53513513513521</v>
          </cell>
          <cell r="I1162" t="e">
            <v>#N/A</v>
          </cell>
          <cell r="J1162" t="e">
            <v>#N/A</v>
          </cell>
          <cell r="K1162">
            <v>17.5</v>
          </cell>
          <cell r="L1162">
            <v>14</v>
          </cell>
          <cell r="M1162" t="e">
            <v>#N/A</v>
          </cell>
          <cell r="N1162">
            <v>16.5</v>
          </cell>
          <cell r="O1162" t="e">
            <v>#N/A</v>
          </cell>
          <cell r="P1162" t="str">
            <v/>
          </cell>
          <cell r="Q1162" t="str">
            <v/>
          </cell>
          <cell r="R1162">
            <v>16.5</v>
          </cell>
        </row>
        <row r="1163">
          <cell r="A1163" t="str">
            <v/>
          </cell>
          <cell r="B1163" t="str">
            <v/>
          </cell>
          <cell r="C1163" t="str">
            <v>Future</v>
          </cell>
          <cell r="D1163" t="e">
            <v>#N/A</v>
          </cell>
          <cell r="E1163">
            <v>-19.114864864864977</v>
          </cell>
          <cell r="F1163">
            <v>21.695945945946338</v>
          </cell>
          <cell r="G1163">
            <v>13.533783783783859</v>
          </cell>
          <cell r="H1163">
            <v>13.533783783783859</v>
          </cell>
          <cell r="I1163" t="e">
            <v>#N/A</v>
          </cell>
          <cell r="J1163" t="e">
            <v>#N/A</v>
          </cell>
          <cell r="K1163">
            <v>17.5</v>
          </cell>
          <cell r="L1163">
            <v>14</v>
          </cell>
          <cell r="M1163" t="e">
            <v>#N/A</v>
          </cell>
          <cell r="N1163">
            <v>16.5</v>
          </cell>
          <cell r="O1163" t="e">
            <v>#N/A</v>
          </cell>
          <cell r="P1163" t="str">
            <v/>
          </cell>
          <cell r="Q1163" t="str">
            <v/>
          </cell>
          <cell r="R1163">
            <v>16.5</v>
          </cell>
        </row>
        <row r="1164">
          <cell r="A1164" t="str">
            <v/>
          </cell>
          <cell r="B1164" t="str">
            <v/>
          </cell>
          <cell r="C1164" t="str">
            <v>Future</v>
          </cell>
          <cell r="D1164" t="e">
            <v>#N/A</v>
          </cell>
          <cell r="E1164">
            <v>-19.170270270270382</v>
          </cell>
          <cell r="F1164">
            <v>21.708108108108501</v>
          </cell>
          <cell r="G1164">
            <v>13.532432432432508</v>
          </cell>
          <cell r="H1164">
            <v>13.532432432432508</v>
          </cell>
          <cell r="I1164" t="e">
            <v>#N/A</v>
          </cell>
          <cell r="J1164" t="e">
            <v>#N/A</v>
          </cell>
          <cell r="K1164">
            <v>17.5</v>
          </cell>
          <cell r="L1164">
            <v>14</v>
          </cell>
          <cell r="M1164" t="e">
            <v>#N/A</v>
          </cell>
          <cell r="N1164">
            <v>16.5</v>
          </cell>
          <cell r="O1164" t="e">
            <v>#N/A</v>
          </cell>
          <cell r="P1164" t="str">
            <v/>
          </cell>
          <cell r="Q1164" t="str">
            <v/>
          </cell>
          <cell r="R1164">
            <v>16.5</v>
          </cell>
        </row>
        <row r="1165">
          <cell r="A1165" t="str">
            <v/>
          </cell>
          <cell r="B1165" t="str">
            <v/>
          </cell>
          <cell r="C1165" t="str">
            <v>Future</v>
          </cell>
          <cell r="D1165" t="e">
            <v>#N/A</v>
          </cell>
          <cell r="E1165">
            <v>-19.225675675675788</v>
          </cell>
          <cell r="F1165">
            <v>21.720270270270664</v>
          </cell>
          <cell r="G1165">
            <v>13.531081081081156</v>
          </cell>
          <cell r="H1165">
            <v>13.531081081081156</v>
          </cell>
          <cell r="I1165" t="e">
            <v>#N/A</v>
          </cell>
          <cell r="J1165" t="e">
            <v>#N/A</v>
          </cell>
          <cell r="K1165">
            <v>17.5</v>
          </cell>
          <cell r="L1165">
            <v>14</v>
          </cell>
          <cell r="M1165" t="e">
            <v>#N/A</v>
          </cell>
          <cell r="N1165">
            <v>16.5</v>
          </cell>
          <cell r="O1165" t="e">
            <v>#N/A</v>
          </cell>
          <cell r="P1165" t="str">
            <v/>
          </cell>
          <cell r="Q1165" t="str">
            <v/>
          </cell>
          <cell r="R1165">
            <v>16.5</v>
          </cell>
        </row>
        <row r="1166">
          <cell r="A1166" t="str">
            <v/>
          </cell>
          <cell r="B1166" t="str">
            <v/>
          </cell>
          <cell r="C1166" t="str">
            <v>Future</v>
          </cell>
          <cell r="D1166" t="e">
            <v>#N/A</v>
          </cell>
          <cell r="E1166">
            <v>-19.281081081081194</v>
          </cell>
          <cell r="F1166">
            <v>21.732432432432827</v>
          </cell>
          <cell r="G1166">
            <v>13.529729729729805</v>
          </cell>
          <cell r="H1166">
            <v>13.529729729729805</v>
          </cell>
          <cell r="I1166" t="e">
            <v>#N/A</v>
          </cell>
          <cell r="J1166" t="e">
            <v>#N/A</v>
          </cell>
          <cell r="K1166">
            <v>17.5</v>
          </cell>
          <cell r="L1166">
            <v>14</v>
          </cell>
          <cell r="M1166" t="e">
            <v>#N/A</v>
          </cell>
          <cell r="N1166">
            <v>16.5</v>
          </cell>
          <cell r="O1166" t="e">
            <v>#N/A</v>
          </cell>
          <cell r="P1166" t="str">
            <v/>
          </cell>
          <cell r="Q1166" t="str">
            <v/>
          </cell>
          <cell r="R1166">
            <v>16.5</v>
          </cell>
        </row>
        <row r="1167">
          <cell r="A1167" t="str">
            <v/>
          </cell>
          <cell r="B1167" t="str">
            <v/>
          </cell>
          <cell r="C1167" t="str">
            <v>Future</v>
          </cell>
          <cell r="D1167" t="e">
            <v>#N/A</v>
          </cell>
          <cell r="E1167">
            <v>-19.336486486486599</v>
          </cell>
          <cell r="F1167">
            <v>21.744594594594989</v>
          </cell>
          <cell r="G1167">
            <v>13.528378378378454</v>
          </cell>
          <cell r="H1167">
            <v>13.528378378378454</v>
          </cell>
          <cell r="I1167" t="e">
            <v>#N/A</v>
          </cell>
          <cell r="J1167" t="e">
            <v>#N/A</v>
          </cell>
          <cell r="K1167">
            <v>17.5</v>
          </cell>
          <cell r="L1167">
            <v>14</v>
          </cell>
          <cell r="M1167" t="e">
            <v>#N/A</v>
          </cell>
          <cell r="N1167">
            <v>16.5</v>
          </cell>
          <cell r="O1167" t="e">
            <v>#N/A</v>
          </cell>
          <cell r="P1167" t="str">
            <v/>
          </cell>
          <cell r="Q1167" t="str">
            <v/>
          </cell>
          <cell r="R1167">
            <v>16.5</v>
          </cell>
        </row>
        <row r="1168">
          <cell r="A1168" t="str">
            <v/>
          </cell>
          <cell r="B1168" t="str">
            <v/>
          </cell>
          <cell r="C1168" t="str">
            <v>Future</v>
          </cell>
          <cell r="D1168" t="e">
            <v>#N/A</v>
          </cell>
          <cell r="E1168">
            <v>-19.391891891892005</v>
          </cell>
          <cell r="F1168">
            <v>21.756756756757152</v>
          </cell>
          <cell r="G1168">
            <v>13.527027027027103</v>
          </cell>
          <cell r="H1168">
            <v>13.527027027027103</v>
          </cell>
          <cell r="I1168" t="e">
            <v>#N/A</v>
          </cell>
          <cell r="J1168" t="e">
            <v>#N/A</v>
          </cell>
          <cell r="K1168">
            <v>17.5</v>
          </cell>
          <cell r="L1168">
            <v>14</v>
          </cell>
          <cell r="M1168" t="e">
            <v>#N/A</v>
          </cell>
          <cell r="N1168">
            <v>16.5</v>
          </cell>
          <cell r="O1168" t="e">
            <v>#N/A</v>
          </cell>
          <cell r="P1168" t="str">
            <v/>
          </cell>
          <cell r="Q1168" t="str">
            <v/>
          </cell>
          <cell r="R1168">
            <v>16.5</v>
          </cell>
        </row>
        <row r="1169">
          <cell r="A1169" t="str">
            <v/>
          </cell>
          <cell r="B1169" t="str">
            <v/>
          </cell>
          <cell r="C1169" t="str">
            <v>Future</v>
          </cell>
          <cell r="D1169" t="e">
            <v>#N/A</v>
          </cell>
          <cell r="E1169">
            <v>-19.447297297297411</v>
          </cell>
          <cell r="F1169">
            <v>21.768918918919315</v>
          </cell>
          <cell r="G1169">
            <v>13.525675675675751</v>
          </cell>
          <cell r="H1169">
            <v>13.525675675675751</v>
          </cell>
          <cell r="I1169" t="e">
            <v>#N/A</v>
          </cell>
          <cell r="J1169" t="e">
            <v>#N/A</v>
          </cell>
          <cell r="K1169">
            <v>17.5</v>
          </cell>
          <cell r="L1169">
            <v>14</v>
          </cell>
          <cell r="M1169" t="e">
            <v>#N/A</v>
          </cell>
          <cell r="N1169">
            <v>16.5</v>
          </cell>
          <cell r="O1169" t="e">
            <v>#N/A</v>
          </cell>
          <cell r="P1169" t="str">
            <v/>
          </cell>
          <cell r="Q1169" t="str">
            <v/>
          </cell>
          <cell r="R1169">
            <v>16.5</v>
          </cell>
        </row>
        <row r="1170">
          <cell r="A1170" t="str">
            <v/>
          </cell>
          <cell r="B1170" t="str">
            <v/>
          </cell>
          <cell r="C1170" t="str">
            <v>Future</v>
          </cell>
          <cell r="D1170" t="e">
            <v>#N/A</v>
          </cell>
          <cell r="E1170">
            <v>-19.502702702702816</v>
          </cell>
          <cell r="F1170">
            <v>21.781081081081478</v>
          </cell>
          <cell r="G1170">
            <v>13.5243243243244</v>
          </cell>
          <cell r="H1170">
            <v>13.5243243243244</v>
          </cell>
          <cell r="I1170" t="e">
            <v>#N/A</v>
          </cell>
          <cell r="J1170" t="e">
            <v>#N/A</v>
          </cell>
          <cell r="K1170">
            <v>17.5</v>
          </cell>
          <cell r="L1170">
            <v>14</v>
          </cell>
          <cell r="M1170" t="e">
            <v>#N/A</v>
          </cell>
          <cell r="N1170">
            <v>16.5</v>
          </cell>
          <cell r="O1170" t="e">
            <v>#N/A</v>
          </cell>
          <cell r="P1170" t="str">
            <v/>
          </cell>
          <cell r="Q1170" t="str">
            <v/>
          </cell>
          <cell r="R1170">
            <v>16.5</v>
          </cell>
        </row>
        <row r="1171">
          <cell r="A1171" t="str">
            <v/>
          </cell>
          <cell r="B1171" t="str">
            <v/>
          </cell>
          <cell r="C1171" t="str">
            <v>Future</v>
          </cell>
          <cell r="D1171" t="e">
            <v>#N/A</v>
          </cell>
          <cell r="E1171">
            <v>-19.558108108108222</v>
          </cell>
          <cell r="F1171">
            <v>21.793243243243641</v>
          </cell>
          <cell r="G1171">
            <v>13.522972972973049</v>
          </cell>
          <cell r="H1171">
            <v>13.522972972973049</v>
          </cell>
          <cell r="I1171" t="e">
            <v>#N/A</v>
          </cell>
          <cell r="J1171" t="e">
            <v>#N/A</v>
          </cell>
          <cell r="K1171">
            <v>17.5</v>
          </cell>
          <cell r="L1171">
            <v>14</v>
          </cell>
          <cell r="M1171" t="e">
            <v>#N/A</v>
          </cell>
          <cell r="N1171">
            <v>16.5</v>
          </cell>
          <cell r="O1171" t="e">
            <v>#N/A</v>
          </cell>
          <cell r="P1171" t="str">
            <v/>
          </cell>
          <cell r="Q1171" t="str">
            <v/>
          </cell>
          <cell r="R1171">
            <v>16.5</v>
          </cell>
        </row>
        <row r="1172">
          <cell r="A1172" t="str">
            <v/>
          </cell>
          <cell r="B1172" t="str">
            <v/>
          </cell>
          <cell r="C1172" t="str">
            <v>Future</v>
          </cell>
          <cell r="D1172" t="e">
            <v>#N/A</v>
          </cell>
          <cell r="E1172">
            <v>-19.613513513513627</v>
          </cell>
          <cell r="F1172">
            <v>21.805405405405804</v>
          </cell>
          <cell r="G1172">
            <v>13.521621621621698</v>
          </cell>
          <cell r="H1172">
            <v>13.521621621621698</v>
          </cell>
          <cell r="I1172" t="e">
            <v>#N/A</v>
          </cell>
          <cell r="J1172" t="e">
            <v>#N/A</v>
          </cell>
          <cell r="K1172">
            <v>17.5</v>
          </cell>
          <cell r="L1172">
            <v>14</v>
          </cell>
          <cell r="M1172" t="e">
            <v>#N/A</v>
          </cell>
          <cell r="N1172">
            <v>16.5</v>
          </cell>
          <cell r="O1172" t="e">
            <v>#N/A</v>
          </cell>
          <cell r="P1172" t="str">
            <v/>
          </cell>
          <cell r="Q1172" t="str">
            <v/>
          </cell>
          <cell r="R1172">
            <v>16.5</v>
          </cell>
        </row>
        <row r="1173">
          <cell r="A1173" t="str">
            <v/>
          </cell>
          <cell r="B1173" t="str">
            <v/>
          </cell>
          <cell r="C1173" t="str">
            <v>Future</v>
          </cell>
          <cell r="D1173" t="e">
            <v>#N/A</v>
          </cell>
          <cell r="E1173">
            <v>-19.668918918919033</v>
          </cell>
          <cell r="F1173">
            <v>21.817567567567966</v>
          </cell>
          <cell r="G1173">
            <v>13.520270270270347</v>
          </cell>
          <cell r="H1173">
            <v>13.520270270270347</v>
          </cell>
          <cell r="I1173" t="e">
            <v>#N/A</v>
          </cell>
          <cell r="J1173" t="e">
            <v>#N/A</v>
          </cell>
          <cell r="K1173">
            <v>17.5</v>
          </cell>
          <cell r="L1173">
            <v>14</v>
          </cell>
          <cell r="M1173" t="e">
            <v>#N/A</v>
          </cell>
          <cell r="N1173">
            <v>16.5</v>
          </cell>
          <cell r="O1173" t="e">
            <v>#N/A</v>
          </cell>
          <cell r="P1173" t="str">
            <v/>
          </cell>
          <cell r="Q1173" t="str">
            <v/>
          </cell>
          <cell r="R1173">
            <v>16.5</v>
          </cell>
        </row>
        <row r="1174">
          <cell r="A1174" t="str">
            <v/>
          </cell>
          <cell r="B1174" t="str">
            <v/>
          </cell>
          <cell r="C1174" t="str">
            <v>Future</v>
          </cell>
          <cell r="D1174" t="e">
            <v>#N/A</v>
          </cell>
          <cell r="E1174">
            <v>-19.724324324324439</v>
          </cell>
          <cell r="F1174">
            <v>21.829729729730129</v>
          </cell>
          <cell r="G1174">
            <v>13.518918918918995</v>
          </cell>
          <cell r="H1174">
            <v>13.518918918918995</v>
          </cell>
          <cell r="I1174" t="e">
            <v>#N/A</v>
          </cell>
          <cell r="J1174" t="e">
            <v>#N/A</v>
          </cell>
          <cell r="K1174">
            <v>17.5</v>
          </cell>
          <cell r="L1174">
            <v>14</v>
          </cell>
          <cell r="M1174" t="e">
            <v>#N/A</v>
          </cell>
          <cell r="N1174">
            <v>16.5</v>
          </cell>
          <cell r="O1174" t="e">
            <v>#N/A</v>
          </cell>
          <cell r="P1174" t="str">
            <v/>
          </cell>
          <cell r="Q1174" t="str">
            <v/>
          </cell>
          <cell r="R1174">
            <v>16.5</v>
          </cell>
        </row>
        <row r="1175">
          <cell r="A1175" t="str">
            <v/>
          </cell>
          <cell r="B1175" t="str">
            <v/>
          </cell>
          <cell r="C1175" t="str">
            <v>Future</v>
          </cell>
          <cell r="D1175" t="e">
            <v>#N/A</v>
          </cell>
          <cell r="E1175">
            <v>-19.779729729729844</v>
          </cell>
          <cell r="F1175">
            <v>21.841891891892292</v>
          </cell>
          <cell r="G1175">
            <v>13.517567567567644</v>
          </cell>
          <cell r="H1175">
            <v>13.517567567567644</v>
          </cell>
          <cell r="I1175" t="e">
            <v>#N/A</v>
          </cell>
          <cell r="J1175" t="e">
            <v>#N/A</v>
          </cell>
          <cell r="K1175">
            <v>17.5</v>
          </cell>
          <cell r="L1175">
            <v>14</v>
          </cell>
          <cell r="M1175" t="e">
            <v>#N/A</v>
          </cell>
          <cell r="N1175">
            <v>16.5</v>
          </cell>
          <cell r="O1175" t="e">
            <v>#N/A</v>
          </cell>
          <cell r="P1175" t="str">
            <v/>
          </cell>
          <cell r="Q1175" t="str">
            <v/>
          </cell>
          <cell r="R1175">
            <v>16.5</v>
          </cell>
        </row>
        <row r="1176">
          <cell r="A1176" t="str">
            <v/>
          </cell>
          <cell r="B1176" t="str">
            <v/>
          </cell>
          <cell r="C1176" t="str">
            <v>Future</v>
          </cell>
          <cell r="D1176" t="e">
            <v>#N/A</v>
          </cell>
          <cell r="E1176">
            <v>-19.83513513513525</v>
          </cell>
          <cell r="F1176">
            <v>21.854054054054455</v>
          </cell>
          <cell r="G1176">
            <v>13.516216216216293</v>
          </cell>
          <cell r="H1176">
            <v>13.516216216216293</v>
          </cell>
          <cell r="I1176" t="e">
            <v>#N/A</v>
          </cell>
          <cell r="J1176" t="e">
            <v>#N/A</v>
          </cell>
          <cell r="K1176">
            <v>17.5</v>
          </cell>
          <cell r="L1176">
            <v>14</v>
          </cell>
          <cell r="M1176" t="e">
            <v>#N/A</v>
          </cell>
          <cell r="N1176">
            <v>16.5</v>
          </cell>
          <cell r="O1176" t="e">
            <v>#N/A</v>
          </cell>
          <cell r="P1176" t="str">
            <v/>
          </cell>
          <cell r="Q1176" t="str">
            <v/>
          </cell>
          <cell r="R1176">
            <v>16.5</v>
          </cell>
        </row>
        <row r="1177">
          <cell r="A1177" t="str">
            <v/>
          </cell>
          <cell r="B1177" t="str">
            <v/>
          </cell>
          <cell r="C1177" t="str">
            <v>Future</v>
          </cell>
          <cell r="D1177" t="e">
            <v>#N/A</v>
          </cell>
          <cell r="E1177">
            <v>-19.890540540540655</v>
          </cell>
          <cell r="F1177">
            <v>21.866216216216618</v>
          </cell>
          <cell r="G1177">
            <v>13.514864864864942</v>
          </cell>
          <cell r="H1177">
            <v>13.514864864864942</v>
          </cell>
          <cell r="I1177" t="e">
            <v>#N/A</v>
          </cell>
          <cell r="J1177" t="e">
            <v>#N/A</v>
          </cell>
          <cell r="K1177">
            <v>17.5</v>
          </cell>
          <cell r="L1177">
            <v>14</v>
          </cell>
          <cell r="M1177" t="e">
            <v>#N/A</v>
          </cell>
          <cell r="N1177">
            <v>16.5</v>
          </cell>
          <cell r="O1177" t="e">
            <v>#N/A</v>
          </cell>
          <cell r="P1177" t="str">
            <v/>
          </cell>
          <cell r="Q1177" t="str">
            <v/>
          </cell>
          <cell r="R1177">
            <v>16.5</v>
          </cell>
        </row>
        <row r="1178">
          <cell r="A1178" t="str">
            <v/>
          </cell>
          <cell r="B1178" t="str">
            <v/>
          </cell>
          <cell r="C1178" t="str">
            <v>Future</v>
          </cell>
          <cell r="D1178" t="e">
            <v>#N/A</v>
          </cell>
          <cell r="E1178">
            <v>-19.945945945946061</v>
          </cell>
          <cell r="F1178">
            <v>21.87837837837878</v>
          </cell>
          <cell r="G1178">
            <v>13.51351351351359</v>
          </cell>
          <cell r="H1178">
            <v>13.51351351351359</v>
          </cell>
          <cell r="I1178" t="e">
            <v>#N/A</v>
          </cell>
          <cell r="J1178" t="e">
            <v>#N/A</v>
          </cell>
          <cell r="K1178">
            <v>17.5</v>
          </cell>
          <cell r="L1178">
            <v>14</v>
          </cell>
          <cell r="M1178" t="e">
            <v>#N/A</v>
          </cell>
          <cell r="N1178">
            <v>16.5</v>
          </cell>
          <cell r="O1178" t="e">
            <v>#N/A</v>
          </cell>
          <cell r="P1178" t="str">
            <v/>
          </cell>
          <cell r="Q1178" t="str">
            <v/>
          </cell>
          <cell r="R1178">
            <v>16.5</v>
          </cell>
        </row>
        <row r="1179">
          <cell r="A1179" t="str">
            <v/>
          </cell>
          <cell r="B1179" t="str">
            <v/>
          </cell>
          <cell r="C1179" t="str">
            <v>Future</v>
          </cell>
          <cell r="D1179" t="e">
            <v>#N/A</v>
          </cell>
          <cell r="E1179">
            <v>-20.001351351351467</v>
          </cell>
          <cell r="F1179">
            <v>21.890540540540943</v>
          </cell>
          <cell r="G1179">
            <v>13.512162162162239</v>
          </cell>
          <cell r="H1179">
            <v>13.512162162162239</v>
          </cell>
          <cell r="I1179" t="e">
            <v>#N/A</v>
          </cell>
          <cell r="J1179" t="e">
            <v>#N/A</v>
          </cell>
          <cell r="K1179">
            <v>17.5</v>
          </cell>
          <cell r="L1179">
            <v>14</v>
          </cell>
          <cell r="M1179" t="e">
            <v>#N/A</v>
          </cell>
          <cell r="N1179">
            <v>16.5</v>
          </cell>
          <cell r="O1179" t="e">
            <v>#N/A</v>
          </cell>
          <cell r="P1179" t="str">
            <v/>
          </cell>
          <cell r="Q1179" t="str">
            <v/>
          </cell>
          <cell r="R1179">
            <v>16.5</v>
          </cell>
        </row>
        <row r="1180">
          <cell r="A1180" t="str">
            <v/>
          </cell>
          <cell r="B1180" t="str">
            <v/>
          </cell>
          <cell r="C1180" t="str">
            <v>Future</v>
          </cell>
          <cell r="D1180" t="e">
            <v>#N/A</v>
          </cell>
          <cell r="E1180">
            <v>-20.056756756756872</v>
          </cell>
          <cell r="F1180">
            <v>21.902702702703106</v>
          </cell>
          <cell r="G1180">
            <v>13.510810810810888</v>
          </cell>
          <cell r="H1180">
            <v>13.510810810810888</v>
          </cell>
          <cell r="I1180" t="e">
            <v>#N/A</v>
          </cell>
          <cell r="J1180" t="e">
            <v>#N/A</v>
          </cell>
          <cell r="K1180">
            <v>17.5</v>
          </cell>
          <cell r="L1180">
            <v>14</v>
          </cell>
          <cell r="M1180" t="e">
            <v>#N/A</v>
          </cell>
          <cell r="N1180">
            <v>16.5</v>
          </cell>
          <cell r="O1180" t="e">
            <v>#N/A</v>
          </cell>
          <cell r="P1180" t="str">
            <v/>
          </cell>
          <cell r="Q1180" t="str">
            <v/>
          </cell>
          <cell r="R1180">
            <v>16.5</v>
          </cell>
        </row>
        <row r="1181">
          <cell r="A1181" t="str">
            <v/>
          </cell>
          <cell r="B1181" t="str">
            <v/>
          </cell>
          <cell r="C1181" t="str">
            <v>Future</v>
          </cell>
          <cell r="D1181" t="e">
            <v>#N/A</v>
          </cell>
          <cell r="E1181">
            <v>-20.112162162162278</v>
          </cell>
          <cell r="F1181">
            <v>21.914864864865269</v>
          </cell>
          <cell r="G1181">
            <v>13.509459459459537</v>
          </cell>
          <cell r="H1181">
            <v>13.509459459459537</v>
          </cell>
          <cell r="I1181" t="e">
            <v>#N/A</v>
          </cell>
          <cell r="J1181" t="e">
            <v>#N/A</v>
          </cell>
          <cell r="K1181">
            <v>17.5</v>
          </cell>
          <cell r="L1181">
            <v>14</v>
          </cell>
          <cell r="M1181" t="e">
            <v>#N/A</v>
          </cell>
          <cell r="N1181">
            <v>16.5</v>
          </cell>
          <cell r="O1181" t="e">
            <v>#N/A</v>
          </cell>
          <cell r="P1181" t="str">
            <v/>
          </cell>
          <cell r="Q1181" t="str">
            <v/>
          </cell>
          <cell r="R1181">
            <v>16.5</v>
          </cell>
        </row>
        <row r="1182">
          <cell r="A1182" t="str">
            <v/>
          </cell>
          <cell r="B1182" t="str">
            <v/>
          </cell>
          <cell r="C1182" t="str">
            <v>Future</v>
          </cell>
          <cell r="D1182" t="e">
            <v>#N/A</v>
          </cell>
          <cell r="E1182">
            <v>-20.167567567567684</v>
          </cell>
          <cell r="F1182">
            <v>21.927027027027432</v>
          </cell>
          <cell r="G1182">
            <v>13.508108108108186</v>
          </cell>
          <cell r="H1182">
            <v>13.508108108108186</v>
          </cell>
          <cell r="I1182" t="e">
            <v>#N/A</v>
          </cell>
          <cell r="J1182" t="e">
            <v>#N/A</v>
          </cell>
          <cell r="K1182">
            <v>17.5</v>
          </cell>
          <cell r="L1182">
            <v>14</v>
          </cell>
          <cell r="M1182" t="e">
            <v>#N/A</v>
          </cell>
          <cell r="N1182">
            <v>16.5</v>
          </cell>
          <cell r="O1182" t="e">
            <v>#N/A</v>
          </cell>
          <cell r="P1182" t="str">
            <v/>
          </cell>
          <cell r="Q1182" t="str">
            <v/>
          </cell>
          <cell r="R1182">
            <v>16.5</v>
          </cell>
        </row>
        <row r="1183">
          <cell r="A1183" t="str">
            <v/>
          </cell>
          <cell r="B1183" t="str">
            <v/>
          </cell>
          <cell r="C1183" t="str">
            <v>Future</v>
          </cell>
          <cell r="D1183" t="e">
            <v>#N/A</v>
          </cell>
          <cell r="E1183">
            <v>-20.222972972973089</v>
          </cell>
          <cell r="F1183">
            <v>21.939189189189594</v>
          </cell>
          <cell r="G1183">
            <v>13.506756756756834</v>
          </cell>
          <cell r="H1183">
            <v>13.506756756756834</v>
          </cell>
          <cell r="I1183" t="e">
            <v>#N/A</v>
          </cell>
          <cell r="J1183" t="e">
            <v>#N/A</v>
          </cell>
          <cell r="K1183">
            <v>17.5</v>
          </cell>
          <cell r="L1183">
            <v>14</v>
          </cell>
          <cell r="M1183" t="e">
            <v>#N/A</v>
          </cell>
          <cell r="N1183">
            <v>16.5</v>
          </cell>
          <cell r="O1183" t="e">
            <v>#N/A</v>
          </cell>
          <cell r="P1183" t="str">
            <v/>
          </cell>
          <cell r="Q1183" t="str">
            <v/>
          </cell>
          <cell r="R1183">
            <v>16.5</v>
          </cell>
        </row>
        <row r="1184">
          <cell r="A1184" t="str">
            <v/>
          </cell>
          <cell r="B1184" t="str">
            <v/>
          </cell>
          <cell r="C1184" t="str">
            <v>Future</v>
          </cell>
          <cell r="D1184" t="e">
            <v>#N/A</v>
          </cell>
          <cell r="E1184">
            <v>-20.278378378378495</v>
          </cell>
          <cell r="F1184">
            <v>21.951351351351757</v>
          </cell>
          <cell r="G1184">
            <v>13.505405405405483</v>
          </cell>
          <cell r="H1184">
            <v>13.505405405405483</v>
          </cell>
          <cell r="I1184" t="e">
            <v>#N/A</v>
          </cell>
          <cell r="J1184" t="e">
            <v>#N/A</v>
          </cell>
          <cell r="K1184">
            <v>17.5</v>
          </cell>
          <cell r="L1184">
            <v>14</v>
          </cell>
          <cell r="M1184" t="e">
            <v>#N/A</v>
          </cell>
          <cell r="N1184">
            <v>16.5</v>
          </cell>
          <cell r="O1184" t="e">
            <v>#N/A</v>
          </cell>
          <cell r="P1184" t="str">
            <v/>
          </cell>
          <cell r="Q1184" t="str">
            <v/>
          </cell>
          <cell r="R1184">
            <v>16.5</v>
          </cell>
        </row>
        <row r="1185">
          <cell r="A1185" t="str">
            <v/>
          </cell>
          <cell r="B1185" t="str">
            <v/>
          </cell>
          <cell r="C1185" t="str">
            <v>Future</v>
          </cell>
          <cell r="D1185" t="e">
            <v>#N/A</v>
          </cell>
          <cell r="E1185">
            <v>-20.3337837837839</v>
          </cell>
          <cell r="F1185">
            <v>21.96351351351392</v>
          </cell>
          <cell r="G1185">
            <v>13.504054054054132</v>
          </cell>
          <cell r="H1185">
            <v>13.504054054054132</v>
          </cell>
          <cell r="I1185" t="e">
            <v>#N/A</v>
          </cell>
          <cell r="J1185" t="e">
            <v>#N/A</v>
          </cell>
          <cell r="K1185">
            <v>17.5</v>
          </cell>
          <cell r="L1185">
            <v>14</v>
          </cell>
          <cell r="M1185" t="e">
            <v>#N/A</v>
          </cell>
          <cell r="N1185">
            <v>16.5</v>
          </cell>
          <cell r="O1185" t="e">
            <v>#N/A</v>
          </cell>
          <cell r="P1185" t="str">
            <v/>
          </cell>
          <cell r="Q1185" t="str">
            <v/>
          </cell>
          <cell r="R1185">
            <v>16.5</v>
          </cell>
        </row>
        <row r="1186">
          <cell r="A1186" t="str">
            <v/>
          </cell>
          <cell r="B1186" t="str">
            <v/>
          </cell>
          <cell r="C1186" t="str">
            <v>Future</v>
          </cell>
          <cell r="D1186" t="e">
            <v>#N/A</v>
          </cell>
          <cell r="E1186">
            <v>-20.389189189189306</v>
          </cell>
          <cell r="F1186">
            <v>21.975675675676083</v>
          </cell>
          <cell r="G1186">
            <v>13.502702702702781</v>
          </cell>
          <cell r="H1186">
            <v>13.502702702702781</v>
          </cell>
          <cell r="I1186" t="e">
            <v>#N/A</v>
          </cell>
          <cell r="J1186" t="e">
            <v>#N/A</v>
          </cell>
          <cell r="K1186">
            <v>17.5</v>
          </cell>
          <cell r="L1186">
            <v>14</v>
          </cell>
          <cell r="M1186" t="e">
            <v>#N/A</v>
          </cell>
          <cell r="N1186">
            <v>16.5</v>
          </cell>
          <cell r="O1186" t="e">
            <v>#N/A</v>
          </cell>
          <cell r="P1186" t="str">
            <v/>
          </cell>
          <cell r="Q1186" t="str">
            <v/>
          </cell>
          <cell r="R1186">
            <v>16.5</v>
          </cell>
        </row>
        <row r="1187">
          <cell r="A1187" t="str">
            <v/>
          </cell>
          <cell r="B1187" t="str">
            <v/>
          </cell>
          <cell r="C1187" t="str">
            <v>Future</v>
          </cell>
          <cell r="D1187" t="e">
            <v>#N/A</v>
          </cell>
          <cell r="E1187">
            <v>-20.444594594594712</v>
          </cell>
          <cell r="F1187">
            <v>21.987837837838246</v>
          </cell>
          <cell r="G1187">
            <v>13.501351351351429</v>
          </cell>
          <cell r="H1187">
            <v>13.501351351351429</v>
          </cell>
          <cell r="I1187" t="e">
            <v>#N/A</v>
          </cell>
          <cell r="J1187" t="e">
            <v>#N/A</v>
          </cell>
          <cell r="K1187">
            <v>17.5</v>
          </cell>
          <cell r="L1187">
            <v>14</v>
          </cell>
          <cell r="M1187" t="e">
            <v>#N/A</v>
          </cell>
          <cell r="N1187">
            <v>16.5</v>
          </cell>
          <cell r="O1187" t="e">
            <v>#N/A</v>
          </cell>
          <cell r="P1187" t="str">
            <v/>
          </cell>
          <cell r="Q1187" t="str">
            <v/>
          </cell>
          <cell r="R1187">
            <v>16.5</v>
          </cell>
        </row>
        <row r="1188">
          <cell r="A1188" t="str">
            <v/>
          </cell>
          <cell r="B1188" t="str">
            <v/>
          </cell>
          <cell r="C1188" t="str">
            <v>Future</v>
          </cell>
          <cell r="D1188" t="e">
            <v>#N/A</v>
          </cell>
          <cell r="E1188">
            <v>-20.500000000000117</v>
          </cell>
          <cell r="F1188">
            <v>22.000000000000409</v>
          </cell>
          <cell r="G1188">
            <v>13.500000000000078</v>
          </cell>
          <cell r="H1188">
            <v>13.500000000000078</v>
          </cell>
          <cell r="I1188" t="e">
            <v>#N/A</v>
          </cell>
          <cell r="J1188" t="e">
            <v>#N/A</v>
          </cell>
          <cell r="K1188">
            <v>17.5</v>
          </cell>
          <cell r="L1188">
            <v>14</v>
          </cell>
          <cell r="M1188" t="e">
            <v>#N/A</v>
          </cell>
          <cell r="N1188">
            <v>16.5</v>
          </cell>
          <cell r="O1188" t="e">
            <v>#N/A</v>
          </cell>
          <cell r="P1188" t="str">
            <v/>
          </cell>
          <cell r="Q1188" t="str">
            <v/>
          </cell>
          <cell r="R1188">
            <v>16.5</v>
          </cell>
        </row>
        <row r="1189">
          <cell r="A1189" t="str">
            <v/>
          </cell>
          <cell r="B1189" t="str">
            <v/>
          </cell>
          <cell r="C1189" t="str">
            <v>Future</v>
          </cell>
          <cell r="D1189" t="e">
            <v>#N/A</v>
          </cell>
          <cell r="E1189">
            <v>-20.555405405405523</v>
          </cell>
          <cell r="F1189">
            <v>22.012162162162571</v>
          </cell>
          <cell r="G1189">
            <v>13.498648648648727</v>
          </cell>
          <cell r="H1189">
            <v>13.498648648648727</v>
          </cell>
          <cell r="I1189" t="e">
            <v>#N/A</v>
          </cell>
          <cell r="J1189" t="e">
            <v>#N/A</v>
          </cell>
          <cell r="K1189">
            <v>17.5</v>
          </cell>
          <cell r="L1189">
            <v>14</v>
          </cell>
          <cell r="M1189" t="e">
            <v>#N/A</v>
          </cell>
          <cell r="N1189">
            <v>16.5</v>
          </cell>
          <cell r="O1189" t="e">
            <v>#N/A</v>
          </cell>
          <cell r="P1189" t="str">
            <v/>
          </cell>
          <cell r="Q1189" t="str">
            <v/>
          </cell>
          <cell r="R1189">
            <v>16.5</v>
          </cell>
        </row>
        <row r="1190">
          <cell r="A1190" t="str">
            <v/>
          </cell>
          <cell r="B1190" t="str">
            <v/>
          </cell>
          <cell r="C1190" t="str">
            <v>Future</v>
          </cell>
          <cell r="D1190" t="e">
            <v>#N/A</v>
          </cell>
          <cell r="E1190">
            <v>-20.610810810810928</v>
          </cell>
          <cell r="F1190">
            <v>22.024324324324734</v>
          </cell>
          <cell r="G1190">
            <v>13.497297297297376</v>
          </cell>
          <cell r="H1190">
            <v>13.497297297297376</v>
          </cell>
          <cell r="I1190" t="e">
            <v>#N/A</v>
          </cell>
          <cell r="J1190" t="e">
            <v>#N/A</v>
          </cell>
          <cell r="K1190">
            <v>17.5</v>
          </cell>
          <cell r="L1190">
            <v>14</v>
          </cell>
          <cell r="M1190" t="e">
            <v>#N/A</v>
          </cell>
          <cell r="N1190">
            <v>16.5</v>
          </cell>
          <cell r="O1190" t="e">
            <v>#N/A</v>
          </cell>
          <cell r="P1190" t="str">
            <v/>
          </cell>
          <cell r="Q1190" t="str">
            <v/>
          </cell>
          <cell r="R1190">
            <v>16.5</v>
          </cell>
        </row>
        <row r="1191">
          <cell r="A1191" t="str">
            <v/>
          </cell>
          <cell r="B1191" t="str">
            <v/>
          </cell>
          <cell r="C1191" t="str">
            <v>Future</v>
          </cell>
          <cell r="D1191" t="e">
            <v>#N/A</v>
          </cell>
          <cell r="E1191">
            <v>-20.666216216216334</v>
          </cell>
          <cell r="F1191">
            <v>22.036486486486897</v>
          </cell>
          <cell r="G1191">
            <v>13.495945945946024</v>
          </cell>
          <cell r="H1191">
            <v>13.495945945946024</v>
          </cell>
          <cell r="I1191" t="e">
            <v>#N/A</v>
          </cell>
          <cell r="J1191" t="e">
            <v>#N/A</v>
          </cell>
          <cell r="K1191">
            <v>17.5</v>
          </cell>
          <cell r="L1191">
            <v>14</v>
          </cell>
          <cell r="M1191" t="e">
            <v>#N/A</v>
          </cell>
          <cell r="N1191">
            <v>16.5</v>
          </cell>
          <cell r="O1191" t="e">
            <v>#N/A</v>
          </cell>
          <cell r="P1191" t="str">
            <v/>
          </cell>
          <cell r="Q1191" t="str">
            <v/>
          </cell>
          <cell r="R1191">
            <v>16.5</v>
          </cell>
        </row>
        <row r="1192">
          <cell r="A1192" t="str">
            <v/>
          </cell>
          <cell r="B1192" t="str">
            <v/>
          </cell>
          <cell r="C1192" t="str">
            <v>Future</v>
          </cell>
          <cell r="D1192" t="e">
            <v>#N/A</v>
          </cell>
          <cell r="E1192">
            <v>-20.72162162162174</v>
          </cell>
          <cell r="F1192">
            <v>22.04864864864906</v>
          </cell>
          <cell r="G1192">
            <v>13.494594594594673</v>
          </cell>
          <cell r="H1192">
            <v>13.494594594594673</v>
          </cell>
          <cell r="I1192" t="e">
            <v>#N/A</v>
          </cell>
          <cell r="J1192" t="e">
            <v>#N/A</v>
          </cell>
          <cell r="K1192">
            <v>17.5</v>
          </cell>
          <cell r="L1192">
            <v>14</v>
          </cell>
          <cell r="M1192" t="e">
            <v>#N/A</v>
          </cell>
          <cell r="N1192">
            <v>16.5</v>
          </cell>
          <cell r="O1192" t="e">
            <v>#N/A</v>
          </cell>
          <cell r="P1192" t="str">
            <v/>
          </cell>
          <cell r="Q1192" t="str">
            <v/>
          </cell>
          <cell r="R1192">
            <v>16.5</v>
          </cell>
        </row>
        <row r="1193">
          <cell r="A1193" t="str">
            <v/>
          </cell>
          <cell r="B1193" t="str">
            <v/>
          </cell>
          <cell r="C1193" t="str">
            <v>Future</v>
          </cell>
          <cell r="D1193" t="e">
            <v>#N/A</v>
          </cell>
          <cell r="E1193">
            <v>-20.777027027027145</v>
          </cell>
          <cell r="F1193">
            <v>22.060810810811223</v>
          </cell>
          <cell r="G1193">
            <v>13.493243243243322</v>
          </cell>
          <cell r="H1193">
            <v>13.493243243243322</v>
          </cell>
          <cell r="I1193" t="e">
            <v>#N/A</v>
          </cell>
          <cell r="J1193" t="e">
            <v>#N/A</v>
          </cell>
          <cell r="K1193">
            <v>17.5</v>
          </cell>
          <cell r="L1193">
            <v>14</v>
          </cell>
          <cell r="M1193" t="e">
            <v>#N/A</v>
          </cell>
          <cell r="N1193">
            <v>16.5</v>
          </cell>
          <cell r="O1193" t="e">
            <v>#N/A</v>
          </cell>
          <cell r="P1193" t="str">
            <v/>
          </cell>
          <cell r="Q1193" t="str">
            <v/>
          </cell>
          <cell r="R1193">
            <v>16.5</v>
          </cell>
        </row>
        <row r="1194">
          <cell r="A1194" t="str">
            <v/>
          </cell>
          <cell r="B1194" t="str">
            <v/>
          </cell>
          <cell r="C1194" t="str">
            <v>Future</v>
          </cell>
          <cell r="D1194" t="e">
            <v>#N/A</v>
          </cell>
          <cell r="E1194">
            <v>-20.832432432432551</v>
          </cell>
          <cell r="F1194">
            <v>22.072972972973385</v>
          </cell>
          <cell r="G1194">
            <v>13.491891891891971</v>
          </cell>
          <cell r="H1194">
            <v>13.491891891891971</v>
          </cell>
          <cell r="I1194" t="e">
            <v>#N/A</v>
          </cell>
          <cell r="J1194" t="e">
            <v>#N/A</v>
          </cell>
          <cell r="K1194">
            <v>17.5</v>
          </cell>
          <cell r="L1194">
            <v>14</v>
          </cell>
          <cell r="M1194" t="e">
            <v>#N/A</v>
          </cell>
          <cell r="N1194">
            <v>16.5</v>
          </cell>
          <cell r="O1194" t="e">
            <v>#N/A</v>
          </cell>
          <cell r="P1194" t="str">
            <v/>
          </cell>
          <cell r="Q1194" t="str">
            <v/>
          </cell>
          <cell r="R1194">
            <v>16.5</v>
          </cell>
        </row>
        <row r="1195">
          <cell r="A1195" t="str">
            <v/>
          </cell>
          <cell r="B1195" t="str">
            <v/>
          </cell>
          <cell r="C1195" t="str">
            <v>Future</v>
          </cell>
          <cell r="D1195" t="e">
            <v>#N/A</v>
          </cell>
          <cell r="E1195">
            <v>-20.887837837837957</v>
          </cell>
          <cell r="F1195">
            <v>22.085135135135548</v>
          </cell>
          <cell r="G1195">
            <v>13.49054054054062</v>
          </cell>
          <cell r="H1195">
            <v>13.49054054054062</v>
          </cell>
          <cell r="I1195" t="e">
            <v>#N/A</v>
          </cell>
          <cell r="J1195" t="e">
            <v>#N/A</v>
          </cell>
          <cell r="K1195">
            <v>17.5</v>
          </cell>
          <cell r="L1195">
            <v>14</v>
          </cell>
          <cell r="M1195" t="e">
            <v>#N/A</v>
          </cell>
          <cell r="N1195">
            <v>16.5</v>
          </cell>
          <cell r="O1195" t="e">
            <v>#N/A</v>
          </cell>
          <cell r="P1195" t="str">
            <v/>
          </cell>
          <cell r="Q1195" t="str">
            <v/>
          </cell>
          <cell r="R1195">
            <v>16.5</v>
          </cell>
        </row>
        <row r="1196">
          <cell r="A1196" t="str">
            <v/>
          </cell>
          <cell r="B1196" t="str">
            <v/>
          </cell>
          <cell r="C1196" t="str">
            <v>Future</v>
          </cell>
          <cell r="D1196" t="e">
            <v>#N/A</v>
          </cell>
          <cell r="E1196">
            <v>-20.943243243243362</v>
          </cell>
          <cell r="F1196">
            <v>22.097297297297711</v>
          </cell>
          <cell r="G1196">
            <v>13.489189189189268</v>
          </cell>
          <cell r="H1196">
            <v>13.489189189189268</v>
          </cell>
          <cell r="I1196" t="e">
            <v>#N/A</v>
          </cell>
          <cell r="J1196" t="e">
            <v>#N/A</v>
          </cell>
          <cell r="K1196">
            <v>17.5</v>
          </cell>
          <cell r="L1196">
            <v>14</v>
          </cell>
          <cell r="M1196" t="e">
            <v>#N/A</v>
          </cell>
          <cell r="N1196">
            <v>16.5</v>
          </cell>
          <cell r="O1196" t="e">
            <v>#N/A</v>
          </cell>
          <cell r="P1196" t="str">
            <v/>
          </cell>
          <cell r="Q1196" t="str">
            <v/>
          </cell>
          <cell r="R1196">
            <v>16.5</v>
          </cell>
        </row>
        <row r="1197">
          <cell r="A1197" t="str">
            <v/>
          </cell>
          <cell r="B1197" t="str">
            <v/>
          </cell>
          <cell r="C1197" t="str">
            <v>Future</v>
          </cell>
          <cell r="D1197" t="e">
            <v>#N/A</v>
          </cell>
          <cell r="E1197">
            <v>-20.998648648648768</v>
          </cell>
          <cell r="F1197">
            <v>22.109459459459874</v>
          </cell>
          <cell r="G1197">
            <v>13.487837837837917</v>
          </cell>
          <cell r="H1197">
            <v>13.487837837837917</v>
          </cell>
          <cell r="I1197" t="e">
            <v>#N/A</v>
          </cell>
          <cell r="J1197" t="e">
            <v>#N/A</v>
          </cell>
          <cell r="K1197">
            <v>17.5</v>
          </cell>
          <cell r="L1197">
            <v>14</v>
          </cell>
          <cell r="M1197" t="e">
            <v>#N/A</v>
          </cell>
          <cell r="N1197">
            <v>16.5</v>
          </cell>
          <cell r="O1197" t="e">
            <v>#N/A</v>
          </cell>
          <cell r="P1197" t="str">
            <v/>
          </cell>
          <cell r="Q1197" t="str">
            <v/>
          </cell>
          <cell r="R1197">
            <v>16.5</v>
          </cell>
        </row>
        <row r="1198">
          <cell r="A1198" t="str">
            <v/>
          </cell>
          <cell r="B1198" t="str">
            <v/>
          </cell>
          <cell r="C1198" t="str">
            <v>Future</v>
          </cell>
          <cell r="D1198" t="e">
            <v>#N/A</v>
          </cell>
          <cell r="E1198">
            <v>-21.054054054054173</v>
          </cell>
          <cell r="F1198">
            <v>22.121621621622037</v>
          </cell>
          <cell r="G1198">
            <v>13.486486486486566</v>
          </cell>
          <cell r="H1198">
            <v>13.486486486486566</v>
          </cell>
          <cell r="I1198" t="e">
            <v>#N/A</v>
          </cell>
          <cell r="J1198" t="e">
            <v>#N/A</v>
          </cell>
          <cell r="K1198">
            <v>17.5</v>
          </cell>
          <cell r="L1198">
            <v>14</v>
          </cell>
          <cell r="M1198" t="e">
            <v>#N/A</v>
          </cell>
          <cell r="N1198">
            <v>16.5</v>
          </cell>
          <cell r="O1198" t="e">
            <v>#N/A</v>
          </cell>
          <cell r="P1198" t="str">
            <v/>
          </cell>
          <cell r="Q1198" t="str">
            <v/>
          </cell>
          <cell r="R1198">
            <v>16.5</v>
          </cell>
        </row>
        <row r="1199">
          <cell r="A1199" t="str">
            <v/>
          </cell>
          <cell r="B1199" t="str">
            <v/>
          </cell>
          <cell r="C1199" t="str">
            <v>Future</v>
          </cell>
          <cell r="D1199" t="e">
            <v>#N/A</v>
          </cell>
          <cell r="E1199">
            <v>-21.109459459459579</v>
          </cell>
          <cell r="F1199">
            <v>22.1337837837842</v>
          </cell>
          <cell r="G1199">
            <v>13.485135135135215</v>
          </cell>
          <cell r="H1199">
            <v>13.485135135135215</v>
          </cell>
          <cell r="I1199" t="e">
            <v>#N/A</v>
          </cell>
          <cell r="J1199" t="e">
            <v>#N/A</v>
          </cell>
          <cell r="K1199">
            <v>17.5</v>
          </cell>
          <cell r="L1199">
            <v>14</v>
          </cell>
          <cell r="M1199" t="e">
            <v>#N/A</v>
          </cell>
          <cell r="N1199">
            <v>16.5</v>
          </cell>
          <cell r="O1199" t="e">
            <v>#N/A</v>
          </cell>
          <cell r="P1199" t="str">
            <v/>
          </cell>
          <cell r="Q1199" t="str">
            <v/>
          </cell>
          <cell r="R1199">
            <v>16.5</v>
          </cell>
        </row>
        <row r="1200">
          <cell r="A1200" t="str">
            <v/>
          </cell>
          <cell r="B1200" t="str">
            <v/>
          </cell>
          <cell r="C1200" t="str">
            <v>Future</v>
          </cell>
          <cell r="D1200" t="e">
            <v>#N/A</v>
          </cell>
          <cell r="E1200">
            <v>-21.164864864864985</v>
          </cell>
          <cell r="F1200">
            <v>22.145945945946362</v>
          </cell>
          <cell r="G1200">
            <v>13.483783783783863</v>
          </cell>
          <cell r="H1200">
            <v>13.483783783783863</v>
          </cell>
          <cell r="I1200" t="e">
            <v>#N/A</v>
          </cell>
          <cell r="J1200" t="e">
            <v>#N/A</v>
          </cell>
          <cell r="K1200">
            <v>17.5</v>
          </cell>
          <cell r="L1200">
            <v>14</v>
          </cell>
          <cell r="M1200" t="e">
            <v>#N/A</v>
          </cell>
          <cell r="N1200">
            <v>16.5</v>
          </cell>
          <cell r="O1200" t="e">
            <v>#N/A</v>
          </cell>
          <cell r="P1200" t="str">
            <v/>
          </cell>
          <cell r="Q1200" t="str">
            <v/>
          </cell>
          <cell r="R1200">
            <v>16.5</v>
          </cell>
        </row>
        <row r="1201">
          <cell r="A1201" t="str">
            <v/>
          </cell>
          <cell r="B1201" t="str">
            <v/>
          </cell>
          <cell r="C1201" t="str">
            <v>Future</v>
          </cell>
          <cell r="D1201" t="e">
            <v>#N/A</v>
          </cell>
          <cell r="E1201">
            <v>-21.22027027027039</v>
          </cell>
          <cell r="F1201">
            <v>22.158108108108525</v>
          </cell>
          <cell r="G1201">
            <v>13.482432432432512</v>
          </cell>
          <cell r="H1201">
            <v>13.482432432432512</v>
          </cell>
          <cell r="I1201" t="e">
            <v>#N/A</v>
          </cell>
          <cell r="J1201" t="e">
            <v>#N/A</v>
          </cell>
          <cell r="K1201">
            <v>17.5</v>
          </cell>
          <cell r="L1201">
            <v>14</v>
          </cell>
          <cell r="M1201" t="e">
            <v>#N/A</v>
          </cell>
          <cell r="N1201">
            <v>16.5</v>
          </cell>
          <cell r="O1201" t="e">
            <v>#N/A</v>
          </cell>
          <cell r="P1201" t="str">
            <v/>
          </cell>
          <cell r="Q1201" t="str">
            <v/>
          </cell>
          <cell r="R1201">
            <v>16.5</v>
          </cell>
        </row>
        <row r="1202">
          <cell r="A1202" t="str">
            <v/>
          </cell>
          <cell r="B1202" t="str">
            <v/>
          </cell>
          <cell r="C1202" t="str">
            <v>Future</v>
          </cell>
          <cell r="D1202" t="e">
            <v>#N/A</v>
          </cell>
          <cell r="E1202">
            <v>-21.275675675675796</v>
          </cell>
          <cell r="F1202">
            <v>22.170270270270688</v>
          </cell>
          <cell r="G1202">
            <v>13.481081081081161</v>
          </cell>
          <cell r="H1202">
            <v>13.481081081081161</v>
          </cell>
          <cell r="I1202" t="e">
            <v>#N/A</v>
          </cell>
          <cell r="J1202" t="e">
            <v>#N/A</v>
          </cell>
          <cell r="K1202">
            <v>17.5</v>
          </cell>
          <cell r="L1202">
            <v>14</v>
          </cell>
          <cell r="M1202" t="e">
            <v>#N/A</v>
          </cell>
          <cell r="N1202">
            <v>16.5</v>
          </cell>
          <cell r="O1202" t="e">
            <v>#N/A</v>
          </cell>
          <cell r="P1202" t="str">
            <v/>
          </cell>
          <cell r="Q1202" t="str">
            <v/>
          </cell>
          <cell r="R1202">
            <v>16.5</v>
          </cell>
        </row>
        <row r="1203">
          <cell r="A1203" t="str">
            <v/>
          </cell>
          <cell r="B1203" t="str">
            <v/>
          </cell>
          <cell r="C1203" t="str">
            <v>Future</v>
          </cell>
          <cell r="D1203" t="e">
            <v>#N/A</v>
          </cell>
          <cell r="E1203">
            <v>-21.331081081081201</v>
          </cell>
          <cell r="F1203">
            <v>22.182432432432851</v>
          </cell>
          <cell r="G1203">
            <v>13.47972972972981</v>
          </cell>
          <cell r="H1203">
            <v>13.47972972972981</v>
          </cell>
          <cell r="I1203" t="e">
            <v>#N/A</v>
          </cell>
          <cell r="J1203" t="e">
            <v>#N/A</v>
          </cell>
          <cell r="K1203">
            <v>17.5</v>
          </cell>
          <cell r="L1203">
            <v>14</v>
          </cell>
          <cell r="M1203" t="e">
            <v>#N/A</v>
          </cell>
          <cell r="N1203">
            <v>16.5</v>
          </cell>
          <cell r="O1203" t="e">
            <v>#N/A</v>
          </cell>
          <cell r="P1203" t="str">
            <v/>
          </cell>
          <cell r="Q1203" t="str">
            <v/>
          </cell>
          <cell r="R1203">
            <v>16.5</v>
          </cell>
        </row>
        <row r="1204">
          <cell r="A1204" t="str">
            <v/>
          </cell>
          <cell r="B1204" t="str">
            <v/>
          </cell>
          <cell r="C1204" t="str">
            <v>Future</v>
          </cell>
          <cell r="D1204" t="e">
            <v>#N/A</v>
          </cell>
          <cell r="E1204">
            <v>-21.386486486486607</v>
          </cell>
          <cell r="F1204">
            <v>22.194594594595014</v>
          </cell>
          <cell r="G1204">
            <v>13.478378378378459</v>
          </cell>
          <cell r="H1204">
            <v>13.478378378378459</v>
          </cell>
          <cell r="I1204" t="e">
            <v>#N/A</v>
          </cell>
          <cell r="J1204" t="e">
            <v>#N/A</v>
          </cell>
          <cell r="K1204">
            <v>17.5</v>
          </cell>
          <cell r="L1204">
            <v>14</v>
          </cell>
          <cell r="M1204" t="e">
            <v>#N/A</v>
          </cell>
          <cell r="N1204">
            <v>16.5</v>
          </cell>
          <cell r="O1204" t="e">
            <v>#N/A</v>
          </cell>
          <cell r="P1204" t="str">
            <v/>
          </cell>
          <cell r="Q1204" t="str">
            <v/>
          </cell>
          <cell r="R1204">
            <v>16.5</v>
          </cell>
        </row>
        <row r="1205">
          <cell r="A1205" t="str">
            <v/>
          </cell>
          <cell r="B1205" t="str">
            <v/>
          </cell>
          <cell r="C1205" t="str">
            <v>Future</v>
          </cell>
          <cell r="D1205" t="e">
            <v>#N/A</v>
          </cell>
          <cell r="E1205">
            <v>-21.441891891892013</v>
          </cell>
          <cell r="F1205">
            <v>22.206756756757176</v>
          </cell>
          <cell r="G1205">
            <v>13.477027027027107</v>
          </cell>
          <cell r="H1205">
            <v>13.477027027027107</v>
          </cell>
          <cell r="I1205" t="e">
            <v>#N/A</v>
          </cell>
          <cell r="J1205" t="e">
            <v>#N/A</v>
          </cell>
          <cell r="K1205">
            <v>17.5</v>
          </cell>
          <cell r="L1205">
            <v>14</v>
          </cell>
          <cell r="M1205" t="e">
            <v>#N/A</v>
          </cell>
          <cell r="N1205">
            <v>16.5</v>
          </cell>
          <cell r="O1205" t="e">
            <v>#N/A</v>
          </cell>
          <cell r="P1205" t="str">
            <v/>
          </cell>
          <cell r="Q1205" t="str">
            <v/>
          </cell>
          <cell r="R1205">
            <v>16.5</v>
          </cell>
        </row>
        <row r="1206">
          <cell r="A1206" t="str">
            <v/>
          </cell>
          <cell r="B1206" t="str">
            <v/>
          </cell>
          <cell r="C1206" t="str">
            <v>Future</v>
          </cell>
          <cell r="D1206" t="e">
            <v>#N/A</v>
          </cell>
          <cell r="E1206">
            <v>-21.497297297297418</v>
          </cell>
          <cell r="F1206">
            <v>22.218918918919339</v>
          </cell>
          <cell r="G1206">
            <v>13.475675675675756</v>
          </cell>
          <cell r="H1206">
            <v>13.475675675675756</v>
          </cell>
          <cell r="I1206" t="e">
            <v>#N/A</v>
          </cell>
          <cell r="J1206" t="e">
            <v>#N/A</v>
          </cell>
          <cell r="K1206">
            <v>17.5</v>
          </cell>
          <cell r="L1206">
            <v>14</v>
          </cell>
          <cell r="M1206" t="e">
            <v>#N/A</v>
          </cell>
          <cell r="N1206">
            <v>16.5</v>
          </cell>
          <cell r="O1206" t="e">
            <v>#N/A</v>
          </cell>
          <cell r="P1206" t="str">
            <v/>
          </cell>
          <cell r="Q1206" t="str">
            <v/>
          </cell>
          <cell r="R1206">
            <v>16.5</v>
          </cell>
        </row>
        <row r="1207">
          <cell r="A1207" t="str">
            <v/>
          </cell>
          <cell r="B1207" t="str">
            <v/>
          </cell>
          <cell r="C1207" t="str">
            <v>Future</v>
          </cell>
          <cell r="D1207" t="e">
            <v>#N/A</v>
          </cell>
          <cell r="E1207">
            <v>-21.552702702702824</v>
          </cell>
          <cell r="F1207">
            <v>22.231081081081502</v>
          </cell>
          <cell r="G1207">
            <v>13.474324324324405</v>
          </cell>
          <cell r="H1207">
            <v>13.474324324324405</v>
          </cell>
          <cell r="I1207" t="e">
            <v>#N/A</v>
          </cell>
          <cell r="J1207" t="e">
            <v>#N/A</v>
          </cell>
          <cell r="K1207">
            <v>17.5</v>
          </cell>
          <cell r="L1207">
            <v>14</v>
          </cell>
          <cell r="M1207" t="e">
            <v>#N/A</v>
          </cell>
          <cell r="N1207">
            <v>16.5</v>
          </cell>
          <cell r="O1207" t="e">
            <v>#N/A</v>
          </cell>
          <cell r="P1207" t="str">
            <v/>
          </cell>
          <cell r="Q1207" t="str">
            <v/>
          </cell>
          <cell r="R1207">
            <v>16.5</v>
          </cell>
        </row>
        <row r="1208">
          <cell r="A1208" t="str">
            <v/>
          </cell>
          <cell r="B1208" t="str">
            <v/>
          </cell>
          <cell r="C1208" t="str">
            <v>Future</v>
          </cell>
          <cell r="D1208" t="e">
            <v>#N/A</v>
          </cell>
          <cell r="E1208">
            <v>-21.60810810810823</v>
          </cell>
          <cell r="F1208">
            <v>22.243243243243665</v>
          </cell>
          <cell r="G1208">
            <v>13.472972972973054</v>
          </cell>
          <cell r="H1208">
            <v>13.472972972973054</v>
          </cell>
          <cell r="I1208" t="e">
            <v>#N/A</v>
          </cell>
          <cell r="J1208" t="e">
            <v>#N/A</v>
          </cell>
          <cell r="K1208">
            <v>17.5</v>
          </cell>
          <cell r="L1208">
            <v>14</v>
          </cell>
          <cell r="M1208" t="e">
            <v>#N/A</v>
          </cell>
          <cell r="N1208">
            <v>16.5</v>
          </cell>
          <cell r="O1208" t="e">
            <v>#N/A</v>
          </cell>
          <cell r="P1208" t="str">
            <v/>
          </cell>
          <cell r="Q1208" t="str">
            <v/>
          </cell>
          <cell r="R1208">
            <v>16.5</v>
          </cell>
        </row>
        <row r="1209">
          <cell r="A1209" t="str">
            <v/>
          </cell>
          <cell r="B1209" t="str">
            <v/>
          </cell>
          <cell r="C1209" t="str">
            <v>Future</v>
          </cell>
          <cell r="D1209" t="e">
            <v>#N/A</v>
          </cell>
          <cell r="E1209">
            <v>-21.663513513513635</v>
          </cell>
          <cell r="F1209">
            <v>22.255405405405828</v>
          </cell>
          <cell r="G1209">
            <v>13.471621621621702</v>
          </cell>
          <cell r="H1209">
            <v>13.471621621621702</v>
          </cell>
          <cell r="I1209" t="e">
            <v>#N/A</v>
          </cell>
          <cell r="J1209" t="e">
            <v>#N/A</v>
          </cell>
          <cell r="K1209">
            <v>17.5</v>
          </cell>
          <cell r="L1209">
            <v>14</v>
          </cell>
          <cell r="M1209" t="e">
            <v>#N/A</v>
          </cell>
          <cell r="N1209">
            <v>16.5</v>
          </cell>
          <cell r="O1209" t="e">
            <v>#N/A</v>
          </cell>
          <cell r="P1209" t="str">
            <v/>
          </cell>
          <cell r="Q1209" t="str">
            <v/>
          </cell>
          <cell r="R1209">
            <v>16.5</v>
          </cell>
        </row>
        <row r="1210">
          <cell r="A1210" t="str">
            <v/>
          </cell>
          <cell r="B1210" t="str">
            <v/>
          </cell>
          <cell r="C1210" t="str">
            <v>Future</v>
          </cell>
          <cell r="D1210" t="e">
            <v>#N/A</v>
          </cell>
          <cell r="E1210">
            <v>-21.718918918919041</v>
          </cell>
          <cell r="F1210">
            <v>22.26756756756799</v>
          </cell>
          <cell r="G1210">
            <v>13.470270270270351</v>
          </cell>
          <cell r="H1210">
            <v>13.470270270270351</v>
          </cell>
          <cell r="I1210" t="e">
            <v>#N/A</v>
          </cell>
          <cell r="J1210" t="e">
            <v>#N/A</v>
          </cell>
          <cell r="K1210">
            <v>17.5</v>
          </cell>
          <cell r="L1210">
            <v>14</v>
          </cell>
          <cell r="M1210" t="e">
            <v>#N/A</v>
          </cell>
          <cell r="N1210">
            <v>16.5</v>
          </cell>
          <cell r="O1210" t="e">
            <v>#N/A</v>
          </cell>
          <cell r="P1210" t="str">
            <v/>
          </cell>
          <cell r="Q1210" t="str">
            <v/>
          </cell>
          <cell r="R1210">
            <v>16.5</v>
          </cell>
        </row>
        <row r="1211">
          <cell r="A1211" t="str">
            <v/>
          </cell>
          <cell r="B1211" t="str">
            <v/>
          </cell>
          <cell r="C1211" t="str">
            <v>Future</v>
          </cell>
          <cell r="D1211" t="e">
            <v>#N/A</v>
          </cell>
          <cell r="E1211">
            <v>-21.774324324324446</v>
          </cell>
          <cell r="F1211">
            <v>22.279729729730153</v>
          </cell>
          <cell r="G1211">
            <v>13.468918918919</v>
          </cell>
          <cell r="H1211">
            <v>13.468918918919</v>
          </cell>
          <cell r="I1211" t="e">
            <v>#N/A</v>
          </cell>
          <cell r="J1211" t="e">
            <v>#N/A</v>
          </cell>
          <cell r="K1211">
            <v>17.5</v>
          </cell>
          <cell r="L1211">
            <v>14</v>
          </cell>
          <cell r="M1211" t="e">
            <v>#N/A</v>
          </cell>
          <cell r="N1211">
            <v>16.5</v>
          </cell>
          <cell r="O1211" t="e">
            <v>#N/A</v>
          </cell>
          <cell r="P1211" t="str">
            <v/>
          </cell>
          <cell r="Q1211" t="str">
            <v/>
          </cell>
          <cell r="R1211">
            <v>16.5</v>
          </cell>
        </row>
        <row r="1212">
          <cell r="A1212" t="str">
            <v/>
          </cell>
          <cell r="B1212" t="str">
            <v/>
          </cell>
          <cell r="C1212" t="str">
            <v>Future</v>
          </cell>
          <cell r="D1212" t="e">
            <v>#N/A</v>
          </cell>
          <cell r="E1212">
            <v>-21.829729729729852</v>
          </cell>
          <cell r="F1212">
            <v>22.291891891892316</v>
          </cell>
          <cell r="G1212">
            <v>13.467567567567649</v>
          </cell>
          <cell r="H1212">
            <v>13.467567567567649</v>
          </cell>
          <cell r="I1212" t="e">
            <v>#N/A</v>
          </cell>
          <cell r="J1212" t="e">
            <v>#N/A</v>
          </cell>
          <cell r="K1212">
            <v>17.5</v>
          </cell>
          <cell r="L1212">
            <v>14</v>
          </cell>
          <cell r="M1212" t="e">
            <v>#N/A</v>
          </cell>
          <cell r="N1212">
            <v>16.5</v>
          </cell>
          <cell r="O1212" t="e">
            <v>#N/A</v>
          </cell>
          <cell r="P1212" t="str">
            <v/>
          </cell>
          <cell r="Q1212" t="str">
            <v/>
          </cell>
          <cell r="R1212">
            <v>16.5</v>
          </cell>
        </row>
        <row r="1213">
          <cell r="A1213" t="str">
            <v/>
          </cell>
          <cell r="B1213" t="str">
            <v/>
          </cell>
          <cell r="C1213" t="str">
            <v>Future</v>
          </cell>
          <cell r="D1213" t="e">
            <v>#N/A</v>
          </cell>
          <cell r="E1213">
            <v>-21.885135135135258</v>
          </cell>
          <cell r="F1213">
            <v>22.304054054054479</v>
          </cell>
          <cell r="G1213">
            <v>13.466216216216297</v>
          </cell>
          <cell r="H1213">
            <v>13.466216216216297</v>
          </cell>
          <cell r="I1213" t="e">
            <v>#N/A</v>
          </cell>
          <cell r="J1213" t="e">
            <v>#N/A</v>
          </cell>
          <cell r="K1213">
            <v>17.5</v>
          </cell>
          <cell r="L1213">
            <v>14</v>
          </cell>
          <cell r="M1213" t="e">
            <v>#N/A</v>
          </cell>
          <cell r="N1213">
            <v>16.5</v>
          </cell>
          <cell r="O1213" t="e">
            <v>#N/A</v>
          </cell>
          <cell r="P1213" t="str">
            <v/>
          </cell>
          <cell r="Q1213" t="str">
            <v/>
          </cell>
          <cell r="R1213">
            <v>16.5</v>
          </cell>
        </row>
        <row r="1214">
          <cell r="A1214" t="str">
            <v/>
          </cell>
          <cell r="B1214" t="str">
            <v/>
          </cell>
          <cell r="C1214" t="str">
            <v>Future</v>
          </cell>
          <cell r="D1214" t="e">
            <v>#N/A</v>
          </cell>
          <cell r="E1214">
            <v>-21.940540540540663</v>
          </cell>
          <cell r="F1214">
            <v>22.316216216216642</v>
          </cell>
          <cell r="G1214">
            <v>13.464864864864946</v>
          </cell>
          <cell r="H1214">
            <v>13.464864864864946</v>
          </cell>
          <cell r="I1214" t="e">
            <v>#N/A</v>
          </cell>
          <cell r="J1214" t="e">
            <v>#N/A</v>
          </cell>
          <cell r="K1214">
            <v>17.5</v>
          </cell>
          <cell r="L1214">
            <v>14</v>
          </cell>
          <cell r="M1214" t="e">
            <v>#N/A</v>
          </cell>
          <cell r="N1214">
            <v>16.5</v>
          </cell>
          <cell r="O1214" t="e">
            <v>#N/A</v>
          </cell>
          <cell r="P1214" t="str">
            <v/>
          </cell>
          <cell r="Q1214" t="str">
            <v/>
          </cell>
          <cell r="R1214">
            <v>16.5</v>
          </cell>
        </row>
        <row r="1215">
          <cell r="A1215" t="str">
            <v/>
          </cell>
          <cell r="B1215" t="str">
            <v/>
          </cell>
          <cell r="C1215" t="str">
            <v>Future</v>
          </cell>
          <cell r="D1215" t="e">
            <v>#N/A</v>
          </cell>
          <cell r="E1215">
            <v>-21.995945945946069</v>
          </cell>
          <cell r="F1215">
            <v>22.328378378378805</v>
          </cell>
          <cell r="G1215">
            <v>13.463513513513595</v>
          </cell>
          <cell r="H1215">
            <v>13.463513513513595</v>
          </cell>
          <cell r="I1215" t="e">
            <v>#N/A</v>
          </cell>
          <cell r="J1215" t="e">
            <v>#N/A</v>
          </cell>
          <cell r="K1215">
            <v>17.5</v>
          </cell>
          <cell r="L1215">
            <v>14</v>
          </cell>
          <cell r="M1215" t="e">
            <v>#N/A</v>
          </cell>
          <cell r="N1215">
            <v>16.5</v>
          </cell>
          <cell r="O1215" t="e">
            <v>#N/A</v>
          </cell>
          <cell r="P1215" t="str">
            <v/>
          </cell>
          <cell r="Q1215" t="str">
            <v/>
          </cell>
          <cell r="R1215">
            <v>16.5</v>
          </cell>
        </row>
        <row r="1216">
          <cell r="A1216" t="str">
            <v/>
          </cell>
          <cell r="B1216" t="str">
            <v/>
          </cell>
          <cell r="C1216" t="str">
            <v>Future</v>
          </cell>
          <cell r="D1216" t="e">
            <v>#N/A</v>
          </cell>
          <cell r="E1216">
            <v>-22.051351351351475</v>
          </cell>
          <cell r="F1216">
            <v>22.340540540540967</v>
          </cell>
          <cell r="G1216">
            <v>13.462162162162244</v>
          </cell>
          <cell r="H1216">
            <v>13.462162162162244</v>
          </cell>
          <cell r="I1216" t="e">
            <v>#N/A</v>
          </cell>
          <cell r="J1216" t="e">
            <v>#N/A</v>
          </cell>
          <cell r="K1216">
            <v>17.5</v>
          </cell>
          <cell r="L1216">
            <v>14</v>
          </cell>
          <cell r="M1216" t="e">
            <v>#N/A</v>
          </cell>
          <cell r="N1216">
            <v>16.5</v>
          </cell>
          <cell r="O1216" t="e">
            <v>#N/A</v>
          </cell>
          <cell r="P1216" t="str">
            <v/>
          </cell>
          <cell r="Q1216" t="str">
            <v/>
          </cell>
          <cell r="R1216">
            <v>16.5</v>
          </cell>
        </row>
        <row r="1217">
          <cell r="A1217" t="str">
            <v/>
          </cell>
          <cell r="B1217" t="str">
            <v/>
          </cell>
          <cell r="C1217" t="str">
            <v>Future</v>
          </cell>
          <cell r="D1217" t="e">
            <v>#N/A</v>
          </cell>
          <cell r="E1217">
            <v>-22.10675675675688</v>
          </cell>
          <cell r="F1217">
            <v>22.35270270270313</v>
          </cell>
          <cell r="G1217">
            <v>13.460810810810893</v>
          </cell>
          <cell r="H1217">
            <v>13.460810810810893</v>
          </cell>
          <cell r="I1217" t="e">
            <v>#N/A</v>
          </cell>
          <cell r="J1217" t="e">
            <v>#N/A</v>
          </cell>
          <cell r="K1217">
            <v>17.5</v>
          </cell>
          <cell r="L1217">
            <v>14</v>
          </cell>
          <cell r="M1217" t="e">
            <v>#N/A</v>
          </cell>
          <cell r="N1217">
            <v>16.5</v>
          </cell>
          <cell r="O1217" t="e">
            <v>#N/A</v>
          </cell>
          <cell r="P1217" t="str">
            <v/>
          </cell>
          <cell r="Q1217" t="str">
            <v/>
          </cell>
          <cell r="R1217">
            <v>16.5</v>
          </cell>
        </row>
        <row r="1218">
          <cell r="A1218" t="str">
            <v/>
          </cell>
          <cell r="B1218" t="str">
            <v/>
          </cell>
          <cell r="C1218" t="str">
            <v>Future</v>
          </cell>
          <cell r="D1218" t="e">
            <v>#N/A</v>
          </cell>
          <cell r="E1218">
            <v>-22.162162162162286</v>
          </cell>
          <cell r="F1218">
            <v>22.364864864865293</v>
          </cell>
          <cell r="G1218">
            <v>13.459459459459541</v>
          </cell>
          <cell r="H1218">
            <v>13.459459459459541</v>
          </cell>
          <cell r="I1218" t="e">
            <v>#N/A</v>
          </cell>
          <cell r="J1218" t="e">
            <v>#N/A</v>
          </cell>
          <cell r="K1218">
            <v>17.5</v>
          </cell>
          <cell r="L1218">
            <v>14</v>
          </cell>
          <cell r="M1218" t="e">
            <v>#N/A</v>
          </cell>
          <cell r="N1218">
            <v>16.5</v>
          </cell>
          <cell r="O1218" t="e">
            <v>#N/A</v>
          </cell>
          <cell r="P1218" t="str">
            <v/>
          </cell>
          <cell r="Q1218" t="str">
            <v/>
          </cell>
          <cell r="R1218">
            <v>16.5</v>
          </cell>
        </row>
        <row r="1219">
          <cell r="A1219" t="str">
            <v/>
          </cell>
          <cell r="B1219" t="str">
            <v/>
          </cell>
          <cell r="C1219" t="str">
            <v>Future</v>
          </cell>
          <cell r="D1219" t="e">
            <v>#N/A</v>
          </cell>
          <cell r="E1219">
            <v>-22.217567567567691</v>
          </cell>
          <cell r="F1219">
            <v>22.377027027027456</v>
          </cell>
          <cell r="G1219">
            <v>13.45810810810819</v>
          </cell>
          <cell r="H1219">
            <v>13.45810810810819</v>
          </cell>
          <cell r="I1219" t="e">
            <v>#N/A</v>
          </cell>
          <cell r="J1219" t="e">
            <v>#N/A</v>
          </cell>
          <cell r="K1219">
            <v>17.5</v>
          </cell>
          <cell r="L1219">
            <v>14</v>
          </cell>
          <cell r="M1219" t="e">
            <v>#N/A</v>
          </cell>
          <cell r="N1219">
            <v>16.5</v>
          </cell>
          <cell r="O1219" t="e">
            <v>#N/A</v>
          </cell>
          <cell r="P1219" t="str">
            <v/>
          </cell>
          <cell r="Q1219" t="str">
            <v/>
          </cell>
          <cell r="R1219">
            <v>16.5</v>
          </cell>
        </row>
        <row r="1220">
          <cell r="A1220" t="str">
            <v/>
          </cell>
          <cell r="B1220" t="str">
            <v/>
          </cell>
          <cell r="C1220" t="str">
            <v>Future</v>
          </cell>
          <cell r="D1220" t="e">
            <v>#N/A</v>
          </cell>
          <cell r="E1220">
            <v>-22.272972972973097</v>
          </cell>
          <cell r="F1220">
            <v>22.389189189189619</v>
          </cell>
          <cell r="G1220">
            <v>13.456756756756839</v>
          </cell>
          <cell r="H1220">
            <v>13.456756756756839</v>
          </cell>
          <cell r="I1220" t="e">
            <v>#N/A</v>
          </cell>
          <cell r="J1220" t="e">
            <v>#N/A</v>
          </cell>
          <cell r="K1220">
            <v>17.5</v>
          </cell>
          <cell r="L1220">
            <v>14</v>
          </cell>
          <cell r="M1220" t="e">
            <v>#N/A</v>
          </cell>
          <cell r="N1220">
            <v>16.5</v>
          </cell>
          <cell r="O1220" t="e">
            <v>#N/A</v>
          </cell>
          <cell r="P1220" t="str">
            <v/>
          </cell>
          <cell r="Q1220" t="str">
            <v/>
          </cell>
          <cell r="R1220">
            <v>16.5</v>
          </cell>
        </row>
        <row r="1221">
          <cell r="A1221" t="str">
            <v/>
          </cell>
          <cell r="B1221" t="str">
            <v/>
          </cell>
          <cell r="C1221" t="str">
            <v>Future</v>
          </cell>
          <cell r="D1221" t="e">
            <v>#N/A</v>
          </cell>
          <cell r="E1221">
            <v>-22.328378378378503</v>
          </cell>
          <cell r="F1221">
            <v>22.401351351351781</v>
          </cell>
          <cell r="G1221">
            <v>13.455405405405488</v>
          </cell>
          <cell r="H1221">
            <v>13.455405405405488</v>
          </cell>
          <cell r="I1221" t="e">
            <v>#N/A</v>
          </cell>
          <cell r="J1221" t="e">
            <v>#N/A</v>
          </cell>
          <cell r="K1221">
            <v>17.5</v>
          </cell>
          <cell r="L1221">
            <v>14</v>
          </cell>
          <cell r="M1221" t="e">
            <v>#N/A</v>
          </cell>
          <cell r="N1221">
            <v>16.5</v>
          </cell>
          <cell r="O1221" t="e">
            <v>#N/A</v>
          </cell>
          <cell r="P1221" t="str">
            <v/>
          </cell>
          <cell r="Q1221" t="str">
            <v/>
          </cell>
          <cell r="R1221">
            <v>16.5</v>
          </cell>
        </row>
        <row r="1222">
          <cell r="A1222" t="str">
            <v/>
          </cell>
          <cell r="B1222" t="str">
            <v/>
          </cell>
          <cell r="C1222" t="str">
            <v>Future</v>
          </cell>
          <cell r="D1222" t="e">
            <v>#N/A</v>
          </cell>
          <cell r="E1222">
            <v>-22.383783783783908</v>
          </cell>
          <cell r="F1222">
            <v>22.413513513513944</v>
          </cell>
          <cell r="G1222">
            <v>13.454054054054136</v>
          </cell>
          <cell r="H1222">
            <v>13.454054054054136</v>
          </cell>
          <cell r="I1222" t="e">
            <v>#N/A</v>
          </cell>
          <cell r="J1222" t="e">
            <v>#N/A</v>
          </cell>
          <cell r="K1222">
            <v>17.5</v>
          </cell>
          <cell r="L1222">
            <v>14</v>
          </cell>
          <cell r="M1222" t="e">
            <v>#N/A</v>
          </cell>
          <cell r="N1222">
            <v>16.5</v>
          </cell>
          <cell r="O1222" t="e">
            <v>#N/A</v>
          </cell>
          <cell r="P1222" t="str">
            <v/>
          </cell>
          <cell r="Q1222" t="str">
            <v/>
          </cell>
          <cell r="R1222">
            <v>16.5</v>
          </cell>
        </row>
        <row r="1223">
          <cell r="A1223" t="str">
            <v/>
          </cell>
          <cell r="B1223" t="str">
            <v/>
          </cell>
          <cell r="C1223" t="str">
            <v>Future</v>
          </cell>
          <cell r="D1223" t="e">
            <v>#N/A</v>
          </cell>
          <cell r="E1223">
            <v>-22.439189189189314</v>
          </cell>
          <cell r="F1223">
            <v>22.425675675676107</v>
          </cell>
          <cell r="G1223">
            <v>13.452702702702785</v>
          </cell>
          <cell r="H1223">
            <v>13.452702702702785</v>
          </cell>
          <cell r="I1223" t="e">
            <v>#N/A</v>
          </cell>
          <cell r="J1223" t="e">
            <v>#N/A</v>
          </cell>
          <cell r="K1223">
            <v>17.5</v>
          </cell>
          <cell r="L1223">
            <v>14</v>
          </cell>
          <cell r="M1223" t="e">
            <v>#N/A</v>
          </cell>
          <cell r="N1223">
            <v>16.5</v>
          </cell>
          <cell r="O1223" t="e">
            <v>#N/A</v>
          </cell>
          <cell r="P1223" t="str">
            <v/>
          </cell>
          <cell r="Q1223" t="str">
            <v/>
          </cell>
          <cell r="R1223">
            <v>16.5</v>
          </cell>
        </row>
        <row r="1224">
          <cell r="A1224" t="str">
            <v/>
          </cell>
          <cell r="B1224" t="str">
            <v/>
          </cell>
          <cell r="C1224" t="str">
            <v>Future</v>
          </cell>
          <cell r="D1224" t="e">
            <v>#N/A</v>
          </cell>
          <cell r="E1224">
            <v>-22.494594594594719</v>
          </cell>
          <cell r="F1224">
            <v>22.43783783783827</v>
          </cell>
          <cell r="G1224">
            <v>13.451351351351434</v>
          </cell>
          <cell r="H1224">
            <v>13.451351351351434</v>
          </cell>
          <cell r="I1224" t="e">
            <v>#N/A</v>
          </cell>
          <cell r="J1224" t="e">
            <v>#N/A</v>
          </cell>
          <cell r="K1224">
            <v>17.5</v>
          </cell>
          <cell r="L1224">
            <v>14</v>
          </cell>
          <cell r="M1224" t="e">
            <v>#N/A</v>
          </cell>
          <cell r="N1224">
            <v>16.5</v>
          </cell>
          <cell r="O1224" t="e">
            <v>#N/A</v>
          </cell>
          <cell r="P1224" t="str">
            <v/>
          </cell>
          <cell r="Q1224" t="str">
            <v/>
          </cell>
          <cell r="R1224">
            <v>16.5</v>
          </cell>
        </row>
        <row r="1225">
          <cell r="A1225" t="str">
            <v/>
          </cell>
          <cell r="B1225" t="str">
            <v/>
          </cell>
          <cell r="C1225" t="str">
            <v>Future</v>
          </cell>
          <cell r="D1225" t="e">
            <v>#N/A</v>
          </cell>
          <cell r="E1225">
            <v>-22.550000000000125</v>
          </cell>
          <cell r="F1225">
            <v>22.450000000000433</v>
          </cell>
          <cell r="G1225">
            <v>13.450000000000083</v>
          </cell>
          <cell r="H1225">
            <v>13.450000000000083</v>
          </cell>
          <cell r="I1225" t="e">
            <v>#N/A</v>
          </cell>
          <cell r="J1225" t="e">
            <v>#N/A</v>
          </cell>
          <cell r="K1225">
            <v>17.5</v>
          </cell>
          <cell r="L1225">
            <v>14</v>
          </cell>
          <cell r="M1225" t="e">
            <v>#N/A</v>
          </cell>
          <cell r="N1225">
            <v>16.5</v>
          </cell>
          <cell r="O1225" t="e">
            <v>#N/A</v>
          </cell>
          <cell r="P1225" t="str">
            <v/>
          </cell>
          <cell r="Q1225" t="str">
            <v/>
          </cell>
          <cell r="R1225">
            <v>16.5</v>
          </cell>
        </row>
        <row r="1226">
          <cell r="A1226" t="str">
            <v/>
          </cell>
          <cell r="B1226" t="str">
            <v/>
          </cell>
          <cell r="C1226" t="str">
            <v>Future</v>
          </cell>
          <cell r="D1226" t="e">
            <v>#N/A</v>
          </cell>
          <cell r="E1226">
            <v>-22.605405405405531</v>
          </cell>
          <cell r="F1226">
            <v>22.462162162162596</v>
          </cell>
          <cell r="G1226">
            <v>13.448648648648732</v>
          </cell>
          <cell r="H1226">
            <v>13.448648648648732</v>
          </cell>
          <cell r="I1226" t="e">
            <v>#N/A</v>
          </cell>
          <cell r="J1226" t="e">
            <v>#N/A</v>
          </cell>
          <cell r="K1226">
            <v>17.5</v>
          </cell>
          <cell r="L1226">
            <v>14</v>
          </cell>
          <cell r="M1226" t="e">
            <v>#N/A</v>
          </cell>
          <cell r="N1226">
            <v>16.5</v>
          </cell>
          <cell r="O1226" t="e">
            <v>#N/A</v>
          </cell>
          <cell r="P1226" t="str">
            <v/>
          </cell>
          <cell r="Q1226" t="str">
            <v/>
          </cell>
          <cell r="R1226">
            <v>16.5</v>
          </cell>
        </row>
        <row r="1227">
          <cell r="A1227" t="str">
            <v/>
          </cell>
          <cell r="B1227" t="str">
            <v/>
          </cell>
          <cell r="C1227" t="str">
            <v>Future</v>
          </cell>
          <cell r="D1227" t="e">
            <v>#N/A</v>
          </cell>
          <cell r="E1227">
            <v>-22.660810810810936</v>
          </cell>
          <cell r="F1227">
            <v>22.474324324324758</v>
          </cell>
          <cell r="G1227">
            <v>13.44729729729738</v>
          </cell>
          <cell r="H1227">
            <v>13.44729729729738</v>
          </cell>
          <cell r="I1227" t="e">
            <v>#N/A</v>
          </cell>
          <cell r="J1227" t="e">
            <v>#N/A</v>
          </cell>
          <cell r="K1227">
            <v>17.5</v>
          </cell>
          <cell r="L1227">
            <v>14</v>
          </cell>
          <cell r="M1227" t="e">
            <v>#N/A</v>
          </cell>
          <cell r="N1227">
            <v>16.5</v>
          </cell>
          <cell r="O1227" t="e">
            <v>#N/A</v>
          </cell>
          <cell r="P1227" t="str">
            <v/>
          </cell>
          <cell r="Q1227" t="str">
            <v/>
          </cell>
          <cell r="R1227">
            <v>16.5</v>
          </cell>
        </row>
        <row r="1228">
          <cell r="A1228" t="str">
            <v/>
          </cell>
          <cell r="B1228" t="str">
            <v/>
          </cell>
          <cell r="C1228" t="str">
            <v>Future</v>
          </cell>
          <cell r="D1228" t="e">
            <v>#N/A</v>
          </cell>
          <cell r="E1228">
            <v>-22.716216216216342</v>
          </cell>
          <cell r="F1228">
            <v>22.486486486486921</v>
          </cell>
          <cell r="G1228">
            <v>13.445945945946029</v>
          </cell>
          <cell r="H1228">
            <v>13.445945945946029</v>
          </cell>
          <cell r="I1228" t="e">
            <v>#N/A</v>
          </cell>
          <cell r="J1228" t="e">
            <v>#N/A</v>
          </cell>
          <cell r="K1228">
            <v>17.5</v>
          </cell>
          <cell r="L1228">
            <v>14</v>
          </cell>
          <cell r="M1228" t="e">
            <v>#N/A</v>
          </cell>
          <cell r="N1228">
            <v>16.5</v>
          </cell>
          <cell r="O1228" t="e">
            <v>#N/A</v>
          </cell>
          <cell r="P1228" t="str">
            <v/>
          </cell>
          <cell r="Q1228" t="str">
            <v/>
          </cell>
          <cell r="R1228">
            <v>16.5</v>
          </cell>
        </row>
        <row r="1229">
          <cell r="A1229" t="str">
            <v/>
          </cell>
          <cell r="B1229" t="str">
            <v/>
          </cell>
          <cell r="C1229" t="str">
            <v>Future</v>
          </cell>
          <cell r="D1229" t="e">
            <v>#N/A</v>
          </cell>
          <cell r="E1229">
            <v>-22.771621621621748</v>
          </cell>
          <cell r="F1229">
            <v>22.498648648649084</v>
          </cell>
          <cell r="G1229">
            <v>13.444594594594678</v>
          </cell>
          <cell r="H1229">
            <v>13.444594594594678</v>
          </cell>
          <cell r="I1229" t="e">
            <v>#N/A</v>
          </cell>
          <cell r="J1229" t="e">
            <v>#N/A</v>
          </cell>
          <cell r="K1229">
            <v>17.5</v>
          </cell>
          <cell r="L1229">
            <v>14</v>
          </cell>
          <cell r="M1229" t="e">
            <v>#N/A</v>
          </cell>
          <cell r="N1229">
            <v>16.5</v>
          </cell>
          <cell r="O1229" t="e">
            <v>#N/A</v>
          </cell>
          <cell r="P1229" t="str">
            <v/>
          </cell>
          <cell r="Q1229" t="str">
            <v/>
          </cell>
          <cell r="R1229">
            <v>16.5</v>
          </cell>
        </row>
        <row r="1230">
          <cell r="A1230" t="str">
            <v/>
          </cell>
          <cell r="B1230" t="str">
            <v/>
          </cell>
          <cell r="C1230" t="str">
            <v>Future</v>
          </cell>
          <cell r="D1230" t="e">
            <v>#N/A</v>
          </cell>
          <cell r="E1230">
            <v>-22.827027027027153</v>
          </cell>
          <cell r="F1230">
            <v>22.510810810811247</v>
          </cell>
          <cell r="G1230">
            <v>13.443243243243327</v>
          </cell>
          <cell r="H1230">
            <v>13.443243243243327</v>
          </cell>
          <cell r="I1230" t="e">
            <v>#N/A</v>
          </cell>
          <cell r="J1230" t="e">
            <v>#N/A</v>
          </cell>
          <cell r="K1230">
            <v>17.5</v>
          </cell>
          <cell r="L1230">
            <v>14</v>
          </cell>
          <cell r="M1230" t="e">
            <v>#N/A</v>
          </cell>
          <cell r="N1230">
            <v>16.5</v>
          </cell>
          <cell r="O1230" t="e">
            <v>#N/A</v>
          </cell>
          <cell r="P1230" t="str">
            <v/>
          </cell>
          <cell r="Q1230" t="str">
            <v/>
          </cell>
          <cell r="R1230">
            <v>16.5</v>
          </cell>
        </row>
        <row r="1231">
          <cell r="A1231" t="str">
            <v/>
          </cell>
          <cell r="B1231" t="str">
            <v/>
          </cell>
          <cell r="C1231" t="str">
            <v>Future</v>
          </cell>
          <cell r="D1231" t="e">
            <v>#N/A</v>
          </cell>
          <cell r="E1231">
            <v>-22.882432432432559</v>
          </cell>
          <cell r="F1231">
            <v>22.52297297297341</v>
          </cell>
          <cell r="G1231">
            <v>13.441891891891975</v>
          </cell>
          <cell r="H1231">
            <v>13.441891891891975</v>
          </cell>
          <cell r="I1231" t="e">
            <v>#N/A</v>
          </cell>
          <cell r="J1231" t="e">
            <v>#N/A</v>
          </cell>
          <cell r="K1231">
            <v>17.5</v>
          </cell>
          <cell r="L1231">
            <v>14</v>
          </cell>
          <cell r="M1231" t="e">
            <v>#N/A</v>
          </cell>
          <cell r="N1231">
            <v>16.5</v>
          </cell>
          <cell r="O1231" t="e">
            <v>#N/A</v>
          </cell>
          <cell r="P1231" t="str">
            <v/>
          </cell>
          <cell r="Q1231" t="str">
            <v/>
          </cell>
          <cell r="R1231">
            <v>16.5</v>
          </cell>
        </row>
        <row r="1232">
          <cell r="A1232" t="str">
            <v/>
          </cell>
          <cell r="B1232" t="str">
            <v/>
          </cell>
          <cell r="C1232" t="str">
            <v>Future</v>
          </cell>
          <cell r="D1232" t="e">
            <v>#N/A</v>
          </cell>
          <cell r="E1232">
            <v>-22.937837837837964</v>
          </cell>
          <cell r="F1232">
            <v>22.535135135135572</v>
          </cell>
          <cell r="G1232">
            <v>13.440540540540624</v>
          </cell>
          <cell r="H1232">
            <v>13.440540540540624</v>
          </cell>
          <cell r="I1232" t="e">
            <v>#N/A</v>
          </cell>
          <cell r="J1232" t="e">
            <v>#N/A</v>
          </cell>
          <cell r="K1232">
            <v>17.5</v>
          </cell>
          <cell r="L1232">
            <v>14</v>
          </cell>
          <cell r="M1232" t="e">
            <v>#N/A</v>
          </cell>
          <cell r="N1232">
            <v>16.5</v>
          </cell>
          <cell r="O1232" t="e">
            <v>#N/A</v>
          </cell>
          <cell r="P1232" t="str">
            <v/>
          </cell>
          <cell r="Q1232" t="str">
            <v/>
          </cell>
          <cell r="R1232">
            <v>16.5</v>
          </cell>
        </row>
        <row r="1233">
          <cell r="A1233" t="str">
            <v/>
          </cell>
          <cell r="B1233" t="str">
            <v/>
          </cell>
          <cell r="C1233" t="str">
            <v>Future</v>
          </cell>
          <cell r="D1233" t="e">
            <v>#N/A</v>
          </cell>
          <cell r="E1233">
            <v>-22.99324324324337</v>
          </cell>
          <cell r="F1233">
            <v>22.547297297297735</v>
          </cell>
          <cell r="G1233">
            <v>13.439189189189273</v>
          </cell>
          <cell r="H1233">
            <v>13.439189189189273</v>
          </cell>
          <cell r="I1233" t="e">
            <v>#N/A</v>
          </cell>
          <cell r="J1233" t="e">
            <v>#N/A</v>
          </cell>
          <cell r="K1233">
            <v>17.5</v>
          </cell>
          <cell r="L1233">
            <v>14</v>
          </cell>
          <cell r="M1233" t="e">
            <v>#N/A</v>
          </cell>
          <cell r="N1233">
            <v>16.5</v>
          </cell>
          <cell r="O1233" t="e">
            <v>#N/A</v>
          </cell>
          <cell r="P1233" t="str">
            <v/>
          </cell>
          <cell r="Q1233" t="str">
            <v/>
          </cell>
          <cell r="R1233">
            <v>16.5</v>
          </cell>
        </row>
        <row r="1234">
          <cell r="A1234" t="str">
            <v/>
          </cell>
          <cell r="B1234" t="str">
            <v/>
          </cell>
          <cell r="C1234" t="str">
            <v>Future</v>
          </cell>
          <cell r="D1234" t="e">
            <v>#N/A</v>
          </cell>
          <cell r="E1234">
            <v>-23.048648648648776</v>
          </cell>
          <cell r="F1234">
            <v>22.559459459459898</v>
          </cell>
          <cell r="G1234">
            <v>13.437837837837922</v>
          </cell>
          <cell r="H1234">
            <v>13.437837837837922</v>
          </cell>
          <cell r="I1234" t="e">
            <v>#N/A</v>
          </cell>
          <cell r="J1234" t="e">
            <v>#N/A</v>
          </cell>
          <cell r="K1234">
            <v>17.5</v>
          </cell>
          <cell r="L1234">
            <v>14</v>
          </cell>
          <cell r="M1234" t="e">
            <v>#N/A</v>
          </cell>
          <cell r="N1234">
            <v>16.5</v>
          </cell>
          <cell r="O1234" t="e">
            <v>#N/A</v>
          </cell>
          <cell r="P1234" t="str">
            <v/>
          </cell>
          <cell r="Q1234" t="str">
            <v/>
          </cell>
          <cell r="R1234">
            <v>16.5</v>
          </cell>
        </row>
        <row r="1235">
          <cell r="A1235" t="str">
            <v/>
          </cell>
          <cell r="B1235" t="str">
            <v/>
          </cell>
          <cell r="C1235" t="str">
            <v>Future</v>
          </cell>
          <cell r="D1235" t="e">
            <v>#N/A</v>
          </cell>
          <cell r="E1235">
            <v>-23.104054054054181</v>
          </cell>
          <cell r="F1235">
            <v>22.571621621622061</v>
          </cell>
          <cell r="G1235">
            <v>13.436486486486571</v>
          </cell>
          <cell r="H1235">
            <v>13.436486486486571</v>
          </cell>
          <cell r="I1235" t="e">
            <v>#N/A</v>
          </cell>
          <cell r="J1235" t="e">
            <v>#N/A</v>
          </cell>
          <cell r="K1235">
            <v>17.5</v>
          </cell>
          <cell r="L1235">
            <v>14</v>
          </cell>
          <cell r="M1235" t="e">
            <v>#N/A</v>
          </cell>
          <cell r="N1235">
            <v>16.5</v>
          </cell>
          <cell r="O1235" t="e">
            <v>#N/A</v>
          </cell>
          <cell r="P1235" t="str">
            <v/>
          </cell>
          <cell r="Q1235" t="str">
            <v/>
          </cell>
          <cell r="R1235">
            <v>16.5</v>
          </cell>
        </row>
        <row r="1236">
          <cell r="A1236" t="str">
            <v/>
          </cell>
          <cell r="B1236" t="str">
            <v/>
          </cell>
          <cell r="C1236" t="str">
            <v>Future</v>
          </cell>
          <cell r="D1236" t="e">
            <v>#N/A</v>
          </cell>
          <cell r="E1236">
            <v>-23.159459459459587</v>
          </cell>
          <cell r="F1236">
            <v>22.583783783784224</v>
          </cell>
          <cell r="G1236">
            <v>13.435135135135219</v>
          </cell>
          <cell r="H1236">
            <v>13.435135135135219</v>
          </cell>
          <cell r="I1236" t="e">
            <v>#N/A</v>
          </cell>
          <cell r="J1236" t="e">
            <v>#N/A</v>
          </cell>
          <cell r="K1236">
            <v>17.5</v>
          </cell>
          <cell r="L1236">
            <v>14</v>
          </cell>
          <cell r="M1236" t="e">
            <v>#N/A</v>
          </cell>
          <cell r="N1236">
            <v>16.5</v>
          </cell>
          <cell r="O1236" t="e">
            <v>#N/A</v>
          </cell>
          <cell r="P1236" t="str">
            <v/>
          </cell>
          <cell r="Q1236" t="str">
            <v/>
          </cell>
          <cell r="R1236">
            <v>16.5</v>
          </cell>
        </row>
        <row r="1237">
          <cell r="A1237" t="str">
            <v/>
          </cell>
          <cell r="B1237" t="str">
            <v/>
          </cell>
          <cell r="C1237" t="str">
            <v>Future</v>
          </cell>
          <cell r="D1237" t="e">
            <v>#N/A</v>
          </cell>
          <cell r="E1237">
            <v>-23.214864864864992</v>
          </cell>
          <cell r="F1237">
            <v>22.595945945946387</v>
          </cell>
          <cell r="G1237">
            <v>13.433783783783868</v>
          </cell>
          <cell r="H1237">
            <v>13.433783783783868</v>
          </cell>
          <cell r="I1237" t="e">
            <v>#N/A</v>
          </cell>
          <cell r="J1237" t="e">
            <v>#N/A</v>
          </cell>
          <cell r="K1237">
            <v>17.5</v>
          </cell>
          <cell r="L1237">
            <v>14</v>
          </cell>
          <cell r="M1237" t="e">
            <v>#N/A</v>
          </cell>
          <cell r="N1237">
            <v>16.5</v>
          </cell>
          <cell r="O1237" t="e">
            <v>#N/A</v>
          </cell>
          <cell r="P1237" t="str">
            <v/>
          </cell>
          <cell r="Q1237" t="str">
            <v/>
          </cell>
          <cell r="R1237">
            <v>16.5</v>
          </cell>
        </row>
        <row r="1238">
          <cell r="A1238" t="str">
            <v/>
          </cell>
          <cell r="B1238" t="str">
            <v/>
          </cell>
          <cell r="C1238" t="str">
            <v>Future</v>
          </cell>
          <cell r="D1238" t="e">
            <v>#N/A</v>
          </cell>
          <cell r="E1238">
            <v>-23.270270270270398</v>
          </cell>
          <cell r="F1238">
            <v>22.608108108108549</v>
          </cell>
          <cell r="G1238">
            <v>13.432432432432517</v>
          </cell>
          <cell r="H1238">
            <v>13.432432432432517</v>
          </cell>
          <cell r="I1238" t="e">
            <v>#N/A</v>
          </cell>
          <cell r="J1238" t="e">
            <v>#N/A</v>
          </cell>
          <cell r="K1238">
            <v>17.5</v>
          </cell>
          <cell r="L1238">
            <v>14</v>
          </cell>
          <cell r="M1238" t="e">
            <v>#N/A</v>
          </cell>
          <cell r="N1238">
            <v>16.5</v>
          </cell>
          <cell r="O1238" t="e">
            <v>#N/A</v>
          </cell>
          <cell r="P1238" t="str">
            <v/>
          </cell>
          <cell r="Q1238" t="str">
            <v/>
          </cell>
          <cell r="R1238">
            <v>16.5</v>
          </cell>
        </row>
        <row r="1239">
          <cell r="A1239" t="str">
            <v/>
          </cell>
          <cell r="B1239" t="str">
            <v/>
          </cell>
          <cell r="C1239" t="str">
            <v>Future</v>
          </cell>
          <cell r="D1239" t="e">
            <v>#N/A</v>
          </cell>
          <cell r="E1239">
            <v>-23.325675675675804</v>
          </cell>
          <cell r="F1239">
            <v>22.620270270270712</v>
          </cell>
          <cell r="G1239">
            <v>13.431081081081166</v>
          </cell>
          <cell r="H1239">
            <v>13.431081081081166</v>
          </cell>
          <cell r="I1239" t="e">
            <v>#N/A</v>
          </cell>
          <cell r="J1239" t="e">
            <v>#N/A</v>
          </cell>
          <cell r="K1239">
            <v>17.5</v>
          </cell>
          <cell r="L1239">
            <v>14</v>
          </cell>
          <cell r="M1239" t="e">
            <v>#N/A</v>
          </cell>
          <cell r="N1239">
            <v>16.5</v>
          </cell>
          <cell r="O1239" t="e">
            <v>#N/A</v>
          </cell>
          <cell r="P1239" t="str">
            <v/>
          </cell>
          <cell r="Q1239" t="str">
            <v/>
          </cell>
          <cell r="R1239">
            <v>16.5</v>
          </cell>
        </row>
        <row r="1240">
          <cell r="A1240" t="str">
            <v/>
          </cell>
          <cell r="B1240" t="str">
            <v/>
          </cell>
          <cell r="C1240" t="str">
            <v>Future</v>
          </cell>
          <cell r="D1240" t="e">
            <v>#N/A</v>
          </cell>
          <cell r="E1240">
            <v>-23.381081081081209</v>
          </cell>
          <cell r="F1240">
            <v>22.632432432432875</v>
          </cell>
          <cell r="G1240">
            <v>13.429729729729814</v>
          </cell>
          <cell r="H1240">
            <v>13.429729729729814</v>
          </cell>
          <cell r="I1240" t="e">
            <v>#N/A</v>
          </cell>
          <cell r="J1240" t="e">
            <v>#N/A</v>
          </cell>
          <cell r="K1240">
            <v>17.5</v>
          </cell>
          <cell r="L1240">
            <v>14</v>
          </cell>
          <cell r="M1240" t="e">
            <v>#N/A</v>
          </cell>
          <cell r="N1240">
            <v>16.5</v>
          </cell>
          <cell r="O1240" t="e">
            <v>#N/A</v>
          </cell>
          <cell r="P1240" t="str">
            <v/>
          </cell>
          <cell r="Q1240" t="str">
            <v/>
          </cell>
          <cell r="R1240">
            <v>16.5</v>
          </cell>
        </row>
        <row r="1241">
          <cell r="A1241" t="str">
            <v/>
          </cell>
          <cell r="B1241" t="str">
            <v/>
          </cell>
          <cell r="C1241" t="str">
            <v>Future</v>
          </cell>
          <cell r="D1241" t="e">
            <v>#N/A</v>
          </cell>
          <cell r="E1241">
            <v>-23.436486486486615</v>
          </cell>
          <cell r="F1241">
            <v>22.644594594595038</v>
          </cell>
          <cell r="G1241">
            <v>13.428378378378463</v>
          </cell>
          <cell r="H1241">
            <v>13.428378378378463</v>
          </cell>
          <cell r="I1241" t="e">
            <v>#N/A</v>
          </cell>
          <cell r="J1241" t="e">
            <v>#N/A</v>
          </cell>
          <cell r="K1241">
            <v>17.5</v>
          </cell>
          <cell r="L1241">
            <v>14</v>
          </cell>
          <cell r="M1241" t="e">
            <v>#N/A</v>
          </cell>
          <cell r="N1241">
            <v>16.5</v>
          </cell>
          <cell r="O1241" t="e">
            <v>#N/A</v>
          </cell>
          <cell r="P1241" t="str">
            <v/>
          </cell>
          <cell r="Q1241" t="str">
            <v/>
          </cell>
          <cell r="R1241">
            <v>16.5</v>
          </cell>
        </row>
        <row r="1242">
          <cell r="A1242" t="str">
            <v/>
          </cell>
          <cell r="B1242" t="str">
            <v/>
          </cell>
          <cell r="C1242" t="str">
            <v>Future</v>
          </cell>
          <cell r="D1242" t="e">
            <v>#N/A</v>
          </cell>
          <cell r="E1242">
            <v>-23.491891891892021</v>
          </cell>
          <cell r="F1242">
            <v>22.656756756757201</v>
          </cell>
          <cell r="G1242">
            <v>13.427027027027112</v>
          </cell>
          <cell r="H1242">
            <v>13.427027027027112</v>
          </cell>
          <cell r="I1242" t="e">
            <v>#N/A</v>
          </cell>
          <cell r="J1242" t="e">
            <v>#N/A</v>
          </cell>
          <cell r="K1242">
            <v>17.5</v>
          </cell>
          <cell r="L1242">
            <v>14</v>
          </cell>
          <cell r="M1242" t="e">
            <v>#N/A</v>
          </cell>
          <cell r="N1242">
            <v>16.5</v>
          </cell>
          <cell r="O1242" t="e">
            <v>#N/A</v>
          </cell>
          <cell r="P1242" t="str">
            <v/>
          </cell>
          <cell r="Q1242" t="str">
            <v/>
          </cell>
          <cell r="R1242">
            <v>16.5</v>
          </cell>
        </row>
        <row r="1243">
          <cell r="A1243" t="str">
            <v/>
          </cell>
          <cell r="B1243" t="str">
            <v/>
          </cell>
          <cell r="C1243" t="str">
            <v>Future</v>
          </cell>
          <cell r="D1243" t="e">
            <v>#N/A</v>
          </cell>
          <cell r="E1243">
            <v>-23.547297297297426</v>
          </cell>
          <cell r="F1243">
            <v>22.668918918919363</v>
          </cell>
          <cell r="G1243">
            <v>13.425675675675761</v>
          </cell>
          <cell r="H1243">
            <v>13.425675675675761</v>
          </cell>
          <cell r="I1243" t="e">
            <v>#N/A</v>
          </cell>
          <cell r="J1243" t="e">
            <v>#N/A</v>
          </cell>
          <cell r="K1243">
            <v>17.5</v>
          </cell>
          <cell r="L1243">
            <v>14</v>
          </cell>
          <cell r="M1243" t="e">
            <v>#N/A</v>
          </cell>
          <cell r="N1243">
            <v>16.5</v>
          </cell>
          <cell r="O1243" t="e">
            <v>#N/A</v>
          </cell>
          <cell r="P1243" t="str">
            <v/>
          </cell>
          <cell r="Q1243" t="str">
            <v/>
          </cell>
          <cell r="R1243">
            <v>16.5</v>
          </cell>
        </row>
        <row r="1244">
          <cell r="A1244" t="str">
            <v/>
          </cell>
          <cell r="B1244" t="str">
            <v/>
          </cell>
          <cell r="C1244" t="str">
            <v>Future</v>
          </cell>
          <cell r="D1244" t="e">
            <v>#N/A</v>
          </cell>
          <cell r="E1244">
            <v>-23.602702702702832</v>
          </cell>
          <cell r="F1244">
            <v>22.681081081081526</v>
          </cell>
          <cell r="G1244">
            <v>13.424324324324409</v>
          </cell>
          <cell r="H1244">
            <v>13.424324324324409</v>
          </cell>
          <cell r="I1244" t="e">
            <v>#N/A</v>
          </cell>
          <cell r="J1244" t="e">
            <v>#N/A</v>
          </cell>
          <cell r="K1244">
            <v>17.5</v>
          </cell>
          <cell r="L1244">
            <v>14</v>
          </cell>
          <cell r="M1244" t="e">
            <v>#N/A</v>
          </cell>
          <cell r="N1244">
            <v>16.5</v>
          </cell>
          <cell r="O1244" t="e">
            <v>#N/A</v>
          </cell>
          <cell r="P1244" t="str">
            <v/>
          </cell>
          <cell r="Q1244" t="str">
            <v/>
          </cell>
          <cell r="R1244">
            <v>16.5</v>
          </cell>
        </row>
        <row r="1245">
          <cell r="A1245" t="str">
            <v/>
          </cell>
          <cell r="B1245" t="str">
            <v/>
          </cell>
          <cell r="C1245" t="str">
            <v>Future</v>
          </cell>
          <cell r="D1245" t="e">
            <v>#N/A</v>
          </cell>
          <cell r="E1245">
            <v>-23.658108108108237</v>
          </cell>
          <cell r="F1245">
            <v>22.693243243243689</v>
          </cell>
          <cell r="G1245">
            <v>13.422972972973058</v>
          </cell>
          <cell r="H1245">
            <v>13.422972972973058</v>
          </cell>
          <cell r="I1245" t="e">
            <v>#N/A</v>
          </cell>
          <cell r="J1245" t="e">
            <v>#N/A</v>
          </cell>
          <cell r="K1245">
            <v>17.5</v>
          </cell>
          <cell r="L1245">
            <v>14</v>
          </cell>
          <cell r="M1245" t="e">
            <v>#N/A</v>
          </cell>
          <cell r="N1245">
            <v>16.5</v>
          </cell>
          <cell r="O1245" t="e">
            <v>#N/A</v>
          </cell>
          <cell r="P1245" t="str">
            <v/>
          </cell>
          <cell r="Q1245" t="str">
            <v/>
          </cell>
          <cell r="R1245">
            <v>16.5</v>
          </cell>
        </row>
        <row r="1246">
          <cell r="A1246" t="str">
            <v/>
          </cell>
          <cell r="B1246" t="str">
            <v/>
          </cell>
          <cell r="C1246" t="str">
            <v>Future</v>
          </cell>
          <cell r="D1246" t="e">
            <v>#N/A</v>
          </cell>
          <cell r="E1246">
            <v>-23.713513513513643</v>
          </cell>
          <cell r="F1246">
            <v>22.705405405405852</v>
          </cell>
          <cell r="G1246">
            <v>13.421621621621707</v>
          </cell>
          <cell r="H1246">
            <v>13.421621621621707</v>
          </cell>
          <cell r="I1246" t="e">
            <v>#N/A</v>
          </cell>
          <cell r="J1246" t="e">
            <v>#N/A</v>
          </cell>
          <cell r="K1246">
            <v>17.5</v>
          </cell>
          <cell r="L1246">
            <v>14</v>
          </cell>
          <cell r="M1246" t="e">
            <v>#N/A</v>
          </cell>
          <cell r="N1246">
            <v>16.5</v>
          </cell>
          <cell r="O1246" t="e">
            <v>#N/A</v>
          </cell>
          <cell r="P1246" t="str">
            <v/>
          </cell>
          <cell r="Q1246" t="str">
            <v/>
          </cell>
          <cell r="R1246">
            <v>16.5</v>
          </cell>
        </row>
        <row r="1247">
          <cell r="A1247" t="str">
            <v/>
          </cell>
          <cell r="B1247" t="str">
            <v/>
          </cell>
          <cell r="C1247" t="str">
            <v>Future</v>
          </cell>
          <cell r="D1247" t="e">
            <v>#N/A</v>
          </cell>
          <cell r="E1247">
            <v>-23.768918918919049</v>
          </cell>
          <cell r="F1247">
            <v>22.717567567568015</v>
          </cell>
          <cell r="G1247">
            <v>13.420270270270356</v>
          </cell>
          <cell r="H1247">
            <v>13.420270270270356</v>
          </cell>
          <cell r="I1247" t="e">
            <v>#N/A</v>
          </cell>
          <cell r="J1247" t="e">
            <v>#N/A</v>
          </cell>
          <cell r="K1247">
            <v>17.5</v>
          </cell>
          <cell r="L1247">
            <v>14</v>
          </cell>
          <cell r="M1247" t="e">
            <v>#N/A</v>
          </cell>
          <cell r="N1247">
            <v>16.5</v>
          </cell>
          <cell r="O1247" t="e">
            <v>#N/A</v>
          </cell>
          <cell r="P1247" t="str">
            <v/>
          </cell>
          <cell r="Q1247" t="str">
            <v/>
          </cell>
          <cell r="R1247">
            <v>16.5</v>
          </cell>
        </row>
        <row r="1248">
          <cell r="A1248" t="str">
            <v/>
          </cell>
          <cell r="B1248" t="str">
            <v/>
          </cell>
          <cell r="C1248" t="str">
            <v>Future</v>
          </cell>
          <cell r="D1248" t="e">
            <v>#N/A</v>
          </cell>
          <cell r="E1248">
            <v>-23.824324324324454</v>
          </cell>
          <cell r="F1248">
            <v>22.729729729730177</v>
          </cell>
          <cell r="G1248">
            <v>13.418918918919005</v>
          </cell>
          <cell r="H1248">
            <v>13.418918918919005</v>
          </cell>
          <cell r="I1248" t="e">
            <v>#N/A</v>
          </cell>
          <cell r="J1248" t="e">
            <v>#N/A</v>
          </cell>
          <cell r="K1248">
            <v>17.5</v>
          </cell>
          <cell r="L1248">
            <v>14</v>
          </cell>
          <cell r="M1248" t="e">
            <v>#N/A</v>
          </cell>
          <cell r="N1248">
            <v>16.5</v>
          </cell>
          <cell r="O1248" t="e">
            <v>#N/A</v>
          </cell>
          <cell r="P1248" t="str">
            <v/>
          </cell>
          <cell r="Q1248" t="str">
            <v/>
          </cell>
          <cell r="R1248">
            <v>16.5</v>
          </cell>
        </row>
        <row r="1249">
          <cell r="A1249" t="str">
            <v/>
          </cell>
          <cell r="B1249" t="str">
            <v/>
          </cell>
          <cell r="C1249" t="str">
            <v>Future</v>
          </cell>
          <cell r="D1249" t="e">
            <v>#N/A</v>
          </cell>
          <cell r="E1249">
            <v>-23.87972972972986</v>
          </cell>
          <cell r="F1249">
            <v>22.74189189189234</v>
          </cell>
          <cell r="G1249">
            <v>13.417567567567653</v>
          </cell>
          <cell r="H1249">
            <v>13.417567567567653</v>
          </cell>
          <cell r="I1249" t="e">
            <v>#N/A</v>
          </cell>
          <cell r="J1249" t="e">
            <v>#N/A</v>
          </cell>
          <cell r="K1249">
            <v>17.5</v>
          </cell>
          <cell r="L1249">
            <v>14</v>
          </cell>
          <cell r="M1249" t="e">
            <v>#N/A</v>
          </cell>
          <cell r="N1249">
            <v>16.5</v>
          </cell>
          <cell r="O1249" t="e">
            <v>#N/A</v>
          </cell>
          <cell r="P1249" t="str">
            <v/>
          </cell>
          <cell r="Q1249" t="str">
            <v/>
          </cell>
          <cell r="R1249">
            <v>16.5</v>
          </cell>
        </row>
        <row r="1250">
          <cell r="A1250" t="str">
            <v/>
          </cell>
          <cell r="B1250" t="str">
            <v/>
          </cell>
          <cell r="C1250" t="str">
            <v>Future</v>
          </cell>
          <cell r="D1250" t="e">
            <v>#N/A</v>
          </cell>
          <cell r="E1250">
            <v>-23.935135135135265</v>
          </cell>
          <cell r="F1250">
            <v>22.754054054054503</v>
          </cell>
          <cell r="G1250">
            <v>13.416216216216302</v>
          </cell>
          <cell r="H1250">
            <v>13.416216216216302</v>
          </cell>
          <cell r="I1250" t="e">
            <v>#N/A</v>
          </cell>
          <cell r="J1250" t="e">
            <v>#N/A</v>
          </cell>
          <cell r="K1250">
            <v>17.5</v>
          </cell>
          <cell r="L1250">
            <v>14</v>
          </cell>
          <cell r="M1250" t="e">
            <v>#N/A</v>
          </cell>
          <cell r="N1250">
            <v>16.5</v>
          </cell>
          <cell r="O1250" t="e">
            <v>#N/A</v>
          </cell>
          <cell r="P1250" t="str">
            <v/>
          </cell>
          <cell r="Q1250" t="str">
            <v/>
          </cell>
          <cell r="R1250">
            <v>16.5</v>
          </cell>
        </row>
        <row r="1251">
          <cell r="A1251" t="str">
            <v/>
          </cell>
          <cell r="B1251" t="str">
            <v/>
          </cell>
          <cell r="C1251" t="str">
            <v>Future</v>
          </cell>
          <cell r="D1251" t="e">
            <v>#N/A</v>
          </cell>
          <cell r="E1251">
            <v>-23.990540540540671</v>
          </cell>
          <cell r="F1251">
            <v>22.766216216216666</v>
          </cell>
          <cell r="G1251">
            <v>13.414864864864951</v>
          </cell>
          <cell r="H1251">
            <v>13.414864864864951</v>
          </cell>
          <cell r="I1251" t="e">
            <v>#N/A</v>
          </cell>
          <cell r="J1251" t="e">
            <v>#N/A</v>
          </cell>
          <cell r="K1251">
            <v>17.5</v>
          </cell>
          <cell r="L1251">
            <v>14</v>
          </cell>
          <cell r="M1251" t="e">
            <v>#N/A</v>
          </cell>
          <cell r="N1251">
            <v>16.5</v>
          </cell>
          <cell r="O1251" t="e">
            <v>#N/A</v>
          </cell>
          <cell r="P1251" t="str">
            <v/>
          </cell>
          <cell r="Q1251" t="str">
            <v/>
          </cell>
          <cell r="R1251">
            <v>16.5</v>
          </cell>
        </row>
        <row r="1252">
          <cell r="A1252" t="str">
            <v/>
          </cell>
          <cell r="B1252" t="str">
            <v/>
          </cell>
          <cell r="C1252" t="str">
            <v>Future</v>
          </cell>
          <cell r="D1252" t="e">
            <v>#N/A</v>
          </cell>
          <cell r="E1252">
            <v>-24.045945945946077</v>
          </cell>
          <cell r="F1252">
            <v>22.778378378378829</v>
          </cell>
          <cell r="G1252">
            <v>13.4135135135136</v>
          </cell>
          <cell r="H1252">
            <v>13.4135135135136</v>
          </cell>
          <cell r="I1252" t="e">
            <v>#N/A</v>
          </cell>
          <cell r="J1252" t="e">
            <v>#N/A</v>
          </cell>
          <cell r="K1252">
            <v>17.5</v>
          </cell>
          <cell r="L1252">
            <v>14</v>
          </cell>
          <cell r="M1252" t="e">
            <v>#N/A</v>
          </cell>
          <cell r="N1252">
            <v>16.5</v>
          </cell>
          <cell r="O1252" t="e">
            <v>#N/A</v>
          </cell>
          <cell r="P1252" t="str">
            <v/>
          </cell>
          <cell r="Q1252" t="str">
            <v/>
          </cell>
          <cell r="R1252">
            <v>16.5</v>
          </cell>
        </row>
        <row r="1253">
          <cell r="A1253" t="str">
            <v/>
          </cell>
          <cell r="P1253" t="str">
            <v/>
          </cell>
          <cell r="Q1253" t="str">
            <v/>
          </cell>
        </row>
      </sheetData>
      <sheetData sheetId="11" refreshError="1"/>
      <sheetData sheetId="12" refreshError="1"/>
      <sheetData sheetId="13" refreshError="1">
        <row r="1">
          <cell r="N1" t="str">
            <v>SmartCharts</v>
          </cell>
          <cell r="AW1" t="str">
            <v>.</v>
          </cell>
        </row>
        <row r="2">
          <cell r="AW2" t="str">
            <v>.</v>
          </cell>
        </row>
        <row r="3">
          <cell r="AW3" t="str">
            <v>.</v>
          </cell>
        </row>
        <row r="4">
          <cell r="AW4" t="str">
            <v>.</v>
          </cell>
        </row>
        <row r="5">
          <cell r="C5" t="str">
            <v>Define value axis here:</v>
          </cell>
        </row>
        <row r="6">
          <cell r="C6" t="str">
            <v>Capex ($mil)</v>
          </cell>
        </row>
        <row r="10">
          <cell r="C10" t="str">
            <v>Input your data here:</v>
          </cell>
          <cell r="AW10" t="str">
            <v>.</v>
          </cell>
        </row>
        <row r="11">
          <cell r="C11">
            <v>2009</v>
          </cell>
          <cell r="D11">
            <v>800.62199999999996</v>
          </cell>
        </row>
        <row r="12">
          <cell r="C12">
            <v>2010</v>
          </cell>
          <cell r="D12">
            <v>568.05700000000002</v>
          </cell>
          <cell r="AW12" t="str">
            <v>.</v>
          </cell>
        </row>
        <row r="13">
          <cell r="C13" t="str">
            <v>2011e</v>
          </cell>
          <cell r="D13">
            <v>488.18299999999999</v>
          </cell>
          <cell r="AW13" t="str">
            <v>.</v>
          </cell>
        </row>
        <row r="14">
          <cell r="C14" t="str">
            <v>2012e</v>
          </cell>
          <cell r="D14">
            <v>473.17525000000001</v>
          </cell>
          <cell r="AW14" t="str">
            <v>.</v>
          </cell>
        </row>
        <row r="15">
          <cell r="C15" t="str">
            <v>2013e</v>
          </cell>
          <cell r="D15">
            <v>411.15758333333338</v>
          </cell>
          <cell r="AW15" t="str">
            <v>.</v>
          </cell>
        </row>
        <row r="16">
          <cell r="C16" t="str">
            <v>2014e</v>
          </cell>
          <cell r="D16">
            <v>411.15758333333338</v>
          </cell>
          <cell r="AW16" t="str">
            <v>.</v>
          </cell>
        </row>
        <row r="17">
          <cell r="C17" t="str">
            <v>2015e</v>
          </cell>
          <cell r="D17">
            <v>411.15758333333338</v>
          </cell>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14" refreshError="1">
        <row r="1">
          <cell r="P1" t="str">
            <v>SmartCharts</v>
          </cell>
        </row>
        <row r="6">
          <cell r="C6" t="str">
            <v>Input value axis title here:</v>
          </cell>
        </row>
        <row r="7">
          <cell r="C7" t="str">
            <v>Current Dividend as % of Projected FCF</v>
          </cell>
        </row>
        <row r="10">
          <cell r="C10" t="str">
            <v>Input your data here:</v>
          </cell>
          <cell r="BB10" t="str">
            <v>.</v>
          </cell>
        </row>
        <row r="11">
          <cell r="D11" t="str">
            <v>Pre-Dividend FCF</v>
          </cell>
          <cell r="E11" t="str">
            <v>Current Dividend</v>
          </cell>
          <cell r="F11" t="str">
            <v>Div. / FCF</v>
          </cell>
          <cell r="AB11" t="str">
            <v>Cells below are used for chart calculations; please do not make any changes</v>
          </cell>
        </row>
        <row r="12">
          <cell r="AB12">
            <v>244.75657931408091</v>
          </cell>
          <cell r="AC12">
            <v>244.75657931408091</v>
          </cell>
        </row>
        <row r="13">
          <cell r="AB13">
            <v>244.75657931408091</v>
          </cell>
          <cell r="AC13">
            <v>244.75657931408091</v>
          </cell>
        </row>
        <row r="14">
          <cell r="C14" t="str">
            <v>2011e</v>
          </cell>
          <cell r="D14">
            <v>96.736330472514965</v>
          </cell>
          <cell r="E14">
            <v>113</v>
          </cell>
          <cell r="F14">
            <v>1.1681236971471223</v>
          </cell>
          <cell r="AB14">
            <v>148.02024884156594</v>
          </cell>
          <cell r="AC14">
            <v>131.75657931408091</v>
          </cell>
        </row>
        <row r="15">
          <cell r="C15" t="str">
            <v>2012e</v>
          </cell>
          <cell r="D15">
            <v>170.37541823634081</v>
          </cell>
          <cell r="E15">
            <v>113</v>
          </cell>
          <cell r="F15">
            <v>0.66324121853804663</v>
          </cell>
          <cell r="AB15">
            <v>74.381161077740103</v>
          </cell>
          <cell r="AC15">
            <v>131.75657931408091</v>
          </cell>
        </row>
        <row r="16">
          <cell r="C16" t="str">
            <v>2013e</v>
          </cell>
          <cell r="D16">
            <v>192.95025703722308</v>
          </cell>
          <cell r="E16">
            <v>113</v>
          </cell>
          <cell r="F16">
            <v>0.58564316904848979</v>
          </cell>
          <cell r="AB16">
            <v>51.806322276857827</v>
          </cell>
          <cell r="AC16">
            <v>131.75657931408091</v>
          </cell>
        </row>
        <row r="17">
          <cell r="C17" t="str">
            <v>2014e</v>
          </cell>
          <cell r="D17">
            <v>216.27040321437914</v>
          </cell>
          <cell r="E17">
            <v>113</v>
          </cell>
          <cell r="F17">
            <v>0.52249405522210157</v>
          </cell>
          <cell r="AB17">
            <v>28.486176099701765</v>
          </cell>
          <cell r="AC17">
            <v>131.75657931408091</v>
          </cell>
        </row>
        <row r="18">
          <cell r="C18" t="str">
            <v>2015e</v>
          </cell>
          <cell r="D18">
            <v>244.75657931408091</v>
          </cell>
          <cell r="E18">
            <v>113</v>
          </cell>
          <cell r="F18">
            <v>0.46168319689986403</v>
          </cell>
          <cell r="AB18">
            <v>0</v>
          </cell>
          <cell r="AC18">
            <v>131.75657931408091</v>
          </cell>
        </row>
        <row r="19">
          <cell r="AB19">
            <v>244.75657931408091</v>
          </cell>
          <cell r="AC19">
            <v>244.75657931408091</v>
          </cell>
        </row>
        <row r="20">
          <cell r="AB20">
            <v>244.75657931408091</v>
          </cell>
          <cell r="AC20">
            <v>244.75657931408091</v>
          </cell>
        </row>
        <row r="21">
          <cell r="AB21">
            <v>244.75657931408091</v>
          </cell>
          <cell r="AC21">
            <v>244.75657931408091</v>
          </cell>
        </row>
        <row r="22">
          <cell r="AB22">
            <v>244.75657931408091</v>
          </cell>
          <cell r="AC22">
            <v>244.75657931408091</v>
          </cell>
        </row>
        <row r="23">
          <cell r="AB23">
            <v>244.75657931408091</v>
          </cell>
          <cell r="AC23">
            <v>244.75657931408091</v>
          </cell>
        </row>
        <row r="24">
          <cell r="AB24">
            <v>244.75657931408091</v>
          </cell>
          <cell r="AC24">
            <v>244.75657931408091</v>
          </cell>
        </row>
        <row r="25">
          <cell r="AB25">
            <v>244.75657931408091</v>
          </cell>
          <cell r="AC25">
            <v>244.75657931408091</v>
          </cell>
        </row>
        <row r="26">
          <cell r="AB26">
            <v>244.75657931408091</v>
          </cell>
          <cell r="AC26">
            <v>244.75657931408091</v>
          </cell>
        </row>
        <row r="27">
          <cell r="AB27">
            <v>244.75657931408091</v>
          </cell>
          <cell r="AC27">
            <v>244.75657931408091</v>
          </cell>
        </row>
        <row r="28">
          <cell r="AB28">
            <v>244.75657931408091</v>
          </cell>
          <cell r="AC28">
            <v>244.75657931408091</v>
          </cell>
        </row>
        <row r="29">
          <cell r="AB29">
            <v>244.75657931408091</v>
          </cell>
          <cell r="AC29">
            <v>244.75657931408091</v>
          </cell>
        </row>
        <row r="30">
          <cell r="AB30">
            <v>244.75657931408091</v>
          </cell>
          <cell r="AC30">
            <v>244.75657931408091</v>
          </cell>
        </row>
        <row r="31">
          <cell r="AB31">
            <v>244.75657931408091</v>
          </cell>
          <cell r="AC31">
            <v>244.75657931408091</v>
          </cell>
        </row>
        <row r="998">
          <cell r="R998" t="str">
            <v>.</v>
          </cell>
          <cell r="S998" t="str">
            <v>.</v>
          </cell>
          <cell r="T998" t="str">
            <v>.</v>
          </cell>
          <cell r="U998" t="str">
            <v>.</v>
          </cell>
          <cell r="V998" t="str">
            <v>.</v>
          </cell>
        </row>
      </sheetData>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Valuation Summary"/>
      <sheetName val="__FDSCACHE__"/>
      <sheetName val="Financial Summary"/>
      <sheetName val="NVE - Consolidated"/>
      <sheetName val="Nevada Power"/>
      <sheetName val="Sierra Power"/>
      <sheetName val="Parent"/>
      <sheetName val="Debt"/>
      <sheetName val="EPS Walk"/>
      <sheetName val="Note Tables"/>
      <sheetName val="mwareDates"/>
      <sheetName val="Capex Chart"/>
      <sheetName val="FCF-Div. Working Chart"/>
      <sheetName val="MW FDS"/>
      <sheetName val="MWA RR (2)"/>
      <sheetName val="mwareSettings"/>
      <sheetName val="MW-Cache"/>
      <sheetName val="Summary"/>
      <sheetName val="Financials"/>
      <sheetName val="MWA RR"/>
      <sheetName val="Scorecard"/>
    </sheetNames>
    <sheetDataSet>
      <sheetData sheetId="0" refreshError="1"/>
      <sheetData sheetId="1" refreshError="1"/>
      <sheetData sheetId="2" refreshError="1"/>
      <sheetData sheetId="3" refreshError="1">
        <row r="2">
          <cell r="B2" t="str">
            <v>NV Energy</v>
          </cell>
        </row>
        <row r="3">
          <cell r="B3" t="str">
            <v>Financial Summary</v>
          </cell>
        </row>
        <row r="4">
          <cell r="B4" t="str">
            <v>$m, unless stated otherwise</v>
          </cell>
        </row>
        <row r="5">
          <cell r="B5" t="str">
            <v>Period Ended</v>
          </cell>
          <cell r="I5">
            <v>2009</v>
          </cell>
          <cell r="N5">
            <v>2010</v>
          </cell>
          <cell r="S5">
            <v>2011</v>
          </cell>
          <cell r="X5">
            <v>2012</v>
          </cell>
          <cell r="AC5">
            <v>2013</v>
          </cell>
          <cell r="AH5">
            <v>2014</v>
          </cell>
          <cell r="AM5">
            <v>2015</v>
          </cell>
          <cell r="AO5" t="str">
            <v>Period Ended</v>
          </cell>
          <cell r="AW5">
            <v>2009</v>
          </cell>
          <cell r="BB5">
            <v>2010</v>
          </cell>
          <cell r="BG5">
            <v>2011</v>
          </cell>
          <cell r="BL5">
            <v>2012</v>
          </cell>
          <cell r="BQ5">
            <v>2013</v>
          </cell>
          <cell r="BV5">
            <v>2014</v>
          </cell>
          <cell r="CA5">
            <v>2015</v>
          </cell>
        </row>
        <row r="7">
          <cell r="B7" t="str">
            <v>EPS AND EBITDA PROFILE</v>
          </cell>
          <cell r="AP7" t="str">
            <v>CAPITALIZATION PROFILE</v>
          </cell>
        </row>
        <row r="9">
          <cell r="C9" t="str">
            <v>EPS by Business Segment</v>
          </cell>
          <cell r="AQ9" t="str">
            <v>Cash</v>
          </cell>
          <cell r="AW9">
            <v>62.706000000000003</v>
          </cell>
          <cell r="BB9">
            <v>86.188999999999993</v>
          </cell>
          <cell r="BG9">
            <v>214.61727950251523</v>
          </cell>
          <cell r="BL9">
            <v>240.56529358885604</v>
          </cell>
          <cell r="BQ9">
            <v>265.84944011607911</v>
          </cell>
          <cell r="BV9">
            <v>386.21502646045826</v>
          </cell>
          <cell r="CA9">
            <v>381.82808254453914</v>
          </cell>
        </row>
        <row r="10">
          <cell r="C10" t="str">
            <v>Nevada Power</v>
          </cell>
          <cell r="I10">
            <v>0.57098225684245008</v>
          </cell>
          <cell r="N10">
            <v>0.78691105583816123</v>
          </cell>
          <cell r="S10">
            <v>0.64430447573699823</v>
          </cell>
          <cell r="X10">
            <v>1.0234410013720265</v>
          </cell>
          <cell r="AC10">
            <v>1.0471710948644808</v>
          </cell>
          <cell r="AH10">
            <v>1.0830719624121479</v>
          </cell>
          <cell r="AM10">
            <v>1.1820805154946072</v>
          </cell>
        </row>
        <row r="11">
          <cell r="C11" t="str">
            <v>Sierra Pacific Power</v>
          </cell>
          <cell r="I11">
            <v>0.31076106044897717</v>
          </cell>
          <cell r="N11">
            <v>0.30629110892201944</v>
          </cell>
          <cell r="S11">
            <v>0.30268756480263276</v>
          </cell>
          <cell r="X11">
            <v>0.31215547901530016</v>
          </cell>
          <cell r="AC11">
            <v>0.32721191357364682</v>
          </cell>
          <cell r="AH11">
            <v>0.36481066593765932</v>
          </cell>
          <cell r="AM11">
            <v>0.36374936985680045</v>
          </cell>
          <cell r="AQ11" t="str">
            <v>Short Term Debt</v>
          </cell>
          <cell r="AW11">
            <v>0</v>
          </cell>
          <cell r="BB11">
            <v>0</v>
          </cell>
          <cell r="BG11">
            <v>0</v>
          </cell>
          <cell r="BL11">
            <v>0</v>
          </cell>
          <cell r="BQ11">
            <v>0</v>
          </cell>
          <cell r="BV11">
            <v>0</v>
          </cell>
          <cell r="CA11">
            <v>0</v>
          </cell>
        </row>
        <row r="12">
          <cell r="C12" t="str">
            <v>Parent &amp; Other</v>
          </cell>
          <cell r="I12">
            <v>-0.10389033303618954</v>
          </cell>
          <cell r="N12">
            <v>-0.13260553515664844</v>
          </cell>
          <cell r="S12">
            <v>-9.1192023357962365E-2</v>
          </cell>
          <cell r="X12">
            <v>-8.9444278664941604E-2</v>
          </cell>
          <cell r="AC12">
            <v>-8.7148762122346318E-2</v>
          </cell>
          <cell r="AH12">
            <v>-8.0633309316615026E-2</v>
          </cell>
          <cell r="AM12">
            <v>-7.5917040694008744E-2</v>
          </cell>
          <cell r="AQ12" t="str">
            <v>Long Term Debt</v>
          </cell>
          <cell r="AW12">
            <v>5437.8310000000001</v>
          </cell>
          <cell r="BB12">
            <v>5280.0380000000005</v>
          </cell>
          <cell r="BG12">
            <v>5230.0380000000005</v>
          </cell>
          <cell r="BL12">
            <v>5150.0380000000005</v>
          </cell>
          <cell r="BQ12">
            <v>5075.0380000000005</v>
          </cell>
          <cell r="BV12">
            <v>5100.0380000000005</v>
          </cell>
          <cell r="CA12">
            <v>5000.0380000000005</v>
          </cell>
        </row>
        <row r="13">
          <cell r="C13" t="str">
            <v>Consolidated EPS</v>
          </cell>
          <cell r="E13">
            <v>0</v>
          </cell>
          <cell r="F13">
            <v>0</v>
          </cell>
          <cell r="G13">
            <v>0</v>
          </cell>
          <cell r="H13">
            <v>0</v>
          </cell>
          <cell r="I13">
            <v>0.77785298425523774</v>
          </cell>
          <cell r="J13">
            <v>0</v>
          </cell>
          <cell r="K13">
            <v>0</v>
          </cell>
          <cell r="L13">
            <v>0</v>
          </cell>
          <cell r="M13">
            <v>0</v>
          </cell>
          <cell r="N13">
            <v>0.9605966296035322</v>
          </cell>
          <cell r="O13">
            <v>0</v>
          </cell>
          <cell r="P13">
            <v>0</v>
          </cell>
          <cell r="Q13">
            <v>0</v>
          </cell>
          <cell r="R13">
            <v>0</v>
          </cell>
          <cell r="S13">
            <v>0.85580001718166865</v>
          </cell>
          <cell r="T13">
            <v>0</v>
          </cell>
          <cell r="U13">
            <v>0</v>
          </cell>
          <cell r="V13">
            <v>0</v>
          </cell>
          <cell r="W13">
            <v>0</v>
          </cell>
          <cell r="X13">
            <v>1.2461522017223849</v>
          </cell>
          <cell r="Y13">
            <v>0</v>
          </cell>
          <cell r="Z13">
            <v>0</v>
          </cell>
          <cell r="AA13">
            <v>0</v>
          </cell>
          <cell r="AB13">
            <v>0</v>
          </cell>
          <cell r="AC13">
            <v>1.2872342463157813</v>
          </cell>
          <cell r="AD13">
            <v>0</v>
          </cell>
          <cell r="AE13">
            <v>0</v>
          </cell>
          <cell r="AF13">
            <v>0</v>
          </cell>
          <cell r="AG13">
            <v>0</v>
          </cell>
          <cell r="AH13">
            <v>1.3672493190331922</v>
          </cell>
          <cell r="AI13">
            <v>0</v>
          </cell>
          <cell r="AJ13">
            <v>0</v>
          </cell>
          <cell r="AK13">
            <v>0</v>
          </cell>
          <cell r="AL13">
            <v>0</v>
          </cell>
          <cell r="AM13">
            <v>1.4699128446573988</v>
          </cell>
          <cell r="AQ13" t="str">
            <v>Total Debt</v>
          </cell>
          <cell r="AW13">
            <v>5437.8310000000001</v>
          </cell>
          <cell r="BB13">
            <v>5280.0380000000005</v>
          </cell>
          <cell r="BG13">
            <v>5230.0380000000005</v>
          </cell>
          <cell r="BL13">
            <v>5150.0380000000005</v>
          </cell>
          <cell r="BQ13">
            <v>5075.0380000000005</v>
          </cell>
          <cell r="BV13">
            <v>5100.0380000000005</v>
          </cell>
          <cell r="CA13">
            <v>5000.0380000000005</v>
          </cell>
        </row>
        <row r="14">
          <cell r="C14" t="str">
            <v>Growth</v>
          </cell>
          <cell r="N14">
            <v>0.2349333987877722</v>
          </cell>
          <cell r="S14">
            <v>-0.10909533636935242</v>
          </cell>
          <cell r="X14">
            <v>0.45612546938971676</v>
          </cell>
          <cell r="AC14">
            <v>3.296711632544902E-2</v>
          </cell>
          <cell r="AH14">
            <v>6.2160459874668339E-2</v>
          </cell>
          <cell r="AM14">
            <v>7.5087640706818393E-2</v>
          </cell>
        </row>
        <row r="15">
          <cell r="AQ15" t="str">
            <v>Preferred Equity</v>
          </cell>
          <cell r="AW15">
            <v>0</v>
          </cell>
          <cell r="BB15">
            <v>0</v>
          </cell>
          <cell r="BG15">
            <v>0</v>
          </cell>
          <cell r="BL15">
            <v>0</v>
          </cell>
          <cell r="BQ15">
            <v>0</v>
          </cell>
          <cell r="BV15">
            <v>0</v>
          </cell>
          <cell r="CA15">
            <v>0</v>
          </cell>
        </row>
        <row r="16">
          <cell r="C16" t="str">
            <v>Regulated / Unregulated EPS</v>
          </cell>
          <cell r="AQ16" t="str">
            <v>Common Equity</v>
          </cell>
          <cell r="AW16">
            <v>3223.922</v>
          </cell>
          <cell r="BB16">
            <v>3350.8180000000002</v>
          </cell>
          <cell r="BG16">
            <v>3437.9657186990507</v>
          </cell>
          <cell r="BL16">
            <v>3603.339317189053</v>
          </cell>
          <cell r="BQ16">
            <v>3750.1929482659471</v>
          </cell>
          <cell r="BV16">
            <v>3887.7369601607984</v>
          </cell>
          <cell r="CA16">
            <v>4021.3292751369854</v>
          </cell>
        </row>
        <row r="17">
          <cell r="C17" t="str">
            <v>Regulated Utility (includes Parent)</v>
          </cell>
          <cell r="I17">
            <v>1</v>
          </cell>
          <cell r="N17">
            <v>1</v>
          </cell>
          <cell r="S17">
            <v>1</v>
          </cell>
          <cell r="X17">
            <v>1</v>
          </cell>
          <cell r="AC17">
            <v>1</v>
          </cell>
          <cell r="AH17">
            <v>1</v>
          </cell>
          <cell r="AM17">
            <v>1</v>
          </cell>
        </row>
        <row r="18">
          <cell r="C18" t="str">
            <v>Merchant Power</v>
          </cell>
          <cell r="I18">
            <v>0</v>
          </cell>
          <cell r="N18">
            <v>0</v>
          </cell>
          <cell r="S18">
            <v>0</v>
          </cell>
          <cell r="X18">
            <v>0</v>
          </cell>
          <cell r="AC18">
            <v>0</v>
          </cell>
          <cell r="AH18">
            <v>0</v>
          </cell>
          <cell r="AM18">
            <v>0</v>
          </cell>
          <cell r="AQ18" t="str">
            <v>Total Capitalization</v>
          </cell>
          <cell r="AW18">
            <v>8661.7530000000006</v>
          </cell>
          <cell r="BB18">
            <v>8630.8559999999998</v>
          </cell>
          <cell r="BG18">
            <v>8668.0037186990521</v>
          </cell>
          <cell r="BL18">
            <v>8753.3773171890534</v>
          </cell>
          <cell r="BQ18">
            <v>8825.2309482659475</v>
          </cell>
          <cell r="BV18">
            <v>8987.7749601607993</v>
          </cell>
          <cell r="CA18">
            <v>9021.367275136985</v>
          </cell>
        </row>
        <row r="19">
          <cell r="C19" t="str">
            <v>Other (Non-Utility / Power operations)</v>
          </cell>
          <cell r="I19">
            <v>0</v>
          </cell>
          <cell r="N19">
            <v>0</v>
          </cell>
          <cell r="S19">
            <v>0</v>
          </cell>
          <cell r="X19">
            <v>0</v>
          </cell>
          <cell r="AC19">
            <v>0</v>
          </cell>
          <cell r="AH19">
            <v>0</v>
          </cell>
          <cell r="AM19">
            <v>0</v>
          </cell>
        </row>
        <row r="20">
          <cell r="AQ20" t="str">
            <v>Leverage Ratios</v>
          </cell>
        </row>
        <row r="21">
          <cell r="C21" t="str">
            <v>EBITDA by Business Segment</v>
          </cell>
          <cell r="AQ21" t="str">
            <v>LT Debt  / Total Cap</v>
          </cell>
          <cell r="AW21">
            <v>0.62779797576772278</v>
          </cell>
          <cell r="BB21">
            <v>0.61176295839022232</v>
          </cell>
          <cell r="BG21">
            <v>0.60337283759090921</v>
          </cell>
          <cell r="BL21">
            <v>0.58834868112983585</v>
          </cell>
          <cell r="BQ21">
            <v>0.57506007828579087</v>
          </cell>
          <cell r="BV21">
            <v>0.56744166633081305</v>
          </cell>
          <cell r="CA21">
            <v>0.55424392417546009</v>
          </cell>
        </row>
        <row r="22">
          <cell r="C22" t="str">
            <v>Nevada Power</v>
          </cell>
          <cell r="I22">
            <v>638.06100000000015</v>
          </cell>
          <cell r="N22">
            <v>718.31899999999973</v>
          </cell>
          <cell r="S22">
            <v>692.29769453775964</v>
          </cell>
          <cell r="X22">
            <v>841.88870360407191</v>
          </cell>
          <cell r="AC22">
            <v>850.41700135407177</v>
          </cell>
          <cell r="AH22">
            <v>864.69057499275152</v>
          </cell>
          <cell r="AM22">
            <v>899.03739152422258</v>
          </cell>
          <cell r="AQ22" t="str">
            <v>Total Debt / Total Cap</v>
          </cell>
          <cell r="AW22">
            <v>0.62779797576772278</v>
          </cell>
          <cell r="BB22">
            <v>0.61176295839022232</v>
          </cell>
          <cell r="BG22">
            <v>0.60337283759090921</v>
          </cell>
          <cell r="BL22">
            <v>0.58834868112983585</v>
          </cell>
          <cell r="BQ22">
            <v>0.57506007828579087</v>
          </cell>
          <cell r="BV22">
            <v>0.56744166633081305</v>
          </cell>
          <cell r="CA22">
            <v>0.55424392417546009</v>
          </cell>
        </row>
        <row r="23">
          <cell r="C23" t="str">
            <v>Sierra Pacific Power</v>
          </cell>
          <cell r="I23">
            <v>279.77100000000007</v>
          </cell>
          <cell r="N23">
            <v>288.10000000000014</v>
          </cell>
          <cell r="S23">
            <v>279.46208999999993</v>
          </cell>
          <cell r="X23">
            <v>285.56132590000004</v>
          </cell>
          <cell r="AC23">
            <v>292.7860310609999</v>
          </cell>
          <cell r="AH23">
            <v>308.195814640295</v>
          </cell>
          <cell r="AM23">
            <v>310.7371373663899</v>
          </cell>
          <cell r="AQ23" t="str">
            <v>Net Debt / LTM EBITDA</v>
          </cell>
          <cell r="AW23">
            <v>9.5289611635167173</v>
          </cell>
          <cell r="BB23">
            <v>5.1586822630130387</v>
          </cell>
          <cell r="BG23">
            <v>5.1825058249274631</v>
          </cell>
          <cell r="BL23">
            <v>4.3699965085036743</v>
          </cell>
          <cell r="BQ23">
            <v>4.2215377092954229</v>
          </cell>
          <cell r="BV23">
            <v>4.0327469079517408</v>
          </cell>
          <cell r="CA23">
            <v>3.8300775201351303</v>
          </cell>
        </row>
        <row r="24">
          <cell r="C24" t="str">
            <v>Corporate &amp; Other</v>
          </cell>
          <cell r="I24">
            <v>-3.2100000000001785</v>
          </cell>
          <cell r="N24">
            <v>0.39800000000031943</v>
          </cell>
          <cell r="S24">
            <v>-4</v>
          </cell>
          <cell r="X24">
            <v>-4</v>
          </cell>
          <cell r="AC24">
            <v>-4</v>
          </cell>
          <cell r="AH24">
            <v>-4</v>
          </cell>
          <cell r="AM24">
            <v>-4</v>
          </cell>
          <cell r="AQ24" t="str">
            <v>FFO / Total Debt</v>
          </cell>
          <cell r="AW24">
            <v>9.2841612768031948E-2</v>
          </cell>
          <cell r="BB24">
            <v>0.10606798663191445</v>
          </cell>
          <cell r="BG24">
            <v>0.10614772684448458</v>
          </cell>
          <cell r="BL24">
            <v>0.12894625005493404</v>
          </cell>
          <cell r="BQ24">
            <v>0.13391727507747295</v>
          </cell>
          <cell r="BV24">
            <v>0.13783336634977697</v>
          </cell>
          <cell r="CA24">
            <v>0.14628720464754197</v>
          </cell>
        </row>
        <row r="25">
          <cell r="C25" t="str">
            <v>Consolidated EBITDA</v>
          </cell>
          <cell r="E25">
            <v>0</v>
          </cell>
          <cell r="F25">
            <v>0</v>
          </cell>
          <cell r="G25">
            <v>0</v>
          </cell>
          <cell r="H25">
            <v>0</v>
          </cell>
          <cell r="I25">
            <v>914.62200000000007</v>
          </cell>
          <cell r="J25">
            <v>0</v>
          </cell>
          <cell r="K25">
            <v>0</v>
          </cell>
          <cell r="L25">
            <v>0</v>
          </cell>
          <cell r="M25">
            <v>0</v>
          </cell>
          <cell r="N25">
            <v>1006.8170000000002</v>
          </cell>
          <cell r="O25">
            <v>0</v>
          </cell>
          <cell r="P25">
            <v>0</v>
          </cell>
          <cell r="Q25">
            <v>0</v>
          </cell>
          <cell r="R25">
            <v>0</v>
          </cell>
          <cell r="S25">
            <v>967.75978453775951</v>
          </cell>
          <cell r="T25">
            <v>0</v>
          </cell>
          <cell r="U25">
            <v>0</v>
          </cell>
          <cell r="V25">
            <v>0</v>
          </cell>
          <cell r="W25">
            <v>0</v>
          </cell>
          <cell r="X25">
            <v>1123.4500295040721</v>
          </cell>
          <cell r="Y25">
            <v>0</v>
          </cell>
          <cell r="Z25">
            <v>0</v>
          </cell>
          <cell r="AA25">
            <v>0</v>
          </cell>
          <cell r="AB25">
            <v>0</v>
          </cell>
          <cell r="AC25">
            <v>1139.2030324150717</v>
          </cell>
          <cell r="AD25">
            <v>0</v>
          </cell>
          <cell r="AE25">
            <v>0</v>
          </cell>
          <cell r="AF25">
            <v>0</v>
          </cell>
          <cell r="AG25">
            <v>0</v>
          </cell>
          <cell r="AH25">
            <v>1168.8863896330465</v>
          </cell>
          <cell r="AI25">
            <v>0</v>
          </cell>
          <cell r="AJ25">
            <v>0</v>
          </cell>
          <cell r="AK25">
            <v>0</v>
          </cell>
          <cell r="AL25">
            <v>0</v>
          </cell>
          <cell r="AM25">
            <v>1205.7745288906126</v>
          </cell>
        </row>
        <row r="26">
          <cell r="AQ26" t="str">
            <v>Coverage Ratios</v>
          </cell>
        </row>
        <row r="27">
          <cell r="C27" t="str">
            <v>Regulated / Unregulated EBITDA</v>
          </cell>
          <cell r="AQ27" t="str">
            <v>FFO Interest Coverage ((FFO + Int.) / Int.)</v>
          </cell>
          <cell r="AW27">
            <v>2.4998989880984213</v>
          </cell>
          <cell r="BB27">
            <v>2.6208371559964934</v>
          </cell>
          <cell r="BG27">
            <v>2.7123600298622179</v>
          </cell>
          <cell r="BL27">
            <v>3.1101216481176945</v>
          </cell>
          <cell r="BQ27">
            <v>3.1946835077986964</v>
          </cell>
          <cell r="BV27">
            <v>3.2984109011742175</v>
          </cell>
          <cell r="CA27">
            <v>3.4286793911401889</v>
          </cell>
        </row>
        <row r="28">
          <cell r="C28" t="str">
            <v>Regulated Utility (includes Parent)</v>
          </cell>
          <cell r="I28">
            <v>1</v>
          </cell>
          <cell r="N28">
            <v>1</v>
          </cell>
          <cell r="S28">
            <v>1</v>
          </cell>
          <cell r="X28">
            <v>1</v>
          </cell>
          <cell r="AC28">
            <v>1</v>
          </cell>
          <cell r="AH28">
            <v>1</v>
          </cell>
          <cell r="AM28">
            <v>1</v>
          </cell>
          <cell r="AQ28" t="str">
            <v>Pretax Interest Coverage (EBIT / Int.)</v>
          </cell>
          <cell r="AW28">
            <v>1.7608780905185477</v>
          </cell>
          <cell r="BB28">
            <v>1.9499431303487145</v>
          </cell>
          <cell r="BG28">
            <v>1.8971263364762765</v>
          </cell>
          <cell r="BL28">
            <v>2.3963998899974324</v>
          </cell>
          <cell r="BQ28">
            <v>2.4673973891223868</v>
          </cell>
          <cell r="BV28">
            <v>2.5809875708239618</v>
          </cell>
          <cell r="CA28">
            <v>2.7295980496810768</v>
          </cell>
        </row>
        <row r="29">
          <cell r="C29" t="str">
            <v>Merchant Power</v>
          </cell>
          <cell r="I29">
            <v>0</v>
          </cell>
          <cell r="N29">
            <v>0</v>
          </cell>
          <cell r="S29">
            <v>0</v>
          </cell>
          <cell r="X29">
            <v>0</v>
          </cell>
          <cell r="AC29">
            <v>0</v>
          </cell>
          <cell r="AH29">
            <v>0</v>
          </cell>
          <cell r="AM29">
            <v>0</v>
          </cell>
        </row>
        <row r="30">
          <cell r="C30" t="str">
            <v>Other (Non-Utility / Power operations)</v>
          </cell>
          <cell r="I30">
            <v>0</v>
          </cell>
          <cell r="N30">
            <v>0</v>
          </cell>
          <cell r="S30">
            <v>0</v>
          </cell>
          <cell r="X30">
            <v>0</v>
          </cell>
          <cell r="AC30">
            <v>0</v>
          </cell>
          <cell r="AH30">
            <v>0</v>
          </cell>
          <cell r="AM30">
            <v>0</v>
          </cell>
        </row>
        <row r="33">
          <cell r="B33" t="str">
            <v>DIVIDEND AND SHARE COUNT DATA</v>
          </cell>
          <cell r="AP33" t="str">
            <v>CASH FLOW PROFILE</v>
          </cell>
        </row>
        <row r="35">
          <cell r="C35" t="str">
            <v>Dividend Per Share</v>
          </cell>
          <cell r="E35">
            <v>0.1</v>
          </cell>
          <cell r="F35">
            <v>0.1</v>
          </cell>
          <cell r="G35">
            <v>0.1</v>
          </cell>
          <cell r="H35">
            <v>0.10999999999999993</v>
          </cell>
          <cell r="I35">
            <v>0.41</v>
          </cell>
          <cell r="J35">
            <v>0.11</v>
          </cell>
          <cell r="K35">
            <v>0.11</v>
          </cell>
          <cell r="L35">
            <v>0.11</v>
          </cell>
          <cell r="M35">
            <v>0.12</v>
          </cell>
          <cell r="N35">
            <v>0.45</v>
          </cell>
          <cell r="O35">
            <v>0.12</v>
          </cell>
          <cell r="P35">
            <v>0.12</v>
          </cell>
          <cell r="Q35">
            <v>0.12</v>
          </cell>
          <cell r="R35">
            <v>0.13</v>
          </cell>
          <cell r="S35">
            <v>0.49</v>
          </cell>
          <cell r="T35">
            <v>0.13</v>
          </cell>
          <cell r="U35">
            <v>0.13</v>
          </cell>
          <cell r="V35">
            <v>0.13</v>
          </cell>
          <cell r="W35">
            <v>0.16</v>
          </cell>
          <cell r="X35">
            <v>0.55000000000000004</v>
          </cell>
          <cell r="Y35">
            <v>0.16</v>
          </cell>
          <cell r="Z35">
            <v>0.16</v>
          </cell>
          <cell r="AA35">
            <v>0.16</v>
          </cell>
          <cell r="AB35">
            <v>0.19</v>
          </cell>
          <cell r="AC35">
            <v>0.66999999999999993</v>
          </cell>
          <cell r="AD35">
            <v>0.19</v>
          </cell>
          <cell r="AE35">
            <v>0.19</v>
          </cell>
          <cell r="AF35">
            <v>0.19</v>
          </cell>
          <cell r="AG35">
            <v>0.22</v>
          </cell>
          <cell r="AH35">
            <v>0.79</v>
          </cell>
          <cell r="AI35">
            <v>0.22</v>
          </cell>
          <cell r="AJ35">
            <v>0.22</v>
          </cell>
          <cell r="AK35">
            <v>0.22</v>
          </cell>
          <cell r="AL35">
            <v>0.25</v>
          </cell>
          <cell r="AM35">
            <v>0.91</v>
          </cell>
          <cell r="AQ35" t="str">
            <v>Regulated / Unregulated OCF</v>
          </cell>
        </row>
        <row r="36">
          <cell r="C36" t="str">
            <v>Dividend Yield</v>
          </cell>
          <cell r="I36">
            <v>2.8571428571428571E-2</v>
          </cell>
          <cell r="N36">
            <v>3.1358885017421602E-2</v>
          </cell>
          <cell r="S36">
            <v>3.4146341463414637E-2</v>
          </cell>
          <cell r="X36">
            <v>3.8327526132404185E-2</v>
          </cell>
          <cell r="AC36">
            <v>4.6689895470383269E-2</v>
          </cell>
          <cell r="AH36">
            <v>5.5052264808362374E-2</v>
          </cell>
          <cell r="AM36">
            <v>6.3414634146341464E-2</v>
          </cell>
          <cell r="AQ36" t="str">
            <v>Regulated Utility (includes parent)</v>
          </cell>
          <cell r="AW36">
            <v>751.52100000000007</v>
          </cell>
          <cell r="BB36">
            <v>886.452</v>
          </cell>
          <cell r="BG36">
            <v>649.91933047251496</v>
          </cell>
          <cell r="BL36">
            <v>708.55066823634081</v>
          </cell>
          <cell r="BQ36">
            <v>669.10784037055646</v>
          </cell>
          <cell r="BV36">
            <v>692.42798654771252</v>
          </cell>
          <cell r="CA36">
            <v>720.91416264741429</v>
          </cell>
        </row>
        <row r="37">
          <cell r="C37" t="str">
            <v>Dividend Payout Ratio</v>
          </cell>
          <cell r="I37">
            <v>0.52709189049722305</v>
          </cell>
          <cell r="N37">
            <v>0.46845885789306679</v>
          </cell>
          <cell r="S37">
            <v>0.57256367160832056</v>
          </cell>
          <cell r="X37">
            <v>0.44135860711060065</v>
          </cell>
          <cell r="AC37">
            <v>0.52049578537676433</v>
          </cell>
          <cell r="AH37">
            <v>0.57780244539351744</v>
          </cell>
          <cell r="AM37">
            <v>0.61908432415399373</v>
          </cell>
          <cell r="AQ37" t="str">
            <v>Merchant Power</v>
          </cell>
          <cell r="AW37">
            <v>0</v>
          </cell>
          <cell r="BB37">
            <v>0</v>
          </cell>
          <cell r="BG37">
            <v>0</v>
          </cell>
          <cell r="BL37">
            <v>0</v>
          </cell>
          <cell r="BQ37">
            <v>0</v>
          </cell>
          <cell r="BV37">
            <v>0</v>
          </cell>
          <cell r="CA37">
            <v>0</v>
          </cell>
        </row>
        <row r="38">
          <cell r="C38" t="str">
            <v>Dividend Growth Rate</v>
          </cell>
          <cell r="N38">
            <v>9.7560975609756184E-2</v>
          </cell>
          <cell r="S38">
            <v>8.8888888888888795E-2</v>
          </cell>
          <cell r="X38">
            <v>0.12244897959183687</v>
          </cell>
          <cell r="AC38">
            <v>0.21818181818181803</v>
          </cell>
          <cell r="AH38">
            <v>0.17910447761194037</v>
          </cell>
          <cell r="AM38">
            <v>0.15189873417721511</v>
          </cell>
          <cell r="AQ38" t="str">
            <v>Other (non-utility/power operations)</v>
          </cell>
          <cell r="AW38">
            <v>0</v>
          </cell>
          <cell r="BB38">
            <v>0</v>
          </cell>
          <cell r="BG38">
            <v>0</v>
          </cell>
          <cell r="BL38">
            <v>0</v>
          </cell>
          <cell r="BQ38">
            <v>0</v>
          </cell>
          <cell r="BV38">
            <v>0</v>
          </cell>
          <cell r="CA38">
            <v>0</v>
          </cell>
        </row>
        <row r="39">
          <cell r="AQ39" t="str">
            <v>Consolidated OCF</v>
          </cell>
          <cell r="AW39">
            <v>751.52100000000007</v>
          </cell>
          <cell r="BB39">
            <v>886.452</v>
          </cell>
          <cell r="BG39">
            <v>649.91933047251496</v>
          </cell>
          <cell r="BL39">
            <v>708.55066823634081</v>
          </cell>
          <cell r="BQ39">
            <v>669.10784037055646</v>
          </cell>
          <cell r="BV39">
            <v>692.42798654771252</v>
          </cell>
          <cell r="CA39">
            <v>720.91416264741429</v>
          </cell>
        </row>
        <row r="40">
          <cell r="C40" t="str">
            <v>Actual Shares Outstanding</v>
          </cell>
          <cell r="I40">
            <v>235.834169</v>
          </cell>
          <cell r="N40">
            <v>235.322553</v>
          </cell>
          <cell r="S40">
            <v>235.322553</v>
          </cell>
          <cell r="X40">
            <v>235.322553</v>
          </cell>
          <cell r="AC40">
            <v>235.322553</v>
          </cell>
          <cell r="AH40">
            <v>235.322553</v>
          </cell>
          <cell r="AM40">
            <v>235.322553</v>
          </cell>
        </row>
        <row r="41">
          <cell r="C41" t="str">
            <v>Average Shares Outstanding</v>
          </cell>
          <cell r="I41">
            <v>234.542292</v>
          </cell>
          <cell r="N41">
            <v>235.04834700000001</v>
          </cell>
          <cell r="S41">
            <v>235.322553</v>
          </cell>
          <cell r="X41">
            <v>235.322553</v>
          </cell>
          <cell r="AC41">
            <v>235.322553</v>
          </cell>
          <cell r="AH41">
            <v>235.322553</v>
          </cell>
          <cell r="AM41">
            <v>235.322553</v>
          </cell>
          <cell r="AQ41" t="str">
            <v>Regulated / Unregulated CapEx</v>
          </cell>
        </row>
        <row r="42">
          <cell r="C42" t="str">
            <v>Diluted Average Shares Outstanding</v>
          </cell>
          <cell r="I42">
            <v>235.180688</v>
          </cell>
          <cell r="N42">
            <v>236.29481200000001</v>
          </cell>
          <cell r="S42">
            <v>236.569018</v>
          </cell>
          <cell r="X42">
            <v>236.569018</v>
          </cell>
          <cell r="AC42">
            <v>236.569018</v>
          </cell>
          <cell r="AH42">
            <v>236.569018</v>
          </cell>
          <cell r="AM42">
            <v>236.569018</v>
          </cell>
          <cell r="AQ42" t="str">
            <v>Regulated Utility (includes parent)</v>
          </cell>
          <cell r="AW42">
            <v>843.13199999999995</v>
          </cell>
          <cell r="BB42">
            <v>629.49599999999998</v>
          </cell>
          <cell r="BG42">
            <v>553.18299999999999</v>
          </cell>
          <cell r="BL42">
            <v>538.17525000000001</v>
          </cell>
          <cell r="BQ42">
            <v>476.15758333333338</v>
          </cell>
          <cell r="BV42">
            <v>476.15758333333338</v>
          </cell>
          <cell r="CA42">
            <v>476.15758333333338</v>
          </cell>
        </row>
        <row r="43">
          <cell r="AQ43" t="str">
            <v>Merchant Power</v>
          </cell>
          <cell r="AW43">
            <v>0</v>
          </cell>
          <cell r="BB43">
            <v>0</v>
          </cell>
          <cell r="BG43">
            <v>0</v>
          </cell>
          <cell r="BL43">
            <v>0</v>
          </cell>
          <cell r="BQ43">
            <v>0</v>
          </cell>
          <cell r="BV43">
            <v>0</v>
          </cell>
          <cell r="CA43">
            <v>0</v>
          </cell>
        </row>
        <row r="44">
          <cell r="AQ44" t="str">
            <v>Other (non-utility/power operations)</v>
          </cell>
          <cell r="AW44">
            <v>0</v>
          </cell>
          <cell r="BB44">
            <v>0</v>
          </cell>
          <cell r="BG44">
            <v>0</v>
          </cell>
          <cell r="BL44">
            <v>0</v>
          </cell>
          <cell r="BQ44">
            <v>0</v>
          </cell>
          <cell r="BV44">
            <v>0</v>
          </cell>
          <cell r="CA44">
            <v>0</v>
          </cell>
        </row>
        <row r="45">
          <cell r="AQ45" t="str">
            <v>Consolidated CapEx</v>
          </cell>
          <cell r="AW45">
            <v>843.13199999999995</v>
          </cell>
          <cell r="BB45">
            <v>629.49599999999998</v>
          </cell>
          <cell r="BG45">
            <v>553.18299999999999</v>
          </cell>
          <cell r="BL45">
            <v>538.17525000000001</v>
          </cell>
          <cell r="BQ45">
            <v>476.15758333333338</v>
          </cell>
          <cell r="BV45">
            <v>476.15758333333338</v>
          </cell>
          <cell r="CA45">
            <v>476.15758333333338</v>
          </cell>
        </row>
        <row r="47">
          <cell r="B47" t="str">
            <v>VALUATION PROFILE</v>
          </cell>
          <cell r="AQ47" t="str">
            <v>Free Cash Flow</v>
          </cell>
        </row>
        <row r="48">
          <cell r="AQ48" t="str">
            <v>Regulated Utility (includes parent)</v>
          </cell>
          <cell r="AW48">
            <v>-91.610999999999876</v>
          </cell>
          <cell r="BB48">
            <v>256.95600000000002</v>
          </cell>
          <cell r="BG48">
            <v>96.736330472514965</v>
          </cell>
          <cell r="BL48">
            <v>170.37541823634081</v>
          </cell>
          <cell r="BQ48">
            <v>192.95025703722308</v>
          </cell>
          <cell r="BV48">
            <v>216.27040321437914</v>
          </cell>
          <cell r="CA48">
            <v>244.75657931408091</v>
          </cell>
        </row>
        <row r="49">
          <cell r="C49" t="str">
            <v>Price to Earnings</v>
          </cell>
          <cell r="F49" t="e">
            <v>#NAME?</v>
          </cell>
          <cell r="G49" t="e">
            <v>#NAME?</v>
          </cell>
          <cell r="H49" t="e">
            <v>#NAME?</v>
          </cell>
          <cell r="K49" t="e">
            <v>#NAME?</v>
          </cell>
          <cell r="L49" t="e">
            <v>#NAME?</v>
          </cell>
          <cell r="M49" t="e">
            <v>#NAME?</v>
          </cell>
          <cell r="N49">
            <v>14.938632468367796</v>
          </cell>
          <cell r="O49" t="e">
            <v>#NAME?</v>
          </cell>
          <cell r="P49" t="e">
            <v>#NAME?</v>
          </cell>
          <cell r="Q49" t="e">
            <v>#NAME?</v>
          </cell>
          <cell r="S49">
            <v>16.767936097100815</v>
          </cell>
          <cell r="T49" t="e">
            <v>#NAME?</v>
          </cell>
          <cell r="U49" t="e">
            <v>#NAME?</v>
          </cell>
          <cell r="V49" t="e">
            <v>#NAME?</v>
          </cell>
          <cell r="X49">
            <v>11.515447294612942</v>
          </cell>
          <cell r="Y49" t="e">
            <v>#NAME?</v>
          </cell>
          <cell r="Z49" t="e">
            <v>#NAME?</v>
          </cell>
          <cell r="AA49" t="e">
            <v>#NAME?</v>
          </cell>
          <cell r="AC49">
            <v>11.147932119636669</v>
          </cell>
          <cell r="AD49" t="e">
            <v>#NAME?</v>
          </cell>
          <cell r="AE49" t="e">
            <v>#NAME?</v>
          </cell>
          <cell r="AF49" t="e">
            <v>#NAME?</v>
          </cell>
          <cell r="AH49">
            <v>10.495525432148071</v>
          </cell>
          <cell r="AI49" t="e">
            <v>#NAME?</v>
          </cell>
          <cell r="AJ49" t="e">
            <v>#NAME?</v>
          </cell>
          <cell r="AK49" t="e">
            <v>#NAME?</v>
          </cell>
          <cell r="AM49">
            <v>9.7624835731975921</v>
          </cell>
          <cell r="AQ49" t="str">
            <v>Merchant Power</v>
          </cell>
          <cell r="AW49">
            <v>0</v>
          </cell>
          <cell r="BB49">
            <v>0</v>
          </cell>
          <cell r="BG49">
            <v>0</v>
          </cell>
          <cell r="BL49">
            <v>0</v>
          </cell>
          <cell r="BQ49">
            <v>0</v>
          </cell>
          <cell r="BV49">
            <v>0</v>
          </cell>
          <cell r="CA49">
            <v>0</v>
          </cell>
        </row>
        <row r="50">
          <cell r="C50" t="str">
            <v>EV / EBITDA</v>
          </cell>
          <cell r="F50" t="e">
            <v>#NAME?</v>
          </cell>
          <cell r="G50" t="e">
            <v>#NAME?</v>
          </cell>
          <cell r="H50" t="e">
            <v>#NAME?</v>
          </cell>
          <cell r="K50" t="e">
            <v>#NAME?</v>
          </cell>
          <cell r="L50" t="e">
            <v>#NAME?</v>
          </cell>
          <cell r="M50" t="e">
            <v>#NAME?</v>
          </cell>
          <cell r="N50">
            <v>8.5222238500144485</v>
          </cell>
          <cell r="O50" t="e">
            <v>#NAME?</v>
          </cell>
          <cell r="P50" t="e">
            <v>#NAME?</v>
          </cell>
          <cell r="Q50" t="e">
            <v>#NAME?</v>
          </cell>
          <cell r="S50">
            <v>8.681794495635673</v>
          </cell>
          <cell r="T50" t="e">
            <v>#NAME?</v>
          </cell>
          <cell r="U50" t="e">
            <v>#NAME?</v>
          </cell>
          <cell r="V50" t="e">
            <v>#NAME?</v>
          </cell>
          <cell r="X50">
            <v>7.3843458440899665</v>
          </cell>
          <cell r="Y50" t="e">
            <v>#NAME?</v>
          </cell>
          <cell r="Z50" t="e">
            <v>#NAME?</v>
          </cell>
          <cell r="AA50" t="e">
            <v>#NAME?</v>
          </cell>
          <cell r="AC50">
            <v>7.194204348727375</v>
          </cell>
          <cell r="AD50" t="e">
            <v>#NAME?</v>
          </cell>
          <cell r="AE50" t="e">
            <v>#NAME?</v>
          </cell>
          <cell r="AF50" t="e">
            <v>#NAME?</v>
          </cell>
          <cell r="AH50">
            <v>6.9299239818187148</v>
          </cell>
          <cell r="AI50" t="e">
            <v>#NAME?</v>
          </cell>
          <cell r="AJ50" t="e">
            <v>#NAME?</v>
          </cell>
          <cell r="AK50" t="e">
            <v>#NAME?</v>
          </cell>
          <cell r="AM50">
            <v>6.6386215462854947</v>
          </cell>
          <cell r="AQ50" t="str">
            <v>Other (non-utility/power operations)</v>
          </cell>
          <cell r="AW50">
            <v>0</v>
          </cell>
          <cell r="BB50">
            <v>0</v>
          </cell>
          <cell r="BG50">
            <v>0</v>
          </cell>
          <cell r="BL50">
            <v>0</v>
          </cell>
          <cell r="BQ50">
            <v>0</v>
          </cell>
          <cell r="BV50">
            <v>0</v>
          </cell>
          <cell r="CA50">
            <v>0</v>
          </cell>
        </row>
        <row r="51">
          <cell r="C51" t="str">
            <v>Dividend Yield</v>
          </cell>
          <cell r="F51" t="e">
            <v>#NAME?</v>
          </cell>
          <cell r="G51" t="e">
            <v>#NAME?</v>
          </cell>
          <cell r="H51" t="e">
            <v>#NAME?</v>
          </cell>
          <cell r="K51" t="e">
            <v>#NAME?</v>
          </cell>
          <cell r="L51" t="e">
            <v>#NAME?</v>
          </cell>
          <cell r="M51" t="e">
            <v>#NAME?</v>
          </cell>
          <cell r="N51">
            <v>3.1358885017421602E-2</v>
          </cell>
          <cell r="O51" t="e">
            <v>#NAME?</v>
          </cell>
          <cell r="P51" t="e">
            <v>#NAME?</v>
          </cell>
          <cell r="Q51" t="e">
            <v>#NAME?</v>
          </cell>
          <cell r="S51">
            <v>3.4146341463414637E-2</v>
          </cell>
          <cell r="T51" t="e">
            <v>#NAME?</v>
          </cell>
          <cell r="U51" t="e">
            <v>#NAME?</v>
          </cell>
          <cell r="V51" t="e">
            <v>#NAME?</v>
          </cell>
          <cell r="X51">
            <v>3.8327526132404185E-2</v>
          </cell>
          <cell r="Y51" t="e">
            <v>#NAME?</v>
          </cell>
          <cell r="Z51" t="e">
            <v>#NAME?</v>
          </cell>
          <cell r="AA51" t="e">
            <v>#NAME?</v>
          </cell>
          <cell r="AC51">
            <v>4.6689895470383269E-2</v>
          </cell>
          <cell r="AD51" t="e">
            <v>#NAME?</v>
          </cell>
          <cell r="AE51" t="e">
            <v>#NAME?</v>
          </cell>
          <cell r="AF51" t="e">
            <v>#NAME?</v>
          </cell>
          <cell r="AH51">
            <v>5.5052264808362374E-2</v>
          </cell>
          <cell r="AI51" t="e">
            <v>#NAME?</v>
          </cell>
          <cell r="AJ51" t="e">
            <v>#NAME?</v>
          </cell>
          <cell r="AK51" t="e">
            <v>#NAME?</v>
          </cell>
          <cell r="AM51">
            <v>6.3414634146341464E-2</v>
          </cell>
          <cell r="AQ51" t="str">
            <v>Consolidated FCF (Pre-Dividends)</v>
          </cell>
          <cell r="AW51">
            <v>-91.610999999999876</v>
          </cell>
          <cell r="BB51">
            <v>256.95600000000002</v>
          </cell>
          <cell r="BG51">
            <v>96.736330472514965</v>
          </cell>
          <cell r="BL51">
            <v>170.37541823634081</v>
          </cell>
          <cell r="BQ51">
            <v>192.95025703722308</v>
          </cell>
          <cell r="BV51">
            <v>216.27040321437914</v>
          </cell>
          <cell r="CA51">
            <v>244.75657931408091</v>
          </cell>
        </row>
        <row r="52">
          <cell r="C52" t="str">
            <v>Book Value Per Share</v>
          </cell>
          <cell r="N52">
            <v>14.198922840277808</v>
          </cell>
          <cell r="S52">
            <v>14.568206917632667</v>
          </cell>
          <cell r="X52">
            <v>15.268969228441138</v>
          </cell>
          <cell r="AC52">
            <v>15.89125410827509</v>
          </cell>
          <cell r="AH52">
            <v>16.474089944789412</v>
          </cell>
          <cell r="AM52">
            <v>17.040180664249846</v>
          </cell>
          <cell r="AQ52" t="str">
            <v>Asset Sales and Other Investing Activities</v>
          </cell>
          <cell r="AW52">
            <v>42.51</v>
          </cell>
          <cell r="BB52">
            <v>61.439000000000007</v>
          </cell>
          <cell r="BG52">
            <v>197</v>
          </cell>
          <cell r="BL52">
            <v>65</v>
          </cell>
          <cell r="BQ52">
            <v>65</v>
          </cell>
          <cell r="BV52">
            <v>65</v>
          </cell>
          <cell r="CA52">
            <v>65</v>
          </cell>
        </row>
        <row r="53">
          <cell r="AI53" t="e">
            <v>#DIV/0!</v>
          </cell>
          <cell r="AJ53" t="e">
            <v>#DIV/0!</v>
          </cell>
          <cell r="AK53" t="e">
            <v>#DIV/0!</v>
          </cell>
          <cell r="AQ53" t="str">
            <v>Dividends</v>
          </cell>
          <cell r="AW53">
            <v>96.125</v>
          </cell>
          <cell r="BB53">
            <v>105.79900000000001</v>
          </cell>
          <cell r="BG53">
            <v>115.30805097</v>
          </cell>
          <cell r="BL53">
            <v>129.42740415</v>
          </cell>
          <cell r="BQ53">
            <v>157.66611051000001</v>
          </cell>
          <cell r="BV53">
            <v>185.90481686999999</v>
          </cell>
          <cell r="CA53">
            <v>214.14352322999997</v>
          </cell>
        </row>
        <row r="54">
          <cell r="C54" t="str">
            <v>Return on Average Equity</v>
          </cell>
          <cell r="G54">
            <v>0.28369855101953462</v>
          </cell>
          <cell r="H54">
            <v>0.30626823266015091</v>
          </cell>
          <cell r="L54">
            <v>0.30626823266015091</v>
          </cell>
          <cell r="M54">
            <v>0.28510549890465897</v>
          </cell>
          <cell r="N54">
            <v>6.9047293124899323E-2</v>
          </cell>
          <cell r="O54">
            <v>0.30983831750266577</v>
          </cell>
          <cell r="P54">
            <v>0.30607413360613378</v>
          </cell>
          <cell r="Q54">
            <v>0.30490945277694065</v>
          </cell>
          <cell r="S54">
            <v>5.9644194912677972E-2</v>
          </cell>
          <cell r="T54">
            <v>0.30607413360613378</v>
          </cell>
          <cell r="U54">
            <v>0.30490945277694065</v>
          </cell>
          <cell r="V54" t="e">
            <v>#DIV/0!</v>
          </cell>
          <cell r="X54">
            <v>8.3734762558208067E-2</v>
          </cell>
          <cell r="Y54">
            <v>0.30490945277694065</v>
          </cell>
          <cell r="Z54" t="e">
            <v>#DIV/0!</v>
          </cell>
          <cell r="AA54" t="e">
            <v>#DIV/0!</v>
          </cell>
          <cell r="AC54">
            <v>8.2822711751045081E-2</v>
          </cell>
          <cell r="AD54" t="e">
            <v>#DIV/0!</v>
          </cell>
          <cell r="AE54" t="e">
            <v>#DIV/0!</v>
          </cell>
          <cell r="AF54" t="e">
            <v>#DIV/0!</v>
          </cell>
          <cell r="AH54">
            <v>8.469541685843375E-2</v>
          </cell>
          <cell r="AI54" t="e">
            <v>#NAME?</v>
          </cell>
          <cell r="AJ54" t="e">
            <v>#NAME?</v>
          </cell>
          <cell r="AK54" t="e">
            <v>#NAME?</v>
          </cell>
          <cell r="AM54">
            <v>8.7933474789794783E-2</v>
          </cell>
          <cell r="AQ54" t="str">
            <v>Free Cash Flow (Post Dividends)</v>
          </cell>
          <cell r="AS54">
            <v>0</v>
          </cell>
          <cell r="AT54">
            <v>0</v>
          </cell>
          <cell r="AU54">
            <v>0</v>
          </cell>
          <cell r="AV54">
            <v>0</v>
          </cell>
          <cell r="AW54">
            <v>-145.22599999999989</v>
          </cell>
          <cell r="AX54">
            <v>0</v>
          </cell>
          <cell r="AY54">
            <v>0</v>
          </cell>
          <cell r="AZ54">
            <v>0</v>
          </cell>
          <cell r="BA54">
            <v>0</v>
          </cell>
          <cell r="BB54">
            <v>212.59600000000003</v>
          </cell>
          <cell r="BC54">
            <v>0</v>
          </cell>
          <cell r="BD54">
            <v>0</v>
          </cell>
          <cell r="BE54">
            <v>0</v>
          </cell>
          <cell r="BF54">
            <v>0</v>
          </cell>
          <cell r="BG54">
            <v>178.42827950251495</v>
          </cell>
          <cell r="BH54">
            <v>0</v>
          </cell>
          <cell r="BI54">
            <v>0</v>
          </cell>
          <cell r="BJ54">
            <v>0</v>
          </cell>
          <cell r="BK54">
            <v>0</v>
          </cell>
          <cell r="BL54">
            <v>105.94801408634081</v>
          </cell>
          <cell r="BM54">
            <v>0</v>
          </cell>
          <cell r="BN54">
            <v>0</v>
          </cell>
          <cell r="BO54">
            <v>0</v>
          </cell>
          <cell r="BP54">
            <v>0</v>
          </cell>
          <cell r="BQ54">
            <v>100.28414652722307</v>
          </cell>
          <cell r="BR54">
            <v>0</v>
          </cell>
          <cell r="BS54">
            <v>0</v>
          </cell>
          <cell r="BT54">
            <v>0</v>
          </cell>
          <cell r="BU54">
            <v>0</v>
          </cell>
          <cell r="BV54">
            <v>95.365586344379153</v>
          </cell>
          <cell r="BW54">
            <v>0</v>
          </cell>
          <cell r="BX54">
            <v>0</v>
          </cell>
          <cell r="BY54">
            <v>0</v>
          </cell>
          <cell r="BZ54">
            <v>0</v>
          </cell>
          <cell r="CA54">
            <v>95.613056084080938</v>
          </cell>
        </row>
        <row r="55">
          <cell r="C55" t="str">
            <v>Return on Invested Capital</v>
          </cell>
          <cell r="N55">
            <v>4.229627105248112E-2</v>
          </cell>
          <cell r="S55">
            <v>3.8399818426003991E-2</v>
          </cell>
          <cell r="X55">
            <v>4.6137780781766967E-2</v>
          </cell>
          <cell r="AC55">
            <v>4.6378463031126062E-2</v>
          </cell>
          <cell r="AH55">
            <v>4.7684134169814332E-2</v>
          </cell>
          <cell r="AM55">
            <v>4.9436807811758167E-2</v>
          </cell>
        </row>
        <row r="56">
          <cell r="C56" t="str">
            <v>Return on Average Assets</v>
          </cell>
          <cell r="G56" t="e">
            <v>#REF!</v>
          </cell>
          <cell r="H56" t="e">
            <v>#NAME?</v>
          </cell>
          <cell r="L56" t="e">
            <v>#REF!</v>
          </cell>
          <cell r="M56" t="e">
            <v>#NAME?</v>
          </cell>
          <cell r="N56">
            <v>1.9666656139498605E-2</v>
          </cell>
          <cell r="O56" t="e">
            <v>#NAME?</v>
          </cell>
          <cell r="P56" t="e">
            <v>#NAME?</v>
          </cell>
          <cell r="Q56" t="e">
            <v>#NAME?</v>
          </cell>
          <cell r="S56">
            <v>1.7240194155403763E-2</v>
          </cell>
          <cell r="T56" t="e">
            <v>#NAME?</v>
          </cell>
          <cell r="U56" t="e">
            <v>#NAME?</v>
          </cell>
          <cell r="V56" t="e">
            <v>#NAME?</v>
          </cell>
          <cell r="X56">
            <v>2.4800280995565121E-2</v>
          </cell>
          <cell r="Y56" t="e">
            <v>#NAME?</v>
          </cell>
          <cell r="Z56" t="e">
            <v>#NAME?</v>
          </cell>
          <cell r="AA56" t="e">
            <v>#NAME?</v>
          </cell>
          <cell r="AC56">
            <v>2.5391210942742704E-2</v>
          </cell>
          <cell r="AD56" t="e">
            <v>#NAME?</v>
          </cell>
          <cell r="AE56" t="e">
            <v>#NAME?</v>
          </cell>
          <cell r="AF56" t="e">
            <v>#NAME?</v>
          </cell>
          <cell r="AH56">
            <v>2.6708539785112523E-2</v>
          </cell>
          <cell r="AM56">
            <v>2.8483365475604015E-2</v>
          </cell>
          <cell r="AQ56" t="str">
            <v>Other Financing Activities</v>
          </cell>
        </row>
        <row r="57">
          <cell r="AQ57" t="str">
            <v>Equity Issuance / Buyback, Net</v>
          </cell>
          <cell r="AW57">
            <v>6.0510000000000002</v>
          </cell>
          <cell r="BB57">
            <v>6.1139999999999999</v>
          </cell>
          <cell r="BG57">
            <v>0</v>
          </cell>
          <cell r="BL57">
            <v>0</v>
          </cell>
          <cell r="BQ57">
            <v>0</v>
          </cell>
          <cell r="BV57">
            <v>0</v>
          </cell>
          <cell r="CA57">
            <v>0</v>
          </cell>
        </row>
        <row r="58">
          <cell r="C58" t="str">
            <v>Current Share Price:</v>
          </cell>
          <cell r="N58">
            <v>14.35</v>
          </cell>
          <cell r="S58">
            <v>14.35</v>
          </cell>
          <cell r="X58">
            <v>14.35</v>
          </cell>
          <cell r="AC58">
            <v>14.35</v>
          </cell>
          <cell r="AH58">
            <v>14.35</v>
          </cell>
          <cell r="AM58">
            <v>14.35</v>
          </cell>
          <cell r="AQ58" t="str">
            <v>LT Debt Issuance</v>
          </cell>
          <cell r="AW58">
            <v>1418.8720000000001</v>
          </cell>
          <cell r="BB58">
            <v>985.41899999999998</v>
          </cell>
          <cell r="BG58">
            <v>300</v>
          </cell>
          <cell r="BL58">
            <v>50</v>
          </cell>
          <cell r="BQ58">
            <v>175</v>
          </cell>
          <cell r="BV58">
            <v>150</v>
          </cell>
          <cell r="CA58">
            <v>150</v>
          </cell>
        </row>
        <row r="59">
          <cell r="C59" t="str">
            <v>Current Shares Outstanding</v>
          </cell>
          <cell r="N59">
            <v>235.99100000000001</v>
          </cell>
          <cell r="S59">
            <v>235.99100000000001</v>
          </cell>
          <cell r="X59">
            <v>235.99100000000001</v>
          </cell>
          <cell r="AC59">
            <v>235.99100000000001</v>
          </cell>
          <cell r="AH59">
            <v>235.99100000000001</v>
          </cell>
          <cell r="AM59">
            <v>235.99100000000001</v>
          </cell>
          <cell r="AQ59" t="str">
            <v>LT Debt Retirement</v>
          </cell>
          <cell r="AW59">
            <v>-1271.3499999999999</v>
          </cell>
          <cell r="BB59">
            <v>-1180.646</v>
          </cell>
          <cell r="BG59">
            <v>-350</v>
          </cell>
          <cell r="BL59">
            <v>-130</v>
          </cell>
          <cell r="BQ59">
            <v>-250</v>
          </cell>
          <cell r="BV59">
            <v>-125</v>
          </cell>
          <cell r="CA59">
            <v>-250</v>
          </cell>
        </row>
        <row r="60">
          <cell r="C60" t="str">
            <v>Equity Market Capitalization</v>
          </cell>
          <cell r="N60">
            <v>3386.4708500000002</v>
          </cell>
          <cell r="S60">
            <v>3386.4708500000002</v>
          </cell>
          <cell r="X60">
            <v>3386.4708500000002</v>
          </cell>
          <cell r="AC60">
            <v>3386.4708500000002</v>
          </cell>
          <cell r="AH60">
            <v>3386.4708500000002</v>
          </cell>
          <cell r="AM60">
            <v>3386.4708500000002</v>
          </cell>
          <cell r="AQ60" t="str">
            <v>ST Debt Change, Net</v>
          </cell>
          <cell r="AW60">
            <v>0</v>
          </cell>
          <cell r="BB60">
            <v>0</v>
          </cell>
          <cell r="BG60">
            <v>0</v>
          </cell>
          <cell r="BL60">
            <v>0</v>
          </cell>
          <cell r="BQ60">
            <v>0</v>
          </cell>
          <cell r="BV60">
            <v>0</v>
          </cell>
          <cell r="CA60">
            <v>0</v>
          </cell>
        </row>
        <row r="61">
          <cell r="C61" t="str">
            <v>Net Debt (Forecasted)</v>
          </cell>
          <cell r="N61">
            <v>5193.8490000000002</v>
          </cell>
          <cell r="S61">
            <v>5015.4207204974855</v>
          </cell>
          <cell r="X61">
            <v>4909.4727064111448</v>
          </cell>
          <cell r="AC61">
            <v>4809.1885598839217</v>
          </cell>
          <cell r="AH61">
            <v>4713.8229735395425</v>
          </cell>
          <cell r="AM61">
            <v>4618.2099174554614</v>
          </cell>
          <cell r="AQ61" t="str">
            <v>Other</v>
          </cell>
          <cell r="AW61">
            <v>0</v>
          </cell>
          <cell r="BB61">
            <v>0</v>
          </cell>
          <cell r="BG61">
            <v>0</v>
          </cell>
          <cell r="BL61">
            <v>0</v>
          </cell>
          <cell r="BQ61">
            <v>0</v>
          </cell>
          <cell r="BV61">
            <v>0</v>
          </cell>
          <cell r="CA61">
            <v>0</v>
          </cell>
        </row>
        <row r="62">
          <cell r="C62" t="str">
            <v>Enterprise Value</v>
          </cell>
          <cell r="N62">
            <v>8580.3198499999999</v>
          </cell>
          <cell r="S62">
            <v>8401.8915704974861</v>
          </cell>
          <cell r="X62">
            <v>8295.9435564111445</v>
          </cell>
          <cell r="AC62">
            <v>8195.6594098839214</v>
          </cell>
          <cell r="AH62">
            <v>8100.2938235395432</v>
          </cell>
          <cell r="AM62">
            <v>8004.680767455462</v>
          </cell>
          <cell r="AQ62" t="str">
            <v>Annual Change in Cash</v>
          </cell>
          <cell r="AW62">
            <v>8.3470000000002074</v>
          </cell>
          <cell r="BB62">
            <v>23.482999999999947</v>
          </cell>
          <cell r="BG62">
            <v>128.42827950251495</v>
          </cell>
          <cell r="BL62">
            <v>25.948014086340805</v>
          </cell>
          <cell r="BQ62">
            <v>25.284146527223072</v>
          </cell>
          <cell r="BV62">
            <v>120.36558634437915</v>
          </cell>
          <cell r="CA62">
            <v>-4.386943915919062</v>
          </cell>
        </row>
        <row r="65">
          <cell r="AQ65" t="str">
            <v>OCF</v>
          </cell>
          <cell r="AW65">
            <v>751.52100000000007</v>
          </cell>
          <cell r="AX65">
            <v>0</v>
          </cell>
          <cell r="AY65">
            <v>0</v>
          </cell>
          <cell r="AZ65">
            <v>0</v>
          </cell>
          <cell r="BA65">
            <v>0</v>
          </cell>
          <cell r="BB65">
            <v>886.452</v>
          </cell>
          <cell r="BC65">
            <v>0</v>
          </cell>
          <cell r="BD65">
            <v>0</v>
          </cell>
          <cell r="BE65">
            <v>0</v>
          </cell>
          <cell r="BF65">
            <v>0</v>
          </cell>
          <cell r="BG65">
            <v>649.91933047251496</v>
          </cell>
          <cell r="BH65">
            <v>0</v>
          </cell>
          <cell r="BI65">
            <v>0</v>
          </cell>
          <cell r="BJ65">
            <v>0</v>
          </cell>
          <cell r="BK65">
            <v>0</v>
          </cell>
          <cell r="BL65">
            <v>708.55066823634081</v>
          </cell>
          <cell r="BM65">
            <v>0</v>
          </cell>
          <cell r="BN65">
            <v>0</v>
          </cell>
          <cell r="BO65">
            <v>0</v>
          </cell>
          <cell r="BP65">
            <v>0</v>
          </cell>
          <cell r="BQ65">
            <v>669.10784037055646</v>
          </cell>
          <cell r="BR65">
            <v>0</v>
          </cell>
          <cell r="BS65">
            <v>0</v>
          </cell>
          <cell r="BT65">
            <v>0</v>
          </cell>
          <cell r="BU65">
            <v>0</v>
          </cell>
          <cell r="BV65">
            <v>692.42798654771252</v>
          </cell>
          <cell r="BW65">
            <v>0</v>
          </cell>
          <cell r="BX65">
            <v>0</v>
          </cell>
          <cell r="BY65">
            <v>0</v>
          </cell>
          <cell r="BZ65">
            <v>0</v>
          </cell>
          <cell r="CA65">
            <v>720.91416264741429</v>
          </cell>
        </row>
        <row r="66">
          <cell r="AQ66" t="str">
            <v>Capex</v>
          </cell>
          <cell r="AW66">
            <v>800.62199999999996</v>
          </cell>
          <cell r="AX66">
            <v>0</v>
          </cell>
          <cell r="AY66">
            <v>0</v>
          </cell>
          <cell r="AZ66">
            <v>0</v>
          </cell>
          <cell r="BA66">
            <v>0</v>
          </cell>
          <cell r="BB66">
            <v>568.05700000000002</v>
          </cell>
          <cell r="BC66">
            <v>0</v>
          </cell>
          <cell r="BD66">
            <v>0</v>
          </cell>
          <cell r="BE66">
            <v>0</v>
          </cell>
          <cell r="BF66">
            <v>0</v>
          </cell>
          <cell r="BG66">
            <v>356.18299999999999</v>
          </cell>
          <cell r="BH66">
            <v>0</v>
          </cell>
          <cell r="BI66">
            <v>0</v>
          </cell>
          <cell r="BJ66">
            <v>0</v>
          </cell>
          <cell r="BK66">
            <v>0</v>
          </cell>
          <cell r="BL66">
            <v>473.17525000000001</v>
          </cell>
          <cell r="BM66">
            <v>0</v>
          </cell>
          <cell r="BN66">
            <v>0</v>
          </cell>
          <cell r="BO66">
            <v>0</v>
          </cell>
          <cell r="BP66">
            <v>0</v>
          </cell>
          <cell r="BQ66">
            <v>411.15758333333338</v>
          </cell>
          <cell r="BR66">
            <v>0</v>
          </cell>
          <cell r="BS66">
            <v>0</v>
          </cell>
          <cell r="BT66">
            <v>0</v>
          </cell>
          <cell r="BU66">
            <v>0</v>
          </cell>
          <cell r="BV66">
            <v>411.15758333333338</v>
          </cell>
          <cell r="BW66">
            <v>0</v>
          </cell>
          <cell r="BX66">
            <v>0</v>
          </cell>
          <cell r="BY66">
            <v>0</v>
          </cell>
          <cell r="BZ66">
            <v>0</v>
          </cell>
          <cell r="CA66">
            <v>411.15758333333338</v>
          </cell>
        </row>
        <row r="67">
          <cell r="AQ67" t="str">
            <v>Dividend</v>
          </cell>
          <cell r="AW67">
            <v>113</v>
          </cell>
          <cell r="AX67">
            <v>113</v>
          </cell>
          <cell r="AY67">
            <v>113</v>
          </cell>
          <cell r="AZ67">
            <v>113</v>
          </cell>
          <cell r="BA67">
            <v>113</v>
          </cell>
          <cell r="BB67">
            <v>113</v>
          </cell>
          <cell r="BC67">
            <v>113</v>
          </cell>
          <cell r="BD67">
            <v>113</v>
          </cell>
          <cell r="BE67">
            <v>113</v>
          </cell>
          <cell r="BF67">
            <v>113</v>
          </cell>
          <cell r="BG67">
            <v>113</v>
          </cell>
          <cell r="BH67">
            <v>113</v>
          </cell>
          <cell r="BI67">
            <v>113</v>
          </cell>
          <cell r="BJ67">
            <v>113</v>
          </cell>
          <cell r="BK67">
            <v>113</v>
          </cell>
          <cell r="BL67">
            <v>113</v>
          </cell>
          <cell r="BM67">
            <v>113</v>
          </cell>
          <cell r="BN67">
            <v>113</v>
          </cell>
          <cell r="BO67">
            <v>113</v>
          </cell>
          <cell r="BP67">
            <v>113</v>
          </cell>
          <cell r="BQ67">
            <v>113</v>
          </cell>
          <cell r="BR67">
            <v>113</v>
          </cell>
          <cell r="BS67">
            <v>113</v>
          </cell>
          <cell r="BT67">
            <v>113</v>
          </cell>
          <cell r="BU67">
            <v>113</v>
          </cell>
          <cell r="BV67">
            <v>113</v>
          </cell>
          <cell r="BW67">
            <v>113</v>
          </cell>
          <cell r="BX67">
            <v>113</v>
          </cell>
          <cell r="BY67">
            <v>113</v>
          </cell>
          <cell r="BZ67">
            <v>113</v>
          </cell>
          <cell r="CA67">
            <v>113</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Valuation Summary"/>
      <sheetName val="__FDSCACHE__"/>
      <sheetName val="Financial Summary"/>
      <sheetName val="NVE - Consolidated"/>
      <sheetName val="Nevada Power"/>
      <sheetName val="Sierra Power"/>
      <sheetName val="Parent"/>
      <sheetName val="Debt"/>
      <sheetName val="EPS Walk"/>
      <sheetName val="Note Tables"/>
      <sheetName val="mwareDates"/>
      <sheetName val="Capex Chart"/>
      <sheetName val="FCF-Div. Working Chart"/>
      <sheetName val="MW FDS"/>
      <sheetName val="MWA RR (2)"/>
      <sheetName val="mwareSettings"/>
      <sheetName val="MW-Cache"/>
      <sheetName val="Summary"/>
      <sheetName val="Financials"/>
      <sheetName val="MWA RR"/>
    </sheetNames>
    <sheetDataSet>
      <sheetData sheetId="0" refreshError="1"/>
      <sheetData sheetId="1" refreshError="1"/>
      <sheetData sheetId="2" refreshError="1"/>
      <sheetData sheetId="3" refreshError="1">
        <row r="2">
          <cell r="B2" t="str">
            <v>NV Energy</v>
          </cell>
        </row>
        <row r="3">
          <cell r="B3" t="str">
            <v>Financial Summary</v>
          </cell>
        </row>
        <row r="4">
          <cell r="B4" t="str">
            <v>$m, unless stated otherwise</v>
          </cell>
        </row>
        <row r="5">
          <cell r="B5" t="str">
            <v>Period Ended</v>
          </cell>
          <cell r="I5">
            <v>2009</v>
          </cell>
          <cell r="N5">
            <v>2010</v>
          </cell>
          <cell r="S5">
            <v>2011</v>
          </cell>
          <cell r="X5">
            <v>2012</v>
          </cell>
          <cell r="AC5">
            <v>2013</v>
          </cell>
          <cell r="AH5">
            <v>2014</v>
          </cell>
          <cell r="AM5">
            <v>2015</v>
          </cell>
          <cell r="AO5" t="str">
            <v>Period Ended</v>
          </cell>
          <cell r="AW5">
            <v>2009</v>
          </cell>
          <cell r="BB5">
            <v>2010</v>
          </cell>
          <cell r="BG5">
            <v>2011</v>
          </cell>
          <cell r="BL5">
            <v>2012</v>
          </cell>
          <cell r="BQ5">
            <v>2013</v>
          </cell>
          <cell r="BV5">
            <v>2014</v>
          </cell>
          <cell r="CA5">
            <v>2015</v>
          </cell>
        </row>
        <row r="7">
          <cell r="B7" t="str">
            <v>EPS AND EBITDA PROFILE</v>
          </cell>
          <cell r="AP7" t="str">
            <v>CAPITALIZATION PROFILE</v>
          </cell>
        </row>
        <row r="9">
          <cell r="C9" t="str">
            <v>EPS by Business Segment</v>
          </cell>
          <cell r="AQ9" t="str">
            <v>Cash</v>
          </cell>
          <cell r="AW9">
            <v>62.706000000000003</v>
          </cell>
          <cell r="BB9">
            <v>86.188999999999993</v>
          </cell>
          <cell r="BG9">
            <v>214.61727950251523</v>
          </cell>
          <cell r="BL9">
            <v>240.56529358885604</v>
          </cell>
          <cell r="BQ9">
            <v>265.84944011607911</v>
          </cell>
          <cell r="BV9">
            <v>386.21502646045826</v>
          </cell>
          <cell r="CA9">
            <v>381.82808254453914</v>
          </cell>
        </row>
        <row r="10">
          <cell r="C10" t="str">
            <v>Nevada Power</v>
          </cell>
          <cell r="I10">
            <v>0.57098225684245008</v>
          </cell>
          <cell r="N10">
            <v>0.78691105583816123</v>
          </cell>
          <cell r="S10">
            <v>0.64430447573699823</v>
          </cell>
          <cell r="X10">
            <v>1.0234410013720265</v>
          </cell>
          <cell r="AC10">
            <v>1.0471710948644808</v>
          </cell>
          <cell r="AH10">
            <v>1.0830719624121479</v>
          </cell>
          <cell r="AM10">
            <v>1.1820805154946072</v>
          </cell>
        </row>
        <row r="11">
          <cell r="C11" t="str">
            <v>Sierra Pacific Power</v>
          </cell>
          <cell r="I11">
            <v>0.31076106044897717</v>
          </cell>
          <cell r="N11">
            <v>0.30629110892201944</v>
          </cell>
          <cell r="S11">
            <v>0.30268756480263276</v>
          </cell>
          <cell r="X11">
            <v>0.31215547901530016</v>
          </cell>
          <cell r="AC11">
            <v>0.32721191357364682</v>
          </cell>
          <cell r="AH11">
            <v>0.36481066593765932</v>
          </cell>
          <cell r="AM11">
            <v>0.36374936985680045</v>
          </cell>
          <cell r="AQ11" t="str">
            <v>Short Term Debt</v>
          </cell>
          <cell r="AW11">
            <v>0</v>
          </cell>
          <cell r="BB11">
            <v>0</v>
          </cell>
          <cell r="BG11">
            <v>0</v>
          </cell>
          <cell r="BL11">
            <v>0</v>
          </cell>
          <cell r="BQ11">
            <v>0</v>
          </cell>
          <cell r="BV11">
            <v>0</v>
          </cell>
          <cell r="CA11">
            <v>0</v>
          </cell>
        </row>
        <row r="12">
          <cell r="C12" t="str">
            <v>Parent &amp; Other</v>
          </cell>
          <cell r="I12">
            <v>-0.10389033303618954</v>
          </cell>
          <cell r="N12">
            <v>-0.13260553515664844</v>
          </cell>
          <cell r="S12">
            <v>-9.1192023357962365E-2</v>
          </cell>
          <cell r="X12">
            <v>-8.9444278664941604E-2</v>
          </cell>
          <cell r="AC12">
            <v>-8.7148762122346318E-2</v>
          </cell>
          <cell r="AH12">
            <v>-8.0633309316615026E-2</v>
          </cell>
          <cell r="AM12">
            <v>-7.5917040694008744E-2</v>
          </cell>
          <cell r="AQ12" t="str">
            <v>Long Term Debt</v>
          </cell>
          <cell r="AW12">
            <v>5437.8310000000001</v>
          </cell>
          <cell r="BB12">
            <v>5280.0380000000005</v>
          </cell>
          <cell r="BG12">
            <v>5230.0380000000005</v>
          </cell>
          <cell r="BL12">
            <v>5150.0380000000005</v>
          </cell>
          <cell r="BQ12">
            <v>5075.0380000000005</v>
          </cell>
          <cell r="BV12">
            <v>5100.0380000000005</v>
          </cell>
          <cell r="CA12">
            <v>5000.0380000000005</v>
          </cell>
        </row>
        <row r="13">
          <cell r="C13" t="str">
            <v>Consolidated EPS</v>
          </cell>
          <cell r="E13">
            <v>0</v>
          </cell>
          <cell r="F13">
            <v>0</v>
          </cell>
          <cell r="G13">
            <v>0</v>
          </cell>
          <cell r="H13">
            <v>0</v>
          </cell>
          <cell r="I13">
            <v>0.77785298425523774</v>
          </cell>
          <cell r="J13">
            <v>0</v>
          </cell>
          <cell r="K13">
            <v>0</v>
          </cell>
          <cell r="L13">
            <v>0</v>
          </cell>
          <cell r="M13">
            <v>0</v>
          </cell>
          <cell r="N13">
            <v>0.9605966296035322</v>
          </cell>
          <cell r="O13">
            <v>0</v>
          </cell>
          <cell r="P13">
            <v>0</v>
          </cell>
          <cell r="Q13">
            <v>0</v>
          </cell>
          <cell r="R13">
            <v>0</v>
          </cell>
          <cell r="S13">
            <v>0.85580001718166865</v>
          </cell>
          <cell r="T13">
            <v>0</v>
          </cell>
          <cell r="U13">
            <v>0</v>
          </cell>
          <cell r="V13">
            <v>0</v>
          </cell>
          <cell r="W13">
            <v>0</v>
          </cell>
          <cell r="X13">
            <v>1.2461522017223849</v>
          </cell>
          <cell r="Y13">
            <v>0</v>
          </cell>
          <cell r="Z13">
            <v>0</v>
          </cell>
          <cell r="AA13">
            <v>0</v>
          </cell>
          <cell r="AB13">
            <v>0</v>
          </cell>
          <cell r="AC13">
            <v>1.2872342463157813</v>
          </cell>
          <cell r="AD13">
            <v>0</v>
          </cell>
          <cell r="AE13">
            <v>0</v>
          </cell>
          <cell r="AF13">
            <v>0</v>
          </cell>
          <cell r="AG13">
            <v>0</v>
          </cell>
          <cell r="AH13">
            <v>1.3672493190331922</v>
          </cell>
          <cell r="AI13">
            <v>0</v>
          </cell>
          <cell r="AJ13">
            <v>0</v>
          </cell>
          <cell r="AK13">
            <v>0</v>
          </cell>
          <cell r="AL13">
            <v>0</v>
          </cell>
          <cell r="AM13">
            <v>1.4699128446573988</v>
          </cell>
          <cell r="AQ13" t="str">
            <v>Total Debt</v>
          </cell>
          <cell r="AW13">
            <v>5437.8310000000001</v>
          </cell>
          <cell r="BB13">
            <v>5280.0380000000005</v>
          </cell>
          <cell r="BG13">
            <v>5230.0380000000005</v>
          </cell>
          <cell r="BL13">
            <v>5150.0380000000005</v>
          </cell>
          <cell r="BQ13">
            <v>5075.0380000000005</v>
          </cell>
          <cell r="BV13">
            <v>5100.0380000000005</v>
          </cell>
          <cell r="CA13">
            <v>5000.0380000000005</v>
          </cell>
        </row>
        <row r="14">
          <cell r="C14" t="str">
            <v>Growth</v>
          </cell>
          <cell r="N14">
            <v>0.2349333987877722</v>
          </cell>
          <cell r="S14">
            <v>-0.10909533636935242</v>
          </cell>
          <cell r="X14">
            <v>0.45612546938971676</v>
          </cell>
          <cell r="AC14">
            <v>3.296711632544902E-2</v>
          </cell>
          <cell r="AH14">
            <v>6.2160459874668339E-2</v>
          </cell>
          <cell r="AM14">
            <v>7.5087640706818393E-2</v>
          </cell>
        </row>
        <row r="15">
          <cell r="AQ15" t="str">
            <v>Preferred Equity</v>
          </cell>
          <cell r="AW15">
            <v>0</v>
          </cell>
          <cell r="BB15">
            <v>0</v>
          </cell>
          <cell r="BG15">
            <v>0</v>
          </cell>
          <cell r="BL15">
            <v>0</v>
          </cell>
          <cell r="BQ15">
            <v>0</v>
          </cell>
          <cell r="BV15">
            <v>0</v>
          </cell>
          <cell r="CA15">
            <v>0</v>
          </cell>
        </row>
        <row r="16">
          <cell r="C16" t="str">
            <v>Regulated / Unregulated EPS</v>
          </cell>
          <cell r="AQ16" t="str">
            <v>Common Equity</v>
          </cell>
          <cell r="AW16">
            <v>3223.922</v>
          </cell>
          <cell r="BB16">
            <v>3350.8180000000002</v>
          </cell>
          <cell r="BG16">
            <v>3437.9657186990507</v>
          </cell>
          <cell r="BL16">
            <v>3603.339317189053</v>
          </cell>
          <cell r="BQ16">
            <v>3750.1929482659471</v>
          </cell>
          <cell r="BV16">
            <v>3887.7369601607984</v>
          </cell>
          <cell r="CA16">
            <v>4021.3292751369854</v>
          </cell>
        </row>
        <row r="17">
          <cell r="C17" t="str">
            <v>Regulated Utility (includes Parent)</v>
          </cell>
          <cell r="I17">
            <v>1</v>
          </cell>
          <cell r="N17">
            <v>1</v>
          </cell>
          <cell r="S17">
            <v>1</v>
          </cell>
          <cell r="X17">
            <v>1</v>
          </cell>
          <cell r="AC17">
            <v>1</v>
          </cell>
          <cell r="AH17">
            <v>1</v>
          </cell>
          <cell r="AM17">
            <v>1</v>
          </cell>
        </row>
        <row r="18">
          <cell r="C18" t="str">
            <v>Merchant Power</v>
          </cell>
          <cell r="I18">
            <v>0</v>
          </cell>
          <cell r="N18">
            <v>0</v>
          </cell>
          <cell r="S18">
            <v>0</v>
          </cell>
          <cell r="X18">
            <v>0</v>
          </cell>
          <cell r="AC18">
            <v>0</v>
          </cell>
          <cell r="AH18">
            <v>0</v>
          </cell>
          <cell r="AM18">
            <v>0</v>
          </cell>
          <cell r="AQ18" t="str">
            <v>Total Capitalization</v>
          </cell>
          <cell r="AW18">
            <v>8661.7530000000006</v>
          </cell>
          <cell r="BB18">
            <v>8630.8559999999998</v>
          </cell>
          <cell r="BG18">
            <v>8668.0037186990521</v>
          </cell>
          <cell r="BL18">
            <v>8753.3773171890534</v>
          </cell>
          <cell r="BQ18">
            <v>8825.2309482659475</v>
          </cell>
          <cell r="BV18">
            <v>8987.7749601607993</v>
          </cell>
          <cell r="CA18">
            <v>9021.367275136985</v>
          </cell>
        </row>
        <row r="19">
          <cell r="C19" t="str">
            <v>Other (Non-Utility / Power operations)</v>
          </cell>
          <cell r="I19">
            <v>0</v>
          </cell>
          <cell r="N19">
            <v>0</v>
          </cell>
          <cell r="S19">
            <v>0</v>
          </cell>
          <cell r="X19">
            <v>0</v>
          </cell>
          <cell r="AC19">
            <v>0</v>
          </cell>
          <cell r="AH19">
            <v>0</v>
          </cell>
          <cell r="AM19">
            <v>0</v>
          </cell>
        </row>
        <row r="20">
          <cell r="AQ20" t="str">
            <v>Leverage Ratios</v>
          </cell>
        </row>
        <row r="21">
          <cell r="C21" t="str">
            <v>EBITDA by Business Segment</v>
          </cell>
          <cell r="AQ21" t="str">
            <v>LT Debt  / Total Cap</v>
          </cell>
          <cell r="AW21">
            <v>0.62779797576772278</v>
          </cell>
          <cell r="BB21">
            <v>0.61176295839022232</v>
          </cell>
          <cell r="BG21">
            <v>0.60337283759090921</v>
          </cell>
          <cell r="BL21">
            <v>0.58834868112983585</v>
          </cell>
          <cell r="BQ21">
            <v>0.57506007828579087</v>
          </cell>
          <cell r="BV21">
            <v>0.56744166633081305</v>
          </cell>
          <cell r="CA21">
            <v>0.55424392417546009</v>
          </cell>
        </row>
        <row r="22">
          <cell r="C22" t="str">
            <v>Nevada Power</v>
          </cell>
          <cell r="I22">
            <v>638.06100000000015</v>
          </cell>
          <cell r="N22">
            <v>718.31899999999973</v>
          </cell>
          <cell r="S22">
            <v>692.29769453775964</v>
          </cell>
          <cell r="X22">
            <v>841.88870360407191</v>
          </cell>
          <cell r="AC22">
            <v>850.41700135407177</v>
          </cell>
          <cell r="AH22">
            <v>864.69057499275152</v>
          </cell>
          <cell r="AM22">
            <v>899.03739152422258</v>
          </cell>
          <cell r="AQ22" t="str">
            <v>Total Debt / Total Cap</v>
          </cell>
          <cell r="AW22">
            <v>0.62779797576772278</v>
          </cell>
          <cell r="BB22">
            <v>0.61176295839022232</v>
          </cell>
          <cell r="BG22">
            <v>0.60337283759090921</v>
          </cell>
          <cell r="BL22">
            <v>0.58834868112983585</v>
          </cell>
          <cell r="BQ22">
            <v>0.57506007828579087</v>
          </cell>
          <cell r="BV22">
            <v>0.56744166633081305</v>
          </cell>
          <cell r="CA22">
            <v>0.55424392417546009</v>
          </cell>
        </row>
        <row r="23">
          <cell r="C23" t="str">
            <v>Sierra Pacific Power</v>
          </cell>
          <cell r="I23">
            <v>279.77100000000007</v>
          </cell>
          <cell r="N23">
            <v>288.10000000000014</v>
          </cell>
          <cell r="S23">
            <v>279.46208999999993</v>
          </cell>
          <cell r="X23">
            <v>285.56132590000004</v>
          </cell>
          <cell r="AC23">
            <v>292.7860310609999</v>
          </cell>
          <cell r="AH23">
            <v>308.195814640295</v>
          </cell>
          <cell r="AM23">
            <v>310.7371373663899</v>
          </cell>
          <cell r="AQ23" t="str">
            <v>Net Debt / LTM EBITDA</v>
          </cell>
          <cell r="AW23">
            <v>9.5289611635167173</v>
          </cell>
          <cell r="BB23">
            <v>5.1586822630130387</v>
          </cell>
          <cell r="BG23">
            <v>5.1825058249274631</v>
          </cell>
          <cell r="BL23">
            <v>4.3699965085036743</v>
          </cell>
          <cell r="BQ23">
            <v>4.2215377092954229</v>
          </cell>
          <cell r="BV23">
            <v>4.0327469079517408</v>
          </cell>
          <cell r="CA23">
            <v>3.8300775201351303</v>
          </cell>
        </row>
        <row r="24">
          <cell r="C24" t="str">
            <v>Corporate &amp; Other</v>
          </cell>
          <cell r="I24">
            <v>-3.2100000000001785</v>
          </cell>
          <cell r="N24">
            <v>0.39800000000031943</v>
          </cell>
          <cell r="S24">
            <v>-4</v>
          </cell>
          <cell r="X24">
            <v>-4</v>
          </cell>
          <cell r="AC24">
            <v>-4</v>
          </cell>
          <cell r="AH24">
            <v>-4</v>
          </cell>
          <cell r="AM24">
            <v>-4</v>
          </cell>
          <cell r="AQ24" t="str">
            <v>FFO / Total Debt</v>
          </cell>
          <cell r="AW24">
            <v>9.2841612768031948E-2</v>
          </cell>
          <cell r="BB24">
            <v>0.10606798663191445</v>
          </cell>
          <cell r="BG24">
            <v>0.10614772684448458</v>
          </cell>
          <cell r="BL24">
            <v>0.12894625005493404</v>
          </cell>
          <cell r="BQ24">
            <v>0.13391727507747295</v>
          </cell>
          <cell r="BV24">
            <v>0.13783336634977697</v>
          </cell>
          <cell r="CA24">
            <v>0.14628720464754197</v>
          </cell>
        </row>
        <row r="25">
          <cell r="C25" t="str">
            <v>Consolidated EBITDA</v>
          </cell>
          <cell r="E25">
            <v>0</v>
          </cell>
          <cell r="F25">
            <v>0</v>
          </cell>
          <cell r="G25">
            <v>0</v>
          </cell>
          <cell r="H25">
            <v>0</v>
          </cell>
          <cell r="I25">
            <v>914.62200000000007</v>
          </cell>
          <cell r="J25">
            <v>0</v>
          </cell>
          <cell r="K25">
            <v>0</v>
          </cell>
          <cell r="L25">
            <v>0</v>
          </cell>
          <cell r="M25">
            <v>0</v>
          </cell>
          <cell r="N25">
            <v>1006.8170000000002</v>
          </cell>
          <cell r="O25">
            <v>0</v>
          </cell>
          <cell r="P25">
            <v>0</v>
          </cell>
          <cell r="Q25">
            <v>0</v>
          </cell>
          <cell r="R25">
            <v>0</v>
          </cell>
          <cell r="S25">
            <v>967.75978453775951</v>
          </cell>
          <cell r="T25">
            <v>0</v>
          </cell>
          <cell r="U25">
            <v>0</v>
          </cell>
          <cell r="V25">
            <v>0</v>
          </cell>
          <cell r="W25">
            <v>0</v>
          </cell>
          <cell r="X25">
            <v>1123.4500295040721</v>
          </cell>
          <cell r="Y25">
            <v>0</v>
          </cell>
          <cell r="Z25">
            <v>0</v>
          </cell>
          <cell r="AA25">
            <v>0</v>
          </cell>
          <cell r="AB25">
            <v>0</v>
          </cell>
          <cell r="AC25">
            <v>1139.2030324150717</v>
          </cell>
          <cell r="AD25">
            <v>0</v>
          </cell>
          <cell r="AE25">
            <v>0</v>
          </cell>
          <cell r="AF25">
            <v>0</v>
          </cell>
          <cell r="AG25">
            <v>0</v>
          </cell>
          <cell r="AH25">
            <v>1168.8863896330465</v>
          </cell>
          <cell r="AI25">
            <v>0</v>
          </cell>
          <cell r="AJ25">
            <v>0</v>
          </cell>
          <cell r="AK25">
            <v>0</v>
          </cell>
          <cell r="AL25">
            <v>0</v>
          </cell>
          <cell r="AM25">
            <v>1205.7745288906126</v>
          </cell>
        </row>
        <row r="26">
          <cell r="AQ26" t="str">
            <v>Coverage Ratios</v>
          </cell>
        </row>
        <row r="27">
          <cell r="C27" t="str">
            <v>Regulated / Unregulated EBITDA</v>
          </cell>
          <cell r="AQ27" t="str">
            <v>FFO Interest Coverage ((FFO + Int.) / Int.)</v>
          </cell>
          <cell r="AW27">
            <v>2.4998989880984213</v>
          </cell>
          <cell r="BB27">
            <v>2.6208371559964934</v>
          </cell>
          <cell r="BG27">
            <v>2.7123600298622179</v>
          </cell>
          <cell r="BL27">
            <v>3.1101216481176945</v>
          </cell>
          <cell r="BQ27">
            <v>3.1946835077986964</v>
          </cell>
          <cell r="BV27">
            <v>3.2984109011742175</v>
          </cell>
          <cell r="CA27">
            <v>3.4286793911401889</v>
          </cell>
        </row>
        <row r="28">
          <cell r="C28" t="str">
            <v>Regulated Utility (includes Parent)</v>
          </cell>
          <cell r="I28">
            <v>1</v>
          </cell>
          <cell r="N28">
            <v>1</v>
          </cell>
          <cell r="S28">
            <v>1</v>
          </cell>
          <cell r="X28">
            <v>1</v>
          </cell>
          <cell r="AC28">
            <v>1</v>
          </cell>
          <cell r="AH28">
            <v>1</v>
          </cell>
          <cell r="AM28">
            <v>1</v>
          </cell>
          <cell r="AQ28" t="str">
            <v>Pretax Interest Coverage (EBIT / Int.)</v>
          </cell>
          <cell r="AW28">
            <v>1.7608780905185477</v>
          </cell>
          <cell r="BB28">
            <v>1.9499431303487145</v>
          </cell>
          <cell r="BG28">
            <v>1.8971263364762765</v>
          </cell>
          <cell r="BL28">
            <v>2.3963998899974324</v>
          </cell>
          <cell r="BQ28">
            <v>2.4673973891223868</v>
          </cell>
          <cell r="BV28">
            <v>2.5809875708239618</v>
          </cell>
          <cell r="CA28">
            <v>2.7295980496810768</v>
          </cell>
        </row>
        <row r="29">
          <cell r="C29" t="str">
            <v>Merchant Power</v>
          </cell>
          <cell r="I29">
            <v>0</v>
          </cell>
          <cell r="N29">
            <v>0</v>
          </cell>
          <cell r="S29">
            <v>0</v>
          </cell>
          <cell r="X29">
            <v>0</v>
          </cell>
          <cell r="AC29">
            <v>0</v>
          </cell>
          <cell r="AH29">
            <v>0</v>
          </cell>
          <cell r="AM29">
            <v>0</v>
          </cell>
        </row>
        <row r="30">
          <cell r="C30" t="str">
            <v>Other (Non-Utility / Power operations)</v>
          </cell>
          <cell r="I30">
            <v>0</v>
          </cell>
          <cell r="N30">
            <v>0</v>
          </cell>
          <cell r="S30">
            <v>0</v>
          </cell>
          <cell r="X30">
            <v>0</v>
          </cell>
          <cell r="AC30">
            <v>0</v>
          </cell>
          <cell r="AH30">
            <v>0</v>
          </cell>
          <cell r="AM30">
            <v>0</v>
          </cell>
        </row>
        <row r="33">
          <cell r="B33" t="str">
            <v>DIVIDEND AND SHARE COUNT DATA</v>
          </cell>
          <cell r="AP33" t="str">
            <v>CASH FLOW PROFILE</v>
          </cell>
        </row>
        <row r="35">
          <cell r="C35" t="str">
            <v>Dividend Per Share</v>
          </cell>
          <cell r="E35">
            <v>0.1</v>
          </cell>
          <cell r="F35">
            <v>0.1</v>
          </cell>
          <cell r="G35">
            <v>0.1</v>
          </cell>
          <cell r="H35">
            <v>0.10999999999999993</v>
          </cell>
          <cell r="I35">
            <v>0.41</v>
          </cell>
          <cell r="J35">
            <v>0.11</v>
          </cell>
          <cell r="K35">
            <v>0.11</v>
          </cell>
          <cell r="L35">
            <v>0.11</v>
          </cell>
          <cell r="M35">
            <v>0.12</v>
          </cell>
          <cell r="N35">
            <v>0.45</v>
          </cell>
          <cell r="O35">
            <v>0.12</v>
          </cell>
          <cell r="P35">
            <v>0.12</v>
          </cell>
          <cell r="Q35">
            <v>0.12</v>
          </cell>
          <cell r="R35">
            <v>0.13</v>
          </cell>
          <cell r="S35">
            <v>0.49</v>
          </cell>
          <cell r="T35">
            <v>0.13</v>
          </cell>
          <cell r="U35">
            <v>0.13</v>
          </cell>
          <cell r="V35">
            <v>0.13</v>
          </cell>
          <cell r="W35">
            <v>0.16</v>
          </cell>
          <cell r="X35">
            <v>0.55000000000000004</v>
          </cell>
          <cell r="Y35">
            <v>0.16</v>
          </cell>
          <cell r="Z35">
            <v>0.16</v>
          </cell>
          <cell r="AA35">
            <v>0.16</v>
          </cell>
          <cell r="AB35">
            <v>0.19</v>
          </cell>
          <cell r="AC35">
            <v>0.66999999999999993</v>
          </cell>
          <cell r="AD35">
            <v>0.19</v>
          </cell>
          <cell r="AE35">
            <v>0.19</v>
          </cell>
          <cell r="AF35">
            <v>0.19</v>
          </cell>
          <cell r="AG35">
            <v>0.22</v>
          </cell>
          <cell r="AH35">
            <v>0.79</v>
          </cell>
          <cell r="AI35">
            <v>0.22</v>
          </cell>
          <cell r="AJ35">
            <v>0.22</v>
          </cell>
          <cell r="AK35">
            <v>0.22</v>
          </cell>
          <cell r="AL35">
            <v>0.25</v>
          </cell>
          <cell r="AM35">
            <v>0.91</v>
          </cell>
          <cell r="AQ35" t="str">
            <v>Regulated / Unregulated OCF</v>
          </cell>
        </row>
        <row r="36">
          <cell r="C36" t="str">
            <v>Dividend Yield</v>
          </cell>
          <cell r="I36">
            <v>2.8571428571428571E-2</v>
          </cell>
          <cell r="N36">
            <v>3.1358885017421602E-2</v>
          </cell>
          <cell r="S36">
            <v>3.4146341463414637E-2</v>
          </cell>
          <cell r="X36">
            <v>3.8327526132404185E-2</v>
          </cell>
          <cell r="AC36">
            <v>4.6689895470383269E-2</v>
          </cell>
          <cell r="AH36">
            <v>5.5052264808362374E-2</v>
          </cell>
          <cell r="AM36">
            <v>6.3414634146341464E-2</v>
          </cell>
          <cell r="AQ36" t="str">
            <v>Regulated Utility (includes parent)</v>
          </cell>
          <cell r="AW36">
            <v>751.52100000000007</v>
          </cell>
          <cell r="BB36">
            <v>886.452</v>
          </cell>
          <cell r="BG36">
            <v>649.91933047251496</v>
          </cell>
          <cell r="BL36">
            <v>708.55066823634081</v>
          </cell>
          <cell r="BQ36">
            <v>669.10784037055646</v>
          </cell>
          <cell r="BV36">
            <v>692.42798654771252</v>
          </cell>
          <cell r="CA36">
            <v>720.91416264741429</v>
          </cell>
        </row>
        <row r="37">
          <cell r="C37" t="str">
            <v>Dividend Payout Ratio</v>
          </cell>
          <cell r="I37">
            <v>0.52709189049722305</v>
          </cell>
          <cell r="N37">
            <v>0.46845885789306679</v>
          </cell>
          <cell r="S37">
            <v>0.57256367160832056</v>
          </cell>
          <cell r="X37">
            <v>0.44135860711060065</v>
          </cell>
          <cell r="AC37">
            <v>0.52049578537676433</v>
          </cell>
          <cell r="AH37">
            <v>0.57780244539351744</v>
          </cell>
          <cell r="AM37">
            <v>0.61908432415399373</v>
          </cell>
          <cell r="AQ37" t="str">
            <v>Merchant Power</v>
          </cell>
          <cell r="AW37">
            <v>0</v>
          </cell>
          <cell r="BB37">
            <v>0</v>
          </cell>
          <cell r="BG37">
            <v>0</v>
          </cell>
          <cell r="BL37">
            <v>0</v>
          </cell>
          <cell r="BQ37">
            <v>0</v>
          </cell>
          <cell r="BV37">
            <v>0</v>
          </cell>
          <cell r="CA37">
            <v>0</v>
          </cell>
        </row>
        <row r="38">
          <cell r="C38" t="str">
            <v>Dividend Growth Rate</v>
          </cell>
          <cell r="N38">
            <v>9.7560975609756184E-2</v>
          </cell>
          <cell r="S38">
            <v>8.8888888888888795E-2</v>
          </cell>
          <cell r="X38">
            <v>0.12244897959183687</v>
          </cell>
          <cell r="AC38">
            <v>0.21818181818181803</v>
          </cell>
          <cell r="AH38">
            <v>0.17910447761194037</v>
          </cell>
          <cell r="AM38">
            <v>0.15189873417721511</v>
          </cell>
          <cell r="AQ38" t="str">
            <v>Other (non-utility/power operations)</v>
          </cell>
          <cell r="AW38">
            <v>0</v>
          </cell>
          <cell r="BB38">
            <v>0</v>
          </cell>
          <cell r="BG38">
            <v>0</v>
          </cell>
          <cell r="BL38">
            <v>0</v>
          </cell>
          <cell r="BQ38">
            <v>0</v>
          </cell>
          <cell r="BV38">
            <v>0</v>
          </cell>
          <cell r="CA38">
            <v>0</v>
          </cell>
        </row>
        <row r="39">
          <cell r="AQ39" t="str">
            <v>Consolidated OCF</v>
          </cell>
          <cell r="AW39">
            <v>751.52100000000007</v>
          </cell>
          <cell r="BB39">
            <v>886.452</v>
          </cell>
          <cell r="BG39">
            <v>649.91933047251496</v>
          </cell>
          <cell r="BL39">
            <v>708.55066823634081</v>
          </cell>
          <cell r="BQ39">
            <v>669.10784037055646</v>
          </cell>
          <cell r="BV39">
            <v>692.42798654771252</v>
          </cell>
          <cell r="CA39">
            <v>720.91416264741429</v>
          </cell>
        </row>
        <row r="40">
          <cell r="C40" t="str">
            <v>Actual Shares Outstanding</v>
          </cell>
          <cell r="I40">
            <v>235.834169</v>
          </cell>
          <cell r="N40">
            <v>235.322553</v>
          </cell>
          <cell r="S40">
            <v>235.322553</v>
          </cell>
          <cell r="X40">
            <v>235.322553</v>
          </cell>
          <cell r="AC40">
            <v>235.322553</v>
          </cell>
          <cell r="AH40">
            <v>235.322553</v>
          </cell>
          <cell r="AM40">
            <v>235.322553</v>
          </cell>
        </row>
        <row r="41">
          <cell r="C41" t="str">
            <v>Average Shares Outstanding</v>
          </cell>
          <cell r="I41">
            <v>234.542292</v>
          </cell>
          <cell r="N41">
            <v>235.04834700000001</v>
          </cell>
          <cell r="S41">
            <v>235.322553</v>
          </cell>
          <cell r="X41">
            <v>235.322553</v>
          </cell>
          <cell r="AC41">
            <v>235.322553</v>
          </cell>
          <cell r="AH41">
            <v>235.322553</v>
          </cell>
          <cell r="AM41">
            <v>235.322553</v>
          </cell>
          <cell r="AQ41" t="str">
            <v>Regulated / Unregulated CapEx</v>
          </cell>
        </row>
        <row r="42">
          <cell r="C42" t="str">
            <v>Diluted Average Shares Outstanding</v>
          </cell>
          <cell r="I42">
            <v>235.180688</v>
          </cell>
          <cell r="N42">
            <v>236.29481200000001</v>
          </cell>
          <cell r="S42">
            <v>236.569018</v>
          </cell>
          <cell r="X42">
            <v>236.569018</v>
          </cell>
          <cell r="AC42">
            <v>236.569018</v>
          </cell>
          <cell r="AH42">
            <v>236.569018</v>
          </cell>
          <cell r="AM42">
            <v>236.569018</v>
          </cell>
          <cell r="AQ42" t="str">
            <v>Regulated Utility (includes parent)</v>
          </cell>
          <cell r="AW42">
            <v>843.13199999999995</v>
          </cell>
          <cell r="BB42">
            <v>629.49599999999998</v>
          </cell>
          <cell r="BG42">
            <v>553.18299999999999</v>
          </cell>
          <cell r="BL42">
            <v>538.17525000000001</v>
          </cell>
          <cell r="BQ42">
            <v>476.15758333333338</v>
          </cell>
          <cell r="BV42">
            <v>476.15758333333338</v>
          </cell>
          <cell r="CA42">
            <v>476.15758333333338</v>
          </cell>
        </row>
        <row r="43">
          <cell r="AQ43" t="str">
            <v>Merchant Power</v>
          </cell>
          <cell r="AW43">
            <v>0</v>
          </cell>
          <cell r="BB43">
            <v>0</v>
          </cell>
          <cell r="BG43">
            <v>0</v>
          </cell>
          <cell r="BL43">
            <v>0</v>
          </cell>
          <cell r="BQ43">
            <v>0</v>
          </cell>
          <cell r="BV43">
            <v>0</v>
          </cell>
          <cell r="CA43">
            <v>0</v>
          </cell>
        </row>
        <row r="44">
          <cell r="AQ44" t="str">
            <v>Other (non-utility/power operations)</v>
          </cell>
          <cell r="AW44">
            <v>0</v>
          </cell>
          <cell r="BB44">
            <v>0</v>
          </cell>
          <cell r="BG44">
            <v>0</v>
          </cell>
          <cell r="BL44">
            <v>0</v>
          </cell>
          <cell r="BQ44">
            <v>0</v>
          </cell>
          <cell r="BV44">
            <v>0</v>
          </cell>
          <cell r="CA44">
            <v>0</v>
          </cell>
        </row>
        <row r="45">
          <cell r="AQ45" t="str">
            <v>Consolidated CapEx</v>
          </cell>
          <cell r="AW45">
            <v>843.13199999999995</v>
          </cell>
          <cell r="BB45">
            <v>629.49599999999998</v>
          </cell>
          <cell r="BG45">
            <v>553.18299999999999</v>
          </cell>
          <cell r="BL45">
            <v>538.17525000000001</v>
          </cell>
          <cell r="BQ45">
            <v>476.15758333333338</v>
          </cell>
          <cell r="BV45">
            <v>476.15758333333338</v>
          </cell>
          <cell r="CA45">
            <v>476.15758333333338</v>
          </cell>
        </row>
        <row r="47">
          <cell r="B47" t="str">
            <v>VALUATION PROFILE</v>
          </cell>
          <cell r="AQ47" t="str">
            <v>Free Cash Flow</v>
          </cell>
        </row>
        <row r="48">
          <cell r="AQ48" t="str">
            <v>Regulated Utility (includes parent)</v>
          </cell>
          <cell r="AW48">
            <v>-91.610999999999876</v>
          </cell>
          <cell r="BB48">
            <v>256.95600000000002</v>
          </cell>
          <cell r="BG48">
            <v>96.736330472514965</v>
          </cell>
          <cell r="BL48">
            <v>170.37541823634081</v>
          </cell>
          <cell r="BQ48">
            <v>192.95025703722308</v>
          </cell>
          <cell r="BV48">
            <v>216.27040321437914</v>
          </cell>
          <cell r="CA48">
            <v>244.75657931408091</v>
          </cell>
        </row>
        <row r="49">
          <cell r="C49" t="str">
            <v>Price to Earnings</v>
          </cell>
          <cell r="F49" t="e">
            <v>#NAME?</v>
          </cell>
          <cell r="G49" t="e">
            <v>#NAME?</v>
          </cell>
          <cell r="H49" t="e">
            <v>#NAME?</v>
          </cell>
          <cell r="K49" t="e">
            <v>#NAME?</v>
          </cell>
          <cell r="L49" t="e">
            <v>#NAME?</v>
          </cell>
          <cell r="M49" t="e">
            <v>#NAME?</v>
          </cell>
          <cell r="N49">
            <v>14.938632468367796</v>
          </cell>
          <cell r="O49" t="e">
            <v>#NAME?</v>
          </cell>
          <cell r="P49" t="e">
            <v>#NAME?</v>
          </cell>
          <cell r="Q49" t="e">
            <v>#NAME?</v>
          </cell>
          <cell r="S49">
            <v>16.767936097100815</v>
          </cell>
          <cell r="T49" t="e">
            <v>#NAME?</v>
          </cell>
          <cell r="U49" t="e">
            <v>#NAME?</v>
          </cell>
          <cell r="V49" t="e">
            <v>#NAME?</v>
          </cell>
          <cell r="X49">
            <v>11.515447294612942</v>
          </cell>
          <cell r="Y49" t="e">
            <v>#NAME?</v>
          </cell>
          <cell r="Z49" t="e">
            <v>#NAME?</v>
          </cell>
          <cell r="AA49" t="e">
            <v>#NAME?</v>
          </cell>
          <cell r="AC49">
            <v>11.147932119636669</v>
          </cell>
          <cell r="AD49" t="e">
            <v>#NAME?</v>
          </cell>
          <cell r="AE49" t="e">
            <v>#NAME?</v>
          </cell>
          <cell r="AF49" t="e">
            <v>#NAME?</v>
          </cell>
          <cell r="AH49">
            <v>10.495525432148071</v>
          </cell>
          <cell r="AI49" t="e">
            <v>#NAME?</v>
          </cell>
          <cell r="AJ49" t="e">
            <v>#NAME?</v>
          </cell>
          <cell r="AK49" t="e">
            <v>#NAME?</v>
          </cell>
          <cell r="AM49">
            <v>9.7624835731975921</v>
          </cell>
          <cell r="AQ49" t="str">
            <v>Merchant Power</v>
          </cell>
          <cell r="AW49">
            <v>0</v>
          </cell>
          <cell r="BB49">
            <v>0</v>
          </cell>
          <cell r="BG49">
            <v>0</v>
          </cell>
          <cell r="BL49">
            <v>0</v>
          </cell>
          <cell r="BQ49">
            <v>0</v>
          </cell>
          <cell r="BV49">
            <v>0</v>
          </cell>
          <cell r="CA49">
            <v>0</v>
          </cell>
        </row>
        <row r="50">
          <cell r="C50" t="str">
            <v>EV / EBITDA</v>
          </cell>
          <cell r="F50" t="e">
            <v>#NAME?</v>
          </cell>
          <cell r="G50" t="e">
            <v>#NAME?</v>
          </cell>
          <cell r="H50" t="e">
            <v>#NAME?</v>
          </cell>
          <cell r="K50" t="e">
            <v>#NAME?</v>
          </cell>
          <cell r="L50" t="e">
            <v>#NAME?</v>
          </cell>
          <cell r="M50" t="e">
            <v>#NAME?</v>
          </cell>
          <cell r="N50">
            <v>8.5222238500144485</v>
          </cell>
          <cell r="O50" t="e">
            <v>#NAME?</v>
          </cell>
          <cell r="P50" t="e">
            <v>#NAME?</v>
          </cell>
          <cell r="Q50" t="e">
            <v>#NAME?</v>
          </cell>
          <cell r="S50">
            <v>8.681794495635673</v>
          </cell>
          <cell r="T50" t="e">
            <v>#NAME?</v>
          </cell>
          <cell r="U50" t="e">
            <v>#NAME?</v>
          </cell>
          <cell r="V50" t="e">
            <v>#NAME?</v>
          </cell>
          <cell r="X50">
            <v>7.3843458440899665</v>
          </cell>
          <cell r="Y50" t="e">
            <v>#NAME?</v>
          </cell>
          <cell r="Z50" t="e">
            <v>#NAME?</v>
          </cell>
          <cell r="AA50" t="e">
            <v>#NAME?</v>
          </cell>
          <cell r="AC50">
            <v>7.194204348727375</v>
          </cell>
          <cell r="AD50" t="e">
            <v>#NAME?</v>
          </cell>
          <cell r="AE50" t="e">
            <v>#NAME?</v>
          </cell>
          <cell r="AF50" t="e">
            <v>#NAME?</v>
          </cell>
          <cell r="AH50">
            <v>6.9299239818187148</v>
          </cell>
          <cell r="AI50" t="e">
            <v>#NAME?</v>
          </cell>
          <cell r="AJ50" t="e">
            <v>#NAME?</v>
          </cell>
          <cell r="AK50" t="e">
            <v>#NAME?</v>
          </cell>
          <cell r="AM50">
            <v>6.6386215462854947</v>
          </cell>
          <cell r="AQ50" t="str">
            <v>Other (non-utility/power operations)</v>
          </cell>
          <cell r="AW50">
            <v>0</v>
          </cell>
          <cell r="BB50">
            <v>0</v>
          </cell>
          <cell r="BG50">
            <v>0</v>
          </cell>
          <cell r="BL50">
            <v>0</v>
          </cell>
          <cell r="BQ50">
            <v>0</v>
          </cell>
          <cell r="BV50">
            <v>0</v>
          </cell>
          <cell r="CA50">
            <v>0</v>
          </cell>
        </row>
        <row r="51">
          <cell r="C51" t="str">
            <v>Dividend Yield</v>
          </cell>
          <cell r="F51" t="e">
            <v>#NAME?</v>
          </cell>
          <cell r="G51" t="e">
            <v>#NAME?</v>
          </cell>
          <cell r="H51" t="e">
            <v>#NAME?</v>
          </cell>
          <cell r="K51" t="e">
            <v>#NAME?</v>
          </cell>
          <cell r="L51" t="e">
            <v>#NAME?</v>
          </cell>
          <cell r="M51" t="e">
            <v>#NAME?</v>
          </cell>
          <cell r="N51">
            <v>3.1358885017421602E-2</v>
          </cell>
          <cell r="O51" t="e">
            <v>#NAME?</v>
          </cell>
          <cell r="P51" t="e">
            <v>#NAME?</v>
          </cell>
          <cell r="Q51" t="e">
            <v>#NAME?</v>
          </cell>
          <cell r="S51">
            <v>3.4146341463414637E-2</v>
          </cell>
          <cell r="T51" t="e">
            <v>#NAME?</v>
          </cell>
          <cell r="U51" t="e">
            <v>#NAME?</v>
          </cell>
          <cell r="V51" t="e">
            <v>#NAME?</v>
          </cell>
          <cell r="X51">
            <v>3.8327526132404185E-2</v>
          </cell>
          <cell r="Y51" t="e">
            <v>#NAME?</v>
          </cell>
          <cell r="Z51" t="e">
            <v>#NAME?</v>
          </cell>
          <cell r="AA51" t="e">
            <v>#NAME?</v>
          </cell>
          <cell r="AC51">
            <v>4.6689895470383269E-2</v>
          </cell>
          <cell r="AD51" t="e">
            <v>#NAME?</v>
          </cell>
          <cell r="AE51" t="e">
            <v>#NAME?</v>
          </cell>
          <cell r="AF51" t="e">
            <v>#NAME?</v>
          </cell>
          <cell r="AH51">
            <v>5.5052264808362374E-2</v>
          </cell>
          <cell r="AI51" t="e">
            <v>#NAME?</v>
          </cell>
          <cell r="AJ51" t="e">
            <v>#NAME?</v>
          </cell>
          <cell r="AK51" t="e">
            <v>#NAME?</v>
          </cell>
          <cell r="AM51">
            <v>6.3414634146341464E-2</v>
          </cell>
          <cell r="AQ51" t="str">
            <v>Consolidated FCF (Pre-Dividends)</v>
          </cell>
          <cell r="AW51">
            <v>-91.610999999999876</v>
          </cell>
          <cell r="BB51">
            <v>256.95600000000002</v>
          </cell>
          <cell r="BG51">
            <v>96.736330472514965</v>
          </cell>
          <cell r="BL51">
            <v>170.37541823634081</v>
          </cell>
          <cell r="BQ51">
            <v>192.95025703722308</v>
          </cell>
          <cell r="BV51">
            <v>216.27040321437914</v>
          </cell>
          <cell r="CA51">
            <v>244.75657931408091</v>
          </cell>
        </row>
        <row r="52">
          <cell r="C52" t="str">
            <v>Book Value Per Share</v>
          </cell>
          <cell r="N52">
            <v>14.198922840277808</v>
          </cell>
          <cell r="S52">
            <v>14.568206917632667</v>
          </cell>
          <cell r="X52">
            <v>15.268969228441138</v>
          </cell>
          <cell r="AC52">
            <v>15.89125410827509</v>
          </cell>
          <cell r="AH52">
            <v>16.474089944789412</v>
          </cell>
          <cell r="AM52">
            <v>17.040180664249846</v>
          </cell>
          <cell r="AQ52" t="str">
            <v>Asset Sales and Other Investing Activities</v>
          </cell>
          <cell r="AW52">
            <v>42.51</v>
          </cell>
          <cell r="BB52">
            <v>61.439000000000007</v>
          </cell>
          <cell r="BG52">
            <v>197</v>
          </cell>
          <cell r="BL52">
            <v>65</v>
          </cell>
          <cell r="BQ52">
            <v>65</v>
          </cell>
          <cell r="BV52">
            <v>65</v>
          </cell>
          <cell r="CA52">
            <v>65</v>
          </cell>
        </row>
        <row r="53">
          <cell r="AI53" t="e">
            <v>#DIV/0!</v>
          </cell>
          <cell r="AJ53" t="e">
            <v>#DIV/0!</v>
          </cell>
          <cell r="AK53" t="e">
            <v>#DIV/0!</v>
          </cell>
          <cell r="AQ53" t="str">
            <v>Dividends</v>
          </cell>
          <cell r="AW53">
            <v>96.125</v>
          </cell>
          <cell r="BB53">
            <v>105.79900000000001</v>
          </cell>
          <cell r="BG53">
            <v>115.30805097</v>
          </cell>
          <cell r="BL53">
            <v>129.42740415</v>
          </cell>
          <cell r="BQ53">
            <v>157.66611051000001</v>
          </cell>
          <cell r="BV53">
            <v>185.90481686999999</v>
          </cell>
          <cell r="CA53">
            <v>214.14352322999997</v>
          </cell>
        </row>
        <row r="54">
          <cell r="C54" t="str">
            <v>Return on Average Equity</v>
          </cell>
          <cell r="G54">
            <v>0.28369855101953462</v>
          </cell>
          <cell r="H54">
            <v>0.30626823266015091</v>
          </cell>
          <cell r="L54">
            <v>0.30626823266015091</v>
          </cell>
          <cell r="M54">
            <v>0.28510549890465897</v>
          </cell>
          <cell r="N54">
            <v>6.9047293124899323E-2</v>
          </cell>
          <cell r="O54">
            <v>0.30983831750266577</v>
          </cell>
          <cell r="P54">
            <v>0.30607413360613378</v>
          </cell>
          <cell r="Q54">
            <v>0.30490945277694065</v>
          </cell>
          <cell r="S54">
            <v>5.9644194912677972E-2</v>
          </cell>
          <cell r="T54">
            <v>0.30607413360613378</v>
          </cell>
          <cell r="U54">
            <v>0.30490945277694065</v>
          </cell>
          <cell r="V54" t="e">
            <v>#DIV/0!</v>
          </cell>
          <cell r="X54">
            <v>8.3734762558208067E-2</v>
          </cell>
          <cell r="Y54">
            <v>0.30490945277694065</v>
          </cell>
          <cell r="Z54" t="e">
            <v>#DIV/0!</v>
          </cell>
          <cell r="AA54" t="e">
            <v>#DIV/0!</v>
          </cell>
          <cell r="AC54">
            <v>8.2822711751045081E-2</v>
          </cell>
          <cell r="AD54" t="e">
            <v>#DIV/0!</v>
          </cell>
          <cell r="AE54" t="e">
            <v>#DIV/0!</v>
          </cell>
          <cell r="AF54" t="e">
            <v>#DIV/0!</v>
          </cell>
          <cell r="AH54">
            <v>8.469541685843375E-2</v>
          </cell>
          <cell r="AI54" t="e">
            <v>#NAME?</v>
          </cell>
          <cell r="AJ54" t="e">
            <v>#NAME?</v>
          </cell>
          <cell r="AK54" t="e">
            <v>#NAME?</v>
          </cell>
          <cell r="AM54">
            <v>8.7933474789794783E-2</v>
          </cell>
          <cell r="AQ54" t="str">
            <v>Free Cash Flow (Post Dividends)</v>
          </cell>
          <cell r="AS54">
            <v>0</v>
          </cell>
          <cell r="AT54">
            <v>0</v>
          </cell>
          <cell r="AU54">
            <v>0</v>
          </cell>
          <cell r="AV54">
            <v>0</v>
          </cell>
          <cell r="AW54">
            <v>-145.22599999999989</v>
          </cell>
          <cell r="AX54">
            <v>0</v>
          </cell>
          <cell r="AY54">
            <v>0</v>
          </cell>
          <cell r="AZ54">
            <v>0</v>
          </cell>
          <cell r="BA54">
            <v>0</v>
          </cell>
          <cell r="BB54">
            <v>212.59600000000003</v>
          </cell>
          <cell r="BC54">
            <v>0</v>
          </cell>
          <cell r="BD54">
            <v>0</v>
          </cell>
          <cell r="BE54">
            <v>0</v>
          </cell>
          <cell r="BF54">
            <v>0</v>
          </cell>
          <cell r="BG54">
            <v>178.42827950251495</v>
          </cell>
          <cell r="BH54">
            <v>0</v>
          </cell>
          <cell r="BI54">
            <v>0</v>
          </cell>
          <cell r="BJ54">
            <v>0</v>
          </cell>
          <cell r="BK54">
            <v>0</v>
          </cell>
          <cell r="BL54">
            <v>105.94801408634081</v>
          </cell>
          <cell r="BM54">
            <v>0</v>
          </cell>
          <cell r="BN54">
            <v>0</v>
          </cell>
          <cell r="BO54">
            <v>0</v>
          </cell>
          <cell r="BP54">
            <v>0</v>
          </cell>
          <cell r="BQ54">
            <v>100.28414652722307</v>
          </cell>
          <cell r="BR54">
            <v>0</v>
          </cell>
          <cell r="BS54">
            <v>0</v>
          </cell>
          <cell r="BT54">
            <v>0</v>
          </cell>
          <cell r="BU54">
            <v>0</v>
          </cell>
          <cell r="BV54">
            <v>95.365586344379153</v>
          </cell>
          <cell r="BW54">
            <v>0</v>
          </cell>
          <cell r="BX54">
            <v>0</v>
          </cell>
          <cell r="BY54">
            <v>0</v>
          </cell>
          <cell r="BZ54">
            <v>0</v>
          </cell>
          <cell r="CA54">
            <v>95.613056084080938</v>
          </cell>
        </row>
        <row r="55">
          <cell r="C55" t="str">
            <v>Return on Invested Capital</v>
          </cell>
          <cell r="N55">
            <v>4.229627105248112E-2</v>
          </cell>
          <cell r="S55">
            <v>3.8399818426003991E-2</v>
          </cell>
          <cell r="X55">
            <v>4.6137780781766967E-2</v>
          </cell>
          <cell r="AC55">
            <v>4.6378463031126062E-2</v>
          </cell>
          <cell r="AH55">
            <v>4.7684134169814332E-2</v>
          </cell>
          <cell r="AM55">
            <v>4.9436807811758167E-2</v>
          </cell>
        </row>
        <row r="56">
          <cell r="C56" t="str">
            <v>Return on Average Assets</v>
          </cell>
          <cell r="G56" t="e">
            <v>#REF!</v>
          </cell>
          <cell r="H56" t="e">
            <v>#NAME?</v>
          </cell>
          <cell r="L56" t="e">
            <v>#REF!</v>
          </cell>
          <cell r="M56" t="e">
            <v>#NAME?</v>
          </cell>
          <cell r="N56">
            <v>1.9666656139498605E-2</v>
          </cell>
          <cell r="O56" t="e">
            <v>#NAME?</v>
          </cell>
          <cell r="P56" t="e">
            <v>#NAME?</v>
          </cell>
          <cell r="Q56" t="e">
            <v>#NAME?</v>
          </cell>
          <cell r="S56">
            <v>1.7240194155403763E-2</v>
          </cell>
          <cell r="T56" t="e">
            <v>#NAME?</v>
          </cell>
          <cell r="U56" t="e">
            <v>#NAME?</v>
          </cell>
          <cell r="V56" t="e">
            <v>#NAME?</v>
          </cell>
          <cell r="X56">
            <v>2.4800280995565121E-2</v>
          </cell>
          <cell r="Y56" t="e">
            <v>#NAME?</v>
          </cell>
          <cell r="Z56" t="e">
            <v>#NAME?</v>
          </cell>
          <cell r="AA56" t="e">
            <v>#NAME?</v>
          </cell>
          <cell r="AC56">
            <v>2.5391210942742704E-2</v>
          </cell>
          <cell r="AD56" t="e">
            <v>#NAME?</v>
          </cell>
          <cell r="AE56" t="e">
            <v>#NAME?</v>
          </cell>
          <cell r="AF56" t="e">
            <v>#NAME?</v>
          </cell>
          <cell r="AH56">
            <v>2.6708539785112523E-2</v>
          </cell>
          <cell r="AM56">
            <v>2.8483365475604015E-2</v>
          </cell>
          <cell r="AQ56" t="str">
            <v>Other Financing Activities</v>
          </cell>
        </row>
        <row r="57">
          <cell r="AQ57" t="str">
            <v>Equity Issuance / Buyback, Net</v>
          </cell>
          <cell r="AW57">
            <v>6.0510000000000002</v>
          </cell>
          <cell r="BB57">
            <v>6.1139999999999999</v>
          </cell>
          <cell r="BG57">
            <v>0</v>
          </cell>
          <cell r="BL57">
            <v>0</v>
          </cell>
          <cell r="BQ57">
            <v>0</v>
          </cell>
          <cell r="BV57">
            <v>0</v>
          </cell>
          <cell r="CA57">
            <v>0</v>
          </cell>
        </row>
        <row r="58">
          <cell r="C58" t="str">
            <v>Current Share Price:</v>
          </cell>
          <cell r="N58">
            <v>14.35</v>
          </cell>
          <cell r="S58">
            <v>14.35</v>
          </cell>
          <cell r="X58">
            <v>14.35</v>
          </cell>
          <cell r="AC58">
            <v>14.35</v>
          </cell>
          <cell r="AH58">
            <v>14.35</v>
          </cell>
          <cell r="AM58">
            <v>14.35</v>
          </cell>
          <cell r="AQ58" t="str">
            <v>LT Debt Issuance</v>
          </cell>
          <cell r="AW58">
            <v>1418.8720000000001</v>
          </cell>
          <cell r="BB58">
            <v>985.41899999999998</v>
          </cell>
          <cell r="BG58">
            <v>300</v>
          </cell>
          <cell r="BL58">
            <v>50</v>
          </cell>
          <cell r="BQ58">
            <v>175</v>
          </cell>
          <cell r="BV58">
            <v>150</v>
          </cell>
          <cell r="CA58">
            <v>150</v>
          </cell>
        </row>
        <row r="59">
          <cell r="C59" t="str">
            <v>Current Shares Outstanding</v>
          </cell>
          <cell r="N59">
            <v>235.99100000000001</v>
          </cell>
          <cell r="S59">
            <v>235.99100000000001</v>
          </cell>
          <cell r="X59">
            <v>235.99100000000001</v>
          </cell>
          <cell r="AC59">
            <v>235.99100000000001</v>
          </cell>
          <cell r="AH59">
            <v>235.99100000000001</v>
          </cell>
          <cell r="AM59">
            <v>235.99100000000001</v>
          </cell>
          <cell r="AQ59" t="str">
            <v>LT Debt Retirement</v>
          </cell>
          <cell r="AW59">
            <v>-1271.3499999999999</v>
          </cell>
          <cell r="BB59">
            <v>-1180.646</v>
          </cell>
          <cell r="BG59">
            <v>-350</v>
          </cell>
          <cell r="BL59">
            <v>-130</v>
          </cell>
          <cell r="BQ59">
            <v>-250</v>
          </cell>
          <cell r="BV59">
            <v>-125</v>
          </cell>
          <cell r="CA59">
            <v>-250</v>
          </cell>
        </row>
        <row r="60">
          <cell r="C60" t="str">
            <v>Equity Market Capitalization</v>
          </cell>
          <cell r="N60">
            <v>3386.4708500000002</v>
          </cell>
          <cell r="S60">
            <v>3386.4708500000002</v>
          </cell>
          <cell r="X60">
            <v>3386.4708500000002</v>
          </cell>
          <cell r="AC60">
            <v>3386.4708500000002</v>
          </cell>
          <cell r="AH60">
            <v>3386.4708500000002</v>
          </cell>
          <cell r="AM60">
            <v>3386.4708500000002</v>
          </cell>
          <cell r="AQ60" t="str">
            <v>ST Debt Change, Net</v>
          </cell>
          <cell r="AW60">
            <v>0</v>
          </cell>
          <cell r="BB60">
            <v>0</v>
          </cell>
          <cell r="BG60">
            <v>0</v>
          </cell>
          <cell r="BL60">
            <v>0</v>
          </cell>
          <cell r="BQ60">
            <v>0</v>
          </cell>
          <cell r="BV60">
            <v>0</v>
          </cell>
          <cell r="CA60">
            <v>0</v>
          </cell>
        </row>
        <row r="61">
          <cell r="C61" t="str">
            <v>Net Debt (Forecasted)</v>
          </cell>
          <cell r="N61">
            <v>5193.8490000000002</v>
          </cell>
          <cell r="S61">
            <v>5015.4207204974855</v>
          </cell>
          <cell r="X61">
            <v>4909.4727064111448</v>
          </cell>
          <cell r="AC61">
            <v>4809.1885598839217</v>
          </cell>
          <cell r="AH61">
            <v>4713.8229735395425</v>
          </cell>
          <cell r="AM61">
            <v>4618.2099174554614</v>
          </cell>
          <cell r="AQ61" t="str">
            <v>Other</v>
          </cell>
          <cell r="AW61">
            <v>0</v>
          </cell>
          <cell r="BB61">
            <v>0</v>
          </cell>
          <cell r="BG61">
            <v>0</v>
          </cell>
          <cell r="BL61">
            <v>0</v>
          </cell>
          <cell r="BQ61">
            <v>0</v>
          </cell>
          <cell r="BV61">
            <v>0</v>
          </cell>
          <cell r="CA61">
            <v>0</v>
          </cell>
        </row>
        <row r="62">
          <cell r="C62" t="str">
            <v>Enterprise Value</v>
          </cell>
          <cell r="N62">
            <v>8580.3198499999999</v>
          </cell>
          <cell r="S62">
            <v>8401.8915704974861</v>
          </cell>
          <cell r="X62">
            <v>8295.9435564111445</v>
          </cell>
          <cell r="AC62">
            <v>8195.6594098839214</v>
          </cell>
          <cell r="AH62">
            <v>8100.2938235395432</v>
          </cell>
          <cell r="AM62">
            <v>8004.680767455462</v>
          </cell>
          <cell r="AQ62" t="str">
            <v>Annual Change in Cash</v>
          </cell>
          <cell r="AW62">
            <v>8.3470000000002074</v>
          </cell>
          <cell r="BB62">
            <v>23.482999999999947</v>
          </cell>
          <cell r="BG62">
            <v>128.42827950251495</v>
          </cell>
          <cell r="BL62">
            <v>25.948014086340805</v>
          </cell>
          <cell r="BQ62">
            <v>25.284146527223072</v>
          </cell>
          <cell r="BV62">
            <v>120.36558634437915</v>
          </cell>
          <cell r="CA62">
            <v>-4.386943915919062</v>
          </cell>
        </row>
        <row r="65">
          <cell r="AQ65" t="str">
            <v>OCF</v>
          </cell>
          <cell r="AW65">
            <v>751.52100000000007</v>
          </cell>
          <cell r="AX65">
            <v>0</v>
          </cell>
          <cell r="AY65">
            <v>0</v>
          </cell>
          <cell r="AZ65">
            <v>0</v>
          </cell>
          <cell r="BA65">
            <v>0</v>
          </cell>
          <cell r="BB65">
            <v>886.452</v>
          </cell>
          <cell r="BC65">
            <v>0</v>
          </cell>
          <cell r="BD65">
            <v>0</v>
          </cell>
          <cell r="BE65">
            <v>0</v>
          </cell>
          <cell r="BF65">
            <v>0</v>
          </cell>
          <cell r="BG65">
            <v>649.91933047251496</v>
          </cell>
          <cell r="BH65">
            <v>0</v>
          </cell>
          <cell r="BI65">
            <v>0</v>
          </cell>
          <cell r="BJ65">
            <v>0</v>
          </cell>
          <cell r="BK65">
            <v>0</v>
          </cell>
          <cell r="BL65">
            <v>708.55066823634081</v>
          </cell>
          <cell r="BM65">
            <v>0</v>
          </cell>
          <cell r="BN65">
            <v>0</v>
          </cell>
          <cell r="BO65">
            <v>0</v>
          </cell>
          <cell r="BP65">
            <v>0</v>
          </cell>
          <cell r="BQ65">
            <v>669.10784037055646</v>
          </cell>
          <cell r="BR65">
            <v>0</v>
          </cell>
          <cell r="BS65">
            <v>0</v>
          </cell>
          <cell r="BT65">
            <v>0</v>
          </cell>
          <cell r="BU65">
            <v>0</v>
          </cell>
          <cell r="BV65">
            <v>692.42798654771252</v>
          </cell>
          <cell r="BW65">
            <v>0</v>
          </cell>
          <cell r="BX65">
            <v>0</v>
          </cell>
          <cell r="BY65">
            <v>0</v>
          </cell>
          <cell r="BZ65">
            <v>0</v>
          </cell>
          <cell r="CA65">
            <v>720.91416264741429</v>
          </cell>
        </row>
        <row r="66">
          <cell r="AQ66" t="str">
            <v>Capex</v>
          </cell>
          <cell r="AW66">
            <v>800.62199999999996</v>
          </cell>
          <cell r="AX66">
            <v>0</v>
          </cell>
          <cell r="AY66">
            <v>0</v>
          </cell>
          <cell r="AZ66">
            <v>0</v>
          </cell>
          <cell r="BA66">
            <v>0</v>
          </cell>
          <cell r="BB66">
            <v>568.05700000000002</v>
          </cell>
          <cell r="BC66">
            <v>0</v>
          </cell>
          <cell r="BD66">
            <v>0</v>
          </cell>
          <cell r="BE66">
            <v>0</v>
          </cell>
          <cell r="BF66">
            <v>0</v>
          </cell>
          <cell r="BG66">
            <v>356.18299999999999</v>
          </cell>
          <cell r="BH66">
            <v>0</v>
          </cell>
          <cell r="BI66">
            <v>0</v>
          </cell>
          <cell r="BJ66">
            <v>0</v>
          </cell>
          <cell r="BK66">
            <v>0</v>
          </cell>
          <cell r="BL66">
            <v>473.17525000000001</v>
          </cell>
          <cell r="BM66">
            <v>0</v>
          </cell>
          <cell r="BN66">
            <v>0</v>
          </cell>
          <cell r="BO66">
            <v>0</v>
          </cell>
          <cell r="BP66">
            <v>0</v>
          </cell>
          <cell r="BQ66">
            <v>411.15758333333338</v>
          </cell>
          <cell r="BR66">
            <v>0</v>
          </cell>
          <cell r="BS66">
            <v>0</v>
          </cell>
          <cell r="BT66">
            <v>0</v>
          </cell>
          <cell r="BU66">
            <v>0</v>
          </cell>
          <cell r="BV66">
            <v>411.15758333333338</v>
          </cell>
          <cell r="BW66">
            <v>0</v>
          </cell>
          <cell r="BX66">
            <v>0</v>
          </cell>
          <cell r="BY66">
            <v>0</v>
          </cell>
          <cell r="BZ66">
            <v>0</v>
          </cell>
          <cell r="CA66">
            <v>411.15758333333338</v>
          </cell>
        </row>
        <row r="67">
          <cell r="AQ67" t="str">
            <v>Dividend</v>
          </cell>
          <cell r="AW67">
            <v>113</v>
          </cell>
          <cell r="AX67">
            <v>113</v>
          </cell>
          <cell r="AY67">
            <v>113</v>
          </cell>
          <cell r="AZ67">
            <v>113</v>
          </cell>
          <cell r="BA67">
            <v>113</v>
          </cell>
          <cell r="BB67">
            <v>113</v>
          </cell>
          <cell r="BC67">
            <v>113</v>
          </cell>
          <cell r="BD67">
            <v>113</v>
          </cell>
          <cell r="BE67">
            <v>113</v>
          </cell>
          <cell r="BF67">
            <v>113</v>
          </cell>
          <cell r="BG67">
            <v>113</v>
          </cell>
          <cell r="BH67">
            <v>113</v>
          </cell>
          <cell r="BI67">
            <v>113</v>
          </cell>
          <cell r="BJ67">
            <v>113</v>
          </cell>
          <cell r="BK67">
            <v>113</v>
          </cell>
          <cell r="BL67">
            <v>113</v>
          </cell>
          <cell r="BM67">
            <v>113</v>
          </cell>
          <cell r="BN67">
            <v>113</v>
          </cell>
          <cell r="BO67">
            <v>113</v>
          </cell>
          <cell r="BP67">
            <v>113</v>
          </cell>
          <cell r="BQ67">
            <v>113</v>
          </cell>
          <cell r="BR67">
            <v>113</v>
          </cell>
          <cell r="BS67">
            <v>113</v>
          </cell>
          <cell r="BT67">
            <v>113</v>
          </cell>
          <cell r="BU67">
            <v>113</v>
          </cell>
          <cell r="BV67">
            <v>113</v>
          </cell>
          <cell r="BW67">
            <v>113</v>
          </cell>
          <cell r="BX67">
            <v>113</v>
          </cell>
          <cell r="BY67">
            <v>113</v>
          </cell>
          <cell r="BZ67">
            <v>113</v>
          </cell>
          <cell r="CA67">
            <v>113</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over Sheet"/>
      <sheetName val="Valuation Summary"/>
      <sheetName val="SE Asset Sale PPAs"/>
      <sheetName val="Dispatch Assumptions"/>
      <sheetName val="Consolidated"/>
      <sheetName val="Southeast"/>
      <sheetName val="West"/>
      <sheetName val="Texas"/>
      <sheetName val="MW-Cache"/>
      <sheetName val="Northeast"/>
      <sheetName val="Parent"/>
      <sheetName val="Market Prices"/>
      <sheetName val="Debts"/>
      <sheetName val="SE Assets &amp; RFPs"/>
      <sheetName val="CPN Operating Plants"/>
      <sheetName val="Trading Vol"/>
      <sheetName val="Peak Dmnd"/>
      <sheetName val="New Resources"/>
      <sheetName val="ERCOT Res Margin"/>
      <sheetName val="ERCOT Margin Upside"/>
      <sheetName val="TX Brownfield"/>
      <sheetName val="mwareDates"/>
      <sheetName val="Sheet3"/>
      <sheetName val="Sheet2"/>
      <sheetName val="Plant Details"/>
      <sheetName val="Note Summary"/>
      <sheetName val="Financial Summary"/>
      <sheetName val="MWA RR"/>
      <sheetName val="Plants"/>
      <sheetName val="mwareSettings"/>
      <sheetName val="Bal Sheet &amp; Cash Flow"/>
      <sheetName val="Gas"/>
      <sheetName val="Off Peak"/>
      <sheetName val="Peak"/>
    </sheetNames>
    <sheetDataSet>
      <sheetData sheetId="0"/>
      <sheetData sheetId="1"/>
      <sheetData sheetId="2" refreshError="1">
        <row r="10">
          <cell r="R10">
            <v>11</v>
          </cell>
        </row>
        <row r="27">
          <cell r="AN27">
            <v>12</v>
          </cell>
          <cell r="AQ27">
            <v>0.95</v>
          </cell>
        </row>
        <row r="28">
          <cell r="AN28">
            <v>7</v>
          </cell>
          <cell r="AQ28">
            <v>0.8</v>
          </cell>
        </row>
        <row r="29">
          <cell r="AN29">
            <v>2</v>
          </cell>
          <cell r="AQ29">
            <v>0.5</v>
          </cell>
        </row>
      </sheetData>
      <sheetData sheetId="3"/>
      <sheetData sheetId="4" refreshError="1"/>
      <sheetData sheetId="5" refreshError="1"/>
      <sheetData sheetId="6"/>
      <sheetData sheetId="7"/>
      <sheetData sheetId="8"/>
      <sheetData sheetId="9"/>
      <sheetData sheetId="10"/>
      <sheetData sheetId="11"/>
      <sheetData sheetId="12"/>
      <sheetData sheetId="13"/>
      <sheetData sheetId="14" refreshError="1"/>
      <sheetData sheetId="15"/>
      <sheetData sheetId="16" refreshError="1"/>
      <sheetData sheetId="17"/>
      <sheetData sheetId="18" refreshError="1">
        <row r="1">
          <cell r="P1" t="str">
            <v>SmartCharts</v>
          </cell>
        </row>
        <row r="4">
          <cell r="A4">
            <v>2018</v>
          </cell>
          <cell r="B4">
            <v>2018</v>
          </cell>
          <cell r="C4">
            <v>2018</v>
          </cell>
          <cell r="D4">
            <v>2018</v>
          </cell>
        </row>
        <row r="5">
          <cell r="C5" t="str">
            <v>Define value axis here:</v>
          </cell>
        </row>
        <row r="6">
          <cell r="C6" t="str">
            <v>New Resources Needed (MW)</v>
          </cell>
        </row>
        <row r="8">
          <cell r="H8" t="str">
            <v/>
          </cell>
        </row>
        <row r="9">
          <cell r="C9" t="str">
            <v>Input your data here:</v>
          </cell>
        </row>
        <row r="11">
          <cell r="D11" t="str">
            <v>ERCOT 10/22 Moody's Low Case</v>
          </cell>
          <cell r="E11" t="str">
            <v>MS Case I</v>
          </cell>
          <cell r="F11" t="str">
            <v>MS Case II</v>
          </cell>
          <cell r="G11" t="str">
            <v>MS Case III</v>
          </cell>
          <cell r="AA11" t="str">
            <v>ERCOT 10/22 Moody's Low Case</v>
          </cell>
          <cell r="AB11" t="str">
            <v>MS Case I</v>
          </cell>
          <cell r="AC11" t="str">
            <v>MS Case II</v>
          </cell>
          <cell r="AD11" t="str">
            <v>MS Case III</v>
          </cell>
        </row>
        <row r="12">
          <cell r="C12">
            <v>2015</v>
          </cell>
          <cell r="D12">
            <v>1829.1000000000008</v>
          </cell>
          <cell r="E12">
            <v>8563.9671936000123</v>
          </cell>
          <cell r="F12">
            <v>5737.6133217900006</v>
          </cell>
          <cell r="G12">
            <v>3309.6342930000051</v>
          </cell>
          <cell r="Z12">
            <v>2015</v>
          </cell>
          <cell r="AA12">
            <v>1829.1000000000008</v>
          </cell>
          <cell r="AB12">
            <v>8563.9671936000123</v>
          </cell>
          <cell r="AC12">
            <v>5737.6133217900006</v>
          </cell>
          <cell r="AD12">
            <v>3309.6342930000051</v>
          </cell>
        </row>
        <row r="13">
          <cell r="C13">
            <v>2016</v>
          </cell>
          <cell r="D13">
            <v>1672.8625000000006</v>
          </cell>
          <cell r="E13">
            <v>11972.445881344011</v>
          </cell>
          <cell r="F13">
            <v>8199.4317214437051</v>
          </cell>
          <cell r="G13">
            <v>5698.6133217900006</v>
          </cell>
          <cell r="Z13">
            <v>2016</v>
          </cell>
          <cell r="AA13">
            <v>1672.8625000000006</v>
          </cell>
          <cell r="AB13">
            <v>11972.445881344011</v>
          </cell>
          <cell r="AC13">
            <v>8199.4317214437051</v>
          </cell>
          <cell r="AD13">
            <v>5698.6133217900006</v>
          </cell>
        </row>
        <row r="14">
          <cell r="C14">
            <v>2017</v>
          </cell>
          <cell r="D14">
            <v>1666.7750000000008</v>
          </cell>
          <cell r="E14">
            <v>14501.823716597781</v>
          </cell>
          <cell r="F14">
            <v>9719.2746730870258</v>
          </cell>
          <cell r="G14">
            <v>7143.4317214437051</v>
          </cell>
          <cell r="Z14">
            <v>2017</v>
          </cell>
          <cell r="AA14">
            <v>1666.7750000000008</v>
          </cell>
          <cell r="AB14">
            <v>14501.823716597781</v>
          </cell>
          <cell r="AC14">
            <v>9719.2746730870258</v>
          </cell>
          <cell r="AD14">
            <v>7143.4317214437051</v>
          </cell>
        </row>
        <row r="15">
          <cell r="C15">
            <v>2018</v>
          </cell>
          <cell r="D15">
            <v>1268.825000000001</v>
          </cell>
          <cell r="E15">
            <v>17054.616665261696</v>
          </cell>
          <cell r="F15">
            <v>11196.392913279642</v>
          </cell>
          <cell r="G15">
            <v>8543.2746730870258</v>
          </cell>
          <cell r="Z15">
            <v>2018</v>
          </cell>
          <cell r="AA15">
            <v>1268.825000000001</v>
          </cell>
          <cell r="AB15">
            <v>17054.616665261696</v>
          </cell>
          <cell r="AC15">
            <v>11196.392913279642</v>
          </cell>
          <cell r="AD15">
            <v>8543.2746730870258</v>
          </cell>
        </row>
        <row r="16">
          <cell r="Z16" t="b">
            <v>0</v>
          </cell>
          <cell r="AA16" t="b">
            <v>0</v>
          </cell>
          <cell r="AB16" t="b">
            <v>0</v>
          </cell>
          <cell r="AC16" t="b">
            <v>0</v>
          </cell>
          <cell r="AD16" t="b">
            <v>0</v>
          </cell>
        </row>
        <row r="17">
          <cell r="Z17" t="b">
            <v>0</v>
          </cell>
          <cell r="AA17" t="b">
            <v>0</v>
          </cell>
          <cell r="AB17" t="b">
            <v>0</v>
          </cell>
          <cell r="AC17" t="b">
            <v>0</v>
          </cell>
          <cell r="AD17" t="b">
            <v>0</v>
          </cell>
        </row>
        <row r="18">
          <cell r="Z18" t="b">
            <v>0</v>
          </cell>
          <cell r="AA18" t="b">
            <v>0</v>
          </cell>
          <cell r="AB18" t="b">
            <v>0</v>
          </cell>
          <cell r="AC18" t="b">
            <v>0</v>
          </cell>
          <cell r="AD18" t="b">
            <v>0</v>
          </cell>
        </row>
        <row r="19">
          <cell r="Z19" t="b">
            <v>0</v>
          </cell>
          <cell r="AA19" t="b">
            <v>0</v>
          </cell>
          <cell r="AB19" t="b">
            <v>0</v>
          </cell>
          <cell r="AC19" t="b">
            <v>0</v>
          </cell>
          <cell r="AD19" t="b">
            <v>0</v>
          </cell>
        </row>
        <row r="20">
          <cell r="Z20" t="b">
            <v>0</v>
          </cell>
          <cell r="AA20" t="b">
            <v>0</v>
          </cell>
          <cell r="AB20" t="b">
            <v>0</v>
          </cell>
          <cell r="AC20" t="b">
            <v>0</v>
          </cell>
          <cell r="AD20" t="b">
            <v>0</v>
          </cell>
        </row>
        <row r="21">
          <cell r="Z21" t="b">
            <v>0</v>
          </cell>
          <cell r="AA21" t="b">
            <v>0</v>
          </cell>
          <cell r="AB21" t="b">
            <v>0</v>
          </cell>
          <cell r="AC21" t="b">
            <v>0</v>
          </cell>
          <cell r="AD21" t="b">
            <v>0</v>
          </cell>
        </row>
        <row r="22">
          <cell r="Z22" t="b">
            <v>0</v>
          </cell>
          <cell r="AA22" t="b">
            <v>0</v>
          </cell>
          <cell r="AB22" t="b">
            <v>0</v>
          </cell>
          <cell r="AC22" t="b">
            <v>0</v>
          </cell>
          <cell r="AD22" t="b">
            <v>0</v>
          </cell>
        </row>
        <row r="23">
          <cell r="Z23" t="b">
            <v>0</v>
          </cell>
          <cell r="AA23" t="b">
            <v>0</v>
          </cell>
          <cell r="AB23" t="b">
            <v>0</v>
          </cell>
          <cell r="AC23" t="b">
            <v>0</v>
          </cell>
          <cell r="AD23" t="b">
            <v>0</v>
          </cell>
        </row>
        <row r="24">
          <cell r="Z24" t="b">
            <v>0</v>
          </cell>
          <cell r="AA24" t="b">
            <v>0</v>
          </cell>
          <cell r="AB24" t="b">
            <v>0</v>
          </cell>
          <cell r="AC24" t="b">
            <v>0</v>
          </cell>
          <cell r="AD24" t="b">
            <v>0</v>
          </cell>
        </row>
        <row r="25">
          <cell r="Z25" t="b">
            <v>0</v>
          </cell>
          <cell r="AA25" t="b">
            <v>0</v>
          </cell>
          <cell r="AB25" t="b">
            <v>0</v>
          </cell>
          <cell r="AC25" t="b">
            <v>0</v>
          </cell>
          <cell r="AD25" t="b">
            <v>0</v>
          </cell>
        </row>
        <row r="26">
          <cell r="Z26" t="b">
            <v>0</v>
          </cell>
          <cell r="AA26" t="b">
            <v>0</v>
          </cell>
          <cell r="AB26" t="b">
            <v>0</v>
          </cell>
          <cell r="AC26" t="b">
            <v>0</v>
          </cell>
          <cell r="AD26" t="b">
            <v>0</v>
          </cell>
        </row>
        <row r="27">
          <cell r="Z27" t="b">
            <v>0</v>
          </cell>
          <cell r="AA27" t="b">
            <v>0</v>
          </cell>
          <cell r="AB27" t="b">
            <v>0</v>
          </cell>
          <cell r="AC27" t="b">
            <v>0</v>
          </cell>
          <cell r="AD27" t="b">
            <v>0</v>
          </cell>
        </row>
        <row r="28">
          <cell r="Z28" t="b">
            <v>0</v>
          </cell>
          <cell r="AA28" t="b">
            <v>0</v>
          </cell>
          <cell r="AB28" t="b">
            <v>0</v>
          </cell>
          <cell r="AC28" t="b">
            <v>0</v>
          </cell>
          <cell r="AD28" t="b">
            <v>0</v>
          </cell>
        </row>
        <row r="29">
          <cell r="Z29" t="b">
            <v>0</v>
          </cell>
          <cell r="AA29" t="b">
            <v>0</v>
          </cell>
          <cell r="AB29" t="b">
            <v>0</v>
          </cell>
          <cell r="AC29" t="b">
            <v>0</v>
          </cell>
          <cell r="AD29" t="b">
            <v>0</v>
          </cell>
        </row>
        <row r="30">
          <cell r="Z30" t="b">
            <v>0</v>
          </cell>
          <cell r="AA30" t="b">
            <v>0</v>
          </cell>
          <cell r="AB30" t="b">
            <v>0</v>
          </cell>
          <cell r="AC30" t="b">
            <v>0</v>
          </cell>
          <cell r="AD30" t="b">
            <v>0</v>
          </cell>
        </row>
        <row r="31">
          <cell r="Z31" t="b">
            <v>0</v>
          </cell>
          <cell r="AA31" t="b">
            <v>0</v>
          </cell>
          <cell r="AB31" t="b">
            <v>0</v>
          </cell>
          <cell r="AC31" t="b">
            <v>0</v>
          </cell>
          <cell r="AD31" t="b">
            <v>0</v>
          </cell>
        </row>
        <row r="32">
          <cell r="Z32" t="b">
            <v>0</v>
          </cell>
          <cell r="AA32" t="b">
            <v>0</v>
          </cell>
          <cell r="AB32" t="b">
            <v>0</v>
          </cell>
          <cell r="AC32" t="b">
            <v>0</v>
          </cell>
          <cell r="AD32" t="b">
            <v>0</v>
          </cell>
        </row>
        <row r="33">
          <cell r="Z33" t="b">
            <v>0</v>
          </cell>
          <cell r="AA33" t="b">
            <v>0</v>
          </cell>
          <cell r="AB33" t="b">
            <v>0</v>
          </cell>
          <cell r="AC33" t="b">
            <v>0</v>
          </cell>
          <cell r="AD33" t="b">
            <v>0</v>
          </cell>
        </row>
        <row r="34">
          <cell r="Z34" t="b">
            <v>0</v>
          </cell>
          <cell r="AA34" t="b">
            <v>0</v>
          </cell>
          <cell r="AB34" t="b">
            <v>0</v>
          </cell>
          <cell r="AC34" t="b">
            <v>0</v>
          </cell>
          <cell r="AD34" t="b">
            <v>0</v>
          </cell>
        </row>
        <row r="35">
          <cell r="Z35" t="b">
            <v>0</v>
          </cell>
          <cell r="AA35" t="b">
            <v>0</v>
          </cell>
          <cell r="AB35" t="b">
            <v>0</v>
          </cell>
          <cell r="AC35" t="b">
            <v>0</v>
          </cell>
          <cell r="AD35" t="b">
            <v>0</v>
          </cell>
        </row>
        <row r="36">
          <cell r="Z36" t="b">
            <v>0</v>
          </cell>
          <cell r="AA36" t="b">
            <v>0</v>
          </cell>
          <cell r="AB36" t="b">
            <v>0</v>
          </cell>
          <cell r="AC36" t="b">
            <v>0</v>
          </cell>
          <cell r="AD36" t="b">
            <v>0</v>
          </cell>
        </row>
        <row r="37">
          <cell r="Z37" t="b">
            <v>0</v>
          </cell>
          <cell r="AA37" t="b">
            <v>0</v>
          </cell>
          <cell r="AB37" t="b">
            <v>0</v>
          </cell>
          <cell r="AC37" t="b">
            <v>0</v>
          </cell>
          <cell r="AD37" t="b">
            <v>0</v>
          </cell>
        </row>
        <row r="38">
          <cell r="Z38" t="b">
            <v>0</v>
          </cell>
          <cell r="AA38" t="b">
            <v>0</v>
          </cell>
          <cell r="AB38" t="b">
            <v>0</v>
          </cell>
          <cell r="AC38" t="b">
            <v>0</v>
          </cell>
          <cell r="AD38" t="b">
            <v>0</v>
          </cell>
        </row>
        <row r="39">
          <cell r="Z39" t="b">
            <v>0</v>
          </cell>
          <cell r="AA39" t="b">
            <v>0</v>
          </cell>
          <cell r="AB39" t="b">
            <v>0</v>
          </cell>
          <cell r="AC39" t="b">
            <v>0</v>
          </cell>
          <cell r="AD39" t="b">
            <v>0</v>
          </cell>
        </row>
        <row r="40">
          <cell r="Z40" t="b">
            <v>0</v>
          </cell>
          <cell r="AA40" t="b">
            <v>0</v>
          </cell>
          <cell r="AB40" t="b">
            <v>0</v>
          </cell>
          <cell r="AC40" t="b">
            <v>0</v>
          </cell>
          <cell r="AD40" t="b">
            <v>0</v>
          </cell>
        </row>
        <row r="41">
          <cell r="Z41" t="b">
            <v>0</v>
          </cell>
          <cell r="AA41" t="b">
            <v>0</v>
          </cell>
          <cell r="AB41" t="b">
            <v>0</v>
          </cell>
          <cell r="AC41" t="b">
            <v>0</v>
          </cell>
          <cell r="AD41" t="b">
            <v>0</v>
          </cell>
        </row>
        <row r="42">
          <cell r="Z42" t="b">
            <v>0</v>
          </cell>
          <cell r="AA42" t="b">
            <v>0</v>
          </cell>
          <cell r="AB42" t="b">
            <v>0</v>
          </cell>
          <cell r="AC42" t="b">
            <v>0</v>
          </cell>
          <cell r="AD42" t="b">
            <v>0</v>
          </cell>
        </row>
        <row r="43">
          <cell r="Z43" t="b">
            <v>0</v>
          </cell>
          <cell r="AA43" t="b">
            <v>0</v>
          </cell>
          <cell r="AB43" t="b">
            <v>0</v>
          </cell>
          <cell r="AC43" t="b">
            <v>0</v>
          </cell>
          <cell r="AD43" t="b">
            <v>0</v>
          </cell>
        </row>
        <row r="44">
          <cell r="Z44" t="b">
            <v>0</v>
          </cell>
          <cell r="AA44" t="b">
            <v>0</v>
          </cell>
          <cell r="AB44" t="b">
            <v>0</v>
          </cell>
          <cell r="AC44" t="b">
            <v>0</v>
          </cell>
          <cell r="AD44" t="b">
            <v>0</v>
          </cell>
        </row>
        <row r="45">
          <cell r="Z45" t="b">
            <v>0</v>
          </cell>
          <cell r="AA45" t="b">
            <v>0</v>
          </cell>
          <cell r="AB45" t="b">
            <v>0</v>
          </cell>
          <cell r="AC45" t="b">
            <v>0</v>
          </cell>
          <cell r="AD45" t="b">
            <v>0</v>
          </cell>
        </row>
        <row r="46">
          <cell r="Z46" t="b">
            <v>0</v>
          </cell>
          <cell r="AA46" t="b">
            <v>0</v>
          </cell>
          <cell r="AB46" t="b">
            <v>0</v>
          </cell>
          <cell r="AC46" t="b">
            <v>0</v>
          </cell>
          <cell r="AD46" t="b">
            <v>0</v>
          </cell>
        </row>
        <row r="47">
          <cell r="Z47" t="b">
            <v>0</v>
          </cell>
          <cell r="AA47" t="b">
            <v>0</v>
          </cell>
          <cell r="AB47" t="b">
            <v>0</v>
          </cell>
          <cell r="AC47" t="b">
            <v>0</v>
          </cell>
          <cell r="AD47" t="b">
            <v>0</v>
          </cell>
        </row>
        <row r="48">
          <cell r="Z48" t="b">
            <v>0</v>
          </cell>
          <cell r="AA48" t="b">
            <v>0</v>
          </cell>
          <cell r="AB48" t="b">
            <v>0</v>
          </cell>
          <cell r="AC48" t="b">
            <v>0</v>
          </cell>
          <cell r="AD48" t="b">
            <v>0</v>
          </cell>
        </row>
        <row r="49">
          <cell r="Z49" t="b">
            <v>0</v>
          </cell>
          <cell r="AA49" t="b">
            <v>0</v>
          </cell>
          <cell r="AB49" t="b">
            <v>0</v>
          </cell>
          <cell r="AC49" t="b">
            <v>0</v>
          </cell>
          <cell r="AD49" t="b">
            <v>0</v>
          </cell>
        </row>
        <row r="50">
          <cell r="Z50" t="b">
            <v>0</v>
          </cell>
          <cell r="AA50" t="b">
            <v>0</v>
          </cell>
          <cell r="AB50" t="b">
            <v>0</v>
          </cell>
          <cell r="AC50" t="b">
            <v>0</v>
          </cell>
          <cell r="AD50" t="b">
            <v>0</v>
          </cell>
        </row>
        <row r="51">
          <cell r="Z51" t="b">
            <v>0</v>
          </cell>
          <cell r="AA51" t="b">
            <v>0</v>
          </cell>
          <cell r="AB51" t="b">
            <v>0</v>
          </cell>
          <cell r="AC51" t="b">
            <v>0</v>
          </cell>
          <cell r="AD51" t="b">
            <v>0</v>
          </cell>
        </row>
        <row r="52">
          <cell r="Z52" t="b">
            <v>0</v>
          </cell>
          <cell r="AA52" t="b">
            <v>0</v>
          </cell>
          <cell r="AB52" t="b">
            <v>0</v>
          </cell>
          <cell r="AC52" t="b">
            <v>0</v>
          </cell>
          <cell r="AD52" t="b">
            <v>0</v>
          </cell>
        </row>
        <row r="53">
          <cell r="Z53" t="b">
            <v>0</v>
          </cell>
          <cell r="AA53" t="b">
            <v>0</v>
          </cell>
          <cell r="AB53" t="b">
            <v>0</v>
          </cell>
          <cell r="AC53" t="b">
            <v>0</v>
          </cell>
          <cell r="AD53" t="b">
            <v>0</v>
          </cell>
        </row>
        <row r="54">
          <cell r="Z54" t="b">
            <v>0</v>
          </cell>
          <cell r="AA54" t="b">
            <v>0</v>
          </cell>
          <cell r="AB54" t="b">
            <v>0</v>
          </cell>
          <cell r="AC54" t="b">
            <v>0</v>
          </cell>
          <cell r="AD54" t="b">
            <v>0</v>
          </cell>
        </row>
        <row r="55">
          <cell r="Z55" t="b">
            <v>0</v>
          </cell>
          <cell r="AA55" t="b">
            <v>0</v>
          </cell>
          <cell r="AB55" t="b">
            <v>0</v>
          </cell>
          <cell r="AC55" t="b">
            <v>0</v>
          </cell>
          <cell r="AD55" t="b">
            <v>0</v>
          </cell>
        </row>
        <row r="56">
          <cell r="Z56" t="b">
            <v>0</v>
          </cell>
          <cell r="AA56" t="b">
            <v>0</v>
          </cell>
          <cell r="AB56" t="b">
            <v>0</v>
          </cell>
          <cell r="AC56" t="b">
            <v>0</v>
          </cell>
          <cell r="AD56" t="b">
            <v>0</v>
          </cell>
        </row>
        <row r="57">
          <cell r="Z57" t="b">
            <v>0</v>
          </cell>
          <cell r="AA57" t="b">
            <v>0</v>
          </cell>
          <cell r="AB57" t="b">
            <v>0</v>
          </cell>
          <cell r="AC57" t="b">
            <v>0</v>
          </cell>
          <cell r="AD57" t="b">
            <v>0</v>
          </cell>
        </row>
        <row r="58">
          <cell r="Z58" t="b">
            <v>0</v>
          </cell>
          <cell r="AA58" t="b">
            <v>0</v>
          </cell>
          <cell r="AB58" t="b">
            <v>0</v>
          </cell>
          <cell r="AC58" t="b">
            <v>0</v>
          </cell>
          <cell r="AD58" t="b">
            <v>0</v>
          </cell>
        </row>
        <row r="59">
          <cell r="Z59" t="b">
            <v>0</v>
          </cell>
          <cell r="AA59" t="b">
            <v>0</v>
          </cell>
          <cell r="AB59" t="b">
            <v>0</v>
          </cell>
          <cell r="AC59" t="b">
            <v>0</v>
          </cell>
          <cell r="AD59" t="b">
            <v>0</v>
          </cell>
        </row>
        <row r="60">
          <cell r="Z60" t="b">
            <v>0</v>
          </cell>
          <cell r="AA60" t="b">
            <v>0</v>
          </cell>
          <cell r="AB60" t="b">
            <v>0</v>
          </cell>
          <cell r="AC60" t="b">
            <v>0</v>
          </cell>
          <cell r="AD60" t="b">
            <v>0</v>
          </cell>
        </row>
        <row r="61">
          <cell r="Z61" t="b">
            <v>0</v>
          </cell>
          <cell r="AA61" t="b">
            <v>0</v>
          </cell>
          <cell r="AB61" t="b">
            <v>0</v>
          </cell>
          <cell r="AC61" t="b">
            <v>0</v>
          </cell>
          <cell r="AD61" t="b">
            <v>0</v>
          </cell>
        </row>
        <row r="62">
          <cell r="Z62" t="b">
            <v>0</v>
          </cell>
          <cell r="AA62" t="b">
            <v>0</v>
          </cell>
          <cell r="AB62" t="b">
            <v>0</v>
          </cell>
          <cell r="AC62" t="b">
            <v>0</v>
          </cell>
          <cell r="AD62" t="b">
            <v>0</v>
          </cell>
        </row>
        <row r="63">
          <cell r="Z63" t="b">
            <v>0</v>
          </cell>
          <cell r="AA63" t="b">
            <v>0</v>
          </cell>
          <cell r="AB63" t="b">
            <v>0</v>
          </cell>
          <cell r="AC63" t="b">
            <v>0</v>
          </cell>
          <cell r="AD63" t="b">
            <v>0</v>
          </cell>
        </row>
        <row r="64">
          <cell r="Z64" t="b">
            <v>0</v>
          </cell>
          <cell r="AA64" t="b">
            <v>0</v>
          </cell>
          <cell r="AB64" t="b">
            <v>0</v>
          </cell>
          <cell r="AC64" t="b">
            <v>0</v>
          </cell>
          <cell r="AD64" t="b">
            <v>0</v>
          </cell>
        </row>
        <row r="65">
          <cell r="Z65" t="b">
            <v>0</v>
          </cell>
          <cell r="AA65" t="b">
            <v>0</v>
          </cell>
          <cell r="AB65" t="b">
            <v>0</v>
          </cell>
          <cell r="AC65" t="b">
            <v>0</v>
          </cell>
          <cell r="AD65" t="b">
            <v>0</v>
          </cell>
        </row>
        <row r="66">
          <cell r="Z66" t="b">
            <v>0</v>
          </cell>
          <cell r="AA66" t="b">
            <v>0</v>
          </cell>
          <cell r="AB66" t="b">
            <v>0</v>
          </cell>
          <cell r="AC66" t="b">
            <v>0</v>
          </cell>
          <cell r="AD66" t="b">
            <v>0</v>
          </cell>
        </row>
        <row r="67">
          <cell r="Z67" t="b">
            <v>0</v>
          </cell>
          <cell r="AA67" t="b">
            <v>0</v>
          </cell>
          <cell r="AB67" t="b">
            <v>0</v>
          </cell>
          <cell r="AC67" t="b">
            <v>0</v>
          </cell>
          <cell r="AD67" t="b">
            <v>0</v>
          </cell>
        </row>
        <row r="68">
          <cell r="Z68" t="b">
            <v>0</v>
          </cell>
          <cell r="AA68" t="b">
            <v>0</v>
          </cell>
          <cell r="AB68" t="b">
            <v>0</v>
          </cell>
          <cell r="AC68" t="b">
            <v>0</v>
          </cell>
          <cell r="AD68" t="b">
            <v>0</v>
          </cell>
        </row>
        <row r="69">
          <cell r="Z69" t="b">
            <v>0</v>
          </cell>
          <cell r="AA69" t="b">
            <v>0</v>
          </cell>
          <cell r="AB69" t="b">
            <v>0</v>
          </cell>
          <cell r="AC69" t="b">
            <v>0</v>
          </cell>
          <cell r="AD69" t="b">
            <v>0</v>
          </cell>
        </row>
        <row r="70">
          <cell r="Z70" t="b">
            <v>0</v>
          </cell>
          <cell r="AA70" t="b">
            <v>0</v>
          </cell>
          <cell r="AB70" t="b">
            <v>0</v>
          </cell>
          <cell r="AC70" t="b">
            <v>0</v>
          </cell>
          <cell r="AD70" t="b">
            <v>0</v>
          </cell>
        </row>
        <row r="71">
          <cell r="Z71" t="b">
            <v>0</v>
          </cell>
          <cell r="AA71" t="b">
            <v>0</v>
          </cell>
          <cell r="AB71" t="b">
            <v>0</v>
          </cell>
          <cell r="AC71" t="b">
            <v>0</v>
          </cell>
          <cell r="AD71" t="b">
            <v>0</v>
          </cell>
        </row>
        <row r="72">
          <cell r="Z72" t="b">
            <v>0</v>
          </cell>
          <cell r="AA72" t="b">
            <v>0</v>
          </cell>
          <cell r="AB72" t="b">
            <v>0</v>
          </cell>
          <cell r="AC72" t="b">
            <v>0</v>
          </cell>
          <cell r="AD72" t="b">
            <v>0</v>
          </cell>
        </row>
        <row r="73">
          <cell r="Z73" t="b">
            <v>0</v>
          </cell>
          <cell r="AA73" t="b">
            <v>0</v>
          </cell>
          <cell r="AB73" t="b">
            <v>0</v>
          </cell>
          <cell r="AC73" t="b">
            <v>0</v>
          </cell>
          <cell r="AD73" t="b">
            <v>0</v>
          </cell>
        </row>
        <row r="74">
          <cell r="Z74" t="b">
            <v>0</v>
          </cell>
          <cell r="AA74" t="b">
            <v>0</v>
          </cell>
          <cell r="AB74" t="b">
            <v>0</v>
          </cell>
          <cell r="AC74" t="b">
            <v>0</v>
          </cell>
          <cell r="AD74" t="b">
            <v>0</v>
          </cell>
        </row>
        <row r="75">
          <cell r="Z75" t="b">
            <v>0</v>
          </cell>
          <cell r="AA75" t="b">
            <v>0</v>
          </cell>
          <cell r="AB75" t="b">
            <v>0</v>
          </cell>
          <cell r="AC75" t="b">
            <v>0</v>
          </cell>
          <cell r="AD75" t="b">
            <v>0</v>
          </cell>
        </row>
        <row r="76">
          <cell r="Z76" t="b">
            <v>0</v>
          </cell>
          <cell r="AA76" t="b">
            <v>0</v>
          </cell>
          <cell r="AB76" t="b">
            <v>0</v>
          </cell>
          <cell r="AC76" t="b">
            <v>0</v>
          </cell>
          <cell r="AD76" t="b">
            <v>0</v>
          </cell>
        </row>
        <row r="77">
          <cell r="Z77" t="b">
            <v>0</v>
          </cell>
          <cell r="AA77" t="b">
            <v>0</v>
          </cell>
          <cell r="AB77" t="b">
            <v>0</v>
          </cell>
          <cell r="AC77" t="b">
            <v>0</v>
          </cell>
          <cell r="AD77" t="b">
            <v>0</v>
          </cell>
        </row>
        <row r="78">
          <cell r="Z78" t="b">
            <v>0</v>
          </cell>
          <cell r="AA78" t="b">
            <v>0</v>
          </cell>
          <cell r="AB78" t="b">
            <v>0</v>
          </cell>
          <cell r="AC78" t="b">
            <v>0</v>
          </cell>
          <cell r="AD78" t="b">
            <v>0</v>
          </cell>
        </row>
        <row r="79">
          <cell r="Z79" t="b">
            <v>0</v>
          </cell>
          <cell r="AA79" t="b">
            <v>0</v>
          </cell>
          <cell r="AB79" t="b">
            <v>0</v>
          </cell>
          <cell r="AC79" t="b">
            <v>0</v>
          </cell>
          <cell r="AD79" t="b">
            <v>0</v>
          </cell>
        </row>
        <row r="80">
          <cell r="Z80" t="b">
            <v>0</v>
          </cell>
          <cell r="AA80" t="b">
            <v>0</v>
          </cell>
          <cell r="AB80" t="b">
            <v>0</v>
          </cell>
          <cell r="AC80" t="b">
            <v>0</v>
          </cell>
          <cell r="AD80" t="b">
            <v>0</v>
          </cell>
        </row>
        <row r="81">
          <cell r="Z81" t="b">
            <v>0</v>
          </cell>
          <cell r="AA81" t="b">
            <v>0</v>
          </cell>
          <cell r="AB81" t="b">
            <v>0</v>
          </cell>
          <cell r="AC81" t="b">
            <v>0</v>
          </cell>
          <cell r="AD81" t="b">
            <v>0</v>
          </cell>
        </row>
        <row r="82">
          <cell r="Z82" t="b">
            <v>0</v>
          </cell>
          <cell r="AA82" t="b">
            <v>0</v>
          </cell>
          <cell r="AB82" t="b">
            <v>0</v>
          </cell>
          <cell r="AC82" t="b">
            <v>0</v>
          </cell>
          <cell r="AD82" t="b">
            <v>0</v>
          </cell>
        </row>
        <row r="83">
          <cell r="Z83" t="b">
            <v>0</v>
          </cell>
          <cell r="AA83" t="b">
            <v>0</v>
          </cell>
          <cell r="AB83" t="b">
            <v>0</v>
          </cell>
          <cell r="AC83" t="b">
            <v>0</v>
          </cell>
          <cell r="AD83" t="b">
            <v>0</v>
          </cell>
        </row>
        <row r="84">
          <cell r="Z84" t="b">
            <v>0</v>
          </cell>
          <cell r="AA84" t="b">
            <v>0</v>
          </cell>
          <cell r="AB84" t="b">
            <v>0</v>
          </cell>
          <cell r="AC84" t="b">
            <v>0</v>
          </cell>
          <cell r="AD84" t="b">
            <v>0</v>
          </cell>
        </row>
        <row r="85">
          <cell r="Z85" t="b">
            <v>0</v>
          </cell>
          <cell r="AA85" t="b">
            <v>0</v>
          </cell>
          <cell r="AB85" t="b">
            <v>0</v>
          </cell>
          <cell r="AC85" t="b">
            <v>0</v>
          </cell>
          <cell r="AD85" t="b">
            <v>0</v>
          </cell>
        </row>
        <row r="86">
          <cell r="Z86" t="b">
            <v>0</v>
          </cell>
          <cell r="AA86" t="b">
            <v>0</v>
          </cell>
          <cell r="AB86" t="b">
            <v>0</v>
          </cell>
          <cell r="AC86" t="b">
            <v>0</v>
          </cell>
          <cell r="AD86" t="b">
            <v>0</v>
          </cell>
        </row>
        <row r="87">
          <cell r="Z87" t="b">
            <v>0</v>
          </cell>
          <cell r="AA87" t="b">
            <v>0</v>
          </cell>
          <cell r="AB87" t="b">
            <v>0</v>
          </cell>
          <cell r="AC87" t="b">
            <v>0</v>
          </cell>
          <cell r="AD87" t="b">
            <v>0</v>
          </cell>
        </row>
        <row r="88">
          <cell r="Z88" t="b">
            <v>0</v>
          </cell>
          <cell r="AA88" t="b">
            <v>0</v>
          </cell>
          <cell r="AB88" t="b">
            <v>0</v>
          </cell>
          <cell r="AC88" t="b">
            <v>0</v>
          </cell>
          <cell r="AD88" t="b">
            <v>0</v>
          </cell>
        </row>
        <row r="89">
          <cell r="Z89" t="b">
            <v>0</v>
          </cell>
          <cell r="AA89" t="b">
            <v>0</v>
          </cell>
          <cell r="AB89" t="b">
            <v>0</v>
          </cell>
          <cell r="AC89" t="b">
            <v>0</v>
          </cell>
          <cell r="AD89" t="b">
            <v>0</v>
          </cell>
        </row>
        <row r="90">
          <cell r="Z90" t="b">
            <v>0</v>
          </cell>
          <cell r="AA90" t="b">
            <v>0</v>
          </cell>
          <cell r="AB90" t="b">
            <v>0</v>
          </cell>
          <cell r="AC90" t="b">
            <v>0</v>
          </cell>
          <cell r="AD90" t="b">
            <v>0</v>
          </cell>
        </row>
        <row r="91">
          <cell r="Z91" t="b">
            <v>0</v>
          </cell>
          <cell r="AA91" t="b">
            <v>0</v>
          </cell>
          <cell r="AB91" t="b">
            <v>0</v>
          </cell>
          <cell r="AC91" t="b">
            <v>0</v>
          </cell>
          <cell r="AD91" t="b">
            <v>0</v>
          </cell>
        </row>
        <row r="92">
          <cell r="Z92" t="b">
            <v>0</v>
          </cell>
          <cell r="AA92" t="b">
            <v>0</v>
          </cell>
          <cell r="AB92" t="b">
            <v>0</v>
          </cell>
          <cell r="AC92" t="b">
            <v>0</v>
          </cell>
          <cell r="AD92" t="b">
            <v>0</v>
          </cell>
        </row>
        <row r="93">
          <cell r="Z93" t="b">
            <v>0</v>
          </cell>
          <cell r="AA93" t="b">
            <v>0</v>
          </cell>
          <cell r="AB93" t="b">
            <v>0</v>
          </cell>
          <cell r="AC93" t="b">
            <v>0</v>
          </cell>
          <cell r="AD93" t="b">
            <v>0</v>
          </cell>
        </row>
        <row r="94">
          <cell r="Z94" t="b">
            <v>0</v>
          </cell>
          <cell r="AA94" t="b">
            <v>0</v>
          </cell>
          <cell r="AB94" t="b">
            <v>0</v>
          </cell>
          <cell r="AC94" t="b">
            <v>0</v>
          </cell>
          <cell r="AD94" t="b">
            <v>0</v>
          </cell>
        </row>
        <row r="95">
          <cell r="Z95" t="b">
            <v>0</v>
          </cell>
          <cell r="AA95" t="b">
            <v>0</v>
          </cell>
          <cell r="AB95" t="b">
            <v>0</v>
          </cell>
          <cell r="AC95" t="b">
            <v>0</v>
          </cell>
          <cell r="AD95" t="b">
            <v>0</v>
          </cell>
        </row>
        <row r="96">
          <cell r="Z96" t="b">
            <v>0</v>
          </cell>
          <cell r="AA96" t="b">
            <v>0</v>
          </cell>
          <cell r="AB96" t="b">
            <v>0</v>
          </cell>
          <cell r="AC96" t="b">
            <v>0</v>
          </cell>
          <cell r="AD96" t="b">
            <v>0</v>
          </cell>
        </row>
        <row r="97">
          <cell r="Z97" t="b">
            <v>0</v>
          </cell>
          <cell r="AA97" t="b">
            <v>0</v>
          </cell>
          <cell r="AB97" t="b">
            <v>0</v>
          </cell>
          <cell r="AC97" t="b">
            <v>0</v>
          </cell>
          <cell r="AD97" t="b">
            <v>0</v>
          </cell>
        </row>
        <row r="98">
          <cell r="Z98" t="b">
            <v>0</v>
          </cell>
          <cell r="AA98" t="b">
            <v>0</v>
          </cell>
          <cell r="AB98" t="b">
            <v>0</v>
          </cell>
          <cell r="AC98" t="b">
            <v>0</v>
          </cell>
          <cell r="AD98" t="b">
            <v>0</v>
          </cell>
        </row>
        <row r="99">
          <cell r="Z99" t="b">
            <v>0</v>
          </cell>
          <cell r="AA99" t="b">
            <v>0</v>
          </cell>
          <cell r="AB99" t="b">
            <v>0</v>
          </cell>
          <cell r="AC99" t="b">
            <v>0</v>
          </cell>
          <cell r="AD99" t="b">
            <v>0</v>
          </cell>
        </row>
        <row r="100">
          <cell r="Z100" t="b">
            <v>0</v>
          </cell>
          <cell r="AA100" t="b">
            <v>0</v>
          </cell>
          <cell r="AB100" t="b">
            <v>0</v>
          </cell>
          <cell r="AC100" t="b">
            <v>0</v>
          </cell>
          <cell r="AD100" t="b">
            <v>0</v>
          </cell>
        </row>
        <row r="101">
          <cell r="Z101" t="b">
            <v>0</v>
          </cell>
          <cell r="AA101" t="b">
            <v>0</v>
          </cell>
          <cell r="AB101" t="b">
            <v>0</v>
          </cell>
          <cell r="AC101" t="b">
            <v>0</v>
          </cell>
          <cell r="AD101" t="b">
            <v>0</v>
          </cell>
        </row>
        <row r="102">
          <cell r="Z102" t="b">
            <v>0</v>
          </cell>
          <cell r="AA102" t="b">
            <v>0</v>
          </cell>
          <cell r="AB102" t="b">
            <v>0</v>
          </cell>
          <cell r="AC102" t="b">
            <v>0</v>
          </cell>
          <cell r="AD102" t="b">
            <v>0</v>
          </cell>
        </row>
        <row r="103">
          <cell r="Z103" t="b">
            <v>0</v>
          </cell>
          <cell r="AA103" t="b">
            <v>0</v>
          </cell>
          <cell r="AB103" t="b">
            <v>0</v>
          </cell>
          <cell r="AC103" t="b">
            <v>0</v>
          </cell>
          <cell r="AD103" t="b">
            <v>0</v>
          </cell>
        </row>
        <row r="104">
          <cell r="Z104" t="b">
            <v>0</v>
          </cell>
          <cell r="AA104" t="b">
            <v>0</v>
          </cell>
          <cell r="AB104" t="b">
            <v>0</v>
          </cell>
          <cell r="AC104" t="b">
            <v>0</v>
          </cell>
          <cell r="AD104" t="b">
            <v>0</v>
          </cell>
        </row>
        <row r="105">
          <cell r="Z105" t="b">
            <v>0</v>
          </cell>
          <cell r="AA105" t="b">
            <v>0</v>
          </cell>
          <cell r="AB105" t="b">
            <v>0</v>
          </cell>
          <cell r="AC105" t="b">
            <v>0</v>
          </cell>
          <cell r="AD105" t="b">
            <v>0</v>
          </cell>
        </row>
        <row r="106">
          <cell r="Z106" t="b">
            <v>0</v>
          </cell>
          <cell r="AA106" t="b">
            <v>0</v>
          </cell>
          <cell r="AB106" t="b">
            <v>0</v>
          </cell>
          <cell r="AC106" t="b">
            <v>0</v>
          </cell>
          <cell r="AD106" t="b">
            <v>0</v>
          </cell>
        </row>
        <row r="107">
          <cell r="Z107" t="b">
            <v>0</v>
          </cell>
          <cell r="AA107" t="b">
            <v>0</v>
          </cell>
          <cell r="AB107" t="b">
            <v>0</v>
          </cell>
          <cell r="AC107" t="b">
            <v>0</v>
          </cell>
          <cell r="AD107" t="b">
            <v>0</v>
          </cell>
        </row>
        <row r="108">
          <cell r="Z108" t="b">
            <v>0</v>
          </cell>
          <cell r="AA108" t="b">
            <v>0</v>
          </cell>
          <cell r="AB108" t="b">
            <v>0</v>
          </cell>
          <cell r="AC108" t="b">
            <v>0</v>
          </cell>
          <cell r="AD108" t="b">
            <v>0</v>
          </cell>
        </row>
        <row r="109">
          <cell r="Z109" t="b">
            <v>0</v>
          </cell>
          <cell r="AA109" t="b">
            <v>0</v>
          </cell>
          <cell r="AB109" t="b">
            <v>0</v>
          </cell>
          <cell r="AC109" t="b">
            <v>0</v>
          </cell>
          <cell r="AD109" t="b">
            <v>0</v>
          </cell>
        </row>
        <row r="110">
          <cell r="Z110" t="b">
            <v>0</v>
          </cell>
          <cell r="AA110" t="b">
            <v>0</v>
          </cell>
          <cell r="AB110" t="b">
            <v>0</v>
          </cell>
          <cell r="AC110" t="b">
            <v>0</v>
          </cell>
          <cell r="AD110" t="b">
            <v>0</v>
          </cell>
        </row>
        <row r="111">
          <cell r="Z111" t="b">
            <v>0</v>
          </cell>
          <cell r="AA111" t="b">
            <v>0</v>
          </cell>
          <cell r="AB111" t="b">
            <v>0</v>
          </cell>
          <cell r="AC111" t="b">
            <v>0</v>
          </cell>
          <cell r="AD111" t="b">
            <v>0</v>
          </cell>
        </row>
        <row r="112">
          <cell r="Z112" t="b">
            <v>0</v>
          </cell>
          <cell r="AA112" t="b">
            <v>0</v>
          </cell>
          <cell r="AB112" t="b">
            <v>0</v>
          </cell>
          <cell r="AC112" t="b">
            <v>0</v>
          </cell>
          <cell r="AD112" t="b">
            <v>0</v>
          </cell>
        </row>
        <row r="113">
          <cell r="Z113" t="b">
            <v>0</v>
          </cell>
          <cell r="AA113" t="b">
            <v>0</v>
          </cell>
          <cell r="AB113" t="b">
            <v>0</v>
          </cell>
          <cell r="AC113" t="b">
            <v>0</v>
          </cell>
          <cell r="AD113" t="b">
            <v>0</v>
          </cell>
        </row>
        <row r="114">
          <cell r="Z114" t="b">
            <v>0</v>
          </cell>
          <cell r="AA114" t="b">
            <v>0</v>
          </cell>
          <cell r="AB114" t="b">
            <v>0</v>
          </cell>
          <cell r="AC114" t="b">
            <v>0</v>
          </cell>
          <cell r="AD114" t="b">
            <v>0</v>
          </cell>
        </row>
        <row r="115">
          <cell r="Z115" t="b">
            <v>0</v>
          </cell>
          <cell r="AA115" t="b">
            <v>0</v>
          </cell>
          <cell r="AB115" t="b">
            <v>0</v>
          </cell>
          <cell r="AC115" t="b">
            <v>0</v>
          </cell>
          <cell r="AD115" t="b">
            <v>0</v>
          </cell>
        </row>
        <row r="116">
          <cell r="Z116" t="b">
            <v>0</v>
          </cell>
          <cell r="AA116" t="b">
            <v>0</v>
          </cell>
          <cell r="AB116" t="b">
            <v>0</v>
          </cell>
          <cell r="AC116" t="b">
            <v>0</v>
          </cell>
          <cell r="AD116" t="b">
            <v>0</v>
          </cell>
        </row>
        <row r="117">
          <cell r="Z117" t="b">
            <v>0</v>
          </cell>
          <cell r="AA117" t="b">
            <v>0</v>
          </cell>
          <cell r="AB117" t="b">
            <v>0</v>
          </cell>
          <cell r="AC117" t="b">
            <v>0</v>
          </cell>
          <cell r="AD117" t="b">
            <v>0</v>
          </cell>
        </row>
        <row r="118">
          <cell r="Z118" t="b">
            <v>0</v>
          </cell>
          <cell r="AA118" t="b">
            <v>0</v>
          </cell>
          <cell r="AB118" t="b">
            <v>0</v>
          </cell>
          <cell r="AC118" t="b">
            <v>0</v>
          </cell>
          <cell r="AD118" t="b">
            <v>0</v>
          </cell>
        </row>
        <row r="119">
          <cell r="Z119" t="b">
            <v>0</v>
          </cell>
          <cell r="AA119" t="b">
            <v>0</v>
          </cell>
          <cell r="AB119" t="b">
            <v>0</v>
          </cell>
          <cell r="AC119" t="b">
            <v>0</v>
          </cell>
          <cell r="AD119" t="b">
            <v>0</v>
          </cell>
        </row>
        <row r="120">
          <cell r="Z120" t="b">
            <v>0</v>
          </cell>
          <cell r="AA120" t="b">
            <v>0</v>
          </cell>
          <cell r="AB120" t="b">
            <v>0</v>
          </cell>
          <cell r="AC120" t="b">
            <v>0</v>
          </cell>
          <cell r="AD120" t="b">
            <v>0</v>
          </cell>
        </row>
        <row r="121">
          <cell r="Z121" t="b">
            <v>0</v>
          </cell>
          <cell r="AA121" t="b">
            <v>0</v>
          </cell>
          <cell r="AB121" t="b">
            <v>0</v>
          </cell>
          <cell r="AC121" t="b">
            <v>0</v>
          </cell>
          <cell r="AD121" t="b">
            <v>0</v>
          </cell>
        </row>
        <row r="122">
          <cell r="Z122" t="b">
            <v>0</v>
          </cell>
          <cell r="AA122" t="b">
            <v>0</v>
          </cell>
          <cell r="AB122" t="b">
            <v>0</v>
          </cell>
          <cell r="AC122" t="b">
            <v>0</v>
          </cell>
          <cell r="AD122" t="b">
            <v>0</v>
          </cell>
        </row>
        <row r="123">
          <cell r="Z123" t="b">
            <v>0</v>
          </cell>
          <cell r="AA123" t="b">
            <v>0</v>
          </cell>
          <cell r="AB123" t="b">
            <v>0</v>
          </cell>
          <cell r="AC123" t="b">
            <v>0</v>
          </cell>
          <cell r="AD123" t="b">
            <v>0</v>
          </cell>
        </row>
        <row r="124">
          <cell r="Z124" t="b">
            <v>0</v>
          </cell>
          <cell r="AA124" t="b">
            <v>0</v>
          </cell>
          <cell r="AB124" t="b">
            <v>0</v>
          </cell>
          <cell r="AC124" t="b">
            <v>0</v>
          </cell>
          <cell r="AD124" t="b">
            <v>0</v>
          </cell>
        </row>
        <row r="125">
          <cell r="Z125" t="b">
            <v>0</v>
          </cell>
          <cell r="AA125" t="b">
            <v>0</v>
          </cell>
          <cell r="AB125" t="b">
            <v>0</v>
          </cell>
          <cell r="AC125" t="b">
            <v>0</v>
          </cell>
          <cell r="AD125" t="b">
            <v>0</v>
          </cell>
        </row>
        <row r="126">
          <cell r="Z126" t="b">
            <v>0</v>
          </cell>
          <cell r="AA126" t="b">
            <v>0</v>
          </cell>
          <cell r="AB126" t="b">
            <v>0</v>
          </cell>
          <cell r="AC126" t="b">
            <v>0</v>
          </cell>
          <cell r="AD126" t="b">
            <v>0</v>
          </cell>
        </row>
        <row r="127">
          <cell r="Z127" t="b">
            <v>0</v>
          </cell>
          <cell r="AA127" t="b">
            <v>0</v>
          </cell>
          <cell r="AB127" t="b">
            <v>0</v>
          </cell>
          <cell r="AC127" t="b">
            <v>0</v>
          </cell>
          <cell r="AD127" t="b">
            <v>0</v>
          </cell>
        </row>
        <row r="128">
          <cell r="Z128" t="b">
            <v>0</v>
          </cell>
          <cell r="AA128" t="b">
            <v>0</v>
          </cell>
          <cell r="AB128" t="b">
            <v>0</v>
          </cell>
          <cell r="AC128" t="b">
            <v>0</v>
          </cell>
          <cell r="AD128" t="b">
            <v>0</v>
          </cell>
        </row>
        <row r="129">
          <cell r="Z129" t="b">
            <v>0</v>
          </cell>
          <cell r="AA129" t="b">
            <v>0</v>
          </cell>
          <cell r="AB129" t="b">
            <v>0</v>
          </cell>
          <cell r="AC129" t="b">
            <v>0</v>
          </cell>
          <cell r="AD129" t="b">
            <v>0</v>
          </cell>
        </row>
        <row r="130">
          <cell r="Z130" t="b">
            <v>0</v>
          </cell>
          <cell r="AA130" t="b">
            <v>0</v>
          </cell>
          <cell r="AB130" t="b">
            <v>0</v>
          </cell>
          <cell r="AC130" t="b">
            <v>0</v>
          </cell>
          <cell r="AD130" t="b">
            <v>0</v>
          </cell>
        </row>
        <row r="131">
          <cell r="Z131" t="b">
            <v>0</v>
          </cell>
          <cell r="AA131" t="b">
            <v>0</v>
          </cell>
          <cell r="AB131" t="b">
            <v>0</v>
          </cell>
          <cell r="AC131" t="b">
            <v>0</v>
          </cell>
          <cell r="AD131" t="b">
            <v>0</v>
          </cell>
        </row>
        <row r="132">
          <cell r="Z132" t="b">
            <v>0</v>
          </cell>
          <cell r="AA132" t="b">
            <v>0</v>
          </cell>
          <cell r="AB132" t="b">
            <v>0</v>
          </cell>
          <cell r="AC132" t="b">
            <v>0</v>
          </cell>
          <cell r="AD132" t="b">
            <v>0</v>
          </cell>
        </row>
        <row r="133">
          <cell r="Z133" t="b">
            <v>0</v>
          </cell>
          <cell r="AA133" t="b">
            <v>0</v>
          </cell>
          <cell r="AB133" t="b">
            <v>0</v>
          </cell>
          <cell r="AC133" t="b">
            <v>0</v>
          </cell>
          <cell r="AD133" t="b">
            <v>0</v>
          </cell>
        </row>
        <row r="134">
          <cell r="Z134" t="b">
            <v>0</v>
          </cell>
          <cell r="AA134" t="b">
            <v>0</v>
          </cell>
          <cell r="AB134" t="b">
            <v>0</v>
          </cell>
          <cell r="AC134" t="b">
            <v>0</v>
          </cell>
          <cell r="AD134" t="b">
            <v>0</v>
          </cell>
        </row>
        <row r="135">
          <cell r="Z135" t="b">
            <v>0</v>
          </cell>
          <cell r="AA135" t="b">
            <v>0</v>
          </cell>
          <cell r="AB135" t="b">
            <v>0</v>
          </cell>
          <cell r="AC135" t="b">
            <v>0</v>
          </cell>
          <cell r="AD135" t="b">
            <v>0</v>
          </cell>
        </row>
        <row r="136">
          <cell r="Z136" t="b">
            <v>0</v>
          </cell>
          <cell r="AA136" t="b">
            <v>0</v>
          </cell>
          <cell r="AB136" t="b">
            <v>0</v>
          </cell>
          <cell r="AC136" t="b">
            <v>0</v>
          </cell>
          <cell r="AD136" t="b">
            <v>0</v>
          </cell>
        </row>
        <row r="137">
          <cell r="Z137" t="b">
            <v>0</v>
          </cell>
          <cell r="AA137" t="b">
            <v>0</v>
          </cell>
          <cell r="AB137" t="b">
            <v>0</v>
          </cell>
          <cell r="AC137" t="b">
            <v>0</v>
          </cell>
          <cell r="AD137" t="b">
            <v>0</v>
          </cell>
        </row>
        <row r="138">
          <cell r="Z138" t="b">
            <v>0</v>
          </cell>
          <cell r="AA138" t="b">
            <v>0</v>
          </cell>
          <cell r="AB138" t="b">
            <v>0</v>
          </cell>
          <cell r="AC138" t="b">
            <v>0</v>
          </cell>
          <cell r="AD138" t="b">
            <v>0</v>
          </cell>
        </row>
        <row r="139">
          <cell r="Z139" t="b">
            <v>0</v>
          </cell>
          <cell r="AA139" t="b">
            <v>0</v>
          </cell>
          <cell r="AB139" t="b">
            <v>0</v>
          </cell>
          <cell r="AC139" t="b">
            <v>0</v>
          </cell>
          <cell r="AD139" t="b">
            <v>0</v>
          </cell>
        </row>
        <row r="140">
          <cell r="Z140" t="b">
            <v>0</v>
          </cell>
          <cell r="AA140" t="b">
            <v>0</v>
          </cell>
          <cell r="AB140" t="b">
            <v>0</v>
          </cell>
          <cell r="AC140" t="b">
            <v>0</v>
          </cell>
          <cell r="AD140" t="b">
            <v>0</v>
          </cell>
        </row>
        <row r="141">
          <cell r="Z141" t="b">
            <v>0</v>
          </cell>
          <cell r="AA141" t="b">
            <v>0</v>
          </cell>
          <cell r="AB141" t="b">
            <v>0</v>
          </cell>
          <cell r="AC141" t="b">
            <v>0</v>
          </cell>
          <cell r="AD141" t="b">
            <v>0</v>
          </cell>
        </row>
        <row r="142">
          <cell r="Z142" t="b">
            <v>0</v>
          </cell>
          <cell r="AA142" t="b">
            <v>0</v>
          </cell>
          <cell r="AB142" t="b">
            <v>0</v>
          </cell>
          <cell r="AC142" t="b">
            <v>0</v>
          </cell>
          <cell r="AD142" t="b">
            <v>0</v>
          </cell>
        </row>
        <row r="143">
          <cell r="Z143" t="b">
            <v>0</v>
          </cell>
          <cell r="AA143" t="b">
            <v>0</v>
          </cell>
          <cell r="AB143" t="b">
            <v>0</v>
          </cell>
          <cell r="AC143" t="b">
            <v>0</v>
          </cell>
          <cell r="AD143" t="b">
            <v>0</v>
          </cell>
        </row>
        <row r="144">
          <cell r="Z144" t="b">
            <v>0</v>
          </cell>
          <cell r="AA144" t="b">
            <v>0</v>
          </cell>
          <cell r="AB144" t="b">
            <v>0</v>
          </cell>
          <cell r="AC144" t="b">
            <v>0</v>
          </cell>
          <cell r="AD144" t="b">
            <v>0</v>
          </cell>
        </row>
        <row r="145">
          <cell r="Z145" t="b">
            <v>0</v>
          </cell>
          <cell r="AA145" t="b">
            <v>0</v>
          </cell>
          <cell r="AB145" t="b">
            <v>0</v>
          </cell>
          <cell r="AC145" t="b">
            <v>0</v>
          </cell>
          <cell r="AD145" t="b">
            <v>0</v>
          </cell>
        </row>
        <row r="146">
          <cell r="Z146" t="b">
            <v>0</v>
          </cell>
          <cell r="AA146" t="b">
            <v>0</v>
          </cell>
          <cell r="AB146" t="b">
            <v>0</v>
          </cell>
          <cell r="AC146" t="b">
            <v>0</v>
          </cell>
          <cell r="AD146" t="b">
            <v>0</v>
          </cell>
        </row>
        <row r="147">
          <cell r="Z147" t="b">
            <v>0</v>
          </cell>
          <cell r="AA147" t="b">
            <v>0</v>
          </cell>
          <cell r="AB147" t="b">
            <v>0</v>
          </cell>
          <cell r="AC147" t="b">
            <v>0</v>
          </cell>
          <cell r="AD147" t="b">
            <v>0</v>
          </cell>
        </row>
        <row r="148">
          <cell r="Z148" t="b">
            <v>0</v>
          </cell>
          <cell r="AA148" t="b">
            <v>0</v>
          </cell>
          <cell r="AB148" t="b">
            <v>0</v>
          </cell>
          <cell r="AC148" t="b">
            <v>0</v>
          </cell>
          <cell r="AD148" t="b">
            <v>0</v>
          </cell>
        </row>
        <row r="149">
          <cell r="Z149" t="b">
            <v>0</v>
          </cell>
          <cell r="AA149" t="b">
            <v>0</v>
          </cell>
          <cell r="AB149" t="b">
            <v>0</v>
          </cell>
          <cell r="AC149" t="b">
            <v>0</v>
          </cell>
          <cell r="AD149" t="b">
            <v>0</v>
          </cell>
        </row>
        <row r="150">
          <cell r="Z150" t="b">
            <v>0</v>
          </cell>
          <cell r="AA150" t="b">
            <v>0</v>
          </cell>
          <cell r="AB150" t="b">
            <v>0</v>
          </cell>
          <cell r="AC150" t="b">
            <v>0</v>
          </cell>
          <cell r="AD150" t="b">
            <v>0</v>
          </cell>
        </row>
        <row r="151">
          <cell r="Z151" t="b">
            <v>0</v>
          </cell>
          <cell r="AA151" t="b">
            <v>0</v>
          </cell>
          <cell r="AB151" t="b">
            <v>0</v>
          </cell>
          <cell r="AC151" t="b">
            <v>0</v>
          </cell>
          <cell r="AD151" t="b">
            <v>0</v>
          </cell>
        </row>
        <row r="152">
          <cell r="Z152" t="b">
            <v>0</v>
          </cell>
          <cell r="AA152" t="b">
            <v>0</v>
          </cell>
          <cell r="AB152" t="b">
            <v>0</v>
          </cell>
          <cell r="AC152" t="b">
            <v>0</v>
          </cell>
          <cell r="AD152" t="b">
            <v>0</v>
          </cell>
        </row>
        <row r="153">
          <cell r="Z153" t="b">
            <v>0</v>
          </cell>
          <cell r="AA153" t="b">
            <v>0</v>
          </cell>
          <cell r="AB153" t="b">
            <v>0</v>
          </cell>
          <cell r="AC153" t="b">
            <v>0</v>
          </cell>
          <cell r="AD153" t="b">
            <v>0</v>
          </cell>
        </row>
        <row r="154">
          <cell r="Z154" t="b">
            <v>0</v>
          </cell>
          <cell r="AA154" t="b">
            <v>0</v>
          </cell>
          <cell r="AB154" t="b">
            <v>0</v>
          </cell>
          <cell r="AC154" t="b">
            <v>0</v>
          </cell>
          <cell r="AD154" t="b">
            <v>0</v>
          </cell>
        </row>
        <row r="155">
          <cell r="Z155" t="b">
            <v>0</v>
          </cell>
          <cell r="AA155" t="b">
            <v>0</v>
          </cell>
          <cell r="AB155" t="b">
            <v>0</v>
          </cell>
          <cell r="AC155" t="b">
            <v>0</v>
          </cell>
          <cell r="AD155" t="b">
            <v>0</v>
          </cell>
        </row>
        <row r="156">
          <cell r="Z156" t="b">
            <v>0</v>
          </cell>
          <cell r="AA156" t="b">
            <v>0</v>
          </cell>
          <cell r="AB156" t="b">
            <v>0</v>
          </cell>
          <cell r="AC156" t="b">
            <v>0</v>
          </cell>
          <cell r="AD156" t="b">
            <v>0</v>
          </cell>
        </row>
        <row r="157">
          <cell r="Z157" t="b">
            <v>0</v>
          </cell>
          <cell r="AA157" t="b">
            <v>0</v>
          </cell>
          <cell r="AB157" t="b">
            <v>0</v>
          </cell>
          <cell r="AC157" t="b">
            <v>0</v>
          </cell>
          <cell r="AD157" t="b">
            <v>0</v>
          </cell>
        </row>
        <row r="158">
          <cell r="Z158" t="b">
            <v>0</v>
          </cell>
          <cell r="AA158" t="b">
            <v>0</v>
          </cell>
          <cell r="AB158" t="b">
            <v>0</v>
          </cell>
          <cell r="AC158" t="b">
            <v>0</v>
          </cell>
          <cell r="AD158" t="b">
            <v>0</v>
          </cell>
        </row>
        <row r="159">
          <cell r="Z159" t="b">
            <v>0</v>
          </cell>
          <cell r="AA159" t="b">
            <v>0</v>
          </cell>
          <cell r="AB159" t="b">
            <v>0</v>
          </cell>
          <cell r="AC159" t="b">
            <v>0</v>
          </cell>
          <cell r="AD159" t="b">
            <v>0</v>
          </cell>
        </row>
        <row r="160">
          <cell r="Z160" t="b">
            <v>0</v>
          </cell>
          <cell r="AA160" t="b">
            <v>0</v>
          </cell>
          <cell r="AB160" t="b">
            <v>0</v>
          </cell>
          <cell r="AC160" t="b">
            <v>0</v>
          </cell>
          <cell r="AD160" t="b">
            <v>0</v>
          </cell>
        </row>
        <row r="161">
          <cell r="Z161" t="b">
            <v>0</v>
          </cell>
          <cell r="AA161" t="b">
            <v>0</v>
          </cell>
          <cell r="AB161" t="b">
            <v>0</v>
          </cell>
          <cell r="AC161" t="b">
            <v>0</v>
          </cell>
          <cell r="AD161" t="b">
            <v>0</v>
          </cell>
        </row>
        <row r="162">
          <cell r="Z162" t="b">
            <v>0</v>
          </cell>
          <cell r="AA162" t="b">
            <v>0</v>
          </cell>
          <cell r="AB162" t="b">
            <v>0</v>
          </cell>
          <cell r="AC162" t="b">
            <v>0</v>
          </cell>
          <cell r="AD162" t="b">
            <v>0</v>
          </cell>
        </row>
        <row r="163">
          <cell r="Z163" t="b">
            <v>0</v>
          </cell>
          <cell r="AA163" t="b">
            <v>0</v>
          </cell>
          <cell r="AB163" t="b">
            <v>0</v>
          </cell>
          <cell r="AC163" t="b">
            <v>0</v>
          </cell>
          <cell r="AD163" t="b">
            <v>0</v>
          </cell>
        </row>
        <row r="164">
          <cell r="Z164" t="b">
            <v>0</v>
          </cell>
          <cell r="AA164" t="b">
            <v>0</v>
          </cell>
          <cell r="AB164" t="b">
            <v>0</v>
          </cell>
          <cell r="AC164" t="b">
            <v>0</v>
          </cell>
          <cell r="AD164" t="b">
            <v>0</v>
          </cell>
        </row>
        <row r="165">
          <cell r="Z165" t="b">
            <v>0</v>
          </cell>
          <cell r="AA165" t="b">
            <v>0</v>
          </cell>
          <cell r="AB165" t="b">
            <v>0</v>
          </cell>
          <cell r="AC165" t="b">
            <v>0</v>
          </cell>
          <cell r="AD165" t="b">
            <v>0</v>
          </cell>
        </row>
        <row r="166">
          <cell r="Z166" t="b">
            <v>0</v>
          </cell>
          <cell r="AA166" t="b">
            <v>0</v>
          </cell>
          <cell r="AB166" t="b">
            <v>0</v>
          </cell>
          <cell r="AC166" t="b">
            <v>0</v>
          </cell>
          <cell r="AD166" t="b">
            <v>0</v>
          </cell>
        </row>
        <row r="167">
          <cell r="Z167" t="b">
            <v>0</v>
          </cell>
          <cell r="AA167" t="b">
            <v>0</v>
          </cell>
          <cell r="AB167" t="b">
            <v>0</v>
          </cell>
          <cell r="AC167" t="b">
            <v>0</v>
          </cell>
          <cell r="AD167" t="b">
            <v>0</v>
          </cell>
        </row>
        <row r="168">
          <cell r="Z168" t="b">
            <v>0</v>
          </cell>
          <cell r="AA168" t="b">
            <v>0</v>
          </cell>
          <cell r="AB168" t="b">
            <v>0</v>
          </cell>
          <cell r="AC168" t="b">
            <v>0</v>
          </cell>
          <cell r="AD168" t="b">
            <v>0</v>
          </cell>
        </row>
        <row r="169">
          <cell r="Z169" t="b">
            <v>0</v>
          </cell>
          <cell r="AA169" t="b">
            <v>0</v>
          </cell>
          <cell r="AB169" t="b">
            <v>0</v>
          </cell>
          <cell r="AC169" t="b">
            <v>0</v>
          </cell>
          <cell r="AD169" t="b">
            <v>0</v>
          </cell>
        </row>
        <row r="170">
          <cell r="Z170" t="b">
            <v>0</v>
          </cell>
          <cell r="AA170" t="b">
            <v>0</v>
          </cell>
          <cell r="AB170" t="b">
            <v>0</v>
          </cell>
          <cell r="AC170" t="b">
            <v>0</v>
          </cell>
          <cell r="AD170" t="b">
            <v>0</v>
          </cell>
        </row>
        <row r="171">
          <cell r="Z171" t="b">
            <v>0</v>
          </cell>
          <cell r="AA171" t="b">
            <v>0</v>
          </cell>
          <cell r="AB171" t="b">
            <v>0</v>
          </cell>
          <cell r="AC171" t="b">
            <v>0</v>
          </cell>
          <cell r="AD171" t="b">
            <v>0</v>
          </cell>
        </row>
        <row r="172">
          <cell r="Z172" t="b">
            <v>0</v>
          </cell>
          <cell r="AA172" t="b">
            <v>0</v>
          </cell>
          <cell r="AB172" t="b">
            <v>0</v>
          </cell>
          <cell r="AC172" t="b">
            <v>0</v>
          </cell>
          <cell r="AD172" t="b">
            <v>0</v>
          </cell>
        </row>
        <row r="173">
          <cell r="Z173" t="b">
            <v>0</v>
          </cell>
          <cell r="AA173" t="b">
            <v>0</v>
          </cell>
          <cell r="AB173" t="b">
            <v>0</v>
          </cell>
          <cell r="AC173" t="b">
            <v>0</v>
          </cell>
          <cell r="AD173" t="b">
            <v>0</v>
          </cell>
        </row>
        <row r="174">
          <cell r="Z174" t="b">
            <v>0</v>
          </cell>
          <cell r="AA174" t="b">
            <v>0</v>
          </cell>
          <cell r="AB174" t="b">
            <v>0</v>
          </cell>
          <cell r="AC174" t="b">
            <v>0</v>
          </cell>
          <cell r="AD174" t="b">
            <v>0</v>
          </cell>
        </row>
        <row r="175">
          <cell r="Z175" t="b">
            <v>0</v>
          </cell>
          <cell r="AA175" t="b">
            <v>0</v>
          </cell>
          <cell r="AB175" t="b">
            <v>0</v>
          </cell>
          <cell r="AC175" t="b">
            <v>0</v>
          </cell>
          <cell r="AD175" t="b">
            <v>0</v>
          </cell>
        </row>
        <row r="176">
          <cell r="Z176" t="b">
            <v>0</v>
          </cell>
          <cell r="AA176" t="b">
            <v>0</v>
          </cell>
          <cell r="AB176" t="b">
            <v>0</v>
          </cell>
          <cell r="AC176" t="b">
            <v>0</v>
          </cell>
          <cell r="AD176" t="b">
            <v>0</v>
          </cell>
        </row>
        <row r="177">
          <cell r="Z177" t="b">
            <v>0</v>
          </cell>
          <cell r="AA177" t="b">
            <v>0</v>
          </cell>
          <cell r="AB177" t="b">
            <v>0</v>
          </cell>
          <cell r="AC177" t="b">
            <v>0</v>
          </cell>
          <cell r="AD177" t="b">
            <v>0</v>
          </cell>
        </row>
        <row r="178">
          <cell r="Z178" t="b">
            <v>0</v>
          </cell>
          <cell r="AA178" t="b">
            <v>0</v>
          </cell>
          <cell r="AB178" t="b">
            <v>0</v>
          </cell>
          <cell r="AC178" t="b">
            <v>0</v>
          </cell>
          <cell r="AD178" t="b">
            <v>0</v>
          </cell>
        </row>
        <row r="179">
          <cell r="Z179" t="b">
            <v>0</v>
          </cell>
          <cell r="AA179" t="b">
            <v>0</v>
          </cell>
          <cell r="AB179" t="b">
            <v>0</v>
          </cell>
          <cell r="AC179" t="b">
            <v>0</v>
          </cell>
          <cell r="AD179" t="b">
            <v>0</v>
          </cell>
        </row>
        <row r="180">
          <cell r="Z180" t="b">
            <v>0</v>
          </cell>
          <cell r="AA180" t="b">
            <v>0</v>
          </cell>
          <cell r="AB180" t="b">
            <v>0</v>
          </cell>
          <cell r="AC180" t="b">
            <v>0</v>
          </cell>
          <cell r="AD180" t="b">
            <v>0</v>
          </cell>
        </row>
        <row r="181">
          <cell r="Z181" t="b">
            <v>0</v>
          </cell>
          <cell r="AA181" t="b">
            <v>0</v>
          </cell>
          <cell r="AB181" t="b">
            <v>0</v>
          </cell>
          <cell r="AC181" t="b">
            <v>0</v>
          </cell>
          <cell r="AD181" t="b">
            <v>0</v>
          </cell>
        </row>
        <row r="182">
          <cell r="Z182" t="b">
            <v>0</v>
          </cell>
          <cell r="AA182" t="b">
            <v>0</v>
          </cell>
          <cell r="AB182" t="b">
            <v>0</v>
          </cell>
          <cell r="AC182" t="b">
            <v>0</v>
          </cell>
          <cell r="AD182" t="b">
            <v>0</v>
          </cell>
        </row>
        <row r="183">
          <cell r="Z183" t="b">
            <v>0</v>
          </cell>
          <cell r="AA183" t="b">
            <v>0</v>
          </cell>
          <cell r="AB183" t="b">
            <v>0</v>
          </cell>
          <cell r="AC183" t="b">
            <v>0</v>
          </cell>
          <cell r="AD183" t="b">
            <v>0</v>
          </cell>
        </row>
        <row r="184">
          <cell r="Z184" t="b">
            <v>0</v>
          </cell>
          <cell r="AA184" t="b">
            <v>0</v>
          </cell>
          <cell r="AB184" t="b">
            <v>0</v>
          </cell>
          <cell r="AC184" t="b">
            <v>0</v>
          </cell>
          <cell r="AD184" t="b">
            <v>0</v>
          </cell>
        </row>
        <row r="185">
          <cell r="Z185" t="b">
            <v>0</v>
          </cell>
          <cell r="AA185" t="b">
            <v>0</v>
          </cell>
          <cell r="AB185" t="b">
            <v>0</v>
          </cell>
          <cell r="AC185" t="b">
            <v>0</v>
          </cell>
          <cell r="AD185" t="b">
            <v>0</v>
          </cell>
        </row>
        <row r="186">
          <cell r="Z186" t="b">
            <v>0</v>
          </cell>
          <cell r="AA186" t="b">
            <v>0</v>
          </cell>
          <cell r="AB186" t="b">
            <v>0</v>
          </cell>
          <cell r="AC186" t="b">
            <v>0</v>
          </cell>
          <cell r="AD186" t="b">
            <v>0</v>
          </cell>
        </row>
        <row r="187">
          <cell r="Z187" t="b">
            <v>0</v>
          </cell>
          <cell r="AA187" t="b">
            <v>0</v>
          </cell>
          <cell r="AB187" t="b">
            <v>0</v>
          </cell>
          <cell r="AC187" t="b">
            <v>0</v>
          </cell>
          <cell r="AD187" t="b">
            <v>0</v>
          </cell>
        </row>
        <row r="188">
          <cell r="Z188" t="b">
            <v>0</v>
          </cell>
          <cell r="AA188" t="b">
            <v>0</v>
          </cell>
          <cell r="AB188" t="b">
            <v>0</v>
          </cell>
          <cell r="AC188" t="b">
            <v>0</v>
          </cell>
          <cell r="AD188" t="b">
            <v>0</v>
          </cell>
        </row>
        <row r="189">
          <cell r="Z189" t="b">
            <v>0</v>
          </cell>
          <cell r="AA189" t="b">
            <v>0</v>
          </cell>
          <cell r="AB189" t="b">
            <v>0</v>
          </cell>
          <cell r="AC189" t="b">
            <v>0</v>
          </cell>
          <cell r="AD189" t="b">
            <v>0</v>
          </cell>
        </row>
        <row r="190">
          <cell r="Z190" t="b">
            <v>0</v>
          </cell>
          <cell r="AA190" t="b">
            <v>0</v>
          </cell>
          <cell r="AB190" t="b">
            <v>0</v>
          </cell>
          <cell r="AC190" t="b">
            <v>0</v>
          </cell>
          <cell r="AD190" t="b">
            <v>0</v>
          </cell>
        </row>
        <row r="191">
          <cell r="Z191" t="b">
            <v>0</v>
          </cell>
          <cell r="AA191" t="b">
            <v>0</v>
          </cell>
          <cell r="AB191" t="b">
            <v>0</v>
          </cell>
          <cell r="AC191" t="b">
            <v>0</v>
          </cell>
          <cell r="AD191" t="b">
            <v>0</v>
          </cell>
        </row>
        <row r="192">
          <cell r="Z192" t="b">
            <v>0</v>
          </cell>
          <cell r="AA192" t="b">
            <v>0</v>
          </cell>
          <cell r="AB192" t="b">
            <v>0</v>
          </cell>
          <cell r="AC192" t="b">
            <v>0</v>
          </cell>
          <cell r="AD192" t="b">
            <v>0</v>
          </cell>
        </row>
        <row r="193">
          <cell r="Z193" t="b">
            <v>0</v>
          </cell>
          <cell r="AA193" t="b">
            <v>0</v>
          </cell>
          <cell r="AB193" t="b">
            <v>0</v>
          </cell>
          <cell r="AC193" t="b">
            <v>0</v>
          </cell>
          <cell r="AD193" t="b">
            <v>0</v>
          </cell>
        </row>
        <row r="194">
          <cell r="Z194" t="b">
            <v>0</v>
          </cell>
          <cell r="AA194" t="b">
            <v>0</v>
          </cell>
          <cell r="AB194" t="b">
            <v>0</v>
          </cell>
          <cell r="AC194" t="b">
            <v>0</v>
          </cell>
          <cell r="AD194" t="b">
            <v>0</v>
          </cell>
        </row>
        <row r="195">
          <cell r="Z195" t="b">
            <v>0</v>
          </cell>
          <cell r="AA195" t="b">
            <v>0</v>
          </cell>
          <cell r="AB195" t="b">
            <v>0</v>
          </cell>
          <cell r="AC195" t="b">
            <v>0</v>
          </cell>
          <cell r="AD195" t="b">
            <v>0</v>
          </cell>
        </row>
        <row r="196">
          <cell r="Z196" t="b">
            <v>0</v>
          </cell>
          <cell r="AA196" t="b">
            <v>0</v>
          </cell>
          <cell r="AB196" t="b">
            <v>0</v>
          </cell>
          <cell r="AC196" t="b">
            <v>0</v>
          </cell>
          <cell r="AD196" t="b">
            <v>0</v>
          </cell>
        </row>
        <row r="197">
          <cell r="Z197" t="b">
            <v>0</v>
          </cell>
          <cell r="AA197" t="b">
            <v>0</v>
          </cell>
          <cell r="AB197" t="b">
            <v>0</v>
          </cell>
          <cell r="AC197" t="b">
            <v>0</v>
          </cell>
          <cell r="AD197" t="b">
            <v>0</v>
          </cell>
        </row>
        <row r="198">
          <cell r="Z198" t="b">
            <v>0</v>
          </cell>
          <cell r="AA198" t="b">
            <v>0</v>
          </cell>
          <cell r="AB198" t="b">
            <v>0</v>
          </cell>
          <cell r="AC198" t="b">
            <v>0</v>
          </cell>
          <cell r="AD198" t="b">
            <v>0</v>
          </cell>
        </row>
        <row r="199">
          <cell r="Z199" t="b">
            <v>0</v>
          </cell>
          <cell r="AA199" t="b">
            <v>0</v>
          </cell>
          <cell r="AB199" t="b">
            <v>0</v>
          </cell>
          <cell r="AC199" t="b">
            <v>0</v>
          </cell>
          <cell r="AD199" t="b">
            <v>0</v>
          </cell>
        </row>
        <row r="200">
          <cell r="Z200" t="b">
            <v>0</v>
          </cell>
          <cell r="AA200" t="b">
            <v>0</v>
          </cell>
          <cell r="AB200" t="b">
            <v>0</v>
          </cell>
          <cell r="AC200" t="b">
            <v>0</v>
          </cell>
          <cell r="AD200" t="b">
            <v>0</v>
          </cell>
        </row>
        <row r="201">
          <cell r="Z201" t="b">
            <v>0</v>
          </cell>
          <cell r="AA201" t="b">
            <v>0</v>
          </cell>
          <cell r="AB201" t="b">
            <v>0</v>
          </cell>
          <cell r="AC201" t="b">
            <v>0</v>
          </cell>
          <cell r="AD201" t="b">
            <v>0</v>
          </cell>
        </row>
        <row r="202">
          <cell r="Z202" t="b">
            <v>0</v>
          </cell>
          <cell r="AA202" t="b">
            <v>0</v>
          </cell>
          <cell r="AB202" t="b">
            <v>0</v>
          </cell>
          <cell r="AC202" t="b">
            <v>0</v>
          </cell>
          <cell r="AD202" t="b">
            <v>0</v>
          </cell>
        </row>
        <row r="203">
          <cell r="Z203" t="b">
            <v>0</v>
          </cell>
          <cell r="AA203" t="b">
            <v>0</v>
          </cell>
          <cell r="AB203" t="b">
            <v>0</v>
          </cell>
          <cell r="AC203" t="b">
            <v>0</v>
          </cell>
          <cell r="AD203" t="b">
            <v>0</v>
          </cell>
        </row>
        <row r="204">
          <cell r="Z204" t="b">
            <v>0</v>
          </cell>
          <cell r="AA204" t="b">
            <v>0</v>
          </cell>
          <cell r="AB204" t="b">
            <v>0</v>
          </cell>
          <cell r="AC204" t="b">
            <v>0</v>
          </cell>
          <cell r="AD204" t="b">
            <v>0</v>
          </cell>
        </row>
        <row r="205">
          <cell r="Z205" t="b">
            <v>0</v>
          </cell>
          <cell r="AA205" t="b">
            <v>0</v>
          </cell>
          <cell r="AB205" t="b">
            <v>0</v>
          </cell>
          <cell r="AC205" t="b">
            <v>0</v>
          </cell>
          <cell r="AD205" t="b">
            <v>0</v>
          </cell>
        </row>
        <row r="206">
          <cell r="Z206" t="b">
            <v>0</v>
          </cell>
          <cell r="AA206" t="b">
            <v>0</v>
          </cell>
          <cell r="AB206" t="b">
            <v>0</v>
          </cell>
          <cell r="AC206" t="b">
            <v>0</v>
          </cell>
          <cell r="AD206" t="b">
            <v>0</v>
          </cell>
        </row>
        <row r="207">
          <cell r="Z207" t="b">
            <v>0</v>
          </cell>
          <cell r="AA207" t="b">
            <v>0</v>
          </cell>
          <cell r="AB207" t="b">
            <v>0</v>
          </cell>
          <cell r="AC207" t="b">
            <v>0</v>
          </cell>
          <cell r="AD207" t="b">
            <v>0</v>
          </cell>
        </row>
        <row r="208">
          <cell r="Z208" t="b">
            <v>0</v>
          </cell>
          <cell r="AA208" t="b">
            <v>0</v>
          </cell>
          <cell r="AB208" t="b">
            <v>0</v>
          </cell>
          <cell r="AC208" t="b">
            <v>0</v>
          </cell>
          <cell r="AD208" t="b">
            <v>0</v>
          </cell>
        </row>
        <row r="209">
          <cell r="Z209" t="b">
            <v>0</v>
          </cell>
          <cell r="AA209" t="b">
            <v>0</v>
          </cell>
          <cell r="AB209" t="b">
            <v>0</v>
          </cell>
          <cell r="AC209" t="b">
            <v>0</v>
          </cell>
          <cell r="AD209" t="b">
            <v>0</v>
          </cell>
        </row>
        <row r="210">
          <cell r="Z210" t="b">
            <v>0</v>
          </cell>
          <cell r="AA210" t="b">
            <v>0</v>
          </cell>
          <cell r="AB210" t="b">
            <v>0</v>
          </cell>
          <cell r="AC210" t="b">
            <v>0</v>
          </cell>
          <cell r="AD210" t="b">
            <v>0</v>
          </cell>
        </row>
        <row r="211">
          <cell r="Z211" t="b">
            <v>0</v>
          </cell>
          <cell r="AA211" t="b">
            <v>0</v>
          </cell>
          <cell r="AB211" t="b">
            <v>0</v>
          </cell>
          <cell r="AC211" t="b">
            <v>0</v>
          </cell>
          <cell r="AD211" t="b">
            <v>0</v>
          </cell>
        </row>
        <row r="212">
          <cell r="Z212" t="b">
            <v>0</v>
          </cell>
          <cell r="AA212" t="b">
            <v>0</v>
          </cell>
          <cell r="AB212" t="b">
            <v>0</v>
          </cell>
          <cell r="AC212" t="b">
            <v>0</v>
          </cell>
          <cell r="AD212" t="b">
            <v>0</v>
          </cell>
        </row>
        <row r="213">
          <cell r="Z213" t="b">
            <v>0</v>
          </cell>
          <cell r="AA213" t="b">
            <v>0</v>
          </cell>
          <cell r="AB213" t="b">
            <v>0</v>
          </cell>
          <cell r="AC213" t="b">
            <v>0</v>
          </cell>
          <cell r="AD213" t="b">
            <v>0</v>
          </cell>
        </row>
        <row r="214">
          <cell r="Z214" t="b">
            <v>0</v>
          </cell>
          <cell r="AA214" t="b">
            <v>0</v>
          </cell>
          <cell r="AB214" t="b">
            <v>0</v>
          </cell>
          <cell r="AC214" t="b">
            <v>0</v>
          </cell>
          <cell r="AD214" t="b">
            <v>0</v>
          </cell>
        </row>
        <row r="215">
          <cell r="Z215" t="b">
            <v>0</v>
          </cell>
          <cell r="AA215" t="b">
            <v>0</v>
          </cell>
          <cell r="AB215" t="b">
            <v>0</v>
          </cell>
          <cell r="AC215" t="b">
            <v>0</v>
          </cell>
          <cell r="AD215" t="b">
            <v>0</v>
          </cell>
        </row>
        <row r="216">
          <cell r="Z216" t="b">
            <v>0</v>
          </cell>
          <cell r="AA216" t="b">
            <v>0</v>
          </cell>
          <cell r="AB216" t="b">
            <v>0</v>
          </cell>
          <cell r="AC216" t="b">
            <v>0</v>
          </cell>
          <cell r="AD216" t="b">
            <v>0</v>
          </cell>
        </row>
        <row r="217">
          <cell r="Z217" t="b">
            <v>0</v>
          </cell>
          <cell r="AA217" t="b">
            <v>0</v>
          </cell>
          <cell r="AB217" t="b">
            <v>0</v>
          </cell>
          <cell r="AC217" t="b">
            <v>0</v>
          </cell>
          <cell r="AD217" t="b">
            <v>0</v>
          </cell>
        </row>
        <row r="218">
          <cell r="Z218" t="b">
            <v>0</v>
          </cell>
          <cell r="AA218" t="b">
            <v>0</v>
          </cell>
          <cell r="AB218" t="b">
            <v>0</v>
          </cell>
          <cell r="AC218" t="b">
            <v>0</v>
          </cell>
          <cell r="AD218" t="b">
            <v>0</v>
          </cell>
        </row>
        <row r="219">
          <cell r="Z219" t="b">
            <v>0</v>
          </cell>
          <cell r="AA219" t="b">
            <v>0</v>
          </cell>
          <cell r="AB219" t="b">
            <v>0</v>
          </cell>
          <cell r="AC219" t="b">
            <v>0</v>
          </cell>
          <cell r="AD219" t="b">
            <v>0</v>
          </cell>
        </row>
        <row r="220">
          <cell r="Z220" t="b">
            <v>0</v>
          </cell>
          <cell r="AA220" t="b">
            <v>0</v>
          </cell>
          <cell r="AB220" t="b">
            <v>0</v>
          </cell>
          <cell r="AC220" t="b">
            <v>0</v>
          </cell>
          <cell r="AD220" t="b">
            <v>0</v>
          </cell>
        </row>
        <row r="221">
          <cell r="Z221" t="b">
            <v>0</v>
          </cell>
          <cell r="AA221" t="b">
            <v>0</v>
          </cell>
          <cell r="AB221" t="b">
            <v>0</v>
          </cell>
          <cell r="AC221" t="b">
            <v>0</v>
          </cell>
          <cell r="AD221" t="b">
            <v>0</v>
          </cell>
        </row>
        <row r="222">
          <cell r="Z222" t="b">
            <v>0</v>
          </cell>
          <cell r="AA222" t="b">
            <v>0</v>
          </cell>
          <cell r="AB222" t="b">
            <v>0</v>
          </cell>
          <cell r="AC222" t="b">
            <v>0</v>
          </cell>
          <cell r="AD222" t="b">
            <v>0</v>
          </cell>
        </row>
        <row r="223">
          <cell r="Z223" t="b">
            <v>0</v>
          </cell>
          <cell r="AA223" t="b">
            <v>0</v>
          </cell>
          <cell r="AB223" t="b">
            <v>0</v>
          </cell>
          <cell r="AC223" t="b">
            <v>0</v>
          </cell>
          <cell r="AD223" t="b">
            <v>0</v>
          </cell>
        </row>
        <row r="224">
          <cell r="Z224" t="b">
            <v>0</v>
          </cell>
          <cell r="AA224" t="b">
            <v>0</v>
          </cell>
          <cell r="AB224" t="b">
            <v>0</v>
          </cell>
          <cell r="AC224" t="b">
            <v>0</v>
          </cell>
          <cell r="AD224" t="b">
            <v>0</v>
          </cell>
        </row>
        <row r="225">
          <cell r="Z225" t="b">
            <v>0</v>
          </cell>
          <cell r="AA225" t="b">
            <v>0</v>
          </cell>
          <cell r="AB225" t="b">
            <v>0</v>
          </cell>
          <cell r="AC225" t="b">
            <v>0</v>
          </cell>
          <cell r="AD225" t="b">
            <v>0</v>
          </cell>
        </row>
        <row r="226">
          <cell r="Z226" t="b">
            <v>0</v>
          </cell>
          <cell r="AA226" t="b">
            <v>0</v>
          </cell>
          <cell r="AB226" t="b">
            <v>0</v>
          </cell>
          <cell r="AC226" t="b">
            <v>0</v>
          </cell>
          <cell r="AD226" t="b">
            <v>0</v>
          </cell>
        </row>
        <row r="227">
          <cell r="Z227" t="b">
            <v>0</v>
          </cell>
          <cell r="AA227" t="b">
            <v>0</v>
          </cell>
          <cell r="AB227" t="b">
            <v>0</v>
          </cell>
          <cell r="AC227" t="b">
            <v>0</v>
          </cell>
          <cell r="AD227" t="b">
            <v>0</v>
          </cell>
        </row>
        <row r="228">
          <cell r="Z228" t="b">
            <v>0</v>
          </cell>
          <cell r="AA228" t="b">
            <v>0</v>
          </cell>
          <cell r="AB228" t="b">
            <v>0</v>
          </cell>
          <cell r="AC228" t="b">
            <v>0</v>
          </cell>
          <cell r="AD228" t="b">
            <v>0</v>
          </cell>
        </row>
        <row r="229">
          <cell r="Z229" t="b">
            <v>0</v>
          </cell>
          <cell r="AA229" t="b">
            <v>0</v>
          </cell>
          <cell r="AB229" t="b">
            <v>0</v>
          </cell>
          <cell r="AC229" t="b">
            <v>0</v>
          </cell>
          <cell r="AD229" t="b">
            <v>0</v>
          </cell>
        </row>
        <row r="230">
          <cell r="Z230" t="b">
            <v>0</v>
          </cell>
          <cell r="AA230" t="b">
            <v>0</v>
          </cell>
          <cell r="AB230" t="b">
            <v>0</v>
          </cell>
          <cell r="AC230" t="b">
            <v>0</v>
          </cell>
          <cell r="AD230" t="b">
            <v>0</v>
          </cell>
        </row>
        <row r="231">
          <cell r="Z231" t="b">
            <v>0</v>
          </cell>
          <cell r="AA231" t="b">
            <v>0</v>
          </cell>
          <cell r="AB231" t="b">
            <v>0</v>
          </cell>
          <cell r="AC231" t="b">
            <v>0</v>
          </cell>
          <cell r="AD231" t="b">
            <v>0</v>
          </cell>
        </row>
        <row r="232">
          <cell r="Z232" t="b">
            <v>0</v>
          </cell>
          <cell r="AA232" t="b">
            <v>0</v>
          </cell>
          <cell r="AB232" t="b">
            <v>0</v>
          </cell>
          <cell r="AC232" t="b">
            <v>0</v>
          </cell>
          <cell r="AD232" t="b">
            <v>0</v>
          </cell>
        </row>
        <row r="233">
          <cell r="Z233" t="b">
            <v>0</v>
          </cell>
          <cell r="AA233" t="b">
            <v>0</v>
          </cell>
          <cell r="AB233" t="b">
            <v>0</v>
          </cell>
          <cell r="AC233" t="b">
            <v>0</v>
          </cell>
          <cell r="AD233" t="b">
            <v>0</v>
          </cell>
        </row>
        <row r="234">
          <cell r="Z234" t="b">
            <v>0</v>
          </cell>
          <cell r="AA234" t="b">
            <v>0</v>
          </cell>
          <cell r="AB234" t="b">
            <v>0</v>
          </cell>
          <cell r="AC234" t="b">
            <v>0</v>
          </cell>
          <cell r="AD234" t="b">
            <v>0</v>
          </cell>
        </row>
        <row r="235">
          <cell r="Z235" t="b">
            <v>0</v>
          </cell>
          <cell r="AA235" t="b">
            <v>0</v>
          </cell>
          <cell r="AB235" t="b">
            <v>0</v>
          </cell>
          <cell r="AC235" t="b">
            <v>0</v>
          </cell>
          <cell r="AD235" t="b">
            <v>0</v>
          </cell>
        </row>
        <row r="236">
          <cell r="Z236" t="b">
            <v>0</v>
          </cell>
          <cell r="AA236" t="b">
            <v>0</v>
          </cell>
          <cell r="AB236" t="b">
            <v>0</v>
          </cell>
          <cell r="AC236" t="b">
            <v>0</v>
          </cell>
          <cell r="AD236" t="b">
            <v>0</v>
          </cell>
        </row>
        <row r="237">
          <cell r="Z237" t="b">
            <v>0</v>
          </cell>
          <cell r="AA237" t="b">
            <v>0</v>
          </cell>
          <cell r="AB237" t="b">
            <v>0</v>
          </cell>
          <cell r="AC237" t="b">
            <v>0</v>
          </cell>
          <cell r="AD237" t="b">
            <v>0</v>
          </cell>
        </row>
        <row r="238">
          <cell r="Z238" t="b">
            <v>0</v>
          </cell>
          <cell r="AA238" t="b">
            <v>0</v>
          </cell>
          <cell r="AB238" t="b">
            <v>0</v>
          </cell>
          <cell r="AC238" t="b">
            <v>0</v>
          </cell>
          <cell r="AD238" t="b">
            <v>0</v>
          </cell>
        </row>
        <row r="239">
          <cell r="Z239" t="b">
            <v>0</v>
          </cell>
          <cell r="AA239" t="b">
            <v>0</v>
          </cell>
          <cell r="AB239" t="b">
            <v>0</v>
          </cell>
          <cell r="AC239" t="b">
            <v>0</v>
          </cell>
          <cell r="AD239" t="b">
            <v>0</v>
          </cell>
        </row>
        <row r="240">
          <cell r="Z240" t="b">
            <v>0</v>
          </cell>
          <cell r="AA240" t="b">
            <v>0</v>
          </cell>
          <cell r="AB240" t="b">
            <v>0</v>
          </cell>
          <cell r="AC240" t="b">
            <v>0</v>
          </cell>
          <cell r="AD240" t="b">
            <v>0</v>
          </cell>
        </row>
        <row r="241">
          <cell r="Z241" t="b">
            <v>0</v>
          </cell>
          <cell r="AA241" t="b">
            <v>0</v>
          </cell>
          <cell r="AB241" t="b">
            <v>0</v>
          </cell>
          <cell r="AC241" t="b">
            <v>0</v>
          </cell>
          <cell r="AD241" t="b">
            <v>0</v>
          </cell>
        </row>
        <row r="242">
          <cell r="Z242" t="b">
            <v>0</v>
          </cell>
          <cell r="AA242" t="b">
            <v>0</v>
          </cell>
          <cell r="AB242" t="b">
            <v>0</v>
          </cell>
          <cell r="AC242" t="b">
            <v>0</v>
          </cell>
          <cell r="AD242" t="b">
            <v>0</v>
          </cell>
        </row>
        <row r="243">
          <cell r="Z243" t="b">
            <v>0</v>
          </cell>
          <cell r="AA243" t="b">
            <v>0</v>
          </cell>
          <cell r="AB243" t="b">
            <v>0</v>
          </cell>
          <cell r="AC243" t="b">
            <v>0</v>
          </cell>
          <cell r="AD243" t="b">
            <v>0</v>
          </cell>
        </row>
        <row r="244">
          <cell r="Z244" t="b">
            <v>0</v>
          </cell>
          <cell r="AA244" t="b">
            <v>0</v>
          </cell>
          <cell r="AB244" t="b">
            <v>0</v>
          </cell>
          <cell r="AC244" t="b">
            <v>0</v>
          </cell>
          <cell r="AD244" t="b">
            <v>0</v>
          </cell>
        </row>
        <row r="245">
          <cell r="Z245" t="b">
            <v>0</v>
          </cell>
          <cell r="AA245" t="b">
            <v>0</v>
          </cell>
          <cell r="AB245" t="b">
            <v>0</v>
          </cell>
          <cell r="AC245" t="b">
            <v>0</v>
          </cell>
          <cell r="AD245" t="b">
            <v>0</v>
          </cell>
        </row>
        <row r="246">
          <cell r="Z246" t="b">
            <v>0</v>
          </cell>
          <cell r="AA246" t="b">
            <v>0</v>
          </cell>
          <cell r="AB246" t="b">
            <v>0</v>
          </cell>
          <cell r="AC246" t="b">
            <v>0</v>
          </cell>
          <cell r="AD246" t="b">
            <v>0</v>
          </cell>
        </row>
        <row r="247">
          <cell r="Z247" t="b">
            <v>0</v>
          </cell>
          <cell r="AA247" t="b">
            <v>0</v>
          </cell>
          <cell r="AB247" t="b">
            <v>0</v>
          </cell>
          <cell r="AC247" t="b">
            <v>0</v>
          </cell>
          <cell r="AD247" t="b">
            <v>0</v>
          </cell>
        </row>
        <row r="248">
          <cell r="Z248" t="b">
            <v>0</v>
          </cell>
          <cell r="AA248" t="b">
            <v>0</v>
          </cell>
          <cell r="AB248" t="b">
            <v>0</v>
          </cell>
          <cell r="AC248" t="b">
            <v>0</v>
          </cell>
          <cell r="AD248" t="b">
            <v>0</v>
          </cell>
        </row>
        <row r="249">
          <cell r="Z249" t="b">
            <v>0</v>
          </cell>
          <cell r="AA249" t="b">
            <v>0</v>
          </cell>
          <cell r="AB249" t="b">
            <v>0</v>
          </cell>
          <cell r="AC249" t="b">
            <v>0</v>
          </cell>
          <cell r="AD249" t="b">
            <v>0</v>
          </cell>
        </row>
        <row r="250">
          <cell r="Z250" t="b">
            <v>0</v>
          </cell>
          <cell r="AA250" t="b">
            <v>0</v>
          </cell>
          <cell r="AB250" t="b">
            <v>0</v>
          </cell>
          <cell r="AC250" t="b">
            <v>0</v>
          </cell>
          <cell r="AD250" t="b">
            <v>0</v>
          </cell>
        </row>
        <row r="251">
          <cell r="Z251" t="b">
            <v>0</v>
          </cell>
          <cell r="AA251" t="b">
            <v>0</v>
          </cell>
          <cell r="AB251" t="b">
            <v>0</v>
          </cell>
          <cell r="AC251" t="b">
            <v>0</v>
          </cell>
          <cell r="AD251" t="b">
            <v>0</v>
          </cell>
        </row>
        <row r="252">
          <cell r="Z252" t="b">
            <v>0</v>
          </cell>
          <cell r="AA252" t="b">
            <v>0</v>
          </cell>
          <cell r="AB252" t="b">
            <v>0</v>
          </cell>
          <cell r="AC252" t="b">
            <v>0</v>
          </cell>
          <cell r="AD252" t="b">
            <v>0</v>
          </cell>
        </row>
        <row r="253">
          <cell r="Z253" t="b">
            <v>0</v>
          </cell>
          <cell r="AA253" t="b">
            <v>0</v>
          </cell>
          <cell r="AB253" t="b">
            <v>0</v>
          </cell>
          <cell r="AC253" t="b">
            <v>0</v>
          </cell>
          <cell r="AD253" t="b">
            <v>0</v>
          </cell>
        </row>
        <row r="254">
          <cell r="Z254" t="b">
            <v>0</v>
          </cell>
          <cell r="AA254" t="b">
            <v>0</v>
          </cell>
          <cell r="AB254" t="b">
            <v>0</v>
          </cell>
          <cell r="AC254" t="b">
            <v>0</v>
          </cell>
          <cell r="AD254" t="b">
            <v>0</v>
          </cell>
        </row>
        <row r="255">
          <cell r="Z255" t="b">
            <v>0</v>
          </cell>
          <cell r="AA255" t="b">
            <v>0</v>
          </cell>
          <cell r="AB255" t="b">
            <v>0</v>
          </cell>
          <cell r="AC255" t="b">
            <v>0</v>
          </cell>
          <cell r="AD255" t="b">
            <v>0</v>
          </cell>
        </row>
        <row r="256">
          <cell r="Z256" t="b">
            <v>0</v>
          </cell>
          <cell r="AA256" t="b">
            <v>0</v>
          </cell>
          <cell r="AB256" t="b">
            <v>0</v>
          </cell>
          <cell r="AC256" t="b">
            <v>0</v>
          </cell>
          <cell r="AD256" t="b">
            <v>0</v>
          </cell>
        </row>
        <row r="257">
          <cell r="Z257" t="b">
            <v>0</v>
          </cell>
          <cell r="AA257" t="b">
            <v>0</v>
          </cell>
          <cell r="AB257" t="b">
            <v>0</v>
          </cell>
          <cell r="AC257" t="b">
            <v>0</v>
          </cell>
          <cell r="AD257" t="b">
            <v>0</v>
          </cell>
        </row>
        <row r="258">
          <cell r="Z258" t="b">
            <v>0</v>
          </cell>
          <cell r="AA258" t="b">
            <v>0</v>
          </cell>
          <cell r="AB258" t="b">
            <v>0</v>
          </cell>
          <cell r="AC258" t="b">
            <v>0</v>
          </cell>
          <cell r="AD258" t="b">
            <v>0</v>
          </cell>
        </row>
        <row r="259">
          <cell r="Z259" t="b">
            <v>0</v>
          </cell>
          <cell r="AA259" t="b">
            <v>0</v>
          </cell>
          <cell r="AB259" t="b">
            <v>0</v>
          </cell>
          <cell r="AC259" t="b">
            <v>0</v>
          </cell>
          <cell r="AD259" t="b">
            <v>0</v>
          </cell>
        </row>
        <row r="260">
          <cell r="Z260" t="b">
            <v>0</v>
          </cell>
          <cell r="AA260" t="b">
            <v>0</v>
          </cell>
          <cell r="AB260" t="b">
            <v>0</v>
          </cell>
          <cell r="AC260" t="b">
            <v>0</v>
          </cell>
          <cell r="AD260" t="b">
            <v>0</v>
          </cell>
        </row>
        <row r="261">
          <cell r="Z261" t="b">
            <v>0</v>
          </cell>
          <cell r="AA261" t="b">
            <v>0</v>
          </cell>
          <cell r="AB261" t="b">
            <v>0</v>
          </cell>
          <cell r="AC261" t="b">
            <v>0</v>
          </cell>
          <cell r="AD261" t="b">
            <v>0</v>
          </cell>
        </row>
        <row r="262">
          <cell r="Z262" t="b">
            <v>0</v>
          </cell>
          <cell r="AA262" t="b">
            <v>0</v>
          </cell>
          <cell r="AB262" t="b">
            <v>0</v>
          </cell>
          <cell r="AC262" t="b">
            <v>0</v>
          </cell>
          <cell r="AD262" t="b">
            <v>0</v>
          </cell>
        </row>
        <row r="263">
          <cell r="Z263" t="b">
            <v>0</v>
          </cell>
          <cell r="AA263" t="b">
            <v>0</v>
          </cell>
          <cell r="AB263" t="b">
            <v>0</v>
          </cell>
          <cell r="AC263" t="b">
            <v>0</v>
          </cell>
          <cell r="AD263" t="b">
            <v>0</v>
          </cell>
        </row>
        <row r="264">
          <cell r="Z264" t="b">
            <v>0</v>
          </cell>
          <cell r="AA264" t="b">
            <v>0</v>
          </cell>
          <cell r="AB264" t="b">
            <v>0</v>
          </cell>
          <cell r="AC264" t="b">
            <v>0</v>
          </cell>
          <cell r="AD264" t="b">
            <v>0</v>
          </cell>
        </row>
        <row r="265">
          <cell r="Z265" t="b">
            <v>0</v>
          </cell>
          <cell r="AA265" t="b">
            <v>0</v>
          </cell>
          <cell r="AB265" t="b">
            <v>0</v>
          </cell>
          <cell r="AC265" t="b">
            <v>0</v>
          </cell>
          <cell r="AD265" t="b">
            <v>0</v>
          </cell>
        </row>
        <row r="266">
          <cell r="Z266" t="b">
            <v>0</v>
          </cell>
          <cell r="AA266" t="b">
            <v>0</v>
          </cell>
          <cell r="AB266" t="b">
            <v>0</v>
          </cell>
          <cell r="AC266" t="b">
            <v>0</v>
          </cell>
          <cell r="AD266" t="b">
            <v>0</v>
          </cell>
        </row>
        <row r="267">
          <cell r="Z267" t="b">
            <v>0</v>
          </cell>
          <cell r="AA267" t="b">
            <v>0</v>
          </cell>
          <cell r="AB267" t="b">
            <v>0</v>
          </cell>
          <cell r="AC267" t="b">
            <v>0</v>
          </cell>
          <cell r="AD267" t="b">
            <v>0</v>
          </cell>
        </row>
        <row r="268">
          <cell r="Z268" t="b">
            <v>0</v>
          </cell>
          <cell r="AA268" t="b">
            <v>0</v>
          </cell>
          <cell r="AB268" t="b">
            <v>0</v>
          </cell>
          <cell r="AC268" t="b">
            <v>0</v>
          </cell>
          <cell r="AD268" t="b">
            <v>0</v>
          </cell>
        </row>
        <row r="269">
          <cell r="Z269" t="b">
            <v>0</v>
          </cell>
          <cell r="AA269" t="b">
            <v>0</v>
          </cell>
          <cell r="AB269" t="b">
            <v>0</v>
          </cell>
          <cell r="AC269" t="b">
            <v>0</v>
          </cell>
          <cell r="AD269" t="b">
            <v>0</v>
          </cell>
        </row>
        <row r="270">
          <cell r="Z270" t="b">
            <v>0</v>
          </cell>
          <cell r="AA270" t="b">
            <v>0</v>
          </cell>
          <cell r="AB270" t="b">
            <v>0</v>
          </cell>
          <cell r="AC270" t="b">
            <v>0</v>
          </cell>
          <cell r="AD270" t="b">
            <v>0</v>
          </cell>
        </row>
        <row r="271">
          <cell r="Z271" t="b">
            <v>0</v>
          </cell>
          <cell r="AA271" t="b">
            <v>0</v>
          </cell>
          <cell r="AB271" t="b">
            <v>0</v>
          </cell>
          <cell r="AC271" t="b">
            <v>0</v>
          </cell>
          <cell r="AD271" t="b">
            <v>0</v>
          </cell>
        </row>
        <row r="272">
          <cell r="Z272" t="b">
            <v>0</v>
          </cell>
          <cell r="AA272" t="b">
            <v>0</v>
          </cell>
          <cell r="AB272" t="b">
            <v>0</v>
          </cell>
          <cell r="AC272" t="b">
            <v>0</v>
          </cell>
          <cell r="AD272" t="b">
            <v>0</v>
          </cell>
        </row>
        <row r="273">
          <cell r="Z273" t="b">
            <v>0</v>
          </cell>
          <cell r="AA273" t="b">
            <v>0</v>
          </cell>
          <cell r="AB273" t="b">
            <v>0</v>
          </cell>
          <cell r="AC273" t="b">
            <v>0</v>
          </cell>
          <cell r="AD273" t="b">
            <v>0</v>
          </cell>
        </row>
        <row r="274">
          <cell r="Z274" t="b">
            <v>0</v>
          </cell>
          <cell r="AA274" t="b">
            <v>0</v>
          </cell>
          <cell r="AB274" t="b">
            <v>0</v>
          </cell>
          <cell r="AC274" t="b">
            <v>0</v>
          </cell>
          <cell r="AD274" t="b">
            <v>0</v>
          </cell>
        </row>
        <row r="275">
          <cell r="Z275" t="b">
            <v>0</v>
          </cell>
          <cell r="AA275" t="b">
            <v>0</v>
          </cell>
          <cell r="AB275" t="b">
            <v>0</v>
          </cell>
          <cell r="AC275" t="b">
            <v>0</v>
          </cell>
          <cell r="AD275" t="b">
            <v>0</v>
          </cell>
        </row>
        <row r="276">
          <cell r="Z276" t="b">
            <v>0</v>
          </cell>
          <cell r="AA276" t="b">
            <v>0</v>
          </cell>
          <cell r="AB276" t="b">
            <v>0</v>
          </cell>
          <cell r="AC276" t="b">
            <v>0</v>
          </cell>
          <cell r="AD276" t="b">
            <v>0</v>
          </cell>
        </row>
        <row r="277">
          <cell r="Z277" t="b">
            <v>0</v>
          </cell>
          <cell r="AA277" t="b">
            <v>0</v>
          </cell>
          <cell r="AB277" t="b">
            <v>0</v>
          </cell>
          <cell r="AC277" t="b">
            <v>0</v>
          </cell>
          <cell r="AD277" t="b">
            <v>0</v>
          </cell>
        </row>
        <row r="278">
          <cell r="Z278" t="b">
            <v>0</v>
          </cell>
          <cell r="AA278" t="b">
            <v>0</v>
          </cell>
          <cell r="AB278" t="b">
            <v>0</v>
          </cell>
          <cell r="AC278" t="b">
            <v>0</v>
          </cell>
          <cell r="AD278" t="b">
            <v>0</v>
          </cell>
        </row>
        <row r="279">
          <cell r="Z279" t="b">
            <v>0</v>
          </cell>
          <cell r="AA279" t="b">
            <v>0</v>
          </cell>
          <cell r="AB279" t="b">
            <v>0</v>
          </cell>
          <cell r="AC279" t="b">
            <v>0</v>
          </cell>
          <cell r="AD279" t="b">
            <v>0</v>
          </cell>
        </row>
        <row r="280">
          <cell r="Z280" t="b">
            <v>0</v>
          </cell>
          <cell r="AA280" t="b">
            <v>0</v>
          </cell>
          <cell r="AB280" t="b">
            <v>0</v>
          </cell>
          <cell r="AC280" t="b">
            <v>0</v>
          </cell>
          <cell r="AD280" t="b">
            <v>0</v>
          </cell>
        </row>
        <row r="281">
          <cell r="Z281" t="b">
            <v>0</v>
          </cell>
          <cell r="AA281" t="b">
            <v>0</v>
          </cell>
          <cell r="AB281" t="b">
            <v>0</v>
          </cell>
          <cell r="AC281" t="b">
            <v>0</v>
          </cell>
          <cell r="AD281" t="b">
            <v>0</v>
          </cell>
        </row>
        <row r="282">
          <cell r="Z282" t="b">
            <v>0</v>
          </cell>
          <cell r="AA282" t="b">
            <v>0</v>
          </cell>
          <cell r="AB282" t="b">
            <v>0</v>
          </cell>
          <cell r="AC282" t="b">
            <v>0</v>
          </cell>
          <cell r="AD282" t="b">
            <v>0</v>
          </cell>
        </row>
        <row r="283">
          <cell r="Z283" t="b">
            <v>0</v>
          </cell>
          <cell r="AA283" t="b">
            <v>0</v>
          </cell>
          <cell r="AB283" t="b">
            <v>0</v>
          </cell>
          <cell r="AC283" t="b">
            <v>0</v>
          </cell>
          <cell r="AD283" t="b">
            <v>0</v>
          </cell>
        </row>
        <row r="284">
          <cell r="Z284" t="b">
            <v>0</v>
          </cell>
          <cell r="AA284" t="b">
            <v>0</v>
          </cell>
          <cell r="AB284" t="b">
            <v>0</v>
          </cell>
          <cell r="AC284" t="b">
            <v>0</v>
          </cell>
          <cell r="AD284" t="b">
            <v>0</v>
          </cell>
        </row>
        <row r="285">
          <cell r="Z285" t="b">
            <v>0</v>
          </cell>
          <cell r="AA285" t="b">
            <v>0</v>
          </cell>
          <cell r="AB285" t="b">
            <v>0</v>
          </cell>
          <cell r="AC285" t="b">
            <v>0</v>
          </cell>
          <cell r="AD285" t="b">
            <v>0</v>
          </cell>
        </row>
        <row r="286">
          <cell r="Z286" t="b">
            <v>0</v>
          </cell>
          <cell r="AA286" t="b">
            <v>0</v>
          </cell>
          <cell r="AB286" t="b">
            <v>0</v>
          </cell>
          <cell r="AC286" t="b">
            <v>0</v>
          </cell>
          <cell r="AD286" t="b">
            <v>0</v>
          </cell>
        </row>
        <row r="287">
          <cell r="Z287" t="b">
            <v>0</v>
          </cell>
          <cell r="AA287" t="b">
            <v>0</v>
          </cell>
          <cell r="AB287" t="b">
            <v>0</v>
          </cell>
          <cell r="AC287" t="b">
            <v>0</v>
          </cell>
          <cell r="AD287" t="b">
            <v>0</v>
          </cell>
        </row>
        <row r="288">
          <cell r="Z288" t="b">
            <v>0</v>
          </cell>
          <cell r="AA288" t="b">
            <v>0</v>
          </cell>
          <cell r="AB288" t="b">
            <v>0</v>
          </cell>
          <cell r="AC288" t="b">
            <v>0</v>
          </cell>
          <cell r="AD288" t="b">
            <v>0</v>
          </cell>
        </row>
        <row r="289">
          <cell r="Z289" t="b">
            <v>0</v>
          </cell>
          <cell r="AA289" t="b">
            <v>0</v>
          </cell>
          <cell r="AB289" t="b">
            <v>0</v>
          </cell>
          <cell r="AC289" t="b">
            <v>0</v>
          </cell>
          <cell r="AD289" t="b">
            <v>0</v>
          </cell>
        </row>
        <row r="290">
          <cell r="Z290" t="b">
            <v>0</v>
          </cell>
          <cell r="AA290" t="b">
            <v>0</v>
          </cell>
          <cell r="AB290" t="b">
            <v>0</v>
          </cell>
          <cell r="AC290" t="b">
            <v>0</v>
          </cell>
          <cell r="AD290" t="b">
            <v>0</v>
          </cell>
        </row>
        <row r="291">
          <cell r="Z291" t="b">
            <v>0</v>
          </cell>
          <cell r="AA291" t="b">
            <v>0</v>
          </cell>
          <cell r="AB291" t="b">
            <v>0</v>
          </cell>
          <cell r="AC291" t="b">
            <v>0</v>
          </cell>
          <cell r="AD291" t="b">
            <v>0</v>
          </cell>
        </row>
        <row r="292">
          <cell r="Z292" t="b">
            <v>0</v>
          </cell>
          <cell r="AA292" t="b">
            <v>0</v>
          </cell>
          <cell r="AB292" t="b">
            <v>0</v>
          </cell>
          <cell r="AC292" t="b">
            <v>0</v>
          </cell>
          <cell r="AD292" t="b">
            <v>0</v>
          </cell>
        </row>
        <row r="293">
          <cell r="Z293" t="b">
            <v>0</v>
          </cell>
          <cell r="AA293" t="b">
            <v>0</v>
          </cell>
          <cell r="AB293" t="b">
            <v>0</v>
          </cell>
          <cell r="AC293" t="b">
            <v>0</v>
          </cell>
          <cell r="AD293" t="b">
            <v>0</v>
          </cell>
        </row>
        <row r="294">
          <cell r="Z294" t="b">
            <v>0</v>
          </cell>
          <cell r="AA294" t="b">
            <v>0</v>
          </cell>
          <cell r="AB294" t="b">
            <v>0</v>
          </cell>
          <cell r="AC294" t="b">
            <v>0</v>
          </cell>
          <cell r="AD294" t="b">
            <v>0</v>
          </cell>
        </row>
        <row r="295">
          <cell r="Z295" t="b">
            <v>0</v>
          </cell>
          <cell r="AA295" t="b">
            <v>0</v>
          </cell>
          <cell r="AB295" t="b">
            <v>0</v>
          </cell>
          <cell r="AC295" t="b">
            <v>0</v>
          </cell>
          <cell r="AD295" t="b">
            <v>0</v>
          </cell>
        </row>
        <row r="296">
          <cell r="Z296" t="b">
            <v>0</v>
          </cell>
          <cell r="AA296" t="b">
            <v>0</v>
          </cell>
          <cell r="AB296" t="b">
            <v>0</v>
          </cell>
          <cell r="AC296" t="b">
            <v>0</v>
          </cell>
          <cell r="AD296" t="b">
            <v>0</v>
          </cell>
        </row>
        <row r="297">
          <cell r="Z297" t="b">
            <v>0</v>
          </cell>
          <cell r="AA297" t="b">
            <v>0</v>
          </cell>
          <cell r="AB297" t="b">
            <v>0</v>
          </cell>
          <cell r="AC297" t="b">
            <v>0</v>
          </cell>
          <cell r="AD297" t="b">
            <v>0</v>
          </cell>
        </row>
        <row r="298">
          <cell r="Z298" t="b">
            <v>0</v>
          </cell>
          <cell r="AA298" t="b">
            <v>0</v>
          </cell>
          <cell r="AB298" t="b">
            <v>0</v>
          </cell>
          <cell r="AC298" t="b">
            <v>0</v>
          </cell>
          <cell r="AD298" t="b">
            <v>0</v>
          </cell>
        </row>
        <row r="299">
          <cell r="Z299" t="b">
            <v>0</v>
          </cell>
          <cell r="AA299" t="b">
            <v>0</v>
          </cell>
          <cell r="AB299" t="b">
            <v>0</v>
          </cell>
          <cell r="AC299" t="b">
            <v>0</v>
          </cell>
          <cell r="AD299" t="b">
            <v>0</v>
          </cell>
        </row>
        <row r="300">
          <cell r="Z300" t="b">
            <v>0</v>
          </cell>
          <cell r="AA300" t="b">
            <v>0</v>
          </cell>
          <cell r="AB300" t="b">
            <v>0</v>
          </cell>
          <cell r="AC300" t="b">
            <v>0</v>
          </cell>
          <cell r="AD300" t="b">
            <v>0</v>
          </cell>
        </row>
        <row r="301">
          <cell r="Z301" t="b">
            <v>0</v>
          </cell>
          <cell r="AA301" t="b">
            <v>0</v>
          </cell>
          <cell r="AB301" t="b">
            <v>0</v>
          </cell>
          <cell r="AC301" t="b">
            <v>0</v>
          </cell>
          <cell r="AD301" t="b">
            <v>0</v>
          </cell>
        </row>
        <row r="302">
          <cell r="Z302" t="b">
            <v>0</v>
          </cell>
          <cell r="AA302" t="b">
            <v>0</v>
          </cell>
          <cell r="AB302" t="b">
            <v>0</v>
          </cell>
          <cell r="AC302" t="b">
            <v>0</v>
          </cell>
          <cell r="AD302" t="b">
            <v>0</v>
          </cell>
        </row>
        <row r="303">
          <cell r="Z303" t="b">
            <v>0</v>
          </cell>
          <cell r="AA303" t="b">
            <v>0</v>
          </cell>
          <cell r="AB303" t="b">
            <v>0</v>
          </cell>
          <cell r="AC303" t="b">
            <v>0</v>
          </cell>
          <cell r="AD303" t="b">
            <v>0</v>
          </cell>
        </row>
        <row r="304">
          <cell r="Z304" t="b">
            <v>0</v>
          </cell>
          <cell r="AA304" t="b">
            <v>0</v>
          </cell>
          <cell r="AB304" t="b">
            <v>0</v>
          </cell>
          <cell r="AC304" t="b">
            <v>0</v>
          </cell>
          <cell r="AD304" t="b">
            <v>0</v>
          </cell>
        </row>
        <row r="305">
          <cell r="Z305" t="b">
            <v>0</v>
          </cell>
          <cell r="AA305" t="b">
            <v>0</v>
          </cell>
          <cell r="AB305" t="b">
            <v>0</v>
          </cell>
          <cell r="AC305" t="b">
            <v>0</v>
          </cell>
          <cell r="AD305" t="b">
            <v>0</v>
          </cell>
        </row>
        <row r="306">
          <cell r="Z306" t="b">
            <v>0</v>
          </cell>
          <cell r="AA306" t="b">
            <v>0</v>
          </cell>
          <cell r="AB306" t="b">
            <v>0</v>
          </cell>
          <cell r="AC306" t="b">
            <v>0</v>
          </cell>
          <cell r="AD306" t="b">
            <v>0</v>
          </cell>
        </row>
        <row r="307">
          <cell r="Z307" t="b">
            <v>0</v>
          </cell>
          <cell r="AA307" t="b">
            <v>0</v>
          </cell>
          <cell r="AB307" t="b">
            <v>0</v>
          </cell>
          <cell r="AC307" t="b">
            <v>0</v>
          </cell>
          <cell r="AD307" t="b">
            <v>0</v>
          </cell>
        </row>
        <row r="308">
          <cell r="Z308" t="b">
            <v>0</v>
          </cell>
          <cell r="AA308" t="b">
            <v>0</v>
          </cell>
          <cell r="AB308" t="b">
            <v>0</v>
          </cell>
          <cell r="AC308" t="b">
            <v>0</v>
          </cell>
          <cell r="AD308" t="b">
            <v>0</v>
          </cell>
        </row>
        <row r="309">
          <cell r="Z309" t="b">
            <v>0</v>
          </cell>
          <cell r="AA309" t="b">
            <v>0</v>
          </cell>
          <cell r="AB309" t="b">
            <v>0</v>
          </cell>
          <cell r="AC309" t="b">
            <v>0</v>
          </cell>
          <cell r="AD309" t="b">
            <v>0</v>
          </cell>
        </row>
        <row r="310">
          <cell r="Z310" t="b">
            <v>0</v>
          </cell>
          <cell r="AA310" t="b">
            <v>0</v>
          </cell>
          <cell r="AB310" t="b">
            <v>0</v>
          </cell>
          <cell r="AC310" t="b">
            <v>0</v>
          </cell>
          <cell r="AD310" t="b">
            <v>0</v>
          </cell>
        </row>
        <row r="311">
          <cell r="Z311" t="b">
            <v>0</v>
          </cell>
          <cell r="AA311" t="b">
            <v>0</v>
          </cell>
          <cell r="AB311" t="b">
            <v>0</v>
          </cell>
          <cell r="AC311" t="b">
            <v>0</v>
          </cell>
          <cell r="AD311" t="b">
            <v>0</v>
          </cell>
        </row>
        <row r="312">
          <cell r="Z312" t="b">
            <v>0</v>
          </cell>
          <cell r="AA312" t="b">
            <v>0</v>
          </cell>
          <cell r="AB312" t="b">
            <v>0</v>
          </cell>
          <cell r="AC312" t="b">
            <v>0</v>
          </cell>
          <cell r="AD312" t="b">
            <v>0</v>
          </cell>
        </row>
        <row r="313">
          <cell r="Z313" t="b">
            <v>0</v>
          </cell>
          <cell r="AA313" t="b">
            <v>0</v>
          </cell>
          <cell r="AB313" t="b">
            <v>0</v>
          </cell>
          <cell r="AC313" t="b">
            <v>0</v>
          </cell>
          <cell r="AD313" t="b">
            <v>0</v>
          </cell>
        </row>
        <row r="314">
          <cell r="Z314" t="b">
            <v>0</v>
          </cell>
          <cell r="AA314" t="b">
            <v>0</v>
          </cell>
          <cell r="AB314" t="b">
            <v>0</v>
          </cell>
          <cell r="AC314" t="b">
            <v>0</v>
          </cell>
          <cell r="AD314" t="b">
            <v>0</v>
          </cell>
        </row>
        <row r="315">
          <cell r="Z315" t="b">
            <v>0</v>
          </cell>
          <cell r="AA315" t="b">
            <v>0</v>
          </cell>
          <cell r="AB315" t="b">
            <v>0</v>
          </cell>
          <cell r="AC315" t="b">
            <v>0</v>
          </cell>
          <cell r="AD315" t="b">
            <v>0</v>
          </cell>
        </row>
        <row r="316">
          <cell r="Z316" t="b">
            <v>0</v>
          </cell>
          <cell r="AA316" t="b">
            <v>0</v>
          </cell>
          <cell r="AB316" t="b">
            <v>0</v>
          </cell>
          <cell r="AC316" t="b">
            <v>0</v>
          </cell>
          <cell r="AD316" t="b">
            <v>0</v>
          </cell>
        </row>
        <row r="317">
          <cell r="Z317" t="b">
            <v>0</v>
          </cell>
          <cell r="AA317" t="b">
            <v>0</v>
          </cell>
          <cell r="AB317" t="b">
            <v>0</v>
          </cell>
          <cell r="AC317" t="b">
            <v>0</v>
          </cell>
          <cell r="AD317" t="b">
            <v>0</v>
          </cell>
        </row>
        <row r="318">
          <cell r="Z318" t="b">
            <v>0</v>
          </cell>
          <cell r="AA318" t="b">
            <v>0</v>
          </cell>
          <cell r="AB318" t="b">
            <v>0</v>
          </cell>
          <cell r="AC318" t="b">
            <v>0</v>
          </cell>
          <cell r="AD318" t="b">
            <v>0</v>
          </cell>
        </row>
        <row r="319">
          <cell r="Z319" t="b">
            <v>0</v>
          </cell>
          <cell r="AA319" t="b">
            <v>0</v>
          </cell>
          <cell r="AB319" t="b">
            <v>0</v>
          </cell>
          <cell r="AC319" t="b">
            <v>0</v>
          </cell>
          <cell r="AD319" t="b">
            <v>0</v>
          </cell>
        </row>
        <row r="320">
          <cell r="Z320" t="b">
            <v>0</v>
          </cell>
          <cell r="AA320" t="b">
            <v>0</v>
          </cell>
          <cell r="AB320" t="b">
            <v>0</v>
          </cell>
          <cell r="AC320" t="b">
            <v>0</v>
          </cell>
          <cell r="AD320" t="b">
            <v>0</v>
          </cell>
        </row>
        <row r="321">
          <cell r="Z321" t="b">
            <v>0</v>
          </cell>
          <cell r="AA321" t="b">
            <v>0</v>
          </cell>
          <cell r="AB321" t="b">
            <v>0</v>
          </cell>
          <cell r="AC321" t="b">
            <v>0</v>
          </cell>
          <cell r="AD321" t="b">
            <v>0</v>
          </cell>
        </row>
        <row r="322">
          <cell r="Z322" t="b">
            <v>0</v>
          </cell>
          <cell r="AA322" t="b">
            <v>0</v>
          </cell>
          <cell r="AB322" t="b">
            <v>0</v>
          </cell>
          <cell r="AC322" t="b">
            <v>0</v>
          </cell>
          <cell r="AD322" t="b">
            <v>0</v>
          </cell>
        </row>
        <row r="323">
          <cell r="Z323" t="b">
            <v>0</v>
          </cell>
          <cell r="AA323" t="b">
            <v>0</v>
          </cell>
          <cell r="AB323" t="b">
            <v>0</v>
          </cell>
          <cell r="AC323" t="b">
            <v>0</v>
          </cell>
          <cell r="AD323" t="b">
            <v>0</v>
          </cell>
        </row>
        <row r="324">
          <cell r="Z324" t="b">
            <v>0</v>
          </cell>
          <cell r="AA324" t="b">
            <v>0</v>
          </cell>
          <cell r="AB324" t="b">
            <v>0</v>
          </cell>
          <cell r="AC324" t="b">
            <v>0</v>
          </cell>
          <cell r="AD324" t="b">
            <v>0</v>
          </cell>
        </row>
        <row r="325">
          <cell r="Z325" t="b">
            <v>0</v>
          </cell>
          <cell r="AA325" t="b">
            <v>0</v>
          </cell>
          <cell r="AB325" t="b">
            <v>0</v>
          </cell>
          <cell r="AC325" t="b">
            <v>0</v>
          </cell>
          <cell r="AD325" t="b">
            <v>0</v>
          </cell>
        </row>
        <row r="326">
          <cell r="Z326" t="b">
            <v>0</v>
          </cell>
          <cell r="AA326" t="b">
            <v>0</v>
          </cell>
          <cell r="AB326" t="b">
            <v>0</v>
          </cell>
          <cell r="AC326" t="b">
            <v>0</v>
          </cell>
          <cell r="AD326" t="b">
            <v>0</v>
          </cell>
        </row>
        <row r="327">
          <cell r="Z327" t="b">
            <v>0</v>
          </cell>
          <cell r="AA327" t="b">
            <v>0</v>
          </cell>
          <cell r="AB327" t="b">
            <v>0</v>
          </cell>
          <cell r="AC327" t="b">
            <v>0</v>
          </cell>
          <cell r="AD327" t="b">
            <v>0</v>
          </cell>
        </row>
        <row r="328">
          <cell r="Z328" t="b">
            <v>0</v>
          </cell>
          <cell r="AA328" t="b">
            <v>0</v>
          </cell>
          <cell r="AB328" t="b">
            <v>0</v>
          </cell>
          <cell r="AC328" t="b">
            <v>0</v>
          </cell>
          <cell r="AD328" t="b">
            <v>0</v>
          </cell>
        </row>
        <row r="329">
          <cell r="Z329" t="b">
            <v>0</v>
          </cell>
          <cell r="AA329" t="b">
            <v>0</v>
          </cell>
          <cell r="AB329" t="b">
            <v>0</v>
          </cell>
          <cell r="AC329" t="b">
            <v>0</v>
          </cell>
          <cell r="AD329" t="b">
            <v>0</v>
          </cell>
        </row>
        <row r="330">
          <cell r="Z330" t="b">
            <v>0</v>
          </cell>
          <cell r="AA330" t="b">
            <v>0</v>
          </cell>
          <cell r="AB330" t="b">
            <v>0</v>
          </cell>
          <cell r="AC330" t="b">
            <v>0</v>
          </cell>
          <cell r="AD330" t="b">
            <v>0</v>
          </cell>
        </row>
        <row r="331">
          <cell r="Z331" t="b">
            <v>0</v>
          </cell>
          <cell r="AA331" t="b">
            <v>0</v>
          </cell>
          <cell r="AB331" t="b">
            <v>0</v>
          </cell>
          <cell r="AC331" t="b">
            <v>0</v>
          </cell>
          <cell r="AD331" t="b">
            <v>0</v>
          </cell>
        </row>
        <row r="332">
          <cell r="Z332" t="b">
            <v>0</v>
          </cell>
          <cell r="AA332" t="b">
            <v>0</v>
          </cell>
          <cell r="AB332" t="b">
            <v>0</v>
          </cell>
          <cell r="AC332" t="b">
            <v>0</v>
          </cell>
          <cell r="AD332" t="b">
            <v>0</v>
          </cell>
        </row>
        <row r="333">
          <cell r="Z333" t="b">
            <v>0</v>
          </cell>
          <cell r="AA333" t="b">
            <v>0</v>
          </cell>
          <cell r="AB333" t="b">
            <v>0</v>
          </cell>
          <cell r="AC333" t="b">
            <v>0</v>
          </cell>
          <cell r="AD333" t="b">
            <v>0</v>
          </cell>
        </row>
        <row r="334">
          <cell r="Z334" t="b">
            <v>0</v>
          </cell>
          <cell r="AA334" t="b">
            <v>0</v>
          </cell>
          <cell r="AB334" t="b">
            <v>0</v>
          </cell>
          <cell r="AC334" t="b">
            <v>0</v>
          </cell>
          <cell r="AD334" t="b">
            <v>0</v>
          </cell>
        </row>
        <row r="335">
          <cell r="Z335" t="b">
            <v>0</v>
          </cell>
          <cell r="AA335" t="b">
            <v>0</v>
          </cell>
          <cell r="AB335" t="b">
            <v>0</v>
          </cell>
          <cell r="AC335" t="b">
            <v>0</v>
          </cell>
          <cell r="AD335" t="b">
            <v>0</v>
          </cell>
        </row>
        <row r="336">
          <cell r="Z336" t="b">
            <v>0</v>
          </cell>
          <cell r="AA336" t="b">
            <v>0</v>
          </cell>
          <cell r="AB336" t="b">
            <v>0</v>
          </cell>
          <cell r="AC336" t="b">
            <v>0</v>
          </cell>
          <cell r="AD336" t="b">
            <v>0</v>
          </cell>
        </row>
        <row r="337">
          <cell r="Z337" t="b">
            <v>0</v>
          </cell>
          <cell r="AA337" t="b">
            <v>0</v>
          </cell>
          <cell r="AB337" t="b">
            <v>0</v>
          </cell>
          <cell r="AC337" t="b">
            <v>0</v>
          </cell>
          <cell r="AD337" t="b">
            <v>0</v>
          </cell>
        </row>
        <row r="338">
          <cell r="Z338" t="b">
            <v>0</v>
          </cell>
          <cell r="AA338" t="b">
            <v>0</v>
          </cell>
          <cell r="AB338" t="b">
            <v>0</v>
          </cell>
          <cell r="AC338" t="b">
            <v>0</v>
          </cell>
          <cell r="AD338" t="b">
            <v>0</v>
          </cell>
        </row>
        <row r="339">
          <cell r="Z339" t="b">
            <v>0</v>
          </cell>
          <cell r="AA339" t="b">
            <v>0</v>
          </cell>
          <cell r="AB339" t="b">
            <v>0</v>
          </cell>
          <cell r="AC339" t="b">
            <v>0</v>
          </cell>
          <cell r="AD339" t="b">
            <v>0</v>
          </cell>
        </row>
        <row r="340">
          <cell r="Z340" t="b">
            <v>0</v>
          </cell>
          <cell r="AA340" t="b">
            <v>0</v>
          </cell>
          <cell r="AB340" t="b">
            <v>0</v>
          </cell>
          <cell r="AC340" t="b">
            <v>0</v>
          </cell>
          <cell r="AD340" t="b">
            <v>0</v>
          </cell>
        </row>
        <row r="341">
          <cell r="Z341" t="b">
            <v>0</v>
          </cell>
          <cell r="AA341" t="b">
            <v>0</v>
          </cell>
          <cell r="AB341" t="b">
            <v>0</v>
          </cell>
          <cell r="AC341" t="b">
            <v>0</v>
          </cell>
          <cell r="AD341" t="b">
            <v>0</v>
          </cell>
        </row>
        <row r="342">
          <cell r="Z342" t="b">
            <v>0</v>
          </cell>
          <cell r="AA342" t="b">
            <v>0</v>
          </cell>
          <cell r="AB342" t="b">
            <v>0</v>
          </cell>
          <cell r="AC342" t="b">
            <v>0</v>
          </cell>
          <cell r="AD342" t="b">
            <v>0</v>
          </cell>
        </row>
        <row r="343">
          <cell r="Z343" t="b">
            <v>0</v>
          </cell>
          <cell r="AA343" t="b">
            <v>0</v>
          </cell>
          <cell r="AB343" t="b">
            <v>0</v>
          </cell>
          <cell r="AC343" t="b">
            <v>0</v>
          </cell>
          <cell r="AD343" t="b">
            <v>0</v>
          </cell>
        </row>
        <row r="344">
          <cell r="Z344" t="b">
            <v>0</v>
          </cell>
          <cell r="AA344" t="b">
            <v>0</v>
          </cell>
          <cell r="AB344" t="b">
            <v>0</v>
          </cell>
          <cell r="AC344" t="b">
            <v>0</v>
          </cell>
          <cell r="AD344" t="b">
            <v>0</v>
          </cell>
        </row>
        <row r="345">
          <cell r="Z345" t="b">
            <v>0</v>
          </cell>
          <cell r="AA345" t="b">
            <v>0</v>
          </cell>
          <cell r="AB345" t="b">
            <v>0</v>
          </cell>
          <cell r="AC345" t="b">
            <v>0</v>
          </cell>
          <cell r="AD345" t="b">
            <v>0</v>
          </cell>
        </row>
        <row r="346">
          <cell r="Z346" t="b">
            <v>0</v>
          </cell>
          <cell r="AA346" t="b">
            <v>0</v>
          </cell>
          <cell r="AB346" t="b">
            <v>0</v>
          </cell>
          <cell r="AC346" t="b">
            <v>0</v>
          </cell>
          <cell r="AD346" t="b">
            <v>0</v>
          </cell>
        </row>
        <row r="347">
          <cell r="Z347" t="b">
            <v>0</v>
          </cell>
          <cell r="AA347" t="b">
            <v>0</v>
          </cell>
          <cell r="AB347" t="b">
            <v>0</v>
          </cell>
          <cell r="AC347" t="b">
            <v>0</v>
          </cell>
          <cell r="AD347" t="b">
            <v>0</v>
          </cell>
        </row>
        <row r="348">
          <cell r="Z348" t="b">
            <v>0</v>
          </cell>
          <cell r="AA348" t="b">
            <v>0</v>
          </cell>
          <cell r="AB348" t="b">
            <v>0</v>
          </cell>
          <cell r="AC348" t="b">
            <v>0</v>
          </cell>
          <cell r="AD348" t="b">
            <v>0</v>
          </cell>
        </row>
        <row r="349">
          <cell r="Z349" t="b">
            <v>0</v>
          </cell>
          <cell r="AA349" t="b">
            <v>0</v>
          </cell>
          <cell r="AB349" t="b">
            <v>0</v>
          </cell>
          <cell r="AC349" t="b">
            <v>0</v>
          </cell>
          <cell r="AD349" t="b">
            <v>0</v>
          </cell>
        </row>
        <row r="350">
          <cell r="Z350" t="b">
            <v>0</v>
          </cell>
          <cell r="AA350" t="b">
            <v>0</v>
          </cell>
          <cell r="AB350" t="b">
            <v>0</v>
          </cell>
          <cell r="AC350" t="b">
            <v>0</v>
          </cell>
          <cell r="AD350" t="b">
            <v>0</v>
          </cell>
        </row>
        <row r="351">
          <cell r="Z351" t="b">
            <v>0</v>
          </cell>
          <cell r="AA351" t="b">
            <v>0</v>
          </cell>
          <cell r="AB351" t="b">
            <v>0</v>
          </cell>
          <cell r="AC351" t="b">
            <v>0</v>
          </cell>
          <cell r="AD351" t="b">
            <v>0</v>
          </cell>
        </row>
        <row r="352">
          <cell r="Z352" t="b">
            <v>0</v>
          </cell>
          <cell r="AA352" t="b">
            <v>0</v>
          </cell>
          <cell r="AB352" t="b">
            <v>0</v>
          </cell>
          <cell r="AC352" t="b">
            <v>0</v>
          </cell>
          <cell r="AD352" t="b">
            <v>0</v>
          </cell>
        </row>
        <row r="353">
          <cell r="Z353" t="b">
            <v>0</v>
          </cell>
          <cell r="AA353" t="b">
            <v>0</v>
          </cell>
          <cell r="AB353" t="b">
            <v>0</v>
          </cell>
          <cell r="AC353" t="b">
            <v>0</v>
          </cell>
          <cell r="AD353" t="b">
            <v>0</v>
          </cell>
        </row>
        <row r="354">
          <cell r="Z354" t="b">
            <v>0</v>
          </cell>
          <cell r="AA354" t="b">
            <v>0</v>
          </cell>
          <cell r="AB354" t="b">
            <v>0</v>
          </cell>
          <cell r="AC354" t="b">
            <v>0</v>
          </cell>
          <cell r="AD354" t="b">
            <v>0</v>
          </cell>
        </row>
        <row r="355">
          <cell r="Z355" t="b">
            <v>0</v>
          </cell>
          <cell r="AA355" t="b">
            <v>0</v>
          </cell>
          <cell r="AB355" t="b">
            <v>0</v>
          </cell>
          <cell r="AC355" t="b">
            <v>0</v>
          </cell>
          <cell r="AD355" t="b">
            <v>0</v>
          </cell>
        </row>
        <row r="356">
          <cell r="Z356" t="b">
            <v>0</v>
          </cell>
          <cell r="AA356" t="b">
            <v>0</v>
          </cell>
          <cell r="AB356" t="b">
            <v>0</v>
          </cell>
          <cell r="AC356" t="b">
            <v>0</v>
          </cell>
          <cell r="AD356" t="b">
            <v>0</v>
          </cell>
        </row>
        <row r="357">
          <cell r="Z357" t="b">
            <v>0</v>
          </cell>
          <cell r="AA357" t="b">
            <v>0</v>
          </cell>
          <cell r="AB357" t="b">
            <v>0</v>
          </cell>
          <cell r="AC357" t="b">
            <v>0</v>
          </cell>
          <cell r="AD357" t="b">
            <v>0</v>
          </cell>
        </row>
        <row r="358">
          <cell r="Z358" t="b">
            <v>0</v>
          </cell>
          <cell r="AA358" t="b">
            <v>0</v>
          </cell>
          <cell r="AB358" t="b">
            <v>0</v>
          </cell>
          <cell r="AC358" t="b">
            <v>0</v>
          </cell>
          <cell r="AD358" t="b">
            <v>0</v>
          </cell>
        </row>
        <row r="359">
          <cell r="Z359" t="b">
            <v>0</v>
          </cell>
          <cell r="AA359" t="b">
            <v>0</v>
          </cell>
          <cell r="AB359" t="b">
            <v>0</v>
          </cell>
          <cell r="AC359" t="b">
            <v>0</v>
          </cell>
          <cell r="AD359" t="b">
            <v>0</v>
          </cell>
        </row>
        <row r="360">
          <cell r="Z360" t="b">
            <v>0</v>
          </cell>
          <cell r="AA360" t="b">
            <v>0</v>
          </cell>
          <cell r="AB360" t="b">
            <v>0</v>
          </cell>
          <cell r="AC360" t="b">
            <v>0</v>
          </cell>
          <cell r="AD360" t="b">
            <v>0</v>
          </cell>
        </row>
        <row r="361">
          <cell r="Z361" t="b">
            <v>0</v>
          </cell>
          <cell r="AA361" t="b">
            <v>0</v>
          </cell>
          <cell r="AB361" t="b">
            <v>0</v>
          </cell>
          <cell r="AC361" t="b">
            <v>0</v>
          </cell>
          <cell r="AD361" t="b">
            <v>0</v>
          </cell>
        </row>
        <row r="362">
          <cell r="Z362" t="b">
            <v>0</v>
          </cell>
          <cell r="AA362" t="b">
            <v>0</v>
          </cell>
          <cell r="AB362" t="b">
            <v>0</v>
          </cell>
          <cell r="AC362" t="b">
            <v>0</v>
          </cell>
          <cell r="AD362" t="b">
            <v>0</v>
          </cell>
        </row>
        <row r="363">
          <cell r="Z363" t="b">
            <v>0</v>
          </cell>
          <cell r="AA363" t="b">
            <v>0</v>
          </cell>
          <cell r="AB363" t="b">
            <v>0</v>
          </cell>
          <cell r="AC363" t="b">
            <v>0</v>
          </cell>
          <cell r="AD363" t="b">
            <v>0</v>
          </cell>
        </row>
        <row r="364">
          <cell r="Z364" t="b">
            <v>0</v>
          </cell>
          <cell r="AA364" t="b">
            <v>0</v>
          </cell>
          <cell r="AB364" t="b">
            <v>0</v>
          </cell>
          <cell r="AC364" t="b">
            <v>0</v>
          </cell>
          <cell r="AD364" t="b">
            <v>0</v>
          </cell>
        </row>
        <row r="365">
          <cell r="Z365" t="b">
            <v>0</v>
          </cell>
          <cell r="AA365" t="b">
            <v>0</v>
          </cell>
          <cell r="AB365" t="b">
            <v>0</v>
          </cell>
          <cell r="AC365" t="b">
            <v>0</v>
          </cell>
          <cell r="AD365" t="b">
            <v>0</v>
          </cell>
        </row>
        <row r="366">
          <cell r="Z366" t="b">
            <v>0</v>
          </cell>
          <cell r="AA366" t="b">
            <v>0</v>
          </cell>
          <cell r="AB366" t="b">
            <v>0</v>
          </cell>
          <cell r="AC366" t="b">
            <v>0</v>
          </cell>
          <cell r="AD366" t="b">
            <v>0</v>
          </cell>
        </row>
        <row r="367">
          <cell r="Z367" t="b">
            <v>0</v>
          </cell>
          <cell r="AA367" t="b">
            <v>0</v>
          </cell>
          <cell r="AB367" t="b">
            <v>0</v>
          </cell>
          <cell r="AC367" t="b">
            <v>0</v>
          </cell>
          <cell r="AD367" t="b">
            <v>0</v>
          </cell>
        </row>
        <row r="368">
          <cell r="Z368" t="b">
            <v>0</v>
          </cell>
          <cell r="AA368" t="b">
            <v>0</v>
          </cell>
          <cell r="AB368" t="b">
            <v>0</v>
          </cell>
          <cell r="AC368" t="b">
            <v>0</v>
          </cell>
          <cell r="AD368" t="b">
            <v>0</v>
          </cell>
        </row>
        <row r="369">
          <cell r="Z369" t="b">
            <v>0</v>
          </cell>
          <cell r="AA369" t="b">
            <v>0</v>
          </cell>
          <cell r="AB369" t="b">
            <v>0</v>
          </cell>
          <cell r="AC369" t="b">
            <v>0</v>
          </cell>
          <cell r="AD369" t="b">
            <v>0</v>
          </cell>
        </row>
        <row r="370">
          <cell r="Z370" t="b">
            <v>0</v>
          </cell>
          <cell r="AA370" t="b">
            <v>0</v>
          </cell>
          <cell r="AB370" t="b">
            <v>0</v>
          </cell>
          <cell r="AC370" t="b">
            <v>0</v>
          </cell>
          <cell r="AD370" t="b">
            <v>0</v>
          </cell>
        </row>
        <row r="371">
          <cell r="Z371" t="b">
            <v>0</v>
          </cell>
          <cell r="AA371" t="b">
            <v>0</v>
          </cell>
          <cell r="AB371" t="b">
            <v>0</v>
          </cell>
          <cell r="AC371" t="b">
            <v>0</v>
          </cell>
          <cell r="AD371" t="b">
            <v>0</v>
          </cell>
        </row>
        <row r="372">
          <cell r="Z372" t="b">
            <v>0</v>
          </cell>
          <cell r="AA372" t="b">
            <v>0</v>
          </cell>
          <cell r="AB372" t="b">
            <v>0</v>
          </cell>
          <cell r="AC372" t="b">
            <v>0</v>
          </cell>
          <cell r="AD372" t="b">
            <v>0</v>
          </cell>
        </row>
        <row r="373">
          <cell r="Z373" t="b">
            <v>0</v>
          </cell>
          <cell r="AA373" t="b">
            <v>0</v>
          </cell>
          <cell r="AB373" t="b">
            <v>0</v>
          </cell>
          <cell r="AC373" t="b">
            <v>0</v>
          </cell>
          <cell r="AD373" t="b">
            <v>0</v>
          </cell>
        </row>
        <row r="374">
          <cell r="Z374" t="b">
            <v>0</v>
          </cell>
          <cell r="AA374" t="b">
            <v>0</v>
          </cell>
          <cell r="AB374" t="b">
            <v>0</v>
          </cell>
          <cell r="AC374" t="b">
            <v>0</v>
          </cell>
          <cell r="AD374" t="b">
            <v>0</v>
          </cell>
        </row>
        <row r="375">
          <cell r="Z375" t="b">
            <v>0</v>
          </cell>
          <cell r="AA375" t="b">
            <v>0</v>
          </cell>
          <cell r="AB375" t="b">
            <v>0</v>
          </cell>
          <cell r="AC375" t="b">
            <v>0</v>
          </cell>
          <cell r="AD375" t="b">
            <v>0</v>
          </cell>
        </row>
        <row r="376">
          <cell r="Z376" t="b">
            <v>0</v>
          </cell>
          <cell r="AA376" t="b">
            <v>0</v>
          </cell>
          <cell r="AB376" t="b">
            <v>0</v>
          </cell>
          <cell r="AC376" t="b">
            <v>0</v>
          </cell>
          <cell r="AD376" t="b">
            <v>0</v>
          </cell>
        </row>
        <row r="377">
          <cell r="Z377" t="b">
            <v>0</v>
          </cell>
          <cell r="AA377" t="b">
            <v>0</v>
          </cell>
          <cell r="AB377" t="b">
            <v>0</v>
          </cell>
          <cell r="AC377" t="b">
            <v>0</v>
          </cell>
          <cell r="AD377" t="b">
            <v>0</v>
          </cell>
        </row>
        <row r="378">
          <cell r="Z378" t="b">
            <v>0</v>
          </cell>
          <cell r="AA378" t="b">
            <v>0</v>
          </cell>
          <cell r="AB378" t="b">
            <v>0</v>
          </cell>
          <cell r="AC378" t="b">
            <v>0</v>
          </cell>
          <cell r="AD378" t="b">
            <v>0</v>
          </cell>
        </row>
        <row r="379">
          <cell r="Z379" t="b">
            <v>0</v>
          </cell>
          <cell r="AA379" t="b">
            <v>0</v>
          </cell>
          <cell r="AB379" t="b">
            <v>0</v>
          </cell>
          <cell r="AC379" t="b">
            <v>0</v>
          </cell>
          <cell r="AD379" t="b">
            <v>0</v>
          </cell>
        </row>
        <row r="380">
          <cell r="Z380" t="b">
            <v>0</v>
          </cell>
          <cell r="AA380" t="b">
            <v>0</v>
          </cell>
          <cell r="AB380" t="b">
            <v>0</v>
          </cell>
          <cell r="AC380" t="b">
            <v>0</v>
          </cell>
          <cell r="AD380" t="b">
            <v>0</v>
          </cell>
        </row>
        <row r="381">
          <cell r="Z381" t="b">
            <v>0</v>
          </cell>
          <cell r="AA381" t="b">
            <v>0</v>
          </cell>
          <cell r="AB381" t="b">
            <v>0</v>
          </cell>
          <cell r="AC381" t="b">
            <v>0</v>
          </cell>
          <cell r="AD381" t="b">
            <v>0</v>
          </cell>
        </row>
        <row r="382">
          <cell r="Z382" t="b">
            <v>0</v>
          </cell>
          <cell r="AA382" t="b">
            <v>0</v>
          </cell>
          <cell r="AB382" t="b">
            <v>0</v>
          </cell>
          <cell r="AC382" t="b">
            <v>0</v>
          </cell>
          <cell r="AD382" t="b">
            <v>0</v>
          </cell>
        </row>
        <row r="383">
          <cell r="Z383" t="b">
            <v>0</v>
          </cell>
          <cell r="AA383" t="b">
            <v>0</v>
          </cell>
          <cell r="AB383" t="b">
            <v>0</v>
          </cell>
          <cell r="AC383" t="b">
            <v>0</v>
          </cell>
          <cell r="AD383" t="b">
            <v>0</v>
          </cell>
        </row>
        <row r="384">
          <cell r="Z384" t="b">
            <v>0</v>
          </cell>
          <cell r="AA384" t="b">
            <v>0</v>
          </cell>
          <cell r="AB384" t="b">
            <v>0</v>
          </cell>
          <cell r="AC384" t="b">
            <v>0</v>
          </cell>
          <cell r="AD384" t="b">
            <v>0</v>
          </cell>
        </row>
        <row r="385">
          <cell r="Z385" t="b">
            <v>0</v>
          </cell>
          <cell r="AA385" t="b">
            <v>0</v>
          </cell>
          <cell r="AB385" t="b">
            <v>0</v>
          </cell>
          <cell r="AC385" t="b">
            <v>0</v>
          </cell>
          <cell r="AD385" t="b">
            <v>0</v>
          </cell>
        </row>
        <row r="386">
          <cell r="Z386" t="b">
            <v>0</v>
          </cell>
          <cell r="AA386" t="b">
            <v>0</v>
          </cell>
          <cell r="AB386" t="b">
            <v>0</v>
          </cell>
          <cell r="AC386" t="b">
            <v>0</v>
          </cell>
          <cell r="AD386" t="b">
            <v>0</v>
          </cell>
        </row>
        <row r="387">
          <cell r="Z387" t="b">
            <v>0</v>
          </cell>
          <cell r="AA387" t="b">
            <v>0</v>
          </cell>
          <cell r="AB387" t="b">
            <v>0</v>
          </cell>
          <cell r="AC387" t="b">
            <v>0</v>
          </cell>
          <cell r="AD387" t="b">
            <v>0</v>
          </cell>
        </row>
        <row r="388">
          <cell r="Z388" t="b">
            <v>0</v>
          </cell>
          <cell r="AA388" t="b">
            <v>0</v>
          </cell>
          <cell r="AB388" t="b">
            <v>0</v>
          </cell>
          <cell r="AC388" t="b">
            <v>0</v>
          </cell>
          <cell r="AD388" t="b">
            <v>0</v>
          </cell>
        </row>
        <row r="389">
          <cell r="Z389" t="b">
            <v>0</v>
          </cell>
          <cell r="AA389" t="b">
            <v>0</v>
          </cell>
          <cell r="AB389" t="b">
            <v>0</v>
          </cell>
          <cell r="AC389" t="b">
            <v>0</v>
          </cell>
          <cell r="AD389" t="b">
            <v>0</v>
          </cell>
        </row>
        <row r="390">
          <cell r="Z390" t="b">
            <v>0</v>
          </cell>
          <cell r="AA390" t="b">
            <v>0</v>
          </cell>
          <cell r="AB390" t="b">
            <v>0</v>
          </cell>
          <cell r="AC390" t="b">
            <v>0</v>
          </cell>
          <cell r="AD390" t="b">
            <v>0</v>
          </cell>
        </row>
        <row r="391">
          <cell r="Z391" t="b">
            <v>0</v>
          </cell>
          <cell r="AA391" t="b">
            <v>0</v>
          </cell>
          <cell r="AB391" t="b">
            <v>0</v>
          </cell>
          <cell r="AC391" t="b">
            <v>0</v>
          </cell>
          <cell r="AD391" t="b">
            <v>0</v>
          </cell>
        </row>
        <row r="392">
          <cell r="Z392" t="b">
            <v>0</v>
          </cell>
          <cell r="AA392" t="b">
            <v>0</v>
          </cell>
          <cell r="AB392" t="b">
            <v>0</v>
          </cell>
          <cell r="AC392" t="b">
            <v>0</v>
          </cell>
          <cell r="AD392" t="b">
            <v>0</v>
          </cell>
        </row>
        <row r="393">
          <cell r="Z393" t="b">
            <v>0</v>
          </cell>
          <cell r="AA393" t="b">
            <v>0</v>
          </cell>
          <cell r="AB393" t="b">
            <v>0</v>
          </cell>
          <cell r="AC393" t="b">
            <v>0</v>
          </cell>
          <cell r="AD393" t="b">
            <v>0</v>
          </cell>
        </row>
        <row r="394">
          <cell r="Z394" t="b">
            <v>0</v>
          </cell>
          <cell r="AA394" t="b">
            <v>0</v>
          </cell>
          <cell r="AB394" t="b">
            <v>0</v>
          </cell>
          <cell r="AC394" t="b">
            <v>0</v>
          </cell>
          <cell r="AD394" t="b">
            <v>0</v>
          </cell>
        </row>
        <row r="395">
          <cell r="Z395" t="b">
            <v>0</v>
          </cell>
          <cell r="AA395" t="b">
            <v>0</v>
          </cell>
          <cell r="AB395" t="b">
            <v>0</v>
          </cell>
          <cell r="AC395" t="b">
            <v>0</v>
          </cell>
          <cell r="AD395" t="b">
            <v>0</v>
          </cell>
        </row>
        <row r="396">
          <cell r="Z396" t="b">
            <v>0</v>
          </cell>
          <cell r="AA396" t="b">
            <v>0</v>
          </cell>
          <cell r="AB396" t="b">
            <v>0</v>
          </cell>
          <cell r="AC396" t="b">
            <v>0</v>
          </cell>
          <cell r="AD396" t="b">
            <v>0</v>
          </cell>
        </row>
        <row r="397">
          <cell r="Z397" t="b">
            <v>0</v>
          </cell>
          <cell r="AA397" t="b">
            <v>0</v>
          </cell>
          <cell r="AB397" t="b">
            <v>0</v>
          </cell>
          <cell r="AC397" t="b">
            <v>0</v>
          </cell>
          <cell r="AD397" t="b">
            <v>0</v>
          </cell>
        </row>
        <row r="398">
          <cell r="Z398" t="b">
            <v>0</v>
          </cell>
          <cell r="AA398" t="b">
            <v>0</v>
          </cell>
          <cell r="AB398" t="b">
            <v>0</v>
          </cell>
          <cell r="AC398" t="b">
            <v>0</v>
          </cell>
          <cell r="AD398" t="b">
            <v>0</v>
          </cell>
        </row>
        <row r="399">
          <cell r="Z399" t="b">
            <v>0</v>
          </cell>
          <cell r="AA399" t="b">
            <v>0</v>
          </cell>
          <cell r="AB399" t="b">
            <v>0</v>
          </cell>
          <cell r="AC399" t="b">
            <v>0</v>
          </cell>
          <cell r="AD399" t="b">
            <v>0</v>
          </cell>
        </row>
        <row r="400">
          <cell r="Z400" t="b">
            <v>0</v>
          </cell>
          <cell r="AA400" t="b">
            <v>0</v>
          </cell>
          <cell r="AB400" t="b">
            <v>0</v>
          </cell>
          <cell r="AC400" t="b">
            <v>0</v>
          </cell>
          <cell r="AD400" t="b">
            <v>0</v>
          </cell>
        </row>
        <row r="401">
          <cell r="Z401" t="b">
            <v>0</v>
          </cell>
          <cell r="AA401" t="b">
            <v>0</v>
          </cell>
          <cell r="AB401" t="b">
            <v>0</v>
          </cell>
          <cell r="AC401" t="b">
            <v>0</v>
          </cell>
          <cell r="AD401" t="b">
            <v>0</v>
          </cell>
        </row>
        <row r="402">
          <cell r="Z402" t="b">
            <v>0</v>
          </cell>
          <cell r="AA402" t="b">
            <v>0</v>
          </cell>
          <cell r="AB402" t="b">
            <v>0</v>
          </cell>
          <cell r="AC402" t="b">
            <v>0</v>
          </cell>
          <cell r="AD402" t="b">
            <v>0</v>
          </cell>
        </row>
        <row r="403">
          <cell r="Z403" t="b">
            <v>0</v>
          </cell>
          <cell r="AA403" t="b">
            <v>0</v>
          </cell>
          <cell r="AB403" t="b">
            <v>0</v>
          </cell>
          <cell r="AC403" t="b">
            <v>0</v>
          </cell>
          <cell r="AD403" t="b">
            <v>0</v>
          </cell>
        </row>
        <row r="404">
          <cell r="Z404" t="b">
            <v>0</v>
          </cell>
          <cell r="AA404" t="b">
            <v>0</v>
          </cell>
          <cell r="AB404" t="b">
            <v>0</v>
          </cell>
          <cell r="AC404" t="b">
            <v>0</v>
          </cell>
          <cell r="AD404" t="b">
            <v>0</v>
          </cell>
        </row>
        <row r="405">
          <cell r="Z405" t="b">
            <v>0</v>
          </cell>
          <cell r="AA405" t="b">
            <v>0</v>
          </cell>
          <cell r="AB405" t="b">
            <v>0</v>
          </cell>
          <cell r="AC405" t="b">
            <v>0</v>
          </cell>
          <cell r="AD405" t="b">
            <v>0</v>
          </cell>
        </row>
        <row r="406">
          <cell r="Z406" t="b">
            <v>0</v>
          </cell>
          <cell r="AA406" t="b">
            <v>0</v>
          </cell>
          <cell r="AB406" t="b">
            <v>0</v>
          </cell>
          <cell r="AC406" t="b">
            <v>0</v>
          </cell>
          <cell r="AD406" t="b">
            <v>0</v>
          </cell>
        </row>
        <row r="407">
          <cell r="Z407" t="b">
            <v>0</v>
          </cell>
          <cell r="AA407" t="b">
            <v>0</v>
          </cell>
          <cell r="AB407" t="b">
            <v>0</v>
          </cell>
          <cell r="AC407" t="b">
            <v>0</v>
          </cell>
          <cell r="AD407" t="b">
            <v>0</v>
          </cell>
        </row>
        <row r="408">
          <cell r="Z408" t="b">
            <v>0</v>
          </cell>
          <cell r="AA408" t="b">
            <v>0</v>
          </cell>
          <cell r="AB408" t="b">
            <v>0</v>
          </cell>
          <cell r="AC408" t="b">
            <v>0</v>
          </cell>
          <cell r="AD408" t="b">
            <v>0</v>
          </cell>
        </row>
        <row r="409">
          <cell r="Z409" t="b">
            <v>0</v>
          </cell>
          <cell r="AA409" t="b">
            <v>0</v>
          </cell>
          <cell r="AB409" t="b">
            <v>0</v>
          </cell>
          <cell r="AC409" t="b">
            <v>0</v>
          </cell>
          <cell r="AD409" t="b">
            <v>0</v>
          </cell>
        </row>
        <row r="410">
          <cell r="Z410" t="b">
            <v>0</v>
          </cell>
          <cell r="AA410" t="b">
            <v>0</v>
          </cell>
          <cell r="AB410" t="b">
            <v>0</v>
          </cell>
          <cell r="AC410" t="b">
            <v>0</v>
          </cell>
          <cell r="AD410" t="b">
            <v>0</v>
          </cell>
        </row>
        <row r="411">
          <cell r="Z411" t="b">
            <v>0</v>
          </cell>
          <cell r="AA411" t="b">
            <v>0</v>
          </cell>
          <cell r="AB411" t="b">
            <v>0</v>
          </cell>
          <cell r="AC411" t="b">
            <v>0</v>
          </cell>
          <cell r="AD411" t="b">
            <v>0</v>
          </cell>
        </row>
        <row r="412">
          <cell r="Z412" t="b">
            <v>0</v>
          </cell>
          <cell r="AA412" t="b">
            <v>0</v>
          </cell>
          <cell r="AB412" t="b">
            <v>0</v>
          </cell>
          <cell r="AC412" t="b">
            <v>0</v>
          </cell>
          <cell r="AD412" t="b">
            <v>0</v>
          </cell>
        </row>
        <row r="413">
          <cell r="Z413" t="b">
            <v>0</v>
          </cell>
          <cell r="AA413" t="b">
            <v>0</v>
          </cell>
          <cell r="AB413" t="b">
            <v>0</v>
          </cell>
          <cell r="AC413" t="b">
            <v>0</v>
          </cell>
          <cell r="AD413" t="b">
            <v>0</v>
          </cell>
        </row>
        <row r="414">
          <cell r="Z414" t="b">
            <v>0</v>
          </cell>
          <cell r="AA414" t="b">
            <v>0</v>
          </cell>
          <cell r="AB414" t="b">
            <v>0</v>
          </cell>
          <cell r="AC414" t="b">
            <v>0</v>
          </cell>
          <cell r="AD414" t="b">
            <v>0</v>
          </cell>
        </row>
        <row r="415">
          <cell r="Z415" t="b">
            <v>0</v>
          </cell>
          <cell r="AA415" t="b">
            <v>0</v>
          </cell>
          <cell r="AB415" t="b">
            <v>0</v>
          </cell>
          <cell r="AC415" t="b">
            <v>0</v>
          </cell>
          <cell r="AD415" t="b">
            <v>0</v>
          </cell>
        </row>
        <row r="416">
          <cell r="Z416" t="b">
            <v>0</v>
          </cell>
          <cell r="AA416" t="b">
            <v>0</v>
          </cell>
          <cell r="AB416" t="b">
            <v>0</v>
          </cell>
          <cell r="AC416" t="b">
            <v>0</v>
          </cell>
          <cell r="AD416" t="b">
            <v>0</v>
          </cell>
        </row>
        <row r="417">
          <cell r="Z417" t="b">
            <v>0</v>
          </cell>
          <cell r="AA417" t="b">
            <v>0</v>
          </cell>
          <cell r="AB417" t="b">
            <v>0</v>
          </cell>
          <cell r="AC417" t="b">
            <v>0</v>
          </cell>
          <cell r="AD417" t="b">
            <v>0</v>
          </cell>
        </row>
        <row r="418">
          <cell r="Z418" t="b">
            <v>0</v>
          </cell>
          <cell r="AA418" t="b">
            <v>0</v>
          </cell>
          <cell r="AB418" t="b">
            <v>0</v>
          </cell>
          <cell r="AC418" t="b">
            <v>0</v>
          </cell>
          <cell r="AD418" t="b">
            <v>0</v>
          </cell>
        </row>
        <row r="419">
          <cell r="Z419" t="b">
            <v>0</v>
          </cell>
          <cell r="AA419" t="b">
            <v>0</v>
          </cell>
          <cell r="AB419" t="b">
            <v>0</v>
          </cell>
          <cell r="AC419" t="b">
            <v>0</v>
          </cell>
          <cell r="AD419" t="b">
            <v>0</v>
          </cell>
        </row>
        <row r="420">
          <cell r="Z420" t="b">
            <v>0</v>
          </cell>
          <cell r="AA420" t="b">
            <v>0</v>
          </cell>
          <cell r="AB420" t="b">
            <v>0</v>
          </cell>
          <cell r="AC420" t="b">
            <v>0</v>
          </cell>
          <cell r="AD420" t="b">
            <v>0</v>
          </cell>
        </row>
        <row r="421">
          <cell r="Z421" t="b">
            <v>0</v>
          </cell>
          <cell r="AA421" t="b">
            <v>0</v>
          </cell>
          <cell r="AB421" t="b">
            <v>0</v>
          </cell>
          <cell r="AC421" t="b">
            <v>0</v>
          </cell>
          <cell r="AD421" t="b">
            <v>0</v>
          </cell>
        </row>
        <row r="422">
          <cell r="Z422" t="b">
            <v>0</v>
          </cell>
          <cell r="AA422" t="b">
            <v>0</v>
          </cell>
          <cell r="AB422" t="b">
            <v>0</v>
          </cell>
          <cell r="AC422" t="b">
            <v>0</v>
          </cell>
          <cell r="AD422" t="b">
            <v>0</v>
          </cell>
        </row>
        <row r="423">
          <cell r="Z423" t="b">
            <v>0</v>
          </cell>
          <cell r="AA423" t="b">
            <v>0</v>
          </cell>
          <cell r="AB423" t="b">
            <v>0</v>
          </cell>
          <cell r="AC423" t="b">
            <v>0</v>
          </cell>
          <cell r="AD423" t="b">
            <v>0</v>
          </cell>
        </row>
        <row r="424">
          <cell r="Z424" t="b">
            <v>0</v>
          </cell>
          <cell r="AA424" t="b">
            <v>0</v>
          </cell>
          <cell r="AB424" t="b">
            <v>0</v>
          </cell>
          <cell r="AC424" t="b">
            <v>0</v>
          </cell>
          <cell r="AD424" t="b">
            <v>0</v>
          </cell>
        </row>
        <row r="425">
          <cell r="Z425" t="b">
            <v>0</v>
          </cell>
          <cell r="AA425" t="b">
            <v>0</v>
          </cell>
          <cell r="AB425" t="b">
            <v>0</v>
          </cell>
          <cell r="AC425" t="b">
            <v>0</v>
          </cell>
          <cell r="AD425" t="b">
            <v>0</v>
          </cell>
        </row>
        <row r="426">
          <cell r="Z426" t="b">
            <v>0</v>
          </cell>
          <cell r="AA426" t="b">
            <v>0</v>
          </cell>
          <cell r="AB426" t="b">
            <v>0</v>
          </cell>
          <cell r="AC426" t="b">
            <v>0</v>
          </cell>
          <cell r="AD426" t="b">
            <v>0</v>
          </cell>
        </row>
        <row r="427">
          <cell r="Z427" t="b">
            <v>0</v>
          </cell>
          <cell r="AA427" t="b">
            <v>0</v>
          </cell>
          <cell r="AB427" t="b">
            <v>0</v>
          </cell>
          <cell r="AC427" t="b">
            <v>0</v>
          </cell>
          <cell r="AD427" t="b">
            <v>0</v>
          </cell>
        </row>
        <row r="428">
          <cell r="Z428" t="b">
            <v>0</v>
          </cell>
          <cell r="AA428" t="b">
            <v>0</v>
          </cell>
          <cell r="AB428" t="b">
            <v>0</v>
          </cell>
          <cell r="AC428" t="b">
            <v>0</v>
          </cell>
          <cell r="AD428" t="b">
            <v>0</v>
          </cell>
        </row>
        <row r="429">
          <cell r="Z429" t="b">
            <v>0</v>
          </cell>
          <cell r="AA429" t="b">
            <v>0</v>
          </cell>
          <cell r="AB429" t="b">
            <v>0</v>
          </cell>
          <cell r="AC429" t="b">
            <v>0</v>
          </cell>
          <cell r="AD429" t="b">
            <v>0</v>
          </cell>
        </row>
        <row r="430">
          <cell r="Z430" t="b">
            <v>0</v>
          </cell>
          <cell r="AA430" t="b">
            <v>0</v>
          </cell>
          <cell r="AB430" t="b">
            <v>0</v>
          </cell>
          <cell r="AC430" t="b">
            <v>0</v>
          </cell>
          <cell r="AD430" t="b">
            <v>0</v>
          </cell>
        </row>
        <row r="431">
          <cell r="Z431" t="b">
            <v>0</v>
          </cell>
          <cell r="AA431" t="b">
            <v>0</v>
          </cell>
          <cell r="AB431" t="b">
            <v>0</v>
          </cell>
          <cell r="AC431" t="b">
            <v>0</v>
          </cell>
          <cell r="AD431" t="b">
            <v>0</v>
          </cell>
        </row>
        <row r="432">
          <cell r="Z432" t="b">
            <v>0</v>
          </cell>
          <cell r="AA432" t="b">
            <v>0</v>
          </cell>
          <cell r="AB432" t="b">
            <v>0</v>
          </cell>
          <cell r="AC432" t="b">
            <v>0</v>
          </cell>
          <cell r="AD432" t="b">
            <v>0</v>
          </cell>
        </row>
        <row r="433">
          <cell r="Z433" t="b">
            <v>0</v>
          </cell>
          <cell r="AA433" t="b">
            <v>0</v>
          </cell>
          <cell r="AB433" t="b">
            <v>0</v>
          </cell>
          <cell r="AC433" t="b">
            <v>0</v>
          </cell>
          <cell r="AD433" t="b">
            <v>0</v>
          </cell>
        </row>
        <row r="434">
          <cell r="Z434" t="b">
            <v>0</v>
          </cell>
          <cell r="AA434" t="b">
            <v>0</v>
          </cell>
          <cell r="AB434" t="b">
            <v>0</v>
          </cell>
          <cell r="AC434" t="b">
            <v>0</v>
          </cell>
          <cell r="AD434" t="b">
            <v>0</v>
          </cell>
        </row>
        <row r="435">
          <cell r="Z435" t="b">
            <v>0</v>
          </cell>
          <cell r="AA435" t="b">
            <v>0</v>
          </cell>
          <cell r="AB435" t="b">
            <v>0</v>
          </cell>
          <cell r="AC435" t="b">
            <v>0</v>
          </cell>
          <cell r="AD435" t="b">
            <v>0</v>
          </cell>
        </row>
        <row r="436">
          <cell r="Z436" t="b">
            <v>0</v>
          </cell>
          <cell r="AA436" t="b">
            <v>0</v>
          </cell>
          <cell r="AB436" t="b">
            <v>0</v>
          </cell>
          <cell r="AC436" t="b">
            <v>0</v>
          </cell>
          <cell r="AD436" t="b">
            <v>0</v>
          </cell>
        </row>
        <row r="437">
          <cell r="Z437" t="b">
            <v>0</v>
          </cell>
          <cell r="AA437" t="b">
            <v>0</v>
          </cell>
          <cell r="AB437" t="b">
            <v>0</v>
          </cell>
          <cell r="AC437" t="b">
            <v>0</v>
          </cell>
          <cell r="AD437" t="b">
            <v>0</v>
          </cell>
        </row>
        <row r="438">
          <cell r="Z438" t="b">
            <v>0</v>
          </cell>
          <cell r="AA438" t="b">
            <v>0</v>
          </cell>
          <cell r="AB438" t="b">
            <v>0</v>
          </cell>
          <cell r="AC438" t="b">
            <v>0</v>
          </cell>
          <cell r="AD438" t="b">
            <v>0</v>
          </cell>
        </row>
        <row r="439">
          <cell r="Z439" t="b">
            <v>0</v>
          </cell>
          <cell r="AA439" t="b">
            <v>0</v>
          </cell>
          <cell r="AB439" t="b">
            <v>0</v>
          </cell>
          <cell r="AC439" t="b">
            <v>0</v>
          </cell>
          <cell r="AD439" t="b">
            <v>0</v>
          </cell>
        </row>
        <row r="440">
          <cell r="Z440" t="b">
            <v>0</v>
          </cell>
          <cell r="AA440" t="b">
            <v>0</v>
          </cell>
          <cell r="AB440" t="b">
            <v>0</v>
          </cell>
          <cell r="AC440" t="b">
            <v>0</v>
          </cell>
          <cell r="AD440" t="b">
            <v>0</v>
          </cell>
        </row>
        <row r="441">
          <cell r="Z441" t="b">
            <v>0</v>
          </cell>
          <cell r="AA441" t="b">
            <v>0</v>
          </cell>
          <cell r="AB441" t="b">
            <v>0</v>
          </cell>
          <cell r="AC441" t="b">
            <v>0</v>
          </cell>
          <cell r="AD441" t="b">
            <v>0</v>
          </cell>
        </row>
        <row r="442">
          <cell r="Z442" t="b">
            <v>0</v>
          </cell>
          <cell r="AA442" t="b">
            <v>0</v>
          </cell>
          <cell r="AB442" t="b">
            <v>0</v>
          </cell>
          <cell r="AC442" t="b">
            <v>0</v>
          </cell>
          <cell r="AD442" t="b">
            <v>0</v>
          </cell>
        </row>
        <row r="443">
          <cell r="Z443" t="b">
            <v>0</v>
          </cell>
          <cell r="AA443" t="b">
            <v>0</v>
          </cell>
          <cell r="AB443" t="b">
            <v>0</v>
          </cell>
          <cell r="AC443" t="b">
            <v>0</v>
          </cell>
          <cell r="AD443" t="b">
            <v>0</v>
          </cell>
        </row>
        <row r="444">
          <cell r="Z444" t="b">
            <v>0</v>
          </cell>
          <cell r="AA444" t="b">
            <v>0</v>
          </cell>
          <cell r="AB444" t="b">
            <v>0</v>
          </cell>
          <cell r="AC444" t="b">
            <v>0</v>
          </cell>
          <cell r="AD444" t="b">
            <v>0</v>
          </cell>
        </row>
        <row r="445">
          <cell r="Z445" t="b">
            <v>0</v>
          </cell>
          <cell r="AA445" t="b">
            <v>0</v>
          </cell>
          <cell r="AB445" t="b">
            <v>0</v>
          </cell>
          <cell r="AC445" t="b">
            <v>0</v>
          </cell>
          <cell r="AD445" t="b">
            <v>0</v>
          </cell>
        </row>
        <row r="446">
          <cell r="Z446" t="b">
            <v>0</v>
          </cell>
          <cell r="AA446" t="b">
            <v>0</v>
          </cell>
          <cell r="AB446" t="b">
            <v>0</v>
          </cell>
          <cell r="AC446" t="b">
            <v>0</v>
          </cell>
          <cell r="AD446" t="b">
            <v>0</v>
          </cell>
        </row>
        <row r="447">
          <cell r="Z447" t="b">
            <v>0</v>
          </cell>
          <cell r="AA447" t="b">
            <v>0</v>
          </cell>
          <cell r="AB447" t="b">
            <v>0</v>
          </cell>
          <cell r="AC447" t="b">
            <v>0</v>
          </cell>
          <cell r="AD447" t="b">
            <v>0</v>
          </cell>
        </row>
        <row r="448">
          <cell r="Z448" t="b">
            <v>0</v>
          </cell>
          <cell r="AA448" t="b">
            <v>0</v>
          </cell>
          <cell r="AB448" t="b">
            <v>0</v>
          </cell>
          <cell r="AC448" t="b">
            <v>0</v>
          </cell>
          <cell r="AD448" t="b">
            <v>0</v>
          </cell>
        </row>
        <row r="449">
          <cell r="Z449" t="b">
            <v>0</v>
          </cell>
          <cell r="AA449" t="b">
            <v>0</v>
          </cell>
          <cell r="AB449" t="b">
            <v>0</v>
          </cell>
          <cell r="AC449" t="b">
            <v>0</v>
          </cell>
          <cell r="AD449" t="b">
            <v>0</v>
          </cell>
        </row>
        <row r="450">
          <cell r="Z450" t="b">
            <v>0</v>
          </cell>
          <cell r="AA450" t="b">
            <v>0</v>
          </cell>
          <cell r="AB450" t="b">
            <v>0</v>
          </cell>
          <cell r="AC450" t="b">
            <v>0</v>
          </cell>
          <cell r="AD450" t="b">
            <v>0</v>
          </cell>
        </row>
        <row r="451">
          <cell r="Z451" t="b">
            <v>0</v>
          </cell>
          <cell r="AA451" t="b">
            <v>0</v>
          </cell>
          <cell r="AB451" t="b">
            <v>0</v>
          </cell>
          <cell r="AC451" t="b">
            <v>0</v>
          </cell>
          <cell r="AD451" t="b">
            <v>0</v>
          </cell>
        </row>
        <row r="452">
          <cell r="Z452" t="b">
            <v>0</v>
          </cell>
          <cell r="AA452" t="b">
            <v>0</v>
          </cell>
          <cell r="AB452" t="b">
            <v>0</v>
          </cell>
          <cell r="AC452" t="b">
            <v>0</v>
          </cell>
          <cell r="AD452" t="b">
            <v>0</v>
          </cell>
        </row>
        <row r="453">
          <cell r="Z453" t="b">
            <v>0</v>
          </cell>
          <cell r="AA453" t="b">
            <v>0</v>
          </cell>
          <cell r="AB453" t="b">
            <v>0</v>
          </cell>
          <cell r="AC453" t="b">
            <v>0</v>
          </cell>
          <cell r="AD453" t="b">
            <v>0</v>
          </cell>
        </row>
        <row r="454">
          <cell r="Z454" t="b">
            <v>0</v>
          </cell>
          <cell r="AA454" t="b">
            <v>0</v>
          </cell>
          <cell r="AB454" t="b">
            <v>0</v>
          </cell>
          <cell r="AC454" t="b">
            <v>0</v>
          </cell>
          <cell r="AD454" t="b">
            <v>0</v>
          </cell>
        </row>
        <row r="455">
          <cell r="Z455" t="b">
            <v>0</v>
          </cell>
          <cell r="AA455" t="b">
            <v>0</v>
          </cell>
          <cell r="AB455" t="b">
            <v>0</v>
          </cell>
          <cell r="AC455" t="b">
            <v>0</v>
          </cell>
          <cell r="AD455" t="b">
            <v>0</v>
          </cell>
        </row>
        <row r="456">
          <cell r="Z456" t="b">
            <v>0</v>
          </cell>
          <cell r="AA456" t="b">
            <v>0</v>
          </cell>
          <cell r="AB456" t="b">
            <v>0</v>
          </cell>
          <cell r="AC456" t="b">
            <v>0</v>
          </cell>
          <cell r="AD456" t="b">
            <v>0</v>
          </cell>
        </row>
        <row r="457">
          <cell r="Z457" t="b">
            <v>0</v>
          </cell>
          <cell r="AA457" t="b">
            <v>0</v>
          </cell>
          <cell r="AB457" t="b">
            <v>0</v>
          </cell>
          <cell r="AC457" t="b">
            <v>0</v>
          </cell>
          <cell r="AD457" t="b">
            <v>0</v>
          </cell>
        </row>
        <row r="458">
          <cell r="Z458" t="b">
            <v>0</v>
          </cell>
          <cell r="AA458" t="b">
            <v>0</v>
          </cell>
          <cell r="AB458" t="b">
            <v>0</v>
          </cell>
          <cell r="AC458" t="b">
            <v>0</v>
          </cell>
          <cell r="AD458" t="b">
            <v>0</v>
          </cell>
        </row>
        <row r="459">
          <cell r="Z459" t="b">
            <v>0</v>
          </cell>
          <cell r="AA459" t="b">
            <v>0</v>
          </cell>
          <cell r="AB459" t="b">
            <v>0</v>
          </cell>
          <cell r="AC459" t="b">
            <v>0</v>
          </cell>
          <cell r="AD459" t="b">
            <v>0</v>
          </cell>
        </row>
        <row r="460">
          <cell r="Z460" t="b">
            <v>0</v>
          </cell>
          <cell r="AA460" t="b">
            <v>0</v>
          </cell>
          <cell r="AB460" t="b">
            <v>0</v>
          </cell>
          <cell r="AC460" t="b">
            <v>0</v>
          </cell>
          <cell r="AD460" t="b">
            <v>0</v>
          </cell>
        </row>
        <row r="461">
          <cell r="Z461" t="b">
            <v>0</v>
          </cell>
          <cell r="AA461" t="b">
            <v>0</v>
          </cell>
          <cell r="AB461" t="b">
            <v>0</v>
          </cell>
          <cell r="AC461" t="b">
            <v>0</v>
          </cell>
          <cell r="AD461" t="b">
            <v>0</v>
          </cell>
        </row>
        <row r="462">
          <cell r="Z462" t="b">
            <v>0</v>
          </cell>
          <cell r="AA462" t="b">
            <v>0</v>
          </cell>
          <cell r="AB462" t="b">
            <v>0</v>
          </cell>
          <cell r="AC462" t="b">
            <v>0</v>
          </cell>
          <cell r="AD462" t="b">
            <v>0</v>
          </cell>
        </row>
        <row r="463">
          <cell r="Z463" t="b">
            <v>0</v>
          </cell>
          <cell r="AA463" t="b">
            <v>0</v>
          </cell>
          <cell r="AB463" t="b">
            <v>0</v>
          </cell>
          <cell r="AC463" t="b">
            <v>0</v>
          </cell>
          <cell r="AD463" t="b">
            <v>0</v>
          </cell>
        </row>
        <row r="464">
          <cell r="Z464" t="b">
            <v>0</v>
          </cell>
          <cell r="AA464" t="b">
            <v>0</v>
          </cell>
          <cell r="AB464" t="b">
            <v>0</v>
          </cell>
          <cell r="AC464" t="b">
            <v>0</v>
          </cell>
          <cell r="AD464" t="b">
            <v>0</v>
          </cell>
        </row>
        <row r="465">
          <cell r="Z465" t="b">
            <v>0</v>
          </cell>
          <cell r="AA465" t="b">
            <v>0</v>
          </cell>
          <cell r="AB465" t="b">
            <v>0</v>
          </cell>
          <cell r="AC465" t="b">
            <v>0</v>
          </cell>
          <cell r="AD465" t="b">
            <v>0</v>
          </cell>
        </row>
        <row r="466">
          <cell r="Z466" t="b">
            <v>0</v>
          </cell>
          <cell r="AA466" t="b">
            <v>0</v>
          </cell>
          <cell r="AB466" t="b">
            <v>0</v>
          </cell>
          <cell r="AC466" t="b">
            <v>0</v>
          </cell>
          <cell r="AD466" t="b">
            <v>0</v>
          </cell>
        </row>
        <row r="467">
          <cell r="Z467" t="b">
            <v>0</v>
          </cell>
          <cell r="AA467" t="b">
            <v>0</v>
          </cell>
          <cell r="AB467" t="b">
            <v>0</v>
          </cell>
          <cell r="AC467" t="b">
            <v>0</v>
          </cell>
          <cell r="AD467" t="b">
            <v>0</v>
          </cell>
        </row>
        <row r="468">
          <cell r="Z468" t="b">
            <v>0</v>
          </cell>
          <cell r="AA468" t="b">
            <v>0</v>
          </cell>
          <cell r="AB468" t="b">
            <v>0</v>
          </cell>
          <cell r="AC468" t="b">
            <v>0</v>
          </cell>
          <cell r="AD468" t="b">
            <v>0</v>
          </cell>
        </row>
        <row r="469">
          <cell r="Z469" t="b">
            <v>0</v>
          </cell>
          <cell r="AA469" t="b">
            <v>0</v>
          </cell>
          <cell r="AB469" t="b">
            <v>0</v>
          </cell>
          <cell r="AC469" t="b">
            <v>0</v>
          </cell>
          <cell r="AD469" t="b">
            <v>0</v>
          </cell>
        </row>
        <row r="470">
          <cell r="Z470" t="b">
            <v>0</v>
          </cell>
          <cell r="AA470" t="b">
            <v>0</v>
          </cell>
          <cell r="AB470" t="b">
            <v>0</v>
          </cell>
          <cell r="AC470" t="b">
            <v>0</v>
          </cell>
          <cell r="AD470" t="b">
            <v>0</v>
          </cell>
        </row>
        <row r="471">
          <cell r="Z471" t="b">
            <v>0</v>
          </cell>
          <cell r="AA471" t="b">
            <v>0</v>
          </cell>
          <cell r="AB471" t="b">
            <v>0</v>
          </cell>
          <cell r="AC471" t="b">
            <v>0</v>
          </cell>
          <cell r="AD471" t="b">
            <v>0</v>
          </cell>
        </row>
        <row r="472">
          <cell r="Z472" t="b">
            <v>0</v>
          </cell>
          <cell r="AA472" t="b">
            <v>0</v>
          </cell>
          <cell r="AB472" t="b">
            <v>0</v>
          </cell>
          <cell r="AC472" t="b">
            <v>0</v>
          </cell>
          <cell r="AD472" t="b">
            <v>0</v>
          </cell>
        </row>
        <row r="473">
          <cell r="Z473" t="b">
            <v>0</v>
          </cell>
          <cell r="AA473" t="b">
            <v>0</v>
          </cell>
          <cell r="AB473" t="b">
            <v>0</v>
          </cell>
          <cell r="AC473" t="b">
            <v>0</v>
          </cell>
          <cell r="AD473" t="b">
            <v>0</v>
          </cell>
        </row>
        <row r="474">
          <cell r="Z474" t="b">
            <v>0</v>
          </cell>
          <cell r="AA474" t="b">
            <v>0</v>
          </cell>
          <cell r="AB474" t="b">
            <v>0</v>
          </cell>
          <cell r="AC474" t="b">
            <v>0</v>
          </cell>
          <cell r="AD474" t="b">
            <v>0</v>
          </cell>
        </row>
        <row r="475">
          <cell r="Z475" t="b">
            <v>0</v>
          </cell>
          <cell r="AA475" t="b">
            <v>0</v>
          </cell>
          <cell r="AB475" t="b">
            <v>0</v>
          </cell>
          <cell r="AC475" t="b">
            <v>0</v>
          </cell>
          <cell r="AD475" t="b">
            <v>0</v>
          </cell>
        </row>
        <row r="476">
          <cell r="Z476" t="b">
            <v>0</v>
          </cell>
          <cell r="AA476" t="b">
            <v>0</v>
          </cell>
          <cell r="AB476" t="b">
            <v>0</v>
          </cell>
          <cell r="AC476" t="b">
            <v>0</v>
          </cell>
          <cell r="AD476" t="b">
            <v>0</v>
          </cell>
        </row>
        <row r="477">
          <cell r="Z477" t="b">
            <v>0</v>
          </cell>
          <cell r="AA477" t="b">
            <v>0</v>
          </cell>
          <cell r="AB477" t="b">
            <v>0</v>
          </cell>
          <cell r="AC477" t="b">
            <v>0</v>
          </cell>
          <cell r="AD477" t="b">
            <v>0</v>
          </cell>
        </row>
        <row r="478">
          <cell r="Z478" t="b">
            <v>0</v>
          </cell>
          <cell r="AA478" t="b">
            <v>0</v>
          </cell>
          <cell r="AB478" t="b">
            <v>0</v>
          </cell>
          <cell r="AC478" t="b">
            <v>0</v>
          </cell>
          <cell r="AD478" t="b">
            <v>0</v>
          </cell>
        </row>
        <row r="479">
          <cell r="Z479" t="b">
            <v>0</v>
          </cell>
          <cell r="AA479" t="b">
            <v>0</v>
          </cell>
          <cell r="AB479" t="b">
            <v>0</v>
          </cell>
          <cell r="AC479" t="b">
            <v>0</v>
          </cell>
          <cell r="AD479" t="b">
            <v>0</v>
          </cell>
        </row>
        <row r="480">
          <cell r="Z480" t="b">
            <v>0</v>
          </cell>
          <cell r="AA480" t="b">
            <v>0</v>
          </cell>
          <cell r="AB480" t="b">
            <v>0</v>
          </cell>
          <cell r="AC480" t="b">
            <v>0</v>
          </cell>
          <cell r="AD480" t="b">
            <v>0</v>
          </cell>
        </row>
        <row r="481">
          <cell r="Z481" t="b">
            <v>0</v>
          </cell>
          <cell r="AA481" t="b">
            <v>0</v>
          </cell>
          <cell r="AB481" t="b">
            <v>0</v>
          </cell>
          <cell r="AC481" t="b">
            <v>0</v>
          </cell>
          <cell r="AD481" t="b">
            <v>0</v>
          </cell>
        </row>
        <row r="482">
          <cell r="Z482" t="b">
            <v>0</v>
          </cell>
          <cell r="AA482" t="b">
            <v>0</v>
          </cell>
          <cell r="AB482" t="b">
            <v>0</v>
          </cell>
          <cell r="AC482" t="b">
            <v>0</v>
          </cell>
          <cell r="AD482" t="b">
            <v>0</v>
          </cell>
        </row>
        <row r="483">
          <cell r="Z483" t="b">
            <v>0</v>
          </cell>
          <cell r="AA483" t="b">
            <v>0</v>
          </cell>
          <cell r="AB483" t="b">
            <v>0</v>
          </cell>
          <cell r="AC483" t="b">
            <v>0</v>
          </cell>
          <cell r="AD483" t="b">
            <v>0</v>
          </cell>
        </row>
        <row r="484">
          <cell r="Z484" t="b">
            <v>0</v>
          </cell>
          <cell r="AA484" t="b">
            <v>0</v>
          </cell>
          <cell r="AB484" t="b">
            <v>0</v>
          </cell>
          <cell r="AC484" t="b">
            <v>0</v>
          </cell>
          <cell r="AD484" t="b">
            <v>0</v>
          </cell>
        </row>
        <row r="485">
          <cell r="Z485" t="b">
            <v>0</v>
          </cell>
          <cell r="AA485" t="b">
            <v>0</v>
          </cell>
          <cell r="AB485" t="b">
            <v>0</v>
          </cell>
          <cell r="AC485" t="b">
            <v>0</v>
          </cell>
          <cell r="AD485" t="b">
            <v>0</v>
          </cell>
        </row>
        <row r="486">
          <cell r="Z486" t="b">
            <v>0</v>
          </cell>
          <cell r="AA486" t="b">
            <v>0</v>
          </cell>
          <cell r="AB486" t="b">
            <v>0</v>
          </cell>
          <cell r="AC486" t="b">
            <v>0</v>
          </cell>
          <cell r="AD486" t="b">
            <v>0</v>
          </cell>
        </row>
        <row r="487">
          <cell r="Z487" t="b">
            <v>0</v>
          </cell>
          <cell r="AA487" t="b">
            <v>0</v>
          </cell>
          <cell r="AB487" t="b">
            <v>0</v>
          </cell>
          <cell r="AC487" t="b">
            <v>0</v>
          </cell>
          <cell r="AD487" t="b">
            <v>0</v>
          </cell>
        </row>
        <row r="488">
          <cell r="Z488" t="b">
            <v>0</v>
          </cell>
          <cell r="AA488" t="b">
            <v>0</v>
          </cell>
          <cell r="AB488" t="b">
            <v>0</v>
          </cell>
          <cell r="AC488" t="b">
            <v>0</v>
          </cell>
          <cell r="AD488" t="b">
            <v>0</v>
          </cell>
        </row>
        <row r="489">
          <cell r="Z489" t="b">
            <v>0</v>
          </cell>
          <cell r="AA489" t="b">
            <v>0</v>
          </cell>
          <cell r="AB489" t="b">
            <v>0</v>
          </cell>
          <cell r="AC489" t="b">
            <v>0</v>
          </cell>
          <cell r="AD489" t="b">
            <v>0</v>
          </cell>
        </row>
        <row r="490">
          <cell r="Z490" t="b">
            <v>0</v>
          </cell>
          <cell r="AA490" t="b">
            <v>0</v>
          </cell>
          <cell r="AB490" t="b">
            <v>0</v>
          </cell>
          <cell r="AC490" t="b">
            <v>0</v>
          </cell>
          <cell r="AD490" t="b">
            <v>0</v>
          </cell>
        </row>
        <row r="491">
          <cell r="Z491" t="b">
            <v>0</v>
          </cell>
          <cell r="AA491" t="b">
            <v>0</v>
          </cell>
          <cell r="AB491" t="b">
            <v>0</v>
          </cell>
          <cell r="AC491" t="b">
            <v>0</v>
          </cell>
          <cell r="AD491" t="b">
            <v>0</v>
          </cell>
        </row>
        <row r="492">
          <cell r="Z492" t="b">
            <v>0</v>
          </cell>
          <cell r="AA492" t="b">
            <v>0</v>
          </cell>
          <cell r="AB492" t="b">
            <v>0</v>
          </cell>
          <cell r="AC492" t="b">
            <v>0</v>
          </cell>
          <cell r="AD492" t="b">
            <v>0</v>
          </cell>
        </row>
        <row r="493">
          <cell r="Z493" t="b">
            <v>0</v>
          </cell>
          <cell r="AA493" t="b">
            <v>0</v>
          </cell>
          <cell r="AB493" t="b">
            <v>0</v>
          </cell>
          <cell r="AC493" t="b">
            <v>0</v>
          </cell>
          <cell r="AD493" t="b">
            <v>0</v>
          </cell>
        </row>
        <row r="494">
          <cell r="Z494" t="b">
            <v>0</v>
          </cell>
          <cell r="AA494" t="b">
            <v>0</v>
          </cell>
          <cell r="AB494" t="b">
            <v>0</v>
          </cell>
          <cell r="AC494" t="b">
            <v>0</v>
          </cell>
          <cell r="AD494" t="b">
            <v>0</v>
          </cell>
        </row>
        <row r="495">
          <cell r="Z495" t="b">
            <v>0</v>
          </cell>
          <cell r="AA495" t="b">
            <v>0</v>
          </cell>
          <cell r="AB495" t="b">
            <v>0</v>
          </cell>
          <cell r="AC495" t="b">
            <v>0</v>
          </cell>
          <cell r="AD495" t="b">
            <v>0</v>
          </cell>
        </row>
        <row r="496">
          <cell r="Z496" t="b">
            <v>0</v>
          </cell>
          <cell r="AA496" t="b">
            <v>0</v>
          </cell>
          <cell r="AB496" t="b">
            <v>0</v>
          </cell>
          <cell r="AC496" t="b">
            <v>0</v>
          </cell>
          <cell r="AD496" t="b">
            <v>0</v>
          </cell>
        </row>
        <row r="497">
          <cell r="Z497" t="b">
            <v>0</v>
          </cell>
          <cell r="AA497" t="b">
            <v>0</v>
          </cell>
          <cell r="AB497" t="b">
            <v>0</v>
          </cell>
          <cell r="AC497" t="b">
            <v>0</v>
          </cell>
          <cell r="AD497" t="b">
            <v>0</v>
          </cell>
        </row>
        <row r="498">
          <cell r="Z498" t="b">
            <v>0</v>
          </cell>
          <cell r="AA498" t="b">
            <v>0</v>
          </cell>
          <cell r="AB498" t="b">
            <v>0</v>
          </cell>
          <cell r="AC498" t="b">
            <v>0</v>
          </cell>
          <cell r="AD498" t="b">
            <v>0</v>
          </cell>
        </row>
        <row r="499">
          <cell r="Z499" t="b">
            <v>0</v>
          </cell>
          <cell r="AA499" t="b">
            <v>0</v>
          </cell>
          <cell r="AB499" t="b">
            <v>0</v>
          </cell>
          <cell r="AC499" t="b">
            <v>0</v>
          </cell>
          <cell r="AD499" t="b">
            <v>0</v>
          </cell>
        </row>
        <row r="500">
          <cell r="Z500" t="b">
            <v>0</v>
          </cell>
          <cell r="AA500" t="b">
            <v>0</v>
          </cell>
          <cell r="AB500" t="b">
            <v>0</v>
          </cell>
          <cell r="AC500" t="b">
            <v>0</v>
          </cell>
          <cell r="AD500" t="b">
            <v>0</v>
          </cell>
        </row>
        <row r="501">
          <cell r="Z501" t="b">
            <v>0</v>
          </cell>
          <cell r="AA501" t="b">
            <v>0</v>
          </cell>
          <cell r="AB501" t="b">
            <v>0</v>
          </cell>
          <cell r="AC501" t="b">
            <v>0</v>
          </cell>
          <cell r="AD501" t="b">
            <v>0</v>
          </cell>
        </row>
        <row r="502">
          <cell r="Z502" t="b">
            <v>0</v>
          </cell>
          <cell r="AA502" t="b">
            <v>0</v>
          </cell>
          <cell r="AB502" t="b">
            <v>0</v>
          </cell>
          <cell r="AC502" t="b">
            <v>0</v>
          </cell>
          <cell r="AD502" t="b">
            <v>0</v>
          </cell>
        </row>
        <row r="503">
          <cell r="Z503" t="b">
            <v>0</v>
          </cell>
          <cell r="AA503" t="b">
            <v>0</v>
          </cell>
          <cell r="AB503" t="b">
            <v>0</v>
          </cell>
          <cell r="AC503" t="b">
            <v>0</v>
          </cell>
          <cell r="AD503" t="b">
            <v>0</v>
          </cell>
        </row>
        <row r="504">
          <cell r="Z504" t="b">
            <v>0</v>
          </cell>
          <cell r="AA504" t="b">
            <v>0</v>
          </cell>
          <cell r="AB504" t="b">
            <v>0</v>
          </cell>
          <cell r="AC504" t="b">
            <v>0</v>
          </cell>
          <cell r="AD504" t="b">
            <v>0</v>
          </cell>
        </row>
        <row r="505">
          <cell r="Z505" t="b">
            <v>0</v>
          </cell>
          <cell r="AA505" t="b">
            <v>0</v>
          </cell>
          <cell r="AB505" t="b">
            <v>0</v>
          </cell>
          <cell r="AC505" t="b">
            <v>0</v>
          </cell>
          <cell r="AD505" t="b">
            <v>0</v>
          </cell>
        </row>
        <row r="506">
          <cell r="Z506" t="b">
            <v>0</v>
          </cell>
          <cell r="AA506" t="b">
            <v>0</v>
          </cell>
          <cell r="AB506" t="b">
            <v>0</v>
          </cell>
          <cell r="AC506" t="b">
            <v>0</v>
          </cell>
          <cell r="AD506" t="b">
            <v>0</v>
          </cell>
        </row>
        <row r="507">
          <cell r="Z507" t="b">
            <v>0</v>
          </cell>
          <cell r="AA507" t="b">
            <v>0</v>
          </cell>
          <cell r="AB507" t="b">
            <v>0</v>
          </cell>
          <cell r="AC507" t="b">
            <v>0</v>
          </cell>
          <cell r="AD507" t="b">
            <v>0</v>
          </cell>
        </row>
        <row r="508">
          <cell r="Z508" t="b">
            <v>0</v>
          </cell>
          <cell r="AA508" t="b">
            <v>0</v>
          </cell>
          <cell r="AB508" t="b">
            <v>0</v>
          </cell>
          <cell r="AC508" t="b">
            <v>0</v>
          </cell>
          <cell r="AD508" t="b">
            <v>0</v>
          </cell>
        </row>
        <row r="509">
          <cell r="Z509" t="b">
            <v>0</v>
          </cell>
          <cell r="AA509" t="b">
            <v>0</v>
          </cell>
          <cell r="AB509" t="b">
            <v>0</v>
          </cell>
          <cell r="AC509" t="b">
            <v>0</v>
          </cell>
          <cell r="AD509" t="b">
            <v>0</v>
          </cell>
        </row>
        <row r="510">
          <cell r="Z510" t="b">
            <v>0</v>
          </cell>
          <cell r="AA510" t="b">
            <v>0</v>
          </cell>
          <cell r="AB510" t="b">
            <v>0</v>
          </cell>
          <cell r="AC510" t="b">
            <v>0</v>
          </cell>
          <cell r="AD510" t="b">
            <v>0</v>
          </cell>
        </row>
        <row r="511">
          <cell r="Z511" t="b">
            <v>0</v>
          </cell>
          <cell r="AA511" t="b">
            <v>0</v>
          </cell>
          <cell r="AB511" t="b">
            <v>0</v>
          </cell>
          <cell r="AC511" t="b">
            <v>0</v>
          </cell>
          <cell r="AD511" t="b">
            <v>0</v>
          </cell>
        </row>
        <row r="512">
          <cell r="Z512" t="b">
            <v>0</v>
          </cell>
          <cell r="AA512" t="b">
            <v>0</v>
          </cell>
          <cell r="AB512" t="b">
            <v>0</v>
          </cell>
          <cell r="AC512" t="b">
            <v>0</v>
          </cell>
          <cell r="AD512" t="b">
            <v>0</v>
          </cell>
        </row>
        <row r="513">
          <cell r="Z513" t="b">
            <v>0</v>
          </cell>
          <cell r="AA513" t="b">
            <v>0</v>
          </cell>
          <cell r="AB513" t="b">
            <v>0</v>
          </cell>
          <cell r="AC513" t="b">
            <v>0</v>
          </cell>
          <cell r="AD513" t="b">
            <v>0</v>
          </cell>
        </row>
        <row r="514">
          <cell r="Z514" t="b">
            <v>0</v>
          </cell>
          <cell r="AA514" t="b">
            <v>0</v>
          </cell>
          <cell r="AB514" t="b">
            <v>0</v>
          </cell>
          <cell r="AC514" t="b">
            <v>0</v>
          </cell>
          <cell r="AD514" t="b">
            <v>0</v>
          </cell>
        </row>
        <row r="515">
          <cell r="Z515" t="b">
            <v>0</v>
          </cell>
          <cell r="AA515" t="b">
            <v>0</v>
          </cell>
          <cell r="AB515" t="b">
            <v>0</v>
          </cell>
          <cell r="AC515" t="b">
            <v>0</v>
          </cell>
          <cell r="AD515" t="b">
            <v>0</v>
          </cell>
        </row>
        <row r="516">
          <cell r="Z516" t="b">
            <v>0</v>
          </cell>
          <cell r="AA516" t="b">
            <v>0</v>
          </cell>
          <cell r="AB516" t="b">
            <v>0</v>
          </cell>
          <cell r="AC516" t="b">
            <v>0</v>
          </cell>
          <cell r="AD516" t="b">
            <v>0</v>
          </cell>
        </row>
        <row r="517">
          <cell r="Z517" t="b">
            <v>0</v>
          </cell>
          <cell r="AA517" t="b">
            <v>0</v>
          </cell>
          <cell r="AB517" t="b">
            <v>0</v>
          </cell>
          <cell r="AC517" t="b">
            <v>0</v>
          </cell>
          <cell r="AD517" t="b">
            <v>0</v>
          </cell>
        </row>
        <row r="518">
          <cell r="Z518" t="b">
            <v>0</v>
          </cell>
          <cell r="AA518" t="b">
            <v>0</v>
          </cell>
          <cell r="AB518" t="b">
            <v>0</v>
          </cell>
          <cell r="AC518" t="b">
            <v>0</v>
          </cell>
          <cell r="AD518" t="b">
            <v>0</v>
          </cell>
        </row>
        <row r="519">
          <cell r="Z519" t="b">
            <v>0</v>
          </cell>
          <cell r="AA519" t="b">
            <v>0</v>
          </cell>
          <cell r="AB519" t="b">
            <v>0</v>
          </cell>
          <cell r="AC519" t="b">
            <v>0</v>
          </cell>
          <cell r="AD519" t="b">
            <v>0</v>
          </cell>
        </row>
        <row r="520">
          <cell r="Z520" t="b">
            <v>0</v>
          </cell>
          <cell r="AA520" t="b">
            <v>0</v>
          </cell>
          <cell r="AB520" t="b">
            <v>0</v>
          </cell>
          <cell r="AC520" t="b">
            <v>0</v>
          </cell>
          <cell r="AD520" t="b">
            <v>0</v>
          </cell>
        </row>
        <row r="521">
          <cell r="Z521" t="b">
            <v>0</v>
          </cell>
          <cell r="AA521" t="b">
            <v>0</v>
          </cell>
          <cell r="AB521" t="b">
            <v>0</v>
          </cell>
          <cell r="AC521" t="b">
            <v>0</v>
          </cell>
          <cell r="AD521" t="b">
            <v>0</v>
          </cell>
        </row>
        <row r="522">
          <cell r="Z522" t="b">
            <v>0</v>
          </cell>
          <cell r="AA522" t="b">
            <v>0</v>
          </cell>
          <cell r="AB522" t="b">
            <v>0</v>
          </cell>
          <cell r="AC522" t="b">
            <v>0</v>
          </cell>
          <cell r="AD522" t="b">
            <v>0</v>
          </cell>
        </row>
        <row r="523">
          <cell r="Z523" t="b">
            <v>0</v>
          </cell>
          <cell r="AA523" t="b">
            <v>0</v>
          </cell>
          <cell r="AB523" t="b">
            <v>0</v>
          </cell>
          <cell r="AC523" t="b">
            <v>0</v>
          </cell>
          <cell r="AD523" t="b">
            <v>0</v>
          </cell>
        </row>
        <row r="524">
          <cell r="Z524" t="b">
            <v>0</v>
          </cell>
          <cell r="AA524" t="b">
            <v>0</v>
          </cell>
          <cell r="AB524" t="b">
            <v>0</v>
          </cell>
          <cell r="AC524" t="b">
            <v>0</v>
          </cell>
          <cell r="AD524" t="b">
            <v>0</v>
          </cell>
        </row>
        <row r="525">
          <cell r="Z525" t="b">
            <v>0</v>
          </cell>
          <cell r="AA525" t="b">
            <v>0</v>
          </cell>
          <cell r="AB525" t="b">
            <v>0</v>
          </cell>
          <cell r="AC525" t="b">
            <v>0</v>
          </cell>
          <cell r="AD525" t="b">
            <v>0</v>
          </cell>
        </row>
        <row r="526">
          <cell r="Z526" t="b">
            <v>0</v>
          </cell>
          <cell r="AA526" t="b">
            <v>0</v>
          </cell>
          <cell r="AB526" t="b">
            <v>0</v>
          </cell>
          <cell r="AC526" t="b">
            <v>0</v>
          </cell>
          <cell r="AD526" t="b">
            <v>0</v>
          </cell>
        </row>
        <row r="527">
          <cell r="Z527" t="b">
            <v>0</v>
          </cell>
          <cell r="AA527" t="b">
            <v>0</v>
          </cell>
          <cell r="AB527" t="b">
            <v>0</v>
          </cell>
          <cell r="AC527" t="b">
            <v>0</v>
          </cell>
          <cell r="AD527" t="b">
            <v>0</v>
          </cell>
        </row>
        <row r="528">
          <cell r="Z528" t="b">
            <v>0</v>
          </cell>
          <cell r="AA528" t="b">
            <v>0</v>
          </cell>
          <cell r="AB528" t="b">
            <v>0</v>
          </cell>
          <cell r="AC528" t="b">
            <v>0</v>
          </cell>
          <cell r="AD528" t="b">
            <v>0</v>
          </cell>
        </row>
        <row r="529">
          <cell r="Z529" t="b">
            <v>0</v>
          </cell>
          <cell r="AA529" t="b">
            <v>0</v>
          </cell>
          <cell r="AB529" t="b">
            <v>0</v>
          </cell>
          <cell r="AC529" t="b">
            <v>0</v>
          </cell>
          <cell r="AD529" t="b">
            <v>0</v>
          </cell>
        </row>
        <row r="530">
          <cell r="Z530" t="b">
            <v>0</v>
          </cell>
          <cell r="AA530" t="b">
            <v>0</v>
          </cell>
          <cell r="AB530" t="b">
            <v>0</v>
          </cell>
          <cell r="AC530" t="b">
            <v>0</v>
          </cell>
          <cell r="AD530" t="b">
            <v>0</v>
          </cell>
        </row>
        <row r="531">
          <cell r="Z531" t="b">
            <v>0</v>
          </cell>
          <cell r="AA531" t="b">
            <v>0</v>
          </cell>
          <cell r="AB531" t="b">
            <v>0</v>
          </cell>
          <cell r="AC531" t="b">
            <v>0</v>
          </cell>
          <cell r="AD531" t="b">
            <v>0</v>
          </cell>
        </row>
        <row r="532">
          <cell r="Z532" t="b">
            <v>0</v>
          </cell>
          <cell r="AA532" t="b">
            <v>0</v>
          </cell>
          <cell r="AB532" t="b">
            <v>0</v>
          </cell>
          <cell r="AC532" t="b">
            <v>0</v>
          </cell>
          <cell r="AD532" t="b">
            <v>0</v>
          </cell>
        </row>
        <row r="533">
          <cell r="Z533" t="b">
            <v>0</v>
          </cell>
          <cell r="AA533" t="b">
            <v>0</v>
          </cell>
          <cell r="AB533" t="b">
            <v>0</v>
          </cell>
          <cell r="AC533" t="b">
            <v>0</v>
          </cell>
          <cell r="AD533" t="b">
            <v>0</v>
          </cell>
        </row>
        <row r="534">
          <cell r="Z534" t="b">
            <v>0</v>
          </cell>
          <cell r="AA534" t="b">
            <v>0</v>
          </cell>
          <cell r="AB534" t="b">
            <v>0</v>
          </cell>
          <cell r="AC534" t="b">
            <v>0</v>
          </cell>
          <cell r="AD534" t="b">
            <v>0</v>
          </cell>
        </row>
        <row r="535">
          <cell r="Z535" t="b">
            <v>0</v>
          </cell>
          <cell r="AA535" t="b">
            <v>0</v>
          </cell>
          <cell r="AB535" t="b">
            <v>0</v>
          </cell>
          <cell r="AC535" t="b">
            <v>0</v>
          </cell>
          <cell r="AD535" t="b">
            <v>0</v>
          </cell>
        </row>
        <row r="536">
          <cell r="Z536" t="b">
            <v>0</v>
          </cell>
          <cell r="AA536" t="b">
            <v>0</v>
          </cell>
          <cell r="AB536" t="b">
            <v>0</v>
          </cell>
          <cell r="AC536" t="b">
            <v>0</v>
          </cell>
          <cell r="AD536" t="b">
            <v>0</v>
          </cell>
        </row>
        <row r="537">
          <cell r="Z537" t="b">
            <v>0</v>
          </cell>
          <cell r="AA537" t="b">
            <v>0</v>
          </cell>
          <cell r="AB537" t="b">
            <v>0</v>
          </cell>
          <cell r="AC537" t="b">
            <v>0</v>
          </cell>
          <cell r="AD537" t="b">
            <v>0</v>
          </cell>
        </row>
        <row r="538">
          <cell r="Z538" t="b">
            <v>0</v>
          </cell>
          <cell r="AA538" t="b">
            <v>0</v>
          </cell>
          <cell r="AB538" t="b">
            <v>0</v>
          </cell>
          <cell r="AC538" t="b">
            <v>0</v>
          </cell>
          <cell r="AD538" t="b">
            <v>0</v>
          </cell>
        </row>
        <row r="539">
          <cell r="Z539" t="b">
            <v>0</v>
          </cell>
          <cell r="AA539" t="b">
            <v>0</v>
          </cell>
          <cell r="AB539" t="b">
            <v>0</v>
          </cell>
          <cell r="AC539" t="b">
            <v>0</v>
          </cell>
          <cell r="AD539" t="b">
            <v>0</v>
          </cell>
        </row>
        <row r="540">
          <cell r="Z540" t="b">
            <v>0</v>
          </cell>
          <cell r="AA540" t="b">
            <v>0</v>
          </cell>
          <cell r="AB540" t="b">
            <v>0</v>
          </cell>
          <cell r="AC540" t="b">
            <v>0</v>
          </cell>
          <cell r="AD540" t="b">
            <v>0</v>
          </cell>
        </row>
        <row r="541">
          <cell r="Z541" t="b">
            <v>0</v>
          </cell>
          <cell r="AA541" t="b">
            <v>0</v>
          </cell>
          <cell r="AB541" t="b">
            <v>0</v>
          </cell>
          <cell r="AC541" t="b">
            <v>0</v>
          </cell>
          <cell r="AD541" t="b">
            <v>0</v>
          </cell>
        </row>
        <row r="542">
          <cell r="Z542" t="b">
            <v>0</v>
          </cell>
          <cell r="AA542" t="b">
            <v>0</v>
          </cell>
          <cell r="AB542" t="b">
            <v>0</v>
          </cell>
          <cell r="AC542" t="b">
            <v>0</v>
          </cell>
          <cell r="AD542" t="b">
            <v>0</v>
          </cell>
        </row>
        <row r="543">
          <cell r="Z543" t="b">
            <v>0</v>
          </cell>
          <cell r="AA543" t="b">
            <v>0</v>
          </cell>
          <cell r="AB543" t="b">
            <v>0</v>
          </cell>
          <cell r="AC543" t="b">
            <v>0</v>
          </cell>
          <cell r="AD543" t="b">
            <v>0</v>
          </cell>
        </row>
        <row r="544">
          <cell r="Z544" t="b">
            <v>0</v>
          </cell>
          <cell r="AA544" t="b">
            <v>0</v>
          </cell>
          <cell r="AB544" t="b">
            <v>0</v>
          </cell>
          <cell r="AC544" t="b">
            <v>0</v>
          </cell>
          <cell r="AD544" t="b">
            <v>0</v>
          </cell>
        </row>
        <row r="545">
          <cell r="Z545" t="b">
            <v>0</v>
          </cell>
          <cell r="AA545" t="b">
            <v>0</v>
          </cell>
          <cell r="AB545" t="b">
            <v>0</v>
          </cell>
          <cell r="AC545" t="b">
            <v>0</v>
          </cell>
          <cell r="AD545" t="b">
            <v>0</v>
          </cell>
        </row>
        <row r="546">
          <cell r="Z546" t="b">
            <v>0</v>
          </cell>
          <cell r="AA546" t="b">
            <v>0</v>
          </cell>
          <cell r="AB546" t="b">
            <v>0</v>
          </cell>
          <cell r="AC546" t="b">
            <v>0</v>
          </cell>
          <cell r="AD546" t="b">
            <v>0</v>
          </cell>
        </row>
        <row r="547">
          <cell r="Z547" t="b">
            <v>0</v>
          </cell>
          <cell r="AA547" t="b">
            <v>0</v>
          </cell>
          <cell r="AB547" t="b">
            <v>0</v>
          </cell>
          <cell r="AC547" t="b">
            <v>0</v>
          </cell>
          <cell r="AD547" t="b">
            <v>0</v>
          </cell>
        </row>
        <row r="548">
          <cell r="Z548" t="b">
            <v>0</v>
          </cell>
          <cell r="AA548" t="b">
            <v>0</v>
          </cell>
          <cell r="AB548" t="b">
            <v>0</v>
          </cell>
          <cell r="AC548" t="b">
            <v>0</v>
          </cell>
          <cell r="AD548" t="b">
            <v>0</v>
          </cell>
        </row>
        <row r="549">
          <cell r="Z549" t="b">
            <v>0</v>
          </cell>
          <cell r="AA549" t="b">
            <v>0</v>
          </cell>
          <cell r="AB549" t="b">
            <v>0</v>
          </cell>
          <cell r="AC549" t="b">
            <v>0</v>
          </cell>
          <cell r="AD549" t="b">
            <v>0</v>
          </cell>
        </row>
        <row r="550">
          <cell r="Z550" t="b">
            <v>0</v>
          </cell>
          <cell r="AA550" t="b">
            <v>0</v>
          </cell>
          <cell r="AB550" t="b">
            <v>0</v>
          </cell>
          <cell r="AC550" t="b">
            <v>0</v>
          </cell>
          <cell r="AD550" t="b">
            <v>0</v>
          </cell>
        </row>
        <row r="551">
          <cell r="Z551" t="b">
            <v>0</v>
          </cell>
          <cell r="AA551" t="b">
            <v>0</v>
          </cell>
          <cell r="AB551" t="b">
            <v>0</v>
          </cell>
          <cell r="AC551" t="b">
            <v>0</v>
          </cell>
          <cell r="AD551" t="b">
            <v>0</v>
          </cell>
        </row>
        <row r="552">
          <cell r="Z552" t="b">
            <v>0</v>
          </cell>
          <cell r="AA552" t="b">
            <v>0</v>
          </cell>
          <cell r="AB552" t="b">
            <v>0</v>
          </cell>
          <cell r="AC552" t="b">
            <v>0</v>
          </cell>
          <cell r="AD552" t="b">
            <v>0</v>
          </cell>
        </row>
        <row r="553">
          <cell r="Z553" t="b">
            <v>0</v>
          </cell>
          <cell r="AA553" t="b">
            <v>0</v>
          </cell>
          <cell r="AB553" t="b">
            <v>0</v>
          </cell>
          <cell r="AC553" t="b">
            <v>0</v>
          </cell>
          <cell r="AD553" t="b">
            <v>0</v>
          </cell>
        </row>
        <row r="554">
          <cell r="Z554" t="b">
            <v>0</v>
          </cell>
          <cell r="AA554" t="b">
            <v>0</v>
          </cell>
          <cell r="AB554" t="b">
            <v>0</v>
          </cell>
          <cell r="AC554" t="b">
            <v>0</v>
          </cell>
          <cell r="AD554" t="b">
            <v>0</v>
          </cell>
        </row>
        <row r="555">
          <cell r="Z555" t="b">
            <v>0</v>
          </cell>
          <cell r="AA555" t="b">
            <v>0</v>
          </cell>
          <cell r="AB555" t="b">
            <v>0</v>
          </cell>
          <cell r="AC555" t="b">
            <v>0</v>
          </cell>
          <cell r="AD555" t="b">
            <v>0</v>
          </cell>
        </row>
        <row r="556">
          <cell r="Z556" t="b">
            <v>0</v>
          </cell>
          <cell r="AA556" t="b">
            <v>0</v>
          </cell>
          <cell r="AB556" t="b">
            <v>0</v>
          </cell>
          <cell r="AC556" t="b">
            <v>0</v>
          </cell>
          <cell r="AD556" t="b">
            <v>0</v>
          </cell>
        </row>
        <row r="557">
          <cell r="Z557" t="b">
            <v>0</v>
          </cell>
          <cell r="AA557" t="b">
            <v>0</v>
          </cell>
          <cell r="AB557" t="b">
            <v>0</v>
          </cell>
          <cell r="AC557" t="b">
            <v>0</v>
          </cell>
          <cell r="AD557" t="b">
            <v>0</v>
          </cell>
        </row>
        <row r="558">
          <cell r="Z558" t="b">
            <v>0</v>
          </cell>
          <cell r="AA558" t="b">
            <v>0</v>
          </cell>
          <cell r="AB558" t="b">
            <v>0</v>
          </cell>
          <cell r="AC558" t="b">
            <v>0</v>
          </cell>
          <cell r="AD558" t="b">
            <v>0</v>
          </cell>
        </row>
        <row r="559">
          <cell r="Z559" t="b">
            <v>0</v>
          </cell>
          <cell r="AA559" t="b">
            <v>0</v>
          </cell>
          <cell r="AB559" t="b">
            <v>0</v>
          </cell>
          <cell r="AC559" t="b">
            <v>0</v>
          </cell>
          <cell r="AD559" t="b">
            <v>0</v>
          </cell>
        </row>
        <row r="560">
          <cell r="Z560" t="b">
            <v>0</v>
          </cell>
          <cell r="AA560" t="b">
            <v>0</v>
          </cell>
          <cell r="AB560" t="b">
            <v>0</v>
          </cell>
          <cell r="AC560" t="b">
            <v>0</v>
          </cell>
          <cell r="AD560" t="b">
            <v>0</v>
          </cell>
        </row>
        <row r="561">
          <cell r="Z561" t="b">
            <v>0</v>
          </cell>
          <cell r="AA561" t="b">
            <v>0</v>
          </cell>
          <cell r="AB561" t="b">
            <v>0</v>
          </cell>
          <cell r="AC561" t="b">
            <v>0</v>
          </cell>
          <cell r="AD561" t="b">
            <v>0</v>
          </cell>
        </row>
        <row r="562">
          <cell r="Z562" t="b">
            <v>0</v>
          </cell>
          <cell r="AA562" t="b">
            <v>0</v>
          </cell>
          <cell r="AB562" t="b">
            <v>0</v>
          </cell>
          <cell r="AC562" t="b">
            <v>0</v>
          </cell>
          <cell r="AD562" t="b">
            <v>0</v>
          </cell>
        </row>
        <row r="563">
          <cell r="Z563" t="b">
            <v>0</v>
          </cell>
          <cell r="AA563" t="b">
            <v>0</v>
          </cell>
          <cell r="AB563" t="b">
            <v>0</v>
          </cell>
          <cell r="AC563" t="b">
            <v>0</v>
          </cell>
          <cell r="AD563" t="b">
            <v>0</v>
          </cell>
        </row>
        <row r="564">
          <cell r="Z564" t="b">
            <v>0</v>
          </cell>
          <cell r="AA564" t="b">
            <v>0</v>
          </cell>
          <cell r="AB564" t="b">
            <v>0</v>
          </cell>
          <cell r="AC564" t="b">
            <v>0</v>
          </cell>
          <cell r="AD564" t="b">
            <v>0</v>
          </cell>
        </row>
        <row r="565">
          <cell r="Z565" t="b">
            <v>0</v>
          </cell>
          <cell r="AA565" t="b">
            <v>0</v>
          </cell>
          <cell r="AB565" t="b">
            <v>0</v>
          </cell>
          <cell r="AC565" t="b">
            <v>0</v>
          </cell>
          <cell r="AD565" t="b">
            <v>0</v>
          </cell>
        </row>
        <row r="566">
          <cell r="Z566" t="b">
            <v>0</v>
          </cell>
          <cell r="AA566" t="b">
            <v>0</v>
          </cell>
          <cell r="AB566" t="b">
            <v>0</v>
          </cell>
          <cell r="AC566" t="b">
            <v>0</v>
          </cell>
          <cell r="AD566" t="b">
            <v>0</v>
          </cell>
        </row>
        <row r="567">
          <cell r="Z567" t="b">
            <v>0</v>
          </cell>
          <cell r="AA567" t="b">
            <v>0</v>
          </cell>
          <cell r="AB567" t="b">
            <v>0</v>
          </cell>
          <cell r="AC567" t="b">
            <v>0</v>
          </cell>
          <cell r="AD567" t="b">
            <v>0</v>
          </cell>
        </row>
        <row r="568">
          <cell r="Z568" t="b">
            <v>0</v>
          </cell>
          <cell r="AA568" t="b">
            <v>0</v>
          </cell>
          <cell r="AB568" t="b">
            <v>0</v>
          </cell>
          <cell r="AC568" t="b">
            <v>0</v>
          </cell>
          <cell r="AD568" t="b">
            <v>0</v>
          </cell>
        </row>
        <row r="569">
          <cell r="Z569" t="b">
            <v>0</v>
          </cell>
          <cell r="AA569" t="b">
            <v>0</v>
          </cell>
          <cell r="AB569" t="b">
            <v>0</v>
          </cell>
          <cell r="AC569" t="b">
            <v>0</v>
          </cell>
          <cell r="AD569" t="b">
            <v>0</v>
          </cell>
        </row>
        <row r="570">
          <cell r="Z570" t="b">
            <v>0</v>
          </cell>
          <cell r="AA570" t="b">
            <v>0</v>
          </cell>
          <cell r="AB570" t="b">
            <v>0</v>
          </cell>
          <cell r="AC570" t="b">
            <v>0</v>
          </cell>
          <cell r="AD570" t="b">
            <v>0</v>
          </cell>
        </row>
        <row r="571">
          <cell r="Z571" t="b">
            <v>0</v>
          </cell>
          <cell r="AA571" t="b">
            <v>0</v>
          </cell>
          <cell r="AB571" t="b">
            <v>0</v>
          </cell>
          <cell r="AC571" t="b">
            <v>0</v>
          </cell>
          <cell r="AD571" t="b">
            <v>0</v>
          </cell>
        </row>
        <row r="572">
          <cell r="Z572" t="b">
            <v>0</v>
          </cell>
          <cell r="AA572" t="b">
            <v>0</v>
          </cell>
          <cell r="AB572" t="b">
            <v>0</v>
          </cell>
          <cell r="AC572" t="b">
            <v>0</v>
          </cell>
          <cell r="AD572" t="b">
            <v>0</v>
          </cell>
        </row>
        <row r="573">
          <cell r="Z573" t="b">
            <v>0</v>
          </cell>
          <cell r="AA573" t="b">
            <v>0</v>
          </cell>
          <cell r="AB573" t="b">
            <v>0</v>
          </cell>
          <cell r="AC573" t="b">
            <v>0</v>
          </cell>
          <cell r="AD573" t="b">
            <v>0</v>
          </cell>
        </row>
        <row r="574">
          <cell r="Z574" t="b">
            <v>0</v>
          </cell>
          <cell r="AA574" t="b">
            <v>0</v>
          </cell>
          <cell r="AB574" t="b">
            <v>0</v>
          </cell>
          <cell r="AC574" t="b">
            <v>0</v>
          </cell>
          <cell r="AD574" t="b">
            <v>0</v>
          </cell>
        </row>
        <row r="575">
          <cell r="Z575" t="b">
            <v>0</v>
          </cell>
          <cell r="AA575" t="b">
            <v>0</v>
          </cell>
          <cell r="AB575" t="b">
            <v>0</v>
          </cell>
          <cell r="AC575" t="b">
            <v>0</v>
          </cell>
          <cell r="AD575" t="b">
            <v>0</v>
          </cell>
        </row>
        <row r="576">
          <cell r="Z576" t="b">
            <v>0</v>
          </cell>
          <cell r="AA576" t="b">
            <v>0</v>
          </cell>
          <cell r="AB576" t="b">
            <v>0</v>
          </cell>
          <cell r="AC576" t="b">
            <v>0</v>
          </cell>
          <cell r="AD576" t="b">
            <v>0</v>
          </cell>
        </row>
        <row r="577">
          <cell r="Z577" t="b">
            <v>0</v>
          </cell>
          <cell r="AA577" t="b">
            <v>0</v>
          </cell>
          <cell r="AB577" t="b">
            <v>0</v>
          </cell>
          <cell r="AC577" t="b">
            <v>0</v>
          </cell>
          <cell r="AD577" t="b">
            <v>0</v>
          </cell>
        </row>
        <row r="578">
          <cell r="Z578" t="b">
            <v>0</v>
          </cell>
          <cell r="AA578" t="b">
            <v>0</v>
          </cell>
          <cell r="AB578" t="b">
            <v>0</v>
          </cell>
          <cell r="AC578" t="b">
            <v>0</v>
          </cell>
          <cell r="AD578" t="b">
            <v>0</v>
          </cell>
        </row>
        <row r="579">
          <cell r="Z579" t="b">
            <v>0</v>
          </cell>
          <cell r="AA579" t="b">
            <v>0</v>
          </cell>
          <cell r="AB579" t="b">
            <v>0</v>
          </cell>
          <cell r="AC579" t="b">
            <v>0</v>
          </cell>
          <cell r="AD579" t="b">
            <v>0</v>
          </cell>
        </row>
        <row r="580">
          <cell r="Z580" t="b">
            <v>0</v>
          </cell>
          <cell r="AA580" t="b">
            <v>0</v>
          </cell>
          <cell r="AB580" t="b">
            <v>0</v>
          </cell>
          <cell r="AC580" t="b">
            <v>0</v>
          </cell>
          <cell r="AD580" t="b">
            <v>0</v>
          </cell>
        </row>
        <row r="581">
          <cell r="Z581" t="b">
            <v>0</v>
          </cell>
          <cell r="AA581" t="b">
            <v>0</v>
          </cell>
          <cell r="AB581" t="b">
            <v>0</v>
          </cell>
          <cell r="AC581" t="b">
            <v>0</v>
          </cell>
          <cell r="AD581" t="b">
            <v>0</v>
          </cell>
        </row>
        <row r="582">
          <cell r="Z582" t="b">
            <v>0</v>
          </cell>
          <cell r="AA582" t="b">
            <v>0</v>
          </cell>
          <cell r="AB582" t="b">
            <v>0</v>
          </cell>
          <cell r="AC582" t="b">
            <v>0</v>
          </cell>
          <cell r="AD582" t="b">
            <v>0</v>
          </cell>
        </row>
        <row r="583">
          <cell r="Z583" t="b">
            <v>0</v>
          </cell>
          <cell r="AA583" t="b">
            <v>0</v>
          </cell>
          <cell r="AB583" t="b">
            <v>0</v>
          </cell>
          <cell r="AC583" t="b">
            <v>0</v>
          </cell>
          <cell r="AD583" t="b">
            <v>0</v>
          </cell>
        </row>
        <row r="584">
          <cell r="Z584" t="b">
            <v>0</v>
          </cell>
          <cell r="AA584" t="b">
            <v>0</v>
          </cell>
          <cell r="AB584" t="b">
            <v>0</v>
          </cell>
          <cell r="AC584" t="b">
            <v>0</v>
          </cell>
          <cell r="AD584" t="b">
            <v>0</v>
          </cell>
        </row>
      </sheetData>
      <sheetData sheetId="19" refreshError="1"/>
      <sheetData sheetId="20"/>
      <sheetData sheetId="21" refreshError="1"/>
      <sheetData sheetId="22" refreshError="1"/>
      <sheetData sheetId="23"/>
      <sheetData sheetId="24"/>
      <sheetData sheetId="25"/>
      <sheetData sheetId="26" refreshError="1"/>
      <sheetData sheetId="27" refreshError="1"/>
      <sheetData sheetId="28"/>
      <sheetData sheetId="29"/>
      <sheetData sheetId="30"/>
      <sheetData sheetId="31" refreshError="1"/>
      <sheetData sheetId="32" refreshError="1"/>
      <sheetData sheetId="33" refreshError="1"/>
      <sheetData sheetId="3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over Sheet"/>
      <sheetName val="Valuation Summary"/>
      <sheetName val="SE Asset Sale PPAs"/>
      <sheetName val="Dispatch Assumptions"/>
      <sheetName val="Consolidated"/>
      <sheetName val="Southeast"/>
      <sheetName val="West"/>
      <sheetName val="Texas"/>
      <sheetName val="MW-Cache"/>
      <sheetName val="Northeast"/>
      <sheetName val="Parent"/>
      <sheetName val="Market Prices"/>
      <sheetName val="Debts"/>
      <sheetName val="SE Assets &amp; RFPs"/>
      <sheetName val="CPN Operating Plants"/>
      <sheetName val="Trading Vol"/>
      <sheetName val="Peak Dmnd"/>
      <sheetName val="New Resources"/>
      <sheetName val="ERCOT Res Margin"/>
      <sheetName val="ERCOT Margin Upside"/>
      <sheetName val="TX Brownfield"/>
      <sheetName val="mwareDates"/>
      <sheetName val="Sheet3"/>
      <sheetName val="Sheet2"/>
      <sheetName val="Plant Details"/>
      <sheetName val="Note Summary"/>
      <sheetName val="Financial Summary"/>
      <sheetName val="MWA RR"/>
      <sheetName val="Plants"/>
      <sheetName val="mwareSettings"/>
      <sheetName val="Summary"/>
      <sheetName val="ModelPaste"/>
      <sheetName val="Bal Sheet &amp; Cash Flow"/>
      <sheetName val="Gas"/>
      <sheetName val="Off Peak"/>
      <sheetName val="Peak"/>
    </sheetNames>
    <sheetDataSet>
      <sheetData sheetId="0" refreshError="1"/>
      <sheetData sheetId="1" refreshError="1"/>
      <sheetData sheetId="2" refreshError="1">
        <row r="10">
          <cell r="R10">
            <v>11</v>
          </cell>
        </row>
        <row r="27">
          <cell r="AN27">
            <v>12</v>
          </cell>
          <cell r="AQ27">
            <v>0.95</v>
          </cell>
        </row>
        <row r="28">
          <cell r="AN28">
            <v>7</v>
          </cell>
          <cell r="AQ28">
            <v>0.8</v>
          </cell>
        </row>
        <row r="29">
          <cell r="AN29">
            <v>2</v>
          </cell>
          <cell r="AQ29">
            <v>0.5</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1">
          <cell r="P1" t="str">
            <v>SmartCharts</v>
          </cell>
        </row>
        <row r="4">
          <cell r="A4">
            <v>2018</v>
          </cell>
          <cell r="B4">
            <v>2018</v>
          </cell>
          <cell r="C4">
            <v>2018</v>
          </cell>
          <cell r="D4">
            <v>2018</v>
          </cell>
        </row>
        <row r="5">
          <cell r="C5" t="str">
            <v>Define value axis here:</v>
          </cell>
        </row>
        <row r="6">
          <cell r="C6" t="str">
            <v>New Resources Needed (MW)</v>
          </cell>
        </row>
        <row r="8">
          <cell r="H8" t="str">
            <v/>
          </cell>
        </row>
        <row r="9">
          <cell r="C9" t="str">
            <v>Input your data here:</v>
          </cell>
        </row>
        <row r="11">
          <cell r="D11" t="str">
            <v>ERCOT 10/22 Moody's Low Case</v>
          </cell>
          <cell r="E11" t="str">
            <v>MS Case I</v>
          </cell>
          <cell r="F11" t="str">
            <v>MS Case II</v>
          </cell>
          <cell r="G11" t="str">
            <v>MS Case III</v>
          </cell>
          <cell r="AA11" t="str">
            <v>ERCOT 10/22 Moody's Low Case</v>
          </cell>
          <cell r="AB11" t="str">
            <v>MS Case I</v>
          </cell>
          <cell r="AC11" t="str">
            <v>MS Case II</v>
          </cell>
          <cell r="AD11" t="str">
            <v>MS Case III</v>
          </cell>
        </row>
        <row r="12">
          <cell r="C12">
            <v>2015</v>
          </cell>
          <cell r="D12">
            <v>1829.1000000000008</v>
          </cell>
          <cell r="E12">
            <v>8563.9671936000123</v>
          </cell>
          <cell r="F12">
            <v>5737.6133217900006</v>
          </cell>
          <cell r="G12">
            <v>3309.6342930000051</v>
          </cell>
          <cell r="Z12">
            <v>2015</v>
          </cell>
          <cell r="AA12">
            <v>1829.1000000000008</v>
          </cell>
          <cell r="AB12">
            <v>8563.9671936000123</v>
          </cell>
          <cell r="AC12">
            <v>5737.6133217900006</v>
          </cell>
          <cell r="AD12">
            <v>3309.6342930000051</v>
          </cell>
        </row>
        <row r="13">
          <cell r="C13">
            <v>2016</v>
          </cell>
          <cell r="D13">
            <v>1672.8625000000006</v>
          </cell>
          <cell r="E13">
            <v>11972.445881344011</v>
          </cell>
          <cell r="F13">
            <v>8199.4317214437051</v>
          </cell>
          <cell r="G13">
            <v>5698.6133217900006</v>
          </cell>
          <cell r="Z13">
            <v>2016</v>
          </cell>
          <cell r="AA13">
            <v>1672.8625000000006</v>
          </cell>
          <cell r="AB13">
            <v>11972.445881344011</v>
          </cell>
          <cell r="AC13">
            <v>8199.4317214437051</v>
          </cell>
          <cell r="AD13">
            <v>5698.6133217900006</v>
          </cell>
        </row>
        <row r="14">
          <cell r="C14">
            <v>2017</v>
          </cell>
          <cell r="D14">
            <v>1666.7750000000008</v>
          </cell>
          <cell r="E14">
            <v>14501.823716597781</v>
          </cell>
          <cell r="F14">
            <v>9719.2746730870258</v>
          </cell>
          <cell r="G14">
            <v>7143.4317214437051</v>
          </cell>
          <cell r="Z14">
            <v>2017</v>
          </cell>
          <cell r="AA14">
            <v>1666.7750000000008</v>
          </cell>
          <cell r="AB14">
            <v>14501.823716597781</v>
          </cell>
          <cell r="AC14">
            <v>9719.2746730870258</v>
          </cell>
          <cell r="AD14">
            <v>7143.4317214437051</v>
          </cell>
        </row>
        <row r="15">
          <cell r="C15">
            <v>2018</v>
          </cell>
          <cell r="D15">
            <v>1268.825000000001</v>
          </cell>
          <cell r="E15">
            <v>17054.616665261696</v>
          </cell>
          <cell r="F15">
            <v>11196.392913279642</v>
          </cell>
          <cell r="G15">
            <v>8543.2746730870258</v>
          </cell>
          <cell r="Z15">
            <v>2018</v>
          </cell>
          <cell r="AA15">
            <v>1268.825000000001</v>
          </cell>
          <cell r="AB15">
            <v>17054.616665261696</v>
          </cell>
          <cell r="AC15">
            <v>11196.392913279642</v>
          </cell>
          <cell r="AD15">
            <v>8543.2746730870258</v>
          </cell>
        </row>
        <row r="16">
          <cell r="Z16" t="b">
            <v>0</v>
          </cell>
          <cell r="AA16" t="b">
            <v>0</v>
          </cell>
          <cell r="AB16" t="b">
            <v>0</v>
          </cell>
          <cell r="AC16" t="b">
            <v>0</v>
          </cell>
          <cell r="AD16" t="b">
            <v>0</v>
          </cell>
        </row>
        <row r="17">
          <cell r="Z17" t="b">
            <v>0</v>
          </cell>
          <cell r="AA17" t="b">
            <v>0</v>
          </cell>
          <cell r="AB17" t="b">
            <v>0</v>
          </cell>
          <cell r="AC17" t="b">
            <v>0</v>
          </cell>
          <cell r="AD17" t="b">
            <v>0</v>
          </cell>
        </row>
        <row r="18">
          <cell r="Z18" t="b">
            <v>0</v>
          </cell>
          <cell r="AA18" t="b">
            <v>0</v>
          </cell>
          <cell r="AB18" t="b">
            <v>0</v>
          </cell>
          <cell r="AC18" t="b">
            <v>0</v>
          </cell>
          <cell r="AD18" t="b">
            <v>0</v>
          </cell>
        </row>
        <row r="19">
          <cell r="Z19" t="b">
            <v>0</v>
          </cell>
          <cell r="AA19" t="b">
            <v>0</v>
          </cell>
          <cell r="AB19" t="b">
            <v>0</v>
          </cell>
          <cell r="AC19" t="b">
            <v>0</v>
          </cell>
          <cell r="AD19" t="b">
            <v>0</v>
          </cell>
        </row>
        <row r="20">
          <cell r="Z20" t="b">
            <v>0</v>
          </cell>
          <cell r="AA20" t="b">
            <v>0</v>
          </cell>
          <cell r="AB20" t="b">
            <v>0</v>
          </cell>
          <cell r="AC20" t="b">
            <v>0</v>
          </cell>
          <cell r="AD20" t="b">
            <v>0</v>
          </cell>
        </row>
        <row r="21">
          <cell r="Z21" t="b">
            <v>0</v>
          </cell>
          <cell r="AA21" t="b">
            <v>0</v>
          </cell>
          <cell r="AB21" t="b">
            <v>0</v>
          </cell>
          <cell r="AC21" t="b">
            <v>0</v>
          </cell>
          <cell r="AD21" t="b">
            <v>0</v>
          </cell>
        </row>
        <row r="22">
          <cell r="Z22" t="b">
            <v>0</v>
          </cell>
          <cell r="AA22" t="b">
            <v>0</v>
          </cell>
          <cell r="AB22" t="b">
            <v>0</v>
          </cell>
          <cell r="AC22" t="b">
            <v>0</v>
          </cell>
          <cell r="AD22" t="b">
            <v>0</v>
          </cell>
        </row>
        <row r="23">
          <cell r="Z23" t="b">
            <v>0</v>
          </cell>
          <cell r="AA23" t="b">
            <v>0</v>
          </cell>
          <cell r="AB23" t="b">
            <v>0</v>
          </cell>
          <cell r="AC23" t="b">
            <v>0</v>
          </cell>
          <cell r="AD23" t="b">
            <v>0</v>
          </cell>
        </row>
        <row r="24">
          <cell r="Z24" t="b">
            <v>0</v>
          </cell>
          <cell r="AA24" t="b">
            <v>0</v>
          </cell>
          <cell r="AB24" t="b">
            <v>0</v>
          </cell>
          <cell r="AC24" t="b">
            <v>0</v>
          </cell>
          <cell r="AD24" t="b">
            <v>0</v>
          </cell>
        </row>
        <row r="25">
          <cell r="Z25" t="b">
            <v>0</v>
          </cell>
          <cell r="AA25" t="b">
            <v>0</v>
          </cell>
          <cell r="AB25" t="b">
            <v>0</v>
          </cell>
          <cell r="AC25" t="b">
            <v>0</v>
          </cell>
          <cell r="AD25" t="b">
            <v>0</v>
          </cell>
        </row>
        <row r="26">
          <cell r="Z26" t="b">
            <v>0</v>
          </cell>
          <cell r="AA26" t="b">
            <v>0</v>
          </cell>
          <cell r="AB26" t="b">
            <v>0</v>
          </cell>
          <cell r="AC26" t="b">
            <v>0</v>
          </cell>
          <cell r="AD26" t="b">
            <v>0</v>
          </cell>
        </row>
        <row r="27">
          <cell r="Z27" t="b">
            <v>0</v>
          </cell>
          <cell r="AA27" t="b">
            <v>0</v>
          </cell>
          <cell r="AB27" t="b">
            <v>0</v>
          </cell>
          <cell r="AC27" t="b">
            <v>0</v>
          </cell>
          <cell r="AD27" t="b">
            <v>0</v>
          </cell>
        </row>
        <row r="28">
          <cell r="Z28" t="b">
            <v>0</v>
          </cell>
          <cell r="AA28" t="b">
            <v>0</v>
          </cell>
          <cell r="AB28" t="b">
            <v>0</v>
          </cell>
          <cell r="AC28" t="b">
            <v>0</v>
          </cell>
          <cell r="AD28" t="b">
            <v>0</v>
          </cell>
        </row>
        <row r="29">
          <cell r="Z29" t="b">
            <v>0</v>
          </cell>
          <cell r="AA29" t="b">
            <v>0</v>
          </cell>
          <cell r="AB29" t="b">
            <v>0</v>
          </cell>
          <cell r="AC29" t="b">
            <v>0</v>
          </cell>
          <cell r="AD29" t="b">
            <v>0</v>
          </cell>
        </row>
        <row r="30">
          <cell r="Z30" t="b">
            <v>0</v>
          </cell>
          <cell r="AA30" t="b">
            <v>0</v>
          </cell>
          <cell r="AB30" t="b">
            <v>0</v>
          </cell>
          <cell r="AC30" t="b">
            <v>0</v>
          </cell>
          <cell r="AD30" t="b">
            <v>0</v>
          </cell>
        </row>
        <row r="31">
          <cell r="Z31" t="b">
            <v>0</v>
          </cell>
          <cell r="AA31" t="b">
            <v>0</v>
          </cell>
          <cell r="AB31" t="b">
            <v>0</v>
          </cell>
          <cell r="AC31" t="b">
            <v>0</v>
          </cell>
          <cell r="AD31" t="b">
            <v>0</v>
          </cell>
        </row>
        <row r="32">
          <cell r="Z32" t="b">
            <v>0</v>
          </cell>
          <cell r="AA32" t="b">
            <v>0</v>
          </cell>
          <cell r="AB32" t="b">
            <v>0</v>
          </cell>
          <cell r="AC32" t="b">
            <v>0</v>
          </cell>
          <cell r="AD32" t="b">
            <v>0</v>
          </cell>
        </row>
        <row r="33">
          <cell r="Z33" t="b">
            <v>0</v>
          </cell>
          <cell r="AA33" t="b">
            <v>0</v>
          </cell>
          <cell r="AB33" t="b">
            <v>0</v>
          </cell>
          <cell r="AC33" t="b">
            <v>0</v>
          </cell>
          <cell r="AD33" t="b">
            <v>0</v>
          </cell>
        </row>
        <row r="34">
          <cell r="Z34" t="b">
            <v>0</v>
          </cell>
          <cell r="AA34" t="b">
            <v>0</v>
          </cell>
          <cell r="AB34" t="b">
            <v>0</v>
          </cell>
          <cell r="AC34" t="b">
            <v>0</v>
          </cell>
          <cell r="AD34" t="b">
            <v>0</v>
          </cell>
        </row>
        <row r="35">
          <cell r="Z35" t="b">
            <v>0</v>
          </cell>
          <cell r="AA35" t="b">
            <v>0</v>
          </cell>
          <cell r="AB35" t="b">
            <v>0</v>
          </cell>
          <cell r="AC35" t="b">
            <v>0</v>
          </cell>
          <cell r="AD35" t="b">
            <v>0</v>
          </cell>
        </row>
        <row r="36">
          <cell r="Z36" t="b">
            <v>0</v>
          </cell>
          <cell r="AA36" t="b">
            <v>0</v>
          </cell>
          <cell r="AB36" t="b">
            <v>0</v>
          </cell>
          <cell r="AC36" t="b">
            <v>0</v>
          </cell>
          <cell r="AD36" t="b">
            <v>0</v>
          </cell>
        </row>
        <row r="37">
          <cell r="Z37" t="b">
            <v>0</v>
          </cell>
          <cell r="AA37" t="b">
            <v>0</v>
          </cell>
          <cell r="AB37" t="b">
            <v>0</v>
          </cell>
          <cell r="AC37" t="b">
            <v>0</v>
          </cell>
          <cell r="AD37" t="b">
            <v>0</v>
          </cell>
        </row>
        <row r="38">
          <cell r="Z38" t="b">
            <v>0</v>
          </cell>
          <cell r="AA38" t="b">
            <v>0</v>
          </cell>
          <cell r="AB38" t="b">
            <v>0</v>
          </cell>
          <cell r="AC38" t="b">
            <v>0</v>
          </cell>
          <cell r="AD38" t="b">
            <v>0</v>
          </cell>
        </row>
        <row r="39">
          <cell r="Z39" t="b">
            <v>0</v>
          </cell>
          <cell r="AA39" t="b">
            <v>0</v>
          </cell>
          <cell r="AB39" t="b">
            <v>0</v>
          </cell>
          <cell r="AC39" t="b">
            <v>0</v>
          </cell>
          <cell r="AD39" t="b">
            <v>0</v>
          </cell>
        </row>
        <row r="40">
          <cell r="Z40" t="b">
            <v>0</v>
          </cell>
          <cell r="AA40" t="b">
            <v>0</v>
          </cell>
          <cell r="AB40" t="b">
            <v>0</v>
          </cell>
          <cell r="AC40" t="b">
            <v>0</v>
          </cell>
          <cell r="AD40" t="b">
            <v>0</v>
          </cell>
        </row>
        <row r="41">
          <cell r="Z41" t="b">
            <v>0</v>
          </cell>
          <cell r="AA41" t="b">
            <v>0</v>
          </cell>
          <cell r="AB41" t="b">
            <v>0</v>
          </cell>
          <cell r="AC41" t="b">
            <v>0</v>
          </cell>
          <cell r="AD41" t="b">
            <v>0</v>
          </cell>
        </row>
        <row r="42">
          <cell r="Z42" t="b">
            <v>0</v>
          </cell>
          <cell r="AA42" t="b">
            <v>0</v>
          </cell>
          <cell r="AB42" t="b">
            <v>0</v>
          </cell>
          <cell r="AC42" t="b">
            <v>0</v>
          </cell>
          <cell r="AD42" t="b">
            <v>0</v>
          </cell>
        </row>
        <row r="43">
          <cell r="Z43" t="b">
            <v>0</v>
          </cell>
          <cell r="AA43" t="b">
            <v>0</v>
          </cell>
          <cell r="AB43" t="b">
            <v>0</v>
          </cell>
          <cell r="AC43" t="b">
            <v>0</v>
          </cell>
          <cell r="AD43" t="b">
            <v>0</v>
          </cell>
        </row>
        <row r="44">
          <cell r="Z44" t="b">
            <v>0</v>
          </cell>
          <cell r="AA44" t="b">
            <v>0</v>
          </cell>
          <cell r="AB44" t="b">
            <v>0</v>
          </cell>
          <cell r="AC44" t="b">
            <v>0</v>
          </cell>
          <cell r="AD44" t="b">
            <v>0</v>
          </cell>
        </row>
        <row r="45">
          <cell r="Z45" t="b">
            <v>0</v>
          </cell>
          <cell r="AA45" t="b">
            <v>0</v>
          </cell>
          <cell r="AB45" t="b">
            <v>0</v>
          </cell>
          <cell r="AC45" t="b">
            <v>0</v>
          </cell>
          <cell r="AD45" t="b">
            <v>0</v>
          </cell>
        </row>
        <row r="46">
          <cell r="Z46" t="b">
            <v>0</v>
          </cell>
          <cell r="AA46" t="b">
            <v>0</v>
          </cell>
          <cell r="AB46" t="b">
            <v>0</v>
          </cell>
          <cell r="AC46" t="b">
            <v>0</v>
          </cell>
          <cell r="AD46" t="b">
            <v>0</v>
          </cell>
        </row>
        <row r="47">
          <cell r="Z47" t="b">
            <v>0</v>
          </cell>
          <cell r="AA47" t="b">
            <v>0</v>
          </cell>
          <cell r="AB47" t="b">
            <v>0</v>
          </cell>
          <cell r="AC47" t="b">
            <v>0</v>
          </cell>
          <cell r="AD47" t="b">
            <v>0</v>
          </cell>
        </row>
        <row r="48">
          <cell r="Z48" t="b">
            <v>0</v>
          </cell>
          <cell r="AA48" t="b">
            <v>0</v>
          </cell>
          <cell r="AB48" t="b">
            <v>0</v>
          </cell>
          <cell r="AC48" t="b">
            <v>0</v>
          </cell>
          <cell r="AD48" t="b">
            <v>0</v>
          </cell>
        </row>
        <row r="49">
          <cell r="Z49" t="b">
            <v>0</v>
          </cell>
          <cell r="AA49" t="b">
            <v>0</v>
          </cell>
          <cell r="AB49" t="b">
            <v>0</v>
          </cell>
          <cell r="AC49" t="b">
            <v>0</v>
          </cell>
          <cell r="AD49" t="b">
            <v>0</v>
          </cell>
        </row>
        <row r="50">
          <cell r="Z50" t="b">
            <v>0</v>
          </cell>
          <cell r="AA50" t="b">
            <v>0</v>
          </cell>
          <cell r="AB50" t="b">
            <v>0</v>
          </cell>
          <cell r="AC50" t="b">
            <v>0</v>
          </cell>
          <cell r="AD50" t="b">
            <v>0</v>
          </cell>
        </row>
        <row r="51">
          <cell r="Z51" t="b">
            <v>0</v>
          </cell>
          <cell r="AA51" t="b">
            <v>0</v>
          </cell>
          <cell r="AB51" t="b">
            <v>0</v>
          </cell>
          <cell r="AC51" t="b">
            <v>0</v>
          </cell>
          <cell r="AD51" t="b">
            <v>0</v>
          </cell>
        </row>
        <row r="52">
          <cell r="Z52" t="b">
            <v>0</v>
          </cell>
          <cell r="AA52" t="b">
            <v>0</v>
          </cell>
          <cell r="AB52" t="b">
            <v>0</v>
          </cell>
          <cell r="AC52" t="b">
            <v>0</v>
          </cell>
          <cell r="AD52" t="b">
            <v>0</v>
          </cell>
        </row>
        <row r="53">
          <cell r="Z53" t="b">
            <v>0</v>
          </cell>
          <cell r="AA53" t="b">
            <v>0</v>
          </cell>
          <cell r="AB53" t="b">
            <v>0</v>
          </cell>
          <cell r="AC53" t="b">
            <v>0</v>
          </cell>
          <cell r="AD53" t="b">
            <v>0</v>
          </cell>
        </row>
        <row r="54">
          <cell r="Z54" t="b">
            <v>0</v>
          </cell>
          <cell r="AA54" t="b">
            <v>0</v>
          </cell>
          <cell r="AB54" t="b">
            <v>0</v>
          </cell>
          <cell r="AC54" t="b">
            <v>0</v>
          </cell>
          <cell r="AD54" t="b">
            <v>0</v>
          </cell>
        </row>
        <row r="55">
          <cell r="Z55" t="b">
            <v>0</v>
          </cell>
          <cell r="AA55" t="b">
            <v>0</v>
          </cell>
          <cell r="AB55" t="b">
            <v>0</v>
          </cell>
          <cell r="AC55" t="b">
            <v>0</v>
          </cell>
          <cell r="AD55" t="b">
            <v>0</v>
          </cell>
        </row>
        <row r="56">
          <cell r="Z56" t="b">
            <v>0</v>
          </cell>
          <cell r="AA56" t="b">
            <v>0</v>
          </cell>
          <cell r="AB56" t="b">
            <v>0</v>
          </cell>
          <cell r="AC56" t="b">
            <v>0</v>
          </cell>
          <cell r="AD56" t="b">
            <v>0</v>
          </cell>
        </row>
        <row r="57">
          <cell r="Z57" t="b">
            <v>0</v>
          </cell>
          <cell r="AA57" t="b">
            <v>0</v>
          </cell>
          <cell r="AB57" t="b">
            <v>0</v>
          </cell>
          <cell r="AC57" t="b">
            <v>0</v>
          </cell>
          <cell r="AD57" t="b">
            <v>0</v>
          </cell>
        </row>
        <row r="58">
          <cell r="Z58" t="b">
            <v>0</v>
          </cell>
          <cell r="AA58" t="b">
            <v>0</v>
          </cell>
          <cell r="AB58" t="b">
            <v>0</v>
          </cell>
          <cell r="AC58" t="b">
            <v>0</v>
          </cell>
          <cell r="AD58" t="b">
            <v>0</v>
          </cell>
        </row>
        <row r="59">
          <cell r="Z59" t="b">
            <v>0</v>
          </cell>
          <cell r="AA59" t="b">
            <v>0</v>
          </cell>
          <cell r="AB59" t="b">
            <v>0</v>
          </cell>
          <cell r="AC59" t="b">
            <v>0</v>
          </cell>
          <cell r="AD59" t="b">
            <v>0</v>
          </cell>
        </row>
        <row r="60">
          <cell r="Z60" t="b">
            <v>0</v>
          </cell>
          <cell r="AA60" t="b">
            <v>0</v>
          </cell>
          <cell r="AB60" t="b">
            <v>0</v>
          </cell>
          <cell r="AC60" t="b">
            <v>0</v>
          </cell>
          <cell r="AD60" t="b">
            <v>0</v>
          </cell>
        </row>
        <row r="61">
          <cell r="Z61" t="b">
            <v>0</v>
          </cell>
          <cell r="AA61" t="b">
            <v>0</v>
          </cell>
          <cell r="AB61" t="b">
            <v>0</v>
          </cell>
          <cell r="AC61" t="b">
            <v>0</v>
          </cell>
          <cell r="AD61" t="b">
            <v>0</v>
          </cell>
        </row>
        <row r="62">
          <cell r="Z62" t="b">
            <v>0</v>
          </cell>
          <cell r="AA62" t="b">
            <v>0</v>
          </cell>
          <cell r="AB62" t="b">
            <v>0</v>
          </cell>
          <cell r="AC62" t="b">
            <v>0</v>
          </cell>
          <cell r="AD62" t="b">
            <v>0</v>
          </cell>
        </row>
        <row r="63">
          <cell r="Z63" t="b">
            <v>0</v>
          </cell>
          <cell r="AA63" t="b">
            <v>0</v>
          </cell>
          <cell r="AB63" t="b">
            <v>0</v>
          </cell>
          <cell r="AC63" t="b">
            <v>0</v>
          </cell>
          <cell r="AD63" t="b">
            <v>0</v>
          </cell>
        </row>
        <row r="64">
          <cell r="Z64" t="b">
            <v>0</v>
          </cell>
          <cell r="AA64" t="b">
            <v>0</v>
          </cell>
          <cell r="AB64" t="b">
            <v>0</v>
          </cell>
          <cell r="AC64" t="b">
            <v>0</v>
          </cell>
          <cell r="AD64" t="b">
            <v>0</v>
          </cell>
        </row>
        <row r="65">
          <cell r="Z65" t="b">
            <v>0</v>
          </cell>
          <cell r="AA65" t="b">
            <v>0</v>
          </cell>
          <cell r="AB65" t="b">
            <v>0</v>
          </cell>
          <cell r="AC65" t="b">
            <v>0</v>
          </cell>
          <cell r="AD65" t="b">
            <v>0</v>
          </cell>
        </row>
        <row r="66">
          <cell r="Z66" t="b">
            <v>0</v>
          </cell>
          <cell r="AA66" t="b">
            <v>0</v>
          </cell>
          <cell r="AB66" t="b">
            <v>0</v>
          </cell>
          <cell r="AC66" t="b">
            <v>0</v>
          </cell>
          <cell r="AD66" t="b">
            <v>0</v>
          </cell>
        </row>
        <row r="67">
          <cell r="Z67" t="b">
            <v>0</v>
          </cell>
          <cell r="AA67" t="b">
            <v>0</v>
          </cell>
          <cell r="AB67" t="b">
            <v>0</v>
          </cell>
          <cell r="AC67" t="b">
            <v>0</v>
          </cell>
          <cell r="AD67" t="b">
            <v>0</v>
          </cell>
        </row>
        <row r="68">
          <cell r="Z68" t="b">
            <v>0</v>
          </cell>
          <cell r="AA68" t="b">
            <v>0</v>
          </cell>
          <cell r="AB68" t="b">
            <v>0</v>
          </cell>
          <cell r="AC68" t="b">
            <v>0</v>
          </cell>
          <cell r="AD68" t="b">
            <v>0</v>
          </cell>
        </row>
        <row r="69">
          <cell r="Z69" t="b">
            <v>0</v>
          </cell>
          <cell r="AA69" t="b">
            <v>0</v>
          </cell>
          <cell r="AB69" t="b">
            <v>0</v>
          </cell>
          <cell r="AC69" t="b">
            <v>0</v>
          </cell>
          <cell r="AD69" t="b">
            <v>0</v>
          </cell>
        </row>
        <row r="70">
          <cell r="Z70" t="b">
            <v>0</v>
          </cell>
          <cell r="AA70" t="b">
            <v>0</v>
          </cell>
          <cell r="AB70" t="b">
            <v>0</v>
          </cell>
          <cell r="AC70" t="b">
            <v>0</v>
          </cell>
          <cell r="AD70" t="b">
            <v>0</v>
          </cell>
        </row>
        <row r="71">
          <cell r="Z71" t="b">
            <v>0</v>
          </cell>
          <cell r="AA71" t="b">
            <v>0</v>
          </cell>
          <cell r="AB71" t="b">
            <v>0</v>
          </cell>
          <cell r="AC71" t="b">
            <v>0</v>
          </cell>
          <cell r="AD71" t="b">
            <v>0</v>
          </cell>
        </row>
        <row r="72">
          <cell r="Z72" t="b">
            <v>0</v>
          </cell>
          <cell r="AA72" t="b">
            <v>0</v>
          </cell>
          <cell r="AB72" t="b">
            <v>0</v>
          </cell>
          <cell r="AC72" t="b">
            <v>0</v>
          </cell>
          <cell r="AD72" t="b">
            <v>0</v>
          </cell>
        </row>
        <row r="73">
          <cell r="Z73" t="b">
            <v>0</v>
          </cell>
          <cell r="AA73" t="b">
            <v>0</v>
          </cell>
          <cell r="AB73" t="b">
            <v>0</v>
          </cell>
          <cell r="AC73" t="b">
            <v>0</v>
          </cell>
          <cell r="AD73" t="b">
            <v>0</v>
          </cell>
        </row>
        <row r="74">
          <cell r="Z74" t="b">
            <v>0</v>
          </cell>
          <cell r="AA74" t="b">
            <v>0</v>
          </cell>
          <cell r="AB74" t="b">
            <v>0</v>
          </cell>
          <cell r="AC74" t="b">
            <v>0</v>
          </cell>
          <cell r="AD74" t="b">
            <v>0</v>
          </cell>
        </row>
        <row r="75">
          <cell r="Z75" t="b">
            <v>0</v>
          </cell>
          <cell r="AA75" t="b">
            <v>0</v>
          </cell>
          <cell r="AB75" t="b">
            <v>0</v>
          </cell>
          <cell r="AC75" t="b">
            <v>0</v>
          </cell>
          <cell r="AD75" t="b">
            <v>0</v>
          </cell>
        </row>
        <row r="76">
          <cell r="Z76" t="b">
            <v>0</v>
          </cell>
          <cell r="AA76" t="b">
            <v>0</v>
          </cell>
          <cell r="AB76" t="b">
            <v>0</v>
          </cell>
          <cell r="AC76" t="b">
            <v>0</v>
          </cell>
          <cell r="AD76" t="b">
            <v>0</v>
          </cell>
        </row>
        <row r="77">
          <cell r="Z77" t="b">
            <v>0</v>
          </cell>
          <cell r="AA77" t="b">
            <v>0</v>
          </cell>
          <cell r="AB77" t="b">
            <v>0</v>
          </cell>
          <cell r="AC77" t="b">
            <v>0</v>
          </cell>
          <cell r="AD77" t="b">
            <v>0</v>
          </cell>
        </row>
        <row r="78">
          <cell r="Z78" t="b">
            <v>0</v>
          </cell>
          <cell r="AA78" t="b">
            <v>0</v>
          </cell>
          <cell r="AB78" t="b">
            <v>0</v>
          </cell>
          <cell r="AC78" t="b">
            <v>0</v>
          </cell>
          <cell r="AD78" t="b">
            <v>0</v>
          </cell>
        </row>
        <row r="79">
          <cell r="Z79" t="b">
            <v>0</v>
          </cell>
          <cell r="AA79" t="b">
            <v>0</v>
          </cell>
          <cell r="AB79" t="b">
            <v>0</v>
          </cell>
          <cell r="AC79" t="b">
            <v>0</v>
          </cell>
          <cell r="AD79" t="b">
            <v>0</v>
          </cell>
        </row>
        <row r="80">
          <cell r="Z80" t="b">
            <v>0</v>
          </cell>
          <cell r="AA80" t="b">
            <v>0</v>
          </cell>
          <cell r="AB80" t="b">
            <v>0</v>
          </cell>
          <cell r="AC80" t="b">
            <v>0</v>
          </cell>
          <cell r="AD80" t="b">
            <v>0</v>
          </cell>
        </row>
        <row r="81">
          <cell r="Z81" t="b">
            <v>0</v>
          </cell>
          <cell r="AA81" t="b">
            <v>0</v>
          </cell>
          <cell r="AB81" t="b">
            <v>0</v>
          </cell>
          <cell r="AC81" t="b">
            <v>0</v>
          </cell>
          <cell r="AD81" t="b">
            <v>0</v>
          </cell>
        </row>
        <row r="82">
          <cell r="Z82" t="b">
            <v>0</v>
          </cell>
          <cell r="AA82" t="b">
            <v>0</v>
          </cell>
          <cell r="AB82" t="b">
            <v>0</v>
          </cell>
          <cell r="AC82" t="b">
            <v>0</v>
          </cell>
          <cell r="AD82" t="b">
            <v>0</v>
          </cell>
        </row>
        <row r="83">
          <cell r="Z83" t="b">
            <v>0</v>
          </cell>
          <cell r="AA83" t="b">
            <v>0</v>
          </cell>
          <cell r="AB83" t="b">
            <v>0</v>
          </cell>
          <cell r="AC83" t="b">
            <v>0</v>
          </cell>
          <cell r="AD83" t="b">
            <v>0</v>
          </cell>
        </row>
        <row r="84">
          <cell r="Z84" t="b">
            <v>0</v>
          </cell>
          <cell r="AA84" t="b">
            <v>0</v>
          </cell>
          <cell r="AB84" t="b">
            <v>0</v>
          </cell>
          <cell r="AC84" t="b">
            <v>0</v>
          </cell>
          <cell r="AD84" t="b">
            <v>0</v>
          </cell>
        </row>
        <row r="85">
          <cell r="Z85" t="b">
            <v>0</v>
          </cell>
          <cell r="AA85" t="b">
            <v>0</v>
          </cell>
          <cell r="AB85" t="b">
            <v>0</v>
          </cell>
          <cell r="AC85" t="b">
            <v>0</v>
          </cell>
          <cell r="AD85" t="b">
            <v>0</v>
          </cell>
        </row>
        <row r="86">
          <cell r="Z86" t="b">
            <v>0</v>
          </cell>
          <cell r="AA86" t="b">
            <v>0</v>
          </cell>
          <cell r="AB86" t="b">
            <v>0</v>
          </cell>
          <cell r="AC86" t="b">
            <v>0</v>
          </cell>
          <cell r="AD86" t="b">
            <v>0</v>
          </cell>
        </row>
        <row r="87">
          <cell r="Z87" t="b">
            <v>0</v>
          </cell>
          <cell r="AA87" t="b">
            <v>0</v>
          </cell>
          <cell r="AB87" t="b">
            <v>0</v>
          </cell>
          <cell r="AC87" t="b">
            <v>0</v>
          </cell>
          <cell r="AD87" t="b">
            <v>0</v>
          </cell>
        </row>
        <row r="88">
          <cell r="Z88" t="b">
            <v>0</v>
          </cell>
          <cell r="AA88" t="b">
            <v>0</v>
          </cell>
          <cell r="AB88" t="b">
            <v>0</v>
          </cell>
          <cell r="AC88" t="b">
            <v>0</v>
          </cell>
          <cell r="AD88" t="b">
            <v>0</v>
          </cell>
        </row>
        <row r="89">
          <cell r="Z89" t="b">
            <v>0</v>
          </cell>
          <cell r="AA89" t="b">
            <v>0</v>
          </cell>
          <cell r="AB89" t="b">
            <v>0</v>
          </cell>
          <cell r="AC89" t="b">
            <v>0</v>
          </cell>
          <cell r="AD89" t="b">
            <v>0</v>
          </cell>
        </row>
        <row r="90">
          <cell r="Z90" t="b">
            <v>0</v>
          </cell>
          <cell r="AA90" t="b">
            <v>0</v>
          </cell>
          <cell r="AB90" t="b">
            <v>0</v>
          </cell>
          <cell r="AC90" t="b">
            <v>0</v>
          </cell>
          <cell r="AD90" t="b">
            <v>0</v>
          </cell>
        </row>
        <row r="91">
          <cell r="Z91" t="b">
            <v>0</v>
          </cell>
          <cell r="AA91" t="b">
            <v>0</v>
          </cell>
          <cell r="AB91" t="b">
            <v>0</v>
          </cell>
          <cell r="AC91" t="b">
            <v>0</v>
          </cell>
          <cell r="AD91" t="b">
            <v>0</v>
          </cell>
        </row>
        <row r="92">
          <cell r="Z92" t="b">
            <v>0</v>
          </cell>
          <cell r="AA92" t="b">
            <v>0</v>
          </cell>
          <cell r="AB92" t="b">
            <v>0</v>
          </cell>
          <cell r="AC92" t="b">
            <v>0</v>
          </cell>
          <cell r="AD92" t="b">
            <v>0</v>
          </cell>
        </row>
        <row r="93">
          <cell r="Z93" t="b">
            <v>0</v>
          </cell>
          <cell r="AA93" t="b">
            <v>0</v>
          </cell>
          <cell r="AB93" t="b">
            <v>0</v>
          </cell>
          <cell r="AC93" t="b">
            <v>0</v>
          </cell>
          <cell r="AD93" t="b">
            <v>0</v>
          </cell>
        </row>
        <row r="94">
          <cell r="Z94" t="b">
            <v>0</v>
          </cell>
          <cell r="AA94" t="b">
            <v>0</v>
          </cell>
          <cell r="AB94" t="b">
            <v>0</v>
          </cell>
          <cell r="AC94" t="b">
            <v>0</v>
          </cell>
          <cell r="AD94" t="b">
            <v>0</v>
          </cell>
        </row>
        <row r="95">
          <cell r="Z95" t="b">
            <v>0</v>
          </cell>
          <cell r="AA95" t="b">
            <v>0</v>
          </cell>
          <cell r="AB95" t="b">
            <v>0</v>
          </cell>
          <cell r="AC95" t="b">
            <v>0</v>
          </cell>
          <cell r="AD95" t="b">
            <v>0</v>
          </cell>
        </row>
        <row r="96">
          <cell r="Z96" t="b">
            <v>0</v>
          </cell>
          <cell r="AA96" t="b">
            <v>0</v>
          </cell>
          <cell r="AB96" t="b">
            <v>0</v>
          </cell>
          <cell r="AC96" t="b">
            <v>0</v>
          </cell>
          <cell r="AD96" t="b">
            <v>0</v>
          </cell>
        </row>
        <row r="97">
          <cell r="Z97" t="b">
            <v>0</v>
          </cell>
          <cell r="AA97" t="b">
            <v>0</v>
          </cell>
          <cell r="AB97" t="b">
            <v>0</v>
          </cell>
          <cell r="AC97" t="b">
            <v>0</v>
          </cell>
          <cell r="AD97" t="b">
            <v>0</v>
          </cell>
        </row>
        <row r="98">
          <cell r="Z98" t="b">
            <v>0</v>
          </cell>
          <cell r="AA98" t="b">
            <v>0</v>
          </cell>
          <cell r="AB98" t="b">
            <v>0</v>
          </cell>
          <cell r="AC98" t="b">
            <v>0</v>
          </cell>
          <cell r="AD98" t="b">
            <v>0</v>
          </cell>
        </row>
        <row r="99">
          <cell r="Z99" t="b">
            <v>0</v>
          </cell>
          <cell r="AA99" t="b">
            <v>0</v>
          </cell>
          <cell r="AB99" t="b">
            <v>0</v>
          </cell>
          <cell r="AC99" t="b">
            <v>0</v>
          </cell>
          <cell r="AD99" t="b">
            <v>0</v>
          </cell>
        </row>
        <row r="100">
          <cell r="Z100" t="b">
            <v>0</v>
          </cell>
          <cell r="AA100" t="b">
            <v>0</v>
          </cell>
          <cell r="AB100" t="b">
            <v>0</v>
          </cell>
          <cell r="AC100" t="b">
            <v>0</v>
          </cell>
          <cell r="AD100" t="b">
            <v>0</v>
          </cell>
        </row>
        <row r="101">
          <cell r="Z101" t="b">
            <v>0</v>
          </cell>
          <cell r="AA101" t="b">
            <v>0</v>
          </cell>
          <cell r="AB101" t="b">
            <v>0</v>
          </cell>
          <cell r="AC101" t="b">
            <v>0</v>
          </cell>
          <cell r="AD101" t="b">
            <v>0</v>
          </cell>
        </row>
        <row r="102">
          <cell r="Z102" t="b">
            <v>0</v>
          </cell>
          <cell r="AA102" t="b">
            <v>0</v>
          </cell>
          <cell r="AB102" t="b">
            <v>0</v>
          </cell>
          <cell r="AC102" t="b">
            <v>0</v>
          </cell>
          <cell r="AD102" t="b">
            <v>0</v>
          </cell>
        </row>
        <row r="103">
          <cell r="Z103" t="b">
            <v>0</v>
          </cell>
          <cell r="AA103" t="b">
            <v>0</v>
          </cell>
          <cell r="AB103" t="b">
            <v>0</v>
          </cell>
          <cell r="AC103" t="b">
            <v>0</v>
          </cell>
          <cell r="AD103" t="b">
            <v>0</v>
          </cell>
        </row>
        <row r="104">
          <cell r="Z104" t="b">
            <v>0</v>
          </cell>
          <cell r="AA104" t="b">
            <v>0</v>
          </cell>
          <cell r="AB104" t="b">
            <v>0</v>
          </cell>
          <cell r="AC104" t="b">
            <v>0</v>
          </cell>
          <cell r="AD104" t="b">
            <v>0</v>
          </cell>
        </row>
        <row r="105">
          <cell r="Z105" t="b">
            <v>0</v>
          </cell>
          <cell r="AA105" t="b">
            <v>0</v>
          </cell>
          <cell r="AB105" t="b">
            <v>0</v>
          </cell>
          <cell r="AC105" t="b">
            <v>0</v>
          </cell>
          <cell r="AD105" t="b">
            <v>0</v>
          </cell>
        </row>
        <row r="106">
          <cell r="Z106" t="b">
            <v>0</v>
          </cell>
          <cell r="AA106" t="b">
            <v>0</v>
          </cell>
          <cell r="AB106" t="b">
            <v>0</v>
          </cell>
          <cell r="AC106" t="b">
            <v>0</v>
          </cell>
          <cell r="AD106" t="b">
            <v>0</v>
          </cell>
        </row>
        <row r="107">
          <cell r="Z107" t="b">
            <v>0</v>
          </cell>
          <cell r="AA107" t="b">
            <v>0</v>
          </cell>
          <cell r="AB107" t="b">
            <v>0</v>
          </cell>
          <cell r="AC107" t="b">
            <v>0</v>
          </cell>
          <cell r="AD107" t="b">
            <v>0</v>
          </cell>
        </row>
        <row r="108">
          <cell r="Z108" t="b">
            <v>0</v>
          </cell>
          <cell r="AA108" t="b">
            <v>0</v>
          </cell>
          <cell r="AB108" t="b">
            <v>0</v>
          </cell>
          <cell r="AC108" t="b">
            <v>0</v>
          </cell>
          <cell r="AD108" t="b">
            <v>0</v>
          </cell>
        </row>
        <row r="109">
          <cell r="Z109" t="b">
            <v>0</v>
          </cell>
          <cell r="AA109" t="b">
            <v>0</v>
          </cell>
          <cell r="AB109" t="b">
            <v>0</v>
          </cell>
          <cell r="AC109" t="b">
            <v>0</v>
          </cell>
          <cell r="AD109" t="b">
            <v>0</v>
          </cell>
        </row>
        <row r="110">
          <cell r="Z110" t="b">
            <v>0</v>
          </cell>
          <cell r="AA110" t="b">
            <v>0</v>
          </cell>
          <cell r="AB110" t="b">
            <v>0</v>
          </cell>
          <cell r="AC110" t="b">
            <v>0</v>
          </cell>
          <cell r="AD110" t="b">
            <v>0</v>
          </cell>
        </row>
        <row r="111">
          <cell r="Z111" t="b">
            <v>0</v>
          </cell>
          <cell r="AA111" t="b">
            <v>0</v>
          </cell>
          <cell r="AB111" t="b">
            <v>0</v>
          </cell>
          <cell r="AC111" t="b">
            <v>0</v>
          </cell>
          <cell r="AD111" t="b">
            <v>0</v>
          </cell>
        </row>
        <row r="112">
          <cell r="Z112" t="b">
            <v>0</v>
          </cell>
          <cell r="AA112" t="b">
            <v>0</v>
          </cell>
          <cell r="AB112" t="b">
            <v>0</v>
          </cell>
          <cell r="AC112" t="b">
            <v>0</v>
          </cell>
          <cell r="AD112" t="b">
            <v>0</v>
          </cell>
        </row>
        <row r="113">
          <cell r="Z113" t="b">
            <v>0</v>
          </cell>
          <cell r="AA113" t="b">
            <v>0</v>
          </cell>
          <cell r="AB113" t="b">
            <v>0</v>
          </cell>
          <cell r="AC113" t="b">
            <v>0</v>
          </cell>
          <cell r="AD113" t="b">
            <v>0</v>
          </cell>
        </row>
        <row r="114">
          <cell r="Z114" t="b">
            <v>0</v>
          </cell>
          <cell r="AA114" t="b">
            <v>0</v>
          </cell>
          <cell r="AB114" t="b">
            <v>0</v>
          </cell>
          <cell r="AC114" t="b">
            <v>0</v>
          </cell>
          <cell r="AD114" t="b">
            <v>0</v>
          </cell>
        </row>
        <row r="115">
          <cell r="Z115" t="b">
            <v>0</v>
          </cell>
          <cell r="AA115" t="b">
            <v>0</v>
          </cell>
          <cell r="AB115" t="b">
            <v>0</v>
          </cell>
          <cell r="AC115" t="b">
            <v>0</v>
          </cell>
          <cell r="AD115" t="b">
            <v>0</v>
          </cell>
        </row>
        <row r="116">
          <cell r="Z116" t="b">
            <v>0</v>
          </cell>
          <cell r="AA116" t="b">
            <v>0</v>
          </cell>
          <cell r="AB116" t="b">
            <v>0</v>
          </cell>
          <cell r="AC116" t="b">
            <v>0</v>
          </cell>
          <cell r="AD116" t="b">
            <v>0</v>
          </cell>
        </row>
        <row r="117">
          <cell r="Z117" t="b">
            <v>0</v>
          </cell>
          <cell r="AA117" t="b">
            <v>0</v>
          </cell>
          <cell r="AB117" t="b">
            <v>0</v>
          </cell>
          <cell r="AC117" t="b">
            <v>0</v>
          </cell>
          <cell r="AD117" t="b">
            <v>0</v>
          </cell>
        </row>
        <row r="118">
          <cell r="Z118" t="b">
            <v>0</v>
          </cell>
          <cell r="AA118" t="b">
            <v>0</v>
          </cell>
          <cell r="AB118" t="b">
            <v>0</v>
          </cell>
          <cell r="AC118" t="b">
            <v>0</v>
          </cell>
          <cell r="AD118" t="b">
            <v>0</v>
          </cell>
        </row>
        <row r="119">
          <cell r="Z119" t="b">
            <v>0</v>
          </cell>
          <cell r="AA119" t="b">
            <v>0</v>
          </cell>
          <cell r="AB119" t="b">
            <v>0</v>
          </cell>
          <cell r="AC119" t="b">
            <v>0</v>
          </cell>
          <cell r="AD119" t="b">
            <v>0</v>
          </cell>
        </row>
        <row r="120">
          <cell r="Z120" t="b">
            <v>0</v>
          </cell>
          <cell r="AA120" t="b">
            <v>0</v>
          </cell>
          <cell r="AB120" t="b">
            <v>0</v>
          </cell>
          <cell r="AC120" t="b">
            <v>0</v>
          </cell>
          <cell r="AD120" t="b">
            <v>0</v>
          </cell>
        </row>
        <row r="121">
          <cell r="Z121" t="b">
            <v>0</v>
          </cell>
          <cell r="AA121" t="b">
            <v>0</v>
          </cell>
          <cell r="AB121" t="b">
            <v>0</v>
          </cell>
          <cell r="AC121" t="b">
            <v>0</v>
          </cell>
          <cell r="AD121" t="b">
            <v>0</v>
          </cell>
        </row>
        <row r="122">
          <cell r="Z122" t="b">
            <v>0</v>
          </cell>
          <cell r="AA122" t="b">
            <v>0</v>
          </cell>
          <cell r="AB122" t="b">
            <v>0</v>
          </cell>
          <cell r="AC122" t="b">
            <v>0</v>
          </cell>
          <cell r="AD122" t="b">
            <v>0</v>
          </cell>
        </row>
        <row r="123">
          <cell r="Z123" t="b">
            <v>0</v>
          </cell>
          <cell r="AA123" t="b">
            <v>0</v>
          </cell>
          <cell r="AB123" t="b">
            <v>0</v>
          </cell>
          <cell r="AC123" t="b">
            <v>0</v>
          </cell>
          <cell r="AD123" t="b">
            <v>0</v>
          </cell>
        </row>
        <row r="124">
          <cell r="Z124" t="b">
            <v>0</v>
          </cell>
          <cell r="AA124" t="b">
            <v>0</v>
          </cell>
          <cell r="AB124" t="b">
            <v>0</v>
          </cell>
          <cell r="AC124" t="b">
            <v>0</v>
          </cell>
          <cell r="AD124" t="b">
            <v>0</v>
          </cell>
        </row>
        <row r="125">
          <cell r="Z125" t="b">
            <v>0</v>
          </cell>
          <cell r="AA125" t="b">
            <v>0</v>
          </cell>
          <cell r="AB125" t="b">
            <v>0</v>
          </cell>
          <cell r="AC125" t="b">
            <v>0</v>
          </cell>
          <cell r="AD125" t="b">
            <v>0</v>
          </cell>
        </row>
        <row r="126">
          <cell r="Z126" t="b">
            <v>0</v>
          </cell>
          <cell r="AA126" t="b">
            <v>0</v>
          </cell>
          <cell r="AB126" t="b">
            <v>0</v>
          </cell>
          <cell r="AC126" t="b">
            <v>0</v>
          </cell>
          <cell r="AD126" t="b">
            <v>0</v>
          </cell>
        </row>
        <row r="127">
          <cell r="Z127" t="b">
            <v>0</v>
          </cell>
          <cell r="AA127" t="b">
            <v>0</v>
          </cell>
          <cell r="AB127" t="b">
            <v>0</v>
          </cell>
          <cell r="AC127" t="b">
            <v>0</v>
          </cell>
          <cell r="AD127" t="b">
            <v>0</v>
          </cell>
        </row>
        <row r="128">
          <cell r="Z128" t="b">
            <v>0</v>
          </cell>
          <cell r="AA128" t="b">
            <v>0</v>
          </cell>
          <cell r="AB128" t="b">
            <v>0</v>
          </cell>
          <cell r="AC128" t="b">
            <v>0</v>
          </cell>
          <cell r="AD128" t="b">
            <v>0</v>
          </cell>
        </row>
        <row r="129">
          <cell r="Z129" t="b">
            <v>0</v>
          </cell>
          <cell r="AA129" t="b">
            <v>0</v>
          </cell>
          <cell r="AB129" t="b">
            <v>0</v>
          </cell>
          <cell r="AC129" t="b">
            <v>0</v>
          </cell>
          <cell r="AD129" t="b">
            <v>0</v>
          </cell>
        </row>
        <row r="130">
          <cell r="Z130" t="b">
            <v>0</v>
          </cell>
          <cell r="AA130" t="b">
            <v>0</v>
          </cell>
          <cell r="AB130" t="b">
            <v>0</v>
          </cell>
          <cell r="AC130" t="b">
            <v>0</v>
          </cell>
          <cell r="AD130" t="b">
            <v>0</v>
          </cell>
        </row>
        <row r="131">
          <cell r="Z131" t="b">
            <v>0</v>
          </cell>
          <cell r="AA131" t="b">
            <v>0</v>
          </cell>
          <cell r="AB131" t="b">
            <v>0</v>
          </cell>
          <cell r="AC131" t="b">
            <v>0</v>
          </cell>
          <cell r="AD131" t="b">
            <v>0</v>
          </cell>
        </row>
        <row r="132">
          <cell r="Z132" t="b">
            <v>0</v>
          </cell>
          <cell r="AA132" t="b">
            <v>0</v>
          </cell>
          <cell r="AB132" t="b">
            <v>0</v>
          </cell>
          <cell r="AC132" t="b">
            <v>0</v>
          </cell>
          <cell r="AD132" t="b">
            <v>0</v>
          </cell>
        </row>
        <row r="133">
          <cell r="Z133" t="b">
            <v>0</v>
          </cell>
          <cell r="AA133" t="b">
            <v>0</v>
          </cell>
          <cell r="AB133" t="b">
            <v>0</v>
          </cell>
          <cell r="AC133" t="b">
            <v>0</v>
          </cell>
          <cell r="AD133" t="b">
            <v>0</v>
          </cell>
        </row>
        <row r="134">
          <cell r="Z134" t="b">
            <v>0</v>
          </cell>
          <cell r="AA134" t="b">
            <v>0</v>
          </cell>
          <cell r="AB134" t="b">
            <v>0</v>
          </cell>
          <cell r="AC134" t="b">
            <v>0</v>
          </cell>
          <cell r="AD134" t="b">
            <v>0</v>
          </cell>
        </row>
        <row r="135">
          <cell r="Z135" t="b">
            <v>0</v>
          </cell>
          <cell r="AA135" t="b">
            <v>0</v>
          </cell>
          <cell r="AB135" t="b">
            <v>0</v>
          </cell>
          <cell r="AC135" t="b">
            <v>0</v>
          </cell>
          <cell r="AD135" t="b">
            <v>0</v>
          </cell>
        </row>
        <row r="136">
          <cell r="Z136" t="b">
            <v>0</v>
          </cell>
          <cell r="AA136" t="b">
            <v>0</v>
          </cell>
          <cell r="AB136" t="b">
            <v>0</v>
          </cell>
          <cell r="AC136" t="b">
            <v>0</v>
          </cell>
          <cell r="AD136" t="b">
            <v>0</v>
          </cell>
        </row>
        <row r="137">
          <cell r="Z137" t="b">
            <v>0</v>
          </cell>
          <cell r="AA137" t="b">
            <v>0</v>
          </cell>
          <cell r="AB137" t="b">
            <v>0</v>
          </cell>
          <cell r="AC137" t="b">
            <v>0</v>
          </cell>
          <cell r="AD137" t="b">
            <v>0</v>
          </cell>
        </row>
        <row r="138">
          <cell r="Z138" t="b">
            <v>0</v>
          </cell>
          <cell r="AA138" t="b">
            <v>0</v>
          </cell>
          <cell r="AB138" t="b">
            <v>0</v>
          </cell>
          <cell r="AC138" t="b">
            <v>0</v>
          </cell>
          <cell r="AD138" t="b">
            <v>0</v>
          </cell>
        </row>
        <row r="139">
          <cell r="Z139" t="b">
            <v>0</v>
          </cell>
          <cell r="AA139" t="b">
            <v>0</v>
          </cell>
          <cell r="AB139" t="b">
            <v>0</v>
          </cell>
          <cell r="AC139" t="b">
            <v>0</v>
          </cell>
          <cell r="AD139" t="b">
            <v>0</v>
          </cell>
        </row>
        <row r="140">
          <cell r="Z140" t="b">
            <v>0</v>
          </cell>
          <cell r="AA140" t="b">
            <v>0</v>
          </cell>
          <cell r="AB140" t="b">
            <v>0</v>
          </cell>
          <cell r="AC140" t="b">
            <v>0</v>
          </cell>
          <cell r="AD140" t="b">
            <v>0</v>
          </cell>
        </row>
        <row r="141">
          <cell r="Z141" t="b">
            <v>0</v>
          </cell>
          <cell r="AA141" t="b">
            <v>0</v>
          </cell>
          <cell r="AB141" t="b">
            <v>0</v>
          </cell>
          <cell r="AC141" t="b">
            <v>0</v>
          </cell>
          <cell r="AD141" t="b">
            <v>0</v>
          </cell>
        </row>
        <row r="142">
          <cell r="Z142" t="b">
            <v>0</v>
          </cell>
          <cell r="AA142" t="b">
            <v>0</v>
          </cell>
          <cell r="AB142" t="b">
            <v>0</v>
          </cell>
          <cell r="AC142" t="b">
            <v>0</v>
          </cell>
          <cell r="AD142" t="b">
            <v>0</v>
          </cell>
        </row>
        <row r="143">
          <cell r="Z143" t="b">
            <v>0</v>
          </cell>
          <cell r="AA143" t="b">
            <v>0</v>
          </cell>
          <cell r="AB143" t="b">
            <v>0</v>
          </cell>
          <cell r="AC143" t="b">
            <v>0</v>
          </cell>
          <cell r="AD143" t="b">
            <v>0</v>
          </cell>
        </row>
        <row r="144">
          <cell r="Z144" t="b">
            <v>0</v>
          </cell>
          <cell r="AA144" t="b">
            <v>0</v>
          </cell>
          <cell r="AB144" t="b">
            <v>0</v>
          </cell>
          <cell r="AC144" t="b">
            <v>0</v>
          </cell>
          <cell r="AD144" t="b">
            <v>0</v>
          </cell>
        </row>
        <row r="145">
          <cell r="Z145" t="b">
            <v>0</v>
          </cell>
          <cell r="AA145" t="b">
            <v>0</v>
          </cell>
          <cell r="AB145" t="b">
            <v>0</v>
          </cell>
          <cell r="AC145" t="b">
            <v>0</v>
          </cell>
          <cell r="AD145" t="b">
            <v>0</v>
          </cell>
        </row>
        <row r="146">
          <cell r="Z146" t="b">
            <v>0</v>
          </cell>
          <cell r="AA146" t="b">
            <v>0</v>
          </cell>
          <cell r="AB146" t="b">
            <v>0</v>
          </cell>
          <cell r="AC146" t="b">
            <v>0</v>
          </cell>
          <cell r="AD146" t="b">
            <v>0</v>
          </cell>
        </row>
        <row r="147">
          <cell r="Z147" t="b">
            <v>0</v>
          </cell>
          <cell r="AA147" t="b">
            <v>0</v>
          </cell>
          <cell r="AB147" t="b">
            <v>0</v>
          </cell>
          <cell r="AC147" t="b">
            <v>0</v>
          </cell>
          <cell r="AD147" t="b">
            <v>0</v>
          </cell>
        </row>
        <row r="148">
          <cell r="Z148" t="b">
            <v>0</v>
          </cell>
          <cell r="AA148" t="b">
            <v>0</v>
          </cell>
          <cell r="AB148" t="b">
            <v>0</v>
          </cell>
          <cell r="AC148" t="b">
            <v>0</v>
          </cell>
          <cell r="AD148" t="b">
            <v>0</v>
          </cell>
        </row>
        <row r="149">
          <cell r="Z149" t="b">
            <v>0</v>
          </cell>
          <cell r="AA149" t="b">
            <v>0</v>
          </cell>
          <cell r="AB149" t="b">
            <v>0</v>
          </cell>
          <cell r="AC149" t="b">
            <v>0</v>
          </cell>
          <cell r="AD149" t="b">
            <v>0</v>
          </cell>
        </row>
        <row r="150">
          <cell r="Z150" t="b">
            <v>0</v>
          </cell>
          <cell r="AA150" t="b">
            <v>0</v>
          </cell>
          <cell r="AB150" t="b">
            <v>0</v>
          </cell>
          <cell r="AC150" t="b">
            <v>0</v>
          </cell>
          <cell r="AD150" t="b">
            <v>0</v>
          </cell>
        </row>
        <row r="151">
          <cell r="Z151" t="b">
            <v>0</v>
          </cell>
          <cell r="AA151" t="b">
            <v>0</v>
          </cell>
          <cell r="AB151" t="b">
            <v>0</v>
          </cell>
          <cell r="AC151" t="b">
            <v>0</v>
          </cell>
          <cell r="AD151" t="b">
            <v>0</v>
          </cell>
        </row>
        <row r="152">
          <cell r="Z152" t="b">
            <v>0</v>
          </cell>
          <cell r="AA152" t="b">
            <v>0</v>
          </cell>
          <cell r="AB152" t="b">
            <v>0</v>
          </cell>
          <cell r="AC152" t="b">
            <v>0</v>
          </cell>
          <cell r="AD152" t="b">
            <v>0</v>
          </cell>
        </row>
        <row r="153">
          <cell r="Z153" t="b">
            <v>0</v>
          </cell>
          <cell r="AA153" t="b">
            <v>0</v>
          </cell>
          <cell r="AB153" t="b">
            <v>0</v>
          </cell>
          <cell r="AC153" t="b">
            <v>0</v>
          </cell>
          <cell r="AD153" t="b">
            <v>0</v>
          </cell>
        </row>
        <row r="154">
          <cell r="Z154" t="b">
            <v>0</v>
          </cell>
          <cell r="AA154" t="b">
            <v>0</v>
          </cell>
          <cell r="AB154" t="b">
            <v>0</v>
          </cell>
          <cell r="AC154" t="b">
            <v>0</v>
          </cell>
          <cell r="AD154" t="b">
            <v>0</v>
          </cell>
        </row>
        <row r="155">
          <cell r="Z155" t="b">
            <v>0</v>
          </cell>
          <cell r="AA155" t="b">
            <v>0</v>
          </cell>
          <cell r="AB155" t="b">
            <v>0</v>
          </cell>
          <cell r="AC155" t="b">
            <v>0</v>
          </cell>
          <cell r="AD155" t="b">
            <v>0</v>
          </cell>
        </row>
        <row r="156">
          <cell r="Z156" t="b">
            <v>0</v>
          </cell>
          <cell r="AA156" t="b">
            <v>0</v>
          </cell>
          <cell r="AB156" t="b">
            <v>0</v>
          </cell>
          <cell r="AC156" t="b">
            <v>0</v>
          </cell>
          <cell r="AD156" t="b">
            <v>0</v>
          </cell>
        </row>
        <row r="157">
          <cell r="Z157" t="b">
            <v>0</v>
          </cell>
          <cell r="AA157" t="b">
            <v>0</v>
          </cell>
          <cell r="AB157" t="b">
            <v>0</v>
          </cell>
          <cell r="AC157" t="b">
            <v>0</v>
          </cell>
          <cell r="AD157" t="b">
            <v>0</v>
          </cell>
        </row>
        <row r="158">
          <cell r="Z158" t="b">
            <v>0</v>
          </cell>
          <cell r="AA158" t="b">
            <v>0</v>
          </cell>
          <cell r="AB158" t="b">
            <v>0</v>
          </cell>
          <cell r="AC158" t="b">
            <v>0</v>
          </cell>
          <cell r="AD158" t="b">
            <v>0</v>
          </cell>
        </row>
        <row r="159">
          <cell r="Z159" t="b">
            <v>0</v>
          </cell>
          <cell r="AA159" t="b">
            <v>0</v>
          </cell>
          <cell r="AB159" t="b">
            <v>0</v>
          </cell>
          <cell r="AC159" t="b">
            <v>0</v>
          </cell>
          <cell r="AD159" t="b">
            <v>0</v>
          </cell>
        </row>
        <row r="160">
          <cell r="Z160" t="b">
            <v>0</v>
          </cell>
          <cell r="AA160" t="b">
            <v>0</v>
          </cell>
          <cell r="AB160" t="b">
            <v>0</v>
          </cell>
          <cell r="AC160" t="b">
            <v>0</v>
          </cell>
          <cell r="AD160" t="b">
            <v>0</v>
          </cell>
        </row>
        <row r="161">
          <cell r="Z161" t="b">
            <v>0</v>
          </cell>
          <cell r="AA161" t="b">
            <v>0</v>
          </cell>
          <cell r="AB161" t="b">
            <v>0</v>
          </cell>
          <cell r="AC161" t="b">
            <v>0</v>
          </cell>
          <cell r="AD161" t="b">
            <v>0</v>
          </cell>
        </row>
        <row r="162">
          <cell r="Z162" t="b">
            <v>0</v>
          </cell>
          <cell r="AA162" t="b">
            <v>0</v>
          </cell>
          <cell r="AB162" t="b">
            <v>0</v>
          </cell>
          <cell r="AC162" t="b">
            <v>0</v>
          </cell>
          <cell r="AD162" t="b">
            <v>0</v>
          </cell>
        </row>
        <row r="163">
          <cell r="Z163" t="b">
            <v>0</v>
          </cell>
          <cell r="AA163" t="b">
            <v>0</v>
          </cell>
          <cell r="AB163" t="b">
            <v>0</v>
          </cell>
          <cell r="AC163" t="b">
            <v>0</v>
          </cell>
          <cell r="AD163" t="b">
            <v>0</v>
          </cell>
        </row>
        <row r="164">
          <cell r="Z164" t="b">
            <v>0</v>
          </cell>
          <cell r="AA164" t="b">
            <v>0</v>
          </cell>
          <cell r="AB164" t="b">
            <v>0</v>
          </cell>
          <cell r="AC164" t="b">
            <v>0</v>
          </cell>
          <cell r="AD164" t="b">
            <v>0</v>
          </cell>
        </row>
        <row r="165">
          <cell r="Z165" t="b">
            <v>0</v>
          </cell>
          <cell r="AA165" t="b">
            <v>0</v>
          </cell>
          <cell r="AB165" t="b">
            <v>0</v>
          </cell>
          <cell r="AC165" t="b">
            <v>0</v>
          </cell>
          <cell r="AD165" t="b">
            <v>0</v>
          </cell>
        </row>
        <row r="166">
          <cell r="Z166" t="b">
            <v>0</v>
          </cell>
          <cell r="AA166" t="b">
            <v>0</v>
          </cell>
          <cell r="AB166" t="b">
            <v>0</v>
          </cell>
          <cell r="AC166" t="b">
            <v>0</v>
          </cell>
          <cell r="AD166" t="b">
            <v>0</v>
          </cell>
        </row>
        <row r="167">
          <cell r="Z167" t="b">
            <v>0</v>
          </cell>
          <cell r="AA167" t="b">
            <v>0</v>
          </cell>
          <cell r="AB167" t="b">
            <v>0</v>
          </cell>
          <cell r="AC167" t="b">
            <v>0</v>
          </cell>
          <cell r="AD167" t="b">
            <v>0</v>
          </cell>
        </row>
        <row r="168">
          <cell r="Z168" t="b">
            <v>0</v>
          </cell>
          <cell r="AA168" t="b">
            <v>0</v>
          </cell>
          <cell r="AB168" t="b">
            <v>0</v>
          </cell>
          <cell r="AC168" t="b">
            <v>0</v>
          </cell>
          <cell r="AD168" t="b">
            <v>0</v>
          </cell>
        </row>
        <row r="169">
          <cell r="Z169" t="b">
            <v>0</v>
          </cell>
          <cell r="AA169" t="b">
            <v>0</v>
          </cell>
          <cell r="AB169" t="b">
            <v>0</v>
          </cell>
          <cell r="AC169" t="b">
            <v>0</v>
          </cell>
          <cell r="AD169" t="b">
            <v>0</v>
          </cell>
        </row>
        <row r="170">
          <cell r="Z170" t="b">
            <v>0</v>
          </cell>
          <cell r="AA170" t="b">
            <v>0</v>
          </cell>
          <cell r="AB170" t="b">
            <v>0</v>
          </cell>
          <cell r="AC170" t="b">
            <v>0</v>
          </cell>
          <cell r="AD170" t="b">
            <v>0</v>
          </cell>
        </row>
        <row r="171">
          <cell r="Z171" t="b">
            <v>0</v>
          </cell>
          <cell r="AA171" t="b">
            <v>0</v>
          </cell>
          <cell r="AB171" t="b">
            <v>0</v>
          </cell>
          <cell r="AC171" t="b">
            <v>0</v>
          </cell>
          <cell r="AD171" t="b">
            <v>0</v>
          </cell>
        </row>
        <row r="172">
          <cell r="Z172" t="b">
            <v>0</v>
          </cell>
          <cell r="AA172" t="b">
            <v>0</v>
          </cell>
          <cell r="AB172" t="b">
            <v>0</v>
          </cell>
          <cell r="AC172" t="b">
            <v>0</v>
          </cell>
          <cell r="AD172" t="b">
            <v>0</v>
          </cell>
        </row>
        <row r="173">
          <cell r="Z173" t="b">
            <v>0</v>
          </cell>
          <cell r="AA173" t="b">
            <v>0</v>
          </cell>
          <cell r="AB173" t="b">
            <v>0</v>
          </cell>
          <cell r="AC173" t="b">
            <v>0</v>
          </cell>
          <cell r="AD173" t="b">
            <v>0</v>
          </cell>
        </row>
        <row r="174">
          <cell r="Z174" t="b">
            <v>0</v>
          </cell>
          <cell r="AA174" t="b">
            <v>0</v>
          </cell>
          <cell r="AB174" t="b">
            <v>0</v>
          </cell>
          <cell r="AC174" t="b">
            <v>0</v>
          </cell>
          <cell r="AD174" t="b">
            <v>0</v>
          </cell>
        </row>
        <row r="175">
          <cell r="Z175" t="b">
            <v>0</v>
          </cell>
          <cell r="AA175" t="b">
            <v>0</v>
          </cell>
          <cell r="AB175" t="b">
            <v>0</v>
          </cell>
          <cell r="AC175" t="b">
            <v>0</v>
          </cell>
          <cell r="AD175" t="b">
            <v>0</v>
          </cell>
        </row>
        <row r="176">
          <cell r="Z176" t="b">
            <v>0</v>
          </cell>
          <cell r="AA176" t="b">
            <v>0</v>
          </cell>
          <cell r="AB176" t="b">
            <v>0</v>
          </cell>
          <cell r="AC176" t="b">
            <v>0</v>
          </cell>
          <cell r="AD176" t="b">
            <v>0</v>
          </cell>
        </row>
        <row r="177">
          <cell r="Z177" t="b">
            <v>0</v>
          </cell>
          <cell r="AA177" t="b">
            <v>0</v>
          </cell>
          <cell r="AB177" t="b">
            <v>0</v>
          </cell>
          <cell r="AC177" t="b">
            <v>0</v>
          </cell>
          <cell r="AD177" t="b">
            <v>0</v>
          </cell>
        </row>
        <row r="178">
          <cell r="Z178" t="b">
            <v>0</v>
          </cell>
          <cell r="AA178" t="b">
            <v>0</v>
          </cell>
          <cell r="AB178" t="b">
            <v>0</v>
          </cell>
          <cell r="AC178" t="b">
            <v>0</v>
          </cell>
          <cell r="AD178" t="b">
            <v>0</v>
          </cell>
        </row>
        <row r="179">
          <cell r="Z179" t="b">
            <v>0</v>
          </cell>
          <cell r="AA179" t="b">
            <v>0</v>
          </cell>
          <cell r="AB179" t="b">
            <v>0</v>
          </cell>
          <cell r="AC179" t="b">
            <v>0</v>
          </cell>
          <cell r="AD179" t="b">
            <v>0</v>
          </cell>
        </row>
        <row r="180">
          <cell r="Z180" t="b">
            <v>0</v>
          </cell>
          <cell r="AA180" t="b">
            <v>0</v>
          </cell>
          <cell r="AB180" t="b">
            <v>0</v>
          </cell>
          <cell r="AC180" t="b">
            <v>0</v>
          </cell>
          <cell r="AD180" t="b">
            <v>0</v>
          </cell>
        </row>
        <row r="181">
          <cell r="Z181" t="b">
            <v>0</v>
          </cell>
          <cell r="AA181" t="b">
            <v>0</v>
          </cell>
          <cell r="AB181" t="b">
            <v>0</v>
          </cell>
          <cell r="AC181" t="b">
            <v>0</v>
          </cell>
          <cell r="AD181" t="b">
            <v>0</v>
          </cell>
        </row>
        <row r="182">
          <cell r="Z182" t="b">
            <v>0</v>
          </cell>
          <cell r="AA182" t="b">
            <v>0</v>
          </cell>
          <cell r="AB182" t="b">
            <v>0</v>
          </cell>
          <cell r="AC182" t="b">
            <v>0</v>
          </cell>
          <cell r="AD182" t="b">
            <v>0</v>
          </cell>
        </row>
        <row r="183">
          <cell r="Z183" t="b">
            <v>0</v>
          </cell>
          <cell r="AA183" t="b">
            <v>0</v>
          </cell>
          <cell r="AB183" t="b">
            <v>0</v>
          </cell>
          <cell r="AC183" t="b">
            <v>0</v>
          </cell>
          <cell r="AD183" t="b">
            <v>0</v>
          </cell>
        </row>
        <row r="184">
          <cell r="Z184" t="b">
            <v>0</v>
          </cell>
          <cell r="AA184" t="b">
            <v>0</v>
          </cell>
          <cell r="AB184" t="b">
            <v>0</v>
          </cell>
          <cell r="AC184" t="b">
            <v>0</v>
          </cell>
          <cell r="AD184" t="b">
            <v>0</v>
          </cell>
        </row>
        <row r="185">
          <cell r="Z185" t="b">
            <v>0</v>
          </cell>
          <cell r="AA185" t="b">
            <v>0</v>
          </cell>
          <cell r="AB185" t="b">
            <v>0</v>
          </cell>
          <cell r="AC185" t="b">
            <v>0</v>
          </cell>
          <cell r="AD185" t="b">
            <v>0</v>
          </cell>
        </row>
        <row r="186">
          <cell r="Z186" t="b">
            <v>0</v>
          </cell>
          <cell r="AA186" t="b">
            <v>0</v>
          </cell>
          <cell r="AB186" t="b">
            <v>0</v>
          </cell>
          <cell r="AC186" t="b">
            <v>0</v>
          </cell>
          <cell r="AD186" t="b">
            <v>0</v>
          </cell>
        </row>
        <row r="187">
          <cell r="Z187" t="b">
            <v>0</v>
          </cell>
          <cell r="AA187" t="b">
            <v>0</v>
          </cell>
          <cell r="AB187" t="b">
            <v>0</v>
          </cell>
          <cell r="AC187" t="b">
            <v>0</v>
          </cell>
          <cell r="AD187" t="b">
            <v>0</v>
          </cell>
        </row>
        <row r="188">
          <cell r="Z188" t="b">
            <v>0</v>
          </cell>
          <cell r="AA188" t="b">
            <v>0</v>
          </cell>
          <cell r="AB188" t="b">
            <v>0</v>
          </cell>
          <cell r="AC188" t="b">
            <v>0</v>
          </cell>
          <cell r="AD188" t="b">
            <v>0</v>
          </cell>
        </row>
        <row r="189">
          <cell r="Z189" t="b">
            <v>0</v>
          </cell>
          <cell r="AA189" t="b">
            <v>0</v>
          </cell>
          <cell r="AB189" t="b">
            <v>0</v>
          </cell>
          <cell r="AC189" t="b">
            <v>0</v>
          </cell>
          <cell r="AD189" t="b">
            <v>0</v>
          </cell>
        </row>
        <row r="190">
          <cell r="Z190" t="b">
            <v>0</v>
          </cell>
          <cell r="AA190" t="b">
            <v>0</v>
          </cell>
          <cell r="AB190" t="b">
            <v>0</v>
          </cell>
          <cell r="AC190" t="b">
            <v>0</v>
          </cell>
          <cell r="AD190" t="b">
            <v>0</v>
          </cell>
        </row>
        <row r="191">
          <cell r="Z191" t="b">
            <v>0</v>
          </cell>
          <cell r="AA191" t="b">
            <v>0</v>
          </cell>
          <cell r="AB191" t="b">
            <v>0</v>
          </cell>
          <cell r="AC191" t="b">
            <v>0</v>
          </cell>
          <cell r="AD191" t="b">
            <v>0</v>
          </cell>
        </row>
        <row r="192">
          <cell r="Z192" t="b">
            <v>0</v>
          </cell>
          <cell r="AA192" t="b">
            <v>0</v>
          </cell>
          <cell r="AB192" t="b">
            <v>0</v>
          </cell>
          <cell r="AC192" t="b">
            <v>0</v>
          </cell>
          <cell r="AD192" t="b">
            <v>0</v>
          </cell>
        </row>
        <row r="193">
          <cell r="Z193" t="b">
            <v>0</v>
          </cell>
          <cell r="AA193" t="b">
            <v>0</v>
          </cell>
          <cell r="AB193" t="b">
            <v>0</v>
          </cell>
          <cell r="AC193" t="b">
            <v>0</v>
          </cell>
          <cell r="AD193" t="b">
            <v>0</v>
          </cell>
        </row>
        <row r="194">
          <cell r="Z194" t="b">
            <v>0</v>
          </cell>
          <cell r="AA194" t="b">
            <v>0</v>
          </cell>
          <cell r="AB194" t="b">
            <v>0</v>
          </cell>
          <cell r="AC194" t="b">
            <v>0</v>
          </cell>
          <cell r="AD194" t="b">
            <v>0</v>
          </cell>
        </row>
        <row r="195">
          <cell r="Z195" t="b">
            <v>0</v>
          </cell>
          <cell r="AA195" t="b">
            <v>0</v>
          </cell>
          <cell r="AB195" t="b">
            <v>0</v>
          </cell>
          <cell r="AC195" t="b">
            <v>0</v>
          </cell>
          <cell r="AD195" t="b">
            <v>0</v>
          </cell>
        </row>
        <row r="196">
          <cell r="Z196" t="b">
            <v>0</v>
          </cell>
          <cell r="AA196" t="b">
            <v>0</v>
          </cell>
          <cell r="AB196" t="b">
            <v>0</v>
          </cell>
          <cell r="AC196" t="b">
            <v>0</v>
          </cell>
          <cell r="AD196" t="b">
            <v>0</v>
          </cell>
        </row>
        <row r="197">
          <cell r="Z197" t="b">
            <v>0</v>
          </cell>
          <cell r="AA197" t="b">
            <v>0</v>
          </cell>
          <cell r="AB197" t="b">
            <v>0</v>
          </cell>
          <cell r="AC197" t="b">
            <v>0</v>
          </cell>
          <cell r="AD197" t="b">
            <v>0</v>
          </cell>
        </row>
        <row r="198">
          <cell r="Z198" t="b">
            <v>0</v>
          </cell>
          <cell r="AA198" t="b">
            <v>0</v>
          </cell>
          <cell r="AB198" t="b">
            <v>0</v>
          </cell>
          <cell r="AC198" t="b">
            <v>0</v>
          </cell>
          <cell r="AD198" t="b">
            <v>0</v>
          </cell>
        </row>
        <row r="199">
          <cell r="Z199" t="b">
            <v>0</v>
          </cell>
          <cell r="AA199" t="b">
            <v>0</v>
          </cell>
          <cell r="AB199" t="b">
            <v>0</v>
          </cell>
          <cell r="AC199" t="b">
            <v>0</v>
          </cell>
          <cell r="AD199" t="b">
            <v>0</v>
          </cell>
        </row>
        <row r="200">
          <cell r="Z200" t="b">
            <v>0</v>
          </cell>
          <cell r="AA200" t="b">
            <v>0</v>
          </cell>
          <cell r="AB200" t="b">
            <v>0</v>
          </cell>
          <cell r="AC200" t="b">
            <v>0</v>
          </cell>
          <cell r="AD200" t="b">
            <v>0</v>
          </cell>
        </row>
        <row r="201">
          <cell r="Z201" t="b">
            <v>0</v>
          </cell>
          <cell r="AA201" t="b">
            <v>0</v>
          </cell>
          <cell r="AB201" t="b">
            <v>0</v>
          </cell>
          <cell r="AC201" t="b">
            <v>0</v>
          </cell>
          <cell r="AD201" t="b">
            <v>0</v>
          </cell>
        </row>
        <row r="202">
          <cell r="Z202" t="b">
            <v>0</v>
          </cell>
          <cell r="AA202" t="b">
            <v>0</v>
          </cell>
          <cell r="AB202" t="b">
            <v>0</v>
          </cell>
          <cell r="AC202" t="b">
            <v>0</v>
          </cell>
          <cell r="AD202" t="b">
            <v>0</v>
          </cell>
        </row>
        <row r="203">
          <cell r="Z203" t="b">
            <v>0</v>
          </cell>
          <cell r="AA203" t="b">
            <v>0</v>
          </cell>
          <cell r="AB203" t="b">
            <v>0</v>
          </cell>
          <cell r="AC203" t="b">
            <v>0</v>
          </cell>
          <cell r="AD203" t="b">
            <v>0</v>
          </cell>
        </row>
        <row r="204">
          <cell r="Z204" t="b">
            <v>0</v>
          </cell>
          <cell r="AA204" t="b">
            <v>0</v>
          </cell>
          <cell r="AB204" t="b">
            <v>0</v>
          </cell>
          <cell r="AC204" t="b">
            <v>0</v>
          </cell>
          <cell r="AD204" t="b">
            <v>0</v>
          </cell>
        </row>
        <row r="205">
          <cell r="Z205" t="b">
            <v>0</v>
          </cell>
          <cell r="AA205" t="b">
            <v>0</v>
          </cell>
          <cell r="AB205" t="b">
            <v>0</v>
          </cell>
          <cell r="AC205" t="b">
            <v>0</v>
          </cell>
          <cell r="AD205" t="b">
            <v>0</v>
          </cell>
        </row>
        <row r="206">
          <cell r="Z206" t="b">
            <v>0</v>
          </cell>
          <cell r="AA206" t="b">
            <v>0</v>
          </cell>
          <cell r="AB206" t="b">
            <v>0</v>
          </cell>
          <cell r="AC206" t="b">
            <v>0</v>
          </cell>
          <cell r="AD206" t="b">
            <v>0</v>
          </cell>
        </row>
        <row r="207">
          <cell r="Z207" t="b">
            <v>0</v>
          </cell>
          <cell r="AA207" t="b">
            <v>0</v>
          </cell>
          <cell r="AB207" t="b">
            <v>0</v>
          </cell>
          <cell r="AC207" t="b">
            <v>0</v>
          </cell>
          <cell r="AD207" t="b">
            <v>0</v>
          </cell>
        </row>
        <row r="208">
          <cell r="Z208" t="b">
            <v>0</v>
          </cell>
          <cell r="AA208" t="b">
            <v>0</v>
          </cell>
          <cell r="AB208" t="b">
            <v>0</v>
          </cell>
          <cell r="AC208" t="b">
            <v>0</v>
          </cell>
          <cell r="AD208" t="b">
            <v>0</v>
          </cell>
        </row>
        <row r="209">
          <cell r="Z209" t="b">
            <v>0</v>
          </cell>
          <cell r="AA209" t="b">
            <v>0</v>
          </cell>
          <cell r="AB209" t="b">
            <v>0</v>
          </cell>
          <cell r="AC209" t="b">
            <v>0</v>
          </cell>
          <cell r="AD209" t="b">
            <v>0</v>
          </cell>
        </row>
        <row r="210">
          <cell r="Z210" t="b">
            <v>0</v>
          </cell>
          <cell r="AA210" t="b">
            <v>0</v>
          </cell>
          <cell r="AB210" t="b">
            <v>0</v>
          </cell>
          <cell r="AC210" t="b">
            <v>0</v>
          </cell>
          <cell r="AD210" t="b">
            <v>0</v>
          </cell>
        </row>
        <row r="211">
          <cell r="Z211" t="b">
            <v>0</v>
          </cell>
          <cell r="AA211" t="b">
            <v>0</v>
          </cell>
          <cell r="AB211" t="b">
            <v>0</v>
          </cell>
          <cell r="AC211" t="b">
            <v>0</v>
          </cell>
          <cell r="AD211" t="b">
            <v>0</v>
          </cell>
        </row>
        <row r="212">
          <cell r="Z212" t="b">
            <v>0</v>
          </cell>
          <cell r="AA212" t="b">
            <v>0</v>
          </cell>
          <cell r="AB212" t="b">
            <v>0</v>
          </cell>
          <cell r="AC212" t="b">
            <v>0</v>
          </cell>
          <cell r="AD212" t="b">
            <v>0</v>
          </cell>
        </row>
        <row r="213">
          <cell r="Z213" t="b">
            <v>0</v>
          </cell>
          <cell r="AA213" t="b">
            <v>0</v>
          </cell>
          <cell r="AB213" t="b">
            <v>0</v>
          </cell>
          <cell r="AC213" t="b">
            <v>0</v>
          </cell>
          <cell r="AD213" t="b">
            <v>0</v>
          </cell>
        </row>
        <row r="214">
          <cell r="Z214" t="b">
            <v>0</v>
          </cell>
          <cell r="AA214" t="b">
            <v>0</v>
          </cell>
          <cell r="AB214" t="b">
            <v>0</v>
          </cell>
          <cell r="AC214" t="b">
            <v>0</v>
          </cell>
          <cell r="AD214" t="b">
            <v>0</v>
          </cell>
        </row>
        <row r="215">
          <cell r="Z215" t="b">
            <v>0</v>
          </cell>
          <cell r="AA215" t="b">
            <v>0</v>
          </cell>
          <cell r="AB215" t="b">
            <v>0</v>
          </cell>
          <cell r="AC215" t="b">
            <v>0</v>
          </cell>
          <cell r="AD215" t="b">
            <v>0</v>
          </cell>
        </row>
        <row r="216">
          <cell r="Z216" t="b">
            <v>0</v>
          </cell>
          <cell r="AA216" t="b">
            <v>0</v>
          </cell>
          <cell r="AB216" t="b">
            <v>0</v>
          </cell>
          <cell r="AC216" t="b">
            <v>0</v>
          </cell>
          <cell r="AD216" t="b">
            <v>0</v>
          </cell>
        </row>
        <row r="217">
          <cell r="Z217" t="b">
            <v>0</v>
          </cell>
          <cell r="AA217" t="b">
            <v>0</v>
          </cell>
          <cell r="AB217" t="b">
            <v>0</v>
          </cell>
          <cell r="AC217" t="b">
            <v>0</v>
          </cell>
          <cell r="AD217" t="b">
            <v>0</v>
          </cell>
        </row>
        <row r="218">
          <cell r="Z218" t="b">
            <v>0</v>
          </cell>
          <cell r="AA218" t="b">
            <v>0</v>
          </cell>
          <cell r="AB218" t="b">
            <v>0</v>
          </cell>
          <cell r="AC218" t="b">
            <v>0</v>
          </cell>
          <cell r="AD218" t="b">
            <v>0</v>
          </cell>
        </row>
        <row r="219">
          <cell r="Z219" t="b">
            <v>0</v>
          </cell>
          <cell r="AA219" t="b">
            <v>0</v>
          </cell>
          <cell r="AB219" t="b">
            <v>0</v>
          </cell>
          <cell r="AC219" t="b">
            <v>0</v>
          </cell>
          <cell r="AD219" t="b">
            <v>0</v>
          </cell>
        </row>
        <row r="220">
          <cell r="Z220" t="b">
            <v>0</v>
          </cell>
          <cell r="AA220" t="b">
            <v>0</v>
          </cell>
          <cell r="AB220" t="b">
            <v>0</v>
          </cell>
          <cell r="AC220" t="b">
            <v>0</v>
          </cell>
          <cell r="AD220" t="b">
            <v>0</v>
          </cell>
        </row>
        <row r="221">
          <cell r="Z221" t="b">
            <v>0</v>
          </cell>
          <cell r="AA221" t="b">
            <v>0</v>
          </cell>
          <cell r="AB221" t="b">
            <v>0</v>
          </cell>
          <cell r="AC221" t="b">
            <v>0</v>
          </cell>
          <cell r="AD221" t="b">
            <v>0</v>
          </cell>
        </row>
        <row r="222">
          <cell r="Z222" t="b">
            <v>0</v>
          </cell>
          <cell r="AA222" t="b">
            <v>0</v>
          </cell>
          <cell r="AB222" t="b">
            <v>0</v>
          </cell>
          <cell r="AC222" t="b">
            <v>0</v>
          </cell>
          <cell r="AD222" t="b">
            <v>0</v>
          </cell>
        </row>
        <row r="223">
          <cell r="Z223" t="b">
            <v>0</v>
          </cell>
          <cell r="AA223" t="b">
            <v>0</v>
          </cell>
          <cell r="AB223" t="b">
            <v>0</v>
          </cell>
          <cell r="AC223" t="b">
            <v>0</v>
          </cell>
          <cell r="AD223" t="b">
            <v>0</v>
          </cell>
        </row>
        <row r="224">
          <cell r="Z224" t="b">
            <v>0</v>
          </cell>
          <cell r="AA224" t="b">
            <v>0</v>
          </cell>
          <cell r="AB224" t="b">
            <v>0</v>
          </cell>
          <cell r="AC224" t="b">
            <v>0</v>
          </cell>
          <cell r="AD224" t="b">
            <v>0</v>
          </cell>
        </row>
        <row r="225">
          <cell r="Z225" t="b">
            <v>0</v>
          </cell>
          <cell r="AA225" t="b">
            <v>0</v>
          </cell>
          <cell r="AB225" t="b">
            <v>0</v>
          </cell>
          <cell r="AC225" t="b">
            <v>0</v>
          </cell>
          <cell r="AD225" t="b">
            <v>0</v>
          </cell>
        </row>
        <row r="226">
          <cell r="Z226" t="b">
            <v>0</v>
          </cell>
          <cell r="AA226" t="b">
            <v>0</v>
          </cell>
          <cell r="AB226" t="b">
            <v>0</v>
          </cell>
          <cell r="AC226" t="b">
            <v>0</v>
          </cell>
          <cell r="AD226" t="b">
            <v>0</v>
          </cell>
        </row>
        <row r="227">
          <cell r="Z227" t="b">
            <v>0</v>
          </cell>
          <cell r="AA227" t="b">
            <v>0</v>
          </cell>
          <cell r="AB227" t="b">
            <v>0</v>
          </cell>
          <cell r="AC227" t="b">
            <v>0</v>
          </cell>
          <cell r="AD227" t="b">
            <v>0</v>
          </cell>
        </row>
        <row r="228">
          <cell r="Z228" t="b">
            <v>0</v>
          </cell>
          <cell r="AA228" t="b">
            <v>0</v>
          </cell>
          <cell r="AB228" t="b">
            <v>0</v>
          </cell>
          <cell r="AC228" t="b">
            <v>0</v>
          </cell>
          <cell r="AD228" t="b">
            <v>0</v>
          </cell>
        </row>
        <row r="229">
          <cell r="Z229" t="b">
            <v>0</v>
          </cell>
          <cell r="AA229" t="b">
            <v>0</v>
          </cell>
          <cell r="AB229" t="b">
            <v>0</v>
          </cell>
          <cell r="AC229" t="b">
            <v>0</v>
          </cell>
          <cell r="AD229" t="b">
            <v>0</v>
          </cell>
        </row>
        <row r="230">
          <cell r="Z230" t="b">
            <v>0</v>
          </cell>
          <cell r="AA230" t="b">
            <v>0</v>
          </cell>
          <cell r="AB230" t="b">
            <v>0</v>
          </cell>
          <cell r="AC230" t="b">
            <v>0</v>
          </cell>
          <cell r="AD230" t="b">
            <v>0</v>
          </cell>
        </row>
        <row r="231">
          <cell r="Z231" t="b">
            <v>0</v>
          </cell>
          <cell r="AA231" t="b">
            <v>0</v>
          </cell>
          <cell r="AB231" t="b">
            <v>0</v>
          </cell>
          <cell r="AC231" t="b">
            <v>0</v>
          </cell>
          <cell r="AD231" t="b">
            <v>0</v>
          </cell>
        </row>
        <row r="232">
          <cell r="Z232" t="b">
            <v>0</v>
          </cell>
          <cell r="AA232" t="b">
            <v>0</v>
          </cell>
          <cell r="AB232" t="b">
            <v>0</v>
          </cell>
          <cell r="AC232" t="b">
            <v>0</v>
          </cell>
          <cell r="AD232" t="b">
            <v>0</v>
          </cell>
        </row>
        <row r="233">
          <cell r="Z233" t="b">
            <v>0</v>
          </cell>
          <cell r="AA233" t="b">
            <v>0</v>
          </cell>
          <cell r="AB233" t="b">
            <v>0</v>
          </cell>
          <cell r="AC233" t="b">
            <v>0</v>
          </cell>
          <cell r="AD233" t="b">
            <v>0</v>
          </cell>
        </row>
        <row r="234">
          <cell r="Z234" t="b">
            <v>0</v>
          </cell>
          <cell r="AA234" t="b">
            <v>0</v>
          </cell>
          <cell r="AB234" t="b">
            <v>0</v>
          </cell>
          <cell r="AC234" t="b">
            <v>0</v>
          </cell>
          <cell r="AD234" t="b">
            <v>0</v>
          </cell>
        </row>
        <row r="235">
          <cell r="Z235" t="b">
            <v>0</v>
          </cell>
          <cell r="AA235" t="b">
            <v>0</v>
          </cell>
          <cell r="AB235" t="b">
            <v>0</v>
          </cell>
          <cell r="AC235" t="b">
            <v>0</v>
          </cell>
          <cell r="AD235" t="b">
            <v>0</v>
          </cell>
        </row>
        <row r="236">
          <cell r="Z236" t="b">
            <v>0</v>
          </cell>
          <cell r="AA236" t="b">
            <v>0</v>
          </cell>
          <cell r="AB236" t="b">
            <v>0</v>
          </cell>
          <cell r="AC236" t="b">
            <v>0</v>
          </cell>
          <cell r="AD236" t="b">
            <v>0</v>
          </cell>
        </row>
        <row r="237">
          <cell r="Z237" t="b">
            <v>0</v>
          </cell>
          <cell r="AA237" t="b">
            <v>0</v>
          </cell>
          <cell r="AB237" t="b">
            <v>0</v>
          </cell>
          <cell r="AC237" t="b">
            <v>0</v>
          </cell>
          <cell r="AD237" t="b">
            <v>0</v>
          </cell>
        </row>
        <row r="238">
          <cell r="Z238" t="b">
            <v>0</v>
          </cell>
          <cell r="AA238" t="b">
            <v>0</v>
          </cell>
          <cell r="AB238" t="b">
            <v>0</v>
          </cell>
          <cell r="AC238" t="b">
            <v>0</v>
          </cell>
          <cell r="AD238" t="b">
            <v>0</v>
          </cell>
        </row>
        <row r="239">
          <cell r="Z239" t="b">
            <v>0</v>
          </cell>
          <cell r="AA239" t="b">
            <v>0</v>
          </cell>
          <cell r="AB239" t="b">
            <v>0</v>
          </cell>
          <cell r="AC239" t="b">
            <v>0</v>
          </cell>
          <cell r="AD239" t="b">
            <v>0</v>
          </cell>
        </row>
        <row r="240">
          <cell r="Z240" t="b">
            <v>0</v>
          </cell>
          <cell r="AA240" t="b">
            <v>0</v>
          </cell>
          <cell r="AB240" t="b">
            <v>0</v>
          </cell>
          <cell r="AC240" t="b">
            <v>0</v>
          </cell>
          <cell r="AD240" t="b">
            <v>0</v>
          </cell>
        </row>
        <row r="241">
          <cell r="Z241" t="b">
            <v>0</v>
          </cell>
          <cell r="AA241" t="b">
            <v>0</v>
          </cell>
          <cell r="AB241" t="b">
            <v>0</v>
          </cell>
          <cell r="AC241" t="b">
            <v>0</v>
          </cell>
          <cell r="AD241" t="b">
            <v>0</v>
          </cell>
        </row>
        <row r="242">
          <cell r="Z242" t="b">
            <v>0</v>
          </cell>
          <cell r="AA242" t="b">
            <v>0</v>
          </cell>
          <cell r="AB242" t="b">
            <v>0</v>
          </cell>
          <cell r="AC242" t="b">
            <v>0</v>
          </cell>
          <cell r="AD242" t="b">
            <v>0</v>
          </cell>
        </row>
        <row r="243">
          <cell r="Z243" t="b">
            <v>0</v>
          </cell>
          <cell r="AA243" t="b">
            <v>0</v>
          </cell>
          <cell r="AB243" t="b">
            <v>0</v>
          </cell>
          <cell r="AC243" t="b">
            <v>0</v>
          </cell>
          <cell r="AD243" t="b">
            <v>0</v>
          </cell>
        </row>
        <row r="244">
          <cell r="Z244" t="b">
            <v>0</v>
          </cell>
          <cell r="AA244" t="b">
            <v>0</v>
          </cell>
          <cell r="AB244" t="b">
            <v>0</v>
          </cell>
          <cell r="AC244" t="b">
            <v>0</v>
          </cell>
          <cell r="AD244" t="b">
            <v>0</v>
          </cell>
        </row>
        <row r="245">
          <cell r="Z245" t="b">
            <v>0</v>
          </cell>
          <cell r="AA245" t="b">
            <v>0</v>
          </cell>
          <cell r="AB245" t="b">
            <v>0</v>
          </cell>
          <cell r="AC245" t="b">
            <v>0</v>
          </cell>
          <cell r="AD245" t="b">
            <v>0</v>
          </cell>
        </row>
        <row r="246">
          <cell r="Z246" t="b">
            <v>0</v>
          </cell>
          <cell r="AA246" t="b">
            <v>0</v>
          </cell>
          <cell r="AB246" t="b">
            <v>0</v>
          </cell>
          <cell r="AC246" t="b">
            <v>0</v>
          </cell>
          <cell r="AD246" t="b">
            <v>0</v>
          </cell>
        </row>
        <row r="247">
          <cell r="Z247" t="b">
            <v>0</v>
          </cell>
          <cell r="AA247" t="b">
            <v>0</v>
          </cell>
          <cell r="AB247" t="b">
            <v>0</v>
          </cell>
          <cell r="AC247" t="b">
            <v>0</v>
          </cell>
          <cell r="AD247" t="b">
            <v>0</v>
          </cell>
        </row>
        <row r="248">
          <cell r="Z248" t="b">
            <v>0</v>
          </cell>
          <cell r="AA248" t="b">
            <v>0</v>
          </cell>
          <cell r="AB248" t="b">
            <v>0</v>
          </cell>
          <cell r="AC248" t="b">
            <v>0</v>
          </cell>
          <cell r="AD248" t="b">
            <v>0</v>
          </cell>
        </row>
        <row r="249">
          <cell r="Z249" t="b">
            <v>0</v>
          </cell>
          <cell r="AA249" t="b">
            <v>0</v>
          </cell>
          <cell r="AB249" t="b">
            <v>0</v>
          </cell>
          <cell r="AC249" t="b">
            <v>0</v>
          </cell>
          <cell r="AD249" t="b">
            <v>0</v>
          </cell>
        </row>
        <row r="250">
          <cell r="Z250" t="b">
            <v>0</v>
          </cell>
          <cell r="AA250" t="b">
            <v>0</v>
          </cell>
          <cell r="AB250" t="b">
            <v>0</v>
          </cell>
          <cell r="AC250" t="b">
            <v>0</v>
          </cell>
          <cell r="AD250" t="b">
            <v>0</v>
          </cell>
        </row>
        <row r="251">
          <cell r="Z251" t="b">
            <v>0</v>
          </cell>
          <cell r="AA251" t="b">
            <v>0</v>
          </cell>
          <cell r="AB251" t="b">
            <v>0</v>
          </cell>
          <cell r="AC251" t="b">
            <v>0</v>
          </cell>
          <cell r="AD251" t="b">
            <v>0</v>
          </cell>
        </row>
        <row r="252">
          <cell r="Z252" t="b">
            <v>0</v>
          </cell>
          <cell r="AA252" t="b">
            <v>0</v>
          </cell>
          <cell r="AB252" t="b">
            <v>0</v>
          </cell>
          <cell r="AC252" t="b">
            <v>0</v>
          </cell>
          <cell r="AD252" t="b">
            <v>0</v>
          </cell>
        </row>
        <row r="253">
          <cell r="Z253" t="b">
            <v>0</v>
          </cell>
          <cell r="AA253" t="b">
            <v>0</v>
          </cell>
          <cell r="AB253" t="b">
            <v>0</v>
          </cell>
          <cell r="AC253" t="b">
            <v>0</v>
          </cell>
          <cell r="AD253" t="b">
            <v>0</v>
          </cell>
        </row>
        <row r="254">
          <cell r="Z254" t="b">
            <v>0</v>
          </cell>
          <cell r="AA254" t="b">
            <v>0</v>
          </cell>
          <cell r="AB254" t="b">
            <v>0</v>
          </cell>
          <cell r="AC254" t="b">
            <v>0</v>
          </cell>
          <cell r="AD254" t="b">
            <v>0</v>
          </cell>
        </row>
        <row r="255">
          <cell r="Z255" t="b">
            <v>0</v>
          </cell>
          <cell r="AA255" t="b">
            <v>0</v>
          </cell>
          <cell r="AB255" t="b">
            <v>0</v>
          </cell>
          <cell r="AC255" t="b">
            <v>0</v>
          </cell>
          <cell r="AD255" t="b">
            <v>0</v>
          </cell>
        </row>
        <row r="256">
          <cell r="Z256" t="b">
            <v>0</v>
          </cell>
          <cell r="AA256" t="b">
            <v>0</v>
          </cell>
          <cell r="AB256" t="b">
            <v>0</v>
          </cell>
          <cell r="AC256" t="b">
            <v>0</v>
          </cell>
          <cell r="AD256" t="b">
            <v>0</v>
          </cell>
        </row>
        <row r="257">
          <cell r="Z257" t="b">
            <v>0</v>
          </cell>
          <cell r="AA257" t="b">
            <v>0</v>
          </cell>
          <cell r="AB257" t="b">
            <v>0</v>
          </cell>
          <cell r="AC257" t="b">
            <v>0</v>
          </cell>
          <cell r="AD257" t="b">
            <v>0</v>
          </cell>
        </row>
        <row r="258">
          <cell r="Z258" t="b">
            <v>0</v>
          </cell>
          <cell r="AA258" t="b">
            <v>0</v>
          </cell>
          <cell r="AB258" t="b">
            <v>0</v>
          </cell>
          <cell r="AC258" t="b">
            <v>0</v>
          </cell>
          <cell r="AD258" t="b">
            <v>0</v>
          </cell>
        </row>
        <row r="259">
          <cell r="Z259" t="b">
            <v>0</v>
          </cell>
          <cell r="AA259" t="b">
            <v>0</v>
          </cell>
          <cell r="AB259" t="b">
            <v>0</v>
          </cell>
          <cell r="AC259" t="b">
            <v>0</v>
          </cell>
          <cell r="AD259" t="b">
            <v>0</v>
          </cell>
        </row>
        <row r="260">
          <cell r="Z260" t="b">
            <v>0</v>
          </cell>
          <cell r="AA260" t="b">
            <v>0</v>
          </cell>
          <cell r="AB260" t="b">
            <v>0</v>
          </cell>
          <cell r="AC260" t="b">
            <v>0</v>
          </cell>
          <cell r="AD260" t="b">
            <v>0</v>
          </cell>
        </row>
        <row r="261">
          <cell r="Z261" t="b">
            <v>0</v>
          </cell>
          <cell r="AA261" t="b">
            <v>0</v>
          </cell>
          <cell r="AB261" t="b">
            <v>0</v>
          </cell>
          <cell r="AC261" t="b">
            <v>0</v>
          </cell>
          <cell r="AD261" t="b">
            <v>0</v>
          </cell>
        </row>
        <row r="262">
          <cell r="Z262" t="b">
            <v>0</v>
          </cell>
          <cell r="AA262" t="b">
            <v>0</v>
          </cell>
          <cell r="AB262" t="b">
            <v>0</v>
          </cell>
          <cell r="AC262" t="b">
            <v>0</v>
          </cell>
          <cell r="AD262" t="b">
            <v>0</v>
          </cell>
        </row>
        <row r="263">
          <cell r="Z263" t="b">
            <v>0</v>
          </cell>
          <cell r="AA263" t="b">
            <v>0</v>
          </cell>
          <cell r="AB263" t="b">
            <v>0</v>
          </cell>
          <cell r="AC263" t="b">
            <v>0</v>
          </cell>
          <cell r="AD263" t="b">
            <v>0</v>
          </cell>
        </row>
        <row r="264">
          <cell r="Z264" t="b">
            <v>0</v>
          </cell>
          <cell r="AA264" t="b">
            <v>0</v>
          </cell>
          <cell r="AB264" t="b">
            <v>0</v>
          </cell>
          <cell r="AC264" t="b">
            <v>0</v>
          </cell>
          <cell r="AD264" t="b">
            <v>0</v>
          </cell>
        </row>
        <row r="265">
          <cell r="Z265" t="b">
            <v>0</v>
          </cell>
          <cell r="AA265" t="b">
            <v>0</v>
          </cell>
          <cell r="AB265" t="b">
            <v>0</v>
          </cell>
          <cell r="AC265" t="b">
            <v>0</v>
          </cell>
          <cell r="AD265" t="b">
            <v>0</v>
          </cell>
        </row>
        <row r="266">
          <cell r="Z266" t="b">
            <v>0</v>
          </cell>
          <cell r="AA266" t="b">
            <v>0</v>
          </cell>
          <cell r="AB266" t="b">
            <v>0</v>
          </cell>
          <cell r="AC266" t="b">
            <v>0</v>
          </cell>
          <cell r="AD266" t="b">
            <v>0</v>
          </cell>
        </row>
        <row r="267">
          <cell r="Z267" t="b">
            <v>0</v>
          </cell>
          <cell r="AA267" t="b">
            <v>0</v>
          </cell>
          <cell r="AB267" t="b">
            <v>0</v>
          </cell>
          <cell r="AC267" t="b">
            <v>0</v>
          </cell>
          <cell r="AD267" t="b">
            <v>0</v>
          </cell>
        </row>
        <row r="268">
          <cell r="Z268" t="b">
            <v>0</v>
          </cell>
          <cell r="AA268" t="b">
            <v>0</v>
          </cell>
          <cell r="AB268" t="b">
            <v>0</v>
          </cell>
          <cell r="AC268" t="b">
            <v>0</v>
          </cell>
          <cell r="AD268" t="b">
            <v>0</v>
          </cell>
        </row>
        <row r="269">
          <cell r="Z269" t="b">
            <v>0</v>
          </cell>
          <cell r="AA269" t="b">
            <v>0</v>
          </cell>
          <cell r="AB269" t="b">
            <v>0</v>
          </cell>
          <cell r="AC269" t="b">
            <v>0</v>
          </cell>
          <cell r="AD269" t="b">
            <v>0</v>
          </cell>
        </row>
        <row r="270">
          <cell r="Z270" t="b">
            <v>0</v>
          </cell>
          <cell r="AA270" t="b">
            <v>0</v>
          </cell>
          <cell r="AB270" t="b">
            <v>0</v>
          </cell>
          <cell r="AC270" t="b">
            <v>0</v>
          </cell>
          <cell r="AD270" t="b">
            <v>0</v>
          </cell>
        </row>
        <row r="271">
          <cell r="Z271" t="b">
            <v>0</v>
          </cell>
          <cell r="AA271" t="b">
            <v>0</v>
          </cell>
          <cell r="AB271" t="b">
            <v>0</v>
          </cell>
          <cell r="AC271" t="b">
            <v>0</v>
          </cell>
          <cell r="AD271" t="b">
            <v>0</v>
          </cell>
        </row>
        <row r="272">
          <cell r="Z272" t="b">
            <v>0</v>
          </cell>
          <cell r="AA272" t="b">
            <v>0</v>
          </cell>
          <cell r="AB272" t="b">
            <v>0</v>
          </cell>
          <cell r="AC272" t="b">
            <v>0</v>
          </cell>
          <cell r="AD272" t="b">
            <v>0</v>
          </cell>
        </row>
        <row r="273">
          <cell r="Z273" t="b">
            <v>0</v>
          </cell>
          <cell r="AA273" t="b">
            <v>0</v>
          </cell>
          <cell r="AB273" t="b">
            <v>0</v>
          </cell>
          <cell r="AC273" t="b">
            <v>0</v>
          </cell>
          <cell r="AD273" t="b">
            <v>0</v>
          </cell>
        </row>
        <row r="274">
          <cell r="Z274" t="b">
            <v>0</v>
          </cell>
          <cell r="AA274" t="b">
            <v>0</v>
          </cell>
          <cell r="AB274" t="b">
            <v>0</v>
          </cell>
          <cell r="AC274" t="b">
            <v>0</v>
          </cell>
          <cell r="AD274" t="b">
            <v>0</v>
          </cell>
        </row>
        <row r="275">
          <cell r="Z275" t="b">
            <v>0</v>
          </cell>
          <cell r="AA275" t="b">
            <v>0</v>
          </cell>
          <cell r="AB275" t="b">
            <v>0</v>
          </cell>
          <cell r="AC275" t="b">
            <v>0</v>
          </cell>
          <cell r="AD275" t="b">
            <v>0</v>
          </cell>
        </row>
        <row r="276">
          <cell r="Z276" t="b">
            <v>0</v>
          </cell>
          <cell r="AA276" t="b">
            <v>0</v>
          </cell>
          <cell r="AB276" t="b">
            <v>0</v>
          </cell>
          <cell r="AC276" t="b">
            <v>0</v>
          </cell>
          <cell r="AD276" t="b">
            <v>0</v>
          </cell>
        </row>
        <row r="277">
          <cell r="Z277" t="b">
            <v>0</v>
          </cell>
          <cell r="AA277" t="b">
            <v>0</v>
          </cell>
          <cell r="AB277" t="b">
            <v>0</v>
          </cell>
          <cell r="AC277" t="b">
            <v>0</v>
          </cell>
          <cell r="AD277" t="b">
            <v>0</v>
          </cell>
        </row>
        <row r="278">
          <cell r="Z278" t="b">
            <v>0</v>
          </cell>
          <cell r="AA278" t="b">
            <v>0</v>
          </cell>
          <cell r="AB278" t="b">
            <v>0</v>
          </cell>
          <cell r="AC278" t="b">
            <v>0</v>
          </cell>
          <cell r="AD278" t="b">
            <v>0</v>
          </cell>
        </row>
        <row r="279">
          <cell r="Z279" t="b">
            <v>0</v>
          </cell>
          <cell r="AA279" t="b">
            <v>0</v>
          </cell>
          <cell r="AB279" t="b">
            <v>0</v>
          </cell>
          <cell r="AC279" t="b">
            <v>0</v>
          </cell>
          <cell r="AD279" t="b">
            <v>0</v>
          </cell>
        </row>
        <row r="280">
          <cell r="Z280" t="b">
            <v>0</v>
          </cell>
          <cell r="AA280" t="b">
            <v>0</v>
          </cell>
          <cell r="AB280" t="b">
            <v>0</v>
          </cell>
          <cell r="AC280" t="b">
            <v>0</v>
          </cell>
          <cell r="AD280" t="b">
            <v>0</v>
          </cell>
        </row>
        <row r="281">
          <cell r="Z281" t="b">
            <v>0</v>
          </cell>
          <cell r="AA281" t="b">
            <v>0</v>
          </cell>
          <cell r="AB281" t="b">
            <v>0</v>
          </cell>
          <cell r="AC281" t="b">
            <v>0</v>
          </cell>
          <cell r="AD281" t="b">
            <v>0</v>
          </cell>
        </row>
        <row r="282">
          <cell r="Z282" t="b">
            <v>0</v>
          </cell>
          <cell r="AA282" t="b">
            <v>0</v>
          </cell>
          <cell r="AB282" t="b">
            <v>0</v>
          </cell>
          <cell r="AC282" t="b">
            <v>0</v>
          </cell>
          <cell r="AD282" t="b">
            <v>0</v>
          </cell>
        </row>
        <row r="283">
          <cell r="Z283" t="b">
            <v>0</v>
          </cell>
          <cell r="AA283" t="b">
            <v>0</v>
          </cell>
          <cell r="AB283" t="b">
            <v>0</v>
          </cell>
          <cell r="AC283" t="b">
            <v>0</v>
          </cell>
          <cell r="AD283" t="b">
            <v>0</v>
          </cell>
        </row>
        <row r="284">
          <cell r="Z284" t="b">
            <v>0</v>
          </cell>
          <cell r="AA284" t="b">
            <v>0</v>
          </cell>
          <cell r="AB284" t="b">
            <v>0</v>
          </cell>
          <cell r="AC284" t="b">
            <v>0</v>
          </cell>
          <cell r="AD284" t="b">
            <v>0</v>
          </cell>
        </row>
        <row r="285">
          <cell r="Z285" t="b">
            <v>0</v>
          </cell>
          <cell r="AA285" t="b">
            <v>0</v>
          </cell>
          <cell r="AB285" t="b">
            <v>0</v>
          </cell>
          <cell r="AC285" t="b">
            <v>0</v>
          </cell>
          <cell r="AD285" t="b">
            <v>0</v>
          </cell>
        </row>
        <row r="286">
          <cell r="Z286" t="b">
            <v>0</v>
          </cell>
          <cell r="AA286" t="b">
            <v>0</v>
          </cell>
          <cell r="AB286" t="b">
            <v>0</v>
          </cell>
          <cell r="AC286" t="b">
            <v>0</v>
          </cell>
          <cell r="AD286" t="b">
            <v>0</v>
          </cell>
        </row>
        <row r="287">
          <cell r="Z287" t="b">
            <v>0</v>
          </cell>
          <cell r="AA287" t="b">
            <v>0</v>
          </cell>
          <cell r="AB287" t="b">
            <v>0</v>
          </cell>
          <cell r="AC287" t="b">
            <v>0</v>
          </cell>
          <cell r="AD287" t="b">
            <v>0</v>
          </cell>
        </row>
        <row r="288">
          <cell r="Z288" t="b">
            <v>0</v>
          </cell>
          <cell r="AA288" t="b">
            <v>0</v>
          </cell>
          <cell r="AB288" t="b">
            <v>0</v>
          </cell>
          <cell r="AC288" t="b">
            <v>0</v>
          </cell>
          <cell r="AD288" t="b">
            <v>0</v>
          </cell>
        </row>
        <row r="289">
          <cell r="Z289" t="b">
            <v>0</v>
          </cell>
          <cell r="AA289" t="b">
            <v>0</v>
          </cell>
          <cell r="AB289" t="b">
            <v>0</v>
          </cell>
          <cell r="AC289" t="b">
            <v>0</v>
          </cell>
          <cell r="AD289" t="b">
            <v>0</v>
          </cell>
        </row>
        <row r="290">
          <cell r="Z290" t="b">
            <v>0</v>
          </cell>
          <cell r="AA290" t="b">
            <v>0</v>
          </cell>
          <cell r="AB290" t="b">
            <v>0</v>
          </cell>
          <cell r="AC290" t="b">
            <v>0</v>
          </cell>
          <cell r="AD290" t="b">
            <v>0</v>
          </cell>
        </row>
        <row r="291">
          <cell r="Z291" t="b">
            <v>0</v>
          </cell>
          <cell r="AA291" t="b">
            <v>0</v>
          </cell>
          <cell r="AB291" t="b">
            <v>0</v>
          </cell>
          <cell r="AC291" t="b">
            <v>0</v>
          </cell>
          <cell r="AD291" t="b">
            <v>0</v>
          </cell>
        </row>
        <row r="292">
          <cell r="Z292" t="b">
            <v>0</v>
          </cell>
          <cell r="AA292" t="b">
            <v>0</v>
          </cell>
          <cell r="AB292" t="b">
            <v>0</v>
          </cell>
          <cell r="AC292" t="b">
            <v>0</v>
          </cell>
          <cell r="AD292" t="b">
            <v>0</v>
          </cell>
        </row>
        <row r="293">
          <cell r="Z293" t="b">
            <v>0</v>
          </cell>
          <cell r="AA293" t="b">
            <v>0</v>
          </cell>
          <cell r="AB293" t="b">
            <v>0</v>
          </cell>
          <cell r="AC293" t="b">
            <v>0</v>
          </cell>
          <cell r="AD293" t="b">
            <v>0</v>
          </cell>
        </row>
        <row r="294">
          <cell r="Z294" t="b">
            <v>0</v>
          </cell>
          <cell r="AA294" t="b">
            <v>0</v>
          </cell>
          <cell r="AB294" t="b">
            <v>0</v>
          </cell>
          <cell r="AC294" t="b">
            <v>0</v>
          </cell>
          <cell r="AD294" t="b">
            <v>0</v>
          </cell>
        </row>
        <row r="295">
          <cell r="Z295" t="b">
            <v>0</v>
          </cell>
          <cell r="AA295" t="b">
            <v>0</v>
          </cell>
          <cell r="AB295" t="b">
            <v>0</v>
          </cell>
          <cell r="AC295" t="b">
            <v>0</v>
          </cell>
          <cell r="AD295" t="b">
            <v>0</v>
          </cell>
        </row>
        <row r="296">
          <cell r="Z296" t="b">
            <v>0</v>
          </cell>
          <cell r="AA296" t="b">
            <v>0</v>
          </cell>
          <cell r="AB296" t="b">
            <v>0</v>
          </cell>
          <cell r="AC296" t="b">
            <v>0</v>
          </cell>
          <cell r="AD296" t="b">
            <v>0</v>
          </cell>
        </row>
        <row r="297">
          <cell r="Z297" t="b">
            <v>0</v>
          </cell>
          <cell r="AA297" t="b">
            <v>0</v>
          </cell>
          <cell r="AB297" t="b">
            <v>0</v>
          </cell>
          <cell r="AC297" t="b">
            <v>0</v>
          </cell>
          <cell r="AD297" t="b">
            <v>0</v>
          </cell>
        </row>
        <row r="298">
          <cell r="Z298" t="b">
            <v>0</v>
          </cell>
          <cell r="AA298" t="b">
            <v>0</v>
          </cell>
          <cell r="AB298" t="b">
            <v>0</v>
          </cell>
          <cell r="AC298" t="b">
            <v>0</v>
          </cell>
          <cell r="AD298" t="b">
            <v>0</v>
          </cell>
        </row>
        <row r="299">
          <cell r="Z299" t="b">
            <v>0</v>
          </cell>
          <cell r="AA299" t="b">
            <v>0</v>
          </cell>
          <cell r="AB299" t="b">
            <v>0</v>
          </cell>
          <cell r="AC299" t="b">
            <v>0</v>
          </cell>
          <cell r="AD299" t="b">
            <v>0</v>
          </cell>
        </row>
        <row r="300">
          <cell r="Z300" t="b">
            <v>0</v>
          </cell>
          <cell r="AA300" t="b">
            <v>0</v>
          </cell>
          <cell r="AB300" t="b">
            <v>0</v>
          </cell>
          <cell r="AC300" t="b">
            <v>0</v>
          </cell>
          <cell r="AD300" t="b">
            <v>0</v>
          </cell>
        </row>
        <row r="301">
          <cell r="Z301" t="b">
            <v>0</v>
          </cell>
          <cell r="AA301" t="b">
            <v>0</v>
          </cell>
          <cell r="AB301" t="b">
            <v>0</v>
          </cell>
          <cell r="AC301" t="b">
            <v>0</v>
          </cell>
          <cell r="AD301" t="b">
            <v>0</v>
          </cell>
        </row>
        <row r="302">
          <cell r="Z302" t="b">
            <v>0</v>
          </cell>
          <cell r="AA302" t="b">
            <v>0</v>
          </cell>
          <cell r="AB302" t="b">
            <v>0</v>
          </cell>
          <cell r="AC302" t="b">
            <v>0</v>
          </cell>
          <cell r="AD302" t="b">
            <v>0</v>
          </cell>
        </row>
        <row r="303">
          <cell r="Z303" t="b">
            <v>0</v>
          </cell>
          <cell r="AA303" t="b">
            <v>0</v>
          </cell>
          <cell r="AB303" t="b">
            <v>0</v>
          </cell>
          <cell r="AC303" t="b">
            <v>0</v>
          </cell>
          <cell r="AD303" t="b">
            <v>0</v>
          </cell>
        </row>
        <row r="304">
          <cell r="Z304" t="b">
            <v>0</v>
          </cell>
          <cell r="AA304" t="b">
            <v>0</v>
          </cell>
          <cell r="AB304" t="b">
            <v>0</v>
          </cell>
          <cell r="AC304" t="b">
            <v>0</v>
          </cell>
          <cell r="AD304" t="b">
            <v>0</v>
          </cell>
        </row>
        <row r="305">
          <cell r="Z305" t="b">
            <v>0</v>
          </cell>
          <cell r="AA305" t="b">
            <v>0</v>
          </cell>
          <cell r="AB305" t="b">
            <v>0</v>
          </cell>
          <cell r="AC305" t="b">
            <v>0</v>
          </cell>
          <cell r="AD305" t="b">
            <v>0</v>
          </cell>
        </row>
        <row r="306">
          <cell r="Z306" t="b">
            <v>0</v>
          </cell>
          <cell r="AA306" t="b">
            <v>0</v>
          </cell>
          <cell r="AB306" t="b">
            <v>0</v>
          </cell>
          <cell r="AC306" t="b">
            <v>0</v>
          </cell>
          <cell r="AD306" t="b">
            <v>0</v>
          </cell>
        </row>
        <row r="307">
          <cell r="Z307" t="b">
            <v>0</v>
          </cell>
          <cell r="AA307" t="b">
            <v>0</v>
          </cell>
          <cell r="AB307" t="b">
            <v>0</v>
          </cell>
          <cell r="AC307" t="b">
            <v>0</v>
          </cell>
          <cell r="AD307" t="b">
            <v>0</v>
          </cell>
        </row>
        <row r="308">
          <cell r="Z308" t="b">
            <v>0</v>
          </cell>
          <cell r="AA308" t="b">
            <v>0</v>
          </cell>
          <cell r="AB308" t="b">
            <v>0</v>
          </cell>
          <cell r="AC308" t="b">
            <v>0</v>
          </cell>
          <cell r="AD308" t="b">
            <v>0</v>
          </cell>
        </row>
        <row r="309">
          <cell r="Z309" t="b">
            <v>0</v>
          </cell>
          <cell r="AA309" t="b">
            <v>0</v>
          </cell>
          <cell r="AB309" t="b">
            <v>0</v>
          </cell>
          <cell r="AC309" t="b">
            <v>0</v>
          </cell>
          <cell r="AD309" t="b">
            <v>0</v>
          </cell>
        </row>
        <row r="310">
          <cell r="Z310" t="b">
            <v>0</v>
          </cell>
          <cell r="AA310" t="b">
            <v>0</v>
          </cell>
          <cell r="AB310" t="b">
            <v>0</v>
          </cell>
          <cell r="AC310" t="b">
            <v>0</v>
          </cell>
          <cell r="AD310" t="b">
            <v>0</v>
          </cell>
        </row>
        <row r="311">
          <cell r="Z311" t="b">
            <v>0</v>
          </cell>
          <cell r="AA311" t="b">
            <v>0</v>
          </cell>
          <cell r="AB311" t="b">
            <v>0</v>
          </cell>
          <cell r="AC311" t="b">
            <v>0</v>
          </cell>
          <cell r="AD311" t="b">
            <v>0</v>
          </cell>
        </row>
        <row r="312">
          <cell r="Z312" t="b">
            <v>0</v>
          </cell>
          <cell r="AA312" t="b">
            <v>0</v>
          </cell>
          <cell r="AB312" t="b">
            <v>0</v>
          </cell>
          <cell r="AC312" t="b">
            <v>0</v>
          </cell>
          <cell r="AD312" t="b">
            <v>0</v>
          </cell>
        </row>
        <row r="313">
          <cell r="Z313" t="b">
            <v>0</v>
          </cell>
          <cell r="AA313" t="b">
            <v>0</v>
          </cell>
          <cell r="AB313" t="b">
            <v>0</v>
          </cell>
          <cell r="AC313" t="b">
            <v>0</v>
          </cell>
          <cell r="AD313" t="b">
            <v>0</v>
          </cell>
        </row>
        <row r="314">
          <cell r="Z314" t="b">
            <v>0</v>
          </cell>
          <cell r="AA314" t="b">
            <v>0</v>
          </cell>
          <cell r="AB314" t="b">
            <v>0</v>
          </cell>
          <cell r="AC314" t="b">
            <v>0</v>
          </cell>
          <cell r="AD314" t="b">
            <v>0</v>
          </cell>
        </row>
        <row r="315">
          <cell r="Z315" t="b">
            <v>0</v>
          </cell>
          <cell r="AA315" t="b">
            <v>0</v>
          </cell>
          <cell r="AB315" t="b">
            <v>0</v>
          </cell>
          <cell r="AC315" t="b">
            <v>0</v>
          </cell>
          <cell r="AD315" t="b">
            <v>0</v>
          </cell>
        </row>
        <row r="316">
          <cell r="Z316" t="b">
            <v>0</v>
          </cell>
          <cell r="AA316" t="b">
            <v>0</v>
          </cell>
          <cell r="AB316" t="b">
            <v>0</v>
          </cell>
          <cell r="AC316" t="b">
            <v>0</v>
          </cell>
          <cell r="AD316" t="b">
            <v>0</v>
          </cell>
        </row>
        <row r="317">
          <cell r="Z317" t="b">
            <v>0</v>
          </cell>
          <cell r="AA317" t="b">
            <v>0</v>
          </cell>
          <cell r="AB317" t="b">
            <v>0</v>
          </cell>
          <cell r="AC317" t="b">
            <v>0</v>
          </cell>
          <cell r="AD317" t="b">
            <v>0</v>
          </cell>
        </row>
        <row r="318">
          <cell r="Z318" t="b">
            <v>0</v>
          </cell>
          <cell r="AA318" t="b">
            <v>0</v>
          </cell>
          <cell r="AB318" t="b">
            <v>0</v>
          </cell>
          <cell r="AC318" t="b">
            <v>0</v>
          </cell>
          <cell r="AD318" t="b">
            <v>0</v>
          </cell>
        </row>
        <row r="319">
          <cell r="Z319" t="b">
            <v>0</v>
          </cell>
          <cell r="AA319" t="b">
            <v>0</v>
          </cell>
          <cell r="AB319" t="b">
            <v>0</v>
          </cell>
          <cell r="AC319" t="b">
            <v>0</v>
          </cell>
          <cell r="AD319" t="b">
            <v>0</v>
          </cell>
        </row>
        <row r="320">
          <cell r="Z320" t="b">
            <v>0</v>
          </cell>
          <cell r="AA320" t="b">
            <v>0</v>
          </cell>
          <cell r="AB320" t="b">
            <v>0</v>
          </cell>
          <cell r="AC320" t="b">
            <v>0</v>
          </cell>
          <cell r="AD320" t="b">
            <v>0</v>
          </cell>
        </row>
        <row r="321">
          <cell r="Z321" t="b">
            <v>0</v>
          </cell>
          <cell r="AA321" t="b">
            <v>0</v>
          </cell>
          <cell r="AB321" t="b">
            <v>0</v>
          </cell>
          <cell r="AC321" t="b">
            <v>0</v>
          </cell>
          <cell r="AD321" t="b">
            <v>0</v>
          </cell>
        </row>
        <row r="322">
          <cell r="Z322" t="b">
            <v>0</v>
          </cell>
          <cell r="AA322" t="b">
            <v>0</v>
          </cell>
          <cell r="AB322" t="b">
            <v>0</v>
          </cell>
          <cell r="AC322" t="b">
            <v>0</v>
          </cell>
          <cell r="AD322" t="b">
            <v>0</v>
          </cell>
        </row>
        <row r="323">
          <cell r="Z323" t="b">
            <v>0</v>
          </cell>
          <cell r="AA323" t="b">
            <v>0</v>
          </cell>
          <cell r="AB323" t="b">
            <v>0</v>
          </cell>
          <cell r="AC323" t="b">
            <v>0</v>
          </cell>
          <cell r="AD323" t="b">
            <v>0</v>
          </cell>
        </row>
        <row r="324">
          <cell r="Z324" t="b">
            <v>0</v>
          </cell>
          <cell r="AA324" t="b">
            <v>0</v>
          </cell>
          <cell r="AB324" t="b">
            <v>0</v>
          </cell>
          <cell r="AC324" t="b">
            <v>0</v>
          </cell>
          <cell r="AD324" t="b">
            <v>0</v>
          </cell>
        </row>
        <row r="325">
          <cell r="Z325" t="b">
            <v>0</v>
          </cell>
          <cell r="AA325" t="b">
            <v>0</v>
          </cell>
          <cell r="AB325" t="b">
            <v>0</v>
          </cell>
          <cell r="AC325" t="b">
            <v>0</v>
          </cell>
          <cell r="AD325" t="b">
            <v>0</v>
          </cell>
        </row>
        <row r="326">
          <cell r="Z326" t="b">
            <v>0</v>
          </cell>
          <cell r="AA326" t="b">
            <v>0</v>
          </cell>
          <cell r="AB326" t="b">
            <v>0</v>
          </cell>
          <cell r="AC326" t="b">
            <v>0</v>
          </cell>
          <cell r="AD326" t="b">
            <v>0</v>
          </cell>
        </row>
        <row r="327">
          <cell r="Z327" t="b">
            <v>0</v>
          </cell>
          <cell r="AA327" t="b">
            <v>0</v>
          </cell>
          <cell r="AB327" t="b">
            <v>0</v>
          </cell>
          <cell r="AC327" t="b">
            <v>0</v>
          </cell>
          <cell r="AD327" t="b">
            <v>0</v>
          </cell>
        </row>
        <row r="328">
          <cell r="Z328" t="b">
            <v>0</v>
          </cell>
          <cell r="AA328" t="b">
            <v>0</v>
          </cell>
          <cell r="AB328" t="b">
            <v>0</v>
          </cell>
          <cell r="AC328" t="b">
            <v>0</v>
          </cell>
          <cell r="AD328" t="b">
            <v>0</v>
          </cell>
        </row>
        <row r="329">
          <cell r="Z329" t="b">
            <v>0</v>
          </cell>
          <cell r="AA329" t="b">
            <v>0</v>
          </cell>
          <cell r="AB329" t="b">
            <v>0</v>
          </cell>
          <cell r="AC329" t="b">
            <v>0</v>
          </cell>
          <cell r="AD329" t="b">
            <v>0</v>
          </cell>
        </row>
        <row r="330">
          <cell r="Z330" t="b">
            <v>0</v>
          </cell>
          <cell r="AA330" t="b">
            <v>0</v>
          </cell>
          <cell r="AB330" t="b">
            <v>0</v>
          </cell>
          <cell r="AC330" t="b">
            <v>0</v>
          </cell>
          <cell r="AD330" t="b">
            <v>0</v>
          </cell>
        </row>
        <row r="331">
          <cell r="Z331" t="b">
            <v>0</v>
          </cell>
          <cell r="AA331" t="b">
            <v>0</v>
          </cell>
          <cell r="AB331" t="b">
            <v>0</v>
          </cell>
          <cell r="AC331" t="b">
            <v>0</v>
          </cell>
          <cell r="AD331" t="b">
            <v>0</v>
          </cell>
        </row>
        <row r="332">
          <cell r="Z332" t="b">
            <v>0</v>
          </cell>
          <cell r="AA332" t="b">
            <v>0</v>
          </cell>
          <cell r="AB332" t="b">
            <v>0</v>
          </cell>
          <cell r="AC332" t="b">
            <v>0</v>
          </cell>
          <cell r="AD332" t="b">
            <v>0</v>
          </cell>
        </row>
        <row r="333">
          <cell r="Z333" t="b">
            <v>0</v>
          </cell>
          <cell r="AA333" t="b">
            <v>0</v>
          </cell>
          <cell r="AB333" t="b">
            <v>0</v>
          </cell>
          <cell r="AC333" t="b">
            <v>0</v>
          </cell>
          <cell r="AD333" t="b">
            <v>0</v>
          </cell>
        </row>
        <row r="334">
          <cell r="Z334" t="b">
            <v>0</v>
          </cell>
          <cell r="AA334" t="b">
            <v>0</v>
          </cell>
          <cell r="AB334" t="b">
            <v>0</v>
          </cell>
          <cell r="AC334" t="b">
            <v>0</v>
          </cell>
          <cell r="AD334" t="b">
            <v>0</v>
          </cell>
        </row>
        <row r="335">
          <cell r="Z335" t="b">
            <v>0</v>
          </cell>
          <cell r="AA335" t="b">
            <v>0</v>
          </cell>
          <cell r="AB335" t="b">
            <v>0</v>
          </cell>
          <cell r="AC335" t="b">
            <v>0</v>
          </cell>
          <cell r="AD335" t="b">
            <v>0</v>
          </cell>
        </row>
        <row r="336">
          <cell r="Z336" t="b">
            <v>0</v>
          </cell>
          <cell r="AA336" t="b">
            <v>0</v>
          </cell>
          <cell r="AB336" t="b">
            <v>0</v>
          </cell>
          <cell r="AC336" t="b">
            <v>0</v>
          </cell>
          <cell r="AD336" t="b">
            <v>0</v>
          </cell>
        </row>
        <row r="337">
          <cell r="Z337" t="b">
            <v>0</v>
          </cell>
          <cell r="AA337" t="b">
            <v>0</v>
          </cell>
          <cell r="AB337" t="b">
            <v>0</v>
          </cell>
          <cell r="AC337" t="b">
            <v>0</v>
          </cell>
          <cell r="AD337" t="b">
            <v>0</v>
          </cell>
        </row>
        <row r="338">
          <cell r="Z338" t="b">
            <v>0</v>
          </cell>
          <cell r="AA338" t="b">
            <v>0</v>
          </cell>
          <cell r="AB338" t="b">
            <v>0</v>
          </cell>
          <cell r="AC338" t="b">
            <v>0</v>
          </cell>
          <cell r="AD338" t="b">
            <v>0</v>
          </cell>
        </row>
        <row r="339">
          <cell r="Z339" t="b">
            <v>0</v>
          </cell>
          <cell r="AA339" t="b">
            <v>0</v>
          </cell>
          <cell r="AB339" t="b">
            <v>0</v>
          </cell>
          <cell r="AC339" t="b">
            <v>0</v>
          </cell>
          <cell r="AD339" t="b">
            <v>0</v>
          </cell>
        </row>
        <row r="340">
          <cell r="Z340" t="b">
            <v>0</v>
          </cell>
          <cell r="AA340" t="b">
            <v>0</v>
          </cell>
          <cell r="AB340" t="b">
            <v>0</v>
          </cell>
          <cell r="AC340" t="b">
            <v>0</v>
          </cell>
          <cell r="AD340" t="b">
            <v>0</v>
          </cell>
        </row>
        <row r="341">
          <cell r="Z341" t="b">
            <v>0</v>
          </cell>
          <cell r="AA341" t="b">
            <v>0</v>
          </cell>
          <cell r="AB341" t="b">
            <v>0</v>
          </cell>
          <cell r="AC341" t="b">
            <v>0</v>
          </cell>
          <cell r="AD341" t="b">
            <v>0</v>
          </cell>
        </row>
        <row r="342">
          <cell r="Z342" t="b">
            <v>0</v>
          </cell>
          <cell r="AA342" t="b">
            <v>0</v>
          </cell>
          <cell r="AB342" t="b">
            <v>0</v>
          </cell>
          <cell r="AC342" t="b">
            <v>0</v>
          </cell>
          <cell r="AD342" t="b">
            <v>0</v>
          </cell>
        </row>
        <row r="343">
          <cell r="Z343" t="b">
            <v>0</v>
          </cell>
          <cell r="AA343" t="b">
            <v>0</v>
          </cell>
          <cell r="AB343" t="b">
            <v>0</v>
          </cell>
          <cell r="AC343" t="b">
            <v>0</v>
          </cell>
          <cell r="AD343" t="b">
            <v>0</v>
          </cell>
        </row>
        <row r="344">
          <cell r="Z344" t="b">
            <v>0</v>
          </cell>
          <cell r="AA344" t="b">
            <v>0</v>
          </cell>
          <cell r="AB344" t="b">
            <v>0</v>
          </cell>
          <cell r="AC344" t="b">
            <v>0</v>
          </cell>
          <cell r="AD344" t="b">
            <v>0</v>
          </cell>
        </row>
        <row r="345">
          <cell r="Z345" t="b">
            <v>0</v>
          </cell>
          <cell r="AA345" t="b">
            <v>0</v>
          </cell>
          <cell r="AB345" t="b">
            <v>0</v>
          </cell>
          <cell r="AC345" t="b">
            <v>0</v>
          </cell>
          <cell r="AD345" t="b">
            <v>0</v>
          </cell>
        </row>
        <row r="346">
          <cell r="Z346" t="b">
            <v>0</v>
          </cell>
          <cell r="AA346" t="b">
            <v>0</v>
          </cell>
          <cell r="AB346" t="b">
            <v>0</v>
          </cell>
          <cell r="AC346" t="b">
            <v>0</v>
          </cell>
          <cell r="AD346" t="b">
            <v>0</v>
          </cell>
        </row>
        <row r="347">
          <cell r="Z347" t="b">
            <v>0</v>
          </cell>
          <cell r="AA347" t="b">
            <v>0</v>
          </cell>
          <cell r="AB347" t="b">
            <v>0</v>
          </cell>
          <cell r="AC347" t="b">
            <v>0</v>
          </cell>
          <cell r="AD347" t="b">
            <v>0</v>
          </cell>
        </row>
        <row r="348">
          <cell r="Z348" t="b">
            <v>0</v>
          </cell>
          <cell r="AA348" t="b">
            <v>0</v>
          </cell>
          <cell r="AB348" t="b">
            <v>0</v>
          </cell>
          <cell r="AC348" t="b">
            <v>0</v>
          </cell>
          <cell r="AD348" t="b">
            <v>0</v>
          </cell>
        </row>
        <row r="349">
          <cell r="Z349" t="b">
            <v>0</v>
          </cell>
          <cell r="AA349" t="b">
            <v>0</v>
          </cell>
          <cell r="AB349" t="b">
            <v>0</v>
          </cell>
          <cell r="AC349" t="b">
            <v>0</v>
          </cell>
          <cell r="AD349" t="b">
            <v>0</v>
          </cell>
        </row>
        <row r="350">
          <cell r="Z350" t="b">
            <v>0</v>
          </cell>
          <cell r="AA350" t="b">
            <v>0</v>
          </cell>
          <cell r="AB350" t="b">
            <v>0</v>
          </cell>
          <cell r="AC350" t="b">
            <v>0</v>
          </cell>
          <cell r="AD350" t="b">
            <v>0</v>
          </cell>
        </row>
        <row r="351">
          <cell r="Z351" t="b">
            <v>0</v>
          </cell>
          <cell r="AA351" t="b">
            <v>0</v>
          </cell>
          <cell r="AB351" t="b">
            <v>0</v>
          </cell>
          <cell r="AC351" t="b">
            <v>0</v>
          </cell>
          <cell r="AD351" t="b">
            <v>0</v>
          </cell>
        </row>
        <row r="352">
          <cell r="Z352" t="b">
            <v>0</v>
          </cell>
          <cell r="AA352" t="b">
            <v>0</v>
          </cell>
          <cell r="AB352" t="b">
            <v>0</v>
          </cell>
          <cell r="AC352" t="b">
            <v>0</v>
          </cell>
          <cell r="AD352" t="b">
            <v>0</v>
          </cell>
        </row>
        <row r="353">
          <cell r="Z353" t="b">
            <v>0</v>
          </cell>
          <cell r="AA353" t="b">
            <v>0</v>
          </cell>
          <cell r="AB353" t="b">
            <v>0</v>
          </cell>
          <cell r="AC353" t="b">
            <v>0</v>
          </cell>
          <cell r="AD353" t="b">
            <v>0</v>
          </cell>
        </row>
        <row r="354">
          <cell r="Z354" t="b">
            <v>0</v>
          </cell>
          <cell r="AA354" t="b">
            <v>0</v>
          </cell>
          <cell r="AB354" t="b">
            <v>0</v>
          </cell>
          <cell r="AC354" t="b">
            <v>0</v>
          </cell>
          <cell r="AD354" t="b">
            <v>0</v>
          </cell>
        </row>
        <row r="355">
          <cell r="Z355" t="b">
            <v>0</v>
          </cell>
          <cell r="AA355" t="b">
            <v>0</v>
          </cell>
          <cell r="AB355" t="b">
            <v>0</v>
          </cell>
          <cell r="AC355" t="b">
            <v>0</v>
          </cell>
          <cell r="AD355" t="b">
            <v>0</v>
          </cell>
        </row>
        <row r="356">
          <cell r="Z356" t="b">
            <v>0</v>
          </cell>
          <cell r="AA356" t="b">
            <v>0</v>
          </cell>
          <cell r="AB356" t="b">
            <v>0</v>
          </cell>
          <cell r="AC356" t="b">
            <v>0</v>
          </cell>
          <cell r="AD356" t="b">
            <v>0</v>
          </cell>
        </row>
        <row r="357">
          <cell r="Z357" t="b">
            <v>0</v>
          </cell>
          <cell r="AA357" t="b">
            <v>0</v>
          </cell>
          <cell r="AB357" t="b">
            <v>0</v>
          </cell>
          <cell r="AC357" t="b">
            <v>0</v>
          </cell>
          <cell r="AD357" t="b">
            <v>0</v>
          </cell>
        </row>
        <row r="358">
          <cell r="Z358" t="b">
            <v>0</v>
          </cell>
          <cell r="AA358" t="b">
            <v>0</v>
          </cell>
          <cell r="AB358" t="b">
            <v>0</v>
          </cell>
          <cell r="AC358" t="b">
            <v>0</v>
          </cell>
          <cell r="AD358" t="b">
            <v>0</v>
          </cell>
        </row>
        <row r="359">
          <cell r="Z359" t="b">
            <v>0</v>
          </cell>
          <cell r="AA359" t="b">
            <v>0</v>
          </cell>
          <cell r="AB359" t="b">
            <v>0</v>
          </cell>
          <cell r="AC359" t="b">
            <v>0</v>
          </cell>
          <cell r="AD359" t="b">
            <v>0</v>
          </cell>
        </row>
        <row r="360">
          <cell r="Z360" t="b">
            <v>0</v>
          </cell>
          <cell r="AA360" t="b">
            <v>0</v>
          </cell>
          <cell r="AB360" t="b">
            <v>0</v>
          </cell>
          <cell r="AC360" t="b">
            <v>0</v>
          </cell>
          <cell r="AD360" t="b">
            <v>0</v>
          </cell>
        </row>
        <row r="361">
          <cell r="Z361" t="b">
            <v>0</v>
          </cell>
          <cell r="AA361" t="b">
            <v>0</v>
          </cell>
          <cell r="AB361" t="b">
            <v>0</v>
          </cell>
          <cell r="AC361" t="b">
            <v>0</v>
          </cell>
          <cell r="AD361" t="b">
            <v>0</v>
          </cell>
        </row>
        <row r="362">
          <cell r="Z362" t="b">
            <v>0</v>
          </cell>
          <cell r="AA362" t="b">
            <v>0</v>
          </cell>
          <cell r="AB362" t="b">
            <v>0</v>
          </cell>
          <cell r="AC362" t="b">
            <v>0</v>
          </cell>
          <cell r="AD362" t="b">
            <v>0</v>
          </cell>
        </row>
        <row r="363">
          <cell r="Z363" t="b">
            <v>0</v>
          </cell>
          <cell r="AA363" t="b">
            <v>0</v>
          </cell>
          <cell r="AB363" t="b">
            <v>0</v>
          </cell>
          <cell r="AC363" t="b">
            <v>0</v>
          </cell>
          <cell r="AD363" t="b">
            <v>0</v>
          </cell>
        </row>
        <row r="364">
          <cell r="Z364" t="b">
            <v>0</v>
          </cell>
          <cell r="AA364" t="b">
            <v>0</v>
          </cell>
          <cell r="AB364" t="b">
            <v>0</v>
          </cell>
          <cell r="AC364" t="b">
            <v>0</v>
          </cell>
          <cell r="AD364" t="b">
            <v>0</v>
          </cell>
        </row>
        <row r="365">
          <cell r="Z365" t="b">
            <v>0</v>
          </cell>
          <cell r="AA365" t="b">
            <v>0</v>
          </cell>
          <cell r="AB365" t="b">
            <v>0</v>
          </cell>
          <cell r="AC365" t="b">
            <v>0</v>
          </cell>
          <cell r="AD365" t="b">
            <v>0</v>
          </cell>
        </row>
        <row r="366">
          <cell r="Z366" t="b">
            <v>0</v>
          </cell>
          <cell r="AA366" t="b">
            <v>0</v>
          </cell>
          <cell r="AB366" t="b">
            <v>0</v>
          </cell>
          <cell r="AC366" t="b">
            <v>0</v>
          </cell>
          <cell r="AD366" t="b">
            <v>0</v>
          </cell>
        </row>
        <row r="367">
          <cell r="Z367" t="b">
            <v>0</v>
          </cell>
          <cell r="AA367" t="b">
            <v>0</v>
          </cell>
          <cell r="AB367" t="b">
            <v>0</v>
          </cell>
          <cell r="AC367" t="b">
            <v>0</v>
          </cell>
          <cell r="AD367" t="b">
            <v>0</v>
          </cell>
        </row>
        <row r="368">
          <cell r="Z368" t="b">
            <v>0</v>
          </cell>
          <cell r="AA368" t="b">
            <v>0</v>
          </cell>
          <cell r="AB368" t="b">
            <v>0</v>
          </cell>
          <cell r="AC368" t="b">
            <v>0</v>
          </cell>
          <cell r="AD368" t="b">
            <v>0</v>
          </cell>
        </row>
        <row r="369">
          <cell r="Z369" t="b">
            <v>0</v>
          </cell>
          <cell r="AA369" t="b">
            <v>0</v>
          </cell>
          <cell r="AB369" t="b">
            <v>0</v>
          </cell>
          <cell r="AC369" t="b">
            <v>0</v>
          </cell>
          <cell r="AD369" t="b">
            <v>0</v>
          </cell>
        </row>
        <row r="370">
          <cell r="Z370" t="b">
            <v>0</v>
          </cell>
          <cell r="AA370" t="b">
            <v>0</v>
          </cell>
          <cell r="AB370" t="b">
            <v>0</v>
          </cell>
          <cell r="AC370" t="b">
            <v>0</v>
          </cell>
          <cell r="AD370" t="b">
            <v>0</v>
          </cell>
        </row>
        <row r="371">
          <cell r="Z371" t="b">
            <v>0</v>
          </cell>
          <cell r="AA371" t="b">
            <v>0</v>
          </cell>
          <cell r="AB371" t="b">
            <v>0</v>
          </cell>
          <cell r="AC371" t="b">
            <v>0</v>
          </cell>
          <cell r="AD371" t="b">
            <v>0</v>
          </cell>
        </row>
        <row r="372">
          <cell r="Z372" t="b">
            <v>0</v>
          </cell>
          <cell r="AA372" t="b">
            <v>0</v>
          </cell>
          <cell r="AB372" t="b">
            <v>0</v>
          </cell>
          <cell r="AC372" t="b">
            <v>0</v>
          </cell>
          <cell r="AD372" t="b">
            <v>0</v>
          </cell>
        </row>
        <row r="373">
          <cell r="Z373" t="b">
            <v>0</v>
          </cell>
          <cell r="AA373" t="b">
            <v>0</v>
          </cell>
          <cell r="AB373" t="b">
            <v>0</v>
          </cell>
          <cell r="AC373" t="b">
            <v>0</v>
          </cell>
          <cell r="AD373" t="b">
            <v>0</v>
          </cell>
        </row>
        <row r="374">
          <cell r="Z374" t="b">
            <v>0</v>
          </cell>
          <cell r="AA374" t="b">
            <v>0</v>
          </cell>
          <cell r="AB374" t="b">
            <v>0</v>
          </cell>
          <cell r="AC374" t="b">
            <v>0</v>
          </cell>
          <cell r="AD374" t="b">
            <v>0</v>
          </cell>
        </row>
        <row r="375">
          <cell r="Z375" t="b">
            <v>0</v>
          </cell>
          <cell r="AA375" t="b">
            <v>0</v>
          </cell>
          <cell r="AB375" t="b">
            <v>0</v>
          </cell>
          <cell r="AC375" t="b">
            <v>0</v>
          </cell>
          <cell r="AD375" t="b">
            <v>0</v>
          </cell>
        </row>
        <row r="376">
          <cell r="Z376" t="b">
            <v>0</v>
          </cell>
          <cell r="AA376" t="b">
            <v>0</v>
          </cell>
          <cell r="AB376" t="b">
            <v>0</v>
          </cell>
          <cell r="AC376" t="b">
            <v>0</v>
          </cell>
          <cell r="AD376" t="b">
            <v>0</v>
          </cell>
        </row>
        <row r="377">
          <cell r="Z377" t="b">
            <v>0</v>
          </cell>
          <cell r="AA377" t="b">
            <v>0</v>
          </cell>
          <cell r="AB377" t="b">
            <v>0</v>
          </cell>
          <cell r="AC377" t="b">
            <v>0</v>
          </cell>
          <cell r="AD377" t="b">
            <v>0</v>
          </cell>
        </row>
        <row r="378">
          <cell r="Z378" t="b">
            <v>0</v>
          </cell>
          <cell r="AA378" t="b">
            <v>0</v>
          </cell>
          <cell r="AB378" t="b">
            <v>0</v>
          </cell>
          <cell r="AC378" t="b">
            <v>0</v>
          </cell>
          <cell r="AD378" t="b">
            <v>0</v>
          </cell>
        </row>
        <row r="379">
          <cell r="Z379" t="b">
            <v>0</v>
          </cell>
          <cell r="AA379" t="b">
            <v>0</v>
          </cell>
          <cell r="AB379" t="b">
            <v>0</v>
          </cell>
          <cell r="AC379" t="b">
            <v>0</v>
          </cell>
          <cell r="AD379" t="b">
            <v>0</v>
          </cell>
        </row>
        <row r="380">
          <cell r="Z380" t="b">
            <v>0</v>
          </cell>
          <cell r="AA380" t="b">
            <v>0</v>
          </cell>
          <cell r="AB380" t="b">
            <v>0</v>
          </cell>
          <cell r="AC380" t="b">
            <v>0</v>
          </cell>
          <cell r="AD380" t="b">
            <v>0</v>
          </cell>
        </row>
        <row r="381">
          <cell r="Z381" t="b">
            <v>0</v>
          </cell>
          <cell r="AA381" t="b">
            <v>0</v>
          </cell>
          <cell r="AB381" t="b">
            <v>0</v>
          </cell>
          <cell r="AC381" t="b">
            <v>0</v>
          </cell>
          <cell r="AD381" t="b">
            <v>0</v>
          </cell>
        </row>
        <row r="382">
          <cell r="Z382" t="b">
            <v>0</v>
          </cell>
          <cell r="AA382" t="b">
            <v>0</v>
          </cell>
          <cell r="AB382" t="b">
            <v>0</v>
          </cell>
          <cell r="AC382" t="b">
            <v>0</v>
          </cell>
          <cell r="AD382" t="b">
            <v>0</v>
          </cell>
        </row>
        <row r="383">
          <cell r="Z383" t="b">
            <v>0</v>
          </cell>
          <cell r="AA383" t="b">
            <v>0</v>
          </cell>
          <cell r="AB383" t="b">
            <v>0</v>
          </cell>
          <cell r="AC383" t="b">
            <v>0</v>
          </cell>
          <cell r="AD383" t="b">
            <v>0</v>
          </cell>
        </row>
        <row r="384">
          <cell r="Z384" t="b">
            <v>0</v>
          </cell>
          <cell r="AA384" t="b">
            <v>0</v>
          </cell>
          <cell r="AB384" t="b">
            <v>0</v>
          </cell>
          <cell r="AC384" t="b">
            <v>0</v>
          </cell>
          <cell r="AD384" t="b">
            <v>0</v>
          </cell>
        </row>
        <row r="385">
          <cell r="Z385" t="b">
            <v>0</v>
          </cell>
          <cell r="AA385" t="b">
            <v>0</v>
          </cell>
          <cell r="AB385" t="b">
            <v>0</v>
          </cell>
          <cell r="AC385" t="b">
            <v>0</v>
          </cell>
          <cell r="AD385" t="b">
            <v>0</v>
          </cell>
        </row>
        <row r="386">
          <cell r="Z386" t="b">
            <v>0</v>
          </cell>
          <cell r="AA386" t="b">
            <v>0</v>
          </cell>
          <cell r="AB386" t="b">
            <v>0</v>
          </cell>
          <cell r="AC386" t="b">
            <v>0</v>
          </cell>
          <cell r="AD386" t="b">
            <v>0</v>
          </cell>
        </row>
        <row r="387">
          <cell r="Z387" t="b">
            <v>0</v>
          </cell>
          <cell r="AA387" t="b">
            <v>0</v>
          </cell>
          <cell r="AB387" t="b">
            <v>0</v>
          </cell>
          <cell r="AC387" t="b">
            <v>0</v>
          </cell>
          <cell r="AD387" t="b">
            <v>0</v>
          </cell>
        </row>
        <row r="388">
          <cell r="Z388" t="b">
            <v>0</v>
          </cell>
          <cell r="AA388" t="b">
            <v>0</v>
          </cell>
          <cell r="AB388" t="b">
            <v>0</v>
          </cell>
          <cell r="AC388" t="b">
            <v>0</v>
          </cell>
          <cell r="AD388" t="b">
            <v>0</v>
          </cell>
        </row>
        <row r="389">
          <cell r="Z389" t="b">
            <v>0</v>
          </cell>
          <cell r="AA389" t="b">
            <v>0</v>
          </cell>
          <cell r="AB389" t="b">
            <v>0</v>
          </cell>
          <cell r="AC389" t="b">
            <v>0</v>
          </cell>
          <cell r="AD389" t="b">
            <v>0</v>
          </cell>
        </row>
        <row r="390">
          <cell r="Z390" t="b">
            <v>0</v>
          </cell>
          <cell r="AA390" t="b">
            <v>0</v>
          </cell>
          <cell r="AB390" t="b">
            <v>0</v>
          </cell>
          <cell r="AC390" t="b">
            <v>0</v>
          </cell>
          <cell r="AD390" t="b">
            <v>0</v>
          </cell>
        </row>
        <row r="391">
          <cell r="Z391" t="b">
            <v>0</v>
          </cell>
          <cell r="AA391" t="b">
            <v>0</v>
          </cell>
          <cell r="AB391" t="b">
            <v>0</v>
          </cell>
          <cell r="AC391" t="b">
            <v>0</v>
          </cell>
          <cell r="AD391" t="b">
            <v>0</v>
          </cell>
        </row>
        <row r="392">
          <cell r="Z392" t="b">
            <v>0</v>
          </cell>
          <cell r="AA392" t="b">
            <v>0</v>
          </cell>
          <cell r="AB392" t="b">
            <v>0</v>
          </cell>
          <cell r="AC392" t="b">
            <v>0</v>
          </cell>
          <cell r="AD392" t="b">
            <v>0</v>
          </cell>
        </row>
        <row r="393">
          <cell r="Z393" t="b">
            <v>0</v>
          </cell>
          <cell r="AA393" t="b">
            <v>0</v>
          </cell>
          <cell r="AB393" t="b">
            <v>0</v>
          </cell>
          <cell r="AC393" t="b">
            <v>0</v>
          </cell>
          <cell r="AD393" t="b">
            <v>0</v>
          </cell>
        </row>
        <row r="394">
          <cell r="Z394" t="b">
            <v>0</v>
          </cell>
          <cell r="AA394" t="b">
            <v>0</v>
          </cell>
          <cell r="AB394" t="b">
            <v>0</v>
          </cell>
          <cell r="AC394" t="b">
            <v>0</v>
          </cell>
          <cell r="AD394" t="b">
            <v>0</v>
          </cell>
        </row>
        <row r="395">
          <cell r="Z395" t="b">
            <v>0</v>
          </cell>
          <cell r="AA395" t="b">
            <v>0</v>
          </cell>
          <cell r="AB395" t="b">
            <v>0</v>
          </cell>
          <cell r="AC395" t="b">
            <v>0</v>
          </cell>
          <cell r="AD395" t="b">
            <v>0</v>
          </cell>
        </row>
        <row r="396">
          <cell r="Z396" t="b">
            <v>0</v>
          </cell>
          <cell r="AA396" t="b">
            <v>0</v>
          </cell>
          <cell r="AB396" t="b">
            <v>0</v>
          </cell>
          <cell r="AC396" t="b">
            <v>0</v>
          </cell>
          <cell r="AD396" t="b">
            <v>0</v>
          </cell>
        </row>
        <row r="397">
          <cell r="Z397" t="b">
            <v>0</v>
          </cell>
          <cell r="AA397" t="b">
            <v>0</v>
          </cell>
          <cell r="AB397" t="b">
            <v>0</v>
          </cell>
          <cell r="AC397" t="b">
            <v>0</v>
          </cell>
          <cell r="AD397" t="b">
            <v>0</v>
          </cell>
        </row>
        <row r="398">
          <cell r="Z398" t="b">
            <v>0</v>
          </cell>
          <cell r="AA398" t="b">
            <v>0</v>
          </cell>
          <cell r="AB398" t="b">
            <v>0</v>
          </cell>
          <cell r="AC398" t="b">
            <v>0</v>
          </cell>
          <cell r="AD398" t="b">
            <v>0</v>
          </cell>
        </row>
        <row r="399">
          <cell r="Z399" t="b">
            <v>0</v>
          </cell>
          <cell r="AA399" t="b">
            <v>0</v>
          </cell>
          <cell r="AB399" t="b">
            <v>0</v>
          </cell>
          <cell r="AC399" t="b">
            <v>0</v>
          </cell>
          <cell r="AD399" t="b">
            <v>0</v>
          </cell>
        </row>
        <row r="400">
          <cell r="Z400" t="b">
            <v>0</v>
          </cell>
          <cell r="AA400" t="b">
            <v>0</v>
          </cell>
          <cell r="AB400" t="b">
            <v>0</v>
          </cell>
          <cell r="AC400" t="b">
            <v>0</v>
          </cell>
          <cell r="AD400" t="b">
            <v>0</v>
          </cell>
        </row>
        <row r="401">
          <cell r="Z401" t="b">
            <v>0</v>
          </cell>
          <cell r="AA401" t="b">
            <v>0</v>
          </cell>
          <cell r="AB401" t="b">
            <v>0</v>
          </cell>
          <cell r="AC401" t="b">
            <v>0</v>
          </cell>
          <cell r="AD401" t="b">
            <v>0</v>
          </cell>
        </row>
        <row r="402">
          <cell r="Z402" t="b">
            <v>0</v>
          </cell>
          <cell r="AA402" t="b">
            <v>0</v>
          </cell>
          <cell r="AB402" t="b">
            <v>0</v>
          </cell>
          <cell r="AC402" t="b">
            <v>0</v>
          </cell>
          <cell r="AD402" t="b">
            <v>0</v>
          </cell>
        </row>
        <row r="403">
          <cell r="Z403" t="b">
            <v>0</v>
          </cell>
          <cell r="AA403" t="b">
            <v>0</v>
          </cell>
          <cell r="AB403" t="b">
            <v>0</v>
          </cell>
          <cell r="AC403" t="b">
            <v>0</v>
          </cell>
          <cell r="AD403" t="b">
            <v>0</v>
          </cell>
        </row>
        <row r="404">
          <cell r="Z404" t="b">
            <v>0</v>
          </cell>
          <cell r="AA404" t="b">
            <v>0</v>
          </cell>
          <cell r="AB404" t="b">
            <v>0</v>
          </cell>
          <cell r="AC404" t="b">
            <v>0</v>
          </cell>
          <cell r="AD404" t="b">
            <v>0</v>
          </cell>
        </row>
        <row r="405">
          <cell r="Z405" t="b">
            <v>0</v>
          </cell>
          <cell r="AA405" t="b">
            <v>0</v>
          </cell>
          <cell r="AB405" t="b">
            <v>0</v>
          </cell>
          <cell r="AC405" t="b">
            <v>0</v>
          </cell>
          <cell r="AD405" t="b">
            <v>0</v>
          </cell>
        </row>
        <row r="406">
          <cell r="Z406" t="b">
            <v>0</v>
          </cell>
          <cell r="AA406" t="b">
            <v>0</v>
          </cell>
          <cell r="AB406" t="b">
            <v>0</v>
          </cell>
          <cell r="AC406" t="b">
            <v>0</v>
          </cell>
          <cell r="AD406" t="b">
            <v>0</v>
          </cell>
        </row>
        <row r="407">
          <cell r="Z407" t="b">
            <v>0</v>
          </cell>
          <cell r="AA407" t="b">
            <v>0</v>
          </cell>
          <cell r="AB407" t="b">
            <v>0</v>
          </cell>
          <cell r="AC407" t="b">
            <v>0</v>
          </cell>
          <cell r="AD407" t="b">
            <v>0</v>
          </cell>
        </row>
        <row r="408">
          <cell r="Z408" t="b">
            <v>0</v>
          </cell>
          <cell r="AA408" t="b">
            <v>0</v>
          </cell>
          <cell r="AB408" t="b">
            <v>0</v>
          </cell>
          <cell r="AC408" t="b">
            <v>0</v>
          </cell>
          <cell r="AD408" t="b">
            <v>0</v>
          </cell>
        </row>
        <row r="409">
          <cell r="Z409" t="b">
            <v>0</v>
          </cell>
          <cell r="AA409" t="b">
            <v>0</v>
          </cell>
          <cell r="AB409" t="b">
            <v>0</v>
          </cell>
          <cell r="AC409" t="b">
            <v>0</v>
          </cell>
          <cell r="AD409" t="b">
            <v>0</v>
          </cell>
        </row>
        <row r="410">
          <cell r="Z410" t="b">
            <v>0</v>
          </cell>
          <cell r="AA410" t="b">
            <v>0</v>
          </cell>
          <cell r="AB410" t="b">
            <v>0</v>
          </cell>
          <cell r="AC410" t="b">
            <v>0</v>
          </cell>
          <cell r="AD410" t="b">
            <v>0</v>
          </cell>
        </row>
        <row r="411">
          <cell r="Z411" t="b">
            <v>0</v>
          </cell>
          <cell r="AA411" t="b">
            <v>0</v>
          </cell>
          <cell r="AB411" t="b">
            <v>0</v>
          </cell>
          <cell r="AC411" t="b">
            <v>0</v>
          </cell>
          <cell r="AD411" t="b">
            <v>0</v>
          </cell>
        </row>
        <row r="412">
          <cell r="Z412" t="b">
            <v>0</v>
          </cell>
          <cell r="AA412" t="b">
            <v>0</v>
          </cell>
          <cell r="AB412" t="b">
            <v>0</v>
          </cell>
          <cell r="AC412" t="b">
            <v>0</v>
          </cell>
          <cell r="AD412" t="b">
            <v>0</v>
          </cell>
        </row>
        <row r="413">
          <cell r="Z413" t="b">
            <v>0</v>
          </cell>
          <cell r="AA413" t="b">
            <v>0</v>
          </cell>
          <cell r="AB413" t="b">
            <v>0</v>
          </cell>
          <cell r="AC413" t="b">
            <v>0</v>
          </cell>
          <cell r="AD413" t="b">
            <v>0</v>
          </cell>
        </row>
        <row r="414">
          <cell r="Z414" t="b">
            <v>0</v>
          </cell>
          <cell r="AA414" t="b">
            <v>0</v>
          </cell>
          <cell r="AB414" t="b">
            <v>0</v>
          </cell>
          <cell r="AC414" t="b">
            <v>0</v>
          </cell>
          <cell r="AD414" t="b">
            <v>0</v>
          </cell>
        </row>
        <row r="415">
          <cell r="Z415" t="b">
            <v>0</v>
          </cell>
          <cell r="AA415" t="b">
            <v>0</v>
          </cell>
          <cell r="AB415" t="b">
            <v>0</v>
          </cell>
          <cell r="AC415" t="b">
            <v>0</v>
          </cell>
          <cell r="AD415" t="b">
            <v>0</v>
          </cell>
        </row>
        <row r="416">
          <cell r="Z416" t="b">
            <v>0</v>
          </cell>
          <cell r="AA416" t="b">
            <v>0</v>
          </cell>
          <cell r="AB416" t="b">
            <v>0</v>
          </cell>
          <cell r="AC416" t="b">
            <v>0</v>
          </cell>
          <cell r="AD416" t="b">
            <v>0</v>
          </cell>
        </row>
        <row r="417">
          <cell r="Z417" t="b">
            <v>0</v>
          </cell>
          <cell r="AA417" t="b">
            <v>0</v>
          </cell>
          <cell r="AB417" t="b">
            <v>0</v>
          </cell>
          <cell r="AC417" t="b">
            <v>0</v>
          </cell>
          <cell r="AD417" t="b">
            <v>0</v>
          </cell>
        </row>
        <row r="418">
          <cell r="Z418" t="b">
            <v>0</v>
          </cell>
          <cell r="AA418" t="b">
            <v>0</v>
          </cell>
          <cell r="AB418" t="b">
            <v>0</v>
          </cell>
          <cell r="AC418" t="b">
            <v>0</v>
          </cell>
          <cell r="AD418" t="b">
            <v>0</v>
          </cell>
        </row>
        <row r="419">
          <cell r="Z419" t="b">
            <v>0</v>
          </cell>
          <cell r="AA419" t="b">
            <v>0</v>
          </cell>
          <cell r="AB419" t="b">
            <v>0</v>
          </cell>
          <cell r="AC419" t="b">
            <v>0</v>
          </cell>
          <cell r="AD419" t="b">
            <v>0</v>
          </cell>
        </row>
        <row r="420">
          <cell r="Z420" t="b">
            <v>0</v>
          </cell>
          <cell r="AA420" t="b">
            <v>0</v>
          </cell>
          <cell r="AB420" t="b">
            <v>0</v>
          </cell>
          <cell r="AC420" t="b">
            <v>0</v>
          </cell>
          <cell r="AD420" t="b">
            <v>0</v>
          </cell>
        </row>
        <row r="421">
          <cell r="Z421" t="b">
            <v>0</v>
          </cell>
          <cell r="AA421" t="b">
            <v>0</v>
          </cell>
          <cell r="AB421" t="b">
            <v>0</v>
          </cell>
          <cell r="AC421" t="b">
            <v>0</v>
          </cell>
          <cell r="AD421" t="b">
            <v>0</v>
          </cell>
        </row>
        <row r="422">
          <cell r="Z422" t="b">
            <v>0</v>
          </cell>
          <cell r="AA422" t="b">
            <v>0</v>
          </cell>
          <cell r="AB422" t="b">
            <v>0</v>
          </cell>
          <cell r="AC422" t="b">
            <v>0</v>
          </cell>
          <cell r="AD422" t="b">
            <v>0</v>
          </cell>
        </row>
        <row r="423">
          <cell r="Z423" t="b">
            <v>0</v>
          </cell>
          <cell r="AA423" t="b">
            <v>0</v>
          </cell>
          <cell r="AB423" t="b">
            <v>0</v>
          </cell>
          <cell r="AC423" t="b">
            <v>0</v>
          </cell>
          <cell r="AD423" t="b">
            <v>0</v>
          </cell>
        </row>
        <row r="424">
          <cell r="Z424" t="b">
            <v>0</v>
          </cell>
          <cell r="AA424" t="b">
            <v>0</v>
          </cell>
          <cell r="AB424" t="b">
            <v>0</v>
          </cell>
          <cell r="AC424" t="b">
            <v>0</v>
          </cell>
          <cell r="AD424" t="b">
            <v>0</v>
          </cell>
        </row>
        <row r="425">
          <cell r="Z425" t="b">
            <v>0</v>
          </cell>
          <cell r="AA425" t="b">
            <v>0</v>
          </cell>
          <cell r="AB425" t="b">
            <v>0</v>
          </cell>
          <cell r="AC425" t="b">
            <v>0</v>
          </cell>
          <cell r="AD425" t="b">
            <v>0</v>
          </cell>
        </row>
        <row r="426">
          <cell r="Z426" t="b">
            <v>0</v>
          </cell>
          <cell r="AA426" t="b">
            <v>0</v>
          </cell>
          <cell r="AB426" t="b">
            <v>0</v>
          </cell>
          <cell r="AC426" t="b">
            <v>0</v>
          </cell>
          <cell r="AD426" t="b">
            <v>0</v>
          </cell>
        </row>
        <row r="427">
          <cell r="Z427" t="b">
            <v>0</v>
          </cell>
          <cell r="AA427" t="b">
            <v>0</v>
          </cell>
          <cell r="AB427" t="b">
            <v>0</v>
          </cell>
          <cell r="AC427" t="b">
            <v>0</v>
          </cell>
          <cell r="AD427" t="b">
            <v>0</v>
          </cell>
        </row>
        <row r="428">
          <cell r="Z428" t="b">
            <v>0</v>
          </cell>
          <cell r="AA428" t="b">
            <v>0</v>
          </cell>
          <cell r="AB428" t="b">
            <v>0</v>
          </cell>
          <cell r="AC428" t="b">
            <v>0</v>
          </cell>
          <cell r="AD428" t="b">
            <v>0</v>
          </cell>
        </row>
        <row r="429">
          <cell r="Z429" t="b">
            <v>0</v>
          </cell>
          <cell r="AA429" t="b">
            <v>0</v>
          </cell>
          <cell r="AB429" t="b">
            <v>0</v>
          </cell>
          <cell r="AC429" t="b">
            <v>0</v>
          </cell>
          <cell r="AD429" t="b">
            <v>0</v>
          </cell>
        </row>
        <row r="430">
          <cell r="Z430" t="b">
            <v>0</v>
          </cell>
          <cell r="AA430" t="b">
            <v>0</v>
          </cell>
          <cell r="AB430" t="b">
            <v>0</v>
          </cell>
          <cell r="AC430" t="b">
            <v>0</v>
          </cell>
          <cell r="AD430" t="b">
            <v>0</v>
          </cell>
        </row>
        <row r="431">
          <cell r="Z431" t="b">
            <v>0</v>
          </cell>
          <cell r="AA431" t="b">
            <v>0</v>
          </cell>
          <cell r="AB431" t="b">
            <v>0</v>
          </cell>
          <cell r="AC431" t="b">
            <v>0</v>
          </cell>
          <cell r="AD431" t="b">
            <v>0</v>
          </cell>
        </row>
        <row r="432">
          <cell r="Z432" t="b">
            <v>0</v>
          </cell>
          <cell r="AA432" t="b">
            <v>0</v>
          </cell>
          <cell r="AB432" t="b">
            <v>0</v>
          </cell>
          <cell r="AC432" t="b">
            <v>0</v>
          </cell>
          <cell r="AD432" t="b">
            <v>0</v>
          </cell>
        </row>
        <row r="433">
          <cell r="Z433" t="b">
            <v>0</v>
          </cell>
          <cell r="AA433" t="b">
            <v>0</v>
          </cell>
          <cell r="AB433" t="b">
            <v>0</v>
          </cell>
          <cell r="AC433" t="b">
            <v>0</v>
          </cell>
          <cell r="AD433" t="b">
            <v>0</v>
          </cell>
        </row>
        <row r="434">
          <cell r="Z434" t="b">
            <v>0</v>
          </cell>
          <cell r="AA434" t="b">
            <v>0</v>
          </cell>
          <cell r="AB434" t="b">
            <v>0</v>
          </cell>
          <cell r="AC434" t="b">
            <v>0</v>
          </cell>
          <cell r="AD434" t="b">
            <v>0</v>
          </cell>
        </row>
        <row r="435">
          <cell r="Z435" t="b">
            <v>0</v>
          </cell>
          <cell r="AA435" t="b">
            <v>0</v>
          </cell>
          <cell r="AB435" t="b">
            <v>0</v>
          </cell>
          <cell r="AC435" t="b">
            <v>0</v>
          </cell>
          <cell r="AD435" t="b">
            <v>0</v>
          </cell>
        </row>
        <row r="436">
          <cell r="Z436" t="b">
            <v>0</v>
          </cell>
          <cell r="AA436" t="b">
            <v>0</v>
          </cell>
          <cell r="AB436" t="b">
            <v>0</v>
          </cell>
          <cell r="AC436" t="b">
            <v>0</v>
          </cell>
          <cell r="AD436" t="b">
            <v>0</v>
          </cell>
        </row>
        <row r="437">
          <cell r="Z437" t="b">
            <v>0</v>
          </cell>
          <cell r="AA437" t="b">
            <v>0</v>
          </cell>
          <cell r="AB437" t="b">
            <v>0</v>
          </cell>
          <cell r="AC437" t="b">
            <v>0</v>
          </cell>
          <cell r="AD437" t="b">
            <v>0</v>
          </cell>
        </row>
        <row r="438">
          <cell r="Z438" t="b">
            <v>0</v>
          </cell>
          <cell r="AA438" t="b">
            <v>0</v>
          </cell>
          <cell r="AB438" t="b">
            <v>0</v>
          </cell>
          <cell r="AC438" t="b">
            <v>0</v>
          </cell>
          <cell r="AD438" t="b">
            <v>0</v>
          </cell>
        </row>
        <row r="439">
          <cell r="Z439" t="b">
            <v>0</v>
          </cell>
          <cell r="AA439" t="b">
            <v>0</v>
          </cell>
          <cell r="AB439" t="b">
            <v>0</v>
          </cell>
          <cell r="AC439" t="b">
            <v>0</v>
          </cell>
          <cell r="AD439" t="b">
            <v>0</v>
          </cell>
        </row>
        <row r="440">
          <cell r="Z440" t="b">
            <v>0</v>
          </cell>
          <cell r="AA440" t="b">
            <v>0</v>
          </cell>
          <cell r="AB440" t="b">
            <v>0</v>
          </cell>
          <cell r="AC440" t="b">
            <v>0</v>
          </cell>
          <cell r="AD440" t="b">
            <v>0</v>
          </cell>
        </row>
        <row r="441">
          <cell r="Z441" t="b">
            <v>0</v>
          </cell>
          <cell r="AA441" t="b">
            <v>0</v>
          </cell>
          <cell r="AB441" t="b">
            <v>0</v>
          </cell>
          <cell r="AC441" t="b">
            <v>0</v>
          </cell>
          <cell r="AD441" t="b">
            <v>0</v>
          </cell>
        </row>
        <row r="442">
          <cell r="Z442" t="b">
            <v>0</v>
          </cell>
          <cell r="AA442" t="b">
            <v>0</v>
          </cell>
          <cell r="AB442" t="b">
            <v>0</v>
          </cell>
          <cell r="AC442" t="b">
            <v>0</v>
          </cell>
          <cell r="AD442" t="b">
            <v>0</v>
          </cell>
        </row>
        <row r="443">
          <cell r="Z443" t="b">
            <v>0</v>
          </cell>
          <cell r="AA443" t="b">
            <v>0</v>
          </cell>
          <cell r="AB443" t="b">
            <v>0</v>
          </cell>
          <cell r="AC443" t="b">
            <v>0</v>
          </cell>
          <cell r="AD443" t="b">
            <v>0</v>
          </cell>
        </row>
        <row r="444">
          <cell r="Z444" t="b">
            <v>0</v>
          </cell>
          <cell r="AA444" t="b">
            <v>0</v>
          </cell>
          <cell r="AB444" t="b">
            <v>0</v>
          </cell>
          <cell r="AC444" t="b">
            <v>0</v>
          </cell>
          <cell r="AD444" t="b">
            <v>0</v>
          </cell>
        </row>
        <row r="445">
          <cell r="Z445" t="b">
            <v>0</v>
          </cell>
          <cell r="AA445" t="b">
            <v>0</v>
          </cell>
          <cell r="AB445" t="b">
            <v>0</v>
          </cell>
          <cell r="AC445" t="b">
            <v>0</v>
          </cell>
          <cell r="AD445" t="b">
            <v>0</v>
          </cell>
        </row>
        <row r="446">
          <cell r="Z446" t="b">
            <v>0</v>
          </cell>
          <cell r="AA446" t="b">
            <v>0</v>
          </cell>
          <cell r="AB446" t="b">
            <v>0</v>
          </cell>
          <cell r="AC446" t="b">
            <v>0</v>
          </cell>
          <cell r="AD446" t="b">
            <v>0</v>
          </cell>
        </row>
        <row r="447">
          <cell r="Z447" t="b">
            <v>0</v>
          </cell>
          <cell r="AA447" t="b">
            <v>0</v>
          </cell>
          <cell r="AB447" t="b">
            <v>0</v>
          </cell>
          <cell r="AC447" t="b">
            <v>0</v>
          </cell>
          <cell r="AD447" t="b">
            <v>0</v>
          </cell>
        </row>
        <row r="448">
          <cell r="Z448" t="b">
            <v>0</v>
          </cell>
          <cell r="AA448" t="b">
            <v>0</v>
          </cell>
          <cell r="AB448" t="b">
            <v>0</v>
          </cell>
          <cell r="AC448" t="b">
            <v>0</v>
          </cell>
          <cell r="AD448" t="b">
            <v>0</v>
          </cell>
        </row>
        <row r="449">
          <cell r="Z449" t="b">
            <v>0</v>
          </cell>
          <cell r="AA449" t="b">
            <v>0</v>
          </cell>
          <cell r="AB449" t="b">
            <v>0</v>
          </cell>
          <cell r="AC449" t="b">
            <v>0</v>
          </cell>
          <cell r="AD449" t="b">
            <v>0</v>
          </cell>
        </row>
        <row r="450">
          <cell r="Z450" t="b">
            <v>0</v>
          </cell>
          <cell r="AA450" t="b">
            <v>0</v>
          </cell>
          <cell r="AB450" t="b">
            <v>0</v>
          </cell>
          <cell r="AC450" t="b">
            <v>0</v>
          </cell>
          <cell r="AD450" t="b">
            <v>0</v>
          </cell>
        </row>
        <row r="451">
          <cell r="Z451" t="b">
            <v>0</v>
          </cell>
          <cell r="AA451" t="b">
            <v>0</v>
          </cell>
          <cell r="AB451" t="b">
            <v>0</v>
          </cell>
          <cell r="AC451" t="b">
            <v>0</v>
          </cell>
          <cell r="AD451" t="b">
            <v>0</v>
          </cell>
        </row>
        <row r="452">
          <cell r="Z452" t="b">
            <v>0</v>
          </cell>
          <cell r="AA452" t="b">
            <v>0</v>
          </cell>
          <cell r="AB452" t="b">
            <v>0</v>
          </cell>
          <cell r="AC452" t="b">
            <v>0</v>
          </cell>
          <cell r="AD452" t="b">
            <v>0</v>
          </cell>
        </row>
        <row r="453">
          <cell r="Z453" t="b">
            <v>0</v>
          </cell>
          <cell r="AA453" t="b">
            <v>0</v>
          </cell>
          <cell r="AB453" t="b">
            <v>0</v>
          </cell>
          <cell r="AC453" t="b">
            <v>0</v>
          </cell>
          <cell r="AD453" t="b">
            <v>0</v>
          </cell>
        </row>
        <row r="454">
          <cell r="Z454" t="b">
            <v>0</v>
          </cell>
          <cell r="AA454" t="b">
            <v>0</v>
          </cell>
          <cell r="AB454" t="b">
            <v>0</v>
          </cell>
          <cell r="AC454" t="b">
            <v>0</v>
          </cell>
          <cell r="AD454" t="b">
            <v>0</v>
          </cell>
        </row>
        <row r="455">
          <cell r="Z455" t="b">
            <v>0</v>
          </cell>
          <cell r="AA455" t="b">
            <v>0</v>
          </cell>
          <cell r="AB455" t="b">
            <v>0</v>
          </cell>
          <cell r="AC455" t="b">
            <v>0</v>
          </cell>
          <cell r="AD455" t="b">
            <v>0</v>
          </cell>
        </row>
        <row r="456">
          <cell r="Z456" t="b">
            <v>0</v>
          </cell>
          <cell r="AA456" t="b">
            <v>0</v>
          </cell>
          <cell r="AB456" t="b">
            <v>0</v>
          </cell>
          <cell r="AC456" t="b">
            <v>0</v>
          </cell>
          <cell r="AD456" t="b">
            <v>0</v>
          </cell>
        </row>
        <row r="457">
          <cell r="Z457" t="b">
            <v>0</v>
          </cell>
          <cell r="AA457" t="b">
            <v>0</v>
          </cell>
          <cell r="AB457" t="b">
            <v>0</v>
          </cell>
          <cell r="AC457" t="b">
            <v>0</v>
          </cell>
          <cell r="AD457" t="b">
            <v>0</v>
          </cell>
        </row>
        <row r="458">
          <cell r="Z458" t="b">
            <v>0</v>
          </cell>
          <cell r="AA458" t="b">
            <v>0</v>
          </cell>
          <cell r="AB458" t="b">
            <v>0</v>
          </cell>
          <cell r="AC458" t="b">
            <v>0</v>
          </cell>
          <cell r="AD458" t="b">
            <v>0</v>
          </cell>
        </row>
        <row r="459">
          <cell r="Z459" t="b">
            <v>0</v>
          </cell>
          <cell r="AA459" t="b">
            <v>0</v>
          </cell>
          <cell r="AB459" t="b">
            <v>0</v>
          </cell>
          <cell r="AC459" t="b">
            <v>0</v>
          </cell>
          <cell r="AD459" t="b">
            <v>0</v>
          </cell>
        </row>
        <row r="460">
          <cell r="Z460" t="b">
            <v>0</v>
          </cell>
          <cell r="AA460" t="b">
            <v>0</v>
          </cell>
          <cell r="AB460" t="b">
            <v>0</v>
          </cell>
          <cell r="AC460" t="b">
            <v>0</v>
          </cell>
          <cell r="AD460" t="b">
            <v>0</v>
          </cell>
        </row>
        <row r="461">
          <cell r="Z461" t="b">
            <v>0</v>
          </cell>
          <cell r="AA461" t="b">
            <v>0</v>
          </cell>
          <cell r="AB461" t="b">
            <v>0</v>
          </cell>
          <cell r="AC461" t="b">
            <v>0</v>
          </cell>
          <cell r="AD461" t="b">
            <v>0</v>
          </cell>
        </row>
        <row r="462">
          <cell r="Z462" t="b">
            <v>0</v>
          </cell>
          <cell r="AA462" t="b">
            <v>0</v>
          </cell>
          <cell r="AB462" t="b">
            <v>0</v>
          </cell>
          <cell r="AC462" t="b">
            <v>0</v>
          </cell>
          <cell r="AD462" t="b">
            <v>0</v>
          </cell>
        </row>
        <row r="463">
          <cell r="Z463" t="b">
            <v>0</v>
          </cell>
          <cell r="AA463" t="b">
            <v>0</v>
          </cell>
          <cell r="AB463" t="b">
            <v>0</v>
          </cell>
          <cell r="AC463" t="b">
            <v>0</v>
          </cell>
          <cell r="AD463" t="b">
            <v>0</v>
          </cell>
        </row>
        <row r="464">
          <cell r="Z464" t="b">
            <v>0</v>
          </cell>
          <cell r="AA464" t="b">
            <v>0</v>
          </cell>
          <cell r="AB464" t="b">
            <v>0</v>
          </cell>
          <cell r="AC464" t="b">
            <v>0</v>
          </cell>
          <cell r="AD464" t="b">
            <v>0</v>
          </cell>
        </row>
        <row r="465">
          <cell r="Z465" t="b">
            <v>0</v>
          </cell>
          <cell r="AA465" t="b">
            <v>0</v>
          </cell>
          <cell r="AB465" t="b">
            <v>0</v>
          </cell>
          <cell r="AC465" t="b">
            <v>0</v>
          </cell>
          <cell r="AD465" t="b">
            <v>0</v>
          </cell>
        </row>
        <row r="466">
          <cell r="Z466" t="b">
            <v>0</v>
          </cell>
          <cell r="AA466" t="b">
            <v>0</v>
          </cell>
          <cell r="AB466" t="b">
            <v>0</v>
          </cell>
          <cell r="AC466" t="b">
            <v>0</v>
          </cell>
          <cell r="AD466" t="b">
            <v>0</v>
          </cell>
        </row>
        <row r="467">
          <cell r="Z467" t="b">
            <v>0</v>
          </cell>
          <cell r="AA467" t="b">
            <v>0</v>
          </cell>
          <cell r="AB467" t="b">
            <v>0</v>
          </cell>
          <cell r="AC467" t="b">
            <v>0</v>
          </cell>
          <cell r="AD467" t="b">
            <v>0</v>
          </cell>
        </row>
        <row r="468">
          <cell r="Z468" t="b">
            <v>0</v>
          </cell>
          <cell r="AA468" t="b">
            <v>0</v>
          </cell>
          <cell r="AB468" t="b">
            <v>0</v>
          </cell>
          <cell r="AC468" t="b">
            <v>0</v>
          </cell>
          <cell r="AD468" t="b">
            <v>0</v>
          </cell>
        </row>
        <row r="469">
          <cell r="Z469" t="b">
            <v>0</v>
          </cell>
          <cell r="AA469" t="b">
            <v>0</v>
          </cell>
          <cell r="AB469" t="b">
            <v>0</v>
          </cell>
          <cell r="AC469" t="b">
            <v>0</v>
          </cell>
          <cell r="AD469" t="b">
            <v>0</v>
          </cell>
        </row>
        <row r="470">
          <cell r="Z470" t="b">
            <v>0</v>
          </cell>
          <cell r="AA470" t="b">
            <v>0</v>
          </cell>
          <cell r="AB470" t="b">
            <v>0</v>
          </cell>
          <cell r="AC470" t="b">
            <v>0</v>
          </cell>
          <cell r="AD470" t="b">
            <v>0</v>
          </cell>
        </row>
        <row r="471">
          <cell r="Z471" t="b">
            <v>0</v>
          </cell>
          <cell r="AA471" t="b">
            <v>0</v>
          </cell>
          <cell r="AB471" t="b">
            <v>0</v>
          </cell>
          <cell r="AC471" t="b">
            <v>0</v>
          </cell>
          <cell r="AD471" t="b">
            <v>0</v>
          </cell>
        </row>
        <row r="472">
          <cell r="Z472" t="b">
            <v>0</v>
          </cell>
          <cell r="AA472" t="b">
            <v>0</v>
          </cell>
          <cell r="AB472" t="b">
            <v>0</v>
          </cell>
          <cell r="AC472" t="b">
            <v>0</v>
          </cell>
          <cell r="AD472" t="b">
            <v>0</v>
          </cell>
        </row>
        <row r="473">
          <cell r="Z473" t="b">
            <v>0</v>
          </cell>
          <cell r="AA473" t="b">
            <v>0</v>
          </cell>
          <cell r="AB473" t="b">
            <v>0</v>
          </cell>
          <cell r="AC473" t="b">
            <v>0</v>
          </cell>
          <cell r="AD473" t="b">
            <v>0</v>
          </cell>
        </row>
        <row r="474">
          <cell r="Z474" t="b">
            <v>0</v>
          </cell>
          <cell r="AA474" t="b">
            <v>0</v>
          </cell>
          <cell r="AB474" t="b">
            <v>0</v>
          </cell>
          <cell r="AC474" t="b">
            <v>0</v>
          </cell>
          <cell r="AD474" t="b">
            <v>0</v>
          </cell>
        </row>
        <row r="475">
          <cell r="Z475" t="b">
            <v>0</v>
          </cell>
          <cell r="AA475" t="b">
            <v>0</v>
          </cell>
          <cell r="AB475" t="b">
            <v>0</v>
          </cell>
          <cell r="AC475" t="b">
            <v>0</v>
          </cell>
          <cell r="AD475" t="b">
            <v>0</v>
          </cell>
        </row>
        <row r="476">
          <cell r="Z476" t="b">
            <v>0</v>
          </cell>
          <cell r="AA476" t="b">
            <v>0</v>
          </cell>
          <cell r="AB476" t="b">
            <v>0</v>
          </cell>
          <cell r="AC476" t="b">
            <v>0</v>
          </cell>
          <cell r="AD476" t="b">
            <v>0</v>
          </cell>
        </row>
        <row r="477">
          <cell r="Z477" t="b">
            <v>0</v>
          </cell>
          <cell r="AA477" t="b">
            <v>0</v>
          </cell>
          <cell r="AB477" t="b">
            <v>0</v>
          </cell>
          <cell r="AC477" t="b">
            <v>0</v>
          </cell>
          <cell r="AD477" t="b">
            <v>0</v>
          </cell>
        </row>
        <row r="478">
          <cell r="Z478" t="b">
            <v>0</v>
          </cell>
          <cell r="AA478" t="b">
            <v>0</v>
          </cell>
          <cell r="AB478" t="b">
            <v>0</v>
          </cell>
          <cell r="AC478" t="b">
            <v>0</v>
          </cell>
          <cell r="AD478" t="b">
            <v>0</v>
          </cell>
        </row>
        <row r="479">
          <cell r="Z479" t="b">
            <v>0</v>
          </cell>
          <cell r="AA479" t="b">
            <v>0</v>
          </cell>
          <cell r="AB479" t="b">
            <v>0</v>
          </cell>
          <cell r="AC479" t="b">
            <v>0</v>
          </cell>
          <cell r="AD479" t="b">
            <v>0</v>
          </cell>
        </row>
        <row r="480">
          <cell r="Z480" t="b">
            <v>0</v>
          </cell>
          <cell r="AA480" t="b">
            <v>0</v>
          </cell>
          <cell r="AB480" t="b">
            <v>0</v>
          </cell>
          <cell r="AC480" t="b">
            <v>0</v>
          </cell>
          <cell r="AD480" t="b">
            <v>0</v>
          </cell>
        </row>
        <row r="481">
          <cell r="Z481" t="b">
            <v>0</v>
          </cell>
          <cell r="AA481" t="b">
            <v>0</v>
          </cell>
          <cell r="AB481" t="b">
            <v>0</v>
          </cell>
          <cell r="AC481" t="b">
            <v>0</v>
          </cell>
          <cell r="AD481" t="b">
            <v>0</v>
          </cell>
        </row>
        <row r="482">
          <cell r="Z482" t="b">
            <v>0</v>
          </cell>
          <cell r="AA482" t="b">
            <v>0</v>
          </cell>
          <cell r="AB482" t="b">
            <v>0</v>
          </cell>
          <cell r="AC482" t="b">
            <v>0</v>
          </cell>
          <cell r="AD482" t="b">
            <v>0</v>
          </cell>
        </row>
        <row r="483">
          <cell r="Z483" t="b">
            <v>0</v>
          </cell>
          <cell r="AA483" t="b">
            <v>0</v>
          </cell>
          <cell r="AB483" t="b">
            <v>0</v>
          </cell>
          <cell r="AC483" t="b">
            <v>0</v>
          </cell>
          <cell r="AD483" t="b">
            <v>0</v>
          </cell>
        </row>
        <row r="484">
          <cell r="Z484" t="b">
            <v>0</v>
          </cell>
          <cell r="AA484" t="b">
            <v>0</v>
          </cell>
          <cell r="AB484" t="b">
            <v>0</v>
          </cell>
          <cell r="AC484" t="b">
            <v>0</v>
          </cell>
          <cell r="AD484" t="b">
            <v>0</v>
          </cell>
        </row>
        <row r="485">
          <cell r="Z485" t="b">
            <v>0</v>
          </cell>
          <cell r="AA485" t="b">
            <v>0</v>
          </cell>
          <cell r="AB485" t="b">
            <v>0</v>
          </cell>
          <cell r="AC485" t="b">
            <v>0</v>
          </cell>
          <cell r="AD485" t="b">
            <v>0</v>
          </cell>
        </row>
        <row r="486">
          <cell r="Z486" t="b">
            <v>0</v>
          </cell>
          <cell r="AA486" t="b">
            <v>0</v>
          </cell>
          <cell r="AB486" t="b">
            <v>0</v>
          </cell>
          <cell r="AC486" t="b">
            <v>0</v>
          </cell>
          <cell r="AD486" t="b">
            <v>0</v>
          </cell>
        </row>
        <row r="487">
          <cell r="Z487" t="b">
            <v>0</v>
          </cell>
          <cell r="AA487" t="b">
            <v>0</v>
          </cell>
          <cell r="AB487" t="b">
            <v>0</v>
          </cell>
          <cell r="AC487" t="b">
            <v>0</v>
          </cell>
          <cell r="AD487" t="b">
            <v>0</v>
          </cell>
        </row>
        <row r="488">
          <cell r="Z488" t="b">
            <v>0</v>
          </cell>
          <cell r="AA488" t="b">
            <v>0</v>
          </cell>
          <cell r="AB488" t="b">
            <v>0</v>
          </cell>
          <cell r="AC488" t="b">
            <v>0</v>
          </cell>
          <cell r="AD488" t="b">
            <v>0</v>
          </cell>
        </row>
        <row r="489">
          <cell r="Z489" t="b">
            <v>0</v>
          </cell>
          <cell r="AA489" t="b">
            <v>0</v>
          </cell>
          <cell r="AB489" t="b">
            <v>0</v>
          </cell>
          <cell r="AC489" t="b">
            <v>0</v>
          </cell>
          <cell r="AD489" t="b">
            <v>0</v>
          </cell>
        </row>
        <row r="490">
          <cell r="Z490" t="b">
            <v>0</v>
          </cell>
          <cell r="AA490" t="b">
            <v>0</v>
          </cell>
          <cell r="AB490" t="b">
            <v>0</v>
          </cell>
          <cell r="AC490" t="b">
            <v>0</v>
          </cell>
          <cell r="AD490" t="b">
            <v>0</v>
          </cell>
        </row>
        <row r="491">
          <cell r="Z491" t="b">
            <v>0</v>
          </cell>
          <cell r="AA491" t="b">
            <v>0</v>
          </cell>
          <cell r="AB491" t="b">
            <v>0</v>
          </cell>
          <cell r="AC491" t="b">
            <v>0</v>
          </cell>
          <cell r="AD491" t="b">
            <v>0</v>
          </cell>
        </row>
        <row r="492">
          <cell r="Z492" t="b">
            <v>0</v>
          </cell>
          <cell r="AA492" t="b">
            <v>0</v>
          </cell>
          <cell r="AB492" t="b">
            <v>0</v>
          </cell>
          <cell r="AC492" t="b">
            <v>0</v>
          </cell>
          <cell r="AD492" t="b">
            <v>0</v>
          </cell>
        </row>
        <row r="493">
          <cell r="Z493" t="b">
            <v>0</v>
          </cell>
          <cell r="AA493" t="b">
            <v>0</v>
          </cell>
          <cell r="AB493" t="b">
            <v>0</v>
          </cell>
          <cell r="AC493" t="b">
            <v>0</v>
          </cell>
          <cell r="AD493" t="b">
            <v>0</v>
          </cell>
        </row>
        <row r="494">
          <cell r="Z494" t="b">
            <v>0</v>
          </cell>
          <cell r="AA494" t="b">
            <v>0</v>
          </cell>
          <cell r="AB494" t="b">
            <v>0</v>
          </cell>
          <cell r="AC494" t="b">
            <v>0</v>
          </cell>
          <cell r="AD494" t="b">
            <v>0</v>
          </cell>
        </row>
        <row r="495">
          <cell r="Z495" t="b">
            <v>0</v>
          </cell>
          <cell r="AA495" t="b">
            <v>0</v>
          </cell>
          <cell r="AB495" t="b">
            <v>0</v>
          </cell>
          <cell r="AC495" t="b">
            <v>0</v>
          </cell>
          <cell r="AD495" t="b">
            <v>0</v>
          </cell>
        </row>
        <row r="496">
          <cell r="Z496" t="b">
            <v>0</v>
          </cell>
          <cell r="AA496" t="b">
            <v>0</v>
          </cell>
          <cell r="AB496" t="b">
            <v>0</v>
          </cell>
          <cell r="AC496" t="b">
            <v>0</v>
          </cell>
          <cell r="AD496" t="b">
            <v>0</v>
          </cell>
        </row>
        <row r="497">
          <cell r="Z497" t="b">
            <v>0</v>
          </cell>
          <cell r="AA497" t="b">
            <v>0</v>
          </cell>
          <cell r="AB497" t="b">
            <v>0</v>
          </cell>
          <cell r="AC497" t="b">
            <v>0</v>
          </cell>
          <cell r="AD497" t="b">
            <v>0</v>
          </cell>
        </row>
        <row r="498">
          <cell r="Z498" t="b">
            <v>0</v>
          </cell>
          <cell r="AA498" t="b">
            <v>0</v>
          </cell>
          <cell r="AB498" t="b">
            <v>0</v>
          </cell>
          <cell r="AC498" t="b">
            <v>0</v>
          </cell>
          <cell r="AD498" t="b">
            <v>0</v>
          </cell>
        </row>
        <row r="499">
          <cell r="Z499" t="b">
            <v>0</v>
          </cell>
          <cell r="AA499" t="b">
            <v>0</v>
          </cell>
          <cell r="AB499" t="b">
            <v>0</v>
          </cell>
          <cell r="AC499" t="b">
            <v>0</v>
          </cell>
          <cell r="AD499" t="b">
            <v>0</v>
          </cell>
        </row>
        <row r="500">
          <cell r="Z500" t="b">
            <v>0</v>
          </cell>
          <cell r="AA500" t="b">
            <v>0</v>
          </cell>
          <cell r="AB500" t="b">
            <v>0</v>
          </cell>
          <cell r="AC500" t="b">
            <v>0</v>
          </cell>
          <cell r="AD500" t="b">
            <v>0</v>
          </cell>
        </row>
        <row r="501">
          <cell r="Z501" t="b">
            <v>0</v>
          </cell>
          <cell r="AA501" t="b">
            <v>0</v>
          </cell>
          <cell r="AB501" t="b">
            <v>0</v>
          </cell>
          <cell r="AC501" t="b">
            <v>0</v>
          </cell>
          <cell r="AD501" t="b">
            <v>0</v>
          </cell>
        </row>
        <row r="502">
          <cell r="Z502" t="b">
            <v>0</v>
          </cell>
          <cell r="AA502" t="b">
            <v>0</v>
          </cell>
          <cell r="AB502" t="b">
            <v>0</v>
          </cell>
          <cell r="AC502" t="b">
            <v>0</v>
          </cell>
          <cell r="AD502" t="b">
            <v>0</v>
          </cell>
        </row>
        <row r="503">
          <cell r="Z503" t="b">
            <v>0</v>
          </cell>
          <cell r="AA503" t="b">
            <v>0</v>
          </cell>
          <cell r="AB503" t="b">
            <v>0</v>
          </cell>
          <cell r="AC503" t="b">
            <v>0</v>
          </cell>
          <cell r="AD503" t="b">
            <v>0</v>
          </cell>
        </row>
        <row r="504">
          <cell r="Z504" t="b">
            <v>0</v>
          </cell>
          <cell r="AA504" t="b">
            <v>0</v>
          </cell>
          <cell r="AB504" t="b">
            <v>0</v>
          </cell>
          <cell r="AC504" t="b">
            <v>0</v>
          </cell>
          <cell r="AD504" t="b">
            <v>0</v>
          </cell>
        </row>
        <row r="505">
          <cell r="Z505" t="b">
            <v>0</v>
          </cell>
          <cell r="AA505" t="b">
            <v>0</v>
          </cell>
          <cell r="AB505" t="b">
            <v>0</v>
          </cell>
          <cell r="AC505" t="b">
            <v>0</v>
          </cell>
          <cell r="AD505" t="b">
            <v>0</v>
          </cell>
        </row>
        <row r="506">
          <cell r="Z506" t="b">
            <v>0</v>
          </cell>
          <cell r="AA506" t="b">
            <v>0</v>
          </cell>
          <cell r="AB506" t="b">
            <v>0</v>
          </cell>
          <cell r="AC506" t="b">
            <v>0</v>
          </cell>
          <cell r="AD506" t="b">
            <v>0</v>
          </cell>
        </row>
        <row r="507">
          <cell r="Z507" t="b">
            <v>0</v>
          </cell>
          <cell r="AA507" t="b">
            <v>0</v>
          </cell>
          <cell r="AB507" t="b">
            <v>0</v>
          </cell>
          <cell r="AC507" t="b">
            <v>0</v>
          </cell>
          <cell r="AD507" t="b">
            <v>0</v>
          </cell>
        </row>
        <row r="508">
          <cell r="Z508" t="b">
            <v>0</v>
          </cell>
          <cell r="AA508" t="b">
            <v>0</v>
          </cell>
          <cell r="AB508" t="b">
            <v>0</v>
          </cell>
          <cell r="AC508" t="b">
            <v>0</v>
          </cell>
          <cell r="AD508" t="b">
            <v>0</v>
          </cell>
        </row>
        <row r="509">
          <cell r="Z509" t="b">
            <v>0</v>
          </cell>
          <cell r="AA509" t="b">
            <v>0</v>
          </cell>
          <cell r="AB509" t="b">
            <v>0</v>
          </cell>
          <cell r="AC509" t="b">
            <v>0</v>
          </cell>
          <cell r="AD509" t="b">
            <v>0</v>
          </cell>
        </row>
        <row r="510">
          <cell r="Z510" t="b">
            <v>0</v>
          </cell>
          <cell r="AA510" t="b">
            <v>0</v>
          </cell>
          <cell r="AB510" t="b">
            <v>0</v>
          </cell>
          <cell r="AC510" t="b">
            <v>0</v>
          </cell>
          <cell r="AD510" t="b">
            <v>0</v>
          </cell>
        </row>
        <row r="511">
          <cell r="Z511" t="b">
            <v>0</v>
          </cell>
          <cell r="AA511" t="b">
            <v>0</v>
          </cell>
          <cell r="AB511" t="b">
            <v>0</v>
          </cell>
          <cell r="AC511" t="b">
            <v>0</v>
          </cell>
          <cell r="AD511" t="b">
            <v>0</v>
          </cell>
        </row>
        <row r="512">
          <cell r="Z512" t="b">
            <v>0</v>
          </cell>
          <cell r="AA512" t="b">
            <v>0</v>
          </cell>
          <cell r="AB512" t="b">
            <v>0</v>
          </cell>
          <cell r="AC512" t="b">
            <v>0</v>
          </cell>
          <cell r="AD512" t="b">
            <v>0</v>
          </cell>
        </row>
        <row r="513">
          <cell r="Z513" t="b">
            <v>0</v>
          </cell>
          <cell r="AA513" t="b">
            <v>0</v>
          </cell>
          <cell r="AB513" t="b">
            <v>0</v>
          </cell>
          <cell r="AC513" t="b">
            <v>0</v>
          </cell>
          <cell r="AD513" t="b">
            <v>0</v>
          </cell>
        </row>
        <row r="514">
          <cell r="Z514" t="b">
            <v>0</v>
          </cell>
          <cell r="AA514" t="b">
            <v>0</v>
          </cell>
          <cell r="AB514" t="b">
            <v>0</v>
          </cell>
          <cell r="AC514" t="b">
            <v>0</v>
          </cell>
          <cell r="AD514" t="b">
            <v>0</v>
          </cell>
        </row>
        <row r="515">
          <cell r="Z515" t="b">
            <v>0</v>
          </cell>
          <cell r="AA515" t="b">
            <v>0</v>
          </cell>
          <cell r="AB515" t="b">
            <v>0</v>
          </cell>
          <cell r="AC515" t="b">
            <v>0</v>
          </cell>
          <cell r="AD515" t="b">
            <v>0</v>
          </cell>
        </row>
        <row r="516">
          <cell r="Z516" t="b">
            <v>0</v>
          </cell>
          <cell r="AA516" t="b">
            <v>0</v>
          </cell>
          <cell r="AB516" t="b">
            <v>0</v>
          </cell>
          <cell r="AC516" t="b">
            <v>0</v>
          </cell>
          <cell r="AD516" t="b">
            <v>0</v>
          </cell>
        </row>
        <row r="517">
          <cell r="Z517" t="b">
            <v>0</v>
          </cell>
          <cell r="AA517" t="b">
            <v>0</v>
          </cell>
          <cell r="AB517" t="b">
            <v>0</v>
          </cell>
          <cell r="AC517" t="b">
            <v>0</v>
          </cell>
          <cell r="AD517" t="b">
            <v>0</v>
          </cell>
        </row>
        <row r="518">
          <cell r="Z518" t="b">
            <v>0</v>
          </cell>
          <cell r="AA518" t="b">
            <v>0</v>
          </cell>
          <cell r="AB518" t="b">
            <v>0</v>
          </cell>
          <cell r="AC518" t="b">
            <v>0</v>
          </cell>
          <cell r="AD518" t="b">
            <v>0</v>
          </cell>
        </row>
        <row r="519">
          <cell r="Z519" t="b">
            <v>0</v>
          </cell>
          <cell r="AA519" t="b">
            <v>0</v>
          </cell>
          <cell r="AB519" t="b">
            <v>0</v>
          </cell>
          <cell r="AC519" t="b">
            <v>0</v>
          </cell>
          <cell r="AD519" t="b">
            <v>0</v>
          </cell>
        </row>
        <row r="520">
          <cell r="Z520" t="b">
            <v>0</v>
          </cell>
          <cell r="AA520" t="b">
            <v>0</v>
          </cell>
          <cell r="AB520" t="b">
            <v>0</v>
          </cell>
          <cell r="AC520" t="b">
            <v>0</v>
          </cell>
          <cell r="AD520" t="b">
            <v>0</v>
          </cell>
        </row>
        <row r="521">
          <cell r="Z521" t="b">
            <v>0</v>
          </cell>
          <cell r="AA521" t="b">
            <v>0</v>
          </cell>
          <cell r="AB521" t="b">
            <v>0</v>
          </cell>
          <cell r="AC521" t="b">
            <v>0</v>
          </cell>
          <cell r="AD521" t="b">
            <v>0</v>
          </cell>
        </row>
        <row r="522">
          <cell r="Z522" t="b">
            <v>0</v>
          </cell>
          <cell r="AA522" t="b">
            <v>0</v>
          </cell>
          <cell r="AB522" t="b">
            <v>0</v>
          </cell>
          <cell r="AC522" t="b">
            <v>0</v>
          </cell>
          <cell r="AD522" t="b">
            <v>0</v>
          </cell>
        </row>
        <row r="523">
          <cell r="Z523" t="b">
            <v>0</v>
          </cell>
          <cell r="AA523" t="b">
            <v>0</v>
          </cell>
          <cell r="AB523" t="b">
            <v>0</v>
          </cell>
          <cell r="AC523" t="b">
            <v>0</v>
          </cell>
          <cell r="AD523" t="b">
            <v>0</v>
          </cell>
        </row>
        <row r="524">
          <cell r="Z524" t="b">
            <v>0</v>
          </cell>
          <cell r="AA524" t="b">
            <v>0</v>
          </cell>
          <cell r="AB524" t="b">
            <v>0</v>
          </cell>
          <cell r="AC524" t="b">
            <v>0</v>
          </cell>
          <cell r="AD524" t="b">
            <v>0</v>
          </cell>
        </row>
        <row r="525">
          <cell r="Z525" t="b">
            <v>0</v>
          </cell>
          <cell r="AA525" t="b">
            <v>0</v>
          </cell>
          <cell r="AB525" t="b">
            <v>0</v>
          </cell>
          <cell r="AC525" t="b">
            <v>0</v>
          </cell>
          <cell r="AD525" t="b">
            <v>0</v>
          </cell>
        </row>
        <row r="526">
          <cell r="Z526" t="b">
            <v>0</v>
          </cell>
          <cell r="AA526" t="b">
            <v>0</v>
          </cell>
          <cell r="AB526" t="b">
            <v>0</v>
          </cell>
          <cell r="AC526" t="b">
            <v>0</v>
          </cell>
          <cell r="AD526" t="b">
            <v>0</v>
          </cell>
        </row>
        <row r="527">
          <cell r="Z527" t="b">
            <v>0</v>
          </cell>
          <cell r="AA527" t="b">
            <v>0</v>
          </cell>
          <cell r="AB527" t="b">
            <v>0</v>
          </cell>
          <cell r="AC527" t="b">
            <v>0</v>
          </cell>
          <cell r="AD527" t="b">
            <v>0</v>
          </cell>
        </row>
        <row r="528">
          <cell r="Z528" t="b">
            <v>0</v>
          </cell>
          <cell r="AA528" t="b">
            <v>0</v>
          </cell>
          <cell r="AB528" t="b">
            <v>0</v>
          </cell>
          <cell r="AC528" t="b">
            <v>0</v>
          </cell>
          <cell r="AD528" t="b">
            <v>0</v>
          </cell>
        </row>
        <row r="529">
          <cell r="Z529" t="b">
            <v>0</v>
          </cell>
          <cell r="AA529" t="b">
            <v>0</v>
          </cell>
          <cell r="AB529" t="b">
            <v>0</v>
          </cell>
          <cell r="AC529" t="b">
            <v>0</v>
          </cell>
          <cell r="AD529" t="b">
            <v>0</v>
          </cell>
        </row>
        <row r="530">
          <cell r="Z530" t="b">
            <v>0</v>
          </cell>
          <cell r="AA530" t="b">
            <v>0</v>
          </cell>
          <cell r="AB530" t="b">
            <v>0</v>
          </cell>
          <cell r="AC530" t="b">
            <v>0</v>
          </cell>
          <cell r="AD530" t="b">
            <v>0</v>
          </cell>
        </row>
        <row r="531">
          <cell r="Z531" t="b">
            <v>0</v>
          </cell>
          <cell r="AA531" t="b">
            <v>0</v>
          </cell>
          <cell r="AB531" t="b">
            <v>0</v>
          </cell>
          <cell r="AC531" t="b">
            <v>0</v>
          </cell>
          <cell r="AD531" t="b">
            <v>0</v>
          </cell>
        </row>
        <row r="532">
          <cell r="Z532" t="b">
            <v>0</v>
          </cell>
          <cell r="AA532" t="b">
            <v>0</v>
          </cell>
          <cell r="AB532" t="b">
            <v>0</v>
          </cell>
          <cell r="AC532" t="b">
            <v>0</v>
          </cell>
          <cell r="AD532" t="b">
            <v>0</v>
          </cell>
        </row>
        <row r="533">
          <cell r="Z533" t="b">
            <v>0</v>
          </cell>
          <cell r="AA533" t="b">
            <v>0</v>
          </cell>
          <cell r="AB533" t="b">
            <v>0</v>
          </cell>
          <cell r="AC533" t="b">
            <v>0</v>
          </cell>
          <cell r="AD533" t="b">
            <v>0</v>
          </cell>
        </row>
        <row r="534">
          <cell r="Z534" t="b">
            <v>0</v>
          </cell>
          <cell r="AA534" t="b">
            <v>0</v>
          </cell>
          <cell r="AB534" t="b">
            <v>0</v>
          </cell>
          <cell r="AC534" t="b">
            <v>0</v>
          </cell>
          <cell r="AD534" t="b">
            <v>0</v>
          </cell>
        </row>
        <row r="535">
          <cell r="Z535" t="b">
            <v>0</v>
          </cell>
          <cell r="AA535" t="b">
            <v>0</v>
          </cell>
          <cell r="AB535" t="b">
            <v>0</v>
          </cell>
          <cell r="AC535" t="b">
            <v>0</v>
          </cell>
          <cell r="AD535" t="b">
            <v>0</v>
          </cell>
        </row>
        <row r="536">
          <cell r="Z536" t="b">
            <v>0</v>
          </cell>
          <cell r="AA536" t="b">
            <v>0</v>
          </cell>
          <cell r="AB536" t="b">
            <v>0</v>
          </cell>
          <cell r="AC536" t="b">
            <v>0</v>
          </cell>
          <cell r="AD536" t="b">
            <v>0</v>
          </cell>
        </row>
        <row r="537">
          <cell r="Z537" t="b">
            <v>0</v>
          </cell>
          <cell r="AA537" t="b">
            <v>0</v>
          </cell>
          <cell r="AB537" t="b">
            <v>0</v>
          </cell>
          <cell r="AC537" t="b">
            <v>0</v>
          </cell>
          <cell r="AD537" t="b">
            <v>0</v>
          </cell>
        </row>
        <row r="538">
          <cell r="Z538" t="b">
            <v>0</v>
          </cell>
          <cell r="AA538" t="b">
            <v>0</v>
          </cell>
          <cell r="AB538" t="b">
            <v>0</v>
          </cell>
          <cell r="AC538" t="b">
            <v>0</v>
          </cell>
          <cell r="AD538" t="b">
            <v>0</v>
          </cell>
        </row>
        <row r="539">
          <cell r="Z539" t="b">
            <v>0</v>
          </cell>
          <cell r="AA539" t="b">
            <v>0</v>
          </cell>
          <cell r="AB539" t="b">
            <v>0</v>
          </cell>
          <cell r="AC539" t="b">
            <v>0</v>
          </cell>
          <cell r="AD539" t="b">
            <v>0</v>
          </cell>
        </row>
        <row r="540">
          <cell r="Z540" t="b">
            <v>0</v>
          </cell>
          <cell r="AA540" t="b">
            <v>0</v>
          </cell>
          <cell r="AB540" t="b">
            <v>0</v>
          </cell>
          <cell r="AC540" t="b">
            <v>0</v>
          </cell>
          <cell r="AD540" t="b">
            <v>0</v>
          </cell>
        </row>
        <row r="541">
          <cell r="Z541" t="b">
            <v>0</v>
          </cell>
          <cell r="AA541" t="b">
            <v>0</v>
          </cell>
          <cell r="AB541" t="b">
            <v>0</v>
          </cell>
          <cell r="AC541" t="b">
            <v>0</v>
          </cell>
          <cell r="AD541" t="b">
            <v>0</v>
          </cell>
        </row>
        <row r="542">
          <cell r="Z542" t="b">
            <v>0</v>
          </cell>
          <cell r="AA542" t="b">
            <v>0</v>
          </cell>
          <cell r="AB542" t="b">
            <v>0</v>
          </cell>
          <cell r="AC542" t="b">
            <v>0</v>
          </cell>
          <cell r="AD542" t="b">
            <v>0</v>
          </cell>
        </row>
        <row r="543">
          <cell r="Z543" t="b">
            <v>0</v>
          </cell>
          <cell r="AA543" t="b">
            <v>0</v>
          </cell>
          <cell r="AB543" t="b">
            <v>0</v>
          </cell>
          <cell r="AC543" t="b">
            <v>0</v>
          </cell>
          <cell r="AD543" t="b">
            <v>0</v>
          </cell>
        </row>
        <row r="544">
          <cell r="Z544" t="b">
            <v>0</v>
          </cell>
          <cell r="AA544" t="b">
            <v>0</v>
          </cell>
          <cell r="AB544" t="b">
            <v>0</v>
          </cell>
          <cell r="AC544" t="b">
            <v>0</v>
          </cell>
          <cell r="AD544" t="b">
            <v>0</v>
          </cell>
        </row>
        <row r="545">
          <cell r="Z545" t="b">
            <v>0</v>
          </cell>
          <cell r="AA545" t="b">
            <v>0</v>
          </cell>
          <cell r="AB545" t="b">
            <v>0</v>
          </cell>
          <cell r="AC545" t="b">
            <v>0</v>
          </cell>
          <cell r="AD545" t="b">
            <v>0</v>
          </cell>
        </row>
        <row r="546">
          <cell r="Z546" t="b">
            <v>0</v>
          </cell>
          <cell r="AA546" t="b">
            <v>0</v>
          </cell>
          <cell r="AB546" t="b">
            <v>0</v>
          </cell>
          <cell r="AC546" t="b">
            <v>0</v>
          </cell>
          <cell r="AD546" t="b">
            <v>0</v>
          </cell>
        </row>
        <row r="547">
          <cell r="Z547" t="b">
            <v>0</v>
          </cell>
          <cell r="AA547" t="b">
            <v>0</v>
          </cell>
          <cell r="AB547" t="b">
            <v>0</v>
          </cell>
          <cell r="AC547" t="b">
            <v>0</v>
          </cell>
          <cell r="AD547" t="b">
            <v>0</v>
          </cell>
        </row>
        <row r="548">
          <cell r="Z548" t="b">
            <v>0</v>
          </cell>
          <cell r="AA548" t="b">
            <v>0</v>
          </cell>
          <cell r="AB548" t="b">
            <v>0</v>
          </cell>
          <cell r="AC548" t="b">
            <v>0</v>
          </cell>
          <cell r="AD548" t="b">
            <v>0</v>
          </cell>
        </row>
        <row r="549">
          <cell r="Z549" t="b">
            <v>0</v>
          </cell>
          <cell r="AA549" t="b">
            <v>0</v>
          </cell>
          <cell r="AB549" t="b">
            <v>0</v>
          </cell>
          <cell r="AC549" t="b">
            <v>0</v>
          </cell>
          <cell r="AD549" t="b">
            <v>0</v>
          </cell>
        </row>
        <row r="550">
          <cell r="Z550" t="b">
            <v>0</v>
          </cell>
          <cell r="AA550" t="b">
            <v>0</v>
          </cell>
          <cell r="AB550" t="b">
            <v>0</v>
          </cell>
          <cell r="AC550" t="b">
            <v>0</v>
          </cell>
          <cell r="AD550" t="b">
            <v>0</v>
          </cell>
        </row>
        <row r="551">
          <cell r="Z551" t="b">
            <v>0</v>
          </cell>
          <cell r="AA551" t="b">
            <v>0</v>
          </cell>
          <cell r="AB551" t="b">
            <v>0</v>
          </cell>
          <cell r="AC551" t="b">
            <v>0</v>
          </cell>
          <cell r="AD551" t="b">
            <v>0</v>
          </cell>
        </row>
        <row r="552">
          <cell r="Z552" t="b">
            <v>0</v>
          </cell>
          <cell r="AA552" t="b">
            <v>0</v>
          </cell>
          <cell r="AB552" t="b">
            <v>0</v>
          </cell>
          <cell r="AC552" t="b">
            <v>0</v>
          </cell>
          <cell r="AD552" t="b">
            <v>0</v>
          </cell>
        </row>
        <row r="553">
          <cell r="Z553" t="b">
            <v>0</v>
          </cell>
          <cell r="AA553" t="b">
            <v>0</v>
          </cell>
          <cell r="AB553" t="b">
            <v>0</v>
          </cell>
          <cell r="AC553" t="b">
            <v>0</v>
          </cell>
          <cell r="AD553" t="b">
            <v>0</v>
          </cell>
        </row>
        <row r="554">
          <cell r="Z554" t="b">
            <v>0</v>
          </cell>
          <cell r="AA554" t="b">
            <v>0</v>
          </cell>
          <cell r="AB554" t="b">
            <v>0</v>
          </cell>
          <cell r="AC554" t="b">
            <v>0</v>
          </cell>
          <cell r="AD554" t="b">
            <v>0</v>
          </cell>
        </row>
        <row r="555">
          <cell r="Z555" t="b">
            <v>0</v>
          </cell>
          <cell r="AA555" t="b">
            <v>0</v>
          </cell>
          <cell r="AB555" t="b">
            <v>0</v>
          </cell>
          <cell r="AC555" t="b">
            <v>0</v>
          </cell>
          <cell r="AD555" t="b">
            <v>0</v>
          </cell>
        </row>
        <row r="556">
          <cell r="Z556" t="b">
            <v>0</v>
          </cell>
          <cell r="AA556" t="b">
            <v>0</v>
          </cell>
          <cell r="AB556" t="b">
            <v>0</v>
          </cell>
          <cell r="AC556" t="b">
            <v>0</v>
          </cell>
          <cell r="AD556" t="b">
            <v>0</v>
          </cell>
        </row>
        <row r="557">
          <cell r="Z557" t="b">
            <v>0</v>
          </cell>
          <cell r="AA557" t="b">
            <v>0</v>
          </cell>
          <cell r="AB557" t="b">
            <v>0</v>
          </cell>
          <cell r="AC557" t="b">
            <v>0</v>
          </cell>
          <cell r="AD557" t="b">
            <v>0</v>
          </cell>
        </row>
        <row r="558">
          <cell r="Z558" t="b">
            <v>0</v>
          </cell>
          <cell r="AA558" t="b">
            <v>0</v>
          </cell>
          <cell r="AB558" t="b">
            <v>0</v>
          </cell>
          <cell r="AC558" t="b">
            <v>0</v>
          </cell>
          <cell r="AD558" t="b">
            <v>0</v>
          </cell>
        </row>
        <row r="559">
          <cell r="Z559" t="b">
            <v>0</v>
          </cell>
          <cell r="AA559" t="b">
            <v>0</v>
          </cell>
          <cell r="AB559" t="b">
            <v>0</v>
          </cell>
          <cell r="AC559" t="b">
            <v>0</v>
          </cell>
          <cell r="AD559" t="b">
            <v>0</v>
          </cell>
        </row>
        <row r="560">
          <cell r="Z560" t="b">
            <v>0</v>
          </cell>
          <cell r="AA560" t="b">
            <v>0</v>
          </cell>
          <cell r="AB560" t="b">
            <v>0</v>
          </cell>
          <cell r="AC560" t="b">
            <v>0</v>
          </cell>
          <cell r="AD560" t="b">
            <v>0</v>
          </cell>
        </row>
        <row r="561">
          <cell r="Z561" t="b">
            <v>0</v>
          </cell>
          <cell r="AA561" t="b">
            <v>0</v>
          </cell>
          <cell r="AB561" t="b">
            <v>0</v>
          </cell>
          <cell r="AC561" t="b">
            <v>0</v>
          </cell>
          <cell r="AD561" t="b">
            <v>0</v>
          </cell>
        </row>
        <row r="562">
          <cell r="Z562" t="b">
            <v>0</v>
          </cell>
          <cell r="AA562" t="b">
            <v>0</v>
          </cell>
          <cell r="AB562" t="b">
            <v>0</v>
          </cell>
          <cell r="AC562" t="b">
            <v>0</v>
          </cell>
          <cell r="AD562" t="b">
            <v>0</v>
          </cell>
        </row>
        <row r="563">
          <cell r="Z563" t="b">
            <v>0</v>
          </cell>
          <cell r="AA563" t="b">
            <v>0</v>
          </cell>
          <cell r="AB563" t="b">
            <v>0</v>
          </cell>
          <cell r="AC563" t="b">
            <v>0</v>
          </cell>
          <cell r="AD563" t="b">
            <v>0</v>
          </cell>
        </row>
        <row r="564">
          <cell r="Z564" t="b">
            <v>0</v>
          </cell>
          <cell r="AA564" t="b">
            <v>0</v>
          </cell>
          <cell r="AB564" t="b">
            <v>0</v>
          </cell>
          <cell r="AC564" t="b">
            <v>0</v>
          </cell>
          <cell r="AD564" t="b">
            <v>0</v>
          </cell>
        </row>
        <row r="565">
          <cell r="Z565" t="b">
            <v>0</v>
          </cell>
          <cell r="AA565" t="b">
            <v>0</v>
          </cell>
          <cell r="AB565" t="b">
            <v>0</v>
          </cell>
          <cell r="AC565" t="b">
            <v>0</v>
          </cell>
          <cell r="AD565" t="b">
            <v>0</v>
          </cell>
        </row>
        <row r="566">
          <cell r="Z566" t="b">
            <v>0</v>
          </cell>
          <cell r="AA566" t="b">
            <v>0</v>
          </cell>
          <cell r="AB566" t="b">
            <v>0</v>
          </cell>
          <cell r="AC566" t="b">
            <v>0</v>
          </cell>
          <cell r="AD566" t="b">
            <v>0</v>
          </cell>
        </row>
        <row r="567">
          <cell r="Z567" t="b">
            <v>0</v>
          </cell>
          <cell r="AA567" t="b">
            <v>0</v>
          </cell>
          <cell r="AB567" t="b">
            <v>0</v>
          </cell>
          <cell r="AC567" t="b">
            <v>0</v>
          </cell>
          <cell r="AD567" t="b">
            <v>0</v>
          </cell>
        </row>
        <row r="568">
          <cell r="Z568" t="b">
            <v>0</v>
          </cell>
          <cell r="AA568" t="b">
            <v>0</v>
          </cell>
          <cell r="AB568" t="b">
            <v>0</v>
          </cell>
          <cell r="AC568" t="b">
            <v>0</v>
          </cell>
          <cell r="AD568" t="b">
            <v>0</v>
          </cell>
        </row>
        <row r="569">
          <cell r="Z569" t="b">
            <v>0</v>
          </cell>
          <cell r="AA569" t="b">
            <v>0</v>
          </cell>
          <cell r="AB569" t="b">
            <v>0</v>
          </cell>
          <cell r="AC569" t="b">
            <v>0</v>
          </cell>
          <cell r="AD569" t="b">
            <v>0</v>
          </cell>
        </row>
        <row r="570">
          <cell r="Z570" t="b">
            <v>0</v>
          </cell>
          <cell r="AA570" t="b">
            <v>0</v>
          </cell>
          <cell r="AB570" t="b">
            <v>0</v>
          </cell>
          <cell r="AC570" t="b">
            <v>0</v>
          </cell>
          <cell r="AD570" t="b">
            <v>0</v>
          </cell>
        </row>
        <row r="571">
          <cell r="Z571" t="b">
            <v>0</v>
          </cell>
          <cell r="AA571" t="b">
            <v>0</v>
          </cell>
          <cell r="AB571" t="b">
            <v>0</v>
          </cell>
          <cell r="AC571" t="b">
            <v>0</v>
          </cell>
          <cell r="AD571" t="b">
            <v>0</v>
          </cell>
        </row>
        <row r="572">
          <cell r="Z572" t="b">
            <v>0</v>
          </cell>
          <cell r="AA572" t="b">
            <v>0</v>
          </cell>
          <cell r="AB572" t="b">
            <v>0</v>
          </cell>
          <cell r="AC572" t="b">
            <v>0</v>
          </cell>
          <cell r="AD572" t="b">
            <v>0</v>
          </cell>
        </row>
        <row r="573">
          <cell r="Z573" t="b">
            <v>0</v>
          </cell>
          <cell r="AA573" t="b">
            <v>0</v>
          </cell>
          <cell r="AB573" t="b">
            <v>0</v>
          </cell>
          <cell r="AC573" t="b">
            <v>0</v>
          </cell>
          <cell r="AD573" t="b">
            <v>0</v>
          </cell>
        </row>
        <row r="574">
          <cell r="Z574" t="b">
            <v>0</v>
          </cell>
          <cell r="AA574" t="b">
            <v>0</v>
          </cell>
          <cell r="AB574" t="b">
            <v>0</v>
          </cell>
          <cell r="AC574" t="b">
            <v>0</v>
          </cell>
          <cell r="AD574" t="b">
            <v>0</v>
          </cell>
        </row>
        <row r="575">
          <cell r="Z575" t="b">
            <v>0</v>
          </cell>
          <cell r="AA575" t="b">
            <v>0</v>
          </cell>
          <cell r="AB575" t="b">
            <v>0</v>
          </cell>
          <cell r="AC575" t="b">
            <v>0</v>
          </cell>
          <cell r="AD575" t="b">
            <v>0</v>
          </cell>
        </row>
        <row r="576">
          <cell r="Z576" t="b">
            <v>0</v>
          </cell>
          <cell r="AA576" t="b">
            <v>0</v>
          </cell>
          <cell r="AB576" t="b">
            <v>0</v>
          </cell>
          <cell r="AC576" t="b">
            <v>0</v>
          </cell>
          <cell r="AD576" t="b">
            <v>0</v>
          </cell>
        </row>
        <row r="577">
          <cell r="Z577" t="b">
            <v>0</v>
          </cell>
          <cell r="AA577" t="b">
            <v>0</v>
          </cell>
          <cell r="AB577" t="b">
            <v>0</v>
          </cell>
          <cell r="AC577" t="b">
            <v>0</v>
          </cell>
          <cell r="AD577" t="b">
            <v>0</v>
          </cell>
        </row>
        <row r="578">
          <cell r="Z578" t="b">
            <v>0</v>
          </cell>
          <cell r="AA578" t="b">
            <v>0</v>
          </cell>
          <cell r="AB578" t="b">
            <v>0</v>
          </cell>
          <cell r="AC578" t="b">
            <v>0</v>
          </cell>
          <cell r="AD578" t="b">
            <v>0</v>
          </cell>
        </row>
        <row r="579">
          <cell r="Z579" t="b">
            <v>0</v>
          </cell>
          <cell r="AA579" t="b">
            <v>0</v>
          </cell>
          <cell r="AB579" t="b">
            <v>0</v>
          </cell>
          <cell r="AC579" t="b">
            <v>0</v>
          </cell>
          <cell r="AD579" t="b">
            <v>0</v>
          </cell>
        </row>
        <row r="580">
          <cell r="Z580" t="b">
            <v>0</v>
          </cell>
          <cell r="AA580" t="b">
            <v>0</v>
          </cell>
          <cell r="AB580" t="b">
            <v>0</v>
          </cell>
          <cell r="AC580" t="b">
            <v>0</v>
          </cell>
          <cell r="AD580" t="b">
            <v>0</v>
          </cell>
        </row>
        <row r="581">
          <cell r="Z581" t="b">
            <v>0</v>
          </cell>
          <cell r="AA581" t="b">
            <v>0</v>
          </cell>
          <cell r="AB581" t="b">
            <v>0</v>
          </cell>
          <cell r="AC581" t="b">
            <v>0</v>
          </cell>
          <cell r="AD581" t="b">
            <v>0</v>
          </cell>
        </row>
        <row r="582">
          <cell r="Z582" t="b">
            <v>0</v>
          </cell>
          <cell r="AA582" t="b">
            <v>0</v>
          </cell>
          <cell r="AB582" t="b">
            <v>0</v>
          </cell>
          <cell r="AC582" t="b">
            <v>0</v>
          </cell>
          <cell r="AD582" t="b">
            <v>0</v>
          </cell>
        </row>
        <row r="583">
          <cell r="Z583" t="b">
            <v>0</v>
          </cell>
          <cell r="AA583" t="b">
            <v>0</v>
          </cell>
          <cell r="AB583" t="b">
            <v>0</v>
          </cell>
          <cell r="AC583" t="b">
            <v>0</v>
          </cell>
          <cell r="AD583" t="b">
            <v>0</v>
          </cell>
        </row>
        <row r="584">
          <cell r="Z584" t="b">
            <v>0</v>
          </cell>
          <cell r="AA584" t="b">
            <v>0</v>
          </cell>
          <cell r="AB584" t="b">
            <v>0</v>
          </cell>
          <cell r="AC584" t="b">
            <v>0</v>
          </cell>
          <cell r="AD584" t="b">
            <v>0</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Valuation Summary"/>
      <sheetName val="EWC"/>
      <sheetName val="MW-Cache"/>
      <sheetName val="mwareSettings"/>
      <sheetName val="Rate Case"/>
      <sheetName val="EMG 5"/>
    </sheetNames>
    <sheetDataSet>
      <sheetData sheetId="0" refreshError="1"/>
      <sheetData sheetId="1" refreshError="1">
        <row r="8">
          <cell r="BO8">
            <v>0.4</v>
          </cell>
        </row>
        <row r="11">
          <cell r="BO11">
            <v>72.260000000000005</v>
          </cell>
        </row>
      </sheetData>
      <sheetData sheetId="2" refreshError="1"/>
      <sheetData sheetId="3" refreshError="1"/>
      <sheetData sheetId="4" refreshError="1"/>
      <sheetData sheetId="5" refreshError="1"/>
      <sheetData sheetId="6"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Introduction"/>
      <sheetName val="Income Statement"/>
      <sheetName val="Cash Flow"/>
      <sheetName val="Balance Sheet"/>
      <sheetName val="Fin Stats"/>
      <sheetName val="PTF Worksheet"/>
      <sheetName val="Power Plants"/>
      <sheetName val="Op Co"/>
      <sheetName val="DCF - Valuation"/>
      <sheetName val="Oil Consumption – barrels"/>
      <sheetName val="New Resources"/>
      <sheetName val="Trading Vol"/>
      <sheetName val="TX Brownfield"/>
      <sheetName val="ERCOT Res Margin"/>
      <sheetName val="SE Assets &amp; RFPs"/>
    </sheetNames>
    <sheetDataSet>
      <sheetData sheetId="0" refreshError="1"/>
      <sheetData sheetId="1" refreshError="1">
        <row r="1">
          <cell r="O1" t="str">
            <v>Jennifer Rowland/Seth Tennant (212) 622-6702/6616</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Introduction"/>
      <sheetName val="Income Statement"/>
      <sheetName val="Cash Flow"/>
      <sheetName val="Balance Sheet"/>
      <sheetName val="Fin Stats"/>
      <sheetName val="PTF Worksheet"/>
      <sheetName val="Power Plants"/>
      <sheetName val="Op Co"/>
      <sheetName val="DCF - Valuation"/>
      <sheetName val="New Resources"/>
      <sheetName val="Trading Vol"/>
      <sheetName val="TX Brownfield"/>
      <sheetName val="ERCOT Res Margin"/>
      <sheetName val="SE Assets &amp; RFPs"/>
    </sheetNames>
    <sheetDataSet>
      <sheetData sheetId="0" refreshError="1"/>
      <sheetData sheetId="1" refreshError="1">
        <row r="1">
          <cell r="O1" t="str">
            <v>Jennifer Rowland/Seth Tennant (212) 622-6702/6616</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come Statement"/>
      <sheetName val="Fin Stats"/>
      <sheetName val="Model Introduction"/>
      <sheetName val="Quarterly"/>
      <sheetName val="Cash Flow"/>
      <sheetName val="Balance Sheet"/>
      <sheetName val="APS"/>
      <sheetName val="Power Plants"/>
    </sheetNames>
    <sheetDataSet>
      <sheetData sheetId="0" refreshError="1">
        <row r="1">
          <cell r="K1" t="str">
            <v>no</v>
          </cell>
        </row>
        <row r="2">
          <cell r="K2" t="str">
            <v>yes</v>
          </cell>
        </row>
      </sheetData>
      <sheetData sheetId="1" refreshError="1">
        <row r="22">
          <cell r="B22">
            <v>0.77868308483197712</v>
          </cell>
          <cell r="C22">
            <v>0.77606831840530421</v>
          </cell>
          <cell r="D22">
            <v>0.74089945591522299</v>
          </cell>
          <cell r="E22">
            <v>0.56459162653765549</v>
          </cell>
          <cell r="F22">
            <v>0.55949532085758447</v>
          </cell>
          <cell r="G22">
            <v>0.73700848488157678</v>
          </cell>
          <cell r="H22">
            <v>0.69402864309410139</v>
          </cell>
          <cell r="I22">
            <v>0.70492076089335931</v>
          </cell>
          <cell r="J22">
            <v>0.70594664159430798</v>
          </cell>
          <cell r="K22">
            <v>0.6975307483044092</v>
          </cell>
          <cell r="L22">
            <v>0.69864210564587026</v>
          </cell>
        </row>
        <row r="23">
          <cell r="B23">
            <v>0.26512586803380017</v>
          </cell>
          <cell r="C23">
            <v>0.26212612094661353</v>
          </cell>
          <cell r="D23">
            <v>0.24889253359674626</v>
          </cell>
          <cell r="E23">
            <v>0.20671051526483869</v>
          </cell>
          <cell r="F23">
            <v>0.19918190876953953</v>
          </cell>
          <cell r="G23">
            <v>0.19567402614588736</v>
          </cell>
          <cell r="H23">
            <v>0.17107108535153723</v>
          </cell>
          <cell r="I23">
            <v>0.19520208673037562</v>
          </cell>
          <cell r="J23">
            <v>0.21129361392514523</v>
          </cell>
          <cell r="K23">
            <v>0.2082445975058651</v>
          </cell>
          <cell r="L23">
            <v>0.20815358761461225</v>
          </cell>
        </row>
        <row r="24">
          <cell r="B24">
            <v>0.26088832927490679</v>
          </cell>
          <cell r="C24">
            <v>0.25757266872681783</v>
          </cell>
          <cell r="D24">
            <v>0.25312829427217692</v>
          </cell>
          <cell r="E24">
            <v>0.20558951018777882</v>
          </cell>
          <cell r="F24">
            <v>0.19707200770300976</v>
          </cell>
          <cell r="G24">
            <v>0.18863988224226549</v>
          </cell>
          <cell r="H24">
            <v>0.18144387994827263</v>
          </cell>
          <cell r="I24">
            <v>0.19520208673037562</v>
          </cell>
          <cell r="J24">
            <v>0.21129361392514523</v>
          </cell>
          <cell r="K24">
            <v>0.2082445975058651</v>
          </cell>
          <cell r="L24">
            <v>0.20815358761461225</v>
          </cell>
        </row>
        <row r="25">
          <cell r="B25">
            <v>0.18185176534040171</v>
          </cell>
          <cell r="C25">
            <v>0.18649941016318411</v>
          </cell>
          <cell r="D25">
            <v>0.18699715115774271</v>
          </cell>
          <cell r="E25">
            <v>0.15916925734134915</v>
          </cell>
          <cell r="F25">
            <v>0.15937015873315177</v>
          </cell>
          <cell r="G25">
            <v>0.13394601026285033</v>
          </cell>
          <cell r="H25">
            <v>0.11928802506306217</v>
          </cell>
          <cell r="I25">
            <v>0.12875036830087194</v>
          </cell>
          <cell r="J25">
            <v>0.1486966617201877</v>
          </cell>
          <cell r="K25">
            <v>0.14377537219807365</v>
          </cell>
          <cell r="L25">
            <v>0.14648565228403998</v>
          </cell>
        </row>
        <row r="26">
          <cell r="B26">
            <v>0.11822201815916197</v>
          </cell>
          <cell r="C26">
            <v>0.11874566422274271</v>
          </cell>
          <cell r="D26">
            <v>0.1226324993488165</v>
          </cell>
          <cell r="E26">
            <v>9.6916130099419157E-2</v>
          </cell>
          <cell r="F26">
            <v>9.6454682648604906E-2</v>
          </cell>
          <cell r="G26">
            <v>8.1581432984526719E-2</v>
          </cell>
          <cell r="H26">
            <v>8.1826866705561496E-2</v>
          </cell>
          <cell r="I26">
            <v>7.8537724663531885E-2</v>
          </cell>
          <cell r="J26">
            <v>9.0704963649314505E-2</v>
          </cell>
          <cell r="K26">
            <v>8.7702977040824942E-2</v>
          </cell>
          <cell r="L26">
            <v>8.9356247893264379E-2</v>
          </cell>
        </row>
        <row r="29">
          <cell r="B29">
            <v>3.4429436923328942E-2</v>
          </cell>
          <cell r="C29">
            <v>3.5613639256115222E-2</v>
          </cell>
          <cell r="D29">
            <v>4.0382013379539436E-2</v>
          </cell>
          <cell r="E29">
            <v>4.4156396121133194E-2</v>
          </cell>
          <cell r="F29">
            <v>4.3469069913782049E-2</v>
          </cell>
          <cell r="G29">
            <v>2.6293957209824085E-2</v>
          </cell>
          <cell r="H29">
            <v>2.6927331351401528E-2</v>
          </cell>
          <cell r="I29">
            <v>2.6258240985668199E-2</v>
          </cell>
          <cell r="J29">
            <v>3.2988277881780916E-2</v>
          </cell>
          <cell r="K29">
            <v>3.1580055492802954E-2</v>
          </cell>
          <cell r="L29">
            <v>3.288898464941778E-2</v>
          </cell>
        </row>
        <row r="30">
          <cell r="B30">
            <v>0.10727568535752587</v>
          </cell>
          <cell r="C30">
            <v>0.1089888716857194</v>
          </cell>
          <cell r="D30">
            <v>0.12085679246022625</v>
          </cell>
          <cell r="E30">
            <v>0.13177966314092776</v>
          </cell>
          <cell r="F30">
            <v>0.13411082300277516</v>
          </cell>
          <cell r="G30">
            <v>8.298293155729565E-2</v>
          </cell>
          <cell r="H30">
            <v>8.4685748760105831E-2</v>
          </cell>
          <cell r="I30">
            <v>8.1853777456058971E-2</v>
          </cell>
          <cell r="J30">
            <v>0.10026353723059922</v>
          </cell>
          <cell r="K30">
            <v>9.307361227777565E-2</v>
          </cell>
          <cell r="L30">
            <v>9.4387736900846675E-2</v>
          </cell>
        </row>
        <row r="31">
          <cell r="B31">
            <v>7.2264624543368086E-2</v>
          </cell>
          <cell r="C31">
            <v>7.1857363711487862E-2</v>
          </cell>
          <cell r="D31">
            <v>7.9219866129955185E-2</v>
          </cell>
          <cell r="E31">
            <v>8.2655835228165483E-2</v>
          </cell>
          <cell r="F31">
            <v>7.6463608154272986E-2</v>
          </cell>
          <cell r="G31">
            <v>5.1994278471109386E-2</v>
          </cell>
          <cell r="H31">
            <v>5.6995930564830218E-2</v>
          </cell>
          <cell r="I31">
            <v>5.4579630121736056E-2</v>
          </cell>
          <cell r="J31">
            <v>6.4433361252323407E-2</v>
          </cell>
          <cell r="K31">
            <v>6.2986023648644238E-2</v>
          </cell>
          <cell r="L31">
            <v>6.4307005297087078E-2</v>
          </cell>
        </row>
        <row r="32">
          <cell r="B32">
            <v>0.42281997187060483</v>
          </cell>
          <cell r="C32">
            <v>0.1084138281647178</v>
          </cell>
          <cell r="D32">
            <v>-0.24764039641340263</v>
          </cell>
          <cell r="E32">
            <v>0.60520287958115204</v>
          </cell>
          <cell r="F32">
            <v>-8.9334453075792575E-2</v>
          </cell>
          <cell r="G32">
            <v>-0.14659498207885299</v>
          </cell>
          <cell r="H32">
            <v>0.22455265473745961</v>
          </cell>
        </row>
        <row r="35">
          <cell r="B35">
            <v>130.75</v>
          </cell>
          <cell r="C35">
            <v>178.83</v>
          </cell>
          <cell r="D35">
            <v>38.299999999999997</v>
          </cell>
          <cell r="E35">
            <v>82.775000000000006</v>
          </cell>
          <cell r="F35">
            <v>405.762</v>
          </cell>
          <cell r="G35">
            <v>102.18300000000001</v>
          </cell>
          <cell r="H35">
            <v>102.18300000000001</v>
          </cell>
          <cell r="I35">
            <v>102.18300000000001</v>
          </cell>
          <cell r="J35">
            <v>102.18300000000001</v>
          </cell>
          <cell r="K35">
            <v>102.18300000000001</v>
          </cell>
          <cell r="L35">
            <v>102.18300000000001</v>
          </cell>
        </row>
        <row r="36">
          <cell r="B36">
            <v>2352.9430000000002</v>
          </cell>
          <cell r="C36">
            <v>2217.0059999999999</v>
          </cell>
          <cell r="D36">
            <v>2320.8500000000004</v>
          </cell>
          <cell r="E36">
            <v>2418.5520000000001</v>
          </cell>
          <cell r="F36">
            <v>2799.2179999999998</v>
          </cell>
          <cell r="G36">
            <v>3162.7180000000003</v>
          </cell>
          <cell r="H36">
            <v>3494.2825784246579</v>
          </cell>
          <cell r="I36">
            <v>3409.4023946979632</v>
          </cell>
          <cell r="J36">
            <v>3356.307959796603</v>
          </cell>
          <cell r="K36">
            <v>3235.6895480620424</v>
          </cell>
          <cell r="L36">
            <v>3235.6895480620424</v>
          </cell>
        </row>
        <row r="37">
          <cell r="B37">
            <v>171.161</v>
          </cell>
          <cell r="C37">
            <v>95.241</v>
          </cell>
          <cell r="D37">
            <v>0</v>
          </cell>
          <cell r="E37">
            <v>0</v>
          </cell>
          <cell r="F37">
            <v>0</v>
          </cell>
          <cell r="G37">
            <v>0</v>
          </cell>
          <cell r="H37">
            <v>0</v>
          </cell>
          <cell r="I37">
            <v>0</v>
          </cell>
          <cell r="J37">
            <v>0</v>
          </cell>
          <cell r="K37">
            <v>0</v>
          </cell>
          <cell r="L37">
            <v>0</v>
          </cell>
        </row>
        <row r="38">
          <cell r="B38">
            <v>2027.4359999999999</v>
          </cell>
          <cell r="C38">
            <v>2163.3510000000001</v>
          </cell>
          <cell r="D38">
            <v>2205.7330000000002</v>
          </cell>
          <cell r="E38">
            <v>2382.7139999999999</v>
          </cell>
          <cell r="F38">
            <v>2499.3229999999999</v>
          </cell>
          <cell r="G38">
            <v>2686.1529999999998</v>
          </cell>
          <cell r="H38">
            <v>2759.296875</v>
          </cell>
          <cell r="I38">
            <v>2821.0838979547543</v>
          </cell>
          <cell r="J38">
            <v>2933.86001457155</v>
          </cell>
          <cell r="K38">
            <v>3026.3719752234369</v>
          </cell>
          <cell r="L38">
            <v>3122.5776971706782</v>
          </cell>
        </row>
        <row r="39">
          <cell r="B39">
            <v>4682.29</v>
          </cell>
          <cell r="C39">
            <v>4654.4279999999999</v>
          </cell>
          <cell r="D39">
            <v>4564.8830000000007</v>
          </cell>
          <cell r="E39">
            <v>4884.0410000000002</v>
          </cell>
          <cell r="F39">
            <v>5704.3029999999999</v>
          </cell>
          <cell r="G39">
            <v>5951.0540000000001</v>
          </cell>
          <cell r="H39">
            <v>6355.7624534246579</v>
          </cell>
          <cell r="I39">
            <v>6332.6692926527176</v>
          </cell>
          <cell r="J39">
            <v>6392.3509743681534</v>
          </cell>
          <cell r="K39">
            <v>6364.2445232854789</v>
          </cell>
          <cell r="L39">
            <v>6460.4502452327206</v>
          </cell>
        </row>
        <row r="41">
          <cell r="B41">
            <v>0.50251970723727069</v>
          </cell>
          <cell r="C41">
            <v>0.47632190249800832</v>
          </cell>
          <cell r="D41">
            <v>0.50841390677482867</v>
          </cell>
          <cell r="E41">
            <v>0.49519486015780784</v>
          </cell>
          <cell r="F41">
            <v>0.49072042631676471</v>
          </cell>
          <cell r="G41">
            <v>0.53145510022258247</v>
          </cell>
          <cell r="H41">
            <v>0.54978180887516392</v>
          </cell>
          <cell r="I41">
            <v>0.53838314257995701</v>
          </cell>
          <cell r="J41">
            <v>0.52505063837305244</v>
          </cell>
          <cell r="K41">
            <v>0.50841691205033235</v>
          </cell>
          <cell r="L41">
            <v>0.50084582733993099</v>
          </cell>
        </row>
        <row r="42">
          <cell r="B42">
            <v>0.53044407757742473</v>
          </cell>
          <cell r="C42">
            <v>0.51474337985247598</v>
          </cell>
          <cell r="D42">
            <v>0.51680404514201139</v>
          </cell>
          <cell r="E42">
            <v>0.51214291608117135</v>
          </cell>
          <cell r="F42">
            <v>0.56185304322017959</v>
          </cell>
          <cell r="G42">
            <v>0.54862567202381296</v>
          </cell>
          <cell r="H42">
            <v>0.56585903025478623</v>
          </cell>
          <cell r="I42">
            <v>0.55451899229479285</v>
          </cell>
          <cell r="J42">
            <v>0.54103583699711588</v>
          </cell>
          <cell r="K42">
            <v>0.52447270620251063</v>
          </cell>
          <cell r="L42">
            <v>0.51666252681461589</v>
          </cell>
        </row>
        <row r="43">
          <cell r="B43">
            <v>0.43300094611824552</v>
          </cell>
          <cell r="C43">
            <v>0.4647941701966386</v>
          </cell>
          <cell r="D43">
            <v>0.48319595485798866</v>
          </cell>
          <cell r="E43">
            <v>0.48785708391882865</v>
          </cell>
          <cell r="F43">
            <v>0.43814695677982041</v>
          </cell>
          <cell r="G43">
            <v>0.45137432797618704</v>
          </cell>
          <cell r="H43">
            <v>0.43414096974521377</v>
          </cell>
          <cell r="I43">
            <v>0.44548100770520721</v>
          </cell>
          <cell r="J43">
            <v>0.45896416300288406</v>
          </cell>
          <cell r="K43">
            <v>0.47552729379748943</v>
          </cell>
          <cell r="L43">
            <v>0.48333747318538411</v>
          </cell>
        </row>
        <row r="44">
          <cell r="B44">
            <v>3.6554976304329717E-2</v>
          </cell>
          <cell r="C44">
            <v>2.0462449950885479E-2</v>
          </cell>
          <cell r="D44">
            <v>0</v>
          </cell>
          <cell r="E44">
            <v>0</v>
          </cell>
          <cell r="F44">
            <v>0</v>
          </cell>
          <cell r="G44">
            <v>0</v>
          </cell>
          <cell r="H44">
            <v>0</v>
          </cell>
          <cell r="I44">
            <v>0</v>
          </cell>
          <cell r="J44">
            <v>0</v>
          </cell>
          <cell r="K44">
            <v>0</v>
          </cell>
          <cell r="L44">
            <v>0</v>
          </cell>
        </row>
        <row r="45">
          <cell r="B45">
            <v>2.9342101554263951</v>
          </cell>
          <cell r="C45">
            <v>3.2130507699344415</v>
          </cell>
          <cell r="D45">
            <v>3.5435593285054274</v>
          </cell>
          <cell r="E45">
            <v>3.8531244179829027</v>
          </cell>
          <cell r="F45">
            <v>3.8041997019713105</v>
          </cell>
          <cell r="G45">
            <v>2.6412958646796154</v>
          </cell>
          <cell r="H45">
            <v>2.4990566498851354</v>
          </cell>
          <cell r="I45">
            <v>2.6619930489627879</v>
          </cell>
          <cell r="J45">
            <v>3.2140353503573347</v>
          </cell>
          <cell r="K45">
            <v>3.2301395977950058</v>
          </cell>
          <cell r="L45">
            <v>3.3753941411983486</v>
          </cell>
          <cell r="M45" t="str">
            <v>why add back taxes OTI?</v>
          </cell>
        </row>
        <row r="50">
          <cell r="B50">
            <v>2483.6930000000002</v>
          </cell>
          <cell r="C50">
            <v>2395.8359999999998</v>
          </cell>
          <cell r="D50">
            <v>2359.1500000000005</v>
          </cell>
          <cell r="E50">
            <v>2501.3270000000002</v>
          </cell>
          <cell r="F50">
            <v>3204.98</v>
          </cell>
          <cell r="G50">
            <v>3264.9010000000003</v>
          </cell>
          <cell r="H50">
            <v>3596.4655784246579</v>
          </cell>
          <cell r="I50">
            <v>3511.5853946979632</v>
          </cell>
          <cell r="J50">
            <v>3458.490959796603</v>
          </cell>
          <cell r="K50">
            <v>3337.8725480620424</v>
          </cell>
          <cell r="L50">
            <v>3337.8725480620424</v>
          </cell>
        </row>
        <row r="51">
          <cell r="B51">
            <v>2456.2089999999998</v>
          </cell>
          <cell r="C51">
            <v>2375.2979999999998</v>
          </cell>
          <cell r="D51">
            <v>2338.4450000000006</v>
          </cell>
          <cell r="E51">
            <v>2490.9639999999999</v>
          </cell>
          <cell r="F51">
            <v>3176.3609999999999</v>
          </cell>
          <cell r="G51">
            <v>3187.1940000000009</v>
          </cell>
          <cell r="H51">
            <v>3518.7585784246585</v>
          </cell>
          <cell r="I51">
            <v>3433.8783946979638</v>
          </cell>
          <cell r="J51">
            <v>3380.7839597966035</v>
          </cell>
          <cell r="K51">
            <v>3260.1655480620429</v>
          </cell>
          <cell r="L51">
            <v>3119.937592121988</v>
          </cell>
        </row>
        <row r="52">
          <cell r="B52">
            <v>171.161</v>
          </cell>
          <cell r="C52">
            <v>95.241</v>
          </cell>
          <cell r="D52">
            <v>0</v>
          </cell>
          <cell r="E52">
            <v>0</v>
          </cell>
          <cell r="F52">
            <v>0</v>
          </cell>
          <cell r="G52">
            <v>0</v>
          </cell>
          <cell r="H52">
            <v>0</v>
          </cell>
          <cell r="I52">
            <v>0</v>
          </cell>
          <cell r="J52">
            <v>0</v>
          </cell>
          <cell r="K52">
            <v>0</v>
          </cell>
          <cell r="L52">
            <v>0</v>
          </cell>
        </row>
        <row r="53">
          <cell r="B53">
            <v>0</v>
          </cell>
          <cell r="C53">
            <v>0</v>
          </cell>
          <cell r="D53">
            <v>0</v>
          </cell>
          <cell r="E53">
            <v>0</v>
          </cell>
          <cell r="F53">
            <v>0</v>
          </cell>
          <cell r="G53">
            <v>0</v>
          </cell>
          <cell r="H53">
            <v>0</v>
          </cell>
          <cell r="I53">
            <v>0</v>
          </cell>
          <cell r="J53">
            <v>0</v>
          </cell>
          <cell r="K53">
            <v>0</v>
          </cell>
          <cell r="L53">
            <v>0</v>
          </cell>
        </row>
        <row r="54">
          <cell r="B54">
            <v>84.824946999999995</v>
          </cell>
          <cell r="C54">
            <v>84.824946999999995</v>
          </cell>
          <cell r="D54">
            <v>84.824946999999995</v>
          </cell>
          <cell r="E54">
            <v>84.824946999999995</v>
          </cell>
          <cell r="F54">
            <v>84.824946999999995</v>
          </cell>
          <cell r="G54">
            <v>91.379947000000001</v>
          </cell>
          <cell r="H54">
            <v>91.287999999999997</v>
          </cell>
          <cell r="I54">
            <v>91.287999999999997</v>
          </cell>
          <cell r="J54">
            <v>91.287999999999997</v>
          </cell>
          <cell r="K54">
            <v>91.287999999999997</v>
          </cell>
          <cell r="L54">
            <v>91.287999999999997</v>
          </cell>
        </row>
        <row r="55">
          <cell r="B55">
            <v>39.340000000000003</v>
          </cell>
          <cell r="C55">
            <v>42.38</v>
          </cell>
          <cell r="D55">
            <v>30.56</v>
          </cell>
          <cell r="E55">
            <v>47.63</v>
          </cell>
          <cell r="F55">
            <v>41.85</v>
          </cell>
          <cell r="G55">
            <v>34.090000000000003</v>
          </cell>
          <cell r="H55">
            <v>40.020000000000003</v>
          </cell>
          <cell r="I55">
            <v>40.020000000000003</v>
          </cell>
          <cell r="J55">
            <v>40.020000000000003</v>
          </cell>
          <cell r="K55">
            <v>40.020000000000003</v>
          </cell>
          <cell r="L55">
            <v>40.020000000000003</v>
          </cell>
        </row>
        <row r="56">
          <cell r="B56">
            <v>3337.0134149800001</v>
          </cell>
          <cell r="C56">
            <v>3594.88125386</v>
          </cell>
          <cell r="D56">
            <v>2592.2503803199997</v>
          </cell>
          <cell r="E56">
            <v>4040.2122256100001</v>
          </cell>
          <cell r="F56">
            <v>3549.92403195</v>
          </cell>
          <cell r="G56">
            <v>3115.1423932300004</v>
          </cell>
          <cell r="H56">
            <v>3653.3457600000002</v>
          </cell>
          <cell r="I56">
            <v>3653.3457600000002</v>
          </cell>
          <cell r="J56">
            <v>3653.3457600000002</v>
          </cell>
          <cell r="K56">
            <v>3653.3457600000002</v>
          </cell>
          <cell r="L56">
            <v>3653.3457600000002</v>
          </cell>
        </row>
        <row r="57">
          <cell r="B57">
            <v>5964.3834149800005</v>
          </cell>
          <cell r="C57">
            <v>6065.4202538600002</v>
          </cell>
          <cell r="D57">
            <v>4930.6953803200004</v>
          </cell>
          <cell r="E57">
            <v>6531.1762256100001</v>
          </cell>
          <cell r="F57">
            <v>6726.2850319499994</v>
          </cell>
          <cell r="G57">
            <v>6302.3363932300017</v>
          </cell>
          <cell r="H57">
            <v>7172.1043384246586</v>
          </cell>
          <cell r="I57">
            <v>7087.224154697964</v>
          </cell>
          <cell r="J57">
            <v>7034.1297197966032</v>
          </cell>
          <cell r="K57">
            <v>6913.5113080620431</v>
          </cell>
          <cell r="L57">
            <v>6773.2833521219882</v>
          </cell>
        </row>
        <row r="59">
          <cell r="B59">
            <v>7.1419052193648733E-2</v>
          </cell>
          <cell r="C59">
            <v>6.7209355657072631E-2</v>
          </cell>
          <cell r="D59">
            <v>6.6095673047197198E-2</v>
          </cell>
          <cell r="E59">
            <v>6.8489985653671426E-2</v>
          </cell>
          <cell r="F59">
            <v>6.1623743692724553E-2</v>
          </cell>
          <cell r="G59">
            <v>5.8224563944839172E-2</v>
          </cell>
          <cell r="H59">
            <v>5.8000000000000003E-2</v>
          </cell>
          <cell r="I59">
            <v>0.06</v>
          </cell>
          <cell r="J59">
            <v>0.06</v>
          </cell>
          <cell r="K59">
            <v>0.06</v>
          </cell>
          <cell r="L59">
            <v>0.06</v>
          </cell>
        </row>
        <row r="60">
          <cell r="B60">
            <v>1.2250413823173705</v>
          </cell>
          <cell r="C60">
            <v>1.1074652240898493</v>
          </cell>
          <cell r="D60">
            <v>1.0695537492525162</v>
          </cell>
          <cell r="E60">
            <v>1.049780628308727</v>
          </cell>
          <cell r="F60">
            <v>1.2823392574709231</v>
          </cell>
          <cell r="G60">
            <v>1.2154560816156044</v>
          </cell>
          <cell r="H60">
            <v>1.3033992866116146</v>
          </cell>
          <cell r="I60">
            <v>1.2447646088242228</v>
          </cell>
          <cell r="J60">
            <v>1.1788193515094032</v>
          </cell>
          <cell r="K60">
            <v>1.1029287131221228</v>
          </cell>
          <cell r="L60">
            <v>1.0689477962666676</v>
          </cell>
        </row>
        <row r="61">
          <cell r="B61">
            <v>0.53044407757742473</v>
          </cell>
          <cell r="C61">
            <v>0.51474337985247598</v>
          </cell>
          <cell r="D61">
            <v>0.51680404514201139</v>
          </cell>
          <cell r="E61">
            <v>0.51214291608117135</v>
          </cell>
          <cell r="F61">
            <v>0.56185304322017959</v>
          </cell>
          <cell r="G61">
            <v>0.54862567202381296</v>
          </cell>
          <cell r="H61">
            <v>0.56585903025478623</v>
          </cell>
          <cell r="I61">
            <v>0.55451899229479285</v>
          </cell>
          <cell r="J61">
            <v>0.54103583699711588</v>
          </cell>
          <cell r="K61">
            <v>0.52447270620251063</v>
          </cell>
          <cell r="L61">
            <v>0.51666252681461589</v>
          </cell>
        </row>
        <row r="62">
          <cell r="B62">
            <v>0.41451067388284157</v>
          </cell>
          <cell r="C62">
            <v>0.39366619027996919</v>
          </cell>
          <cell r="D62">
            <v>0.47646116629484381</v>
          </cell>
          <cell r="E62">
            <v>0.38237590783027842</v>
          </cell>
          <cell r="F62">
            <v>0.47446714044208105</v>
          </cell>
          <cell r="G62">
            <v>0.51173648810358507</v>
          </cell>
          <cell r="H62">
            <v>0.49607712677474292</v>
          </cell>
          <cell r="I62">
            <v>0.4901073463065248</v>
          </cell>
          <cell r="J62">
            <v>0.48630066972284408</v>
          </cell>
          <cell r="K62">
            <v>0.47743789436712591</v>
          </cell>
          <cell r="L62">
            <v>0.47743789436712591</v>
          </cell>
        </row>
        <row r="66">
          <cell r="B66">
            <v>7.5977710553970706E-2</v>
          </cell>
          <cell r="C66">
            <v>7.7249979326107346E-2</v>
          </cell>
          <cell r="D66">
            <v>8.3353354292845475E-2</v>
          </cell>
          <cell r="E66">
            <v>9.3669566055606654E-2</v>
          </cell>
          <cell r="F66">
            <v>8.8814110892888112E-2</v>
          </cell>
          <cell r="G66">
            <v>6.0799238384120408E-2</v>
          </cell>
          <cell r="H66">
            <v>5.9708988914749503E-2</v>
          </cell>
          <cell r="I66">
            <v>6.5263711881527839E-2</v>
          </cell>
          <cell r="J66">
            <v>7.6844884451492762E-2</v>
          </cell>
          <cell r="K66">
            <v>7.4984637548282912E-2</v>
          </cell>
          <cell r="L66">
            <v>7.6614230220987886E-2</v>
          </cell>
        </row>
        <row r="67">
          <cell r="B67">
            <v>9.1004533008720551E-2</v>
          </cell>
          <cell r="C67">
            <v>8.8829998434062585E-2</v>
          </cell>
          <cell r="D67">
            <v>9.5142593390104516E-2</v>
          </cell>
          <cell r="E67">
            <v>0.10419309915734913</v>
          </cell>
          <cell r="F67">
            <v>7.5825321705534923E-2</v>
          </cell>
          <cell r="G67">
            <v>0.10641773201130075</v>
          </cell>
          <cell r="H67">
            <v>7.069003098962412E-2</v>
          </cell>
          <cell r="I67">
            <v>8.2490386641547356E-2</v>
          </cell>
          <cell r="J67">
            <v>9.0424324384454316E-2</v>
          </cell>
          <cell r="K67">
            <v>9.1707759900882035E-2</v>
          </cell>
          <cell r="L67">
            <v>9.4545730492907626E-2</v>
          </cell>
        </row>
        <row r="74">
          <cell r="B74">
            <v>2.6997279285722819</v>
          </cell>
          <cell r="C74">
            <v>2.5481084105032643</v>
          </cell>
          <cell r="D74">
            <v>2.415469076999317</v>
          </cell>
          <cell r="E74">
            <v>2.3320874162059351</v>
          </cell>
          <cell r="F74">
            <v>2.9222121420723677</v>
          </cell>
          <cell r="G74">
            <v>3.5396408429479345</v>
          </cell>
          <cell r="H74">
            <v>3.7880460051343272</v>
          </cell>
          <cell r="I74">
            <v>3.4466743542136675</v>
          </cell>
          <cell r="J74">
            <v>3.0204432253681572</v>
          </cell>
          <cell r="K74">
            <v>2.8921701379812936</v>
          </cell>
          <cell r="L74">
            <v>2.7986823133468923</v>
          </cell>
        </row>
        <row r="75">
          <cell r="B75">
            <v>5.1863989221064042</v>
          </cell>
          <cell r="C75">
            <v>5.7340509223967073</v>
          </cell>
          <cell r="D75">
            <v>6.2152957197948346</v>
          </cell>
          <cell r="E75">
            <v>6.4439130774360613</v>
          </cell>
          <cell r="F75">
            <v>6.237928131860631</v>
          </cell>
          <cell r="G75">
            <v>4.8970921620574108</v>
          </cell>
          <cell r="H75">
            <v>4.6406227088322982</v>
          </cell>
          <cell r="I75">
            <v>4.7778355009750619</v>
          </cell>
          <cell r="J75">
            <v>5.4759210454593399</v>
          </cell>
          <cell r="K75">
            <v>5.6604121959133007</v>
          </cell>
          <cell r="L75">
            <v>5.9551834758748692</v>
          </cell>
        </row>
        <row r="76">
          <cell r="B76">
            <v>7.9803771084376534</v>
          </cell>
          <cell r="C76">
            <v>8.2211465830170525</v>
          </cell>
          <cell r="D76">
            <v>7.4676964689250367</v>
          </cell>
          <cell r="E76">
            <v>8.9479902625495278</v>
          </cell>
          <cell r="F76">
            <v>8.1249998085217783</v>
          </cell>
          <cell r="G76">
            <v>10.254636343320499</v>
          </cell>
          <cell r="H76">
            <v>6.8157168862187003</v>
          </cell>
          <cell r="I76">
            <v>7.0195890596680615</v>
          </cell>
          <cell r="J76">
            <v>7.516717778282012</v>
          </cell>
          <cell r="K76">
            <v>7.4554020692514413</v>
          </cell>
          <cell r="L76">
            <v>7.8501242195521268</v>
          </cell>
        </row>
        <row r="77">
          <cell r="B77">
            <v>0.28809679779264197</v>
          </cell>
          <cell r="C77">
            <v>0.27899155033983958</v>
          </cell>
          <cell r="D77">
            <v>0.261554373397198</v>
          </cell>
          <cell r="E77">
            <v>0.28016848656733012</v>
          </cell>
          <cell r="F77">
            <v>0.17216706500508577</v>
          </cell>
          <cell r="G77">
            <v>0.24902654016155451</v>
          </cell>
          <cell r="H77">
            <v>0.19427935142536698</v>
          </cell>
          <cell r="I77">
            <v>0.20206630999949976</v>
          </cell>
          <cell r="J77">
            <v>0.22884865272666285</v>
          </cell>
          <cell r="K77">
            <v>0.24053663796061861</v>
          </cell>
          <cell r="L77">
            <v>0.25071454643560781</v>
          </cell>
        </row>
        <row r="78">
          <cell r="B78">
            <v>0.25100485446470244</v>
          </cell>
          <cell r="C78">
            <v>0.25287123158680308</v>
          </cell>
          <cell r="D78">
            <v>0.26941907042790819</v>
          </cell>
          <cell r="E78">
            <v>0.2852062125423826</v>
          </cell>
          <cell r="F78">
            <v>0.17817365474979557</v>
          </cell>
          <cell r="G78">
            <v>0.26670762758196942</v>
          </cell>
          <cell r="H78">
            <v>0.16830733768359432</v>
          </cell>
          <cell r="I78">
            <v>0.20431819337499155</v>
          </cell>
          <cell r="J78">
            <v>0.22866153015703403</v>
          </cell>
          <cell r="K78">
            <v>0.24131437019733359</v>
          </cell>
          <cell r="L78">
            <v>0.24992414896859885</v>
          </cell>
        </row>
        <row r="79">
          <cell r="B79">
            <v>0.21228831421596803</v>
          </cell>
          <cell r="C79">
            <v>0.20952561026714681</v>
          </cell>
          <cell r="D79">
            <v>0.22181251722018508</v>
          </cell>
          <cell r="E79">
            <v>0.2369386329736177</v>
          </cell>
          <cell r="F79">
            <v>0.13786170272513393</v>
          </cell>
          <cell r="G79">
            <v>0.22452533782800749</v>
          </cell>
          <cell r="H79">
            <v>0.12453321512714843</v>
          </cell>
          <cell r="I79">
            <v>0.15687506405467222</v>
          </cell>
          <cell r="J79">
            <v>0.17785052557648862</v>
          </cell>
          <cell r="K79">
            <v>0.18593232749251909</v>
          </cell>
          <cell r="L79">
            <v>0.1918071905746577</v>
          </cell>
        </row>
        <row r="82">
          <cell r="B82">
            <v>2.9896269096142105</v>
          </cell>
          <cell r="C82">
            <v>2.9652782176221635</v>
          </cell>
          <cell r="D82">
            <v>2.2413871640359466</v>
          </cell>
          <cell r="E82">
            <v>2.0936464707124998</v>
          </cell>
          <cell r="F82">
            <v>1.9818176180274707</v>
          </cell>
          <cell r="G82">
            <v>2.3897116661642559</v>
          </cell>
          <cell r="H82">
            <v>2.5452381240834008</v>
          </cell>
          <cell r="I82">
            <v>2.4371480909920908</v>
          </cell>
          <cell r="J82">
            <v>2.2115018389272976</v>
          </cell>
          <cell r="K82">
            <v>2.1860156914406863</v>
          </cell>
          <cell r="L82">
            <v>2.085631859415026</v>
          </cell>
        </row>
        <row r="83">
          <cell r="B83">
            <v>2.9158830685692023</v>
          </cell>
          <cell r="C83">
            <v>2.7572084772763126</v>
          </cell>
          <cell r="D83">
            <v>1.5805932384256305</v>
          </cell>
          <cell r="E83">
            <v>1.9243311945410693</v>
          </cell>
          <cell r="F83">
            <v>2.5504639562025861</v>
          </cell>
          <cell r="G83">
            <v>2.2365746651101626</v>
          </cell>
          <cell r="H83">
            <v>2.4663366101100372</v>
          </cell>
          <cell r="I83">
            <v>2.2281945137994579</v>
          </cell>
          <cell r="J83">
            <v>2.2241545949557389</v>
          </cell>
          <cell r="K83">
            <v>2.1288109023230124</v>
          </cell>
        </row>
        <row r="85">
          <cell r="B85">
            <v>6.4831734365458331</v>
          </cell>
          <cell r="C85">
            <v>6.4509208318505582</v>
          </cell>
          <cell r="D85">
            <v>5.0484039672196959</v>
          </cell>
          <cell r="E85">
            <v>6.0892773670809355</v>
          </cell>
          <cell r="F85">
            <v>6.1328407014720563</v>
          </cell>
          <cell r="G85">
            <v>6.8326749581301502</v>
          </cell>
          <cell r="H85">
            <v>7.5541557663055636</v>
          </cell>
          <cell r="I85">
            <v>6.9562180584995126</v>
          </cell>
          <cell r="J85">
            <v>6.1431964708012341</v>
          </cell>
          <cell r="K85">
            <v>5.9903578299842799</v>
          </cell>
          <cell r="L85">
            <v>5.6791468361716522</v>
          </cell>
        </row>
        <row r="86">
          <cell r="B86">
            <v>6.3434623835591095</v>
          </cell>
          <cell r="C86">
            <v>6.2102176895085837</v>
          </cell>
          <cell r="D86">
            <v>4.5970849271562688</v>
          </cell>
          <cell r="E86">
            <v>5.9549458868672875</v>
          </cell>
          <cell r="F86">
            <v>7.2922986701279973</v>
          </cell>
          <cell r="G86">
            <v>6.6380560794480896</v>
          </cell>
          <cell r="H86">
            <v>7.0395292469084465</v>
          </cell>
          <cell r="I86">
            <v>6.1895660372007937</v>
          </cell>
          <cell r="J86">
            <v>6.0948701993112531</v>
          </cell>
          <cell r="K86">
            <v>5.7967227754788846</v>
          </cell>
        </row>
        <row r="88">
          <cell r="B88">
            <v>5.4283632998031797</v>
          </cell>
          <cell r="C88">
            <v>5.9701825900653329</v>
          </cell>
          <cell r="D88">
            <v>4.0872797986154827</v>
          </cell>
          <cell r="E88">
            <v>5.6707149905942567</v>
          </cell>
          <cell r="F88">
            <v>6.2242606949038892</v>
          </cell>
          <cell r="G88">
            <v>3.3262623367257196</v>
          </cell>
          <cell r="H88">
            <v>6.0432154659793706</v>
          </cell>
          <cell r="I88">
            <v>5.099716456509003</v>
          </cell>
          <cell r="J88">
            <v>4.626755540892848</v>
          </cell>
          <cell r="K88">
            <v>4.5425882101289128</v>
          </cell>
          <cell r="L88">
            <v>4.3860980122045747</v>
          </cell>
        </row>
        <row r="91">
          <cell r="B91">
            <v>14.348351621328252</v>
          </cell>
          <cell r="C91">
            <v>14.891241704131879</v>
          </cell>
          <cell r="D91">
            <v>9.6298913156295001</v>
          </cell>
          <cell r="E91">
            <v>13.380833156926812</v>
          </cell>
          <cell r="F91">
            <v>10.857296245498182</v>
          </cell>
          <cell r="G91">
            <v>13.462153723164471</v>
          </cell>
          <cell r="H91">
            <v>15.864739174935824</v>
          </cell>
          <cell r="I91">
            <v>16.020783055852679</v>
          </cell>
          <cell r="J91">
            <v>12.682421476397479</v>
          </cell>
          <cell r="K91">
            <v>13.191572415001621</v>
          </cell>
          <cell r="L91">
            <v>12.60868479211968</v>
          </cell>
        </row>
        <row r="94">
          <cell r="B94">
            <v>1.6459278689832872</v>
          </cell>
          <cell r="C94">
            <v>1.6617189045420737</v>
          </cell>
          <cell r="D94">
            <v>1.1752330768592569</v>
          </cell>
          <cell r="E94">
            <v>1.6956345686515462</v>
          </cell>
          <cell r="F94">
            <v>1.4203542447094673</v>
          </cell>
          <cell r="G94">
            <v>1.1597040054047556</v>
          </cell>
          <cell r="H94">
            <v>1.3240132995837934</v>
          </cell>
          <cell r="I94">
            <v>1.2950149276484204</v>
          </cell>
          <cell r="J94">
            <v>1.2452351993125077</v>
          </cell>
          <cell r="K94">
            <v>1.2071701000106816</v>
          </cell>
          <cell r="L94">
            <v>1.1699775359665969</v>
          </cell>
        </row>
        <row r="99">
          <cell r="B99">
            <v>1995.0260000000001</v>
          </cell>
          <cell r="C99">
            <v>2045.481</v>
          </cell>
          <cell r="D99">
            <v>2199.8409999999999</v>
          </cell>
          <cell r="E99">
            <v>3119.5220000000004</v>
          </cell>
          <cell r="F99">
            <v>3393.998</v>
          </cell>
          <cell r="G99">
            <v>2637.2789999999995</v>
          </cell>
          <cell r="H99">
            <v>2817.8519999999999</v>
          </cell>
          <cell r="I99">
            <v>2907.9989767109164</v>
          </cell>
          <cell r="J99">
            <v>3180.7026320215728</v>
          </cell>
          <cell r="K99">
            <v>3162.6082718124117</v>
          </cell>
          <cell r="L99">
            <v>3247.5929639959304</v>
          </cell>
        </row>
        <row r="100">
          <cell r="B100">
            <v>919.97900000000027</v>
          </cell>
          <cell r="C100">
            <v>940.24099999999999</v>
          </cell>
          <cell r="D100">
            <v>976.68399999999986</v>
          </cell>
          <cell r="E100">
            <v>1072.5700000000002</v>
          </cell>
          <cell r="F100">
            <v>1096.7649999999999</v>
          </cell>
          <cell r="G100">
            <v>922.38199999999961</v>
          </cell>
          <cell r="H100">
            <v>949.42499999999984</v>
          </cell>
          <cell r="I100">
            <v>1018.8329484637677</v>
          </cell>
          <cell r="J100">
            <v>1145.0276339410593</v>
          </cell>
          <cell r="K100">
            <v>1154.1065666322952</v>
          </cell>
          <cell r="L100">
            <v>1192.6586065677252</v>
          </cell>
        </row>
        <row r="101">
          <cell r="B101">
            <v>520.47900000000027</v>
          </cell>
          <cell r="C101">
            <v>526.86</v>
          </cell>
          <cell r="D101">
            <v>556.84199999999987</v>
          </cell>
          <cell r="E101">
            <v>641.34100000000024</v>
          </cell>
          <cell r="F101">
            <v>668.86199999999974</v>
          </cell>
          <cell r="G101">
            <v>497.49599999999958</v>
          </cell>
          <cell r="H101">
            <v>511.28199999999987</v>
          </cell>
          <cell r="I101">
            <v>567.64746846376784</v>
          </cell>
          <cell r="J101">
            <v>672.06215394105948</v>
          </cell>
          <cell r="K101">
            <v>658.59608663229528</v>
          </cell>
          <cell r="L101">
            <v>675.99812656772519</v>
          </cell>
        </row>
        <row r="103">
          <cell r="B103">
            <v>177.38300000000001</v>
          </cell>
          <cell r="C103">
            <v>163.97499999999999</v>
          </cell>
          <cell r="D103">
            <v>157.142</v>
          </cell>
          <cell r="E103">
            <v>166.447</v>
          </cell>
          <cell r="F103">
            <v>175.822</v>
          </cell>
          <cell r="G103">
            <v>188.35300000000001</v>
          </cell>
          <cell r="H103">
            <v>204.59</v>
          </cell>
          <cell r="I103">
            <v>213.24152919367862</v>
          </cell>
          <cell r="J103">
            <v>209.10229063483698</v>
          </cell>
          <cell r="K103">
            <v>203.89090523575933</v>
          </cell>
          <cell r="L103">
            <v>200.27235288372253</v>
          </cell>
        </row>
        <row r="104">
          <cell r="B104">
            <v>362.79900000000026</v>
          </cell>
          <cell r="C104">
            <v>381.48099999999999</v>
          </cell>
          <cell r="D104">
            <v>411.36399999999986</v>
          </cell>
          <cell r="E104">
            <v>496.53200000000027</v>
          </cell>
          <cell r="F104">
            <v>540.9019999999997</v>
          </cell>
          <cell r="G104">
            <v>353.25299999999959</v>
          </cell>
          <cell r="H104">
            <v>336.13599999999985</v>
          </cell>
          <cell r="I104">
            <v>374.40593927008922</v>
          </cell>
          <cell r="J104">
            <v>472.95986330622247</v>
          </cell>
          <cell r="K104">
            <v>454.70518139653598</v>
          </cell>
          <cell r="L104">
            <v>475.72577368400266</v>
          </cell>
        </row>
        <row r="106">
          <cell r="B106">
            <v>235.85600000000028</v>
          </cell>
          <cell r="C106">
            <v>242.892</v>
          </cell>
          <cell r="D106">
            <v>269.77199999999982</v>
          </cell>
          <cell r="E106">
            <v>302.33200000000028</v>
          </cell>
          <cell r="F106">
            <v>327.36699999999973</v>
          </cell>
          <cell r="G106">
            <v>215.15299999999959</v>
          </cell>
          <cell r="H106">
            <v>230.57599999999985</v>
          </cell>
          <cell r="I106">
            <v>228.38762295475442</v>
          </cell>
          <cell r="J106">
            <v>288.50551661679572</v>
          </cell>
          <cell r="K106">
            <v>277.37016065188698</v>
          </cell>
          <cell r="L106">
            <v>290.19272194724158</v>
          </cell>
        </row>
        <row r="107">
          <cell r="B107">
            <v>2.7417783616009705</v>
          </cell>
          <cell r="C107">
            <v>2.8459681765987859</v>
          </cell>
          <cell r="D107">
            <v>3.1734522227058291</v>
          </cell>
          <cell r="E107">
            <v>3.5595690822393626</v>
          </cell>
          <cell r="F107">
            <v>3.8545508065465643</v>
          </cell>
          <cell r="G107">
            <v>2.5322842615696013</v>
          </cell>
          <cell r="H107">
            <v>2.522575351457796</v>
          </cell>
          <cell r="I107">
            <v>2.4980052386003679</v>
          </cell>
          <cell r="J107">
            <v>3.155548810176267</v>
          </cell>
          <cell r="K107">
            <v>3.0337550930993458</v>
          </cell>
          <cell r="L107">
            <v>3.1740027338150414</v>
          </cell>
        </row>
        <row r="110">
          <cell r="B110">
            <v>399.5</v>
          </cell>
          <cell r="C110">
            <v>413.38099999999997</v>
          </cell>
          <cell r="D110">
            <v>419.84199999999998</v>
          </cell>
          <cell r="E110">
            <v>431.22899999999998</v>
          </cell>
          <cell r="F110">
            <v>427.90300000000002</v>
          </cell>
          <cell r="G110">
            <v>424.88600000000002</v>
          </cell>
          <cell r="H110">
            <v>438.14299999999997</v>
          </cell>
          <cell r="I110">
            <v>451.18547999999993</v>
          </cell>
          <cell r="J110">
            <v>472.96547999999996</v>
          </cell>
          <cell r="K110">
            <v>495.51047999999992</v>
          </cell>
          <cell r="L110">
            <v>516.66047999999989</v>
          </cell>
        </row>
        <row r="111">
          <cell r="B111">
            <v>307.87599999999998</v>
          </cell>
          <cell r="C111">
            <v>319.142</v>
          </cell>
          <cell r="D111">
            <v>343.44799999999998</v>
          </cell>
          <cell r="E111">
            <v>658.60799999999995</v>
          </cell>
          <cell r="F111">
            <v>1055.5740000000001</v>
          </cell>
          <cell r="G111">
            <v>895.52200000000005</v>
          </cell>
          <cell r="H111">
            <v>750</v>
          </cell>
          <cell r="I111">
            <v>446</v>
          </cell>
          <cell r="J111">
            <v>552</v>
          </cell>
          <cell r="K111">
            <v>500</v>
          </cell>
          <cell r="L111">
            <v>500</v>
          </cell>
        </row>
        <row r="113">
          <cell r="B113">
            <v>623.41900000000032</v>
          </cell>
          <cell r="C113">
            <v>605.83799999999985</v>
          </cell>
          <cell r="D113">
            <v>635.5999999999998</v>
          </cell>
          <cell r="E113">
            <v>713.39400000000023</v>
          </cell>
          <cell r="F113">
            <v>571.04299999999978</v>
          </cell>
          <cell r="G113">
            <v>870.77399999999955</v>
          </cell>
          <cell r="H113">
            <v>605.31154657534228</v>
          </cell>
          <cell r="I113">
            <v>717.48078372669443</v>
          </cell>
          <cell r="J113">
            <v>790.82383490136044</v>
          </cell>
          <cell r="K113">
            <v>805.47661173456083</v>
          </cell>
          <cell r="L113">
            <v>834.21495594005455</v>
          </cell>
        </row>
        <row r="114">
          <cell r="B114">
            <v>219.38300000000038</v>
          </cell>
          <cell r="C114">
            <v>182.84699999999987</v>
          </cell>
          <cell r="D114">
            <v>179.84099999999978</v>
          </cell>
          <cell r="E114">
            <v>-65.946999999999662</v>
          </cell>
          <cell r="F114">
            <v>-613.73000000000025</v>
          </cell>
          <cell r="G114">
            <v>-162.46900000000051</v>
          </cell>
          <cell r="H114">
            <v>-302.12057842465777</v>
          </cell>
          <cell r="I114">
            <v>104.88018372669444</v>
          </cell>
          <cell r="J114">
            <v>63.094434901360387</v>
          </cell>
          <cell r="K114">
            <v>120.61841173456082</v>
          </cell>
          <cell r="L114">
            <v>140.22795594005447</v>
          </cell>
        </row>
        <row r="116">
          <cell r="B116">
            <v>7.2471199562907636</v>
          </cell>
          <cell r="C116">
            <v>7.0986103625243109</v>
          </cell>
          <cell r="D116">
            <v>7.4768553917820446</v>
          </cell>
          <cell r="E116">
            <v>8.3992935774415756</v>
          </cell>
          <cell r="F116">
            <v>6.7236900977275376</v>
          </cell>
          <cell r="G116">
            <v>10.248740643095894</v>
          </cell>
          <cell r="H116">
            <v>6.622302352993187</v>
          </cell>
          <cell r="I116">
            <v>7.8474951188552131</v>
          </cell>
          <cell r="J116">
            <v>8.649689754794597</v>
          </cell>
          <cell r="K116">
            <v>8.8099555030686538</v>
          </cell>
          <cell r="L116">
            <v>9.1242831073637678</v>
          </cell>
        </row>
        <row r="118">
          <cell r="B118">
            <v>1.125</v>
          </cell>
          <cell r="C118">
            <v>1.2250000000000001</v>
          </cell>
          <cell r="D118">
            <v>1.325</v>
          </cell>
          <cell r="E118">
            <v>1.425</v>
          </cell>
          <cell r="F118">
            <v>1.5249999999999999</v>
          </cell>
          <cell r="G118">
            <v>1.625</v>
          </cell>
          <cell r="H118">
            <v>1.7250000000000001</v>
          </cell>
          <cell r="I118">
            <v>1.8250000000000002</v>
          </cell>
          <cell r="J118">
            <v>1.9250000000000003</v>
          </cell>
          <cell r="K118">
            <v>2.0250000000000004</v>
          </cell>
          <cell r="L118">
            <v>2.1250000000000004</v>
          </cell>
        </row>
        <row r="119">
          <cell r="B119">
            <v>0.41031763024896495</v>
          </cell>
          <cell r="C119">
            <v>0.43043348484099936</v>
          </cell>
          <cell r="D119">
            <v>0.41752637412333404</v>
          </cell>
          <cell r="E119">
            <v>0.40032935646904694</v>
          </cell>
          <cell r="F119">
            <v>0.39563624311552509</v>
          </cell>
          <cell r="G119">
            <v>0.64171310648701274</v>
          </cell>
          <cell r="H119">
            <v>0.683824964436889</v>
          </cell>
          <cell r="I119">
            <v>0.73058293545555075</v>
          </cell>
          <cell r="J119">
            <v>0.61003651529398173</v>
          </cell>
          <cell r="K119">
            <v>0.66748960870510454</v>
          </cell>
          <cell r="L119">
            <v>0.66950162876697461</v>
          </cell>
        </row>
        <row r="133">
          <cell r="B133">
            <v>8.9177971870604833E-2</v>
          </cell>
          <cell r="C133">
            <v>-0.1773721718352822</v>
          </cell>
          <cell r="D133">
            <v>-0.45807239641340264</v>
          </cell>
          <cell r="E133">
            <v>0.69648887958115202</v>
          </cell>
          <cell r="F133">
            <v>2.8915546924207419E-2</v>
          </cell>
          <cell r="G133">
            <v>7.4410017921147015E-2</v>
          </cell>
          <cell r="H133">
            <v>-6.2296345262540409E-2</v>
          </cell>
        </row>
      </sheetData>
      <sheetData sheetId="2" refreshError="1"/>
      <sheetData sheetId="3" refreshError="1"/>
      <sheetData sheetId="4" refreshError="1"/>
      <sheetData sheetId="5" refreshError="1"/>
      <sheetData sheetId="6" refreshError="1"/>
      <sheetData sheetId="7"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come Statement"/>
      <sheetName val="Fin Stats"/>
      <sheetName val="Model Introduction"/>
      <sheetName val="Quarterly"/>
      <sheetName val="Cash Flow"/>
      <sheetName val="Balance Sheet"/>
      <sheetName val="APS"/>
      <sheetName val="Power Plants"/>
    </sheetNames>
    <sheetDataSet>
      <sheetData sheetId="0" refreshError="1">
        <row r="1">
          <cell r="K1" t="str">
            <v>no</v>
          </cell>
        </row>
        <row r="2">
          <cell r="K2" t="str">
            <v>yes</v>
          </cell>
        </row>
      </sheetData>
      <sheetData sheetId="1" refreshError="1">
        <row r="22">
          <cell r="B22">
            <v>0.77868308483197712</v>
          </cell>
          <cell r="C22">
            <v>0.77606831840530421</v>
          </cell>
          <cell r="D22">
            <v>0.74089945591522299</v>
          </cell>
          <cell r="E22">
            <v>0.56459162653765549</v>
          </cell>
          <cell r="F22">
            <v>0.55949532085758447</v>
          </cell>
          <cell r="G22">
            <v>0.73700848488157678</v>
          </cell>
          <cell r="H22">
            <v>0.69402864309410139</v>
          </cell>
          <cell r="I22">
            <v>0.70492076089335931</v>
          </cell>
          <cell r="J22">
            <v>0.70594664159430798</v>
          </cell>
          <cell r="K22">
            <v>0.6975307483044092</v>
          </cell>
          <cell r="L22">
            <v>0.69864210564587026</v>
          </cell>
        </row>
        <row r="23">
          <cell r="B23">
            <v>0.26512586803380017</v>
          </cell>
          <cell r="C23">
            <v>0.26212612094661353</v>
          </cell>
          <cell r="D23">
            <v>0.24889253359674626</v>
          </cell>
          <cell r="E23">
            <v>0.20671051526483869</v>
          </cell>
          <cell r="F23">
            <v>0.19918190876953953</v>
          </cell>
          <cell r="G23">
            <v>0.19567402614588736</v>
          </cell>
          <cell r="H23">
            <v>0.17107108535153723</v>
          </cell>
          <cell r="I23">
            <v>0.19520208673037562</v>
          </cell>
          <cell r="J23">
            <v>0.21129361392514523</v>
          </cell>
          <cell r="K23">
            <v>0.2082445975058651</v>
          </cell>
          <cell r="L23">
            <v>0.20815358761461225</v>
          </cell>
        </row>
        <row r="24">
          <cell r="B24">
            <v>0.26088832927490679</v>
          </cell>
          <cell r="C24">
            <v>0.25757266872681783</v>
          </cell>
          <cell r="D24">
            <v>0.25312829427217692</v>
          </cell>
          <cell r="E24">
            <v>0.20558951018777882</v>
          </cell>
          <cell r="F24">
            <v>0.19707200770300976</v>
          </cell>
          <cell r="G24">
            <v>0.18863988224226549</v>
          </cell>
          <cell r="H24">
            <v>0.18144387994827263</v>
          </cell>
          <cell r="I24">
            <v>0.19520208673037562</v>
          </cell>
          <cell r="J24">
            <v>0.21129361392514523</v>
          </cell>
          <cell r="K24">
            <v>0.2082445975058651</v>
          </cell>
          <cell r="L24">
            <v>0.20815358761461225</v>
          </cell>
        </row>
        <row r="25">
          <cell r="B25">
            <v>0.18185176534040171</v>
          </cell>
          <cell r="C25">
            <v>0.18649941016318411</v>
          </cell>
          <cell r="D25">
            <v>0.18699715115774271</v>
          </cell>
          <cell r="E25">
            <v>0.15916925734134915</v>
          </cell>
          <cell r="F25">
            <v>0.15937015873315177</v>
          </cell>
          <cell r="G25">
            <v>0.13394601026285033</v>
          </cell>
          <cell r="H25">
            <v>0.11928802506306217</v>
          </cell>
          <cell r="I25">
            <v>0.12875036830087194</v>
          </cell>
          <cell r="J25">
            <v>0.1486966617201877</v>
          </cell>
          <cell r="K25">
            <v>0.14377537219807365</v>
          </cell>
          <cell r="L25">
            <v>0.14648565228403998</v>
          </cell>
        </row>
        <row r="26">
          <cell r="B26">
            <v>0.11822201815916197</v>
          </cell>
          <cell r="C26">
            <v>0.11874566422274271</v>
          </cell>
          <cell r="D26">
            <v>0.1226324993488165</v>
          </cell>
          <cell r="E26">
            <v>9.6916130099419157E-2</v>
          </cell>
          <cell r="F26">
            <v>9.6454682648604906E-2</v>
          </cell>
          <cell r="G26">
            <v>8.1581432984526719E-2</v>
          </cell>
          <cell r="H26">
            <v>8.1826866705561496E-2</v>
          </cell>
          <cell r="I26">
            <v>7.8537724663531885E-2</v>
          </cell>
          <cell r="J26">
            <v>9.0704963649314505E-2</v>
          </cell>
          <cell r="K26">
            <v>8.7702977040824942E-2</v>
          </cell>
          <cell r="L26">
            <v>8.9356247893264379E-2</v>
          </cell>
        </row>
        <row r="29">
          <cell r="B29">
            <v>3.4429436923328942E-2</v>
          </cell>
          <cell r="C29">
            <v>3.5613639256115222E-2</v>
          </cell>
          <cell r="D29">
            <v>4.0382013379539436E-2</v>
          </cell>
          <cell r="E29">
            <v>4.4156396121133194E-2</v>
          </cell>
          <cell r="F29">
            <v>4.3469069913782049E-2</v>
          </cell>
          <cell r="G29">
            <v>2.6293957209824085E-2</v>
          </cell>
          <cell r="H29">
            <v>2.6927331351401528E-2</v>
          </cell>
          <cell r="I29">
            <v>2.6258240985668199E-2</v>
          </cell>
          <cell r="J29">
            <v>3.2988277881780916E-2</v>
          </cell>
          <cell r="K29">
            <v>3.1580055492802954E-2</v>
          </cell>
          <cell r="L29">
            <v>3.288898464941778E-2</v>
          </cell>
        </row>
        <row r="30">
          <cell r="B30">
            <v>0.10727568535752587</v>
          </cell>
          <cell r="C30">
            <v>0.1089888716857194</v>
          </cell>
          <cell r="D30">
            <v>0.12085679246022625</v>
          </cell>
          <cell r="E30">
            <v>0.13177966314092776</v>
          </cell>
          <cell r="F30">
            <v>0.13411082300277516</v>
          </cell>
          <cell r="G30">
            <v>8.298293155729565E-2</v>
          </cell>
          <cell r="H30">
            <v>8.4685748760105831E-2</v>
          </cell>
          <cell r="I30">
            <v>8.1853777456058971E-2</v>
          </cell>
          <cell r="J30">
            <v>0.10026353723059922</v>
          </cell>
          <cell r="K30">
            <v>9.307361227777565E-2</v>
          </cell>
          <cell r="L30">
            <v>9.4387736900846675E-2</v>
          </cell>
        </row>
        <row r="31">
          <cell r="B31">
            <v>7.2264624543368086E-2</v>
          </cell>
          <cell r="C31">
            <v>7.1857363711487862E-2</v>
          </cell>
          <cell r="D31">
            <v>7.9219866129955185E-2</v>
          </cell>
          <cell r="E31">
            <v>8.2655835228165483E-2</v>
          </cell>
          <cell r="F31">
            <v>7.6463608154272986E-2</v>
          </cell>
          <cell r="G31">
            <v>5.1994278471109386E-2</v>
          </cell>
          <cell r="H31">
            <v>5.6995930564830218E-2</v>
          </cell>
          <cell r="I31">
            <v>5.4579630121736056E-2</v>
          </cell>
          <cell r="J31">
            <v>6.4433361252323407E-2</v>
          </cell>
          <cell r="K31">
            <v>6.2986023648644238E-2</v>
          </cell>
          <cell r="L31">
            <v>6.4307005297087078E-2</v>
          </cell>
        </row>
        <row r="32">
          <cell r="B32">
            <v>0.42281997187060483</v>
          </cell>
          <cell r="C32">
            <v>0.1084138281647178</v>
          </cell>
          <cell r="D32">
            <v>-0.24764039641340263</v>
          </cell>
          <cell r="E32">
            <v>0.60520287958115204</v>
          </cell>
          <cell r="F32">
            <v>-8.9334453075792575E-2</v>
          </cell>
          <cell r="G32">
            <v>-0.14659498207885299</v>
          </cell>
          <cell r="H32">
            <v>0.22455265473745961</v>
          </cell>
        </row>
        <row r="35">
          <cell r="B35">
            <v>130.75</v>
          </cell>
          <cell r="C35">
            <v>178.83</v>
          </cell>
          <cell r="D35">
            <v>38.299999999999997</v>
          </cell>
          <cell r="E35">
            <v>82.775000000000006</v>
          </cell>
          <cell r="F35">
            <v>405.762</v>
          </cell>
          <cell r="G35">
            <v>102.18300000000001</v>
          </cell>
          <cell r="H35">
            <v>102.18300000000001</v>
          </cell>
          <cell r="I35">
            <v>102.18300000000001</v>
          </cell>
          <cell r="J35">
            <v>102.18300000000001</v>
          </cell>
          <cell r="K35">
            <v>102.18300000000001</v>
          </cell>
          <cell r="L35">
            <v>102.18300000000001</v>
          </cell>
        </row>
        <row r="36">
          <cell r="B36">
            <v>2352.9430000000002</v>
          </cell>
          <cell r="C36">
            <v>2217.0059999999999</v>
          </cell>
          <cell r="D36">
            <v>2320.8500000000004</v>
          </cell>
          <cell r="E36">
            <v>2418.5520000000001</v>
          </cell>
          <cell r="F36">
            <v>2799.2179999999998</v>
          </cell>
          <cell r="G36">
            <v>3162.7180000000003</v>
          </cell>
          <cell r="H36">
            <v>3494.2825784246579</v>
          </cell>
          <cell r="I36">
            <v>3409.4023946979632</v>
          </cell>
          <cell r="J36">
            <v>3356.307959796603</v>
          </cell>
          <cell r="K36">
            <v>3235.6895480620424</v>
          </cell>
          <cell r="L36">
            <v>3235.6895480620424</v>
          </cell>
        </row>
        <row r="37">
          <cell r="B37">
            <v>171.161</v>
          </cell>
          <cell r="C37">
            <v>95.241</v>
          </cell>
          <cell r="D37">
            <v>0</v>
          </cell>
          <cell r="E37">
            <v>0</v>
          </cell>
          <cell r="F37">
            <v>0</v>
          </cell>
          <cell r="G37">
            <v>0</v>
          </cell>
          <cell r="H37">
            <v>0</v>
          </cell>
          <cell r="I37">
            <v>0</v>
          </cell>
          <cell r="J37">
            <v>0</v>
          </cell>
          <cell r="K37">
            <v>0</v>
          </cell>
          <cell r="L37">
            <v>0</v>
          </cell>
        </row>
        <row r="38">
          <cell r="B38">
            <v>2027.4359999999999</v>
          </cell>
          <cell r="C38">
            <v>2163.3510000000001</v>
          </cell>
          <cell r="D38">
            <v>2205.7330000000002</v>
          </cell>
          <cell r="E38">
            <v>2382.7139999999999</v>
          </cell>
          <cell r="F38">
            <v>2499.3229999999999</v>
          </cell>
          <cell r="G38">
            <v>2686.1529999999998</v>
          </cell>
          <cell r="H38">
            <v>2759.296875</v>
          </cell>
          <cell r="I38">
            <v>2821.0838979547543</v>
          </cell>
          <cell r="J38">
            <v>2933.86001457155</v>
          </cell>
          <cell r="K38">
            <v>3026.3719752234369</v>
          </cell>
          <cell r="L38">
            <v>3122.5776971706782</v>
          </cell>
        </row>
        <row r="39">
          <cell r="B39">
            <v>4682.29</v>
          </cell>
          <cell r="C39">
            <v>4654.4279999999999</v>
          </cell>
          <cell r="D39">
            <v>4564.8830000000007</v>
          </cell>
          <cell r="E39">
            <v>4884.0410000000002</v>
          </cell>
          <cell r="F39">
            <v>5704.3029999999999</v>
          </cell>
          <cell r="G39">
            <v>5951.0540000000001</v>
          </cell>
          <cell r="H39">
            <v>6355.7624534246579</v>
          </cell>
          <cell r="I39">
            <v>6332.6692926527176</v>
          </cell>
          <cell r="J39">
            <v>6392.3509743681534</v>
          </cell>
          <cell r="K39">
            <v>6364.2445232854789</v>
          </cell>
          <cell r="L39">
            <v>6460.4502452327206</v>
          </cell>
        </row>
        <row r="41">
          <cell r="B41">
            <v>0.50251970723727069</v>
          </cell>
          <cell r="C41">
            <v>0.47632190249800832</v>
          </cell>
          <cell r="D41">
            <v>0.50841390677482867</v>
          </cell>
          <cell r="E41">
            <v>0.49519486015780784</v>
          </cell>
          <cell r="F41">
            <v>0.49072042631676471</v>
          </cell>
          <cell r="G41">
            <v>0.53145510022258247</v>
          </cell>
          <cell r="H41">
            <v>0.54978180887516392</v>
          </cell>
          <cell r="I41">
            <v>0.53838314257995701</v>
          </cell>
          <cell r="J41">
            <v>0.52505063837305244</v>
          </cell>
          <cell r="K41">
            <v>0.50841691205033235</v>
          </cell>
          <cell r="L41">
            <v>0.50084582733993099</v>
          </cell>
        </row>
        <row r="42">
          <cell r="B42">
            <v>0.53044407757742473</v>
          </cell>
          <cell r="C42">
            <v>0.51474337985247598</v>
          </cell>
          <cell r="D42">
            <v>0.51680404514201139</v>
          </cell>
          <cell r="E42">
            <v>0.51214291608117135</v>
          </cell>
          <cell r="F42">
            <v>0.56185304322017959</v>
          </cell>
          <cell r="G42">
            <v>0.54862567202381296</v>
          </cell>
          <cell r="H42">
            <v>0.56585903025478623</v>
          </cell>
          <cell r="I42">
            <v>0.55451899229479285</v>
          </cell>
          <cell r="J42">
            <v>0.54103583699711588</v>
          </cell>
          <cell r="K42">
            <v>0.52447270620251063</v>
          </cell>
          <cell r="L42">
            <v>0.51666252681461589</v>
          </cell>
        </row>
        <row r="43">
          <cell r="B43">
            <v>0.43300094611824552</v>
          </cell>
          <cell r="C43">
            <v>0.4647941701966386</v>
          </cell>
          <cell r="D43">
            <v>0.48319595485798866</v>
          </cell>
          <cell r="E43">
            <v>0.48785708391882865</v>
          </cell>
          <cell r="F43">
            <v>0.43814695677982041</v>
          </cell>
          <cell r="G43">
            <v>0.45137432797618704</v>
          </cell>
          <cell r="H43">
            <v>0.43414096974521377</v>
          </cell>
          <cell r="I43">
            <v>0.44548100770520721</v>
          </cell>
          <cell r="J43">
            <v>0.45896416300288406</v>
          </cell>
          <cell r="K43">
            <v>0.47552729379748943</v>
          </cell>
          <cell r="L43">
            <v>0.48333747318538411</v>
          </cell>
        </row>
        <row r="44">
          <cell r="B44">
            <v>3.6554976304329717E-2</v>
          </cell>
          <cell r="C44">
            <v>2.0462449950885479E-2</v>
          </cell>
          <cell r="D44">
            <v>0</v>
          </cell>
          <cell r="E44">
            <v>0</v>
          </cell>
          <cell r="F44">
            <v>0</v>
          </cell>
          <cell r="G44">
            <v>0</v>
          </cell>
          <cell r="H44">
            <v>0</v>
          </cell>
          <cell r="I44">
            <v>0</v>
          </cell>
          <cell r="J44">
            <v>0</v>
          </cell>
          <cell r="K44">
            <v>0</v>
          </cell>
          <cell r="L44">
            <v>0</v>
          </cell>
        </row>
        <row r="45">
          <cell r="B45">
            <v>2.9342101554263951</v>
          </cell>
          <cell r="C45">
            <v>3.2130507699344415</v>
          </cell>
          <cell r="D45">
            <v>3.5435593285054274</v>
          </cell>
          <cell r="E45">
            <v>3.8531244179829027</v>
          </cell>
          <cell r="F45">
            <v>3.8041997019713105</v>
          </cell>
          <cell r="G45">
            <v>2.6412958646796154</v>
          </cell>
          <cell r="H45">
            <v>2.4990566498851354</v>
          </cell>
          <cell r="I45">
            <v>2.6619930489627879</v>
          </cell>
          <cell r="J45">
            <v>3.2140353503573347</v>
          </cell>
          <cell r="K45">
            <v>3.2301395977950058</v>
          </cell>
          <cell r="L45">
            <v>3.3753941411983486</v>
          </cell>
          <cell r="M45" t="str">
            <v>why add back taxes OTI?</v>
          </cell>
        </row>
        <row r="50">
          <cell r="B50">
            <v>2483.6930000000002</v>
          </cell>
          <cell r="C50">
            <v>2395.8359999999998</v>
          </cell>
          <cell r="D50">
            <v>2359.1500000000005</v>
          </cell>
          <cell r="E50">
            <v>2501.3270000000002</v>
          </cell>
          <cell r="F50">
            <v>3204.98</v>
          </cell>
          <cell r="G50">
            <v>3264.9010000000003</v>
          </cell>
          <cell r="H50">
            <v>3596.4655784246579</v>
          </cell>
          <cell r="I50">
            <v>3511.5853946979632</v>
          </cell>
          <cell r="J50">
            <v>3458.490959796603</v>
          </cell>
          <cell r="K50">
            <v>3337.8725480620424</v>
          </cell>
          <cell r="L50">
            <v>3337.8725480620424</v>
          </cell>
        </row>
        <row r="51">
          <cell r="B51">
            <v>2456.2089999999998</v>
          </cell>
          <cell r="C51">
            <v>2375.2979999999998</v>
          </cell>
          <cell r="D51">
            <v>2338.4450000000006</v>
          </cell>
          <cell r="E51">
            <v>2490.9639999999999</v>
          </cell>
          <cell r="F51">
            <v>3176.3609999999999</v>
          </cell>
          <cell r="G51">
            <v>3187.1940000000009</v>
          </cell>
          <cell r="H51">
            <v>3518.7585784246585</v>
          </cell>
          <cell r="I51">
            <v>3433.8783946979638</v>
          </cell>
          <cell r="J51">
            <v>3380.7839597966035</v>
          </cell>
          <cell r="K51">
            <v>3260.1655480620429</v>
          </cell>
          <cell r="L51">
            <v>3119.937592121988</v>
          </cell>
        </row>
        <row r="52">
          <cell r="B52">
            <v>171.161</v>
          </cell>
          <cell r="C52">
            <v>95.241</v>
          </cell>
          <cell r="D52">
            <v>0</v>
          </cell>
          <cell r="E52">
            <v>0</v>
          </cell>
          <cell r="F52">
            <v>0</v>
          </cell>
          <cell r="G52">
            <v>0</v>
          </cell>
          <cell r="H52">
            <v>0</v>
          </cell>
          <cell r="I52">
            <v>0</v>
          </cell>
          <cell r="J52">
            <v>0</v>
          </cell>
          <cell r="K52">
            <v>0</v>
          </cell>
          <cell r="L52">
            <v>0</v>
          </cell>
        </row>
        <row r="53">
          <cell r="B53">
            <v>0</v>
          </cell>
          <cell r="C53">
            <v>0</v>
          </cell>
          <cell r="D53">
            <v>0</v>
          </cell>
          <cell r="E53">
            <v>0</v>
          </cell>
          <cell r="F53">
            <v>0</v>
          </cell>
          <cell r="G53">
            <v>0</v>
          </cell>
          <cell r="H53">
            <v>0</v>
          </cell>
          <cell r="I53">
            <v>0</v>
          </cell>
          <cell r="J53">
            <v>0</v>
          </cell>
          <cell r="K53">
            <v>0</v>
          </cell>
          <cell r="L53">
            <v>0</v>
          </cell>
        </row>
        <row r="54">
          <cell r="B54">
            <v>84.824946999999995</v>
          </cell>
          <cell r="C54">
            <v>84.824946999999995</v>
          </cell>
          <cell r="D54">
            <v>84.824946999999995</v>
          </cell>
          <cell r="E54">
            <v>84.824946999999995</v>
          </cell>
          <cell r="F54">
            <v>84.824946999999995</v>
          </cell>
          <cell r="G54">
            <v>91.379947000000001</v>
          </cell>
          <cell r="H54">
            <v>91.287999999999997</v>
          </cell>
          <cell r="I54">
            <v>91.287999999999997</v>
          </cell>
          <cell r="J54">
            <v>91.287999999999997</v>
          </cell>
          <cell r="K54">
            <v>91.287999999999997</v>
          </cell>
          <cell r="L54">
            <v>91.287999999999997</v>
          </cell>
        </row>
        <row r="55">
          <cell r="B55">
            <v>39.340000000000003</v>
          </cell>
          <cell r="C55">
            <v>42.38</v>
          </cell>
          <cell r="D55">
            <v>30.56</v>
          </cell>
          <cell r="E55">
            <v>47.63</v>
          </cell>
          <cell r="F55">
            <v>41.85</v>
          </cell>
          <cell r="G55">
            <v>34.090000000000003</v>
          </cell>
          <cell r="H55">
            <v>40.020000000000003</v>
          </cell>
          <cell r="I55">
            <v>40.020000000000003</v>
          </cell>
          <cell r="J55">
            <v>40.020000000000003</v>
          </cell>
          <cell r="K55">
            <v>40.020000000000003</v>
          </cell>
          <cell r="L55">
            <v>40.020000000000003</v>
          </cell>
        </row>
        <row r="56">
          <cell r="B56">
            <v>3337.0134149800001</v>
          </cell>
          <cell r="C56">
            <v>3594.88125386</v>
          </cell>
          <cell r="D56">
            <v>2592.2503803199997</v>
          </cell>
          <cell r="E56">
            <v>4040.2122256100001</v>
          </cell>
          <cell r="F56">
            <v>3549.92403195</v>
          </cell>
          <cell r="G56">
            <v>3115.1423932300004</v>
          </cell>
          <cell r="H56">
            <v>3653.3457600000002</v>
          </cell>
          <cell r="I56">
            <v>3653.3457600000002</v>
          </cell>
          <cell r="J56">
            <v>3653.3457600000002</v>
          </cell>
          <cell r="K56">
            <v>3653.3457600000002</v>
          </cell>
          <cell r="L56">
            <v>3653.3457600000002</v>
          </cell>
        </row>
        <row r="57">
          <cell r="B57">
            <v>5964.3834149800005</v>
          </cell>
          <cell r="C57">
            <v>6065.4202538600002</v>
          </cell>
          <cell r="D57">
            <v>4930.6953803200004</v>
          </cell>
          <cell r="E57">
            <v>6531.1762256100001</v>
          </cell>
          <cell r="F57">
            <v>6726.2850319499994</v>
          </cell>
          <cell r="G57">
            <v>6302.3363932300017</v>
          </cell>
          <cell r="H57">
            <v>7172.1043384246586</v>
          </cell>
          <cell r="I57">
            <v>7087.224154697964</v>
          </cell>
          <cell r="J57">
            <v>7034.1297197966032</v>
          </cell>
          <cell r="K57">
            <v>6913.5113080620431</v>
          </cell>
          <cell r="L57">
            <v>6773.2833521219882</v>
          </cell>
        </row>
        <row r="59">
          <cell r="B59">
            <v>7.1419052193648733E-2</v>
          </cell>
          <cell r="C59">
            <v>6.7209355657072631E-2</v>
          </cell>
          <cell r="D59">
            <v>6.6095673047197198E-2</v>
          </cell>
          <cell r="E59">
            <v>6.8489985653671426E-2</v>
          </cell>
          <cell r="F59">
            <v>6.1623743692724553E-2</v>
          </cell>
          <cell r="G59">
            <v>5.8224563944839172E-2</v>
          </cell>
          <cell r="H59">
            <v>5.8000000000000003E-2</v>
          </cell>
          <cell r="I59">
            <v>0.06</v>
          </cell>
          <cell r="J59">
            <v>0.06</v>
          </cell>
          <cell r="K59">
            <v>0.06</v>
          </cell>
          <cell r="L59">
            <v>0.06</v>
          </cell>
        </row>
        <row r="60">
          <cell r="B60">
            <v>1.2250413823173705</v>
          </cell>
          <cell r="C60">
            <v>1.1074652240898493</v>
          </cell>
          <cell r="D60">
            <v>1.0695537492525162</v>
          </cell>
          <cell r="E60">
            <v>1.049780628308727</v>
          </cell>
          <cell r="F60">
            <v>1.2823392574709231</v>
          </cell>
          <cell r="G60">
            <v>1.2154560816156044</v>
          </cell>
          <cell r="H60">
            <v>1.3033992866116146</v>
          </cell>
          <cell r="I60">
            <v>1.2447646088242228</v>
          </cell>
          <cell r="J60">
            <v>1.1788193515094032</v>
          </cell>
          <cell r="K60">
            <v>1.1029287131221228</v>
          </cell>
          <cell r="L60">
            <v>1.0689477962666676</v>
          </cell>
        </row>
        <row r="61">
          <cell r="B61">
            <v>0.53044407757742473</v>
          </cell>
          <cell r="C61">
            <v>0.51474337985247598</v>
          </cell>
          <cell r="D61">
            <v>0.51680404514201139</v>
          </cell>
          <cell r="E61">
            <v>0.51214291608117135</v>
          </cell>
          <cell r="F61">
            <v>0.56185304322017959</v>
          </cell>
          <cell r="G61">
            <v>0.54862567202381296</v>
          </cell>
          <cell r="H61">
            <v>0.56585903025478623</v>
          </cell>
          <cell r="I61">
            <v>0.55451899229479285</v>
          </cell>
          <cell r="J61">
            <v>0.54103583699711588</v>
          </cell>
          <cell r="K61">
            <v>0.52447270620251063</v>
          </cell>
          <cell r="L61">
            <v>0.51666252681461589</v>
          </cell>
        </row>
        <row r="62">
          <cell r="B62">
            <v>0.41451067388284157</v>
          </cell>
          <cell r="C62">
            <v>0.39366619027996919</v>
          </cell>
          <cell r="D62">
            <v>0.47646116629484381</v>
          </cell>
          <cell r="E62">
            <v>0.38237590783027842</v>
          </cell>
          <cell r="F62">
            <v>0.47446714044208105</v>
          </cell>
          <cell r="G62">
            <v>0.51173648810358507</v>
          </cell>
          <cell r="H62">
            <v>0.49607712677474292</v>
          </cell>
          <cell r="I62">
            <v>0.4901073463065248</v>
          </cell>
          <cell r="J62">
            <v>0.48630066972284408</v>
          </cell>
          <cell r="K62">
            <v>0.47743789436712591</v>
          </cell>
          <cell r="L62">
            <v>0.47743789436712591</v>
          </cell>
        </row>
        <row r="66">
          <cell r="B66">
            <v>7.5977710553970706E-2</v>
          </cell>
          <cell r="C66">
            <v>7.7249979326107346E-2</v>
          </cell>
          <cell r="D66">
            <v>8.3353354292845475E-2</v>
          </cell>
          <cell r="E66">
            <v>9.3669566055606654E-2</v>
          </cell>
          <cell r="F66">
            <v>8.8814110892888112E-2</v>
          </cell>
          <cell r="G66">
            <v>6.0799238384120408E-2</v>
          </cell>
          <cell r="H66">
            <v>5.9708988914749503E-2</v>
          </cell>
          <cell r="I66">
            <v>6.5263711881527839E-2</v>
          </cell>
          <cell r="J66">
            <v>7.6844884451492762E-2</v>
          </cell>
          <cell r="K66">
            <v>7.4984637548282912E-2</v>
          </cell>
          <cell r="L66">
            <v>7.6614230220987886E-2</v>
          </cell>
        </row>
        <row r="67">
          <cell r="B67">
            <v>9.1004533008720551E-2</v>
          </cell>
          <cell r="C67">
            <v>8.8829998434062585E-2</v>
          </cell>
          <cell r="D67">
            <v>9.5142593390104516E-2</v>
          </cell>
          <cell r="E67">
            <v>0.10419309915734913</v>
          </cell>
          <cell r="F67">
            <v>7.5825321705534923E-2</v>
          </cell>
          <cell r="G67">
            <v>0.10641773201130075</v>
          </cell>
          <cell r="H67">
            <v>7.069003098962412E-2</v>
          </cell>
          <cell r="I67">
            <v>8.2490386641547356E-2</v>
          </cell>
          <cell r="J67">
            <v>9.0424324384454316E-2</v>
          </cell>
          <cell r="K67">
            <v>9.1707759900882035E-2</v>
          </cell>
          <cell r="L67">
            <v>9.4545730492907626E-2</v>
          </cell>
        </row>
        <row r="74">
          <cell r="B74">
            <v>2.6997279285722819</v>
          </cell>
          <cell r="C74">
            <v>2.5481084105032643</v>
          </cell>
          <cell r="D74">
            <v>2.415469076999317</v>
          </cell>
          <cell r="E74">
            <v>2.3320874162059351</v>
          </cell>
          <cell r="F74">
            <v>2.9222121420723677</v>
          </cell>
          <cell r="G74">
            <v>3.5396408429479345</v>
          </cell>
          <cell r="H74">
            <v>3.7880460051343272</v>
          </cell>
          <cell r="I74">
            <v>3.4466743542136675</v>
          </cell>
          <cell r="J74">
            <v>3.0204432253681572</v>
          </cell>
          <cell r="K74">
            <v>2.8921701379812936</v>
          </cell>
          <cell r="L74">
            <v>2.7986823133468923</v>
          </cell>
        </row>
        <row r="75">
          <cell r="B75">
            <v>5.1863989221064042</v>
          </cell>
          <cell r="C75">
            <v>5.7340509223967073</v>
          </cell>
          <cell r="D75">
            <v>6.2152957197948346</v>
          </cell>
          <cell r="E75">
            <v>6.4439130774360613</v>
          </cell>
          <cell r="F75">
            <v>6.237928131860631</v>
          </cell>
          <cell r="G75">
            <v>4.8970921620574108</v>
          </cell>
          <cell r="H75">
            <v>4.6406227088322982</v>
          </cell>
          <cell r="I75">
            <v>4.7778355009750619</v>
          </cell>
          <cell r="J75">
            <v>5.4759210454593399</v>
          </cell>
          <cell r="K75">
            <v>5.6604121959133007</v>
          </cell>
          <cell r="L75">
            <v>5.9551834758748692</v>
          </cell>
        </row>
        <row r="76">
          <cell r="B76">
            <v>7.9803771084376534</v>
          </cell>
          <cell r="C76">
            <v>8.2211465830170525</v>
          </cell>
          <cell r="D76">
            <v>7.4676964689250367</v>
          </cell>
          <cell r="E76">
            <v>8.9479902625495278</v>
          </cell>
          <cell r="F76">
            <v>8.1249998085217783</v>
          </cell>
          <cell r="G76">
            <v>10.254636343320499</v>
          </cell>
          <cell r="H76">
            <v>6.8157168862187003</v>
          </cell>
          <cell r="I76">
            <v>7.0195890596680615</v>
          </cell>
          <cell r="J76">
            <v>7.516717778282012</v>
          </cell>
          <cell r="K76">
            <v>7.4554020692514413</v>
          </cell>
          <cell r="L76">
            <v>7.8501242195521268</v>
          </cell>
        </row>
        <row r="77">
          <cell r="B77">
            <v>0.28809679779264197</v>
          </cell>
          <cell r="C77">
            <v>0.27899155033983958</v>
          </cell>
          <cell r="D77">
            <v>0.261554373397198</v>
          </cell>
          <cell r="E77">
            <v>0.28016848656733012</v>
          </cell>
          <cell r="F77">
            <v>0.17216706500508577</v>
          </cell>
          <cell r="G77">
            <v>0.24902654016155451</v>
          </cell>
          <cell r="H77">
            <v>0.19427935142536698</v>
          </cell>
          <cell r="I77">
            <v>0.20206630999949976</v>
          </cell>
          <cell r="J77">
            <v>0.22884865272666285</v>
          </cell>
          <cell r="K77">
            <v>0.24053663796061861</v>
          </cell>
          <cell r="L77">
            <v>0.25071454643560781</v>
          </cell>
        </row>
        <row r="78">
          <cell r="B78">
            <v>0.25100485446470244</v>
          </cell>
          <cell r="C78">
            <v>0.25287123158680308</v>
          </cell>
          <cell r="D78">
            <v>0.26941907042790819</v>
          </cell>
          <cell r="E78">
            <v>0.2852062125423826</v>
          </cell>
          <cell r="F78">
            <v>0.17817365474979557</v>
          </cell>
          <cell r="G78">
            <v>0.26670762758196942</v>
          </cell>
          <cell r="H78">
            <v>0.16830733768359432</v>
          </cell>
          <cell r="I78">
            <v>0.20431819337499155</v>
          </cell>
          <cell r="J78">
            <v>0.22866153015703403</v>
          </cell>
          <cell r="K78">
            <v>0.24131437019733359</v>
          </cell>
          <cell r="L78">
            <v>0.24992414896859885</v>
          </cell>
        </row>
        <row r="79">
          <cell r="B79">
            <v>0.21228831421596803</v>
          </cell>
          <cell r="C79">
            <v>0.20952561026714681</v>
          </cell>
          <cell r="D79">
            <v>0.22181251722018508</v>
          </cell>
          <cell r="E79">
            <v>0.2369386329736177</v>
          </cell>
          <cell r="F79">
            <v>0.13786170272513393</v>
          </cell>
          <cell r="G79">
            <v>0.22452533782800749</v>
          </cell>
          <cell r="H79">
            <v>0.12453321512714843</v>
          </cell>
          <cell r="I79">
            <v>0.15687506405467222</v>
          </cell>
          <cell r="J79">
            <v>0.17785052557648862</v>
          </cell>
          <cell r="K79">
            <v>0.18593232749251909</v>
          </cell>
          <cell r="L79">
            <v>0.1918071905746577</v>
          </cell>
        </row>
        <row r="82">
          <cell r="B82">
            <v>2.9896269096142105</v>
          </cell>
          <cell r="C82">
            <v>2.9652782176221635</v>
          </cell>
          <cell r="D82">
            <v>2.2413871640359466</v>
          </cell>
          <cell r="E82">
            <v>2.0936464707124998</v>
          </cell>
          <cell r="F82">
            <v>1.9818176180274707</v>
          </cell>
          <cell r="G82">
            <v>2.3897116661642559</v>
          </cell>
          <cell r="H82">
            <v>2.5452381240834008</v>
          </cell>
          <cell r="I82">
            <v>2.4371480909920908</v>
          </cell>
          <cell r="J82">
            <v>2.2115018389272976</v>
          </cell>
          <cell r="K82">
            <v>2.1860156914406863</v>
          </cell>
          <cell r="L82">
            <v>2.085631859415026</v>
          </cell>
        </row>
        <row r="83">
          <cell r="B83">
            <v>2.9158830685692023</v>
          </cell>
          <cell r="C83">
            <v>2.7572084772763126</v>
          </cell>
          <cell r="D83">
            <v>1.5805932384256305</v>
          </cell>
          <cell r="E83">
            <v>1.9243311945410693</v>
          </cell>
          <cell r="F83">
            <v>2.5504639562025861</v>
          </cell>
          <cell r="G83">
            <v>2.2365746651101626</v>
          </cell>
          <cell r="H83">
            <v>2.4663366101100372</v>
          </cell>
          <cell r="I83">
            <v>2.2281945137994579</v>
          </cell>
          <cell r="J83">
            <v>2.2241545949557389</v>
          </cell>
          <cell r="K83">
            <v>2.1288109023230124</v>
          </cell>
        </row>
        <row r="85">
          <cell r="B85">
            <v>6.4831734365458331</v>
          </cell>
          <cell r="C85">
            <v>6.4509208318505582</v>
          </cell>
          <cell r="D85">
            <v>5.0484039672196959</v>
          </cell>
          <cell r="E85">
            <v>6.0892773670809355</v>
          </cell>
          <cell r="F85">
            <v>6.1328407014720563</v>
          </cell>
          <cell r="G85">
            <v>6.8326749581301502</v>
          </cell>
          <cell r="H85">
            <v>7.5541557663055636</v>
          </cell>
          <cell r="I85">
            <v>6.9562180584995126</v>
          </cell>
          <cell r="J85">
            <v>6.1431964708012341</v>
          </cell>
          <cell r="K85">
            <v>5.9903578299842799</v>
          </cell>
          <cell r="L85">
            <v>5.6791468361716522</v>
          </cell>
        </row>
        <row r="86">
          <cell r="B86">
            <v>6.3434623835591095</v>
          </cell>
          <cell r="C86">
            <v>6.2102176895085837</v>
          </cell>
          <cell r="D86">
            <v>4.5970849271562688</v>
          </cell>
          <cell r="E86">
            <v>5.9549458868672875</v>
          </cell>
          <cell r="F86">
            <v>7.2922986701279973</v>
          </cell>
          <cell r="G86">
            <v>6.6380560794480896</v>
          </cell>
          <cell r="H86">
            <v>7.0395292469084465</v>
          </cell>
          <cell r="I86">
            <v>6.1895660372007937</v>
          </cell>
          <cell r="J86">
            <v>6.0948701993112531</v>
          </cell>
          <cell r="K86">
            <v>5.7967227754788846</v>
          </cell>
        </row>
        <row r="88">
          <cell r="B88">
            <v>5.4283632998031797</v>
          </cell>
          <cell r="C88">
            <v>5.9701825900653329</v>
          </cell>
          <cell r="D88">
            <v>4.0872797986154827</v>
          </cell>
          <cell r="E88">
            <v>5.6707149905942567</v>
          </cell>
          <cell r="F88">
            <v>6.2242606949038892</v>
          </cell>
          <cell r="G88">
            <v>3.3262623367257196</v>
          </cell>
          <cell r="H88">
            <v>6.0432154659793706</v>
          </cell>
          <cell r="I88">
            <v>5.099716456509003</v>
          </cell>
          <cell r="J88">
            <v>4.626755540892848</v>
          </cell>
          <cell r="K88">
            <v>4.5425882101289128</v>
          </cell>
          <cell r="L88">
            <v>4.3860980122045747</v>
          </cell>
        </row>
        <row r="91">
          <cell r="B91">
            <v>14.348351621328252</v>
          </cell>
          <cell r="C91">
            <v>14.891241704131879</v>
          </cell>
          <cell r="D91">
            <v>9.6298913156295001</v>
          </cell>
          <cell r="E91">
            <v>13.380833156926812</v>
          </cell>
          <cell r="F91">
            <v>10.857296245498182</v>
          </cell>
          <cell r="G91">
            <v>13.462153723164471</v>
          </cell>
          <cell r="H91">
            <v>15.864739174935824</v>
          </cell>
          <cell r="I91">
            <v>16.020783055852679</v>
          </cell>
          <cell r="J91">
            <v>12.682421476397479</v>
          </cell>
          <cell r="K91">
            <v>13.191572415001621</v>
          </cell>
          <cell r="L91">
            <v>12.60868479211968</v>
          </cell>
        </row>
        <row r="94">
          <cell r="B94">
            <v>1.6459278689832872</v>
          </cell>
          <cell r="C94">
            <v>1.6617189045420737</v>
          </cell>
          <cell r="D94">
            <v>1.1752330768592569</v>
          </cell>
          <cell r="E94">
            <v>1.6956345686515462</v>
          </cell>
          <cell r="F94">
            <v>1.4203542447094673</v>
          </cell>
          <cell r="G94">
            <v>1.1597040054047556</v>
          </cell>
          <cell r="H94">
            <v>1.3240132995837934</v>
          </cell>
          <cell r="I94">
            <v>1.2950149276484204</v>
          </cell>
          <cell r="J94">
            <v>1.2452351993125077</v>
          </cell>
          <cell r="K94">
            <v>1.2071701000106816</v>
          </cell>
          <cell r="L94">
            <v>1.1699775359665969</v>
          </cell>
        </row>
        <row r="99">
          <cell r="B99">
            <v>1995.0260000000001</v>
          </cell>
          <cell r="C99">
            <v>2045.481</v>
          </cell>
          <cell r="D99">
            <v>2199.8409999999999</v>
          </cell>
          <cell r="E99">
            <v>3119.5220000000004</v>
          </cell>
          <cell r="F99">
            <v>3393.998</v>
          </cell>
          <cell r="G99">
            <v>2637.2789999999995</v>
          </cell>
          <cell r="H99">
            <v>2817.8519999999999</v>
          </cell>
          <cell r="I99">
            <v>2907.9989767109164</v>
          </cell>
          <cell r="J99">
            <v>3180.7026320215728</v>
          </cell>
          <cell r="K99">
            <v>3162.6082718124117</v>
          </cell>
          <cell r="L99">
            <v>3247.5929639959304</v>
          </cell>
        </row>
        <row r="100">
          <cell r="B100">
            <v>919.97900000000027</v>
          </cell>
          <cell r="C100">
            <v>940.24099999999999</v>
          </cell>
          <cell r="D100">
            <v>976.68399999999986</v>
          </cell>
          <cell r="E100">
            <v>1072.5700000000002</v>
          </cell>
          <cell r="F100">
            <v>1096.7649999999999</v>
          </cell>
          <cell r="G100">
            <v>922.38199999999961</v>
          </cell>
          <cell r="H100">
            <v>949.42499999999984</v>
          </cell>
          <cell r="I100">
            <v>1018.8329484637677</v>
          </cell>
          <cell r="J100">
            <v>1145.0276339410593</v>
          </cell>
          <cell r="K100">
            <v>1154.1065666322952</v>
          </cell>
          <cell r="L100">
            <v>1192.6586065677252</v>
          </cell>
        </row>
        <row r="101">
          <cell r="B101">
            <v>520.47900000000027</v>
          </cell>
          <cell r="C101">
            <v>526.86</v>
          </cell>
          <cell r="D101">
            <v>556.84199999999987</v>
          </cell>
          <cell r="E101">
            <v>641.34100000000024</v>
          </cell>
          <cell r="F101">
            <v>668.86199999999974</v>
          </cell>
          <cell r="G101">
            <v>497.49599999999958</v>
          </cell>
          <cell r="H101">
            <v>511.28199999999987</v>
          </cell>
          <cell r="I101">
            <v>567.64746846376784</v>
          </cell>
          <cell r="J101">
            <v>672.06215394105948</v>
          </cell>
          <cell r="K101">
            <v>658.59608663229528</v>
          </cell>
          <cell r="L101">
            <v>675.99812656772519</v>
          </cell>
        </row>
        <row r="103">
          <cell r="B103">
            <v>177.38300000000001</v>
          </cell>
          <cell r="C103">
            <v>163.97499999999999</v>
          </cell>
          <cell r="D103">
            <v>157.142</v>
          </cell>
          <cell r="E103">
            <v>166.447</v>
          </cell>
          <cell r="F103">
            <v>175.822</v>
          </cell>
          <cell r="G103">
            <v>188.35300000000001</v>
          </cell>
          <cell r="H103">
            <v>204.59</v>
          </cell>
          <cell r="I103">
            <v>213.24152919367862</v>
          </cell>
          <cell r="J103">
            <v>209.10229063483698</v>
          </cell>
          <cell r="K103">
            <v>203.89090523575933</v>
          </cell>
          <cell r="L103">
            <v>200.27235288372253</v>
          </cell>
        </row>
        <row r="104">
          <cell r="B104">
            <v>362.79900000000026</v>
          </cell>
          <cell r="C104">
            <v>381.48099999999999</v>
          </cell>
          <cell r="D104">
            <v>411.36399999999986</v>
          </cell>
          <cell r="E104">
            <v>496.53200000000027</v>
          </cell>
          <cell r="F104">
            <v>540.9019999999997</v>
          </cell>
          <cell r="G104">
            <v>353.25299999999959</v>
          </cell>
          <cell r="H104">
            <v>336.13599999999985</v>
          </cell>
          <cell r="I104">
            <v>374.40593927008922</v>
          </cell>
          <cell r="J104">
            <v>472.95986330622247</v>
          </cell>
          <cell r="K104">
            <v>454.70518139653598</v>
          </cell>
          <cell r="L104">
            <v>475.72577368400266</v>
          </cell>
        </row>
        <row r="106">
          <cell r="B106">
            <v>235.85600000000028</v>
          </cell>
          <cell r="C106">
            <v>242.892</v>
          </cell>
          <cell r="D106">
            <v>269.77199999999982</v>
          </cell>
          <cell r="E106">
            <v>302.33200000000028</v>
          </cell>
          <cell r="F106">
            <v>327.36699999999973</v>
          </cell>
          <cell r="G106">
            <v>215.15299999999959</v>
          </cell>
          <cell r="H106">
            <v>230.57599999999985</v>
          </cell>
          <cell r="I106">
            <v>228.38762295475442</v>
          </cell>
          <cell r="J106">
            <v>288.50551661679572</v>
          </cell>
          <cell r="K106">
            <v>277.37016065188698</v>
          </cell>
          <cell r="L106">
            <v>290.19272194724158</v>
          </cell>
        </row>
        <row r="107">
          <cell r="B107">
            <v>2.7417783616009705</v>
          </cell>
          <cell r="C107">
            <v>2.8459681765987859</v>
          </cell>
          <cell r="D107">
            <v>3.1734522227058291</v>
          </cell>
          <cell r="E107">
            <v>3.5595690822393626</v>
          </cell>
          <cell r="F107">
            <v>3.8545508065465643</v>
          </cell>
          <cell r="G107">
            <v>2.5322842615696013</v>
          </cell>
          <cell r="H107">
            <v>2.522575351457796</v>
          </cell>
          <cell r="I107">
            <v>2.4980052386003679</v>
          </cell>
          <cell r="J107">
            <v>3.155548810176267</v>
          </cell>
          <cell r="K107">
            <v>3.0337550930993458</v>
          </cell>
          <cell r="L107">
            <v>3.1740027338150414</v>
          </cell>
        </row>
        <row r="110">
          <cell r="B110">
            <v>399.5</v>
          </cell>
          <cell r="C110">
            <v>413.38099999999997</v>
          </cell>
          <cell r="D110">
            <v>419.84199999999998</v>
          </cell>
          <cell r="E110">
            <v>431.22899999999998</v>
          </cell>
          <cell r="F110">
            <v>427.90300000000002</v>
          </cell>
          <cell r="G110">
            <v>424.88600000000002</v>
          </cell>
          <cell r="H110">
            <v>438.14299999999997</v>
          </cell>
          <cell r="I110">
            <v>451.18547999999993</v>
          </cell>
          <cell r="J110">
            <v>472.96547999999996</v>
          </cell>
          <cell r="K110">
            <v>495.51047999999992</v>
          </cell>
          <cell r="L110">
            <v>516.66047999999989</v>
          </cell>
        </row>
        <row r="111">
          <cell r="B111">
            <v>307.87599999999998</v>
          </cell>
          <cell r="C111">
            <v>319.142</v>
          </cell>
          <cell r="D111">
            <v>343.44799999999998</v>
          </cell>
          <cell r="E111">
            <v>658.60799999999995</v>
          </cell>
          <cell r="F111">
            <v>1055.5740000000001</v>
          </cell>
          <cell r="G111">
            <v>895.52200000000005</v>
          </cell>
          <cell r="H111">
            <v>750</v>
          </cell>
          <cell r="I111">
            <v>446</v>
          </cell>
          <cell r="J111">
            <v>552</v>
          </cell>
          <cell r="K111">
            <v>500</v>
          </cell>
          <cell r="L111">
            <v>500</v>
          </cell>
        </row>
        <row r="113">
          <cell r="B113">
            <v>623.41900000000032</v>
          </cell>
          <cell r="C113">
            <v>605.83799999999985</v>
          </cell>
          <cell r="D113">
            <v>635.5999999999998</v>
          </cell>
          <cell r="E113">
            <v>713.39400000000023</v>
          </cell>
          <cell r="F113">
            <v>571.04299999999978</v>
          </cell>
          <cell r="G113">
            <v>870.77399999999955</v>
          </cell>
          <cell r="H113">
            <v>605.31154657534228</v>
          </cell>
          <cell r="I113">
            <v>717.48078372669443</v>
          </cell>
          <cell r="J113">
            <v>790.82383490136044</v>
          </cell>
          <cell r="K113">
            <v>805.47661173456083</v>
          </cell>
          <cell r="L113">
            <v>834.21495594005455</v>
          </cell>
        </row>
        <row r="114">
          <cell r="B114">
            <v>219.38300000000038</v>
          </cell>
          <cell r="C114">
            <v>182.84699999999987</v>
          </cell>
          <cell r="D114">
            <v>179.84099999999978</v>
          </cell>
          <cell r="E114">
            <v>-65.946999999999662</v>
          </cell>
          <cell r="F114">
            <v>-613.73000000000025</v>
          </cell>
          <cell r="G114">
            <v>-162.46900000000051</v>
          </cell>
          <cell r="H114">
            <v>-302.12057842465777</v>
          </cell>
          <cell r="I114">
            <v>104.88018372669444</v>
          </cell>
          <cell r="J114">
            <v>63.094434901360387</v>
          </cell>
          <cell r="K114">
            <v>120.61841173456082</v>
          </cell>
          <cell r="L114">
            <v>140.22795594005447</v>
          </cell>
        </row>
        <row r="116">
          <cell r="B116">
            <v>7.2471199562907636</v>
          </cell>
          <cell r="C116">
            <v>7.0986103625243109</v>
          </cell>
          <cell r="D116">
            <v>7.4768553917820446</v>
          </cell>
          <cell r="E116">
            <v>8.3992935774415756</v>
          </cell>
          <cell r="F116">
            <v>6.7236900977275376</v>
          </cell>
          <cell r="G116">
            <v>10.248740643095894</v>
          </cell>
          <cell r="H116">
            <v>6.622302352993187</v>
          </cell>
          <cell r="I116">
            <v>7.8474951188552131</v>
          </cell>
          <cell r="J116">
            <v>8.649689754794597</v>
          </cell>
          <cell r="K116">
            <v>8.8099555030686538</v>
          </cell>
          <cell r="L116">
            <v>9.1242831073637678</v>
          </cell>
        </row>
        <row r="118">
          <cell r="B118">
            <v>1.125</v>
          </cell>
          <cell r="C118">
            <v>1.2250000000000001</v>
          </cell>
          <cell r="D118">
            <v>1.325</v>
          </cell>
          <cell r="E118">
            <v>1.425</v>
          </cell>
          <cell r="F118">
            <v>1.5249999999999999</v>
          </cell>
          <cell r="G118">
            <v>1.625</v>
          </cell>
          <cell r="H118">
            <v>1.7250000000000001</v>
          </cell>
          <cell r="I118">
            <v>1.8250000000000002</v>
          </cell>
          <cell r="J118">
            <v>1.9250000000000003</v>
          </cell>
          <cell r="K118">
            <v>2.0250000000000004</v>
          </cell>
          <cell r="L118">
            <v>2.1250000000000004</v>
          </cell>
        </row>
        <row r="119">
          <cell r="B119">
            <v>0.41031763024896495</v>
          </cell>
          <cell r="C119">
            <v>0.43043348484099936</v>
          </cell>
          <cell r="D119">
            <v>0.41752637412333404</v>
          </cell>
          <cell r="E119">
            <v>0.40032935646904694</v>
          </cell>
          <cell r="F119">
            <v>0.39563624311552509</v>
          </cell>
          <cell r="G119">
            <v>0.64171310648701274</v>
          </cell>
          <cell r="H119">
            <v>0.683824964436889</v>
          </cell>
          <cell r="I119">
            <v>0.73058293545555075</v>
          </cell>
          <cell r="J119">
            <v>0.61003651529398173</v>
          </cell>
          <cell r="K119">
            <v>0.66748960870510454</v>
          </cell>
          <cell r="L119">
            <v>0.66950162876697461</v>
          </cell>
        </row>
        <row r="133">
          <cell r="B133">
            <v>8.9177971870604833E-2</v>
          </cell>
          <cell r="C133">
            <v>-0.1773721718352822</v>
          </cell>
          <cell r="D133">
            <v>-0.45807239641340264</v>
          </cell>
          <cell r="E133">
            <v>0.69648887958115202</v>
          </cell>
          <cell r="F133">
            <v>2.8915546924207419E-2</v>
          </cell>
          <cell r="G133">
            <v>7.4410017921147015E-2</v>
          </cell>
          <cell r="H133">
            <v>-6.2296345262540409E-2</v>
          </cell>
        </row>
      </sheetData>
      <sheetData sheetId="2" refreshError="1"/>
      <sheetData sheetId="3" refreshError="1"/>
      <sheetData sheetId="4" refreshError="1"/>
      <sheetData sheetId="5" refreshError="1"/>
      <sheetData sheetId="6" refreshError="1"/>
      <sheetData sheetId="7"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over"/>
      <sheetName val="Duke Valuation"/>
      <sheetName val="Non-Reg Valuation"/>
      <sheetName val="Financial"/>
      <sheetName val="DUK"/>
      <sheetName val="Carolinas (DUK)"/>
      <sheetName val="Carolinas (PGN)"/>
      <sheetName val="Florida"/>
      <sheetName val="Indiana"/>
      <sheetName val="Ohio"/>
      <sheetName val="Commercial Power"/>
      <sheetName val="Int'l Energy"/>
      <sheetName val="Parent"/>
      <sheetName val="Debt"/>
      <sheetName val="Market Prices"/>
      <sheetName val="Generation profile "/>
      <sheetName val="MWA RR"/>
      <sheetName val="mwareDates"/>
      <sheetName val="mwareSettings"/>
      <sheetName val="MW-Cache"/>
      <sheetName val="#REF"/>
    </sheetNames>
    <sheetDataSet>
      <sheetData sheetId="0"/>
      <sheetData sheetId="1"/>
      <sheetData sheetId="2">
        <row r="22">
          <cell r="BG22" t="str">
            <v>ND</v>
          </cell>
          <cell r="BL22" t="str">
            <v>ND</v>
          </cell>
          <cell r="BQ22" t="str">
            <v>ND</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over"/>
      <sheetName val="Valuation DYN"/>
      <sheetName val="SoTP"/>
      <sheetName val="LBO Model"/>
      <sheetName val="Financial"/>
      <sheetName val="DYN"/>
      <sheetName val="Gas"/>
      <sheetName val="Coal"/>
      <sheetName val="IPH"/>
      <sheetName val="Atlas"/>
      <sheetName val="Parent"/>
      <sheetName val="Debt"/>
      <sheetName val="Plant List"/>
      <sheetName val="Market Prices"/>
      <sheetName val="LBO - Hold for Life"/>
      <sheetName val="Midwest Gen"/>
      <sheetName val="Equipower"/>
      <sheetName val="mwareDates"/>
      <sheetName val="MWA RR"/>
      <sheetName val="mwareSettings"/>
      <sheetName val="MW-Cache"/>
      <sheetName val="DYN Model WIP"/>
      <sheetName val="#REF"/>
    </sheetNames>
    <sheetDataSet>
      <sheetData sheetId="0"/>
      <sheetData sheetId="1"/>
      <sheetData sheetId="2">
        <row r="24">
          <cell r="AC24">
            <v>4</v>
          </cell>
          <cell r="AH24">
            <v>18</v>
          </cell>
          <cell r="AM24">
            <v>35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efreshError="1"/>
      <sheetData sheetId="23"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Introduction"/>
      <sheetName val="Income Statement"/>
      <sheetName val="Cash Flow"/>
      <sheetName val="Balance Sheet"/>
      <sheetName val="Fin Stats"/>
      <sheetName val="PTF Worksheet"/>
      <sheetName val="Power Plants"/>
      <sheetName val="Op Co"/>
      <sheetName val="DCF - Valuation"/>
      <sheetName val="Inc Stat"/>
    </sheetNames>
    <sheetDataSet>
      <sheetData sheetId="0" refreshError="1"/>
      <sheetData sheetId="1" refreshError="1">
        <row r="1">
          <cell r="A1" t="str">
            <v>Wisconsin Energy Corporation</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Introduction"/>
      <sheetName val="Income Statement"/>
      <sheetName val="Cash Flow"/>
      <sheetName val="Balance Sheet"/>
      <sheetName val="Fin Stats"/>
      <sheetName val="PTF Worksheet"/>
      <sheetName val="Power Plants"/>
      <sheetName val="Op Co"/>
      <sheetName val="DCF - Valuation"/>
    </sheetNames>
    <sheetDataSet>
      <sheetData sheetId="0" refreshError="1"/>
      <sheetData sheetId="1" refreshError="1">
        <row r="1">
          <cell r="A1" t="str">
            <v>Wisconsin Energy Corporation</v>
          </cell>
        </row>
      </sheetData>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Scenario"/>
      <sheetName val="Sheet1"/>
      <sheetName val="ImportantDisclosures"/>
      <sheetName val="IndexInformation"/>
      <sheetName val="Income"/>
      <sheetName val="GWP"/>
      <sheetName val="Income Statement"/>
      <sheetName val="Margins"/>
      <sheetName val="Euro vs. PM"/>
      <sheetName val="Ruble"/>
      <sheetName val="Comps"/>
      <sheetName val="Switches"/>
      <sheetName val="MS_IRI_Methodology"/>
      <sheetName val="MARKET_SHARE ($)_RAW_DATA"/>
      <sheetName val="NEXXUS_RAW_DATA"/>
      <sheetName val="HAIR_CARE_MARKET SHARE ROLL-UP"/>
      <sheetName val="TOTAL_ACV_DOLLAR_SALES"/>
      <sheetName val="EBITDA"/>
      <sheetName val="SSB Nielsen Sales"/>
      <sheetName val="TimeSeries"/>
      <sheetName val="Valuation Analyzer"/>
      <sheetName val="GWP-WLine"/>
      <sheetName val="TS_Stnd_Dev_Band"/>
      <sheetName val="Print "/>
      <sheetName val="Lookup"/>
      <sheetName val="Input"/>
      <sheetName val="99 cons YTD"/>
      <sheetName val="KPN"/>
      <sheetName val="Realizations vs Average"/>
      <sheetName val="B"/>
      <sheetName val="Ratios"/>
      <sheetName val="C"/>
      <sheetName val="summary"/>
      <sheetName val="Oil Consumption – barrels"/>
      <sheetName val="rev change analysis"/>
      <sheetName val="O1000"/>
      <sheetName val="SO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Table 5-4"/>
      <sheetName val="Assumptions"/>
      <sheetName val="c1"/>
    </sheetNames>
    <sheetDataSet>
      <sheetData sheetId="0" refreshError="1">
        <row r="9">
          <cell r="P9" t="str">
            <v>Maritimes</v>
          </cell>
          <cell r="Q9">
            <v>30823.08</v>
          </cell>
        </row>
        <row r="10">
          <cell r="P10" t="str">
            <v>NE-BOST</v>
          </cell>
          <cell r="Q10">
            <v>24898.53</v>
          </cell>
        </row>
        <row r="11">
          <cell r="P11" t="str">
            <v>NE-CTSW</v>
          </cell>
          <cell r="Q11">
            <v>16690.25</v>
          </cell>
        </row>
        <row r="12">
          <cell r="P12" t="str">
            <v>NE-EAST</v>
          </cell>
          <cell r="Q12">
            <v>46399.81</v>
          </cell>
        </row>
        <row r="13">
          <cell r="P13" t="str">
            <v>NE-MAINE</v>
          </cell>
          <cell r="Q13">
            <v>11410.84</v>
          </cell>
        </row>
        <row r="14">
          <cell r="P14" t="str">
            <v>NE-WEST</v>
          </cell>
          <cell r="Q14">
            <v>39253.03</v>
          </cell>
        </row>
        <row r="15">
          <cell r="P15" t="str">
            <v>NY_AB</v>
          </cell>
          <cell r="Q15">
            <v>28005.46</v>
          </cell>
        </row>
        <row r="16">
          <cell r="P16" t="str">
            <v>NY_CDE</v>
          </cell>
          <cell r="Q16">
            <v>31251.27</v>
          </cell>
        </row>
        <row r="17">
          <cell r="P17" t="str">
            <v>NY_F</v>
          </cell>
          <cell r="Q17">
            <v>12484.24</v>
          </cell>
        </row>
        <row r="18">
          <cell r="P18" t="str">
            <v>NY_GHI</v>
          </cell>
          <cell r="Q18">
            <v>19863.47</v>
          </cell>
        </row>
        <row r="19">
          <cell r="P19" t="str">
            <v>NY_J</v>
          </cell>
          <cell r="Q19">
            <v>53270.2</v>
          </cell>
        </row>
        <row r="20">
          <cell r="P20" t="str">
            <v>NY_K</v>
          </cell>
          <cell r="Q20">
            <v>23713.360000000001</v>
          </cell>
        </row>
        <row r="21">
          <cell r="P21" t="str">
            <v>On EC</v>
          </cell>
          <cell r="Q21">
            <v>82011.02</v>
          </cell>
        </row>
        <row r="22">
          <cell r="P22" t="str">
            <v>On Middleport</v>
          </cell>
          <cell r="Q22">
            <v>31245.09</v>
          </cell>
        </row>
        <row r="23">
          <cell r="P23" t="str">
            <v>On Niagara</v>
          </cell>
          <cell r="Q23">
            <v>5887.81</v>
          </cell>
        </row>
        <row r="24">
          <cell r="P24" t="str">
            <v>On North</v>
          </cell>
          <cell r="Q24">
            <v>19515.099999999999</v>
          </cell>
        </row>
        <row r="25">
          <cell r="P25" t="str">
            <v>On West</v>
          </cell>
          <cell r="Q25">
            <v>18182.86</v>
          </cell>
        </row>
        <row r="26">
          <cell r="P26" t="str">
            <v>PJMEX</v>
          </cell>
          <cell r="Q26">
            <v>151783.73000000001</v>
          </cell>
        </row>
        <row r="27">
          <cell r="P27" t="str">
            <v>PJMWX</v>
          </cell>
          <cell r="Q27">
            <v>143593.29999999999</v>
          </cell>
        </row>
        <row r="28">
          <cell r="P28" t="str">
            <v>Quebec</v>
          </cell>
          <cell r="Q28">
            <v>190161</v>
          </cell>
        </row>
        <row r="29">
          <cell r="P29" t="str">
            <v>VP</v>
          </cell>
          <cell r="Q29">
            <v>97093.89</v>
          </cell>
        </row>
        <row r="34">
          <cell r="P34" t="str">
            <v>Maritimes</v>
          </cell>
          <cell r="Q34">
            <v>30625.5039</v>
          </cell>
        </row>
        <row r="35">
          <cell r="P35" t="str">
            <v>NE-BOST</v>
          </cell>
          <cell r="Q35">
            <v>15951.549800000001</v>
          </cell>
        </row>
        <row r="36">
          <cell r="P36" t="str">
            <v>NE-CTSW</v>
          </cell>
          <cell r="Q36">
            <v>8313.1406000000006</v>
          </cell>
        </row>
        <row r="37">
          <cell r="P37" t="str">
            <v>NE-EAST</v>
          </cell>
          <cell r="Q37">
            <v>61254.515599999999</v>
          </cell>
        </row>
        <row r="38">
          <cell r="P38" t="str">
            <v>NE-MAINE</v>
          </cell>
          <cell r="Q38">
            <v>15242.4355</v>
          </cell>
        </row>
        <row r="39">
          <cell r="P39" t="str">
            <v>NE-WEST</v>
          </cell>
          <cell r="Q39">
            <v>33389.734400000001</v>
          </cell>
        </row>
        <row r="40">
          <cell r="P40" t="str">
            <v>NY_AB</v>
          </cell>
          <cell r="Q40">
            <v>37828.0625</v>
          </cell>
        </row>
        <row r="41">
          <cell r="P41" t="str">
            <v>NY_CDE</v>
          </cell>
          <cell r="Q41">
            <v>43763.472699999998</v>
          </cell>
        </row>
        <row r="42">
          <cell r="P42" t="str">
            <v>NY_F</v>
          </cell>
          <cell r="Q42">
            <v>16510.044900000001</v>
          </cell>
        </row>
        <row r="43">
          <cell r="P43" t="str">
            <v>NY_GHI</v>
          </cell>
          <cell r="Q43">
            <v>22728.025399999999</v>
          </cell>
        </row>
        <row r="44">
          <cell r="P44" t="str">
            <v>NY_J</v>
          </cell>
          <cell r="Q44">
            <v>22814.3125</v>
          </cell>
        </row>
        <row r="45">
          <cell r="P45" t="str">
            <v>NY_K</v>
          </cell>
          <cell r="Q45">
            <v>12421.3516</v>
          </cell>
        </row>
        <row r="46">
          <cell r="P46" t="str">
            <v>On EC</v>
          </cell>
          <cell r="Q46">
            <v>64159.281199999998</v>
          </cell>
        </row>
        <row r="47">
          <cell r="P47" t="str">
            <v>On Middleport</v>
          </cell>
          <cell r="Q47">
            <v>52800.257799999999</v>
          </cell>
        </row>
        <row r="48">
          <cell r="P48" t="str">
            <v>On Niagara</v>
          </cell>
          <cell r="Q48">
            <v>13327.8613</v>
          </cell>
        </row>
        <row r="49">
          <cell r="P49" t="str">
            <v>On North</v>
          </cell>
          <cell r="Q49">
            <v>21765.293000000001</v>
          </cell>
        </row>
        <row r="50">
          <cell r="P50" t="str">
            <v>On West</v>
          </cell>
          <cell r="Q50">
            <v>14380.7246</v>
          </cell>
        </row>
        <row r="51">
          <cell r="P51" t="str">
            <v>PJMEX</v>
          </cell>
          <cell r="Q51">
            <v>114927.36719999999</v>
          </cell>
        </row>
        <row r="52">
          <cell r="P52" t="str">
            <v>PJMWX</v>
          </cell>
          <cell r="Q52">
            <v>167412.9375</v>
          </cell>
        </row>
        <row r="53">
          <cell r="P53" t="str">
            <v>Quebec</v>
          </cell>
          <cell r="Q53">
            <v>188532.4062</v>
          </cell>
        </row>
        <row r="54">
          <cell r="P54" t="str">
            <v>VP</v>
          </cell>
          <cell r="Q54">
            <v>80380.156199999998</v>
          </cell>
        </row>
        <row r="56">
          <cell r="P56" t="str">
            <v>Transarea</v>
          </cell>
          <cell r="Q56" t="str">
            <v>2006 Peak</v>
          </cell>
          <cell r="R56" t="str">
            <v>2030 Peak</v>
          </cell>
          <cell r="S56" t="str">
            <v>Growth</v>
          </cell>
        </row>
        <row r="57">
          <cell r="P57" t="str">
            <v>Maritimes</v>
          </cell>
          <cell r="Q57">
            <v>5681.6523151397705</v>
          </cell>
          <cell r="R57">
            <v>8364.4919128417969</v>
          </cell>
          <cell r="S57">
            <v>1.5590422155297823E-2</v>
          </cell>
        </row>
        <row r="58">
          <cell r="P58" t="str">
            <v>NE-BOST</v>
          </cell>
          <cell r="Q58">
            <v>5019.6340026855469</v>
          </cell>
          <cell r="R58">
            <v>7403.301513671875</v>
          </cell>
          <cell r="S58">
            <v>1.566417806740672E-2</v>
          </cell>
          <cell r="U58" t="str">
            <v>TransArea</v>
          </cell>
          <cell r="V58">
            <v>2006</v>
          </cell>
          <cell r="W58">
            <v>2030</v>
          </cell>
          <cell r="X58" t="str">
            <v>Growth Rate</v>
          </cell>
        </row>
        <row r="59">
          <cell r="P59" t="str">
            <v>NE-CTSW</v>
          </cell>
          <cell r="Q59">
            <v>3454.9498596191406</v>
          </cell>
          <cell r="R59">
            <v>4895.6216583251953</v>
          </cell>
          <cell r="S59">
            <v>1.4038966441656697E-2</v>
          </cell>
          <cell r="U59" t="str">
            <v>Maritimes</v>
          </cell>
          <cell r="V59">
            <v>30823.08</v>
          </cell>
          <cell r="W59">
            <v>45110.400000000001</v>
          </cell>
          <cell r="X59">
            <v>1.5350590632267069E-2</v>
          </cell>
        </row>
        <row r="60">
          <cell r="P60" t="str">
            <v>NE-EAST</v>
          </cell>
          <cell r="Q60">
            <v>9293.1017227172852</v>
          </cell>
          <cell r="R60">
            <v>13834.064109802246</v>
          </cell>
          <cell r="S60">
            <v>1.6041773121631797E-2</v>
          </cell>
          <cell r="U60" t="str">
            <v>NE-BOST</v>
          </cell>
          <cell r="V60">
            <v>24898.53</v>
          </cell>
          <cell r="W60">
            <v>36766.35</v>
          </cell>
          <cell r="X60">
            <v>1.5713143649888073E-2</v>
          </cell>
        </row>
        <row r="61">
          <cell r="P61" t="str">
            <v>NE-MAINE</v>
          </cell>
          <cell r="Q61">
            <v>1854.7192497253418</v>
          </cell>
          <cell r="R61">
            <v>2402.6331176757812</v>
          </cell>
          <cell r="S61">
            <v>1.0407057879102011E-2</v>
          </cell>
          <cell r="U61" t="str">
            <v>NE-CTSW</v>
          </cell>
          <cell r="V61">
            <v>16690.25</v>
          </cell>
          <cell r="W61">
            <v>23582.42</v>
          </cell>
          <cell r="X61">
            <v>1.3923108187573252E-2</v>
          </cell>
        </row>
        <row r="62">
          <cell r="P62" t="str">
            <v>NE-WEST</v>
          </cell>
          <cell r="Q62">
            <v>7234.1174011230469</v>
          </cell>
          <cell r="R62">
            <v>10110.289001464844</v>
          </cell>
          <cell r="S62">
            <v>1.3479855189370893E-2</v>
          </cell>
          <cell r="U62" t="str">
            <v>NE-EAST</v>
          </cell>
          <cell r="V62">
            <v>46399.81</v>
          </cell>
          <cell r="W62">
            <v>69113.460000000006</v>
          </cell>
          <cell r="X62">
            <v>1.6065855542184426E-2</v>
          </cell>
        </row>
        <row r="63">
          <cell r="P63" t="str">
            <v>NY_AB</v>
          </cell>
          <cell r="Q63">
            <v>4455.8887939453125</v>
          </cell>
          <cell r="R63">
            <v>4644.54638671875</v>
          </cell>
          <cell r="S63">
            <v>1.6600629978966719E-3</v>
          </cell>
          <cell r="U63" t="str">
            <v>NE-MAINE</v>
          </cell>
          <cell r="V63">
            <v>11410.84</v>
          </cell>
          <cell r="W63">
            <v>14779.92</v>
          </cell>
          <cell r="X63">
            <v>1.0401956970312209E-2</v>
          </cell>
        </row>
        <row r="64">
          <cell r="P64" t="str">
            <v>NY_CDE</v>
          </cell>
          <cell r="Q64">
            <v>5155.5890502929687</v>
          </cell>
          <cell r="R64">
            <v>5373.4819946289062</v>
          </cell>
          <cell r="S64">
            <v>1.657161009149366E-3</v>
          </cell>
          <cell r="U64" t="str">
            <v>NE-WEST</v>
          </cell>
          <cell r="V64">
            <v>39253.03</v>
          </cell>
          <cell r="W64">
            <v>54897.91</v>
          </cell>
          <cell r="X64">
            <v>1.3508289131146878E-2</v>
          </cell>
        </row>
        <row r="65">
          <cell r="P65" t="str">
            <v>NY_F</v>
          </cell>
          <cell r="Q65">
            <v>2110</v>
          </cell>
          <cell r="R65">
            <v>2179</v>
          </cell>
          <cell r="S65">
            <v>1.2879530390208505E-3</v>
          </cell>
          <cell r="U65" t="str">
            <v>NY_AB</v>
          </cell>
          <cell r="V65">
            <v>28005.46</v>
          </cell>
          <cell r="W65">
            <v>29247.98</v>
          </cell>
          <cell r="X65">
            <v>1.7379492983085054E-3</v>
          </cell>
        </row>
        <row r="66">
          <cell r="P66" t="str">
            <v>NY_GHI</v>
          </cell>
          <cell r="Q66">
            <v>4464.412353515625</v>
          </cell>
          <cell r="R66">
            <v>7994.59912109375</v>
          </cell>
          <cell r="S66">
            <v>2.3578831242596632E-2</v>
          </cell>
          <cell r="U66" t="str">
            <v>NY_CDE</v>
          </cell>
          <cell r="V66">
            <v>31251.27</v>
          </cell>
          <cell r="W66">
            <v>32579.06</v>
          </cell>
          <cell r="X66">
            <v>1.6657752786093383E-3</v>
          </cell>
        </row>
        <row r="67">
          <cell r="P67" t="str">
            <v>NY_J</v>
          </cell>
          <cell r="Q67">
            <v>11505</v>
          </cell>
          <cell r="R67">
            <v>13835</v>
          </cell>
          <cell r="S67">
            <v>7.4040711742044962E-3</v>
          </cell>
          <cell r="U67" t="str">
            <v>NY_F</v>
          </cell>
          <cell r="V67">
            <v>12484.24</v>
          </cell>
          <cell r="W67">
            <v>14014.32</v>
          </cell>
          <cell r="X67">
            <v>4.6352141304095706E-3</v>
          </cell>
        </row>
        <row r="68">
          <cell r="P68" t="str">
            <v>NY_K</v>
          </cell>
          <cell r="Q68">
            <v>5320</v>
          </cell>
          <cell r="R68">
            <v>6772</v>
          </cell>
          <cell r="S68">
            <v>9.699666201873347E-3</v>
          </cell>
          <cell r="U68" t="str">
            <v>NY_GHI</v>
          </cell>
          <cell r="V68">
            <v>19863.47</v>
          </cell>
          <cell r="W68">
            <v>32550.15</v>
          </cell>
          <cell r="X68">
            <v>1.9952425376741356E-2</v>
          </cell>
        </row>
        <row r="69">
          <cell r="P69" t="str">
            <v>On EC</v>
          </cell>
          <cell r="Q69">
            <v>13604</v>
          </cell>
          <cell r="R69">
            <v>16610</v>
          </cell>
          <cell r="S69">
            <v>8.017612544781727E-3</v>
          </cell>
          <cell r="U69" t="str">
            <v>NY_J</v>
          </cell>
          <cell r="V69">
            <v>53270.2</v>
          </cell>
          <cell r="W69">
            <v>65327.25</v>
          </cell>
          <cell r="X69">
            <v>8.1946812324338314E-3</v>
          </cell>
        </row>
        <row r="70">
          <cell r="P70" t="str">
            <v>On Middleport</v>
          </cell>
          <cell r="Q70">
            <v>4782</v>
          </cell>
          <cell r="R70">
            <v>6560</v>
          </cell>
          <cell r="S70">
            <v>1.2725558845826823E-2</v>
          </cell>
          <cell r="U70" t="str">
            <v>NY_K</v>
          </cell>
          <cell r="V70">
            <v>23713.360000000001</v>
          </cell>
          <cell r="W70">
            <v>29876.03</v>
          </cell>
          <cell r="X70">
            <v>9.2835425967014995E-3</v>
          </cell>
        </row>
        <row r="71">
          <cell r="P71" t="str">
            <v>On Niagara</v>
          </cell>
          <cell r="Q71">
            <v>983</v>
          </cell>
          <cell r="R71">
            <v>1072</v>
          </cell>
          <cell r="S71">
            <v>3.4729054694884187E-3</v>
          </cell>
          <cell r="U71" t="str">
            <v>On EC</v>
          </cell>
          <cell r="V71">
            <v>82011.02</v>
          </cell>
          <cell r="W71">
            <v>96094.59</v>
          </cell>
          <cell r="X71">
            <v>6.3593107133974591E-3</v>
          </cell>
        </row>
        <row r="72">
          <cell r="P72" t="str">
            <v>On North</v>
          </cell>
          <cell r="Q72">
            <v>2882.217041015625</v>
          </cell>
          <cell r="R72">
            <v>3023.096923828125</v>
          </cell>
          <cell r="S72">
            <v>1.9107020095820992E-3</v>
          </cell>
          <cell r="U72" t="str">
            <v>On Middleport</v>
          </cell>
          <cell r="V72">
            <v>31245.09</v>
          </cell>
          <cell r="W72">
            <v>41631.019999999997</v>
          </cell>
          <cell r="X72">
            <v>1.1545473125542216E-2</v>
          </cell>
        </row>
        <row r="73">
          <cell r="P73" t="str">
            <v>On West</v>
          </cell>
          <cell r="Q73">
            <v>3214</v>
          </cell>
          <cell r="R73">
            <v>4309</v>
          </cell>
          <cell r="S73">
            <v>1.1796621379846606E-2</v>
          </cell>
          <cell r="U73" t="str">
            <v>On Niagara</v>
          </cell>
          <cell r="V73">
            <v>5887.81</v>
          </cell>
          <cell r="W73">
            <v>6229.7</v>
          </cell>
          <cell r="X73">
            <v>2.2603132917820012E-3</v>
          </cell>
        </row>
        <row r="74">
          <cell r="P74" t="str">
            <v>Quebec</v>
          </cell>
          <cell r="Q74">
            <v>35767</v>
          </cell>
          <cell r="R74">
            <v>41355</v>
          </cell>
          <cell r="S74">
            <v>5.8235976990683724E-3</v>
          </cell>
          <cell r="U74" t="str">
            <v>On North</v>
          </cell>
          <cell r="V74">
            <v>19515.099999999999</v>
          </cell>
          <cell r="W74">
            <v>20062.439999999999</v>
          </cell>
          <cell r="X74">
            <v>1.1070477394234945E-3</v>
          </cell>
        </row>
        <row r="75">
          <cell r="U75" t="str">
            <v>On West</v>
          </cell>
          <cell r="V75">
            <v>18182.86</v>
          </cell>
          <cell r="W75">
            <v>24305.24</v>
          </cell>
          <cell r="X75">
            <v>1.1676143064269562E-2</v>
          </cell>
        </row>
        <row r="76">
          <cell r="U76" t="str">
            <v>Quebec</v>
          </cell>
          <cell r="V76">
            <v>190161</v>
          </cell>
          <cell r="W76">
            <v>222257.92000000001</v>
          </cell>
          <cell r="X76">
            <v>6.2581983051854806E-3</v>
          </cell>
        </row>
      </sheetData>
      <sheetData sheetId="1" refreshError="1"/>
      <sheetData sheetId="2" refreshError="1"/>
      <sheetData sheetId="3"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Price Deck"/>
      <sheetName val="Prior Week"/>
      <sheetName val="Price Change"/>
      <sheetName val="Analyzer"/>
      <sheetName val="Summary"/>
      <sheetName val="Price Deck"/>
      <sheetName val="Off Peak"/>
      <sheetName val="Peak"/>
      <sheetName val="Historicals"/>
      <sheetName val="Gas"/>
      <sheetName val="Data"/>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Price Deck"/>
      <sheetName val="Prior Week"/>
      <sheetName val="Price Change"/>
      <sheetName val="Analyzer"/>
      <sheetName val="Summary"/>
      <sheetName val="Price Deck"/>
      <sheetName val="Off Peak"/>
      <sheetName val="Peak"/>
      <sheetName val="Historicals"/>
      <sheetName val="Gas"/>
      <sheetName val="Income Statement"/>
      <sheetName val="Data"/>
      <sheetName val="Valua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Price Deck"/>
      <sheetName val="Prior Week"/>
      <sheetName val="Price Change"/>
      <sheetName val="Analyzer"/>
      <sheetName val="Summary"/>
      <sheetName val="Price Deck"/>
      <sheetName val="Off Peak"/>
      <sheetName val="Peak"/>
      <sheetName val="Historicals"/>
      <sheetName val="Gas"/>
      <sheetName val="Data"/>
      <sheetName val="Assump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rt1"/>
      <sheetName val="ImportantDisclosures"/>
      <sheetName val="OtherDisclosures"/>
      <sheetName val="MWare_Cached"/>
      <sheetName val="IndexInformation"/>
      <sheetName val="ModPubIndex"/>
      <sheetName val="CircularReferenceAlert"/>
      <sheetName val="GoodCharList"/>
      <sheetName val="Graphics"/>
      <sheetName val="MATINC"/>
      <sheetName val="MATQTRS"/>
      <sheetName val="UNIV-EBS DATA"/>
      <sheetName val="RELPE"/>
      <sheetName val="Ratios"/>
      <sheetName val="SALESCAT"/>
      <sheetName val="MATBAL"/>
      <sheetName val="MATCASH"/>
      <sheetName val="FinSum"/>
      <sheetName val="Macro1"/>
      <sheetName val="Macro2"/>
    </sheetNames>
    <sheetDataSet>
      <sheetData sheetId="0" refreshError="1"/>
      <sheetData sheetId="1"/>
      <sheetData sheetId="2"/>
      <sheetData sheetId="3"/>
      <sheetData sheetId="4" refreshError="1">
        <row r="37">
          <cell r="B37" t="str">
            <v>excel</v>
          </cell>
        </row>
        <row r="38">
          <cell r="B38" t="str">
            <v>en-US</v>
          </cell>
        </row>
      </sheetData>
      <sheetData sheetId="5"/>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over Sheet"/>
      <sheetName val="Valuation Summary"/>
      <sheetName val="Dispatch Assumptions"/>
      <sheetName val="Financial Summary"/>
      <sheetName val="Market Prices"/>
      <sheetName val="Genco Cap Factors"/>
      <sheetName val="Consolidated"/>
      <sheetName val="Missouri"/>
      <sheetName val="Illinois"/>
      <sheetName val="Parent"/>
      <sheetName val="Generation"/>
      <sheetName val="Debt_New"/>
      <sheetName val="mwareDates"/>
      <sheetName val="MW-Cache"/>
      <sheetName val="Plant Details"/>
      <sheetName val="Note Summary"/>
      <sheetName val="MWA RR"/>
      <sheetName val="mwareSettings"/>
      <sheetName val="Front Page"/>
      <sheetName val="IndexInformation"/>
    </sheetNames>
    <sheetDataSet>
      <sheetData sheetId="0"/>
      <sheetData sheetId="1"/>
      <sheetData sheetId="2"/>
      <sheetData sheetId="3"/>
      <sheetData sheetId="4" refreshError="1">
        <row r="14">
          <cell r="AG14">
            <v>0.37</v>
          </cell>
        </row>
        <row r="55">
          <cell r="V55">
            <v>29</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ng"/>
      <sheetName val="Insurance"/>
      <sheetName val="Banks"/>
      <sheetName val="Oils"/>
      <sheetName val="General Europe"/>
      <sheetName val="General UK"/>
      <sheetName val="Latest_Chart"/>
      <sheetName val="Add4Sheet"/>
      <sheetName val="Module2"/>
      <sheetName val="Module1"/>
      <sheetName val="LINKTAB"/>
      <sheetName val="Model"/>
      <sheetName val="P"/>
      <sheetName val="Market_Share"/>
      <sheetName val="Assumptions"/>
      <sheetName val="Summary"/>
      <sheetName val="Consol_Income"/>
      <sheetName val="Rate Case"/>
      <sheetName val="Balance Sheet"/>
      <sheetName val="Sheet9"/>
      <sheetName val="Leases"/>
      <sheetName val="Graph"/>
      <sheetName val="Income"/>
      <sheetName val="Financial Summary"/>
      <sheetName val="BizJet Deliveries"/>
      <sheetName val="Exclusion List"/>
      <sheetName val="CFOld"/>
      <sheetName val="PLOld"/>
      <sheetName val="Headline"/>
      <sheetName val="MTT old"/>
      <sheetName val="DOMNETREV1002B"/>
      <sheetName val="Cash flow"/>
      <sheetName val="Profit &amp; Loss"/>
      <sheetName val="Inputs, sensitivity &amp; val"/>
      <sheetName val="c1"/>
      <sheetName val="Monthly figures"/>
      <sheetName val="Consolidated"/>
      <sheetName val="CENMODEL"/>
      <sheetName val="Customize Your Statement"/>
      <sheetName val="Sainsbury"/>
      <sheetName val="KQ"/>
      <sheetName val="Presentation Tables"/>
      <sheetName val="BS"/>
    </sheetNames>
    <definedNames>
      <definedName name="Update_This"/>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s>

</file>

<file path=xl/worksheets/_rels/sheet4.xml.rels><?xml version="1.0" encoding="UTF-8" standalone="yes"?>
<Relationships xmlns="http://schemas.openxmlformats.org/package/2006/relationships">
<Relationship Id="rId1" Target="mailto:jim.kobus@morganstanley.com" TargetMode="External" Type="http://schemas.openxmlformats.org/officeDocument/2006/relationships/hyperlink"/>
<Relationship Id="rId2" Target="mailto:david.arcaro@morganstanley.com" TargetMode="External" Type="http://schemas.openxmlformats.org/officeDocument/2006/relationships/hyperlink"/>
<Relationship Id="rId3" Target="../printerSettings/printerSettings3.bin" Type="http://schemas.openxmlformats.org/officeDocument/2006/relationships/printerSettings"/>
<Relationship Id="rId4" Target="../drawings/drawing3.xml" Type="http://schemas.openxmlformats.org/officeDocument/2006/relationships/drawing"/>
</Relationships>

</file>

<file path=xl/worksheets/_rels/sheet5.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2.vml" Type="http://schemas.openxmlformats.org/officeDocument/2006/relationships/vmlDrawing"/>
<Relationship Id="rId3" Target="../comments1.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3.vml" Type="http://schemas.openxmlformats.org/officeDocument/2006/relationships/vmlDrawing"/>
<Relationship Id="rId3" Target="../comments2.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drawing4.xml" Type="http://schemas.openxmlformats.org/officeDocument/2006/relationships/drawing"/>
</Relationships>

</file>

<file path=xl/worksheets/_rels/sheet8.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drawing5.xml" Type="http://schemas.openxmlformats.org/officeDocument/2006/relationships/drawing"/>
<Relationship Id="rId3" Target="../drawings/vmlDrawing4.vml" Type="http://schemas.openxmlformats.org/officeDocument/2006/relationships/vmlDrawing"/>
<Relationship Id="rId4" Target="../comments3.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drawing6.xml" Type="http://schemas.openxmlformats.org/officeDocument/2006/relationships/drawing"/>
<Relationship Id="rId3" Target="../drawings/vmlDrawing5.vml" Type="http://schemas.openxmlformats.org/officeDocument/2006/relationships/vmlDrawing"/>
<Relationship Id="rId4" Target="../comments4.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drawing7.xml" Type="http://schemas.openxmlformats.org/officeDocument/2006/relationships/drawing"/>
<Relationship Id="rId3" Target="../drawings/vmlDrawing6.vml" Type="http://schemas.openxmlformats.org/officeDocument/2006/relationships/vmlDrawing"/>
<Relationship Id="rId4" Target="../comments5.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drawing8.xml" Type="http://schemas.openxmlformats.org/officeDocument/2006/relationships/drawing"/>
<Relationship Id="rId3" Target="../drawings/vmlDrawing7.vml" Type="http://schemas.openxmlformats.org/officeDocument/2006/relationships/vmlDrawing"/>
<Relationship Id="rId4" Target="../comments6.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drawing9.xml" Type="http://schemas.openxmlformats.org/officeDocument/2006/relationships/drawing"/>
<Relationship Id="rId3" Target="../drawings/vmlDrawing8.vml" Type="http://schemas.openxmlformats.org/officeDocument/2006/relationships/vmlDrawing"/>
<Relationship Id="rId4" Target="../comments7.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drawing10.xml" Type="http://schemas.openxmlformats.org/officeDocument/2006/relationships/drawing"/>
<Relationship Id="rId3" Target="../drawings/vmlDrawing9.vml" Type="http://schemas.openxmlformats.org/officeDocument/2006/relationships/vmlDrawing"/>
<Relationship Id="rId4" Target="../comments8.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drawing11.xml" Type="http://schemas.openxmlformats.org/officeDocument/2006/relationships/drawing"/>
<Relationship Id="rId3" Target="../drawings/vmlDrawing10.vml" Type="http://schemas.openxmlformats.org/officeDocument/2006/relationships/vmlDrawing"/>
<Relationship Id="rId4" Target="../comments9.xml" Type="http://schemas.openxmlformats.org/officeDocument/2006/relationships/comments"/>
</Relationships>

</file>

<file path=xl/worksheets/_rels/sheet15.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drawing12.xml" Type="http://schemas.openxmlformats.org/officeDocument/2006/relationships/drawing"/>
<Relationship Id="rId3" Target="../drawings/vmlDrawing11.vml" Type="http://schemas.openxmlformats.org/officeDocument/2006/relationships/vmlDrawing"/>
<Relationship Id="rId4" Target="../comments10.xml" Type="http://schemas.openxmlformats.org/officeDocument/2006/relationships/comments"/>
</Relationships>

</file>

<file path=xl/worksheets/_rels/sheet16.xml.rels><?xml version="1.0" encoding="UTF-8" standalone="yes"?>
<Relationships xmlns="http://schemas.openxmlformats.org/package/2006/relationships">
<Relationship Id="rId1" Target="../printerSettings/printerSettings15.bin" Type="http://schemas.openxmlformats.org/officeDocument/2006/relationships/printerSettings"/>
<Relationship Id="rId2" Target="../drawings/drawing13.xml" Type="http://schemas.openxmlformats.org/officeDocument/2006/relationships/drawing"/>
<Relationship Id="rId3" Target="../drawings/vmlDrawing12.vml" Type="http://schemas.openxmlformats.org/officeDocument/2006/relationships/vmlDrawing"/>
<Relationship Id="rId4" Target="../comments11.xml" Type="http://schemas.openxmlformats.org/officeDocument/2006/relationships/comments"/>
</Relationships>

</file>

<file path=xl/worksheets/_rels/sheet17.xml.rels><?xml version="1.0" encoding="UTF-8" standalone="yes"?>
<Relationships xmlns="http://schemas.openxmlformats.org/package/2006/relationships">
<Relationship Id="rId1" Target="../printerSettings/printerSettings16.bin" Type="http://schemas.openxmlformats.org/officeDocument/2006/relationships/printerSettings"/>
<Relationship Id="rId2" Target="../drawings/drawing14.xml" Type="http://schemas.openxmlformats.org/officeDocument/2006/relationships/drawing"/>
<Relationship Id="rId3" Target="../drawings/vmlDrawing13.vml" Type="http://schemas.openxmlformats.org/officeDocument/2006/relationships/vmlDrawing"/>
<Relationship Id="rId4" Target="../comments12.xml" Type="http://schemas.openxmlformats.org/officeDocument/2006/relationships/comments"/>
</Relationships>

</file>

<file path=xl/worksheets/_rels/sheet18.xml.rels><?xml version="1.0" encoding="UTF-8" standalone="yes"?>
<Relationships xmlns="http://schemas.openxmlformats.org/package/2006/relationships">
<Relationship Id="rId1" Target="../printerSettings/printerSettings17.bin" Type="http://schemas.openxmlformats.org/officeDocument/2006/relationships/printerSettings"/>
<Relationship Id="rId2" Target="../drawings/drawing15.xml" Type="http://schemas.openxmlformats.org/officeDocument/2006/relationships/drawing"/>
<Relationship Id="rId3" Target="../drawings/vmlDrawing14.vml" Type="http://schemas.openxmlformats.org/officeDocument/2006/relationships/vmlDrawing"/>
<Relationship Id="rId4" Target="../comments13.xml" Type="http://schemas.openxmlformats.org/officeDocument/2006/relationships/comments"/>
</Relationships>

</file>

<file path=xl/worksheets/_rels/sheet19.xml.rels><?xml version="1.0" encoding="UTF-8" standalone="yes"?>
<Relationships xmlns="http://schemas.openxmlformats.org/package/2006/relationships">
<Relationship Id="rId1" Target="../printerSettings/printerSettings18.bin" Type="http://schemas.openxmlformats.org/officeDocument/2006/relationships/printerSettings"/>
<Relationship Id="rId2" Target="../drawings/drawing16.xml" Type="http://schemas.openxmlformats.org/officeDocument/2006/relationships/drawing"/>
<Relationship Id="rId3" Target="../drawings/vmlDrawing15.vml" Type="http://schemas.openxmlformats.org/officeDocument/2006/relationships/vmlDrawing"/>
<Relationship Id="rId4" Target="../comments14.xml" Type="http://schemas.openxmlformats.org/officeDocument/2006/relationships/comments"/>
</Relationships>

</file>

<file path=xl/worksheets/_rels/sheet20.xml.rels><?xml version="1.0" encoding="UTF-8" standalone="yes"?>
<Relationships xmlns="http://schemas.openxmlformats.org/package/2006/relationships">
<Relationship Id="rId1" Target="../printerSettings/printerSettings19.bin" Type="http://schemas.openxmlformats.org/officeDocument/2006/relationships/printerSettings"/>
</Relationships>

</file>

<file path=xl/worksheets/_rels/sheet22.xml.rels><?xml version="1.0" encoding="UTF-8" standalone="yes"?>
<Relationships xmlns="http://schemas.openxmlformats.org/package/2006/relationships">
<Relationship Id="rId1" Target="../printerSettings/printerSettings20.bin" Type="http://schemas.openxmlformats.org/officeDocument/2006/relationships/printerSettings"/>
</Relationships>

</file>

<file path=xl/worksheets/_rels/sheet23.xml.rels><?xml version="1.0" encoding="UTF-8" standalone="yes"?>
<Relationships xmlns="http://schemas.openxmlformats.org/package/2006/relationships">
<Relationship Id="rId1" Target="../printerSettings/printerSettings21.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397"/>
  <sheetViews>
    <sheetView showGridLines="0" tabSelected="1" workbookViewId="0">
      <selection activeCell="Z1" sqref="Z1"/>
    </sheetView>
  </sheetViews>
  <sheetFormatPr defaultRowHeight="12.75"/>
  <cols>
    <col min="1" max="1" width="25.7109375" style="1937" customWidth="1"/>
    <col min="2" max="5" width="9.140625" style="1937"/>
    <col min="6" max="6" width="18.7109375" style="1937" customWidth="1"/>
    <col min="7" max="256" width="9.140625" style="1937"/>
    <col min="257" max="257" width="100.7109375" style="1937" customWidth="1"/>
    <col min="258" max="512" width="9.140625" style="1937"/>
    <col min="513" max="513" width="100.7109375" style="1937" customWidth="1"/>
    <col min="514" max="768" width="9.140625" style="1937"/>
    <col min="769" max="769" width="100.7109375" style="1937" customWidth="1"/>
    <col min="770" max="1024" width="9.140625" style="1937"/>
    <col min="1025" max="1025" width="100.7109375" style="1937" customWidth="1"/>
    <col min="1026" max="1280" width="9.140625" style="1937"/>
    <col min="1281" max="1281" width="100.7109375" style="1937" customWidth="1"/>
    <col min="1282" max="1536" width="9.140625" style="1937"/>
    <col min="1537" max="1537" width="100.7109375" style="1937" customWidth="1"/>
    <col min="1538" max="1792" width="9.140625" style="1937"/>
    <col min="1793" max="1793" width="100.7109375" style="1937" customWidth="1"/>
    <col min="1794" max="2048" width="9.140625" style="1937"/>
    <col min="2049" max="2049" width="100.7109375" style="1937" customWidth="1"/>
    <col min="2050" max="2304" width="9.140625" style="1937"/>
    <col min="2305" max="2305" width="100.7109375" style="1937" customWidth="1"/>
    <col min="2306" max="2560" width="9.140625" style="1937"/>
    <col min="2561" max="2561" width="100.7109375" style="1937" customWidth="1"/>
    <col min="2562" max="2816" width="9.140625" style="1937"/>
    <col min="2817" max="2817" width="100.7109375" style="1937" customWidth="1"/>
    <col min="2818" max="3072" width="9.140625" style="1937"/>
    <col min="3073" max="3073" width="100.7109375" style="1937" customWidth="1"/>
    <col min="3074" max="3328" width="9.140625" style="1937"/>
    <col min="3329" max="3329" width="100.7109375" style="1937" customWidth="1"/>
    <col min="3330" max="3584" width="9.140625" style="1937"/>
    <col min="3585" max="3585" width="100.7109375" style="1937" customWidth="1"/>
    <col min="3586" max="3840" width="9.140625" style="1937"/>
    <col min="3841" max="3841" width="100.7109375" style="1937" customWidth="1"/>
    <col min="3842" max="4096" width="9.140625" style="1937"/>
    <col min="4097" max="4097" width="100.7109375" style="1937" customWidth="1"/>
    <col min="4098" max="4352" width="9.140625" style="1937"/>
    <col min="4353" max="4353" width="100.7109375" style="1937" customWidth="1"/>
    <col min="4354" max="4608" width="9.140625" style="1937"/>
    <col min="4609" max="4609" width="100.7109375" style="1937" customWidth="1"/>
    <col min="4610" max="4864" width="9.140625" style="1937"/>
    <col min="4865" max="4865" width="100.7109375" style="1937" customWidth="1"/>
    <col min="4866" max="5120" width="9.140625" style="1937"/>
    <col min="5121" max="5121" width="100.7109375" style="1937" customWidth="1"/>
    <col min="5122" max="5376" width="9.140625" style="1937"/>
    <col min="5377" max="5377" width="100.7109375" style="1937" customWidth="1"/>
    <col min="5378" max="5632" width="9.140625" style="1937"/>
    <col min="5633" max="5633" width="100.7109375" style="1937" customWidth="1"/>
    <col min="5634" max="5888" width="9.140625" style="1937"/>
    <col min="5889" max="5889" width="100.7109375" style="1937" customWidth="1"/>
    <col min="5890" max="6144" width="9.140625" style="1937"/>
    <col min="6145" max="6145" width="100.7109375" style="1937" customWidth="1"/>
    <col min="6146" max="6400" width="9.140625" style="1937"/>
    <col min="6401" max="6401" width="100.7109375" style="1937" customWidth="1"/>
    <col min="6402" max="6656" width="9.140625" style="1937"/>
    <col min="6657" max="6657" width="100.7109375" style="1937" customWidth="1"/>
    <col min="6658" max="6912" width="9.140625" style="1937"/>
    <col min="6913" max="6913" width="100.7109375" style="1937" customWidth="1"/>
    <col min="6914" max="7168" width="9.140625" style="1937"/>
    <col min="7169" max="7169" width="100.7109375" style="1937" customWidth="1"/>
    <col min="7170" max="7424" width="9.140625" style="1937"/>
    <col min="7425" max="7425" width="100.7109375" style="1937" customWidth="1"/>
    <col min="7426" max="7680" width="9.140625" style="1937"/>
    <col min="7681" max="7681" width="100.7109375" style="1937" customWidth="1"/>
    <col min="7682" max="7936" width="9.140625" style="1937"/>
    <col min="7937" max="7937" width="100.7109375" style="1937" customWidth="1"/>
    <col min="7938" max="8192" width="9.140625" style="1937"/>
    <col min="8193" max="8193" width="100.7109375" style="1937" customWidth="1"/>
    <col min="8194" max="8448" width="9.140625" style="1937"/>
    <col min="8449" max="8449" width="100.7109375" style="1937" customWidth="1"/>
    <col min="8450" max="8704" width="9.140625" style="1937"/>
    <col min="8705" max="8705" width="100.7109375" style="1937" customWidth="1"/>
    <col min="8706" max="8960" width="9.140625" style="1937"/>
    <col min="8961" max="8961" width="100.7109375" style="1937" customWidth="1"/>
    <col min="8962" max="9216" width="9.140625" style="1937"/>
    <col min="9217" max="9217" width="100.7109375" style="1937" customWidth="1"/>
    <col min="9218" max="9472" width="9.140625" style="1937"/>
    <col min="9473" max="9473" width="100.7109375" style="1937" customWidth="1"/>
    <col min="9474" max="9728" width="9.140625" style="1937"/>
    <col min="9729" max="9729" width="100.7109375" style="1937" customWidth="1"/>
    <col min="9730" max="9984" width="9.140625" style="1937"/>
    <col min="9985" max="9985" width="100.7109375" style="1937" customWidth="1"/>
    <col min="9986" max="10240" width="9.140625" style="1937"/>
    <col min="10241" max="10241" width="100.7109375" style="1937" customWidth="1"/>
    <col min="10242" max="10496" width="9.140625" style="1937"/>
    <col min="10497" max="10497" width="100.7109375" style="1937" customWidth="1"/>
    <col min="10498" max="10752" width="9.140625" style="1937"/>
    <col min="10753" max="10753" width="100.7109375" style="1937" customWidth="1"/>
    <col min="10754" max="11008" width="9.140625" style="1937"/>
    <col min="11009" max="11009" width="100.7109375" style="1937" customWidth="1"/>
    <col min="11010" max="11264" width="9.140625" style="1937"/>
    <col min="11265" max="11265" width="100.7109375" style="1937" customWidth="1"/>
    <col min="11266" max="11520" width="9.140625" style="1937"/>
    <col min="11521" max="11521" width="100.7109375" style="1937" customWidth="1"/>
    <col min="11522" max="11776" width="9.140625" style="1937"/>
    <col min="11777" max="11777" width="100.7109375" style="1937" customWidth="1"/>
    <col min="11778" max="12032" width="9.140625" style="1937"/>
    <col min="12033" max="12033" width="100.7109375" style="1937" customWidth="1"/>
    <col min="12034" max="12288" width="9.140625" style="1937"/>
    <col min="12289" max="12289" width="100.7109375" style="1937" customWidth="1"/>
    <col min="12290" max="12544" width="9.140625" style="1937"/>
    <col min="12545" max="12545" width="100.7109375" style="1937" customWidth="1"/>
    <col min="12546" max="12800" width="9.140625" style="1937"/>
    <col min="12801" max="12801" width="100.7109375" style="1937" customWidth="1"/>
    <col min="12802" max="13056" width="9.140625" style="1937"/>
    <col min="13057" max="13057" width="100.7109375" style="1937" customWidth="1"/>
    <col min="13058" max="13312" width="9.140625" style="1937"/>
    <col min="13313" max="13313" width="100.7109375" style="1937" customWidth="1"/>
    <col min="13314" max="13568" width="9.140625" style="1937"/>
    <col min="13569" max="13569" width="100.7109375" style="1937" customWidth="1"/>
    <col min="13570" max="13824" width="9.140625" style="1937"/>
    <col min="13825" max="13825" width="100.7109375" style="1937" customWidth="1"/>
    <col min="13826" max="14080" width="9.140625" style="1937"/>
    <col min="14081" max="14081" width="100.7109375" style="1937" customWidth="1"/>
    <col min="14082" max="14336" width="9.140625" style="1937"/>
    <col min="14337" max="14337" width="100.7109375" style="1937" customWidth="1"/>
    <col min="14338" max="14592" width="9.140625" style="1937"/>
    <col min="14593" max="14593" width="100.7109375" style="1937" customWidth="1"/>
    <col min="14594" max="14848" width="9.140625" style="1937"/>
    <col min="14849" max="14849" width="100.7109375" style="1937" customWidth="1"/>
    <col min="14850" max="15104" width="9.140625" style="1937"/>
    <col min="15105" max="15105" width="100.7109375" style="1937" customWidth="1"/>
    <col min="15106" max="15360" width="9.140625" style="1937"/>
    <col min="15361" max="15361" width="100.7109375" style="1937" customWidth="1"/>
    <col min="15362" max="15616" width="9.140625" style="1937"/>
    <col min="15617" max="15617" width="100.7109375" style="1937" customWidth="1"/>
    <col min="15618" max="15872" width="9.140625" style="1937"/>
    <col min="15873" max="15873" width="100.7109375" style="1937" customWidth="1"/>
    <col min="15874" max="16128" width="9.140625" style="1937"/>
    <col min="16129" max="16129" width="100.7109375" style="1937" customWidth="1"/>
    <col min="16130" max="16384" width="9.140625" style="1937"/>
  </cols>
  <sheetData>
    <row r="1" spans="1:8" ht="30" customHeight="1">
      <c r="A1" s="1935"/>
      <c r="B1" s="1936"/>
      <c r="C1" s="1936"/>
      <c r="D1" s="1936"/>
      <c r="E1" s="1936"/>
      <c r="F1" s="1936"/>
      <c r="G1" s="1936"/>
      <c r="H1" s="1936"/>
    </row>
    <row r="2" spans="1:8" ht="14.25">
      <c r="A2" s="1938" t="s">
        <v>1377</v>
      </c>
      <c r="B2" s="1936"/>
      <c r="C2" s="1936"/>
      <c r="D2" s="1936"/>
      <c r="E2" s="1936"/>
      <c r="F2" s="1936"/>
      <c r="G2" s="1936"/>
      <c r="H2" s="1936"/>
    </row>
    <row r="3" spans="1:8" ht="14.25">
      <c r="A3" s="1938" t="s">
        <v>1378</v>
      </c>
      <c r="B3" s="1936"/>
      <c r="C3" s="1936"/>
      <c r="D3" s="1936"/>
      <c r="E3" s="1936"/>
      <c r="F3" s="1936"/>
      <c r="G3" s="1936"/>
      <c r="H3" s="1936"/>
    </row>
    <row r="4" spans="1:8" ht="14.25">
      <c r="A4" s="1938" t="s">
        <v>1379</v>
      </c>
      <c r="B4" s="1936"/>
      <c r="C4" s="1936"/>
      <c r="D4" s="1936"/>
      <c r="E4" s="1936"/>
      <c r="F4" s="1936"/>
      <c r="G4" s="1936"/>
      <c r="H4" s="1936"/>
    </row>
    <row r="5" spans="1:8" ht="14.25">
      <c r="A5" s="1938" t="s">
        <v>1380</v>
      </c>
      <c r="B5" s="1936"/>
      <c r="C5" s="1936"/>
      <c r="D5" s="1936"/>
      <c r="E5" s="1936"/>
      <c r="F5" s="1936"/>
      <c r="G5" s="1936"/>
      <c r="H5" s="1936"/>
    </row>
    <row r="6" spans="1:8" ht="14.25">
      <c r="A6" s="1938"/>
      <c r="B6" s="1936"/>
      <c r="C6" s="1936"/>
      <c r="D6" s="1936"/>
      <c r="E6" s="1936"/>
      <c r="F6" s="1936"/>
      <c r="G6" s="1936"/>
      <c r="H6" s="1936"/>
    </row>
    <row r="7" spans="1:8">
      <c r="A7" s="1935" t="s">
        <v>1381</v>
      </c>
      <c r="B7" s="1936"/>
      <c r="C7" s="1936"/>
      <c r="D7" s="1936"/>
      <c r="E7" s="1936"/>
      <c r="F7" s="1936"/>
      <c r="G7" s="1936"/>
      <c r="H7" s="1936"/>
    </row>
    <row r="8" spans="1:8">
      <c r="A8" s="1935" t="s">
        <v>1382</v>
      </c>
      <c r="B8" s="1936"/>
      <c r="C8" s="1936"/>
      <c r="D8" s="1936"/>
      <c r="E8" s="1936"/>
      <c r="F8" s="1936"/>
      <c r="G8" s="1936"/>
      <c r="H8" s="1936"/>
    </row>
    <row r="9" spans="1:8">
      <c r="A9" s="1935"/>
      <c r="B9" s="1936"/>
      <c r="C9" s="1936"/>
      <c r="D9" s="1936"/>
      <c r="E9" s="1936"/>
      <c r="F9" s="1936"/>
      <c r="G9" s="1936"/>
      <c r="H9" s="1936"/>
    </row>
    <row r="10" spans="1:8">
      <c r="A10" s="1939" t="s">
        <v>1383</v>
      </c>
      <c r="B10" s="1936"/>
      <c r="C10" s="1936"/>
      <c r="D10" s="1936"/>
      <c r="E10" s="1936"/>
      <c r="F10" s="1936"/>
      <c r="G10" s="1936"/>
      <c r="H10" s="1936"/>
    </row>
    <row r="11" spans="1:8">
      <c r="A11" s="1939" t="s">
        <v>1384</v>
      </c>
      <c r="B11" s="1936"/>
      <c r="C11" s="1936"/>
      <c r="D11" s="1936"/>
      <c r="E11" s="1936"/>
      <c r="F11" s="1936"/>
      <c r="G11" s="1936"/>
      <c r="H11" s="1936"/>
    </row>
    <row r="12" spans="1:8">
      <c r="A12" s="1939" t="s">
        <v>1385</v>
      </c>
      <c r="B12" s="1936"/>
      <c r="C12" s="1936"/>
      <c r="D12" s="1936"/>
      <c r="E12" s="1936"/>
      <c r="F12" s="1936"/>
      <c r="G12" s="1936"/>
      <c r="H12" s="1936"/>
    </row>
    <row r="13" spans="1:8">
      <c r="A13" s="1939" t="s">
        <v>1386</v>
      </c>
      <c r="B13" s="1936"/>
      <c r="C13" s="1936"/>
      <c r="D13" s="1936"/>
      <c r="E13" s="1936"/>
      <c r="F13" s="1936"/>
      <c r="G13" s="1936"/>
      <c r="H13" s="1936"/>
    </row>
    <row r="14" spans="1:8">
      <c r="A14" s="1939" t="s">
        <v>1387</v>
      </c>
      <c r="B14" s="1936"/>
      <c r="C14" s="1936"/>
      <c r="D14" s="1936"/>
      <c r="E14" s="1936"/>
      <c r="F14" s="1936"/>
      <c r="G14" s="1936"/>
      <c r="H14" s="1936"/>
    </row>
    <row r="15" spans="1:8">
      <c r="A15" s="1939" t="s">
        <v>1388</v>
      </c>
      <c r="B15" s="1936"/>
      <c r="C15" s="1936"/>
      <c r="D15" s="1936"/>
      <c r="E15" s="1936"/>
      <c r="F15" s="1936"/>
      <c r="G15" s="1936"/>
      <c r="H15" s="1936"/>
    </row>
    <row r="16" spans="1:8">
      <c r="A16" s="1939"/>
      <c r="B16" s="1936"/>
      <c r="C16" s="1936"/>
      <c r="D16" s="1936"/>
      <c r="E16" s="1936"/>
      <c r="F16" s="1936"/>
      <c r="G16" s="1936"/>
      <c r="H16" s="1936"/>
    </row>
    <row r="17" spans="1:8">
      <c r="A17" s="1939" t="s">
        <v>1374</v>
      </c>
      <c r="B17" s="1936"/>
      <c r="C17" s="1936"/>
      <c r="D17" s="1936"/>
      <c r="E17" s="1936"/>
      <c r="F17" s="1936"/>
      <c r="G17" s="1936"/>
      <c r="H17" s="1936"/>
    </row>
    <row r="18" spans="1:8">
      <c r="A18" s="1939"/>
      <c r="B18" s="1936"/>
      <c r="C18" s="1936"/>
      <c r="D18" s="1936"/>
      <c r="E18" s="1936"/>
      <c r="F18" s="1936"/>
      <c r="G18" s="1936"/>
      <c r="H18" s="1936"/>
    </row>
    <row r="19" spans="1:8">
      <c r="A19" s="1939" t="s">
        <v>1375</v>
      </c>
      <c r="B19" s="1936"/>
      <c r="C19" s="1936"/>
      <c r="D19" s="1936"/>
      <c r="E19" s="1936"/>
      <c r="F19" s="1936"/>
      <c r="G19" s="1936"/>
      <c r="H19" s="1936"/>
    </row>
    <row r="20" spans="1:8">
      <c r="A20" s="1935"/>
      <c r="B20" s="1936"/>
      <c r="C20" s="1936"/>
      <c r="D20" s="1936"/>
      <c r="E20" s="1936"/>
      <c r="F20" s="1936"/>
      <c r="G20" s="1936"/>
      <c r="H20" s="1936"/>
    </row>
    <row r="21" spans="1:8">
      <c r="A21" s="1940" t="s">
        <v>1376</v>
      </c>
      <c r="B21" s="1936"/>
      <c r="C21" s="1936"/>
      <c r="D21" s="1936"/>
      <c r="E21" s="1936"/>
      <c r="F21" s="1936"/>
      <c r="G21" s="1936"/>
      <c r="H21" s="1936"/>
    </row>
    <row r="22" spans="1:8">
      <c r="A22" s="1941"/>
      <c r="B22" s="1941"/>
      <c r="C22" s="1941"/>
      <c r="D22" s="1941"/>
      <c r="E22" s="1941"/>
      <c r="F22" s="1941"/>
      <c r="G22" s="1941"/>
      <c r="H22" s="1941"/>
    </row>
    <row r="23" spans="1:8">
      <c r="A23" s="1942" t="s">
        <v>1671</v>
      </c>
      <c r="B23" s="1941"/>
      <c r="C23" s="1941"/>
      <c r="D23" s="1941"/>
      <c r="E23" s="1941"/>
      <c r="F23" s="1941"/>
      <c r="G23" s="1941"/>
      <c r="H23" s="1941"/>
    </row>
    <row r="24" spans="1:8">
      <c r="A24" s="1942" t="s">
        <v>1672</v>
      </c>
      <c r="B24" s="1941"/>
      <c r="C24" s="1941"/>
      <c r="D24" s="1941"/>
      <c r="E24" s="1941"/>
      <c r="F24" s="1941"/>
      <c r="G24" s="1941"/>
      <c r="H24" s="1941"/>
    </row>
    <row r="25" spans="1:8">
      <c r="A25" s="1942" t="s">
        <v>1673</v>
      </c>
      <c r="B25" s="1941"/>
      <c r="C25" s="1941"/>
      <c r="D25" s="1941"/>
      <c r="E25" s="1941"/>
      <c r="F25" s="1941"/>
      <c r="G25" s="1941"/>
      <c r="H25" s="1941"/>
    </row>
    <row r="26" spans="1:8">
      <c r="A26" s="1942" t="s">
        <v>1674</v>
      </c>
      <c r="B26" s="1941"/>
      <c r="C26" s="1941"/>
      <c r="D26" s="1941"/>
      <c r="E26" s="1941"/>
      <c r="F26" s="1941"/>
      <c r="G26" s="1941"/>
      <c r="H26" s="1941"/>
    </row>
    <row r="27" spans="1:8">
      <c r="A27" s="1941"/>
      <c r="B27" s="1941"/>
      <c r="C27" s="1941"/>
      <c r="D27" s="1941"/>
      <c r="E27" s="1941"/>
      <c r="F27" s="1941"/>
      <c r="G27" s="1941"/>
      <c r="H27" s="1941"/>
    </row>
    <row r="28" spans="1:8">
      <c r="A28" s="1941"/>
      <c r="B28" s="1941"/>
      <c r="C28" s="1941"/>
      <c r="D28" s="1941"/>
      <c r="E28" s="1941"/>
      <c r="F28" s="1941"/>
      <c r="G28" s="1941"/>
      <c r="H28" s="1941"/>
    </row>
    <row r="29" spans="1:8">
      <c r="A29" s="1942" t="s">
        <v>1666</v>
      </c>
      <c r="B29" s="1941"/>
      <c r="C29" s="1941"/>
      <c r="D29" s="1941"/>
      <c r="E29" s="1941"/>
      <c r="F29" s="1941"/>
      <c r="G29" s="1941"/>
      <c r="H29" s="1941"/>
    </row>
    <row r="30" spans="1:8">
      <c r="A30" s="1942" t="s">
        <v>1667</v>
      </c>
      <c r="B30" s="1941"/>
      <c r="C30" s="1941"/>
      <c r="D30" s="1941"/>
      <c r="E30" s="1941"/>
      <c r="F30" s="1941"/>
      <c r="G30" s="1941"/>
      <c r="H30" s="1941"/>
    </row>
    <row r="31" spans="1:8">
      <c r="A31" s="1942" t="s">
        <v>1668</v>
      </c>
      <c r="B31" s="1941"/>
      <c r="C31" s="1941"/>
      <c r="D31" s="1941"/>
      <c r="E31" s="1941"/>
      <c r="F31" s="1941"/>
      <c r="G31" s="1941"/>
      <c r="H31" s="1941"/>
    </row>
    <row r="32" spans="1:8">
      <c r="A32" s="1942" t="s">
        <v>1669</v>
      </c>
      <c r="B32" s="1941"/>
      <c r="C32" s="1941"/>
      <c r="D32" s="1941"/>
      <c r="E32" s="1941"/>
      <c r="F32" s="1941"/>
      <c r="G32" s="1941"/>
      <c r="H32" s="1941"/>
    </row>
    <row r="33" spans="1:8">
      <c r="A33" s="1942" t="s">
        <v>1670</v>
      </c>
      <c r="B33" s="1941"/>
      <c r="C33" s="1941"/>
      <c r="D33" s="1941"/>
      <c r="E33" s="1941"/>
      <c r="F33" s="1941"/>
      <c r="G33" s="1941"/>
      <c r="H33" s="1941"/>
    </row>
    <row r="34" spans="1:8">
      <c r="A34" s="1941"/>
      <c r="B34" s="1941"/>
      <c r="C34" s="1941"/>
      <c r="D34" s="1941"/>
      <c r="E34" s="1941"/>
      <c r="F34" s="1941"/>
      <c r="G34" s="1941"/>
      <c r="H34" s="1941"/>
    </row>
    <row r="35" spans="1:8">
      <c r="A35" s="1942" t="s">
        <v>1662</v>
      </c>
      <c r="B35" s="1941"/>
      <c r="C35" s="1941"/>
      <c r="D35" s="1941"/>
      <c r="E35" s="1941"/>
      <c r="F35" s="1941"/>
      <c r="G35" s="1941"/>
      <c r="H35" s="1941"/>
    </row>
    <row r="36" spans="1:8">
      <c r="A36" s="1942" t="s">
        <v>1663</v>
      </c>
      <c r="B36" s="1941"/>
      <c r="C36" s="1941"/>
      <c r="D36" s="1941"/>
      <c r="E36" s="1941"/>
      <c r="F36" s="1941"/>
      <c r="G36" s="1941"/>
      <c r="H36" s="1941"/>
    </row>
    <row r="37" spans="1:8">
      <c r="A37" s="1942" t="s">
        <v>1664</v>
      </c>
      <c r="B37" s="1941"/>
      <c r="C37" s="1941"/>
      <c r="D37" s="1941"/>
      <c r="E37" s="1941"/>
      <c r="F37" s="1941"/>
      <c r="G37" s="1941"/>
      <c r="H37" s="1941"/>
    </row>
    <row r="38" spans="1:8">
      <c r="A38" s="1942" t="s">
        <v>1665</v>
      </c>
      <c r="B38" s="1941"/>
      <c r="C38" s="1941"/>
      <c r="D38" s="1941"/>
      <c r="E38" s="1941"/>
      <c r="F38" s="1941"/>
      <c r="G38" s="1941"/>
      <c r="H38" s="1941"/>
    </row>
    <row r="39" spans="1:8">
      <c r="A39" s="1941"/>
      <c r="B39" s="1941"/>
      <c r="C39" s="1941"/>
      <c r="D39" s="1941"/>
      <c r="E39" s="1941"/>
      <c r="F39" s="1941"/>
      <c r="G39" s="1941"/>
      <c r="H39" s="1941"/>
    </row>
    <row r="40" spans="1:8">
      <c r="A40" s="1942" t="s">
        <v>1656</v>
      </c>
      <c r="B40" s="1941"/>
      <c r="C40" s="1941"/>
      <c r="D40" s="1941"/>
      <c r="E40" s="1941"/>
      <c r="F40" s="1941"/>
      <c r="G40" s="1941"/>
      <c r="H40" s="1941"/>
    </row>
    <row r="41" spans="1:8">
      <c r="A41" s="1942" t="s">
        <v>1657</v>
      </c>
      <c r="B41" s="1941"/>
      <c r="C41" s="1941"/>
      <c r="D41" s="1941"/>
      <c r="E41" s="1941"/>
      <c r="F41" s="1941"/>
      <c r="G41" s="1941"/>
      <c r="H41" s="1941"/>
    </row>
    <row r="42" spans="1:8">
      <c r="A42" s="1942" t="s">
        <v>1658</v>
      </c>
      <c r="B42" s="1941"/>
      <c r="C42" s="1941"/>
      <c r="D42" s="1941"/>
      <c r="E42" s="1941"/>
      <c r="F42" s="1941"/>
      <c r="G42" s="1941"/>
      <c r="H42" s="1941"/>
    </row>
    <row r="43" spans="1:8">
      <c r="A43" s="1942" t="s">
        <v>1659</v>
      </c>
      <c r="B43" s="1941"/>
      <c r="C43" s="1941"/>
      <c r="D43" s="1941"/>
      <c r="E43" s="1941"/>
      <c r="F43" s="1941"/>
      <c r="G43" s="1941"/>
      <c r="H43" s="1941"/>
    </row>
    <row r="44" spans="1:8">
      <c r="A44" s="1942" t="s">
        <v>1660</v>
      </c>
      <c r="B44" s="1941"/>
      <c r="C44" s="1941"/>
      <c r="D44" s="1941"/>
      <c r="E44" s="1941"/>
      <c r="F44" s="1941"/>
      <c r="G44" s="1941"/>
      <c r="H44" s="1941"/>
    </row>
    <row r="45" spans="1:8">
      <c r="A45" s="1942" t="s">
        <v>1661</v>
      </c>
      <c r="B45" s="1941"/>
      <c r="C45" s="1941"/>
      <c r="D45" s="1941"/>
      <c r="E45" s="1941"/>
      <c r="F45" s="1941"/>
      <c r="G45" s="1941"/>
      <c r="H45" s="1941"/>
    </row>
    <row r="46" spans="1:8">
      <c r="A46" s="1941"/>
      <c r="B46" s="1941"/>
      <c r="C46" s="1941"/>
      <c r="D46" s="1941"/>
      <c r="E46" s="1941"/>
      <c r="F46" s="1941"/>
      <c r="G46" s="1941"/>
      <c r="H46" s="1941"/>
    </row>
    <row r="47" spans="1:8" ht="15.75">
      <c r="A47" s="1943" t="s">
        <v>1389</v>
      </c>
      <c r="B47" s="1941"/>
      <c r="C47" s="1941"/>
      <c r="D47" s="1941"/>
      <c r="E47" s="1941"/>
      <c r="F47" s="1941"/>
      <c r="G47" s="1941"/>
      <c r="H47" s="1941"/>
    </row>
    <row r="48" spans="1:8">
      <c r="A48" s="1941"/>
      <c r="B48" s="1941"/>
      <c r="C48" s="1941"/>
      <c r="D48" s="1941"/>
      <c r="E48" s="1941"/>
      <c r="F48" s="1941"/>
      <c r="G48" s="1941"/>
      <c r="H48" s="1941"/>
    </row>
    <row r="49" spans="1:8">
      <c r="A49" s="1942" t="s">
        <v>1652</v>
      </c>
      <c r="B49" s="1941"/>
      <c r="C49" s="1941"/>
      <c r="D49" s="1941"/>
      <c r="E49" s="1941"/>
      <c r="F49" s="1941"/>
      <c r="G49" s="1941"/>
      <c r="H49" s="1941"/>
    </row>
    <row r="50" spans="1:8">
      <c r="A50" s="1942" t="s">
        <v>1653</v>
      </c>
      <c r="B50" s="1941"/>
      <c r="C50" s="1941"/>
      <c r="D50" s="1941"/>
      <c r="E50" s="1941"/>
      <c r="F50" s="1941"/>
      <c r="G50" s="1941"/>
      <c r="H50" s="1941"/>
    </row>
    <row r="51" spans="1:8">
      <c r="A51" s="1942" t="s">
        <v>1654</v>
      </c>
      <c r="B51" s="1941"/>
      <c r="C51" s="1941"/>
      <c r="D51" s="1941"/>
      <c r="E51" s="1941"/>
      <c r="F51" s="1941"/>
      <c r="G51" s="1941"/>
      <c r="H51" s="1941"/>
    </row>
    <row r="52" spans="1:8">
      <c r="A52" s="1942" t="s">
        <v>1655</v>
      </c>
      <c r="B52" s="1941"/>
      <c r="C52" s="1941"/>
      <c r="D52" s="1941"/>
      <c r="E52" s="1941"/>
      <c r="F52" s="1941"/>
      <c r="G52" s="1941"/>
      <c r="H52" s="1941"/>
    </row>
    <row r="53" spans="1:8">
      <c r="A53" s="1941"/>
      <c r="B53" s="1941"/>
      <c r="C53" s="1941"/>
      <c r="D53" s="1941"/>
      <c r="E53" s="1941"/>
      <c r="F53" s="1941"/>
      <c r="G53" s="1941"/>
      <c r="H53" s="1941"/>
    </row>
    <row r="54" spans="1:8">
      <c r="A54" s="1942" t="s">
        <v>1390</v>
      </c>
      <c r="B54" s="1941"/>
      <c r="C54" s="1941"/>
      <c r="D54" s="1941"/>
      <c r="E54" s="1941"/>
      <c r="F54" s="1941"/>
      <c r="G54" s="1941"/>
      <c r="H54" s="1941"/>
    </row>
    <row r="55" spans="1:8">
      <c r="A55" s="1941"/>
      <c r="B55" s="1941"/>
      <c r="C55" s="1941"/>
      <c r="D55" s="1941"/>
      <c r="E55" s="1941"/>
      <c r="F55" s="1941"/>
      <c r="G55" s="1941"/>
      <c r="H55" s="1941"/>
    </row>
    <row r="56" spans="1:8" ht="15.75">
      <c r="A56" s="1943" t="s">
        <v>1391</v>
      </c>
      <c r="B56" s="1941"/>
      <c r="C56" s="1941"/>
      <c r="D56" s="1941"/>
      <c r="E56" s="1941"/>
      <c r="F56" s="1941"/>
      <c r="G56" s="1941"/>
      <c r="H56" s="1941"/>
    </row>
    <row r="57" spans="1:8">
      <c r="A57" s="1941"/>
      <c r="B57" s="1941"/>
      <c r="C57" s="1941"/>
      <c r="D57" s="1941"/>
      <c r="E57" s="1941"/>
      <c r="F57" s="1941"/>
      <c r="G57" s="1941"/>
      <c r="H57" s="1941"/>
    </row>
    <row r="58" spans="1:8">
      <c r="A58" s="1942" t="s">
        <v>1650</v>
      </c>
      <c r="B58" s="1941"/>
      <c r="C58" s="1941"/>
      <c r="D58" s="1941"/>
      <c r="E58" s="1941"/>
      <c r="F58" s="1941"/>
      <c r="G58" s="1941"/>
      <c r="H58" s="1941"/>
    </row>
    <row r="59" spans="1:8">
      <c r="A59" s="1942" t="s">
        <v>1651</v>
      </c>
      <c r="B59" s="1941"/>
      <c r="C59" s="1941"/>
      <c r="D59" s="1941"/>
      <c r="E59" s="1941"/>
      <c r="F59" s="1941"/>
      <c r="G59" s="1941"/>
      <c r="H59" s="1941"/>
    </row>
    <row r="60" spans="1:8">
      <c r="A60" s="1941"/>
      <c r="B60" s="1941"/>
      <c r="C60" s="1941"/>
      <c r="D60" s="1941"/>
      <c r="E60" s="1941"/>
      <c r="F60" s="1941"/>
      <c r="G60" s="1941"/>
      <c r="H60" s="1941"/>
    </row>
    <row r="61" spans="1:8" ht="15.75">
      <c r="A61" s="1943" t="s">
        <v>1392</v>
      </c>
      <c r="B61" s="1941"/>
      <c r="C61" s="1941"/>
      <c r="D61" s="1941"/>
      <c r="E61" s="1941"/>
      <c r="F61" s="1941"/>
      <c r="G61" s="1941"/>
      <c r="H61" s="1941"/>
    </row>
    <row r="62" spans="1:8">
      <c r="A62" s="1941"/>
      <c r="B62" s="1941"/>
      <c r="C62" s="1941"/>
      <c r="D62" s="1941"/>
      <c r="E62" s="1941"/>
      <c r="F62" s="1941"/>
      <c r="G62" s="1941"/>
      <c r="H62" s="1941"/>
    </row>
    <row r="63" spans="1:8">
      <c r="A63" s="1942" t="s">
        <v>1648</v>
      </c>
      <c r="B63" s="1941"/>
      <c r="C63" s="1941"/>
      <c r="D63" s="1941"/>
      <c r="E63" s="1941"/>
      <c r="F63" s="1941"/>
      <c r="G63" s="1941"/>
      <c r="H63" s="1941"/>
    </row>
    <row r="64" spans="1:8">
      <c r="A64" s="1942" t="s">
        <v>1649</v>
      </c>
      <c r="B64" s="1941"/>
      <c r="C64" s="1941"/>
      <c r="D64" s="1941"/>
      <c r="E64" s="1941"/>
      <c r="F64" s="1941"/>
      <c r="G64" s="1941"/>
      <c r="H64" s="1941"/>
    </row>
    <row r="65" spans="1:8">
      <c r="A65" s="1941"/>
      <c r="B65" s="1941"/>
      <c r="C65" s="1941"/>
      <c r="D65" s="1941"/>
      <c r="E65" s="1941"/>
      <c r="F65" s="1941"/>
      <c r="G65" s="1941"/>
      <c r="H65" s="1941"/>
    </row>
    <row r="66" spans="1:8">
      <c r="A66" s="1942" t="s">
        <v>1646</v>
      </c>
      <c r="B66" s="1941"/>
      <c r="C66" s="1941"/>
      <c r="D66" s="1941"/>
      <c r="E66" s="1941"/>
      <c r="F66" s="1941"/>
      <c r="G66" s="1941"/>
      <c r="H66" s="1941"/>
    </row>
    <row r="67" spans="1:8">
      <c r="A67" s="1942" t="s">
        <v>1647</v>
      </c>
      <c r="B67" s="1941"/>
      <c r="C67" s="1941"/>
      <c r="D67" s="1941"/>
      <c r="E67" s="1941"/>
      <c r="F67" s="1941"/>
      <c r="G67" s="1941"/>
      <c r="H67" s="1941"/>
    </row>
    <row r="68" spans="1:8">
      <c r="A68" s="1941"/>
      <c r="B68" s="1941"/>
      <c r="C68" s="1941"/>
      <c r="D68" s="1941"/>
      <c r="E68" s="1941"/>
      <c r="F68" s="1941"/>
      <c r="G68" s="1941"/>
      <c r="H68" s="1941"/>
    </row>
    <row r="69" spans="1:8">
      <c r="A69" s="1942" t="s">
        <v>1644</v>
      </c>
      <c r="B69" s="1941"/>
      <c r="C69" s="1941"/>
      <c r="D69" s="1941"/>
      <c r="E69" s="1941"/>
      <c r="F69" s="1941"/>
      <c r="G69" s="1941"/>
      <c r="H69" s="1941"/>
    </row>
    <row r="70" spans="1:8">
      <c r="A70" s="1942" t="s">
        <v>1645</v>
      </c>
      <c r="B70" s="1941"/>
      <c r="C70" s="1941"/>
      <c r="D70" s="1941"/>
      <c r="E70" s="1941"/>
      <c r="F70" s="1941"/>
      <c r="G70" s="1941"/>
      <c r="H70" s="1941"/>
    </row>
    <row r="71" spans="1:8">
      <c r="A71" s="1941"/>
      <c r="B71" s="1941"/>
      <c r="C71" s="1941"/>
      <c r="D71" s="1941"/>
      <c r="E71" s="1941"/>
      <c r="F71" s="1941"/>
      <c r="G71" s="1941"/>
      <c r="H71" s="1941"/>
    </row>
    <row r="72" spans="1:8">
      <c r="A72" s="1942" t="s">
        <v>1642</v>
      </c>
      <c r="B72" s="1941"/>
      <c r="C72" s="1941"/>
      <c r="D72" s="1941"/>
      <c r="E72" s="1941"/>
      <c r="F72" s="1941"/>
      <c r="G72" s="1941"/>
      <c r="H72" s="1941"/>
    </row>
    <row r="73" spans="1:8">
      <c r="A73" s="1942" t="s">
        <v>1643</v>
      </c>
      <c r="B73" s="1941"/>
      <c r="C73" s="1941"/>
      <c r="D73" s="1941"/>
      <c r="E73" s="1941"/>
      <c r="F73" s="1941"/>
      <c r="G73" s="1941"/>
      <c r="H73" s="1941"/>
    </row>
    <row r="74" spans="1:8">
      <c r="A74" s="1941"/>
      <c r="B74" s="1941"/>
      <c r="C74" s="1941"/>
      <c r="D74" s="1941"/>
      <c r="E74" s="1941"/>
      <c r="F74" s="1941"/>
      <c r="G74" s="1941"/>
      <c r="H74" s="1941"/>
    </row>
    <row r="75" spans="1:8">
      <c r="A75" s="1942" t="s">
        <v>1640</v>
      </c>
      <c r="B75" s="1941"/>
      <c r="C75" s="1941"/>
      <c r="D75" s="1941"/>
      <c r="E75" s="1941"/>
      <c r="F75" s="1941"/>
      <c r="G75" s="1941"/>
      <c r="H75" s="1941"/>
    </row>
    <row r="76" spans="1:8">
      <c r="A76" s="1942" t="s">
        <v>1641</v>
      </c>
      <c r="B76" s="1941"/>
      <c r="C76" s="1941"/>
      <c r="D76" s="1941"/>
      <c r="E76" s="1941"/>
      <c r="F76" s="1941"/>
      <c r="G76" s="1941"/>
      <c r="H76" s="1941"/>
    </row>
    <row r="77" spans="1:8">
      <c r="A77" s="1941"/>
      <c r="B77" s="1941"/>
      <c r="C77" s="1941"/>
      <c r="D77" s="1941"/>
      <c r="E77" s="1941"/>
      <c r="F77" s="1941"/>
      <c r="G77" s="1941"/>
      <c r="H77" s="1941"/>
    </row>
    <row r="78" spans="1:8">
      <c r="A78" s="1942" t="s">
        <v>1637</v>
      </c>
      <c r="B78" s="1941"/>
      <c r="C78" s="1941"/>
      <c r="D78" s="1941"/>
      <c r="E78" s="1941"/>
      <c r="F78" s="1941"/>
      <c r="G78" s="1941"/>
      <c r="H78" s="1941"/>
    </row>
    <row r="79" spans="1:8">
      <c r="A79" s="1942" t="s">
        <v>1638</v>
      </c>
      <c r="B79" s="1941"/>
      <c r="C79" s="1941"/>
      <c r="D79" s="1941"/>
      <c r="E79" s="1941"/>
      <c r="F79" s="1941"/>
      <c r="G79" s="1941"/>
      <c r="H79" s="1941"/>
    </row>
    <row r="80" spans="1:8">
      <c r="A80" s="1942" t="s">
        <v>1639</v>
      </c>
      <c r="B80" s="1941"/>
      <c r="C80" s="1941"/>
      <c r="D80" s="1941"/>
      <c r="E80" s="1941"/>
      <c r="F80" s="1941"/>
      <c r="G80" s="1941"/>
      <c r="H80" s="1941"/>
    </row>
    <row r="81" spans="1:8">
      <c r="A81" s="1941"/>
      <c r="B81" s="1941"/>
      <c r="C81" s="1941"/>
      <c r="D81" s="1941"/>
      <c r="E81" s="1941"/>
      <c r="F81" s="1941"/>
      <c r="G81" s="1941"/>
      <c r="H81" s="1941"/>
    </row>
    <row r="82" spans="1:8">
      <c r="A82" s="1942" t="s">
        <v>1393</v>
      </c>
      <c r="B82" s="1941"/>
      <c r="C82" s="1941"/>
      <c r="D82" s="1941"/>
      <c r="E82" s="1941"/>
      <c r="F82" s="1941"/>
      <c r="G82" s="1941"/>
      <c r="H82" s="1941"/>
    </row>
    <row r="83" spans="1:8">
      <c r="A83" s="1941"/>
      <c r="B83" s="1941"/>
      <c r="C83" s="1941"/>
      <c r="D83" s="1941"/>
      <c r="E83" s="1941"/>
      <c r="F83" s="1941"/>
      <c r="G83" s="1941"/>
      <c r="H83" s="1941"/>
    </row>
    <row r="84" spans="1:8">
      <c r="A84" s="1942" t="s">
        <v>1632</v>
      </c>
      <c r="B84" s="1941"/>
      <c r="C84" s="1941"/>
      <c r="D84" s="1941"/>
      <c r="E84" s="1941"/>
      <c r="F84" s="1941"/>
      <c r="G84" s="1941"/>
      <c r="H84" s="1941"/>
    </row>
    <row r="85" spans="1:8">
      <c r="A85" s="1942" t="s">
        <v>1633</v>
      </c>
      <c r="B85" s="1941"/>
      <c r="C85" s="1941"/>
      <c r="D85" s="1941"/>
      <c r="E85" s="1941"/>
      <c r="F85" s="1941"/>
      <c r="G85" s="1941"/>
      <c r="H85" s="1941"/>
    </row>
    <row r="86" spans="1:8">
      <c r="A86" s="1942" t="s">
        <v>1634</v>
      </c>
      <c r="B86" s="1941"/>
      <c r="C86" s="1941"/>
      <c r="D86" s="1941"/>
      <c r="E86" s="1941"/>
      <c r="F86" s="1941"/>
      <c r="G86" s="1941"/>
      <c r="H86" s="1941"/>
    </row>
    <row r="87" spans="1:8">
      <c r="A87" s="1942" t="s">
        <v>1635</v>
      </c>
      <c r="B87" s="1941"/>
      <c r="C87" s="1941"/>
      <c r="D87" s="1941"/>
      <c r="E87" s="1941"/>
      <c r="F87" s="1941"/>
      <c r="G87" s="1941"/>
      <c r="H87" s="1941"/>
    </row>
    <row r="88" spans="1:8">
      <c r="A88" s="1942" t="s">
        <v>1636</v>
      </c>
      <c r="B88" s="1941"/>
      <c r="C88" s="1941"/>
      <c r="D88" s="1941"/>
      <c r="E88" s="1941"/>
      <c r="F88" s="1941"/>
      <c r="G88" s="1941"/>
      <c r="H88" s="1941"/>
    </row>
    <row r="89" spans="1:8">
      <c r="A89" s="1942" t="s">
        <v>1519</v>
      </c>
      <c r="B89" s="1941"/>
      <c r="C89" s="1941"/>
      <c r="D89" s="1941"/>
      <c r="E89" s="1941"/>
      <c r="F89" s="1941"/>
      <c r="G89" s="1941"/>
      <c r="H89" s="1941"/>
    </row>
    <row r="90" spans="1:8">
      <c r="A90" s="1941"/>
      <c r="B90" s="1941"/>
      <c r="C90" s="1941"/>
      <c r="D90" s="1941"/>
      <c r="E90" s="1941"/>
      <c r="F90" s="1941"/>
      <c r="G90" s="1941"/>
      <c r="H90" s="1941"/>
    </row>
    <row r="91" spans="1:8">
      <c r="A91" s="1942" t="s">
        <v>1625</v>
      </c>
      <c r="B91" s="1941"/>
      <c r="C91" s="1941"/>
      <c r="D91" s="1941"/>
      <c r="E91" s="1941"/>
      <c r="F91" s="1941"/>
      <c r="G91" s="1941"/>
      <c r="H91" s="1941"/>
    </row>
    <row r="92" spans="1:8">
      <c r="A92" s="1942" t="s">
        <v>1626</v>
      </c>
      <c r="B92" s="1941"/>
      <c r="C92" s="1941"/>
      <c r="D92" s="1941"/>
      <c r="E92" s="1941"/>
      <c r="F92" s="1941"/>
      <c r="G92" s="1941"/>
      <c r="H92" s="1941"/>
    </row>
    <row r="93" spans="1:8">
      <c r="A93" s="1942" t="s">
        <v>1627</v>
      </c>
      <c r="B93" s="1941"/>
      <c r="C93" s="1941"/>
      <c r="D93" s="1941"/>
      <c r="E93" s="1941"/>
      <c r="F93" s="1941"/>
      <c r="G93" s="1941"/>
      <c r="H93" s="1941"/>
    </row>
    <row r="94" spans="1:8">
      <c r="A94" s="1942" t="s">
        <v>1628</v>
      </c>
      <c r="B94" s="1941"/>
      <c r="C94" s="1941"/>
      <c r="D94" s="1941"/>
      <c r="E94" s="1941"/>
      <c r="F94" s="1941"/>
      <c r="G94" s="1941"/>
      <c r="H94" s="1941"/>
    </row>
    <row r="95" spans="1:8">
      <c r="A95" s="1942" t="s">
        <v>1629</v>
      </c>
      <c r="B95" s="1941"/>
      <c r="C95" s="1941"/>
      <c r="D95" s="1941"/>
      <c r="E95" s="1941"/>
      <c r="F95" s="1941"/>
      <c r="G95" s="1941"/>
      <c r="H95" s="1941"/>
    </row>
    <row r="96" spans="1:8">
      <c r="A96" s="1942" t="s">
        <v>1630</v>
      </c>
      <c r="B96" s="1941"/>
      <c r="C96" s="1941"/>
      <c r="D96" s="1941"/>
      <c r="E96" s="1941"/>
      <c r="F96" s="1941"/>
      <c r="G96" s="1941"/>
      <c r="H96" s="1941"/>
    </row>
    <row r="97" spans="1:8">
      <c r="A97" s="1942" t="s">
        <v>1631</v>
      </c>
      <c r="B97" s="1941"/>
      <c r="C97" s="1941"/>
      <c r="D97" s="1941"/>
      <c r="E97" s="1941"/>
      <c r="F97" s="1941"/>
      <c r="G97" s="1941"/>
      <c r="H97" s="1941"/>
    </row>
    <row r="98" spans="1:8">
      <c r="A98" s="1941"/>
      <c r="B98" s="1941"/>
      <c r="C98" s="1941"/>
      <c r="D98" s="1941"/>
      <c r="E98" s="1941"/>
      <c r="F98" s="1941"/>
      <c r="G98" s="1941"/>
      <c r="H98" s="1941"/>
    </row>
    <row r="99" spans="1:8">
      <c r="A99" s="1942" t="s">
        <v>1623</v>
      </c>
      <c r="B99" s="1941"/>
      <c r="C99" s="1941"/>
      <c r="D99" s="1941"/>
      <c r="E99" s="1941"/>
      <c r="F99" s="1941"/>
      <c r="G99" s="1941"/>
      <c r="H99" s="1941"/>
    </row>
    <row r="100" spans="1:8">
      <c r="A100" s="1942" t="s">
        <v>1624</v>
      </c>
      <c r="B100" s="1941"/>
      <c r="C100" s="1941"/>
      <c r="D100" s="1941"/>
      <c r="E100" s="1941"/>
      <c r="F100" s="1941"/>
      <c r="G100" s="1941"/>
      <c r="H100" s="1941"/>
    </row>
    <row r="101" spans="1:8">
      <c r="A101" s="1941"/>
      <c r="B101" s="1941"/>
      <c r="C101" s="1941"/>
      <c r="D101" s="1941"/>
      <c r="E101" s="1941"/>
      <c r="F101" s="1941"/>
      <c r="G101" s="1941"/>
      <c r="H101" s="1941"/>
    </row>
    <row r="102" spans="1:8" ht="15.75">
      <c r="A102" s="1943" t="s">
        <v>1394</v>
      </c>
      <c r="B102" s="1941"/>
      <c r="C102" s="1941"/>
      <c r="D102" s="1941"/>
      <c r="E102" s="1941"/>
      <c r="F102" s="1941"/>
      <c r="G102" s="1941"/>
      <c r="H102" s="1941"/>
    </row>
    <row r="103" spans="1:8">
      <c r="A103" s="1941"/>
      <c r="B103" s="1941"/>
      <c r="C103" s="1941"/>
      <c r="D103" s="1941"/>
      <c r="E103" s="1941"/>
      <c r="F103" s="1941"/>
      <c r="G103" s="1941"/>
      <c r="H103" s="1941"/>
    </row>
    <row r="104" spans="1:8">
      <c r="A104" s="1942" t="s">
        <v>1614</v>
      </c>
      <c r="B104" s="1941"/>
      <c r="C104" s="1941"/>
      <c r="D104" s="1941"/>
      <c r="E104" s="1941"/>
      <c r="F104" s="1941"/>
      <c r="G104" s="1941"/>
      <c r="H104" s="1941"/>
    </row>
    <row r="105" spans="1:8">
      <c r="A105" s="1942" t="s">
        <v>1615</v>
      </c>
      <c r="B105" s="1941"/>
      <c r="C105" s="1941"/>
      <c r="D105" s="1941"/>
      <c r="E105" s="1941"/>
      <c r="F105" s="1941"/>
      <c r="G105" s="1941"/>
      <c r="H105" s="1941"/>
    </row>
    <row r="106" spans="1:8">
      <c r="A106" s="1942" t="s">
        <v>1616</v>
      </c>
      <c r="B106" s="1941"/>
      <c r="C106" s="1941"/>
      <c r="D106" s="1941"/>
      <c r="E106" s="1941"/>
      <c r="F106" s="1941"/>
      <c r="G106" s="1941"/>
      <c r="H106" s="1941"/>
    </row>
    <row r="107" spans="1:8">
      <c r="A107" s="1942" t="s">
        <v>1617</v>
      </c>
      <c r="B107" s="1941"/>
      <c r="C107" s="1941"/>
      <c r="D107" s="1941"/>
      <c r="E107" s="1941"/>
      <c r="F107" s="1941"/>
      <c r="G107" s="1941"/>
      <c r="H107" s="1941"/>
    </row>
    <row r="108" spans="1:8">
      <c r="A108" s="1942" t="s">
        <v>1618</v>
      </c>
      <c r="B108" s="1941"/>
      <c r="C108" s="1941"/>
      <c r="D108" s="1941"/>
      <c r="E108" s="1941"/>
      <c r="F108" s="1941"/>
      <c r="G108" s="1941"/>
      <c r="H108" s="1941"/>
    </row>
    <row r="109" spans="1:8">
      <c r="A109" s="1942" t="s">
        <v>1619</v>
      </c>
      <c r="B109" s="1941"/>
      <c r="C109" s="1941"/>
      <c r="D109" s="1941"/>
      <c r="E109" s="1941"/>
      <c r="F109" s="1941"/>
      <c r="G109" s="1941"/>
      <c r="H109" s="1941"/>
    </row>
    <row r="110" spans="1:8">
      <c r="A110" s="1942" t="s">
        <v>1620</v>
      </c>
      <c r="B110" s="1941"/>
      <c r="C110" s="1941"/>
      <c r="D110" s="1941"/>
      <c r="E110" s="1941"/>
      <c r="F110" s="1941"/>
      <c r="G110" s="1941"/>
      <c r="H110" s="1941"/>
    </row>
    <row r="111" spans="1:8">
      <c r="A111" s="1942" t="s">
        <v>1621</v>
      </c>
      <c r="B111" s="1941"/>
      <c r="C111" s="1941"/>
      <c r="D111" s="1941"/>
      <c r="E111" s="1941"/>
      <c r="F111" s="1941"/>
      <c r="G111" s="1941"/>
      <c r="H111" s="1941"/>
    </row>
    <row r="112" spans="1:8">
      <c r="A112" s="1942" t="s">
        <v>1622</v>
      </c>
      <c r="B112" s="1941"/>
      <c r="C112" s="1941"/>
      <c r="D112" s="1941"/>
      <c r="E112" s="1941"/>
      <c r="F112" s="1941"/>
      <c r="G112" s="1941"/>
      <c r="H112" s="1941"/>
    </row>
    <row r="113" spans="1:8">
      <c r="A113" s="1941"/>
      <c r="B113" s="1941"/>
      <c r="C113" s="1941"/>
      <c r="D113" s="1941"/>
      <c r="E113" s="1941"/>
      <c r="F113" s="1941"/>
      <c r="G113" s="1941"/>
      <c r="H113" s="1941"/>
    </row>
    <row r="114" spans="1:8" ht="15.75">
      <c r="A114" s="1944" t="s">
        <v>1395</v>
      </c>
      <c r="B114" s="1944"/>
      <c r="C114" s="1944"/>
      <c r="D114" s="1944"/>
      <c r="E114" s="1944"/>
      <c r="F114" s="1944"/>
      <c r="G114" s="1944"/>
      <c r="H114" s="1944"/>
    </row>
    <row r="115" spans="1:8">
      <c r="A115" s="1945" t="s">
        <v>1396</v>
      </c>
      <c r="B115" s="1945"/>
      <c r="C115" s="1945"/>
      <c r="D115" s="1945"/>
      <c r="E115" s="1945"/>
      <c r="F115" s="1945"/>
      <c r="G115" s="1945"/>
      <c r="H115" s="1945"/>
    </row>
    <row r="116" spans="1:8">
      <c r="A116" s="1946"/>
      <c r="B116" s="1946"/>
      <c r="C116" s="1946"/>
      <c r="D116" s="1946"/>
      <c r="E116" s="1946"/>
      <c r="F116" s="1946"/>
      <c r="G116" s="1946"/>
      <c r="H116" s="1946"/>
    </row>
    <row r="117" spans="1:8">
      <c r="A117" s="1945" t="s">
        <v>1612</v>
      </c>
      <c r="B117" s="1945"/>
      <c r="C117" s="1945"/>
      <c r="D117" s="1945"/>
      <c r="E117" s="1945"/>
      <c r="F117" s="1945"/>
      <c r="G117" s="1945"/>
      <c r="H117" s="1945"/>
    </row>
    <row r="118" spans="1:8">
      <c r="A118" s="1942" t="s">
        <v>1613</v>
      </c>
      <c r="B118" s="1942"/>
      <c r="C118" s="1942"/>
      <c r="D118" s="1942"/>
      <c r="E118" s="1942"/>
      <c r="F118" s="1942"/>
      <c r="G118" s="1942"/>
      <c r="H118" s="1942"/>
    </row>
    <row r="119" spans="1:8">
      <c r="A119" s="1946"/>
      <c r="B119" s="1946"/>
      <c r="C119" s="1946"/>
      <c r="D119" s="1946"/>
      <c r="E119" s="1946"/>
      <c r="F119" s="1946"/>
      <c r="G119" s="1946"/>
      <c r="H119" s="1946"/>
    </row>
    <row r="120" spans="1:8">
      <c r="A120" s="1945" t="s">
        <v>1605</v>
      </c>
      <c r="B120" s="1945"/>
      <c r="C120" s="1945"/>
      <c r="D120" s="1945"/>
      <c r="E120" s="1945"/>
      <c r="F120" s="1945"/>
      <c r="G120" s="1945"/>
      <c r="H120" s="1945"/>
    </row>
    <row r="121" spans="1:8">
      <c r="A121" s="1942" t="s">
        <v>1606</v>
      </c>
      <c r="B121" s="1942"/>
      <c r="C121" s="1942"/>
      <c r="D121" s="1942"/>
      <c r="E121" s="1942"/>
      <c r="F121" s="1942"/>
      <c r="G121" s="1942"/>
      <c r="H121" s="1942"/>
    </row>
    <row r="122" spans="1:8">
      <c r="A122" s="1942" t="s">
        <v>1607</v>
      </c>
      <c r="B122" s="1942"/>
      <c r="C122" s="1942"/>
      <c r="D122" s="1942"/>
      <c r="E122" s="1942"/>
      <c r="F122" s="1942"/>
      <c r="G122" s="1942"/>
      <c r="H122" s="1942"/>
    </row>
    <row r="123" spans="1:8">
      <c r="A123" s="1942" t="s">
        <v>1608</v>
      </c>
      <c r="B123" s="1942"/>
      <c r="C123" s="1942"/>
      <c r="D123" s="1942"/>
      <c r="E123" s="1942"/>
      <c r="F123" s="1942"/>
      <c r="G123" s="1942"/>
      <c r="H123" s="1942"/>
    </row>
    <row r="124" spans="1:8">
      <c r="A124" s="1942" t="s">
        <v>1609</v>
      </c>
      <c r="B124" s="1942"/>
      <c r="C124" s="1942"/>
      <c r="D124" s="1942"/>
      <c r="E124" s="1942"/>
      <c r="F124" s="1942"/>
      <c r="G124" s="1942"/>
      <c r="H124" s="1942"/>
    </row>
    <row r="125" spans="1:8">
      <c r="A125" s="1942" t="s">
        <v>1610</v>
      </c>
      <c r="B125" s="1942"/>
      <c r="C125" s="1942"/>
      <c r="D125" s="1942"/>
      <c r="E125" s="1942"/>
      <c r="F125" s="1942"/>
      <c r="G125" s="1942"/>
      <c r="H125" s="1942"/>
    </row>
    <row r="126" spans="1:8">
      <c r="A126" s="1942" t="s">
        <v>1611</v>
      </c>
      <c r="B126" s="1942"/>
      <c r="C126" s="1942"/>
      <c r="D126" s="1942"/>
      <c r="E126" s="1942"/>
      <c r="F126" s="1942"/>
      <c r="G126" s="1942"/>
      <c r="H126" s="1942"/>
    </row>
    <row r="127" spans="1:8">
      <c r="A127" s="1947"/>
      <c r="B127" s="1947"/>
      <c r="C127" s="1947"/>
      <c r="D127" s="1947"/>
      <c r="E127" s="1947"/>
      <c r="F127" s="1947"/>
      <c r="G127" s="1947"/>
      <c r="H127" s="1947"/>
    </row>
    <row r="128" spans="1:8">
      <c r="A128" s="1948"/>
      <c r="B128" s="1949" t="s">
        <v>1397</v>
      </c>
      <c r="C128" s="1950"/>
      <c r="D128" s="1949" t="s">
        <v>1398</v>
      </c>
      <c r="E128" s="1951"/>
      <c r="F128" s="1950"/>
      <c r="G128" s="1949" t="s">
        <v>1399</v>
      </c>
      <c r="H128" s="1950"/>
    </row>
    <row r="129" spans="1:8">
      <c r="A129" s="1948" t="s">
        <v>1400</v>
      </c>
      <c r="B129" s="1948" t="s">
        <v>606</v>
      </c>
      <c r="C129" s="1948" t="s">
        <v>1401</v>
      </c>
      <c r="D129" s="1948" t="s">
        <v>606</v>
      </c>
      <c r="E129" s="1948" t="s">
        <v>1402</v>
      </c>
      <c r="F129" s="1948" t="s">
        <v>1403</v>
      </c>
      <c r="G129" s="1948" t="s">
        <v>606</v>
      </c>
      <c r="H129" s="1948" t="s">
        <v>1404</v>
      </c>
    </row>
    <row r="130" spans="1:8">
      <c r="A130" s="1948" t="s">
        <v>1405</v>
      </c>
      <c r="B130" s="1948">
        <v>1189</v>
      </c>
      <c r="C130" s="1952">
        <v>0.38</v>
      </c>
      <c r="D130" s="1948">
        <v>315</v>
      </c>
      <c r="E130" s="1952">
        <v>0.41</v>
      </c>
      <c r="F130" s="1952">
        <v>0.26</v>
      </c>
      <c r="G130" s="1948">
        <v>555</v>
      </c>
      <c r="H130" s="1952">
        <v>0.39</v>
      </c>
    </row>
    <row r="131" spans="1:8">
      <c r="A131" s="1948" t="s">
        <v>1406</v>
      </c>
      <c r="B131" s="1948">
        <v>1355</v>
      </c>
      <c r="C131" s="1952">
        <v>0.43</v>
      </c>
      <c r="D131" s="1948">
        <v>364</v>
      </c>
      <c r="E131" s="1952">
        <v>0.47</v>
      </c>
      <c r="F131" s="1952">
        <v>0.27</v>
      </c>
      <c r="G131" s="1948">
        <v>644</v>
      </c>
      <c r="H131" s="1952">
        <v>0.45</v>
      </c>
    </row>
    <row r="132" spans="1:8">
      <c r="A132" s="1948" t="s">
        <v>1407</v>
      </c>
      <c r="B132" s="1948">
        <v>53</v>
      </c>
      <c r="C132" s="1952">
        <v>0.02</v>
      </c>
      <c r="D132" s="1948">
        <v>4</v>
      </c>
      <c r="E132" s="1952">
        <v>0.01</v>
      </c>
      <c r="F132" s="1952">
        <v>0.08</v>
      </c>
      <c r="G132" s="1948">
        <v>7</v>
      </c>
      <c r="H132" s="1952">
        <v>0</v>
      </c>
    </row>
    <row r="133" spans="1:8">
      <c r="A133" s="1948" t="s">
        <v>1408</v>
      </c>
      <c r="B133" s="1948">
        <v>545</v>
      </c>
      <c r="C133" s="1952">
        <v>0.17</v>
      </c>
      <c r="D133" s="1948">
        <v>84</v>
      </c>
      <c r="E133" s="1952">
        <v>0.11</v>
      </c>
      <c r="F133" s="1952">
        <v>0.15</v>
      </c>
      <c r="G133" s="1948">
        <v>214</v>
      </c>
      <c r="H133" s="1952">
        <v>0.15</v>
      </c>
    </row>
    <row r="134" spans="1:8">
      <c r="A134" s="1948" t="s">
        <v>48</v>
      </c>
      <c r="B134" s="1953">
        <v>3142</v>
      </c>
      <c r="C134" s="1948"/>
      <c r="D134" s="1948">
        <v>767</v>
      </c>
      <c r="E134" s="1948"/>
      <c r="F134" s="1948"/>
      <c r="G134" s="1948">
        <v>1420</v>
      </c>
      <c r="H134" s="1948"/>
    </row>
    <row r="135" spans="1:8">
      <c r="A135" s="1954"/>
      <c r="B135" s="1954"/>
      <c r="C135" s="1954"/>
      <c r="D135" s="1954"/>
      <c r="E135" s="1954"/>
      <c r="F135" s="1954"/>
      <c r="G135" s="1954"/>
      <c r="H135" s="1954"/>
    </row>
    <row r="136" spans="1:8">
      <c r="A136" s="1945" t="s">
        <v>1601</v>
      </c>
      <c r="B136" s="1945"/>
      <c r="C136" s="1945"/>
      <c r="D136" s="1945"/>
      <c r="E136" s="1945"/>
      <c r="F136" s="1945"/>
      <c r="G136" s="1945"/>
      <c r="H136" s="1945"/>
    </row>
    <row r="137" spans="1:8">
      <c r="A137" s="1942" t="s">
        <v>1602</v>
      </c>
      <c r="B137" s="1942"/>
      <c r="C137" s="1942"/>
      <c r="D137" s="1942"/>
      <c r="E137" s="1942"/>
      <c r="F137" s="1942"/>
      <c r="G137" s="1942"/>
      <c r="H137" s="1942"/>
    </row>
    <row r="138" spans="1:8">
      <c r="A138" s="1942" t="s">
        <v>1603</v>
      </c>
      <c r="B138" s="1942"/>
      <c r="C138" s="1942"/>
      <c r="D138" s="1942"/>
      <c r="E138" s="1942"/>
      <c r="F138" s="1942"/>
      <c r="G138" s="1942"/>
      <c r="H138" s="1942"/>
    </row>
    <row r="139" spans="1:8">
      <c r="A139" s="1942" t="s">
        <v>1604</v>
      </c>
      <c r="B139" s="1942"/>
      <c r="C139" s="1942"/>
      <c r="D139" s="1942"/>
      <c r="E139" s="1942"/>
      <c r="F139" s="1942"/>
      <c r="G139" s="1942"/>
      <c r="H139" s="1942"/>
    </row>
    <row r="140" spans="1:8">
      <c r="A140" s="1941"/>
      <c r="B140" s="1941"/>
      <c r="C140" s="1941"/>
      <c r="D140" s="1941"/>
      <c r="E140" s="1941"/>
      <c r="F140" s="1941"/>
      <c r="G140" s="1941"/>
      <c r="H140" s="1941"/>
    </row>
    <row r="141" spans="1:8" ht="15.75">
      <c r="A141" s="1943" t="s">
        <v>1409</v>
      </c>
      <c r="B141" s="1941"/>
      <c r="C141" s="1941"/>
      <c r="D141" s="1941"/>
      <c r="E141" s="1941"/>
      <c r="F141" s="1941"/>
      <c r="G141" s="1941"/>
      <c r="H141" s="1941"/>
    </row>
    <row r="142" spans="1:8">
      <c r="A142" s="1941"/>
      <c r="B142" s="1941"/>
      <c r="C142" s="1941"/>
      <c r="D142" s="1941"/>
      <c r="E142" s="1941"/>
      <c r="F142" s="1941"/>
      <c r="G142" s="1941"/>
      <c r="H142" s="1941"/>
    </row>
    <row r="143" spans="1:8">
      <c r="A143" s="1942" t="s">
        <v>1599</v>
      </c>
      <c r="B143" s="1941"/>
      <c r="C143" s="1941"/>
      <c r="D143" s="1941"/>
      <c r="E143" s="1941"/>
      <c r="F143" s="1941"/>
      <c r="G143" s="1941"/>
      <c r="H143" s="1941"/>
    </row>
    <row r="144" spans="1:8">
      <c r="A144" s="1942" t="s">
        <v>1600</v>
      </c>
      <c r="B144" s="1941"/>
      <c r="C144" s="1941"/>
      <c r="D144" s="1941"/>
      <c r="E144" s="1941"/>
      <c r="F144" s="1941"/>
      <c r="G144" s="1941"/>
      <c r="H144" s="1941"/>
    </row>
    <row r="145" spans="1:8">
      <c r="A145" s="1941"/>
      <c r="B145" s="1941"/>
      <c r="C145" s="1941"/>
      <c r="D145" s="1941"/>
      <c r="E145" s="1941"/>
      <c r="F145" s="1941"/>
      <c r="G145" s="1941"/>
      <c r="H145" s="1941"/>
    </row>
    <row r="146" spans="1:8">
      <c r="A146" s="1942" t="s">
        <v>1596</v>
      </c>
      <c r="B146" s="1941"/>
      <c r="C146" s="1941"/>
      <c r="D146" s="1941"/>
      <c r="E146" s="1941"/>
      <c r="F146" s="1941"/>
      <c r="G146" s="1941"/>
      <c r="H146" s="1941"/>
    </row>
    <row r="147" spans="1:8">
      <c r="A147" s="1942" t="s">
        <v>1597</v>
      </c>
      <c r="B147" s="1941"/>
      <c r="C147" s="1941"/>
      <c r="D147" s="1941"/>
      <c r="E147" s="1941"/>
      <c r="F147" s="1941"/>
      <c r="G147" s="1941"/>
      <c r="H147" s="1941"/>
    </row>
    <row r="148" spans="1:8">
      <c r="A148" s="1942" t="s">
        <v>1598</v>
      </c>
      <c r="B148" s="1941"/>
      <c r="C148" s="1941"/>
      <c r="D148" s="1941"/>
      <c r="E148" s="1941"/>
      <c r="F148" s="1941"/>
      <c r="G148" s="1941"/>
      <c r="H148" s="1941"/>
    </row>
    <row r="149" spans="1:8">
      <c r="A149" s="1941"/>
      <c r="B149" s="1941"/>
      <c r="C149" s="1941"/>
      <c r="D149" s="1941"/>
      <c r="E149" s="1941"/>
      <c r="F149" s="1941"/>
      <c r="G149" s="1941"/>
      <c r="H149" s="1941"/>
    </row>
    <row r="150" spans="1:8">
      <c r="A150" s="1942" t="s">
        <v>1593</v>
      </c>
      <c r="B150" s="1941"/>
      <c r="C150" s="1941"/>
      <c r="D150" s="1941"/>
      <c r="E150" s="1941"/>
      <c r="F150" s="1941"/>
      <c r="G150" s="1941"/>
      <c r="H150" s="1941"/>
    </row>
    <row r="151" spans="1:8">
      <c r="A151" s="1942" t="s">
        <v>1594</v>
      </c>
      <c r="B151" s="1941"/>
      <c r="C151" s="1941"/>
      <c r="D151" s="1941"/>
      <c r="E151" s="1941"/>
      <c r="F151" s="1941"/>
      <c r="G151" s="1941"/>
      <c r="H151" s="1941"/>
    </row>
    <row r="152" spans="1:8">
      <c r="A152" s="1942" t="s">
        <v>1595</v>
      </c>
      <c r="B152" s="1941"/>
      <c r="C152" s="1941"/>
      <c r="D152" s="1941"/>
      <c r="E152" s="1941"/>
      <c r="F152" s="1941"/>
      <c r="G152" s="1941"/>
      <c r="H152" s="1941"/>
    </row>
    <row r="153" spans="1:8">
      <c r="A153" s="1941"/>
      <c r="B153" s="1941"/>
      <c r="C153" s="1941"/>
      <c r="D153" s="1941"/>
      <c r="E153" s="1941"/>
      <c r="F153" s="1941"/>
      <c r="G153" s="1941"/>
      <c r="H153" s="1941"/>
    </row>
    <row r="154" spans="1:8">
      <c r="A154" s="1942" t="s">
        <v>1590</v>
      </c>
      <c r="B154" s="1941"/>
      <c r="C154" s="1941"/>
      <c r="D154" s="1941"/>
      <c r="E154" s="1941"/>
      <c r="F154" s="1941"/>
      <c r="G154" s="1941"/>
      <c r="H154" s="1941"/>
    </row>
    <row r="155" spans="1:8">
      <c r="A155" s="1942" t="s">
        <v>1591</v>
      </c>
      <c r="B155" s="1941"/>
      <c r="C155" s="1941"/>
      <c r="D155" s="1941"/>
      <c r="E155" s="1941"/>
      <c r="F155" s="1941"/>
      <c r="G155" s="1941"/>
      <c r="H155" s="1941"/>
    </row>
    <row r="156" spans="1:8">
      <c r="A156" s="1942" t="s">
        <v>1592</v>
      </c>
      <c r="B156" s="1941"/>
      <c r="C156" s="1941"/>
      <c r="D156" s="1941"/>
      <c r="E156" s="1941"/>
      <c r="F156" s="1941"/>
      <c r="G156" s="1941"/>
      <c r="H156" s="1941"/>
    </row>
    <row r="157" spans="1:8">
      <c r="A157" s="1941"/>
      <c r="B157" s="1941"/>
      <c r="C157" s="1941"/>
      <c r="D157" s="1941"/>
      <c r="E157" s="1941"/>
      <c r="F157" s="1941"/>
      <c r="G157" s="1941"/>
      <c r="H157" s="1941"/>
    </row>
    <row r="158" spans="1:8">
      <c r="A158" s="1942" t="s">
        <v>1588</v>
      </c>
      <c r="B158" s="1941"/>
      <c r="C158" s="1941"/>
      <c r="D158" s="1941"/>
      <c r="E158" s="1941"/>
      <c r="F158" s="1941"/>
      <c r="G158" s="1941"/>
      <c r="H158" s="1941"/>
    </row>
    <row r="159" spans="1:8">
      <c r="A159" s="1942" t="s">
        <v>1589</v>
      </c>
      <c r="B159" s="1941"/>
      <c r="C159" s="1941"/>
      <c r="D159" s="1941"/>
      <c r="E159" s="1941"/>
      <c r="F159" s="1941"/>
      <c r="G159" s="1941"/>
      <c r="H159" s="1941"/>
    </row>
    <row r="160" spans="1:8">
      <c r="A160" s="1941"/>
      <c r="B160" s="1941"/>
      <c r="C160" s="1941"/>
      <c r="D160" s="1941"/>
      <c r="E160" s="1941"/>
      <c r="F160" s="1941"/>
      <c r="G160" s="1941"/>
      <c r="H160" s="1941"/>
    </row>
    <row r="161" spans="1:8" ht="15.75">
      <c r="A161" s="1943" t="s">
        <v>1410</v>
      </c>
      <c r="B161" s="1941"/>
      <c r="C161" s="1941"/>
      <c r="D161" s="1941"/>
      <c r="E161" s="1941"/>
      <c r="F161" s="1941"/>
      <c r="G161" s="1941"/>
      <c r="H161" s="1941"/>
    </row>
    <row r="162" spans="1:8">
      <c r="A162" s="1941"/>
      <c r="B162" s="1941"/>
      <c r="C162" s="1941"/>
      <c r="D162" s="1941"/>
      <c r="E162" s="1941"/>
      <c r="F162" s="1941"/>
      <c r="G162" s="1941"/>
      <c r="H162" s="1941"/>
    </row>
    <row r="163" spans="1:8">
      <c r="A163" s="1942" t="s">
        <v>1586</v>
      </c>
      <c r="B163" s="1941"/>
      <c r="C163" s="1941"/>
      <c r="D163" s="1941"/>
      <c r="E163" s="1941"/>
      <c r="F163" s="1941"/>
      <c r="G163" s="1941"/>
      <c r="H163" s="1941"/>
    </row>
    <row r="164" spans="1:8">
      <c r="A164" s="1942" t="s">
        <v>1587</v>
      </c>
      <c r="B164" s="1941"/>
      <c r="C164" s="1941"/>
      <c r="D164" s="1941"/>
      <c r="E164" s="1941"/>
      <c r="F164" s="1941"/>
      <c r="G164" s="1941"/>
      <c r="H164" s="1941"/>
    </row>
    <row r="165" spans="1:8">
      <c r="A165" s="1941"/>
      <c r="B165" s="1941"/>
      <c r="C165" s="1941"/>
      <c r="D165" s="1941"/>
      <c r="E165" s="1941"/>
      <c r="F165" s="1941"/>
      <c r="G165" s="1941"/>
      <c r="H165" s="1941"/>
    </row>
    <row r="166" spans="1:8">
      <c r="A166" s="1942" t="s">
        <v>1584</v>
      </c>
      <c r="B166" s="1941"/>
      <c r="C166" s="1941"/>
      <c r="D166" s="1941"/>
      <c r="E166" s="1941"/>
      <c r="F166" s="1941"/>
      <c r="G166" s="1941"/>
      <c r="H166" s="1941"/>
    </row>
    <row r="167" spans="1:8">
      <c r="A167" s="1942" t="s">
        <v>1585</v>
      </c>
      <c r="B167" s="1941"/>
      <c r="C167" s="1941"/>
      <c r="D167" s="1941"/>
      <c r="E167" s="1941"/>
      <c r="F167" s="1941"/>
      <c r="G167" s="1941"/>
      <c r="H167" s="1941"/>
    </row>
    <row r="168" spans="1:8">
      <c r="A168" s="1941"/>
      <c r="B168" s="1941"/>
      <c r="C168" s="1941"/>
      <c r="D168" s="1941"/>
      <c r="E168" s="1941"/>
      <c r="F168" s="1941"/>
      <c r="G168" s="1941"/>
      <c r="H168" s="1941"/>
    </row>
    <row r="169" spans="1:8">
      <c r="A169" s="1942" t="s">
        <v>1582</v>
      </c>
      <c r="B169" s="1941"/>
      <c r="C169" s="1941"/>
      <c r="D169" s="1941"/>
      <c r="E169" s="1941"/>
      <c r="F169" s="1941"/>
      <c r="G169" s="1941"/>
      <c r="H169" s="1941"/>
    </row>
    <row r="170" spans="1:8">
      <c r="A170" s="1942" t="s">
        <v>1583</v>
      </c>
      <c r="B170" s="1941"/>
      <c r="C170" s="1941"/>
      <c r="D170" s="1941"/>
      <c r="E170" s="1941"/>
      <c r="F170" s="1941"/>
      <c r="G170" s="1941"/>
      <c r="H170" s="1941"/>
    </row>
    <row r="171" spans="1:8">
      <c r="A171" s="1941"/>
      <c r="B171" s="1941"/>
      <c r="C171" s="1941"/>
      <c r="D171" s="1941"/>
      <c r="E171" s="1941"/>
      <c r="F171" s="1941"/>
      <c r="G171" s="1941"/>
      <c r="H171" s="1941"/>
    </row>
    <row r="172" spans="1:8">
      <c r="A172" s="1942" t="s">
        <v>1579</v>
      </c>
      <c r="B172" s="1941"/>
      <c r="C172" s="1941"/>
      <c r="D172" s="1941"/>
      <c r="E172" s="1941"/>
      <c r="F172" s="1941"/>
      <c r="G172" s="1941"/>
      <c r="H172" s="1941"/>
    </row>
    <row r="173" spans="1:8">
      <c r="A173" s="1942" t="s">
        <v>1580</v>
      </c>
      <c r="B173" s="1941"/>
      <c r="C173" s="1941"/>
      <c r="D173" s="1941"/>
      <c r="E173" s="1941"/>
      <c r="F173" s="1941"/>
      <c r="G173" s="1941"/>
      <c r="H173" s="1941"/>
    </row>
    <row r="174" spans="1:8">
      <c r="A174" s="1942" t="s">
        <v>1581</v>
      </c>
      <c r="B174" s="1941"/>
      <c r="C174" s="1941"/>
      <c r="D174" s="1941"/>
      <c r="E174" s="1941"/>
      <c r="F174" s="1941"/>
      <c r="G174" s="1941"/>
      <c r="H174" s="1941"/>
    </row>
    <row r="175" spans="1:8">
      <c r="A175" s="1941"/>
      <c r="B175" s="1941"/>
      <c r="C175" s="1941"/>
      <c r="D175" s="1941"/>
      <c r="E175" s="1941"/>
      <c r="F175" s="1941"/>
      <c r="G175" s="1941"/>
      <c r="H175" s="1941"/>
    </row>
    <row r="176" spans="1:8">
      <c r="A176" s="1941"/>
      <c r="B176" s="1941"/>
      <c r="C176" s="1941"/>
      <c r="D176" s="1941"/>
      <c r="E176" s="1941"/>
      <c r="F176" s="1941"/>
      <c r="G176" s="1941"/>
      <c r="H176" s="1941"/>
    </row>
    <row r="177" spans="1:8">
      <c r="A177" s="1942" t="s">
        <v>1411</v>
      </c>
      <c r="B177" s="1941"/>
      <c r="C177" s="1941"/>
      <c r="D177" s="1941"/>
      <c r="E177" s="1941"/>
      <c r="F177" s="1941"/>
      <c r="G177" s="1941"/>
      <c r="H177" s="1941"/>
    </row>
    <row r="178" spans="1:8">
      <c r="A178" s="1941"/>
      <c r="B178" s="1941"/>
      <c r="C178" s="1941"/>
      <c r="D178" s="1941"/>
      <c r="E178" s="1941"/>
      <c r="F178" s="1941"/>
      <c r="G178" s="1941"/>
      <c r="H178" s="1941"/>
    </row>
    <row r="179" spans="1:8" ht="15.75">
      <c r="A179" s="1943" t="s">
        <v>1412</v>
      </c>
      <c r="B179" s="1941"/>
      <c r="C179" s="1941"/>
      <c r="D179" s="1941"/>
      <c r="E179" s="1941"/>
      <c r="F179" s="1941"/>
      <c r="G179" s="1941"/>
      <c r="H179" s="1941"/>
    </row>
    <row r="180" spans="1:8">
      <c r="A180" s="1941"/>
      <c r="B180" s="1941"/>
      <c r="C180" s="1941"/>
      <c r="D180" s="1941"/>
      <c r="E180" s="1941"/>
      <c r="F180" s="1941"/>
      <c r="G180" s="1941"/>
      <c r="H180" s="1941"/>
    </row>
    <row r="181" spans="1:8">
      <c r="A181" s="1941"/>
      <c r="B181" s="1941"/>
      <c r="C181" s="1941"/>
      <c r="D181" s="1941"/>
      <c r="E181" s="1941"/>
      <c r="F181" s="1941"/>
      <c r="G181" s="1941"/>
      <c r="H181" s="1941"/>
    </row>
    <row r="182" spans="1:8">
      <c r="A182" s="1941"/>
      <c r="B182" s="1941"/>
      <c r="C182" s="1941"/>
      <c r="D182" s="1941"/>
      <c r="E182" s="1941"/>
      <c r="F182" s="1941"/>
      <c r="G182" s="1941"/>
      <c r="H182" s="1941"/>
    </row>
    <row r="183" spans="1:8">
      <c r="A183" s="1941"/>
      <c r="B183" s="1941"/>
      <c r="C183" s="1941"/>
      <c r="D183" s="1941"/>
      <c r="E183" s="1941"/>
      <c r="F183" s="1941"/>
      <c r="G183" s="1941"/>
      <c r="H183" s="1941"/>
    </row>
    <row r="184" spans="1:8">
      <c r="A184" s="1941"/>
      <c r="B184" s="1941"/>
      <c r="C184" s="1941"/>
      <c r="D184" s="1941"/>
      <c r="E184" s="1941"/>
      <c r="F184" s="1941"/>
      <c r="G184" s="1941"/>
      <c r="H184" s="1941"/>
    </row>
    <row r="185" spans="1:8">
      <c r="A185" s="1941"/>
      <c r="B185" s="1941"/>
      <c r="C185" s="1941"/>
      <c r="D185" s="1941"/>
      <c r="E185" s="1941"/>
      <c r="F185" s="1941"/>
      <c r="G185" s="1941"/>
      <c r="H185" s="1941"/>
    </row>
    <row r="186" spans="1:8">
      <c r="A186" s="1941"/>
      <c r="B186" s="1941"/>
      <c r="C186" s="1941"/>
      <c r="D186" s="1941"/>
      <c r="E186" s="1941"/>
      <c r="F186" s="1941"/>
      <c r="G186" s="1941"/>
      <c r="H186" s="1941"/>
    </row>
    <row r="187" spans="1:8">
      <c r="A187" s="1941"/>
      <c r="B187" s="1941"/>
      <c r="C187" s="1941"/>
      <c r="D187" s="1941"/>
      <c r="E187" s="1941"/>
      <c r="F187" s="1941"/>
      <c r="G187" s="1941"/>
      <c r="H187" s="1941"/>
    </row>
    <row r="188" spans="1:8">
      <c r="A188" s="1941"/>
      <c r="B188" s="1941"/>
      <c r="C188" s="1941"/>
      <c r="D188" s="1941"/>
      <c r="E188" s="1941"/>
      <c r="F188" s="1941"/>
      <c r="G188" s="1941"/>
      <c r="H188" s="1941"/>
    </row>
    <row r="189" spans="1:8">
      <c r="A189" s="1941"/>
      <c r="B189" s="1941"/>
      <c r="C189" s="1941"/>
      <c r="D189" s="1941"/>
      <c r="E189" s="1941"/>
      <c r="F189" s="1941"/>
      <c r="G189" s="1941"/>
      <c r="H189" s="1941"/>
    </row>
    <row r="190" spans="1:8">
      <c r="A190" s="1941"/>
      <c r="B190" s="1941"/>
      <c r="C190" s="1941"/>
      <c r="D190" s="1941"/>
      <c r="E190" s="1941"/>
      <c r="F190" s="1941"/>
      <c r="G190" s="1941"/>
      <c r="H190" s="1941"/>
    </row>
    <row r="191" spans="1:8">
      <c r="A191" s="1941"/>
      <c r="B191" s="1941"/>
      <c r="C191" s="1941"/>
      <c r="D191" s="1941"/>
      <c r="E191" s="1941"/>
      <c r="F191" s="1941"/>
      <c r="G191" s="1941"/>
      <c r="H191" s="1941"/>
    </row>
    <row r="192" spans="1:8">
      <c r="A192" s="1941"/>
      <c r="B192" s="1941"/>
      <c r="C192" s="1941"/>
      <c r="D192" s="1941"/>
      <c r="E192" s="1941"/>
      <c r="F192" s="1941"/>
      <c r="G192" s="1941"/>
      <c r="H192" s="1941"/>
    </row>
    <row r="193" spans="1:8">
      <c r="A193" s="1941"/>
      <c r="B193" s="1941"/>
      <c r="C193" s="1941"/>
      <c r="D193" s="1941"/>
      <c r="E193" s="1941"/>
      <c r="F193" s="1941"/>
      <c r="G193" s="1941"/>
      <c r="H193" s="1941"/>
    </row>
    <row r="194" spans="1:8">
      <c r="A194" s="1941"/>
      <c r="B194" s="1941"/>
      <c r="C194" s="1941"/>
      <c r="D194" s="1941"/>
      <c r="E194" s="1941"/>
      <c r="F194" s="1941"/>
      <c r="G194" s="1941"/>
      <c r="H194" s="1941"/>
    </row>
    <row r="195" spans="1:8">
      <c r="A195" s="1941"/>
      <c r="B195" s="1941"/>
      <c r="C195" s="1941"/>
      <c r="D195" s="1941"/>
      <c r="E195" s="1941"/>
      <c r="F195" s="1941"/>
      <c r="G195" s="1941"/>
      <c r="H195" s="1941"/>
    </row>
    <row r="196" spans="1:8">
      <c r="A196" s="1941"/>
      <c r="B196" s="1941"/>
      <c r="C196" s="1941"/>
      <c r="D196" s="1941"/>
      <c r="E196" s="1941"/>
      <c r="F196" s="1941"/>
      <c r="G196" s="1941"/>
      <c r="H196" s="1941"/>
    </row>
    <row r="197" spans="1:8">
      <c r="A197" s="1941"/>
      <c r="B197" s="1941"/>
      <c r="C197" s="1941"/>
      <c r="D197" s="1941"/>
      <c r="E197" s="1941"/>
      <c r="F197" s="1941"/>
      <c r="G197" s="1941"/>
      <c r="H197" s="1941"/>
    </row>
    <row r="198" spans="1:8">
      <c r="A198" s="1941"/>
      <c r="B198" s="1941"/>
      <c r="C198" s="1941"/>
      <c r="D198" s="1941"/>
      <c r="E198" s="1941"/>
      <c r="F198" s="1941"/>
      <c r="G198" s="1941"/>
      <c r="H198" s="1941"/>
    </row>
    <row r="199" spans="1:8">
      <c r="A199" s="1941"/>
      <c r="B199" s="1941"/>
      <c r="C199" s="1941"/>
      <c r="D199" s="1941"/>
      <c r="E199" s="1941"/>
      <c r="F199" s="1941"/>
      <c r="G199" s="1941"/>
      <c r="H199" s="1941"/>
    </row>
    <row r="200" spans="1:8">
      <c r="A200" s="1941"/>
      <c r="B200" s="1941"/>
      <c r="C200" s="1941"/>
      <c r="D200" s="1941"/>
      <c r="E200" s="1941"/>
      <c r="F200" s="1941"/>
      <c r="G200" s="1941"/>
      <c r="H200" s="1941"/>
    </row>
    <row r="201" spans="1:8">
      <c r="A201" s="1941"/>
      <c r="B201" s="1941"/>
      <c r="C201" s="1941"/>
      <c r="D201" s="1941"/>
      <c r="E201" s="1941"/>
      <c r="F201" s="1941"/>
      <c r="G201" s="1941"/>
      <c r="H201" s="1941"/>
    </row>
    <row r="202" spans="1:8">
      <c r="A202" s="1941"/>
      <c r="B202" s="1941"/>
      <c r="C202" s="1941"/>
      <c r="D202" s="1941"/>
      <c r="E202" s="1941"/>
      <c r="F202" s="1941"/>
      <c r="G202" s="1941"/>
      <c r="H202" s="1941"/>
    </row>
    <row r="203" spans="1:8">
      <c r="A203" s="1941"/>
      <c r="B203" s="1941"/>
      <c r="C203" s="1941"/>
      <c r="D203" s="1941"/>
      <c r="E203" s="1941"/>
      <c r="F203" s="1941"/>
      <c r="G203" s="1941"/>
      <c r="H203" s="1941"/>
    </row>
    <row r="204" spans="1:8">
      <c r="A204" s="1941"/>
      <c r="B204" s="1941"/>
      <c r="C204" s="1941"/>
      <c r="D204" s="1941"/>
      <c r="E204" s="1941"/>
      <c r="F204" s="1941"/>
      <c r="G204" s="1941"/>
      <c r="H204" s="1941"/>
    </row>
    <row r="205" spans="1:8">
      <c r="A205" s="1941"/>
      <c r="B205" s="1941"/>
      <c r="C205" s="1941"/>
      <c r="D205" s="1941"/>
      <c r="E205" s="1941"/>
      <c r="F205" s="1941"/>
      <c r="G205" s="1941"/>
      <c r="H205" s="1941"/>
    </row>
    <row r="206" spans="1:8" ht="15.75">
      <c r="A206" s="1943" t="s">
        <v>1413</v>
      </c>
      <c r="B206" s="1941"/>
      <c r="C206" s="1941"/>
      <c r="D206" s="1941"/>
      <c r="E206" s="1941"/>
      <c r="F206" s="1941"/>
      <c r="G206" s="1941"/>
      <c r="H206" s="1941"/>
    </row>
    <row r="207" spans="1:8">
      <c r="A207" s="1941"/>
      <c r="B207" s="1941"/>
      <c r="C207" s="1941"/>
      <c r="D207" s="1941"/>
      <c r="E207" s="1941"/>
      <c r="F207" s="1941"/>
      <c r="G207" s="1941"/>
      <c r="H207" s="1941"/>
    </row>
    <row r="208" spans="1:8">
      <c r="A208" s="1942" t="s">
        <v>1574</v>
      </c>
      <c r="B208" s="1941"/>
      <c r="C208" s="1941"/>
      <c r="D208" s="1941"/>
      <c r="E208" s="1941"/>
      <c r="F208" s="1941"/>
      <c r="G208" s="1941"/>
      <c r="H208" s="1941"/>
    </row>
    <row r="209" spans="1:8">
      <c r="A209" s="1942" t="s">
        <v>1575</v>
      </c>
      <c r="B209" s="1941"/>
      <c r="C209" s="1941"/>
      <c r="D209" s="1941"/>
      <c r="E209" s="1941"/>
      <c r="F209" s="1941"/>
      <c r="G209" s="1941"/>
      <c r="H209" s="1941"/>
    </row>
    <row r="210" spans="1:8">
      <c r="A210" s="1942" t="s">
        <v>1576</v>
      </c>
      <c r="B210" s="1941"/>
      <c r="C210" s="1941"/>
      <c r="D210" s="1941"/>
      <c r="E210" s="1941"/>
      <c r="F210" s="1941"/>
      <c r="G210" s="1941"/>
      <c r="H210" s="1941"/>
    </row>
    <row r="211" spans="1:8">
      <c r="A211" s="1942" t="s">
        <v>1577</v>
      </c>
      <c r="B211" s="1941"/>
      <c r="C211" s="1941"/>
      <c r="D211" s="1941"/>
      <c r="E211" s="1941"/>
      <c r="F211" s="1941"/>
      <c r="G211" s="1941"/>
      <c r="H211" s="1941"/>
    </row>
    <row r="212" spans="1:8">
      <c r="A212" s="1942" t="s">
        <v>1578</v>
      </c>
      <c r="B212" s="1941"/>
      <c r="C212" s="1941"/>
      <c r="D212" s="1941"/>
      <c r="E212" s="1941"/>
      <c r="F212" s="1941"/>
      <c r="G212" s="1941"/>
      <c r="H212" s="1941"/>
    </row>
    <row r="213" spans="1:8">
      <c r="A213" s="1941"/>
      <c r="B213" s="1941"/>
      <c r="C213" s="1941"/>
      <c r="D213" s="1941"/>
      <c r="E213" s="1941"/>
      <c r="F213" s="1941"/>
      <c r="G213" s="1941"/>
      <c r="H213" s="1941"/>
    </row>
    <row r="214" spans="1:8">
      <c r="A214" s="1942" t="s">
        <v>1571</v>
      </c>
      <c r="B214" s="1941"/>
      <c r="C214" s="1941"/>
      <c r="D214" s="1941"/>
      <c r="E214" s="1941"/>
      <c r="F214" s="1941"/>
      <c r="G214" s="1941"/>
      <c r="H214" s="1941"/>
    </row>
    <row r="215" spans="1:8">
      <c r="A215" s="1942" t="s">
        <v>1572</v>
      </c>
      <c r="B215" s="1941"/>
      <c r="C215" s="1941"/>
      <c r="D215" s="1941"/>
      <c r="E215" s="1941"/>
      <c r="F215" s="1941"/>
      <c r="G215" s="1941"/>
      <c r="H215" s="1941"/>
    </row>
    <row r="216" spans="1:8">
      <c r="A216" s="1942" t="s">
        <v>1573</v>
      </c>
      <c r="B216" s="1941"/>
      <c r="C216" s="1941"/>
      <c r="D216" s="1941"/>
      <c r="E216" s="1941"/>
      <c r="F216" s="1941"/>
      <c r="G216" s="1941"/>
      <c r="H216" s="1941"/>
    </row>
    <row r="217" spans="1:8" ht="15.75">
      <c r="A217" s="1943" t="s">
        <v>1414</v>
      </c>
      <c r="B217" s="1941"/>
      <c r="C217" s="1941"/>
      <c r="D217" s="1941"/>
      <c r="E217" s="1941"/>
      <c r="F217" s="1941"/>
      <c r="G217" s="1941"/>
      <c r="H217" s="1941"/>
    </row>
    <row r="218" spans="1:8">
      <c r="A218" s="1941"/>
      <c r="B218" s="1941"/>
      <c r="C218" s="1941"/>
      <c r="D218" s="1941"/>
      <c r="E218" s="1941"/>
      <c r="F218" s="1941"/>
      <c r="G218" s="1941"/>
      <c r="H218" s="1941"/>
    </row>
    <row r="219" spans="1:8">
      <c r="A219" s="1942" t="s">
        <v>1569</v>
      </c>
      <c r="B219" s="1941"/>
      <c r="C219" s="1941"/>
      <c r="D219" s="1941"/>
      <c r="E219" s="1941"/>
      <c r="F219" s="1941"/>
      <c r="G219" s="1941"/>
      <c r="H219" s="1941"/>
    </row>
    <row r="220" spans="1:8">
      <c r="A220" s="1942" t="s">
        <v>1570</v>
      </c>
      <c r="B220" s="1941"/>
      <c r="C220" s="1941"/>
      <c r="D220" s="1941"/>
      <c r="E220" s="1941"/>
      <c r="F220" s="1941"/>
      <c r="G220" s="1941"/>
      <c r="H220" s="1941"/>
    </row>
    <row r="221" spans="1:8">
      <c r="A221" s="1941"/>
      <c r="B221" s="1941"/>
      <c r="C221" s="1941"/>
      <c r="D221" s="1941"/>
      <c r="E221" s="1941"/>
      <c r="F221" s="1941"/>
      <c r="G221" s="1941"/>
      <c r="H221" s="1941"/>
    </row>
    <row r="222" spans="1:8">
      <c r="A222" s="1942" t="s">
        <v>1562</v>
      </c>
      <c r="B222" s="1941"/>
      <c r="C222" s="1941"/>
      <c r="D222" s="1941"/>
      <c r="E222" s="1941"/>
      <c r="F222" s="1941"/>
      <c r="G222" s="1941"/>
      <c r="H222" s="1941"/>
    </row>
    <row r="223" spans="1:8">
      <c r="A223" s="1942" t="s">
        <v>1563</v>
      </c>
      <c r="B223" s="1941"/>
      <c r="C223" s="1941"/>
      <c r="D223" s="1941"/>
      <c r="E223" s="1941"/>
      <c r="F223" s="1941"/>
      <c r="G223" s="1941"/>
      <c r="H223" s="1941"/>
    </row>
    <row r="224" spans="1:8">
      <c r="A224" s="1942" t="s">
        <v>1564</v>
      </c>
      <c r="B224" s="1941"/>
      <c r="C224" s="1941"/>
      <c r="D224" s="1941"/>
      <c r="E224" s="1941"/>
      <c r="F224" s="1941"/>
      <c r="G224" s="1941"/>
      <c r="H224" s="1941"/>
    </row>
    <row r="225" spans="1:8">
      <c r="A225" s="1942" t="s">
        <v>1565</v>
      </c>
      <c r="B225" s="1941"/>
      <c r="C225" s="1941"/>
      <c r="D225" s="1941"/>
      <c r="E225" s="1941"/>
      <c r="F225" s="1941"/>
      <c r="G225" s="1941"/>
      <c r="H225" s="1941"/>
    </row>
    <row r="226" spans="1:8">
      <c r="A226" s="1942" t="s">
        <v>1566</v>
      </c>
      <c r="B226" s="1941"/>
      <c r="C226" s="1941"/>
      <c r="D226" s="1941"/>
      <c r="E226" s="1941"/>
      <c r="F226" s="1941"/>
      <c r="G226" s="1941"/>
      <c r="H226" s="1941"/>
    </row>
    <row r="227" spans="1:8">
      <c r="A227" s="1942" t="s">
        <v>1567</v>
      </c>
      <c r="B227" s="1941"/>
      <c r="C227" s="1941"/>
      <c r="D227" s="1941"/>
      <c r="E227" s="1941"/>
      <c r="F227" s="1941"/>
      <c r="G227" s="1941"/>
      <c r="H227" s="1941"/>
    </row>
    <row r="228" spans="1:8">
      <c r="A228" s="1942" t="s">
        <v>1568</v>
      </c>
      <c r="B228" s="1941"/>
      <c r="C228" s="1941"/>
      <c r="D228" s="1941"/>
      <c r="E228" s="1941"/>
      <c r="F228" s="1941"/>
      <c r="G228" s="1941"/>
      <c r="H228" s="1941"/>
    </row>
    <row r="229" spans="1:8">
      <c r="A229" s="1941"/>
      <c r="B229" s="1941"/>
      <c r="C229" s="1941"/>
      <c r="D229" s="1941"/>
      <c r="E229" s="1941"/>
      <c r="F229" s="1941"/>
      <c r="G229" s="1941"/>
      <c r="H229" s="1941"/>
    </row>
    <row r="230" spans="1:8">
      <c r="A230" s="1942" t="s">
        <v>1559</v>
      </c>
      <c r="B230" s="1941"/>
      <c r="C230" s="1941"/>
      <c r="D230" s="1941"/>
      <c r="E230" s="1941"/>
      <c r="F230" s="1941"/>
      <c r="G230" s="1941"/>
      <c r="H230" s="1941"/>
    </row>
    <row r="231" spans="1:8">
      <c r="A231" s="1942" t="s">
        <v>1560</v>
      </c>
      <c r="B231" s="1941"/>
      <c r="C231" s="1941"/>
      <c r="D231" s="1941"/>
      <c r="E231" s="1941"/>
      <c r="F231" s="1941"/>
      <c r="G231" s="1941"/>
      <c r="H231" s="1941"/>
    </row>
    <row r="232" spans="1:8">
      <c r="A232" s="1942" t="s">
        <v>1561</v>
      </c>
      <c r="B232" s="1941"/>
      <c r="C232" s="1941"/>
      <c r="D232" s="1941"/>
      <c r="E232" s="1941"/>
      <c r="F232" s="1941"/>
      <c r="G232" s="1941"/>
      <c r="H232" s="1941"/>
    </row>
    <row r="233" spans="1:8">
      <c r="A233" s="1941"/>
      <c r="B233" s="1941"/>
      <c r="C233" s="1941"/>
      <c r="D233" s="1941"/>
      <c r="E233" s="1941"/>
      <c r="F233" s="1941"/>
      <c r="G233" s="1941"/>
      <c r="H233" s="1941"/>
    </row>
    <row r="234" spans="1:8">
      <c r="A234" s="1942" t="s">
        <v>1554</v>
      </c>
      <c r="B234" s="1941"/>
      <c r="C234" s="1941"/>
      <c r="D234" s="1941"/>
      <c r="E234" s="1941"/>
      <c r="F234" s="1941"/>
      <c r="G234" s="1941"/>
      <c r="H234" s="1941"/>
    </row>
    <row r="235" spans="1:8">
      <c r="A235" s="1942" t="s">
        <v>1555</v>
      </c>
      <c r="B235" s="1941"/>
      <c r="C235" s="1941"/>
      <c r="D235" s="1941"/>
      <c r="E235" s="1941"/>
      <c r="F235" s="1941"/>
      <c r="G235" s="1941"/>
      <c r="H235" s="1941"/>
    </row>
    <row r="236" spans="1:8">
      <c r="A236" s="1942" t="s">
        <v>1556</v>
      </c>
      <c r="B236" s="1941"/>
      <c r="C236" s="1941"/>
      <c r="D236" s="1941"/>
      <c r="E236" s="1941"/>
      <c r="F236" s="1941"/>
      <c r="G236" s="1941"/>
      <c r="H236" s="1941"/>
    </row>
    <row r="237" spans="1:8">
      <c r="A237" s="1942" t="s">
        <v>1557</v>
      </c>
      <c r="B237" s="1941"/>
      <c r="C237" s="1941"/>
      <c r="D237" s="1941"/>
      <c r="E237" s="1941"/>
      <c r="F237" s="1941"/>
      <c r="G237" s="1941"/>
      <c r="H237" s="1941"/>
    </row>
    <row r="238" spans="1:8">
      <c r="A238" s="1942" t="s">
        <v>1558</v>
      </c>
      <c r="B238" s="1941"/>
      <c r="C238" s="1941"/>
      <c r="D238" s="1941"/>
      <c r="E238" s="1941"/>
      <c r="F238" s="1941"/>
      <c r="G238" s="1941"/>
      <c r="H238" s="1941"/>
    </row>
    <row r="239" spans="1:8">
      <c r="A239" s="1941"/>
      <c r="B239" s="1941"/>
      <c r="C239" s="1941"/>
      <c r="D239" s="1941"/>
      <c r="E239" s="1941"/>
      <c r="F239" s="1941"/>
      <c r="G239" s="1941"/>
      <c r="H239" s="1941"/>
    </row>
    <row r="240" spans="1:8">
      <c r="A240" s="1942" t="s">
        <v>1548</v>
      </c>
      <c r="B240" s="1941"/>
      <c r="C240" s="1941"/>
      <c r="D240" s="1941"/>
      <c r="E240" s="1941"/>
      <c r="F240" s="1941"/>
      <c r="G240" s="1941"/>
      <c r="H240" s="1941"/>
    </row>
    <row r="241" spans="1:8">
      <c r="A241" s="1942" t="s">
        <v>1549</v>
      </c>
      <c r="B241" s="1941"/>
      <c r="C241" s="1941"/>
      <c r="D241" s="1941"/>
      <c r="E241" s="1941"/>
      <c r="F241" s="1941"/>
      <c r="G241" s="1941"/>
      <c r="H241" s="1941"/>
    </row>
    <row r="242" spans="1:8">
      <c r="A242" s="1942" t="s">
        <v>1550</v>
      </c>
      <c r="B242" s="1941"/>
      <c r="C242" s="1941"/>
      <c r="D242" s="1941"/>
      <c r="E242" s="1941"/>
      <c r="F242" s="1941"/>
      <c r="G242" s="1941"/>
      <c r="H242" s="1941"/>
    </row>
    <row r="243" spans="1:8">
      <c r="A243" s="1942" t="s">
        <v>1551</v>
      </c>
      <c r="B243" s="1941"/>
      <c r="C243" s="1941"/>
      <c r="D243" s="1941"/>
      <c r="E243" s="1941"/>
      <c r="F243" s="1941"/>
      <c r="G243" s="1941"/>
      <c r="H243" s="1941"/>
    </row>
    <row r="244" spans="1:8">
      <c r="A244" s="1942" t="s">
        <v>1552</v>
      </c>
      <c r="B244" s="1941"/>
      <c r="C244" s="1941"/>
      <c r="D244" s="1941"/>
      <c r="E244" s="1941"/>
      <c r="F244" s="1941"/>
      <c r="G244" s="1941"/>
      <c r="H244" s="1941"/>
    </row>
    <row r="245" spans="1:8">
      <c r="A245" s="1942" t="s">
        <v>1553</v>
      </c>
      <c r="B245" s="1941"/>
      <c r="C245" s="1941"/>
      <c r="D245" s="1941"/>
      <c r="E245" s="1941"/>
      <c r="F245" s="1941"/>
      <c r="G245" s="1941"/>
      <c r="H245" s="1941"/>
    </row>
    <row r="246" spans="1:8">
      <c r="A246" s="1941"/>
      <c r="B246" s="1941"/>
      <c r="C246" s="1941"/>
      <c r="D246" s="1941"/>
      <c r="E246" s="1941"/>
      <c r="F246" s="1941"/>
      <c r="G246" s="1941"/>
      <c r="H246" s="1941"/>
    </row>
    <row r="247" spans="1:8">
      <c r="A247" s="1942" t="s">
        <v>1538</v>
      </c>
      <c r="B247" s="1941"/>
      <c r="C247" s="1941"/>
      <c r="D247" s="1941"/>
      <c r="E247" s="1941"/>
      <c r="F247" s="1941"/>
      <c r="G247" s="1941"/>
      <c r="H247" s="1941"/>
    </row>
    <row r="248" spans="1:8">
      <c r="A248" s="1942" t="s">
        <v>1539</v>
      </c>
      <c r="B248" s="1941"/>
      <c r="C248" s="1941"/>
      <c r="D248" s="1941"/>
      <c r="E248" s="1941"/>
      <c r="F248" s="1941"/>
      <c r="G248" s="1941"/>
      <c r="H248" s="1941"/>
    </row>
    <row r="249" spans="1:8">
      <c r="A249" s="1942" t="s">
        <v>1540</v>
      </c>
      <c r="B249" s="1941"/>
      <c r="C249" s="1941"/>
      <c r="D249" s="1941"/>
      <c r="E249" s="1941"/>
      <c r="F249" s="1941"/>
      <c r="G249" s="1941"/>
      <c r="H249" s="1941"/>
    </row>
    <row r="250" spans="1:8">
      <c r="A250" s="1942" t="s">
        <v>1541</v>
      </c>
      <c r="B250" s="1941"/>
      <c r="C250" s="1941"/>
      <c r="D250" s="1941"/>
      <c r="E250" s="1941"/>
      <c r="F250" s="1941"/>
      <c r="G250" s="1941"/>
      <c r="H250" s="1941"/>
    </row>
    <row r="251" spans="1:8">
      <c r="A251" s="1942" t="s">
        <v>1542</v>
      </c>
      <c r="B251" s="1941"/>
      <c r="C251" s="1941"/>
      <c r="D251" s="1941"/>
      <c r="E251" s="1941"/>
      <c r="F251" s="1941"/>
      <c r="G251" s="1941"/>
      <c r="H251" s="1941"/>
    </row>
    <row r="252" spans="1:8">
      <c r="A252" s="1942" t="s">
        <v>1543</v>
      </c>
      <c r="B252" s="1941"/>
      <c r="C252" s="1941"/>
      <c r="D252" s="1941"/>
      <c r="E252" s="1941"/>
      <c r="F252" s="1941"/>
      <c r="G252" s="1941"/>
      <c r="H252" s="1941"/>
    </row>
    <row r="253" spans="1:8">
      <c r="A253" s="1942" t="s">
        <v>1544</v>
      </c>
      <c r="B253" s="1941"/>
      <c r="C253" s="1941"/>
      <c r="D253" s="1941"/>
      <c r="E253" s="1941"/>
      <c r="F253" s="1941"/>
      <c r="G253" s="1941"/>
      <c r="H253" s="1941"/>
    </row>
    <row r="254" spans="1:8">
      <c r="A254" s="1942" t="s">
        <v>1545</v>
      </c>
      <c r="B254" s="1941"/>
      <c r="C254" s="1941"/>
      <c r="D254" s="1941"/>
      <c r="E254" s="1941"/>
      <c r="F254" s="1941"/>
      <c r="G254" s="1941"/>
      <c r="H254" s="1941"/>
    </row>
    <row r="255" spans="1:8">
      <c r="A255" s="1942" t="s">
        <v>1546</v>
      </c>
      <c r="B255" s="1941"/>
      <c r="C255" s="1941"/>
      <c r="D255" s="1941"/>
      <c r="E255" s="1941"/>
      <c r="F255" s="1941"/>
      <c r="G255" s="1941"/>
      <c r="H255" s="1941"/>
    </row>
    <row r="256" spans="1:8">
      <c r="A256" s="1942" t="s">
        <v>1547</v>
      </c>
      <c r="B256" s="1941"/>
      <c r="C256" s="1941"/>
      <c r="D256" s="1941"/>
      <c r="E256" s="1941"/>
      <c r="F256" s="1941"/>
      <c r="G256" s="1941"/>
      <c r="H256" s="1941"/>
    </row>
    <row r="257" spans="1:8">
      <c r="A257" s="1941"/>
      <c r="B257" s="1941"/>
      <c r="C257" s="1941"/>
      <c r="D257" s="1941"/>
      <c r="E257" s="1941"/>
      <c r="F257" s="1941"/>
      <c r="G257" s="1941"/>
      <c r="H257" s="1941"/>
    </row>
    <row r="258" spans="1:8">
      <c r="A258" s="1942" t="s">
        <v>1536</v>
      </c>
      <c r="B258" s="1941"/>
      <c r="C258" s="1941"/>
      <c r="D258" s="1941"/>
      <c r="E258" s="1941"/>
      <c r="F258" s="1941"/>
      <c r="G258" s="1941"/>
      <c r="H258" s="1941"/>
    </row>
    <row r="259" spans="1:8">
      <c r="A259" s="1942" t="s">
        <v>1537</v>
      </c>
      <c r="B259" s="1941"/>
      <c r="C259" s="1941"/>
      <c r="D259" s="1941"/>
      <c r="E259" s="1941"/>
      <c r="F259" s="1941"/>
      <c r="G259" s="1941"/>
      <c r="H259" s="1941"/>
    </row>
    <row r="260" spans="1:8">
      <c r="A260" s="1941"/>
      <c r="B260" s="1941"/>
      <c r="C260" s="1941"/>
      <c r="D260" s="1941"/>
      <c r="E260" s="1941"/>
      <c r="F260" s="1941"/>
      <c r="G260" s="1941"/>
      <c r="H260" s="1941"/>
    </row>
    <row r="261" spans="1:8">
      <c r="A261" s="1942" t="s">
        <v>1520</v>
      </c>
      <c r="B261" s="1941"/>
      <c r="C261" s="1941"/>
      <c r="D261" s="1941"/>
      <c r="E261" s="1941"/>
      <c r="F261" s="1941"/>
      <c r="G261" s="1941"/>
      <c r="H261" s="1941"/>
    </row>
    <row r="262" spans="1:8">
      <c r="A262" s="1942" t="s">
        <v>1521</v>
      </c>
      <c r="B262" s="1941"/>
      <c r="C262" s="1941"/>
      <c r="D262" s="1941"/>
      <c r="E262" s="1941"/>
      <c r="F262" s="1941"/>
      <c r="G262" s="1941"/>
      <c r="H262" s="1941"/>
    </row>
    <row r="263" spans="1:8">
      <c r="A263" s="1942" t="s">
        <v>1522</v>
      </c>
      <c r="B263" s="1941"/>
      <c r="C263" s="1941"/>
      <c r="D263" s="1941"/>
      <c r="E263" s="1941"/>
      <c r="F263" s="1941"/>
      <c r="G263" s="1941"/>
      <c r="H263" s="1941"/>
    </row>
    <row r="264" spans="1:8">
      <c r="A264" s="1942" t="s">
        <v>1523</v>
      </c>
      <c r="B264" s="1941"/>
      <c r="C264" s="1941"/>
      <c r="D264" s="1941"/>
      <c r="E264" s="1941"/>
      <c r="F264" s="1941"/>
      <c r="G264" s="1941"/>
      <c r="H264" s="1941"/>
    </row>
    <row r="265" spans="1:8">
      <c r="A265" s="1942" t="s">
        <v>1524</v>
      </c>
      <c r="B265" s="1941"/>
      <c r="C265" s="1941"/>
      <c r="D265" s="1941"/>
      <c r="E265" s="1941"/>
      <c r="F265" s="1941"/>
      <c r="G265" s="1941"/>
      <c r="H265" s="1941"/>
    </row>
    <row r="266" spans="1:8">
      <c r="A266" s="1942" t="s">
        <v>1525</v>
      </c>
      <c r="B266" s="1941"/>
      <c r="C266" s="1941"/>
      <c r="D266" s="1941"/>
      <c r="E266" s="1941"/>
      <c r="F266" s="1941"/>
      <c r="G266" s="1941"/>
      <c r="H266" s="1941"/>
    </row>
    <row r="267" spans="1:8">
      <c r="A267" s="1942" t="s">
        <v>1526</v>
      </c>
      <c r="B267" s="1941"/>
      <c r="C267" s="1941"/>
      <c r="D267" s="1941"/>
      <c r="E267" s="1941"/>
      <c r="F267" s="1941"/>
      <c r="G267" s="1941"/>
      <c r="H267" s="1941"/>
    </row>
    <row r="268" spans="1:8">
      <c r="A268" s="1942" t="s">
        <v>1527</v>
      </c>
      <c r="B268" s="1941"/>
      <c r="C268" s="1941"/>
      <c r="D268" s="1941"/>
      <c r="E268" s="1941"/>
      <c r="F268" s="1941"/>
      <c r="G268" s="1941"/>
      <c r="H268" s="1941"/>
    </row>
    <row r="269" spans="1:8">
      <c r="A269" s="1942" t="s">
        <v>1528</v>
      </c>
      <c r="B269" s="1941"/>
      <c r="C269" s="1941"/>
      <c r="D269" s="1941"/>
      <c r="E269" s="1941"/>
      <c r="F269" s="1941"/>
      <c r="G269" s="1941"/>
      <c r="H269" s="1941"/>
    </row>
    <row r="270" spans="1:8">
      <c r="A270" s="1942" t="s">
        <v>1529</v>
      </c>
      <c r="B270" s="1941"/>
      <c r="C270" s="1941"/>
      <c r="D270" s="1941"/>
      <c r="E270" s="1941"/>
      <c r="F270" s="1941"/>
      <c r="G270" s="1941"/>
      <c r="H270" s="1941"/>
    </row>
    <row r="271" spans="1:8">
      <c r="A271" s="1942" t="s">
        <v>1530</v>
      </c>
      <c r="B271" s="1941"/>
      <c r="C271" s="1941"/>
      <c r="D271" s="1941"/>
      <c r="E271" s="1941"/>
      <c r="F271" s="1941"/>
      <c r="G271" s="1941"/>
      <c r="H271" s="1941"/>
    </row>
    <row r="272" spans="1:8">
      <c r="A272" s="1942" t="s">
        <v>1531</v>
      </c>
      <c r="B272" s="1941"/>
      <c r="C272" s="1941"/>
      <c r="D272" s="1941"/>
      <c r="E272" s="1941"/>
      <c r="F272" s="1941"/>
      <c r="G272" s="1941"/>
      <c r="H272" s="1941"/>
    </row>
    <row r="273" spans="1:8">
      <c r="A273" s="1942" t="s">
        <v>1532</v>
      </c>
      <c r="B273" s="1941"/>
      <c r="C273" s="1941"/>
      <c r="D273" s="1941"/>
      <c r="E273" s="1941"/>
      <c r="F273" s="1941"/>
      <c r="G273" s="1941"/>
      <c r="H273" s="1941"/>
    </row>
    <row r="274" spans="1:8">
      <c r="A274" s="1942" t="s">
        <v>1533</v>
      </c>
      <c r="B274" s="1941"/>
      <c r="C274" s="1941"/>
      <c r="D274" s="1941"/>
      <c r="E274" s="1941"/>
      <c r="F274" s="1941"/>
      <c r="G274" s="1941"/>
      <c r="H274" s="1941"/>
    </row>
    <row r="275" spans="1:8">
      <c r="A275" s="1942" t="s">
        <v>1534</v>
      </c>
      <c r="B275" s="1941"/>
      <c r="C275" s="1941"/>
      <c r="D275" s="1941"/>
      <c r="E275" s="1941"/>
      <c r="F275" s="1941"/>
      <c r="G275" s="1941"/>
      <c r="H275" s="1941"/>
    </row>
    <row r="276" spans="1:8">
      <c r="A276" s="1942" t="s">
        <v>1535</v>
      </c>
      <c r="B276" s="1941"/>
      <c r="C276" s="1941"/>
      <c r="D276" s="1941"/>
      <c r="E276" s="1941"/>
      <c r="F276" s="1941"/>
      <c r="G276" s="1941"/>
      <c r="H276" s="1941"/>
    </row>
    <row r="277" spans="1:8">
      <c r="A277" s="1941"/>
      <c r="B277" s="1941"/>
      <c r="C277" s="1941"/>
      <c r="D277" s="1941"/>
      <c r="E277" s="1941"/>
      <c r="F277" s="1941"/>
      <c r="G277" s="1941"/>
      <c r="H277" s="1941"/>
    </row>
    <row r="278" spans="1:8">
      <c r="A278" s="1942" t="s">
        <v>1513</v>
      </c>
      <c r="B278" s="1941"/>
      <c r="C278" s="1941"/>
      <c r="D278" s="1941"/>
      <c r="E278" s="1941"/>
      <c r="F278" s="1941"/>
      <c r="G278" s="1941"/>
      <c r="H278" s="1941"/>
    </row>
    <row r="279" spans="1:8">
      <c r="A279" s="1942" t="s">
        <v>1514</v>
      </c>
      <c r="B279" s="1941"/>
      <c r="C279" s="1941"/>
      <c r="D279" s="1941"/>
      <c r="E279" s="1941"/>
      <c r="F279" s="1941"/>
      <c r="G279" s="1941"/>
      <c r="H279" s="1941"/>
    </row>
    <row r="280" spans="1:8">
      <c r="A280" s="1942" t="s">
        <v>1515</v>
      </c>
      <c r="B280" s="1941"/>
      <c r="C280" s="1941"/>
      <c r="D280" s="1941"/>
      <c r="E280" s="1941"/>
      <c r="F280" s="1941"/>
      <c r="G280" s="1941"/>
      <c r="H280" s="1941"/>
    </row>
    <row r="281" spans="1:8">
      <c r="A281" s="1942" t="s">
        <v>1516</v>
      </c>
      <c r="B281" s="1941"/>
      <c r="C281" s="1941"/>
      <c r="D281" s="1941"/>
      <c r="E281" s="1941"/>
      <c r="F281" s="1941"/>
      <c r="G281" s="1941"/>
      <c r="H281" s="1941"/>
    </row>
    <row r="282" spans="1:8">
      <c r="A282" s="1942" t="s">
        <v>1517</v>
      </c>
      <c r="B282" s="1941"/>
      <c r="C282" s="1941"/>
      <c r="D282" s="1941"/>
      <c r="E282" s="1941"/>
      <c r="F282" s="1941"/>
      <c r="G282" s="1941"/>
      <c r="H282" s="1941"/>
    </row>
    <row r="283" spans="1:8">
      <c r="A283" s="1942" t="s">
        <v>1518</v>
      </c>
      <c r="B283" s="1941"/>
      <c r="C283" s="1941"/>
      <c r="D283" s="1941"/>
      <c r="E283" s="1941"/>
      <c r="F283" s="1941"/>
      <c r="G283" s="1941"/>
      <c r="H283" s="1941"/>
    </row>
    <row r="284" spans="1:8">
      <c r="A284" s="1942" t="s">
        <v>1519</v>
      </c>
      <c r="B284" s="1941"/>
      <c r="C284" s="1941"/>
      <c r="D284" s="1941"/>
      <c r="E284" s="1941"/>
      <c r="F284" s="1941"/>
      <c r="G284" s="1941"/>
      <c r="H284" s="1941"/>
    </row>
    <row r="285" spans="1:8">
      <c r="A285" s="1941"/>
      <c r="B285" s="1941"/>
      <c r="C285" s="1941"/>
      <c r="D285" s="1941"/>
      <c r="E285" s="1941"/>
      <c r="F285" s="1941"/>
      <c r="G285" s="1941"/>
      <c r="H285" s="1941"/>
    </row>
    <row r="286" spans="1:8">
      <c r="A286" s="1942" t="s">
        <v>1504</v>
      </c>
      <c r="B286" s="1941"/>
      <c r="C286" s="1941"/>
      <c r="D286" s="1941"/>
      <c r="E286" s="1941"/>
      <c r="F286" s="1941"/>
      <c r="G286" s="1941"/>
      <c r="H286" s="1941"/>
    </row>
    <row r="287" spans="1:8">
      <c r="A287" s="1942" t="s">
        <v>1505</v>
      </c>
      <c r="B287" s="1941"/>
      <c r="C287" s="1941"/>
      <c r="D287" s="1941"/>
      <c r="E287" s="1941"/>
      <c r="F287" s="1941"/>
      <c r="G287" s="1941"/>
      <c r="H287" s="1941"/>
    </row>
    <row r="288" spans="1:8">
      <c r="A288" s="1942" t="s">
        <v>1506</v>
      </c>
      <c r="B288" s="1941"/>
      <c r="C288" s="1941"/>
      <c r="D288" s="1941"/>
      <c r="E288" s="1941"/>
      <c r="F288" s="1941"/>
      <c r="G288" s="1941"/>
      <c r="H288" s="1941"/>
    </row>
    <row r="289" spans="1:8">
      <c r="A289" s="1942" t="s">
        <v>1507</v>
      </c>
      <c r="B289" s="1941"/>
      <c r="C289" s="1941"/>
      <c r="D289" s="1941"/>
      <c r="E289" s="1941"/>
      <c r="F289" s="1941"/>
      <c r="G289" s="1941"/>
      <c r="H289" s="1941"/>
    </row>
    <row r="290" spans="1:8">
      <c r="A290" s="1942" t="s">
        <v>1508</v>
      </c>
      <c r="B290" s="1941"/>
      <c r="C290" s="1941"/>
      <c r="D290" s="1941"/>
      <c r="E290" s="1941"/>
      <c r="F290" s="1941"/>
      <c r="G290" s="1941"/>
      <c r="H290" s="1941"/>
    </row>
    <row r="291" spans="1:8">
      <c r="A291" s="1942" t="s">
        <v>1509</v>
      </c>
      <c r="B291" s="1941"/>
      <c r="C291" s="1941"/>
      <c r="D291" s="1941"/>
      <c r="E291" s="1941"/>
      <c r="F291" s="1941"/>
      <c r="G291" s="1941"/>
      <c r="H291" s="1941"/>
    </row>
    <row r="292" spans="1:8">
      <c r="A292" s="1942" t="s">
        <v>1510</v>
      </c>
      <c r="B292" s="1941"/>
      <c r="C292" s="1941"/>
      <c r="D292" s="1941"/>
      <c r="E292" s="1941"/>
      <c r="F292" s="1941"/>
      <c r="G292" s="1941"/>
      <c r="H292" s="1941"/>
    </row>
    <row r="293" spans="1:8">
      <c r="A293" s="1942" t="s">
        <v>1511</v>
      </c>
      <c r="B293" s="1941"/>
      <c r="C293" s="1941"/>
      <c r="D293" s="1941"/>
      <c r="E293" s="1941"/>
      <c r="F293" s="1941"/>
      <c r="G293" s="1941"/>
      <c r="H293" s="1941"/>
    </row>
    <row r="294" spans="1:8">
      <c r="A294" s="1942" t="s">
        <v>1512</v>
      </c>
      <c r="B294" s="1941"/>
      <c r="C294" s="1941"/>
      <c r="D294" s="1941"/>
      <c r="E294" s="1941"/>
      <c r="F294" s="1941"/>
      <c r="G294" s="1941"/>
      <c r="H294" s="1941"/>
    </row>
    <row r="295" spans="1:8">
      <c r="A295" s="1941"/>
      <c r="B295" s="1941"/>
      <c r="C295" s="1941"/>
      <c r="D295" s="1941"/>
      <c r="E295" s="1941"/>
      <c r="F295" s="1941"/>
      <c r="G295" s="1941"/>
      <c r="H295" s="1941"/>
    </row>
    <row r="296" spans="1:8">
      <c r="A296" s="1942" t="s">
        <v>1497</v>
      </c>
      <c r="B296" s="1941"/>
      <c r="C296" s="1941"/>
      <c r="D296" s="1941"/>
      <c r="E296" s="1941"/>
      <c r="F296" s="1941"/>
      <c r="G296" s="1941"/>
      <c r="H296" s="1941"/>
    </row>
    <row r="297" spans="1:8">
      <c r="A297" s="1942" t="s">
        <v>1498</v>
      </c>
      <c r="B297" s="1941"/>
      <c r="C297" s="1941"/>
      <c r="D297" s="1941"/>
      <c r="E297" s="1941"/>
      <c r="F297" s="1941"/>
      <c r="G297" s="1941"/>
      <c r="H297" s="1941"/>
    </row>
    <row r="298" spans="1:8">
      <c r="A298" s="1942" t="s">
        <v>1499</v>
      </c>
      <c r="B298" s="1941"/>
      <c r="C298" s="1941"/>
      <c r="D298" s="1941"/>
      <c r="E298" s="1941"/>
      <c r="F298" s="1941"/>
      <c r="G298" s="1941"/>
      <c r="H298" s="1941"/>
    </row>
    <row r="299" spans="1:8">
      <c r="A299" s="1942" t="s">
        <v>1500</v>
      </c>
      <c r="B299" s="1941"/>
      <c r="C299" s="1941"/>
      <c r="D299" s="1941"/>
      <c r="E299" s="1941"/>
      <c r="F299" s="1941"/>
      <c r="G299" s="1941"/>
      <c r="H299" s="1941"/>
    </row>
    <row r="300" spans="1:8">
      <c r="A300" s="1942" t="s">
        <v>1501</v>
      </c>
      <c r="B300" s="1941"/>
      <c r="C300" s="1941"/>
      <c r="D300" s="1941"/>
      <c r="E300" s="1941"/>
      <c r="F300" s="1941"/>
      <c r="G300" s="1941"/>
      <c r="H300" s="1941"/>
    </row>
    <row r="301" spans="1:8">
      <c r="A301" s="1942" t="s">
        <v>1502</v>
      </c>
      <c r="B301" s="1941"/>
      <c r="C301" s="1941"/>
      <c r="D301" s="1941"/>
      <c r="E301" s="1941"/>
      <c r="F301" s="1941"/>
      <c r="G301" s="1941"/>
      <c r="H301" s="1941"/>
    </row>
    <row r="302" spans="1:8">
      <c r="A302" s="1942" t="s">
        <v>1503</v>
      </c>
      <c r="B302" s="1941"/>
      <c r="C302" s="1941"/>
      <c r="D302" s="1941"/>
      <c r="E302" s="1941"/>
      <c r="F302" s="1941"/>
      <c r="G302" s="1941"/>
      <c r="H302" s="1941"/>
    </row>
    <row r="303" spans="1:8">
      <c r="A303" s="1941"/>
      <c r="B303" s="1941"/>
      <c r="C303" s="1941"/>
      <c r="D303" s="1941"/>
      <c r="E303" s="1941"/>
      <c r="F303" s="1941"/>
      <c r="G303" s="1941"/>
      <c r="H303" s="1941"/>
    </row>
    <row r="304" spans="1:8">
      <c r="A304" s="1942" t="s">
        <v>1494</v>
      </c>
      <c r="B304" s="1941"/>
      <c r="C304" s="1941"/>
      <c r="D304" s="1941"/>
      <c r="E304" s="1941"/>
      <c r="F304" s="1941"/>
      <c r="G304" s="1941"/>
      <c r="H304" s="1941"/>
    </row>
    <row r="305" spans="1:8">
      <c r="A305" s="1942" t="s">
        <v>1495</v>
      </c>
      <c r="B305" s="1941"/>
      <c r="C305" s="1941"/>
      <c r="D305" s="1941"/>
      <c r="E305" s="1941"/>
      <c r="F305" s="1941"/>
      <c r="G305" s="1941"/>
      <c r="H305" s="1941"/>
    </row>
    <row r="306" spans="1:8">
      <c r="A306" s="1942" t="s">
        <v>1496</v>
      </c>
      <c r="B306" s="1941"/>
      <c r="C306" s="1941"/>
      <c r="D306" s="1941"/>
      <c r="E306" s="1941"/>
      <c r="F306" s="1941"/>
      <c r="G306" s="1941"/>
      <c r="H306" s="1941"/>
    </row>
    <row r="307" spans="1:8">
      <c r="A307" s="1941"/>
      <c r="B307" s="1941"/>
      <c r="C307" s="1941"/>
      <c r="D307" s="1941"/>
      <c r="E307" s="1941"/>
      <c r="F307" s="1941"/>
      <c r="G307" s="1941"/>
      <c r="H307" s="1941"/>
    </row>
    <row r="308" spans="1:8">
      <c r="A308" s="1942" t="s">
        <v>1492</v>
      </c>
      <c r="B308" s="1941"/>
      <c r="C308" s="1941"/>
      <c r="D308" s="1941"/>
      <c r="E308" s="1941"/>
      <c r="F308" s="1941"/>
      <c r="G308" s="1941"/>
      <c r="H308" s="1941"/>
    </row>
    <row r="309" spans="1:8">
      <c r="A309" s="1942" t="s">
        <v>1493</v>
      </c>
      <c r="B309" s="1941"/>
      <c r="C309" s="1941"/>
      <c r="D309" s="1941"/>
      <c r="E309" s="1941"/>
      <c r="F309" s="1941"/>
      <c r="G309" s="1941"/>
      <c r="H309" s="1941"/>
    </row>
    <row r="310" spans="1:8">
      <c r="A310" s="1941"/>
      <c r="B310" s="1941"/>
      <c r="C310" s="1941"/>
      <c r="D310" s="1941"/>
      <c r="E310" s="1941"/>
      <c r="F310" s="1941"/>
      <c r="G310" s="1941"/>
      <c r="H310" s="1941"/>
    </row>
    <row r="311" spans="1:8">
      <c r="A311" s="1942" t="s">
        <v>1479</v>
      </c>
      <c r="B311" s="1941"/>
      <c r="C311" s="1941"/>
      <c r="D311" s="1941"/>
      <c r="E311" s="1941"/>
      <c r="F311" s="1941"/>
      <c r="G311" s="1941"/>
      <c r="H311" s="1941"/>
    </row>
    <row r="312" spans="1:8">
      <c r="A312" s="1942" t="s">
        <v>1480</v>
      </c>
      <c r="B312" s="1941"/>
      <c r="C312" s="1941"/>
      <c r="D312" s="1941"/>
      <c r="E312" s="1941"/>
      <c r="F312" s="1941"/>
      <c r="G312" s="1941"/>
      <c r="H312" s="1941"/>
    </row>
    <row r="313" spans="1:8">
      <c r="A313" s="1942" t="s">
        <v>1481</v>
      </c>
      <c r="B313" s="1941"/>
      <c r="C313" s="1941"/>
      <c r="D313" s="1941"/>
      <c r="E313" s="1941"/>
      <c r="F313" s="1941"/>
      <c r="G313" s="1941"/>
      <c r="H313" s="1941"/>
    </row>
    <row r="314" spans="1:8">
      <c r="A314" s="1942" t="s">
        <v>1482</v>
      </c>
      <c r="B314" s="1941"/>
      <c r="C314" s="1941"/>
      <c r="D314" s="1941"/>
      <c r="E314" s="1941"/>
      <c r="F314" s="1941"/>
      <c r="G314" s="1941"/>
      <c r="H314" s="1941"/>
    </row>
    <row r="315" spans="1:8">
      <c r="A315" s="1942" t="s">
        <v>1483</v>
      </c>
      <c r="B315" s="1941"/>
      <c r="C315" s="1941"/>
      <c r="D315" s="1941"/>
      <c r="E315" s="1941"/>
      <c r="F315" s="1941"/>
      <c r="G315" s="1941"/>
      <c r="H315" s="1941"/>
    </row>
    <row r="316" spans="1:8">
      <c r="A316" s="1942" t="s">
        <v>1484</v>
      </c>
      <c r="B316" s="1941"/>
      <c r="C316" s="1941"/>
      <c r="D316" s="1941"/>
      <c r="E316" s="1941"/>
      <c r="F316" s="1941"/>
      <c r="G316" s="1941"/>
      <c r="H316" s="1941"/>
    </row>
    <row r="317" spans="1:8">
      <c r="A317" s="1942" t="s">
        <v>1485</v>
      </c>
      <c r="B317" s="1941"/>
      <c r="C317" s="1941"/>
      <c r="D317" s="1941"/>
      <c r="E317" s="1941"/>
      <c r="F317" s="1941"/>
      <c r="G317" s="1941"/>
      <c r="H317" s="1941"/>
    </row>
    <row r="318" spans="1:8">
      <c r="A318" s="1942" t="s">
        <v>1486</v>
      </c>
      <c r="B318" s="1941"/>
      <c r="C318" s="1941"/>
      <c r="D318" s="1941"/>
      <c r="E318" s="1941"/>
      <c r="F318" s="1941"/>
      <c r="G318" s="1941"/>
      <c r="H318" s="1941"/>
    </row>
    <row r="319" spans="1:8">
      <c r="A319" s="1942" t="s">
        <v>1487</v>
      </c>
      <c r="B319" s="1941"/>
      <c r="C319" s="1941"/>
      <c r="D319" s="1941"/>
      <c r="E319" s="1941"/>
      <c r="F319" s="1941"/>
      <c r="G319" s="1941"/>
      <c r="H319" s="1941"/>
    </row>
    <row r="320" spans="1:8">
      <c r="A320" s="1942" t="s">
        <v>1488</v>
      </c>
      <c r="B320" s="1941"/>
      <c r="C320" s="1941"/>
      <c r="D320" s="1941"/>
      <c r="E320" s="1941"/>
      <c r="F320" s="1941"/>
      <c r="G320" s="1941"/>
      <c r="H320" s="1941"/>
    </row>
    <row r="321" spans="1:8">
      <c r="A321" s="1942" t="s">
        <v>1489</v>
      </c>
      <c r="B321" s="1941"/>
      <c r="C321" s="1941"/>
      <c r="D321" s="1941"/>
      <c r="E321" s="1941"/>
      <c r="F321" s="1941"/>
      <c r="G321" s="1941"/>
      <c r="H321" s="1941"/>
    </row>
    <row r="322" spans="1:8">
      <c r="A322" s="1942" t="s">
        <v>1490</v>
      </c>
      <c r="B322" s="1941"/>
      <c r="C322" s="1941"/>
      <c r="D322" s="1941"/>
      <c r="E322" s="1941"/>
      <c r="F322" s="1941"/>
      <c r="G322" s="1941"/>
      <c r="H322" s="1941"/>
    </row>
    <row r="323" spans="1:8">
      <c r="A323" s="1942" t="s">
        <v>1491</v>
      </c>
      <c r="B323" s="1941"/>
      <c r="C323" s="1941"/>
      <c r="D323" s="1941"/>
      <c r="E323" s="1941"/>
      <c r="F323" s="1941"/>
      <c r="G323" s="1941"/>
      <c r="H323" s="1941"/>
    </row>
    <row r="324" spans="1:8">
      <c r="A324" s="1941"/>
      <c r="B324" s="1941"/>
      <c r="C324" s="1941"/>
      <c r="D324" s="1941"/>
      <c r="E324" s="1941"/>
      <c r="F324" s="1941"/>
      <c r="G324" s="1941"/>
      <c r="H324" s="1941"/>
    </row>
    <row r="325" spans="1:8">
      <c r="A325" s="1942" t="s">
        <v>1471</v>
      </c>
      <c r="B325" s="1941"/>
      <c r="C325" s="1941"/>
      <c r="D325" s="1941"/>
      <c r="E325" s="1941"/>
      <c r="F325" s="1941"/>
      <c r="G325" s="1941"/>
      <c r="H325" s="1941"/>
    </row>
    <row r="326" spans="1:8">
      <c r="A326" s="1942" t="s">
        <v>1472</v>
      </c>
      <c r="B326" s="1941"/>
      <c r="C326" s="1941"/>
      <c r="D326" s="1941"/>
      <c r="E326" s="1941"/>
      <c r="F326" s="1941"/>
      <c r="G326" s="1941"/>
      <c r="H326" s="1941"/>
    </row>
    <row r="327" spans="1:8">
      <c r="A327" s="1942" t="s">
        <v>1473</v>
      </c>
      <c r="B327" s="1941"/>
      <c r="C327" s="1941"/>
      <c r="D327" s="1941"/>
      <c r="E327" s="1941"/>
      <c r="F327" s="1941"/>
      <c r="G327" s="1941"/>
      <c r="H327" s="1941"/>
    </row>
    <row r="328" spans="1:8">
      <c r="A328" s="1942" t="s">
        <v>1474</v>
      </c>
      <c r="B328" s="1941"/>
      <c r="C328" s="1941"/>
      <c r="D328" s="1941"/>
      <c r="E328" s="1941"/>
      <c r="F328" s="1941"/>
      <c r="G328" s="1941"/>
      <c r="H328" s="1941"/>
    </row>
    <row r="329" spans="1:8">
      <c r="A329" s="1942" t="s">
        <v>1475</v>
      </c>
      <c r="B329" s="1941"/>
      <c r="C329" s="1941"/>
      <c r="D329" s="1941"/>
      <c r="E329" s="1941"/>
      <c r="F329" s="1941"/>
      <c r="G329" s="1941"/>
      <c r="H329" s="1941"/>
    </row>
    <row r="330" spans="1:8">
      <c r="A330" s="1942" t="s">
        <v>1476</v>
      </c>
      <c r="B330" s="1941"/>
      <c r="C330" s="1941"/>
      <c r="D330" s="1941"/>
      <c r="E330" s="1941"/>
      <c r="F330" s="1941"/>
      <c r="G330" s="1941"/>
      <c r="H330" s="1941"/>
    </row>
    <row r="331" spans="1:8">
      <c r="A331" s="1942" t="s">
        <v>1477</v>
      </c>
      <c r="B331" s="1941"/>
      <c r="C331" s="1941"/>
      <c r="D331" s="1941"/>
      <c r="E331" s="1941"/>
      <c r="F331" s="1941"/>
      <c r="G331" s="1941"/>
      <c r="H331" s="1941"/>
    </row>
    <row r="332" spans="1:8">
      <c r="A332" s="1942" t="s">
        <v>1478</v>
      </c>
      <c r="B332" s="1941"/>
      <c r="C332" s="1941"/>
      <c r="D332" s="1941"/>
      <c r="E332" s="1941"/>
      <c r="F332" s="1941"/>
      <c r="G332" s="1941"/>
      <c r="H332" s="1941"/>
    </row>
    <row r="333" spans="1:8">
      <c r="A333" s="1941"/>
      <c r="B333" s="1941"/>
      <c r="C333" s="1941"/>
      <c r="D333" s="1941"/>
      <c r="E333" s="1941"/>
      <c r="F333" s="1941"/>
      <c r="G333" s="1941"/>
      <c r="H333" s="1941"/>
    </row>
    <row r="334" spans="1:8">
      <c r="A334" s="1942" t="s">
        <v>1436</v>
      </c>
      <c r="B334" s="1941"/>
      <c r="C334" s="1941"/>
      <c r="D334" s="1941"/>
      <c r="E334" s="1941"/>
      <c r="F334" s="1941"/>
      <c r="G334" s="1941"/>
      <c r="H334" s="1941"/>
    </row>
    <row r="335" spans="1:8">
      <c r="A335" s="1942" t="s">
        <v>1437</v>
      </c>
      <c r="B335" s="1941"/>
      <c r="C335" s="1941"/>
      <c r="D335" s="1941"/>
      <c r="E335" s="1941"/>
      <c r="F335" s="1941"/>
      <c r="G335" s="1941"/>
      <c r="H335" s="1941"/>
    </row>
    <row r="336" spans="1:8">
      <c r="A336" s="1942" t="s">
        <v>1438</v>
      </c>
      <c r="B336" s="1941"/>
      <c r="C336" s="1941"/>
      <c r="D336" s="1941"/>
      <c r="E336" s="1941"/>
      <c r="F336" s="1941"/>
      <c r="G336" s="1941"/>
      <c r="H336" s="1941"/>
    </row>
    <row r="337" spans="1:8">
      <c r="A337" s="1942" t="s">
        <v>1439</v>
      </c>
      <c r="B337" s="1941"/>
      <c r="C337" s="1941"/>
      <c r="D337" s="1941"/>
      <c r="E337" s="1941"/>
      <c r="F337" s="1941"/>
      <c r="G337" s="1941"/>
      <c r="H337" s="1941"/>
    </row>
    <row r="338" spans="1:8">
      <c r="A338" s="1942" t="s">
        <v>1440</v>
      </c>
      <c r="B338" s="1941"/>
      <c r="C338" s="1941"/>
      <c r="D338" s="1941"/>
      <c r="E338" s="1941"/>
      <c r="F338" s="1941"/>
      <c r="G338" s="1941"/>
      <c r="H338" s="1941"/>
    </row>
    <row r="339" spans="1:8">
      <c r="A339" s="1942" t="s">
        <v>1441</v>
      </c>
      <c r="B339" s="1941"/>
      <c r="C339" s="1941"/>
      <c r="D339" s="1941"/>
      <c r="E339" s="1941"/>
      <c r="F339" s="1941"/>
      <c r="G339" s="1941"/>
      <c r="H339" s="1941"/>
    </row>
    <row r="340" spans="1:8">
      <c r="A340" s="1942" t="s">
        <v>1442</v>
      </c>
      <c r="B340" s="1941"/>
      <c r="C340" s="1941"/>
      <c r="D340" s="1941"/>
      <c r="E340" s="1941"/>
      <c r="F340" s="1941"/>
      <c r="G340" s="1941"/>
      <c r="H340" s="1941"/>
    </row>
    <row r="341" spans="1:8">
      <c r="A341" s="1942" t="s">
        <v>1443</v>
      </c>
      <c r="B341" s="1941"/>
      <c r="C341" s="1941"/>
      <c r="D341" s="1941"/>
      <c r="E341" s="1941"/>
      <c r="F341" s="1941"/>
      <c r="G341" s="1941"/>
      <c r="H341" s="1941"/>
    </row>
    <row r="342" spans="1:8">
      <c r="A342" s="1942" t="s">
        <v>1444</v>
      </c>
      <c r="B342" s="1941"/>
      <c r="C342" s="1941"/>
      <c r="D342" s="1941"/>
      <c r="E342" s="1941"/>
      <c r="F342" s="1941"/>
      <c r="G342" s="1941"/>
      <c r="H342" s="1941"/>
    </row>
    <row r="343" spans="1:8">
      <c r="A343" s="1942" t="s">
        <v>1445</v>
      </c>
      <c r="B343" s="1941"/>
      <c r="C343" s="1941"/>
      <c r="D343" s="1941"/>
      <c r="E343" s="1941"/>
      <c r="F343" s="1941"/>
      <c r="G343" s="1941"/>
      <c r="H343" s="1941"/>
    </row>
    <row r="344" spans="1:8">
      <c r="A344" s="1942" t="s">
        <v>1446</v>
      </c>
      <c r="B344" s="1941"/>
      <c r="C344" s="1941"/>
      <c r="D344" s="1941"/>
      <c r="E344" s="1941"/>
      <c r="F344" s="1941"/>
      <c r="G344" s="1941"/>
      <c r="H344" s="1941"/>
    </row>
    <row r="345" spans="1:8">
      <c r="A345" s="1942" t="s">
        <v>1447</v>
      </c>
      <c r="B345" s="1941"/>
      <c r="C345" s="1941"/>
      <c r="D345" s="1941"/>
      <c r="E345" s="1941"/>
      <c r="F345" s="1941"/>
      <c r="G345" s="1941"/>
      <c r="H345" s="1941"/>
    </row>
    <row r="346" spans="1:8">
      <c r="A346" s="1942" t="s">
        <v>1448</v>
      </c>
      <c r="B346" s="1941"/>
      <c r="C346" s="1941"/>
      <c r="D346" s="1941"/>
      <c r="E346" s="1941"/>
      <c r="F346" s="1941"/>
      <c r="G346" s="1941"/>
      <c r="H346" s="1941"/>
    </row>
    <row r="347" spans="1:8">
      <c r="A347" s="1942" t="s">
        <v>1449</v>
      </c>
      <c r="B347" s="1941"/>
      <c r="C347" s="1941"/>
      <c r="D347" s="1941"/>
      <c r="E347" s="1941"/>
      <c r="F347" s="1941"/>
      <c r="G347" s="1941"/>
      <c r="H347" s="1941"/>
    </row>
    <row r="348" spans="1:8">
      <c r="A348" s="1942" t="s">
        <v>1450</v>
      </c>
      <c r="B348" s="1941"/>
      <c r="C348" s="1941"/>
      <c r="D348" s="1941"/>
      <c r="E348" s="1941"/>
      <c r="F348" s="1941"/>
      <c r="G348" s="1941"/>
      <c r="H348" s="1941"/>
    </row>
    <row r="349" spans="1:8">
      <c r="A349" s="1942" t="s">
        <v>1451</v>
      </c>
      <c r="B349" s="1941"/>
      <c r="C349" s="1941"/>
      <c r="D349" s="1941"/>
      <c r="E349" s="1941"/>
      <c r="F349" s="1941"/>
      <c r="G349" s="1941"/>
      <c r="H349" s="1941"/>
    </row>
    <row r="350" spans="1:8">
      <c r="A350" s="1942" t="s">
        <v>1452</v>
      </c>
      <c r="B350" s="1941"/>
      <c r="C350" s="1941"/>
      <c r="D350" s="1941"/>
      <c r="E350" s="1941"/>
      <c r="F350" s="1941"/>
      <c r="G350" s="1941"/>
      <c r="H350" s="1941"/>
    </row>
    <row r="351" spans="1:8">
      <c r="A351" s="1942" t="s">
        <v>1453</v>
      </c>
      <c r="B351" s="1941"/>
      <c r="C351" s="1941"/>
      <c r="D351" s="1941"/>
      <c r="E351" s="1941"/>
      <c r="F351" s="1941"/>
      <c r="G351" s="1941"/>
      <c r="H351" s="1941"/>
    </row>
    <row r="352" spans="1:8">
      <c r="A352" s="1942" t="s">
        <v>1454</v>
      </c>
      <c r="B352" s="1941"/>
      <c r="C352" s="1941"/>
      <c r="D352" s="1941"/>
      <c r="E352" s="1941"/>
      <c r="F352" s="1941"/>
      <c r="G352" s="1941"/>
      <c r="H352" s="1941"/>
    </row>
    <row r="353" spans="1:8">
      <c r="A353" s="1942" t="s">
        <v>1455</v>
      </c>
      <c r="B353" s="1941"/>
      <c r="C353" s="1941"/>
      <c r="D353" s="1941"/>
      <c r="E353" s="1941"/>
      <c r="F353" s="1941"/>
      <c r="G353" s="1941"/>
      <c r="H353" s="1941"/>
    </row>
    <row r="354" spans="1:8">
      <c r="A354" s="1942" t="s">
        <v>1456</v>
      </c>
      <c r="B354" s="1941"/>
      <c r="C354" s="1941"/>
      <c r="D354" s="1941"/>
      <c r="E354" s="1941"/>
      <c r="F354" s="1941"/>
      <c r="G354" s="1941"/>
      <c r="H354" s="1941"/>
    </row>
    <row r="355" spans="1:8">
      <c r="A355" s="1942" t="s">
        <v>1457</v>
      </c>
      <c r="B355" s="1941"/>
      <c r="C355" s="1941"/>
      <c r="D355" s="1941"/>
      <c r="E355" s="1941"/>
      <c r="F355" s="1941"/>
      <c r="G355" s="1941"/>
      <c r="H355" s="1941"/>
    </row>
    <row r="356" spans="1:8">
      <c r="A356" s="1942" t="s">
        <v>1458</v>
      </c>
      <c r="B356" s="1941"/>
      <c r="C356" s="1941"/>
      <c r="D356" s="1941"/>
      <c r="E356" s="1941"/>
      <c r="F356" s="1941"/>
      <c r="G356" s="1941"/>
      <c r="H356" s="1941"/>
    </row>
    <row r="357" spans="1:8">
      <c r="A357" s="1942" t="s">
        <v>1459</v>
      </c>
      <c r="B357" s="1941"/>
      <c r="C357" s="1941"/>
      <c r="D357" s="1941"/>
      <c r="E357" s="1941"/>
      <c r="F357" s="1941"/>
      <c r="G357" s="1941"/>
      <c r="H357" s="1941"/>
    </row>
    <row r="358" spans="1:8">
      <c r="A358" s="1942" t="s">
        <v>1460</v>
      </c>
      <c r="B358" s="1941"/>
      <c r="C358" s="1941"/>
      <c r="D358" s="1941"/>
      <c r="E358" s="1941"/>
      <c r="F358" s="1941"/>
      <c r="G358" s="1941"/>
      <c r="H358" s="1941"/>
    </row>
    <row r="359" spans="1:8">
      <c r="A359" s="1942" t="s">
        <v>1461</v>
      </c>
      <c r="B359" s="1941"/>
      <c r="C359" s="1941"/>
      <c r="D359" s="1941"/>
      <c r="E359" s="1941"/>
      <c r="F359" s="1941"/>
      <c r="G359" s="1941"/>
      <c r="H359" s="1941"/>
    </row>
    <row r="360" spans="1:8">
      <c r="A360" s="1942" t="s">
        <v>1462</v>
      </c>
      <c r="B360" s="1941"/>
      <c r="C360" s="1941"/>
      <c r="D360" s="1941"/>
      <c r="E360" s="1941"/>
      <c r="F360" s="1941"/>
      <c r="G360" s="1941"/>
      <c r="H360" s="1941"/>
    </row>
    <row r="361" spans="1:8">
      <c r="A361" s="1942" t="s">
        <v>1463</v>
      </c>
      <c r="B361" s="1941"/>
      <c r="C361" s="1941"/>
      <c r="D361" s="1941"/>
      <c r="E361" s="1941"/>
      <c r="F361" s="1941"/>
      <c r="G361" s="1941"/>
      <c r="H361" s="1941"/>
    </row>
    <row r="362" spans="1:8">
      <c r="A362" s="1942" t="s">
        <v>1464</v>
      </c>
      <c r="B362" s="1941"/>
      <c r="C362" s="1941"/>
      <c r="D362" s="1941"/>
      <c r="E362" s="1941"/>
      <c r="F362" s="1941"/>
      <c r="G362" s="1941"/>
      <c r="H362" s="1941"/>
    </row>
    <row r="363" spans="1:8">
      <c r="A363" s="1942" t="s">
        <v>1465</v>
      </c>
      <c r="B363" s="1941"/>
      <c r="C363" s="1941"/>
      <c r="D363" s="1941"/>
      <c r="E363" s="1941"/>
      <c r="F363" s="1941"/>
      <c r="G363" s="1941"/>
      <c r="H363" s="1941"/>
    </row>
    <row r="364" spans="1:8">
      <c r="A364" s="1942" t="s">
        <v>1466</v>
      </c>
      <c r="B364" s="1941"/>
      <c r="C364" s="1941"/>
      <c r="D364" s="1941"/>
      <c r="E364" s="1941"/>
      <c r="F364" s="1941"/>
      <c r="G364" s="1941"/>
      <c r="H364" s="1941"/>
    </row>
    <row r="365" spans="1:8">
      <c r="A365" s="1942" t="s">
        <v>1467</v>
      </c>
      <c r="B365" s="1941"/>
      <c r="C365" s="1941"/>
      <c r="D365" s="1941"/>
      <c r="E365" s="1941"/>
      <c r="F365" s="1941"/>
      <c r="G365" s="1941"/>
      <c r="H365" s="1941"/>
    </row>
    <row r="366" spans="1:8">
      <c r="A366" s="1942" t="s">
        <v>1468</v>
      </c>
      <c r="B366" s="1941"/>
      <c r="C366" s="1941"/>
      <c r="D366" s="1941"/>
      <c r="E366" s="1941"/>
      <c r="F366" s="1941"/>
      <c r="G366" s="1941"/>
      <c r="H366" s="1941"/>
    </row>
    <row r="367" spans="1:8">
      <c r="A367" s="1942" t="s">
        <v>1469</v>
      </c>
      <c r="B367" s="1941"/>
      <c r="C367" s="1941"/>
      <c r="D367" s="1941"/>
      <c r="E367" s="1941"/>
      <c r="F367" s="1941"/>
      <c r="G367" s="1941"/>
      <c r="H367" s="1941"/>
    </row>
    <row r="368" spans="1:8">
      <c r="A368" s="1942" t="s">
        <v>1470</v>
      </c>
      <c r="B368" s="1941"/>
      <c r="C368" s="1941"/>
      <c r="D368" s="1941"/>
      <c r="E368" s="1941"/>
      <c r="F368" s="1941"/>
      <c r="G368" s="1941"/>
      <c r="H368" s="1941"/>
    </row>
    <row r="369" spans="1:8">
      <c r="A369" s="1941"/>
      <c r="B369" s="1941"/>
      <c r="C369" s="1941"/>
      <c r="D369" s="1941"/>
      <c r="E369" s="1941"/>
      <c r="F369" s="1941"/>
      <c r="G369" s="1941"/>
      <c r="H369" s="1941"/>
    </row>
    <row r="370" spans="1:8">
      <c r="A370" s="1942" t="s">
        <v>1428</v>
      </c>
      <c r="B370" s="1941"/>
      <c r="C370" s="1941"/>
      <c r="D370" s="1941"/>
      <c r="E370" s="1941"/>
      <c r="F370" s="1941"/>
      <c r="G370" s="1941"/>
      <c r="H370" s="1941"/>
    </row>
    <row r="371" spans="1:8">
      <c r="A371" s="1942" t="s">
        <v>1432</v>
      </c>
      <c r="B371" s="1941"/>
      <c r="C371" s="1941"/>
      <c r="D371" s="1941"/>
      <c r="E371" s="1941"/>
      <c r="F371" s="1941"/>
      <c r="G371" s="1941"/>
      <c r="H371" s="1941"/>
    </row>
    <row r="372" spans="1:8">
      <c r="A372" s="1942" t="s">
        <v>1433</v>
      </c>
      <c r="B372" s="1941"/>
      <c r="C372" s="1941"/>
      <c r="D372" s="1941"/>
      <c r="E372" s="1941"/>
      <c r="F372" s="1941"/>
      <c r="G372" s="1941"/>
      <c r="H372" s="1941"/>
    </row>
    <row r="373" spans="1:8">
      <c r="A373" s="1942" t="s">
        <v>1434</v>
      </c>
      <c r="B373" s="1941"/>
      <c r="C373" s="1941"/>
      <c r="D373" s="1941"/>
      <c r="E373" s="1941"/>
      <c r="F373" s="1941"/>
      <c r="G373" s="1941"/>
      <c r="H373" s="1941"/>
    </row>
    <row r="374" spans="1:8">
      <c r="A374" s="1942" t="s">
        <v>1435</v>
      </c>
      <c r="B374" s="1941"/>
      <c r="C374" s="1941"/>
      <c r="D374" s="1941"/>
      <c r="E374" s="1941"/>
      <c r="F374" s="1941"/>
      <c r="G374" s="1941"/>
      <c r="H374" s="1941"/>
    </row>
    <row r="375" spans="1:8">
      <c r="A375" s="1941"/>
      <c r="B375" s="1941"/>
      <c r="C375" s="1941"/>
      <c r="D375" s="1941"/>
      <c r="E375" s="1941"/>
      <c r="F375" s="1941"/>
      <c r="G375" s="1941"/>
      <c r="H375" s="1941"/>
    </row>
    <row r="376" spans="1:8">
      <c r="A376" s="1942" t="s">
        <v>1428</v>
      </c>
      <c r="B376" s="1941"/>
      <c r="C376" s="1941"/>
      <c r="D376" s="1941"/>
      <c r="E376" s="1941"/>
      <c r="F376" s="1941"/>
      <c r="G376" s="1941"/>
      <c r="H376" s="1941"/>
    </row>
    <row r="377" spans="1:8">
      <c r="A377" s="1942" t="s">
        <v>1429</v>
      </c>
      <c r="B377" s="1941"/>
      <c r="C377" s="1941"/>
      <c r="D377" s="1941"/>
      <c r="E377" s="1941"/>
      <c r="F377" s="1941"/>
      <c r="G377" s="1941"/>
      <c r="H377" s="1941"/>
    </row>
    <row r="378" spans="1:8">
      <c r="A378" s="1942" t="s">
        <v>1430</v>
      </c>
      <c r="B378" s="1941"/>
      <c r="C378" s="1941"/>
      <c r="D378" s="1941"/>
      <c r="E378" s="1941"/>
      <c r="F378" s="1941"/>
      <c r="G378" s="1941"/>
      <c r="H378" s="1941"/>
    </row>
    <row r="379" spans="1:8">
      <c r="A379" s="1942" t="s">
        <v>1431</v>
      </c>
      <c r="B379" s="1941"/>
      <c r="C379" s="1941"/>
      <c r="D379" s="1941"/>
      <c r="E379" s="1941"/>
      <c r="F379" s="1941"/>
      <c r="G379" s="1941"/>
      <c r="H379" s="1941"/>
    </row>
    <row r="380" spans="1:8">
      <c r="A380" s="1941"/>
      <c r="B380" s="1941"/>
      <c r="C380" s="1941"/>
      <c r="D380" s="1941"/>
      <c r="E380" s="1941"/>
      <c r="F380" s="1941"/>
      <c r="G380" s="1941"/>
      <c r="H380" s="1941"/>
    </row>
    <row r="381" spans="1:8">
      <c r="A381" s="1942" t="s">
        <v>1422</v>
      </c>
      <c r="B381" s="1941"/>
      <c r="C381" s="1941"/>
      <c r="D381" s="1941"/>
      <c r="E381" s="1941"/>
      <c r="F381" s="1941"/>
      <c r="G381" s="1941"/>
      <c r="H381" s="1941"/>
    </row>
    <row r="382" spans="1:8">
      <c r="A382" s="1942" t="s">
        <v>1423</v>
      </c>
      <c r="B382" s="1941"/>
      <c r="C382" s="1941"/>
      <c r="D382" s="1941"/>
      <c r="E382" s="1941"/>
      <c r="F382" s="1941"/>
      <c r="G382" s="1941"/>
      <c r="H382" s="1941"/>
    </row>
    <row r="383" spans="1:8">
      <c r="A383" s="1942" t="s">
        <v>1424</v>
      </c>
      <c r="B383" s="1941"/>
      <c r="C383" s="1941"/>
      <c r="D383" s="1941"/>
      <c r="E383" s="1941"/>
      <c r="F383" s="1941"/>
      <c r="G383" s="1941"/>
      <c r="H383" s="1941"/>
    </row>
    <row r="384" spans="1:8">
      <c r="A384" s="1942" t="s">
        <v>1425</v>
      </c>
      <c r="B384" s="1941"/>
      <c r="C384" s="1941"/>
      <c r="D384" s="1941"/>
      <c r="E384" s="1941"/>
      <c r="F384" s="1941"/>
      <c r="G384" s="1941"/>
      <c r="H384" s="1941"/>
    </row>
    <row r="385" spans="1:8">
      <c r="A385" s="1942" t="s">
        <v>1426</v>
      </c>
      <c r="B385" s="1941"/>
      <c r="C385" s="1941"/>
      <c r="D385" s="1941"/>
      <c r="E385" s="1941"/>
      <c r="F385" s="1941"/>
      <c r="G385" s="1941"/>
      <c r="H385" s="1941"/>
    </row>
    <row r="386" spans="1:8">
      <c r="A386" s="1942" t="s">
        <v>1427</v>
      </c>
      <c r="B386" s="1941"/>
      <c r="C386" s="1941"/>
      <c r="D386" s="1941"/>
      <c r="E386" s="1941"/>
      <c r="F386" s="1941"/>
      <c r="G386" s="1941"/>
      <c r="H386" s="1941"/>
    </row>
    <row r="387" spans="1:8">
      <c r="A387" s="1941"/>
      <c r="B387" s="1941"/>
      <c r="C387" s="1941"/>
      <c r="D387" s="1941"/>
      <c r="E387" s="1941"/>
      <c r="F387" s="1941"/>
      <c r="G387" s="1941"/>
      <c r="H387" s="1941"/>
    </row>
    <row r="388" spans="1:8">
      <c r="A388" s="1942" t="s">
        <v>1417</v>
      </c>
      <c r="B388" s="1941"/>
      <c r="C388" s="1941"/>
      <c r="D388" s="1941"/>
      <c r="E388" s="1941"/>
      <c r="F388" s="1941"/>
      <c r="G388" s="1941"/>
      <c r="H388" s="1941"/>
    </row>
    <row r="389" spans="1:8">
      <c r="A389" s="1942" t="s">
        <v>1418</v>
      </c>
      <c r="B389" s="1941"/>
      <c r="C389" s="1941"/>
      <c r="D389" s="1941"/>
      <c r="E389" s="1941"/>
      <c r="F389" s="1941"/>
      <c r="G389" s="1941"/>
      <c r="H389" s="1941"/>
    </row>
    <row r="390" spans="1:8">
      <c r="A390" s="1942" t="s">
        <v>1419</v>
      </c>
      <c r="B390" s="1941"/>
      <c r="C390" s="1941"/>
      <c r="D390" s="1941"/>
      <c r="E390" s="1941"/>
      <c r="F390" s="1941"/>
      <c r="G390" s="1941"/>
      <c r="H390" s="1941"/>
    </row>
    <row r="391" spans="1:8">
      <c r="A391" s="1942" t="s">
        <v>1420</v>
      </c>
      <c r="B391" s="1941"/>
      <c r="C391" s="1941"/>
      <c r="D391" s="1941"/>
      <c r="E391" s="1941"/>
      <c r="F391" s="1941"/>
      <c r="G391" s="1941"/>
      <c r="H391" s="1941"/>
    </row>
    <row r="392" spans="1:8">
      <c r="A392" s="1942" t="s">
        <v>1421</v>
      </c>
      <c r="B392" s="1941"/>
      <c r="C392" s="1941"/>
      <c r="D392" s="1941"/>
      <c r="E392" s="1941"/>
      <c r="F392" s="1941"/>
      <c r="G392" s="1941"/>
      <c r="H392" s="1941"/>
    </row>
    <row r="393" spans="1:8">
      <c r="A393" s="1941"/>
      <c r="B393" s="1941"/>
      <c r="C393" s="1941"/>
      <c r="D393" s="1941"/>
      <c r="E393" s="1941"/>
      <c r="F393" s="1941"/>
      <c r="G393" s="1941"/>
      <c r="H393" s="1941"/>
    </row>
    <row r="394" spans="1:8">
      <c r="A394" s="1942" t="s">
        <v>1415</v>
      </c>
      <c r="B394" s="1941"/>
      <c r="C394" s="1941"/>
      <c r="D394" s="1941"/>
      <c r="E394" s="1941"/>
      <c r="F394" s="1941"/>
      <c r="G394" s="1941"/>
      <c r="H394" s="1941"/>
    </row>
    <row r="395" spans="1:8">
      <c r="A395" s="1942" t="s">
        <v>1416</v>
      </c>
      <c r="B395" s="1941"/>
      <c r="C395" s="1941"/>
      <c r="D395" s="1941"/>
      <c r="E395" s="1941"/>
      <c r="F395" s="1941"/>
      <c r="G395" s="1941"/>
      <c r="H395" s="1941"/>
    </row>
    <row r="397" spans="1:8">
      <c r="A397" s="1937" t="s">
        <v>1675</v>
      </c>
    </row>
  </sheetData>
  <mergeCells count="12">
    <mergeCell ref="A135:H135"/>
    <mergeCell ref="A136:H136"/>
    <mergeCell ref="B128:C128"/>
    <mergeCell ref="D128:F128"/>
    <mergeCell ref="G128:H128"/>
    <mergeCell ref="A114:H114"/>
    <mergeCell ref="A115:H115"/>
    <mergeCell ref="A116:H116"/>
    <mergeCell ref="A117:H117"/>
    <mergeCell ref="A119:H119"/>
    <mergeCell ref="A120:H120"/>
    <mergeCell ref="A127:H127"/>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B24"/>
  <sheetViews>
    <sheetView workbookViewId="0"/>
  </sheetViews>
  <sheetFormatPr defaultRowHeight="12.75"/>
  <sheetData>
    <row r="1" spans="1:2">
      <c r="A1" t="s">
        <v>1748</v>
      </c>
      <c r="B1" t="s">
        <v>1749</v>
      </c>
    </row>
    <row r="2" spans="1:2">
      <c r="A2" s="1965" t="s">
        <v>1750</v>
      </c>
      <c r="B2">
        <v>-1</v>
      </c>
    </row>
    <row r="3" spans="1:2">
      <c r="A3" s="1965" t="s">
        <v>1751</v>
      </c>
      <c r="B3">
        <v>2</v>
      </c>
    </row>
    <row r="4" spans="1:2">
      <c r="A4" s="1965" t="s">
        <v>1752</v>
      </c>
      <c r="B4">
        <v>-1</v>
      </c>
    </row>
    <row r="5" spans="1:2">
      <c r="A5" s="1965" t="s">
        <v>1753</v>
      </c>
      <c r="B5">
        <v>-1</v>
      </c>
    </row>
    <row r="6" spans="1:2">
      <c r="A6" s="1965" t="s">
        <v>1754</v>
      </c>
      <c r="B6">
        <v>2</v>
      </c>
    </row>
    <row r="7" spans="1:2">
      <c r="A7" s="1965" t="s">
        <v>1755</v>
      </c>
      <c r="B7">
        <v>-1</v>
      </c>
    </row>
    <row r="8" spans="1:2">
      <c r="A8" s="1965" t="s">
        <v>1756</v>
      </c>
      <c r="B8">
        <v>-1</v>
      </c>
    </row>
    <row r="9" spans="1:2">
      <c r="A9" s="1965" t="s">
        <v>337</v>
      </c>
      <c r="B9">
        <v>-1</v>
      </c>
    </row>
    <row r="10" spans="1:2">
      <c r="A10" s="1965" t="s">
        <v>1757</v>
      </c>
      <c r="B10">
        <v>-1</v>
      </c>
    </row>
    <row r="11" spans="1:2">
      <c r="A11" s="1965" t="s">
        <v>122</v>
      </c>
      <c r="B11">
        <v>-1</v>
      </c>
    </row>
    <row r="12" spans="1:2">
      <c r="A12" s="1965" t="s">
        <v>876</v>
      </c>
      <c r="B12">
        <v>-1</v>
      </c>
    </row>
    <row r="13" spans="1:2">
      <c r="A13" s="1965" t="s">
        <v>1758</v>
      </c>
      <c r="B13">
        <v>-1</v>
      </c>
    </row>
    <row r="14" spans="1:2">
      <c r="A14" s="1965" t="s">
        <v>124</v>
      </c>
      <c r="B14">
        <v>-1</v>
      </c>
    </row>
    <row r="15" spans="1:2">
      <c r="A15" s="1965" t="s">
        <v>851</v>
      </c>
      <c r="B15">
        <v>-1</v>
      </c>
    </row>
    <row r="16" spans="1:2">
      <c r="A16" s="1965" t="s">
        <v>1759</v>
      </c>
      <c r="B16">
        <v>-1</v>
      </c>
    </row>
    <row r="17" spans="1:2">
      <c r="A17" s="1965" t="s">
        <v>1760</v>
      </c>
      <c r="B17">
        <v>-1</v>
      </c>
    </row>
    <row r="18" spans="1:2">
      <c r="A18" s="1965" t="s">
        <v>1160</v>
      </c>
      <c r="B18">
        <v>-1</v>
      </c>
    </row>
    <row r="19" spans="1:2">
      <c r="A19" s="1965" t="s">
        <v>653</v>
      </c>
      <c r="B19">
        <v>-1</v>
      </c>
    </row>
    <row r="20" spans="1:2">
      <c r="A20" s="1965" t="s">
        <v>1761</v>
      </c>
      <c r="B20">
        <v>-1</v>
      </c>
    </row>
    <row r="21" spans="1:2">
      <c r="A21" s="1965" t="s">
        <v>1762</v>
      </c>
      <c r="B21">
        <v>-1</v>
      </c>
    </row>
    <row r="22" spans="1:2">
      <c r="A22" s="1965" t="s">
        <v>1763</v>
      </c>
      <c r="B22">
        <v>-1</v>
      </c>
    </row>
    <row r="23" spans="1:2">
      <c r="A23" s="1965" t="s">
        <v>1764</v>
      </c>
      <c r="B23">
        <v>0</v>
      </c>
    </row>
    <row r="24" spans="1:2">
      <c r="A24" s="1965" t="s">
        <v>1765</v>
      </c>
      <c r="B24">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1:B11"/>
  <sheetViews>
    <sheetView showGridLines="0" showRowColHeaders="0" workbookViewId="0">
      <selection activeCell="N1" sqref="N1"/>
    </sheetView>
  </sheetViews>
  <sheetFormatPr defaultRowHeight="12.75"/>
  <cols>
    <col min="1" max="1" width="9.140625" style="1"/>
    <col min="2" max="2" width="88.28515625" style="1" customWidth="1"/>
    <col min="3" max="257" width="9.140625" style="1"/>
    <col min="258" max="258" width="88.28515625" style="1" customWidth="1"/>
    <col min="259" max="513" width="9.140625" style="1"/>
    <col min="514" max="514" width="88.28515625" style="1" customWidth="1"/>
    <col min="515" max="769" width="9.140625" style="1"/>
    <col min="770" max="770" width="88.28515625" style="1" customWidth="1"/>
    <col min="771" max="1025" width="9.140625" style="1"/>
    <col min="1026" max="1026" width="88.28515625" style="1" customWidth="1"/>
    <col min="1027" max="1281" width="9.140625" style="1"/>
    <col min="1282" max="1282" width="88.28515625" style="1" customWidth="1"/>
    <col min="1283" max="1537" width="9.140625" style="1"/>
    <col min="1538" max="1538" width="88.28515625" style="1" customWidth="1"/>
    <col min="1539" max="1793" width="9.140625" style="1"/>
    <col min="1794" max="1794" width="88.28515625" style="1" customWidth="1"/>
    <col min="1795" max="2049" width="9.140625" style="1"/>
    <col min="2050" max="2050" width="88.28515625" style="1" customWidth="1"/>
    <col min="2051" max="2305" width="9.140625" style="1"/>
    <col min="2306" max="2306" width="88.28515625" style="1" customWidth="1"/>
    <col min="2307" max="2561" width="9.140625" style="1"/>
    <col min="2562" max="2562" width="88.28515625" style="1" customWidth="1"/>
    <col min="2563" max="2817" width="9.140625" style="1"/>
    <col min="2818" max="2818" width="88.28515625" style="1" customWidth="1"/>
    <col min="2819" max="3073" width="9.140625" style="1"/>
    <col min="3074" max="3074" width="88.28515625" style="1" customWidth="1"/>
    <col min="3075" max="3329" width="9.140625" style="1"/>
    <col min="3330" max="3330" width="88.28515625" style="1" customWidth="1"/>
    <col min="3331" max="3585" width="9.140625" style="1"/>
    <col min="3586" max="3586" width="88.28515625" style="1" customWidth="1"/>
    <col min="3587" max="3841" width="9.140625" style="1"/>
    <col min="3842" max="3842" width="88.28515625" style="1" customWidth="1"/>
    <col min="3843" max="4097" width="9.140625" style="1"/>
    <col min="4098" max="4098" width="88.28515625" style="1" customWidth="1"/>
    <col min="4099" max="4353" width="9.140625" style="1"/>
    <col min="4354" max="4354" width="88.28515625" style="1" customWidth="1"/>
    <col min="4355" max="4609" width="9.140625" style="1"/>
    <col min="4610" max="4610" width="88.28515625" style="1" customWidth="1"/>
    <col min="4611" max="4865" width="9.140625" style="1"/>
    <col min="4866" max="4866" width="88.28515625" style="1" customWidth="1"/>
    <col min="4867" max="5121" width="9.140625" style="1"/>
    <col min="5122" max="5122" width="88.28515625" style="1" customWidth="1"/>
    <col min="5123" max="5377" width="9.140625" style="1"/>
    <col min="5378" max="5378" width="88.28515625" style="1" customWidth="1"/>
    <col min="5379" max="5633" width="9.140625" style="1"/>
    <col min="5634" max="5634" width="88.28515625" style="1" customWidth="1"/>
    <col min="5635" max="5889" width="9.140625" style="1"/>
    <col min="5890" max="5890" width="88.28515625" style="1" customWidth="1"/>
    <col min="5891" max="6145" width="9.140625" style="1"/>
    <col min="6146" max="6146" width="88.28515625" style="1" customWidth="1"/>
    <col min="6147" max="6401" width="9.140625" style="1"/>
    <col min="6402" max="6402" width="88.28515625" style="1" customWidth="1"/>
    <col min="6403" max="6657" width="9.140625" style="1"/>
    <col min="6658" max="6658" width="88.28515625" style="1" customWidth="1"/>
    <col min="6659" max="6913" width="9.140625" style="1"/>
    <col min="6914" max="6914" width="88.28515625" style="1" customWidth="1"/>
    <col min="6915" max="7169" width="9.140625" style="1"/>
    <col min="7170" max="7170" width="88.28515625" style="1" customWidth="1"/>
    <col min="7171" max="7425" width="9.140625" style="1"/>
    <col min="7426" max="7426" width="88.28515625" style="1" customWidth="1"/>
    <col min="7427" max="7681" width="9.140625" style="1"/>
    <col min="7682" max="7682" width="88.28515625" style="1" customWidth="1"/>
    <col min="7683" max="7937" width="9.140625" style="1"/>
    <col min="7938" max="7938" width="88.28515625" style="1" customWidth="1"/>
    <col min="7939" max="8193" width="9.140625" style="1"/>
    <col min="8194" max="8194" width="88.28515625" style="1" customWidth="1"/>
    <col min="8195" max="8449" width="9.140625" style="1"/>
    <col min="8450" max="8450" width="88.28515625" style="1" customWidth="1"/>
    <col min="8451" max="8705" width="9.140625" style="1"/>
    <col min="8706" max="8706" width="88.28515625" style="1" customWidth="1"/>
    <col min="8707" max="8961" width="9.140625" style="1"/>
    <col min="8962" max="8962" width="88.28515625" style="1" customWidth="1"/>
    <col min="8963" max="9217" width="9.140625" style="1"/>
    <col min="9218" max="9218" width="88.28515625" style="1" customWidth="1"/>
    <col min="9219" max="9473" width="9.140625" style="1"/>
    <col min="9474" max="9474" width="88.28515625" style="1" customWidth="1"/>
    <col min="9475" max="9729" width="9.140625" style="1"/>
    <col min="9730" max="9730" width="88.28515625" style="1" customWidth="1"/>
    <col min="9731" max="9985" width="9.140625" style="1"/>
    <col min="9986" max="9986" width="88.28515625" style="1" customWidth="1"/>
    <col min="9987" max="10241" width="9.140625" style="1"/>
    <col min="10242" max="10242" width="88.28515625" style="1" customWidth="1"/>
    <col min="10243" max="10497" width="9.140625" style="1"/>
    <col min="10498" max="10498" width="88.28515625" style="1" customWidth="1"/>
    <col min="10499" max="10753" width="9.140625" style="1"/>
    <col min="10754" max="10754" width="88.28515625" style="1" customWidth="1"/>
    <col min="10755" max="11009" width="9.140625" style="1"/>
    <col min="11010" max="11010" width="88.28515625" style="1" customWidth="1"/>
    <col min="11011" max="11265" width="9.140625" style="1"/>
    <col min="11266" max="11266" width="88.28515625" style="1" customWidth="1"/>
    <col min="11267" max="11521" width="9.140625" style="1"/>
    <col min="11522" max="11522" width="88.28515625" style="1" customWidth="1"/>
    <col min="11523" max="11777" width="9.140625" style="1"/>
    <col min="11778" max="11778" width="88.28515625" style="1" customWidth="1"/>
    <col min="11779" max="12033" width="9.140625" style="1"/>
    <col min="12034" max="12034" width="88.28515625" style="1" customWidth="1"/>
    <col min="12035" max="12289" width="9.140625" style="1"/>
    <col min="12290" max="12290" width="88.28515625" style="1" customWidth="1"/>
    <col min="12291" max="12545" width="9.140625" style="1"/>
    <col min="12546" max="12546" width="88.28515625" style="1" customWidth="1"/>
    <col min="12547" max="12801" width="9.140625" style="1"/>
    <col min="12802" max="12802" width="88.28515625" style="1" customWidth="1"/>
    <col min="12803" max="13057" width="9.140625" style="1"/>
    <col min="13058" max="13058" width="88.28515625" style="1" customWidth="1"/>
    <col min="13059" max="13313" width="9.140625" style="1"/>
    <col min="13314" max="13314" width="88.28515625" style="1" customWidth="1"/>
    <col min="13315" max="13569" width="9.140625" style="1"/>
    <col min="13570" max="13570" width="88.28515625" style="1" customWidth="1"/>
    <col min="13571" max="13825" width="9.140625" style="1"/>
    <col min="13826" max="13826" width="88.28515625" style="1" customWidth="1"/>
    <col min="13827" max="14081" width="9.140625" style="1"/>
    <col min="14082" max="14082" width="88.28515625" style="1" customWidth="1"/>
    <col min="14083" max="14337" width="9.140625" style="1"/>
    <col min="14338" max="14338" width="88.28515625" style="1" customWidth="1"/>
    <col min="14339" max="14593" width="9.140625" style="1"/>
    <col min="14594" max="14594" width="88.28515625" style="1" customWidth="1"/>
    <col min="14595" max="14849" width="9.140625" style="1"/>
    <col min="14850" max="14850" width="88.28515625" style="1" customWidth="1"/>
    <col min="14851" max="15105" width="9.140625" style="1"/>
    <col min="15106" max="15106" width="88.28515625" style="1" customWidth="1"/>
    <col min="15107" max="15361" width="9.140625" style="1"/>
    <col min="15362" max="15362" width="88.28515625" style="1" customWidth="1"/>
    <col min="15363" max="15617" width="9.140625" style="1"/>
    <col min="15618" max="15618" width="88.28515625" style="1" customWidth="1"/>
    <col min="15619" max="15873" width="9.140625" style="1"/>
    <col min="15874" max="15874" width="88.28515625" style="1" customWidth="1"/>
    <col min="15875" max="16129" width="9.140625" style="1"/>
    <col min="16130" max="16130" width="88.28515625" style="1" customWidth="1"/>
    <col min="16131" max="16384" width="9.140625" style="1"/>
  </cols>
  <sheetData>
    <row r="1" spans="2:2" ht="32.25" customHeight="1"/>
    <row r="2" spans="2:2" ht="72">
      <c r="B2" s="1961" t="s">
        <v>1741</v>
      </c>
    </row>
    <row r="3" spans="2:2" ht="72" hidden="1">
      <c r="B3" s="1961" t="s">
        <v>1742</v>
      </c>
    </row>
    <row r="4" spans="2:2" ht="18">
      <c r="B4" s="1961"/>
    </row>
    <row r="5" spans="2:2" ht="54">
      <c r="B5" s="1961" t="s">
        <v>1743</v>
      </c>
    </row>
    <row r="6" spans="2:2" ht="7.5" customHeight="1">
      <c r="B6" s="1961"/>
    </row>
    <row r="7" spans="2:2" ht="18">
      <c r="B7" s="1962" t="s">
        <v>1744</v>
      </c>
    </row>
    <row r="8" spans="2:2" ht="18">
      <c r="B8" s="1962" t="s">
        <v>1746</v>
      </c>
    </row>
    <row r="9" spans="2:2" ht="18">
      <c r="B9" s="1962" t="s">
        <v>1747</v>
      </c>
    </row>
    <row r="10" spans="2:2" ht="18">
      <c r="B10" s="1963"/>
    </row>
    <row r="11" spans="2:2" ht="54">
      <c r="B11" s="1964" t="s">
        <v>1745</v>
      </c>
    </row>
  </sheetData>
  <dataConsolidate/>
  <pageMargins left="0.75" right="0.75" top="1" bottom="1" header="0.5" footer="0.5"/>
  <pageSetup orientation="portrait"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285441" r:id="rId4" name="Button 1">
              <controlPr defaultSize="0" print="0" autoFill="0" autoPict="0" macro="[0]!ApplyCircRefs">
                <anchor moveWithCells="1" sizeWithCells="1">
                  <from>
                    <xdr:col>1</xdr:col>
                    <xdr:colOff>0</xdr:colOff>
                    <xdr:row>11</xdr:row>
                    <xdr:rowOff>152400</xdr:rowOff>
                  </from>
                  <to>
                    <xdr:col>1</xdr:col>
                    <xdr:colOff>2819400</xdr:colOff>
                    <xdr:row>14</xdr:row>
                    <xdr:rowOff>152400</xdr:rowOff>
                  </to>
                </anchor>
              </controlPr>
            </control>
          </mc:Choice>
        </mc:AlternateContent>
        <mc:AlternateContent xmlns:mc="http://schemas.openxmlformats.org/markup-compatibility/2006">
          <mc:Choice Requires="x14">
            <control shapeId="4285442" r:id="rId5" name="Button 2">
              <controlPr defaultSize="0" print="0" autoFill="0" autoPict="0" macro="[0]!JustUnhideSheets">
                <anchor moveWithCells="1" sizeWithCells="1">
                  <from>
                    <xdr:col>1</xdr:col>
                    <xdr:colOff>3067050</xdr:colOff>
                    <xdr:row>11</xdr:row>
                    <xdr:rowOff>152400</xdr:rowOff>
                  </from>
                  <to>
                    <xdr:col>2</xdr:col>
                    <xdr:colOff>0</xdr:colOff>
                    <xdr:row>14</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C73"/>
  <sheetViews>
    <sheetView zoomScale="90" zoomScaleNormal="90" workbookViewId="0"/>
  </sheetViews>
  <sheetFormatPr defaultRowHeight="12.75"/>
  <cols>
    <col min="2" max="2" width="38.42578125" customWidth="1"/>
    <col min="3" max="3" width="12.85546875" customWidth="1"/>
    <col min="7" max="7" width="2.42578125" customWidth="1"/>
    <col min="11" max="11" width="12.28515625" customWidth="1"/>
    <col min="15" max="15" width="13.140625" customWidth="1"/>
  </cols>
  <sheetData>
    <row r="1" spans="1:29">
      <c r="A1" s="516"/>
      <c r="B1" s="516"/>
      <c r="C1" s="516"/>
      <c r="D1" s="516"/>
      <c r="E1" s="516"/>
      <c r="F1" s="516"/>
      <c r="G1" s="516"/>
      <c r="H1" s="516"/>
      <c r="I1" s="516"/>
      <c r="J1" s="516"/>
      <c r="K1" s="516"/>
      <c r="L1" s="516"/>
      <c r="M1" s="516"/>
      <c r="N1" s="516"/>
      <c r="O1" s="516"/>
      <c r="P1" s="516"/>
      <c r="Q1" s="516"/>
      <c r="R1" s="516"/>
      <c r="S1" s="516"/>
      <c r="T1" s="516"/>
      <c r="U1" s="516"/>
      <c r="V1" s="516"/>
      <c r="W1" s="516"/>
      <c r="X1" s="516"/>
      <c r="Y1" s="516"/>
      <c r="Z1" s="516"/>
      <c r="AA1" s="516"/>
      <c r="AB1" s="516"/>
      <c r="AC1" s="516"/>
    </row>
    <row r="2" spans="1:29" ht="28.5" customHeight="1">
      <c r="A2" s="516"/>
      <c r="B2" s="517" t="s">
        <v>338</v>
      </c>
      <c r="C2" s="516"/>
      <c r="D2" s="516"/>
      <c r="E2" s="516"/>
      <c r="F2" s="516"/>
      <c r="G2" s="516"/>
      <c r="H2" s="516"/>
      <c r="I2" s="516"/>
      <c r="J2" s="516"/>
      <c r="K2" s="516"/>
      <c r="L2" s="516"/>
      <c r="M2" s="516"/>
      <c r="N2" s="516"/>
      <c r="O2" s="516"/>
      <c r="P2" s="516"/>
      <c r="Q2" s="516"/>
      <c r="R2" s="516"/>
      <c r="S2" s="516"/>
      <c r="T2" s="516"/>
      <c r="U2" s="516"/>
      <c r="V2" s="516"/>
      <c r="W2" s="516"/>
      <c r="X2" s="516"/>
      <c r="Y2" s="516"/>
      <c r="Z2" s="516"/>
      <c r="AA2" s="516"/>
      <c r="AB2" s="516"/>
      <c r="AC2" s="516"/>
    </row>
    <row r="3" spans="1:29" ht="15.75">
      <c r="A3" s="516"/>
      <c r="B3" s="479" t="s">
        <v>318</v>
      </c>
      <c r="C3" s="479" t="s">
        <v>337</v>
      </c>
      <c r="D3" s="516"/>
      <c r="E3" s="516"/>
      <c r="F3" s="516"/>
      <c r="G3" s="516"/>
      <c r="H3" s="516"/>
      <c r="I3" s="516"/>
      <c r="J3" s="516"/>
      <c r="K3" s="516"/>
      <c r="L3" s="516"/>
      <c r="M3" s="516"/>
      <c r="N3" s="516"/>
      <c r="O3" s="516"/>
      <c r="P3" s="516"/>
      <c r="Q3" s="516"/>
      <c r="R3" s="516"/>
      <c r="S3" s="516"/>
      <c r="T3" s="516"/>
      <c r="U3" s="516"/>
      <c r="V3" s="516"/>
      <c r="W3" s="516"/>
      <c r="X3" s="516"/>
      <c r="Y3" s="516"/>
      <c r="Z3" s="516"/>
      <c r="AA3" s="516"/>
      <c r="AB3" s="516"/>
      <c r="AC3" s="516"/>
    </row>
    <row r="4" spans="1:29" ht="15.75">
      <c r="A4" s="516"/>
      <c r="B4" s="479" t="s">
        <v>319</v>
      </c>
      <c r="C4" s="479" t="s">
        <v>268</v>
      </c>
      <c r="D4" s="516"/>
      <c r="E4" s="516"/>
      <c r="F4" s="516"/>
      <c r="G4" s="516"/>
      <c r="H4" s="516"/>
      <c r="I4" s="516"/>
      <c r="J4" s="516"/>
      <c r="K4" s="516"/>
      <c r="L4" s="516"/>
      <c r="M4" s="516"/>
      <c r="N4" s="516"/>
      <c r="O4" s="516"/>
      <c r="P4" s="516"/>
      <c r="Q4" s="516"/>
      <c r="R4" s="516"/>
      <c r="S4" s="516"/>
      <c r="T4" s="516"/>
      <c r="U4" s="516"/>
      <c r="V4" s="516"/>
      <c r="W4" s="516"/>
      <c r="X4" s="516"/>
      <c r="Y4" s="516"/>
      <c r="Z4" s="516"/>
      <c r="AA4" s="516"/>
      <c r="AB4" s="516"/>
      <c r="AC4" s="516"/>
    </row>
    <row r="5" spans="1:29" ht="15.75">
      <c r="A5" s="516"/>
      <c r="B5" s="479" t="s">
        <v>320</v>
      </c>
      <c r="C5" s="806">
        <f ca="1">basept</f>
        <v>73</v>
      </c>
      <c r="D5" s="516"/>
      <c r="E5" s="516"/>
      <c r="F5" s="516"/>
      <c r="G5" s="516"/>
      <c r="H5" s="516"/>
      <c r="I5" s="516"/>
      <c r="J5" s="516"/>
      <c r="K5" s="516"/>
      <c r="L5" s="516"/>
      <c r="M5" s="516"/>
      <c r="N5" s="516"/>
      <c r="O5" s="516"/>
      <c r="P5" s="516"/>
      <c r="Q5" s="516"/>
      <c r="R5" s="516"/>
      <c r="S5" s="516"/>
      <c r="T5" s="516"/>
      <c r="U5" s="516"/>
      <c r="V5" s="516"/>
      <c r="W5" s="516"/>
      <c r="X5" s="516"/>
      <c r="Y5" s="516"/>
      <c r="Z5" s="516"/>
      <c r="AA5" s="516"/>
      <c r="AB5" s="516"/>
      <c r="AC5" s="516"/>
    </row>
    <row r="6" spans="1:29" ht="15.75">
      <c r="A6" s="516"/>
      <c r="B6" s="479" t="s">
        <v>321</v>
      </c>
      <c r="C6" s="805">
        <v>43214</v>
      </c>
      <c r="D6" s="516"/>
      <c r="E6" s="516"/>
      <c r="F6" s="516"/>
      <c r="G6" s="516"/>
      <c r="H6" s="516"/>
      <c r="I6" s="516"/>
      <c r="J6" s="516"/>
      <c r="K6" s="516"/>
      <c r="L6" s="516"/>
      <c r="M6" s="516"/>
      <c r="N6" s="516"/>
      <c r="O6" s="516"/>
      <c r="P6" s="516"/>
      <c r="Q6" s="516"/>
      <c r="R6" s="516"/>
      <c r="S6" s="516"/>
      <c r="T6" s="516"/>
      <c r="U6" s="516"/>
      <c r="V6" s="516"/>
      <c r="W6" s="516"/>
      <c r="X6" s="516"/>
      <c r="Y6" s="516"/>
      <c r="Z6" s="516"/>
      <c r="AA6" s="516"/>
      <c r="AB6" s="516"/>
      <c r="AC6" s="516"/>
    </row>
    <row r="7" spans="1:29">
      <c r="A7" s="516"/>
      <c r="B7" s="516"/>
      <c r="C7" s="516"/>
      <c r="D7" s="516"/>
      <c r="E7" s="516"/>
      <c r="F7" s="516"/>
      <c r="G7" s="516"/>
      <c r="H7" s="516"/>
      <c r="I7" s="516"/>
      <c r="J7" s="516"/>
      <c r="K7" s="516"/>
      <c r="L7" s="516"/>
      <c r="M7" s="516"/>
      <c r="N7" s="516"/>
      <c r="O7" s="516"/>
      <c r="P7" s="516"/>
      <c r="Q7" s="516"/>
      <c r="R7" s="516"/>
      <c r="S7" s="516"/>
      <c r="T7" s="516"/>
      <c r="U7" s="516"/>
      <c r="V7" s="516"/>
      <c r="W7" s="516"/>
      <c r="X7" s="516"/>
      <c r="Y7" s="516"/>
      <c r="Z7" s="516"/>
      <c r="AA7" s="516"/>
      <c r="AB7" s="516"/>
      <c r="AC7" s="516"/>
    </row>
    <row r="8" spans="1:29">
      <c r="A8" s="478"/>
      <c r="B8" s="518"/>
      <c r="C8" s="518"/>
      <c r="D8" s="518"/>
      <c r="E8" s="518"/>
      <c r="F8" s="518"/>
      <c r="G8" s="518"/>
      <c r="H8" s="518"/>
      <c r="I8" s="518"/>
      <c r="J8" s="518"/>
      <c r="K8" s="518"/>
      <c r="L8" s="518"/>
      <c r="M8" s="518"/>
      <c r="N8" s="518"/>
      <c r="O8" s="518"/>
      <c r="P8" s="518"/>
      <c r="Q8" s="518"/>
      <c r="R8" s="518"/>
      <c r="S8" s="478"/>
      <c r="T8" s="478"/>
      <c r="U8" s="478"/>
      <c r="V8" s="478"/>
      <c r="W8" s="478"/>
      <c r="X8" s="478"/>
      <c r="Y8" s="478"/>
      <c r="Z8" s="478"/>
      <c r="AA8" s="478"/>
      <c r="AB8" s="478"/>
      <c r="AC8" s="478"/>
    </row>
    <row r="9" spans="1:29">
      <c r="A9" s="478"/>
      <c r="B9" s="518"/>
      <c r="C9" s="518"/>
      <c r="D9" s="518"/>
      <c r="E9" s="518"/>
      <c r="F9" s="518"/>
      <c r="G9" s="518"/>
      <c r="H9" s="518"/>
      <c r="I9" s="518"/>
      <c r="J9" s="518"/>
      <c r="K9" s="518"/>
      <c r="L9" s="518"/>
      <c r="M9" s="518"/>
      <c r="N9" s="518"/>
      <c r="O9" s="518"/>
      <c r="P9" s="518"/>
      <c r="Q9" s="518"/>
      <c r="R9" s="518"/>
      <c r="S9" s="478"/>
      <c r="T9" s="478"/>
      <c r="U9" s="478"/>
      <c r="V9" s="478"/>
      <c r="W9" s="478"/>
      <c r="X9" s="478"/>
      <c r="Y9" s="478"/>
      <c r="Z9" s="478"/>
      <c r="AA9" s="478"/>
      <c r="AB9" s="478"/>
      <c r="AC9" s="478"/>
    </row>
    <row r="10" spans="1:29" ht="15">
      <c r="A10" s="478"/>
      <c r="B10" s="521" t="s">
        <v>322</v>
      </c>
      <c r="C10" s="521" t="s">
        <v>1038</v>
      </c>
      <c r="D10" s="521"/>
      <c r="E10" s="521"/>
      <c r="F10" s="521"/>
      <c r="G10" s="521"/>
      <c r="H10" s="521" t="s">
        <v>1134</v>
      </c>
      <c r="I10" s="521"/>
      <c r="J10" s="521"/>
      <c r="K10" s="521"/>
      <c r="L10" s="521" t="s">
        <v>1119</v>
      </c>
      <c r="M10" s="521"/>
      <c r="N10" s="521"/>
      <c r="O10" s="521"/>
      <c r="P10" s="521"/>
      <c r="Q10" s="521"/>
      <c r="R10" s="521"/>
      <c r="S10" s="521"/>
      <c r="T10" s="521"/>
      <c r="U10" s="478"/>
      <c r="V10" s="478"/>
      <c r="W10" s="478"/>
      <c r="X10" s="478"/>
      <c r="Y10" s="478"/>
      <c r="Z10" s="478"/>
      <c r="AA10" s="478"/>
      <c r="AB10" s="478"/>
      <c r="AC10" s="478"/>
    </row>
    <row r="11" spans="1:29" ht="15">
      <c r="A11" s="478"/>
      <c r="B11" s="521" t="s">
        <v>323</v>
      </c>
      <c r="C11" s="521" t="s">
        <v>1039</v>
      </c>
      <c r="D11" s="521"/>
      <c r="E11" s="521"/>
      <c r="F11" s="521"/>
      <c r="G11" s="521"/>
      <c r="H11" s="521" t="s">
        <v>1135</v>
      </c>
      <c r="I11" s="521"/>
      <c r="J11" s="521"/>
      <c r="K11" s="521"/>
      <c r="L11" s="521" t="s">
        <v>1120</v>
      </c>
      <c r="M11" s="521"/>
      <c r="N11" s="521"/>
      <c r="O11" s="521"/>
      <c r="P11" s="521"/>
      <c r="Q11" s="521"/>
      <c r="R11" s="521"/>
      <c r="S11" s="521"/>
      <c r="T11" s="521"/>
      <c r="U11" s="478"/>
      <c r="V11" s="478"/>
      <c r="W11" s="478"/>
      <c r="X11" s="478"/>
      <c r="Y11" s="478"/>
      <c r="Z11" s="478"/>
      <c r="AA11" s="478"/>
      <c r="AB11" s="478"/>
      <c r="AC11" s="478"/>
    </row>
    <row r="12" spans="1:29" ht="15">
      <c r="A12" s="478"/>
      <c r="B12" s="521" t="s">
        <v>324</v>
      </c>
      <c r="C12" s="840" t="s">
        <v>1040</v>
      </c>
      <c r="D12" s="521"/>
      <c r="E12" s="521"/>
      <c r="F12" s="521"/>
      <c r="H12" s="840" t="s">
        <v>1136</v>
      </c>
      <c r="I12" s="840"/>
      <c r="J12" s="840"/>
      <c r="K12" s="840"/>
      <c r="L12" s="840" t="s">
        <v>1121</v>
      </c>
      <c r="M12" s="840"/>
      <c r="N12" s="840"/>
      <c r="O12" s="840"/>
      <c r="P12" s="840"/>
      <c r="Q12" s="840"/>
      <c r="R12" s="840"/>
      <c r="S12" s="840"/>
      <c r="T12" s="840"/>
      <c r="U12" s="478"/>
      <c r="V12" s="478"/>
      <c r="W12" s="478"/>
      <c r="X12" s="478"/>
      <c r="Y12" s="478"/>
      <c r="Z12" s="478"/>
      <c r="AA12" s="478"/>
      <c r="AB12" s="478"/>
      <c r="AC12" s="478"/>
    </row>
    <row r="13" spans="1:29">
      <c r="A13" s="478"/>
      <c r="B13" s="519"/>
      <c r="C13" s="519"/>
      <c r="D13" s="519"/>
      <c r="E13" s="519"/>
      <c r="F13" s="519"/>
      <c r="G13" s="519"/>
      <c r="H13" s="519"/>
      <c r="I13" s="519"/>
      <c r="J13" s="519"/>
      <c r="K13" s="519"/>
      <c r="L13" s="519"/>
      <c r="M13" s="519"/>
      <c r="N13" s="519"/>
      <c r="O13" s="519"/>
      <c r="P13" s="519"/>
      <c r="Q13" s="519"/>
      <c r="R13" s="519"/>
      <c r="S13" s="519"/>
      <c r="T13" s="519"/>
      <c r="U13" s="478"/>
      <c r="V13" s="478"/>
      <c r="W13" s="478"/>
      <c r="X13" s="478"/>
      <c r="Y13" s="478"/>
      <c r="Z13" s="478"/>
      <c r="AA13" s="478"/>
      <c r="AB13" s="478"/>
      <c r="AC13" s="478"/>
    </row>
    <row r="14" spans="1:29" ht="15">
      <c r="A14" s="478"/>
      <c r="B14" s="520"/>
      <c r="C14" s="520"/>
      <c r="D14" s="520"/>
      <c r="E14" s="520"/>
      <c r="F14" s="520"/>
      <c r="G14" s="521"/>
      <c r="H14" s="520"/>
      <c r="I14" s="520"/>
      <c r="J14" s="520"/>
      <c r="K14" s="520"/>
      <c r="L14" s="520"/>
      <c r="M14" s="520"/>
      <c r="N14" s="520"/>
      <c r="O14" s="520"/>
      <c r="P14" s="520"/>
      <c r="Q14" s="520"/>
      <c r="R14" s="520"/>
      <c r="S14" s="520"/>
      <c r="T14" s="520"/>
      <c r="U14" s="478"/>
      <c r="V14" s="478"/>
      <c r="W14" s="478"/>
      <c r="X14" s="478"/>
      <c r="Y14" s="478"/>
      <c r="Z14" s="478"/>
      <c r="AA14" s="478"/>
      <c r="AB14" s="478"/>
      <c r="AC14" s="478"/>
    </row>
    <row r="15" spans="1:29" ht="15">
      <c r="A15" s="478"/>
      <c r="B15" s="478"/>
      <c r="C15" s="478"/>
      <c r="D15" s="478"/>
      <c r="E15" s="478"/>
      <c r="F15" s="478"/>
      <c r="G15" s="521"/>
      <c r="H15" s="478"/>
      <c r="I15" s="478"/>
      <c r="J15" s="478"/>
      <c r="K15" s="478"/>
      <c r="L15" s="478"/>
      <c r="M15" s="478"/>
      <c r="N15" s="478"/>
      <c r="O15" s="478"/>
      <c r="P15" s="478"/>
      <c r="Q15" s="478"/>
      <c r="R15" s="478"/>
      <c r="S15" s="478"/>
      <c r="T15" s="478"/>
      <c r="U15" s="478"/>
      <c r="V15" s="478"/>
      <c r="W15" s="478"/>
      <c r="X15" s="478"/>
      <c r="Y15" s="478"/>
      <c r="Z15" s="478"/>
      <c r="AA15" s="478"/>
      <c r="AB15" s="478"/>
      <c r="AC15" s="478"/>
    </row>
    <row r="16" spans="1:29" ht="15">
      <c r="A16" s="478"/>
      <c r="B16" s="478"/>
      <c r="C16" s="478"/>
      <c r="D16" s="478"/>
      <c r="E16" s="478"/>
      <c r="F16" s="478"/>
      <c r="G16" s="840"/>
      <c r="H16" s="478"/>
      <c r="I16" s="478"/>
      <c r="J16" s="478"/>
      <c r="K16" s="478"/>
      <c r="L16" s="478"/>
      <c r="M16" s="478"/>
      <c r="N16" s="478"/>
      <c r="O16" s="478"/>
      <c r="P16" s="478"/>
      <c r="Q16" s="478"/>
      <c r="R16" s="478"/>
      <c r="S16" s="478"/>
      <c r="T16" s="478"/>
      <c r="U16" s="478"/>
      <c r="V16" s="478"/>
      <c r="W16" s="478"/>
      <c r="X16" s="478"/>
      <c r="Y16" s="478"/>
      <c r="Z16" s="478"/>
      <c r="AA16" s="478"/>
      <c r="AB16" s="478"/>
      <c r="AC16" s="478"/>
    </row>
    <row r="17" spans="1:29">
      <c r="A17" s="478"/>
      <c r="B17" s="478"/>
      <c r="C17" s="478"/>
      <c r="D17" s="478"/>
      <c r="E17" s="478"/>
      <c r="F17" s="478"/>
      <c r="G17" s="478"/>
      <c r="H17" s="478"/>
      <c r="I17" s="478"/>
      <c r="J17" s="478"/>
      <c r="K17" s="478"/>
      <c r="L17" s="478"/>
      <c r="M17" s="478"/>
      <c r="N17" s="478"/>
      <c r="O17" s="478"/>
      <c r="P17" s="478"/>
      <c r="Q17" s="478"/>
      <c r="R17" s="478"/>
      <c r="S17" s="478"/>
      <c r="T17" s="478"/>
      <c r="U17" s="478"/>
      <c r="V17" s="478"/>
      <c r="W17" s="478"/>
      <c r="X17" s="478"/>
      <c r="Y17" s="478"/>
      <c r="Z17" s="478"/>
      <c r="AA17" s="478"/>
      <c r="AB17" s="478"/>
      <c r="AC17" s="478"/>
    </row>
    <row r="18" spans="1:29">
      <c r="A18" s="478"/>
      <c r="B18" s="478"/>
      <c r="C18" s="478"/>
      <c r="D18" s="478"/>
      <c r="E18" s="478"/>
      <c r="F18" s="478"/>
      <c r="G18" s="478"/>
      <c r="H18" s="478"/>
      <c r="I18" s="478"/>
      <c r="J18" s="478"/>
      <c r="K18" s="478"/>
      <c r="L18" s="478"/>
      <c r="M18" s="478"/>
      <c r="N18" s="478"/>
      <c r="O18" s="478"/>
      <c r="P18" s="478"/>
      <c r="Q18" s="478"/>
      <c r="R18" s="478"/>
      <c r="S18" s="478"/>
      <c r="T18" s="478"/>
      <c r="U18" s="478"/>
      <c r="V18" s="478"/>
      <c r="W18" s="478"/>
      <c r="X18" s="478"/>
      <c r="Y18" s="478"/>
      <c r="Z18" s="478"/>
      <c r="AA18" s="478"/>
      <c r="AB18" s="478"/>
      <c r="AC18" s="478"/>
    </row>
    <row r="19" spans="1:29">
      <c r="A19" s="478"/>
      <c r="B19" s="478"/>
      <c r="C19" s="478"/>
      <c r="D19" s="478"/>
      <c r="E19" s="478"/>
      <c r="F19" s="478"/>
      <c r="G19" s="478"/>
      <c r="H19" s="478"/>
      <c r="I19" s="478"/>
      <c r="J19" s="478"/>
      <c r="K19" s="478"/>
      <c r="L19" s="478"/>
      <c r="M19" s="478"/>
      <c r="N19" s="478"/>
      <c r="O19" s="478"/>
      <c r="P19" s="478"/>
      <c r="Q19" s="478"/>
      <c r="R19" s="478"/>
      <c r="S19" s="478"/>
      <c r="T19" s="478"/>
      <c r="U19" s="478"/>
      <c r="V19" s="478"/>
      <c r="W19" s="478"/>
      <c r="X19" s="478"/>
      <c r="Y19" s="478"/>
      <c r="Z19" s="478"/>
      <c r="AA19" s="478"/>
      <c r="AB19" s="478"/>
      <c r="AC19" s="478"/>
    </row>
    <row r="20" spans="1:29">
      <c r="A20" s="478"/>
      <c r="B20" s="478"/>
      <c r="C20" s="478"/>
      <c r="D20" s="478"/>
      <c r="E20" s="478"/>
      <c r="F20" s="478"/>
      <c r="G20" s="478"/>
      <c r="H20" s="478"/>
      <c r="I20" s="478"/>
      <c r="J20" s="478"/>
      <c r="K20" s="478"/>
      <c r="L20" s="478"/>
      <c r="M20" s="478"/>
      <c r="N20" s="478"/>
      <c r="O20" s="478"/>
      <c r="P20" s="478"/>
      <c r="Q20" s="478"/>
      <c r="R20" s="478"/>
      <c r="S20" s="478"/>
      <c r="T20" s="478"/>
      <c r="U20" s="478"/>
      <c r="V20" s="478"/>
      <c r="W20" s="478"/>
      <c r="X20" s="478"/>
      <c r="Y20" s="478"/>
      <c r="Z20" s="478"/>
      <c r="AA20" s="478"/>
      <c r="AB20" s="478"/>
      <c r="AC20" s="478"/>
    </row>
    <row r="21" spans="1:29">
      <c r="A21" s="478"/>
      <c r="B21" s="478"/>
      <c r="C21" s="478"/>
      <c r="D21" s="478"/>
      <c r="E21" s="478"/>
      <c r="F21" s="478"/>
      <c r="G21" s="478"/>
      <c r="H21" s="478"/>
      <c r="I21" s="478"/>
      <c r="J21" s="478"/>
      <c r="K21" s="478"/>
      <c r="L21" s="478"/>
      <c r="M21" s="478"/>
      <c r="N21" s="478"/>
      <c r="O21" s="478"/>
      <c r="P21" s="478"/>
      <c r="Q21" s="478"/>
      <c r="R21" s="478"/>
      <c r="S21" s="478"/>
      <c r="T21" s="478"/>
      <c r="U21" s="478"/>
      <c r="V21" s="478"/>
      <c r="W21" s="478"/>
      <c r="X21" s="478"/>
      <c r="Y21" s="478"/>
      <c r="Z21" s="478"/>
      <c r="AA21" s="478"/>
      <c r="AB21" s="478"/>
      <c r="AC21" s="478"/>
    </row>
    <row r="22" spans="1:29">
      <c r="A22" s="478"/>
      <c r="B22" s="478"/>
      <c r="C22" s="478"/>
      <c r="D22" s="478"/>
      <c r="E22" s="478"/>
      <c r="F22" s="478"/>
      <c r="G22" s="478"/>
      <c r="H22" s="478"/>
      <c r="I22" s="478"/>
      <c r="J22" s="478"/>
      <c r="K22" s="478"/>
      <c r="L22" s="478"/>
      <c r="M22" s="478"/>
      <c r="N22" s="478"/>
      <c r="O22" s="478"/>
      <c r="P22" s="478"/>
      <c r="Q22" s="478"/>
      <c r="R22" s="478"/>
      <c r="S22" s="478"/>
      <c r="T22" s="478"/>
      <c r="U22" s="478"/>
      <c r="V22" s="478"/>
      <c r="W22" s="478"/>
      <c r="X22" s="478"/>
      <c r="Y22" s="478"/>
      <c r="Z22" s="478"/>
      <c r="AA22" s="478"/>
      <c r="AB22" s="478"/>
      <c r="AC22" s="478"/>
    </row>
    <row r="23" spans="1:29">
      <c r="A23" s="478"/>
      <c r="B23" s="478"/>
      <c r="C23" s="478"/>
      <c r="D23" s="478"/>
      <c r="E23" s="478"/>
      <c r="F23" s="478"/>
      <c r="G23" s="478"/>
      <c r="H23" s="478"/>
      <c r="I23" s="478"/>
      <c r="J23" s="478"/>
      <c r="K23" s="478"/>
      <c r="L23" s="478"/>
      <c r="M23" s="478"/>
      <c r="N23" s="478"/>
      <c r="O23" s="478"/>
      <c r="P23" s="478"/>
      <c r="Q23" s="478"/>
      <c r="R23" s="478"/>
      <c r="S23" s="478"/>
      <c r="T23" s="478"/>
      <c r="U23" s="478"/>
      <c r="V23" s="478"/>
      <c r="W23" s="478"/>
      <c r="X23" s="478"/>
      <c r="Y23" s="478"/>
      <c r="Z23" s="478"/>
      <c r="AA23" s="478"/>
      <c r="AB23" s="478"/>
      <c r="AC23" s="478"/>
    </row>
    <row r="24" spans="1:29">
      <c r="A24" s="478"/>
      <c r="B24" s="478"/>
      <c r="C24" s="478"/>
      <c r="D24" s="478"/>
      <c r="E24" s="478"/>
      <c r="F24" s="478"/>
      <c r="G24" s="478"/>
      <c r="H24" s="478"/>
      <c r="I24" s="478"/>
      <c r="J24" s="478"/>
      <c r="K24" s="478"/>
      <c r="L24" s="478"/>
      <c r="M24" s="478"/>
      <c r="N24" s="478"/>
      <c r="O24" s="478"/>
      <c r="P24" s="478"/>
      <c r="Q24" s="478"/>
      <c r="R24" s="478"/>
      <c r="S24" s="478"/>
      <c r="T24" s="478"/>
      <c r="U24" s="478"/>
      <c r="V24" s="478"/>
      <c r="W24" s="478"/>
      <c r="X24" s="478"/>
      <c r="Y24" s="478"/>
      <c r="Z24" s="478"/>
      <c r="AA24" s="478"/>
      <c r="AB24" s="478"/>
      <c r="AC24" s="478"/>
    </row>
    <row r="25" spans="1:29">
      <c r="A25" s="478"/>
      <c r="B25" s="478"/>
      <c r="C25" s="478"/>
      <c r="D25" s="478"/>
      <c r="E25" s="478"/>
      <c r="F25" s="478"/>
      <c r="G25" s="478"/>
      <c r="H25" s="478"/>
      <c r="I25" s="478"/>
      <c r="J25" s="478"/>
      <c r="K25" s="478"/>
      <c r="L25" s="478"/>
      <c r="M25" s="478"/>
      <c r="N25" s="478"/>
      <c r="O25" s="478"/>
      <c r="P25" s="478"/>
      <c r="Q25" s="478"/>
      <c r="R25" s="478"/>
      <c r="S25" s="478"/>
      <c r="T25" s="478"/>
      <c r="U25" s="478"/>
      <c r="V25" s="478"/>
      <c r="W25" s="478"/>
      <c r="X25" s="478"/>
      <c r="Y25" s="478"/>
      <c r="Z25" s="478"/>
      <c r="AA25" s="478"/>
      <c r="AB25" s="478"/>
      <c r="AC25" s="478"/>
    </row>
    <row r="26" spans="1:29">
      <c r="A26" s="478"/>
      <c r="B26" s="478"/>
      <c r="C26" s="478"/>
      <c r="D26" s="478"/>
      <c r="E26" s="478"/>
      <c r="F26" s="478"/>
      <c r="G26" s="478"/>
      <c r="H26" s="478"/>
      <c r="I26" s="478"/>
      <c r="J26" s="478"/>
      <c r="K26" s="478"/>
      <c r="L26" s="478"/>
      <c r="M26" s="478"/>
      <c r="N26" s="478"/>
      <c r="O26" s="478"/>
      <c r="P26" s="478"/>
      <c r="Q26" s="478"/>
      <c r="R26" s="478"/>
      <c r="S26" s="478"/>
      <c r="T26" s="478"/>
      <c r="U26" s="478"/>
      <c r="V26" s="478"/>
      <c r="W26" s="478"/>
      <c r="X26" s="478"/>
      <c r="Y26" s="478"/>
      <c r="Z26" s="478"/>
      <c r="AA26" s="478"/>
      <c r="AB26" s="478"/>
      <c r="AC26" s="478"/>
    </row>
    <row r="27" spans="1:29">
      <c r="A27" s="478"/>
      <c r="B27" s="478"/>
      <c r="C27" s="478"/>
      <c r="D27" s="478"/>
      <c r="E27" s="478"/>
      <c r="F27" s="478"/>
      <c r="G27" s="478"/>
      <c r="H27" s="478"/>
      <c r="I27" s="478"/>
      <c r="J27" s="478"/>
      <c r="K27" s="478"/>
      <c r="L27" s="478"/>
      <c r="M27" s="478"/>
      <c r="N27" s="478"/>
      <c r="O27" s="478"/>
      <c r="P27" s="478"/>
      <c r="Q27" s="478"/>
      <c r="R27" s="478"/>
      <c r="S27" s="478"/>
      <c r="T27" s="478"/>
      <c r="U27" s="478"/>
      <c r="V27" s="478"/>
      <c r="W27" s="478"/>
      <c r="X27" s="478"/>
      <c r="Y27" s="478"/>
      <c r="Z27" s="478"/>
      <c r="AA27" s="478"/>
      <c r="AB27" s="478"/>
      <c r="AC27" s="478"/>
    </row>
    <row r="28" spans="1:29">
      <c r="A28" s="478"/>
      <c r="B28" s="478"/>
      <c r="C28" s="478"/>
      <c r="D28" s="478"/>
      <c r="E28" s="478"/>
      <c r="F28" s="478"/>
      <c r="G28" s="478"/>
      <c r="H28" s="478"/>
      <c r="I28" s="478"/>
      <c r="J28" s="478"/>
      <c r="K28" s="478"/>
      <c r="L28" s="478"/>
      <c r="M28" s="478"/>
      <c r="N28" s="478"/>
      <c r="O28" s="478"/>
      <c r="P28" s="478"/>
      <c r="Q28" s="478"/>
      <c r="R28" s="478"/>
      <c r="S28" s="478"/>
      <c r="T28" s="478"/>
      <c r="U28" s="478"/>
      <c r="V28" s="478"/>
      <c r="W28" s="478"/>
      <c r="X28" s="478"/>
      <c r="Y28" s="478"/>
      <c r="Z28" s="478"/>
      <c r="AA28" s="478"/>
      <c r="AB28" s="478"/>
      <c r="AC28" s="478"/>
    </row>
    <row r="29" spans="1:29">
      <c r="A29" s="478"/>
      <c r="B29" s="478"/>
      <c r="C29" s="478"/>
      <c r="D29" s="478"/>
      <c r="E29" s="478"/>
      <c r="F29" s="478"/>
      <c r="G29" s="478"/>
      <c r="H29" s="478"/>
      <c r="I29" s="478"/>
      <c r="J29" s="478"/>
      <c r="K29" s="478"/>
      <c r="L29" s="478"/>
      <c r="M29" s="478"/>
      <c r="N29" s="478"/>
      <c r="O29" s="478"/>
      <c r="P29" s="478"/>
      <c r="Q29" s="478"/>
      <c r="R29" s="478"/>
      <c r="S29" s="478"/>
      <c r="T29" s="478"/>
      <c r="U29" s="478"/>
      <c r="V29" s="478"/>
      <c r="W29" s="478"/>
      <c r="X29" s="478"/>
      <c r="Y29" s="478"/>
      <c r="Z29" s="478"/>
      <c r="AA29" s="478"/>
      <c r="AB29" s="478"/>
      <c r="AC29" s="478"/>
    </row>
    <row r="30" spans="1:29">
      <c r="A30" s="478"/>
      <c r="B30" s="478"/>
      <c r="C30" s="478"/>
      <c r="D30" s="478"/>
      <c r="E30" s="478"/>
      <c r="F30" s="478"/>
      <c r="G30" s="478"/>
      <c r="H30" s="478"/>
      <c r="I30" s="478"/>
      <c r="J30" s="478"/>
      <c r="K30" s="478"/>
      <c r="L30" s="478"/>
      <c r="M30" s="478"/>
      <c r="N30" s="478"/>
      <c r="O30" s="478"/>
      <c r="P30" s="478"/>
      <c r="Q30" s="478"/>
      <c r="R30" s="478"/>
      <c r="S30" s="478"/>
      <c r="T30" s="478"/>
      <c r="U30" s="478"/>
      <c r="V30" s="478"/>
      <c r="W30" s="478"/>
      <c r="X30" s="478"/>
      <c r="Y30" s="478"/>
      <c r="Z30" s="478"/>
      <c r="AA30" s="478"/>
      <c r="AB30" s="478"/>
      <c r="AC30" s="478"/>
    </row>
    <row r="31" spans="1:29">
      <c r="A31" s="478"/>
      <c r="B31" s="478"/>
      <c r="C31" s="478"/>
      <c r="D31" s="478"/>
      <c r="E31" s="478"/>
      <c r="F31" s="478"/>
      <c r="G31" s="478"/>
      <c r="H31" s="478"/>
      <c r="I31" s="478"/>
      <c r="J31" s="478"/>
      <c r="K31" s="478"/>
      <c r="L31" s="478"/>
      <c r="M31" s="478"/>
      <c r="N31" s="478"/>
      <c r="O31" s="478"/>
      <c r="P31" s="478"/>
      <c r="Q31" s="478"/>
      <c r="R31" s="478"/>
      <c r="S31" s="478"/>
      <c r="T31" s="478"/>
      <c r="U31" s="478"/>
      <c r="V31" s="478"/>
      <c r="W31" s="478"/>
      <c r="X31" s="478"/>
      <c r="Y31" s="478"/>
      <c r="Z31" s="478"/>
      <c r="AA31" s="478"/>
      <c r="AB31" s="478"/>
      <c r="AC31" s="478"/>
    </row>
    <row r="32" spans="1:29">
      <c r="A32" s="478"/>
      <c r="B32" s="478"/>
      <c r="C32" s="478"/>
      <c r="D32" s="478"/>
      <c r="E32" s="478"/>
      <c r="F32" s="478"/>
      <c r="G32" s="478"/>
      <c r="H32" s="478"/>
      <c r="I32" s="478"/>
      <c r="J32" s="478"/>
      <c r="K32" s="478"/>
      <c r="L32" s="478"/>
      <c r="M32" s="478"/>
      <c r="N32" s="478"/>
      <c r="O32" s="478"/>
      <c r="P32" s="478"/>
      <c r="Q32" s="478"/>
      <c r="R32" s="478"/>
      <c r="S32" s="478"/>
      <c r="T32" s="478"/>
      <c r="U32" s="478"/>
      <c r="V32" s="478"/>
      <c r="W32" s="478"/>
      <c r="X32" s="478"/>
      <c r="Y32" s="478"/>
      <c r="Z32" s="478"/>
      <c r="AA32" s="478"/>
      <c r="AB32" s="478"/>
      <c r="AC32" s="478"/>
    </row>
    <row r="33" spans="1:29">
      <c r="A33" s="478"/>
      <c r="B33" s="478"/>
      <c r="C33" s="478"/>
      <c r="D33" s="478"/>
      <c r="E33" s="478"/>
      <c r="F33" s="478"/>
      <c r="G33" s="478"/>
      <c r="H33" s="478"/>
      <c r="I33" s="478"/>
      <c r="J33" s="478"/>
      <c r="K33" s="478"/>
      <c r="L33" s="478"/>
      <c r="M33" s="478"/>
      <c r="N33" s="478"/>
      <c r="O33" s="478"/>
      <c r="P33" s="478"/>
      <c r="Q33" s="478"/>
      <c r="R33" s="478"/>
      <c r="S33" s="478"/>
      <c r="T33" s="478"/>
      <c r="U33" s="478"/>
      <c r="V33" s="478"/>
      <c r="W33" s="478"/>
      <c r="X33" s="478"/>
      <c r="Y33" s="478"/>
      <c r="Z33" s="478"/>
      <c r="AA33" s="478"/>
      <c r="AB33" s="478"/>
      <c r="AC33" s="478"/>
    </row>
    <row r="34" spans="1:29">
      <c r="A34" s="478"/>
      <c r="B34" s="478"/>
      <c r="C34" s="478"/>
      <c r="D34" s="478"/>
      <c r="E34" s="478"/>
      <c r="F34" s="478"/>
      <c r="G34" s="478"/>
      <c r="H34" s="478"/>
      <c r="I34" s="478"/>
      <c r="J34" s="478"/>
      <c r="K34" s="478"/>
      <c r="L34" s="478"/>
      <c r="M34" s="478"/>
      <c r="N34" s="478"/>
      <c r="O34" s="478"/>
      <c r="P34" s="478"/>
      <c r="Q34" s="478"/>
      <c r="R34" s="478"/>
      <c r="S34" s="478"/>
      <c r="T34" s="478"/>
      <c r="U34" s="478"/>
      <c r="V34" s="478"/>
      <c r="W34" s="478"/>
      <c r="X34" s="478"/>
      <c r="Y34" s="478"/>
      <c r="Z34" s="478"/>
      <c r="AA34" s="478"/>
      <c r="AB34" s="478"/>
      <c r="AC34" s="478"/>
    </row>
    <row r="35" spans="1:29">
      <c r="A35" s="478"/>
      <c r="B35" s="478"/>
      <c r="C35" s="478"/>
      <c r="D35" s="478"/>
      <c r="E35" s="478"/>
      <c r="F35" s="478"/>
      <c r="G35" s="478"/>
      <c r="H35" s="478"/>
      <c r="I35" s="478"/>
      <c r="J35" s="478"/>
      <c r="K35" s="478"/>
      <c r="L35" s="478"/>
      <c r="M35" s="478"/>
      <c r="N35" s="478"/>
      <c r="O35" s="478"/>
      <c r="P35" s="478"/>
      <c r="Q35" s="478"/>
      <c r="R35" s="478"/>
      <c r="S35" s="478"/>
      <c r="T35" s="478"/>
      <c r="U35" s="478"/>
      <c r="V35" s="478"/>
      <c r="W35" s="478"/>
      <c r="X35" s="478"/>
      <c r="Y35" s="478"/>
      <c r="Z35" s="478"/>
      <c r="AA35" s="478"/>
      <c r="AB35" s="478"/>
      <c r="AC35" s="478"/>
    </row>
    <row r="36" spans="1:29">
      <c r="A36" s="478"/>
      <c r="B36" s="478"/>
      <c r="C36" s="478"/>
      <c r="D36" s="478"/>
      <c r="E36" s="478"/>
      <c r="F36" s="478"/>
      <c r="G36" s="478"/>
      <c r="H36" s="478"/>
      <c r="I36" s="478"/>
      <c r="J36" s="478"/>
      <c r="K36" s="478"/>
      <c r="L36" s="478"/>
      <c r="M36" s="478"/>
      <c r="N36" s="478"/>
      <c r="O36" s="478"/>
      <c r="P36" s="478"/>
      <c r="Q36" s="478"/>
      <c r="R36" s="478"/>
      <c r="S36" s="478"/>
      <c r="T36" s="478"/>
      <c r="U36" s="478"/>
      <c r="V36" s="478"/>
      <c r="W36" s="478"/>
      <c r="X36" s="478"/>
      <c r="Y36" s="478"/>
      <c r="Z36" s="478"/>
      <c r="AA36" s="478"/>
      <c r="AB36" s="478"/>
      <c r="AC36" s="478"/>
    </row>
    <row r="37" spans="1:29">
      <c r="A37" s="478"/>
      <c r="B37" s="478"/>
      <c r="C37" s="478"/>
      <c r="D37" s="478"/>
      <c r="E37" s="478"/>
      <c r="F37" s="478"/>
      <c r="G37" s="478"/>
      <c r="H37" s="478"/>
      <c r="I37" s="478"/>
      <c r="J37" s="478"/>
      <c r="K37" s="478"/>
      <c r="L37" s="478"/>
      <c r="M37" s="478"/>
      <c r="N37" s="478"/>
      <c r="O37" s="478"/>
      <c r="P37" s="478"/>
      <c r="Q37" s="478"/>
      <c r="R37" s="478"/>
      <c r="S37" s="478"/>
      <c r="T37" s="478"/>
      <c r="U37" s="478"/>
      <c r="V37" s="478"/>
      <c r="W37" s="478"/>
      <c r="X37" s="478"/>
      <c r="Y37" s="478"/>
      <c r="Z37" s="478"/>
      <c r="AA37" s="478"/>
      <c r="AB37" s="478"/>
      <c r="AC37" s="478"/>
    </row>
    <row r="38" spans="1:29">
      <c r="A38" s="478"/>
      <c r="B38" s="478"/>
      <c r="C38" s="478"/>
      <c r="D38" s="478"/>
      <c r="E38" s="478"/>
      <c r="F38" s="478"/>
      <c r="G38" s="478"/>
      <c r="H38" s="478"/>
      <c r="I38" s="478"/>
      <c r="J38" s="478"/>
      <c r="K38" s="478"/>
      <c r="L38" s="478"/>
      <c r="M38" s="478"/>
      <c r="N38" s="478"/>
      <c r="O38" s="478"/>
      <c r="P38" s="478"/>
      <c r="Q38" s="478"/>
      <c r="R38" s="478"/>
      <c r="S38" s="478"/>
      <c r="T38" s="478"/>
      <c r="U38" s="478"/>
      <c r="V38" s="478"/>
      <c r="W38" s="478"/>
      <c r="X38" s="478"/>
      <c r="Y38" s="478"/>
      <c r="Z38" s="478"/>
      <c r="AA38" s="478"/>
      <c r="AB38" s="478"/>
      <c r="AC38" s="478"/>
    </row>
    <row r="39" spans="1:29">
      <c r="A39" s="478"/>
      <c r="B39" s="478"/>
      <c r="C39" s="478"/>
      <c r="D39" s="478"/>
      <c r="E39" s="478"/>
      <c r="F39" s="478"/>
      <c r="G39" s="478"/>
      <c r="H39" s="478"/>
      <c r="I39" s="478"/>
      <c r="J39" s="478"/>
      <c r="K39" s="478"/>
      <c r="L39" s="478"/>
      <c r="M39" s="478"/>
      <c r="N39" s="478"/>
      <c r="O39" s="478"/>
      <c r="P39" s="478"/>
      <c r="Q39" s="478"/>
      <c r="R39" s="478"/>
      <c r="S39" s="478"/>
      <c r="T39" s="478"/>
      <c r="U39" s="478"/>
      <c r="V39" s="478"/>
      <c r="W39" s="478"/>
      <c r="X39" s="478"/>
      <c r="Y39" s="478"/>
      <c r="Z39" s="478"/>
      <c r="AA39" s="478"/>
      <c r="AB39" s="478"/>
      <c r="AC39" s="478"/>
    </row>
    <row r="40" spans="1:29">
      <c r="A40" s="478"/>
      <c r="B40" s="478"/>
      <c r="C40" s="478"/>
      <c r="D40" s="478"/>
      <c r="E40" s="478"/>
      <c r="F40" s="478"/>
      <c r="G40" s="478"/>
      <c r="H40" s="478"/>
      <c r="I40" s="478"/>
      <c r="J40" s="478"/>
      <c r="K40" s="478"/>
      <c r="L40" s="478"/>
      <c r="M40" s="478"/>
      <c r="N40" s="478"/>
      <c r="O40" s="478"/>
      <c r="P40" s="478"/>
      <c r="Q40" s="478"/>
      <c r="R40" s="478"/>
      <c r="S40" s="478"/>
      <c r="T40" s="478"/>
      <c r="U40" s="478"/>
      <c r="V40" s="478"/>
      <c r="W40" s="478"/>
      <c r="X40" s="478"/>
      <c r="Y40" s="478"/>
      <c r="Z40" s="478"/>
      <c r="AA40" s="478"/>
      <c r="AB40" s="478"/>
      <c r="AC40" s="478"/>
    </row>
    <row r="41" spans="1:29">
      <c r="A41" s="478"/>
      <c r="B41" s="478"/>
      <c r="C41" s="478"/>
      <c r="D41" s="478"/>
      <c r="E41" s="478"/>
      <c r="F41" s="478"/>
      <c r="G41" s="478"/>
      <c r="H41" s="478"/>
      <c r="I41" s="478"/>
      <c r="J41" s="478"/>
      <c r="K41" s="478"/>
      <c r="L41" s="478"/>
      <c r="M41" s="478"/>
      <c r="N41" s="478"/>
      <c r="O41" s="478"/>
      <c r="P41" s="478"/>
      <c r="Q41" s="478"/>
      <c r="R41" s="478"/>
      <c r="S41" s="478"/>
      <c r="T41" s="478"/>
      <c r="U41" s="478"/>
      <c r="V41" s="478"/>
      <c r="W41" s="478"/>
      <c r="X41" s="478"/>
      <c r="Y41" s="478"/>
      <c r="Z41" s="478"/>
      <c r="AA41" s="478"/>
      <c r="AB41" s="478"/>
      <c r="AC41" s="478"/>
    </row>
    <row r="42" spans="1:29">
      <c r="A42" s="478"/>
      <c r="B42" s="478"/>
      <c r="C42" s="478"/>
      <c r="D42" s="478"/>
      <c r="E42" s="478"/>
      <c r="F42" s="478"/>
      <c r="G42" s="478"/>
      <c r="H42" s="478"/>
      <c r="I42" s="478"/>
      <c r="J42" s="478"/>
      <c r="K42" s="478"/>
      <c r="L42" s="478"/>
      <c r="M42" s="478"/>
      <c r="N42" s="478"/>
      <c r="O42" s="478"/>
      <c r="P42" s="478"/>
      <c r="Q42" s="478"/>
      <c r="R42" s="478"/>
      <c r="S42" s="478"/>
      <c r="T42" s="478"/>
      <c r="U42" s="478"/>
      <c r="V42" s="478"/>
      <c r="W42" s="478"/>
      <c r="X42" s="478"/>
      <c r="Y42" s="478"/>
      <c r="Z42" s="478"/>
      <c r="AA42" s="478"/>
      <c r="AB42" s="478"/>
      <c r="AC42" s="478"/>
    </row>
    <row r="43" spans="1:29">
      <c r="A43" s="478"/>
      <c r="B43" s="478"/>
      <c r="C43" s="478"/>
      <c r="D43" s="478"/>
      <c r="E43" s="478"/>
      <c r="F43" s="478"/>
      <c r="G43" s="478"/>
      <c r="H43" s="478"/>
      <c r="I43" s="478"/>
      <c r="J43" s="478"/>
      <c r="K43" s="478"/>
      <c r="L43" s="478"/>
      <c r="M43" s="478"/>
      <c r="N43" s="478"/>
      <c r="O43" s="478"/>
      <c r="P43" s="478"/>
      <c r="Q43" s="478"/>
      <c r="R43" s="478"/>
      <c r="S43" s="478"/>
      <c r="T43" s="478"/>
      <c r="U43" s="478"/>
      <c r="V43" s="478"/>
      <c r="W43" s="478"/>
      <c r="X43" s="478"/>
      <c r="Y43" s="478"/>
      <c r="Z43" s="478"/>
      <c r="AA43" s="478"/>
      <c r="AB43" s="478"/>
      <c r="AC43" s="478"/>
    </row>
    <row r="44" spans="1:29">
      <c r="A44" s="478"/>
      <c r="B44" s="478"/>
      <c r="C44" s="478"/>
      <c r="D44" s="478"/>
      <c r="E44" s="478"/>
      <c r="F44" s="478"/>
      <c r="G44" s="478"/>
      <c r="H44" s="478"/>
      <c r="I44" s="478"/>
      <c r="J44" s="478"/>
      <c r="K44" s="478"/>
      <c r="L44" s="478"/>
      <c r="M44" s="478"/>
      <c r="N44" s="478"/>
      <c r="O44" s="478"/>
      <c r="P44" s="478"/>
      <c r="Q44" s="478"/>
      <c r="R44" s="478"/>
      <c r="S44" s="478"/>
      <c r="T44" s="478"/>
      <c r="U44" s="478"/>
      <c r="V44" s="478"/>
      <c r="W44" s="478"/>
      <c r="X44" s="478"/>
      <c r="Y44" s="478"/>
      <c r="Z44" s="478"/>
      <c r="AA44" s="478"/>
      <c r="AB44" s="478"/>
      <c r="AC44" s="478"/>
    </row>
    <row r="45" spans="1:29">
      <c r="A45" s="478"/>
      <c r="B45" s="478"/>
      <c r="C45" s="478"/>
      <c r="D45" s="478"/>
      <c r="E45" s="478"/>
      <c r="F45" s="478"/>
      <c r="G45" s="478"/>
      <c r="H45" s="478"/>
      <c r="I45" s="478"/>
      <c r="J45" s="478"/>
      <c r="K45" s="478"/>
      <c r="L45" s="478"/>
      <c r="M45" s="478"/>
      <c r="N45" s="478"/>
      <c r="O45" s="478"/>
      <c r="P45" s="478"/>
      <c r="Q45" s="478"/>
      <c r="R45" s="478"/>
      <c r="S45" s="478"/>
      <c r="T45" s="478"/>
      <c r="U45" s="478"/>
      <c r="V45" s="478"/>
      <c r="W45" s="478"/>
      <c r="X45" s="478"/>
      <c r="Y45" s="478"/>
      <c r="Z45" s="478"/>
      <c r="AA45" s="478"/>
      <c r="AB45" s="478"/>
      <c r="AC45" s="478"/>
    </row>
    <row r="46" spans="1:29">
      <c r="A46" s="478"/>
      <c r="B46" s="478"/>
      <c r="C46" s="478"/>
      <c r="D46" s="478"/>
      <c r="E46" s="478"/>
      <c r="F46" s="478"/>
      <c r="G46" s="478"/>
      <c r="H46" s="478"/>
      <c r="I46" s="478"/>
      <c r="J46" s="478"/>
      <c r="K46" s="478"/>
      <c r="L46" s="478"/>
      <c r="M46" s="478"/>
      <c r="N46" s="478"/>
      <c r="O46" s="478"/>
      <c r="P46" s="478"/>
      <c r="Q46" s="478"/>
      <c r="R46" s="478"/>
      <c r="S46" s="478"/>
      <c r="T46" s="478"/>
      <c r="U46" s="478"/>
      <c r="V46" s="478"/>
      <c r="W46" s="478"/>
      <c r="X46" s="478"/>
      <c r="Y46" s="478"/>
      <c r="Z46" s="478"/>
      <c r="AA46" s="478"/>
      <c r="AB46" s="478"/>
      <c r="AC46" s="478"/>
    </row>
    <row r="47" spans="1:29">
      <c r="A47" s="478"/>
      <c r="B47" s="478"/>
      <c r="C47" s="478"/>
      <c r="D47" s="478"/>
      <c r="E47" s="478"/>
      <c r="F47" s="478"/>
      <c r="G47" s="478"/>
      <c r="H47" s="478"/>
      <c r="I47" s="478"/>
      <c r="J47" s="478"/>
      <c r="K47" s="478"/>
      <c r="L47" s="478"/>
      <c r="M47" s="478"/>
      <c r="N47" s="478"/>
      <c r="O47" s="478"/>
      <c r="P47" s="478"/>
      <c r="Q47" s="478"/>
      <c r="R47" s="478"/>
      <c r="S47" s="478"/>
      <c r="T47" s="478"/>
      <c r="U47" s="478"/>
      <c r="V47" s="478"/>
      <c r="W47" s="478"/>
      <c r="X47" s="478"/>
      <c r="Y47" s="478"/>
      <c r="Z47" s="478"/>
      <c r="AA47" s="478"/>
      <c r="AB47" s="478"/>
      <c r="AC47" s="478"/>
    </row>
    <row r="48" spans="1:29">
      <c r="A48" s="478"/>
      <c r="B48" s="478"/>
      <c r="C48" s="478"/>
      <c r="D48" s="478"/>
      <c r="E48" s="478"/>
      <c r="F48" s="478"/>
      <c r="G48" s="478"/>
      <c r="H48" s="478"/>
      <c r="I48" s="478"/>
      <c r="J48" s="478"/>
      <c r="K48" s="478"/>
      <c r="L48" s="478"/>
      <c r="M48" s="478"/>
      <c r="N48" s="478"/>
      <c r="O48" s="478"/>
      <c r="P48" s="478"/>
      <c r="Q48" s="478"/>
      <c r="R48" s="478"/>
      <c r="S48" s="478"/>
      <c r="T48" s="478"/>
      <c r="U48" s="478"/>
      <c r="V48" s="478"/>
      <c r="W48" s="478"/>
      <c r="X48" s="478"/>
      <c r="Y48" s="478"/>
      <c r="Z48" s="478"/>
      <c r="AA48" s="478"/>
      <c r="AB48" s="478"/>
      <c r="AC48" s="478"/>
    </row>
    <row r="49" spans="1:29">
      <c r="A49" s="478"/>
      <c r="B49" s="478"/>
      <c r="C49" s="478"/>
      <c r="D49" s="478"/>
      <c r="E49" s="478"/>
      <c r="F49" s="478"/>
      <c r="G49" s="478"/>
      <c r="H49" s="478"/>
      <c r="I49" s="478"/>
      <c r="J49" s="478"/>
      <c r="K49" s="478"/>
      <c r="L49" s="478"/>
      <c r="M49" s="478"/>
      <c r="N49" s="478"/>
      <c r="O49" s="478"/>
      <c r="P49" s="478"/>
      <c r="Q49" s="478"/>
      <c r="R49" s="478"/>
      <c r="S49" s="478"/>
      <c r="T49" s="478"/>
      <c r="U49" s="478"/>
      <c r="V49" s="478"/>
      <c r="W49" s="478"/>
      <c r="X49" s="478"/>
      <c r="Y49" s="478"/>
      <c r="Z49" s="478"/>
      <c r="AA49" s="478"/>
      <c r="AB49" s="478"/>
      <c r="AC49" s="478"/>
    </row>
    <row r="50" spans="1:29">
      <c r="A50" s="478"/>
      <c r="B50" s="478"/>
      <c r="C50" s="478"/>
      <c r="D50" s="478"/>
      <c r="E50" s="478"/>
      <c r="F50" s="478"/>
      <c r="G50" s="478"/>
      <c r="H50" s="478"/>
      <c r="I50" s="478"/>
      <c r="J50" s="478"/>
      <c r="K50" s="478"/>
      <c r="L50" s="478"/>
      <c r="M50" s="478"/>
      <c r="N50" s="478"/>
      <c r="O50" s="478"/>
      <c r="P50" s="478"/>
      <c r="Q50" s="478"/>
      <c r="R50" s="478"/>
      <c r="S50" s="478"/>
      <c r="T50" s="478"/>
      <c r="U50" s="478"/>
      <c r="V50" s="478"/>
      <c r="W50" s="478"/>
      <c r="X50" s="478"/>
      <c r="Y50" s="478"/>
      <c r="Z50" s="478"/>
      <c r="AA50" s="478"/>
      <c r="AB50" s="478"/>
      <c r="AC50" s="478"/>
    </row>
    <row r="51" spans="1:29">
      <c r="A51" s="478"/>
      <c r="B51" s="478"/>
      <c r="C51" s="478"/>
      <c r="D51" s="478"/>
      <c r="E51" s="478"/>
      <c r="F51" s="478"/>
      <c r="G51" s="478"/>
      <c r="H51" s="478"/>
      <c r="I51" s="478"/>
      <c r="J51" s="478"/>
      <c r="K51" s="478"/>
      <c r="L51" s="478"/>
      <c r="M51" s="478"/>
      <c r="N51" s="478"/>
      <c r="O51" s="478"/>
      <c r="P51" s="478"/>
      <c r="Q51" s="478"/>
      <c r="R51" s="478"/>
      <c r="S51" s="478"/>
      <c r="T51" s="478"/>
      <c r="U51" s="478"/>
      <c r="V51" s="478"/>
      <c r="W51" s="478"/>
      <c r="X51" s="478"/>
      <c r="Y51" s="478"/>
      <c r="Z51" s="478"/>
      <c r="AA51" s="478"/>
      <c r="AB51" s="478"/>
      <c r="AC51" s="478"/>
    </row>
    <row r="52" spans="1:29">
      <c r="A52" s="478"/>
      <c r="B52" s="478"/>
      <c r="C52" s="478"/>
      <c r="D52" s="478"/>
      <c r="E52" s="478"/>
      <c r="F52" s="478"/>
      <c r="G52" s="478"/>
      <c r="H52" s="478"/>
      <c r="I52" s="478"/>
      <c r="J52" s="478"/>
      <c r="K52" s="478"/>
      <c r="L52" s="478"/>
      <c r="M52" s="478"/>
      <c r="N52" s="478"/>
      <c r="O52" s="478"/>
      <c r="P52" s="478"/>
      <c r="Q52" s="478"/>
      <c r="R52" s="478"/>
      <c r="S52" s="478"/>
      <c r="T52" s="478"/>
      <c r="U52" s="478"/>
      <c r="V52" s="478"/>
      <c r="W52" s="478"/>
      <c r="X52" s="478"/>
      <c r="Y52" s="478"/>
      <c r="Z52" s="478"/>
      <c r="AA52" s="478"/>
      <c r="AB52" s="478"/>
      <c r="AC52" s="478"/>
    </row>
    <row r="53" spans="1:29">
      <c r="A53" s="478"/>
      <c r="B53" s="478"/>
      <c r="C53" s="478"/>
      <c r="D53" s="478"/>
      <c r="E53" s="478"/>
      <c r="F53" s="478"/>
      <c r="G53" s="478"/>
      <c r="H53" s="478"/>
      <c r="I53" s="478"/>
      <c r="J53" s="478"/>
      <c r="K53" s="478"/>
      <c r="L53" s="478"/>
      <c r="M53" s="478"/>
      <c r="N53" s="478"/>
      <c r="O53" s="478"/>
      <c r="P53" s="478"/>
      <c r="Q53" s="478"/>
      <c r="R53" s="478"/>
      <c r="S53" s="478"/>
      <c r="T53" s="478"/>
      <c r="U53" s="478"/>
      <c r="V53" s="478"/>
      <c r="W53" s="478"/>
      <c r="X53" s="478"/>
      <c r="Y53" s="478"/>
      <c r="Z53" s="478"/>
      <c r="AA53" s="478"/>
      <c r="AB53" s="478"/>
      <c r="AC53" s="478"/>
    </row>
    <row r="54" spans="1:29">
      <c r="A54" s="478"/>
      <c r="B54" s="478"/>
      <c r="C54" s="478"/>
      <c r="D54" s="478"/>
      <c r="E54" s="478"/>
      <c r="F54" s="478"/>
      <c r="G54" s="478"/>
      <c r="H54" s="478"/>
      <c r="I54" s="478"/>
      <c r="J54" s="478"/>
      <c r="K54" s="478"/>
      <c r="L54" s="478"/>
      <c r="M54" s="478"/>
      <c r="N54" s="478"/>
      <c r="O54" s="478"/>
      <c r="P54" s="478"/>
      <c r="Q54" s="478"/>
      <c r="R54" s="478"/>
      <c r="S54" s="478"/>
      <c r="T54" s="478"/>
      <c r="U54" s="478"/>
      <c r="V54" s="478"/>
      <c r="W54" s="478"/>
      <c r="X54" s="478"/>
      <c r="Y54" s="478"/>
      <c r="Z54" s="478"/>
      <c r="AA54" s="478"/>
      <c r="AB54" s="478"/>
      <c r="AC54" s="478"/>
    </row>
    <row r="55" spans="1:29">
      <c r="A55" s="478"/>
      <c r="B55" s="478"/>
      <c r="C55" s="478"/>
      <c r="D55" s="478"/>
      <c r="E55" s="478"/>
      <c r="F55" s="478"/>
      <c r="G55" s="478"/>
      <c r="H55" s="478"/>
      <c r="I55" s="478"/>
      <c r="J55" s="478"/>
      <c r="K55" s="478"/>
      <c r="L55" s="478"/>
      <c r="M55" s="478"/>
      <c r="N55" s="478"/>
      <c r="O55" s="478"/>
      <c r="P55" s="478"/>
      <c r="Q55" s="478"/>
      <c r="R55" s="478"/>
      <c r="S55" s="478"/>
      <c r="T55" s="478"/>
      <c r="U55" s="478"/>
      <c r="V55" s="478"/>
      <c r="W55" s="478"/>
      <c r="X55" s="478"/>
      <c r="Y55" s="478"/>
      <c r="Z55" s="478"/>
      <c r="AA55" s="478"/>
      <c r="AB55" s="478"/>
      <c r="AC55" s="478"/>
    </row>
    <row r="56" spans="1:29">
      <c r="A56" s="478"/>
      <c r="B56" s="478"/>
      <c r="C56" s="478"/>
      <c r="D56" s="478"/>
      <c r="E56" s="478"/>
      <c r="F56" s="478"/>
      <c r="G56" s="478"/>
      <c r="H56" s="478"/>
      <c r="I56" s="478"/>
      <c r="J56" s="478"/>
      <c r="K56" s="478"/>
      <c r="L56" s="478"/>
      <c r="M56" s="478"/>
      <c r="N56" s="478"/>
      <c r="O56" s="478"/>
      <c r="P56" s="478"/>
      <c r="Q56" s="478"/>
      <c r="R56" s="478"/>
      <c r="S56" s="478"/>
      <c r="T56" s="478"/>
      <c r="U56" s="478"/>
      <c r="V56" s="478"/>
      <c r="W56" s="478"/>
      <c r="X56" s="478"/>
      <c r="Y56" s="478"/>
      <c r="Z56" s="478"/>
      <c r="AA56" s="478"/>
      <c r="AB56" s="478"/>
      <c r="AC56" s="478"/>
    </row>
    <row r="57" spans="1:29">
      <c r="A57" s="478"/>
      <c r="B57" s="478"/>
      <c r="C57" s="478"/>
      <c r="D57" s="478"/>
      <c r="E57" s="478"/>
      <c r="F57" s="478"/>
      <c r="G57" s="478"/>
      <c r="H57" s="478"/>
      <c r="I57" s="478"/>
      <c r="J57" s="478"/>
      <c r="K57" s="478"/>
      <c r="L57" s="478"/>
      <c r="M57" s="478"/>
      <c r="N57" s="478"/>
      <c r="O57" s="478"/>
      <c r="P57" s="478"/>
      <c r="Q57" s="478"/>
      <c r="R57" s="478"/>
      <c r="S57" s="478"/>
      <c r="T57" s="478"/>
      <c r="U57" s="478"/>
      <c r="V57" s="478"/>
      <c r="W57" s="478"/>
      <c r="X57" s="478"/>
      <c r="Y57" s="478"/>
      <c r="Z57" s="478"/>
      <c r="AA57" s="478"/>
      <c r="AB57" s="478"/>
      <c r="AC57" s="478"/>
    </row>
    <row r="58" spans="1:29">
      <c r="A58" s="478"/>
      <c r="B58" s="478"/>
      <c r="C58" s="478"/>
      <c r="D58" s="478"/>
      <c r="E58" s="478"/>
      <c r="F58" s="478"/>
      <c r="G58" s="478"/>
      <c r="H58" s="478"/>
      <c r="I58" s="478"/>
      <c r="J58" s="478"/>
      <c r="K58" s="478"/>
      <c r="L58" s="478"/>
      <c r="M58" s="478"/>
      <c r="N58" s="478"/>
      <c r="O58" s="478"/>
      <c r="P58" s="478"/>
      <c r="Q58" s="478"/>
      <c r="R58" s="478"/>
      <c r="S58" s="478"/>
      <c r="T58" s="478"/>
      <c r="U58" s="478"/>
      <c r="V58" s="478"/>
      <c r="W58" s="478"/>
      <c r="X58" s="478"/>
      <c r="Y58" s="478"/>
      <c r="Z58" s="478"/>
      <c r="AA58" s="478"/>
      <c r="AB58" s="478"/>
      <c r="AC58" s="478"/>
    </row>
    <row r="59" spans="1:29">
      <c r="A59" s="478"/>
      <c r="B59" s="478"/>
      <c r="C59" s="478"/>
      <c r="D59" s="478"/>
      <c r="E59" s="478"/>
      <c r="F59" s="478"/>
      <c r="G59" s="478"/>
      <c r="H59" s="478"/>
      <c r="I59" s="478"/>
      <c r="J59" s="478"/>
      <c r="K59" s="478"/>
      <c r="L59" s="478"/>
      <c r="M59" s="478"/>
      <c r="N59" s="478"/>
      <c r="O59" s="478"/>
      <c r="P59" s="478"/>
      <c r="Q59" s="478"/>
      <c r="R59" s="478"/>
      <c r="S59" s="478"/>
      <c r="T59" s="478"/>
      <c r="U59" s="478"/>
      <c r="V59" s="478"/>
      <c r="W59" s="478"/>
      <c r="X59" s="478"/>
      <c r="Y59" s="478"/>
      <c r="Z59" s="478"/>
      <c r="AA59" s="478"/>
      <c r="AB59" s="478"/>
      <c r="AC59" s="478"/>
    </row>
    <row r="60" spans="1:29">
      <c r="A60" s="478"/>
      <c r="B60" s="478"/>
      <c r="C60" s="478"/>
      <c r="D60" s="478"/>
      <c r="E60" s="478"/>
      <c r="F60" s="478"/>
      <c r="G60" s="478"/>
      <c r="H60" s="478"/>
      <c r="I60" s="478"/>
      <c r="J60" s="478"/>
      <c r="K60" s="478"/>
      <c r="L60" s="478"/>
      <c r="M60" s="478"/>
      <c r="N60" s="478"/>
      <c r="O60" s="478"/>
      <c r="P60" s="478"/>
      <c r="Q60" s="478"/>
      <c r="R60" s="478"/>
      <c r="S60" s="478"/>
      <c r="T60" s="478"/>
      <c r="U60" s="478"/>
      <c r="V60" s="478"/>
      <c r="W60" s="478"/>
      <c r="X60" s="478"/>
      <c r="Y60" s="478"/>
      <c r="Z60" s="478"/>
      <c r="AA60" s="478"/>
      <c r="AB60" s="478"/>
      <c r="AC60" s="478"/>
    </row>
    <row r="61" spans="1:29">
      <c r="A61" s="478"/>
      <c r="B61" s="478"/>
      <c r="C61" s="478"/>
      <c r="D61" s="478"/>
      <c r="E61" s="478"/>
      <c r="F61" s="478"/>
      <c r="G61" s="478"/>
      <c r="H61" s="478"/>
      <c r="I61" s="478"/>
      <c r="J61" s="478"/>
      <c r="K61" s="478"/>
      <c r="L61" s="478"/>
      <c r="M61" s="478"/>
      <c r="N61" s="478"/>
      <c r="O61" s="478"/>
      <c r="P61" s="478"/>
      <c r="Q61" s="478"/>
      <c r="R61" s="478"/>
      <c r="S61" s="478"/>
      <c r="T61" s="478"/>
      <c r="U61" s="478"/>
      <c r="V61" s="478"/>
      <c r="W61" s="478"/>
      <c r="X61" s="478"/>
      <c r="Y61" s="478"/>
      <c r="Z61" s="478"/>
      <c r="AA61" s="478"/>
      <c r="AB61" s="478"/>
      <c r="AC61" s="478"/>
    </row>
    <row r="62" spans="1:29">
      <c r="A62" s="478"/>
      <c r="B62" s="478"/>
      <c r="C62" s="478"/>
      <c r="D62" s="478"/>
      <c r="E62" s="478"/>
      <c r="F62" s="478"/>
      <c r="G62" s="478"/>
      <c r="H62" s="478"/>
      <c r="I62" s="478"/>
      <c r="J62" s="478"/>
      <c r="K62" s="478"/>
      <c r="L62" s="478"/>
      <c r="M62" s="478"/>
      <c r="N62" s="478"/>
      <c r="O62" s="478"/>
      <c r="P62" s="478"/>
      <c r="Q62" s="478"/>
      <c r="R62" s="478"/>
      <c r="S62" s="478"/>
      <c r="T62" s="478"/>
      <c r="U62" s="478"/>
      <c r="V62" s="478"/>
      <c r="W62" s="478"/>
      <c r="X62" s="478"/>
      <c r="Y62" s="478"/>
      <c r="Z62" s="478"/>
      <c r="AA62" s="478"/>
      <c r="AB62" s="478"/>
      <c r="AC62" s="478"/>
    </row>
    <row r="63" spans="1:29">
      <c r="A63" s="478"/>
      <c r="B63" s="478"/>
      <c r="C63" s="478"/>
      <c r="D63" s="478"/>
      <c r="E63" s="478"/>
      <c r="F63" s="478"/>
      <c r="G63" s="478"/>
      <c r="H63" s="478"/>
      <c r="I63" s="478"/>
      <c r="J63" s="478"/>
      <c r="K63" s="478"/>
      <c r="L63" s="478"/>
      <c r="M63" s="478"/>
      <c r="N63" s="478"/>
      <c r="O63" s="478"/>
      <c r="P63" s="478"/>
      <c r="Q63" s="478"/>
      <c r="R63" s="478"/>
      <c r="S63" s="478"/>
      <c r="T63" s="478"/>
      <c r="U63" s="478"/>
      <c r="V63" s="478"/>
      <c r="W63" s="478"/>
      <c r="X63" s="478"/>
      <c r="Y63" s="478"/>
      <c r="Z63" s="478"/>
      <c r="AA63" s="478"/>
      <c r="AB63" s="478"/>
      <c r="AC63" s="478"/>
    </row>
    <row r="64" spans="1:29">
      <c r="A64" s="478"/>
      <c r="B64" s="478"/>
      <c r="C64" s="478"/>
      <c r="D64" s="478"/>
      <c r="E64" s="478"/>
      <c r="F64" s="478"/>
      <c r="G64" s="478"/>
      <c r="H64" s="478"/>
      <c r="I64" s="478"/>
      <c r="J64" s="478"/>
      <c r="K64" s="478"/>
      <c r="L64" s="478"/>
      <c r="M64" s="478"/>
      <c r="N64" s="478"/>
      <c r="O64" s="478"/>
      <c r="P64" s="478"/>
      <c r="Q64" s="478"/>
      <c r="R64" s="478"/>
      <c r="S64" s="478"/>
      <c r="T64" s="478"/>
      <c r="U64" s="478"/>
      <c r="V64" s="478"/>
      <c r="W64" s="478"/>
      <c r="X64" s="478"/>
      <c r="Y64" s="478"/>
      <c r="Z64" s="478"/>
      <c r="AA64" s="478"/>
      <c r="AB64" s="478"/>
      <c r="AC64" s="478"/>
    </row>
    <row r="65" spans="1:29">
      <c r="A65" s="478"/>
      <c r="B65" s="478"/>
      <c r="C65" s="478"/>
      <c r="D65" s="478"/>
      <c r="E65" s="478"/>
      <c r="F65" s="478"/>
      <c r="G65" s="478"/>
      <c r="H65" s="478"/>
      <c r="I65" s="478"/>
      <c r="J65" s="478"/>
      <c r="K65" s="478"/>
      <c r="L65" s="478"/>
      <c r="M65" s="478"/>
      <c r="N65" s="478"/>
      <c r="O65" s="478"/>
      <c r="P65" s="478"/>
      <c r="Q65" s="478"/>
      <c r="R65" s="478"/>
      <c r="S65" s="478"/>
      <c r="T65" s="478"/>
      <c r="U65" s="478"/>
      <c r="V65" s="478"/>
      <c r="W65" s="478"/>
      <c r="X65" s="478"/>
      <c r="Y65" s="478"/>
      <c r="Z65" s="478"/>
      <c r="AA65" s="478"/>
      <c r="AB65" s="478"/>
      <c r="AC65" s="478"/>
    </row>
    <row r="66" spans="1:29">
      <c r="A66" s="478"/>
      <c r="B66" s="478"/>
      <c r="C66" s="478"/>
      <c r="D66" s="478"/>
      <c r="E66" s="478"/>
      <c r="F66" s="478"/>
      <c r="G66" s="478"/>
      <c r="H66" s="478"/>
      <c r="I66" s="478"/>
      <c r="J66" s="478"/>
      <c r="K66" s="478"/>
      <c r="L66" s="478"/>
      <c r="M66" s="478"/>
      <c r="N66" s="478"/>
      <c r="O66" s="478"/>
      <c r="P66" s="478"/>
      <c r="Q66" s="478"/>
      <c r="R66" s="478"/>
      <c r="S66" s="478"/>
      <c r="T66" s="478"/>
      <c r="U66" s="478"/>
      <c r="V66" s="478"/>
      <c r="W66" s="478"/>
      <c r="X66" s="478"/>
      <c r="Y66" s="478"/>
      <c r="Z66" s="478"/>
      <c r="AA66" s="478"/>
      <c r="AB66" s="478"/>
      <c r="AC66" s="478"/>
    </row>
    <row r="67" spans="1:29">
      <c r="A67" s="478"/>
      <c r="B67" s="478"/>
      <c r="C67" s="478"/>
      <c r="D67" s="478"/>
      <c r="E67" s="478"/>
      <c r="F67" s="478"/>
      <c r="G67" s="478"/>
      <c r="H67" s="478"/>
      <c r="I67" s="478"/>
      <c r="J67" s="478"/>
      <c r="K67" s="478"/>
      <c r="L67" s="478"/>
      <c r="M67" s="478"/>
      <c r="N67" s="478"/>
      <c r="O67" s="478"/>
      <c r="P67" s="478"/>
      <c r="Q67" s="478"/>
      <c r="R67" s="478"/>
      <c r="S67" s="478"/>
      <c r="T67" s="478"/>
      <c r="U67" s="478"/>
      <c r="V67" s="478"/>
      <c r="W67" s="478"/>
      <c r="X67" s="478"/>
      <c r="Y67" s="478"/>
      <c r="Z67" s="478"/>
      <c r="AA67" s="478"/>
      <c r="AB67" s="478"/>
      <c r="AC67" s="478"/>
    </row>
    <row r="68" spans="1:29">
      <c r="A68" s="478"/>
      <c r="B68" s="478"/>
      <c r="C68" s="478"/>
      <c r="D68" s="478"/>
      <c r="E68" s="478"/>
      <c r="F68" s="478"/>
      <c r="G68" s="478"/>
      <c r="H68" s="478"/>
      <c r="I68" s="478"/>
      <c r="J68" s="478"/>
      <c r="K68" s="478"/>
      <c r="L68" s="478"/>
      <c r="M68" s="478"/>
      <c r="N68" s="478"/>
      <c r="O68" s="478"/>
      <c r="P68" s="478"/>
      <c r="Q68" s="478"/>
      <c r="R68" s="478"/>
      <c r="S68" s="478"/>
      <c r="T68" s="478"/>
      <c r="U68" s="478"/>
      <c r="V68" s="478"/>
      <c r="W68" s="478"/>
      <c r="X68" s="478"/>
      <c r="Y68" s="478"/>
      <c r="Z68" s="478"/>
      <c r="AA68" s="478"/>
      <c r="AB68" s="478"/>
      <c r="AC68" s="478"/>
    </row>
    <row r="69" spans="1:29">
      <c r="A69" s="478"/>
      <c r="B69" s="478"/>
      <c r="C69" s="478"/>
      <c r="D69" s="478"/>
      <c r="E69" s="478"/>
      <c r="F69" s="478"/>
      <c r="G69" s="478"/>
      <c r="H69" s="478"/>
      <c r="I69" s="478"/>
      <c r="J69" s="478"/>
      <c r="K69" s="478"/>
      <c r="L69" s="478"/>
      <c r="M69" s="478"/>
      <c r="N69" s="478"/>
      <c r="O69" s="478"/>
      <c r="P69" s="478"/>
      <c r="Q69" s="478"/>
      <c r="R69" s="478"/>
      <c r="S69" s="478"/>
      <c r="T69" s="478"/>
      <c r="U69" s="478"/>
      <c r="V69" s="478"/>
      <c r="W69" s="478"/>
      <c r="X69" s="478"/>
      <c r="Y69" s="478"/>
      <c r="Z69" s="478"/>
      <c r="AA69" s="478"/>
      <c r="AB69" s="478"/>
      <c r="AC69" s="478"/>
    </row>
    <row r="70" spans="1:29">
      <c r="A70" s="478"/>
      <c r="B70" s="478"/>
      <c r="C70" s="478"/>
      <c r="D70" s="478"/>
      <c r="E70" s="478"/>
      <c r="F70" s="478"/>
      <c r="G70" s="478"/>
      <c r="H70" s="478"/>
      <c r="I70" s="478"/>
      <c r="J70" s="478"/>
      <c r="K70" s="478"/>
      <c r="L70" s="478"/>
      <c r="M70" s="478"/>
      <c r="N70" s="478"/>
      <c r="O70" s="478"/>
      <c r="P70" s="478"/>
      <c r="Q70" s="478"/>
      <c r="R70" s="478"/>
      <c r="S70" s="478"/>
      <c r="T70" s="478"/>
      <c r="U70" s="478"/>
      <c r="V70" s="478"/>
      <c r="W70" s="478"/>
      <c r="X70" s="478"/>
      <c r="Y70" s="478"/>
      <c r="Z70" s="478"/>
      <c r="AA70" s="478"/>
      <c r="AB70" s="478"/>
      <c r="AC70" s="478"/>
    </row>
    <row r="71" spans="1:29">
      <c r="A71" s="478"/>
      <c r="B71" s="478"/>
      <c r="C71" s="478"/>
      <c r="D71" s="478"/>
      <c r="E71" s="478"/>
      <c r="F71" s="478"/>
      <c r="G71" s="478"/>
      <c r="H71" s="478"/>
      <c r="I71" s="478"/>
      <c r="J71" s="478"/>
      <c r="K71" s="478"/>
      <c r="L71" s="478"/>
      <c r="M71" s="478"/>
      <c r="N71" s="478"/>
      <c r="O71" s="478"/>
      <c r="P71" s="478"/>
      <c r="Q71" s="478"/>
      <c r="R71" s="478"/>
      <c r="S71" s="478"/>
      <c r="T71" s="478"/>
      <c r="U71" s="478"/>
      <c r="V71" s="478"/>
      <c r="W71" s="478"/>
      <c r="X71" s="478"/>
      <c r="Y71" s="478"/>
      <c r="Z71" s="478"/>
      <c r="AA71" s="478"/>
      <c r="AB71" s="478"/>
      <c r="AC71" s="478"/>
    </row>
    <row r="72" spans="1:29">
      <c r="A72" s="478"/>
      <c r="B72" s="478"/>
      <c r="C72" s="478"/>
      <c r="D72" s="478"/>
      <c r="E72" s="478"/>
      <c r="F72" s="478"/>
      <c r="G72" s="478"/>
      <c r="H72" s="478"/>
      <c r="I72" s="478"/>
      <c r="J72" s="478"/>
      <c r="K72" s="478"/>
      <c r="L72" s="478"/>
      <c r="M72" s="478"/>
      <c r="N72" s="478"/>
      <c r="O72" s="478"/>
      <c r="P72" s="478"/>
      <c r="Q72" s="478"/>
      <c r="R72" s="478"/>
      <c r="S72" s="478"/>
      <c r="T72" s="478"/>
      <c r="U72" s="478"/>
      <c r="V72" s="478"/>
      <c r="W72" s="478"/>
      <c r="X72" s="478"/>
      <c r="Y72" s="478"/>
      <c r="Z72" s="478"/>
      <c r="AA72" s="478"/>
      <c r="AB72" s="478"/>
      <c r="AC72" s="478"/>
    </row>
    <row r="73" spans="1:29">
      <c r="A73" s="478"/>
      <c r="B73" s="478"/>
      <c r="C73" s="478"/>
      <c r="D73" s="478"/>
      <c r="E73" s="478"/>
      <c r="F73" s="478"/>
      <c r="G73" s="478"/>
      <c r="H73" s="478"/>
      <c r="I73" s="478"/>
      <c r="J73" s="478"/>
      <c r="K73" s="478"/>
      <c r="L73" s="478"/>
      <c r="M73" s="478"/>
      <c r="N73" s="478"/>
      <c r="O73" s="478"/>
      <c r="P73" s="478"/>
      <c r="Q73" s="478"/>
      <c r="R73" s="478"/>
      <c r="S73" s="478"/>
      <c r="T73" s="478"/>
      <c r="U73" s="478"/>
      <c r="V73" s="478"/>
      <c r="W73" s="478"/>
      <c r="X73" s="478"/>
      <c r="Y73" s="478"/>
      <c r="Z73" s="478"/>
      <c r="AA73" s="478"/>
      <c r="AB73" s="478"/>
      <c r="AC73" s="478"/>
    </row>
  </sheetData>
  <phoneticPr fontId="40" type="noConversion"/>
  <hyperlinks>
    <hyperlink ref="C12" r:id="rId1" display="jim.kobus@morganstanley.com"/>
    <hyperlink ref="L12" r:id="rId2" display="david.arcaro@morganstanley.com"/>
  </hyperlinks>
  <pageMargins left="0.75" right="0.75" top="1" bottom="1" header="0.5" footer="0.5"/>
  <pageSetup orientation="portrait" r:id="rId3"/>
  <headerFooter alignWithMargins="0"/>
  <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1"/>
  <sheetViews>
    <sheetView workbookViewId="0"/>
  </sheetViews>
  <sheetFormatPr defaultRowHeight="12.75"/>
  <sheetData>
    <row r="1" spans="1:2">
      <c r="B1" t="s">
        <v>325</v>
      </c>
    </row>
  </sheetData>
  <phoneticPr fontId="40" type="noConversion"/>
  <pageMargins left="0.75" right="0.75" top="1" bottom="1" header="0.5" footer="0.5"/>
  <pageSetup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FM195"/>
  <sheetViews>
    <sheetView zoomScale="80" zoomScaleNormal="80" workbookViewId="0">
      <pane ySplit="4" topLeftCell="A5" activePane="bottomLeft" state="frozen"/>
      <selection activeCell="I6" sqref="I6"/>
      <selection pane="bottomLeft" activeCell="A5" sqref="A5"/>
    </sheetView>
  </sheetViews>
  <sheetFormatPr defaultRowHeight="12.75" outlineLevelCol="1"/>
  <cols>
    <col min="1" max="1" width="2.5703125" customWidth="1"/>
    <col min="2" max="2" width="2.7109375" customWidth="1"/>
    <col min="3" max="3" width="39.7109375" customWidth="1"/>
    <col min="4" max="4" width="2.7109375" customWidth="1"/>
    <col min="5" max="18" width="1.7109375" hidden="1" customWidth="1" outlineLevel="1"/>
    <col min="19" max="19" width="9" hidden="1" customWidth="1" outlineLevel="1"/>
    <col min="20" max="28" width="1.7109375" hidden="1" customWidth="1" outlineLevel="1"/>
    <col min="29" max="29" width="9" customWidth="1" collapsed="1"/>
    <col min="30" max="33" width="1.7109375" hidden="1" customWidth="1" outlineLevel="1"/>
    <col min="34" max="34" width="9" customWidth="1" collapsed="1"/>
    <col min="35" max="38" width="1.7109375" hidden="1" customWidth="1" outlineLevel="1"/>
    <col min="39" max="39" width="9" customWidth="1" collapsed="1"/>
    <col min="40" max="43" width="1.7109375" hidden="1" customWidth="1" outlineLevel="1"/>
    <col min="44" max="44" width="9" customWidth="1" collapsed="1"/>
    <col min="45" max="48" width="9" hidden="1" customWidth="1" outlineLevel="1"/>
    <col min="49" max="49" width="9" customWidth="1" collapsed="1"/>
    <col min="50" max="53" width="9" hidden="1" customWidth="1" outlineLevel="1"/>
    <col min="54" max="54" width="9" customWidth="1" collapsed="1"/>
    <col min="55" max="58" width="9" hidden="1" customWidth="1" outlineLevel="1"/>
    <col min="59" max="59" width="9" customWidth="1" collapsed="1"/>
    <col min="60" max="63" width="9" hidden="1" customWidth="1" outlineLevel="1"/>
    <col min="64" max="64" width="9" customWidth="1" collapsed="1"/>
    <col min="65" max="68" width="9" hidden="1" customWidth="1" outlineLevel="1"/>
    <col min="69" max="69" width="9" customWidth="1" collapsed="1"/>
    <col min="70" max="71" width="2.7109375" customWidth="1"/>
    <col min="72" max="72" width="39.5703125" customWidth="1"/>
    <col min="73" max="73" width="2.7109375" customWidth="1"/>
    <col min="74" max="74" width="9" customWidth="1"/>
    <col min="75" max="78" width="9" hidden="1" customWidth="1" outlineLevel="1"/>
    <col min="79" max="79" width="9" customWidth="1" collapsed="1"/>
    <col min="80" max="83" width="9" hidden="1" customWidth="1" outlineLevel="1"/>
    <col min="84" max="84" width="9" customWidth="1" collapsed="1"/>
    <col min="85" max="88" width="9" hidden="1" customWidth="1" outlineLevel="1"/>
    <col min="89" max="89" width="9" customWidth="1" collapsed="1"/>
    <col min="90" max="93" width="9" hidden="1" customWidth="1" outlineLevel="1"/>
    <col min="94" max="94" width="9" customWidth="1" collapsed="1"/>
    <col min="95" max="98" width="9" hidden="1" customWidth="1" outlineLevel="1"/>
    <col min="99" max="99" width="9" customWidth="1" collapsed="1"/>
    <col min="100" max="103" width="9" hidden="1" customWidth="1" outlineLevel="1"/>
    <col min="104" max="104" width="9" customWidth="1" collapsed="1"/>
    <col min="105" max="108" width="9" hidden="1" customWidth="1" outlineLevel="1"/>
    <col min="109" max="109" width="9" customWidth="1" collapsed="1"/>
    <col min="110" max="110" width="9" customWidth="1"/>
    <col min="111" max="111" width="7" customWidth="1"/>
    <col min="112" max="112" width="9" customWidth="1"/>
    <col min="113" max="113" width="7.85546875" customWidth="1"/>
    <col min="114" max="114" width="16.5703125" customWidth="1"/>
    <col min="115" max="120" width="14.5703125" customWidth="1"/>
    <col min="128" max="128" width="10.140625" customWidth="1"/>
    <col min="164" max="164" width="41.42578125" bestFit="1" customWidth="1"/>
    <col min="165" max="165" width="12.7109375" bestFit="1" customWidth="1"/>
    <col min="166" max="166" width="12.5703125" bestFit="1" customWidth="1"/>
    <col min="167" max="167" width="11.5703125" bestFit="1" customWidth="1"/>
    <col min="168" max="168" width="18" bestFit="1" customWidth="1"/>
    <col min="169" max="169" width="10.140625" bestFit="1" customWidth="1"/>
  </cols>
  <sheetData>
    <row r="1" spans="1:128" ht="15" customHeight="1">
      <c r="A1" s="32"/>
      <c r="B1" s="32"/>
      <c r="C1" s="32"/>
      <c r="D1" s="33"/>
      <c r="E1" s="34"/>
      <c r="F1" s="34"/>
      <c r="G1" s="34"/>
      <c r="H1" s="34"/>
      <c r="I1" s="34"/>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c r="AW1" s="34"/>
      <c r="AX1" s="34"/>
      <c r="AY1" s="34"/>
      <c r="AZ1" s="34"/>
      <c r="BA1" s="34"/>
      <c r="BB1" s="34"/>
      <c r="BC1" s="34"/>
      <c r="BD1" s="34"/>
      <c r="BE1" s="34"/>
      <c r="BF1" s="34"/>
      <c r="BG1" s="34"/>
      <c r="BH1" s="34"/>
      <c r="BI1" s="34"/>
      <c r="BJ1" s="34"/>
      <c r="BK1" s="34"/>
      <c r="BL1" s="34"/>
      <c r="BM1" s="34"/>
      <c r="BN1" s="34"/>
      <c r="BO1" s="34"/>
      <c r="BP1" s="34"/>
      <c r="BQ1" s="34"/>
      <c r="BR1" s="34"/>
      <c r="BS1" s="34"/>
      <c r="BT1" s="34"/>
      <c r="BU1" s="34"/>
      <c r="BV1" s="34"/>
      <c r="BW1" s="34"/>
      <c r="BX1" s="34"/>
      <c r="BY1" s="34"/>
      <c r="BZ1" s="34"/>
      <c r="CA1" s="34"/>
      <c r="CB1" s="34"/>
      <c r="CC1" s="34"/>
      <c r="CD1" s="34"/>
      <c r="CE1" s="34"/>
      <c r="CF1" s="34"/>
      <c r="CG1" s="34"/>
      <c r="CH1" s="34"/>
      <c r="CI1" s="34"/>
      <c r="CJ1" s="34"/>
      <c r="CK1" s="34"/>
      <c r="CL1" s="34"/>
      <c r="CM1" s="34"/>
      <c r="CN1" s="34"/>
      <c r="CO1" s="34"/>
      <c r="CP1" s="34"/>
      <c r="CQ1" s="34"/>
      <c r="CR1" s="34"/>
      <c r="CS1" s="34"/>
      <c r="CT1" s="34"/>
      <c r="CU1" s="34"/>
      <c r="CV1" s="34"/>
      <c r="CW1" s="34"/>
      <c r="CX1" s="34"/>
      <c r="CY1" s="34"/>
      <c r="CZ1" s="34"/>
      <c r="DA1" s="34"/>
      <c r="DB1" s="34"/>
      <c r="DC1" s="34"/>
      <c r="DD1" s="34"/>
      <c r="DE1" s="34"/>
      <c r="DF1" s="34"/>
      <c r="DG1" s="34"/>
      <c r="DH1" s="34"/>
      <c r="DI1" s="34"/>
      <c r="DJ1" s="34"/>
    </row>
    <row r="2" spans="1:128" ht="15" customHeight="1">
      <c r="A2" s="32"/>
      <c r="B2" s="32" t="str">
        <f>Cover!B2</f>
        <v>American Electric Power Company</v>
      </c>
      <c r="C2" s="32"/>
      <c r="D2" s="33"/>
      <c r="E2" s="34"/>
      <c r="F2" s="34"/>
      <c r="G2" s="34"/>
      <c r="H2" s="34"/>
      <c r="I2" s="34"/>
      <c r="J2" s="34"/>
      <c r="K2" s="34"/>
      <c r="L2" s="34"/>
      <c r="M2" s="34"/>
      <c r="N2" s="34"/>
      <c r="O2" s="34"/>
      <c r="P2" s="34"/>
      <c r="Q2" s="34"/>
      <c r="R2" s="34"/>
      <c r="S2" s="714" t="str">
        <f>Cover!C3</f>
        <v>AEP</v>
      </c>
      <c r="T2" s="34"/>
      <c r="U2" s="34"/>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c r="AW2" s="34"/>
      <c r="AX2" s="34"/>
      <c r="AY2" s="34"/>
      <c r="AZ2" s="34"/>
      <c r="BA2" s="34"/>
      <c r="BB2" s="34"/>
      <c r="BC2" s="34"/>
      <c r="BD2" s="34"/>
      <c r="BE2" s="34"/>
      <c r="BF2" s="34"/>
      <c r="BG2" s="34"/>
      <c r="BH2" s="34"/>
      <c r="BI2" s="34"/>
      <c r="BJ2" s="34"/>
      <c r="BK2" s="34"/>
      <c r="BL2" s="34"/>
      <c r="BM2" s="34"/>
      <c r="BN2" s="34"/>
      <c r="BO2" s="34"/>
      <c r="BP2" s="34"/>
      <c r="BQ2" s="34"/>
      <c r="BR2" s="34"/>
      <c r="BS2" s="34"/>
      <c r="BT2" s="34"/>
      <c r="BU2" s="34"/>
      <c r="BV2" s="34"/>
      <c r="BW2" s="34"/>
      <c r="BX2" s="34"/>
      <c r="BY2" s="34"/>
      <c r="BZ2" s="34"/>
      <c r="CA2" s="34"/>
      <c r="CB2" s="34"/>
      <c r="CC2" s="34"/>
      <c r="CD2" s="34"/>
      <c r="CE2" s="34"/>
      <c r="CF2" s="34"/>
      <c r="CG2" s="34"/>
      <c r="CH2" s="34"/>
      <c r="CI2" s="34"/>
      <c r="CJ2" s="34"/>
      <c r="CK2" s="34"/>
      <c r="CL2" s="34"/>
      <c r="CM2" s="34"/>
      <c r="CN2" s="34"/>
      <c r="CO2" s="34"/>
      <c r="CP2" s="34"/>
      <c r="CQ2" s="34"/>
      <c r="CR2" s="34"/>
      <c r="CS2" s="34"/>
      <c r="CT2" s="34"/>
      <c r="CU2" s="34"/>
      <c r="CV2" s="34"/>
      <c r="CW2" s="34"/>
      <c r="CX2" s="34"/>
      <c r="CY2" s="34"/>
      <c r="CZ2" s="34"/>
      <c r="DA2" s="34"/>
      <c r="DB2" s="34"/>
      <c r="DC2" s="34"/>
      <c r="DD2" s="34"/>
      <c r="DE2" s="34"/>
      <c r="DF2" s="34"/>
      <c r="DG2" s="34"/>
      <c r="DH2" s="34"/>
      <c r="DI2" s="34"/>
      <c r="DJ2" s="34"/>
    </row>
    <row r="3" spans="1:128" ht="15" customHeight="1">
      <c r="A3" s="35"/>
      <c r="B3" s="36" t="s">
        <v>827</v>
      </c>
      <c r="C3" s="36"/>
      <c r="D3" s="3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c r="AW3" s="34"/>
      <c r="AX3" s="34"/>
      <c r="AY3" s="34"/>
      <c r="AZ3" s="34"/>
      <c r="BA3" s="34"/>
      <c r="BB3" s="34"/>
      <c r="BC3" s="34"/>
      <c r="BD3" s="34"/>
      <c r="BE3" s="34"/>
      <c r="BF3" s="34"/>
      <c r="BG3" s="34"/>
      <c r="BH3" s="34"/>
      <c r="BI3" s="34"/>
      <c r="BJ3" s="34"/>
      <c r="BK3" s="34"/>
      <c r="BL3" s="34"/>
      <c r="BM3" s="34"/>
      <c r="BN3" s="34"/>
      <c r="BO3" s="34"/>
      <c r="BP3" s="34"/>
      <c r="BQ3" s="34"/>
      <c r="BR3" s="34"/>
      <c r="BS3" s="34"/>
      <c r="BT3" s="34"/>
      <c r="BU3" s="34"/>
      <c r="BV3" s="34"/>
      <c r="BW3" s="34"/>
      <c r="BX3" s="34"/>
      <c r="BY3" s="34"/>
      <c r="BZ3" s="34"/>
      <c r="CA3" s="34"/>
      <c r="CB3" s="34"/>
      <c r="CC3" s="34"/>
      <c r="CD3" s="34"/>
      <c r="CE3" s="34"/>
      <c r="CF3" s="34"/>
      <c r="CG3" s="34"/>
      <c r="CH3" s="34"/>
      <c r="CI3" s="34"/>
      <c r="CJ3" s="34"/>
      <c r="CK3" s="34"/>
      <c r="CL3" s="34"/>
      <c r="CM3" s="34"/>
      <c r="CN3" s="34"/>
      <c r="CO3" s="34"/>
      <c r="CP3" s="34"/>
      <c r="CQ3" s="34"/>
      <c r="CR3" s="34"/>
      <c r="CS3" s="34"/>
      <c r="CT3" s="34"/>
      <c r="CU3" s="34"/>
      <c r="CV3" s="34"/>
      <c r="CW3" s="34"/>
      <c r="CX3" s="34"/>
      <c r="CY3" s="34"/>
      <c r="CZ3" s="34"/>
      <c r="DA3" s="34"/>
      <c r="DB3" s="34"/>
      <c r="DC3" s="34"/>
      <c r="DD3" s="34"/>
      <c r="DE3" s="34"/>
      <c r="DF3" s="34"/>
      <c r="DG3" s="34"/>
      <c r="DH3" s="34"/>
      <c r="DI3" s="34"/>
      <c r="DJ3" s="34"/>
    </row>
    <row r="4" spans="1:128">
      <c r="A4" s="38"/>
      <c r="B4" s="39" t="s">
        <v>828</v>
      </c>
      <c r="C4" s="39"/>
      <c r="D4" s="38"/>
      <c r="E4" s="41"/>
      <c r="F4" s="41"/>
      <c r="G4" s="41"/>
      <c r="H4" s="41"/>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c r="BA4" s="41"/>
      <c r="BB4" s="41"/>
      <c r="BC4" s="41"/>
      <c r="BD4" s="41"/>
      <c r="BE4" s="41"/>
      <c r="BF4" s="41"/>
      <c r="BG4" s="41"/>
      <c r="BH4" s="41"/>
      <c r="BI4" s="41"/>
      <c r="BJ4" s="41"/>
      <c r="BK4" s="41"/>
      <c r="BL4" s="41"/>
      <c r="BM4" s="41"/>
      <c r="BN4" s="41"/>
      <c r="BO4" s="41"/>
      <c r="BP4" s="41"/>
      <c r="BQ4" s="41"/>
      <c r="BR4" s="41"/>
      <c r="BS4" s="41"/>
      <c r="BT4" s="41"/>
      <c r="BU4" s="41"/>
      <c r="BV4" s="41"/>
      <c r="BW4" s="41"/>
      <c r="BX4" s="41"/>
      <c r="BY4" s="41"/>
      <c r="BZ4" s="41"/>
      <c r="CA4" s="41"/>
      <c r="CB4" s="41"/>
      <c r="CC4" s="41"/>
      <c r="CD4" s="41"/>
      <c r="CE4" s="41"/>
      <c r="CF4" s="41"/>
      <c r="CG4" s="41"/>
      <c r="CH4" s="41"/>
      <c r="CI4" s="41"/>
      <c r="CJ4" s="41"/>
      <c r="CK4" s="41"/>
      <c r="CL4" s="41"/>
      <c r="CM4" s="41"/>
      <c r="CN4" s="41"/>
      <c r="CO4" s="41"/>
      <c r="CP4" s="41"/>
      <c r="CQ4" s="41"/>
      <c r="CR4" s="41"/>
      <c r="CS4" s="41"/>
      <c r="CT4" s="41"/>
      <c r="CU4" s="41"/>
      <c r="CV4" s="41"/>
      <c r="CW4" s="41"/>
      <c r="CX4" s="41"/>
      <c r="CY4" s="41"/>
      <c r="CZ4" s="41"/>
      <c r="DA4" s="41"/>
      <c r="DB4" s="41"/>
      <c r="DC4" s="41"/>
      <c r="DD4" s="41"/>
      <c r="DE4" s="41"/>
      <c r="DF4" s="41"/>
      <c r="DG4" s="41"/>
      <c r="DH4" s="41"/>
      <c r="DI4" s="41"/>
      <c r="DJ4" s="41"/>
    </row>
    <row r="5" spans="1:128">
      <c r="A5" s="42"/>
      <c r="B5" s="42"/>
      <c r="C5" s="43"/>
      <c r="D5" s="44"/>
      <c r="E5" s="45"/>
      <c r="F5" s="45"/>
      <c r="G5" s="45"/>
      <c r="H5" s="45"/>
      <c r="I5" s="45"/>
      <c r="J5" s="45"/>
      <c r="K5" s="45"/>
      <c r="L5" s="45"/>
      <c r="M5" s="45"/>
      <c r="N5" s="45"/>
      <c r="O5" s="45"/>
      <c r="P5" s="45"/>
      <c r="Q5" s="45"/>
      <c r="R5" s="45"/>
      <c r="S5" s="45"/>
      <c r="T5" s="45"/>
      <c r="U5" s="45"/>
      <c r="V5" s="45"/>
      <c r="W5" s="45"/>
      <c r="X5" s="45"/>
      <c r="Y5" s="45"/>
      <c r="Z5" s="45"/>
      <c r="AA5" s="45"/>
      <c r="AB5" s="45"/>
      <c r="AC5" s="65"/>
      <c r="AD5" s="65"/>
      <c r="AE5" s="65"/>
      <c r="AF5" s="65"/>
      <c r="AG5" s="65"/>
      <c r="AH5" s="65"/>
      <c r="AI5" s="65"/>
      <c r="AJ5" s="65"/>
      <c r="AK5" s="65"/>
      <c r="AL5" s="65"/>
      <c r="AM5" s="65"/>
      <c r="AN5" s="65"/>
      <c r="AO5" s="65"/>
      <c r="AP5" s="65"/>
      <c r="AQ5" s="65"/>
      <c r="AR5" s="63"/>
      <c r="AS5" s="65"/>
      <c r="AT5" s="65"/>
      <c r="AU5" s="65"/>
      <c r="AV5" s="65"/>
      <c r="AW5" s="65"/>
      <c r="AX5" s="65"/>
      <c r="AY5" s="65"/>
      <c r="AZ5" s="65"/>
      <c r="BA5" s="65"/>
      <c r="BB5" s="65"/>
      <c r="BC5" s="65"/>
      <c r="BD5" s="65"/>
      <c r="BE5" s="65"/>
      <c r="BF5" s="65"/>
      <c r="BG5" s="65"/>
      <c r="BH5" s="65"/>
      <c r="BI5" s="65"/>
      <c r="BJ5" s="65"/>
      <c r="BK5" s="65"/>
      <c r="BL5" s="65"/>
      <c r="BM5" s="65"/>
      <c r="BN5" s="65"/>
      <c r="BO5" s="65"/>
      <c r="BP5" s="65"/>
      <c r="BQ5" s="65"/>
      <c r="BR5" s="45"/>
      <c r="BS5" s="45"/>
      <c r="BT5" s="45"/>
      <c r="BU5" s="45"/>
      <c r="BV5" s="45"/>
      <c r="BW5" s="45"/>
      <c r="BX5" s="45"/>
      <c r="BY5" s="45"/>
      <c r="BZ5" s="45"/>
      <c r="CA5" s="45"/>
      <c r="CB5" s="45"/>
      <c r="CC5" s="45"/>
      <c r="CD5" s="45"/>
      <c r="CE5" s="45"/>
      <c r="CF5" s="45"/>
      <c r="CG5" s="45"/>
      <c r="CH5" s="45"/>
      <c r="CI5" s="45"/>
      <c r="CJ5" s="45"/>
      <c r="CK5" s="45"/>
      <c r="CL5" s="45"/>
      <c r="CM5" s="45"/>
      <c r="CN5" s="45"/>
      <c r="CO5" s="45"/>
      <c r="CP5" s="45"/>
      <c r="CQ5" s="45"/>
      <c r="CR5" s="45"/>
      <c r="CS5" s="45"/>
      <c r="CT5" s="45"/>
      <c r="CU5" s="45"/>
      <c r="CV5" s="45"/>
      <c r="CW5" s="45"/>
      <c r="CX5" s="45"/>
      <c r="CY5" s="45"/>
      <c r="CZ5" s="45"/>
      <c r="DA5" s="45"/>
      <c r="DB5" s="45"/>
      <c r="DC5" s="45"/>
      <c r="DD5" s="45"/>
      <c r="DE5" s="45"/>
      <c r="DF5" s="45"/>
      <c r="DG5" s="45"/>
      <c r="DH5" s="45"/>
      <c r="DI5" s="45"/>
      <c r="DJ5" s="45"/>
    </row>
    <row r="6" spans="1:128">
      <c r="B6" s="46" t="s">
        <v>284</v>
      </c>
      <c r="C6" s="46"/>
      <c r="D6" s="47"/>
      <c r="J6" s="48"/>
      <c r="K6" s="48"/>
      <c r="L6" s="48"/>
      <c r="M6" s="48"/>
      <c r="N6" s="48"/>
      <c r="O6" s="48"/>
      <c r="P6" s="48"/>
      <c r="Q6" s="48"/>
      <c r="R6" s="48"/>
      <c r="S6" s="48"/>
      <c r="T6" s="48"/>
      <c r="U6" s="48"/>
      <c r="V6" s="48"/>
      <c r="W6" s="48"/>
      <c r="X6" s="48"/>
      <c r="Y6" s="48"/>
      <c r="Z6" s="48"/>
      <c r="AA6" s="48"/>
      <c r="AB6" s="48"/>
      <c r="AC6" s="48" t="s">
        <v>247</v>
      </c>
      <c r="AD6" s="48"/>
      <c r="AE6" s="48"/>
      <c r="AF6" s="48"/>
      <c r="AG6" s="48"/>
      <c r="AH6" s="48" t="s">
        <v>1061</v>
      </c>
      <c r="AI6" s="48"/>
      <c r="AJ6" s="48"/>
      <c r="AK6" s="48"/>
      <c r="AL6" s="48"/>
      <c r="AM6" s="48" t="s">
        <v>1124</v>
      </c>
      <c r="AN6" s="48"/>
      <c r="AO6" s="48"/>
      <c r="AP6" s="48"/>
      <c r="AQ6" s="48"/>
      <c r="AR6" s="48" t="s">
        <v>1292</v>
      </c>
      <c r="AS6" s="48"/>
      <c r="AT6" s="48"/>
      <c r="AU6" s="48"/>
      <c r="AV6" s="48"/>
      <c r="AW6" s="48" t="s">
        <v>1353</v>
      </c>
      <c r="AX6" s="48"/>
      <c r="AY6" s="48"/>
      <c r="AZ6" s="48"/>
      <c r="BA6" s="48"/>
      <c r="BB6" s="48" t="s">
        <v>73</v>
      </c>
      <c r="BC6" s="48"/>
      <c r="BD6" s="48"/>
      <c r="BE6" s="48"/>
      <c r="BF6" s="48"/>
      <c r="BG6" s="48" t="s">
        <v>1065</v>
      </c>
      <c r="BH6" s="48"/>
      <c r="BI6" s="48"/>
      <c r="BJ6" s="48"/>
      <c r="BK6" s="48"/>
      <c r="BL6" s="48" t="s">
        <v>1066</v>
      </c>
      <c r="BM6" s="48"/>
      <c r="BN6" s="48"/>
      <c r="BO6" s="48"/>
      <c r="BP6" s="48"/>
      <c r="BQ6" s="48" t="s">
        <v>1282</v>
      </c>
      <c r="BS6" s="46" t="s">
        <v>830</v>
      </c>
      <c r="BT6" s="46"/>
      <c r="BU6" s="47"/>
      <c r="BW6" s="48"/>
      <c r="BX6" s="48"/>
      <c r="BY6" s="48"/>
      <c r="BZ6" s="48"/>
      <c r="CA6" s="48" t="s">
        <v>831</v>
      </c>
      <c r="CB6" s="48"/>
      <c r="CC6" s="48"/>
      <c r="CD6" s="48"/>
      <c r="CE6" s="48"/>
      <c r="CF6" s="48" t="s">
        <v>832</v>
      </c>
      <c r="CG6" s="48"/>
      <c r="CH6" s="48"/>
      <c r="CI6" s="48"/>
      <c r="CJ6" s="48"/>
      <c r="CK6" s="48" t="s">
        <v>833</v>
      </c>
      <c r="CL6" s="45"/>
      <c r="CM6" s="45"/>
      <c r="CN6" s="45"/>
      <c r="CO6" s="45"/>
      <c r="CQ6" s="45"/>
      <c r="CR6" s="45"/>
      <c r="CS6" s="45"/>
      <c r="CT6" s="45"/>
      <c r="CV6" s="45"/>
      <c r="CW6" s="45"/>
      <c r="CX6" s="45"/>
      <c r="CY6" s="45"/>
      <c r="DA6" s="45"/>
      <c r="DB6" s="45"/>
      <c r="DC6" s="45"/>
      <c r="DD6" s="45"/>
    </row>
    <row r="7" spans="1:128">
      <c r="C7" s="1116" t="s">
        <v>1037</v>
      </c>
      <c r="J7" s="49"/>
      <c r="K7" s="49"/>
      <c r="L7" s="49"/>
      <c r="M7" s="49"/>
      <c r="N7" s="49"/>
      <c r="O7" s="49"/>
      <c r="P7" s="49"/>
      <c r="Q7" s="49"/>
      <c r="R7" s="49"/>
      <c r="S7" s="49"/>
      <c r="T7" s="49"/>
      <c r="U7" s="49"/>
      <c r="V7" s="49"/>
      <c r="W7" s="49"/>
      <c r="X7" s="49"/>
      <c r="Y7" s="49"/>
      <c r="Z7" s="49"/>
      <c r="AA7" s="49"/>
      <c r="AB7" s="49"/>
      <c r="AC7" s="49">
        <f>AEP!AC78</f>
        <v>0.67961430331949335</v>
      </c>
      <c r="AD7" s="49"/>
      <c r="AE7" s="49"/>
      <c r="AF7" s="49"/>
      <c r="AG7" s="49"/>
      <c r="AH7" s="49">
        <f>AEP!AH78</f>
        <v>0.83452676114600488</v>
      </c>
      <c r="AI7" s="49"/>
      <c r="AJ7" s="49"/>
      <c r="AK7" s="49"/>
      <c r="AL7" s="49"/>
      <c r="AM7" s="49">
        <f>AEP!AM78</f>
        <v>0.74606395005784198</v>
      </c>
      <c r="AN7" s="49"/>
      <c r="AO7" s="49"/>
      <c r="AP7" s="49"/>
      <c r="AQ7" s="49"/>
      <c r="AR7" s="49">
        <f>AEP!AR78</f>
        <v>0.49871659088760911</v>
      </c>
      <c r="AS7" s="49"/>
      <c r="AT7" s="49"/>
      <c r="AU7" s="49"/>
      <c r="AV7" s="49"/>
      <c r="AW7" s="49">
        <f>AEP!AW78</f>
        <v>0.2978008612218202</v>
      </c>
      <c r="AX7" s="49"/>
      <c r="AY7" s="49"/>
      <c r="AZ7" s="49"/>
      <c r="BA7" s="49"/>
      <c r="BB7" s="49">
        <f>AEP!BB78</f>
        <v>0.17353173919980422</v>
      </c>
      <c r="BC7" s="49"/>
      <c r="BD7" s="49"/>
      <c r="BE7" s="49"/>
      <c r="BF7" s="49"/>
      <c r="BG7" s="49">
        <f>AEP!BG78</f>
        <v>0.14058393517965259</v>
      </c>
      <c r="BH7" s="49"/>
      <c r="BI7" s="49"/>
      <c r="BJ7" s="49"/>
      <c r="BK7" s="49"/>
      <c r="BL7" s="49">
        <f>AEP!BL78</f>
        <v>0.12856362869121579</v>
      </c>
      <c r="BM7" s="49"/>
      <c r="BN7" s="49"/>
      <c r="BO7" s="49"/>
      <c r="BP7" s="49"/>
      <c r="BQ7" s="49">
        <f>AEP!BQ78</f>
        <v>0.18461012179312394</v>
      </c>
      <c r="BT7" t="s">
        <v>834</v>
      </c>
      <c r="BW7" s="49"/>
      <c r="BX7" s="49"/>
      <c r="BY7" s="49"/>
      <c r="BZ7" s="49"/>
      <c r="CA7" s="1466" t="s">
        <v>1323</v>
      </c>
      <c r="CB7" s="49"/>
      <c r="CC7" s="49"/>
      <c r="CD7" s="49"/>
      <c r="CE7" s="49"/>
      <c r="CF7" s="1466" t="s">
        <v>1323</v>
      </c>
      <c r="CG7" s="49"/>
      <c r="CH7" s="49"/>
      <c r="CI7" s="49"/>
      <c r="CJ7" s="49"/>
      <c r="CK7" s="1466" t="s">
        <v>1323</v>
      </c>
      <c r="CL7" s="45"/>
      <c r="CM7" s="45"/>
      <c r="CN7" s="45"/>
      <c r="CO7" s="45"/>
      <c r="CQ7" s="45"/>
      <c r="CR7" s="45"/>
      <c r="CS7" s="45"/>
      <c r="CT7" s="45"/>
      <c r="CV7" s="45"/>
      <c r="CW7" s="45"/>
      <c r="CX7" s="45"/>
      <c r="CY7" s="45"/>
      <c r="DA7" s="45"/>
      <c r="DB7" s="45"/>
      <c r="DC7" s="45"/>
      <c r="DD7" s="45"/>
    </row>
    <row r="8" spans="1:128">
      <c r="C8" t="s">
        <v>156</v>
      </c>
      <c r="X8" s="86"/>
      <c r="Y8" s="86"/>
      <c r="Z8" s="86"/>
      <c r="AA8" s="86"/>
      <c r="AB8" s="86"/>
      <c r="AC8" s="86">
        <f>AEP!AC79</f>
        <v>1.541964778830633</v>
      </c>
      <c r="AD8" s="86"/>
      <c r="AE8" s="86"/>
      <c r="AF8" s="86"/>
      <c r="AG8" s="86"/>
      <c r="AH8" s="86">
        <f>AEP!AH79</f>
        <v>1.4481493796357143</v>
      </c>
      <c r="AI8" s="86"/>
      <c r="AJ8" s="86"/>
      <c r="AK8" s="86"/>
      <c r="AL8" s="86"/>
      <c r="AM8" s="86">
        <f>AEP!AM79</f>
        <v>1.8274489924231061</v>
      </c>
      <c r="AN8" s="86"/>
      <c r="AO8" s="86"/>
      <c r="AP8" s="86"/>
      <c r="AQ8" s="86"/>
      <c r="AR8" s="86">
        <f>AEP!AR79</f>
        <v>2.0068664772789719</v>
      </c>
      <c r="AS8" s="86"/>
      <c r="AT8" s="86"/>
      <c r="AU8" s="86"/>
      <c r="AV8" s="86"/>
      <c r="AW8" s="86">
        <f>AEP!AW79</f>
        <v>1.6361792375241138</v>
      </c>
      <c r="AX8" s="86"/>
      <c r="AY8" s="86"/>
      <c r="AZ8" s="86"/>
      <c r="BA8" s="86"/>
      <c r="BB8" s="86">
        <f>AEP!BB79</f>
        <v>1.8273746950102516</v>
      </c>
      <c r="BC8" s="86"/>
      <c r="BD8" s="86"/>
      <c r="BE8" s="86"/>
      <c r="BF8" s="86"/>
      <c r="BG8" s="86">
        <f>AEP!BG79</f>
        <v>2.1214206693626396</v>
      </c>
      <c r="BH8" s="86"/>
      <c r="BI8" s="86"/>
      <c r="BJ8" s="86"/>
      <c r="BK8" s="86"/>
      <c r="BL8" s="86">
        <f>AEP!BL79</f>
        <v>2.2752992901369926</v>
      </c>
      <c r="BM8" s="86"/>
      <c r="BN8" s="86"/>
      <c r="BO8" s="86"/>
      <c r="BP8" s="86"/>
      <c r="BQ8" s="86">
        <f>AEP!BQ79</f>
        <v>2.537113784949256</v>
      </c>
      <c r="BT8" s="491" t="s">
        <v>638</v>
      </c>
      <c r="BW8" s="51"/>
      <c r="BX8" s="51"/>
      <c r="BY8" s="51"/>
      <c r="BZ8" s="51"/>
      <c r="CA8" s="1245">
        <f>(BG27*BG30*8.5%)/BG34+BG12+BG11</f>
        <v>3.4759152240775344</v>
      </c>
      <c r="CB8" s="51"/>
      <c r="CC8" s="51"/>
      <c r="CD8" s="51"/>
      <c r="CE8" s="51"/>
      <c r="CF8" s="90">
        <f>+BG8+BG9+BG12+BG10+BG11</f>
        <v>4.0073377724701604</v>
      </c>
      <c r="CG8" s="51"/>
      <c r="CH8" s="51"/>
      <c r="CI8" s="51"/>
      <c r="CJ8" s="51"/>
      <c r="CK8" s="1098">
        <f>(BG27*BG30*10.5%)/BG34+BG12+BG11</f>
        <v>4.3346166110066342</v>
      </c>
      <c r="CL8" s="45"/>
      <c r="CM8" s="45"/>
      <c r="CN8" s="45"/>
      <c r="CO8" s="45"/>
      <c r="CP8" s="86"/>
      <c r="CQ8" s="45"/>
      <c r="CR8" s="45"/>
      <c r="CS8" s="45"/>
      <c r="CT8" s="45"/>
      <c r="CU8" s="86"/>
      <c r="CV8" s="45"/>
      <c r="CW8" s="45"/>
      <c r="CX8" s="45"/>
      <c r="CY8" s="45"/>
      <c r="CZ8" s="86"/>
      <c r="DA8" s="45"/>
      <c r="DB8" s="45"/>
      <c r="DC8" s="45"/>
      <c r="DD8" s="45"/>
      <c r="DE8" s="86"/>
    </row>
    <row r="9" spans="1:128">
      <c r="C9" t="s">
        <v>157</v>
      </c>
      <c r="X9" s="86"/>
      <c r="Y9" s="86"/>
      <c r="Z9" s="86"/>
      <c r="AA9" s="86"/>
      <c r="AB9" s="86"/>
      <c r="AC9" s="86">
        <f>AEP!AC80</f>
        <v>0.73505111960235225</v>
      </c>
      <c r="AD9" s="86"/>
      <c r="AE9" s="86"/>
      <c r="AF9" s="86"/>
      <c r="AG9" s="86"/>
      <c r="AH9" s="86">
        <f>AEP!AH80</f>
        <v>0.7203929541069205</v>
      </c>
      <c r="AI9" s="86"/>
      <c r="AJ9" s="86"/>
      <c r="AK9" s="86"/>
      <c r="AL9" s="86"/>
      <c r="AM9" s="86">
        <f>AEP!AM80</f>
        <v>0.71834135519230602</v>
      </c>
      <c r="AN9" s="86"/>
      <c r="AO9" s="86"/>
      <c r="AP9" s="86"/>
      <c r="AQ9" s="86"/>
      <c r="AR9" s="86">
        <f>AEP!AR80</f>
        <v>0.98055166585202413</v>
      </c>
      <c r="AS9" s="86"/>
      <c r="AT9" s="86"/>
      <c r="AU9" s="86"/>
      <c r="AV9" s="86"/>
      <c r="AW9" s="86">
        <f>AEP!AW80</f>
        <v>1.0113455287028694</v>
      </c>
      <c r="AX9" s="86"/>
      <c r="AY9" s="86"/>
      <c r="AZ9" s="86"/>
      <c r="BA9" s="86"/>
      <c r="BB9" s="86">
        <f>AEP!BB80</f>
        <v>1.1625215512315956</v>
      </c>
      <c r="BC9" s="86"/>
      <c r="BD9" s="86"/>
      <c r="BE9" s="86"/>
      <c r="BF9" s="86"/>
      <c r="BG9" s="86">
        <f>AEP!BG80</f>
        <v>1.2297258284857873</v>
      </c>
      <c r="BH9" s="86"/>
      <c r="BI9" s="86"/>
      <c r="BJ9" s="86"/>
      <c r="BK9" s="86"/>
      <c r="BL9" s="86">
        <f>AEP!BL80</f>
        <v>1.3335291538154179</v>
      </c>
      <c r="BM9" s="86"/>
      <c r="BN9" s="86"/>
      <c r="BO9" s="86"/>
      <c r="BP9" s="86"/>
      <c r="BQ9" s="86">
        <f>AEP!BQ80</f>
        <v>1.4167985311465874</v>
      </c>
      <c r="CK9" s="884"/>
    </row>
    <row r="10" spans="1:128">
      <c r="C10" t="s">
        <v>158</v>
      </c>
      <c r="X10" s="86"/>
      <c r="Y10" s="86"/>
      <c r="Z10" s="86"/>
      <c r="AA10" s="86"/>
      <c r="AB10" s="86"/>
      <c r="AC10" s="86">
        <f>AEP!AC81</f>
        <v>0.16425723343069326</v>
      </c>
      <c r="AD10" s="86"/>
      <c r="AE10" s="86"/>
      <c r="AF10" s="86"/>
      <c r="AG10" s="86"/>
      <c r="AH10" s="86">
        <f>AEP!AH81</f>
        <v>0.30885671797315378</v>
      </c>
      <c r="AI10" s="86"/>
      <c r="AJ10" s="86"/>
      <c r="AK10" s="86"/>
      <c r="AL10" s="86"/>
      <c r="AM10" s="86">
        <f>AEP!AM81</f>
        <v>0.38974706899196615</v>
      </c>
      <c r="AN10" s="86"/>
      <c r="AO10" s="86"/>
      <c r="AP10" s="86"/>
      <c r="AQ10" s="86"/>
      <c r="AR10" s="86">
        <f>AEP!AR81</f>
        <v>0.54163225184898212</v>
      </c>
      <c r="AS10" s="86"/>
      <c r="AT10" s="86"/>
      <c r="AU10" s="86"/>
      <c r="AV10" s="86"/>
      <c r="AW10" s="86">
        <f>AEP!AW81</f>
        <v>0.71902566492684994</v>
      </c>
      <c r="AX10" s="86"/>
      <c r="AY10" s="86"/>
      <c r="AZ10" s="86"/>
      <c r="BA10" s="86"/>
      <c r="BB10" s="86">
        <f>AEP!BB81</f>
        <v>0.74063134286961285</v>
      </c>
      <c r="BC10" s="86"/>
      <c r="BD10" s="86"/>
      <c r="BE10" s="86"/>
      <c r="BF10" s="86"/>
      <c r="BG10" s="86">
        <f>AEP!BG81</f>
        <v>0.82975694499287511</v>
      </c>
      <c r="BH10" s="86"/>
      <c r="BI10" s="86"/>
      <c r="BJ10" s="86"/>
      <c r="BK10" s="86"/>
      <c r="BL10" s="86">
        <f>AEP!BL81</f>
        <v>0.96040268207243573</v>
      </c>
      <c r="BM10" s="86"/>
      <c r="BN10" s="86"/>
      <c r="BO10" s="86"/>
      <c r="BP10" s="86"/>
      <c r="BQ10" s="86">
        <f>AEP!BQ81</f>
        <v>1.0207911721597507</v>
      </c>
      <c r="BT10" t="s">
        <v>331</v>
      </c>
      <c r="BW10" s="53"/>
      <c r="BX10" s="53"/>
      <c r="BY10" s="53"/>
      <c r="BZ10" s="53"/>
      <c r="CA10" s="55">
        <f>+CF10</f>
        <v>17.600000000000001</v>
      </c>
      <c r="CB10" s="53"/>
      <c r="CC10" s="53"/>
      <c r="CD10" s="53"/>
      <c r="CE10" s="53"/>
      <c r="CF10" s="1106">
        <f>BG38</f>
        <v>17.600000000000001</v>
      </c>
      <c r="CG10" s="53"/>
      <c r="CH10" s="53"/>
      <c r="CI10" s="53"/>
      <c r="CJ10" s="53"/>
      <c r="CK10" s="55">
        <f>+CF10</f>
        <v>17.600000000000001</v>
      </c>
      <c r="CL10" s="45"/>
      <c r="CM10" s="45"/>
      <c r="CN10" s="45"/>
      <c r="CO10" s="45"/>
      <c r="CQ10" s="45"/>
      <c r="CR10" s="45"/>
      <c r="CS10" s="45"/>
      <c r="CT10" s="45"/>
      <c r="CV10" s="45"/>
      <c r="CW10" s="45"/>
      <c r="CX10" s="45"/>
      <c r="CY10" s="45"/>
      <c r="DA10" s="45"/>
      <c r="DB10" s="45"/>
      <c r="DC10" s="45"/>
      <c r="DD10" s="45"/>
    </row>
    <row r="11" spans="1:128">
      <c r="C11" t="s">
        <v>652</v>
      </c>
      <c r="N11" s="86"/>
      <c r="S11" s="86"/>
      <c r="AC11" s="86">
        <f>AEP!AC82</f>
        <v>2.4638585014603989E-2</v>
      </c>
      <c r="AH11" s="86">
        <f>AEP!AH82</f>
        <v>0.10022502768665255</v>
      </c>
      <c r="AM11" s="86">
        <f>AEP!AM82</f>
        <v>5.8298986261350591E-2</v>
      </c>
      <c r="AR11" s="86">
        <f>AEP!AR82</f>
        <v>0</v>
      </c>
      <c r="AW11" s="86">
        <f>AEP!AW82</f>
        <v>0</v>
      </c>
      <c r="BB11" s="86">
        <f>AEP!BB82</f>
        <v>0</v>
      </c>
      <c r="BG11" s="86">
        <f>AEP!BG82</f>
        <v>0</v>
      </c>
      <c r="BL11" s="86">
        <f>AEP!BL82</f>
        <v>0</v>
      </c>
      <c r="BQ11" s="86">
        <f>AEP!BQ82</f>
        <v>0</v>
      </c>
      <c r="BT11" t="s">
        <v>835</v>
      </c>
      <c r="BW11" s="55"/>
      <c r="BX11" s="55"/>
      <c r="BY11" s="55"/>
      <c r="BZ11" s="55"/>
      <c r="CA11" s="54">
        <v>0</v>
      </c>
      <c r="CB11" s="54">
        <f>-0.05</f>
        <v>-0.05</v>
      </c>
      <c r="CC11" s="54">
        <f>-0.05</f>
        <v>-0.05</v>
      </c>
      <c r="CD11" s="54">
        <f>-0.05</f>
        <v>-0.05</v>
      </c>
      <c r="CE11" s="54">
        <f>-0.05</f>
        <v>-0.05</v>
      </c>
      <c r="CF11" s="54">
        <v>0</v>
      </c>
      <c r="CG11" s="54">
        <f>-0.05</f>
        <v>-0.05</v>
      </c>
      <c r="CH11" s="54">
        <f>-0.05</f>
        <v>-0.05</v>
      </c>
      <c r="CI11" s="54">
        <f>-0.05</f>
        <v>-0.05</v>
      </c>
      <c r="CJ11" s="54">
        <f>-0.05</f>
        <v>-0.05</v>
      </c>
      <c r="CK11" s="54">
        <v>0.05</v>
      </c>
      <c r="CL11" s="45"/>
      <c r="CM11" s="45"/>
      <c r="CN11" s="45"/>
      <c r="CO11" s="45"/>
      <c r="CP11" s="63"/>
      <c r="CQ11" s="45"/>
      <c r="CR11" s="45"/>
      <c r="CS11" s="45"/>
      <c r="CT11" s="45"/>
      <c r="CU11" s="63"/>
      <c r="CV11" s="45"/>
      <c r="CW11" s="45"/>
      <c r="CX11" s="45"/>
      <c r="CY11" s="45"/>
      <c r="CZ11" s="63"/>
      <c r="DA11" s="45"/>
      <c r="DB11" s="45"/>
      <c r="DC11" s="45"/>
      <c r="DD11" s="45"/>
      <c r="DE11" s="63"/>
    </row>
    <row r="12" spans="1:128">
      <c r="C12" t="s">
        <v>159</v>
      </c>
      <c r="N12" s="86"/>
      <c r="S12" s="86"/>
      <c r="AC12" s="86">
        <f>AEP!AC83</f>
        <v>8.4181832133230286E-2</v>
      </c>
      <c r="AH12" s="86">
        <f>AEP!AH83</f>
        <v>1.3908779352432073E-2</v>
      </c>
      <c r="AM12" s="86">
        <f>AEP!AM83</f>
        <v>-5.4222134075242782E-2</v>
      </c>
      <c r="AR12" s="86">
        <f>AEP!AR83</f>
        <v>-8.8068631261961752E-2</v>
      </c>
      <c r="AW12" s="86">
        <f>AEP!AW83</f>
        <v>5.6839973511964223E-3</v>
      </c>
      <c r="BB12" s="86">
        <f>AEP!BB83</f>
        <v>-5.304439753364721E-2</v>
      </c>
      <c r="BG12" s="86">
        <f>AEP!BG83</f>
        <v>-0.17356567037114179</v>
      </c>
      <c r="BL12" s="86">
        <f>AEP!BL83</f>
        <v>-0.27533667219544938</v>
      </c>
      <c r="BQ12" s="86">
        <f>AEP!BQ83</f>
        <v>-0.28857022684780737</v>
      </c>
      <c r="BT12" t="s">
        <v>836</v>
      </c>
      <c r="CA12" s="55">
        <f>+CA10*(1+CA11)</f>
        <v>17.600000000000001</v>
      </c>
      <c r="CF12" s="55">
        <f>+CF10*(1+CF11)</f>
        <v>17.600000000000001</v>
      </c>
      <c r="CK12" s="55">
        <f>+CK10*(1+CK11)</f>
        <v>18.480000000000004</v>
      </c>
      <c r="CL12" s="45"/>
      <c r="CM12" s="45"/>
      <c r="CN12" s="45"/>
      <c r="CO12" s="45"/>
      <c r="CQ12" s="45"/>
      <c r="CR12" s="45"/>
      <c r="CS12" s="45"/>
      <c r="CT12" s="45"/>
      <c r="CV12" s="45"/>
      <c r="CW12" s="45"/>
      <c r="CX12" s="45"/>
      <c r="CY12" s="45"/>
      <c r="DA12" s="45"/>
      <c r="DB12" s="45"/>
      <c r="DC12" s="45"/>
      <c r="DD12" s="45"/>
    </row>
    <row r="13" spans="1:128">
      <c r="C13" s="56" t="s">
        <v>240</v>
      </c>
      <c r="AC13" s="85">
        <f>SUM(AC7:AC12)</f>
        <v>3.2297078523310061</v>
      </c>
      <c r="AH13" s="85">
        <f>SUM(AH7:AH12)</f>
        <v>3.4260596199008782</v>
      </c>
      <c r="AM13" s="85">
        <f>SUM(AM7:AM12)</f>
        <v>3.685678218851328</v>
      </c>
      <c r="AR13" s="85">
        <f>SUM(AR7:AR12)</f>
        <v>3.9396983546056257</v>
      </c>
      <c r="AS13" s="1107"/>
      <c r="AT13" s="1107"/>
      <c r="AU13" s="1107"/>
      <c r="AV13" s="1107"/>
      <c r="AW13" s="85">
        <f>SUM(AW7:AW12)</f>
        <v>3.67003528972685</v>
      </c>
      <c r="AX13" s="1107"/>
      <c r="AY13" s="1107"/>
      <c r="AZ13" s="1107"/>
      <c r="BA13" s="1107"/>
      <c r="BB13" s="85">
        <f>SUM(BB7:BB12)</f>
        <v>3.8510149307776169</v>
      </c>
      <c r="BC13" s="1107"/>
      <c r="BD13" s="1107"/>
      <c r="BE13" s="1107"/>
      <c r="BF13" s="1107"/>
      <c r="BG13" s="85">
        <f>SUM(BG7:BG12)</f>
        <v>4.1479217076498127</v>
      </c>
      <c r="BH13" s="1107"/>
      <c r="BI13" s="1107"/>
      <c r="BJ13" s="1107"/>
      <c r="BK13" s="1107"/>
      <c r="BL13" s="85">
        <f>SUM(BL7:BL12)</f>
        <v>4.4224580825206123</v>
      </c>
      <c r="BM13" s="1107"/>
      <c r="BN13" s="1107"/>
      <c r="BO13" s="1107"/>
      <c r="BP13" s="1107"/>
      <c r="BQ13" s="85">
        <f>SUM(BQ7:BQ12)</f>
        <v>4.8707433832009102</v>
      </c>
      <c r="BS13" s="56"/>
      <c r="BT13" s="56" t="s">
        <v>744</v>
      </c>
      <c r="BU13" s="56"/>
      <c r="BV13" s="56"/>
      <c r="BW13" s="56"/>
      <c r="BX13" s="56"/>
      <c r="BY13" s="56"/>
      <c r="BZ13" s="56"/>
      <c r="CA13" s="85">
        <f>+CA12*CA8</f>
        <v>61.176107943764613</v>
      </c>
      <c r="CB13" s="56"/>
      <c r="CC13" s="56"/>
      <c r="CD13" s="56"/>
      <c r="CE13" s="56"/>
      <c r="CF13" s="85">
        <f>+CF12*CF8</f>
        <v>70.529144795474835</v>
      </c>
      <c r="CG13" s="56"/>
      <c r="CH13" s="56"/>
      <c r="CI13" s="56"/>
      <c r="CJ13" s="56"/>
      <c r="CK13" s="85">
        <f>+CK12*CK8</f>
        <v>80.103714971402624</v>
      </c>
      <c r="DF13" s="63"/>
      <c r="DX13" s="713"/>
    </row>
    <row r="14" spans="1:128">
      <c r="C14" s="75" t="s">
        <v>336</v>
      </c>
      <c r="X14" s="871"/>
      <c r="Y14" s="871"/>
      <c r="Z14" s="871"/>
      <c r="AA14" s="871"/>
      <c r="AB14" s="871"/>
      <c r="AC14" s="870"/>
      <c r="AD14" s="871"/>
      <c r="AE14" s="871"/>
      <c r="AF14" s="871"/>
      <c r="AG14" s="871"/>
      <c r="AH14" s="1119"/>
      <c r="AI14" s="871"/>
      <c r="AJ14" s="871"/>
      <c r="AK14" s="871"/>
      <c r="AL14" s="871"/>
      <c r="AM14" s="1442"/>
      <c r="AN14" s="1443"/>
      <c r="AO14" s="1443"/>
      <c r="AP14" s="1443"/>
      <c r="AQ14" s="1443"/>
      <c r="AR14" s="1442"/>
      <c r="AS14" s="1443"/>
      <c r="AT14" s="1443"/>
      <c r="AU14" s="1443"/>
      <c r="AV14" s="1443"/>
      <c r="AW14" s="1444"/>
      <c r="AX14" s="1443"/>
      <c r="AY14" s="1443"/>
      <c r="AZ14" s="1443"/>
      <c r="BA14" s="1443"/>
      <c r="BB14" s="1444">
        <v>3.891</v>
      </c>
      <c r="BC14" s="1443"/>
      <c r="BD14" s="1443"/>
      <c r="BE14" s="1443"/>
      <c r="BF14" s="1443"/>
      <c r="BG14" s="1444">
        <v>4.117</v>
      </c>
      <c r="BH14" s="1443"/>
      <c r="BI14" s="1443"/>
      <c r="BJ14" s="1443"/>
      <c r="BK14" s="1443"/>
      <c r="BL14" s="1444">
        <v>4.3529999999999998</v>
      </c>
      <c r="BM14" s="1443"/>
      <c r="BN14" s="1443"/>
      <c r="BO14" s="1443"/>
      <c r="BP14" s="1443"/>
      <c r="BQ14" s="1444">
        <v>4.5449999999999999</v>
      </c>
      <c r="BS14" s="56"/>
      <c r="CF14" s="63"/>
      <c r="CK14" s="63"/>
      <c r="CL14" s="45"/>
      <c r="CM14" s="45"/>
      <c r="CN14" s="45"/>
      <c r="CO14" s="45"/>
      <c r="CQ14" s="45"/>
      <c r="CR14" s="45"/>
      <c r="CS14" s="45"/>
      <c r="CT14" s="45"/>
      <c r="CV14" s="45"/>
      <c r="CW14" s="45"/>
      <c r="CX14" s="45"/>
      <c r="CY14" s="45"/>
      <c r="DA14" s="45"/>
      <c r="DB14" s="45"/>
      <c r="DC14" s="45"/>
      <c r="DD14" s="45"/>
    </row>
    <row r="15" spans="1:128">
      <c r="AH15" s="827"/>
      <c r="AM15" s="827"/>
      <c r="AR15" s="827"/>
      <c r="AW15" s="827"/>
      <c r="BB15" s="827"/>
      <c r="BG15" s="827"/>
      <c r="BL15" s="827"/>
      <c r="BQ15" s="1883"/>
      <c r="BS15" s="56"/>
      <c r="BT15" s="56" t="s">
        <v>636</v>
      </c>
      <c r="BU15" s="56"/>
      <c r="BV15" s="841"/>
      <c r="BW15" s="56"/>
      <c r="BX15" s="56"/>
      <c r="BY15" s="56"/>
      <c r="BZ15" s="56"/>
      <c r="CA15" s="842">
        <v>0</v>
      </c>
      <c r="CB15" s="221"/>
      <c r="CC15" s="221"/>
      <c r="CD15" s="221"/>
      <c r="CE15" s="221"/>
      <c r="CF15" s="843">
        <f ca="1">MAX(0,+BV61)</f>
        <v>2.0270381129934738</v>
      </c>
      <c r="CG15" s="221"/>
      <c r="CH15" s="221"/>
      <c r="CI15" s="221"/>
      <c r="CJ15" s="221"/>
      <c r="CK15" s="842">
        <v>3.2</v>
      </c>
      <c r="CL15" s="45"/>
      <c r="CM15" s="45"/>
      <c r="CN15" s="45"/>
      <c r="CO15" s="45"/>
      <c r="CQ15" s="45"/>
      <c r="CR15" s="45"/>
      <c r="CS15" s="45"/>
      <c r="CT15" s="45"/>
      <c r="CV15" s="45"/>
      <c r="CW15" s="45"/>
      <c r="CX15" s="45"/>
      <c r="CY15" s="45"/>
      <c r="DA15" s="45"/>
      <c r="DB15" s="45"/>
      <c r="DC15" s="45"/>
      <c r="DD15" s="45"/>
      <c r="DF15" s="86"/>
    </row>
    <row r="16" spans="1:128">
      <c r="C16" t="s">
        <v>233</v>
      </c>
      <c r="J16" s="51"/>
      <c r="K16" s="51"/>
      <c r="L16" s="51"/>
      <c r="M16" s="51"/>
      <c r="N16" s="51"/>
      <c r="O16" s="51"/>
      <c r="P16" s="51"/>
      <c r="Q16" s="51"/>
      <c r="R16" s="51"/>
      <c r="S16" s="52"/>
      <c r="T16" s="51"/>
      <c r="U16" s="51"/>
      <c r="V16" s="51"/>
      <c r="W16" s="51"/>
      <c r="X16" s="51"/>
      <c r="Y16" s="51"/>
      <c r="Z16" s="51"/>
      <c r="AA16" s="51"/>
      <c r="AB16" s="51"/>
      <c r="AC16" s="52"/>
      <c r="AD16" s="51"/>
      <c r="AE16" s="51"/>
      <c r="AF16" s="51"/>
      <c r="AG16" s="51"/>
      <c r="AH16" s="52">
        <v>14</v>
      </c>
      <c r="AI16" s="52">
        <v>13.3</v>
      </c>
      <c r="AJ16" s="52">
        <v>13.3</v>
      </c>
      <c r="AK16" s="52">
        <v>13.3</v>
      </c>
      <c r="AL16" s="52">
        <v>13.3</v>
      </c>
      <c r="AM16" s="52">
        <v>14</v>
      </c>
      <c r="AN16" s="51"/>
      <c r="AO16" s="51"/>
      <c r="AP16" s="51"/>
      <c r="AQ16" s="51"/>
      <c r="AR16" s="52">
        <v>14</v>
      </c>
      <c r="AS16" s="51"/>
      <c r="AT16" s="51"/>
      <c r="AU16" s="51"/>
      <c r="AV16" s="51"/>
      <c r="AW16" s="52">
        <v>14</v>
      </c>
      <c r="AX16" s="52">
        <v>13.3</v>
      </c>
      <c r="AY16" s="52">
        <v>13.3</v>
      </c>
      <c r="AZ16" s="52">
        <v>13.3</v>
      </c>
      <c r="BA16" s="52">
        <v>13.3</v>
      </c>
      <c r="BB16" s="52">
        <v>14</v>
      </c>
      <c r="BC16" s="52"/>
      <c r="BD16" s="52"/>
      <c r="BE16" s="52"/>
      <c r="BF16" s="52"/>
      <c r="BG16" s="1445">
        <f>+BB16</f>
        <v>14</v>
      </c>
      <c r="BH16" s="52"/>
      <c r="BI16" s="52"/>
      <c r="BJ16" s="52"/>
      <c r="BK16" s="52"/>
      <c r="BL16" s="1445">
        <f>+BG16</f>
        <v>14</v>
      </c>
      <c r="BM16" s="52"/>
      <c r="BN16" s="52"/>
      <c r="BO16" s="52"/>
      <c r="BP16" s="52"/>
      <c r="BQ16" s="1445">
        <f>+BL16</f>
        <v>14</v>
      </c>
      <c r="BS16" s="50"/>
      <c r="CK16" s="884"/>
    </row>
    <row r="17" spans="2:152">
      <c r="C17" t="s">
        <v>387</v>
      </c>
      <c r="J17" s="53"/>
      <c r="K17" s="53"/>
      <c r="L17" s="53"/>
      <c r="M17" s="53"/>
      <c r="N17" s="53"/>
      <c r="O17" s="53"/>
      <c r="P17" s="53"/>
      <c r="Q17" s="53"/>
      <c r="R17" s="53"/>
      <c r="S17" s="54"/>
      <c r="T17" s="53"/>
      <c r="U17" s="53"/>
      <c r="V17" s="53"/>
      <c r="W17" s="53"/>
      <c r="X17" s="53"/>
      <c r="Y17" s="53"/>
      <c r="Z17" s="53"/>
      <c r="AA17" s="53"/>
      <c r="AB17" s="53"/>
      <c r="AC17" s="54"/>
      <c r="AD17" s="53"/>
      <c r="AE17" s="53"/>
      <c r="AF17" s="53"/>
      <c r="AG17" s="53"/>
      <c r="AH17" s="54">
        <v>0</v>
      </c>
      <c r="AI17" s="53"/>
      <c r="AJ17" s="53"/>
      <c r="AK17" s="53"/>
      <c r="AL17" s="53"/>
      <c r="AM17" s="54">
        <v>0</v>
      </c>
      <c r="AN17" s="53"/>
      <c r="AO17" s="53"/>
      <c r="AP17" s="53"/>
      <c r="AQ17" s="53"/>
      <c r="AR17" s="54">
        <v>0</v>
      </c>
      <c r="AS17" s="53"/>
      <c r="AT17" s="53"/>
      <c r="AU17" s="53"/>
      <c r="AV17" s="53"/>
      <c r="AW17" s="54">
        <v>0</v>
      </c>
      <c r="AX17" s="53"/>
      <c r="AY17" s="53"/>
      <c r="AZ17" s="53"/>
      <c r="BA17" s="53"/>
      <c r="BB17" s="54">
        <v>0</v>
      </c>
      <c r="BC17" s="53"/>
      <c r="BD17" s="53"/>
      <c r="BE17" s="53"/>
      <c r="BF17" s="53"/>
      <c r="BG17" s="1446">
        <f>+BB17</f>
        <v>0</v>
      </c>
      <c r="BH17" s="53"/>
      <c r="BI17" s="53"/>
      <c r="BJ17" s="53"/>
      <c r="BK17" s="53"/>
      <c r="BL17" s="1446">
        <f>+BG17</f>
        <v>0</v>
      </c>
      <c r="BM17" s="53"/>
      <c r="BN17" s="53"/>
      <c r="BO17" s="53"/>
      <c r="BP17" s="53"/>
      <c r="BQ17" s="1446">
        <f>+BL17</f>
        <v>0</v>
      </c>
      <c r="BT17" s="57" t="s">
        <v>837</v>
      </c>
      <c r="BU17" s="58"/>
      <c r="BV17" s="58"/>
      <c r="BW17" s="59"/>
      <c r="BX17" s="59"/>
      <c r="BY17" s="59"/>
      <c r="BZ17" s="59"/>
      <c r="CA17" s="59">
        <f>CA13+CA15</f>
        <v>61.176107943764613</v>
      </c>
      <c r="CB17" s="59"/>
      <c r="CC17" s="59"/>
      <c r="CD17" s="59"/>
      <c r="CE17" s="59"/>
      <c r="CF17" s="59">
        <f ca="1">CF13+CF15</f>
        <v>72.556182908468315</v>
      </c>
      <c r="CG17" s="59">
        <f>+CG12+CG13</f>
        <v>0</v>
      </c>
      <c r="CH17" s="59">
        <f>+CH12+CH13</f>
        <v>0</v>
      </c>
      <c r="CI17" s="59">
        <f>+CI12+CI13</f>
        <v>0</v>
      </c>
      <c r="CJ17" s="59">
        <f>+CJ12+CJ13</f>
        <v>0</v>
      </c>
      <c r="CK17" s="60">
        <f>CK13+CK15</f>
        <v>83.303714971402627</v>
      </c>
      <c r="CL17" s="45"/>
      <c r="CM17" s="45"/>
      <c r="CN17" s="45"/>
      <c r="CO17" s="45"/>
      <c r="CQ17" s="45"/>
      <c r="CR17" s="45"/>
      <c r="CS17" s="45"/>
      <c r="CT17" s="45"/>
      <c r="CU17" s="63"/>
      <c r="CV17" s="45"/>
      <c r="CW17" s="45"/>
      <c r="CX17" s="45"/>
      <c r="CY17" s="45"/>
      <c r="CZ17" s="63"/>
      <c r="DA17" s="45"/>
      <c r="DB17" s="45"/>
      <c r="DC17" s="45"/>
      <c r="DD17" s="45"/>
      <c r="DE17" s="63"/>
      <c r="DF17" s="63"/>
    </row>
    <row r="18" spans="2:152">
      <c r="C18" t="s">
        <v>836</v>
      </c>
      <c r="J18" s="55"/>
      <c r="K18" s="55"/>
      <c r="L18" s="55"/>
      <c r="M18" s="55"/>
      <c r="N18" s="55"/>
      <c r="O18" s="55"/>
      <c r="P18" s="55"/>
      <c r="Q18" s="55"/>
      <c r="R18" s="55"/>
      <c r="S18" s="55"/>
      <c r="T18" s="55"/>
      <c r="U18" s="55"/>
      <c r="V18" s="55"/>
      <c r="W18" s="55"/>
      <c r="X18" s="55"/>
      <c r="Y18" s="55"/>
      <c r="Z18" s="55"/>
      <c r="AA18" s="55"/>
      <c r="AB18" s="55"/>
      <c r="AC18" s="844"/>
      <c r="AD18" s="844"/>
      <c r="AE18" s="844"/>
      <c r="AF18" s="844"/>
      <c r="AG18" s="844"/>
      <c r="AH18" s="844">
        <f>+AH16*(1+AH17)</f>
        <v>14</v>
      </c>
      <c r="AI18" s="844"/>
      <c r="AJ18" s="844"/>
      <c r="AK18" s="844"/>
      <c r="AL18" s="844"/>
      <c r="AM18" s="844">
        <f>+AM16*(1+AM17)</f>
        <v>14</v>
      </c>
      <c r="AN18" s="844"/>
      <c r="AO18" s="844"/>
      <c r="AP18" s="844"/>
      <c r="AQ18" s="844"/>
      <c r="AR18" s="844">
        <f>+AR16*(1+AR17)</f>
        <v>14</v>
      </c>
      <c r="AS18" s="844"/>
      <c r="AT18" s="844"/>
      <c r="AU18" s="844"/>
      <c r="AV18" s="844"/>
      <c r="AW18" s="844">
        <f>+AW16*(1+AW17)</f>
        <v>14</v>
      </c>
      <c r="AX18" s="844"/>
      <c r="AY18" s="844"/>
      <c r="AZ18" s="844"/>
      <c r="BA18" s="844"/>
      <c r="BB18" s="844">
        <f>+BB16*(1+BB17)</f>
        <v>14</v>
      </c>
      <c r="BC18" s="844"/>
      <c r="BD18" s="844"/>
      <c r="BE18" s="844"/>
      <c r="BF18" s="844"/>
      <c r="BG18" s="844">
        <f>+BG16*(1+BG17)</f>
        <v>14</v>
      </c>
      <c r="BH18" s="844"/>
      <c r="BI18" s="844"/>
      <c r="BJ18" s="844"/>
      <c r="BK18" s="844"/>
      <c r="BL18" s="844">
        <f>+BL16*(1+BL17)</f>
        <v>14</v>
      </c>
      <c r="BM18" s="844"/>
      <c r="BN18" s="844"/>
      <c r="BO18" s="844"/>
      <c r="BP18" s="844"/>
      <c r="BQ18" s="844">
        <f>+BQ16*(1+BQ17)</f>
        <v>14</v>
      </c>
      <c r="BT18" s="545" t="s">
        <v>582</v>
      </c>
      <c r="CA18" s="819">
        <f>ROUND(CA17,0)</f>
        <v>61</v>
      </c>
      <c r="CB18" s="819">
        <f t="shared" ref="CB18:CK18" si="0">ROUND(CB17,0)</f>
        <v>0</v>
      </c>
      <c r="CC18" s="819">
        <f t="shared" si="0"/>
        <v>0</v>
      </c>
      <c r="CD18" s="819">
        <f t="shared" si="0"/>
        <v>0</v>
      </c>
      <c r="CE18" s="819">
        <f t="shared" si="0"/>
        <v>0</v>
      </c>
      <c r="CF18" s="819">
        <f t="shared" ca="1" si="0"/>
        <v>73</v>
      </c>
      <c r="CG18" s="819">
        <f t="shared" si="0"/>
        <v>0</v>
      </c>
      <c r="CH18" s="819">
        <f t="shared" si="0"/>
        <v>0</v>
      </c>
      <c r="CI18" s="819">
        <f t="shared" si="0"/>
        <v>0</v>
      </c>
      <c r="CJ18" s="819">
        <f t="shared" si="0"/>
        <v>0</v>
      </c>
      <c r="CK18" s="819">
        <f t="shared" si="0"/>
        <v>83</v>
      </c>
      <c r="CL18" s="45"/>
      <c r="CM18" s="45"/>
      <c r="CN18" s="45"/>
      <c r="CO18" s="45"/>
      <c r="CQ18" s="45"/>
      <c r="CR18" s="45"/>
      <c r="CS18" s="45"/>
      <c r="CT18" s="45"/>
      <c r="CU18" s="63"/>
      <c r="CV18" s="45"/>
      <c r="CW18" s="45"/>
      <c r="CX18" s="45"/>
      <c r="CY18" s="45"/>
      <c r="CZ18" s="63"/>
      <c r="DA18" s="45"/>
      <c r="DB18" s="45"/>
      <c r="DC18" s="45"/>
      <c r="DD18" s="45"/>
      <c r="DE18" s="63"/>
      <c r="DF18" s="1107"/>
    </row>
    <row r="19" spans="2:152">
      <c r="C19" s="56"/>
      <c r="S19" s="85"/>
      <c r="X19" s="85"/>
      <c r="Y19" s="85"/>
      <c r="Z19" s="85"/>
      <c r="AA19" s="85"/>
      <c r="AB19" s="85"/>
      <c r="AC19" s="85"/>
      <c r="AD19" s="85"/>
      <c r="AE19" s="85"/>
      <c r="AF19" s="85"/>
      <c r="AG19" s="85"/>
      <c r="AH19" s="85"/>
      <c r="AI19" s="85"/>
      <c r="AJ19" s="85"/>
      <c r="AK19" s="85"/>
      <c r="AL19" s="85"/>
      <c r="AM19" s="85"/>
      <c r="AN19" s="85"/>
      <c r="AO19" s="85"/>
      <c r="AP19" s="85"/>
      <c r="AQ19" s="85"/>
      <c r="AR19" s="85"/>
      <c r="AS19" s="85"/>
      <c r="AT19" s="85"/>
      <c r="AU19" s="85"/>
      <c r="AV19" s="85"/>
      <c r="AW19" s="85"/>
      <c r="AX19" s="85"/>
      <c r="AY19" s="85"/>
      <c r="AZ19" s="85"/>
      <c r="BA19" s="85"/>
      <c r="BB19" s="85"/>
      <c r="BC19" s="85"/>
      <c r="BD19" s="85"/>
      <c r="BE19" s="85"/>
      <c r="BF19" s="85"/>
      <c r="BG19" s="85"/>
      <c r="BH19" s="85"/>
      <c r="BI19" s="85"/>
      <c r="BJ19" s="85"/>
      <c r="BK19" s="85"/>
      <c r="BL19" s="85"/>
      <c r="BM19" s="85"/>
      <c r="BN19" s="85"/>
      <c r="BO19" s="85"/>
      <c r="BP19" s="85"/>
      <c r="BQ19" s="85"/>
      <c r="DE19" s="1863"/>
    </row>
    <row r="20" spans="2:152">
      <c r="C20" s="57" t="s">
        <v>745</v>
      </c>
      <c r="D20" s="58"/>
      <c r="E20" s="58"/>
      <c r="F20" s="58"/>
      <c r="G20" s="58"/>
      <c r="H20" s="58"/>
      <c r="I20" s="58"/>
      <c r="J20" s="59"/>
      <c r="K20" s="59"/>
      <c r="L20" s="59"/>
      <c r="M20" s="59"/>
      <c r="N20" s="59"/>
      <c r="O20" s="59"/>
      <c r="P20" s="59"/>
      <c r="Q20" s="59"/>
      <c r="R20" s="59"/>
      <c r="S20" s="59"/>
      <c r="T20" s="59"/>
      <c r="U20" s="59"/>
      <c r="V20" s="59"/>
      <c r="W20" s="59"/>
      <c r="X20" s="59"/>
      <c r="Y20" s="59"/>
      <c r="Z20" s="59"/>
      <c r="AA20" s="59"/>
      <c r="AB20" s="59"/>
      <c r="AC20" s="59"/>
      <c r="AD20" s="59"/>
      <c r="AE20" s="59"/>
      <c r="AF20" s="59"/>
      <c r="AG20" s="59"/>
      <c r="AH20" s="59">
        <f>+AH18*AH13</f>
        <v>47.964834678612291</v>
      </c>
      <c r="AI20" s="59"/>
      <c r="AJ20" s="59"/>
      <c r="AK20" s="59"/>
      <c r="AL20" s="59"/>
      <c r="AM20" s="59">
        <f>+AM18*AM13</f>
        <v>51.599495063918589</v>
      </c>
      <c r="AN20" s="59"/>
      <c r="AO20" s="59"/>
      <c r="AP20" s="59"/>
      <c r="AQ20" s="59"/>
      <c r="AR20" s="59">
        <f>+AR18*AR13</f>
        <v>55.155776964478761</v>
      </c>
      <c r="AS20" s="59"/>
      <c r="AT20" s="59"/>
      <c r="AU20" s="59"/>
      <c r="AV20" s="59"/>
      <c r="AW20" s="59">
        <f>+AW18*AW13</f>
        <v>51.380494056175898</v>
      </c>
      <c r="AX20" s="59"/>
      <c r="AY20" s="59"/>
      <c r="AZ20" s="59"/>
      <c r="BA20" s="59"/>
      <c r="BB20" s="59">
        <f>+BB18*BB13</f>
        <v>53.914209030886639</v>
      </c>
      <c r="BC20" s="59"/>
      <c r="BD20" s="59"/>
      <c r="BE20" s="59"/>
      <c r="BF20" s="59"/>
      <c r="BG20" s="59">
        <f>+BG18*BG13</f>
        <v>58.070903907097374</v>
      </c>
      <c r="BH20" s="59"/>
      <c r="BI20" s="59"/>
      <c r="BJ20" s="59"/>
      <c r="BK20" s="59"/>
      <c r="BL20" s="59">
        <f>+BL18*BL13</f>
        <v>61.914413155288571</v>
      </c>
      <c r="BM20" s="59"/>
      <c r="BN20" s="59"/>
      <c r="BO20" s="59"/>
      <c r="BP20" s="59"/>
      <c r="BQ20" s="60">
        <f>+BQ18*BQ13</f>
        <v>68.190407364812742</v>
      </c>
      <c r="BT20" t="s">
        <v>838</v>
      </c>
      <c r="BU20" s="56"/>
      <c r="CA20" s="49">
        <f>+$AR$21</f>
        <v>68.88</v>
      </c>
      <c r="CB20" s="1466"/>
      <c r="CC20" s="1466"/>
      <c r="CD20" s="1466"/>
      <c r="CE20" s="1466"/>
      <c r="CF20" s="49">
        <f>+$BL$21</f>
        <v>68.88</v>
      </c>
      <c r="CG20" s="1466"/>
      <c r="CH20" s="1466"/>
      <c r="CI20" s="1466"/>
      <c r="CJ20" s="1466"/>
      <c r="CK20" s="49">
        <f>+$AR$21</f>
        <v>68.88</v>
      </c>
      <c r="CL20" s="45"/>
      <c r="CM20" s="45"/>
      <c r="CN20" s="45"/>
      <c r="CO20" s="45"/>
      <c r="CQ20" s="45"/>
      <c r="CR20" s="45"/>
      <c r="CS20" s="45"/>
      <c r="CT20" s="45"/>
      <c r="CV20" s="45"/>
      <c r="CW20" s="45"/>
      <c r="CX20" s="45"/>
      <c r="CY20" s="45"/>
      <c r="DA20" s="45"/>
      <c r="DB20" s="45"/>
      <c r="DC20" s="45"/>
      <c r="DD20" s="45"/>
    </row>
    <row r="21" spans="2:152">
      <c r="C21" t="s">
        <v>838</v>
      </c>
      <c r="E21" s="61"/>
      <c r="F21" s="61"/>
      <c r="G21" s="61"/>
      <c r="H21" s="61"/>
      <c r="I21" s="61"/>
      <c r="J21" s="61"/>
      <c r="K21" s="61"/>
      <c r="L21" s="61"/>
      <c r="M21" s="61"/>
      <c r="N21" s="61"/>
      <c r="O21" s="61"/>
      <c r="P21" s="61"/>
      <c r="Q21" s="61"/>
      <c r="R21" s="61"/>
      <c r="T21" s="61"/>
      <c r="U21" s="61"/>
      <c r="V21" s="61"/>
      <c r="W21" s="61"/>
      <c r="X21" s="63"/>
      <c r="Y21" s="63"/>
      <c r="Z21" s="63"/>
      <c r="AA21" s="63"/>
      <c r="AB21" s="63"/>
      <c r="AD21" s="63"/>
      <c r="AE21" s="63"/>
      <c r="AF21" s="63"/>
      <c r="AG21" s="63"/>
      <c r="AH21" s="63">
        <f>+AM21</f>
        <v>68.88</v>
      </c>
      <c r="AI21" s="63"/>
      <c r="AJ21" s="63"/>
      <c r="AK21" s="63"/>
      <c r="AL21" s="63"/>
      <c r="AM21" s="63">
        <f>+AR21</f>
        <v>68.88</v>
      </c>
      <c r="AN21" s="63"/>
      <c r="AO21" s="63"/>
      <c r="AP21" s="63"/>
      <c r="AQ21" s="63"/>
      <c r="AR21" s="63">
        <f>+AW21</f>
        <v>68.88</v>
      </c>
      <c r="AS21" s="63"/>
      <c r="AT21" s="63"/>
      <c r="AU21" s="63"/>
      <c r="AV21" s="63"/>
      <c r="AW21" s="63">
        <f>+BB21</f>
        <v>68.88</v>
      </c>
      <c r="AX21" s="63"/>
      <c r="AY21" s="63"/>
      <c r="AZ21" s="63"/>
      <c r="BA21" s="63"/>
      <c r="BB21" s="63">
        <f>+BG21</f>
        <v>68.88</v>
      </c>
      <c r="BC21" s="63"/>
      <c r="BD21" s="63"/>
      <c r="BE21" s="63"/>
      <c r="BF21" s="63"/>
      <c r="BG21" s="63">
        <f>+BL21</f>
        <v>68.88</v>
      </c>
      <c r="BH21" s="63"/>
      <c r="BI21" s="63"/>
      <c r="BJ21" s="63"/>
      <c r="BK21" s="63"/>
      <c r="BL21" s="63">
        <f>+BQ21</f>
        <v>68.88</v>
      </c>
      <c r="BM21" s="63"/>
      <c r="BN21" s="63"/>
      <c r="BO21" s="63"/>
      <c r="BP21" s="63"/>
      <c r="BQ21" s="1497">
        <v>68.88</v>
      </c>
      <c r="BT21" t="s">
        <v>839</v>
      </c>
      <c r="BU21" s="56"/>
      <c r="BW21" s="65"/>
      <c r="BX21" s="65"/>
      <c r="BY21" s="65"/>
      <c r="BZ21" s="65"/>
      <c r="CA21" s="65">
        <f>+CA18/CA20-1</f>
        <v>-0.11440185830429728</v>
      </c>
      <c r="CB21" s="65"/>
      <c r="CC21" s="65"/>
      <c r="CD21" s="65"/>
      <c r="CE21" s="65"/>
      <c r="CF21" s="65">
        <f ca="1">+CF18/CF20-1</f>
        <v>5.9814169570267195E-2</v>
      </c>
      <c r="CG21" s="65"/>
      <c r="CH21" s="65"/>
      <c r="CI21" s="65"/>
      <c r="CJ21" s="65"/>
      <c r="CK21" s="65">
        <f>+CK18/CK20-1</f>
        <v>0.20499419279907083</v>
      </c>
      <c r="CL21" s="45"/>
      <c r="CM21" s="45"/>
      <c r="CN21" s="45"/>
      <c r="CO21" s="45"/>
      <c r="CQ21" s="45"/>
      <c r="CR21" s="45"/>
      <c r="CS21" s="45"/>
      <c r="CT21" s="45"/>
      <c r="CV21" s="45"/>
      <c r="CW21" s="45"/>
      <c r="CX21" s="45"/>
      <c r="CY21" s="45"/>
      <c r="DA21" s="45"/>
      <c r="DB21" s="45"/>
      <c r="DC21" s="45"/>
      <c r="DD21" s="45"/>
      <c r="DE21" s="1863"/>
    </row>
    <row r="22" spans="2:152">
      <c r="C22" t="s">
        <v>839</v>
      </c>
      <c r="S22" s="65"/>
      <c r="AC22" s="65"/>
      <c r="AH22" s="65">
        <f>+AH20/AH21-1</f>
        <v>-0.30364641871933373</v>
      </c>
      <c r="AM22" s="65">
        <f>+AM20/AM21-1</f>
        <v>-0.25087841080257556</v>
      </c>
      <c r="AR22" s="65">
        <f>+AR20/AR21-1</f>
        <v>-0.19924830190942555</v>
      </c>
      <c r="AW22" s="65">
        <f>+AW20/AW21-1</f>
        <v>-0.25405786794169716</v>
      </c>
      <c r="BB22" s="65">
        <f>+BB20/BB21-1</f>
        <v>-0.21727338805332985</v>
      </c>
      <c r="BG22" s="65">
        <f>+BG20/BG21-1</f>
        <v>-0.15692648218499738</v>
      </c>
      <c r="BL22" s="65">
        <f>+BL20/BL21-1</f>
        <v>-0.10112640599174538</v>
      </c>
      <c r="BQ22" s="65">
        <f>+BQ20/BQ21-1</f>
        <v>-1.0011507479489756E-2</v>
      </c>
      <c r="BT22" t="s">
        <v>840</v>
      </c>
      <c r="BU22" s="50"/>
      <c r="CA22" s="65">
        <f>+$AR$23</f>
        <v>3.1213704994192806E-2</v>
      </c>
      <c r="CF22" s="65">
        <f>+$BL$23</f>
        <v>3.1213704994192806E-2</v>
      </c>
      <c r="CK22" s="65">
        <f>+$AR$23</f>
        <v>3.1213704994192806E-2</v>
      </c>
      <c r="CL22" s="45"/>
      <c r="CM22" s="45"/>
      <c r="CN22" s="45"/>
      <c r="CO22" s="45"/>
      <c r="CQ22" s="45"/>
      <c r="CR22" s="45"/>
      <c r="CS22" s="45"/>
      <c r="CT22" s="45"/>
      <c r="CV22" s="45"/>
      <c r="CW22" s="45"/>
      <c r="CX22" s="45"/>
      <c r="CY22" s="45"/>
      <c r="DA22" s="45"/>
      <c r="DB22" s="45"/>
      <c r="DC22" s="45"/>
      <c r="DD22" s="45"/>
      <c r="DF22" s="48"/>
      <c r="DW22" s="63"/>
      <c r="EA22" s="63"/>
      <c r="EB22" s="63"/>
      <c r="EE22" s="63"/>
      <c r="EF22" s="63"/>
      <c r="EG22" s="63"/>
    </row>
    <row r="23" spans="2:152">
      <c r="C23" t="s">
        <v>840</v>
      </c>
      <c r="X23" s="65"/>
      <c r="Y23" s="65"/>
      <c r="Z23" s="65"/>
      <c r="AA23" s="65"/>
      <c r="AB23" s="65"/>
      <c r="AC23" s="755"/>
      <c r="AD23" s="65"/>
      <c r="AE23" s="65"/>
      <c r="AF23" s="65"/>
      <c r="AG23" s="65"/>
      <c r="AH23" s="65">
        <f>+AM23</f>
        <v>3.1213704994192806E-2</v>
      </c>
      <c r="AI23" s="65"/>
      <c r="AJ23" s="65"/>
      <c r="AK23" s="65"/>
      <c r="AL23" s="65"/>
      <c r="AM23" s="65">
        <f>+AR23</f>
        <v>3.1213704994192806E-2</v>
      </c>
      <c r="AN23" s="65"/>
      <c r="AO23" s="65"/>
      <c r="AP23" s="65"/>
      <c r="AQ23" s="65"/>
      <c r="AR23" s="65">
        <f>+AW23</f>
        <v>3.1213704994192806E-2</v>
      </c>
      <c r="AS23" s="65"/>
      <c r="AT23" s="65"/>
      <c r="AU23" s="65"/>
      <c r="AV23" s="65"/>
      <c r="AW23" s="643">
        <f>+BB23</f>
        <v>3.1213704994192806E-2</v>
      </c>
      <c r="AX23" s="643"/>
      <c r="AY23" s="643"/>
      <c r="AZ23" s="643"/>
      <c r="BA23" s="643"/>
      <c r="BB23" s="643">
        <f>+BG23</f>
        <v>3.1213704994192806E-2</v>
      </c>
      <c r="BC23" s="643"/>
      <c r="BD23" s="643"/>
      <c r="BE23" s="643"/>
      <c r="BF23" s="643"/>
      <c r="BG23" s="643">
        <f>+BL23</f>
        <v>3.1213704994192806E-2</v>
      </c>
      <c r="BH23" s="643"/>
      <c r="BI23" s="643"/>
      <c r="BJ23" s="643"/>
      <c r="BK23" s="643"/>
      <c r="BL23" s="1437">
        <f>+Financials!$AM$31</f>
        <v>3.1213704994192806E-2</v>
      </c>
      <c r="BM23" s="643"/>
      <c r="BN23" s="643"/>
      <c r="BO23" s="643"/>
      <c r="BP23" s="643"/>
      <c r="BQ23" s="1437">
        <f>+Financials!$AM$31</f>
        <v>3.1213704994192806E-2</v>
      </c>
      <c r="BT23" s="57" t="s">
        <v>841</v>
      </c>
      <c r="BU23" s="68"/>
      <c r="BV23" s="68"/>
      <c r="BW23" s="68"/>
      <c r="BX23" s="68"/>
      <c r="BY23" s="68"/>
      <c r="BZ23" s="68"/>
      <c r="CA23" s="69">
        <f>+CA22+CA21</f>
        <v>-8.3188153310104471E-2</v>
      </c>
      <c r="CB23" s="68"/>
      <c r="CC23" s="68"/>
      <c r="CD23" s="68"/>
      <c r="CE23" s="68"/>
      <c r="CF23" s="69">
        <f ca="1">+CF22+CF21</f>
        <v>9.1027874564460001E-2</v>
      </c>
      <c r="CG23" s="68"/>
      <c r="CH23" s="68"/>
      <c r="CI23" s="68"/>
      <c r="CJ23" s="68"/>
      <c r="CK23" s="70">
        <f>+CK22+CK21</f>
        <v>0.23620789779326362</v>
      </c>
      <c r="CL23" s="45"/>
      <c r="CM23" s="45"/>
      <c r="CN23" s="45"/>
      <c r="CO23" s="45"/>
      <c r="CQ23" s="45"/>
      <c r="CR23" s="45"/>
      <c r="CS23" s="45"/>
      <c r="CT23" s="45"/>
      <c r="CV23" s="45"/>
      <c r="CW23" s="45"/>
      <c r="CX23" s="45"/>
      <c r="CY23" s="45"/>
      <c r="DA23" s="45"/>
      <c r="DB23" s="45"/>
      <c r="DC23" s="45"/>
      <c r="DD23" s="45"/>
      <c r="DF23" s="63"/>
      <c r="DW23" s="717"/>
      <c r="EA23" s="717"/>
      <c r="EB23" s="717"/>
      <c r="EE23" s="717"/>
      <c r="EF23" s="717"/>
      <c r="EG23" s="717"/>
    </row>
    <row r="24" spans="2:152">
      <c r="C24" s="57" t="s">
        <v>841</v>
      </c>
      <c r="D24" s="68"/>
      <c r="E24" s="68"/>
      <c r="F24" s="68"/>
      <c r="G24" s="68"/>
      <c r="H24" s="68"/>
      <c r="I24" s="68"/>
      <c r="J24" s="68"/>
      <c r="K24" s="68"/>
      <c r="L24" s="68"/>
      <c r="M24" s="68"/>
      <c r="N24" s="68"/>
      <c r="O24" s="68"/>
      <c r="P24" s="68"/>
      <c r="Q24" s="68"/>
      <c r="R24" s="68"/>
      <c r="S24" s="69"/>
      <c r="T24" s="68"/>
      <c r="U24" s="68"/>
      <c r="V24" s="68"/>
      <c r="W24" s="68"/>
      <c r="X24" s="68"/>
      <c r="Y24" s="68"/>
      <c r="Z24" s="68"/>
      <c r="AA24" s="68"/>
      <c r="AB24" s="68"/>
      <c r="AC24" s="69"/>
      <c r="AD24" s="68"/>
      <c r="AE24" s="68"/>
      <c r="AF24" s="68"/>
      <c r="AG24" s="68"/>
      <c r="AH24" s="69">
        <f>+AH23+AH22</f>
        <v>-0.27243271372514094</v>
      </c>
      <c r="AI24" s="68"/>
      <c r="AJ24" s="68"/>
      <c r="AK24" s="68"/>
      <c r="AL24" s="68"/>
      <c r="AM24" s="69">
        <f>+AM23+AM22</f>
        <v>-0.21966470580838277</v>
      </c>
      <c r="AN24" s="68"/>
      <c r="AO24" s="68"/>
      <c r="AP24" s="68"/>
      <c r="AQ24" s="68"/>
      <c r="AR24" s="69">
        <f>+AR23+AR22</f>
        <v>-0.16803459691523276</v>
      </c>
      <c r="AS24" s="68"/>
      <c r="AT24" s="68"/>
      <c r="AU24" s="68"/>
      <c r="AV24" s="68"/>
      <c r="AW24" s="69">
        <f>+AW23+AW22</f>
        <v>-0.22284416294750437</v>
      </c>
      <c r="AX24" s="68"/>
      <c r="AY24" s="68"/>
      <c r="AZ24" s="68"/>
      <c r="BA24" s="68"/>
      <c r="BB24" s="69">
        <f>+BB23+BB22</f>
        <v>-0.18605968305913706</v>
      </c>
      <c r="BC24" s="68"/>
      <c r="BD24" s="68"/>
      <c r="BE24" s="68"/>
      <c r="BF24" s="68"/>
      <c r="BG24" s="69">
        <f>+BG23+BG22</f>
        <v>-0.12571277719080459</v>
      </c>
      <c r="BH24" s="68"/>
      <c r="BI24" s="68"/>
      <c r="BJ24" s="68"/>
      <c r="BK24" s="68"/>
      <c r="BL24" s="69">
        <f>+BL23+BL22</f>
        <v>-6.9912700997552576E-2</v>
      </c>
      <c r="BM24" s="68"/>
      <c r="BN24" s="68"/>
      <c r="BO24" s="68"/>
      <c r="BP24" s="68"/>
      <c r="BQ24" s="70">
        <f>+BQ23+BQ22</f>
        <v>2.120219751470305E-2</v>
      </c>
      <c r="DF24" s="716"/>
    </row>
    <row r="26" spans="2:152">
      <c r="B26" s="46" t="s">
        <v>747</v>
      </c>
      <c r="C26" s="46"/>
      <c r="D26" s="47"/>
      <c r="J26" s="48"/>
      <c r="K26" s="48"/>
      <c r="L26" s="48"/>
      <c r="M26" s="48"/>
      <c r="N26" s="48"/>
      <c r="O26" s="48"/>
      <c r="P26" s="48"/>
      <c r="Q26" s="48"/>
      <c r="R26" s="48"/>
      <c r="S26" s="48"/>
      <c r="T26" s="48"/>
      <c r="U26" s="48"/>
      <c r="V26" s="48"/>
      <c r="W26" s="48"/>
      <c r="X26" s="48"/>
      <c r="Y26" s="48"/>
      <c r="Z26" s="48"/>
      <c r="AA26" s="48"/>
      <c r="AB26" s="48"/>
      <c r="AC26" s="48" t="s">
        <v>247</v>
      </c>
      <c r="AD26" s="48"/>
      <c r="AE26" s="48"/>
      <c r="AF26" s="48"/>
      <c r="AG26" s="48"/>
      <c r="AH26" s="48" t="s">
        <v>1061</v>
      </c>
      <c r="AI26" s="48"/>
      <c r="AJ26" s="48"/>
      <c r="AK26" s="48"/>
      <c r="AL26" s="48"/>
      <c r="AM26" s="48" t="s">
        <v>1124</v>
      </c>
      <c r="AN26" s="48"/>
      <c r="AO26" s="48"/>
      <c r="AP26" s="48"/>
      <c r="AQ26" s="48"/>
      <c r="AR26" s="48" t="s">
        <v>1292</v>
      </c>
      <c r="AS26" s="48"/>
      <c r="AT26" s="48"/>
      <c r="AU26" s="48"/>
      <c r="AV26" s="48"/>
      <c r="AW26" s="48" t="s">
        <v>1353</v>
      </c>
      <c r="AX26" s="48"/>
      <c r="AY26" s="48"/>
      <c r="AZ26" s="48"/>
      <c r="BA26" s="48"/>
      <c r="BB26" s="48" t="s">
        <v>73</v>
      </c>
      <c r="BC26" s="48"/>
      <c r="BD26" s="48"/>
      <c r="BE26" s="48"/>
      <c r="BF26" s="48"/>
      <c r="BG26" s="48" t="s">
        <v>1065</v>
      </c>
      <c r="BH26" s="48"/>
      <c r="BI26" s="48"/>
      <c r="BJ26" s="48"/>
      <c r="BK26" s="48"/>
      <c r="BL26" s="48" t="s">
        <v>1066</v>
      </c>
      <c r="BM26" s="48"/>
      <c r="BN26" s="48"/>
      <c r="BO26" s="48"/>
      <c r="BP26" s="48"/>
      <c r="BQ26" s="48" t="s">
        <v>1282</v>
      </c>
      <c r="BS26" s="718" t="s">
        <v>752</v>
      </c>
      <c r="BT26" s="718"/>
      <c r="BU26" s="47"/>
      <c r="CA26" s="1005" t="s">
        <v>831</v>
      </c>
      <c r="CB26" s="547"/>
      <c r="CC26" s="547"/>
      <c r="CD26" s="547"/>
      <c r="CE26" s="547"/>
      <c r="CF26" s="1005" t="s">
        <v>832</v>
      </c>
      <c r="CG26" s="547"/>
      <c r="CH26" s="547"/>
      <c r="CI26" s="547"/>
      <c r="CJ26" s="547"/>
      <c r="CK26" s="1005" t="s">
        <v>833</v>
      </c>
    </row>
    <row r="27" spans="2:152">
      <c r="C27" t="s">
        <v>597</v>
      </c>
      <c r="J27" s="48"/>
      <c r="K27" s="48"/>
      <c r="L27" s="48"/>
      <c r="M27" s="48"/>
      <c r="N27" s="71"/>
      <c r="O27" s="71"/>
      <c r="P27" s="71"/>
      <c r="Q27" s="71"/>
      <c r="R27" s="71"/>
      <c r="S27" s="71"/>
      <c r="T27" s="71"/>
      <c r="U27" s="71"/>
      <c r="V27" s="71"/>
      <c r="W27" s="71"/>
      <c r="X27" s="71"/>
      <c r="Y27" s="71"/>
      <c r="Z27" s="71"/>
      <c r="AA27" s="71"/>
      <c r="AB27" s="71"/>
      <c r="AC27" s="71">
        <f>'Utility Detail'!AC33</f>
        <v>27707</v>
      </c>
      <c r="AD27" s="71"/>
      <c r="AE27" s="71"/>
      <c r="AF27" s="71"/>
      <c r="AG27" s="71"/>
      <c r="AH27" s="71">
        <f>'Utility Detail'!AH33</f>
        <v>29474</v>
      </c>
      <c r="AI27" s="71"/>
      <c r="AJ27" s="71"/>
      <c r="AK27" s="71"/>
      <c r="AL27" s="71"/>
      <c r="AM27" s="71">
        <f>'Utility Detail'!AM33</f>
        <v>32911.438204412545</v>
      </c>
      <c r="AN27" s="71"/>
      <c r="AO27" s="71"/>
      <c r="AP27" s="71"/>
      <c r="AQ27" s="71"/>
      <c r="AR27" s="71">
        <f>'Utility Detail'!AR33</f>
        <v>36542.6</v>
      </c>
      <c r="AS27" s="71"/>
      <c r="AT27" s="71"/>
      <c r="AU27" s="71"/>
      <c r="AV27" s="71"/>
      <c r="AW27" s="71">
        <f>'Utility Detail'!AW33</f>
        <v>40044.799999999996</v>
      </c>
      <c r="AX27" s="71"/>
      <c r="AY27" s="71"/>
      <c r="AZ27" s="71"/>
      <c r="BA27" s="71"/>
      <c r="BB27" s="71">
        <f>'Utility Detail'!BB33</f>
        <v>42733.571940489019</v>
      </c>
      <c r="BC27" s="71"/>
      <c r="BD27" s="71"/>
      <c r="BE27" s="71"/>
      <c r="BF27" s="71"/>
      <c r="BG27" s="71">
        <f>'Utility Detail'!BG33</f>
        <v>45768.124671680664</v>
      </c>
      <c r="BH27" s="71"/>
      <c r="BI27" s="71"/>
      <c r="BJ27" s="71"/>
      <c r="BK27" s="71"/>
      <c r="BL27" s="71">
        <f>'Utility Detail'!BL33</f>
        <v>48660.931132864353</v>
      </c>
      <c r="BM27" s="71"/>
      <c r="BN27" s="71"/>
      <c r="BO27" s="71"/>
      <c r="BP27" s="71"/>
      <c r="BQ27" s="71">
        <f>'Utility Detail'!BQ33</f>
        <v>51641.37330493507</v>
      </c>
      <c r="BT27" s="553" t="s">
        <v>753</v>
      </c>
      <c r="CA27" s="1006">
        <v>2.25</v>
      </c>
      <c r="CB27" s="547"/>
      <c r="CC27" s="547"/>
      <c r="CD27" s="547"/>
      <c r="CE27" s="547"/>
      <c r="CF27" s="1007">
        <v>2.75</v>
      </c>
      <c r="CG27" s="547"/>
      <c r="CH27" s="547"/>
      <c r="CI27" s="547"/>
      <c r="CJ27" s="547"/>
      <c r="CK27" s="1006">
        <v>3.5</v>
      </c>
    </row>
    <row r="28" spans="2:152">
      <c r="C28" s="75" t="s">
        <v>370</v>
      </c>
      <c r="D28" s="75"/>
      <c r="E28" s="75"/>
      <c r="F28" s="75"/>
      <c r="G28" s="75"/>
      <c r="H28" s="75"/>
      <c r="I28" s="75"/>
      <c r="J28" s="792"/>
      <c r="K28" s="792"/>
      <c r="L28" s="792"/>
      <c r="M28" s="792"/>
      <c r="N28" s="793"/>
      <c r="O28" s="793"/>
      <c r="P28" s="793"/>
      <c r="Q28" s="793"/>
      <c r="R28" s="793"/>
      <c r="S28" s="793"/>
      <c r="T28" s="793"/>
      <c r="U28" s="793"/>
      <c r="V28" s="793"/>
      <c r="W28" s="793"/>
      <c r="X28" s="793"/>
      <c r="Y28" s="793"/>
      <c r="Z28" s="793"/>
      <c r="AA28" s="793"/>
      <c r="AB28" s="793"/>
      <c r="AC28" s="273"/>
      <c r="AD28" s="793"/>
      <c r="AE28" s="793"/>
      <c r="AF28" s="793"/>
      <c r="AG28" s="793"/>
      <c r="AH28" s="273"/>
      <c r="AI28" s="793"/>
      <c r="AJ28" s="793"/>
      <c r="AK28" s="793"/>
      <c r="AL28" s="793"/>
      <c r="AM28" s="273"/>
      <c r="AN28" s="793"/>
      <c r="AO28" s="793"/>
      <c r="AP28" s="793"/>
      <c r="AQ28" s="793"/>
      <c r="AR28" s="273"/>
      <c r="AS28" s="793"/>
      <c r="AT28" s="793"/>
      <c r="AU28" s="793"/>
      <c r="AV28" s="793"/>
      <c r="AW28" s="273"/>
      <c r="AX28" s="793"/>
      <c r="AY28" s="793"/>
      <c r="AZ28" s="793"/>
      <c r="BA28" s="793"/>
      <c r="BB28" s="273"/>
      <c r="BC28" s="793"/>
      <c r="BD28" s="793"/>
      <c r="BE28" s="793"/>
      <c r="BF28" s="793"/>
      <c r="BG28" s="273"/>
      <c r="BH28" s="793"/>
      <c r="BI28" s="793"/>
      <c r="BJ28" s="793"/>
      <c r="BK28" s="793"/>
      <c r="BL28" s="273"/>
      <c r="BM28" s="793"/>
      <c r="BN28" s="793"/>
      <c r="BO28" s="793"/>
      <c r="BP28" s="793"/>
      <c r="BQ28" s="273"/>
      <c r="BT28" t="s">
        <v>228</v>
      </c>
      <c r="CA28" s="1095">
        <v>0</v>
      </c>
      <c r="CB28" s="1095">
        <v>-0.14999999999999858</v>
      </c>
      <c r="CC28" s="1095">
        <v>-0.14999999999999858</v>
      </c>
      <c r="CF28" s="1096">
        <v>-0.25</v>
      </c>
      <c r="CK28" s="1095">
        <v>-0.25</v>
      </c>
    </row>
    <row r="29" spans="2:152">
      <c r="BT29" s="553" t="s">
        <v>754</v>
      </c>
      <c r="CA29" s="1008">
        <v>100</v>
      </c>
      <c r="CB29" s="547"/>
      <c r="CC29" s="547"/>
      <c r="CD29" s="547"/>
      <c r="CE29" s="547"/>
      <c r="CF29" s="1097">
        <v>150</v>
      </c>
      <c r="CG29" s="547"/>
      <c r="CH29" s="547"/>
      <c r="CI29" s="547"/>
      <c r="CJ29" s="547"/>
      <c r="CK29" s="1008">
        <v>165</v>
      </c>
    </row>
    <row r="30" spans="2:152">
      <c r="C30" t="s">
        <v>842</v>
      </c>
      <c r="J30" s="48"/>
      <c r="K30" s="48"/>
      <c r="L30" s="48"/>
      <c r="M30" s="48"/>
      <c r="N30" s="66"/>
      <c r="O30" s="66"/>
      <c r="P30" s="66"/>
      <c r="Q30" s="66"/>
      <c r="R30" s="66"/>
      <c r="S30" s="66"/>
      <c r="T30" s="66"/>
      <c r="U30" s="66"/>
      <c r="V30" s="66"/>
      <c r="W30" s="66"/>
      <c r="X30" s="66"/>
      <c r="Y30" s="66"/>
      <c r="Z30" s="66"/>
      <c r="AA30" s="66"/>
      <c r="AB30" s="66"/>
      <c r="AC30" s="1436">
        <f>'Utility Detail'!AC67</f>
        <v>0.47360992209200009</v>
      </c>
      <c r="AD30" s="1436"/>
      <c r="AE30" s="1436"/>
      <c r="AF30" s="1436"/>
      <c r="AG30" s="1436"/>
      <c r="AH30" s="1436">
        <f>'Utility Detail'!AH67</f>
        <v>0.47272251249688996</v>
      </c>
      <c r="AI30" s="1436">
        <f>'Utility Detail'!AI67</f>
        <v>0</v>
      </c>
      <c r="AJ30" s="1436">
        <f>'Utility Detail'!AJ67</f>
        <v>0</v>
      </c>
      <c r="AK30" s="1436">
        <f>'Utility Detail'!AK67</f>
        <v>0</v>
      </c>
      <c r="AL30" s="1436">
        <f>'Utility Detail'!AL67</f>
        <v>0</v>
      </c>
      <c r="AM30" s="1436">
        <f>'Utility Detail'!AM67</f>
        <v>0.47242784176103059</v>
      </c>
      <c r="AN30" s="1436">
        <f>'Utility Detail'!AN67</f>
        <v>0</v>
      </c>
      <c r="AO30" s="1436">
        <f>'Utility Detail'!AO67</f>
        <v>0</v>
      </c>
      <c r="AP30" s="1436">
        <f>'Utility Detail'!AP67</f>
        <v>0</v>
      </c>
      <c r="AQ30" s="1436">
        <f>'Utility Detail'!AQ67</f>
        <v>0</v>
      </c>
      <c r="AR30" s="1436">
        <f>'Utility Detail'!AR67</f>
        <v>0.4724169593779704</v>
      </c>
      <c r="AS30" s="1436">
        <f>'Utility Detail'!AS67</f>
        <v>0</v>
      </c>
      <c r="AT30" s="1436">
        <f>'Utility Detail'!AT67</f>
        <v>0</v>
      </c>
      <c r="AU30" s="1436">
        <f>'Utility Detail'!AU67</f>
        <v>0</v>
      </c>
      <c r="AV30" s="1436">
        <f>'Utility Detail'!AV67</f>
        <v>0</v>
      </c>
      <c r="AW30" s="1436">
        <f>'Utility Detail'!AW67</f>
        <v>0.46517426113043581</v>
      </c>
      <c r="AX30" s="1436">
        <f>'Utility Detail'!AX67</f>
        <v>0</v>
      </c>
      <c r="AY30" s="1436">
        <f>'Utility Detail'!AY67</f>
        <v>0</v>
      </c>
      <c r="AZ30" s="1436">
        <f>'Utility Detail'!AZ67</f>
        <v>0</v>
      </c>
      <c r="BA30" s="1436">
        <f>'Utility Detail'!BA67</f>
        <v>0</v>
      </c>
      <c r="BB30" s="1436">
        <f>'Utility Detail'!BB67</f>
        <v>0.46204344614954262</v>
      </c>
      <c r="BC30" s="1436">
        <f>'Utility Detail'!BC67</f>
        <v>0</v>
      </c>
      <c r="BD30" s="1436">
        <f>'Utility Detail'!BD67</f>
        <v>0</v>
      </c>
      <c r="BE30" s="1436">
        <f>'Utility Detail'!BE67</f>
        <v>0</v>
      </c>
      <c r="BF30" s="1436">
        <f>'Utility Detail'!BF67</f>
        <v>0</v>
      </c>
      <c r="BG30" s="1436">
        <f>'Utility Detail'!BG67</f>
        <v>0.46359326139439672</v>
      </c>
      <c r="BH30" s="1436">
        <f>'Utility Detail'!BH67</f>
        <v>0</v>
      </c>
      <c r="BI30" s="1436">
        <f>'Utility Detail'!BI67</f>
        <v>0</v>
      </c>
      <c r="BJ30" s="1436">
        <f>'Utility Detail'!BJ67</f>
        <v>0</v>
      </c>
      <c r="BK30" s="1436">
        <f>'Utility Detail'!BK67</f>
        <v>0</v>
      </c>
      <c r="BL30" s="1436">
        <f>'Utility Detail'!BL67</f>
        <v>0.47093116220054265</v>
      </c>
      <c r="BM30" s="1436">
        <f>'Utility Detail'!BM67</f>
        <v>0</v>
      </c>
      <c r="BN30" s="1436">
        <f>'Utility Detail'!BN67</f>
        <v>0</v>
      </c>
      <c r="BO30" s="1436">
        <f>'Utility Detail'!BO67</f>
        <v>0</v>
      </c>
      <c r="BP30" s="1436">
        <f>'Utility Detail'!BP67</f>
        <v>0</v>
      </c>
      <c r="BQ30" s="1436">
        <f>'Utility Detail'!BQ67</f>
        <v>0.47205779967269912</v>
      </c>
      <c r="BT30" s="553" t="s">
        <v>699</v>
      </c>
      <c r="CA30" s="1008" t="s">
        <v>700</v>
      </c>
      <c r="CB30" s="547"/>
      <c r="CC30" s="547"/>
      <c r="CD30" s="547"/>
      <c r="CE30" s="547"/>
      <c r="CF30" s="1097" t="s">
        <v>700</v>
      </c>
      <c r="CG30" s="547"/>
      <c r="CH30" s="547"/>
      <c r="CI30" s="547"/>
      <c r="CJ30" s="547"/>
      <c r="CK30" s="1008" t="s">
        <v>700</v>
      </c>
      <c r="CL30" s="811"/>
      <c r="CM30" s="811"/>
      <c r="CN30" s="811"/>
      <c r="CO30" s="811"/>
      <c r="CP30" s="810"/>
      <c r="CQ30" s="811"/>
      <c r="CR30" s="811"/>
      <c r="CS30" s="811"/>
      <c r="CT30" s="811"/>
      <c r="CU30" s="810"/>
      <c r="CV30" s="811"/>
      <c r="CW30" s="811"/>
      <c r="CX30" s="811"/>
      <c r="CY30" s="811"/>
      <c r="CZ30" s="810"/>
      <c r="DA30" s="811"/>
      <c r="DB30" s="811"/>
      <c r="DC30" s="811"/>
      <c r="DD30" s="811"/>
      <c r="DE30" s="810"/>
    </row>
    <row r="31" spans="2:152">
      <c r="C31" t="s">
        <v>848</v>
      </c>
      <c r="J31" s="48"/>
      <c r="K31" s="48"/>
      <c r="L31" s="48"/>
      <c r="M31" s="48"/>
      <c r="N31" s="66"/>
      <c r="O31" s="66"/>
      <c r="P31" s="66"/>
      <c r="Q31" s="66"/>
      <c r="R31" s="66"/>
      <c r="S31" s="66"/>
      <c r="T31" s="66"/>
      <c r="U31" s="66"/>
      <c r="V31" s="66"/>
      <c r="W31" s="66"/>
      <c r="X31" s="66"/>
      <c r="Y31" s="66"/>
      <c r="Z31" s="66"/>
      <c r="AA31" s="66"/>
      <c r="AB31" s="66"/>
      <c r="AC31" s="66">
        <f>'Utility Detail'!AC51</f>
        <v>9.1707620587409097E-2</v>
      </c>
      <c r="AD31" s="1436"/>
      <c r="AE31" s="1436"/>
      <c r="AF31" s="1436"/>
      <c r="AG31" s="1436"/>
      <c r="AH31" s="66">
        <f>'Utility Detail'!AH51</f>
        <v>8.9326151862658618E-2</v>
      </c>
      <c r="AI31" s="66"/>
      <c r="AJ31" s="66"/>
      <c r="AK31" s="66"/>
      <c r="AL31" s="66"/>
      <c r="AM31" s="66">
        <f>'Utility Detail'!AM51</f>
        <v>9.3494543409518752E-2</v>
      </c>
      <c r="AN31" s="66"/>
      <c r="AO31" s="66"/>
      <c r="AP31" s="66"/>
      <c r="AQ31" s="66"/>
      <c r="AR31" s="66">
        <f>'Utility Detail'!AR51</f>
        <v>0.10106005143111403</v>
      </c>
      <c r="AS31" s="66"/>
      <c r="AT31" s="66"/>
      <c r="AU31" s="66"/>
      <c r="AV31" s="66"/>
      <c r="AW31" s="66">
        <f>'Utility Detail'!AW51</f>
        <v>9.3702257780309259E-2</v>
      </c>
      <c r="AX31" s="66"/>
      <c r="AY31" s="66"/>
      <c r="AZ31" s="66"/>
      <c r="BA31" s="66"/>
      <c r="BB31" s="66">
        <f>'Utility Detail'!BB51</f>
        <v>9.5799814797055433E-2</v>
      </c>
      <c r="BC31" s="66"/>
      <c r="BD31" s="66"/>
      <c r="BE31" s="66"/>
      <c r="BF31" s="66"/>
      <c r="BG31" s="66">
        <f>'Utility Detail'!BG51</f>
        <v>0.10050678666872936</v>
      </c>
      <c r="BH31" s="66"/>
      <c r="BI31" s="66"/>
      <c r="BJ31" s="66"/>
      <c r="BK31" s="66"/>
      <c r="BL31" s="66">
        <f>'Utility Detail'!BL51</f>
        <v>0.10243250559263703</v>
      </c>
      <c r="BM31" s="66"/>
      <c r="BN31" s="66"/>
      <c r="BO31" s="66"/>
      <c r="BP31" s="66"/>
      <c r="BQ31" s="66">
        <f>'Utility Detail'!BQ51</f>
        <v>0.10585960188151915</v>
      </c>
      <c r="BT31" s="1117" t="s">
        <v>1043</v>
      </c>
      <c r="CA31" s="1008">
        <v>5</v>
      </c>
      <c r="CB31" s="547"/>
      <c r="CC31" s="547"/>
      <c r="CD31" s="547"/>
      <c r="CE31" s="547"/>
      <c r="CF31" s="1369">
        <v>0</v>
      </c>
      <c r="CG31" s="547"/>
      <c r="CH31" s="547"/>
      <c r="CI31" s="547"/>
      <c r="CJ31" s="547"/>
      <c r="CK31" s="1008">
        <v>0</v>
      </c>
      <c r="ER31" s="541"/>
      <c r="ES31" s="541"/>
      <c r="ET31" s="541"/>
      <c r="EU31" s="541"/>
      <c r="EV31" s="541"/>
    </row>
    <row r="32" spans="2:152">
      <c r="AD32" s="1436"/>
      <c r="AE32" s="1436"/>
      <c r="AF32" s="1436"/>
      <c r="AG32" s="1436"/>
      <c r="CF32" s="1260"/>
      <c r="DH32" s="48"/>
      <c r="DK32" s="718" t="s">
        <v>749</v>
      </c>
      <c r="DL32" s="719"/>
      <c r="DM32" s="720"/>
      <c r="DN32" s="720"/>
      <c r="DO32" s="720"/>
      <c r="DP32" s="721"/>
      <c r="DQ32" s="722"/>
      <c r="DR32" s="722"/>
      <c r="DS32" s="722"/>
      <c r="DT32" s="723"/>
      <c r="DU32" s="723"/>
      <c r="DV32" s="723"/>
      <c r="DW32" s="724"/>
      <c r="DX32" s="724"/>
      <c r="DY32" s="725"/>
      <c r="DZ32" s="541"/>
      <c r="EA32" s="541"/>
      <c r="EB32" s="541"/>
      <c r="EC32" s="541"/>
      <c r="ED32" s="541"/>
      <c r="EE32" s="541"/>
      <c r="EF32" s="541"/>
      <c r="EG32" s="541"/>
      <c r="EH32" s="541"/>
      <c r="EI32" s="541"/>
      <c r="EJ32" s="541"/>
      <c r="EK32" s="724"/>
      <c r="EL32" s="724"/>
      <c r="EM32" s="541"/>
      <c r="EN32" s="541"/>
      <c r="EO32" s="541"/>
      <c r="EP32" s="541"/>
      <c r="ER32" s="491"/>
      <c r="ES32" s="491"/>
      <c r="ET32" s="491"/>
      <c r="EU32" s="491"/>
      <c r="EV32" s="491"/>
    </row>
    <row r="33" spans="3:153">
      <c r="C33" s="56" t="s">
        <v>598</v>
      </c>
      <c r="J33" s="48"/>
      <c r="K33" s="48"/>
      <c r="L33" s="48"/>
      <c r="M33" s="48"/>
      <c r="N33" s="77"/>
      <c r="O33" s="77"/>
      <c r="P33" s="77"/>
      <c r="Q33" s="77"/>
      <c r="R33" s="77"/>
      <c r="S33" s="77"/>
      <c r="T33" s="77"/>
      <c r="U33" s="77"/>
      <c r="V33" s="77"/>
      <c r="W33" s="77"/>
      <c r="X33" s="77"/>
      <c r="Y33" s="77"/>
      <c r="Z33" s="77"/>
      <c r="AA33" s="77"/>
      <c r="AB33" s="77"/>
      <c r="AC33" s="77">
        <f>+AC27*AC30*AC31</f>
        <v>1203.4158369268725</v>
      </c>
      <c r="AD33" s="77"/>
      <c r="AE33" s="77"/>
      <c r="AF33" s="77"/>
      <c r="AG33" s="77"/>
      <c r="AH33" s="77">
        <f>+AH27*AH30*AH31</f>
        <v>1244.5833581792995</v>
      </c>
      <c r="AI33" s="77"/>
      <c r="AJ33" s="77"/>
      <c r="AK33" s="77"/>
      <c r="AL33" s="77"/>
      <c r="AM33" s="77">
        <f>+AM27*AM30*AM31</f>
        <v>1453.6793132400398</v>
      </c>
      <c r="AN33" s="77"/>
      <c r="AO33" s="77"/>
      <c r="AP33" s="77"/>
      <c r="AQ33" s="77"/>
      <c r="AR33" s="77">
        <f>+AR27*AR30*AR31</f>
        <v>1744.6344304681063</v>
      </c>
      <c r="AS33" s="77"/>
      <c r="AT33" s="77"/>
      <c r="AU33" s="77"/>
      <c r="AV33" s="77"/>
      <c r="AW33" s="77">
        <f>+AW27*AW30*AW31</f>
        <v>1745.4678781264679</v>
      </c>
      <c r="AX33" s="77"/>
      <c r="AY33" s="77"/>
      <c r="AZ33" s="77"/>
      <c r="BA33" s="77"/>
      <c r="BB33" s="77">
        <f>+BB27*BB30*BB31</f>
        <v>1891.5450070255504</v>
      </c>
      <c r="BC33" s="77"/>
      <c r="BD33" s="77"/>
      <c r="BE33" s="77"/>
      <c r="BF33" s="77"/>
      <c r="BG33" s="77">
        <f>+BG27*BG30*BG31</f>
        <v>2132.5323136775019</v>
      </c>
      <c r="BH33" s="77"/>
      <c r="BI33" s="77"/>
      <c r="BJ33" s="77"/>
      <c r="BK33" s="77"/>
      <c r="BL33" s="77">
        <f>+BL27*BL30*BL31</f>
        <v>2347.3380589595022</v>
      </c>
      <c r="BM33" s="77"/>
      <c r="BN33" s="77"/>
      <c r="BO33" s="77"/>
      <c r="BP33" s="77"/>
      <c r="BQ33" s="77">
        <f>+BQ27*BQ30*BQ31</f>
        <v>2580.6149987211311</v>
      </c>
      <c r="BT33" s="812">
        <f ca="1">TODAY()</f>
        <v>43214</v>
      </c>
      <c r="BU33" s="813"/>
      <c r="BV33" s="814"/>
      <c r="BW33" s="815"/>
      <c r="BX33" s="815"/>
      <c r="BY33" s="815"/>
      <c r="BZ33" s="815"/>
      <c r="CA33" s="814">
        <v>42004</v>
      </c>
      <c r="CB33" s="815"/>
      <c r="CC33" s="815"/>
      <c r="CD33" s="815"/>
      <c r="CE33" s="815"/>
      <c r="CF33" s="814">
        <v>42369</v>
      </c>
      <c r="CG33" s="815"/>
      <c r="CH33" s="815"/>
      <c r="CI33" s="815"/>
      <c r="CJ33" s="815"/>
      <c r="CK33" s="814">
        <v>42735</v>
      </c>
      <c r="CP33" s="814">
        <v>43100</v>
      </c>
      <c r="CU33" s="814">
        <v>43465</v>
      </c>
      <c r="CZ33" s="814">
        <v>43830</v>
      </c>
      <c r="DE33" s="814">
        <v>44196</v>
      </c>
      <c r="DF33" s="814">
        <v>44561</v>
      </c>
      <c r="DG33" s="48"/>
      <c r="DH33" s="561"/>
      <c r="DI33" s="797"/>
      <c r="DK33" s="491"/>
      <c r="DL33" s="491"/>
      <c r="DM33" s="491"/>
      <c r="DN33" s="491"/>
      <c r="DO33" s="491"/>
      <c r="DP33" s="491"/>
      <c r="DQ33" s="491"/>
      <c r="DR33" s="491"/>
      <c r="DS33" s="491"/>
      <c r="DT33" s="491"/>
      <c r="DU33" s="515"/>
      <c r="DV33" s="541"/>
      <c r="DW33" s="491"/>
      <c r="DX33" s="491"/>
      <c r="DZ33" s="541"/>
      <c r="EA33" s="541"/>
      <c r="EB33" s="541"/>
      <c r="EC33" s="541"/>
      <c r="ED33" s="541"/>
      <c r="EE33" s="541"/>
      <c r="EF33" s="541"/>
      <c r="EG33" s="541"/>
      <c r="EH33" s="541"/>
      <c r="EI33" s="541"/>
      <c r="EJ33" s="541"/>
      <c r="EK33" s="491"/>
      <c r="EL33" s="726"/>
      <c r="EM33" s="491"/>
      <c r="EN33" s="491"/>
      <c r="EO33" s="491"/>
      <c r="EP33" s="491"/>
      <c r="EQ33" s="541"/>
      <c r="ER33" s="491"/>
      <c r="ES33" s="491"/>
      <c r="ET33" s="491"/>
      <c r="EU33" s="491"/>
      <c r="EV33" s="491"/>
    </row>
    <row r="34" spans="3:153">
      <c r="C34" t="s">
        <v>849</v>
      </c>
      <c r="J34" s="48"/>
      <c r="K34" s="48"/>
      <c r="L34" s="48"/>
      <c r="M34" s="48"/>
      <c r="N34" s="78"/>
      <c r="O34" s="78"/>
      <c r="P34" s="78"/>
      <c r="Q34" s="78"/>
      <c r="R34" s="78"/>
      <c r="S34" s="78"/>
      <c r="T34" s="78"/>
      <c r="U34" s="78"/>
      <c r="V34" s="78"/>
      <c r="W34" s="78"/>
      <c r="X34" s="78"/>
      <c r="Y34" s="78"/>
      <c r="Z34" s="78"/>
      <c r="AA34" s="78"/>
      <c r="AB34" s="78"/>
      <c r="AC34" s="78">
        <f>AEP!AC52</f>
        <v>487.04095599999999</v>
      </c>
      <c r="AD34" s="78"/>
      <c r="AE34" s="78"/>
      <c r="AF34" s="78"/>
      <c r="AG34" s="78"/>
      <c r="AH34" s="78">
        <f>AEP!AH52</f>
        <v>488.89983999999998</v>
      </c>
      <c r="AI34" s="78"/>
      <c r="AJ34" s="78"/>
      <c r="AK34" s="78"/>
      <c r="AL34" s="78"/>
      <c r="AM34" s="78">
        <f>AEP!AM52</f>
        <v>490.574568</v>
      </c>
      <c r="AN34" s="78"/>
      <c r="AO34" s="78"/>
      <c r="AP34" s="78"/>
      <c r="AQ34" s="78"/>
      <c r="AR34" s="78">
        <f>AEP!AR52</f>
        <v>491.66200700000002</v>
      </c>
      <c r="AS34" s="78"/>
      <c r="AT34" s="78"/>
      <c r="AU34" s="78"/>
      <c r="AV34" s="78"/>
      <c r="AW34" s="78">
        <f>AEP!AW52</f>
        <v>492.61106699999999</v>
      </c>
      <c r="AX34" s="78"/>
      <c r="AY34" s="78"/>
      <c r="AZ34" s="78"/>
      <c r="BA34" s="78"/>
      <c r="BB34" s="78">
        <f>AEP!BB52</f>
        <v>492.731498116144</v>
      </c>
      <c r="BC34" s="78"/>
      <c r="BD34" s="78"/>
      <c r="BE34" s="78"/>
      <c r="BF34" s="78"/>
      <c r="BG34" s="78">
        <f>AEP!BG52</f>
        <v>494.18329834843195</v>
      </c>
      <c r="BH34" s="78"/>
      <c r="BI34" s="78"/>
      <c r="BJ34" s="78"/>
      <c r="BK34" s="78"/>
      <c r="BL34" s="78">
        <f>AEP!BL52</f>
        <v>498.53869904529603</v>
      </c>
      <c r="BM34" s="78"/>
      <c r="BN34" s="78"/>
      <c r="BO34" s="78"/>
      <c r="BP34" s="78"/>
      <c r="BQ34" s="78">
        <f>AEP!BQ52</f>
        <v>507.43097546806024</v>
      </c>
      <c r="BS34" s="46" t="s">
        <v>748</v>
      </c>
      <c r="BT34" s="46"/>
      <c r="BU34" s="47"/>
      <c r="BV34" s="48"/>
      <c r="BW34" s="45"/>
      <c r="BX34" s="45"/>
      <c r="BY34" s="45"/>
      <c r="BZ34" s="45"/>
      <c r="CA34" s="48" t="s">
        <v>1061</v>
      </c>
      <c r="CB34" s="45"/>
      <c r="CC34" s="45"/>
      <c r="CD34" s="45"/>
      <c r="CE34" s="45"/>
      <c r="CF34" s="48" t="s">
        <v>1124</v>
      </c>
      <c r="CG34" s="45"/>
      <c r="CH34" s="45"/>
      <c r="CI34" s="45"/>
      <c r="CJ34" s="45"/>
      <c r="CK34" s="48" t="s">
        <v>1292</v>
      </c>
      <c r="CP34" s="48" t="s">
        <v>1353</v>
      </c>
      <c r="CU34" s="48" t="s">
        <v>73</v>
      </c>
      <c r="CZ34" s="48" t="s">
        <v>1065</v>
      </c>
      <c r="DE34" s="48" t="s">
        <v>1066</v>
      </c>
      <c r="DF34" s="48" t="s">
        <v>1282</v>
      </c>
      <c r="DG34" s="561"/>
      <c r="DH34" s="584"/>
      <c r="DI34" s="584"/>
      <c r="DK34" s="545" t="s">
        <v>883</v>
      </c>
      <c r="DO34" s="727"/>
      <c r="DP34" s="515" t="s">
        <v>750</v>
      </c>
      <c r="DQ34" s="491"/>
      <c r="DR34" s="491"/>
      <c r="DS34" s="491"/>
      <c r="DT34" s="491"/>
      <c r="DU34" s="491"/>
      <c r="DV34" s="541"/>
      <c r="DW34" s="491"/>
      <c r="DX34" s="491"/>
      <c r="DZ34" s="541"/>
      <c r="EA34" s="541"/>
      <c r="EB34" s="541"/>
      <c r="EC34" s="541"/>
      <c r="ED34" s="541"/>
      <c r="EE34" s="541"/>
      <c r="EF34" s="541"/>
      <c r="EG34" s="541"/>
      <c r="EH34" s="541"/>
      <c r="EI34" s="541"/>
      <c r="EJ34" s="541"/>
      <c r="EK34" s="491"/>
      <c r="EL34" s="726"/>
      <c r="EM34" s="491"/>
      <c r="EN34" s="491"/>
      <c r="EO34" s="491"/>
      <c r="EP34" s="491"/>
      <c r="EQ34" s="491"/>
      <c r="ER34" s="491"/>
      <c r="ES34" s="491"/>
      <c r="ET34" s="491"/>
      <c r="EU34" s="491"/>
      <c r="EV34" s="491"/>
    </row>
    <row r="35" spans="3:153">
      <c r="C35" s="57" t="s">
        <v>386</v>
      </c>
      <c r="D35" s="58"/>
      <c r="E35" s="58"/>
      <c r="F35" s="58"/>
      <c r="G35" s="58"/>
      <c r="H35" s="58"/>
      <c r="I35" s="58"/>
      <c r="J35" s="58"/>
      <c r="K35" s="58"/>
      <c r="L35" s="58"/>
      <c r="M35" s="58"/>
      <c r="N35" s="58"/>
      <c r="O35" s="59"/>
      <c r="P35" s="59"/>
      <c r="Q35" s="59"/>
      <c r="R35" s="59"/>
      <c r="S35" s="59"/>
      <c r="T35" s="59"/>
      <c r="U35" s="59"/>
      <c r="V35" s="59"/>
      <c r="W35" s="59"/>
      <c r="X35" s="59"/>
      <c r="Y35" s="59"/>
      <c r="Z35" s="59"/>
      <c r="AA35" s="59"/>
      <c r="AB35" s="59"/>
      <c r="AC35" s="59">
        <f>+AC33/AC34</f>
        <v>2.4708719505036298</v>
      </c>
      <c r="AD35" s="59"/>
      <c r="AE35" s="59"/>
      <c r="AF35" s="59"/>
      <c r="AG35" s="59"/>
      <c r="AH35" s="59">
        <f>+AH33/AH34</f>
        <v>2.545681663915659</v>
      </c>
      <c r="AI35" s="59"/>
      <c r="AJ35" s="59"/>
      <c r="AK35" s="59"/>
      <c r="AL35" s="59"/>
      <c r="AM35" s="59">
        <f>+AM33/AM34</f>
        <v>2.9632178430416309</v>
      </c>
      <c r="AN35" s="59"/>
      <c r="AO35" s="59"/>
      <c r="AP35" s="59"/>
      <c r="AQ35" s="59"/>
      <c r="AR35" s="59">
        <f>+AR33/AR34</f>
        <v>3.548442640734911</v>
      </c>
      <c r="AS35" s="59"/>
      <c r="AT35" s="59"/>
      <c r="AU35" s="59"/>
      <c r="AV35" s="59"/>
      <c r="AW35" s="59">
        <f>+AW33/AW34</f>
        <v>3.5432981413843629</v>
      </c>
      <c r="AX35" s="59"/>
      <c r="AY35" s="59"/>
      <c r="AZ35" s="59"/>
      <c r="BA35" s="59"/>
      <c r="BB35" s="59">
        <f>+BB33/BB34</f>
        <v>3.8388960605471292</v>
      </c>
      <c r="BC35" s="59"/>
      <c r="BD35" s="59"/>
      <c r="BE35" s="59"/>
      <c r="BF35" s="59"/>
      <c r="BG35" s="59">
        <f>+BG33/BG34</f>
        <v>4.3152658554112557</v>
      </c>
      <c r="BH35" s="59"/>
      <c r="BI35" s="59"/>
      <c r="BJ35" s="59"/>
      <c r="BK35" s="59"/>
      <c r="BL35" s="59">
        <f>+BL33/BL34</f>
        <v>4.7084370048998521</v>
      </c>
      <c r="BM35" s="59"/>
      <c r="BN35" s="59"/>
      <c r="BO35" s="59"/>
      <c r="BP35" s="59"/>
      <c r="BQ35" s="60">
        <f>+BQ33/BQ34</f>
        <v>5.0856473559595798</v>
      </c>
      <c r="BT35" t="s">
        <v>47</v>
      </c>
      <c r="BV35" s="561"/>
      <c r="BW35" s="45"/>
      <c r="BX35" s="45"/>
      <c r="BY35" s="45"/>
      <c r="BZ35" s="45"/>
      <c r="CA35" s="561">
        <f>+'Generation &amp; Marketing'!AH23</f>
        <v>814</v>
      </c>
      <c r="CB35" s="45"/>
      <c r="CC35" s="45"/>
      <c r="CD35" s="45"/>
      <c r="CE35" s="45"/>
      <c r="CF35" s="561">
        <f>+'Generation &amp; Marketing'!AM23</f>
        <v>798.99999999999943</v>
      </c>
      <c r="CG35" s="45"/>
      <c r="CH35" s="45"/>
      <c r="CI35" s="45"/>
      <c r="CJ35" s="45"/>
      <c r="CK35" s="561">
        <f>+'Generation &amp; Marketing'!AR23</f>
        <v>-1675.9</v>
      </c>
      <c r="CP35" s="561">
        <f>+'Generation &amp; Marketing'!AW23</f>
        <v>388.09999999999974</v>
      </c>
      <c r="CU35" s="561">
        <f>+'Generation &amp; Marketing'!BB23</f>
        <v>139.8723961997193</v>
      </c>
      <c r="CZ35" s="561">
        <f>+'Generation &amp; Marketing'!BG23</f>
        <v>127.09159169857179</v>
      </c>
      <c r="DE35" s="561">
        <f>+'Generation &amp; Marketing'!BL23</f>
        <v>135.22936171843082</v>
      </c>
      <c r="DF35" s="561">
        <f>+'Generation &amp; Marketing'!BQ23</f>
        <v>185.83719210665947</v>
      </c>
      <c r="DG35" s="561"/>
      <c r="DH35" s="584"/>
      <c r="DI35" s="561"/>
      <c r="DK35" s="541" t="s">
        <v>789</v>
      </c>
      <c r="DL35" s="491"/>
      <c r="DM35" s="491"/>
      <c r="DN35" s="731">
        <v>5</v>
      </c>
      <c r="DO35" s="728"/>
      <c r="DP35" s="491" t="s">
        <v>751</v>
      </c>
      <c r="DQ35" s="491"/>
      <c r="DR35" s="491"/>
      <c r="DS35" s="491"/>
      <c r="DT35" s="491"/>
      <c r="DU35" s="643">
        <f>DN44</f>
        <v>7.0124999999999993E-2</v>
      </c>
      <c r="DV35" s="541"/>
      <c r="DW35" s="491"/>
      <c r="DX35" s="491"/>
      <c r="DZ35" s="541"/>
      <c r="EA35" s="541"/>
      <c r="EB35" s="541"/>
      <c r="EC35" s="541"/>
      <c r="ED35" s="541"/>
      <c r="EE35" s="541"/>
      <c r="EF35" s="541"/>
      <c r="EG35" s="541"/>
      <c r="EH35" s="541"/>
      <c r="EI35" s="541"/>
      <c r="EJ35" s="541"/>
      <c r="EK35" s="491"/>
      <c r="EL35" s="726"/>
      <c r="EM35" s="491"/>
      <c r="EN35" s="491"/>
      <c r="EO35" s="491"/>
      <c r="EP35" s="491"/>
      <c r="EQ35" s="491"/>
      <c r="ER35" s="491"/>
      <c r="ES35" s="491"/>
      <c r="ET35" s="491"/>
      <c r="EU35" s="491"/>
      <c r="EV35" s="491"/>
    </row>
    <row r="36" spans="3:153">
      <c r="C36" t="s">
        <v>388</v>
      </c>
      <c r="AC36" s="86">
        <f>+AC12+AC10+AC7+AC11</f>
        <v>0.95269195389802097</v>
      </c>
      <c r="AH36" s="86">
        <f>+AH12+AH10+AH7+AH11</f>
        <v>1.2575172861582433</v>
      </c>
      <c r="AM36" s="86">
        <f>+AM12+AM10+AM7+AM11</f>
        <v>1.139887871235916</v>
      </c>
      <c r="AR36" s="86">
        <f>+AR12+AR10+AR7+AR11</f>
        <v>0.95228021147462949</v>
      </c>
      <c r="AW36" s="86">
        <f>+AW12+AW10+AW7+AW11</f>
        <v>1.0225105234998666</v>
      </c>
      <c r="BB36" s="86">
        <f>+BB12+BB10+BB7+BB11</f>
        <v>0.8611186845357699</v>
      </c>
      <c r="BG36" s="86">
        <f>+BG12+BG10+BG7+BG11</f>
        <v>0.79677520980138594</v>
      </c>
      <c r="BL36" s="86">
        <f>+BL12+BL10+BL7+BL11</f>
        <v>0.81362963856820203</v>
      </c>
      <c r="BQ36" s="86">
        <f>+BQ12+BQ10+BQ7+BQ11</f>
        <v>0.91683106710506723</v>
      </c>
      <c r="BT36" t="s">
        <v>79</v>
      </c>
      <c r="BV36" s="561"/>
      <c r="BW36" s="45"/>
      <c r="BX36" s="45"/>
      <c r="BY36" s="45"/>
      <c r="BZ36" s="45"/>
      <c r="CA36" s="561">
        <f>+'Generation &amp; Marketing'!AH13</f>
        <v>227</v>
      </c>
      <c r="CB36" s="45"/>
      <c r="CC36" s="45"/>
      <c r="CD36" s="45"/>
      <c r="CE36" s="45"/>
      <c r="CF36" s="561">
        <f>+'Generation &amp; Marketing'!AM13</f>
        <v>201.4</v>
      </c>
      <c r="CG36" s="45"/>
      <c r="CH36" s="45"/>
      <c r="CI36" s="45"/>
      <c r="CJ36" s="45"/>
      <c r="CK36" s="561">
        <f>+'Generation &amp; Marketing'!AR13</f>
        <v>154.6</v>
      </c>
      <c r="CP36" s="561">
        <f>+'Generation &amp; Marketing'!AW13</f>
        <v>24.2</v>
      </c>
      <c r="CU36" s="561">
        <f>+'Generation &amp; Marketing'!BB13</f>
        <v>28.938538329000004</v>
      </c>
      <c r="CZ36" s="561">
        <f>+'Generation &amp; Marketing'!BG13</f>
        <v>41.74096673664571</v>
      </c>
      <c r="DE36" s="561">
        <f>+'Generation &amp; Marketing'!BL13</f>
        <v>55.272674186873601</v>
      </c>
      <c r="DF36" s="561">
        <f>+'Generation &amp; Marketing'!BQ13</f>
        <v>63.654727903772354</v>
      </c>
      <c r="DG36" s="561"/>
      <c r="DI36" s="561"/>
      <c r="DK36" s="541" t="s">
        <v>781</v>
      </c>
      <c r="DL36" s="491"/>
      <c r="DM36" s="491"/>
      <c r="DN36" s="731">
        <v>8</v>
      </c>
      <c r="DO36" s="728"/>
      <c r="DP36" s="491" t="s">
        <v>769</v>
      </c>
      <c r="DQ36" s="491"/>
      <c r="DR36" s="491"/>
      <c r="DS36" s="491"/>
      <c r="DT36" s="491"/>
      <c r="DU36" s="663">
        <v>2</v>
      </c>
      <c r="DV36" s="541"/>
      <c r="DW36" s="491"/>
      <c r="DX36" s="491"/>
      <c r="DZ36" s="541"/>
      <c r="EA36" s="809"/>
      <c r="EB36" s="541"/>
      <c r="EC36" s="541"/>
      <c r="ED36" s="541"/>
      <c r="EE36" s="541"/>
      <c r="EF36" s="541"/>
      <c r="EG36" s="541"/>
      <c r="EH36" s="541"/>
      <c r="EI36" s="541"/>
      <c r="EJ36" s="541"/>
      <c r="EK36" s="491"/>
      <c r="EL36" s="726"/>
      <c r="EM36" s="491"/>
      <c r="EN36" s="491"/>
      <c r="EO36" s="491"/>
      <c r="EP36" s="491"/>
      <c r="EQ36" s="491"/>
      <c r="ER36" s="491"/>
      <c r="ES36" s="491"/>
      <c r="ET36" s="491"/>
      <c r="EU36" s="491"/>
      <c r="EV36" s="491"/>
    </row>
    <row r="37" spans="3:153">
      <c r="BT37" t="s">
        <v>5</v>
      </c>
      <c r="BV37" s="561"/>
      <c r="BW37" s="45"/>
      <c r="BX37" s="45"/>
      <c r="BY37" s="45"/>
      <c r="BZ37" s="45"/>
      <c r="CA37" s="561">
        <f>+'Generation &amp; Marketing'!AH26</f>
        <v>46</v>
      </c>
      <c r="CB37" s="45"/>
      <c r="CC37" s="45"/>
      <c r="CD37" s="45"/>
      <c r="CE37" s="45"/>
      <c r="CF37" s="561">
        <f>+'Generation &amp; Marketing'!AM26</f>
        <v>40</v>
      </c>
      <c r="CG37" s="45"/>
      <c r="CH37" s="45"/>
      <c r="CI37" s="45"/>
      <c r="CJ37" s="45"/>
      <c r="CK37" s="561">
        <f>+'Generation &amp; Marketing'!AR26</f>
        <v>35.799999999999997</v>
      </c>
      <c r="CP37" s="561">
        <f>+'Generation &amp; Marketing'!AW26</f>
        <v>18.5</v>
      </c>
      <c r="CU37" s="561">
        <f>+'Generation &amp; Marketing'!BB26</f>
        <v>21.352865993588249</v>
      </c>
      <c r="CZ37" s="561">
        <f>+'Generation &amp; Marketing'!BG26</f>
        <v>24.994401126115164</v>
      </c>
      <c r="DE37" s="561">
        <f>+'Generation &amp; Marketing'!BL26</f>
        <v>33.228489395541047</v>
      </c>
      <c r="DF37" s="561">
        <f>+'Generation &amp; Marketing'!BQ26</f>
        <v>41.714789575697665</v>
      </c>
      <c r="DH37" s="561"/>
      <c r="DK37" s="541" t="s">
        <v>875</v>
      </c>
      <c r="DL37" s="491"/>
      <c r="DM37" s="491"/>
      <c r="DN37" s="742">
        <f>DN35/DN36</f>
        <v>0.625</v>
      </c>
      <c r="DO37" s="491"/>
      <c r="DP37" s="491" t="s">
        <v>772</v>
      </c>
      <c r="DQ37" s="491"/>
      <c r="DR37" s="491"/>
      <c r="DS37" s="491"/>
      <c r="DT37" s="491"/>
      <c r="DU37" s="730">
        <v>0.02</v>
      </c>
      <c r="DV37" s="545">
        <v>1</v>
      </c>
      <c r="DW37" s="491"/>
      <c r="DX37" s="491"/>
      <c r="DZ37" s="541"/>
      <c r="EA37" s="541"/>
      <c r="EB37" s="541"/>
      <c r="EC37" s="541"/>
      <c r="ED37" s="541"/>
      <c r="EE37" s="541"/>
      <c r="EF37" s="541"/>
      <c r="EG37" s="541"/>
      <c r="EH37" s="541"/>
      <c r="EI37" s="541"/>
      <c r="EJ37" s="541"/>
      <c r="EK37" s="491"/>
      <c r="EL37" s="726"/>
      <c r="EM37" s="491"/>
      <c r="EN37" s="491"/>
      <c r="EO37" s="491"/>
      <c r="EP37" s="491"/>
      <c r="EQ37" s="491"/>
      <c r="ER37" s="491"/>
      <c r="ES37" s="491"/>
      <c r="ET37" s="491"/>
      <c r="EU37" s="491"/>
      <c r="EV37" s="491"/>
    </row>
    <row r="38" spans="3:153">
      <c r="C38" s="600" t="s">
        <v>234</v>
      </c>
      <c r="D38" s="600"/>
      <c r="E38" s="600"/>
      <c r="F38" s="600"/>
      <c r="G38" s="600"/>
      <c r="H38" s="600"/>
      <c r="I38" s="600"/>
      <c r="J38" s="600"/>
      <c r="K38" s="600"/>
      <c r="L38" s="600"/>
      <c r="M38" s="600"/>
      <c r="N38" s="600"/>
      <c r="O38" s="738"/>
      <c r="P38" s="738"/>
      <c r="Q38" s="738"/>
      <c r="R38" s="738"/>
      <c r="S38" s="738"/>
      <c r="T38" s="738"/>
      <c r="U38" s="738"/>
      <c r="V38" s="738"/>
      <c r="W38" s="738"/>
      <c r="X38" s="738"/>
      <c r="Y38" s="738"/>
      <c r="Z38" s="738"/>
      <c r="AA38" s="738"/>
      <c r="AB38" s="738"/>
      <c r="AC38" s="885"/>
      <c r="AD38" s="885"/>
      <c r="AE38" s="885"/>
      <c r="AF38" s="885"/>
      <c r="AG38" s="885"/>
      <c r="AH38" s="885"/>
      <c r="AI38" s="885"/>
      <c r="AJ38" s="885"/>
      <c r="AK38" s="885"/>
      <c r="AL38" s="885"/>
      <c r="AM38" s="1139">
        <f>AR38*1.05</f>
        <v>21.392910000000008</v>
      </c>
      <c r="AN38" s="885"/>
      <c r="AO38" s="885"/>
      <c r="AP38" s="885"/>
      <c r="AQ38" s="885"/>
      <c r="AR38" s="1139">
        <f>AW38*1.05</f>
        <v>20.374200000000005</v>
      </c>
      <c r="AS38" s="885"/>
      <c r="AT38" s="885"/>
      <c r="AU38" s="885"/>
      <c r="AV38" s="885"/>
      <c r="AW38" s="1139">
        <f>BB38*1.05</f>
        <v>19.404000000000003</v>
      </c>
      <c r="AX38" s="1139"/>
      <c r="AY38" s="1139"/>
      <c r="AZ38" s="1139"/>
      <c r="BA38" s="1139"/>
      <c r="BB38" s="1139">
        <f>BG38*1.05</f>
        <v>18.480000000000004</v>
      </c>
      <c r="BC38" s="1139"/>
      <c r="BD38" s="1139"/>
      <c r="BE38" s="1139"/>
      <c r="BF38" s="1139"/>
      <c r="BG38" s="885">
        <v>17.600000000000001</v>
      </c>
      <c r="BH38" s="1139"/>
      <c r="BI38" s="1139"/>
      <c r="BJ38" s="1139"/>
      <c r="BK38" s="1139"/>
      <c r="BL38" s="1139">
        <f>BG38/1.05</f>
        <v>16.761904761904763</v>
      </c>
      <c r="BM38" s="1139"/>
      <c r="BN38" s="1139"/>
      <c r="BO38" s="1139"/>
      <c r="BP38" s="1139"/>
      <c r="BQ38" s="1139">
        <f>BL38/1.05</f>
        <v>15.963718820861677</v>
      </c>
      <c r="BT38" t="s">
        <v>9</v>
      </c>
      <c r="BV38" s="561"/>
      <c r="BW38" s="45"/>
      <c r="BX38" s="45"/>
      <c r="BY38" s="45"/>
      <c r="BZ38" s="45"/>
      <c r="CA38" s="561">
        <f>(CA35-CA36-CA37)*$DN$43</f>
        <v>113.61</v>
      </c>
      <c r="CB38" s="45"/>
      <c r="CC38" s="45"/>
      <c r="CD38" s="45"/>
      <c r="CE38" s="45"/>
      <c r="CF38" s="561">
        <f>(CF35-CF36-CF37)*$DN$43</f>
        <v>117.09599999999988</v>
      </c>
      <c r="CG38" s="45"/>
      <c r="CH38" s="45"/>
      <c r="CI38" s="45"/>
      <c r="CJ38" s="45"/>
      <c r="CK38" s="561">
        <f>(CK35-CK36-CK37)*$DN$43</f>
        <v>-391.923</v>
      </c>
      <c r="CP38" s="561">
        <f>(CP35-CP36-CP37)*$DN$43</f>
        <v>72.533999999999949</v>
      </c>
      <c r="CU38" s="561">
        <f>(CU35-CU36-CU37)*$DN$43</f>
        <v>18.812008294197518</v>
      </c>
      <c r="CZ38" s="561">
        <f>(CZ35-CZ36-CZ37)*$DN$43</f>
        <v>12.674807005520293</v>
      </c>
      <c r="DE38" s="561">
        <f>(DE35-DE36-DE37)*$DN$43</f>
        <v>9.8129216085633963</v>
      </c>
      <c r="DF38" s="561">
        <f>(DF35-DF36-DF37)*$DN$43</f>
        <v>16.898211671709785</v>
      </c>
      <c r="DG38" s="561"/>
      <c r="DK38" s="541" t="s">
        <v>882</v>
      </c>
      <c r="DL38" s="491"/>
      <c r="DM38" s="491"/>
      <c r="DN38" s="742">
        <f>(DN36-DN35)/DN36</f>
        <v>0.375</v>
      </c>
      <c r="DO38" s="491"/>
      <c r="DP38" s="491" t="s">
        <v>774</v>
      </c>
      <c r="DQ38" s="491"/>
      <c r="DR38" s="491"/>
      <c r="DS38" s="491"/>
      <c r="DT38" s="491"/>
      <c r="DU38" s="731">
        <f>DN52</f>
        <v>7.7671067463184551</v>
      </c>
      <c r="DV38" s="545">
        <v>2</v>
      </c>
      <c r="DW38" s="491"/>
      <c r="DX38" s="491"/>
      <c r="DZ38" s="541"/>
      <c r="EA38" s="541"/>
      <c r="EB38" s="541"/>
      <c r="EC38" s="541"/>
      <c r="ED38" s="541"/>
      <c r="EE38" s="541"/>
      <c r="EF38" s="541"/>
      <c r="EG38" s="541"/>
      <c r="EH38" s="541"/>
      <c r="EI38" s="541"/>
      <c r="EJ38" s="541"/>
      <c r="EK38" s="491"/>
      <c r="EL38" s="726"/>
      <c r="EM38" s="491"/>
      <c r="EN38" s="491"/>
      <c r="EO38" s="491"/>
      <c r="EP38" s="491"/>
      <c r="EQ38" s="491"/>
      <c r="ER38" s="491"/>
      <c r="ES38" s="491"/>
      <c r="ET38" s="491"/>
      <c r="EU38" s="491"/>
      <c r="EV38" s="491"/>
    </row>
    <row r="39" spans="3:153">
      <c r="C39" s="545" t="s">
        <v>745</v>
      </c>
      <c r="D39" s="545"/>
      <c r="E39" s="545"/>
      <c r="F39" s="545"/>
      <c r="G39" s="545"/>
      <c r="H39" s="545"/>
      <c r="I39" s="545"/>
      <c r="J39" s="545"/>
      <c r="K39" s="545"/>
      <c r="L39" s="545"/>
      <c r="M39" s="545"/>
      <c r="N39" s="545"/>
      <c r="O39" s="739"/>
      <c r="P39" s="739"/>
      <c r="Q39" s="739"/>
      <c r="R39" s="739"/>
      <c r="S39" s="739"/>
      <c r="T39" s="739"/>
      <c r="U39" s="739"/>
      <c r="V39" s="739"/>
      <c r="W39" s="739"/>
      <c r="X39" s="739"/>
      <c r="Y39" s="739"/>
      <c r="Z39" s="739"/>
      <c r="AA39" s="739"/>
      <c r="AB39" s="739"/>
      <c r="AC39" s="739"/>
      <c r="AD39" s="739"/>
      <c r="AE39" s="739"/>
      <c r="AF39" s="739"/>
      <c r="AG39" s="739"/>
      <c r="AH39" s="739"/>
      <c r="AI39" s="739"/>
      <c r="AJ39" s="739"/>
      <c r="AK39" s="739"/>
      <c r="AL39" s="739"/>
      <c r="AM39" s="739">
        <f>(AM35+AM36)*AM38</f>
        <v>87.777371266025298</v>
      </c>
      <c r="AN39" s="739"/>
      <c r="AO39" s="739"/>
      <c r="AP39" s="739"/>
      <c r="AQ39" s="739"/>
      <c r="AR39" s="739">
        <f>(AR35+AR36)*AR38</f>
        <v>91.698627535487645</v>
      </c>
      <c r="AS39" s="739"/>
      <c r="AT39" s="739"/>
      <c r="AU39" s="739"/>
      <c r="AV39" s="739"/>
      <c r="AW39" s="739">
        <f>(AW35+AW36)*AW38</f>
        <v>88.594951333413618</v>
      </c>
      <c r="AX39" s="739"/>
      <c r="AY39" s="739"/>
      <c r="AZ39" s="739"/>
      <c r="BA39" s="739"/>
      <c r="BB39" s="739">
        <f>(BB35+BB36)*BB38</f>
        <v>86.856272489131996</v>
      </c>
      <c r="BC39" s="739"/>
      <c r="BD39" s="739"/>
      <c r="BE39" s="739"/>
      <c r="BF39" s="739"/>
      <c r="BG39" s="739">
        <f>(BG35+BG36)*BG38</f>
        <v>89.971922747742511</v>
      </c>
      <c r="BH39" s="739"/>
      <c r="BI39" s="739"/>
      <c r="BJ39" s="739"/>
      <c r="BK39" s="739"/>
      <c r="BL39" s="739">
        <f>(BL35+BL36)*BL38</f>
        <v>92.560355166702635</v>
      </c>
      <c r="BM39" s="739"/>
      <c r="BN39" s="739"/>
      <c r="BO39" s="739"/>
      <c r="BP39" s="739"/>
      <c r="BQ39" s="739">
        <f>(BQ35+BQ36)*BQ38</f>
        <v>95.821877774093238</v>
      </c>
      <c r="BT39" s="56" t="s">
        <v>770</v>
      </c>
      <c r="BV39" s="112"/>
      <c r="BW39" s="45"/>
      <c r="BX39" s="45"/>
      <c r="BY39" s="45"/>
      <c r="BZ39" s="45"/>
      <c r="CA39" s="112">
        <f>+CA35-CA37-CA38</f>
        <v>654.39</v>
      </c>
      <c r="CB39" s="45"/>
      <c r="CC39" s="45"/>
      <c r="CD39" s="45"/>
      <c r="CE39" s="45"/>
      <c r="CF39" s="112">
        <f>+CF35-CF37-CF38</f>
        <v>641.90399999999954</v>
      </c>
      <c r="CG39" s="45"/>
      <c r="CH39" s="45"/>
      <c r="CI39" s="45"/>
      <c r="CJ39" s="45"/>
      <c r="CK39" s="112">
        <f>+CK35-CK37-CK38</f>
        <v>-1319.777</v>
      </c>
      <c r="CP39" s="112">
        <f>+CP35-CP37-CP38</f>
        <v>297.0659999999998</v>
      </c>
      <c r="CU39" s="112">
        <f>+CU35-CU37-CU38</f>
        <v>99.707521911933526</v>
      </c>
      <c r="CZ39" s="112">
        <f>+CZ35-CZ37-CZ38</f>
        <v>89.422383566936332</v>
      </c>
      <c r="DE39" s="112">
        <f>+DE35-DE37-DE38</f>
        <v>92.187950714326377</v>
      </c>
      <c r="DF39" s="112">
        <f>+DF35-DF37-DF38</f>
        <v>127.22419085925202</v>
      </c>
      <c r="DK39" s="541" t="s">
        <v>771</v>
      </c>
      <c r="DL39" s="491"/>
      <c r="DM39" s="491"/>
      <c r="DN39" s="729">
        <v>0.06</v>
      </c>
      <c r="DO39" s="491"/>
      <c r="DP39" s="491"/>
      <c r="DQ39" s="491"/>
      <c r="DR39" s="491"/>
      <c r="DS39" s="491"/>
      <c r="DT39" s="491"/>
      <c r="DU39" s="643"/>
      <c r="DV39" s="541"/>
      <c r="DW39" s="491"/>
      <c r="DX39" s="491"/>
      <c r="DZ39" s="541"/>
      <c r="EA39" s="541"/>
      <c r="EB39" s="541"/>
      <c r="EC39" s="541"/>
      <c r="ED39" s="541"/>
      <c r="EE39" s="541"/>
      <c r="EF39" s="541"/>
      <c r="EG39" s="541"/>
      <c r="EH39" s="541"/>
      <c r="EI39" s="541"/>
      <c r="EJ39" s="541"/>
      <c r="EK39" s="491"/>
      <c r="EL39" s="726"/>
      <c r="EM39" s="491"/>
      <c r="EN39" s="491"/>
      <c r="EO39" s="491"/>
      <c r="EP39" s="491"/>
      <c r="EQ39" s="491"/>
      <c r="ER39" s="491"/>
      <c r="ES39" s="491"/>
      <c r="ET39" s="491"/>
      <c r="EU39" s="491"/>
      <c r="EV39" s="491"/>
    </row>
    <row r="40" spans="3:153">
      <c r="BW40" s="45"/>
      <c r="BX40" s="45"/>
      <c r="BY40" s="45"/>
      <c r="BZ40" s="45"/>
      <c r="CB40" s="45"/>
      <c r="CC40" s="45"/>
      <c r="CD40" s="45"/>
      <c r="CE40" s="45"/>
      <c r="CG40" s="45"/>
      <c r="CH40" s="45"/>
      <c r="CI40" s="45"/>
      <c r="CJ40" s="45"/>
      <c r="DK40" s="541" t="s">
        <v>773</v>
      </c>
      <c r="DL40" s="491"/>
      <c r="DM40" s="491"/>
      <c r="DN40" s="729">
        <v>0.03</v>
      </c>
      <c r="DO40" s="491"/>
      <c r="DQ40" s="734"/>
      <c r="DR40" s="735"/>
      <c r="DS40" s="735"/>
      <c r="DT40" s="735"/>
      <c r="DU40" s="491"/>
      <c r="DV40" s="541"/>
      <c r="DW40" s="491"/>
      <c r="DX40" s="491"/>
      <c r="DZ40" s="541"/>
      <c r="EA40" s="541"/>
      <c r="EB40" s="541"/>
      <c r="EC40" s="541"/>
      <c r="ED40" s="541"/>
      <c r="EE40" s="541"/>
      <c r="EF40" s="541"/>
      <c r="EG40" s="541"/>
      <c r="EH40" s="541"/>
      <c r="EI40" s="541"/>
      <c r="EJ40" s="541"/>
      <c r="EK40" s="491"/>
      <c r="EL40" s="726"/>
      <c r="EM40" s="491"/>
      <c r="EN40" s="491"/>
      <c r="EO40" s="491"/>
      <c r="EP40" s="491"/>
      <c r="EQ40" s="491"/>
      <c r="ER40" s="491"/>
      <c r="ES40" s="491"/>
      <c r="ET40" s="491"/>
      <c r="EU40" s="491"/>
      <c r="EV40" s="491"/>
      <c r="EW40" s="541"/>
    </row>
    <row r="41" spans="3:153">
      <c r="C41" s="57" t="s">
        <v>389</v>
      </c>
      <c r="D41" s="58"/>
      <c r="E41" s="58"/>
      <c r="F41" s="58"/>
      <c r="G41" s="58"/>
      <c r="H41" s="58"/>
      <c r="I41" s="58"/>
      <c r="J41" s="58"/>
      <c r="K41" s="58"/>
      <c r="L41" s="58"/>
      <c r="M41" s="58"/>
      <c r="N41" s="58"/>
      <c r="O41" s="59"/>
      <c r="P41" s="59"/>
      <c r="Q41" s="59"/>
      <c r="R41" s="59"/>
      <c r="S41" s="59"/>
      <c r="T41" s="59"/>
      <c r="U41" s="59"/>
      <c r="V41" s="59"/>
      <c r="W41" s="59"/>
      <c r="X41" s="59"/>
      <c r="Y41" s="59"/>
      <c r="Z41" s="59"/>
      <c r="AA41" s="59"/>
      <c r="AB41" s="59"/>
      <c r="AC41" s="59"/>
      <c r="AD41" s="59"/>
      <c r="AE41" s="59"/>
      <c r="AF41" s="59"/>
      <c r="AG41" s="59"/>
      <c r="AH41" s="59"/>
      <c r="AI41" s="59"/>
      <c r="AJ41" s="59"/>
      <c r="AK41" s="59"/>
      <c r="AL41" s="59"/>
      <c r="AM41" s="59">
        <f>AM39</f>
        <v>87.777371266025298</v>
      </c>
      <c r="AN41" s="59"/>
      <c r="AO41" s="59"/>
      <c r="AP41" s="59"/>
      <c r="AQ41" s="59"/>
      <c r="AR41" s="59">
        <f t="shared" ref="AR41:BB41" si="1">AR39</f>
        <v>91.698627535487645</v>
      </c>
      <c r="AS41" s="59">
        <f t="shared" si="1"/>
        <v>0</v>
      </c>
      <c r="AT41" s="59">
        <f t="shared" si="1"/>
        <v>0</v>
      </c>
      <c r="AU41" s="59">
        <f t="shared" si="1"/>
        <v>0</v>
      </c>
      <c r="AV41" s="59">
        <f t="shared" si="1"/>
        <v>0</v>
      </c>
      <c r="AW41" s="59">
        <f t="shared" si="1"/>
        <v>88.594951333413618</v>
      </c>
      <c r="AX41" s="59">
        <f t="shared" si="1"/>
        <v>0</v>
      </c>
      <c r="AY41" s="59">
        <f t="shared" si="1"/>
        <v>0</v>
      </c>
      <c r="AZ41" s="59">
        <f t="shared" si="1"/>
        <v>0</v>
      </c>
      <c r="BA41" s="59">
        <f t="shared" si="1"/>
        <v>0</v>
      </c>
      <c r="BB41" s="59">
        <f t="shared" si="1"/>
        <v>86.856272489131996</v>
      </c>
      <c r="BC41" s="59"/>
      <c r="BD41" s="59"/>
      <c r="BE41" s="59"/>
      <c r="BF41" s="59"/>
      <c r="BG41" s="59">
        <f>BG39</f>
        <v>89.971922747742511</v>
      </c>
      <c r="BH41" s="59"/>
      <c r="BI41" s="59"/>
      <c r="BJ41" s="59"/>
      <c r="BK41" s="59"/>
      <c r="BL41" s="59">
        <f>BL39</f>
        <v>92.560355166702635</v>
      </c>
      <c r="BM41" s="59"/>
      <c r="BN41" s="59"/>
      <c r="BO41" s="59"/>
      <c r="BP41" s="59"/>
      <c r="BQ41" s="60">
        <f>BQ39</f>
        <v>95.821877774093238</v>
      </c>
      <c r="BT41" t="s">
        <v>1271</v>
      </c>
      <c r="BV41" s="561"/>
      <c r="BW41" s="45"/>
      <c r="BX41" s="45"/>
      <c r="BY41" s="45"/>
      <c r="BZ41" s="45"/>
      <c r="CA41" s="561">
        <f>+'Generation &amp; Marketing'!AH320</f>
        <v>0</v>
      </c>
      <c r="CB41" s="45"/>
      <c r="CC41" s="45"/>
      <c r="CD41" s="45"/>
      <c r="CE41" s="45"/>
      <c r="CF41" s="561">
        <f>+'Generation &amp; Marketing'!AM320</f>
        <v>0</v>
      </c>
      <c r="CG41" s="45"/>
      <c r="CH41" s="45"/>
      <c r="CI41" s="45"/>
      <c r="CJ41" s="45"/>
      <c r="CK41" s="561">
        <f>+'Generation &amp; Marketing'!AR320</f>
        <v>0</v>
      </c>
      <c r="CP41" s="561">
        <f>+'Generation &amp; Marketing'!AW320</f>
        <v>0</v>
      </c>
      <c r="CU41" s="561">
        <f>+'Generation &amp; Marketing'!BB320</f>
        <v>333.33333333333331</v>
      </c>
      <c r="CZ41" s="561">
        <f>+'Generation &amp; Marketing'!BG320</f>
        <v>333.33333333333331</v>
      </c>
      <c r="DE41" s="561">
        <f>+'Generation &amp; Marketing'!BL320</f>
        <v>333.33333333333331</v>
      </c>
      <c r="DF41" s="561">
        <v>0</v>
      </c>
      <c r="DG41" s="67"/>
      <c r="DK41" s="491" t="s">
        <v>775</v>
      </c>
      <c r="DL41" s="491"/>
      <c r="DM41" s="491"/>
      <c r="DN41" s="729">
        <v>0.06</v>
      </c>
      <c r="DO41" s="491"/>
      <c r="DP41" s="733" t="s">
        <v>874</v>
      </c>
      <c r="DQ41" s="734"/>
      <c r="DR41" s="735"/>
      <c r="DS41" s="735"/>
      <c r="DT41" s="735"/>
      <c r="DU41" s="491"/>
      <c r="DV41" s="541"/>
      <c r="DW41" s="491"/>
      <c r="DX41" s="491"/>
      <c r="DZ41" s="541"/>
      <c r="EA41" s="541"/>
      <c r="EB41" s="541"/>
      <c r="EC41" s="541"/>
      <c r="ED41" s="541"/>
      <c r="EE41" s="541"/>
      <c r="EF41" s="541"/>
      <c r="EG41" s="541"/>
      <c r="EH41" s="541"/>
      <c r="EI41" s="541"/>
      <c r="EJ41" s="541"/>
      <c r="EK41" s="491"/>
      <c r="EL41" s="726"/>
      <c r="EM41" s="491"/>
      <c r="EN41" s="491"/>
      <c r="EO41" s="491"/>
      <c r="EP41" s="491"/>
      <c r="EQ41" s="491"/>
      <c r="ER41" s="491"/>
      <c r="ES41" s="491"/>
      <c r="ET41" s="491"/>
      <c r="EU41" s="491"/>
      <c r="EV41" s="491"/>
    </row>
    <row r="42" spans="3:153">
      <c r="BT42" s="696" t="s">
        <v>372</v>
      </c>
      <c r="BV42" s="561"/>
      <c r="BW42" s="45"/>
      <c r="BX42" s="45"/>
      <c r="BY42" s="45"/>
      <c r="BZ42" s="45"/>
      <c r="CA42" s="561">
        <f>+'Generation &amp; Marketing'!AH322</f>
        <v>0</v>
      </c>
      <c r="CB42" s="45"/>
      <c r="CC42" s="45"/>
      <c r="CD42" s="45"/>
      <c r="CE42" s="45"/>
      <c r="CF42" s="561">
        <f>+'Generation &amp; Marketing'!AM322</f>
        <v>0</v>
      </c>
      <c r="CG42" s="45"/>
      <c r="CH42" s="45"/>
      <c r="CI42" s="45"/>
      <c r="CJ42" s="45"/>
      <c r="CK42" s="561">
        <f>+'Generation &amp; Marketing'!AR322</f>
        <v>0</v>
      </c>
      <c r="CP42" s="561">
        <f>SUM('Generation &amp; Marketing'!AW321:AW322)</f>
        <v>0</v>
      </c>
      <c r="CU42" s="561">
        <f>+'Generation &amp; Marketing'!BB322</f>
        <v>102.5</v>
      </c>
      <c r="CZ42" s="561">
        <f>+'Generation &amp; Marketing'!BG322</f>
        <v>75</v>
      </c>
      <c r="DE42" s="561">
        <f>+'Generation &amp; Marketing'!BL322</f>
        <v>75</v>
      </c>
      <c r="DF42" s="561">
        <f>+'Generation &amp; Marketing'!BQ322</f>
        <v>75</v>
      </c>
      <c r="DH42" s="561"/>
      <c r="DK42" s="491" t="s">
        <v>776</v>
      </c>
      <c r="DL42" s="491"/>
      <c r="DM42" s="491"/>
      <c r="DN42" s="732">
        <v>1.3</v>
      </c>
      <c r="DO42" s="491"/>
      <c r="DP42" s="491" t="s">
        <v>777</v>
      </c>
      <c r="DQ42" s="491"/>
      <c r="DR42" s="491"/>
      <c r="DS42" s="491"/>
      <c r="DT42" s="491"/>
      <c r="DU42" s="731">
        <f>DN48</f>
        <v>6.853244353301136</v>
      </c>
      <c r="DV42" s="541"/>
      <c r="DW42" s="491"/>
      <c r="DX42" s="491"/>
      <c r="DZ42" s="541"/>
      <c r="EA42" s="541"/>
      <c r="EB42" s="541"/>
      <c r="EC42" s="541"/>
      <c r="ED42" s="541"/>
      <c r="EE42" s="541"/>
      <c r="EF42" s="541"/>
      <c r="EG42" s="541"/>
      <c r="EH42" s="541"/>
      <c r="EI42" s="541"/>
      <c r="EJ42" s="541"/>
      <c r="EK42" s="491"/>
      <c r="EL42" s="726"/>
      <c r="EM42" s="491"/>
      <c r="EN42" s="491"/>
      <c r="EO42" s="491"/>
      <c r="EP42" s="491"/>
      <c r="EQ42" s="491"/>
      <c r="ER42" s="491"/>
      <c r="ES42" s="491"/>
      <c r="ET42" s="491"/>
      <c r="EU42" s="491"/>
      <c r="EV42" s="491"/>
    </row>
    <row r="43" spans="3:153">
      <c r="C43" t="s">
        <v>838</v>
      </c>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f>+AM21</f>
        <v>68.88</v>
      </c>
      <c r="AN43" s="63"/>
      <c r="AO43" s="63"/>
      <c r="AP43" s="63"/>
      <c r="AQ43" s="63"/>
      <c r="AR43" s="63">
        <f>+AR21</f>
        <v>68.88</v>
      </c>
      <c r="AS43" s="63"/>
      <c r="AT43" s="63"/>
      <c r="AU43" s="63"/>
      <c r="AV43" s="63"/>
      <c r="AW43" s="63">
        <f>+AW21</f>
        <v>68.88</v>
      </c>
      <c r="AX43" s="63"/>
      <c r="AY43" s="63"/>
      <c r="AZ43" s="63"/>
      <c r="BA43" s="63"/>
      <c r="BB43" s="63">
        <f>+BB21</f>
        <v>68.88</v>
      </c>
      <c r="BC43" s="63"/>
      <c r="BD43" s="63"/>
      <c r="BE43" s="63"/>
      <c r="BF43" s="63"/>
      <c r="BG43" s="63">
        <f>+BG21</f>
        <v>68.88</v>
      </c>
      <c r="BH43" s="63"/>
      <c r="BI43" s="63"/>
      <c r="BJ43" s="63"/>
      <c r="BK43" s="63"/>
      <c r="BL43" s="63">
        <f>+BL21</f>
        <v>68.88</v>
      </c>
      <c r="BM43" s="63"/>
      <c r="BN43" s="63"/>
      <c r="BO43" s="63"/>
      <c r="BP43" s="63"/>
      <c r="BQ43" s="63">
        <f>+BQ21</f>
        <v>68.88</v>
      </c>
      <c r="BT43" s="56" t="s">
        <v>746</v>
      </c>
      <c r="BV43" s="112"/>
      <c r="BW43" s="45"/>
      <c r="BX43" s="45"/>
      <c r="BY43" s="45"/>
      <c r="BZ43" s="45"/>
      <c r="CA43" s="112">
        <f>SUM(CA41:CA42)</f>
        <v>0</v>
      </c>
      <c r="CB43" s="45"/>
      <c r="CC43" s="45"/>
      <c r="CD43" s="45"/>
      <c r="CE43" s="45"/>
      <c r="CF43" s="112">
        <f>SUM(CF41:CF42)</f>
        <v>0</v>
      </c>
      <c r="CG43" s="45"/>
      <c r="CH43" s="45"/>
      <c r="CI43" s="45"/>
      <c r="CJ43" s="45"/>
      <c r="CK43" s="112">
        <f>SUM(CK41:CK42)</f>
        <v>0</v>
      </c>
      <c r="CP43" s="112">
        <f>SUM(CP41:CP42)</f>
        <v>0</v>
      </c>
      <c r="CU43" s="112">
        <f>SUM(CU41:CU42)</f>
        <v>435.83333333333331</v>
      </c>
      <c r="CZ43" s="112">
        <f>SUM(CZ41:CZ42)</f>
        <v>408.33333333333331</v>
      </c>
      <c r="DE43" s="112">
        <f>SUM(DE41:DE42)</f>
        <v>408.33333333333331</v>
      </c>
      <c r="DF43" s="112">
        <f>SUM(DF41:DF42)</f>
        <v>75</v>
      </c>
      <c r="DG43" s="561"/>
      <c r="DI43" s="561"/>
      <c r="DK43" s="491" t="s">
        <v>285</v>
      </c>
      <c r="DL43" s="491"/>
      <c r="DM43" s="491"/>
      <c r="DN43" s="730">
        <v>0.21</v>
      </c>
      <c r="DO43" s="491"/>
      <c r="DP43" s="491" t="s">
        <v>778</v>
      </c>
      <c r="DQ43" s="491"/>
      <c r="DR43" s="491"/>
      <c r="DS43" s="491"/>
      <c r="DT43" s="491"/>
      <c r="DU43" s="737">
        <f>DF36/DF35</f>
        <v>0.34252953987401152</v>
      </c>
      <c r="DV43" s="541"/>
      <c r="DW43" s="491"/>
      <c r="DX43" s="491"/>
      <c r="DZ43" s="541"/>
      <c r="EA43" s="541"/>
      <c r="EB43" s="541"/>
      <c r="EC43" s="541"/>
      <c r="ED43" s="541"/>
      <c r="EE43" s="541"/>
      <c r="EF43" s="541"/>
      <c r="EG43" s="541"/>
      <c r="EH43" s="541"/>
      <c r="EI43" s="541"/>
      <c r="EJ43" s="541"/>
      <c r="EK43" s="491"/>
      <c r="EL43" s="726"/>
      <c r="EM43" s="491"/>
      <c r="EN43" s="491"/>
      <c r="EO43" s="491"/>
      <c r="EP43" s="491"/>
      <c r="EQ43" s="491"/>
      <c r="ER43" s="491"/>
      <c r="ES43" s="491"/>
      <c r="ET43" s="491"/>
      <c r="EU43" s="491"/>
      <c r="EV43" s="491"/>
    </row>
    <row r="44" spans="3:153">
      <c r="C44" t="s">
        <v>839</v>
      </c>
      <c r="O44" s="65"/>
      <c r="P44" s="65"/>
      <c r="Q44" s="65"/>
      <c r="R44" s="65"/>
      <c r="S44" s="65"/>
      <c r="T44" s="65"/>
      <c r="U44" s="65"/>
      <c r="V44" s="65"/>
      <c r="W44" s="65"/>
      <c r="X44" s="65"/>
      <c r="Y44" s="65"/>
      <c r="Z44" s="65"/>
      <c r="AA44" s="65"/>
      <c r="AB44" s="65"/>
      <c r="AC44" s="65"/>
      <c r="AD44" s="65"/>
      <c r="AE44" s="65"/>
      <c r="AF44" s="65"/>
      <c r="AG44" s="65"/>
      <c r="AH44" s="65"/>
      <c r="AI44" s="65"/>
      <c r="AJ44" s="65"/>
      <c r="AK44" s="65"/>
      <c r="AL44" s="65"/>
      <c r="AM44" s="65">
        <f>+AM41/AM43-1</f>
        <v>0.27435207993648825</v>
      </c>
      <c r="AN44" s="65"/>
      <c r="AO44" s="65"/>
      <c r="AP44" s="65"/>
      <c r="AQ44" s="65"/>
      <c r="AR44" s="65">
        <f>+AR41/AR43-1</f>
        <v>0.33128088756515184</v>
      </c>
      <c r="AS44" s="65"/>
      <c r="AT44" s="65"/>
      <c r="AU44" s="65"/>
      <c r="AV44" s="65"/>
      <c r="AW44" s="65">
        <f>+AW41/AW43-1</f>
        <v>0.2862217092539725</v>
      </c>
      <c r="AX44" s="65"/>
      <c r="AY44" s="65"/>
      <c r="AZ44" s="65"/>
      <c r="BA44" s="65"/>
      <c r="BB44" s="65">
        <f>+BB41/BB43-1</f>
        <v>0.26097956575394887</v>
      </c>
      <c r="BC44" s="65"/>
      <c r="BD44" s="65"/>
      <c r="BE44" s="65"/>
      <c r="BF44" s="65"/>
      <c r="BG44" s="65">
        <f>+BG41/BG43-1</f>
        <v>0.30621258344573921</v>
      </c>
      <c r="BH44" s="65"/>
      <c r="BI44" s="65"/>
      <c r="BJ44" s="65"/>
      <c r="BK44" s="65"/>
      <c r="BL44" s="65">
        <f>+BL41/BL43-1</f>
        <v>0.34379145131682121</v>
      </c>
      <c r="BM44" s="65"/>
      <c r="BN44" s="65"/>
      <c r="BO44" s="65"/>
      <c r="BP44" s="65"/>
      <c r="BQ44" s="65">
        <f>+BQ41/BQ43-1</f>
        <v>0.39114224410704468</v>
      </c>
      <c r="BW44" s="45"/>
      <c r="BX44" s="45"/>
      <c r="BY44" s="45"/>
      <c r="BZ44" s="45"/>
      <c r="CB44" s="45"/>
      <c r="CC44" s="45"/>
      <c r="CD44" s="45"/>
      <c r="CE44" s="45"/>
      <c r="CG44" s="45"/>
      <c r="CH44" s="45"/>
      <c r="CI44" s="45"/>
      <c r="CJ44" s="45"/>
      <c r="DK44" s="57" t="s">
        <v>884</v>
      </c>
      <c r="DL44" s="58"/>
      <c r="DM44" s="58"/>
      <c r="DN44" s="736">
        <f>(DN37*(DN39*(1-DN43)))+(DN38*(DN40+(DN41*DN42)))</f>
        <v>7.0124999999999993E-2</v>
      </c>
      <c r="DO44" s="491"/>
      <c r="DP44" s="491" t="s">
        <v>779</v>
      </c>
      <c r="DQ44" s="491"/>
      <c r="DR44" s="491"/>
      <c r="DS44" s="491"/>
      <c r="DT44" s="491"/>
      <c r="DU44" s="737">
        <f>DF42/DF35</f>
        <v>0.40357906374819991</v>
      </c>
      <c r="DV44" s="541"/>
      <c r="DW44" s="491"/>
      <c r="DX44" s="491"/>
      <c r="DZ44" s="541"/>
      <c r="EA44" s="541"/>
      <c r="EB44" s="541"/>
      <c r="EC44" s="541"/>
      <c r="ED44" s="541"/>
      <c r="EE44" s="541"/>
      <c r="EF44" s="541"/>
      <c r="EG44" s="541"/>
      <c r="EH44" s="541"/>
      <c r="EI44" s="541"/>
      <c r="EJ44" s="541"/>
      <c r="EK44" s="491"/>
      <c r="EL44" s="726"/>
      <c r="EM44" s="491"/>
      <c r="EN44" s="491"/>
      <c r="EO44" s="491"/>
      <c r="EP44" s="491"/>
      <c r="EQ44" s="491"/>
      <c r="ER44" s="491"/>
      <c r="ES44" s="491"/>
      <c r="ET44" s="491"/>
      <c r="EU44" s="491"/>
      <c r="EV44" s="491"/>
    </row>
    <row r="45" spans="3:153">
      <c r="C45" t="s">
        <v>840</v>
      </c>
      <c r="O45" s="65"/>
      <c r="P45" s="65"/>
      <c r="Q45" s="65"/>
      <c r="R45" s="65"/>
      <c r="S45" s="65"/>
      <c r="T45" s="65"/>
      <c r="U45" s="65"/>
      <c r="V45" s="65"/>
      <c r="W45" s="65"/>
      <c r="X45" s="65"/>
      <c r="Y45" s="65"/>
      <c r="Z45" s="65"/>
      <c r="AA45" s="65"/>
      <c r="AB45" s="65"/>
      <c r="AC45" s="65"/>
      <c r="AD45" s="65"/>
      <c r="AE45" s="65"/>
      <c r="AF45" s="65"/>
      <c r="AG45" s="65"/>
      <c r="AH45" s="65"/>
      <c r="AI45" s="65"/>
      <c r="AJ45" s="65"/>
      <c r="AK45" s="65"/>
      <c r="AL45" s="65"/>
      <c r="AM45" s="65">
        <f>+$AM$23</f>
        <v>3.1213704994192806E-2</v>
      </c>
      <c r="AN45" s="65"/>
      <c r="AO45" s="65"/>
      <c r="AP45" s="65"/>
      <c r="AQ45" s="65"/>
      <c r="AR45" s="65">
        <f>+$AM$23</f>
        <v>3.1213704994192806E-2</v>
      </c>
      <c r="AS45" s="65"/>
      <c r="AT45" s="65"/>
      <c r="AU45" s="65"/>
      <c r="AV45" s="65"/>
      <c r="AW45" s="65">
        <f>+$AM$23</f>
        <v>3.1213704994192806E-2</v>
      </c>
      <c r="AX45" s="65"/>
      <c r="AY45" s="65"/>
      <c r="AZ45" s="65"/>
      <c r="BA45" s="65"/>
      <c r="BB45" s="65">
        <f>+$AM$23</f>
        <v>3.1213704994192806E-2</v>
      </c>
      <c r="BC45" s="65"/>
      <c r="BD45" s="65"/>
      <c r="BE45" s="65"/>
      <c r="BF45" s="65"/>
      <c r="BG45" s="65">
        <f>+$AM$23</f>
        <v>3.1213704994192806E-2</v>
      </c>
      <c r="BH45" s="65"/>
      <c r="BI45" s="65"/>
      <c r="BJ45" s="65"/>
      <c r="BK45" s="65"/>
      <c r="BL45" s="65">
        <f>+$AM$23</f>
        <v>3.1213704994192806E-2</v>
      </c>
      <c r="BM45" s="65"/>
      <c r="BN45" s="65"/>
      <c r="BO45" s="65"/>
      <c r="BP45" s="65"/>
      <c r="BQ45" s="65">
        <f>+$AM$23</f>
        <v>3.1213704994192806E-2</v>
      </c>
      <c r="BT45" s="50" t="s">
        <v>780</v>
      </c>
      <c r="BU45" s="50"/>
      <c r="BV45" s="740"/>
      <c r="BW45" s="45"/>
      <c r="BX45" s="45"/>
      <c r="BY45" s="45"/>
      <c r="BZ45" s="45"/>
      <c r="CA45" s="740">
        <f>+CA39-CA43</f>
        <v>654.39</v>
      </c>
      <c r="CB45" s="45"/>
      <c r="CC45" s="45"/>
      <c r="CD45" s="45"/>
      <c r="CE45" s="45"/>
      <c r="CF45" s="740">
        <f>+CF39-CF43</f>
        <v>641.90399999999954</v>
      </c>
      <c r="CG45" s="45"/>
      <c r="CH45" s="45"/>
      <c r="CI45" s="45"/>
      <c r="CJ45" s="45"/>
      <c r="CK45" s="740">
        <f>+CK39-CK43</f>
        <v>-1319.777</v>
      </c>
      <c r="CP45" s="740">
        <f>+CP39-CP43</f>
        <v>297.0659999999998</v>
      </c>
      <c r="CU45" s="740">
        <f>+CU39-CU43</f>
        <v>-336.12581142139982</v>
      </c>
      <c r="CZ45" s="740">
        <f>+CZ39-CZ43</f>
        <v>-318.91094976639698</v>
      </c>
      <c r="DE45" s="740">
        <f>+DE39-DE43</f>
        <v>-316.14538261900691</v>
      </c>
      <c r="DF45" s="740">
        <f>+DF39-DF43</f>
        <v>52.224190859252019</v>
      </c>
      <c r="DO45" s="491"/>
      <c r="DP45" s="541" t="s">
        <v>781</v>
      </c>
      <c r="DQ45" s="491"/>
      <c r="DR45" s="491"/>
      <c r="DS45" s="491"/>
      <c r="DT45" s="491"/>
      <c r="DU45" s="741">
        <f>DN36</f>
        <v>8</v>
      </c>
      <c r="DV45" s="541"/>
      <c r="DW45" s="491"/>
      <c r="DX45" s="491"/>
      <c r="DZ45" s="541"/>
      <c r="EA45" s="541"/>
      <c r="EB45" s="541"/>
      <c r="EC45" s="541"/>
      <c r="ED45" s="541"/>
      <c r="EE45" s="541"/>
      <c r="EF45" s="541"/>
      <c r="EG45" s="541"/>
      <c r="EH45" s="541"/>
      <c r="EI45" s="541"/>
      <c r="EJ45" s="541"/>
      <c r="EK45" s="491"/>
      <c r="EL45" s="726"/>
      <c r="EM45" s="491"/>
      <c r="EN45" s="491"/>
      <c r="EO45" s="491"/>
      <c r="EP45" s="491"/>
      <c r="EQ45" s="491"/>
      <c r="ER45" s="491"/>
      <c r="ES45" s="491"/>
      <c r="ET45" s="491"/>
      <c r="EU45" s="491"/>
      <c r="EV45" s="491"/>
    </row>
    <row r="46" spans="3:153">
      <c r="C46" s="57" t="s">
        <v>841</v>
      </c>
      <c r="D46" s="68"/>
      <c r="E46" s="68"/>
      <c r="F46" s="68"/>
      <c r="G46" s="68"/>
      <c r="H46" s="68"/>
      <c r="I46" s="68"/>
      <c r="J46" s="68"/>
      <c r="K46" s="68"/>
      <c r="L46" s="68"/>
      <c r="M46" s="68"/>
      <c r="N46" s="68"/>
      <c r="O46" s="69"/>
      <c r="P46" s="69"/>
      <c r="Q46" s="69"/>
      <c r="R46" s="69"/>
      <c r="S46" s="69"/>
      <c r="T46" s="69"/>
      <c r="U46" s="69"/>
      <c r="V46" s="69"/>
      <c r="W46" s="69"/>
      <c r="X46" s="69"/>
      <c r="Y46" s="69"/>
      <c r="Z46" s="69"/>
      <c r="AA46" s="69"/>
      <c r="AB46" s="69"/>
      <c r="AC46" s="69"/>
      <c r="AD46" s="69"/>
      <c r="AE46" s="69"/>
      <c r="AF46" s="69"/>
      <c r="AG46" s="69"/>
      <c r="AH46" s="69"/>
      <c r="AI46" s="69"/>
      <c r="AJ46" s="69"/>
      <c r="AK46" s="69"/>
      <c r="AL46" s="69"/>
      <c r="AM46" s="69">
        <f>+AM45+AM44</f>
        <v>0.30556578493068104</v>
      </c>
      <c r="AN46" s="69"/>
      <c r="AO46" s="69"/>
      <c r="AP46" s="69"/>
      <c r="AQ46" s="69"/>
      <c r="AR46" s="69">
        <f>+AR45+AR44</f>
        <v>0.36249459255934463</v>
      </c>
      <c r="AS46" s="69"/>
      <c r="AT46" s="69"/>
      <c r="AU46" s="69"/>
      <c r="AV46" s="69"/>
      <c r="AW46" s="69">
        <f>+AW45+AW44</f>
        <v>0.31743541424816529</v>
      </c>
      <c r="AX46" s="69"/>
      <c r="AY46" s="69"/>
      <c r="AZ46" s="69"/>
      <c r="BA46" s="69"/>
      <c r="BB46" s="69">
        <f>+BB45+BB44</f>
        <v>0.29219327074814166</v>
      </c>
      <c r="BC46" s="69"/>
      <c r="BD46" s="69"/>
      <c r="BE46" s="69"/>
      <c r="BF46" s="69"/>
      <c r="BG46" s="69">
        <f>+BG45+BG44</f>
        <v>0.337426288439932</v>
      </c>
      <c r="BH46" s="69"/>
      <c r="BI46" s="69"/>
      <c r="BJ46" s="69"/>
      <c r="BK46" s="69"/>
      <c r="BL46" s="69">
        <f>+BL45+BL44</f>
        <v>0.375005156311014</v>
      </c>
      <c r="BM46" s="69"/>
      <c r="BN46" s="69"/>
      <c r="BO46" s="69"/>
      <c r="BP46" s="69"/>
      <c r="BQ46" s="70">
        <f>+BQ45+BQ44</f>
        <v>0.42235594910123747</v>
      </c>
      <c r="BT46" s="56" t="s">
        <v>782</v>
      </c>
      <c r="BU46" s="56"/>
      <c r="BV46" s="120"/>
      <c r="BW46" s="45"/>
      <c r="BX46" s="45"/>
      <c r="BY46" s="45"/>
      <c r="BZ46" s="45"/>
      <c r="CA46" s="120">
        <f>CA45+(CA37*(1-$DN$43))</f>
        <v>690.73</v>
      </c>
      <c r="CB46" s="45"/>
      <c r="CC46" s="45"/>
      <c r="CD46" s="45"/>
      <c r="CE46" s="45"/>
      <c r="CF46" s="120">
        <f>CF45+(CF37*(1-$DN$43))</f>
        <v>673.50399999999956</v>
      </c>
      <c r="CG46" s="45"/>
      <c r="CH46" s="45"/>
      <c r="CI46" s="45"/>
      <c r="CJ46" s="45"/>
      <c r="CK46" s="120">
        <f>CK45+(CK37*(1-$DN$43))</f>
        <v>-1291.4950000000001</v>
      </c>
      <c r="CP46" s="120">
        <f>CP45+(CP37*(1-$DN$43))</f>
        <v>311.68099999999981</v>
      </c>
      <c r="CU46" s="120">
        <f>CU45+(CU37*(1-$DN$43))</f>
        <v>-319.25704728646508</v>
      </c>
      <c r="CZ46" s="120">
        <f>CZ45+(CZ37*(1-$DN$43))</f>
        <v>-299.16537287676601</v>
      </c>
      <c r="DE46" s="120">
        <f>DE45+(DE37*(1-$DN$43))</f>
        <v>-289.89487599652949</v>
      </c>
      <c r="DF46" s="120">
        <f>DF45+(DF37*(1-$DN$43))</f>
        <v>85.178874624053179</v>
      </c>
      <c r="DH46" s="67"/>
      <c r="DK46" s="545" t="s">
        <v>801</v>
      </c>
      <c r="DL46" s="491"/>
      <c r="DM46" s="491"/>
      <c r="DP46" s="541" t="s">
        <v>783</v>
      </c>
      <c r="DQ46" s="491"/>
      <c r="DR46" s="491"/>
      <c r="DS46" s="491"/>
      <c r="DT46" s="491"/>
      <c r="DU46" s="560">
        <f>DN38</f>
        <v>0.375</v>
      </c>
      <c r="DV46" s="541"/>
      <c r="DW46" s="491"/>
      <c r="DX46" s="491"/>
      <c r="DZ46" s="541"/>
      <c r="EA46" s="541"/>
      <c r="EB46" s="541"/>
      <c r="EC46" s="541"/>
      <c r="ED46" s="541"/>
      <c r="EE46" s="541"/>
      <c r="EF46" s="541"/>
      <c r="EG46" s="541"/>
      <c r="EH46" s="541"/>
      <c r="EI46" s="541"/>
      <c r="EJ46" s="541"/>
      <c r="EK46" s="491"/>
      <c r="EL46" s="726"/>
      <c r="EM46" s="491"/>
      <c r="EN46" s="491"/>
      <c r="EO46" s="491"/>
      <c r="EP46" s="491"/>
      <c r="EQ46" s="491"/>
      <c r="ER46" s="491"/>
      <c r="ES46" s="491"/>
      <c r="ET46" s="491"/>
      <c r="EU46" s="491"/>
      <c r="EV46" s="491"/>
    </row>
    <row r="47" spans="3:153">
      <c r="BT47" s="56" t="s">
        <v>784</v>
      </c>
      <c r="BW47" s="45"/>
      <c r="BX47" s="45"/>
      <c r="BY47" s="45"/>
      <c r="BZ47" s="45"/>
      <c r="CB47" s="45"/>
      <c r="CC47" s="45"/>
      <c r="CD47" s="45"/>
      <c r="CE47" s="45"/>
      <c r="CG47" s="45"/>
      <c r="CH47" s="45"/>
      <c r="CI47" s="45"/>
      <c r="CJ47" s="45"/>
      <c r="CK47" s="561"/>
      <c r="CP47" s="561"/>
      <c r="CU47" s="561"/>
      <c r="CZ47" s="561"/>
      <c r="DE47" s="561"/>
      <c r="DF47" s="561">
        <f>IF(DU36=2,DF35*DN52,DF46/(DN44-DU37))</f>
        <v>1443.4173085285136</v>
      </c>
      <c r="DG47" s="120"/>
      <c r="DK47" s="541" t="s">
        <v>803</v>
      </c>
      <c r="DL47" s="491"/>
      <c r="DM47" s="491"/>
      <c r="DN47" s="643">
        <f>DN44</f>
        <v>7.0124999999999993E-2</v>
      </c>
      <c r="DO47" s="491"/>
      <c r="DP47" s="541" t="s">
        <v>785</v>
      </c>
      <c r="DQ47" s="491"/>
      <c r="DR47" s="491"/>
      <c r="DS47" s="491"/>
      <c r="DT47" s="491"/>
      <c r="DU47" s="551">
        <v>1000</v>
      </c>
      <c r="DV47" s="541"/>
      <c r="DW47" s="491"/>
      <c r="DX47" s="491"/>
      <c r="DZ47" s="541"/>
      <c r="EA47" s="541"/>
      <c r="EB47" s="541"/>
      <c r="EC47" s="541"/>
      <c r="ED47" s="541"/>
      <c r="EE47" s="541"/>
      <c r="EF47" s="541"/>
      <c r="EG47" s="541"/>
      <c r="EH47" s="541"/>
      <c r="EI47" s="541"/>
      <c r="EJ47" s="541"/>
      <c r="EK47" s="491"/>
      <c r="EL47" s="726"/>
      <c r="EM47" s="491"/>
      <c r="EN47" s="491"/>
      <c r="EO47" s="491"/>
      <c r="EP47" s="491"/>
      <c r="EQ47" s="491"/>
      <c r="ER47" s="491"/>
      <c r="ES47" s="491"/>
      <c r="ET47" s="491"/>
      <c r="EU47" s="491"/>
      <c r="EV47" s="491"/>
    </row>
    <row r="48" spans="3:153">
      <c r="BW48" s="45"/>
      <c r="BX48" s="45"/>
      <c r="BY48" s="45"/>
      <c r="BZ48" s="45"/>
      <c r="CB48" s="45"/>
      <c r="CC48" s="45"/>
      <c r="CD48" s="45"/>
      <c r="CE48" s="45"/>
      <c r="CG48" s="45"/>
      <c r="CH48" s="45"/>
      <c r="CI48" s="45"/>
      <c r="CJ48" s="45"/>
      <c r="DK48" s="541" t="s">
        <v>804</v>
      </c>
      <c r="DL48" s="491"/>
      <c r="DM48" s="491"/>
      <c r="DN48" s="741">
        <f>MAX(0,EI58/DF35)</f>
        <v>6.853244353301136</v>
      </c>
      <c r="DO48" s="491"/>
      <c r="DP48" s="541" t="s">
        <v>786</v>
      </c>
      <c r="DQ48" s="491"/>
      <c r="DR48" s="491"/>
      <c r="DS48" s="491"/>
      <c r="DT48" s="491"/>
      <c r="DU48" s="558">
        <f>-DN43*(DU47-(DU43*DU47)-(DN35*DU47*DN39))</f>
        <v>-75.068796626457569</v>
      </c>
      <c r="DV48" s="541"/>
      <c r="DW48" s="491"/>
      <c r="DX48" s="491"/>
      <c r="DZ48" s="541"/>
      <c r="EA48" s="541"/>
      <c r="EB48" s="541"/>
      <c r="EC48" s="541"/>
      <c r="ED48" s="541"/>
      <c r="EE48" s="541"/>
      <c r="EF48" s="541"/>
      <c r="EG48" s="541"/>
      <c r="EH48" s="541"/>
      <c r="EI48" s="541"/>
      <c r="EJ48" s="541"/>
      <c r="EK48" s="491"/>
      <c r="EL48" s="726"/>
      <c r="EM48" s="491"/>
      <c r="EN48" s="491"/>
      <c r="EO48" s="491"/>
      <c r="EP48" s="491"/>
      <c r="EQ48" s="491"/>
      <c r="ER48" s="491"/>
      <c r="ES48" s="491"/>
      <c r="ET48" s="491"/>
      <c r="EU48" s="491"/>
      <c r="EV48" s="491"/>
    </row>
    <row r="49" spans="72:158">
      <c r="BT49" t="s">
        <v>857</v>
      </c>
      <c r="BV49" s="743"/>
      <c r="BW49" s="45"/>
      <c r="BX49" s="45"/>
      <c r="BY49" s="45"/>
      <c r="BZ49" s="45"/>
      <c r="CA49" s="743">
        <f ca="1">(1/(1+$DN$44))^((CA33-$BT33)/365)</f>
        <v>1.2519224195996324</v>
      </c>
      <c r="CB49" s="45"/>
      <c r="CC49" s="45"/>
      <c r="CD49" s="45"/>
      <c r="CE49" s="45"/>
      <c r="CF49" s="743">
        <f ca="1">(1/(1+$DN$44))^((CF33-$BT33)/365)</f>
        <v>1.1698842841720662</v>
      </c>
      <c r="CG49" s="45"/>
      <c r="CH49" s="45"/>
      <c r="CI49" s="45"/>
      <c r="CJ49" s="45"/>
      <c r="CK49" s="743">
        <f ca="1">(1/(1+$DN$44))^((CK33-$BT33)/365)</f>
        <v>1.093019108018803</v>
      </c>
      <c r="CP49" s="743">
        <f ca="1">(1/(1+$DN$44))^((CP33-$BT33)/365)</f>
        <v>1.0213938633512933</v>
      </c>
      <c r="CU49" s="743">
        <f ca="1">(1/(1+$DN$44))^((CU33-$BT33)/365)</f>
        <v>0.95446220147299932</v>
      </c>
      <c r="CZ49" s="743">
        <f ca="1">(1/(1+$DN$44))^((CZ33-$BT33)/365)</f>
        <v>0.8919165531811698</v>
      </c>
      <c r="DE49" s="743">
        <f ca="1">(1/(1+$DN$44))^((DE33-$BT33)/365)</f>
        <v>0.83331475477954353</v>
      </c>
      <c r="DF49" s="743">
        <f ca="1">(1/(1+$DN$44))^((DF33-$BT33)/365)</f>
        <v>0.77870786569750594</v>
      </c>
      <c r="DK49" s="541" t="s">
        <v>779</v>
      </c>
      <c r="DL49" s="491"/>
      <c r="DM49" s="491"/>
      <c r="DN49" s="560">
        <f>DU44</f>
        <v>0.40357906374819991</v>
      </c>
      <c r="DO49" s="491"/>
      <c r="DP49" s="541" t="s">
        <v>787</v>
      </c>
      <c r="DQ49" s="491"/>
      <c r="DR49" s="491"/>
      <c r="DS49" s="491"/>
      <c r="DT49" s="491"/>
      <c r="DU49" s="558">
        <f>DU47+DU48-(DN35*DU47*DN39)-(DU44*DU47)</f>
        <v>221.35213962534249</v>
      </c>
      <c r="DV49" s="541"/>
      <c r="DW49" s="491"/>
      <c r="DX49" s="491"/>
      <c r="DZ49" s="541"/>
      <c r="EA49" s="541"/>
      <c r="EB49" s="541"/>
      <c r="EC49" s="541"/>
      <c r="ED49" s="541"/>
      <c r="EE49" s="541"/>
      <c r="EF49" s="541"/>
      <c r="EG49" s="541"/>
      <c r="EH49" s="541"/>
      <c r="EI49" s="541"/>
      <c r="EJ49" s="541"/>
      <c r="EK49" s="491"/>
      <c r="EL49" s="726"/>
      <c r="EM49" s="491"/>
      <c r="EN49" s="491"/>
      <c r="EO49" s="491"/>
      <c r="EP49" s="491"/>
      <c r="EQ49" s="491"/>
      <c r="ER49" s="491"/>
      <c r="ES49" s="491"/>
      <c r="ET49" s="491"/>
      <c r="EU49" s="491"/>
      <c r="EV49" s="491"/>
    </row>
    <row r="50" spans="72:158">
      <c r="BT50" t="s">
        <v>788</v>
      </c>
      <c r="BV50" s="561"/>
      <c r="BW50" s="45"/>
      <c r="BX50" s="45"/>
      <c r="BY50" s="45"/>
      <c r="BZ50" s="45"/>
      <c r="CA50" s="561">
        <f ca="1">+CA49*CA46</f>
        <v>864.74037289005412</v>
      </c>
      <c r="CB50" s="45"/>
      <c r="CC50" s="45"/>
      <c r="CD50" s="45"/>
      <c r="CE50" s="45"/>
      <c r="CF50" s="561">
        <f ca="1">+CF49*CF46</f>
        <v>787.92174492702281</v>
      </c>
      <c r="CG50" s="45"/>
      <c r="CH50" s="45"/>
      <c r="CI50" s="45"/>
      <c r="CJ50" s="45"/>
      <c r="CK50" s="561">
        <f ca="1">+CK49*(CK46+CK47)</f>
        <v>-1411.6287129107441</v>
      </c>
      <c r="CP50" s="561">
        <f ca="1">+CP49*(CP46+CP47)</f>
        <v>318.34906072319427</v>
      </c>
      <c r="CU50" s="561">
        <f ca="1">+CU49*(CU46+CU47)</f>
        <v>-304.71878418880891</v>
      </c>
      <c r="CZ50" s="561">
        <f ca="1">+CZ49*(CZ46+CZ47)</f>
        <v>-266.83054820740455</v>
      </c>
      <c r="DE50" s="561">
        <f ca="1">+DE49*(DE46+DE47)</f>
        <v>-241.57367750289416</v>
      </c>
      <c r="DF50" s="561">
        <f ca="1">+DF49*(DF46+DF47)</f>
        <v>1190.3298712960891</v>
      </c>
      <c r="DK50" s="541" t="s">
        <v>806</v>
      </c>
      <c r="DL50" s="491"/>
      <c r="DM50" s="491"/>
      <c r="DN50" s="730">
        <f>0.015</f>
        <v>1.4999999999999999E-2</v>
      </c>
      <c r="DO50" s="491"/>
      <c r="DP50" s="57" t="s">
        <v>885</v>
      </c>
      <c r="DQ50" s="58"/>
      <c r="DR50" s="58"/>
      <c r="DS50" s="58"/>
      <c r="DT50" s="68"/>
      <c r="DU50" s="736">
        <f>DU49/(DU47*(DU45-DN35))</f>
        <v>7.3784046541780834E-2</v>
      </c>
      <c r="DV50" s="541"/>
      <c r="DW50" s="491"/>
      <c r="DX50" s="491"/>
      <c r="DZ50" s="541"/>
      <c r="EA50" s="541"/>
      <c r="EB50" s="541"/>
      <c r="EC50" s="541"/>
      <c r="ED50" s="541"/>
      <c r="EE50" s="541"/>
      <c r="EF50" s="541"/>
      <c r="EG50" s="541"/>
      <c r="EH50" s="541"/>
      <c r="EI50" s="541"/>
      <c r="EJ50" s="541"/>
      <c r="EK50" s="491"/>
      <c r="EL50" s="726"/>
      <c r="EM50" s="491"/>
      <c r="EN50" s="491"/>
      <c r="EO50" s="491"/>
      <c r="EP50" s="491"/>
      <c r="EQ50" s="491"/>
      <c r="ER50" s="491"/>
      <c r="ES50" s="491"/>
      <c r="ET50" s="491"/>
      <c r="EU50" s="491"/>
      <c r="EV50" s="491"/>
    </row>
    <row r="51" spans="72:158">
      <c r="BW51" s="45"/>
      <c r="BX51" s="45"/>
      <c r="BY51" s="45"/>
      <c r="BZ51" s="45"/>
      <c r="CB51" s="45"/>
      <c r="CC51" s="45"/>
      <c r="CD51" s="45"/>
      <c r="CE51" s="45"/>
      <c r="CG51" s="45"/>
      <c r="CH51" s="45"/>
      <c r="CI51" s="45"/>
      <c r="CJ51" s="45"/>
      <c r="DK51" s="541" t="s">
        <v>807</v>
      </c>
      <c r="DL51" s="491"/>
      <c r="DM51" s="491"/>
      <c r="DN51" s="741">
        <f>DN35</f>
        <v>5</v>
      </c>
      <c r="DO51" s="491"/>
      <c r="DV51" s="541"/>
      <c r="DW51" s="491"/>
      <c r="DX51" s="491"/>
      <c r="DZ51" s="541"/>
      <c r="EA51" s="541"/>
      <c r="EB51" s="541"/>
      <c r="EC51" s="541"/>
      <c r="ED51" s="541"/>
      <c r="EE51" s="541"/>
      <c r="EF51" s="541"/>
      <c r="EG51" s="541"/>
      <c r="EH51" s="541"/>
      <c r="EI51" s="541"/>
      <c r="EJ51" s="541"/>
      <c r="EK51" s="491"/>
      <c r="EL51" s="726"/>
      <c r="EM51" s="491"/>
      <c r="EN51" s="491"/>
      <c r="EO51" s="491"/>
      <c r="EP51" s="491"/>
      <c r="EQ51" s="491"/>
      <c r="ER51" s="491"/>
      <c r="ES51" s="491"/>
      <c r="ET51" s="491"/>
      <c r="EU51" s="491"/>
      <c r="EV51" s="491"/>
    </row>
    <row r="52" spans="72:158">
      <c r="BT52" s="744" t="s">
        <v>800</v>
      </c>
      <c r="BU52" s="744"/>
      <c r="BV52" s="745"/>
      <c r="BW52" s="45"/>
      <c r="BX52" s="45"/>
      <c r="BY52" s="45"/>
      <c r="BZ52" s="45"/>
      <c r="CA52" s="745">
        <f ca="1">($BV$57)/CA35</f>
        <v>1.2252015957643068</v>
      </c>
      <c r="CB52" s="45"/>
      <c r="CC52" s="45"/>
      <c r="CD52" s="45"/>
      <c r="CE52" s="45"/>
      <c r="CF52" s="745">
        <f ca="1">($BV$57)/CF35</f>
        <v>1.2482028772867915</v>
      </c>
      <c r="CG52" s="45"/>
      <c r="CH52" s="45"/>
      <c r="CI52" s="45"/>
      <c r="CJ52" s="45"/>
      <c r="CK52" s="745">
        <f ca="1">($BV$57)/CK35</f>
        <v>-0.59509165162130528</v>
      </c>
      <c r="CP52" s="745">
        <f ca="1">($BV$57)/CP35</f>
        <v>2.5697348594489728</v>
      </c>
      <c r="CU52" s="745">
        <f ca="1">($BV$57)/CU35</f>
        <v>7.1301709704616263</v>
      </c>
      <c r="CZ52" s="745">
        <f ca="1">($BV$57)/CZ35</f>
        <v>7.8472075581326841</v>
      </c>
      <c r="DE52" s="745">
        <f ca="1">($BV$57)/DE35</f>
        <v>7.374981929062959</v>
      </c>
      <c r="DF52" s="745">
        <f ca="1">($BV$57)/DF35</f>
        <v>5.3666012042398208</v>
      </c>
      <c r="DK52" s="57" t="s">
        <v>808</v>
      </c>
      <c r="DL52" s="58"/>
      <c r="DM52" s="58"/>
      <c r="DN52" s="747">
        <f>DQ92</f>
        <v>7.7671067463184551</v>
      </c>
      <c r="DO52" s="491"/>
      <c r="DU52" s="491"/>
      <c r="DV52" s="541"/>
      <c r="DW52" s="491"/>
      <c r="DX52" s="491"/>
      <c r="DZ52" s="541"/>
      <c r="EA52" s="541"/>
      <c r="EB52" s="541"/>
      <c r="EC52" s="541"/>
      <c r="ED52" s="541"/>
      <c r="EE52" s="541"/>
      <c r="EF52" s="541"/>
      <c r="EG52" s="541"/>
      <c r="EH52" s="541"/>
      <c r="EI52" s="541"/>
      <c r="EJ52" s="541"/>
      <c r="EK52" s="491"/>
      <c r="EL52" s="726"/>
      <c r="EM52" s="491"/>
      <c r="EN52" s="491"/>
      <c r="EO52" s="491"/>
      <c r="EP52" s="491"/>
      <c r="EQ52" s="491"/>
      <c r="ER52" s="491"/>
      <c r="ES52" s="491"/>
      <c r="ET52" s="491"/>
      <c r="EU52" s="491"/>
      <c r="EV52" s="491"/>
    </row>
    <row r="53" spans="72:158">
      <c r="BT53" s="744" t="s">
        <v>802</v>
      </c>
      <c r="BU53" s="744"/>
      <c r="BV53" s="746"/>
      <c r="BW53" s="45"/>
      <c r="BX53" s="45"/>
      <c r="BY53" s="45"/>
      <c r="BZ53" s="45"/>
      <c r="CA53" s="746">
        <f ca="1">IF($BV$59&lt;=0,0,CA45/$BV$59)</f>
        <v>0.65615236031211444</v>
      </c>
      <c r="CB53" s="45"/>
      <c r="CC53" s="45"/>
      <c r="CD53" s="45"/>
      <c r="CE53" s="45"/>
      <c r="CF53" s="746">
        <f ca="1">IF($BV$59&lt;=0,0,CF45/$BV$59)</f>
        <v>0.64363273383423825</v>
      </c>
      <c r="CG53" s="45"/>
      <c r="CH53" s="45"/>
      <c r="CI53" s="45"/>
      <c r="CJ53" s="45"/>
      <c r="CK53" s="746">
        <f ca="1">IF($BV$59&lt;=0,0,CK45/$BV$59)</f>
        <v>-1.3233313370247735</v>
      </c>
      <c r="CP53" s="746">
        <f ca="1">IF($BV$59&lt;=0,0,CP45/$BV$59)</f>
        <v>0.29786603870547906</v>
      </c>
      <c r="CU53" s="746">
        <f ca="1">IF($BV$59&lt;=0,0,CU45/$BV$59)</f>
        <v>-0.33703104345417284</v>
      </c>
      <c r="CZ53" s="746">
        <f ca="1">IF($BV$59&lt;=0,0,CZ45/$BV$59)</f>
        <v>-0.31976981986063285</v>
      </c>
      <c r="DE53" s="746">
        <f ca="1">IF($BV$59&lt;=0,0,DE45/$BV$59)</f>
        <v>-0.3169968046688334</v>
      </c>
      <c r="DF53" s="746">
        <f ca="1">IF($BV$59&lt;=0,0,DF45/$BV$59)</f>
        <v>5.2364837631517232E-2</v>
      </c>
      <c r="DO53" s="491"/>
      <c r="DV53" s="541"/>
      <c r="DW53" s="491"/>
      <c r="DX53" s="491"/>
      <c r="DZ53" s="541"/>
      <c r="EA53" s="541"/>
      <c r="EB53" s="541"/>
      <c r="EC53" s="541"/>
      <c r="ED53" s="541"/>
      <c r="EE53" s="541"/>
      <c r="EF53" s="541"/>
      <c r="EG53" s="541"/>
      <c r="EH53" s="541"/>
      <c r="EI53" s="541"/>
      <c r="EJ53" s="541"/>
      <c r="EK53" s="491"/>
      <c r="EL53" s="726"/>
      <c r="EM53" s="491"/>
      <c r="EN53" s="491"/>
      <c r="EO53" s="491"/>
      <c r="EP53" s="491"/>
      <c r="EQ53" s="491"/>
      <c r="ER53" s="491"/>
      <c r="ES53" s="491"/>
      <c r="ET53" s="491"/>
      <c r="EU53" s="491"/>
      <c r="EV53" s="491"/>
    </row>
    <row r="54" spans="72:158">
      <c r="BW54" s="71"/>
      <c r="BX54" s="71"/>
      <c r="BY54" s="71"/>
      <c r="BZ54" s="71"/>
      <c r="CB54" s="71"/>
      <c r="CC54" s="71"/>
      <c r="CD54" s="71"/>
      <c r="CE54" s="71"/>
      <c r="CG54" s="45"/>
      <c r="CH54" s="45"/>
      <c r="CI54" s="45"/>
      <c r="CJ54" s="45"/>
      <c r="CL54" s="45"/>
      <c r="CM54" s="45"/>
      <c r="CN54" s="45"/>
      <c r="CO54" s="45"/>
      <c r="CQ54" s="45"/>
      <c r="CR54" s="45"/>
      <c r="CS54" s="45"/>
      <c r="CT54" s="45"/>
      <c r="CV54" s="45"/>
      <c r="CW54" s="45"/>
      <c r="CX54" s="45"/>
      <c r="CY54" s="45"/>
      <c r="DA54" s="45"/>
      <c r="DB54" s="45"/>
      <c r="DC54" s="45"/>
      <c r="DD54" s="45"/>
      <c r="DO54" s="491"/>
      <c r="DV54" s="541"/>
      <c r="DW54" s="491"/>
      <c r="DX54" s="491"/>
      <c r="DZ54" s="541"/>
      <c r="EA54" s="541"/>
      <c r="EB54" s="541"/>
      <c r="EC54" s="541"/>
      <c r="ED54" s="541"/>
      <c r="EE54" s="541"/>
      <c r="EF54" s="541"/>
      <c r="EG54" s="541"/>
      <c r="EH54" s="541"/>
      <c r="EI54" s="541"/>
      <c r="EJ54" s="541"/>
      <c r="EK54" s="491"/>
      <c r="EL54" s="726"/>
      <c r="EM54" s="491"/>
      <c r="EN54" s="491"/>
      <c r="EO54" s="491"/>
      <c r="EP54" s="491"/>
      <c r="EQ54" s="491"/>
      <c r="ER54" s="491"/>
      <c r="ES54" s="491"/>
      <c r="ET54" s="491"/>
      <c r="EU54" s="491"/>
      <c r="EV54" s="491"/>
    </row>
    <row r="55" spans="72:158">
      <c r="BT55" t="s">
        <v>805</v>
      </c>
      <c r="BV55" s="740">
        <f ca="1">SUM(CZ50:DF50)</f>
        <v>681.92564558579033</v>
      </c>
      <c r="BW55" s="71"/>
      <c r="BX55" s="71"/>
      <c r="BY55" s="71"/>
      <c r="BZ55" s="71"/>
      <c r="CB55" s="71"/>
      <c r="CC55" s="71"/>
      <c r="CD55" s="71"/>
      <c r="CE55" s="71"/>
      <c r="CG55" s="45"/>
      <c r="CH55" s="45"/>
      <c r="CI55" s="45"/>
      <c r="CJ55" s="45"/>
      <c r="CL55" s="45"/>
      <c r="CM55" s="45"/>
      <c r="CN55" s="45"/>
      <c r="CO55" s="45"/>
      <c r="CQ55" s="45"/>
      <c r="CR55" s="45"/>
      <c r="CS55" s="45"/>
      <c r="CT55" s="45"/>
      <c r="CV55" s="45"/>
      <c r="CW55" s="45"/>
      <c r="CX55" s="45"/>
      <c r="CY55" s="45"/>
      <c r="DA55" s="45"/>
      <c r="DB55" s="45"/>
      <c r="DC55" s="45"/>
      <c r="DD55" s="45"/>
      <c r="DO55" s="491"/>
      <c r="DT55" s="491"/>
      <c r="DV55" s="541"/>
      <c r="DW55" s="491"/>
      <c r="DX55" s="491"/>
      <c r="DZ55" s="541"/>
      <c r="EA55" s="541"/>
      <c r="EB55" s="541"/>
      <c r="EC55" s="541"/>
      <c r="ED55" s="541"/>
      <c r="EE55" s="541"/>
      <c r="EF55" s="541"/>
      <c r="EG55" s="541"/>
      <c r="EH55" s="541"/>
      <c r="EI55" s="541"/>
      <c r="EJ55" s="541"/>
      <c r="EK55" s="491"/>
      <c r="EL55" s="726"/>
      <c r="EM55" s="491"/>
      <c r="EN55" s="491"/>
      <c r="EO55" s="491"/>
      <c r="EP55" s="491"/>
      <c r="EQ55" s="491"/>
      <c r="ER55" s="491"/>
      <c r="ES55" s="491"/>
      <c r="ET55" s="491"/>
      <c r="EU55" s="491"/>
      <c r="EV55" s="491"/>
    </row>
    <row r="56" spans="72:158">
      <c r="BT56" s="1116" t="s">
        <v>1272</v>
      </c>
      <c r="BV56" s="564">
        <f>'Generation &amp; Marketing'!BY251+'Generation &amp; Marketing'!BY275</f>
        <v>315.38845336635529</v>
      </c>
      <c r="BW56" s="71"/>
      <c r="BX56" s="71"/>
      <c r="BY56" s="71"/>
      <c r="BZ56" s="71"/>
      <c r="CB56" s="71"/>
      <c r="CC56" s="71"/>
      <c r="CD56" s="71"/>
      <c r="CE56" s="71"/>
      <c r="CG56" s="45"/>
      <c r="CH56" s="45"/>
      <c r="CI56" s="45"/>
      <c r="CJ56" s="45"/>
      <c r="CK56" s="561"/>
      <c r="CL56" s="45"/>
      <c r="CM56" s="45"/>
      <c r="CN56" s="45"/>
      <c r="CO56" s="45"/>
      <c r="CQ56" s="45"/>
      <c r="CR56" s="45"/>
      <c r="CS56" s="45"/>
      <c r="CT56" s="45"/>
      <c r="CV56" s="45"/>
      <c r="CW56" s="45"/>
      <c r="CX56" s="45"/>
      <c r="CY56" s="45"/>
      <c r="DA56" s="45"/>
      <c r="DB56" s="45"/>
      <c r="DC56" s="45"/>
      <c r="DD56" s="45"/>
      <c r="DO56" s="491"/>
      <c r="DT56" s="491"/>
      <c r="DV56" s="541"/>
      <c r="DW56" s="491"/>
      <c r="DX56" s="491"/>
      <c r="DZ56" s="541"/>
      <c r="EA56" s="541"/>
      <c r="EB56" s="541"/>
      <c r="EC56" s="541"/>
      <c r="ED56" s="541"/>
      <c r="EE56" s="541"/>
      <c r="EF56" s="541"/>
      <c r="EG56" s="541"/>
      <c r="EH56" s="541"/>
      <c r="EI56" s="541"/>
      <c r="EJ56" s="541"/>
      <c r="EK56" s="491"/>
      <c r="EL56" s="726"/>
      <c r="EM56" s="491"/>
      <c r="EN56" s="491"/>
      <c r="EO56" s="491"/>
      <c r="EP56" s="491"/>
      <c r="EQ56" s="491"/>
      <c r="ER56" s="491"/>
      <c r="ES56" s="491"/>
      <c r="ET56" s="491"/>
      <c r="EU56" s="491"/>
      <c r="EV56" s="491"/>
    </row>
    <row r="57" spans="72:158">
      <c r="BT57" s="56" t="s">
        <v>925</v>
      </c>
      <c r="BV57" s="120">
        <f ca="1">+BV55+BV56</f>
        <v>997.31409895214563</v>
      </c>
      <c r="CG57" s="45"/>
      <c r="CH57" s="45"/>
      <c r="CI57" s="45"/>
      <c r="CJ57" s="45"/>
      <c r="CL57" s="45"/>
      <c r="CM57" s="45"/>
      <c r="CN57" s="45"/>
      <c r="CO57" s="45"/>
      <c r="CQ57" s="45"/>
      <c r="CR57" s="45"/>
      <c r="CS57" s="45"/>
      <c r="CT57" s="45"/>
      <c r="CV57" s="45"/>
      <c r="CW57" s="45"/>
      <c r="CX57" s="45"/>
      <c r="CY57" s="45"/>
      <c r="DA57" s="45"/>
      <c r="DB57" s="45"/>
      <c r="DC57" s="45"/>
      <c r="DD57" s="45"/>
      <c r="DO57" s="491"/>
      <c r="DT57" s="491"/>
      <c r="DV57" s="541"/>
      <c r="DW57" s="491"/>
      <c r="DX57" s="1483">
        <v>2010</v>
      </c>
      <c r="DY57" s="1483">
        <v>2011</v>
      </c>
      <c r="DZ57" s="1483">
        <v>2012</v>
      </c>
      <c r="EA57" s="1483">
        <v>2013</v>
      </c>
      <c r="EB57" s="1483">
        <v>2014</v>
      </c>
      <c r="EC57" s="1483">
        <v>2015</v>
      </c>
      <c r="ED57" s="1483">
        <v>2016</v>
      </c>
      <c r="EE57" s="1483">
        <v>2017</v>
      </c>
      <c r="EF57" s="1483">
        <v>2018</v>
      </c>
      <c r="EG57" s="1483">
        <v>2019</v>
      </c>
      <c r="EH57" s="1483">
        <v>2020</v>
      </c>
      <c r="EI57" s="1483">
        <v>2021</v>
      </c>
      <c r="EJ57" s="541"/>
      <c r="EK57" s="491"/>
      <c r="EL57" s="726"/>
      <c r="EM57" s="491"/>
      <c r="EN57" s="491"/>
      <c r="EO57" s="491"/>
      <c r="EP57" s="491"/>
      <c r="EQ57" s="491"/>
      <c r="ER57" s="491"/>
      <c r="ES57" s="491"/>
      <c r="ET57" s="491"/>
      <c r="EU57" s="491"/>
      <c r="EV57" s="491"/>
    </row>
    <row r="58" spans="72:158">
      <c r="BT58" t="s">
        <v>373</v>
      </c>
      <c r="BV58" s="558">
        <v>0</v>
      </c>
      <c r="CG58" s="45"/>
      <c r="CH58" s="45"/>
      <c r="CI58" s="45"/>
      <c r="CJ58" s="45"/>
      <c r="CL58" s="45"/>
      <c r="CM58" s="45"/>
      <c r="CN58" s="45"/>
      <c r="CO58" s="45"/>
      <c r="CQ58" s="45"/>
      <c r="CR58" s="45"/>
      <c r="CS58" s="45"/>
      <c r="CT58" s="45"/>
      <c r="CV58" s="45"/>
      <c r="CW58" s="45"/>
      <c r="CX58" s="45"/>
      <c r="CY58" s="45"/>
      <c r="DA58" s="45"/>
      <c r="DB58" s="45"/>
      <c r="DC58" s="45"/>
      <c r="DD58" s="45"/>
      <c r="DF58" s="561"/>
      <c r="DH58" s="561"/>
      <c r="DO58" s="491"/>
      <c r="DV58" s="541"/>
      <c r="DW58" s="491"/>
      <c r="DX58" s="550">
        <f>(6000-(2000/0.37))</f>
        <v>594.59459459459413</v>
      </c>
      <c r="DY58" s="246">
        <f>DX58-'Generation &amp; Marketing'!S316+'Generation &amp; Marketing'!S323</f>
        <v>594.59459459459413</v>
      </c>
      <c r="DZ58" s="246">
        <f>DY58-'Generation &amp; Marketing'!X316+'Generation &amp; Marketing'!X323</f>
        <v>494.59459459459413</v>
      </c>
      <c r="EA58" s="246">
        <f>DZ58-'Generation &amp; Marketing'!AC316+'Generation &amp; Marketing'!AC323</f>
        <v>443.59459459459413</v>
      </c>
      <c r="EB58" s="246">
        <f>EA58-'Generation &amp; Marketing'!AH316+'Generation &amp; Marketing'!AH323</f>
        <v>381.59459459459413</v>
      </c>
      <c r="EC58" s="246">
        <f>EB58-'Generation &amp; Marketing'!AM316+'Generation &amp; Marketing'!AM323</f>
        <v>314.4945945945941</v>
      </c>
      <c r="ED58" s="796">
        <f>EC58-'Generation &amp; Marketing'!AR316+'Generation &amp; Marketing'!AR320+'Generation &amp; Marketing'!AR322</f>
        <v>159.89459459459411</v>
      </c>
      <c r="EE58" s="796">
        <f>ED58-'Generation &amp; Marketing'!AW316+'Generation &amp; Marketing'!AW320+'Generation &amp; Marketing'!AW322</f>
        <v>135.69459459459412</v>
      </c>
      <c r="EF58" s="796">
        <f>EE58-'Generation &amp; Marketing'!BB316+'Generation &amp; Marketing'!BB320+'Generation &amp; Marketing'!BB322</f>
        <v>542.58938959892748</v>
      </c>
      <c r="EG58" s="796">
        <f>EF58-'Generation &amp; Marketing'!BG316+'Generation &amp; Marketing'!BG320+'Generation &amp; Marketing'!BG322</f>
        <v>909.18175619561509</v>
      </c>
      <c r="EH58" s="796">
        <f>EG58-'Generation &amp; Marketing'!BL316+'Generation &amp; Marketing'!BL320+'Generation &amp; Marketing'!BL322</f>
        <v>1262.2424153420748</v>
      </c>
      <c r="EI58" s="796">
        <f>EH58-'Generation &amp; Marketing'!BQ316+'Generation &amp; Marketing'!BQ320+'Generation &amp; Marketing'!BQ322</f>
        <v>1273.5876874383025</v>
      </c>
      <c r="EJ58" s="541"/>
      <c r="EK58" s="491"/>
      <c r="EL58" s="726"/>
      <c r="EM58" s="491"/>
      <c r="EN58" s="491"/>
      <c r="EO58" s="491"/>
      <c r="EP58" s="491"/>
      <c r="EQ58" s="491"/>
      <c r="ER58" s="491"/>
      <c r="ES58" s="491"/>
      <c r="ET58" s="491"/>
      <c r="EU58" s="491"/>
      <c r="EV58" s="491"/>
    </row>
    <row r="59" spans="72:158">
      <c r="BT59" s="56" t="s">
        <v>809</v>
      </c>
      <c r="BV59" s="112">
        <f ca="1">BV57-BV58</f>
        <v>997.31409895214563</v>
      </c>
      <c r="CA59" s="1107"/>
      <c r="CG59" s="45"/>
      <c r="CH59" s="45"/>
      <c r="CI59" s="45"/>
      <c r="CJ59" s="45"/>
      <c r="CL59" s="45"/>
      <c r="CM59" s="45"/>
      <c r="CN59" s="45"/>
      <c r="CO59" s="45"/>
      <c r="CQ59" s="45"/>
      <c r="CR59" s="45"/>
      <c r="CS59" s="45"/>
      <c r="CT59" s="45"/>
      <c r="CV59" s="45"/>
      <c r="CW59" s="45"/>
      <c r="CX59" s="45"/>
      <c r="CY59" s="45"/>
      <c r="DA59" s="45"/>
      <c r="DB59" s="45"/>
      <c r="DC59" s="45"/>
      <c r="DD59" s="45"/>
      <c r="DO59" s="491"/>
      <c r="DP59" s="491"/>
      <c r="DQ59" s="491"/>
      <c r="DR59" s="491"/>
      <c r="DS59" s="491"/>
      <c r="DT59" s="491"/>
      <c r="DU59" s="491"/>
      <c r="DV59" s="541"/>
      <c r="DW59" s="491"/>
      <c r="DX59" s="491"/>
      <c r="DZ59" s="541"/>
      <c r="EA59" s="541"/>
      <c r="EB59" s="541"/>
      <c r="EC59" s="541"/>
      <c r="ED59" s="541"/>
      <c r="EE59" s="541"/>
      <c r="EF59" s="541"/>
      <c r="EG59" s="541"/>
      <c r="EH59" s="541"/>
      <c r="EI59" s="541"/>
      <c r="EJ59" s="541"/>
      <c r="EK59" s="491"/>
      <c r="EL59" s="726"/>
      <c r="EM59" s="491"/>
      <c r="EN59" s="491"/>
      <c r="EO59" s="491"/>
      <c r="EP59" s="491"/>
      <c r="EQ59" s="491"/>
      <c r="ER59" s="491"/>
      <c r="ES59" s="491"/>
      <c r="ET59" s="491"/>
      <c r="EU59" s="491"/>
      <c r="EV59" s="491"/>
    </row>
    <row r="60" spans="72:158">
      <c r="CG60" s="45"/>
      <c r="CH60" s="45"/>
      <c r="CI60" s="45"/>
      <c r="CJ60" s="45"/>
      <c r="CL60" s="45"/>
      <c r="CM60" s="45"/>
      <c r="CN60" s="45"/>
      <c r="CO60" s="45"/>
      <c r="CQ60" s="45"/>
      <c r="CR60" s="45"/>
      <c r="CS60" s="45"/>
      <c r="CT60" s="45"/>
      <c r="CV60" s="45"/>
      <c r="CW60" s="45"/>
      <c r="CX60" s="45"/>
      <c r="CY60" s="45"/>
      <c r="DA60" s="45"/>
      <c r="DB60" s="45"/>
      <c r="DC60" s="45"/>
      <c r="DD60" s="45"/>
      <c r="DO60" s="562"/>
      <c r="DP60" s="491"/>
      <c r="DQ60" s="491"/>
      <c r="DR60" s="491"/>
      <c r="DS60" s="491"/>
      <c r="DT60" s="491"/>
      <c r="DU60" s="491"/>
      <c r="DV60" s="541"/>
      <c r="DW60" s="491"/>
      <c r="DX60" s="491"/>
      <c r="DZ60" s="541"/>
      <c r="EA60" s="541"/>
      <c r="EB60" s="541"/>
      <c r="EC60" s="541"/>
      <c r="ED60" s="541"/>
      <c r="EE60" s="541"/>
      <c r="EF60" s="541"/>
      <c r="EG60" s="541"/>
      <c r="EH60" s="541"/>
      <c r="EI60" s="541"/>
      <c r="EJ60" s="541"/>
      <c r="EK60" s="491"/>
      <c r="EL60" s="726"/>
      <c r="EM60" s="491"/>
      <c r="EN60" s="491"/>
      <c r="EO60" s="491"/>
      <c r="EP60" s="491"/>
      <c r="EQ60" s="491"/>
    </row>
    <row r="61" spans="72:158">
      <c r="BT61" s="56" t="s">
        <v>810</v>
      </c>
      <c r="BV61" s="85">
        <f ca="1">BV59/Financials!AW35</f>
        <v>2.0270381129934738</v>
      </c>
      <c r="CF61" s="82"/>
      <c r="CG61" s="45"/>
      <c r="CH61" s="45"/>
      <c r="CI61" s="45"/>
      <c r="CJ61" s="45"/>
      <c r="CL61" s="45"/>
      <c r="CM61" s="45"/>
      <c r="CN61" s="45"/>
      <c r="CO61" s="45"/>
      <c r="CQ61" s="45"/>
      <c r="CR61" s="45"/>
      <c r="CS61" s="45"/>
      <c r="CT61" s="45"/>
      <c r="CV61" s="45"/>
      <c r="CW61" s="45"/>
      <c r="CX61" s="45"/>
      <c r="CY61" s="45"/>
      <c r="DA61" s="45"/>
      <c r="DB61" s="45"/>
      <c r="DC61" s="45"/>
      <c r="DD61" s="45"/>
      <c r="DK61" s="56" t="s">
        <v>302</v>
      </c>
      <c r="DL61" s="56"/>
      <c r="DM61" s="563" t="s">
        <v>4</v>
      </c>
      <c r="DN61" s="56" t="s">
        <v>811</v>
      </c>
      <c r="DO61" s="56" t="s">
        <v>812</v>
      </c>
      <c r="DP61" s="563" t="s">
        <v>813</v>
      </c>
      <c r="DQ61" s="56" t="s">
        <v>814</v>
      </c>
      <c r="DR61" s="56"/>
      <c r="DS61" s="56" t="s">
        <v>815</v>
      </c>
      <c r="DT61" s="56" t="s">
        <v>79</v>
      </c>
      <c r="DU61" s="56" t="s">
        <v>816</v>
      </c>
      <c r="EQ61" s="491"/>
    </row>
    <row r="62" spans="72:158">
      <c r="BT62" t="s">
        <v>126</v>
      </c>
      <c r="BV62" s="1033">
        <f ca="1">+BV57/'Generation &amp; Marketing'!AM178*1000</f>
        <v>112.20905703782016</v>
      </c>
      <c r="CF62" s="72"/>
      <c r="CG62" s="45"/>
      <c r="CH62" s="45"/>
      <c r="CI62" s="45"/>
      <c r="CJ62" s="45"/>
      <c r="CL62" s="45"/>
      <c r="CM62" s="45"/>
      <c r="CN62" s="45"/>
      <c r="CO62" s="45"/>
      <c r="CQ62" s="45"/>
      <c r="CR62" s="45"/>
      <c r="CS62" s="45"/>
      <c r="CT62" s="45"/>
      <c r="CV62" s="45"/>
      <c r="CW62" s="45"/>
      <c r="CX62" s="45"/>
      <c r="CY62" s="45"/>
      <c r="DA62" s="45"/>
      <c r="DB62" s="45"/>
      <c r="DC62" s="45"/>
      <c r="DD62" s="45"/>
      <c r="DK62">
        <v>1</v>
      </c>
      <c r="DM62" s="748">
        <f>1</f>
        <v>1</v>
      </c>
      <c r="DN62" s="67">
        <f>-$DN$43*(DM62-($DN$35*$DN$39)-EP63)</f>
        <v>-3.3809097552856701E-2</v>
      </c>
      <c r="DO62" s="67">
        <f>DN49*DM62*-1</f>
        <v>-0.40357906374819991</v>
      </c>
      <c r="DP62" s="67">
        <f>DM62+DN62+DO62</f>
        <v>0.56261183869894338</v>
      </c>
      <c r="DQ62" s="67">
        <f t="shared" ref="DQ62:DQ70" si="2">DP62/(1+$DN$47)^DK62</f>
        <v>0.52574403803195269</v>
      </c>
      <c r="DS62" s="749">
        <v>3.7499999999999999E-2</v>
      </c>
      <c r="DT62">
        <f>$DN$48*$DM$62*DS62</f>
        <v>0.25699666324879261</v>
      </c>
      <c r="DU62" s="67">
        <f>$DN$49*$DM$62*DS62</f>
        <v>1.5134214890557496E-2</v>
      </c>
    </row>
    <row r="63" spans="72:158">
      <c r="DK63">
        <f t="shared" ref="DK63:DK91" si="3">DK62+1</f>
        <v>2</v>
      </c>
      <c r="DM63" s="748">
        <f t="shared" ref="DM63:DM91" si="4">DM62*(1+$DN$50)</f>
        <v>1.0149999999999999</v>
      </c>
      <c r="DN63" s="67">
        <f t="shared" ref="DN63:DN91" si="5">-$DN$43*(DM63-($DN$35*$DN$39)-EP64)</f>
        <v>-3.9100595717625912E-2</v>
      </c>
      <c r="DO63" s="67">
        <f t="shared" ref="DO63:DO91" si="6">DO62</f>
        <v>-0.40357906374819991</v>
      </c>
      <c r="DP63" s="67">
        <f t="shared" ref="DP63:DP91" si="7">DM63+DN63+DO63</f>
        <v>0.57232034053417413</v>
      </c>
      <c r="DQ63" s="67">
        <f t="shared" si="2"/>
        <v>0.49976997489473657</v>
      </c>
      <c r="DS63" s="749">
        <v>7.2190000000000004E-2</v>
      </c>
      <c r="DT63">
        <f t="shared" ref="DT63:DT82" si="8">$DN$48*$DM$62*DS63</f>
        <v>0.49473570986480903</v>
      </c>
      <c r="DU63" s="67">
        <f t="shared" ref="DU63:DU82" si="9">$DN$49*$DM$62*DS63</f>
        <v>2.9134372611982554E-2</v>
      </c>
      <c r="DV63" s="67">
        <f t="shared" ref="DV63:DV82" si="10">DU62</f>
        <v>1.5134214890557496E-2</v>
      </c>
      <c r="EP63" s="748">
        <f t="shared" ref="EP63:EP82" si="11">SUM(DT63:EO63)</f>
        <v>0.53900429736734901</v>
      </c>
    </row>
    <row r="64" spans="72:158">
      <c r="DG64" s="561"/>
      <c r="DH64" s="561"/>
      <c r="DK64">
        <f t="shared" si="3"/>
        <v>3</v>
      </c>
      <c r="DM64" s="748">
        <f t="shared" si="4"/>
        <v>1.0302249999999997</v>
      </c>
      <c r="DN64" s="67">
        <f t="shared" si="5"/>
        <v>-4.4258645747369506E-2</v>
      </c>
      <c r="DO64" s="67">
        <f t="shared" si="6"/>
        <v>-0.40357906374819991</v>
      </c>
      <c r="DP64" s="67">
        <f t="shared" si="7"/>
        <v>0.58238729050443028</v>
      </c>
      <c r="DQ64" s="67">
        <f t="shared" si="2"/>
        <v>0.47523493500929376</v>
      </c>
      <c r="DS64" s="749">
        <v>6.6769999999999996E-2</v>
      </c>
      <c r="DT64">
        <f t="shared" si="8"/>
        <v>0.45759112546991682</v>
      </c>
      <c r="DU64" s="67">
        <f t="shared" si="9"/>
        <v>2.6946974086467308E-2</v>
      </c>
      <c r="DV64" s="67">
        <f t="shared" si="10"/>
        <v>2.9134372611982554E-2</v>
      </c>
      <c r="DW64" s="67">
        <f t="shared" ref="DW64:DW82" si="12">DV63</f>
        <v>1.5134214890557496E-2</v>
      </c>
      <c r="EP64" s="748">
        <f t="shared" si="11"/>
        <v>0.52880668705892409</v>
      </c>
      <c r="EY64" s="541"/>
      <c r="EZ64" s="541"/>
      <c r="FA64" s="541"/>
      <c r="FB64" s="541"/>
    </row>
    <row r="65" spans="71:158">
      <c r="BS65" s="46" t="s">
        <v>817</v>
      </c>
      <c r="BT65" s="46"/>
      <c r="BU65" s="47"/>
      <c r="BV65" s="48"/>
      <c r="BW65" s="48"/>
      <c r="BX65" s="48"/>
      <c r="BY65" s="48"/>
      <c r="BZ65" s="48"/>
      <c r="CA65" s="48" t="s">
        <v>1061</v>
      </c>
      <c r="CB65" s="45"/>
      <c r="CC65" s="45"/>
      <c r="CD65" s="45"/>
      <c r="CE65" s="45"/>
      <c r="CF65" s="48" t="s">
        <v>1124</v>
      </c>
      <c r="CG65" s="45"/>
      <c r="CH65" s="45"/>
      <c r="CI65" s="45"/>
      <c r="CJ65" s="45"/>
      <c r="CK65" s="48" t="s">
        <v>1292</v>
      </c>
      <c r="CP65" s="48" t="s">
        <v>1353</v>
      </c>
      <c r="CU65" s="48" t="s">
        <v>73</v>
      </c>
      <c r="CZ65" s="48" t="s">
        <v>1065</v>
      </c>
      <c r="DE65" s="48" t="s">
        <v>1066</v>
      </c>
      <c r="DF65" s="48">
        <v>2021</v>
      </c>
      <c r="DK65">
        <f t="shared" si="3"/>
        <v>4</v>
      </c>
      <c r="DM65" s="748">
        <f t="shared" si="4"/>
        <v>1.0456783749999996</v>
      </c>
      <c r="DN65" s="67">
        <f t="shared" si="5"/>
        <v>-4.9339796693719858E-2</v>
      </c>
      <c r="DO65" s="67">
        <f t="shared" si="6"/>
        <v>-0.40357906374819991</v>
      </c>
      <c r="DP65" s="67">
        <f t="shared" si="7"/>
        <v>0.59275951455807974</v>
      </c>
      <c r="DQ65" s="67">
        <f t="shared" si="2"/>
        <v>0.45200214258247229</v>
      </c>
      <c r="DS65" s="749">
        <v>6.1769999999999999E-2</v>
      </c>
      <c r="DT65">
        <f t="shared" si="8"/>
        <v>0.42332490370341114</v>
      </c>
      <c r="DU65" s="67">
        <f t="shared" si="9"/>
        <v>2.4929078767726306E-2</v>
      </c>
      <c r="DV65" s="67">
        <f t="shared" si="10"/>
        <v>2.6946974086467308E-2</v>
      </c>
      <c r="DW65" s="67">
        <f t="shared" si="12"/>
        <v>2.9134372611982554E-2</v>
      </c>
      <c r="DX65" s="67">
        <f t="shared" ref="DX65:DX82" si="13">DW64</f>
        <v>1.5134214890557496E-2</v>
      </c>
      <c r="EP65" s="748">
        <f t="shared" si="11"/>
        <v>0.51946954406014489</v>
      </c>
      <c r="EY65" s="491"/>
      <c r="EZ65" s="491"/>
      <c r="FA65" s="491"/>
      <c r="FB65" s="491"/>
    </row>
    <row r="66" spans="71:158">
      <c r="BT66" t="s">
        <v>371</v>
      </c>
      <c r="BW66" s="79"/>
      <c r="BX66" s="79"/>
      <c r="BY66" s="79"/>
      <c r="BZ66" s="79"/>
      <c r="CA66" s="246">
        <f>+CA35</f>
        <v>814</v>
      </c>
      <c r="CB66" s="45"/>
      <c r="CC66" s="45"/>
      <c r="CD66" s="45"/>
      <c r="CE66" s="45"/>
      <c r="CF66" s="246">
        <f>+CF35</f>
        <v>798.99999999999943</v>
      </c>
      <c r="CG66" s="45"/>
      <c r="CH66" s="45"/>
      <c r="CI66" s="45"/>
      <c r="CJ66" s="45"/>
      <c r="CK66" s="246">
        <f>+CK35</f>
        <v>-1675.9</v>
      </c>
      <c r="CP66" s="246">
        <f>+CP35</f>
        <v>388.09999999999974</v>
      </c>
      <c r="CU66" s="246">
        <f>+CU35</f>
        <v>139.8723961997193</v>
      </c>
      <c r="CZ66" s="246">
        <f>+CZ35</f>
        <v>127.09159169857179</v>
      </c>
      <c r="DE66" s="246">
        <f>+DE35</f>
        <v>135.22936171843082</v>
      </c>
      <c r="DF66" s="246">
        <f>+DF35</f>
        <v>185.83719210665947</v>
      </c>
      <c r="DK66">
        <f t="shared" si="3"/>
        <v>5</v>
      </c>
      <c r="DM66" s="748">
        <f t="shared" si="4"/>
        <v>1.0613635506249994</v>
      </c>
      <c r="DN66" s="67">
        <f t="shared" si="5"/>
        <v>-5.4314257360707482E-2</v>
      </c>
      <c r="DO66" s="67">
        <f t="shared" si="6"/>
        <v>-0.40357906374819991</v>
      </c>
      <c r="DP66" s="67">
        <f t="shared" si="7"/>
        <v>0.60347022951609208</v>
      </c>
      <c r="DQ66" s="67">
        <f t="shared" si="2"/>
        <v>0.43001469787227942</v>
      </c>
      <c r="DS66" s="749">
        <v>5.713E-2</v>
      </c>
      <c r="DT66">
        <f t="shared" si="8"/>
        <v>0.39152584990409389</v>
      </c>
      <c r="DU66" s="67">
        <f t="shared" si="9"/>
        <v>2.3056471911934662E-2</v>
      </c>
      <c r="DV66" s="67">
        <f t="shared" si="10"/>
        <v>2.4929078767726306E-2</v>
      </c>
      <c r="DW66" s="67">
        <f t="shared" si="12"/>
        <v>2.6946974086467308E-2</v>
      </c>
      <c r="DX66" s="67">
        <f t="shared" si="13"/>
        <v>2.9134372611982554E-2</v>
      </c>
      <c r="DY66" s="67">
        <f t="shared" ref="DY66:DY82" si="14">DX65</f>
        <v>1.5134214890557496E-2</v>
      </c>
      <c r="EP66" s="748">
        <f t="shared" si="11"/>
        <v>0.51072696217276214</v>
      </c>
      <c r="EY66" s="491"/>
      <c r="EZ66" s="491"/>
      <c r="FA66" s="491"/>
      <c r="FB66" s="491"/>
    </row>
    <row r="67" spans="71:158">
      <c r="BT67" t="s">
        <v>818</v>
      </c>
      <c r="BW67" s="65"/>
      <c r="BX67" s="65"/>
      <c r="BY67" s="65"/>
      <c r="BZ67" s="65"/>
      <c r="CA67" s="561">
        <f>SUM('Generation &amp; Marketing'!AH150:'Generation &amp; Marketing'!AH151)</f>
        <v>584.40579350217808</v>
      </c>
      <c r="CB67" s="45"/>
      <c r="CC67" s="45"/>
      <c r="CD67" s="45"/>
      <c r="CE67" s="45"/>
      <c r="CF67" s="561">
        <f>SUM('Generation &amp; Marketing'!AM150:'Generation &amp; Marketing'!AM151)</f>
        <v>1418.6902194876141</v>
      </c>
      <c r="CG67" s="45"/>
      <c r="CH67" s="45"/>
      <c r="CI67" s="45"/>
      <c r="CJ67" s="45"/>
      <c r="CK67" s="561">
        <f>SUM('Generation &amp; Marketing'!AR150:'Generation &amp; Marketing'!AR151)</f>
        <v>1308.5120797048451</v>
      </c>
      <c r="CP67" s="561">
        <f>SUM('Generation &amp; Marketing'!AW150:'Generation &amp; Marketing'!AW151)</f>
        <v>974.10061801484017</v>
      </c>
      <c r="CU67" s="561">
        <f>SUM('Generation &amp; Marketing'!BB150:'Generation &amp; Marketing'!BB151)</f>
        <v>1016.7582275312508</v>
      </c>
      <c r="CZ67" s="561">
        <f>SUM('Generation &amp; Marketing'!BG150:'Generation &amp; Marketing'!BG151)</f>
        <v>914.30806755619574</v>
      </c>
      <c r="DE67" s="561">
        <f>SUM('Generation &amp; Marketing'!BL150:'Generation &amp; Marketing'!BL151)</f>
        <v>899.16497736520591</v>
      </c>
      <c r="DF67" s="561">
        <f>SUM('Generation &amp; Marketing'!BQ150:'Generation &amp; Marketing'!BQ151)</f>
        <v>929.8071813197248</v>
      </c>
      <c r="DK67">
        <f t="shared" si="3"/>
        <v>6</v>
      </c>
      <c r="DM67" s="748">
        <f t="shared" si="4"/>
        <v>1.0772840038843743</v>
      </c>
      <c r="DN67" s="67">
        <f t="shared" si="5"/>
        <v>-5.9350358622367247E-2</v>
      </c>
      <c r="DO67" s="67">
        <f t="shared" si="6"/>
        <v>-0.40357906374819991</v>
      </c>
      <c r="DP67" s="67">
        <f t="shared" si="7"/>
        <v>0.61435458151380717</v>
      </c>
      <c r="DQ67" s="67">
        <f t="shared" si="2"/>
        <v>0.40908357347779739</v>
      </c>
      <c r="DS67" s="749">
        <v>5.2850000000000001E-2</v>
      </c>
      <c r="DT67">
        <f t="shared" si="8"/>
        <v>0.36219396407196502</v>
      </c>
      <c r="DU67" s="67">
        <f t="shared" si="9"/>
        <v>2.1329153519092366E-2</v>
      </c>
      <c r="DV67" s="67">
        <f t="shared" si="10"/>
        <v>2.3056471911934662E-2</v>
      </c>
      <c r="DW67" s="67">
        <f t="shared" si="12"/>
        <v>2.4929078767726306E-2</v>
      </c>
      <c r="DX67" s="67">
        <f t="shared" si="13"/>
        <v>2.6946974086467308E-2</v>
      </c>
      <c r="DY67" s="67">
        <f t="shared" si="14"/>
        <v>2.9134372611982554E-2</v>
      </c>
      <c r="DZ67" s="67">
        <f t="shared" ref="DZ67:DZ82" si="15">DY66</f>
        <v>1.5134214890557496E-2</v>
      </c>
      <c r="EP67" s="748">
        <f t="shared" si="11"/>
        <v>0.50272422985972565</v>
      </c>
      <c r="EY67" s="491"/>
      <c r="EZ67" s="491"/>
      <c r="FA67" s="491"/>
      <c r="FB67" s="491"/>
    </row>
    <row r="68" spans="71:158">
      <c r="BT68" s="56" t="s">
        <v>819</v>
      </c>
      <c r="BU68" s="56"/>
      <c r="BV68" s="56"/>
      <c r="BW68" s="82"/>
      <c r="BX68" s="82"/>
      <c r="BY68" s="82"/>
      <c r="BZ68" s="82"/>
      <c r="CA68" s="120">
        <f>+CA66-CA67</f>
        <v>229.59420649782192</v>
      </c>
      <c r="CB68" s="45"/>
      <c r="CC68" s="45"/>
      <c r="CD68" s="45"/>
      <c r="CE68" s="45"/>
      <c r="CF68" s="120">
        <f>+CF66-CF67</f>
        <v>-619.69021948761463</v>
      </c>
      <c r="CG68" s="45"/>
      <c r="CH68" s="45"/>
      <c r="CI68" s="45"/>
      <c r="CJ68" s="45"/>
      <c r="CK68" s="120">
        <f>+CK66-CK67</f>
        <v>-2984.4120797048454</v>
      </c>
      <c r="CP68" s="120">
        <f>+CP66-CP67</f>
        <v>-586.00061801484048</v>
      </c>
      <c r="CU68" s="120">
        <f>+CU66-CU67</f>
        <v>-876.88583133153145</v>
      </c>
      <c r="CZ68" s="120">
        <f>+CZ66-CZ67</f>
        <v>-787.21647585762389</v>
      </c>
      <c r="DE68" s="120">
        <f>+DE66-DE67</f>
        <v>-763.93561564677509</v>
      </c>
      <c r="DF68" s="120">
        <f>+DF66-DF67</f>
        <v>-743.96998921306533</v>
      </c>
      <c r="DK68">
        <f t="shared" si="3"/>
        <v>7</v>
      </c>
      <c r="DM68" s="748">
        <f t="shared" si="4"/>
        <v>1.0934432639426397</v>
      </c>
      <c r="DN68" s="67">
        <f t="shared" si="5"/>
        <v>-6.4063604834249124E-2</v>
      </c>
      <c r="DO68" s="67">
        <f t="shared" si="6"/>
        <v>-0.40357906374819991</v>
      </c>
      <c r="DP68" s="67">
        <f t="shared" si="7"/>
        <v>0.62580059536019061</v>
      </c>
      <c r="DQ68" s="67">
        <f t="shared" si="2"/>
        <v>0.38939861416338201</v>
      </c>
      <c r="DS68" s="749">
        <v>4.8800000000000003E-2</v>
      </c>
      <c r="DT68">
        <f t="shared" si="8"/>
        <v>0.33443832444109545</v>
      </c>
      <c r="DU68" s="67">
        <f t="shared" si="9"/>
        <v>1.9694658310912157E-2</v>
      </c>
      <c r="DV68" s="67">
        <f t="shared" si="10"/>
        <v>2.1329153519092366E-2</v>
      </c>
      <c r="DW68" s="67">
        <f t="shared" si="12"/>
        <v>2.3056471911934662E-2</v>
      </c>
      <c r="DX68" s="67">
        <f t="shared" si="13"/>
        <v>2.4929078767726306E-2</v>
      </c>
      <c r="DY68" s="67">
        <f t="shared" si="14"/>
        <v>2.6946974086467308E-2</v>
      </c>
      <c r="DZ68" s="67">
        <f t="shared" si="15"/>
        <v>2.9134372611982554E-2</v>
      </c>
      <c r="EA68" s="67">
        <f t="shared" ref="EA68:EA82" si="16">DZ67</f>
        <v>1.5134214890557496E-2</v>
      </c>
      <c r="EP68" s="748">
        <f t="shared" si="11"/>
        <v>0.49466324853976829</v>
      </c>
      <c r="EY68" s="491"/>
      <c r="EZ68" s="491"/>
      <c r="FA68" s="491"/>
      <c r="FB68" s="491"/>
    </row>
    <row r="69" spans="71:158">
      <c r="BT69" t="s">
        <v>608</v>
      </c>
      <c r="BW69" s="65"/>
      <c r="BX69" s="65"/>
      <c r="BY69" s="65"/>
      <c r="BZ69" s="65"/>
      <c r="CA69" s="754">
        <v>10</v>
      </c>
      <c r="CB69" s="45"/>
      <c r="CC69" s="45"/>
      <c r="CD69" s="45"/>
      <c r="CE69" s="45"/>
      <c r="CF69" s="754">
        <v>8</v>
      </c>
      <c r="CG69" s="45"/>
      <c r="CH69" s="45"/>
      <c r="CI69" s="45"/>
      <c r="CJ69" s="45"/>
      <c r="CK69" s="754">
        <v>8</v>
      </c>
      <c r="CP69" s="754">
        <v>8</v>
      </c>
      <c r="CU69" s="754">
        <v>8</v>
      </c>
      <c r="CZ69" s="754">
        <v>8</v>
      </c>
      <c r="DA69" s="1116"/>
      <c r="DB69" s="1116"/>
      <c r="DC69" s="1116"/>
      <c r="DD69" s="1116"/>
      <c r="DE69" s="754">
        <v>8</v>
      </c>
      <c r="DF69" s="754">
        <v>8</v>
      </c>
      <c r="DK69">
        <f t="shared" si="3"/>
        <v>8</v>
      </c>
      <c r="DM69" s="748">
        <f t="shared" si="4"/>
        <v>1.1098449129017791</v>
      </c>
      <c r="DN69" s="67">
        <f t="shared" si="5"/>
        <v>-6.4589843361050975E-2</v>
      </c>
      <c r="DO69" s="67">
        <f t="shared" si="6"/>
        <v>-0.40357906374819991</v>
      </c>
      <c r="DP69" s="67">
        <f t="shared" si="7"/>
        <v>0.64167600579252815</v>
      </c>
      <c r="DQ69" s="67">
        <f t="shared" si="2"/>
        <v>0.37311243173438796</v>
      </c>
      <c r="DS69" s="749">
        <v>4.5220000000000003E-2</v>
      </c>
      <c r="DT69">
        <f t="shared" si="8"/>
        <v>0.30990370965627739</v>
      </c>
      <c r="DU69" s="67">
        <f t="shared" si="9"/>
        <v>1.82498452626936E-2</v>
      </c>
      <c r="DV69" s="67">
        <f t="shared" si="10"/>
        <v>1.9694658310912157E-2</v>
      </c>
      <c r="DW69" s="67">
        <f t="shared" si="12"/>
        <v>2.1329153519092366E-2</v>
      </c>
      <c r="DX69" s="67">
        <f t="shared" si="13"/>
        <v>2.3056471911934662E-2</v>
      </c>
      <c r="DY69" s="67">
        <f t="shared" si="14"/>
        <v>2.4929078767726306E-2</v>
      </c>
      <c r="DZ69" s="67">
        <f t="shared" si="15"/>
        <v>2.6946974086467308E-2</v>
      </c>
      <c r="EA69" s="67">
        <f t="shared" si="16"/>
        <v>2.9134372611982554E-2</v>
      </c>
      <c r="EB69" s="67">
        <f t="shared" ref="EB69:EB82" si="17">EA68</f>
        <v>1.5134214890557496E-2</v>
      </c>
      <c r="EP69" s="748">
        <f t="shared" si="11"/>
        <v>0.48837847901764381</v>
      </c>
      <c r="EY69" s="491"/>
      <c r="EZ69" s="491"/>
      <c r="FA69" s="491"/>
      <c r="FB69" s="491"/>
    </row>
    <row r="70" spans="71:158">
      <c r="BT70" s="56" t="s">
        <v>822</v>
      </c>
      <c r="BW70" s="85"/>
      <c r="BX70" s="85"/>
      <c r="BY70" s="85"/>
      <c r="BZ70" s="85"/>
      <c r="CA70" s="112">
        <f>+CA68*CA69</f>
        <v>2295.9420649782192</v>
      </c>
      <c r="CB70" s="45"/>
      <c r="CC70" s="45"/>
      <c r="CD70" s="45"/>
      <c r="CE70" s="45"/>
      <c r="CF70" s="112">
        <f>+CF68*CF69</f>
        <v>-4957.521755900917</v>
      </c>
      <c r="CG70" s="45"/>
      <c r="CH70" s="45"/>
      <c r="CI70" s="45"/>
      <c r="CJ70" s="45"/>
      <c r="CK70" s="112">
        <f>+CK68*CK69</f>
        <v>-23875.296637638763</v>
      </c>
      <c r="CP70" s="112">
        <f>+CP68*CP69</f>
        <v>-4688.0049441187239</v>
      </c>
      <c r="CU70" s="112">
        <f>+CU68*CU69</f>
        <v>-7015.0866506522516</v>
      </c>
      <c r="CZ70" s="112">
        <f>+CZ68*CZ69</f>
        <v>-6297.7318068609911</v>
      </c>
      <c r="DE70" s="112">
        <f>+DE68*DE69</f>
        <v>-6111.4849251742007</v>
      </c>
      <c r="DF70" s="112">
        <f>+DF68*DF69</f>
        <v>-5951.7599137045227</v>
      </c>
      <c r="DK70">
        <f t="shared" si="3"/>
        <v>9</v>
      </c>
      <c r="DM70" s="748">
        <f t="shared" si="4"/>
        <v>1.1264925865953057</v>
      </c>
      <c r="DN70" s="67">
        <f t="shared" si="5"/>
        <v>-6.4319477622733948E-2</v>
      </c>
      <c r="DO70" s="67">
        <f t="shared" si="6"/>
        <v>-0.40357906374819991</v>
      </c>
      <c r="DP70" s="67">
        <f t="shared" si="7"/>
        <v>0.6585940452243717</v>
      </c>
      <c r="DQ70" s="67">
        <f t="shared" si="2"/>
        <v>0.35785509847763247</v>
      </c>
      <c r="DS70" s="749">
        <v>4.462E-2</v>
      </c>
      <c r="DT70">
        <f t="shared" si="8"/>
        <v>0.30579176304429667</v>
      </c>
      <c r="DU70" s="67">
        <f t="shared" si="9"/>
        <v>1.8007697824444679E-2</v>
      </c>
      <c r="DV70" s="67">
        <f t="shared" si="10"/>
        <v>1.82498452626936E-2</v>
      </c>
      <c r="DW70" s="67">
        <f t="shared" si="12"/>
        <v>1.9694658310912157E-2</v>
      </c>
      <c r="DX70" s="67">
        <f t="shared" si="13"/>
        <v>2.1329153519092366E-2</v>
      </c>
      <c r="DY70" s="67">
        <f t="shared" si="14"/>
        <v>2.3056471911934662E-2</v>
      </c>
      <c r="DZ70" s="67">
        <f t="shared" si="15"/>
        <v>2.4929078767726306E-2</v>
      </c>
      <c r="EA70" s="67">
        <f t="shared" si="16"/>
        <v>2.6946974086467308E-2</v>
      </c>
      <c r="EB70" s="67">
        <f t="shared" si="17"/>
        <v>2.9134372611982554E-2</v>
      </c>
      <c r="EC70" s="67">
        <f t="shared" ref="EC70:EC82" si="18">EB69</f>
        <v>1.5134214890557496E-2</v>
      </c>
      <c r="EP70" s="748">
        <f t="shared" si="11"/>
        <v>0.50227423023010775</v>
      </c>
      <c r="EY70" s="491"/>
      <c r="EZ70" s="491"/>
      <c r="FA70" s="491"/>
      <c r="FB70" s="491"/>
    </row>
    <row r="71" spans="71:158">
      <c r="BT71" s="50" t="s">
        <v>625</v>
      </c>
      <c r="BW71" s="85"/>
      <c r="BX71" s="85"/>
      <c r="BY71" s="85"/>
      <c r="BZ71" s="85"/>
      <c r="CA71" s="561">
        <f>SUM(CA67:$CP67)</f>
        <v>4285.7087107094776</v>
      </c>
      <c r="CB71" s="794"/>
      <c r="CC71" s="794"/>
      <c r="CD71" s="794"/>
      <c r="CE71" s="794"/>
      <c r="CF71" s="561">
        <f>SUM(CF67:$CP67)</f>
        <v>3701.3029172072993</v>
      </c>
      <c r="CG71" s="794"/>
      <c r="CH71" s="794"/>
      <c r="CI71" s="794"/>
      <c r="CJ71" s="794"/>
      <c r="CK71" s="561">
        <f>SUM(CK67:$CP67)</f>
        <v>2282.6126977196855</v>
      </c>
      <c r="CP71" s="561">
        <f>SUM(CP67:$CP67)</f>
        <v>974.10061801484017</v>
      </c>
      <c r="CU71" s="561">
        <f>SUM($CP67:CU67)</f>
        <v>1990.8588455460908</v>
      </c>
      <c r="CZ71" s="561">
        <f>SUM($CP67:CZ67)</f>
        <v>2905.1669131022863</v>
      </c>
      <c r="DE71" s="561">
        <f>SUM($CP67:DE67)</f>
        <v>3804.3318904674925</v>
      </c>
      <c r="DF71" s="561">
        <f>SUM($CP67:DF67)</f>
        <v>4734.1390717872173</v>
      </c>
      <c r="DG71" s="561"/>
      <c r="DH71" s="561"/>
      <c r="DK71">
        <f t="shared" si="3"/>
        <v>10</v>
      </c>
      <c r="DM71" s="748">
        <f t="shared" si="4"/>
        <v>1.1433899753942351</v>
      </c>
      <c r="DN71" s="67">
        <f t="shared" si="5"/>
        <v>-6.4071920914233846E-2</v>
      </c>
      <c r="DO71" s="67">
        <f t="shared" si="6"/>
        <v>-0.40357906374819991</v>
      </c>
      <c r="DP71" s="67">
        <f t="shared" si="7"/>
        <v>0.67573899073180144</v>
      </c>
      <c r="DQ71" s="67">
        <f t="shared" ref="DQ71:DQ91" si="19">DP71/(1+$DN$47)^DK71</f>
        <v>0.34311039692108275</v>
      </c>
      <c r="DS71" s="749">
        <v>4.4609999999999997E-2</v>
      </c>
      <c r="DT71">
        <f t="shared" si="8"/>
        <v>0.30572323060076367</v>
      </c>
      <c r="DU71" s="67">
        <f t="shared" si="9"/>
        <v>1.8003662033807197E-2</v>
      </c>
      <c r="DV71" s="67">
        <f t="shared" si="10"/>
        <v>1.8007697824444679E-2</v>
      </c>
      <c r="DW71" s="67">
        <f t="shared" si="12"/>
        <v>1.82498452626936E-2</v>
      </c>
      <c r="DX71" s="67">
        <f t="shared" si="13"/>
        <v>1.9694658310912157E-2</v>
      </c>
      <c r="DY71" s="67">
        <f t="shared" si="14"/>
        <v>2.1329153519092366E-2</v>
      </c>
      <c r="DZ71" s="67">
        <f t="shared" si="15"/>
        <v>2.3056471911934662E-2</v>
      </c>
      <c r="EA71" s="67">
        <f t="shared" si="16"/>
        <v>2.4929078767726306E-2</v>
      </c>
      <c r="EB71" s="67">
        <f t="shared" si="17"/>
        <v>2.6946974086467308E-2</v>
      </c>
      <c r="EC71" s="67">
        <f t="shared" si="18"/>
        <v>2.9134372611982554E-2</v>
      </c>
      <c r="ED71" s="67">
        <f t="shared" ref="ED71:ED82" si="20">EC70</f>
        <v>1.5134214890557496E-2</v>
      </c>
      <c r="EP71" s="748">
        <f t="shared" si="11"/>
        <v>0.52020935982038208</v>
      </c>
      <c r="EY71" s="491"/>
      <c r="EZ71" s="491"/>
      <c r="FA71" s="491"/>
      <c r="FB71" s="491"/>
    </row>
    <row r="72" spans="71:158">
      <c r="BT72" s="50" t="s">
        <v>253</v>
      </c>
      <c r="CA72" s="246">
        <v>0</v>
      </c>
      <c r="CF72" s="246">
        <v>0</v>
      </c>
      <c r="CK72" s="246">
        <v>0</v>
      </c>
      <c r="CP72" s="246">
        <v>0</v>
      </c>
      <c r="CU72" s="246">
        <v>0</v>
      </c>
      <c r="CZ72" s="246">
        <f>+CU72</f>
        <v>0</v>
      </c>
      <c r="DE72" s="246">
        <f>+CZ72</f>
        <v>0</v>
      </c>
      <c r="DF72" s="246">
        <f>+DA72</f>
        <v>0</v>
      </c>
      <c r="DK72">
        <f t="shared" si="3"/>
        <v>11</v>
      </c>
      <c r="DM72" s="748">
        <f t="shared" si="4"/>
        <v>1.1605408250251485</v>
      </c>
      <c r="DN72" s="67">
        <f t="shared" si="5"/>
        <v>-6.3907222122768059E-2</v>
      </c>
      <c r="DO72" s="67">
        <f t="shared" si="6"/>
        <v>-0.40357906374819991</v>
      </c>
      <c r="DP72" s="67">
        <f t="shared" si="7"/>
        <v>0.69305453915418047</v>
      </c>
      <c r="DQ72" s="67">
        <f t="shared" si="19"/>
        <v>0.32884239429335638</v>
      </c>
      <c r="DS72" s="749">
        <v>4.462E-2</v>
      </c>
      <c r="DT72">
        <f t="shared" si="8"/>
        <v>0.30579176304429667</v>
      </c>
      <c r="DU72" s="67">
        <f t="shared" si="9"/>
        <v>1.8007697824444679E-2</v>
      </c>
      <c r="DV72" s="67">
        <f t="shared" si="10"/>
        <v>1.8003662033807197E-2</v>
      </c>
      <c r="DW72" s="67">
        <f t="shared" si="12"/>
        <v>1.8007697824444679E-2</v>
      </c>
      <c r="DX72" s="67">
        <f t="shared" si="13"/>
        <v>1.82498452626936E-2</v>
      </c>
      <c r="DY72" s="67">
        <f t="shared" si="14"/>
        <v>1.9694658310912157E-2</v>
      </c>
      <c r="DZ72" s="67">
        <f t="shared" si="15"/>
        <v>2.1329153519092366E-2</v>
      </c>
      <c r="EA72" s="67">
        <f t="shared" si="16"/>
        <v>2.3056471911934662E-2</v>
      </c>
      <c r="EB72" s="67">
        <f t="shared" si="17"/>
        <v>2.4929078767726306E-2</v>
      </c>
      <c r="EC72" s="67">
        <f t="shared" si="18"/>
        <v>2.6946974086467308E-2</v>
      </c>
      <c r="ED72" s="67">
        <f t="shared" si="20"/>
        <v>2.9134372611982554E-2</v>
      </c>
      <c r="EE72" s="67">
        <f t="shared" ref="EE72:EE82" si="21">ED71</f>
        <v>1.5134214890557496E-2</v>
      </c>
      <c r="EP72" s="748">
        <f t="shared" si="11"/>
        <v>0.53828559008835963</v>
      </c>
      <c r="EY72" s="491"/>
      <c r="EZ72" s="491"/>
      <c r="FA72" s="491"/>
      <c r="FB72" s="491"/>
    </row>
    <row r="73" spans="71:158">
      <c r="BT73" s="56" t="s">
        <v>823</v>
      </c>
      <c r="BW73" s="49"/>
      <c r="BX73" s="49"/>
      <c r="BY73" s="49"/>
      <c r="BZ73" s="49"/>
      <c r="CA73" s="120">
        <f>+CA71+CA70+CA72</f>
        <v>6581.6507756876963</v>
      </c>
      <c r="CB73" s="45"/>
      <c r="CC73" s="45"/>
      <c r="CD73" s="45"/>
      <c r="CE73" s="45"/>
      <c r="CF73" s="120">
        <f>+CF71+CF70+CF72</f>
        <v>-1256.2188386936177</v>
      </c>
      <c r="CG73" s="45"/>
      <c r="CH73" s="45"/>
      <c r="CI73" s="45"/>
      <c r="CJ73" s="45"/>
      <c r="CK73" s="120">
        <f>+CK71+CK70+CK72</f>
        <v>-21592.683939919079</v>
      </c>
      <c r="CP73" s="120">
        <f>+CP71+CP70+CP72</f>
        <v>-3713.9043261038837</v>
      </c>
      <c r="CU73" s="120">
        <f>+CU71+CU70+CU72</f>
        <v>-5024.2278051061603</v>
      </c>
      <c r="CZ73" s="120">
        <f>+CZ71+CZ70+CZ72</f>
        <v>-3392.5648937587048</v>
      </c>
      <c r="DE73" s="120">
        <f>+DE71+DE70+DE72</f>
        <v>-2307.1530347067082</v>
      </c>
      <c r="DF73" s="120">
        <f>+DF71+DF70+DF72</f>
        <v>-1217.6208419173054</v>
      </c>
      <c r="DK73">
        <f t="shared" si="3"/>
        <v>12</v>
      </c>
      <c r="DM73" s="748">
        <f t="shared" si="4"/>
        <v>1.1779489374005256</v>
      </c>
      <c r="DN73" s="67">
        <f t="shared" si="5"/>
        <v>-6.3782156694497757E-2</v>
      </c>
      <c r="DO73" s="67">
        <f t="shared" si="6"/>
        <v>-0.40357906374819991</v>
      </c>
      <c r="DP73" s="67">
        <f t="shared" si="7"/>
        <v>0.71058771695782785</v>
      </c>
      <c r="DQ73" s="67">
        <f t="shared" si="19"/>
        <v>0.31506747713725097</v>
      </c>
      <c r="DS73" s="749">
        <v>4.4609999999999997E-2</v>
      </c>
      <c r="DT73">
        <f t="shared" si="8"/>
        <v>0.30572323060076367</v>
      </c>
      <c r="DU73" s="67">
        <f t="shared" si="9"/>
        <v>1.8003662033807197E-2</v>
      </c>
      <c r="DV73" s="67">
        <f t="shared" si="10"/>
        <v>1.8007697824444679E-2</v>
      </c>
      <c r="DW73" s="67">
        <f t="shared" si="12"/>
        <v>1.8003662033807197E-2</v>
      </c>
      <c r="DX73" s="67">
        <f t="shared" si="13"/>
        <v>1.8007697824444679E-2</v>
      </c>
      <c r="DY73" s="67">
        <f t="shared" si="14"/>
        <v>1.82498452626936E-2</v>
      </c>
      <c r="DZ73" s="67">
        <f t="shared" si="15"/>
        <v>1.9694658310912157E-2</v>
      </c>
      <c r="EA73" s="67">
        <f t="shared" si="16"/>
        <v>2.1329153519092366E-2</v>
      </c>
      <c r="EB73" s="67">
        <f t="shared" si="17"/>
        <v>2.3056471911934662E-2</v>
      </c>
      <c r="EC73" s="67">
        <f t="shared" si="18"/>
        <v>2.4929078767726306E-2</v>
      </c>
      <c r="ED73" s="67">
        <f t="shared" si="20"/>
        <v>2.6946974086467308E-2</v>
      </c>
      <c r="EE73" s="67">
        <f t="shared" si="21"/>
        <v>2.9134372611982554E-2</v>
      </c>
      <c r="EF73" s="67">
        <f t="shared" ref="EF73:EF82" si="22">EE72</f>
        <v>1.5134214890557496E-2</v>
      </c>
      <c r="EP73" s="748">
        <f t="shared" si="11"/>
        <v>0.55622071967863396</v>
      </c>
      <c r="EY73" s="491"/>
      <c r="EZ73" s="491"/>
      <c r="FA73" s="491"/>
      <c r="FB73" s="491"/>
    </row>
    <row r="74" spans="71:158">
      <c r="BT74" s="50" t="s">
        <v>820</v>
      </c>
      <c r="BW74" s="90"/>
      <c r="BX74" s="90"/>
      <c r="BY74" s="90"/>
      <c r="BZ74" s="90"/>
      <c r="CA74" s="72">
        <f>'Generation &amp; Marketing'!AH371-'Generation &amp; Marketing'!AH368</f>
        <v>1075</v>
      </c>
      <c r="CB74" s="72"/>
      <c r="CC74" s="72"/>
      <c r="CD74" s="72"/>
      <c r="CE74" s="72"/>
      <c r="CF74" s="72">
        <f>'Generation &amp; Marketing'!AM371-'Generation &amp; Marketing'!AM368</f>
        <v>743.3</v>
      </c>
      <c r="CG74" s="72"/>
      <c r="CH74" s="72"/>
      <c r="CI74" s="72"/>
      <c r="CJ74" s="72"/>
      <c r="CK74" s="72">
        <f>'Generation &amp; Marketing'!AR371-'Generation &amp; Marketing'!AR368</f>
        <v>768.19999999999993</v>
      </c>
      <c r="CP74" s="72">
        <f>'Generation &amp; Marketing'!AW371-'Generation &amp; Marketing'!AW368</f>
        <v>31.9</v>
      </c>
      <c r="CU74" s="72">
        <f>'Generation &amp; Marketing'!BB371-'Generation &amp; Marketing'!BB368</f>
        <v>56.900000000000261</v>
      </c>
      <c r="CZ74" s="72">
        <f>'Generation &amp; Marketing'!BG371-'Generation &amp; Marketing'!BG368</f>
        <v>220.80837499251854</v>
      </c>
      <c r="DE74" s="72">
        <f>'Generation &amp; Marketing'!BL371-'Generation &amp; Marketing'!BL368</f>
        <v>404.775089946717</v>
      </c>
      <c r="DF74" s="72">
        <f>'Generation &amp; Marketing'!BQ371-'Generation &amp; Marketing'!BQ368</f>
        <v>525.22124563796012</v>
      </c>
      <c r="DK74">
        <f t="shared" si="3"/>
        <v>13</v>
      </c>
      <c r="DM74" s="748">
        <f t="shared" si="4"/>
        <v>1.1956181714615335</v>
      </c>
      <c r="DN74" s="67">
        <f t="shared" si="5"/>
        <v>-6.371192682020986E-2</v>
      </c>
      <c r="DO74" s="67">
        <f t="shared" si="6"/>
        <v>-0.40357906374819991</v>
      </c>
      <c r="DP74" s="67">
        <f t="shared" si="7"/>
        <v>0.72832718089312376</v>
      </c>
      <c r="DQ74" s="67">
        <f t="shared" si="19"/>
        <v>0.30177126764142892</v>
      </c>
      <c r="DS74" s="749">
        <v>4.4609999999999997E-2</v>
      </c>
      <c r="DT74">
        <f t="shared" si="8"/>
        <v>0.30572323060076367</v>
      </c>
      <c r="DU74" s="67">
        <f t="shared" si="9"/>
        <v>1.8003662033807197E-2</v>
      </c>
      <c r="DV74" s="67">
        <f t="shared" si="10"/>
        <v>1.8003662033807197E-2</v>
      </c>
      <c r="DW74" s="67">
        <f t="shared" si="12"/>
        <v>1.8007697824444679E-2</v>
      </c>
      <c r="DX74" s="67">
        <f t="shared" si="13"/>
        <v>1.8003662033807197E-2</v>
      </c>
      <c r="DY74" s="67">
        <f t="shared" si="14"/>
        <v>1.8007697824444679E-2</v>
      </c>
      <c r="DZ74" s="67">
        <f t="shared" si="15"/>
        <v>1.82498452626936E-2</v>
      </c>
      <c r="EA74" s="67">
        <f t="shared" si="16"/>
        <v>1.9694658310912157E-2</v>
      </c>
      <c r="EB74" s="67">
        <f t="shared" si="17"/>
        <v>2.1329153519092366E-2</v>
      </c>
      <c r="EC74" s="67">
        <f t="shared" si="18"/>
        <v>2.3056471911934662E-2</v>
      </c>
      <c r="ED74" s="67">
        <f t="shared" si="20"/>
        <v>2.4929078767726306E-2</v>
      </c>
      <c r="EE74" s="67">
        <f t="shared" si="21"/>
        <v>2.6946974086467308E-2</v>
      </c>
      <c r="EF74" s="67">
        <f t="shared" si="22"/>
        <v>2.9134372611982554E-2</v>
      </c>
      <c r="EG74" s="67">
        <f t="shared" ref="EG74:EG82" si="23">EF73</f>
        <v>1.5134214890557496E-2</v>
      </c>
      <c r="EP74" s="748">
        <f t="shared" si="11"/>
        <v>0.57422438171244106</v>
      </c>
      <c r="EY74" s="491"/>
      <c r="EZ74" s="491"/>
      <c r="FA74" s="491"/>
      <c r="FB74" s="491"/>
    </row>
    <row r="75" spans="71:158">
      <c r="BT75" s="56" t="s">
        <v>809</v>
      </c>
      <c r="BW75" s="90"/>
      <c r="BX75" s="90"/>
      <c r="BY75" s="90"/>
      <c r="BZ75" s="90"/>
      <c r="CA75" s="120">
        <f>+CA73-CA74</f>
        <v>5506.6507756876963</v>
      </c>
      <c r="CB75" s="45"/>
      <c r="CC75" s="45"/>
      <c r="CD75" s="45"/>
      <c r="CE75" s="45"/>
      <c r="CF75" s="120">
        <f>+CF73-CF74</f>
        <v>-1999.5188386936177</v>
      </c>
      <c r="CG75" s="45"/>
      <c r="CH75" s="45"/>
      <c r="CI75" s="45"/>
      <c r="CJ75" s="45"/>
      <c r="CK75" s="120">
        <f>+CK73-CK74</f>
        <v>-22360.88393991908</v>
      </c>
      <c r="CP75" s="120">
        <f>+CP73-CP74</f>
        <v>-3745.8043261038838</v>
      </c>
      <c r="CU75" s="120">
        <f>+CU73-CU74</f>
        <v>-5081.1278051061608</v>
      </c>
      <c r="CZ75" s="120">
        <f>+CZ73-CZ74</f>
        <v>-3613.3732687512233</v>
      </c>
      <c r="DE75" s="120">
        <f>+DE73-DE74</f>
        <v>-2711.9281246534251</v>
      </c>
      <c r="DF75" s="120">
        <f>+DF73-DF74</f>
        <v>-1742.8420875552656</v>
      </c>
      <c r="DI75" s="561"/>
      <c r="DJ75" s="80"/>
      <c r="DK75">
        <f t="shared" si="3"/>
        <v>14</v>
      </c>
      <c r="DM75" s="748">
        <f t="shared" si="4"/>
        <v>1.2135524440334564</v>
      </c>
      <c r="DN75" s="67">
        <f t="shared" si="5"/>
        <v>-6.3697355033214179E-2</v>
      </c>
      <c r="DO75" s="67">
        <f t="shared" si="6"/>
        <v>-0.40357906374819991</v>
      </c>
      <c r="DP75" s="67">
        <f t="shared" si="7"/>
        <v>0.74627602525204217</v>
      </c>
      <c r="DQ75" s="67">
        <f t="shared" si="19"/>
        <v>0.28894577526905124</v>
      </c>
      <c r="DS75" s="749">
        <v>4.4609999999999997E-2</v>
      </c>
      <c r="DT75">
        <f t="shared" si="8"/>
        <v>0.30572323060076367</v>
      </c>
      <c r="DU75" s="67">
        <f t="shared" si="9"/>
        <v>1.8003662033807197E-2</v>
      </c>
      <c r="DV75" s="67">
        <f t="shared" si="10"/>
        <v>1.8003662033807197E-2</v>
      </c>
      <c r="DW75" s="67">
        <f t="shared" si="12"/>
        <v>1.8003662033807197E-2</v>
      </c>
      <c r="DX75" s="67">
        <f t="shared" si="13"/>
        <v>1.8007697824444679E-2</v>
      </c>
      <c r="DY75" s="67">
        <f t="shared" si="14"/>
        <v>1.8003662033807197E-2</v>
      </c>
      <c r="DZ75" s="67">
        <f t="shared" si="15"/>
        <v>1.8007697824444679E-2</v>
      </c>
      <c r="EA75" s="67">
        <f t="shared" si="16"/>
        <v>1.82498452626936E-2</v>
      </c>
      <c r="EB75" s="67">
        <f t="shared" si="17"/>
        <v>1.9694658310912157E-2</v>
      </c>
      <c r="EC75" s="67">
        <f t="shared" si="18"/>
        <v>2.1329153519092366E-2</v>
      </c>
      <c r="ED75" s="67">
        <f t="shared" si="20"/>
        <v>2.3056471911934662E-2</v>
      </c>
      <c r="EE75" s="67">
        <f t="shared" si="21"/>
        <v>2.4929078767726306E-2</v>
      </c>
      <c r="EF75" s="67">
        <f t="shared" si="22"/>
        <v>2.6946974086467308E-2</v>
      </c>
      <c r="EG75" s="67">
        <f t="shared" si="23"/>
        <v>2.9134372611982554E-2</v>
      </c>
      <c r="EH75" s="67">
        <f t="shared" ref="EH75:EH82" si="24">EG74</f>
        <v>1.5134214890557496E-2</v>
      </c>
      <c r="EP75" s="748">
        <f t="shared" si="11"/>
        <v>0.59222804374624838</v>
      </c>
      <c r="EY75" s="491"/>
      <c r="EZ75" s="491"/>
      <c r="FA75" s="491"/>
      <c r="FB75" s="491"/>
    </row>
    <row r="76" spans="71:158">
      <c r="BT76" s="50" t="s">
        <v>824</v>
      </c>
      <c r="CA76" s="78">
        <f>+AH34</f>
        <v>488.89983999999998</v>
      </c>
      <c r="CB76" s="45"/>
      <c r="CC76" s="45"/>
      <c r="CD76" s="45"/>
      <c r="CE76" s="45"/>
      <c r="CF76" s="78">
        <f>+AM34</f>
        <v>490.574568</v>
      </c>
      <c r="CG76" s="45"/>
      <c r="CH76" s="45"/>
      <c r="CI76" s="45"/>
      <c r="CJ76" s="45"/>
      <c r="CK76" s="78">
        <f>+AEP!AR52</f>
        <v>491.66200700000002</v>
      </c>
      <c r="CP76" s="78">
        <f>+AEP!AW52</f>
        <v>492.61106699999999</v>
      </c>
      <c r="CU76" s="78">
        <f>+AEP!BB52</f>
        <v>492.731498116144</v>
      </c>
      <c r="CZ76" s="78">
        <f>+AEP!BG52</f>
        <v>494.18329834843195</v>
      </c>
      <c r="DE76" s="78">
        <f>+AEP!BL52</f>
        <v>498.53869904529603</v>
      </c>
      <c r="DF76" s="78">
        <f>+AEP!BQ52</f>
        <v>507.43097546806024</v>
      </c>
      <c r="DJ76" s="80"/>
      <c r="DK76">
        <f t="shared" si="3"/>
        <v>15</v>
      </c>
      <c r="DM76" s="748">
        <f t="shared" si="4"/>
        <v>1.2317557306939582</v>
      </c>
      <c r="DN76" s="67">
        <f t="shared" si="5"/>
        <v>-6.3739276204820061E-2</v>
      </c>
      <c r="DO76" s="67">
        <f t="shared" si="6"/>
        <v>-0.40357906374819991</v>
      </c>
      <c r="DP76" s="67">
        <f t="shared" si="7"/>
        <v>0.76443739074093808</v>
      </c>
      <c r="DQ76" s="67">
        <f t="shared" si="19"/>
        <v>0.27658222788188513</v>
      </c>
      <c r="DS76" s="749">
        <v>4.4609999999999997E-2</v>
      </c>
      <c r="DT76">
        <f t="shared" si="8"/>
        <v>0.30572323060076367</v>
      </c>
      <c r="DU76" s="67">
        <f t="shared" si="9"/>
        <v>1.8003662033807197E-2</v>
      </c>
      <c r="DV76" s="67">
        <f t="shared" si="10"/>
        <v>1.8003662033807197E-2</v>
      </c>
      <c r="DW76" s="67">
        <f t="shared" si="12"/>
        <v>1.8003662033807197E-2</v>
      </c>
      <c r="DX76" s="67">
        <f t="shared" si="13"/>
        <v>1.8003662033807197E-2</v>
      </c>
      <c r="DY76" s="67">
        <f t="shared" si="14"/>
        <v>1.8007697824444679E-2</v>
      </c>
      <c r="DZ76" s="67">
        <f t="shared" si="15"/>
        <v>1.8003662033807197E-2</v>
      </c>
      <c r="EA76" s="67">
        <f t="shared" si="16"/>
        <v>1.8007697824444679E-2</v>
      </c>
      <c r="EB76" s="67">
        <f t="shared" si="17"/>
        <v>1.82498452626936E-2</v>
      </c>
      <c r="EC76" s="67">
        <f t="shared" si="18"/>
        <v>1.9694658310912157E-2</v>
      </c>
      <c r="ED76" s="67">
        <f t="shared" si="20"/>
        <v>2.1329153519092366E-2</v>
      </c>
      <c r="EE76" s="67">
        <f t="shared" si="21"/>
        <v>2.3056471911934662E-2</v>
      </c>
      <c r="EF76" s="67">
        <f t="shared" si="22"/>
        <v>2.4929078767726306E-2</v>
      </c>
      <c r="EG76" s="67">
        <f t="shared" si="23"/>
        <v>2.6946974086467308E-2</v>
      </c>
      <c r="EH76" s="67">
        <f t="shared" si="24"/>
        <v>2.9134372611982554E-2</v>
      </c>
      <c r="EI76" s="67">
        <f t="shared" ref="EI76:EI82" si="25">EH75</f>
        <v>1.5134214890557496E-2</v>
      </c>
      <c r="EP76" s="748">
        <f t="shared" si="11"/>
        <v>0.61023170578005548</v>
      </c>
      <c r="EY76" s="491"/>
      <c r="EZ76" s="491"/>
      <c r="FA76" s="491"/>
      <c r="FB76" s="491"/>
    </row>
    <row r="77" spans="71:158">
      <c r="BT77" s="56" t="s">
        <v>825</v>
      </c>
      <c r="CA77" s="221">
        <f>+CA75/CA76</f>
        <v>11.263351560286248</v>
      </c>
      <c r="CB77" s="86"/>
      <c r="CC77" s="86"/>
      <c r="CD77" s="86"/>
      <c r="CE77" s="86"/>
      <c r="CF77" s="221">
        <f>+CF75/CF76</f>
        <v>-4.0758713743465353</v>
      </c>
      <c r="CG77" s="86"/>
      <c r="CH77" s="86"/>
      <c r="CI77" s="86"/>
      <c r="CJ77" s="86"/>
      <c r="CK77" s="221">
        <f>+CK75/CK76</f>
        <v>-45.480194974510361</v>
      </c>
      <c r="CP77" s="221">
        <f>+CP75/CP76</f>
        <v>-7.6039792384605196</v>
      </c>
      <c r="CU77" s="221">
        <f>+CU75/CU76</f>
        <v>-10.312163570895695</v>
      </c>
      <c r="CZ77" s="221">
        <f>+CZ75/CZ76</f>
        <v>-7.311807745885325</v>
      </c>
      <c r="DE77" s="221">
        <f>+DE75/DE76</f>
        <v>-5.4397544861547971</v>
      </c>
      <c r="DF77" s="221">
        <f>+DF75/DF76</f>
        <v>-3.4346387426342031</v>
      </c>
      <c r="DK77">
        <f t="shared" si="3"/>
        <v>16</v>
      </c>
      <c r="DM77" s="748">
        <f t="shared" si="4"/>
        <v>1.2502320666543674</v>
      </c>
      <c r="DN77" s="67">
        <f t="shared" si="5"/>
        <v>-6.3838537729406453E-2</v>
      </c>
      <c r="DO77" s="67">
        <f t="shared" si="6"/>
        <v>-0.40357906374819991</v>
      </c>
      <c r="DP77" s="67">
        <f t="shared" si="7"/>
        <v>0.78281446517676101</v>
      </c>
      <c r="DQ77" s="67">
        <f t="shared" si="19"/>
        <v>0.26467119680583184</v>
      </c>
      <c r="DS77" s="749">
        <v>4.4609999999999997E-2</v>
      </c>
      <c r="DT77">
        <f t="shared" si="8"/>
        <v>0.30572323060076367</v>
      </c>
      <c r="DU77" s="67">
        <f t="shared" si="9"/>
        <v>1.8003662033807197E-2</v>
      </c>
      <c r="DV77" s="67">
        <f t="shared" si="10"/>
        <v>1.8003662033807197E-2</v>
      </c>
      <c r="DW77" s="67">
        <f t="shared" si="12"/>
        <v>1.8003662033807197E-2</v>
      </c>
      <c r="DX77" s="67">
        <f t="shared" si="13"/>
        <v>1.8003662033807197E-2</v>
      </c>
      <c r="DY77" s="67">
        <f t="shared" si="14"/>
        <v>1.8003662033807197E-2</v>
      </c>
      <c r="DZ77" s="67">
        <f t="shared" si="15"/>
        <v>1.8007697824444679E-2</v>
      </c>
      <c r="EA77" s="67">
        <f t="shared" si="16"/>
        <v>1.8003662033807197E-2</v>
      </c>
      <c r="EB77" s="67">
        <f t="shared" si="17"/>
        <v>1.8007697824444679E-2</v>
      </c>
      <c r="EC77" s="67">
        <f t="shared" si="18"/>
        <v>1.82498452626936E-2</v>
      </c>
      <c r="ED77" s="67">
        <f t="shared" si="20"/>
        <v>1.9694658310912157E-2</v>
      </c>
      <c r="EE77" s="67">
        <f t="shared" si="21"/>
        <v>2.1329153519092366E-2</v>
      </c>
      <c r="EF77" s="67">
        <f t="shared" si="22"/>
        <v>2.3056471911934662E-2</v>
      </c>
      <c r="EG77" s="67">
        <f t="shared" si="23"/>
        <v>2.4929078767726306E-2</v>
      </c>
      <c r="EH77" s="67">
        <f t="shared" si="24"/>
        <v>2.6946974086467308E-2</v>
      </c>
      <c r="EI77" s="67">
        <f t="shared" si="25"/>
        <v>2.9134372611982554E-2</v>
      </c>
      <c r="EJ77" s="67">
        <f t="shared" ref="EJ77:EJ82" si="26">EI76</f>
        <v>1.5134214890557496E-2</v>
      </c>
      <c r="EP77" s="748">
        <f t="shared" si="11"/>
        <v>0.62823536781386258</v>
      </c>
      <c r="EY77" s="491"/>
      <c r="EZ77" s="491"/>
      <c r="FA77" s="491"/>
      <c r="FB77" s="491"/>
    </row>
    <row r="78" spans="71:158">
      <c r="CB78" s="45"/>
      <c r="CC78" s="45"/>
      <c r="CD78" s="45"/>
      <c r="CE78" s="45"/>
      <c r="CG78" s="45"/>
      <c r="CH78" s="45"/>
      <c r="CI78" s="45"/>
      <c r="CJ78" s="45"/>
      <c r="DJ78" s="63"/>
      <c r="DK78">
        <f t="shared" si="3"/>
        <v>17</v>
      </c>
      <c r="DM78" s="748">
        <f t="shared" si="4"/>
        <v>1.2689855476541827</v>
      </c>
      <c r="DN78" s="67">
        <f t="shared" si="5"/>
        <v>-6.3995999712268187E-2</v>
      </c>
      <c r="DO78" s="67">
        <f t="shared" si="6"/>
        <v>-0.40357906374819991</v>
      </c>
      <c r="DP78" s="67">
        <f t="shared" si="7"/>
        <v>0.80141048419371463</v>
      </c>
      <c r="DQ78" s="67">
        <f t="shared" si="19"/>
        <v>0.25320270946358114</v>
      </c>
      <c r="DS78" s="749">
        <v>4.4609999999999997E-2</v>
      </c>
      <c r="DT78">
        <f t="shared" si="8"/>
        <v>0.30572323060076367</v>
      </c>
      <c r="DU78" s="67">
        <f t="shared" si="9"/>
        <v>1.8003662033807197E-2</v>
      </c>
      <c r="DV78" s="67">
        <f t="shared" si="10"/>
        <v>1.8003662033807197E-2</v>
      </c>
      <c r="DW78" s="67">
        <f t="shared" si="12"/>
        <v>1.8003662033807197E-2</v>
      </c>
      <c r="DX78" s="67">
        <f t="shared" si="13"/>
        <v>1.8003662033807197E-2</v>
      </c>
      <c r="DY78" s="67">
        <f t="shared" si="14"/>
        <v>1.8003662033807197E-2</v>
      </c>
      <c r="DZ78" s="67">
        <f t="shared" si="15"/>
        <v>1.8003662033807197E-2</v>
      </c>
      <c r="EA78" s="67">
        <f t="shared" si="16"/>
        <v>1.8007697824444679E-2</v>
      </c>
      <c r="EB78" s="67">
        <f t="shared" si="17"/>
        <v>1.8003662033807197E-2</v>
      </c>
      <c r="EC78" s="67">
        <f t="shared" si="18"/>
        <v>1.8007697824444679E-2</v>
      </c>
      <c r="ED78" s="67">
        <f t="shared" si="20"/>
        <v>1.82498452626936E-2</v>
      </c>
      <c r="EE78" s="67">
        <f t="shared" si="21"/>
        <v>1.9694658310912157E-2</v>
      </c>
      <c r="EF78" s="67">
        <f t="shared" si="22"/>
        <v>2.1329153519092366E-2</v>
      </c>
      <c r="EG78" s="67">
        <f t="shared" si="23"/>
        <v>2.3056471911934662E-2</v>
      </c>
      <c r="EH78" s="67">
        <f t="shared" si="24"/>
        <v>2.4929078767726306E-2</v>
      </c>
      <c r="EI78" s="67">
        <f t="shared" si="25"/>
        <v>2.6946974086467308E-2</v>
      </c>
      <c r="EJ78" s="67">
        <f t="shared" si="26"/>
        <v>2.9134372611982554E-2</v>
      </c>
      <c r="EK78" s="67">
        <f>EJ77</f>
        <v>1.5134214890557496E-2</v>
      </c>
      <c r="EP78" s="748">
        <f t="shared" si="11"/>
        <v>0.6462390298476699</v>
      </c>
      <c r="EY78" s="491"/>
      <c r="EZ78" s="491"/>
      <c r="FA78" s="491"/>
      <c r="FB78" s="491"/>
    </row>
    <row r="79" spans="71:158">
      <c r="BT79" s="56" t="s">
        <v>826</v>
      </c>
      <c r="CA79" s="63">
        <f>CF79</f>
        <v>-1.6491447954748395</v>
      </c>
      <c r="CB79" s="45"/>
      <c r="CC79" s="45"/>
      <c r="CD79" s="45"/>
      <c r="CE79" s="45"/>
      <c r="CF79" s="63">
        <f>AR21-CF13</f>
        <v>-1.6491447954748395</v>
      </c>
      <c r="CG79" s="45"/>
      <c r="CH79" s="45"/>
      <c r="CI79" s="45"/>
      <c r="CJ79" s="45"/>
      <c r="CK79" s="63">
        <f>+CF79</f>
        <v>-1.6491447954748395</v>
      </c>
      <c r="CP79" s="63">
        <f>+CK79</f>
        <v>-1.6491447954748395</v>
      </c>
      <c r="CU79" s="63">
        <f>+CP79</f>
        <v>-1.6491447954748395</v>
      </c>
      <c r="CZ79" s="1280">
        <f>+CU79</f>
        <v>-1.6491447954748395</v>
      </c>
      <c r="DA79" s="1116"/>
      <c r="DB79" s="1116"/>
      <c r="DC79" s="1116"/>
      <c r="DD79" s="1116"/>
      <c r="DE79" s="1280">
        <f>+CZ79</f>
        <v>-1.6491447954748395</v>
      </c>
      <c r="DF79" s="1280">
        <f>+DE79</f>
        <v>-1.6491447954748395</v>
      </c>
      <c r="DJ79" s="63"/>
      <c r="DK79">
        <f t="shared" si="3"/>
        <v>18</v>
      </c>
      <c r="DM79" s="748">
        <f t="shared" si="4"/>
        <v>1.2880203308689953</v>
      </c>
      <c r="DN79" s="67">
        <f t="shared" si="5"/>
        <v>-6.4212535160279291E-2</v>
      </c>
      <c r="DO79" s="67">
        <f t="shared" si="6"/>
        <v>-0.40357906374819991</v>
      </c>
      <c r="DP79" s="67">
        <f t="shared" si="7"/>
        <v>0.82022873196051593</v>
      </c>
      <c r="DQ79" s="67">
        <f t="shared" si="19"/>
        <v>0.2421663506357844</v>
      </c>
      <c r="DS79" s="749">
        <v>4.4609999999999997E-2</v>
      </c>
      <c r="DT79">
        <f t="shared" si="8"/>
        <v>0.30572323060076367</v>
      </c>
      <c r="DU79" s="67">
        <f t="shared" si="9"/>
        <v>1.8003662033807197E-2</v>
      </c>
      <c r="DV79" s="67">
        <f t="shared" si="10"/>
        <v>1.8003662033807197E-2</v>
      </c>
      <c r="DW79" s="67">
        <f t="shared" si="12"/>
        <v>1.8003662033807197E-2</v>
      </c>
      <c r="DX79" s="67">
        <f t="shared" si="13"/>
        <v>1.8003662033807197E-2</v>
      </c>
      <c r="DY79" s="67">
        <f t="shared" si="14"/>
        <v>1.8003662033807197E-2</v>
      </c>
      <c r="DZ79" s="67">
        <f t="shared" si="15"/>
        <v>1.8003662033807197E-2</v>
      </c>
      <c r="EA79" s="67">
        <f t="shared" si="16"/>
        <v>1.8003662033807197E-2</v>
      </c>
      <c r="EB79" s="67">
        <f t="shared" si="17"/>
        <v>1.8007697824444679E-2</v>
      </c>
      <c r="EC79" s="67">
        <f t="shared" si="18"/>
        <v>1.8003662033807197E-2</v>
      </c>
      <c r="ED79" s="67">
        <f t="shared" si="20"/>
        <v>1.8007697824444679E-2</v>
      </c>
      <c r="EE79" s="67">
        <f t="shared" si="21"/>
        <v>1.82498452626936E-2</v>
      </c>
      <c r="EF79" s="67">
        <f t="shared" si="22"/>
        <v>1.9694658310912157E-2</v>
      </c>
      <c r="EG79" s="67">
        <f t="shared" si="23"/>
        <v>2.1329153519092366E-2</v>
      </c>
      <c r="EH79" s="67">
        <f t="shared" si="24"/>
        <v>2.3056471911934662E-2</v>
      </c>
      <c r="EI79" s="67">
        <f t="shared" si="25"/>
        <v>2.4929078767726306E-2</v>
      </c>
      <c r="EJ79" s="67">
        <f t="shared" si="26"/>
        <v>2.6946974086467308E-2</v>
      </c>
      <c r="EK79" s="67">
        <f>EJ78</f>
        <v>2.9134372611982554E-2</v>
      </c>
      <c r="EL79" s="67">
        <f>EK78</f>
        <v>1.5134214890557496E-2</v>
      </c>
      <c r="EP79" s="748">
        <f t="shared" si="11"/>
        <v>0.664242691881477</v>
      </c>
      <c r="EY79" s="491"/>
      <c r="EZ79" s="491"/>
      <c r="FA79" s="491"/>
      <c r="FB79" s="491"/>
    </row>
    <row r="80" spans="71:158">
      <c r="CG80" s="45"/>
      <c r="CH80" s="45"/>
      <c r="CI80" s="45"/>
      <c r="CJ80" s="45"/>
      <c r="CL80" s="45"/>
      <c r="CM80" s="45"/>
      <c r="CN80" s="45"/>
      <c r="CO80" s="45"/>
      <c r="CQ80" s="45"/>
      <c r="CR80" s="45"/>
      <c r="CS80" s="45"/>
      <c r="CT80" s="45"/>
      <c r="CV80" s="45"/>
      <c r="CW80" s="45"/>
      <c r="CX80" s="45"/>
      <c r="CY80" s="45"/>
      <c r="DA80" s="45"/>
      <c r="DB80" s="45"/>
      <c r="DC80" s="45"/>
      <c r="DD80" s="45"/>
      <c r="DJ80" s="63"/>
      <c r="DK80">
        <f t="shared" si="3"/>
        <v>19</v>
      </c>
      <c r="DM80" s="748">
        <f t="shared" si="4"/>
        <v>1.3073406358320301</v>
      </c>
      <c r="DN80" s="67">
        <f t="shared" si="5"/>
        <v>-6.4489030175417114E-2</v>
      </c>
      <c r="DO80" s="67">
        <f t="shared" si="6"/>
        <v>-0.40357906374819991</v>
      </c>
      <c r="DP80" s="67">
        <f t="shared" si="7"/>
        <v>0.83927254190841305</v>
      </c>
      <c r="DQ80" s="67">
        <f t="shared" si="19"/>
        <v>0.23155135332802143</v>
      </c>
      <c r="DS80" s="749">
        <v>4.4609999999999997E-2</v>
      </c>
      <c r="DT80">
        <f t="shared" si="8"/>
        <v>0.30572323060076367</v>
      </c>
      <c r="DU80" s="67">
        <f t="shared" si="9"/>
        <v>1.8003662033807197E-2</v>
      </c>
      <c r="DV80" s="67">
        <f t="shared" si="10"/>
        <v>1.8003662033807197E-2</v>
      </c>
      <c r="DW80" s="67">
        <f t="shared" si="12"/>
        <v>1.8003662033807197E-2</v>
      </c>
      <c r="DX80" s="67">
        <f t="shared" si="13"/>
        <v>1.8003662033807197E-2</v>
      </c>
      <c r="DY80" s="67">
        <f t="shared" si="14"/>
        <v>1.8003662033807197E-2</v>
      </c>
      <c r="DZ80" s="67">
        <f t="shared" si="15"/>
        <v>1.8003662033807197E-2</v>
      </c>
      <c r="EA80" s="67">
        <f t="shared" si="16"/>
        <v>1.8003662033807197E-2</v>
      </c>
      <c r="EB80" s="67">
        <f t="shared" si="17"/>
        <v>1.8003662033807197E-2</v>
      </c>
      <c r="EC80" s="67">
        <f t="shared" si="18"/>
        <v>1.8007697824444679E-2</v>
      </c>
      <c r="ED80" s="67">
        <f t="shared" si="20"/>
        <v>1.8003662033807197E-2</v>
      </c>
      <c r="EE80" s="67">
        <f t="shared" si="21"/>
        <v>1.8007697824444679E-2</v>
      </c>
      <c r="EF80" s="67">
        <f t="shared" si="22"/>
        <v>1.82498452626936E-2</v>
      </c>
      <c r="EG80" s="67">
        <f t="shared" si="23"/>
        <v>1.9694658310912157E-2</v>
      </c>
      <c r="EH80" s="67">
        <f t="shared" si="24"/>
        <v>2.1329153519092366E-2</v>
      </c>
      <c r="EI80" s="67">
        <f t="shared" si="25"/>
        <v>2.3056471911934662E-2</v>
      </c>
      <c r="EJ80" s="67">
        <f t="shared" si="26"/>
        <v>2.4929078767726306E-2</v>
      </c>
      <c r="EK80" s="67">
        <f>EJ79</f>
        <v>2.6946974086467308E-2</v>
      </c>
      <c r="EL80" s="67">
        <f>EK79</f>
        <v>2.9134372611982554E-2</v>
      </c>
      <c r="EM80" s="67">
        <f>EL79</f>
        <v>1.5134214890557496E-2</v>
      </c>
      <c r="EP80" s="748">
        <f t="shared" si="11"/>
        <v>0.68224635391528432</v>
      </c>
      <c r="EY80" s="491"/>
      <c r="EZ80" s="491"/>
      <c r="FA80" s="491"/>
      <c r="FB80" s="491"/>
    </row>
    <row r="81" spans="85:158">
      <c r="CG81" s="45"/>
      <c r="CH81" s="45"/>
      <c r="CI81" s="45"/>
      <c r="CJ81" s="45"/>
      <c r="CL81" s="45"/>
      <c r="CM81" s="45"/>
      <c r="CN81" s="45"/>
      <c r="CO81" s="45"/>
      <c r="CQ81" s="45"/>
      <c r="CR81" s="45"/>
      <c r="CS81" s="45"/>
      <c r="CT81" s="45"/>
      <c r="CV81" s="45"/>
      <c r="CW81" s="45"/>
      <c r="CX81" s="45"/>
      <c r="CY81" s="45"/>
      <c r="DA81" s="45"/>
      <c r="DB81" s="45"/>
      <c r="DC81" s="45"/>
      <c r="DD81" s="45"/>
      <c r="DJ81" s="63"/>
      <c r="DK81">
        <f t="shared" si="3"/>
        <v>20</v>
      </c>
      <c r="DM81" s="748">
        <f t="shared" si="4"/>
        <v>1.3269507453695104</v>
      </c>
      <c r="DN81" s="67">
        <f t="shared" si="5"/>
        <v>-9.8810088213230465E-2</v>
      </c>
      <c r="DO81" s="67">
        <f t="shared" si="6"/>
        <v>-0.40357906374819991</v>
      </c>
      <c r="DP81" s="67">
        <f t="shared" si="7"/>
        <v>0.82456159340807988</v>
      </c>
      <c r="DQ81" s="67">
        <f t="shared" si="19"/>
        <v>0.21258513885312305</v>
      </c>
      <c r="DS81" s="749">
        <v>4.4609999999999997E-2</v>
      </c>
      <c r="DT81">
        <f t="shared" si="8"/>
        <v>0.30572323060076367</v>
      </c>
      <c r="DU81" s="67">
        <f t="shared" si="9"/>
        <v>1.8003662033807197E-2</v>
      </c>
      <c r="DV81" s="67">
        <f t="shared" si="10"/>
        <v>1.8003662033807197E-2</v>
      </c>
      <c r="DW81" s="67">
        <f t="shared" si="12"/>
        <v>1.8003662033807197E-2</v>
      </c>
      <c r="DX81" s="67">
        <f t="shared" si="13"/>
        <v>1.8003662033807197E-2</v>
      </c>
      <c r="DY81" s="67">
        <f t="shared" si="14"/>
        <v>1.8003662033807197E-2</v>
      </c>
      <c r="DZ81" s="67">
        <f t="shared" si="15"/>
        <v>1.8003662033807197E-2</v>
      </c>
      <c r="EA81" s="67">
        <f t="shared" si="16"/>
        <v>1.8003662033807197E-2</v>
      </c>
      <c r="EB81" s="67">
        <f t="shared" si="17"/>
        <v>1.8003662033807197E-2</v>
      </c>
      <c r="EC81" s="67">
        <f t="shared" si="18"/>
        <v>1.8003662033807197E-2</v>
      </c>
      <c r="ED81" s="67">
        <f t="shared" si="20"/>
        <v>1.8007697824444679E-2</v>
      </c>
      <c r="EE81" s="67">
        <f t="shared" si="21"/>
        <v>1.8003662033807197E-2</v>
      </c>
      <c r="EF81" s="67">
        <f t="shared" si="22"/>
        <v>1.8007697824444679E-2</v>
      </c>
      <c r="EG81" s="67">
        <f t="shared" si="23"/>
        <v>1.82498452626936E-2</v>
      </c>
      <c r="EH81" s="67">
        <f t="shared" si="24"/>
        <v>1.9694658310912157E-2</v>
      </c>
      <c r="EI81" s="67">
        <f t="shared" si="25"/>
        <v>2.1329153519092366E-2</v>
      </c>
      <c r="EJ81" s="67">
        <f t="shared" si="26"/>
        <v>2.3056471911934662E-2</v>
      </c>
      <c r="EK81" s="67">
        <f>EJ80</f>
        <v>2.4929078767726306E-2</v>
      </c>
      <c r="EL81" s="67">
        <f>EK80</f>
        <v>2.6946974086467308E-2</v>
      </c>
      <c r="EM81" s="67">
        <f>EL80</f>
        <v>2.9134372611982554E-2</v>
      </c>
      <c r="EN81" s="67">
        <f>EM80</f>
        <v>1.5134214890557496E-2</v>
      </c>
      <c r="EP81" s="748">
        <f t="shared" si="11"/>
        <v>0.70025001594909142</v>
      </c>
      <c r="EY81" s="491"/>
      <c r="EZ81" s="491"/>
      <c r="FA81" s="491"/>
      <c r="FB81" s="491"/>
    </row>
    <row r="82" spans="85:158">
      <c r="CG82" s="45"/>
      <c r="CH82" s="45"/>
      <c r="CI82" s="45"/>
      <c r="CJ82" s="45"/>
      <c r="CL82" s="45"/>
      <c r="CM82" s="45"/>
      <c r="CN82" s="45"/>
      <c r="CO82" s="45"/>
      <c r="CQ82" s="45"/>
      <c r="CR82" s="45"/>
      <c r="CS82" s="45"/>
      <c r="CT82" s="45"/>
      <c r="CV82" s="45"/>
      <c r="CW82" s="45"/>
      <c r="CX82" s="45"/>
      <c r="CY82" s="45"/>
      <c r="DA82" s="45"/>
      <c r="DB82" s="45"/>
      <c r="DC82" s="45"/>
      <c r="DD82" s="45"/>
      <c r="DJ82" s="63"/>
      <c r="DK82">
        <f t="shared" si="3"/>
        <v>21</v>
      </c>
      <c r="DM82" s="748">
        <f t="shared" si="4"/>
        <v>1.3468550065500529</v>
      </c>
      <c r="DN82" s="67">
        <f t="shared" si="5"/>
        <v>-0.21983955137551109</v>
      </c>
      <c r="DO82" s="67">
        <f t="shared" si="6"/>
        <v>-0.40357906374819991</v>
      </c>
      <c r="DP82" s="67">
        <f t="shared" si="7"/>
        <v>0.72343639142634175</v>
      </c>
      <c r="DQ82" s="67">
        <f t="shared" si="19"/>
        <v>0.17429127234246944</v>
      </c>
      <c r="DS82" s="749">
        <v>2.231E-2</v>
      </c>
      <c r="DT82">
        <f t="shared" si="8"/>
        <v>0.15289588152214834</v>
      </c>
      <c r="DU82" s="67">
        <f t="shared" si="9"/>
        <v>9.0038489122223394E-3</v>
      </c>
      <c r="DV82" s="67">
        <f t="shared" si="10"/>
        <v>1.8003662033807197E-2</v>
      </c>
      <c r="DW82" s="67">
        <f t="shared" si="12"/>
        <v>1.8003662033807197E-2</v>
      </c>
      <c r="DX82" s="67">
        <f t="shared" si="13"/>
        <v>1.8003662033807197E-2</v>
      </c>
      <c r="DY82" s="67">
        <f t="shared" si="14"/>
        <v>1.8003662033807197E-2</v>
      </c>
      <c r="DZ82" s="67">
        <f t="shared" si="15"/>
        <v>1.8003662033807197E-2</v>
      </c>
      <c r="EA82" s="67">
        <f t="shared" si="16"/>
        <v>1.8003662033807197E-2</v>
      </c>
      <c r="EB82" s="67">
        <f t="shared" si="17"/>
        <v>1.8003662033807197E-2</v>
      </c>
      <c r="EC82" s="67">
        <f t="shared" si="18"/>
        <v>1.8003662033807197E-2</v>
      </c>
      <c r="ED82" s="67">
        <f t="shared" si="20"/>
        <v>1.8003662033807197E-2</v>
      </c>
      <c r="EE82" s="67">
        <f t="shared" si="21"/>
        <v>1.8007697824444679E-2</v>
      </c>
      <c r="EF82" s="67">
        <f t="shared" si="22"/>
        <v>1.8003662033807197E-2</v>
      </c>
      <c r="EG82" s="67">
        <f t="shared" si="23"/>
        <v>1.8007697824444679E-2</v>
      </c>
      <c r="EH82" s="67">
        <f t="shared" si="24"/>
        <v>1.82498452626936E-2</v>
      </c>
      <c r="EI82" s="67">
        <f t="shared" si="25"/>
        <v>1.9694658310912157E-2</v>
      </c>
      <c r="EJ82" s="67">
        <f t="shared" si="26"/>
        <v>2.1329153519092366E-2</v>
      </c>
      <c r="EK82" s="67">
        <f>EJ81</f>
        <v>2.3056471911934662E-2</v>
      </c>
      <c r="EL82" s="67">
        <f>EK81</f>
        <v>2.4929078767726306E-2</v>
      </c>
      <c r="EM82" s="67">
        <f>EL81</f>
        <v>2.6946974086467308E-2</v>
      </c>
      <c r="EN82" s="67">
        <f>EM81</f>
        <v>2.9134372611982554E-2</v>
      </c>
      <c r="EO82" s="67">
        <f>EN81</f>
        <v>1.5134214890557496E-2</v>
      </c>
      <c r="EP82" s="748">
        <f t="shared" si="11"/>
        <v>0.55642651578269864</v>
      </c>
      <c r="EY82" s="491"/>
      <c r="EZ82" s="491"/>
      <c r="FA82" s="491"/>
      <c r="FB82" s="491"/>
    </row>
    <row r="83" spans="85:158">
      <c r="CG83" s="45"/>
      <c r="CH83" s="45"/>
      <c r="CI83" s="45"/>
      <c r="CJ83" s="45"/>
      <c r="CL83" s="45"/>
      <c r="CM83" s="45"/>
      <c r="CN83" s="45"/>
      <c r="CO83" s="45"/>
      <c r="CQ83" s="45"/>
      <c r="CR83" s="45"/>
      <c r="CS83" s="45"/>
      <c r="CT83" s="45"/>
      <c r="CV83" s="45"/>
      <c r="CW83" s="45"/>
      <c r="CX83" s="45"/>
      <c r="CY83" s="45"/>
      <c r="DA83" s="45"/>
      <c r="DB83" s="45"/>
      <c r="DC83" s="45"/>
      <c r="DD83" s="45"/>
      <c r="DJ83" s="63"/>
      <c r="DK83">
        <f t="shared" si="3"/>
        <v>22</v>
      </c>
      <c r="DM83" s="748">
        <f t="shared" si="4"/>
        <v>1.3670578316483035</v>
      </c>
      <c r="DN83" s="67">
        <f t="shared" si="5"/>
        <v>-0.22408214464614373</v>
      </c>
      <c r="DO83" s="67">
        <f t="shared" si="6"/>
        <v>-0.40357906374819991</v>
      </c>
      <c r="DP83" s="67">
        <f t="shared" si="7"/>
        <v>0.73939662325395994</v>
      </c>
      <c r="DQ83" s="67">
        <f t="shared" si="19"/>
        <v>0.16646320097828707</v>
      </c>
      <c r="EY83" s="491"/>
      <c r="EZ83" s="491"/>
      <c r="FA83" s="491"/>
      <c r="FB83" s="491"/>
    </row>
    <row r="84" spans="85:158">
      <c r="CG84" s="45"/>
      <c r="CH84" s="45"/>
      <c r="CI84" s="45"/>
      <c r="CJ84" s="45"/>
      <c r="CL84" s="45"/>
      <c r="CM84" s="45"/>
      <c r="CN84" s="45"/>
      <c r="CO84" s="45"/>
      <c r="CQ84" s="45"/>
      <c r="CR84" s="45"/>
      <c r="CS84" s="45"/>
      <c r="CT84" s="45"/>
      <c r="CV84" s="45"/>
      <c r="CW84" s="45"/>
      <c r="CX84" s="45"/>
      <c r="CY84" s="45"/>
      <c r="DA84" s="45"/>
      <c r="DB84" s="45"/>
      <c r="DC84" s="45"/>
      <c r="DD84" s="45"/>
      <c r="DJ84" s="63"/>
      <c r="DK84">
        <f t="shared" si="3"/>
        <v>23</v>
      </c>
      <c r="DM84" s="748">
        <f t="shared" si="4"/>
        <v>1.387563699123028</v>
      </c>
      <c r="DN84" s="67">
        <f t="shared" si="5"/>
        <v>-0.22838837681583588</v>
      </c>
      <c r="DO84" s="67">
        <f t="shared" si="6"/>
        <v>-0.40357906374819991</v>
      </c>
      <c r="DP84" s="67">
        <f t="shared" si="7"/>
        <v>0.75559625855899215</v>
      </c>
      <c r="DQ84" s="67">
        <f t="shared" si="19"/>
        <v>0.15896300626465448</v>
      </c>
      <c r="EY84" s="491"/>
      <c r="EZ84" s="491"/>
      <c r="FA84" s="491"/>
      <c r="FB84" s="491"/>
    </row>
    <row r="85" spans="85:158">
      <c r="CG85" s="45"/>
      <c r="CH85" s="45"/>
      <c r="CI85" s="45"/>
      <c r="CJ85" s="45"/>
      <c r="CL85" s="45"/>
      <c r="CM85" s="45"/>
      <c r="CN85" s="45"/>
      <c r="CO85" s="45"/>
      <c r="CQ85" s="45"/>
      <c r="CR85" s="45"/>
      <c r="CS85" s="45"/>
      <c r="CT85" s="45"/>
      <c r="CV85" s="45"/>
      <c r="CW85" s="45"/>
      <c r="CX85" s="45"/>
      <c r="CY85" s="45"/>
      <c r="DA85" s="45"/>
      <c r="DB85" s="45"/>
      <c r="DC85" s="45"/>
      <c r="DD85" s="45"/>
      <c r="DJ85" s="63"/>
      <c r="DK85">
        <f t="shared" si="3"/>
        <v>24</v>
      </c>
      <c r="DM85" s="748">
        <f t="shared" si="4"/>
        <v>1.4083771546098733</v>
      </c>
      <c r="DN85" s="67">
        <f t="shared" si="5"/>
        <v>-0.23275920246807338</v>
      </c>
      <c r="DO85" s="67">
        <f t="shared" si="6"/>
        <v>-0.40357906374819991</v>
      </c>
      <c r="DP85" s="67">
        <f t="shared" si="7"/>
        <v>0.77203888839360002</v>
      </c>
      <c r="DQ85" s="67">
        <f t="shared" si="19"/>
        <v>0.15177873725861685</v>
      </c>
    </row>
    <row r="86" spans="85:158">
      <c r="CG86" s="45"/>
      <c r="CH86" s="45"/>
      <c r="CI86" s="45"/>
      <c r="CJ86" s="45"/>
      <c r="CL86" s="45"/>
      <c r="CM86" s="45"/>
      <c r="CN86" s="45"/>
      <c r="CO86" s="45"/>
      <c r="CQ86" s="45"/>
      <c r="CR86" s="45"/>
      <c r="CS86" s="45"/>
      <c r="CT86" s="45"/>
      <c r="CV86" s="45"/>
      <c r="CW86" s="45"/>
      <c r="CX86" s="45"/>
      <c r="CY86" s="45"/>
      <c r="DA86" s="45"/>
      <c r="DB86" s="45"/>
      <c r="DC86" s="45"/>
      <c r="DD86" s="45"/>
      <c r="DJ86" s="63"/>
      <c r="DK86">
        <f t="shared" si="3"/>
        <v>25</v>
      </c>
      <c r="DM86" s="748">
        <f t="shared" si="4"/>
        <v>1.4295028119290214</v>
      </c>
      <c r="DN86" s="67">
        <f t="shared" si="5"/>
        <v>-0.23719559050509448</v>
      </c>
      <c r="DO86" s="67">
        <f t="shared" si="6"/>
        <v>-0.40357906374819991</v>
      </c>
      <c r="DP86" s="67">
        <f t="shared" si="7"/>
        <v>0.78872815767572702</v>
      </c>
      <c r="DQ86" s="67">
        <f t="shared" si="19"/>
        <v>0.14489873500009462</v>
      </c>
    </row>
    <row r="87" spans="85:158">
      <c r="CG87" s="45"/>
      <c r="CH87" s="45"/>
      <c r="CI87" s="45"/>
      <c r="CJ87" s="45"/>
      <c r="CL87" s="45"/>
      <c r="CM87" s="45"/>
      <c r="CN87" s="45"/>
      <c r="CO87" s="45"/>
      <c r="CQ87" s="45"/>
      <c r="CR87" s="45"/>
      <c r="CS87" s="45"/>
      <c r="CT87" s="45"/>
      <c r="CV87" s="45"/>
      <c r="CW87" s="45"/>
      <c r="CX87" s="45"/>
      <c r="CY87" s="45"/>
      <c r="DA87" s="45"/>
      <c r="DB87" s="45"/>
      <c r="DC87" s="45"/>
      <c r="DD87" s="45"/>
      <c r="DJ87" s="63"/>
      <c r="DK87">
        <f t="shared" si="3"/>
        <v>26</v>
      </c>
      <c r="DM87" s="748">
        <f t="shared" si="4"/>
        <v>1.4509453541079567</v>
      </c>
      <c r="DN87" s="67">
        <f t="shared" si="5"/>
        <v>-0.24169852436267089</v>
      </c>
      <c r="DO87" s="67">
        <f t="shared" si="6"/>
        <v>-0.40357906374819991</v>
      </c>
      <c r="DP87" s="67">
        <f t="shared" si="7"/>
        <v>0.80566776599708589</v>
      </c>
      <c r="DQ87" s="67">
        <f t="shared" si="19"/>
        <v>0.13831163867924709</v>
      </c>
    </row>
    <row r="88" spans="85:158">
      <c r="CG88" s="45"/>
      <c r="CH88" s="45"/>
      <c r="CI88" s="45"/>
      <c r="CJ88" s="45"/>
      <c r="CL88" s="45"/>
      <c r="CM88" s="45"/>
      <c r="CN88" s="45"/>
      <c r="CO88" s="45"/>
      <c r="CQ88" s="45"/>
      <c r="CR88" s="45"/>
      <c r="CS88" s="45"/>
      <c r="CT88" s="45"/>
      <c r="CV88" s="45"/>
      <c r="CW88" s="45"/>
      <c r="CX88" s="45"/>
      <c r="CY88" s="45"/>
      <c r="DA88" s="45"/>
      <c r="DB88" s="45"/>
      <c r="DC88" s="45"/>
      <c r="DD88" s="45"/>
      <c r="DJ88" s="63"/>
      <c r="DK88">
        <f t="shared" si="3"/>
        <v>27</v>
      </c>
      <c r="DM88" s="748">
        <f t="shared" si="4"/>
        <v>1.472709534419576</v>
      </c>
      <c r="DN88" s="67">
        <f t="shared" si="5"/>
        <v>-0.24626900222811093</v>
      </c>
      <c r="DO88" s="67">
        <f t="shared" si="6"/>
        <v>-0.40357906374819991</v>
      </c>
      <c r="DP88" s="67">
        <f t="shared" si="7"/>
        <v>0.82286146844326513</v>
      </c>
      <c r="DQ88" s="67">
        <f t="shared" si="19"/>
        <v>0.13200639009637202</v>
      </c>
    </row>
    <row r="89" spans="85:158">
      <c r="CG89" s="45"/>
      <c r="CH89" s="45"/>
      <c r="CI89" s="45"/>
      <c r="CJ89" s="45"/>
      <c r="CL89" s="45"/>
      <c r="CM89" s="45"/>
      <c r="CN89" s="45"/>
      <c r="CO89" s="45"/>
      <c r="CQ89" s="45"/>
      <c r="CR89" s="45"/>
      <c r="CS89" s="45"/>
      <c r="CT89" s="45"/>
      <c r="CV89" s="45"/>
      <c r="CW89" s="45"/>
      <c r="CX89" s="45"/>
      <c r="CY89" s="45"/>
      <c r="DA89" s="45"/>
      <c r="DB89" s="45"/>
      <c r="DC89" s="45"/>
      <c r="DD89" s="45"/>
      <c r="DJ89" s="63"/>
      <c r="DK89">
        <f t="shared" si="3"/>
        <v>28</v>
      </c>
      <c r="DM89" s="748">
        <f t="shared" si="4"/>
        <v>1.4948001774358695</v>
      </c>
      <c r="DN89" s="67">
        <f t="shared" si="5"/>
        <v>-0.25090803726153255</v>
      </c>
      <c r="DO89" s="67">
        <f t="shared" si="6"/>
        <v>-0.40357906374819991</v>
      </c>
      <c r="DP89" s="67">
        <f t="shared" si="7"/>
        <v>0.84031307642613684</v>
      </c>
      <c r="DQ89" s="67">
        <f t="shared" si="19"/>
        <v>0.12597223659336859</v>
      </c>
    </row>
    <row r="90" spans="85:158">
      <c r="CG90" s="45"/>
      <c r="CH90" s="45"/>
      <c r="CI90" s="45"/>
      <c r="CJ90" s="45"/>
      <c r="CL90" s="45"/>
      <c r="CM90" s="45"/>
      <c r="CN90" s="45"/>
      <c r="CO90" s="45"/>
      <c r="CQ90" s="45"/>
      <c r="CR90" s="45"/>
      <c r="CS90" s="45"/>
      <c r="CT90" s="45"/>
      <c r="CV90" s="45"/>
      <c r="CW90" s="45"/>
      <c r="CX90" s="45"/>
      <c r="CY90" s="45"/>
      <c r="DA90" s="45"/>
      <c r="DB90" s="45"/>
      <c r="DC90" s="45"/>
      <c r="DD90" s="45"/>
      <c r="DJ90" s="63"/>
      <c r="DK90">
        <f t="shared" si="3"/>
        <v>29</v>
      </c>
      <c r="DM90" s="748">
        <f t="shared" si="4"/>
        <v>1.5172221800974073</v>
      </c>
      <c r="DN90" s="67">
        <f t="shared" si="5"/>
        <v>-0.25561665782045551</v>
      </c>
      <c r="DO90" s="67">
        <f t="shared" si="6"/>
        <v>-0.40357906374819991</v>
      </c>
      <c r="DP90" s="67">
        <f t="shared" si="7"/>
        <v>0.85802645852875181</v>
      </c>
      <c r="DQ90" s="67">
        <f t="shared" si="19"/>
        <v>0.12019873262060049</v>
      </c>
    </row>
    <row r="91" spans="85:158">
      <c r="CG91" s="45"/>
      <c r="CH91" s="45"/>
      <c r="CI91" s="45"/>
      <c r="CJ91" s="45"/>
      <c r="CL91" s="45"/>
      <c r="CM91" s="45"/>
      <c r="CN91" s="45"/>
      <c r="CO91" s="45"/>
      <c r="CQ91" s="45"/>
      <c r="CR91" s="45"/>
      <c r="CS91" s="45"/>
      <c r="CT91" s="45"/>
      <c r="CV91" s="45"/>
      <c r="CW91" s="45"/>
      <c r="CX91" s="45"/>
      <c r="CY91" s="45"/>
      <c r="DA91" s="45"/>
      <c r="DB91" s="45"/>
      <c r="DC91" s="45"/>
      <c r="DD91" s="45"/>
      <c r="DJ91" s="63"/>
      <c r="DK91">
        <f t="shared" si="3"/>
        <v>30</v>
      </c>
      <c r="DM91" s="748">
        <f t="shared" si="4"/>
        <v>1.5399805127988682</v>
      </c>
      <c r="DN91" s="67">
        <f t="shared" si="5"/>
        <v>-0.26039590768776227</v>
      </c>
      <c r="DO91" s="67">
        <f t="shared" si="6"/>
        <v>-0.40357906374819991</v>
      </c>
      <c r="DP91" s="67">
        <f t="shared" si="7"/>
        <v>0.87600554136290598</v>
      </c>
      <c r="DQ91" s="67">
        <f t="shared" si="19"/>
        <v>0.11467574008897996</v>
      </c>
    </row>
    <row r="92" spans="85:158">
      <c r="CG92" s="45"/>
      <c r="CH92" s="45"/>
      <c r="CI92" s="45"/>
      <c r="CJ92" s="45"/>
      <c r="CL92" s="45"/>
      <c r="CM92" s="45"/>
      <c r="CN92" s="45"/>
      <c r="CO92" s="45"/>
      <c r="CQ92" s="45"/>
      <c r="CR92" s="45"/>
      <c r="CS92" s="45"/>
      <c r="CT92" s="45"/>
      <c r="CV92" s="45"/>
      <c r="CW92" s="45"/>
      <c r="CX92" s="45"/>
      <c r="CY92" s="45"/>
      <c r="DA92" s="45"/>
      <c r="DB92" s="45"/>
      <c r="DC92" s="45"/>
      <c r="DD92" s="45"/>
      <c r="DJ92" s="63"/>
      <c r="DQ92">
        <f>SUM(DQ62:DQ86)</f>
        <v>7.7671067463184551</v>
      </c>
    </row>
    <row r="93" spans="85:158">
      <c r="CG93" s="45"/>
      <c r="CH93" s="45"/>
      <c r="CI93" s="45"/>
      <c r="CJ93" s="45"/>
      <c r="CL93" s="45"/>
      <c r="CM93" s="45"/>
      <c r="CN93" s="45"/>
      <c r="CO93" s="45"/>
      <c r="CQ93" s="45"/>
      <c r="CR93" s="45"/>
      <c r="CS93" s="45"/>
      <c r="CT93" s="45"/>
      <c r="CV93" s="45"/>
      <c r="CW93" s="45"/>
      <c r="CX93" s="45"/>
      <c r="CY93" s="45"/>
      <c r="DA93" s="45"/>
      <c r="DB93" s="45"/>
      <c r="DC93" s="45"/>
      <c r="DD93" s="45"/>
      <c r="DJ93" s="63"/>
    </row>
    <row r="94" spans="85:158">
      <c r="CG94" s="45"/>
      <c r="CH94" s="45"/>
      <c r="CI94" s="45"/>
      <c r="CJ94" s="45"/>
      <c r="CL94" s="45"/>
      <c r="CM94" s="45"/>
      <c r="CN94" s="45"/>
      <c r="CO94" s="45"/>
      <c r="CQ94" s="45"/>
      <c r="CR94" s="45"/>
      <c r="CS94" s="45"/>
      <c r="CT94" s="45"/>
      <c r="CV94" s="45"/>
      <c r="CW94" s="45"/>
      <c r="CX94" s="45"/>
      <c r="CY94" s="45"/>
      <c r="DA94" s="45"/>
      <c r="DB94" s="45"/>
      <c r="DC94" s="45"/>
      <c r="DD94" s="45"/>
      <c r="DJ94" s="63"/>
    </row>
    <row r="95" spans="85:158">
      <c r="CG95" s="45"/>
      <c r="CH95" s="45"/>
      <c r="CI95" s="45"/>
      <c r="CJ95" s="45"/>
      <c r="CL95" s="45"/>
      <c r="CM95" s="45"/>
      <c r="CN95" s="45"/>
      <c r="CO95" s="45"/>
      <c r="CQ95" s="45"/>
      <c r="CR95" s="45"/>
      <c r="CS95" s="45"/>
      <c r="CT95" s="45"/>
      <c r="CV95" s="45"/>
      <c r="CW95" s="45"/>
      <c r="CX95" s="45"/>
      <c r="CY95" s="45"/>
      <c r="DA95" s="45"/>
      <c r="DB95" s="45"/>
      <c r="DC95" s="45"/>
      <c r="DD95" s="45"/>
      <c r="DJ95" s="63"/>
    </row>
    <row r="96" spans="85:158">
      <c r="CG96" s="45"/>
      <c r="CH96" s="45"/>
      <c r="CI96" s="45"/>
      <c r="CJ96" s="45"/>
      <c r="CL96" s="45"/>
      <c r="CM96" s="45"/>
      <c r="CN96" s="45"/>
      <c r="CO96" s="45"/>
      <c r="CQ96" s="45"/>
      <c r="CR96" s="45"/>
      <c r="CS96" s="45"/>
      <c r="CT96" s="45"/>
      <c r="CV96" s="45"/>
      <c r="CW96" s="45"/>
      <c r="CX96" s="45"/>
      <c r="CY96" s="45"/>
      <c r="DA96" s="45"/>
      <c r="DB96" s="45"/>
      <c r="DC96" s="45"/>
      <c r="DD96" s="45"/>
      <c r="DJ96" s="63"/>
    </row>
    <row r="97" spans="85:161">
      <c r="CG97" s="45"/>
      <c r="CH97" s="45"/>
      <c r="CI97" s="45"/>
      <c r="CJ97" s="45"/>
      <c r="CL97" s="45"/>
      <c r="CM97" s="45"/>
      <c r="CN97" s="45"/>
      <c r="CO97" s="45"/>
      <c r="CQ97" s="45"/>
      <c r="CR97" s="45"/>
      <c r="CS97" s="45"/>
      <c r="CT97" s="45"/>
      <c r="CV97" s="45"/>
      <c r="CW97" s="45"/>
      <c r="CX97" s="45"/>
      <c r="CY97" s="45"/>
      <c r="DA97" s="45"/>
      <c r="DB97" s="45"/>
      <c r="DC97" s="45"/>
      <c r="DD97" s="45"/>
    </row>
    <row r="98" spans="85:161">
      <c r="CG98" s="45"/>
      <c r="CH98" s="45"/>
      <c r="CI98" s="45"/>
      <c r="CJ98" s="45"/>
      <c r="CL98" s="45"/>
      <c r="CM98" s="45"/>
      <c r="CN98" s="45"/>
      <c r="CO98" s="45"/>
      <c r="CQ98" s="45"/>
      <c r="CR98" s="45"/>
      <c r="CS98" s="45"/>
      <c r="CT98" s="45"/>
      <c r="CV98" s="45"/>
      <c r="CW98" s="45"/>
      <c r="CX98" s="45"/>
      <c r="CY98" s="45"/>
      <c r="DA98" s="45"/>
      <c r="DB98" s="45"/>
      <c r="DC98" s="45"/>
      <c r="DD98" s="45"/>
      <c r="DJ98" s="82"/>
      <c r="FC98" s="541"/>
      <c r="FD98" s="541"/>
      <c r="FE98" s="541"/>
    </row>
    <row r="99" spans="85:161">
      <c r="CG99" s="45"/>
      <c r="CH99" s="45"/>
      <c r="CI99" s="45"/>
      <c r="CJ99" s="45"/>
      <c r="CL99" s="45"/>
      <c r="CM99" s="45"/>
      <c r="CN99" s="45"/>
      <c r="CO99" s="45"/>
      <c r="CQ99" s="45"/>
      <c r="CR99" s="45"/>
      <c r="CS99" s="45"/>
      <c r="CT99" s="45"/>
      <c r="CV99" s="45"/>
      <c r="CW99" s="45"/>
      <c r="CX99" s="45"/>
      <c r="CY99" s="45"/>
      <c r="DA99" s="45"/>
      <c r="DB99" s="45"/>
      <c r="DC99" s="45"/>
      <c r="DD99" s="45"/>
      <c r="FC99" s="491"/>
      <c r="FD99" s="491"/>
      <c r="FE99" s="491"/>
    </row>
    <row r="100" spans="85:161">
      <c r="CG100" s="45"/>
      <c r="CH100" s="45"/>
      <c r="CI100" s="45"/>
      <c r="CJ100" s="45"/>
      <c r="CL100" s="45"/>
      <c r="CM100" s="45"/>
      <c r="CN100" s="45"/>
      <c r="CO100" s="45"/>
      <c r="CQ100" s="45"/>
      <c r="CR100" s="45"/>
      <c r="CS100" s="45"/>
      <c r="CT100" s="45"/>
      <c r="CV100" s="45"/>
      <c r="CW100" s="45"/>
      <c r="CX100" s="45"/>
      <c r="CY100" s="45"/>
      <c r="DA100" s="45"/>
      <c r="DB100" s="45"/>
      <c r="DC100" s="45"/>
      <c r="DD100" s="45"/>
      <c r="FC100" s="491"/>
      <c r="FD100" s="491"/>
      <c r="FE100" s="491"/>
    </row>
    <row r="101" spans="85:161">
      <c r="CG101" s="45"/>
      <c r="CH101" s="45"/>
      <c r="CI101" s="45"/>
      <c r="CJ101" s="45"/>
      <c r="CL101" s="45"/>
      <c r="CM101" s="45"/>
      <c r="CN101" s="45"/>
      <c r="CO101" s="45"/>
      <c r="CQ101" s="45"/>
      <c r="CR101" s="45"/>
      <c r="CS101" s="45"/>
      <c r="CT101" s="45"/>
      <c r="CV101" s="45"/>
      <c r="CW101" s="45"/>
      <c r="CX101" s="45"/>
      <c r="CY101" s="45"/>
      <c r="DA101" s="45"/>
      <c r="DB101" s="45"/>
      <c r="DC101" s="45"/>
      <c r="DD101" s="45"/>
      <c r="FC101" s="491"/>
      <c r="FD101" s="491"/>
      <c r="FE101" s="491"/>
    </row>
    <row r="102" spans="85:161">
      <c r="CG102" s="45"/>
      <c r="CH102" s="45"/>
      <c r="CI102" s="45"/>
      <c r="CJ102" s="45"/>
      <c r="CL102" s="45"/>
      <c r="CM102" s="45"/>
      <c r="CN102" s="45"/>
      <c r="CO102" s="45"/>
      <c r="CQ102" s="45"/>
      <c r="CR102" s="45"/>
      <c r="CS102" s="45"/>
      <c r="CT102" s="45"/>
      <c r="CV102" s="45"/>
      <c r="CW102" s="45"/>
      <c r="CX102" s="45"/>
      <c r="CY102" s="45"/>
      <c r="DA102" s="45"/>
      <c r="DB102" s="45"/>
      <c r="DC102" s="45"/>
      <c r="DD102" s="45"/>
      <c r="DI102" s="82"/>
      <c r="FC102" s="491"/>
      <c r="FD102" s="491"/>
      <c r="FE102" s="491"/>
    </row>
    <row r="103" spans="85:161">
      <c r="CG103" s="45"/>
      <c r="CH103" s="45"/>
      <c r="CI103" s="45"/>
      <c r="CJ103" s="45"/>
      <c r="CL103" s="45"/>
      <c r="CM103" s="45"/>
      <c r="CN103" s="45"/>
      <c r="CO103" s="45"/>
      <c r="CQ103" s="45"/>
      <c r="CR103" s="45"/>
      <c r="CS103" s="45"/>
      <c r="CT103" s="45"/>
      <c r="CV103" s="45"/>
      <c r="CW103" s="45"/>
      <c r="CX103" s="45"/>
      <c r="CY103" s="45"/>
      <c r="DA103" s="45"/>
      <c r="DB103" s="45"/>
      <c r="DC103" s="45"/>
      <c r="DD103" s="45"/>
      <c r="FC103" s="491"/>
      <c r="FD103" s="491"/>
      <c r="FE103" s="491"/>
    </row>
    <row r="104" spans="85:161">
      <c r="CG104" s="45"/>
      <c r="CH104" s="45"/>
      <c r="CI104" s="45"/>
      <c r="CJ104" s="45"/>
      <c r="CL104" s="45"/>
      <c r="CM104" s="45"/>
      <c r="CN104" s="45"/>
      <c r="CO104" s="45"/>
      <c r="CQ104" s="45"/>
      <c r="CR104" s="45"/>
      <c r="CS104" s="45"/>
      <c r="CT104" s="45"/>
      <c r="CV104" s="45"/>
      <c r="CW104" s="45"/>
      <c r="CX104" s="45"/>
      <c r="CY104" s="45"/>
      <c r="DA104" s="45"/>
      <c r="DB104" s="45"/>
      <c r="DC104" s="45"/>
      <c r="DD104" s="45"/>
      <c r="FC104" s="491"/>
      <c r="FD104" s="491"/>
      <c r="FE104" s="491"/>
    </row>
    <row r="105" spans="85:161">
      <c r="CG105" s="45"/>
      <c r="CH105" s="45"/>
      <c r="CI105" s="45"/>
      <c r="CJ105" s="45"/>
      <c r="CL105" s="45"/>
      <c r="CM105" s="45"/>
      <c r="CN105" s="45"/>
      <c r="CO105" s="45"/>
      <c r="CQ105" s="45"/>
      <c r="CR105" s="45"/>
      <c r="CS105" s="45"/>
      <c r="CT105" s="45"/>
      <c r="CV105" s="45"/>
      <c r="CW105" s="45"/>
      <c r="CX105" s="45"/>
      <c r="CY105" s="45"/>
      <c r="DA105" s="45"/>
      <c r="DB105" s="45"/>
      <c r="DC105" s="45"/>
      <c r="DD105" s="45"/>
      <c r="FC105" s="491"/>
      <c r="FD105" s="491"/>
      <c r="FE105" s="491"/>
    </row>
    <row r="106" spans="85:161">
      <c r="CG106" s="45"/>
      <c r="CH106" s="45"/>
      <c r="CI106" s="45"/>
      <c r="CJ106" s="45"/>
      <c r="CL106" s="45"/>
      <c r="CM106" s="45"/>
      <c r="CN106" s="45"/>
      <c r="CO106" s="45"/>
      <c r="CQ106" s="45"/>
      <c r="CR106" s="45"/>
      <c r="CS106" s="45"/>
      <c r="CT106" s="45"/>
      <c r="CV106" s="45"/>
      <c r="CW106" s="45"/>
      <c r="CX106" s="45"/>
      <c r="CY106" s="45"/>
      <c r="DA106" s="45"/>
      <c r="DB106" s="45"/>
      <c r="DC106" s="45"/>
      <c r="DD106" s="45"/>
      <c r="FC106" s="491"/>
      <c r="FD106" s="491"/>
      <c r="FE106" s="491"/>
    </row>
    <row r="107" spans="85:161">
      <c r="CG107" s="45"/>
      <c r="CH107" s="45"/>
      <c r="CI107" s="45"/>
      <c r="CJ107" s="45"/>
      <c r="CL107" s="45"/>
      <c r="CM107" s="45"/>
      <c r="CN107" s="45"/>
      <c r="CO107" s="45"/>
      <c r="CQ107" s="45"/>
      <c r="CR107" s="45"/>
      <c r="CS107" s="45"/>
      <c r="CT107" s="45"/>
      <c r="CV107" s="45"/>
      <c r="CW107" s="45"/>
      <c r="CX107" s="45"/>
      <c r="CY107" s="45"/>
      <c r="DA107" s="45"/>
      <c r="DB107" s="45"/>
      <c r="DC107" s="45"/>
      <c r="DD107" s="45"/>
      <c r="FC107" s="491"/>
      <c r="FD107" s="491"/>
      <c r="FE107" s="491"/>
    </row>
    <row r="108" spans="85:161">
      <c r="CG108" s="45"/>
      <c r="CH108" s="45"/>
      <c r="CI108" s="45"/>
      <c r="CJ108" s="45"/>
      <c r="CL108" s="45"/>
      <c r="CM108" s="45"/>
      <c r="CN108" s="45"/>
      <c r="CO108" s="45"/>
      <c r="CQ108" s="45"/>
      <c r="CR108" s="45"/>
      <c r="CS108" s="45"/>
      <c r="CT108" s="45"/>
      <c r="CV108" s="45"/>
      <c r="CW108" s="45"/>
      <c r="CX108" s="45"/>
      <c r="CY108" s="45"/>
      <c r="DA108" s="45"/>
      <c r="DB108" s="45"/>
      <c r="DC108" s="45"/>
      <c r="DD108" s="45"/>
      <c r="FC108" s="491"/>
      <c r="FD108" s="491"/>
      <c r="FE108" s="491"/>
    </row>
    <row r="109" spans="85:161">
      <c r="CG109" s="45"/>
      <c r="CH109" s="45"/>
      <c r="CI109" s="45"/>
      <c r="CJ109" s="45"/>
      <c r="CL109" s="45"/>
      <c r="CM109" s="45"/>
      <c r="CN109" s="45"/>
      <c r="CO109" s="45"/>
      <c r="CQ109" s="45"/>
      <c r="CR109" s="45"/>
      <c r="CS109" s="45"/>
      <c r="CT109" s="45"/>
      <c r="CV109" s="45"/>
      <c r="CW109" s="45"/>
      <c r="CX109" s="45"/>
      <c r="CY109" s="45"/>
      <c r="DA109" s="45"/>
      <c r="DB109" s="45"/>
      <c r="DC109" s="45"/>
      <c r="DD109" s="45"/>
      <c r="FC109" s="491"/>
      <c r="FD109" s="491"/>
      <c r="FE109" s="491"/>
    </row>
    <row r="110" spans="85:161">
      <c r="CG110" s="45"/>
      <c r="CH110" s="45"/>
      <c r="CI110" s="45"/>
      <c r="CJ110" s="45"/>
      <c r="CL110" s="45"/>
      <c r="CM110" s="45"/>
      <c r="CN110" s="45"/>
      <c r="CO110" s="45"/>
      <c r="CQ110" s="45"/>
      <c r="CR110" s="45"/>
      <c r="CS110" s="45"/>
      <c r="CT110" s="45"/>
      <c r="CV110" s="45"/>
      <c r="CW110" s="45"/>
      <c r="CX110" s="45"/>
      <c r="CY110" s="45"/>
      <c r="DA110" s="45"/>
      <c r="DB110" s="45"/>
      <c r="DC110" s="45"/>
      <c r="DD110" s="45"/>
      <c r="FC110" s="491"/>
      <c r="FD110" s="491"/>
      <c r="FE110" s="491"/>
    </row>
    <row r="111" spans="85:161">
      <c r="CG111" s="45"/>
      <c r="CH111" s="45"/>
      <c r="CI111" s="45"/>
      <c r="CJ111" s="45"/>
      <c r="CL111" s="45"/>
      <c r="CM111" s="45"/>
      <c r="CN111" s="45"/>
      <c r="CO111" s="45"/>
      <c r="CQ111" s="45"/>
      <c r="CR111" s="45"/>
      <c r="CS111" s="45"/>
      <c r="CT111" s="45"/>
      <c r="CV111" s="45"/>
      <c r="CW111" s="45"/>
      <c r="CX111" s="45"/>
      <c r="CY111" s="45"/>
      <c r="DA111" s="45"/>
      <c r="DB111" s="45"/>
      <c r="DC111" s="45"/>
      <c r="DD111" s="45"/>
      <c r="FC111" s="491"/>
      <c r="FD111" s="491"/>
      <c r="FE111" s="491"/>
    </row>
    <row r="112" spans="85:161">
      <c r="CG112" s="45"/>
      <c r="CH112" s="45"/>
      <c r="CI112" s="45"/>
      <c r="CJ112" s="45"/>
      <c r="CL112" s="45"/>
      <c r="CM112" s="45"/>
      <c r="CN112" s="45"/>
      <c r="CO112" s="45"/>
      <c r="CQ112" s="45"/>
      <c r="CR112" s="45"/>
      <c r="CS112" s="45"/>
      <c r="CT112" s="45"/>
      <c r="CV112" s="45"/>
      <c r="CW112" s="45"/>
      <c r="CX112" s="45"/>
      <c r="CY112" s="45"/>
      <c r="DA112" s="45"/>
      <c r="DB112" s="45"/>
      <c r="DC112" s="45"/>
      <c r="DD112" s="45"/>
      <c r="FC112" s="491"/>
      <c r="FD112" s="491"/>
      <c r="FE112" s="491"/>
    </row>
    <row r="113" spans="70:161">
      <c r="CG113" s="45"/>
      <c r="CH113" s="45"/>
      <c r="CI113" s="45"/>
      <c r="CJ113" s="45"/>
      <c r="CL113" s="45"/>
      <c r="CM113" s="45"/>
      <c r="CN113" s="45"/>
      <c r="CO113" s="45"/>
      <c r="CQ113" s="45"/>
      <c r="CR113" s="45"/>
      <c r="CS113" s="45"/>
      <c r="CT113" s="45"/>
      <c r="CV113" s="45"/>
      <c r="CW113" s="45"/>
      <c r="CX113" s="45"/>
      <c r="CY113" s="45"/>
      <c r="DA113" s="45"/>
      <c r="DB113" s="45"/>
      <c r="DC113" s="45"/>
      <c r="DD113" s="45"/>
      <c r="FC113" s="491"/>
      <c r="FD113" s="491"/>
      <c r="FE113" s="491"/>
    </row>
    <row r="114" spans="70:161">
      <c r="CG114" s="45"/>
      <c r="CH114" s="45"/>
      <c r="CI114" s="45"/>
      <c r="CJ114" s="45"/>
      <c r="CL114" s="45"/>
      <c r="CM114" s="45"/>
      <c r="CN114" s="45"/>
      <c r="CO114" s="45"/>
      <c r="CQ114" s="45"/>
      <c r="CR114" s="45"/>
      <c r="CS114" s="45"/>
      <c r="CT114" s="45"/>
      <c r="CV114" s="45"/>
      <c r="CW114" s="45"/>
      <c r="CX114" s="45"/>
      <c r="CY114" s="45"/>
      <c r="DA114" s="45"/>
      <c r="DB114" s="45"/>
      <c r="DC114" s="45"/>
      <c r="DD114" s="45"/>
      <c r="FC114" s="491"/>
      <c r="FD114" s="491"/>
      <c r="FE114" s="491"/>
    </row>
    <row r="115" spans="70:161">
      <c r="CG115" s="45"/>
      <c r="CH115" s="45"/>
      <c r="CI115" s="45"/>
      <c r="CJ115" s="45"/>
      <c r="FC115" s="491"/>
      <c r="FD115" s="491"/>
      <c r="FE115" s="491"/>
    </row>
    <row r="116" spans="70:161">
      <c r="CG116" s="45"/>
      <c r="CH116" s="45"/>
      <c r="CI116" s="45"/>
      <c r="CJ116" s="45"/>
      <c r="FC116" s="491"/>
      <c r="FD116" s="491"/>
      <c r="FE116" s="491"/>
    </row>
    <row r="117" spans="70:161">
      <c r="CG117" s="45"/>
      <c r="CH117" s="45"/>
      <c r="CI117" s="45"/>
      <c r="CJ117" s="45"/>
      <c r="FC117" s="491"/>
      <c r="FD117" s="491"/>
      <c r="FE117" s="491"/>
    </row>
    <row r="118" spans="70:161">
      <c r="CG118" s="45"/>
      <c r="CH118" s="45"/>
      <c r="CI118" s="45"/>
      <c r="CJ118" s="45"/>
      <c r="FC118" s="491"/>
      <c r="FD118" s="491"/>
      <c r="FE118" s="491"/>
    </row>
    <row r="119" spans="70:161">
      <c r="CG119" s="45"/>
      <c r="CH119" s="45"/>
      <c r="CI119" s="45"/>
      <c r="CJ119" s="45"/>
      <c r="FC119" s="491"/>
      <c r="FD119" s="491"/>
      <c r="FE119" s="491"/>
    </row>
    <row r="120" spans="70:161">
      <c r="CG120" s="45"/>
      <c r="CH120" s="45"/>
      <c r="CI120" s="45"/>
      <c r="CJ120" s="45"/>
      <c r="FC120" s="491"/>
      <c r="FD120" s="491"/>
      <c r="FE120" s="491"/>
    </row>
    <row r="121" spans="70:161">
      <c r="CG121" s="45"/>
      <c r="CH121" s="45"/>
      <c r="CI121" s="45"/>
      <c r="CJ121" s="45"/>
      <c r="FC121" s="491"/>
      <c r="FD121" s="491"/>
      <c r="FE121" s="491"/>
    </row>
    <row r="122" spans="70:161">
      <c r="CG122" s="45"/>
      <c r="CH122" s="45"/>
      <c r="CI122" s="45"/>
      <c r="CJ122" s="45"/>
      <c r="FC122" s="491"/>
      <c r="FD122" s="491"/>
      <c r="FE122" s="491"/>
    </row>
    <row r="123" spans="70:161">
      <c r="CG123" s="45"/>
      <c r="CH123" s="45"/>
      <c r="CI123" s="45"/>
      <c r="CJ123" s="45"/>
      <c r="FC123" s="491"/>
      <c r="FD123" s="491"/>
      <c r="FE123" s="491"/>
    </row>
    <row r="124" spans="70:161">
      <c r="CG124" s="45"/>
      <c r="CH124" s="45"/>
      <c r="CI124" s="45"/>
      <c r="CJ124" s="45"/>
      <c r="FC124" s="491"/>
      <c r="FD124" s="491"/>
      <c r="FE124" s="491"/>
    </row>
    <row r="125" spans="70:161">
      <c r="CG125" s="45"/>
      <c r="CH125" s="45"/>
      <c r="CI125" s="45"/>
      <c r="CJ125" s="45"/>
      <c r="FC125" s="491"/>
      <c r="FD125" s="491"/>
      <c r="FE125" s="491"/>
    </row>
    <row r="126" spans="70:161">
      <c r="CG126" s="45"/>
      <c r="CH126" s="45"/>
      <c r="CI126" s="45"/>
      <c r="CJ126" s="45"/>
      <c r="EY126" s="491"/>
      <c r="EZ126" s="491"/>
      <c r="FA126" s="491"/>
      <c r="FB126" s="491"/>
      <c r="FC126" s="491"/>
      <c r="FD126" s="491"/>
      <c r="FE126" s="491"/>
    </row>
    <row r="127" spans="70:161">
      <c r="BR127" s="491"/>
      <c r="CG127" s="45"/>
      <c r="CH127" s="45"/>
      <c r="CI127" s="45"/>
      <c r="CJ127" s="45"/>
      <c r="EY127" s="491"/>
      <c r="EZ127" s="491"/>
      <c r="FA127" s="491"/>
      <c r="FB127" s="491"/>
      <c r="FC127" s="491"/>
      <c r="FD127" s="491"/>
      <c r="FE127" s="491"/>
    </row>
    <row r="128" spans="70:161">
      <c r="BR128" s="491"/>
      <c r="CG128" s="45"/>
      <c r="CH128" s="45"/>
      <c r="CI128" s="45"/>
      <c r="CJ128" s="45"/>
      <c r="EY128" s="491"/>
      <c r="EZ128" s="491"/>
      <c r="FA128" s="491"/>
      <c r="FB128" s="491"/>
      <c r="FC128" s="491"/>
      <c r="FD128" s="491"/>
      <c r="FE128" s="491"/>
    </row>
    <row r="129" spans="1:169">
      <c r="CG129" s="45"/>
      <c r="CH129" s="45"/>
      <c r="CI129" s="45"/>
      <c r="CJ129" s="45"/>
      <c r="EY129" s="491"/>
      <c r="EZ129" s="491"/>
      <c r="FA129" s="491"/>
      <c r="FB129" s="491"/>
      <c r="FC129" s="491"/>
      <c r="FD129" s="491"/>
      <c r="FE129" s="491"/>
    </row>
    <row r="130" spans="1:169">
      <c r="BS130" s="491"/>
      <c r="BT130" s="491"/>
      <c r="BU130" s="491"/>
      <c r="BV130" s="491"/>
      <c r="BW130" s="491"/>
      <c r="BX130" s="491"/>
      <c r="BY130" s="491"/>
      <c r="BZ130" s="491"/>
      <c r="CA130" s="491"/>
      <c r="CB130" s="491"/>
      <c r="CC130" s="491"/>
      <c r="CD130" s="491"/>
      <c r="CE130" s="491"/>
      <c r="CF130" s="491"/>
      <c r="CG130" s="45"/>
      <c r="CH130" s="45"/>
      <c r="CI130" s="45"/>
      <c r="CJ130" s="45"/>
      <c r="CK130" s="491"/>
      <c r="CL130" s="491"/>
      <c r="CM130" s="491"/>
      <c r="CN130" s="491"/>
      <c r="CO130" s="491"/>
      <c r="CP130" s="491"/>
      <c r="CQ130" s="491"/>
      <c r="CR130" s="491"/>
      <c r="CS130" s="491"/>
      <c r="CT130" s="491"/>
      <c r="CU130" s="491"/>
      <c r="CV130" s="491"/>
      <c r="CW130" s="491"/>
      <c r="CX130" s="491"/>
      <c r="CY130" s="491"/>
      <c r="CZ130" s="491"/>
      <c r="DA130" s="491"/>
      <c r="DB130" s="491"/>
      <c r="DC130" s="491"/>
      <c r="DD130" s="491"/>
      <c r="DE130" s="491"/>
      <c r="DF130" s="491"/>
      <c r="EW130" s="541"/>
      <c r="EX130" s="541"/>
      <c r="EY130" s="491"/>
      <c r="EZ130" s="491"/>
      <c r="FA130" s="491"/>
      <c r="FB130" s="491"/>
      <c r="FC130" s="491"/>
      <c r="FD130" s="491"/>
      <c r="FE130" s="491"/>
    </row>
    <row r="131" spans="1:169">
      <c r="BS131" s="491"/>
      <c r="BT131" s="491"/>
      <c r="BU131" s="491"/>
      <c r="BV131" s="491"/>
      <c r="BW131" s="491"/>
      <c r="BX131" s="491"/>
      <c r="BY131" s="491"/>
      <c r="BZ131" s="491"/>
      <c r="CA131" s="491"/>
      <c r="CB131" s="491"/>
      <c r="CC131" s="491"/>
      <c r="CD131" s="491"/>
      <c r="CE131" s="491"/>
      <c r="CF131" s="491"/>
      <c r="CG131" s="45"/>
      <c r="CH131" s="45"/>
      <c r="CI131" s="45"/>
      <c r="CJ131" s="45"/>
      <c r="CK131" s="491"/>
      <c r="CL131" s="491"/>
      <c r="CM131" s="491"/>
      <c r="CN131" s="491"/>
      <c r="CO131" s="491"/>
      <c r="CP131" s="491"/>
      <c r="CQ131" s="491"/>
      <c r="CR131" s="491"/>
      <c r="CS131" s="491"/>
      <c r="CT131" s="491"/>
      <c r="CU131" s="491"/>
      <c r="CV131" s="491"/>
      <c r="CW131" s="491"/>
      <c r="CX131" s="491"/>
      <c r="CY131" s="491"/>
      <c r="CZ131" s="491"/>
      <c r="DA131" s="491"/>
      <c r="DB131" s="491"/>
      <c r="DC131" s="491"/>
      <c r="DD131" s="491"/>
      <c r="DE131" s="491"/>
      <c r="DF131" s="491"/>
      <c r="DG131" s="491"/>
      <c r="DH131" s="491"/>
      <c r="EW131" s="491"/>
      <c r="EX131" s="491"/>
      <c r="EY131" s="491"/>
      <c r="EZ131" s="491"/>
      <c r="FA131" s="491"/>
      <c r="FB131" s="491"/>
      <c r="FC131" s="491"/>
      <c r="FD131" s="491"/>
      <c r="FE131" s="491"/>
    </row>
    <row r="132" spans="1:169">
      <c r="CG132" s="45"/>
      <c r="CH132" s="45"/>
      <c r="CI132" s="45"/>
      <c r="CJ132" s="45"/>
      <c r="DG132" s="491"/>
      <c r="DH132" s="491"/>
      <c r="EW132" s="491"/>
      <c r="EX132" s="491"/>
      <c r="EY132" s="491"/>
      <c r="EZ132" s="491"/>
      <c r="FA132" s="491"/>
      <c r="FB132" s="491"/>
      <c r="FC132" s="491"/>
      <c r="FD132" s="491"/>
      <c r="FE132" s="491"/>
    </row>
    <row r="133" spans="1:169">
      <c r="CG133" s="45"/>
      <c r="CH133" s="45"/>
      <c r="CI133" s="45"/>
      <c r="CJ133" s="45"/>
      <c r="EW133" s="491"/>
      <c r="EX133" s="491"/>
      <c r="EY133" s="491"/>
      <c r="EZ133" s="491"/>
      <c r="FA133" s="491"/>
      <c r="FB133" s="491"/>
      <c r="FC133" s="491"/>
      <c r="FD133" s="491"/>
      <c r="FE133" s="491"/>
    </row>
    <row r="134" spans="1:169" s="491" customFormat="1">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s="45"/>
      <c r="CH134" s="45"/>
      <c r="CI134" s="45"/>
      <c r="CJ134" s="45"/>
      <c r="CK134"/>
      <c r="CL134"/>
      <c r="CM134"/>
      <c r="CN134"/>
      <c r="CO134"/>
      <c r="CP134"/>
      <c r="CQ134"/>
      <c r="CR134"/>
      <c r="CS134"/>
      <c r="CT134"/>
      <c r="CU134"/>
      <c r="CV134"/>
      <c r="CW134"/>
      <c r="CX134"/>
      <c r="CY134"/>
      <c r="CZ134"/>
      <c r="DA134"/>
      <c r="DB134"/>
      <c r="DC134"/>
      <c r="DD134"/>
      <c r="DE134"/>
      <c r="DF134"/>
      <c r="DG134"/>
      <c r="DH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FH134"/>
      <c r="FI134"/>
      <c r="FJ134"/>
      <c r="FK134"/>
      <c r="FL134"/>
      <c r="FM134"/>
    </row>
    <row r="135" spans="1:169" s="491" customFormat="1">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s="45"/>
      <c r="CH135" s="45"/>
      <c r="CI135" s="45"/>
      <c r="CJ135" s="45"/>
      <c r="CK135"/>
      <c r="CL135"/>
      <c r="CM135"/>
      <c r="CN135"/>
      <c r="CO135"/>
      <c r="CP135"/>
      <c r="CQ135"/>
      <c r="CR135"/>
      <c r="CS135"/>
      <c r="CT135"/>
      <c r="CU135"/>
      <c r="CV135"/>
      <c r="CW135"/>
      <c r="CX135"/>
      <c r="CY135"/>
      <c r="CZ135"/>
      <c r="DA135"/>
      <c r="DB135"/>
      <c r="DC135"/>
      <c r="DD135"/>
      <c r="DE135"/>
      <c r="DF135"/>
      <c r="DG135"/>
      <c r="DH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FH135"/>
      <c r="FI135"/>
      <c r="FJ135"/>
      <c r="FK135"/>
      <c r="FL135"/>
      <c r="FM135"/>
    </row>
    <row r="136" spans="1:169">
      <c r="CG136" s="45"/>
      <c r="CH136" s="45"/>
      <c r="CI136" s="45"/>
      <c r="CJ136" s="45"/>
      <c r="EW136" s="491"/>
      <c r="EX136" s="491"/>
    </row>
    <row r="137" spans="1:169">
      <c r="CG137" s="45"/>
      <c r="CH137" s="45"/>
      <c r="CI137" s="45"/>
      <c r="CJ137" s="45"/>
      <c r="EW137" s="491"/>
      <c r="EX137" s="491"/>
    </row>
    <row r="138" spans="1:169">
      <c r="CG138" s="45"/>
      <c r="CH138" s="45"/>
      <c r="CI138" s="45"/>
      <c r="CJ138" s="45"/>
      <c r="EW138" s="491"/>
      <c r="EX138" s="491"/>
    </row>
    <row r="139" spans="1:169">
      <c r="CG139" s="45"/>
      <c r="CH139" s="45"/>
      <c r="CI139" s="45"/>
      <c r="CJ139" s="45"/>
      <c r="EW139" s="491"/>
      <c r="EX139" s="491"/>
    </row>
    <row r="140" spans="1:169">
      <c r="CG140" s="45"/>
      <c r="CH140" s="45"/>
      <c r="CI140" s="45"/>
      <c r="CJ140" s="45"/>
      <c r="EW140" s="491"/>
      <c r="EX140" s="491"/>
    </row>
    <row r="141" spans="1:169">
      <c r="CG141" s="45"/>
      <c r="CH141" s="45"/>
      <c r="CI141" s="45"/>
      <c r="CJ141" s="45"/>
      <c r="EW141" s="491"/>
      <c r="EX141" s="491"/>
    </row>
    <row r="142" spans="1:169">
      <c r="CG142" s="45"/>
      <c r="CH142" s="45"/>
      <c r="CI142" s="45"/>
      <c r="CJ142" s="45"/>
      <c r="EW142" s="491"/>
      <c r="EX142" s="491"/>
    </row>
    <row r="143" spans="1:169">
      <c r="CG143" s="45"/>
      <c r="CH143" s="45"/>
      <c r="CI143" s="45"/>
      <c r="CJ143" s="45"/>
      <c r="EW143" s="491"/>
      <c r="EX143" s="491"/>
    </row>
    <row r="144" spans="1:169">
      <c r="CG144" s="45"/>
      <c r="CH144" s="45"/>
      <c r="CI144" s="45"/>
      <c r="CJ144" s="45"/>
      <c r="EW144" s="491"/>
      <c r="EX144" s="491"/>
    </row>
    <row r="145" spans="85:154">
      <c r="CG145" s="45"/>
      <c r="CH145" s="45"/>
      <c r="CI145" s="45"/>
      <c r="CJ145" s="45"/>
      <c r="EW145" s="491"/>
      <c r="EX145" s="491"/>
    </row>
    <row r="146" spans="85:154">
      <c r="CG146" s="45"/>
      <c r="CH146" s="45"/>
      <c r="CI146" s="45"/>
      <c r="CJ146" s="45"/>
      <c r="EW146" s="491"/>
      <c r="EX146" s="491"/>
    </row>
    <row r="147" spans="85:154">
      <c r="CG147" s="45"/>
      <c r="CH147" s="45"/>
      <c r="CI147" s="45"/>
      <c r="CJ147" s="45"/>
      <c r="EW147" s="491"/>
      <c r="EX147" s="491"/>
    </row>
    <row r="148" spans="85:154">
      <c r="CG148" s="45"/>
      <c r="CH148" s="45"/>
      <c r="CI148" s="45"/>
      <c r="CJ148" s="45"/>
      <c r="EW148" s="491"/>
      <c r="EX148" s="491"/>
    </row>
    <row r="149" spans="85:154">
      <c r="CG149" s="45"/>
      <c r="CH149" s="45"/>
      <c r="CI149" s="45"/>
      <c r="CJ149" s="45"/>
    </row>
    <row r="150" spans="85:154">
      <c r="CG150" s="45"/>
      <c r="CH150" s="45"/>
      <c r="CI150" s="45"/>
      <c r="CJ150" s="45"/>
    </row>
    <row r="151" spans="85:154">
      <c r="CG151" s="45"/>
      <c r="CH151" s="45"/>
      <c r="CI151" s="45"/>
      <c r="CJ151" s="45"/>
    </row>
    <row r="152" spans="85:154">
      <c r="CG152" s="45"/>
      <c r="CH152" s="45"/>
      <c r="CI152" s="45"/>
      <c r="CJ152" s="45"/>
    </row>
    <row r="153" spans="85:154">
      <c r="CG153" s="45"/>
      <c r="CH153" s="45"/>
      <c r="CI153" s="45"/>
      <c r="CJ153" s="45"/>
    </row>
    <row r="154" spans="85:154">
      <c r="CG154" s="45"/>
      <c r="CH154" s="45"/>
      <c r="CI154" s="45"/>
      <c r="CJ154" s="45"/>
    </row>
    <row r="155" spans="85:154">
      <c r="CG155" s="45"/>
      <c r="CH155" s="45"/>
      <c r="CI155" s="45"/>
      <c r="CJ155" s="45"/>
    </row>
    <row r="156" spans="85:154">
      <c r="CG156" s="45"/>
      <c r="CH156" s="45"/>
      <c r="CI156" s="45"/>
      <c r="CJ156" s="45"/>
    </row>
    <row r="157" spans="85:154">
      <c r="CG157" s="45"/>
      <c r="CH157" s="45"/>
      <c r="CI157" s="45"/>
      <c r="CJ157" s="45"/>
    </row>
    <row r="158" spans="85:154">
      <c r="CG158" s="45"/>
      <c r="CH158" s="45"/>
      <c r="CI158" s="45"/>
      <c r="CJ158" s="45"/>
    </row>
    <row r="159" spans="85:154">
      <c r="CG159" s="45"/>
      <c r="CH159" s="45"/>
      <c r="CI159" s="45"/>
      <c r="CJ159" s="45"/>
    </row>
    <row r="160" spans="85:154">
      <c r="CG160" s="45"/>
      <c r="CH160" s="45"/>
      <c r="CI160" s="45"/>
      <c r="CJ160" s="45"/>
    </row>
    <row r="161" spans="85:88">
      <c r="CG161" s="45"/>
      <c r="CH161" s="45"/>
      <c r="CI161" s="45"/>
      <c r="CJ161" s="45"/>
    </row>
    <row r="162" spans="85:88">
      <c r="CG162" s="45"/>
      <c r="CH162" s="45"/>
      <c r="CI162" s="45"/>
      <c r="CJ162" s="45"/>
    </row>
    <row r="163" spans="85:88">
      <c r="CG163" s="45"/>
      <c r="CH163" s="45"/>
      <c r="CI163" s="45"/>
      <c r="CJ163" s="45"/>
    </row>
    <row r="164" spans="85:88">
      <c r="CG164" s="45"/>
      <c r="CH164" s="45"/>
      <c r="CI164" s="45"/>
      <c r="CJ164" s="45"/>
    </row>
    <row r="165" spans="85:88">
      <c r="CG165" s="45"/>
      <c r="CH165" s="45"/>
      <c r="CI165" s="45"/>
      <c r="CJ165" s="45"/>
    </row>
    <row r="166" spans="85:88">
      <c r="CG166" s="45"/>
      <c r="CH166" s="45"/>
      <c r="CI166" s="45"/>
      <c r="CJ166" s="45"/>
    </row>
    <row r="195" spans="2:69">
      <c r="B195" s="141"/>
      <c r="C195" s="141"/>
      <c r="D195" s="141"/>
      <c r="E195" s="141"/>
      <c r="F195" s="141"/>
      <c r="G195" s="141"/>
      <c r="H195" s="141"/>
      <c r="I195" s="141"/>
      <c r="J195" s="141"/>
      <c r="K195" s="141"/>
      <c r="L195" s="141"/>
      <c r="M195" s="141"/>
      <c r="N195" s="141"/>
      <c r="O195" s="141"/>
      <c r="P195" s="141"/>
      <c r="Q195" s="141"/>
      <c r="R195" s="141"/>
      <c r="S195" s="141"/>
      <c r="T195" s="141"/>
      <c r="U195" s="141"/>
      <c r="V195" s="141"/>
      <c r="W195" s="141"/>
      <c r="X195" s="141"/>
      <c r="Y195" s="141"/>
      <c r="Z195" s="141"/>
      <c r="AA195" s="141"/>
      <c r="AB195" s="141"/>
      <c r="AC195" s="141"/>
      <c r="AD195" s="141"/>
      <c r="AE195" s="141"/>
      <c r="AF195" s="141"/>
      <c r="AG195" s="141"/>
      <c r="AH195" s="141"/>
      <c r="AI195" s="141"/>
      <c r="AJ195" s="141"/>
      <c r="AK195" s="141"/>
      <c r="AL195" s="141"/>
      <c r="AM195" s="141"/>
      <c r="AN195" s="141"/>
      <c r="AO195" s="141"/>
      <c r="AP195" s="141"/>
      <c r="AQ195" s="141"/>
      <c r="AR195" s="141"/>
      <c r="AS195" s="141"/>
      <c r="AT195" s="141"/>
      <c r="AU195" s="141"/>
      <c r="AV195" s="141"/>
      <c r="AW195" s="141"/>
      <c r="AX195" s="141"/>
      <c r="AY195" s="141"/>
      <c r="AZ195" s="141"/>
      <c r="BA195" s="141"/>
      <c r="BB195" s="141"/>
      <c r="BC195" s="141"/>
      <c r="BD195" s="141"/>
      <c r="BE195" s="141"/>
      <c r="BF195" s="141"/>
      <c r="BG195" s="141"/>
      <c r="BH195" s="141"/>
      <c r="BI195" s="141"/>
      <c r="BJ195" s="141"/>
      <c r="BK195" s="141"/>
      <c r="BL195" s="141"/>
      <c r="BM195" s="141"/>
      <c r="BN195" s="141"/>
      <c r="BO195" s="141"/>
      <c r="BP195" s="141"/>
      <c r="BQ195" s="141"/>
    </row>
  </sheetData>
  <phoneticPr fontId="40" type="noConversion"/>
  <dataValidations disablePrompts="1" count="1">
    <dataValidation type="list" allowBlank="1" showInputMessage="1" showErrorMessage="1" sqref="DU36">
      <formula1>$DV$37:$DV$38</formula1>
    </dataValidation>
  </dataValidations>
  <pageMargins left="0.1" right="0.03" top="0.08" bottom="7.0000000000000007E-2" header="0" footer="0"/>
  <pageSetup scale="42" orientation="portrait" r:id="rId1"/>
  <headerFooter alignWithMargins="0"/>
  <colBreaks count="1" manualBreakCount="1">
    <brk id="93" max="1048575" man="1"/>
  </colBreaks>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I67"/>
  <sheetViews>
    <sheetView zoomScale="80" workbookViewId="0"/>
  </sheetViews>
  <sheetFormatPr defaultRowHeight="12.75" outlineLevelCol="1"/>
  <cols>
    <col min="1" max="2" width="2.7109375" customWidth="1"/>
    <col min="3" max="3" width="40.7109375" customWidth="1"/>
    <col min="4" max="4" width="2.7109375" customWidth="1"/>
    <col min="5" max="8" width="1.7109375" hidden="1" customWidth="1" outlineLevel="1"/>
    <col min="9" max="9" width="9.140625" hidden="1" customWidth="1" outlineLevel="1"/>
    <col min="10" max="13" width="1.7109375" hidden="1" customWidth="1" outlineLevel="1"/>
    <col min="14" max="14" width="9.140625" hidden="1" customWidth="1" outlineLevel="1"/>
    <col min="15" max="18" width="1.7109375" hidden="1" customWidth="1" outlineLevel="1"/>
    <col min="19" max="19" width="9.140625" hidden="1" customWidth="1" outlineLevel="1" collapsed="1"/>
    <col min="20" max="23" width="1.7109375" hidden="1" customWidth="1" outlineLevel="1"/>
    <col min="24" max="24" width="9.140625" collapsed="1"/>
    <col min="25" max="28" width="1.7109375" hidden="1" customWidth="1" outlineLevel="1"/>
    <col min="29" max="29" width="9.140625" collapsed="1"/>
    <col min="30" max="33" width="1.7109375" hidden="1" customWidth="1" outlineLevel="1"/>
    <col min="34" max="34" width="9.140625" collapsed="1"/>
    <col min="35" max="38" width="1.7109375" hidden="1" customWidth="1" outlineLevel="1"/>
    <col min="39" max="39" width="9.140625" collapsed="1"/>
    <col min="40" max="43" width="1.7109375" hidden="1" customWidth="1" outlineLevel="1"/>
    <col min="44" max="44" width="9.140625" collapsed="1"/>
    <col min="45" max="48" width="1.7109375" hidden="1" customWidth="1" outlineLevel="1"/>
    <col min="49" max="49" width="9.140625" collapsed="1"/>
    <col min="50" max="53" width="1.7109375" hidden="1" customWidth="1" outlineLevel="1"/>
    <col min="54" max="54" width="9.140625" collapsed="1"/>
    <col min="55" max="58" width="1.7109375" hidden="1" customWidth="1" outlineLevel="1"/>
    <col min="59" max="59" width="9.140625" collapsed="1"/>
    <col min="60" max="63" width="1.7109375" hidden="1" customWidth="1" outlineLevel="1"/>
    <col min="64" max="64" width="9.140625" collapsed="1"/>
    <col min="65" max="68" width="1.7109375" hidden="1" customWidth="1" outlineLevel="1"/>
    <col min="69" max="69" width="9.140625" collapsed="1"/>
    <col min="70" max="72" width="2.7109375" customWidth="1"/>
    <col min="73" max="73" width="40.7109375" customWidth="1"/>
    <col min="74" max="74" width="2.5703125" customWidth="1"/>
    <col min="75" max="78" width="1.7109375" hidden="1" customWidth="1" outlineLevel="1"/>
    <col min="79" max="79" width="9.140625" hidden="1" customWidth="1" outlineLevel="1"/>
    <col min="80" max="83" width="1.7109375" hidden="1" customWidth="1" outlineLevel="1"/>
    <col min="84" max="84" width="9.140625" hidden="1" customWidth="1" outlineLevel="1"/>
    <col min="85" max="88" width="1.7109375" hidden="1" customWidth="1" outlineLevel="1"/>
    <col min="89" max="89" width="9.140625" hidden="1" customWidth="1" outlineLevel="1" collapsed="1"/>
    <col min="90" max="93" width="1.7109375" hidden="1" customWidth="1" outlineLevel="1"/>
    <col min="94" max="94" width="9.140625" collapsed="1"/>
    <col min="95" max="98" width="1.7109375" hidden="1" customWidth="1" outlineLevel="1"/>
    <col min="99" max="99" width="9.140625" collapsed="1"/>
    <col min="100" max="103" width="1.7109375" hidden="1" customWidth="1" outlineLevel="1"/>
    <col min="104" max="104" width="9.140625" collapsed="1"/>
    <col min="105" max="108" width="1.7109375" hidden="1" customWidth="1" outlineLevel="1"/>
    <col min="109" max="109" width="9.140625" collapsed="1"/>
    <col min="110" max="113" width="1.7109375" hidden="1" customWidth="1" outlineLevel="1"/>
    <col min="114" max="114" width="9.140625" collapsed="1"/>
    <col min="115" max="118" width="1.7109375" hidden="1" customWidth="1" outlineLevel="1"/>
    <col min="119" max="119" width="9.140625" collapsed="1"/>
    <col min="120" max="123" width="1.7109375" hidden="1" customWidth="1" outlineLevel="1"/>
    <col min="124" max="124" width="9.140625" collapsed="1"/>
    <col min="125" max="128" width="1.7109375" hidden="1" customWidth="1" outlineLevel="1"/>
    <col min="129" max="129" width="9.140625" collapsed="1"/>
    <col min="130" max="133" width="1.7109375" hidden="1" customWidth="1" outlineLevel="1"/>
    <col min="134" max="134" width="9.140625" collapsed="1"/>
    <col min="135" max="138" width="1.7109375" hidden="1" customWidth="1" outlineLevel="1"/>
    <col min="139" max="139" width="9.140625" collapsed="1"/>
  </cols>
  <sheetData>
    <row r="1" spans="1:139" ht="15" customHeight="1">
      <c r="A1" s="32"/>
      <c r="B1" s="32"/>
      <c r="C1" s="33"/>
      <c r="D1" s="34"/>
      <c r="E1" s="34"/>
      <c r="F1" s="34"/>
      <c r="G1" s="34"/>
      <c r="H1" s="34"/>
      <c r="I1" s="34"/>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c r="AW1" s="34"/>
      <c r="AX1" s="34"/>
      <c r="AY1" s="34"/>
      <c r="AZ1" s="34"/>
      <c r="BA1" s="34"/>
      <c r="BB1" s="34"/>
      <c r="BC1" s="34"/>
      <c r="BD1" s="34"/>
      <c r="BE1" s="34"/>
      <c r="BF1" s="34"/>
      <c r="BG1" s="34"/>
      <c r="BH1" s="34"/>
      <c r="BI1" s="34"/>
      <c r="BJ1" s="34"/>
      <c r="BK1" s="34"/>
      <c r="BL1" s="34"/>
      <c r="BM1" s="34"/>
      <c r="BN1" s="34"/>
      <c r="BO1" s="34"/>
      <c r="BP1" s="34"/>
      <c r="BQ1" s="34"/>
      <c r="BR1" s="34"/>
      <c r="BS1" s="34"/>
      <c r="BT1" s="34"/>
      <c r="BU1" s="34"/>
      <c r="BV1" s="34"/>
      <c r="BW1" s="34"/>
      <c r="BX1" s="34"/>
      <c r="BY1" s="34"/>
      <c r="BZ1" s="34"/>
      <c r="CA1" s="34"/>
      <c r="CB1" s="34"/>
      <c r="CC1" s="34"/>
      <c r="CD1" s="34"/>
      <c r="CE1" s="34"/>
      <c r="CF1" s="34"/>
      <c r="CG1" s="34"/>
      <c r="CH1" s="34"/>
      <c r="CI1" s="34"/>
      <c r="CJ1" s="34"/>
      <c r="CK1" s="34"/>
      <c r="CL1" s="34"/>
      <c r="CM1" s="34"/>
      <c r="CN1" s="34"/>
      <c r="CO1" s="34"/>
      <c r="CP1" s="34"/>
      <c r="CQ1" s="34"/>
      <c r="CR1" s="34"/>
      <c r="CS1" s="34"/>
      <c r="CT1" s="34"/>
      <c r="CU1" s="34"/>
      <c r="CV1" s="34"/>
      <c r="CW1" s="34"/>
      <c r="CX1" s="34"/>
      <c r="CY1" s="34"/>
      <c r="CZ1" s="34"/>
      <c r="DA1" s="34"/>
      <c r="DB1" s="34"/>
      <c r="DC1" s="34"/>
      <c r="DD1" s="34"/>
      <c r="DE1" s="34"/>
      <c r="DF1" s="34"/>
      <c r="DG1" s="34"/>
      <c r="DH1" s="34"/>
      <c r="DI1" s="34"/>
      <c r="DJ1" s="34"/>
      <c r="DK1" s="34"/>
      <c r="DL1" s="34"/>
      <c r="DM1" s="34"/>
      <c r="DN1" s="34"/>
      <c r="DO1" s="34"/>
      <c r="DP1" s="34"/>
      <c r="DQ1" s="34"/>
      <c r="DR1" s="34"/>
      <c r="DS1" s="34"/>
      <c r="DT1" s="34"/>
      <c r="DU1" s="34"/>
      <c r="DV1" s="34"/>
      <c r="DW1" s="34"/>
      <c r="DX1" s="34"/>
      <c r="DY1" s="34"/>
      <c r="DZ1" s="34"/>
      <c r="EA1" s="34"/>
      <c r="EB1" s="34"/>
      <c r="EC1" s="34"/>
      <c r="ED1" s="34"/>
      <c r="EE1" s="34"/>
      <c r="EF1" s="34"/>
      <c r="EG1" s="34"/>
      <c r="EH1" s="34"/>
      <c r="EI1" s="34"/>
    </row>
    <row r="2" spans="1:139" ht="15" customHeight="1">
      <c r="A2" s="32"/>
      <c r="B2" s="32" t="str">
        <f>Cover!$B$2</f>
        <v>American Electric Power Company</v>
      </c>
      <c r="C2" s="32"/>
      <c r="D2" s="34"/>
      <c r="E2" s="34"/>
      <c r="F2" s="34"/>
      <c r="G2" s="34"/>
      <c r="H2" s="34"/>
      <c r="I2" s="34"/>
      <c r="J2" s="34"/>
      <c r="K2" s="34"/>
      <c r="L2" s="34"/>
      <c r="M2" s="34"/>
      <c r="N2" s="34"/>
      <c r="O2" s="34"/>
      <c r="P2" s="34"/>
      <c r="Q2" s="34"/>
      <c r="R2" s="34"/>
      <c r="S2" s="34"/>
      <c r="T2" s="34"/>
      <c r="U2" s="34"/>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c r="AW2" s="34"/>
      <c r="AX2" s="34"/>
      <c r="AY2" s="34"/>
      <c r="AZ2" s="34"/>
      <c r="BA2" s="34"/>
      <c r="BB2" s="34"/>
      <c r="BC2" s="34"/>
      <c r="BD2" s="34"/>
      <c r="BE2" s="34"/>
      <c r="BF2" s="34"/>
      <c r="BG2" s="34"/>
      <c r="BH2" s="34"/>
      <c r="BI2" s="34"/>
      <c r="BJ2" s="34"/>
      <c r="BK2" s="34"/>
      <c r="BL2" s="34"/>
      <c r="BM2" s="34"/>
      <c r="BN2" s="34"/>
      <c r="BO2" s="34"/>
      <c r="BP2" s="34"/>
      <c r="BQ2" s="34"/>
      <c r="BR2" s="34"/>
      <c r="BS2" s="34"/>
      <c r="BT2" s="34"/>
      <c r="BU2" s="34"/>
      <c r="BV2" s="34"/>
      <c r="BW2" s="34"/>
      <c r="BX2" s="34"/>
      <c r="BY2" s="34"/>
      <c r="BZ2" s="34"/>
      <c r="CA2" s="34"/>
      <c r="CB2" s="34"/>
      <c r="CC2" s="34"/>
      <c r="CD2" s="34"/>
      <c r="CE2" s="34"/>
      <c r="CF2" s="34"/>
      <c r="CG2" s="34"/>
      <c r="CH2" s="34"/>
      <c r="CI2" s="34"/>
      <c r="CJ2" s="34"/>
      <c r="CK2" s="34"/>
      <c r="CL2" s="34"/>
      <c r="CM2" s="34"/>
      <c r="CN2" s="34"/>
      <c r="CO2" s="34"/>
      <c r="CP2" s="34"/>
      <c r="CQ2" s="34"/>
      <c r="CR2" s="34"/>
      <c r="CS2" s="34"/>
      <c r="CT2" s="34"/>
      <c r="CU2" s="34"/>
      <c r="CV2" s="34"/>
      <c r="CW2" s="34"/>
      <c r="CX2" s="34"/>
      <c r="CY2" s="34"/>
      <c r="CZ2" s="34"/>
      <c r="DA2" s="34"/>
      <c r="DB2" s="34"/>
      <c r="DC2" s="34"/>
      <c r="DD2" s="34"/>
      <c r="DE2" s="34"/>
      <c r="DF2" s="34"/>
      <c r="DG2" s="34"/>
      <c r="DH2" s="34"/>
      <c r="DI2" s="34"/>
      <c r="DJ2" s="34"/>
      <c r="DK2" s="34"/>
      <c r="DL2" s="34"/>
      <c r="DM2" s="34"/>
      <c r="DN2" s="34"/>
      <c r="DO2" s="34"/>
      <c r="DP2" s="34"/>
      <c r="DQ2" s="34"/>
      <c r="DR2" s="34"/>
      <c r="DS2" s="34"/>
      <c r="DT2" s="34"/>
      <c r="DU2" s="34"/>
      <c r="DV2" s="34"/>
      <c r="DW2" s="34"/>
      <c r="DX2" s="34"/>
      <c r="DY2" s="34"/>
      <c r="DZ2" s="34"/>
      <c r="EA2" s="34"/>
      <c r="EB2" s="34"/>
      <c r="EC2" s="34"/>
      <c r="ED2" s="34"/>
      <c r="EE2" s="34"/>
      <c r="EF2" s="34"/>
      <c r="EG2" s="34"/>
      <c r="EH2" s="34"/>
      <c r="EI2" s="34"/>
    </row>
    <row r="3" spans="1:139" ht="15" customHeight="1">
      <c r="A3" s="36"/>
      <c r="B3" s="36" t="s">
        <v>858</v>
      </c>
      <c r="C3" s="36"/>
      <c r="D3" s="3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c r="AW3" s="34"/>
      <c r="AX3" s="34"/>
      <c r="AY3" s="34"/>
      <c r="AZ3" s="34"/>
      <c r="BA3" s="34"/>
      <c r="BB3" s="34"/>
      <c r="BC3" s="34"/>
      <c r="BD3" s="34"/>
      <c r="BE3" s="34"/>
      <c r="BF3" s="34"/>
      <c r="BG3" s="34"/>
      <c r="BH3" s="34"/>
      <c r="BI3" s="34"/>
      <c r="BJ3" s="34"/>
      <c r="BK3" s="34"/>
      <c r="BL3" s="34"/>
      <c r="BM3" s="34"/>
      <c r="BN3" s="34"/>
      <c r="BO3" s="34"/>
      <c r="BP3" s="34"/>
      <c r="BQ3" s="34"/>
      <c r="BR3" s="34"/>
      <c r="BS3" s="34"/>
      <c r="BT3" s="34"/>
      <c r="BU3" s="34"/>
      <c r="BV3" s="34"/>
      <c r="BW3" s="34"/>
      <c r="BX3" s="34"/>
      <c r="BY3" s="34"/>
      <c r="BZ3" s="34"/>
      <c r="CA3" s="34"/>
      <c r="CB3" s="34"/>
      <c r="CC3" s="34"/>
      <c r="CD3" s="34"/>
      <c r="CE3" s="34"/>
      <c r="CF3" s="34"/>
      <c r="CG3" s="34"/>
      <c r="CH3" s="34"/>
      <c r="CI3" s="34"/>
      <c r="CJ3" s="34"/>
      <c r="CK3" s="34"/>
      <c r="CL3" s="34"/>
      <c r="CM3" s="34"/>
      <c r="CN3" s="34"/>
      <c r="CO3" s="34"/>
      <c r="CP3" s="34"/>
      <c r="CQ3" s="34"/>
      <c r="CR3" s="34"/>
      <c r="CS3" s="34"/>
      <c r="CT3" s="34"/>
      <c r="CU3" s="34"/>
      <c r="CV3" s="34"/>
      <c r="CW3" s="34"/>
      <c r="CX3" s="34"/>
      <c r="CY3" s="34"/>
      <c r="CZ3" s="34"/>
      <c r="DA3" s="34"/>
      <c r="DB3" s="34"/>
      <c r="DC3" s="34"/>
      <c r="DD3" s="34"/>
      <c r="DE3" s="34"/>
      <c r="DF3" s="34"/>
      <c r="DG3" s="34"/>
      <c r="DH3" s="34"/>
      <c r="DI3" s="34"/>
      <c r="DJ3" s="34"/>
      <c r="DK3" s="34"/>
      <c r="DL3" s="34"/>
      <c r="DM3" s="34"/>
      <c r="DN3" s="34"/>
      <c r="DO3" s="34"/>
      <c r="DP3" s="34"/>
      <c r="DQ3" s="34"/>
      <c r="DR3" s="34"/>
      <c r="DS3" s="34"/>
      <c r="DT3" s="34"/>
      <c r="DU3" s="34"/>
      <c r="DV3" s="34"/>
      <c r="DW3" s="34"/>
      <c r="DX3" s="34"/>
      <c r="DY3" s="34"/>
      <c r="DZ3" s="34"/>
      <c r="EA3" s="34"/>
      <c r="EB3" s="34"/>
      <c r="EC3" s="34"/>
      <c r="ED3" s="34"/>
      <c r="EE3" s="34"/>
      <c r="EF3" s="34"/>
      <c r="EG3" s="34"/>
      <c r="EH3" s="34"/>
      <c r="EI3" s="34"/>
    </row>
    <row r="4" spans="1:139">
      <c r="A4" s="39"/>
      <c r="B4" s="39" t="s">
        <v>257</v>
      </c>
      <c r="C4" s="39"/>
      <c r="D4" s="41"/>
      <c r="E4" s="41"/>
      <c r="F4" s="41"/>
      <c r="G4" s="41"/>
      <c r="H4" s="41"/>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c r="BA4" s="41"/>
      <c r="BB4" s="41"/>
      <c r="BC4" s="41"/>
      <c r="BD4" s="41"/>
      <c r="BE4" s="41"/>
      <c r="BF4" s="41"/>
      <c r="BG4" s="41"/>
      <c r="BH4" s="41"/>
      <c r="BI4" s="41"/>
      <c r="BJ4" s="41"/>
      <c r="BK4" s="41"/>
      <c r="BL4" s="41"/>
      <c r="BM4" s="41"/>
      <c r="BN4" s="41"/>
      <c r="BO4" s="41"/>
      <c r="BP4" s="41"/>
      <c r="BQ4" s="41"/>
      <c r="BR4" s="41"/>
      <c r="BS4" s="41"/>
      <c r="BT4" s="41"/>
      <c r="BU4" s="41"/>
      <c r="BV4" s="41"/>
      <c r="BW4" s="41"/>
      <c r="BX4" s="41"/>
      <c r="BY4" s="41"/>
      <c r="BZ4" s="41"/>
      <c r="CA4" s="41"/>
      <c r="CB4" s="41"/>
      <c r="CC4" s="41"/>
      <c r="CD4" s="41"/>
      <c r="CE4" s="41"/>
      <c r="CF4" s="374"/>
      <c r="CG4" s="374"/>
      <c r="CH4" s="374"/>
      <c r="CI4" s="374"/>
      <c r="CJ4" s="374"/>
      <c r="CK4" s="374"/>
      <c r="CL4" s="374"/>
      <c r="CM4" s="374"/>
      <c r="CN4" s="374"/>
      <c r="CO4" s="374"/>
      <c r="CP4" s="374"/>
      <c r="CQ4" s="374"/>
      <c r="CR4" s="374"/>
      <c r="CS4" s="374"/>
      <c r="CT4" s="374"/>
      <c r="CU4" s="374"/>
      <c r="CV4" s="374"/>
      <c r="CW4" s="374"/>
      <c r="CX4" s="374"/>
      <c r="CY4" s="374"/>
      <c r="CZ4" s="374"/>
      <c r="DA4" s="374"/>
      <c r="DB4" s="374"/>
      <c r="DC4" s="374"/>
      <c r="DD4" s="374"/>
      <c r="DE4" s="374"/>
      <c r="DF4" s="374"/>
      <c r="DG4" s="374"/>
      <c r="DH4" s="374"/>
      <c r="DI4" s="374"/>
      <c r="DJ4" s="374"/>
      <c r="DK4" s="374"/>
      <c r="DL4" s="374"/>
      <c r="DM4" s="374"/>
      <c r="DN4" s="374"/>
      <c r="DO4" s="374"/>
      <c r="DP4" s="374"/>
      <c r="DQ4" s="374"/>
      <c r="DR4" s="374"/>
      <c r="DS4" s="374"/>
      <c r="DT4" s="374"/>
      <c r="DU4" s="374"/>
      <c r="DV4" s="374"/>
      <c r="DW4" s="374"/>
      <c r="DX4" s="374"/>
      <c r="DY4" s="374"/>
      <c r="DZ4" s="374"/>
      <c r="EA4" s="374"/>
      <c r="EB4" s="374"/>
      <c r="EC4" s="374"/>
      <c r="ED4" s="374"/>
      <c r="EE4" s="374"/>
      <c r="EF4" s="374"/>
      <c r="EG4" s="374"/>
      <c r="EH4" s="374"/>
      <c r="EI4" s="374"/>
    </row>
    <row r="5" spans="1:139">
      <c r="A5" s="91"/>
      <c r="B5" s="91" t="s">
        <v>859</v>
      </c>
      <c r="C5" s="91"/>
      <c r="D5" s="92"/>
      <c r="E5" s="93"/>
      <c r="F5" s="93"/>
      <c r="G5" s="93"/>
      <c r="H5" s="93"/>
      <c r="I5" s="93">
        <v>2009</v>
      </c>
      <c r="J5" s="93"/>
      <c r="K5" s="93"/>
      <c r="L5" s="93"/>
      <c r="M5" s="93"/>
      <c r="N5" s="773">
        <f>I5+1</f>
        <v>2010</v>
      </c>
      <c r="O5" s="93"/>
      <c r="P5" s="93"/>
      <c r="Q5" s="93"/>
      <c r="R5" s="93"/>
      <c r="S5" s="773">
        <f>N5+1</f>
        <v>2011</v>
      </c>
      <c r="T5" s="93"/>
      <c r="U5" s="93"/>
      <c r="V5" s="93"/>
      <c r="W5" s="93"/>
      <c r="X5" s="773">
        <f>S5+1</f>
        <v>2012</v>
      </c>
      <c r="Y5" s="93"/>
      <c r="Z5" s="93"/>
      <c r="AA5" s="93"/>
      <c r="AB5" s="93"/>
      <c r="AC5" s="773">
        <f>X5+1</f>
        <v>2013</v>
      </c>
      <c r="AD5" s="93"/>
      <c r="AE5" s="93"/>
      <c r="AF5" s="93"/>
      <c r="AG5" s="93"/>
      <c r="AH5" s="773">
        <f>AC5+1</f>
        <v>2014</v>
      </c>
      <c r="AI5" s="93"/>
      <c r="AJ5" s="93"/>
      <c r="AK5" s="93"/>
      <c r="AL5" s="93"/>
      <c r="AM5" s="773">
        <f>AH5+1</f>
        <v>2015</v>
      </c>
      <c r="AN5" s="93"/>
      <c r="AO5" s="93"/>
      <c r="AP5" s="93"/>
      <c r="AQ5" s="93"/>
      <c r="AR5" s="773">
        <f>AM5+1</f>
        <v>2016</v>
      </c>
      <c r="AS5" s="93"/>
      <c r="AT5" s="93"/>
      <c r="AU5" s="93"/>
      <c r="AV5" s="93"/>
      <c r="AW5" s="773">
        <f>AR5+1</f>
        <v>2017</v>
      </c>
      <c r="AX5" s="93"/>
      <c r="AY5" s="93"/>
      <c r="AZ5" s="93"/>
      <c r="BA5" s="93"/>
      <c r="BB5" s="774">
        <f>AW5+1</f>
        <v>2018</v>
      </c>
      <c r="BC5" s="93"/>
      <c r="BD5" s="93"/>
      <c r="BE5" s="93"/>
      <c r="BF5" s="93"/>
      <c r="BG5" s="774">
        <f>BB5+1</f>
        <v>2019</v>
      </c>
      <c r="BH5" s="93"/>
      <c r="BI5" s="93"/>
      <c r="BJ5" s="93"/>
      <c r="BK5" s="93"/>
      <c r="BL5" s="774">
        <f>BG5+1</f>
        <v>2020</v>
      </c>
      <c r="BM5" s="93"/>
      <c r="BN5" s="93"/>
      <c r="BO5" s="93"/>
      <c r="BP5" s="93"/>
      <c r="BQ5" s="774">
        <f>BL5+1</f>
        <v>2021</v>
      </c>
      <c r="BR5" s="91"/>
      <c r="BS5" s="91" t="s">
        <v>859</v>
      </c>
      <c r="BT5" s="91"/>
      <c r="BU5" s="91"/>
      <c r="BV5" s="93"/>
      <c r="BW5" s="93"/>
      <c r="BX5" s="93"/>
      <c r="BY5" s="93"/>
      <c r="BZ5" s="93"/>
      <c r="CA5" s="93">
        <v>2009</v>
      </c>
      <c r="CB5" s="93"/>
      <c r="CC5" s="93"/>
      <c r="CD5" s="93"/>
      <c r="CE5" s="93"/>
      <c r="CF5" s="773">
        <f>CA5+1</f>
        <v>2010</v>
      </c>
      <c r="CG5" s="773"/>
      <c r="CH5" s="773"/>
      <c r="CI5" s="773"/>
      <c r="CJ5" s="773"/>
      <c r="CK5" s="773">
        <f>CF5+1</f>
        <v>2011</v>
      </c>
      <c r="CL5" s="773"/>
      <c r="CM5" s="773"/>
      <c r="CN5" s="773"/>
      <c r="CO5" s="773"/>
      <c r="CP5" s="773">
        <f>CK5+1</f>
        <v>2012</v>
      </c>
      <c r="CQ5" s="773"/>
      <c r="CR5" s="773"/>
      <c r="CS5" s="773"/>
      <c r="CT5" s="773"/>
      <c r="CU5" s="773">
        <f>CP5+1</f>
        <v>2013</v>
      </c>
      <c r="CV5" s="773"/>
      <c r="CW5" s="773"/>
      <c r="CX5" s="773"/>
      <c r="CY5" s="773"/>
      <c r="CZ5" s="773">
        <f>CU5+1</f>
        <v>2014</v>
      </c>
      <c r="DA5" s="773"/>
      <c r="DB5" s="773"/>
      <c r="DC5" s="773"/>
      <c r="DD5" s="773"/>
      <c r="DE5" s="773">
        <f>CZ5+1</f>
        <v>2015</v>
      </c>
      <c r="DF5" s="773"/>
      <c r="DG5" s="773"/>
      <c r="DH5" s="773"/>
      <c r="DI5" s="773"/>
      <c r="DJ5" s="773">
        <f>DE5+1</f>
        <v>2016</v>
      </c>
      <c r="DK5" s="773"/>
      <c r="DL5" s="773"/>
      <c r="DM5" s="773"/>
      <c r="DN5" s="773"/>
      <c r="DO5" s="774">
        <f>DJ5+1</f>
        <v>2017</v>
      </c>
      <c r="DP5" s="773"/>
      <c r="DQ5" s="773"/>
      <c r="DR5" s="773"/>
      <c r="DS5" s="773"/>
      <c r="DT5" s="774">
        <f>DO5+1</f>
        <v>2018</v>
      </c>
      <c r="DU5" s="773"/>
      <c r="DV5" s="773"/>
      <c r="DW5" s="773"/>
      <c r="DX5" s="773"/>
      <c r="DY5" s="774">
        <f>DT5+1</f>
        <v>2019</v>
      </c>
      <c r="DZ5" s="773"/>
      <c r="EA5" s="773"/>
      <c r="EB5" s="773"/>
      <c r="EC5" s="773"/>
      <c r="ED5" s="774">
        <f>DY5+1</f>
        <v>2020</v>
      </c>
      <c r="EE5" s="773"/>
      <c r="EF5" s="773"/>
      <c r="EG5" s="773"/>
      <c r="EH5" s="773"/>
      <c r="EI5" s="774">
        <f>ED5+1</f>
        <v>2021</v>
      </c>
    </row>
    <row r="7" spans="1:139" ht="12.75" customHeight="1">
      <c r="B7" s="46" t="s">
        <v>860</v>
      </c>
      <c r="C7" s="46"/>
      <c r="D7" s="94"/>
      <c r="E7" s="94"/>
      <c r="F7" s="94"/>
      <c r="G7" s="94"/>
      <c r="H7" s="94"/>
      <c r="I7" s="94"/>
      <c r="J7" s="94"/>
      <c r="K7" s="94"/>
      <c r="L7" s="94"/>
      <c r="M7" s="94"/>
      <c r="N7" s="94"/>
      <c r="O7" s="94"/>
      <c r="P7" s="94"/>
      <c r="Q7" s="94"/>
      <c r="R7" s="94"/>
      <c r="S7" s="94"/>
      <c r="T7" s="94"/>
      <c r="U7" s="94"/>
      <c r="V7" s="94"/>
      <c r="W7" s="94"/>
      <c r="X7" s="94"/>
      <c r="Y7" s="94"/>
      <c r="Z7" s="94"/>
      <c r="AA7" s="94"/>
      <c r="AB7" s="94"/>
      <c r="AC7" s="94"/>
      <c r="AD7" s="94"/>
      <c r="AE7" s="94"/>
      <c r="AF7" s="94"/>
      <c r="AG7" s="94"/>
      <c r="AH7" s="94"/>
      <c r="AI7" s="94"/>
      <c r="AJ7" s="94"/>
      <c r="AK7" s="94"/>
      <c r="AL7" s="94"/>
      <c r="AM7" s="94"/>
      <c r="AN7" s="94"/>
      <c r="AO7" s="94"/>
      <c r="AP7" s="94"/>
      <c r="AQ7" s="94"/>
      <c r="AR7" s="94"/>
      <c r="AS7" s="94"/>
      <c r="AT7" s="94"/>
      <c r="AU7" s="94"/>
      <c r="AV7" s="94"/>
      <c r="AW7" s="94"/>
      <c r="AX7" s="94"/>
      <c r="AY7" s="94"/>
      <c r="AZ7" s="94"/>
      <c r="BA7" s="94"/>
      <c r="BB7" s="94"/>
      <c r="BC7" s="94"/>
      <c r="BD7" s="94"/>
      <c r="BE7" s="94"/>
      <c r="BF7" s="94"/>
      <c r="BG7" s="94"/>
      <c r="BH7" s="94"/>
      <c r="BI7" s="94"/>
      <c r="BJ7" s="94"/>
      <c r="BK7" s="94"/>
      <c r="BL7" s="94"/>
      <c r="BM7" s="94"/>
      <c r="BN7" s="94"/>
      <c r="BO7" s="94"/>
      <c r="BP7" s="94"/>
      <c r="BQ7" s="94"/>
      <c r="BT7" s="46" t="s">
        <v>861</v>
      </c>
      <c r="BU7" s="46"/>
      <c r="BV7" s="94"/>
      <c r="BW7" s="94"/>
      <c r="BX7" s="94"/>
      <c r="BY7" s="94"/>
      <c r="BZ7" s="94"/>
      <c r="CA7" s="94"/>
      <c r="CB7" s="94"/>
      <c r="CC7" s="94"/>
      <c r="CD7" s="94"/>
      <c r="CE7" s="94"/>
      <c r="CF7" s="94"/>
      <c r="CG7" s="94"/>
      <c r="CH7" s="94"/>
      <c r="CI7" s="94"/>
      <c r="CJ7" s="94"/>
      <c r="CK7" s="94"/>
      <c r="CL7" s="94"/>
      <c r="CM7" s="94"/>
      <c r="CN7" s="94"/>
      <c r="CO7" s="94"/>
      <c r="CP7" s="94"/>
      <c r="CQ7" s="94"/>
      <c r="CR7" s="94"/>
      <c r="CS7" s="94"/>
      <c r="CT7" s="94"/>
      <c r="CU7" s="94"/>
      <c r="CV7" s="94"/>
      <c r="CW7" s="94"/>
      <c r="CX7" s="94"/>
      <c r="CY7" s="94"/>
      <c r="CZ7" s="94"/>
      <c r="DA7" s="94"/>
      <c r="DB7" s="94"/>
      <c r="DC7" s="94"/>
      <c r="DD7" s="94"/>
      <c r="DE7" s="94"/>
      <c r="DF7" s="94"/>
      <c r="DG7" s="94"/>
      <c r="DH7" s="94"/>
      <c r="DI7" s="94"/>
      <c r="DJ7" s="94"/>
      <c r="DK7" s="94"/>
      <c r="DL7" s="94"/>
      <c r="DM7" s="94"/>
      <c r="DN7" s="94"/>
      <c r="DO7" s="94"/>
      <c r="DP7" s="94"/>
      <c r="DQ7" s="94"/>
      <c r="DR7" s="94"/>
      <c r="DS7" s="94"/>
      <c r="DT7" s="94"/>
      <c r="DU7" s="94"/>
      <c r="DV7" s="94"/>
      <c r="DW7" s="94"/>
      <c r="DX7" s="94"/>
      <c r="DY7" s="94"/>
      <c r="DZ7" s="94"/>
      <c r="EA7" s="94"/>
      <c r="EB7" s="94"/>
      <c r="EC7" s="94"/>
      <c r="ED7" s="94"/>
      <c r="EE7" s="94"/>
      <c r="EF7" s="94"/>
      <c r="EG7" s="94"/>
      <c r="EH7" s="94"/>
      <c r="EI7" s="94"/>
    </row>
    <row r="8" spans="1:139" ht="12.75" customHeight="1">
      <c r="A8" s="96"/>
      <c r="C8" s="56" t="s">
        <v>862</v>
      </c>
      <c r="D8" s="97"/>
      <c r="E8" s="95"/>
      <c r="F8" s="95"/>
      <c r="G8" s="95"/>
      <c r="H8" s="95"/>
      <c r="I8" s="95"/>
      <c r="J8" s="95"/>
      <c r="K8" s="95"/>
      <c r="L8" s="95"/>
      <c r="M8" s="95"/>
      <c r="N8" s="95"/>
      <c r="O8" s="95"/>
      <c r="P8" s="95"/>
      <c r="Q8" s="95"/>
      <c r="R8" s="95"/>
      <c r="S8" s="95"/>
      <c r="T8" s="95"/>
      <c r="U8" s="95"/>
      <c r="V8" s="95"/>
      <c r="W8" s="95"/>
      <c r="X8" s="95"/>
      <c r="Y8" s="95"/>
      <c r="Z8" s="95"/>
      <c r="AA8" s="95"/>
      <c r="AB8" s="95"/>
      <c r="AC8" s="95"/>
      <c r="AD8" s="95"/>
      <c r="AE8" s="95"/>
      <c r="AF8" s="95"/>
      <c r="AG8" s="95"/>
      <c r="AH8" s="95"/>
      <c r="AI8" s="95"/>
      <c r="AJ8" s="95"/>
      <c r="AK8" s="95"/>
      <c r="AL8" s="95"/>
      <c r="AM8" s="95"/>
      <c r="AN8" s="95"/>
      <c r="AO8" s="95"/>
      <c r="AP8" s="95"/>
      <c r="AQ8" s="95"/>
      <c r="AR8" s="95"/>
      <c r="AS8" s="95"/>
      <c r="AT8" s="95"/>
      <c r="AU8" s="95"/>
      <c r="AV8" s="95"/>
      <c r="AW8" s="95"/>
      <c r="AX8" s="95"/>
      <c r="AY8" s="95"/>
      <c r="AZ8" s="95"/>
      <c r="BA8" s="95"/>
      <c r="BB8" s="95"/>
      <c r="BC8" s="95"/>
      <c r="BD8" s="95"/>
      <c r="BE8" s="95"/>
      <c r="BF8" s="95"/>
      <c r="BG8" s="95"/>
      <c r="BH8" s="95"/>
      <c r="BI8" s="95"/>
      <c r="BJ8" s="95"/>
      <c r="BK8" s="95"/>
      <c r="BL8" s="95"/>
      <c r="BM8" s="95"/>
      <c r="BN8" s="95"/>
      <c r="BO8" s="95"/>
      <c r="BP8" s="95"/>
      <c r="BQ8" s="95"/>
      <c r="BU8" s="56" t="s">
        <v>863</v>
      </c>
      <c r="BV8" s="56"/>
      <c r="BW8" s="56"/>
      <c r="BX8" s="56"/>
      <c r="BY8" s="56"/>
      <c r="BZ8" s="56"/>
      <c r="CA8" s="98"/>
      <c r="CB8" s="56"/>
      <c r="CC8" s="56"/>
      <c r="CD8" s="56"/>
      <c r="CE8" s="56"/>
      <c r="CF8" s="98"/>
      <c r="CG8" s="56"/>
      <c r="CH8" s="56"/>
      <c r="CI8" s="56"/>
      <c r="CJ8" s="56"/>
      <c r="CK8" s="98"/>
      <c r="CL8" s="56"/>
      <c r="CM8" s="56"/>
      <c r="CN8" s="56"/>
      <c r="CO8" s="56"/>
      <c r="CP8" s="98">
        <f>+AEP!X212</f>
        <v>279</v>
      </c>
      <c r="CQ8" s="56"/>
      <c r="CR8" s="56"/>
      <c r="CS8" s="56"/>
      <c r="CT8" s="56"/>
      <c r="CU8" s="98">
        <f>+AEP!AC212</f>
        <v>118</v>
      </c>
      <c r="CV8" s="56"/>
      <c r="CW8" s="56"/>
      <c r="CX8" s="56"/>
      <c r="CY8" s="56"/>
      <c r="CZ8" s="98">
        <f>+AEP!AH212</f>
        <v>163</v>
      </c>
      <c r="DA8" s="56"/>
      <c r="DB8" s="56"/>
      <c r="DC8" s="56"/>
      <c r="DD8" s="56"/>
      <c r="DE8" s="98">
        <f>+AEP!AM212</f>
        <v>176.4</v>
      </c>
      <c r="DF8" s="56"/>
      <c r="DG8" s="56"/>
      <c r="DH8" s="56"/>
      <c r="DI8" s="56"/>
      <c r="DJ8" s="98">
        <f>+AEP!AR212</f>
        <v>210.5</v>
      </c>
      <c r="DK8" s="56"/>
      <c r="DL8" s="56"/>
      <c r="DM8" s="56"/>
      <c r="DN8" s="56"/>
      <c r="DO8" s="98">
        <f>+AEP!AW212</f>
        <v>214.6</v>
      </c>
      <c r="DP8" s="56"/>
      <c r="DQ8" s="56"/>
      <c r="DR8" s="56"/>
      <c r="DS8" s="56"/>
      <c r="DT8" s="98">
        <f>+AEP!BB212</f>
        <v>-1.1368683772161603E-13</v>
      </c>
      <c r="DU8" s="56"/>
      <c r="DV8" s="56"/>
      <c r="DW8" s="56"/>
      <c r="DX8" s="56"/>
      <c r="DY8" s="98">
        <f>+AEP!BG212</f>
        <v>177.64615333281051</v>
      </c>
      <c r="DZ8" s="56"/>
      <c r="EA8" s="56"/>
      <c r="EB8" s="56"/>
      <c r="EC8" s="56"/>
      <c r="ED8" s="98">
        <f>+AEP!BL212</f>
        <v>9.0949470177292824E-13</v>
      </c>
      <c r="EE8" s="56"/>
      <c r="EF8" s="56"/>
      <c r="EG8" s="56"/>
      <c r="EH8" s="56"/>
      <c r="EI8" s="98">
        <f>+AEP!BQ212</f>
        <v>200.61027681223368</v>
      </c>
    </row>
    <row r="9" spans="1:139" ht="12.75" customHeight="1">
      <c r="A9" s="96"/>
      <c r="B9" s="99"/>
      <c r="C9" s="100" t="s">
        <v>155</v>
      </c>
      <c r="D9" s="101"/>
      <c r="E9" s="86"/>
      <c r="F9" s="86"/>
      <c r="G9" s="86"/>
      <c r="H9" s="86"/>
      <c r="I9" s="86"/>
      <c r="J9" s="86"/>
      <c r="K9" s="86"/>
      <c r="L9" s="86"/>
      <c r="M9" s="86"/>
      <c r="N9" s="86"/>
      <c r="O9" s="86"/>
      <c r="P9" s="86"/>
      <c r="Q9" s="86"/>
      <c r="R9" s="86"/>
      <c r="S9" s="86"/>
      <c r="T9" s="86"/>
      <c r="U9" s="86"/>
      <c r="V9" s="86"/>
      <c r="W9" s="86"/>
      <c r="X9" s="86">
        <f>AEP!X78</f>
        <v>0.58546477246713535</v>
      </c>
      <c r="Y9" s="86"/>
      <c r="Z9" s="86"/>
      <c r="AA9" s="86"/>
      <c r="AB9" s="86"/>
      <c r="AC9" s="86">
        <f>AEP!AC78</f>
        <v>0.67961430331949335</v>
      </c>
      <c r="AD9" s="86"/>
      <c r="AE9" s="86"/>
      <c r="AF9" s="86"/>
      <c r="AG9" s="86"/>
      <c r="AH9" s="86">
        <f>AEP!AH78</f>
        <v>0.83452676114600488</v>
      </c>
      <c r="AI9" s="86"/>
      <c r="AJ9" s="86"/>
      <c r="AK9" s="86"/>
      <c r="AL9" s="86"/>
      <c r="AM9" s="86">
        <f>AEP!AM78</f>
        <v>0.74606395005784198</v>
      </c>
      <c r="AN9" s="86"/>
      <c r="AO9" s="86"/>
      <c r="AP9" s="86"/>
      <c r="AQ9" s="86"/>
      <c r="AR9" s="86">
        <f>AEP!AR78</f>
        <v>0.49871659088760911</v>
      </c>
      <c r="AS9" s="86"/>
      <c r="AT9" s="86"/>
      <c r="AU9" s="86"/>
      <c r="AV9" s="86"/>
      <c r="AW9" s="86">
        <f>AEP!AW78</f>
        <v>0.2978008612218202</v>
      </c>
      <c r="AX9" s="86"/>
      <c r="AY9" s="86"/>
      <c r="AZ9" s="86"/>
      <c r="BA9" s="86"/>
      <c r="BB9" s="86">
        <f>AEP!BB78</f>
        <v>0.17353173919980422</v>
      </c>
      <c r="BC9" s="86"/>
      <c r="BD9" s="86"/>
      <c r="BE9" s="86"/>
      <c r="BF9" s="86"/>
      <c r="BG9" s="86">
        <f>AEP!BG78</f>
        <v>0.14058393517965259</v>
      </c>
      <c r="BH9" s="86"/>
      <c r="BI9" s="86"/>
      <c r="BJ9" s="86"/>
      <c r="BK9" s="86"/>
      <c r="BL9" s="86">
        <f>AEP!BL78</f>
        <v>0.12856362869121579</v>
      </c>
      <c r="BM9" s="86"/>
      <c r="BN9" s="86"/>
      <c r="BO9" s="86"/>
      <c r="BP9" s="86"/>
      <c r="BQ9" s="86">
        <f>AEP!BQ78</f>
        <v>0.18461012179312394</v>
      </c>
      <c r="BU9" s="50"/>
      <c r="CA9" s="95"/>
      <c r="CF9" s="95"/>
      <c r="CK9" s="95"/>
      <c r="CP9" s="95"/>
      <c r="CU9" s="95"/>
      <c r="CZ9" s="95"/>
      <c r="DE9" s="95"/>
      <c r="DJ9" s="95"/>
      <c r="DO9" s="95"/>
      <c r="DT9" s="95"/>
      <c r="DY9" s="95"/>
      <c r="ED9" s="95"/>
      <c r="EI9" s="95"/>
    </row>
    <row r="10" spans="1:139" ht="12.75" customHeight="1">
      <c r="A10" s="96"/>
      <c r="B10" s="99"/>
      <c r="C10" s="100" t="s">
        <v>156</v>
      </c>
      <c r="E10" s="86"/>
      <c r="F10" s="86"/>
      <c r="G10" s="86"/>
      <c r="H10" s="86"/>
      <c r="I10" s="86"/>
      <c r="J10" s="86"/>
      <c r="K10" s="86"/>
      <c r="L10" s="86"/>
      <c r="M10" s="86"/>
      <c r="N10" s="86"/>
      <c r="O10" s="86"/>
      <c r="P10" s="86"/>
      <c r="Q10" s="86"/>
      <c r="R10" s="86"/>
      <c r="S10" s="86"/>
      <c r="T10" s="86"/>
      <c r="U10" s="86"/>
      <c r="V10" s="86"/>
      <c r="W10" s="86"/>
      <c r="X10" s="86">
        <f>AEP!X79</f>
        <v>1.7316563692689919</v>
      </c>
      <c r="Y10" s="86"/>
      <c r="Z10" s="86"/>
      <c r="AA10" s="86"/>
      <c r="AB10" s="86"/>
      <c r="AC10" s="86">
        <f>AEP!AC79</f>
        <v>1.541964778830633</v>
      </c>
      <c r="AD10" s="86"/>
      <c r="AE10" s="86"/>
      <c r="AF10" s="86"/>
      <c r="AG10" s="86"/>
      <c r="AH10" s="86">
        <f>AEP!AH79</f>
        <v>1.4481493796357143</v>
      </c>
      <c r="AI10" s="86"/>
      <c r="AJ10" s="86"/>
      <c r="AK10" s="86"/>
      <c r="AL10" s="86"/>
      <c r="AM10" s="86">
        <f>AEP!AM79</f>
        <v>1.8274489924231061</v>
      </c>
      <c r="AN10" s="86"/>
      <c r="AO10" s="86"/>
      <c r="AP10" s="86"/>
      <c r="AQ10" s="86"/>
      <c r="AR10" s="86">
        <f>AEP!AR79</f>
        <v>2.0068664772789719</v>
      </c>
      <c r="AS10" s="86"/>
      <c r="AT10" s="86"/>
      <c r="AU10" s="86"/>
      <c r="AV10" s="86"/>
      <c r="AW10" s="86">
        <f>AEP!AW79</f>
        <v>1.6361792375241138</v>
      </c>
      <c r="AX10" s="86"/>
      <c r="AY10" s="86"/>
      <c r="AZ10" s="86"/>
      <c r="BA10" s="86"/>
      <c r="BB10" s="86">
        <f>AEP!BB79</f>
        <v>1.8273746950102516</v>
      </c>
      <c r="BC10" s="86"/>
      <c r="BD10" s="86"/>
      <c r="BE10" s="86"/>
      <c r="BF10" s="86"/>
      <c r="BG10" s="86">
        <f>AEP!BG79</f>
        <v>2.1214206693626396</v>
      </c>
      <c r="BH10" s="86"/>
      <c r="BI10" s="86"/>
      <c r="BJ10" s="86"/>
      <c r="BK10" s="86"/>
      <c r="BL10" s="86">
        <f>AEP!BL79</f>
        <v>2.2752992901369926</v>
      </c>
      <c r="BM10" s="86"/>
      <c r="BN10" s="86"/>
      <c r="BO10" s="86"/>
      <c r="BP10" s="86"/>
      <c r="BQ10" s="86">
        <f>AEP!BQ79</f>
        <v>2.537113784949256</v>
      </c>
      <c r="BU10" s="50" t="s">
        <v>864</v>
      </c>
      <c r="CA10" s="61"/>
      <c r="CF10" s="61"/>
      <c r="CK10" s="61"/>
      <c r="CP10" s="61">
        <f>+AEP!X214</f>
        <v>981</v>
      </c>
      <c r="CU10" s="61">
        <f>+AEP!AC214</f>
        <v>757</v>
      </c>
      <c r="CZ10" s="61">
        <f>+AEP!AH214</f>
        <v>1346</v>
      </c>
      <c r="DE10" s="61">
        <f>+AEP!AM214</f>
        <v>800</v>
      </c>
      <c r="DJ10" s="61">
        <f>+AEP!AR214</f>
        <v>1713</v>
      </c>
      <c r="DO10" s="61">
        <f>+AEP!AW214</f>
        <v>1638.6</v>
      </c>
      <c r="DT10" s="61">
        <f>+AEP!BB214</f>
        <v>444.20413838846696</v>
      </c>
      <c r="DY10" s="61">
        <f>+AEP!BG214</f>
        <v>0</v>
      </c>
      <c r="ED10" s="61">
        <f>+AEP!BL214</f>
        <v>136.07858148998287</v>
      </c>
      <c r="EI10" s="61">
        <f>+AEP!BQ214</f>
        <v>0</v>
      </c>
    </row>
    <row r="11" spans="1:139" ht="12.75" customHeight="1">
      <c r="A11" s="96"/>
      <c r="B11" s="99"/>
      <c r="C11" s="100" t="s">
        <v>157</v>
      </c>
      <c r="E11" s="86"/>
      <c r="F11" s="86"/>
      <c r="G11" s="86"/>
      <c r="H11" s="86"/>
      <c r="I11" s="86"/>
      <c r="J11" s="86"/>
      <c r="K11" s="86"/>
      <c r="L11" s="86"/>
      <c r="M11" s="86"/>
      <c r="N11" s="86"/>
      <c r="O11" s="86"/>
      <c r="P11" s="86"/>
      <c r="Q11" s="86"/>
      <c r="R11" s="86"/>
      <c r="S11" s="86"/>
      <c r="T11" s="86"/>
      <c r="U11" s="86"/>
      <c r="V11" s="86"/>
      <c r="W11" s="86"/>
      <c r="X11" s="86">
        <f>AEP!X80</f>
        <v>0.8019218186257594</v>
      </c>
      <c r="Y11" s="86"/>
      <c r="Z11" s="86"/>
      <c r="AA11" s="86"/>
      <c r="AB11" s="86"/>
      <c r="AC11" s="86">
        <f>AEP!AC80</f>
        <v>0.73505111960235225</v>
      </c>
      <c r="AD11" s="86"/>
      <c r="AE11" s="86"/>
      <c r="AF11" s="86"/>
      <c r="AG11" s="86"/>
      <c r="AH11" s="86">
        <f>AEP!AH80</f>
        <v>0.7203929541069205</v>
      </c>
      <c r="AI11" s="86"/>
      <c r="AJ11" s="86"/>
      <c r="AK11" s="86"/>
      <c r="AL11" s="86"/>
      <c r="AM11" s="86">
        <f>AEP!AM80</f>
        <v>0.71834135519230602</v>
      </c>
      <c r="AN11" s="86"/>
      <c r="AO11" s="86"/>
      <c r="AP11" s="86"/>
      <c r="AQ11" s="86"/>
      <c r="AR11" s="86">
        <f>AEP!AR80</f>
        <v>0.98055166585202413</v>
      </c>
      <c r="AS11" s="86"/>
      <c r="AT11" s="86"/>
      <c r="AU11" s="86"/>
      <c r="AV11" s="86"/>
      <c r="AW11" s="86">
        <f>AEP!AW80</f>
        <v>1.0113455287028694</v>
      </c>
      <c r="AX11" s="86"/>
      <c r="AY11" s="86"/>
      <c r="AZ11" s="86"/>
      <c r="BA11" s="86"/>
      <c r="BB11" s="86">
        <f>AEP!BB80</f>
        <v>1.1625215512315956</v>
      </c>
      <c r="BC11" s="86"/>
      <c r="BD11" s="86"/>
      <c r="BE11" s="86"/>
      <c r="BF11" s="86"/>
      <c r="BG11" s="86">
        <f>AEP!BG80</f>
        <v>1.2297258284857873</v>
      </c>
      <c r="BH11" s="86"/>
      <c r="BI11" s="86"/>
      <c r="BJ11" s="86"/>
      <c r="BK11" s="86"/>
      <c r="BL11" s="86">
        <f>AEP!BL80</f>
        <v>1.3335291538154179</v>
      </c>
      <c r="BM11" s="86"/>
      <c r="BN11" s="86"/>
      <c r="BO11" s="86"/>
      <c r="BP11" s="86"/>
      <c r="BQ11" s="86">
        <f>AEP!BQ80</f>
        <v>1.4167985311465874</v>
      </c>
      <c r="BU11" s="50" t="s">
        <v>865</v>
      </c>
      <c r="CA11" s="61"/>
      <c r="CF11" s="61"/>
      <c r="CK11" s="61"/>
      <c r="CP11" s="61">
        <f>+AEP!X215</f>
        <v>17757</v>
      </c>
      <c r="CU11" s="61">
        <f>+AEP!AC215</f>
        <v>18377</v>
      </c>
      <c r="CZ11" s="61">
        <f>+AEP!AH215</f>
        <v>18684</v>
      </c>
      <c r="DE11" s="61">
        <f>+AEP!AM215</f>
        <v>19572.7</v>
      </c>
      <c r="DJ11" s="61">
        <f>+AEP!AR215</f>
        <v>20256.400000000001</v>
      </c>
      <c r="DO11" s="61">
        <f>+AEP!AW215</f>
        <v>21173.3</v>
      </c>
      <c r="DT11" s="61">
        <f>+AEP!BB215</f>
        <v>24859.345656796097</v>
      </c>
      <c r="DY11" s="61">
        <f>+AEP!BG215</f>
        <v>28906.724126853591</v>
      </c>
      <c r="ED11" s="61">
        <f>+AEP!BL215</f>
        <v>30709.62801906509</v>
      </c>
      <c r="EI11" s="61">
        <f>+AEP!BQ215</f>
        <v>33589.459234190348</v>
      </c>
    </row>
    <row r="12" spans="1:139" ht="12.75" customHeight="1">
      <c r="A12" s="96"/>
      <c r="B12" s="99"/>
      <c r="C12" s="100" t="s">
        <v>158</v>
      </c>
      <c r="D12" s="101"/>
      <c r="E12" s="86"/>
      <c r="F12" s="86"/>
      <c r="G12" s="86"/>
      <c r="H12" s="86"/>
      <c r="I12" s="86"/>
      <c r="J12" s="86"/>
      <c r="K12" s="86"/>
      <c r="L12" s="86"/>
      <c r="M12" s="86"/>
      <c r="N12" s="86"/>
      <c r="O12" s="86"/>
      <c r="P12" s="86"/>
      <c r="Q12" s="86"/>
      <c r="R12" s="86"/>
      <c r="S12" s="86"/>
      <c r="T12" s="86"/>
      <c r="U12" s="86"/>
      <c r="V12" s="86"/>
      <c r="W12" s="86"/>
      <c r="X12" s="86">
        <f>AEP!X81</f>
        <v>8.8644314141150773E-2</v>
      </c>
      <c r="Y12" s="86"/>
      <c r="Z12" s="86"/>
      <c r="AA12" s="86"/>
      <c r="AB12" s="86"/>
      <c r="AC12" s="86">
        <f>AEP!AC81</f>
        <v>0.16425723343069326</v>
      </c>
      <c r="AD12" s="86"/>
      <c r="AE12" s="86"/>
      <c r="AF12" s="86"/>
      <c r="AG12" s="86"/>
      <c r="AH12" s="86">
        <f>AEP!AH81</f>
        <v>0.30885671797315378</v>
      </c>
      <c r="AI12" s="86"/>
      <c r="AJ12" s="86"/>
      <c r="AK12" s="86"/>
      <c r="AL12" s="86"/>
      <c r="AM12" s="86">
        <f>AEP!AM81</f>
        <v>0.38974706899196615</v>
      </c>
      <c r="AN12" s="86"/>
      <c r="AO12" s="86"/>
      <c r="AP12" s="86"/>
      <c r="AQ12" s="86"/>
      <c r="AR12" s="86">
        <f>AEP!AR81</f>
        <v>0.54163225184898212</v>
      </c>
      <c r="AS12" s="86"/>
      <c r="AT12" s="86"/>
      <c r="AU12" s="86"/>
      <c r="AV12" s="86"/>
      <c r="AW12" s="86">
        <f>AEP!AW81</f>
        <v>0.71902566492684994</v>
      </c>
      <c r="AX12" s="86"/>
      <c r="AY12" s="86"/>
      <c r="AZ12" s="86"/>
      <c r="BA12" s="86"/>
      <c r="BB12" s="86">
        <f>AEP!BB81</f>
        <v>0.74063134286961285</v>
      </c>
      <c r="BC12" s="86"/>
      <c r="BD12" s="86"/>
      <c r="BE12" s="86"/>
      <c r="BF12" s="86"/>
      <c r="BG12" s="86">
        <f>AEP!BG81</f>
        <v>0.82975694499287511</v>
      </c>
      <c r="BH12" s="86"/>
      <c r="BI12" s="86"/>
      <c r="BJ12" s="86"/>
      <c r="BK12" s="86"/>
      <c r="BL12" s="86">
        <f>AEP!BL81</f>
        <v>0.96040268207243573</v>
      </c>
      <c r="BM12" s="86"/>
      <c r="BN12" s="86"/>
      <c r="BO12" s="86"/>
      <c r="BP12" s="86"/>
      <c r="BQ12" s="86">
        <f>AEP!BQ81</f>
        <v>1.0207911721597507</v>
      </c>
      <c r="BU12" s="50"/>
      <c r="CA12" s="61"/>
      <c r="CF12" s="61"/>
      <c r="CK12" s="61"/>
      <c r="CP12" s="61"/>
      <c r="CU12" s="61"/>
      <c r="CZ12" s="61"/>
      <c r="DE12" s="61"/>
      <c r="DJ12" s="61"/>
      <c r="DO12" s="61"/>
      <c r="DT12" s="61"/>
      <c r="DY12" s="61"/>
      <c r="ED12" s="61"/>
      <c r="EI12" s="61"/>
    </row>
    <row r="13" spans="1:139" ht="12.75" customHeight="1">
      <c r="A13" s="96"/>
      <c r="B13" s="99"/>
      <c r="C13" s="100" t="s">
        <v>652</v>
      </c>
      <c r="D13" s="101"/>
      <c r="E13" s="86"/>
      <c r="F13" s="86"/>
      <c r="G13" s="86"/>
      <c r="H13" s="86"/>
      <c r="I13" s="86"/>
      <c r="J13" s="86"/>
      <c r="K13" s="86"/>
      <c r="L13" s="86"/>
      <c r="M13" s="86"/>
      <c r="N13" s="86"/>
      <c r="O13" s="86"/>
      <c r="P13" s="86"/>
      <c r="Q13" s="86"/>
      <c r="R13" s="86"/>
      <c r="S13" s="86"/>
      <c r="T13" s="86"/>
      <c r="U13" s="86"/>
      <c r="V13" s="86"/>
      <c r="W13" s="86"/>
      <c r="X13" s="86">
        <f>AEP!X82</f>
        <v>3.0922435165517712E-2</v>
      </c>
      <c r="Y13" s="86"/>
      <c r="Z13" s="86"/>
      <c r="AA13" s="86"/>
      <c r="AB13" s="86"/>
      <c r="AC13" s="86">
        <f>AEP!AC82</f>
        <v>2.4638585014603989E-2</v>
      </c>
      <c r="AD13" s="86"/>
      <c r="AE13" s="86"/>
      <c r="AF13" s="86"/>
      <c r="AG13" s="86"/>
      <c r="AH13" s="86">
        <f>AEP!AH82</f>
        <v>0.10022502768665255</v>
      </c>
      <c r="AI13" s="86"/>
      <c r="AJ13" s="86"/>
      <c r="AK13" s="86"/>
      <c r="AL13" s="86"/>
      <c r="AM13" s="86">
        <f>AEP!AM82</f>
        <v>5.8298986261350591E-2</v>
      </c>
      <c r="AN13" s="86"/>
      <c r="AO13" s="86"/>
      <c r="AP13" s="86"/>
      <c r="AQ13" s="86"/>
      <c r="AR13" s="86">
        <f>AEP!AR82</f>
        <v>0</v>
      </c>
      <c r="AS13" s="86"/>
      <c r="AT13" s="86"/>
      <c r="AU13" s="86"/>
      <c r="AV13" s="86"/>
      <c r="AW13" s="86">
        <f>AEP!AW82</f>
        <v>0</v>
      </c>
      <c r="AX13" s="86"/>
      <c r="AY13" s="86"/>
      <c r="AZ13" s="86"/>
      <c r="BA13" s="86"/>
      <c r="BB13" s="86">
        <f>AEP!BB82</f>
        <v>0</v>
      </c>
      <c r="BC13" s="86"/>
      <c r="BD13" s="86"/>
      <c r="BE13" s="86"/>
      <c r="BF13" s="86"/>
      <c r="BG13" s="86">
        <f>AEP!BG82</f>
        <v>0</v>
      </c>
      <c r="BH13" s="86"/>
      <c r="BI13" s="86"/>
      <c r="BJ13" s="86"/>
      <c r="BK13" s="86"/>
      <c r="BL13" s="86">
        <f>AEP!BL82</f>
        <v>0</v>
      </c>
      <c r="BM13" s="86"/>
      <c r="BN13" s="86"/>
      <c r="BO13" s="86"/>
      <c r="BP13" s="86"/>
      <c r="BQ13" s="86">
        <f>AEP!BQ82</f>
        <v>0</v>
      </c>
      <c r="BU13" s="56" t="s">
        <v>866</v>
      </c>
      <c r="CA13" s="98"/>
      <c r="CF13" s="98"/>
      <c r="CK13" s="98"/>
      <c r="CP13" s="98">
        <f>+SUM(CP10:CP11)</f>
        <v>18738</v>
      </c>
      <c r="CU13" s="98">
        <f>+SUM(CU10:CU11)</f>
        <v>19134</v>
      </c>
      <c r="CZ13" s="98">
        <f>+SUM(CZ10:CZ11)</f>
        <v>20030</v>
      </c>
      <c r="DE13" s="98">
        <f>+SUM(DE10:DE11)</f>
        <v>20372.7</v>
      </c>
      <c r="DJ13" s="98">
        <f>+SUM(DJ10:DJ11)</f>
        <v>21969.4</v>
      </c>
      <c r="DO13" s="98">
        <f>+SUM(DO10:DO11)</f>
        <v>22811.899999999998</v>
      </c>
      <c r="DT13" s="98">
        <f>+SUM(DT10:DT11)</f>
        <v>25303.549795184565</v>
      </c>
      <c r="DY13" s="98">
        <f>+SUM(DY10:DY11)</f>
        <v>28906.724126853591</v>
      </c>
      <c r="ED13" s="98">
        <f>+SUM(ED10:ED11)</f>
        <v>30845.706600555073</v>
      </c>
      <c r="EI13" s="98">
        <f>+SUM(EI10:EI11)</f>
        <v>33589.459234190348</v>
      </c>
    </row>
    <row r="14" spans="1:139" ht="12.75" customHeight="1">
      <c r="A14" s="96"/>
      <c r="B14" s="99"/>
      <c r="C14" s="100" t="s">
        <v>159</v>
      </c>
      <c r="D14" s="101"/>
      <c r="E14" s="86"/>
      <c r="F14" s="86"/>
      <c r="G14" s="86"/>
      <c r="H14" s="86"/>
      <c r="I14" s="86"/>
      <c r="J14" s="86"/>
      <c r="K14" s="86"/>
      <c r="L14" s="86"/>
      <c r="M14" s="86"/>
      <c r="N14" s="86"/>
      <c r="O14" s="86"/>
      <c r="P14" s="86"/>
      <c r="Q14" s="86"/>
      <c r="R14" s="86"/>
      <c r="S14" s="86"/>
      <c r="T14" s="86"/>
      <c r="U14" s="86"/>
      <c r="V14" s="86"/>
      <c r="W14" s="86"/>
      <c r="X14" s="86">
        <f>AEP!X83</f>
        <v>-0.1525506801498874</v>
      </c>
      <c r="Y14" s="86"/>
      <c r="Z14" s="86"/>
      <c r="AA14" s="86"/>
      <c r="AB14" s="86"/>
      <c r="AC14" s="86">
        <f>AEP!AC83</f>
        <v>8.4181832133230286E-2</v>
      </c>
      <c r="AD14" s="86"/>
      <c r="AE14" s="86"/>
      <c r="AF14" s="86"/>
      <c r="AG14" s="86"/>
      <c r="AH14" s="86">
        <f>AEP!AH83</f>
        <v>1.3908779352432073E-2</v>
      </c>
      <c r="AI14" s="86"/>
      <c r="AJ14" s="86"/>
      <c r="AK14" s="86"/>
      <c r="AL14" s="86"/>
      <c r="AM14" s="86">
        <f>AEP!AM83</f>
        <v>-5.4222134075242782E-2</v>
      </c>
      <c r="AN14" s="86"/>
      <c r="AO14" s="86"/>
      <c r="AP14" s="86"/>
      <c r="AQ14" s="86"/>
      <c r="AR14" s="86">
        <f>AEP!AR83</f>
        <v>-8.8068631261961752E-2</v>
      </c>
      <c r="AS14" s="86"/>
      <c r="AT14" s="86"/>
      <c r="AU14" s="86"/>
      <c r="AV14" s="86"/>
      <c r="AW14" s="86">
        <f>AEP!AW83</f>
        <v>5.6839973511964223E-3</v>
      </c>
      <c r="AX14" s="86"/>
      <c r="AY14" s="86"/>
      <c r="AZ14" s="86"/>
      <c r="BA14" s="86"/>
      <c r="BB14" s="86">
        <f>AEP!BB83</f>
        <v>-5.304439753364721E-2</v>
      </c>
      <c r="BC14" s="86"/>
      <c r="BD14" s="86"/>
      <c r="BE14" s="86"/>
      <c r="BF14" s="86"/>
      <c r="BG14" s="86">
        <f>AEP!BG83</f>
        <v>-0.17356567037114179</v>
      </c>
      <c r="BH14" s="86"/>
      <c r="BI14" s="86"/>
      <c r="BJ14" s="86"/>
      <c r="BK14" s="86"/>
      <c r="BL14" s="86">
        <f>AEP!BL83</f>
        <v>-0.27533667219544938</v>
      </c>
      <c r="BM14" s="86"/>
      <c r="BN14" s="86"/>
      <c r="BO14" s="86"/>
      <c r="BP14" s="86"/>
      <c r="BQ14" s="86">
        <f>AEP!BQ83</f>
        <v>-0.28857022684780737</v>
      </c>
    </row>
    <row r="15" spans="1:139" ht="12.75" customHeight="1">
      <c r="A15" s="96"/>
      <c r="C15" s="798" t="s">
        <v>867</v>
      </c>
      <c r="D15" s="799"/>
      <c r="E15" s="800"/>
      <c r="F15" s="800"/>
      <c r="G15" s="800"/>
      <c r="H15" s="800"/>
      <c r="I15" s="800"/>
      <c r="J15" s="800"/>
      <c r="K15" s="800"/>
      <c r="L15" s="800"/>
      <c r="M15" s="800"/>
      <c r="N15" s="800"/>
      <c r="O15" s="800"/>
      <c r="P15" s="800"/>
      <c r="Q15" s="800"/>
      <c r="R15" s="800"/>
      <c r="S15" s="800"/>
      <c r="T15" s="800"/>
      <c r="U15" s="800"/>
      <c r="V15" s="800"/>
      <c r="W15" s="800"/>
      <c r="X15" s="800">
        <f>SUM(X9:X14)</f>
        <v>3.0860590295186676</v>
      </c>
      <c r="Y15" s="800"/>
      <c r="Z15" s="800"/>
      <c r="AA15" s="800"/>
      <c r="AB15" s="800"/>
      <c r="AC15" s="800">
        <f>SUM(AC9:AC14)</f>
        <v>3.2297078523310061</v>
      </c>
      <c r="AD15" s="800"/>
      <c r="AE15" s="800"/>
      <c r="AF15" s="800"/>
      <c r="AG15" s="800"/>
      <c r="AH15" s="800">
        <f>SUM(AH9:AH14)</f>
        <v>3.4260596199008782</v>
      </c>
      <c r="AI15" s="800"/>
      <c r="AJ15" s="800"/>
      <c r="AK15" s="800"/>
      <c r="AL15" s="800"/>
      <c r="AM15" s="800">
        <f>SUM(AM9:AM14)</f>
        <v>3.685678218851328</v>
      </c>
      <c r="AN15" s="800"/>
      <c r="AO15" s="800"/>
      <c r="AP15" s="800"/>
      <c r="AQ15" s="800"/>
      <c r="AR15" s="800">
        <f>SUM(AR9:AR14)</f>
        <v>3.9396983546056257</v>
      </c>
      <c r="AS15" s="800"/>
      <c r="AT15" s="800"/>
      <c r="AU15" s="800"/>
      <c r="AV15" s="800"/>
      <c r="AW15" s="800">
        <f>SUM(AW9:AW14)</f>
        <v>3.67003528972685</v>
      </c>
      <c r="AX15" s="800"/>
      <c r="AY15" s="800"/>
      <c r="AZ15" s="800"/>
      <c r="BA15" s="800"/>
      <c r="BB15" s="800">
        <f>SUM(BB9:BB14)</f>
        <v>3.8510149307776169</v>
      </c>
      <c r="BC15" s="800"/>
      <c r="BD15" s="800"/>
      <c r="BE15" s="800"/>
      <c r="BF15" s="800"/>
      <c r="BG15" s="800">
        <f>SUM(BG9:BG14)</f>
        <v>4.1479217076498127</v>
      </c>
      <c r="BH15" s="800"/>
      <c r="BI15" s="800"/>
      <c r="BJ15" s="800"/>
      <c r="BK15" s="800"/>
      <c r="BL15" s="800">
        <f>SUM(BL9:BL14)</f>
        <v>4.4224580825206123</v>
      </c>
      <c r="BM15" s="800"/>
      <c r="BN15" s="800"/>
      <c r="BO15" s="800"/>
      <c r="BP15" s="800"/>
      <c r="BQ15" s="801">
        <f>SUM(BQ9:BQ14)</f>
        <v>4.8707433832009102</v>
      </c>
      <c r="BU15" s="50" t="s">
        <v>868</v>
      </c>
      <c r="CA15" s="61"/>
      <c r="CF15" s="61"/>
      <c r="CK15" s="61"/>
      <c r="CP15" s="61">
        <f>+AEP!X219</f>
        <v>0</v>
      </c>
      <c r="CU15" s="61">
        <f>+AEP!AC219</f>
        <v>0</v>
      </c>
      <c r="CZ15" s="61">
        <f>+AEP!AH219</f>
        <v>0</v>
      </c>
      <c r="DE15" s="61">
        <f>+AEP!AM219</f>
        <v>0</v>
      </c>
      <c r="DJ15" s="61">
        <f>+AEP!AR219</f>
        <v>0</v>
      </c>
      <c r="DO15" s="61">
        <f>+AEP!AW219</f>
        <v>0</v>
      </c>
      <c r="DT15" s="61">
        <f>+AEP!BB219</f>
        <v>0</v>
      </c>
      <c r="DY15" s="61">
        <f>+AEP!BG219</f>
        <v>0</v>
      </c>
      <c r="ED15" s="61">
        <f>+AEP!BL219</f>
        <v>0</v>
      </c>
      <c r="EI15" s="61">
        <f>+AEP!BQ219</f>
        <v>0</v>
      </c>
    </row>
    <row r="16" spans="1:139" ht="12.75" customHeight="1">
      <c r="A16" s="96"/>
      <c r="B16" s="99"/>
      <c r="C16" s="1034" t="s">
        <v>104</v>
      </c>
      <c r="D16" s="802"/>
      <c r="E16" s="802"/>
      <c r="F16" s="802"/>
      <c r="G16" s="802"/>
      <c r="H16" s="802"/>
      <c r="I16" s="802"/>
      <c r="J16" s="802"/>
      <c r="K16" s="802"/>
      <c r="L16" s="802"/>
      <c r="M16" s="802"/>
      <c r="N16" s="802"/>
      <c r="O16" s="802"/>
      <c r="P16" s="802"/>
      <c r="Q16" s="802"/>
      <c r="R16" s="802"/>
      <c r="S16" s="803"/>
      <c r="T16" s="802"/>
      <c r="U16" s="802"/>
      <c r="V16" s="802"/>
      <c r="W16" s="802"/>
      <c r="X16" s="882">
        <f>((BB15/AC15)^(1/5))-1</f>
        <v>3.5815469157678193E-2</v>
      </c>
      <c r="Y16" s="802"/>
      <c r="Z16" s="802"/>
      <c r="AA16" s="802"/>
      <c r="AB16" s="802"/>
      <c r="AC16" s="882"/>
      <c r="AD16" s="802"/>
      <c r="AE16" s="802"/>
      <c r="AF16" s="802"/>
      <c r="AG16" s="802"/>
      <c r="AH16" s="802"/>
      <c r="AI16" s="802"/>
      <c r="AJ16" s="802"/>
      <c r="AK16" s="802"/>
      <c r="AL16" s="802"/>
      <c r="AM16" s="802"/>
      <c r="AN16" s="802"/>
      <c r="AO16" s="802"/>
      <c r="AP16" s="802"/>
      <c r="AQ16" s="802"/>
      <c r="AR16" s="802"/>
      <c r="AS16" s="802"/>
      <c r="AT16" s="802"/>
      <c r="AU16" s="802"/>
      <c r="AV16" s="802"/>
      <c r="AW16" s="802"/>
      <c r="AX16" s="802"/>
      <c r="AY16" s="802"/>
      <c r="AZ16" s="802"/>
      <c r="BA16" s="802"/>
      <c r="BB16" s="802"/>
      <c r="BC16" s="802"/>
      <c r="BD16" s="802"/>
      <c r="BE16" s="802"/>
      <c r="BF16" s="802"/>
      <c r="BG16" s="802"/>
      <c r="BH16" s="802"/>
      <c r="BI16" s="802"/>
      <c r="BJ16" s="802"/>
      <c r="BK16" s="802"/>
      <c r="BL16" s="802"/>
      <c r="BM16" s="802"/>
      <c r="BN16" s="802"/>
      <c r="BO16" s="802"/>
      <c r="BP16" s="802"/>
      <c r="BQ16" s="804"/>
    </row>
    <row r="17" spans="1:139">
      <c r="A17" s="96"/>
      <c r="B17" s="50"/>
      <c r="C17" s="100"/>
      <c r="N17" s="82"/>
      <c r="S17" s="82"/>
      <c r="X17" s="82"/>
      <c r="AC17" s="82"/>
      <c r="AH17" s="82"/>
      <c r="AM17" s="82"/>
      <c r="AR17" s="82"/>
      <c r="AW17" s="82"/>
      <c r="BB17" s="82"/>
      <c r="BG17" s="82"/>
      <c r="BL17" s="82"/>
      <c r="BQ17" s="82"/>
      <c r="BU17" s="56" t="s">
        <v>869</v>
      </c>
      <c r="BV17" s="56"/>
      <c r="BW17" s="56"/>
      <c r="BX17" s="56"/>
      <c r="BY17" s="56"/>
      <c r="BZ17" s="56"/>
      <c r="CA17" s="98"/>
      <c r="CB17" s="56"/>
      <c r="CC17" s="56"/>
      <c r="CD17" s="56"/>
      <c r="CE17" s="56"/>
      <c r="CF17" s="98"/>
      <c r="CG17" s="56"/>
      <c r="CH17" s="56"/>
      <c r="CI17" s="56"/>
      <c r="CJ17" s="56"/>
      <c r="CK17" s="98"/>
      <c r="CL17" s="56"/>
      <c r="CM17" s="56"/>
      <c r="CN17" s="56"/>
      <c r="CO17" s="56"/>
      <c r="CP17" s="98">
        <f>+AEP!X222</f>
        <v>15237</v>
      </c>
      <c r="CQ17" s="56"/>
      <c r="CR17" s="56"/>
      <c r="CS17" s="56"/>
      <c r="CT17" s="56"/>
      <c r="CU17" s="98">
        <f>+AEP!AC222</f>
        <v>16085</v>
      </c>
      <c r="CV17" s="56"/>
      <c r="CW17" s="56"/>
      <c r="CX17" s="56"/>
      <c r="CY17" s="56"/>
      <c r="CZ17" s="98">
        <f>+AEP!AH222</f>
        <v>16820</v>
      </c>
      <c r="DA17" s="56"/>
      <c r="DB17" s="56"/>
      <c r="DC17" s="56"/>
      <c r="DD17" s="56"/>
      <c r="DE17" s="98">
        <f>+AEP!AM222</f>
        <v>17891.7</v>
      </c>
      <c r="DF17" s="56"/>
      <c r="DG17" s="56"/>
      <c r="DH17" s="56"/>
      <c r="DI17" s="56"/>
      <c r="DJ17" s="98">
        <f>+AEP!AR222</f>
        <v>17397</v>
      </c>
      <c r="DK17" s="56"/>
      <c r="DL17" s="56"/>
      <c r="DM17" s="56"/>
      <c r="DN17" s="56"/>
      <c r="DO17" s="98">
        <f>+AEP!AW222</f>
        <v>18298.900000000001</v>
      </c>
      <c r="DP17" s="56"/>
      <c r="DQ17" s="56"/>
      <c r="DR17" s="56"/>
      <c r="DS17" s="56"/>
      <c r="DT17" s="98">
        <f>+AEP!BB222</f>
        <v>19062.208997886217</v>
      </c>
      <c r="DU17" s="56"/>
      <c r="DV17" s="56"/>
      <c r="DW17" s="56"/>
      <c r="DX17" s="56"/>
      <c r="DY17" s="98">
        <f>+AEP!BG222</f>
        <v>19924.685048120533</v>
      </c>
      <c r="DZ17" s="56"/>
      <c r="EA17" s="56"/>
      <c r="EB17" s="56"/>
      <c r="EC17" s="56"/>
      <c r="ED17" s="98">
        <f>+AEP!BL222</f>
        <v>21278.741634129572</v>
      </c>
      <c r="EE17" s="56"/>
      <c r="EF17" s="56"/>
      <c r="EG17" s="56"/>
      <c r="EH17" s="56"/>
      <c r="EI17" s="98">
        <f>+AEP!BQ222</f>
        <v>23045.480702061181</v>
      </c>
    </row>
    <row r="18" spans="1:139">
      <c r="A18" s="96"/>
      <c r="B18" s="99"/>
      <c r="E18" s="82"/>
      <c r="F18" s="82"/>
      <c r="G18" s="82"/>
      <c r="H18" s="82"/>
      <c r="I18" s="82"/>
      <c r="J18" s="82"/>
      <c r="K18" s="82"/>
      <c r="L18" s="82"/>
      <c r="M18" s="82"/>
      <c r="N18" s="82"/>
      <c r="O18" s="82"/>
      <c r="P18" s="82"/>
      <c r="Q18" s="82"/>
      <c r="R18" s="82"/>
      <c r="S18" s="82"/>
      <c r="T18" s="82"/>
      <c r="U18" s="82"/>
      <c r="V18" s="82"/>
      <c r="W18" s="82"/>
      <c r="X18" s="82"/>
      <c r="Y18" s="82"/>
      <c r="Z18" s="82"/>
      <c r="AA18" s="82"/>
      <c r="AB18" s="82"/>
      <c r="AC18" s="82"/>
      <c r="AD18" s="82"/>
      <c r="AE18" s="82"/>
      <c r="AF18" s="82"/>
      <c r="AG18" s="82"/>
      <c r="AH18" s="82"/>
      <c r="AI18" s="82"/>
      <c r="AJ18" s="82"/>
      <c r="AK18" s="82"/>
      <c r="AL18" s="82"/>
      <c r="AM18" s="82"/>
      <c r="AN18" s="82"/>
      <c r="AO18" s="82"/>
      <c r="AP18" s="82"/>
      <c r="AQ18" s="82"/>
      <c r="AR18" s="82"/>
      <c r="AS18" s="82"/>
      <c r="AT18" s="82"/>
      <c r="AU18" s="82"/>
      <c r="AV18" s="82"/>
      <c r="AW18" s="82"/>
      <c r="AX18" s="82"/>
      <c r="AY18" s="82"/>
      <c r="AZ18" s="82"/>
      <c r="BA18" s="82"/>
      <c r="BB18" s="82"/>
      <c r="BC18" s="82"/>
      <c r="BD18" s="82"/>
      <c r="BE18" s="82"/>
      <c r="BF18" s="82"/>
      <c r="BG18" s="82"/>
      <c r="BH18" s="82"/>
      <c r="BI18" s="82"/>
      <c r="BJ18" s="82"/>
      <c r="BK18" s="82"/>
      <c r="BL18" s="82"/>
      <c r="BM18" s="82"/>
      <c r="BN18" s="82"/>
      <c r="BO18" s="82"/>
      <c r="BP18" s="82"/>
      <c r="BQ18" s="82"/>
    </row>
    <row r="19" spans="1:139">
      <c r="A19" s="96"/>
      <c r="B19" s="99"/>
      <c r="C19" s="56" t="s">
        <v>873</v>
      </c>
      <c r="D19" s="97"/>
      <c r="E19" s="95"/>
      <c r="F19" s="95"/>
      <c r="G19" s="95"/>
      <c r="H19" s="95"/>
      <c r="I19" s="95"/>
      <c r="J19" s="95"/>
      <c r="K19" s="95"/>
      <c r="L19" s="95"/>
      <c r="M19" s="95"/>
      <c r="N19" s="95"/>
      <c r="O19" s="95"/>
      <c r="P19" s="95"/>
      <c r="Q19" s="95"/>
      <c r="R19" s="95"/>
      <c r="S19" s="95"/>
      <c r="T19" s="95"/>
      <c r="U19" s="95"/>
      <c r="V19" s="95"/>
      <c r="W19" s="95"/>
      <c r="X19" s="95"/>
      <c r="Y19" s="95"/>
      <c r="Z19" s="95"/>
      <c r="AA19" s="95"/>
      <c r="AB19" s="95"/>
      <c r="AC19" s="95"/>
      <c r="AD19" s="95"/>
      <c r="AE19" s="95"/>
      <c r="AF19" s="95"/>
      <c r="AG19" s="95"/>
      <c r="AH19" s="95"/>
      <c r="AI19" s="95"/>
      <c r="AJ19" s="95"/>
      <c r="AK19" s="95"/>
      <c r="AL19" s="95"/>
      <c r="AM19" s="95"/>
      <c r="AN19" s="95"/>
      <c r="AO19" s="95"/>
      <c r="AP19" s="95"/>
      <c r="AQ19" s="95"/>
      <c r="AR19" s="95"/>
      <c r="AS19" s="95"/>
      <c r="AT19" s="95"/>
      <c r="AU19" s="95"/>
      <c r="AV19" s="95"/>
      <c r="AW19" s="95"/>
      <c r="AX19" s="95"/>
      <c r="AY19" s="95"/>
      <c r="AZ19" s="95"/>
      <c r="BA19" s="95"/>
      <c r="BB19" s="95"/>
      <c r="BC19" s="95"/>
      <c r="BD19" s="95"/>
      <c r="BE19" s="95"/>
      <c r="BF19" s="95"/>
      <c r="BG19" s="95"/>
      <c r="BH19" s="95"/>
      <c r="BI19" s="95"/>
      <c r="BJ19" s="95"/>
      <c r="BK19" s="95"/>
      <c r="BL19" s="95"/>
      <c r="BM19" s="95"/>
      <c r="BN19" s="95"/>
      <c r="BO19" s="95"/>
      <c r="BP19" s="95"/>
      <c r="BQ19" s="95"/>
      <c r="BU19" s="56" t="s">
        <v>870</v>
      </c>
      <c r="BV19" s="50"/>
      <c r="BW19" s="50"/>
      <c r="CA19" s="98"/>
      <c r="CB19" s="50"/>
      <c r="CF19" s="98"/>
      <c r="CK19" s="98"/>
      <c r="CP19" s="98">
        <f>SUM(CP13,CP15,CP17)</f>
        <v>33975</v>
      </c>
      <c r="CU19" s="98">
        <f>SUM(CU13,CU15,CU17)</f>
        <v>35219</v>
      </c>
      <c r="CZ19" s="98">
        <f>SUM(CZ13,CZ15,CZ17)</f>
        <v>36850</v>
      </c>
      <c r="DE19" s="98">
        <f>SUM(DE13,DE15,DE17)</f>
        <v>38264.400000000001</v>
      </c>
      <c r="DJ19" s="98">
        <f>SUM(DJ13,DJ15,DJ17)</f>
        <v>39366.400000000001</v>
      </c>
      <c r="DO19" s="98">
        <f>SUM(DO13,DO15,DO17)</f>
        <v>41110.800000000003</v>
      </c>
      <c r="DT19" s="98">
        <f>SUM(DT13,DT15,DT17)</f>
        <v>44365.758793070781</v>
      </c>
      <c r="DY19" s="98">
        <f>SUM(DY13,DY15,DY17)</f>
        <v>48831.40917497412</v>
      </c>
      <c r="ED19" s="98">
        <f>SUM(ED13,ED15,ED17)</f>
        <v>52124.448234684649</v>
      </c>
      <c r="EI19" s="98">
        <f>SUM(EI13,EI15,EI17)</f>
        <v>56634.939936251525</v>
      </c>
    </row>
    <row r="20" spans="1:139">
      <c r="A20" s="96"/>
      <c r="B20" s="99"/>
      <c r="C20" s="100" t="s">
        <v>124</v>
      </c>
      <c r="D20" s="101"/>
      <c r="E20" s="74"/>
      <c r="F20" s="74"/>
      <c r="G20" s="74"/>
      <c r="H20" s="74"/>
      <c r="I20" s="72"/>
      <c r="J20" s="74"/>
      <c r="K20" s="74"/>
      <c r="L20" s="74"/>
      <c r="M20" s="74"/>
      <c r="N20" s="72"/>
      <c r="O20" s="74"/>
      <c r="P20" s="74"/>
      <c r="Q20" s="74"/>
      <c r="R20" s="74"/>
      <c r="S20" s="72"/>
      <c r="T20" s="74"/>
      <c r="U20" s="74"/>
      <c r="V20" s="74"/>
      <c r="W20" s="74"/>
      <c r="X20" s="72">
        <f>'Generation &amp; Marketing'!X23</f>
        <v>546</v>
      </c>
      <c r="Y20" s="74"/>
      <c r="Z20" s="74"/>
      <c r="AA20" s="74"/>
      <c r="AB20" s="74"/>
      <c r="AC20" s="72">
        <f>'Generation &amp; Marketing'!AC23</f>
        <v>629</v>
      </c>
      <c r="AD20" s="74"/>
      <c r="AE20" s="74"/>
      <c r="AF20" s="74"/>
      <c r="AG20" s="74"/>
      <c r="AH20" s="72">
        <f>'Generation &amp; Marketing'!AH23</f>
        <v>814</v>
      </c>
      <c r="AI20" s="74"/>
      <c r="AJ20" s="74"/>
      <c r="AK20" s="74"/>
      <c r="AL20" s="74"/>
      <c r="AM20" s="72">
        <f>'Generation &amp; Marketing'!AM23</f>
        <v>798.99999999999943</v>
      </c>
      <c r="AN20" s="74"/>
      <c r="AO20" s="74"/>
      <c r="AP20" s="74"/>
      <c r="AQ20" s="74"/>
      <c r="AR20" s="72">
        <f>'Generation &amp; Marketing'!AR23</f>
        <v>-1675.9</v>
      </c>
      <c r="AS20" s="74"/>
      <c r="AT20" s="74"/>
      <c r="AU20" s="74"/>
      <c r="AV20" s="74"/>
      <c r="AW20" s="72">
        <f>'Generation &amp; Marketing'!AW23</f>
        <v>388.09999999999974</v>
      </c>
      <c r="AX20" s="74"/>
      <c r="AY20" s="74"/>
      <c r="AZ20" s="74"/>
      <c r="BA20" s="74"/>
      <c r="BB20" s="72">
        <f>'Generation &amp; Marketing'!BB23</f>
        <v>139.8723961997193</v>
      </c>
      <c r="BC20" s="74"/>
      <c r="BD20" s="74"/>
      <c r="BE20" s="74"/>
      <c r="BF20" s="74"/>
      <c r="BG20" s="72">
        <f>'Generation &amp; Marketing'!BG23</f>
        <v>127.09159169857179</v>
      </c>
      <c r="BH20" s="74"/>
      <c r="BI20" s="74"/>
      <c r="BJ20" s="74"/>
      <c r="BK20" s="74"/>
      <c r="BL20" s="72">
        <f>'Generation &amp; Marketing'!BL23</f>
        <v>135.22936171843082</v>
      </c>
      <c r="BM20" s="74"/>
      <c r="BN20" s="74"/>
      <c r="BO20" s="74"/>
      <c r="BP20" s="74"/>
      <c r="BQ20" s="72">
        <f>'Generation &amp; Marketing'!BQ23</f>
        <v>185.83719210665947</v>
      </c>
    </row>
    <row r="21" spans="1:139">
      <c r="A21" s="83"/>
      <c r="B21" s="99"/>
      <c r="C21" s="100" t="s">
        <v>122</v>
      </c>
      <c r="D21" s="101"/>
      <c r="E21" s="50"/>
      <c r="F21" s="50"/>
      <c r="G21" s="50"/>
      <c r="H21" s="50"/>
      <c r="I21" s="109"/>
      <c r="J21" s="50"/>
      <c r="K21" s="50"/>
      <c r="L21" s="50"/>
      <c r="M21" s="50"/>
      <c r="N21" s="109"/>
      <c r="O21" s="50"/>
      <c r="P21" s="50"/>
      <c r="Q21" s="50"/>
      <c r="R21" s="50"/>
      <c r="S21" s="109"/>
      <c r="T21" s="50"/>
      <c r="U21" s="50"/>
      <c r="V21" s="50"/>
      <c r="W21" s="50"/>
      <c r="X21" s="109">
        <f>'Vertically Integrated Utilities'!X24</f>
        <v>2534</v>
      </c>
      <c r="Y21" s="50"/>
      <c r="Z21" s="50"/>
      <c r="AA21" s="50"/>
      <c r="AB21" s="50"/>
      <c r="AC21" s="109">
        <f>'Vertically Integrated Utilities'!AC24</f>
        <v>2551</v>
      </c>
      <c r="AD21" s="50"/>
      <c r="AE21" s="50"/>
      <c r="AF21" s="50"/>
      <c r="AG21" s="50"/>
      <c r="AH21" s="109">
        <f>'Vertically Integrated Utilities'!AH24</f>
        <v>2699</v>
      </c>
      <c r="AI21" s="50"/>
      <c r="AJ21" s="50"/>
      <c r="AK21" s="50"/>
      <c r="AL21" s="50"/>
      <c r="AM21" s="109">
        <f>'Vertically Integrated Utilities'!AM24</f>
        <v>2909.2000000000007</v>
      </c>
      <c r="AN21" s="50"/>
      <c r="AO21" s="50"/>
      <c r="AP21" s="50"/>
      <c r="AQ21" s="50"/>
      <c r="AR21" s="109">
        <f>'Vertically Integrated Utilities'!AR24</f>
        <v>2964.3999999999996</v>
      </c>
      <c r="AS21" s="50"/>
      <c r="AT21" s="50"/>
      <c r="AU21" s="50"/>
      <c r="AV21" s="50"/>
      <c r="AW21" s="109">
        <f>'Vertically Integrated Utilities'!AW24</f>
        <v>2908.4</v>
      </c>
      <c r="AX21" s="50"/>
      <c r="AY21" s="50"/>
      <c r="AZ21" s="50"/>
      <c r="BA21" s="50"/>
      <c r="BB21" s="109">
        <f>'Vertically Integrated Utilities'!BB24</f>
        <v>2900.1943351232076</v>
      </c>
      <c r="BC21" s="50"/>
      <c r="BD21" s="50"/>
      <c r="BE21" s="50"/>
      <c r="BF21" s="50"/>
      <c r="BG21" s="109">
        <f>'Vertically Integrated Utilities'!BG24</f>
        <v>3129.5056251670671</v>
      </c>
      <c r="BH21" s="50"/>
      <c r="BI21" s="50"/>
      <c r="BJ21" s="50"/>
      <c r="BK21" s="50"/>
      <c r="BL21" s="109">
        <f>'Vertically Integrated Utilities'!BL24</f>
        <v>3347.5512367734282</v>
      </c>
      <c r="BM21" s="50"/>
      <c r="BN21" s="50"/>
      <c r="BO21" s="50"/>
      <c r="BP21" s="50"/>
      <c r="BQ21" s="109">
        <f>'Vertically Integrated Utilities'!BQ24</f>
        <v>3710.7557228558526</v>
      </c>
      <c r="BU21" s="56"/>
      <c r="BV21" s="50"/>
      <c r="BW21" s="50"/>
      <c r="CA21" s="98"/>
      <c r="CB21" s="50"/>
      <c r="CF21" s="98"/>
      <c r="CK21" s="98"/>
      <c r="CP21" s="98"/>
      <c r="CU21" s="98"/>
      <c r="CZ21" s="98"/>
      <c r="DE21" s="98"/>
      <c r="DJ21" s="98"/>
      <c r="DO21" s="98"/>
      <c r="DT21" s="98"/>
      <c r="DY21" s="98"/>
      <c r="ED21" s="98"/>
      <c r="EI21" s="98"/>
    </row>
    <row r="22" spans="1:139">
      <c r="A22" s="83"/>
      <c r="B22" s="99"/>
      <c r="C22" s="100" t="s">
        <v>876</v>
      </c>
      <c r="I22" s="72"/>
      <c r="N22" s="72"/>
      <c r="S22" s="72"/>
      <c r="X22" s="72">
        <f>'T&amp;D Utilities'!X23</f>
        <v>1438</v>
      </c>
      <c r="AC22" s="72">
        <f>'T&amp;D Utilities'!AC23</f>
        <v>1437</v>
      </c>
      <c r="AH22" s="72">
        <f>'T&amp;D Utilities'!AH23</f>
        <v>1491.9000000000005</v>
      </c>
      <c r="AM22" s="72">
        <f>'T&amp;D Utilities'!AM23</f>
        <v>1494.1</v>
      </c>
      <c r="AR22" s="72">
        <f>'T&amp;D Utilities'!AR23</f>
        <v>1579.1999999999994</v>
      </c>
      <c r="AW22" s="72">
        <f>'T&amp;D Utilities'!AW23</f>
        <v>1667.4999999999995</v>
      </c>
      <c r="BB22" s="72">
        <f>'T&amp;D Utilities'!BB23</f>
        <v>1716.8409048844533</v>
      </c>
      <c r="BG22" s="72">
        <f>'T&amp;D Utilities'!BG23</f>
        <v>1852.4889254953368</v>
      </c>
      <c r="BL22" s="72">
        <f>'T&amp;D Utilities'!BL23</f>
        <v>2002.1746228660754</v>
      </c>
      <c r="BQ22" s="72">
        <f>'T&amp;D Utilities'!BQ23</f>
        <v>2126.0055603770761</v>
      </c>
      <c r="BU22" s="56" t="s">
        <v>871</v>
      </c>
      <c r="CA22" s="61"/>
      <c r="CF22" s="61"/>
      <c r="CK22" s="61"/>
      <c r="CP22" s="61"/>
      <c r="CU22" s="61"/>
      <c r="CZ22" s="61"/>
      <c r="DE22" s="61"/>
      <c r="DJ22" s="61"/>
      <c r="DO22" s="61"/>
      <c r="DT22" s="61"/>
      <c r="DY22" s="61"/>
      <c r="ED22" s="61"/>
      <c r="EI22" s="61"/>
    </row>
    <row r="23" spans="1:139">
      <c r="A23" s="83"/>
      <c r="B23" s="99"/>
      <c r="C23" s="100" t="s">
        <v>132</v>
      </c>
      <c r="D23" s="101"/>
      <c r="E23" s="74"/>
      <c r="F23" s="74"/>
      <c r="G23" s="74"/>
      <c r="H23" s="74"/>
      <c r="I23" s="72"/>
      <c r="J23" s="74"/>
      <c r="K23" s="74"/>
      <c r="L23" s="74"/>
      <c r="M23" s="74"/>
      <c r="N23" s="72"/>
      <c r="O23" s="74"/>
      <c r="P23" s="74"/>
      <c r="Q23" s="74"/>
      <c r="R23" s="74"/>
      <c r="S23" s="72"/>
      <c r="T23" s="74"/>
      <c r="U23" s="74"/>
      <c r="V23" s="74"/>
      <c r="W23" s="74"/>
      <c r="X23" s="72">
        <f>'Transmission Holdco'!X22</f>
        <v>66</v>
      </c>
      <c r="Y23" s="74"/>
      <c r="Z23" s="74"/>
      <c r="AA23" s="74"/>
      <c r="AB23" s="74"/>
      <c r="AC23" s="72">
        <f>'Transmission Holdco'!AC22</f>
        <v>129</v>
      </c>
      <c r="AD23" s="74"/>
      <c r="AE23" s="74"/>
      <c r="AF23" s="74"/>
      <c r="AG23" s="74"/>
      <c r="AH23" s="72">
        <f>'Transmission Holdco'!AH22</f>
        <v>261</v>
      </c>
      <c r="AI23" s="74"/>
      <c r="AJ23" s="74"/>
      <c r="AK23" s="74"/>
      <c r="AL23" s="74"/>
      <c r="AM23" s="72">
        <f>'Transmission Holdco'!AM22</f>
        <v>362.7</v>
      </c>
      <c r="AN23" s="74"/>
      <c r="AO23" s="74"/>
      <c r="AP23" s="74"/>
      <c r="AQ23" s="74"/>
      <c r="AR23" s="72">
        <f>'Transmission Holdco'!AR22</f>
        <v>517.79999999999995</v>
      </c>
      <c r="AS23" s="74"/>
      <c r="AT23" s="74"/>
      <c r="AU23" s="74"/>
      <c r="AV23" s="74"/>
      <c r="AW23" s="72">
        <f>'Transmission Holdco'!AW22</f>
        <v>716.90000000000009</v>
      </c>
      <c r="AX23" s="74"/>
      <c r="AY23" s="74"/>
      <c r="AZ23" s="74"/>
      <c r="BA23" s="74"/>
      <c r="BB23" s="72">
        <f>'Transmission Holdco'!BB22</f>
        <v>731.88874167801055</v>
      </c>
      <c r="BC23" s="74"/>
      <c r="BD23" s="74"/>
      <c r="BE23" s="74"/>
      <c r="BF23" s="74"/>
      <c r="BG23" s="72">
        <f>'Transmission Holdco'!BG22</f>
        <v>838.43710087623936</v>
      </c>
      <c r="BH23" s="74"/>
      <c r="BI23" s="74"/>
      <c r="BJ23" s="74"/>
      <c r="BK23" s="74"/>
      <c r="BL23" s="72">
        <f>'Transmission Holdco'!BL22</f>
        <v>955.81489650162325</v>
      </c>
      <c r="BM23" s="74"/>
      <c r="BN23" s="74"/>
      <c r="BO23" s="74"/>
      <c r="BP23" s="74"/>
      <c r="BQ23" s="72">
        <f>'Transmission Holdco'!BQ22</f>
        <v>1047.7821451529908</v>
      </c>
      <c r="BU23" s="50" t="s">
        <v>872</v>
      </c>
      <c r="CA23" s="107"/>
      <c r="CF23" s="107"/>
      <c r="CK23" s="107"/>
      <c r="CP23" s="107">
        <f>+AEP!X237</f>
        <v>0.52264900662251657</v>
      </c>
      <c r="CU23" s="107">
        <f>+AEP!AC237</f>
        <v>0.52179221442971124</v>
      </c>
      <c r="CZ23" s="107">
        <f>+AEP!AH237</f>
        <v>0.50702849389416549</v>
      </c>
      <c r="DE23" s="107">
        <f>+AEP!AM237</f>
        <v>0.51151200593763391</v>
      </c>
      <c r="DJ23" s="107">
        <f>+AEP!AR237</f>
        <v>0.51456064054625261</v>
      </c>
      <c r="DO23" s="107">
        <f>+AEP!AW237</f>
        <v>0.51503011374140129</v>
      </c>
      <c r="DT23" s="107">
        <f>+AEP!BB237</f>
        <v>0.56032729593883845</v>
      </c>
      <c r="DY23" s="107">
        <f>+AEP!BG237</f>
        <v>0.59196989428001512</v>
      </c>
      <c r="ED23" s="107">
        <f>+AEP!BL237</f>
        <v>0.58915977164493594</v>
      </c>
      <c r="EI23" s="107">
        <f>+AEP!BQ237</f>
        <v>0.59308722269324832</v>
      </c>
    </row>
    <row r="24" spans="1:139">
      <c r="A24" s="83"/>
      <c r="B24" s="99"/>
      <c r="C24" s="100" t="s">
        <v>653</v>
      </c>
      <c r="D24" s="101"/>
      <c r="E24" s="74"/>
      <c r="F24" s="74"/>
      <c r="G24" s="74"/>
      <c r="H24" s="74"/>
      <c r="I24" s="72"/>
      <c r="J24" s="74"/>
      <c r="K24" s="74"/>
      <c r="L24" s="74"/>
      <c r="M24" s="74"/>
      <c r="N24" s="72"/>
      <c r="O24" s="74"/>
      <c r="P24" s="74"/>
      <c r="Q24" s="74"/>
      <c r="R24" s="74"/>
      <c r="S24" s="72"/>
      <c r="T24" s="74"/>
      <c r="U24" s="74"/>
      <c r="V24" s="74"/>
      <c r="W24" s="74"/>
      <c r="X24" s="72">
        <f>'AEP River'!X22</f>
        <v>68</v>
      </c>
      <c r="Y24" s="74"/>
      <c r="Z24" s="74"/>
      <c r="AA24" s="74"/>
      <c r="AB24" s="74"/>
      <c r="AC24" s="72">
        <f>'AEP River'!AC22</f>
        <v>67</v>
      </c>
      <c r="AD24" s="74"/>
      <c r="AE24" s="74"/>
      <c r="AF24" s="74"/>
      <c r="AG24" s="74"/>
      <c r="AH24" s="72">
        <f>'AEP River'!AH22</f>
        <v>137</v>
      </c>
      <c r="AI24" s="74"/>
      <c r="AJ24" s="74"/>
      <c r="AK24" s="74"/>
      <c r="AL24" s="74"/>
      <c r="AM24" s="72">
        <f>'AEP River'!AM22</f>
        <v>0</v>
      </c>
      <c r="AN24" s="74"/>
      <c r="AO24" s="74"/>
      <c r="AP24" s="74"/>
      <c r="AQ24" s="74"/>
      <c r="AR24" s="72">
        <f>'AEP River'!AR22</f>
        <v>0</v>
      </c>
      <c r="AS24" s="74"/>
      <c r="AT24" s="74"/>
      <c r="AU24" s="74"/>
      <c r="AV24" s="74"/>
      <c r="AW24" s="72">
        <f>'AEP River'!AW22</f>
        <v>0</v>
      </c>
      <c r="AX24" s="74"/>
      <c r="AY24" s="74"/>
      <c r="AZ24" s="74"/>
      <c r="BA24" s="74"/>
      <c r="BB24" s="72">
        <f>'AEP River'!BB22</f>
        <v>0</v>
      </c>
      <c r="BC24" s="74"/>
      <c r="BD24" s="74"/>
      <c r="BE24" s="74"/>
      <c r="BF24" s="74"/>
      <c r="BG24" s="72">
        <f>'AEP River'!BG22</f>
        <v>0</v>
      </c>
      <c r="BH24" s="74"/>
      <c r="BI24" s="74"/>
      <c r="BJ24" s="74"/>
      <c r="BK24" s="74"/>
      <c r="BL24" s="72">
        <f>'AEP River'!BL22</f>
        <v>0</v>
      </c>
      <c r="BM24" s="74"/>
      <c r="BN24" s="74"/>
      <c r="BO24" s="74"/>
      <c r="BP24" s="74"/>
      <c r="BQ24" s="72">
        <f>'AEP River'!BQ22</f>
        <v>0</v>
      </c>
      <c r="BU24" s="50" t="s">
        <v>886</v>
      </c>
      <c r="BX24" s="50"/>
      <c r="BY24" s="50"/>
      <c r="BZ24" s="50"/>
      <c r="CA24" s="107"/>
      <c r="CC24" s="50"/>
      <c r="CD24" s="50"/>
      <c r="CE24" s="50"/>
      <c r="CF24" s="107"/>
      <c r="CG24" s="50"/>
      <c r="CH24" s="50"/>
      <c r="CI24" s="50"/>
      <c r="CJ24" s="50"/>
      <c r="CK24" s="107"/>
      <c r="CL24" s="50"/>
      <c r="CM24" s="50"/>
      <c r="CN24" s="50"/>
      <c r="CO24" s="50"/>
      <c r="CP24" s="107">
        <f>+AEP!X238</f>
        <v>0.55152317880794699</v>
      </c>
      <c r="CQ24" s="50"/>
      <c r="CR24" s="50"/>
      <c r="CS24" s="50"/>
      <c r="CT24" s="50"/>
      <c r="CU24" s="107">
        <f>+AEP!AC238</f>
        <v>0.54328629432976516</v>
      </c>
      <c r="CV24" s="50"/>
      <c r="CW24" s="50"/>
      <c r="CX24" s="50"/>
      <c r="CY24" s="50"/>
      <c r="CZ24" s="107">
        <f>+AEP!AH238</f>
        <v>0.54355495251017638</v>
      </c>
      <c r="DA24" s="50"/>
      <c r="DB24" s="50"/>
      <c r="DC24" s="50"/>
      <c r="DD24" s="50"/>
      <c r="DE24" s="107">
        <f>+AEP!AM238</f>
        <v>0.53241916768589082</v>
      </c>
      <c r="DF24" s="50"/>
      <c r="DG24" s="50"/>
      <c r="DH24" s="50"/>
      <c r="DI24" s="50"/>
      <c r="DJ24" s="107">
        <f>+AEP!AR238</f>
        <v>0.55807490651926517</v>
      </c>
      <c r="DK24" s="50"/>
      <c r="DL24" s="50"/>
      <c r="DM24" s="50"/>
      <c r="DN24" s="50"/>
      <c r="DO24" s="107">
        <f>+AEP!AW238</f>
        <v>0.55488825320840252</v>
      </c>
      <c r="DP24" s="50"/>
      <c r="DQ24" s="50"/>
      <c r="DR24" s="50"/>
      <c r="DS24" s="50"/>
      <c r="DT24" s="107">
        <f>+AEP!BB238</f>
        <v>0.57033961513437637</v>
      </c>
      <c r="DU24" s="50"/>
      <c r="DV24" s="50"/>
      <c r="DW24" s="50"/>
      <c r="DX24" s="50"/>
      <c r="DY24" s="107">
        <f>+AEP!BG238</f>
        <v>0.59196989428001512</v>
      </c>
      <c r="DZ24" s="50"/>
      <c r="EA24" s="50"/>
      <c r="EB24" s="50"/>
      <c r="EC24" s="50"/>
      <c r="ED24" s="107">
        <f>+AEP!BL238</f>
        <v>0.59177041954814835</v>
      </c>
      <c r="EE24" s="50"/>
      <c r="EF24" s="50"/>
      <c r="EG24" s="50"/>
      <c r="EH24" s="50"/>
      <c r="EI24" s="107">
        <f>+AEP!BQ238</f>
        <v>0.59308722269324832</v>
      </c>
    </row>
    <row r="25" spans="1:139">
      <c r="A25" s="83"/>
      <c r="B25" s="99"/>
      <c r="C25" s="100" t="s">
        <v>877</v>
      </c>
      <c r="D25" s="101"/>
      <c r="E25" s="74"/>
      <c r="F25" s="74"/>
      <c r="G25" s="74"/>
      <c r="H25" s="74"/>
      <c r="I25" s="72"/>
      <c r="J25" s="74"/>
      <c r="K25" s="74"/>
      <c r="L25" s="74"/>
      <c r="M25" s="74"/>
      <c r="N25" s="72"/>
      <c r="O25" s="74"/>
      <c r="P25" s="74"/>
      <c r="Q25" s="74"/>
      <c r="R25" s="74"/>
      <c r="S25" s="72"/>
      <c r="T25" s="74"/>
      <c r="U25" s="74"/>
      <c r="V25" s="74"/>
      <c r="W25" s="74"/>
      <c r="X25" s="72">
        <f>Parent!X22</f>
        <v>-60</v>
      </c>
      <c r="Y25" s="74"/>
      <c r="Z25" s="74"/>
      <c r="AA25" s="74"/>
      <c r="AB25" s="74"/>
      <c r="AC25" s="72">
        <f>Parent!AC22</f>
        <v>-54</v>
      </c>
      <c r="AD25" s="74"/>
      <c r="AE25" s="74"/>
      <c r="AF25" s="74"/>
      <c r="AG25" s="74"/>
      <c r="AH25" s="72">
        <f>Parent!AH22</f>
        <v>-98.900000000000588</v>
      </c>
      <c r="AI25" s="74"/>
      <c r="AJ25" s="74"/>
      <c r="AK25" s="74"/>
      <c r="AL25" s="74"/>
      <c r="AM25" s="72">
        <f>Parent!AM22</f>
        <v>-58.500000000000284</v>
      </c>
      <c r="AN25" s="74"/>
      <c r="AO25" s="74"/>
      <c r="AP25" s="74"/>
      <c r="AQ25" s="74"/>
      <c r="AR25" s="72">
        <f>Parent!AR22</f>
        <v>-70.399999999999295</v>
      </c>
      <c r="AS25" s="74"/>
      <c r="AT25" s="74"/>
      <c r="AU25" s="74"/>
      <c r="AV25" s="74"/>
      <c r="AW25" s="72">
        <f>Parent!AW22</f>
        <v>27.499999999997939</v>
      </c>
      <c r="AX25" s="74"/>
      <c r="AY25" s="74"/>
      <c r="AZ25" s="74"/>
      <c r="BA25" s="74"/>
      <c r="BB25" s="72">
        <f>Parent!BB22</f>
        <v>7.4999999999979678</v>
      </c>
      <c r="BC25" s="74"/>
      <c r="BD25" s="74"/>
      <c r="BE25" s="74"/>
      <c r="BF25" s="74"/>
      <c r="BG25" s="72">
        <f>Parent!BG22</f>
        <v>7.4999999999979678</v>
      </c>
      <c r="BH25" s="74"/>
      <c r="BI25" s="74"/>
      <c r="BJ25" s="74"/>
      <c r="BK25" s="74"/>
      <c r="BL25" s="72">
        <f>Parent!BL22</f>
        <v>7.4999999999979678</v>
      </c>
      <c r="BM25" s="74"/>
      <c r="BN25" s="74"/>
      <c r="BO25" s="74"/>
      <c r="BP25" s="74"/>
      <c r="BQ25" s="72">
        <f>Parent!BQ22</f>
        <v>7.4999999999979678</v>
      </c>
      <c r="BU25" s="50" t="s">
        <v>887</v>
      </c>
      <c r="CA25" s="108"/>
      <c r="CF25" s="108"/>
      <c r="CK25" s="108"/>
      <c r="CP25" s="108">
        <f>+AEP!X239</f>
        <v>4.0198170731707314</v>
      </c>
      <c r="CU25" s="108">
        <f>+AEP!AC239</f>
        <v>3.9957974364362263</v>
      </c>
      <c r="CZ25" s="108">
        <f>+AEP!AH239</f>
        <v>3.7456636500754148</v>
      </c>
      <c r="DE25" s="108">
        <f>+AEP!AM239</f>
        <v>3.667719967311359</v>
      </c>
      <c r="DJ25" s="108">
        <f>+AEP!AR239</f>
        <v>6.563572742903685</v>
      </c>
      <c r="DO25" s="108">
        <f>+AEP!AW239</f>
        <v>3.9586048630089001</v>
      </c>
      <c r="DT25" s="108">
        <f>+AEP!BB239</f>
        <v>4.5830661273252327</v>
      </c>
      <c r="DY25" s="108">
        <f>+AEP!BG239</f>
        <v>4.8043356475480232</v>
      </c>
      <c r="ED25" s="108">
        <f>+AEP!BL239</f>
        <v>4.7652359759629492</v>
      </c>
      <c r="EI25" s="108">
        <f>+AEP!BQ239</f>
        <v>4.7008799552446394</v>
      </c>
    </row>
    <row r="26" spans="1:139">
      <c r="C26" s="103" t="s">
        <v>890</v>
      </c>
      <c r="D26" s="104"/>
      <c r="E26" s="110"/>
      <c r="F26" s="110"/>
      <c r="G26" s="110"/>
      <c r="H26" s="110"/>
      <c r="I26" s="110"/>
      <c r="J26" s="110"/>
      <c r="K26" s="110"/>
      <c r="L26" s="110"/>
      <c r="M26" s="110"/>
      <c r="N26" s="110"/>
      <c r="O26" s="110"/>
      <c r="P26" s="110"/>
      <c r="Q26" s="110"/>
      <c r="R26" s="110"/>
      <c r="S26" s="110"/>
      <c r="T26" s="110"/>
      <c r="U26" s="110"/>
      <c r="V26" s="110"/>
      <c r="W26" s="110"/>
      <c r="X26" s="110">
        <f>AEP!X31</f>
        <v>4592</v>
      </c>
      <c r="Y26" s="110"/>
      <c r="Z26" s="110"/>
      <c r="AA26" s="110"/>
      <c r="AB26" s="110"/>
      <c r="AC26" s="110">
        <f>AEP!AC31</f>
        <v>4759</v>
      </c>
      <c r="AD26" s="110"/>
      <c r="AE26" s="110"/>
      <c r="AF26" s="110"/>
      <c r="AG26" s="110"/>
      <c r="AH26" s="110">
        <f>AEP!AH31</f>
        <v>5304</v>
      </c>
      <c r="AI26" s="110"/>
      <c r="AJ26" s="110"/>
      <c r="AK26" s="110"/>
      <c r="AL26" s="110"/>
      <c r="AM26" s="110">
        <f>AEP!AM31</f>
        <v>5506.5</v>
      </c>
      <c r="AN26" s="110"/>
      <c r="AO26" s="110"/>
      <c r="AP26" s="110"/>
      <c r="AQ26" s="110"/>
      <c r="AR26" s="110">
        <f>AEP!AR31</f>
        <v>3315.0999999999995</v>
      </c>
      <c r="AS26" s="110"/>
      <c r="AT26" s="110"/>
      <c r="AU26" s="110"/>
      <c r="AV26" s="110"/>
      <c r="AW26" s="110">
        <f>AEP!AW31</f>
        <v>5708.3999999999987</v>
      </c>
      <c r="AX26" s="110"/>
      <c r="AY26" s="110"/>
      <c r="AZ26" s="110"/>
      <c r="BA26" s="110"/>
      <c r="BB26" s="110">
        <f>AEP!BB31</f>
        <v>5521.0963778853902</v>
      </c>
      <c r="BC26" s="110"/>
      <c r="BD26" s="110"/>
      <c r="BE26" s="110"/>
      <c r="BF26" s="110"/>
      <c r="BG26" s="110">
        <f>AEP!BG31</f>
        <v>5979.8232432372133</v>
      </c>
      <c r="BH26" s="110"/>
      <c r="BI26" s="110"/>
      <c r="BJ26" s="110"/>
      <c r="BK26" s="110"/>
      <c r="BL26" s="110">
        <f>AEP!BL31</f>
        <v>6473.0701178595536</v>
      </c>
      <c r="BM26" s="110"/>
      <c r="BN26" s="110"/>
      <c r="BO26" s="110"/>
      <c r="BP26" s="110"/>
      <c r="BQ26" s="115">
        <f>AEP!BQ31</f>
        <v>7102.680620492577</v>
      </c>
      <c r="BU26" s="50" t="s">
        <v>888</v>
      </c>
      <c r="CA26" s="107"/>
      <c r="CF26" s="107"/>
      <c r="CK26" s="107"/>
      <c r="CP26" s="107">
        <f>+AEP!X240</f>
        <v>0.1749919948767211</v>
      </c>
      <c r="CU26" s="107">
        <f>+AEP!AC240</f>
        <v>0.17330406606041601</v>
      </c>
      <c r="CZ26" s="107">
        <f>+AEP!AH240</f>
        <v>0.17993010484273589</v>
      </c>
      <c r="DE26" s="107">
        <f>+AEP!AM240</f>
        <v>0.18739784122870312</v>
      </c>
      <c r="DJ26" s="107">
        <f>+AEP!AR240</f>
        <v>0.17748777845548805</v>
      </c>
      <c r="DO26" s="107">
        <f>+AEP!AW240</f>
        <v>0.16680329126464694</v>
      </c>
      <c r="DT26" s="107">
        <f>+AEP!BB240</f>
        <v>0.15823008970510641</v>
      </c>
      <c r="DY26" s="107">
        <f>+AEP!BG240</f>
        <v>0.14782449396792174</v>
      </c>
      <c r="ED26" s="107">
        <f>+AEP!BL240</f>
        <v>0.14868625872110267</v>
      </c>
      <c r="EI26" s="107">
        <f>+AEP!BQ240</f>
        <v>0.14933542890432688</v>
      </c>
    </row>
    <row r="27" spans="1:139">
      <c r="AM27" s="1463"/>
      <c r="AR27" s="1463"/>
      <c r="AW27" s="1463"/>
      <c r="BB27" s="1463"/>
      <c r="BG27" s="1463"/>
      <c r="BL27" s="1463"/>
      <c r="BQ27" s="1463"/>
    </row>
    <row r="28" spans="1:139">
      <c r="BU28" s="50"/>
      <c r="CA28" s="107"/>
      <c r="CF28" s="107"/>
      <c r="CK28" s="107"/>
      <c r="CP28" s="107"/>
      <c r="CU28" s="107"/>
      <c r="CZ28" s="107"/>
      <c r="DE28" s="107"/>
      <c r="DJ28" s="107"/>
      <c r="DO28" s="107"/>
      <c r="DT28" s="107"/>
      <c r="DY28" s="107"/>
      <c r="ED28" s="107"/>
      <c r="EI28" s="107"/>
    </row>
    <row r="29" spans="1:139">
      <c r="B29" s="46" t="s">
        <v>893</v>
      </c>
      <c r="C29" s="46"/>
      <c r="D29" s="94"/>
      <c r="E29" s="94"/>
      <c r="F29" s="94"/>
      <c r="G29" s="94"/>
      <c r="H29" s="94"/>
      <c r="I29" s="94"/>
      <c r="J29" s="94"/>
      <c r="K29" s="94"/>
      <c r="L29" s="94"/>
      <c r="M29" s="94"/>
      <c r="N29" s="94"/>
      <c r="O29" s="94"/>
      <c r="P29" s="94"/>
      <c r="Q29" s="94"/>
      <c r="R29" s="94"/>
      <c r="S29" s="94"/>
      <c r="T29" s="94"/>
      <c r="U29" s="94"/>
      <c r="V29" s="94"/>
      <c r="W29" s="94"/>
      <c r="X29" s="94"/>
      <c r="Y29" s="94"/>
      <c r="Z29" s="94"/>
      <c r="AA29" s="94"/>
      <c r="AB29" s="94"/>
      <c r="AC29" s="94"/>
      <c r="AD29" s="94"/>
      <c r="AE29" s="94"/>
      <c r="AF29" s="94"/>
      <c r="AG29" s="94"/>
      <c r="AH29" s="94"/>
      <c r="AI29" s="94"/>
      <c r="AJ29" s="94"/>
      <c r="AK29" s="94"/>
      <c r="AL29" s="94"/>
      <c r="AM29" s="94"/>
      <c r="AN29" s="94"/>
      <c r="AO29" s="94"/>
      <c r="AP29" s="94"/>
      <c r="AQ29" s="94"/>
      <c r="AR29" s="94"/>
      <c r="AS29" s="94"/>
      <c r="AT29" s="94"/>
      <c r="AU29" s="94"/>
      <c r="AV29" s="94"/>
      <c r="AW29" s="94"/>
      <c r="AX29" s="94"/>
      <c r="AY29" s="94"/>
      <c r="AZ29" s="94"/>
      <c r="BA29" s="94"/>
      <c r="BB29" s="94"/>
      <c r="BC29" s="94"/>
      <c r="BD29" s="94"/>
      <c r="BE29" s="94"/>
      <c r="BF29" s="94"/>
      <c r="BG29" s="94"/>
      <c r="BH29" s="94"/>
      <c r="BI29" s="94"/>
      <c r="BJ29" s="94"/>
      <c r="BK29" s="94"/>
      <c r="BL29" s="94"/>
      <c r="BM29" s="94"/>
      <c r="BN29" s="94"/>
      <c r="BO29" s="94"/>
      <c r="BP29" s="94"/>
      <c r="BQ29" s="94"/>
      <c r="BU29" s="56" t="s">
        <v>889</v>
      </c>
      <c r="CA29" s="107"/>
      <c r="CF29" s="61"/>
      <c r="CK29" s="61"/>
      <c r="CP29" s="61"/>
      <c r="CU29" s="61"/>
      <c r="CZ29" s="61"/>
      <c r="DE29" s="61"/>
      <c r="DJ29" s="61"/>
      <c r="DO29" s="61"/>
      <c r="DT29" s="61"/>
      <c r="DY29" s="61"/>
      <c r="ED29" s="61"/>
      <c r="EI29" s="61"/>
    </row>
    <row r="30" spans="1:139">
      <c r="B30" s="99"/>
      <c r="C30" s="88" t="s">
        <v>856</v>
      </c>
      <c r="E30" s="85"/>
      <c r="F30" s="85"/>
      <c r="G30" s="85"/>
      <c r="H30" s="85"/>
      <c r="I30" s="85"/>
      <c r="J30" s="85"/>
      <c r="K30" s="85"/>
      <c r="L30" s="85"/>
      <c r="M30" s="85"/>
      <c r="N30" s="85"/>
      <c r="O30" s="85"/>
      <c r="P30" s="85"/>
      <c r="Q30" s="85"/>
      <c r="R30" s="85"/>
      <c r="S30" s="85"/>
      <c r="T30" s="85"/>
      <c r="U30" s="85"/>
      <c r="V30" s="85"/>
      <c r="W30" s="85"/>
      <c r="X30" s="85">
        <f>+AEP!X64</f>
        <v>1.88</v>
      </c>
      <c r="Y30" s="85"/>
      <c r="Z30" s="85"/>
      <c r="AA30" s="85"/>
      <c r="AB30" s="85"/>
      <c r="AC30" s="85">
        <f>+AEP!AC64</f>
        <v>1.95</v>
      </c>
      <c r="AD30" s="85"/>
      <c r="AE30" s="85"/>
      <c r="AF30" s="85"/>
      <c r="AG30" s="85"/>
      <c r="AH30" s="85">
        <f>+AEP!AH64</f>
        <v>2.0300000000000002</v>
      </c>
      <c r="AI30" s="85"/>
      <c r="AJ30" s="85"/>
      <c r="AK30" s="85"/>
      <c r="AL30" s="85"/>
      <c r="AM30" s="85">
        <f>+AEP!AM64</f>
        <v>2.1500000000000004</v>
      </c>
      <c r="AN30" s="85"/>
      <c r="AO30" s="85"/>
      <c r="AP30" s="85"/>
      <c r="AQ30" s="85"/>
      <c r="AR30" s="85">
        <f>+AEP!AR64</f>
        <v>2.27</v>
      </c>
      <c r="AS30" s="85"/>
      <c r="AT30" s="85"/>
      <c r="AU30" s="85"/>
      <c r="AV30" s="85"/>
      <c r="AW30" s="85">
        <f>+AEP!AW64</f>
        <v>2.39</v>
      </c>
      <c r="AX30" s="85"/>
      <c r="AY30" s="85"/>
      <c r="AZ30" s="85"/>
      <c r="BA30" s="85"/>
      <c r="BB30" s="85">
        <f>+AEP!BB64</f>
        <v>2.5047999999999999</v>
      </c>
      <c r="BC30" s="85"/>
      <c r="BD30" s="85"/>
      <c r="BE30" s="85"/>
      <c r="BF30" s="85"/>
      <c r="BG30" s="85">
        <f>+AEP!BG64</f>
        <v>2.6049920000000002</v>
      </c>
      <c r="BH30" s="85"/>
      <c r="BI30" s="85"/>
      <c r="BJ30" s="85"/>
      <c r="BK30" s="85"/>
      <c r="BL30" s="85">
        <f>+AEP!BL64</f>
        <v>2.7091916800000004</v>
      </c>
      <c r="BM30" s="85"/>
      <c r="BN30" s="85"/>
      <c r="BO30" s="85"/>
      <c r="BP30" s="85"/>
      <c r="BQ30" s="85">
        <f>+AEP!BQ64</f>
        <v>2.8175593472000005</v>
      </c>
      <c r="BU30" s="50" t="s">
        <v>891</v>
      </c>
      <c r="BX30" s="50"/>
      <c r="BY30" s="50"/>
      <c r="BZ30" s="50"/>
      <c r="CA30" s="108"/>
      <c r="CC30" s="50"/>
      <c r="CD30" s="50"/>
      <c r="CE30" s="50"/>
      <c r="CF30" s="108"/>
      <c r="CG30" s="50"/>
      <c r="CH30" s="50"/>
      <c r="CI30" s="50"/>
      <c r="CJ30" s="50"/>
      <c r="CK30" s="108"/>
      <c r="CL30" s="50"/>
      <c r="CM30" s="50"/>
      <c r="CN30" s="50"/>
      <c r="CO30" s="50"/>
      <c r="CP30" s="108">
        <f>+AEP!X243</f>
        <v>4.3188259109311744</v>
      </c>
      <c r="CQ30" s="50"/>
      <c r="CR30" s="50"/>
      <c r="CS30" s="50"/>
      <c r="CT30" s="50"/>
      <c r="CU30" s="108">
        <f>+AEP!AC243</f>
        <v>4.6600441501103749</v>
      </c>
      <c r="CV30" s="50"/>
      <c r="CW30" s="50"/>
      <c r="CX30" s="50"/>
      <c r="CY30" s="50"/>
      <c r="CZ30" s="108">
        <f>+AEP!AH243</f>
        <v>5.072316384180791</v>
      </c>
      <c r="DA30" s="50"/>
      <c r="DB30" s="50"/>
      <c r="DC30" s="50"/>
      <c r="DD30" s="50"/>
      <c r="DE30" s="108">
        <f>+AEP!AM243</f>
        <v>5.368692070030896</v>
      </c>
      <c r="DF30" s="50"/>
      <c r="DG30" s="50"/>
      <c r="DH30" s="50"/>
      <c r="DI30" s="50"/>
      <c r="DJ30" s="108">
        <f>+AEP!AR243</f>
        <v>5.4451664386684895</v>
      </c>
      <c r="DK30" s="50"/>
      <c r="DL30" s="50"/>
      <c r="DM30" s="50"/>
      <c r="DN30" s="50"/>
      <c r="DO30" s="108">
        <f>+AEP!AW243</f>
        <v>5.2515083798882669</v>
      </c>
      <c r="DP30" s="50"/>
      <c r="DQ30" s="50"/>
      <c r="DR30" s="50"/>
      <c r="DS30" s="50"/>
      <c r="DT30" s="108">
        <f>+AEP!BB243</f>
        <v>5.0164386881161773</v>
      </c>
      <c r="DU30" s="50"/>
      <c r="DV30" s="50"/>
      <c r="DW30" s="50"/>
      <c r="DX30" s="50"/>
      <c r="DY30" s="108">
        <f>+AEP!BG243</f>
        <v>4.733699613461428</v>
      </c>
      <c r="DZ30" s="50"/>
      <c r="EA30" s="50"/>
      <c r="EB30" s="50"/>
      <c r="EC30" s="50"/>
      <c r="ED30" s="108">
        <f>+AEP!BL243</f>
        <v>4.5943386131786488</v>
      </c>
      <c r="EE30" s="50"/>
      <c r="EF30" s="50"/>
      <c r="EG30" s="50"/>
      <c r="EH30" s="50"/>
      <c r="EI30" s="108">
        <f>+AEP!BQ243</f>
        <v>4.6619002371587293</v>
      </c>
    </row>
    <row r="31" spans="1:139">
      <c r="B31" s="99"/>
      <c r="C31" s="81" t="s">
        <v>852</v>
      </c>
      <c r="E31" s="65"/>
      <c r="F31" s="65"/>
      <c r="G31" s="65"/>
      <c r="H31" s="65"/>
      <c r="I31" s="65"/>
      <c r="J31" s="65"/>
      <c r="K31" s="65"/>
      <c r="L31" s="65"/>
      <c r="M31" s="65"/>
      <c r="N31" s="65"/>
      <c r="O31" s="65"/>
      <c r="P31" s="65"/>
      <c r="Q31" s="65"/>
      <c r="R31" s="65"/>
      <c r="S31" s="65"/>
      <c r="T31" s="65"/>
      <c r="U31" s="65"/>
      <c r="V31" s="65"/>
      <c r="W31" s="65"/>
      <c r="X31" s="65">
        <f>X30/X51</f>
        <v>2.72938443670151E-2</v>
      </c>
      <c r="Y31" s="65"/>
      <c r="Z31" s="65"/>
      <c r="AA31" s="65"/>
      <c r="AB31" s="65"/>
      <c r="AC31" s="65">
        <f>AC30/AC51</f>
        <v>2.8310104529616725E-2</v>
      </c>
      <c r="AD31" s="65"/>
      <c r="AE31" s="65"/>
      <c r="AF31" s="65"/>
      <c r="AG31" s="65"/>
      <c r="AH31" s="65">
        <f>AH30/AH51</f>
        <v>2.9471544715447159E-2</v>
      </c>
      <c r="AI31" s="65"/>
      <c r="AJ31" s="65"/>
      <c r="AK31" s="65"/>
      <c r="AL31" s="65"/>
      <c r="AM31" s="65">
        <f>AM30/AM51</f>
        <v>3.1213704994192806E-2</v>
      </c>
      <c r="AN31" s="65"/>
      <c r="AO31" s="65"/>
      <c r="AP31" s="65"/>
      <c r="AQ31" s="65"/>
      <c r="AR31" s="65">
        <f>AR30/AR51</f>
        <v>3.2955865272938444E-2</v>
      </c>
      <c r="AS31" s="65"/>
      <c r="AT31" s="65"/>
      <c r="AU31" s="65"/>
      <c r="AV31" s="65"/>
      <c r="AW31" s="65">
        <f>AW30/AW51</f>
        <v>3.4698025551684095E-2</v>
      </c>
      <c r="AX31" s="65"/>
      <c r="AY31" s="65"/>
      <c r="AZ31" s="65"/>
      <c r="BA31" s="65"/>
      <c r="BB31" s="65">
        <f>BB30/BB51</f>
        <v>3.6364692218350758E-2</v>
      </c>
      <c r="BC31" s="65"/>
      <c r="BD31" s="65"/>
      <c r="BE31" s="65"/>
      <c r="BF31" s="65"/>
      <c r="BG31" s="65">
        <f>BG30/BG51</f>
        <v>3.7819279907084793E-2</v>
      </c>
      <c r="BH31" s="65"/>
      <c r="BI31" s="65"/>
      <c r="BJ31" s="65"/>
      <c r="BK31" s="65"/>
      <c r="BL31" s="65">
        <f>BL30/BL51</f>
        <v>3.9332051103368189E-2</v>
      </c>
      <c r="BM31" s="65"/>
      <c r="BN31" s="65"/>
      <c r="BO31" s="65"/>
      <c r="BP31" s="65"/>
      <c r="BQ31" s="65">
        <f>BQ30/BQ51</f>
        <v>4.0905333147502915E-2</v>
      </c>
      <c r="BU31" s="50" t="s">
        <v>892</v>
      </c>
      <c r="CA31" s="108"/>
      <c r="CF31" s="108"/>
      <c r="CK31" s="108"/>
      <c r="CP31" s="108">
        <f>+AEP!X244</f>
        <v>2.8441295546558703</v>
      </c>
      <c r="CU31" s="108">
        <f>+AEP!AC244</f>
        <v>3.3289183222958059</v>
      </c>
      <c r="CZ31" s="108">
        <f>+AEP!AH244</f>
        <v>3.8135593220338984</v>
      </c>
      <c r="DE31" s="108">
        <f>+AEP!AM244</f>
        <v>4.0013731548232068</v>
      </c>
      <c r="DJ31" s="108">
        <f>+AEP!AR244</f>
        <v>1.5421796625626987</v>
      </c>
      <c r="DO31" s="108">
        <f>+AEP!AW244</f>
        <v>4.1465921787709483</v>
      </c>
      <c r="DT31" s="108">
        <f>+AEP!BB244</f>
        <v>3.4256238661427685</v>
      </c>
      <c r="DY31" s="108">
        <f>+AEP!BG244</f>
        <v>3.2823246668238975</v>
      </c>
      <c r="ED31" s="108">
        <f>+AEP!BL244</f>
        <v>3.2065380761785121</v>
      </c>
      <c r="EI31" s="108">
        <f>+AEP!BQ244</f>
        <v>3.3275860298386783</v>
      </c>
    </row>
    <row r="32" spans="1:139">
      <c r="B32" s="99"/>
      <c r="C32" s="525" t="s">
        <v>854</v>
      </c>
      <c r="E32" s="82"/>
      <c r="F32" s="82"/>
      <c r="G32" s="82"/>
      <c r="H32" s="82"/>
      <c r="I32" s="82"/>
      <c r="J32" s="82"/>
      <c r="K32" s="82"/>
      <c r="L32" s="82"/>
      <c r="M32" s="82"/>
      <c r="N32" s="82"/>
      <c r="O32" s="82"/>
      <c r="P32" s="82"/>
      <c r="Q32" s="82"/>
      <c r="R32" s="82"/>
      <c r="S32" s="82"/>
      <c r="T32" s="82"/>
      <c r="U32" s="82"/>
      <c r="V32" s="82"/>
      <c r="W32" s="82"/>
      <c r="X32" s="82">
        <f>X30/X15</f>
        <v>0.60919119887775552</v>
      </c>
      <c r="Y32" s="82"/>
      <c r="Z32" s="82"/>
      <c r="AA32" s="82"/>
      <c r="AB32" s="82"/>
      <c r="AC32" s="82">
        <f>AC30/AC15</f>
        <v>0.60376978016528926</v>
      </c>
      <c r="AD32" s="82"/>
      <c r="AE32" s="82"/>
      <c r="AF32" s="82"/>
      <c r="AG32" s="82"/>
      <c r="AH32" s="82">
        <f>AH30/AH15</f>
        <v>0.59251741802985081</v>
      </c>
      <c r="AI32" s="82"/>
      <c r="AJ32" s="82"/>
      <c r="AK32" s="82"/>
      <c r="AL32" s="82"/>
      <c r="AM32" s="82">
        <f>AM30/AM15</f>
        <v>0.58333904164592687</v>
      </c>
      <c r="AN32" s="82"/>
      <c r="AO32" s="82"/>
      <c r="AP32" s="82"/>
      <c r="AQ32" s="82"/>
      <c r="AR32" s="82">
        <f>AR30/AR15</f>
        <v>0.57618624465152313</v>
      </c>
      <c r="AS32" s="82"/>
      <c r="AT32" s="82"/>
      <c r="AU32" s="82"/>
      <c r="AV32" s="82"/>
      <c r="AW32" s="82">
        <f>AW30/AW15</f>
        <v>0.651219896083855</v>
      </c>
      <c r="AX32" s="82"/>
      <c r="AY32" s="82"/>
      <c r="AZ32" s="82"/>
      <c r="BA32" s="82"/>
      <c r="BB32" s="82">
        <f>BB30/BB15</f>
        <v>0.65042593836275198</v>
      </c>
      <c r="BC32" s="82"/>
      <c r="BD32" s="82"/>
      <c r="BE32" s="82"/>
      <c r="BF32" s="82"/>
      <c r="BG32" s="82">
        <f>BG30/BG15</f>
        <v>0.62802342560992375</v>
      </c>
      <c r="BH32" s="82"/>
      <c r="BI32" s="82"/>
      <c r="BJ32" s="82"/>
      <c r="BK32" s="82"/>
      <c r="BL32" s="82">
        <f>BL30/BL15</f>
        <v>0.61259861132609694</v>
      </c>
      <c r="BM32" s="82"/>
      <c r="BN32" s="82"/>
      <c r="BO32" s="82"/>
      <c r="BP32" s="82"/>
      <c r="BQ32" s="82">
        <f>BQ30/BQ15</f>
        <v>0.57846598055600762</v>
      </c>
    </row>
    <row r="33" spans="2:139">
      <c r="B33" s="99"/>
      <c r="C33" s="50" t="s">
        <v>855</v>
      </c>
      <c r="E33" s="67"/>
      <c r="F33" s="67"/>
      <c r="G33" s="67"/>
      <c r="H33" s="67"/>
      <c r="I33" s="67"/>
      <c r="J33" s="67"/>
      <c r="K33" s="67"/>
      <c r="L33" s="67"/>
      <c r="M33" s="67"/>
      <c r="N33" s="65"/>
      <c r="O33" s="67"/>
      <c r="P33" s="67"/>
      <c r="Q33" s="67"/>
      <c r="R33" s="67"/>
      <c r="S33" s="65"/>
      <c r="T33" s="67"/>
      <c r="U33" s="67"/>
      <c r="V33" s="67"/>
      <c r="W33" s="67"/>
      <c r="X33" s="65"/>
      <c r="Y33" s="67"/>
      <c r="Z33" s="67"/>
      <c r="AA33" s="67"/>
      <c r="AB33" s="67"/>
      <c r="AC33" s="65">
        <f>AC30/X30-1</f>
        <v>3.7234042553191626E-2</v>
      </c>
      <c r="AD33" s="67"/>
      <c r="AE33" s="67"/>
      <c r="AF33" s="67"/>
      <c r="AG33" s="67"/>
      <c r="AH33" s="65">
        <f>AH30/AC30-1</f>
        <v>4.1025641025641102E-2</v>
      </c>
      <c r="AI33" s="67"/>
      <c r="AJ33" s="67"/>
      <c r="AK33" s="67"/>
      <c r="AL33" s="67"/>
      <c r="AM33" s="65">
        <f>AM30/AH30-1</f>
        <v>5.9113300492610987E-2</v>
      </c>
      <c r="AN33" s="67"/>
      <c r="AO33" s="67"/>
      <c r="AP33" s="67"/>
      <c r="AQ33" s="67"/>
      <c r="AR33" s="65">
        <f>AR30/AM30-1</f>
        <v>5.5813953488371926E-2</v>
      </c>
      <c r="AS33" s="67"/>
      <c r="AT33" s="67"/>
      <c r="AU33" s="67"/>
      <c r="AV33" s="67"/>
      <c r="AW33" s="65">
        <f>AW30/AR30-1</f>
        <v>5.2863436123347984E-2</v>
      </c>
      <c r="AX33" s="67"/>
      <c r="AY33" s="67"/>
      <c r="AZ33" s="67"/>
      <c r="BA33" s="67"/>
      <c r="BB33" s="65">
        <f>BB30/AW30-1</f>
        <v>4.8033472803347133E-2</v>
      </c>
      <c r="BC33" s="67"/>
      <c r="BD33" s="67"/>
      <c r="BE33" s="67"/>
      <c r="BF33" s="67"/>
      <c r="BG33" s="65">
        <f>BG30/BB30-1</f>
        <v>4.0000000000000036E-2</v>
      </c>
      <c r="BH33" s="67"/>
      <c r="BI33" s="67"/>
      <c r="BJ33" s="67"/>
      <c r="BK33" s="67"/>
      <c r="BL33" s="65">
        <f>BL30/BG30-1</f>
        <v>4.0000000000000036E-2</v>
      </c>
      <c r="BM33" s="67"/>
      <c r="BN33" s="67"/>
      <c r="BO33" s="67"/>
      <c r="BP33" s="67"/>
      <c r="BQ33" s="65">
        <f>BQ30/BL30-1</f>
        <v>4.0000000000000036E-2</v>
      </c>
    </row>
    <row r="35" spans="2:139">
      <c r="B35" s="99"/>
      <c r="C35" s="100" t="s">
        <v>897</v>
      </c>
      <c r="E35" s="67"/>
      <c r="F35" s="67"/>
      <c r="G35" s="67"/>
      <c r="H35" s="67"/>
      <c r="I35" s="72"/>
      <c r="J35" s="67"/>
      <c r="K35" s="67"/>
      <c r="L35" s="67"/>
      <c r="M35" s="67"/>
      <c r="N35" s="72"/>
      <c r="O35" s="67"/>
      <c r="P35" s="67"/>
      <c r="Q35" s="67"/>
      <c r="R35" s="67"/>
      <c r="S35" s="72"/>
      <c r="T35" s="67"/>
      <c r="U35" s="67"/>
      <c r="V35" s="67"/>
      <c r="W35" s="67"/>
      <c r="X35" s="72">
        <f>+AEP!X50</f>
        <v>485.66836999999998</v>
      </c>
      <c r="Y35" s="67"/>
      <c r="Z35" s="67"/>
      <c r="AA35" s="67"/>
      <c r="AB35" s="67"/>
      <c r="AC35" s="72">
        <f>+AEP!AC50</f>
        <v>487.77737200000001</v>
      </c>
      <c r="AD35" s="67"/>
      <c r="AE35" s="67"/>
      <c r="AF35" s="67"/>
      <c r="AG35" s="67"/>
      <c r="AH35" s="72">
        <f>+AEP!AH50</f>
        <v>489.40256699999998</v>
      </c>
      <c r="AI35" s="67"/>
      <c r="AJ35" s="67"/>
      <c r="AK35" s="67"/>
      <c r="AL35" s="67"/>
      <c r="AM35" s="72">
        <f>+AEP!AM50</f>
        <v>491.05258100000003</v>
      </c>
      <c r="AN35" s="67"/>
      <c r="AO35" s="67"/>
      <c r="AP35" s="67"/>
      <c r="AQ35" s="67"/>
      <c r="AR35" s="72">
        <f>+AEP!AR50</f>
        <v>491.71192800000006</v>
      </c>
      <c r="AS35" s="67"/>
      <c r="AT35" s="67"/>
      <c r="AU35" s="67"/>
      <c r="AV35" s="67"/>
      <c r="AW35" s="72">
        <f>+AEP!AW50</f>
        <v>492.00559800000002</v>
      </c>
      <c r="AX35" s="67"/>
      <c r="AY35" s="67"/>
      <c r="AZ35" s="67"/>
      <c r="BA35" s="67"/>
      <c r="BB35" s="72">
        <f>+AEP!BB50</f>
        <v>493.45739823228797</v>
      </c>
      <c r="BC35" s="67"/>
      <c r="BD35" s="67"/>
      <c r="BE35" s="67"/>
      <c r="BF35" s="67"/>
      <c r="BG35" s="72">
        <f>+AEP!BG50</f>
        <v>494.90919846457592</v>
      </c>
      <c r="BH35" s="67"/>
      <c r="BI35" s="67"/>
      <c r="BJ35" s="67"/>
      <c r="BK35" s="67"/>
      <c r="BL35" s="72">
        <f>+AEP!BL50</f>
        <v>502.16819962601613</v>
      </c>
      <c r="BM35" s="67"/>
      <c r="BN35" s="67"/>
      <c r="BO35" s="67"/>
      <c r="BP35" s="67"/>
      <c r="BQ35" s="72">
        <f>+AEP!BQ50</f>
        <v>512.6937513101044</v>
      </c>
    </row>
    <row r="36" spans="2:139">
      <c r="C36" s="113" t="s">
        <v>898</v>
      </c>
      <c r="I36" s="72"/>
      <c r="N36" s="72"/>
      <c r="S36" s="72"/>
      <c r="X36" s="72">
        <f>+AEP!X51</f>
        <v>484.68246900000003</v>
      </c>
      <c r="AC36" s="72">
        <f>+AEP!AC51</f>
        <v>486.61955499999999</v>
      </c>
      <c r="AH36" s="72">
        <f>+AEP!AH51</f>
        <v>488.59299700000003</v>
      </c>
      <c r="AM36" s="72">
        <f>+AEP!AM51</f>
        <v>490.34052200000002</v>
      </c>
      <c r="AR36" s="72">
        <f>+AEP!AR51</f>
        <v>491.49545799999999</v>
      </c>
      <c r="AW36" s="72">
        <f>+AEP!AW51</f>
        <v>491.81465100000003</v>
      </c>
      <c r="BB36" s="72">
        <f>+AEP!BB51</f>
        <v>492.731498116144</v>
      </c>
      <c r="BG36" s="72">
        <f>+AEP!BG51</f>
        <v>494.18329834843195</v>
      </c>
      <c r="BL36" s="72">
        <f>+AEP!BL51</f>
        <v>498.53869904529603</v>
      </c>
      <c r="BQ36" s="72">
        <f>+AEP!BQ51</f>
        <v>507.43097546806024</v>
      </c>
      <c r="BT36" s="46" t="s">
        <v>894</v>
      </c>
      <c r="BU36" s="46"/>
      <c r="BV36" s="94"/>
      <c r="BW36" s="94"/>
      <c r="BX36" s="94"/>
      <c r="BY36" s="94"/>
      <c r="BZ36" s="94"/>
      <c r="CA36" s="94"/>
      <c r="CB36" s="94"/>
      <c r="CC36" s="94"/>
      <c r="CD36" s="94"/>
      <c r="CE36" s="94"/>
      <c r="CF36" s="94"/>
      <c r="CG36" s="94"/>
      <c r="CH36" s="94"/>
      <c r="CI36" s="94"/>
      <c r="CJ36" s="94"/>
      <c r="CK36" s="94"/>
      <c r="CL36" s="94"/>
      <c r="CM36" s="94"/>
      <c r="CN36" s="94"/>
      <c r="CO36" s="94"/>
      <c r="CP36" s="94"/>
      <c r="CQ36" s="94"/>
      <c r="CR36" s="94"/>
      <c r="CS36" s="94"/>
      <c r="CT36" s="94"/>
      <c r="CU36" s="94"/>
      <c r="CV36" s="94"/>
      <c r="CW36" s="94"/>
      <c r="CX36" s="94"/>
      <c r="CY36" s="94"/>
      <c r="CZ36" s="94"/>
      <c r="DA36" s="94"/>
      <c r="DB36" s="94"/>
      <c r="DC36" s="94"/>
      <c r="DD36" s="94"/>
      <c r="DE36" s="94"/>
      <c r="DF36" s="94"/>
      <c r="DG36" s="94"/>
      <c r="DH36" s="94"/>
      <c r="DI36" s="94"/>
      <c r="DJ36" s="94"/>
      <c r="DK36" s="94"/>
      <c r="DL36" s="94"/>
      <c r="DM36" s="94"/>
      <c r="DN36" s="94"/>
      <c r="DO36" s="94"/>
      <c r="DP36" s="94"/>
      <c r="DQ36" s="94"/>
      <c r="DR36" s="94"/>
      <c r="DS36" s="94"/>
      <c r="DT36" s="94"/>
      <c r="DU36" s="94"/>
      <c r="DV36" s="94"/>
      <c r="DW36" s="94"/>
      <c r="DX36" s="94"/>
      <c r="DY36" s="94"/>
      <c r="DZ36" s="94"/>
      <c r="EA36" s="94"/>
      <c r="EB36" s="94"/>
      <c r="EC36" s="94"/>
      <c r="ED36" s="94"/>
      <c r="EE36" s="94"/>
      <c r="EF36" s="94"/>
      <c r="EG36" s="94"/>
      <c r="EH36" s="94"/>
      <c r="EI36" s="94"/>
    </row>
    <row r="37" spans="2:139">
      <c r="C37" s="100" t="s">
        <v>901</v>
      </c>
      <c r="I37" s="72"/>
      <c r="N37" s="72"/>
      <c r="S37" s="72"/>
      <c r="X37" s="72">
        <f>+AEP!X52</f>
        <v>485.08469400000001</v>
      </c>
      <c r="AC37" s="72">
        <f>+AEP!AC52</f>
        <v>487.04095599999999</v>
      </c>
      <c r="AH37" s="72">
        <f>+AEP!AH52</f>
        <v>488.89983999999998</v>
      </c>
      <c r="AM37" s="72">
        <f>+AEP!AM52</f>
        <v>490.574568</v>
      </c>
      <c r="AR37" s="72">
        <f>+AEP!AR52</f>
        <v>491.66200700000002</v>
      </c>
      <c r="AW37" s="72">
        <f>+AEP!AW52</f>
        <v>492.61106699999999</v>
      </c>
      <c r="BB37" s="72">
        <f>+AEP!BB52</f>
        <v>492.731498116144</v>
      </c>
      <c r="BG37" s="72">
        <f>+AEP!BG52</f>
        <v>494.18329834843195</v>
      </c>
      <c r="BL37" s="72">
        <f>+AEP!BL52</f>
        <v>498.53869904529603</v>
      </c>
      <c r="BQ37" s="72">
        <f>+AEP!BQ52</f>
        <v>507.43097546806024</v>
      </c>
      <c r="BT37" s="99"/>
      <c r="BU37" s="56" t="s">
        <v>895</v>
      </c>
    </row>
    <row r="38" spans="2:139">
      <c r="BT38" s="99"/>
      <c r="BU38" s="50" t="s">
        <v>122</v>
      </c>
      <c r="BV38" s="74"/>
      <c r="BW38" s="74"/>
      <c r="BX38" s="74"/>
      <c r="BY38" s="74"/>
      <c r="BZ38" s="74"/>
      <c r="CA38" s="72"/>
      <c r="CB38" s="74"/>
      <c r="CC38" s="74"/>
      <c r="CD38" s="74"/>
      <c r="CE38" s="74"/>
      <c r="CF38" s="72"/>
      <c r="CG38" s="72"/>
      <c r="CH38" s="72"/>
      <c r="CI38" s="72"/>
      <c r="CJ38" s="72"/>
      <c r="CK38" s="72"/>
      <c r="CL38" s="72"/>
      <c r="CM38" s="72"/>
      <c r="CN38" s="72"/>
      <c r="CO38" s="72"/>
      <c r="CP38" s="72">
        <f>'Vertically Integrated Utilities'!X180</f>
        <v>1604</v>
      </c>
      <c r="CQ38" s="72"/>
      <c r="CR38" s="72"/>
      <c r="CS38" s="72"/>
      <c r="CT38" s="72"/>
      <c r="CU38" s="72">
        <f>'Vertically Integrated Utilities'!AC180</f>
        <v>1587</v>
      </c>
      <c r="CV38" s="72"/>
      <c r="CW38" s="72"/>
      <c r="CX38" s="72"/>
      <c r="CY38" s="72"/>
      <c r="CZ38" s="72">
        <f>'Vertically Integrated Utilities'!AH180</f>
        <v>1694</v>
      </c>
      <c r="DA38" s="72"/>
      <c r="DB38" s="72"/>
      <c r="DC38" s="72"/>
      <c r="DD38" s="72"/>
      <c r="DE38" s="72">
        <f>'Vertically Integrated Utilities'!AM180</f>
        <v>1895.9000000000005</v>
      </c>
      <c r="DF38" s="72"/>
      <c r="DG38" s="72"/>
      <c r="DH38" s="72"/>
      <c r="DI38" s="72"/>
      <c r="DJ38" s="72">
        <f>'Vertically Integrated Utilities'!AR180</f>
        <v>2008.1999999999989</v>
      </c>
      <c r="DK38" s="72"/>
      <c r="DL38" s="72"/>
      <c r="DM38" s="72"/>
      <c r="DN38" s="72"/>
      <c r="DO38" s="72">
        <f>'Vertically Integrated Utilities'!AW180</f>
        <v>1905</v>
      </c>
      <c r="DP38" s="72"/>
      <c r="DQ38" s="72"/>
      <c r="DR38" s="72"/>
      <c r="DS38" s="72"/>
      <c r="DT38" s="72">
        <f>'Vertically Integrated Utilities'!BB180</f>
        <v>2030.9891174914997</v>
      </c>
      <c r="DU38" s="72"/>
      <c r="DV38" s="72"/>
      <c r="DW38" s="72"/>
      <c r="DX38" s="72"/>
      <c r="DY38" s="72">
        <f>'Vertically Integrated Utilities'!BG180</f>
        <v>2177.6276802289017</v>
      </c>
      <c r="DZ38" s="72"/>
      <c r="EA38" s="72"/>
      <c r="EB38" s="72"/>
      <c r="EC38" s="72"/>
      <c r="ED38" s="72">
        <f>'Vertically Integrated Utilities'!BL180</f>
        <v>2323.8975278543639</v>
      </c>
      <c r="EE38" s="72"/>
      <c r="EF38" s="72"/>
      <c r="EG38" s="72"/>
      <c r="EH38" s="72"/>
      <c r="EI38" s="72">
        <f>'Vertically Integrated Utilities'!BQ180</f>
        <v>2628.6198811789013</v>
      </c>
    </row>
    <row r="39" spans="2:139">
      <c r="BT39" s="99"/>
      <c r="BU39" s="50" t="s">
        <v>876</v>
      </c>
      <c r="BV39" s="74"/>
      <c r="BW39" s="74"/>
      <c r="BX39" s="74"/>
      <c r="BY39" s="74"/>
      <c r="BZ39" s="74"/>
      <c r="CA39" s="72"/>
      <c r="CB39" s="74"/>
      <c r="CC39" s="74"/>
      <c r="CD39" s="74"/>
      <c r="CE39" s="74"/>
      <c r="CF39" s="72"/>
      <c r="CG39" s="72"/>
      <c r="CH39" s="72"/>
      <c r="CI39" s="72"/>
      <c r="CJ39" s="72"/>
      <c r="CK39" s="72"/>
      <c r="CL39" s="72"/>
      <c r="CM39" s="72"/>
      <c r="CN39" s="72"/>
      <c r="CO39" s="72"/>
      <c r="CP39" s="72">
        <f>'T&amp;D Utilities'!X161</f>
        <v>944</v>
      </c>
      <c r="CQ39" s="72"/>
      <c r="CR39" s="72"/>
      <c r="CS39" s="72"/>
      <c r="CT39" s="72"/>
      <c r="CU39" s="72">
        <f>'T&amp;D Utilities'!AC161</f>
        <v>941</v>
      </c>
      <c r="CV39" s="72"/>
      <c r="CW39" s="72"/>
      <c r="CX39" s="72"/>
      <c r="CY39" s="72"/>
      <c r="CZ39" s="72">
        <f>'T&amp;D Utilities'!AH161</f>
        <v>998.30000000000064</v>
      </c>
      <c r="DA39" s="72"/>
      <c r="DB39" s="72"/>
      <c r="DC39" s="72"/>
      <c r="DD39" s="72"/>
      <c r="DE39" s="72">
        <f>'T&amp;D Utilities'!AM161</f>
        <v>1023.3000000000002</v>
      </c>
      <c r="DF39" s="72"/>
      <c r="DG39" s="72"/>
      <c r="DH39" s="72"/>
      <c r="DI39" s="72"/>
      <c r="DJ39" s="72">
        <f>'T&amp;D Utilities'!AR161</f>
        <v>1116.8999999999996</v>
      </c>
      <c r="DK39" s="72"/>
      <c r="DL39" s="72"/>
      <c r="DM39" s="72"/>
      <c r="DN39" s="72"/>
      <c r="DO39" s="72">
        <f>'T&amp;D Utilities'!AW161</f>
        <v>1290.6999999999996</v>
      </c>
      <c r="DP39" s="72"/>
      <c r="DQ39" s="72"/>
      <c r="DR39" s="72"/>
      <c r="DS39" s="72"/>
      <c r="DT39" s="72">
        <f>'T&amp;D Utilities'!BB161</f>
        <v>1266.4307370681179</v>
      </c>
      <c r="DU39" s="72"/>
      <c r="DV39" s="72"/>
      <c r="DW39" s="72"/>
      <c r="DX39" s="72"/>
      <c r="DY39" s="72">
        <f>'T&amp;D Utilities'!BG161</f>
        <v>1357.81648757125</v>
      </c>
      <c r="DZ39" s="72"/>
      <c r="EA39" s="72"/>
      <c r="EB39" s="72"/>
      <c r="EC39" s="72"/>
      <c r="ED39" s="72">
        <f>'T&amp;D Utilities'!BL161</f>
        <v>1469.9761019756932</v>
      </c>
      <c r="EE39" s="72"/>
      <c r="EF39" s="72"/>
      <c r="EG39" s="72"/>
      <c r="EH39" s="72"/>
      <c r="EI39" s="72">
        <f>'T&amp;D Utilities'!BQ161</f>
        <v>1557.8289372684037</v>
      </c>
    </row>
    <row r="40" spans="2:139">
      <c r="BT40" s="99"/>
      <c r="BU40" s="50" t="s">
        <v>878</v>
      </c>
      <c r="BV40" s="74"/>
      <c r="BW40" s="74"/>
      <c r="BX40" s="74"/>
      <c r="BY40" s="74"/>
      <c r="BZ40" s="74"/>
      <c r="CA40" s="72"/>
      <c r="CB40" s="74"/>
      <c r="CC40" s="74"/>
      <c r="CD40" s="74"/>
      <c r="CE40" s="74"/>
      <c r="CF40" s="72"/>
      <c r="CG40" s="74"/>
      <c r="CH40" s="74"/>
      <c r="CI40" s="74"/>
      <c r="CJ40" s="74"/>
      <c r="CK40" s="72"/>
      <c r="CL40" s="74"/>
      <c r="CM40" s="74"/>
      <c r="CN40" s="74"/>
      <c r="CO40" s="74"/>
      <c r="CP40" s="72">
        <f>CP41-CP38-CP39</f>
        <v>1256</v>
      </c>
      <c r="CQ40" s="74"/>
      <c r="CR40" s="74"/>
      <c r="CS40" s="74"/>
      <c r="CT40" s="74"/>
      <c r="CU40" s="72">
        <f>CU41-CU38-CU39</f>
        <v>1578</v>
      </c>
      <c r="CV40" s="74"/>
      <c r="CW40" s="74"/>
      <c r="CX40" s="74"/>
      <c r="CY40" s="74"/>
      <c r="CZ40" s="72">
        <f>CZ41-CZ38-CZ39</f>
        <v>1920.6999999999994</v>
      </c>
      <c r="DA40" s="74"/>
      <c r="DB40" s="74"/>
      <c r="DC40" s="74"/>
      <c r="DD40" s="74"/>
      <c r="DE40" s="72">
        <f>DE41-DE38-DE39</f>
        <v>1899.3000000000002</v>
      </c>
      <c r="DF40" s="74"/>
      <c r="DG40" s="74"/>
      <c r="DH40" s="74"/>
      <c r="DI40" s="74"/>
      <c r="DJ40" s="72">
        <f>DJ41-DJ38-DJ39</f>
        <v>1396.7000000000025</v>
      </c>
      <c r="DK40" s="74"/>
      <c r="DL40" s="74"/>
      <c r="DM40" s="74"/>
      <c r="DN40" s="74"/>
      <c r="DO40" s="72">
        <f>DO41-DO38-DO39</f>
        <v>1074.700000000001</v>
      </c>
      <c r="DP40" s="74"/>
      <c r="DQ40" s="74"/>
      <c r="DR40" s="74"/>
      <c r="DS40" s="74"/>
      <c r="DT40" s="72">
        <f>DT41-DT38-DT39</f>
        <v>1202.7043751459621</v>
      </c>
      <c r="DU40" s="74"/>
      <c r="DV40" s="74"/>
      <c r="DW40" s="74"/>
      <c r="DX40" s="74"/>
      <c r="DY40" s="72">
        <f>DY41-DY38-DY39</f>
        <v>749.05190107342105</v>
      </c>
      <c r="DZ40" s="74"/>
      <c r="EA40" s="74"/>
      <c r="EB40" s="74"/>
      <c r="EC40" s="74"/>
      <c r="ED40" s="72">
        <f>ED41-ED38-ED39</f>
        <v>666.7632117243495</v>
      </c>
      <c r="EE40" s="74"/>
      <c r="EF40" s="74"/>
      <c r="EG40" s="74"/>
      <c r="EH40" s="74"/>
      <c r="EI40" s="72">
        <f>EI41-EI38-EI39</f>
        <v>755.23582299027726</v>
      </c>
    </row>
    <row r="41" spans="2:139">
      <c r="B41" s="46" t="s">
        <v>903</v>
      </c>
      <c r="C41" s="46"/>
      <c r="D41" s="94"/>
      <c r="E41" s="94"/>
      <c r="F41" s="94"/>
      <c r="G41" s="94"/>
      <c r="H41" s="94"/>
      <c r="I41" s="94"/>
      <c r="J41" s="94"/>
      <c r="K41" s="94"/>
      <c r="L41" s="94"/>
      <c r="M41" s="94"/>
      <c r="N41" s="94"/>
      <c r="O41" s="94"/>
      <c r="P41" s="94"/>
      <c r="Q41" s="94"/>
      <c r="R41" s="94"/>
      <c r="S41" s="94"/>
      <c r="T41" s="94"/>
      <c r="U41" s="94"/>
      <c r="V41" s="94"/>
      <c r="W41" s="94"/>
      <c r="X41" s="94"/>
      <c r="Y41" s="94"/>
      <c r="Z41" s="94"/>
      <c r="AA41" s="94"/>
      <c r="AB41" s="94"/>
      <c r="AC41" s="94"/>
      <c r="AD41" s="94"/>
      <c r="AE41" s="94"/>
      <c r="AF41" s="94"/>
      <c r="AG41" s="94"/>
      <c r="AH41" s="94"/>
      <c r="AI41" s="94"/>
      <c r="AJ41" s="94"/>
      <c r="AK41" s="94"/>
      <c r="AL41" s="94"/>
      <c r="AM41" s="94"/>
      <c r="AN41" s="94"/>
      <c r="AO41" s="94"/>
      <c r="AP41" s="94"/>
      <c r="AQ41" s="94"/>
      <c r="AR41" s="94"/>
      <c r="AS41" s="94"/>
      <c r="AT41" s="94"/>
      <c r="AU41" s="94"/>
      <c r="AV41" s="94"/>
      <c r="AW41" s="94"/>
      <c r="AX41" s="94"/>
      <c r="AY41" s="94"/>
      <c r="AZ41" s="94"/>
      <c r="BA41" s="94"/>
      <c r="BB41" s="94"/>
      <c r="BC41" s="94"/>
      <c r="BD41" s="94"/>
      <c r="BE41" s="94"/>
      <c r="BF41" s="94"/>
      <c r="BG41" s="94"/>
      <c r="BH41" s="94"/>
      <c r="BI41" s="94"/>
      <c r="BJ41" s="94"/>
      <c r="BK41" s="94"/>
      <c r="BL41" s="94"/>
      <c r="BM41" s="94"/>
      <c r="BN41" s="94"/>
      <c r="BO41" s="94"/>
      <c r="BP41" s="94"/>
      <c r="BQ41" s="94"/>
      <c r="BT41" s="99"/>
      <c r="BU41" s="56" t="s">
        <v>896</v>
      </c>
      <c r="BV41" s="111"/>
      <c r="BW41" s="111"/>
      <c r="BX41" s="111"/>
      <c r="BY41" s="111"/>
      <c r="BZ41" s="111"/>
      <c r="CA41" s="112"/>
      <c r="CB41" s="111"/>
      <c r="CC41" s="111"/>
      <c r="CD41" s="111"/>
      <c r="CE41" s="111"/>
      <c r="CF41" s="112"/>
      <c r="CG41" s="111"/>
      <c r="CH41" s="111"/>
      <c r="CI41" s="111"/>
      <c r="CJ41" s="111"/>
      <c r="CK41" s="112"/>
      <c r="CL41" s="111"/>
      <c r="CM41" s="111"/>
      <c r="CN41" s="111"/>
      <c r="CO41" s="111"/>
      <c r="CP41" s="112">
        <f>+AEP!X139</f>
        <v>3804</v>
      </c>
      <c r="CQ41" s="111"/>
      <c r="CR41" s="111"/>
      <c r="CS41" s="111"/>
      <c r="CT41" s="111"/>
      <c r="CU41" s="112">
        <f>+AEP!AC139</f>
        <v>4106</v>
      </c>
      <c r="CV41" s="111"/>
      <c r="CW41" s="111"/>
      <c r="CX41" s="111"/>
      <c r="CY41" s="111"/>
      <c r="CZ41" s="112">
        <f>+AEP!AH139</f>
        <v>4613</v>
      </c>
      <c r="DA41" s="111"/>
      <c r="DB41" s="111"/>
      <c r="DC41" s="111"/>
      <c r="DD41" s="111"/>
      <c r="DE41" s="112">
        <f>+AEP!AM139</f>
        <v>4818.5000000000009</v>
      </c>
      <c r="DF41" s="111"/>
      <c r="DG41" s="111"/>
      <c r="DH41" s="111"/>
      <c r="DI41" s="111"/>
      <c r="DJ41" s="112">
        <f>+AEP!AR139</f>
        <v>4521.8000000000011</v>
      </c>
      <c r="DK41" s="111"/>
      <c r="DL41" s="111"/>
      <c r="DM41" s="111"/>
      <c r="DN41" s="111"/>
      <c r="DO41" s="112">
        <f>+AEP!AW139</f>
        <v>4270.4000000000005</v>
      </c>
      <c r="DP41" s="111"/>
      <c r="DQ41" s="111"/>
      <c r="DR41" s="111"/>
      <c r="DS41" s="111"/>
      <c r="DT41" s="112">
        <f>+AEP!BB139</f>
        <v>4500.1242297055796</v>
      </c>
      <c r="DU41" s="111"/>
      <c r="DV41" s="111"/>
      <c r="DW41" s="111"/>
      <c r="DX41" s="111"/>
      <c r="DY41" s="112">
        <f>+AEP!BG139</f>
        <v>4284.4960688735728</v>
      </c>
      <c r="DZ41" s="111"/>
      <c r="EA41" s="111"/>
      <c r="EB41" s="111"/>
      <c r="EC41" s="111"/>
      <c r="ED41" s="112">
        <f>+AEP!BL139</f>
        <v>4460.6368415544066</v>
      </c>
      <c r="EE41" s="111"/>
      <c r="EF41" s="111"/>
      <c r="EG41" s="111"/>
      <c r="EH41" s="111"/>
      <c r="EI41" s="112">
        <f>+AEP!BQ139</f>
        <v>4941.6846414375823</v>
      </c>
    </row>
    <row r="42" spans="2:139">
      <c r="C42" s="50" t="s">
        <v>905</v>
      </c>
      <c r="D42" s="40"/>
      <c r="E42" s="40"/>
      <c r="F42" s="108"/>
      <c r="G42" s="108"/>
      <c r="H42" s="108"/>
      <c r="I42" s="40"/>
      <c r="J42" s="40"/>
      <c r="K42" s="108"/>
      <c r="L42" s="108"/>
      <c r="M42" s="108"/>
      <c r="N42" s="108"/>
      <c r="O42" s="40"/>
      <c r="P42" s="108"/>
      <c r="Q42" s="108"/>
      <c r="R42" s="108"/>
      <c r="S42" s="108"/>
      <c r="T42" s="40"/>
      <c r="U42" s="108"/>
      <c r="V42" s="108"/>
      <c r="W42" s="108"/>
      <c r="X42" s="108">
        <f>X51/X15</f>
        <v>22.319728605691385</v>
      </c>
      <c r="Y42" s="40"/>
      <c r="Z42" s="108"/>
      <c r="AA42" s="108"/>
      <c r="AB42" s="108"/>
      <c r="AC42" s="108">
        <f>AC51/AC15</f>
        <v>21.327006388607753</v>
      </c>
      <c r="AD42" s="40"/>
      <c r="AE42" s="108"/>
      <c r="AF42" s="108"/>
      <c r="AG42" s="108"/>
      <c r="AH42" s="108">
        <f>AH51/AH15</f>
        <v>20.104728942805966</v>
      </c>
      <c r="AI42" s="40"/>
      <c r="AJ42" s="108"/>
      <c r="AK42" s="108"/>
      <c r="AL42" s="108"/>
      <c r="AM42" s="108">
        <f>AM51/AM15</f>
        <v>18.688554971428573</v>
      </c>
      <c r="AN42" s="40"/>
      <c r="AO42" s="108"/>
      <c r="AP42" s="108"/>
      <c r="AQ42" s="108"/>
      <c r="AR42" s="108">
        <f>AR51/AR15</f>
        <v>17.48357204035106</v>
      </c>
      <c r="AS42" s="40"/>
      <c r="AT42" s="108"/>
      <c r="AU42" s="108"/>
      <c r="AV42" s="108"/>
      <c r="AW42" s="108">
        <f>AW51/AW15</f>
        <v>18.768211900525493</v>
      </c>
      <c r="AX42" s="40"/>
      <c r="AY42" s="108"/>
      <c r="AZ42" s="108"/>
      <c r="BA42" s="108"/>
      <c r="BB42" s="108">
        <f>BB51/BB15</f>
        <v>17.886193961364722</v>
      </c>
      <c r="BC42" s="40"/>
      <c r="BD42" s="108"/>
      <c r="BE42" s="108"/>
      <c r="BF42" s="108"/>
      <c r="BG42" s="108">
        <f>BG51/BG15</f>
        <v>16.605906488776757</v>
      </c>
      <c r="BH42" s="40"/>
      <c r="BI42" s="108"/>
      <c r="BJ42" s="108"/>
      <c r="BK42" s="108"/>
      <c r="BL42" s="108">
        <f>BL51/BL15</f>
        <v>15.575048697972358</v>
      </c>
      <c r="BM42" s="40"/>
      <c r="BN42" s="108"/>
      <c r="BO42" s="108"/>
      <c r="BP42" s="108"/>
      <c r="BQ42" s="108">
        <f>BQ51/BQ15</f>
        <v>14.141578519115921</v>
      </c>
      <c r="BT42" s="99"/>
      <c r="BU42" s="50"/>
      <c r="BV42" s="61"/>
      <c r="BW42" s="61"/>
      <c r="BX42" s="61"/>
      <c r="BY42" s="61"/>
      <c r="BZ42" s="61"/>
      <c r="CA42" s="61"/>
      <c r="CB42" s="61"/>
      <c r="CC42" s="61"/>
      <c r="CD42" s="61"/>
      <c r="CE42" s="61"/>
      <c r="CF42" s="61"/>
      <c r="CG42" s="61"/>
      <c r="CH42" s="61"/>
      <c r="CI42" s="61"/>
      <c r="CJ42" s="61"/>
      <c r="CK42" s="61"/>
      <c r="CL42" s="61"/>
      <c r="CM42" s="61"/>
      <c r="CN42" s="61"/>
      <c r="CO42" s="61"/>
      <c r="CP42" s="61"/>
      <c r="CQ42" s="61"/>
      <c r="CR42" s="61"/>
      <c r="CS42" s="61"/>
      <c r="CT42" s="61"/>
      <c r="CU42" s="61"/>
      <c r="CV42" s="61"/>
      <c r="CW42" s="61"/>
      <c r="CX42" s="61"/>
      <c r="CY42" s="61"/>
      <c r="CZ42" s="61"/>
      <c r="DA42" s="61"/>
      <c r="DB42" s="61"/>
      <c r="DC42" s="61"/>
      <c r="DD42" s="61"/>
      <c r="DE42" s="61"/>
      <c r="DF42" s="61"/>
      <c r="DG42" s="61"/>
      <c r="DH42" s="61"/>
      <c r="DI42" s="61"/>
      <c r="DJ42" s="61"/>
      <c r="DK42" s="61"/>
      <c r="DL42" s="61"/>
      <c r="DM42" s="61"/>
      <c r="DN42" s="61"/>
      <c r="DO42" s="61"/>
      <c r="DP42" s="61"/>
      <c r="DQ42" s="61"/>
      <c r="DR42" s="61"/>
      <c r="DS42" s="61"/>
      <c r="DT42" s="61"/>
      <c r="DU42" s="61"/>
      <c r="DV42" s="61"/>
      <c r="DW42" s="61"/>
      <c r="DX42" s="61"/>
      <c r="DY42" s="61"/>
      <c r="DZ42" s="61"/>
      <c r="EA42" s="61"/>
      <c r="EB42" s="61"/>
      <c r="EC42" s="61"/>
      <c r="ED42" s="61"/>
      <c r="EE42" s="61"/>
      <c r="EF42" s="61"/>
      <c r="EG42" s="61"/>
      <c r="EH42" s="61"/>
      <c r="EI42" s="61"/>
    </row>
    <row r="43" spans="2:139">
      <c r="C43" s="50" t="s">
        <v>906</v>
      </c>
      <c r="D43" s="40"/>
      <c r="E43" s="40"/>
      <c r="F43" s="108"/>
      <c r="G43" s="108"/>
      <c r="H43" s="108"/>
      <c r="I43" s="40"/>
      <c r="J43" s="40"/>
      <c r="K43" s="108"/>
      <c r="L43" s="108"/>
      <c r="M43" s="108"/>
      <c r="N43" s="108"/>
      <c r="O43" s="40"/>
      <c r="P43" s="108"/>
      <c r="Q43" s="108"/>
      <c r="R43" s="108"/>
      <c r="S43" s="108"/>
      <c r="T43" s="40"/>
      <c r="U43" s="108"/>
      <c r="V43" s="108"/>
      <c r="W43" s="108"/>
      <c r="X43" s="108">
        <f>X55/X26</f>
        <v>11.304842623170732</v>
      </c>
      <c r="Y43" s="40"/>
      <c r="Z43" s="108"/>
      <c r="AA43" s="108"/>
      <c r="AB43" s="108"/>
      <c r="AC43" s="108">
        <f>AC55/AC26</f>
        <v>11.025181198907333</v>
      </c>
      <c r="AD43" s="40"/>
      <c r="AE43" s="108"/>
      <c r="AF43" s="108"/>
      <c r="AG43" s="108"/>
      <c r="AH43" s="108">
        <f>AH55/AH26</f>
        <v>10.052759676772247</v>
      </c>
      <c r="AI43" s="40"/>
      <c r="AJ43" s="108"/>
      <c r="AK43" s="108"/>
      <c r="AL43" s="108"/>
      <c r="AM43" s="108">
        <f>AM55/AM26</f>
        <v>9.7428742986652122</v>
      </c>
      <c r="AN43" s="40"/>
      <c r="AO43" s="108"/>
      <c r="AP43" s="108"/>
      <c r="AQ43" s="108"/>
      <c r="AR43" s="108">
        <f>AR55/AR26</f>
        <v>16.654621979910111</v>
      </c>
      <c r="AS43" s="40"/>
      <c r="AT43" s="108"/>
      <c r="AU43" s="108"/>
      <c r="AV43" s="108"/>
      <c r="AW43" s="108">
        <f>AW55/AW26</f>
        <v>9.8443356077640001</v>
      </c>
      <c r="AX43" s="40"/>
      <c r="AY43" s="108"/>
      <c r="AZ43" s="108"/>
      <c r="BA43" s="108"/>
      <c r="BB43" s="108">
        <f>BB55/BB26</f>
        <v>10.688746323379178</v>
      </c>
      <c r="BC43" s="40"/>
      <c r="BD43" s="108"/>
      <c r="BE43" s="108"/>
      <c r="BF43" s="108"/>
      <c r="BG43" s="108">
        <f>BG55/BG26</f>
        <v>10.46064025781094</v>
      </c>
      <c r="BH43" s="40"/>
      <c r="BI43" s="108"/>
      <c r="BJ43" s="108"/>
      <c r="BK43" s="108"/>
      <c r="BL43" s="108">
        <f>BL55/BL26</f>
        <v>9.9975472261057909</v>
      </c>
      <c r="BM43" s="40"/>
      <c r="BN43" s="108"/>
      <c r="BO43" s="108"/>
      <c r="BP43" s="108"/>
      <c r="BQ43" s="108">
        <f>BQ55/BQ26</f>
        <v>9.4722257894445931</v>
      </c>
      <c r="BT43" s="99"/>
      <c r="BU43" s="56" t="s">
        <v>899</v>
      </c>
    </row>
    <row r="44" spans="2:139">
      <c r="C44" s="50" t="s">
        <v>852</v>
      </c>
      <c r="D44" s="40"/>
      <c r="E44" s="40"/>
      <c r="F44" s="114"/>
      <c r="G44" s="114"/>
      <c r="H44" s="114"/>
      <c r="I44" s="40"/>
      <c r="J44" s="40"/>
      <c r="K44" s="114"/>
      <c r="L44" s="114"/>
      <c r="M44" s="114"/>
      <c r="N44" s="114"/>
      <c r="O44" s="40"/>
      <c r="P44" s="114"/>
      <c r="Q44" s="114"/>
      <c r="R44" s="114"/>
      <c r="S44" s="114"/>
      <c r="T44" s="40"/>
      <c r="U44" s="114"/>
      <c r="V44" s="114"/>
      <c r="W44" s="114"/>
      <c r="X44" s="114">
        <f>+X31</f>
        <v>2.72938443670151E-2</v>
      </c>
      <c r="Y44" s="40"/>
      <c r="Z44" s="114"/>
      <c r="AA44" s="114"/>
      <c r="AB44" s="114"/>
      <c r="AC44" s="114">
        <f>+AC31</f>
        <v>2.8310104529616725E-2</v>
      </c>
      <c r="AD44" s="40"/>
      <c r="AE44" s="114"/>
      <c r="AF44" s="114"/>
      <c r="AG44" s="114"/>
      <c r="AH44" s="114">
        <f>+AH31</f>
        <v>2.9471544715447159E-2</v>
      </c>
      <c r="AI44" s="40"/>
      <c r="AJ44" s="114"/>
      <c r="AK44" s="114"/>
      <c r="AL44" s="114"/>
      <c r="AM44" s="114">
        <f>+AM31</f>
        <v>3.1213704994192806E-2</v>
      </c>
      <c r="AN44" s="40"/>
      <c r="AO44" s="114"/>
      <c r="AP44" s="114"/>
      <c r="AQ44" s="114"/>
      <c r="AR44" s="114">
        <f>+AR31</f>
        <v>3.2955865272938444E-2</v>
      </c>
      <c r="AS44" s="40"/>
      <c r="AT44" s="114"/>
      <c r="AU44" s="114"/>
      <c r="AV44" s="114"/>
      <c r="AW44" s="114">
        <f>+AW31</f>
        <v>3.4698025551684095E-2</v>
      </c>
      <c r="AX44" s="40"/>
      <c r="AY44" s="114"/>
      <c r="AZ44" s="114"/>
      <c r="BA44" s="114"/>
      <c r="BB44" s="114">
        <f>+BB31</f>
        <v>3.6364692218350758E-2</v>
      </c>
      <c r="BC44" s="40"/>
      <c r="BD44" s="114"/>
      <c r="BE44" s="114"/>
      <c r="BF44" s="114"/>
      <c r="BG44" s="114">
        <f>+BG31</f>
        <v>3.7819279907084793E-2</v>
      </c>
      <c r="BH44" s="40"/>
      <c r="BI44" s="114"/>
      <c r="BJ44" s="114"/>
      <c r="BK44" s="114"/>
      <c r="BL44" s="114">
        <f>+BL31</f>
        <v>3.9332051103368189E-2</v>
      </c>
      <c r="BM44" s="40"/>
      <c r="BN44" s="114"/>
      <c r="BO44" s="114"/>
      <c r="BP44" s="114"/>
      <c r="BQ44" s="114">
        <f>+BQ31</f>
        <v>4.0905333147502915E-2</v>
      </c>
      <c r="BT44" s="99"/>
      <c r="BU44" s="50" t="s">
        <v>122</v>
      </c>
      <c r="BV44" s="61"/>
      <c r="BW44" s="61"/>
      <c r="BX44" s="61"/>
      <c r="BY44" s="61"/>
      <c r="BZ44" s="61"/>
      <c r="CA44" s="72"/>
      <c r="CB44" s="61"/>
      <c r="CC44" s="61"/>
      <c r="CD44" s="61"/>
      <c r="CE44" s="61"/>
      <c r="CF44" s="72"/>
      <c r="CG44" s="61"/>
      <c r="CH44" s="61"/>
      <c r="CI44" s="61"/>
      <c r="CJ44" s="61"/>
      <c r="CK44" s="72"/>
      <c r="CL44" s="61"/>
      <c r="CM44" s="61"/>
      <c r="CN44" s="61"/>
      <c r="CO44" s="61"/>
      <c r="CP44" s="72">
        <f>-'Vertically Integrated Utilities'!X182</f>
        <v>1801</v>
      </c>
      <c r="CQ44" s="61"/>
      <c r="CR44" s="61"/>
      <c r="CS44" s="61"/>
      <c r="CT44" s="61"/>
      <c r="CU44" s="72">
        <f>-'Vertically Integrated Utilities'!AC182</f>
        <v>1822</v>
      </c>
      <c r="CV44" s="61"/>
      <c r="CW44" s="61"/>
      <c r="CX44" s="61"/>
      <c r="CY44" s="61"/>
      <c r="CZ44" s="72">
        <f>-'Vertically Integrated Utilities'!AH182</f>
        <v>2055</v>
      </c>
      <c r="DA44" s="61"/>
      <c r="DB44" s="61"/>
      <c r="DC44" s="61"/>
      <c r="DD44" s="61"/>
      <c r="DE44" s="72">
        <f>-'Vertically Integrated Utilities'!AM182</f>
        <v>2222.3000000000002</v>
      </c>
      <c r="DF44" s="61"/>
      <c r="DG44" s="61"/>
      <c r="DH44" s="61"/>
      <c r="DI44" s="61"/>
      <c r="DJ44" s="72">
        <f>-'Vertically Integrated Utilities'!AR182</f>
        <v>2237</v>
      </c>
      <c r="DK44" s="61"/>
      <c r="DL44" s="61"/>
      <c r="DM44" s="61"/>
      <c r="DN44" s="61"/>
      <c r="DO44" s="72">
        <f>-'Vertically Integrated Utilities'!AW182</f>
        <v>2343.1999999999998</v>
      </c>
      <c r="DP44" s="61"/>
      <c r="DQ44" s="61"/>
      <c r="DR44" s="61"/>
      <c r="DS44" s="61"/>
      <c r="DT44" s="72">
        <f>-'Vertically Integrated Utilities'!BB182</f>
        <v>2368</v>
      </c>
      <c r="DU44" s="61"/>
      <c r="DV44" s="61"/>
      <c r="DW44" s="61"/>
      <c r="DX44" s="61"/>
      <c r="DY44" s="72">
        <f>-'Vertically Integrated Utilities'!BG182</f>
        <v>3021</v>
      </c>
      <c r="DZ44" s="61"/>
      <c r="EA44" s="61"/>
      <c r="EB44" s="61"/>
      <c r="EC44" s="61"/>
      <c r="ED44" s="72">
        <f>-'Vertically Integrated Utilities'!BL182</f>
        <v>2675</v>
      </c>
      <c r="EE44" s="61"/>
      <c r="EF44" s="61"/>
      <c r="EG44" s="61"/>
      <c r="EH44" s="61"/>
      <c r="EI44" s="72">
        <f>-'Vertically Integrated Utilities'!BQ182</f>
        <v>3805</v>
      </c>
    </row>
    <row r="45" spans="2:139">
      <c r="C45" s="50" t="s">
        <v>908</v>
      </c>
      <c r="D45" s="50"/>
      <c r="F45" s="67"/>
      <c r="G45" s="67"/>
      <c r="H45" s="67"/>
      <c r="I45" s="50"/>
      <c r="K45" s="67"/>
      <c r="L45" s="67"/>
      <c r="M45" s="67"/>
      <c r="N45" s="79"/>
      <c r="P45" s="67"/>
      <c r="Q45" s="67"/>
      <c r="R45" s="67"/>
      <c r="S45" s="79"/>
      <c r="U45" s="67"/>
      <c r="V45" s="67"/>
      <c r="W45" s="67"/>
      <c r="X45" s="79">
        <f>CP17/X52</f>
        <v>31.373259905725384</v>
      </c>
      <c r="Z45" s="67"/>
      <c r="AA45" s="67"/>
      <c r="AB45" s="67"/>
      <c r="AC45" s="79">
        <f>CU17/AC52</f>
        <v>33.119307316636657</v>
      </c>
      <c r="AE45" s="67"/>
      <c r="AF45" s="67"/>
      <c r="AG45" s="67"/>
      <c r="AH45" s="79">
        <f>CZ17/AH52</f>
        <v>34.632685673971316</v>
      </c>
      <c r="AJ45" s="67"/>
      <c r="AK45" s="67"/>
      <c r="AL45" s="67"/>
      <c r="AM45" s="79">
        <f>DE17/AM52</f>
        <v>36.839335450237371</v>
      </c>
      <c r="AO45" s="67"/>
      <c r="AP45" s="67"/>
      <c r="AQ45" s="67"/>
      <c r="AR45" s="79">
        <f>DJ17/AR52</f>
        <v>35.820739159933353</v>
      </c>
      <c r="AT45" s="67"/>
      <c r="AU45" s="67"/>
      <c r="AV45" s="67"/>
      <c r="AW45" s="79">
        <f>DO17/AW52</f>
        <v>37.514860365437372</v>
      </c>
      <c r="AY45" s="67"/>
      <c r="AZ45" s="67"/>
      <c r="BA45" s="67"/>
      <c r="BB45" s="79">
        <f>DT17/BB52</f>
        <v>38.949957117585406</v>
      </c>
      <c r="BD45" s="67"/>
      <c r="BE45" s="67"/>
      <c r="BF45" s="67"/>
      <c r="BG45" s="79">
        <f>DY17/BG52</f>
        <v>40.57546140485622</v>
      </c>
      <c r="BI45" s="67"/>
      <c r="BJ45" s="67"/>
      <c r="BK45" s="67"/>
      <c r="BL45" s="79">
        <f>ED17/BL52</f>
        <v>43.274812796751128</v>
      </c>
      <c r="BN45" s="67"/>
      <c r="BO45" s="67"/>
      <c r="BP45" s="67"/>
      <c r="BQ45" s="79">
        <f>EI17/BQ52</f>
        <v>46.839874984636211</v>
      </c>
      <c r="BT45" s="99"/>
      <c r="BU45" s="50" t="s">
        <v>876</v>
      </c>
      <c r="BV45" s="61"/>
      <c r="BW45" s="61"/>
      <c r="BX45" s="61"/>
      <c r="BY45" s="61"/>
      <c r="BZ45" s="61"/>
      <c r="CA45" s="72"/>
      <c r="CB45" s="61"/>
      <c r="CC45" s="61"/>
      <c r="CD45" s="61"/>
      <c r="CE45" s="61"/>
      <c r="CF45" s="72"/>
      <c r="CG45" s="61"/>
      <c r="CH45" s="61"/>
      <c r="CI45" s="61"/>
      <c r="CJ45" s="61"/>
      <c r="CK45" s="72"/>
      <c r="CL45" s="61"/>
      <c r="CM45" s="61"/>
      <c r="CN45" s="61"/>
      <c r="CO45" s="61"/>
      <c r="CP45" s="72">
        <f>-'T&amp;D Utilities'!X163</f>
        <v>664</v>
      </c>
      <c r="CQ45" s="61"/>
      <c r="CR45" s="61"/>
      <c r="CS45" s="61"/>
      <c r="CT45" s="61"/>
      <c r="CU45" s="72">
        <f>-'T&amp;D Utilities'!AC163</f>
        <v>871</v>
      </c>
      <c r="CV45" s="61"/>
      <c r="CW45" s="61"/>
      <c r="CX45" s="61"/>
      <c r="CY45" s="61"/>
      <c r="CZ45" s="72">
        <f>-'T&amp;D Utilities'!AH163</f>
        <v>1038</v>
      </c>
      <c r="DA45" s="61"/>
      <c r="DB45" s="61"/>
      <c r="DC45" s="61"/>
      <c r="DD45" s="61"/>
      <c r="DE45" s="72">
        <f>-'T&amp;D Utilities'!AM163</f>
        <v>1048.3</v>
      </c>
      <c r="DF45" s="61"/>
      <c r="DG45" s="61"/>
      <c r="DH45" s="61"/>
      <c r="DI45" s="61"/>
      <c r="DJ45" s="72">
        <f>-'T&amp;D Utilities'!AR163</f>
        <v>1058.3</v>
      </c>
      <c r="DK45" s="61"/>
      <c r="DL45" s="61"/>
      <c r="DM45" s="61"/>
      <c r="DN45" s="61"/>
      <c r="DO45" s="72">
        <f>-'T&amp;D Utilities'!AW163</f>
        <v>1558.4</v>
      </c>
      <c r="DP45" s="61"/>
      <c r="DQ45" s="61"/>
      <c r="DR45" s="61"/>
      <c r="DS45" s="61"/>
      <c r="DT45" s="72">
        <f>-'T&amp;D Utilities'!BB163</f>
        <v>1785</v>
      </c>
      <c r="DU45" s="61"/>
      <c r="DV45" s="61"/>
      <c r="DW45" s="61"/>
      <c r="DX45" s="61"/>
      <c r="DY45" s="72">
        <f>-'T&amp;D Utilities'!BG163</f>
        <v>1599</v>
      </c>
      <c r="DZ45" s="61"/>
      <c r="EA45" s="61"/>
      <c r="EB45" s="61"/>
      <c r="EC45" s="61"/>
      <c r="ED45" s="72">
        <f>-'T&amp;D Utilities'!BL163</f>
        <v>1364</v>
      </c>
      <c r="EE45" s="61"/>
      <c r="EF45" s="61"/>
      <c r="EG45" s="61"/>
      <c r="EH45" s="61"/>
      <c r="EI45" s="72">
        <f>-'T&amp;D Utilities'!BQ163</f>
        <v>1364</v>
      </c>
    </row>
    <row r="46" spans="2:139">
      <c r="BT46" s="99"/>
      <c r="BU46" s="50" t="s">
        <v>878</v>
      </c>
      <c r="BV46" s="74"/>
      <c r="BW46" s="74"/>
      <c r="BX46" s="74"/>
      <c r="BY46" s="74"/>
      <c r="BZ46" s="74"/>
      <c r="CA46" s="72"/>
      <c r="CB46" s="74"/>
      <c r="CC46" s="74"/>
      <c r="CD46" s="74"/>
      <c r="CE46" s="74"/>
      <c r="CF46" s="72"/>
      <c r="CG46" s="74"/>
      <c r="CH46" s="74"/>
      <c r="CI46" s="74"/>
      <c r="CJ46" s="74"/>
      <c r="CK46" s="72"/>
      <c r="CL46" s="74"/>
      <c r="CM46" s="74"/>
      <c r="CN46" s="74"/>
      <c r="CO46" s="74"/>
      <c r="CP46" s="72">
        <f>CP47-CP44-CP45</f>
        <v>560</v>
      </c>
      <c r="CQ46" s="74"/>
      <c r="CR46" s="74"/>
      <c r="CS46" s="74"/>
      <c r="CT46" s="74"/>
      <c r="CU46" s="72">
        <f>CU47-CU44-CU45</f>
        <v>931</v>
      </c>
      <c r="CV46" s="74"/>
      <c r="CW46" s="74"/>
      <c r="CX46" s="74"/>
      <c r="CY46" s="74"/>
      <c r="CZ46" s="72">
        <f>CZ47-CZ44-CZ45</f>
        <v>1041</v>
      </c>
      <c r="DA46" s="74"/>
      <c r="DB46" s="74"/>
      <c r="DC46" s="74"/>
      <c r="DD46" s="74"/>
      <c r="DE46" s="72">
        <f>DE47-DE44-DE45</f>
        <v>1237.3999999999999</v>
      </c>
      <c r="DF46" s="74"/>
      <c r="DG46" s="74"/>
      <c r="DH46" s="74"/>
      <c r="DI46" s="74"/>
      <c r="DJ46" s="72">
        <f>DJ47-DJ44-DJ45</f>
        <v>1485.8000000000004</v>
      </c>
      <c r="DK46" s="74"/>
      <c r="DL46" s="74"/>
      <c r="DM46" s="74"/>
      <c r="DN46" s="74"/>
      <c r="DO46" s="72">
        <f>DO47-DO44-DO45</f>
        <v>1789.7000000000003</v>
      </c>
      <c r="DP46" s="74"/>
      <c r="DQ46" s="74"/>
      <c r="DR46" s="74"/>
      <c r="DS46" s="74"/>
      <c r="DT46" s="72">
        <f>DT47-DT44-DT45</f>
        <v>1985.833333333333</v>
      </c>
      <c r="DU46" s="74"/>
      <c r="DV46" s="74"/>
      <c r="DW46" s="74"/>
      <c r="DX46" s="74"/>
      <c r="DY46" s="72">
        <f>DY47-DY44-DY45</f>
        <v>1969.333333333333</v>
      </c>
      <c r="DZ46" s="74"/>
      <c r="EA46" s="74"/>
      <c r="EB46" s="74"/>
      <c r="EC46" s="74"/>
      <c r="ED46" s="72">
        <f>ED47-ED44-ED45</f>
        <v>1745.333333333333</v>
      </c>
      <c r="EE46" s="74"/>
      <c r="EF46" s="74"/>
      <c r="EG46" s="74"/>
      <c r="EH46" s="74"/>
      <c r="EI46" s="72">
        <f>EI47-EI44-EI45</f>
        <v>1611</v>
      </c>
    </row>
    <row r="47" spans="2:139">
      <c r="C47" s="50" t="s">
        <v>910</v>
      </c>
      <c r="D47" s="50"/>
      <c r="F47" s="67"/>
      <c r="G47" s="65"/>
      <c r="H47" s="65"/>
      <c r="I47" s="50"/>
      <c r="K47" s="67"/>
      <c r="L47" s="65"/>
      <c r="M47" s="65"/>
      <c r="N47" s="65"/>
      <c r="P47" s="67"/>
      <c r="Q47" s="65"/>
      <c r="R47" s="65"/>
      <c r="S47" s="65"/>
      <c r="U47" s="67"/>
      <c r="V47" s="65"/>
      <c r="W47" s="65"/>
      <c r="X47" s="65">
        <f>(X15*X37)/AVERAGE(CP17,CU17)</f>
        <v>9.5587765787625317E-2</v>
      </c>
      <c r="Z47" s="67"/>
      <c r="AA47" s="65"/>
      <c r="AB47" s="65"/>
      <c r="AC47" s="65">
        <f>(AC15*AC37)/AVERAGE(CU17,CZ17)</f>
        <v>9.5608570126120646E-2</v>
      </c>
      <c r="AE47" s="67"/>
      <c r="AF47" s="65"/>
      <c r="AG47" s="65"/>
      <c r="AH47" s="65">
        <f>(AH15*AH37)/AVERAGE(CZ17,DE17)</f>
        <v>9.6509246161956927E-2</v>
      </c>
      <c r="AJ47" s="67"/>
      <c r="AK47" s="65"/>
      <c r="AL47" s="65"/>
      <c r="AM47" s="65">
        <f>(AM15*AM37)/AVERAGE(DE17,DJ17)</f>
        <v>0.10247472987103519</v>
      </c>
      <c r="AO47" s="67"/>
      <c r="AP47" s="65"/>
      <c r="AQ47" s="65"/>
      <c r="AR47" s="65">
        <f>(AR15*AR37)/AVERAGE(DJ17,DO17)</f>
        <v>0.10852787014755194</v>
      </c>
      <c r="AT47" s="67"/>
      <c r="AU47" s="65"/>
      <c r="AV47" s="65"/>
      <c r="AW47" s="65">
        <f>(AW15*AW37)/AVERAGE(DO17,DT17)</f>
        <v>9.6779782425745628E-2</v>
      </c>
      <c r="AY47" s="67"/>
      <c r="AZ47" s="65"/>
      <c r="BA47" s="65"/>
      <c r="BB47" s="65">
        <f>(BB15*BB37)/AVERAGE(DT17,EN17)</f>
        <v>9.9543361229546212E-2</v>
      </c>
      <c r="BD47" s="67"/>
      <c r="BE47" s="65"/>
      <c r="BF47" s="65"/>
      <c r="BG47" s="65">
        <f>(BG15*BG37)/AVERAGE(DY17,ES17)</f>
        <v>0.10287909825559841</v>
      </c>
      <c r="BI47" s="67"/>
      <c r="BJ47" s="65"/>
      <c r="BK47" s="65"/>
      <c r="BL47" s="65">
        <f>(BL15*BL37)/AVERAGE(ED17,EX17)</f>
        <v>0.10361357532091528</v>
      </c>
      <c r="BN47" s="67"/>
      <c r="BO47" s="65"/>
      <c r="BP47" s="65"/>
      <c r="BQ47" s="65">
        <f>(BQ15*BQ37)/AVERAGE(EI17,FC17)</f>
        <v>0.10724732098867358</v>
      </c>
      <c r="BT47" s="99"/>
      <c r="BU47" s="56" t="s">
        <v>902</v>
      </c>
      <c r="BV47" s="111"/>
      <c r="BW47" s="111"/>
      <c r="BX47" s="111"/>
      <c r="BY47" s="111"/>
      <c r="BZ47" s="111"/>
      <c r="CA47" s="112"/>
      <c r="CB47" s="111"/>
      <c r="CC47" s="111"/>
      <c r="CD47" s="111"/>
      <c r="CE47" s="111"/>
      <c r="CF47" s="112"/>
      <c r="CG47" s="111"/>
      <c r="CH47" s="111"/>
      <c r="CI47" s="111"/>
      <c r="CJ47" s="111"/>
      <c r="CK47" s="112"/>
      <c r="CL47" s="111"/>
      <c r="CM47" s="111"/>
      <c r="CN47" s="111"/>
      <c r="CO47" s="111"/>
      <c r="CP47" s="112">
        <f>-AEP!X141</f>
        <v>3025</v>
      </c>
      <c r="CQ47" s="111"/>
      <c r="CR47" s="111"/>
      <c r="CS47" s="111"/>
      <c r="CT47" s="111"/>
      <c r="CU47" s="112">
        <f>-AEP!AC141</f>
        <v>3624</v>
      </c>
      <c r="CV47" s="111"/>
      <c r="CW47" s="111"/>
      <c r="CX47" s="111"/>
      <c r="CY47" s="111"/>
      <c r="CZ47" s="112">
        <f>-AEP!AH141</f>
        <v>4134</v>
      </c>
      <c r="DA47" s="111"/>
      <c r="DB47" s="111"/>
      <c r="DC47" s="111"/>
      <c r="DD47" s="111"/>
      <c r="DE47" s="112">
        <f>-AEP!AM141</f>
        <v>4508</v>
      </c>
      <c r="DF47" s="111"/>
      <c r="DG47" s="111"/>
      <c r="DH47" s="111"/>
      <c r="DI47" s="111"/>
      <c r="DJ47" s="112">
        <f>-AEP!AR141</f>
        <v>4781.1000000000004</v>
      </c>
      <c r="DK47" s="111"/>
      <c r="DL47" s="111"/>
      <c r="DM47" s="111"/>
      <c r="DN47" s="111"/>
      <c r="DO47" s="112">
        <f>-AEP!AW141</f>
        <v>5691.3</v>
      </c>
      <c r="DP47" s="111"/>
      <c r="DQ47" s="111"/>
      <c r="DR47" s="111"/>
      <c r="DS47" s="111"/>
      <c r="DT47" s="112">
        <f>-AEP!BB141</f>
        <v>6138.833333333333</v>
      </c>
      <c r="DU47" s="111"/>
      <c r="DV47" s="111"/>
      <c r="DW47" s="111"/>
      <c r="DX47" s="111"/>
      <c r="DY47" s="112">
        <f>-AEP!BG141</f>
        <v>6589.333333333333</v>
      </c>
      <c r="DZ47" s="111"/>
      <c r="EA47" s="111"/>
      <c r="EB47" s="111"/>
      <c r="EC47" s="111"/>
      <c r="ED47" s="112">
        <f>-AEP!BL141</f>
        <v>5784.333333333333</v>
      </c>
      <c r="EE47" s="111"/>
      <c r="EF47" s="111"/>
      <c r="EG47" s="111"/>
      <c r="EH47" s="111"/>
      <c r="EI47" s="112">
        <f>-AEP!BQ141</f>
        <v>6780</v>
      </c>
    </row>
    <row r="48" spans="2:139">
      <c r="C48" s="50" t="s">
        <v>912</v>
      </c>
      <c r="N48" s="65"/>
      <c r="S48" s="65"/>
      <c r="X48" s="65">
        <f>(AEP!X30*(1-AEP!X119))/AVERAGE((AEP!X181-AEP!X164-AEP!X185-AEP!X186),(AEP!S181-AEP!S164-AEP!S185-AEP!S186))</f>
        <v>3.7990802078475099E-2</v>
      </c>
      <c r="AC48" s="65">
        <f>(AEP!AC30*(1-AEP!AC119))/AVERAGE((AEP!AC181-AEP!AC164-AEP!AC185-AEP!AC186),(AEP!X181-AEP!X164-AEP!X185-AEP!X186))</f>
        <v>3.9614436759422542E-2</v>
      </c>
      <c r="AH48" s="65">
        <f>(AEP!AH30*(1-AEP!AH119))/AVERAGE((AEP!AH181-AEP!AH164-AEP!AH185-AEP!AH186),(AEP!AC181-AEP!AC164-AEP!AC185-AEP!AC186))</f>
        <v>3.8912349012153659E-2</v>
      </c>
      <c r="AM48" s="65">
        <f>(AEP!AM30*(1-AEP!AM119))/AVERAGE((AEP!AM181-AEP!AM164-AEP!AM185-AEP!AM186),(AEP!AH181-AEP!AH164-AEP!AH185-AEP!AH186))</f>
        <v>4.0412288593971453E-2</v>
      </c>
      <c r="AR48" s="65">
        <f>(AEP!AR30*(1-AEP!AR119))/AVERAGE((AEP!AR181-AEP!AR164-AEP!AR185-AEP!AR186),(AEP!AM181-AEP!AM164-AEP!AM185-AEP!AM186))</f>
        <v>2.7083204928971073E-2</v>
      </c>
      <c r="AW48" s="65">
        <f>(AEP!AW30*(1-AEP!AW119))/AVERAGE((AEP!AW181-AEP!AW164-AEP!AW185-AEP!AW186),(AEP!AR181-AEP!AR164-AEP!AR185-AEP!AR186))</f>
        <v>4.1247800911596383E-2</v>
      </c>
      <c r="BB48" s="65">
        <f>(AEP!BB30*(1-AEP!BB119))/AVERAGE((AEP!BB181-AEP!BB164-AEP!BB185-AEP!BB186),(AEP!AW181-AEP!AW164-AEP!AW185-AEP!AW186))</f>
        <v>4.2007761518246006E-2</v>
      </c>
      <c r="BG48" s="65">
        <f>(AEP!BG30*(1-AEP!BG119))/AVERAGE((AEP!BG181-AEP!BG164-AEP!BG185-AEP!BG186),(AEP!BB181-AEP!BB164-AEP!BB185-AEP!BB186))</f>
        <v>4.3310155283983305E-2</v>
      </c>
      <c r="BL48" s="65">
        <f>(AEP!BL30*(1-AEP!BL119))/AVERAGE((AEP!BL181-AEP!BL164-AEP!BL185-AEP!BL186),(AEP!BG181-AEP!BG164-AEP!BG185-AEP!BG186))</f>
        <v>4.4477373967299449E-2</v>
      </c>
      <c r="BQ48" s="65">
        <f>(AEP!BQ30*(1-AEP!BQ119))/AVERAGE((AEP!BQ181-AEP!BQ164-AEP!BQ185-AEP!BQ186),(AEP!BL181-AEP!BL164-AEP!BL185-AEP!BL186))</f>
        <v>4.6597967140457629E-2</v>
      </c>
      <c r="BT48" s="99"/>
      <c r="BU48" s="50"/>
      <c r="BV48" s="61"/>
      <c r="BW48" s="61"/>
      <c r="BX48" s="61"/>
      <c r="BY48" s="61"/>
      <c r="BZ48" s="61"/>
      <c r="CA48" s="61"/>
      <c r="CB48" s="61"/>
      <c r="CC48" s="61"/>
      <c r="CD48" s="61"/>
      <c r="CE48" s="61"/>
      <c r="CF48" s="61"/>
      <c r="CG48" s="61"/>
      <c r="CH48" s="61"/>
      <c r="CI48" s="61"/>
      <c r="CJ48" s="61"/>
      <c r="CK48" s="61"/>
      <c r="CL48" s="61"/>
      <c r="CM48" s="61"/>
      <c r="CN48" s="61"/>
      <c r="CO48" s="61"/>
      <c r="CP48" s="61"/>
      <c r="CQ48" s="61"/>
      <c r="CR48" s="61"/>
      <c r="CS48" s="61"/>
      <c r="CT48" s="61"/>
      <c r="CU48" s="61"/>
      <c r="CV48" s="61"/>
      <c r="CW48" s="61"/>
      <c r="CX48" s="61"/>
      <c r="CY48" s="61"/>
      <c r="CZ48" s="61"/>
      <c r="DA48" s="61"/>
      <c r="DB48" s="61"/>
      <c r="DC48" s="61"/>
      <c r="DD48" s="61"/>
      <c r="DE48" s="61"/>
      <c r="DF48" s="61"/>
      <c r="DG48" s="61"/>
      <c r="DH48" s="61"/>
      <c r="DI48" s="61"/>
      <c r="DJ48" s="61"/>
      <c r="DK48" s="61"/>
      <c r="DL48" s="61"/>
      <c r="DM48" s="61"/>
      <c r="DN48" s="61"/>
      <c r="DO48" s="61"/>
      <c r="DP48" s="61"/>
      <c r="DQ48" s="61"/>
      <c r="DR48" s="61"/>
      <c r="DS48" s="61"/>
      <c r="DT48" s="61"/>
      <c r="DU48" s="61"/>
      <c r="DV48" s="61"/>
      <c r="DW48" s="61"/>
      <c r="DX48" s="61"/>
      <c r="DY48" s="61"/>
      <c r="DZ48" s="61"/>
      <c r="EA48" s="61"/>
      <c r="EB48" s="61"/>
      <c r="EC48" s="61"/>
      <c r="ED48" s="61"/>
      <c r="EE48" s="61"/>
      <c r="EF48" s="61"/>
      <c r="EG48" s="61"/>
      <c r="EH48" s="61"/>
      <c r="EI48" s="61"/>
    </row>
    <row r="49" spans="3:139">
      <c r="C49" s="81" t="s">
        <v>913</v>
      </c>
      <c r="D49" s="102"/>
      <c r="F49" s="78"/>
      <c r="G49" s="65"/>
      <c r="H49" s="65"/>
      <c r="I49" s="50"/>
      <c r="K49" s="78"/>
      <c r="L49" s="65"/>
      <c r="M49" s="65"/>
      <c r="N49" s="65"/>
      <c r="P49" s="78"/>
      <c r="Q49" s="65"/>
      <c r="R49" s="65"/>
      <c r="S49" s="65"/>
      <c r="U49" s="78"/>
      <c r="V49" s="65"/>
      <c r="W49" s="65"/>
      <c r="X49" s="65">
        <f>(X15*X37)/AVERAGE(AEP!S181,AEP!X181)</f>
        <v>2.8088938924852237E-2</v>
      </c>
      <c r="Z49" s="78"/>
      <c r="AA49" s="65"/>
      <c r="AB49" s="65"/>
      <c r="AC49" s="65">
        <f>(AC15*AC37)/AVERAGE(AEP!X181,AEP!AC181)</f>
        <v>2.8398371561910437E-2</v>
      </c>
      <c r="AE49" s="78"/>
      <c r="AF49" s="65"/>
      <c r="AG49" s="65"/>
      <c r="AH49" s="65">
        <f>(AH15*AH37)/AVERAGE(AEP!AC181,AEP!AH181)</f>
        <v>2.8867613983989245E-2</v>
      </c>
      <c r="AJ49" s="78"/>
      <c r="AK49" s="65"/>
      <c r="AL49" s="65"/>
      <c r="AM49" s="65">
        <f>(AM15*AM37)/AVERAGE(AEP!AH181,AEP!AM181)</f>
        <v>2.9808079883873611E-2</v>
      </c>
      <c r="AO49" s="78"/>
      <c r="AP49" s="65"/>
      <c r="AQ49" s="65"/>
      <c r="AR49" s="65">
        <f>(AR15*AR37)/AVERAGE(AEP!AM181,AEP!AR181)</f>
        <v>3.09546563026365E-2</v>
      </c>
      <c r="AT49" s="78"/>
      <c r="AU49" s="65"/>
      <c r="AV49" s="65"/>
      <c r="AW49" s="65">
        <f>(AW15*AW37)/AVERAGE(AEP!AR181,AEP!AW181)</f>
        <v>2.8205072201490173E-2</v>
      </c>
      <c r="AY49" s="78"/>
      <c r="AZ49" s="65"/>
      <c r="BA49" s="65"/>
      <c r="BB49" s="65">
        <f>(BB15*BB37)/AVERAGE(AEP!AW181,AEP!BB181)</f>
        <v>2.8456479964404365E-2</v>
      </c>
      <c r="BD49" s="78"/>
      <c r="BE49" s="65"/>
      <c r="BF49" s="65"/>
      <c r="BG49" s="65">
        <f>(BG15*BG37)/AVERAGE(AEP!BB181,AEP!BG181)</f>
        <v>2.8886270564855574E-2</v>
      </c>
      <c r="BI49" s="78"/>
      <c r="BJ49" s="65"/>
      <c r="BK49" s="65"/>
      <c r="BL49" s="65">
        <f>(BL15*BL37)/AVERAGE(AEP!BG181,AEP!BL181)</f>
        <v>2.9410669695351759E-2</v>
      </c>
      <c r="BN49" s="78"/>
      <c r="BO49" s="65"/>
      <c r="BP49" s="65"/>
      <c r="BQ49" s="65">
        <f>(BQ15*BQ37)/AVERAGE(AEP!BL181,AEP!BQ181)</f>
        <v>3.1328185948908134E-2</v>
      </c>
      <c r="BT49" s="99"/>
      <c r="BU49" s="56" t="s">
        <v>904</v>
      </c>
    </row>
    <row r="50" spans="3:139">
      <c r="C50" s="102"/>
      <c r="BT50" s="99"/>
      <c r="BU50" s="50" t="s">
        <v>122</v>
      </c>
      <c r="BV50" s="74"/>
      <c r="BW50" s="74"/>
      <c r="BX50" s="74"/>
      <c r="BY50" s="74"/>
      <c r="BZ50" s="74"/>
      <c r="CA50" s="72"/>
      <c r="CB50" s="74"/>
      <c r="CC50" s="74"/>
      <c r="CD50" s="74"/>
      <c r="CE50" s="74"/>
      <c r="CF50" s="72"/>
      <c r="CG50" s="74"/>
      <c r="CH50" s="74"/>
      <c r="CI50" s="74"/>
      <c r="CJ50" s="74"/>
      <c r="CK50" s="72"/>
      <c r="CL50" s="74"/>
      <c r="CM50" s="74"/>
      <c r="CN50" s="74"/>
      <c r="CO50" s="74"/>
      <c r="CP50" s="72">
        <f>+CP38-CP44</f>
        <v>-197</v>
      </c>
      <c r="CQ50" s="74"/>
      <c r="CR50" s="74"/>
      <c r="CS50" s="74"/>
      <c r="CT50" s="74"/>
      <c r="CU50" s="72">
        <f>+CU38-CU44</f>
        <v>-235</v>
      </c>
      <c r="CV50" s="74"/>
      <c r="CW50" s="74"/>
      <c r="CX50" s="74"/>
      <c r="CY50" s="74"/>
      <c r="CZ50" s="72">
        <f>+CZ38-CZ44</f>
        <v>-361</v>
      </c>
      <c r="DA50" s="74"/>
      <c r="DB50" s="74"/>
      <c r="DC50" s="74"/>
      <c r="DD50" s="74"/>
      <c r="DE50" s="72">
        <f>+DE38-DE44</f>
        <v>-326.39999999999964</v>
      </c>
      <c r="DF50" s="74"/>
      <c r="DG50" s="74"/>
      <c r="DH50" s="74"/>
      <c r="DI50" s="74"/>
      <c r="DJ50" s="72">
        <f>+DJ38-DJ44</f>
        <v>-228.80000000000109</v>
      </c>
      <c r="DK50" s="74"/>
      <c r="DL50" s="74"/>
      <c r="DM50" s="74"/>
      <c r="DN50" s="74"/>
      <c r="DO50" s="72">
        <f>+DO38-DO44</f>
        <v>-438.19999999999982</v>
      </c>
      <c r="DP50" s="74"/>
      <c r="DQ50" s="74"/>
      <c r="DR50" s="74"/>
      <c r="DS50" s="74"/>
      <c r="DT50" s="72">
        <f>+DT38-DT44</f>
        <v>-337.01088250850034</v>
      </c>
      <c r="DU50" s="74"/>
      <c r="DV50" s="74"/>
      <c r="DW50" s="74"/>
      <c r="DX50" s="74"/>
      <c r="DY50" s="72">
        <f>+DY38-DY44</f>
        <v>-843.37231977109832</v>
      </c>
      <c r="DZ50" s="74"/>
      <c r="EA50" s="74"/>
      <c r="EB50" s="74"/>
      <c r="EC50" s="74"/>
      <c r="ED50" s="72">
        <f>+ED38-ED44</f>
        <v>-351.10247214563606</v>
      </c>
      <c r="EE50" s="74"/>
      <c r="EF50" s="74"/>
      <c r="EG50" s="74"/>
      <c r="EH50" s="74"/>
      <c r="EI50" s="72">
        <f>+EI38-EI44</f>
        <v>-1176.3801188210987</v>
      </c>
    </row>
    <row r="51" spans="3:139">
      <c r="C51" s="81" t="s">
        <v>916</v>
      </c>
      <c r="D51" s="50"/>
      <c r="G51" s="67"/>
      <c r="H51" s="67"/>
      <c r="L51" s="67"/>
      <c r="M51" s="67"/>
      <c r="N51" s="63"/>
      <c r="Q51" s="67"/>
      <c r="R51" s="67"/>
      <c r="S51" s="63"/>
      <c r="V51" s="67"/>
      <c r="W51" s="67"/>
      <c r="X51" s="63">
        <f>+AC51</f>
        <v>68.88</v>
      </c>
      <c r="AA51" s="67"/>
      <c r="AB51" s="67"/>
      <c r="AC51" s="63">
        <f>+AH51</f>
        <v>68.88</v>
      </c>
      <c r="AF51" s="67"/>
      <c r="AG51" s="67"/>
      <c r="AH51" s="63">
        <f>+AM51</f>
        <v>68.88</v>
      </c>
      <c r="AK51" s="67"/>
      <c r="AL51" s="67"/>
      <c r="AM51" s="63">
        <f>+AR51</f>
        <v>68.88</v>
      </c>
      <c r="AP51" s="67"/>
      <c r="AQ51" s="67"/>
      <c r="AR51" s="63">
        <f>+Valuation!AR21</f>
        <v>68.88</v>
      </c>
      <c r="AU51" s="67"/>
      <c r="AV51" s="67"/>
      <c r="AW51" s="63">
        <f>+Valuation!AW21</f>
        <v>68.88</v>
      </c>
      <c r="AZ51" s="67"/>
      <c r="BA51" s="67"/>
      <c r="BB51" s="63">
        <f>+Valuation!AW21</f>
        <v>68.88</v>
      </c>
      <c r="BE51" s="67"/>
      <c r="BF51" s="67"/>
      <c r="BG51" s="63">
        <f>+Valuation!BB21</f>
        <v>68.88</v>
      </c>
      <c r="BJ51" s="67"/>
      <c r="BK51" s="67"/>
      <c r="BL51" s="63">
        <f>+Valuation!BG21</f>
        <v>68.88</v>
      </c>
      <c r="BO51" s="67"/>
      <c r="BP51" s="67"/>
      <c r="BQ51" s="63">
        <f>+Valuation!BL21</f>
        <v>68.88</v>
      </c>
      <c r="BT51" s="99"/>
      <c r="BU51" s="50" t="s">
        <v>876</v>
      </c>
      <c r="BV51" s="74"/>
      <c r="BW51" s="74"/>
      <c r="BX51" s="74"/>
      <c r="BY51" s="74"/>
      <c r="BZ51" s="74"/>
      <c r="CA51" s="72"/>
      <c r="CB51" s="74"/>
      <c r="CC51" s="74"/>
      <c r="CD51" s="74"/>
      <c r="CE51" s="74"/>
      <c r="CF51" s="72"/>
      <c r="CG51" s="74"/>
      <c r="CH51" s="74"/>
      <c r="CI51" s="74"/>
      <c r="CJ51" s="74"/>
      <c r="CK51" s="72"/>
      <c r="CL51" s="74"/>
      <c r="CM51" s="74"/>
      <c r="CN51" s="74"/>
      <c r="CO51" s="74"/>
      <c r="CP51" s="72">
        <f>+CP39-CP45</f>
        <v>280</v>
      </c>
      <c r="CQ51" s="74"/>
      <c r="CR51" s="74"/>
      <c r="CS51" s="74"/>
      <c r="CT51" s="74"/>
      <c r="CU51" s="72">
        <f>+CU39-CU45</f>
        <v>70</v>
      </c>
      <c r="CV51" s="74"/>
      <c r="CW51" s="74"/>
      <c r="CX51" s="74"/>
      <c r="CY51" s="74"/>
      <c r="CZ51" s="72">
        <f>+CZ39-CZ45</f>
        <v>-39.699999999999363</v>
      </c>
      <c r="DA51" s="74"/>
      <c r="DB51" s="74"/>
      <c r="DC51" s="74"/>
      <c r="DD51" s="74"/>
      <c r="DE51" s="72">
        <f>+DE39-DE45</f>
        <v>-24.999999999999773</v>
      </c>
      <c r="DF51" s="74"/>
      <c r="DG51" s="74"/>
      <c r="DH51" s="74"/>
      <c r="DI51" s="74"/>
      <c r="DJ51" s="72">
        <f>+DJ39-DJ45</f>
        <v>58.599999999999682</v>
      </c>
      <c r="DK51" s="74"/>
      <c r="DL51" s="74"/>
      <c r="DM51" s="74"/>
      <c r="DN51" s="74"/>
      <c r="DO51" s="72">
        <f>+DO39-DO45</f>
        <v>-267.7000000000005</v>
      </c>
      <c r="DP51" s="74"/>
      <c r="DQ51" s="74"/>
      <c r="DR51" s="74"/>
      <c r="DS51" s="74"/>
      <c r="DT51" s="72">
        <f>+DT39-DT45</f>
        <v>-518.56926293188212</v>
      </c>
      <c r="DU51" s="74"/>
      <c r="DV51" s="74"/>
      <c r="DW51" s="74"/>
      <c r="DX51" s="74"/>
      <c r="DY51" s="72">
        <f>+DY39-DY45</f>
        <v>-241.18351242874996</v>
      </c>
      <c r="DZ51" s="74"/>
      <c r="EA51" s="74"/>
      <c r="EB51" s="74"/>
      <c r="EC51" s="74"/>
      <c r="ED51" s="72">
        <f>+ED39-ED45</f>
        <v>105.97610197569315</v>
      </c>
      <c r="EE51" s="74"/>
      <c r="EF51" s="74"/>
      <c r="EG51" s="74"/>
      <c r="EH51" s="74"/>
      <c r="EI51" s="72">
        <f>+EI39-EI45</f>
        <v>193.82893726840371</v>
      </c>
    </row>
    <row r="52" spans="3:139">
      <c r="C52" s="50" t="s">
        <v>918</v>
      </c>
      <c r="D52" s="116"/>
      <c r="E52" s="74"/>
      <c r="F52" s="74"/>
      <c r="G52" s="74"/>
      <c r="H52" s="74"/>
      <c r="I52" s="74"/>
      <c r="J52" s="74"/>
      <c r="K52" s="74"/>
      <c r="L52" s="74"/>
      <c r="M52" s="74"/>
      <c r="N52" s="72"/>
      <c r="O52" s="74"/>
      <c r="P52" s="74"/>
      <c r="Q52" s="74"/>
      <c r="R52" s="74"/>
      <c r="S52" s="72"/>
      <c r="T52" s="74"/>
      <c r="U52" s="74"/>
      <c r="V52" s="74"/>
      <c r="W52" s="74"/>
      <c r="X52" s="72">
        <f>+AC52</f>
        <v>485.66836999999998</v>
      </c>
      <c r="Y52" s="74"/>
      <c r="Z52" s="74"/>
      <c r="AA52" s="74"/>
      <c r="AB52" s="74"/>
      <c r="AC52" s="72">
        <f>+AH52</f>
        <v>485.66836999999998</v>
      </c>
      <c r="AD52" s="74"/>
      <c r="AE52" s="74"/>
      <c r="AF52" s="74"/>
      <c r="AG52" s="74"/>
      <c r="AH52" s="72">
        <f>+AM52</f>
        <v>485.66836999999998</v>
      </c>
      <c r="AI52" s="74"/>
      <c r="AJ52" s="74"/>
      <c r="AK52" s="74"/>
      <c r="AL52" s="74"/>
      <c r="AM52" s="72">
        <f>+AR52</f>
        <v>485.66836999999998</v>
      </c>
      <c r="AN52" s="74"/>
      <c r="AO52" s="74"/>
      <c r="AP52" s="74"/>
      <c r="AQ52" s="74"/>
      <c r="AR52" s="72">
        <f>+AEP!X50</f>
        <v>485.66836999999998</v>
      </c>
      <c r="AS52" s="74"/>
      <c r="AT52" s="74"/>
      <c r="AU52" s="74"/>
      <c r="AV52" s="74"/>
      <c r="AW52" s="72">
        <f>+AEP!AC50</f>
        <v>487.77737200000001</v>
      </c>
      <c r="AX52" s="74"/>
      <c r="AY52" s="74"/>
      <c r="AZ52" s="74"/>
      <c r="BA52" s="74"/>
      <c r="BB52" s="72">
        <f>+AEP!AH50</f>
        <v>489.40256699999998</v>
      </c>
      <c r="BC52" s="74"/>
      <c r="BD52" s="74"/>
      <c r="BE52" s="74"/>
      <c r="BF52" s="74"/>
      <c r="BG52" s="72">
        <f>+AEP!AM50</f>
        <v>491.05258100000003</v>
      </c>
      <c r="BH52" s="74"/>
      <c r="BI52" s="74"/>
      <c r="BJ52" s="74"/>
      <c r="BK52" s="74"/>
      <c r="BL52" s="72">
        <f>+AEP!AR50</f>
        <v>491.71192800000006</v>
      </c>
      <c r="BM52" s="74"/>
      <c r="BN52" s="74"/>
      <c r="BO52" s="74"/>
      <c r="BP52" s="74"/>
      <c r="BQ52" s="72">
        <f>+AEP!AW50</f>
        <v>492.00559800000002</v>
      </c>
      <c r="BT52" s="99"/>
      <c r="BU52" s="50" t="s">
        <v>878</v>
      </c>
      <c r="BV52" s="74"/>
      <c r="BW52" s="74"/>
      <c r="BX52" s="74"/>
      <c r="BY52" s="74"/>
      <c r="BZ52" s="74"/>
      <c r="CA52" s="72"/>
      <c r="CB52" s="74"/>
      <c r="CC52" s="74"/>
      <c r="CD52" s="74"/>
      <c r="CE52" s="74"/>
      <c r="CF52" s="72"/>
      <c r="CG52" s="74"/>
      <c r="CH52" s="74"/>
      <c r="CI52" s="74"/>
      <c r="CJ52" s="74"/>
      <c r="CK52" s="72"/>
      <c r="CL52" s="74"/>
      <c r="CM52" s="74"/>
      <c r="CN52" s="74"/>
      <c r="CO52" s="74"/>
      <c r="CP52" s="72">
        <f>+CP40-CP46</f>
        <v>696</v>
      </c>
      <c r="CQ52" s="74"/>
      <c r="CR52" s="74"/>
      <c r="CS52" s="74"/>
      <c r="CT52" s="74"/>
      <c r="CU52" s="72">
        <f>+CU40-CU46</f>
        <v>647</v>
      </c>
      <c r="CV52" s="74"/>
      <c r="CW52" s="74"/>
      <c r="CX52" s="74"/>
      <c r="CY52" s="74"/>
      <c r="CZ52" s="72">
        <f>+CZ40-CZ46</f>
        <v>879.69999999999936</v>
      </c>
      <c r="DA52" s="74"/>
      <c r="DB52" s="74"/>
      <c r="DC52" s="74"/>
      <c r="DD52" s="74"/>
      <c r="DE52" s="72">
        <f>+DE40-DE46</f>
        <v>661.90000000000032</v>
      </c>
      <c r="DF52" s="74"/>
      <c r="DG52" s="74"/>
      <c r="DH52" s="74"/>
      <c r="DI52" s="74"/>
      <c r="DJ52" s="72">
        <f>+DJ40-DJ46</f>
        <v>-89.099999999997863</v>
      </c>
      <c r="DK52" s="74"/>
      <c r="DL52" s="74"/>
      <c r="DM52" s="74"/>
      <c r="DN52" s="74"/>
      <c r="DO52" s="72">
        <f>+DO40-DO46</f>
        <v>-714.99999999999932</v>
      </c>
      <c r="DP52" s="74"/>
      <c r="DQ52" s="74"/>
      <c r="DR52" s="74"/>
      <c r="DS52" s="74"/>
      <c r="DT52" s="72">
        <f>+DT40-DT46</f>
        <v>-783.12895818737093</v>
      </c>
      <c r="DU52" s="74"/>
      <c r="DV52" s="74"/>
      <c r="DW52" s="74"/>
      <c r="DX52" s="74"/>
      <c r="DY52" s="72">
        <f>+DY40-DY46</f>
        <v>-1220.281432259912</v>
      </c>
      <c r="DZ52" s="74"/>
      <c r="EA52" s="74"/>
      <c r="EB52" s="74"/>
      <c r="EC52" s="74"/>
      <c r="ED52" s="72">
        <f>+ED40-ED46</f>
        <v>-1078.5701216089835</v>
      </c>
      <c r="EE52" s="74"/>
      <c r="EF52" s="74"/>
      <c r="EG52" s="74"/>
      <c r="EH52" s="74"/>
      <c r="EI52" s="72">
        <f>+EI40-EI46</f>
        <v>-855.76417700972274</v>
      </c>
    </row>
    <row r="53" spans="3:139">
      <c r="C53" s="88" t="s">
        <v>921</v>
      </c>
      <c r="D53" s="116"/>
      <c r="E53" s="72"/>
      <c r="F53" s="117"/>
      <c r="G53" s="72"/>
      <c r="H53" s="117"/>
      <c r="I53" s="109"/>
      <c r="J53" s="72"/>
      <c r="K53" s="117"/>
      <c r="L53" s="72"/>
      <c r="M53" s="117"/>
      <c r="N53" s="112"/>
      <c r="O53" s="72"/>
      <c r="P53" s="117"/>
      <c r="Q53" s="72"/>
      <c r="R53" s="117"/>
      <c r="S53" s="112"/>
      <c r="T53" s="72"/>
      <c r="U53" s="117"/>
      <c r="V53" s="72"/>
      <c r="W53" s="117"/>
      <c r="X53" s="112">
        <f>+X51*X52</f>
        <v>33452.837325599998</v>
      </c>
      <c r="Y53" s="72"/>
      <c r="Z53" s="117"/>
      <c r="AA53" s="72"/>
      <c r="AB53" s="117"/>
      <c r="AC53" s="112">
        <f>+AC51*AC52</f>
        <v>33452.837325599998</v>
      </c>
      <c r="AD53" s="72"/>
      <c r="AE53" s="117"/>
      <c r="AF53" s="72"/>
      <c r="AG53" s="117"/>
      <c r="AH53" s="112">
        <f>+AH51*AH52</f>
        <v>33452.837325599998</v>
      </c>
      <c r="AI53" s="72"/>
      <c r="AJ53" s="117"/>
      <c r="AK53" s="72"/>
      <c r="AL53" s="117"/>
      <c r="AM53" s="112">
        <f>+AM51*AM52</f>
        <v>33452.837325599998</v>
      </c>
      <c r="AN53" s="72"/>
      <c r="AO53" s="117"/>
      <c r="AP53" s="72"/>
      <c r="AQ53" s="117"/>
      <c r="AR53" s="112">
        <f>+AR51*AR52</f>
        <v>33452.837325599998</v>
      </c>
      <c r="AS53" s="72"/>
      <c r="AT53" s="117"/>
      <c r="AU53" s="72"/>
      <c r="AV53" s="117"/>
      <c r="AW53" s="112">
        <f>+AW51*AW52</f>
        <v>33598.105383360002</v>
      </c>
      <c r="AX53" s="72"/>
      <c r="AY53" s="117"/>
      <c r="AZ53" s="72"/>
      <c r="BA53" s="117"/>
      <c r="BB53" s="112">
        <f>+BB51*BB52</f>
        <v>33710.048814959999</v>
      </c>
      <c r="BC53" s="72"/>
      <c r="BD53" s="117"/>
      <c r="BE53" s="72"/>
      <c r="BF53" s="117"/>
      <c r="BG53" s="112">
        <f>+BG51*BG52</f>
        <v>33823.701779280003</v>
      </c>
      <c r="BH53" s="72"/>
      <c r="BI53" s="117"/>
      <c r="BJ53" s="72"/>
      <c r="BK53" s="117"/>
      <c r="BL53" s="112">
        <f>+BL51*BL52</f>
        <v>33869.117600639998</v>
      </c>
      <c r="BM53" s="72"/>
      <c r="BN53" s="117"/>
      <c r="BO53" s="72"/>
      <c r="BP53" s="117"/>
      <c r="BQ53" s="112">
        <f>+BQ51*BQ52</f>
        <v>33889.345590240002</v>
      </c>
      <c r="BT53" s="99"/>
      <c r="BU53" s="57" t="s">
        <v>907</v>
      </c>
      <c r="BV53" s="110"/>
      <c r="BW53" s="110"/>
      <c r="BX53" s="110"/>
      <c r="BY53" s="110"/>
      <c r="BZ53" s="110"/>
      <c r="CA53" s="110"/>
      <c r="CB53" s="110"/>
      <c r="CC53" s="110"/>
      <c r="CD53" s="110"/>
      <c r="CE53" s="110"/>
      <c r="CF53" s="110"/>
      <c r="CG53" s="110"/>
      <c r="CH53" s="110"/>
      <c r="CI53" s="110"/>
      <c r="CJ53" s="110"/>
      <c r="CK53" s="110"/>
      <c r="CL53" s="110"/>
      <c r="CM53" s="110"/>
      <c r="CN53" s="110"/>
      <c r="CO53" s="110"/>
      <c r="CP53" s="110">
        <f>SUM(CP50:CP52)</f>
        <v>779</v>
      </c>
      <c r="CQ53" s="110"/>
      <c r="CR53" s="110"/>
      <c r="CS53" s="110"/>
      <c r="CT53" s="110"/>
      <c r="CU53" s="110">
        <f>SUM(CU50:CU52)</f>
        <v>482</v>
      </c>
      <c r="CV53" s="110"/>
      <c r="CW53" s="110"/>
      <c r="CX53" s="110"/>
      <c r="CY53" s="110"/>
      <c r="CZ53" s="110">
        <f>SUM(CZ50:CZ52)</f>
        <v>479</v>
      </c>
      <c r="DA53" s="110"/>
      <c r="DB53" s="110"/>
      <c r="DC53" s="110"/>
      <c r="DD53" s="110"/>
      <c r="DE53" s="110">
        <f>SUM(DE50:DE52)</f>
        <v>310.50000000000091</v>
      </c>
      <c r="DF53" s="110"/>
      <c r="DG53" s="110"/>
      <c r="DH53" s="110"/>
      <c r="DI53" s="110"/>
      <c r="DJ53" s="110">
        <f>SUM(DJ50:DJ52)</f>
        <v>-259.29999999999927</v>
      </c>
      <c r="DK53" s="110"/>
      <c r="DL53" s="110"/>
      <c r="DM53" s="110"/>
      <c r="DN53" s="110"/>
      <c r="DO53" s="110">
        <f>SUM(DO50:DO52)</f>
        <v>-1420.8999999999996</v>
      </c>
      <c r="DP53" s="110"/>
      <c r="DQ53" s="110"/>
      <c r="DR53" s="110"/>
      <c r="DS53" s="110"/>
      <c r="DT53" s="110">
        <f>SUM(DT50:DT52)</f>
        <v>-1638.7091036277534</v>
      </c>
      <c r="DU53" s="110"/>
      <c r="DV53" s="110"/>
      <c r="DW53" s="110"/>
      <c r="DX53" s="110"/>
      <c r="DY53" s="110">
        <f>SUM(DY50:DY52)</f>
        <v>-2304.8372644597603</v>
      </c>
      <c r="DZ53" s="110"/>
      <c r="EA53" s="110"/>
      <c r="EB53" s="110"/>
      <c r="EC53" s="110"/>
      <c r="ED53" s="110">
        <f>SUM(ED50:ED52)</f>
        <v>-1323.6964917789264</v>
      </c>
      <c r="EE53" s="110"/>
      <c r="EF53" s="110"/>
      <c r="EG53" s="110"/>
      <c r="EH53" s="110"/>
      <c r="EI53" s="115">
        <f>SUM(EI50:EI52)</f>
        <v>-1838.3153585624177</v>
      </c>
    </row>
    <row r="54" spans="3:139">
      <c r="C54" s="50" t="s">
        <v>923</v>
      </c>
      <c r="D54" s="109"/>
      <c r="E54" s="74"/>
      <c r="F54" s="74"/>
      <c r="G54" s="74"/>
      <c r="H54" s="74"/>
      <c r="I54" s="74"/>
      <c r="J54" s="74"/>
      <c r="K54" s="74"/>
      <c r="L54" s="74"/>
      <c r="M54" s="74"/>
      <c r="N54" s="72"/>
      <c r="O54" s="74"/>
      <c r="P54" s="74"/>
      <c r="Q54" s="74"/>
      <c r="R54" s="74"/>
      <c r="S54" s="72"/>
      <c r="T54" s="74"/>
      <c r="U54" s="74"/>
      <c r="V54" s="74"/>
      <c r="W54" s="74"/>
      <c r="X54" s="72">
        <f>+CP13-CP8</f>
        <v>18459</v>
      </c>
      <c r="Y54" s="74"/>
      <c r="Z54" s="74"/>
      <c r="AA54" s="74"/>
      <c r="AB54" s="74"/>
      <c r="AC54" s="72">
        <f>+CU13-CU8</f>
        <v>19016</v>
      </c>
      <c r="AD54" s="74"/>
      <c r="AE54" s="74"/>
      <c r="AF54" s="74"/>
      <c r="AG54" s="74"/>
      <c r="AH54" s="72">
        <f>+CZ13-CZ8</f>
        <v>19867</v>
      </c>
      <c r="AI54" s="74"/>
      <c r="AJ54" s="74"/>
      <c r="AK54" s="74"/>
      <c r="AL54" s="74"/>
      <c r="AM54" s="72">
        <f>+DE13-DE8</f>
        <v>20196.3</v>
      </c>
      <c r="AN54" s="74"/>
      <c r="AO54" s="74"/>
      <c r="AP54" s="74"/>
      <c r="AQ54" s="74"/>
      <c r="AR54" s="72">
        <f>+DJ13-DJ8</f>
        <v>21758.9</v>
      </c>
      <c r="AS54" s="74"/>
      <c r="AT54" s="74"/>
      <c r="AU54" s="74"/>
      <c r="AV54" s="74"/>
      <c r="AW54" s="72">
        <f>+DO13-DO8</f>
        <v>22597.3</v>
      </c>
      <c r="AX54" s="74"/>
      <c r="AY54" s="74"/>
      <c r="AZ54" s="74"/>
      <c r="BA54" s="74"/>
      <c r="BB54" s="72">
        <f>+DT13-DT8</f>
        <v>25303.549795184565</v>
      </c>
      <c r="BC54" s="74"/>
      <c r="BD54" s="74"/>
      <c r="BE54" s="74"/>
      <c r="BF54" s="74"/>
      <c r="BG54" s="72">
        <f>+DY13-DY8</f>
        <v>28729.07797352078</v>
      </c>
      <c r="BH54" s="74"/>
      <c r="BI54" s="74"/>
      <c r="BJ54" s="74"/>
      <c r="BK54" s="74"/>
      <c r="BL54" s="72">
        <f>+ED13-ED8</f>
        <v>30845.706600555073</v>
      </c>
      <c r="BM54" s="74"/>
      <c r="BN54" s="74"/>
      <c r="BO54" s="74"/>
      <c r="BP54" s="74"/>
      <c r="BQ54" s="72">
        <f>+EI13-EI8</f>
        <v>33388.848957378112</v>
      </c>
      <c r="BT54" s="99"/>
      <c r="BU54" s="50"/>
      <c r="BV54" s="74"/>
      <c r="BW54" s="74"/>
      <c r="BX54" s="74"/>
      <c r="BY54" s="74"/>
      <c r="BZ54" s="74"/>
      <c r="CA54" s="72"/>
      <c r="CB54" s="74"/>
      <c r="CC54" s="74"/>
      <c r="CD54" s="74"/>
      <c r="CE54" s="74"/>
      <c r="CF54" s="72"/>
      <c r="CG54" s="74"/>
      <c r="CH54" s="74"/>
      <c r="CI54" s="74"/>
      <c r="CJ54" s="74"/>
      <c r="CK54" s="72"/>
      <c r="CL54" s="74"/>
      <c r="CM54" s="74"/>
      <c r="CN54" s="74"/>
      <c r="CO54" s="74"/>
      <c r="CP54" s="72"/>
      <c r="CQ54" s="74"/>
      <c r="CR54" s="74"/>
      <c r="CS54" s="74"/>
      <c r="CT54" s="74"/>
      <c r="CU54" s="72"/>
      <c r="CV54" s="74"/>
      <c r="CW54" s="74"/>
      <c r="CX54" s="74"/>
      <c r="CY54" s="74"/>
      <c r="CZ54" s="72"/>
      <c r="DA54" s="74"/>
      <c r="DB54" s="74"/>
      <c r="DC54" s="74"/>
      <c r="DD54" s="74"/>
      <c r="DE54" s="72"/>
      <c r="DF54" s="74"/>
      <c r="DG54" s="74"/>
      <c r="DH54" s="74"/>
      <c r="DI54" s="74"/>
      <c r="DJ54" s="72"/>
      <c r="DK54" s="74"/>
      <c r="DL54" s="74"/>
      <c r="DM54" s="74"/>
      <c r="DN54" s="74"/>
      <c r="DO54" s="72"/>
      <c r="DP54" s="74"/>
      <c r="DQ54" s="74"/>
      <c r="DR54" s="74"/>
      <c r="DS54" s="74"/>
      <c r="DT54" s="72"/>
      <c r="DU54" s="74"/>
      <c r="DV54" s="74"/>
      <c r="DW54" s="74"/>
      <c r="DX54" s="74"/>
      <c r="DY54" s="72"/>
      <c r="DZ54" s="74"/>
      <c r="EA54" s="74"/>
      <c r="EB54" s="74"/>
      <c r="EC54" s="74"/>
      <c r="ED54" s="72"/>
      <c r="EE54" s="74"/>
      <c r="EF54" s="74"/>
      <c r="EG54" s="74"/>
      <c r="EH54" s="74"/>
      <c r="EI54" s="72"/>
    </row>
    <row r="55" spans="3:139">
      <c r="C55" s="56" t="s">
        <v>925</v>
      </c>
      <c r="D55" s="118"/>
      <c r="E55" s="118"/>
      <c r="F55" s="118"/>
      <c r="G55" s="72"/>
      <c r="H55" s="117"/>
      <c r="I55" s="118"/>
      <c r="J55" s="118"/>
      <c r="K55" s="118"/>
      <c r="L55" s="72"/>
      <c r="M55" s="117"/>
      <c r="N55" s="112"/>
      <c r="O55" s="118"/>
      <c r="P55" s="118"/>
      <c r="Q55" s="72"/>
      <c r="R55" s="117"/>
      <c r="S55" s="112"/>
      <c r="T55" s="118"/>
      <c r="U55" s="118"/>
      <c r="V55" s="72"/>
      <c r="W55" s="117"/>
      <c r="X55" s="112">
        <f>+X53+X54</f>
        <v>51911.837325599998</v>
      </c>
      <c r="Y55" s="118"/>
      <c r="Z55" s="118"/>
      <c r="AA55" s="72"/>
      <c r="AB55" s="117"/>
      <c r="AC55" s="112">
        <f>+AC53+AC54</f>
        <v>52468.837325599998</v>
      </c>
      <c r="AD55" s="118"/>
      <c r="AE55" s="118"/>
      <c r="AF55" s="72"/>
      <c r="AG55" s="117"/>
      <c r="AH55" s="112">
        <f>+AH53+AH54</f>
        <v>53319.837325599998</v>
      </c>
      <c r="AI55" s="118"/>
      <c r="AJ55" s="118"/>
      <c r="AK55" s="72"/>
      <c r="AL55" s="117"/>
      <c r="AM55" s="112">
        <f>+AM53+AM54</f>
        <v>53649.137325599993</v>
      </c>
      <c r="AN55" s="118"/>
      <c r="AO55" s="118"/>
      <c r="AP55" s="72"/>
      <c r="AQ55" s="117"/>
      <c r="AR55" s="112">
        <f>+AR53+AR54</f>
        <v>55211.737325599999</v>
      </c>
      <c r="AS55" s="118"/>
      <c r="AT55" s="118"/>
      <c r="AU55" s="72"/>
      <c r="AV55" s="117"/>
      <c r="AW55" s="112">
        <f>+AW53+AW54</f>
        <v>56195.405383360005</v>
      </c>
      <c r="AX55" s="118"/>
      <c r="AY55" s="118"/>
      <c r="AZ55" s="72"/>
      <c r="BA55" s="117"/>
      <c r="BB55" s="112">
        <f>+BB53+BB54</f>
        <v>59013.59861014456</v>
      </c>
      <c r="BC55" s="118"/>
      <c r="BD55" s="118"/>
      <c r="BE55" s="72"/>
      <c r="BF55" s="117"/>
      <c r="BG55" s="112">
        <f>+BG53+BG54</f>
        <v>62552.77975280078</v>
      </c>
      <c r="BH55" s="118"/>
      <c r="BI55" s="118"/>
      <c r="BJ55" s="72"/>
      <c r="BK55" s="117"/>
      <c r="BL55" s="112">
        <f>+BL53+BL54</f>
        <v>64714.824201195072</v>
      </c>
      <c r="BM55" s="118"/>
      <c r="BN55" s="118"/>
      <c r="BO55" s="72"/>
      <c r="BP55" s="117"/>
      <c r="BQ55" s="112">
        <f>+BQ53+BQ54</f>
        <v>67278.194547618114</v>
      </c>
      <c r="BT55" s="99"/>
      <c r="BU55" s="553" t="s">
        <v>335</v>
      </c>
      <c r="CA55" s="72"/>
      <c r="CF55" s="72"/>
      <c r="CK55" s="72"/>
      <c r="CP55" s="72">
        <f>AEP!X142</f>
        <v>-366</v>
      </c>
      <c r="CU55" s="72">
        <f>AEP!AC142</f>
        <v>-194</v>
      </c>
      <c r="CZ55" s="72">
        <f>AEP!AH142</f>
        <v>-272</v>
      </c>
      <c r="DE55" s="72">
        <f>AEP!AM142</f>
        <v>492.80000000000013</v>
      </c>
      <c r="DJ55" s="72">
        <f>AEP!AR142</f>
        <v>-208.00000000000028</v>
      </c>
      <c r="DO55" s="72">
        <f>AEP!AW142</f>
        <v>2034.9000000000003</v>
      </c>
      <c r="DT55" s="72">
        <f>AEP!BB142</f>
        <v>0</v>
      </c>
      <c r="DY55" s="72">
        <f>AEP!BG142</f>
        <v>0</v>
      </c>
      <c r="ED55" s="72">
        <f>AEP!BL142</f>
        <v>0</v>
      </c>
      <c r="EI55" s="72">
        <f>AEP!BQ142</f>
        <v>0</v>
      </c>
    </row>
    <row r="56" spans="3:139">
      <c r="BU56" s="50" t="s">
        <v>909</v>
      </c>
      <c r="BV56" s="74"/>
      <c r="BW56" s="74"/>
      <c r="BX56" s="74"/>
      <c r="BY56" s="74"/>
      <c r="BZ56" s="74"/>
      <c r="CA56" s="72"/>
      <c r="CB56" s="72"/>
      <c r="CC56" s="72"/>
      <c r="CD56" s="72"/>
      <c r="CE56" s="72"/>
      <c r="CF56" s="72"/>
      <c r="CG56" s="72"/>
      <c r="CH56" s="72"/>
      <c r="CI56" s="72"/>
      <c r="CJ56" s="72"/>
      <c r="CK56" s="72"/>
      <c r="CL56" s="72"/>
      <c r="CM56" s="72"/>
      <c r="CN56" s="72"/>
      <c r="CO56" s="72"/>
      <c r="CP56" s="72">
        <f>+-AEP!X149</f>
        <v>916</v>
      </c>
      <c r="CQ56" s="72"/>
      <c r="CR56" s="72"/>
      <c r="CS56" s="72"/>
      <c r="CT56" s="72"/>
      <c r="CU56" s="72">
        <f>+-AEP!AC149</f>
        <v>954</v>
      </c>
      <c r="CV56" s="72"/>
      <c r="CW56" s="72"/>
      <c r="CX56" s="72"/>
      <c r="CY56" s="72"/>
      <c r="CZ56" s="72">
        <f>+-AEP!AH149</f>
        <v>998</v>
      </c>
      <c r="DA56" s="72"/>
      <c r="DB56" s="72"/>
      <c r="DC56" s="72"/>
      <c r="DD56" s="72"/>
      <c r="DE56" s="72">
        <f>+-AEP!AM149</f>
        <v>1059</v>
      </c>
      <c r="DF56" s="72"/>
      <c r="DG56" s="72"/>
      <c r="DH56" s="72"/>
      <c r="DI56" s="72"/>
      <c r="DJ56" s="72">
        <f>+-AEP!AR149</f>
        <v>1121</v>
      </c>
      <c r="DK56" s="72"/>
      <c r="DL56" s="72"/>
      <c r="DM56" s="72"/>
      <c r="DN56" s="72"/>
      <c r="DO56" s="72">
        <f>+-AEP!AW149</f>
        <v>1191.9000000000001</v>
      </c>
      <c r="DP56" s="72"/>
      <c r="DQ56" s="72"/>
      <c r="DR56" s="72"/>
      <c r="DS56" s="72"/>
      <c r="DT56" s="72">
        <f>+-AEP!BB149</f>
        <v>1234.2073582234777</v>
      </c>
      <c r="DU56" s="72"/>
      <c r="DV56" s="72"/>
      <c r="DW56" s="72"/>
      <c r="DX56" s="72"/>
      <c r="DY56" s="72">
        <f>+-AEP!BG149</f>
        <v>1287.3575805431253</v>
      </c>
      <c r="DZ56" s="72"/>
      <c r="EA56" s="72"/>
      <c r="EB56" s="72"/>
      <c r="EC56" s="72"/>
      <c r="ED56" s="72">
        <f>+-AEP!BL149</f>
        <v>1350.7099130331428</v>
      </c>
      <c r="EE56" s="72"/>
      <c r="EF56" s="72"/>
      <c r="EG56" s="72"/>
      <c r="EH56" s="72"/>
      <c r="EI56" s="72">
        <f>+-AEP!BQ149</f>
        <v>1429.8269982606241</v>
      </c>
    </row>
    <row r="57" spans="3:139">
      <c r="BT57" s="99"/>
      <c r="BU57" s="103" t="s">
        <v>911</v>
      </c>
      <c r="BV57" s="110"/>
      <c r="BW57" s="110"/>
      <c r="BX57" s="110"/>
      <c r="BY57" s="110"/>
      <c r="BZ57" s="110"/>
      <c r="CA57" s="110"/>
      <c r="CB57" s="110"/>
      <c r="CC57" s="110"/>
      <c r="CD57" s="110"/>
      <c r="CE57" s="110"/>
      <c r="CF57" s="110"/>
      <c r="CG57" s="110"/>
      <c r="CH57" s="110"/>
      <c r="CI57" s="110"/>
      <c r="CJ57" s="110"/>
      <c r="CK57" s="110"/>
      <c r="CL57" s="110"/>
      <c r="CM57" s="110"/>
      <c r="CN57" s="110"/>
      <c r="CO57" s="110"/>
      <c r="CP57" s="110">
        <f>+CP53+CP55-CP56</f>
        <v>-503</v>
      </c>
      <c r="CQ57" s="110"/>
      <c r="CR57" s="110"/>
      <c r="CS57" s="110"/>
      <c r="CT57" s="110"/>
      <c r="CU57" s="110">
        <f>+CU53+CU55-CU56</f>
        <v>-666</v>
      </c>
      <c r="CV57" s="110"/>
      <c r="CW57" s="110"/>
      <c r="CX57" s="110"/>
      <c r="CY57" s="110"/>
      <c r="CZ57" s="110">
        <f>+CZ53+CZ55-CZ56</f>
        <v>-791</v>
      </c>
      <c r="DA57" s="110"/>
      <c r="DB57" s="110"/>
      <c r="DC57" s="110"/>
      <c r="DD57" s="110"/>
      <c r="DE57" s="110">
        <f>+DE53+DE55-DE56</f>
        <v>-255.69999999999891</v>
      </c>
      <c r="DF57" s="110"/>
      <c r="DG57" s="110"/>
      <c r="DH57" s="110"/>
      <c r="DI57" s="110"/>
      <c r="DJ57" s="110">
        <f>+DJ53+DJ55-DJ56</f>
        <v>-1588.2999999999995</v>
      </c>
      <c r="DK57" s="110"/>
      <c r="DL57" s="110"/>
      <c r="DM57" s="110"/>
      <c r="DN57" s="110"/>
      <c r="DO57" s="110">
        <f>+DO53+DO55-DO56</f>
        <v>-577.89999999999941</v>
      </c>
      <c r="DP57" s="110"/>
      <c r="DQ57" s="110"/>
      <c r="DR57" s="110"/>
      <c r="DS57" s="110"/>
      <c r="DT57" s="110">
        <f>+DT53+DT55-DT56</f>
        <v>-2872.9164618512314</v>
      </c>
      <c r="DU57" s="110"/>
      <c r="DV57" s="110"/>
      <c r="DW57" s="110"/>
      <c r="DX57" s="110"/>
      <c r="DY57" s="110">
        <f>+DY53+DY55-DY56</f>
        <v>-3592.1948450028858</v>
      </c>
      <c r="DZ57" s="110"/>
      <c r="EA57" s="110"/>
      <c r="EB57" s="110"/>
      <c r="EC57" s="110"/>
      <c r="ED57" s="110">
        <f>+ED53+ED55-ED56</f>
        <v>-2674.406404812069</v>
      </c>
      <c r="EE57" s="110"/>
      <c r="EF57" s="110"/>
      <c r="EG57" s="110"/>
      <c r="EH57" s="110"/>
      <c r="EI57" s="115">
        <f>+EI53+EI55-EI56</f>
        <v>-3268.1423568230421</v>
      </c>
    </row>
    <row r="58" spans="3:139">
      <c r="S58" s="82"/>
      <c r="X58" s="82"/>
      <c r="BT58" s="99"/>
    </row>
    <row r="59" spans="3:139">
      <c r="BU59" s="56" t="s">
        <v>914</v>
      </c>
    </row>
    <row r="60" spans="3:139">
      <c r="BU60" t="s">
        <v>915</v>
      </c>
      <c r="CA60" s="72"/>
      <c r="CB60" s="72"/>
      <c r="CC60" s="72"/>
      <c r="CD60" s="72"/>
      <c r="CE60" s="72"/>
      <c r="CF60" s="72"/>
      <c r="CG60" s="72"/>
      <c r="CH60" s="72"/>
      <c r="CI60" s="72"/>
      <c r="CJ60" s="72"/>
      <c r="CK60" s="72"/>
      <c r="CL60" s="72"/>
      <c r="CM60" s="72"/>
      <c r="CN60" s="72"/>
      <c r="CO60" s="72"/>
      <c r="CP60" s="72">
        <f>AEP!X150</f>
        <v>83</v>
      </c>
      <c r="CQ60" s="72"/>
      <c r="CR60" s="72"/>
      <c r="CS60" s="72"/>
      <c r="CT60" s="72"/>
      <c r="CU60" s="72">
        <f>AEP!AC150</f>
        <v>84</v>
      </c>
      <c r="CV60" s="72"/>
      <c r="CW60" s="72"/>
      <c r="CX60" s="72"/>
      <c r="CY60" s="72"/>
      <c r="CZ60" s="72">
        <f>AEP!AH150</f>
        <v>73</v>
      </c>
      <c r="DA60" s="72"/>
      <c r="DB60" s="72"/>
      <c r="DC60" s="72"/>
      <c r="DD60" s="72"/>
      <c r="DE60" s="72">
        <f>AEP!AM150</f>
        <v>81.599999999999994</v>
      </c>
      <c r="DF60" s="72"/>
      <c r="DG60" s="72"/>
      <c r="DH60" s="72"/>
      <c r="DI60" s="72"/>
      <c r="DJ60" s="72">
        <f>AEP!AR150</f>
        <v>34.200000000000003</v>
      </c>
      <c r="DK60" s="72"/>
      <c r="DL60" s="72"/>
      <c r="DM60" s="72"/>
      <c r="DN60" s="72"/>
      <c r="DO60" s="72">
        <f>AEP!AW150</f>
        <v>12.2</v>
      </c>
      <c r="DP60" s="72"/>
      <c r="DQ60" s="72"/>
      <c r="DR60" s="72"/>
      <c r="DS60" s="72"/>
      <c r="DT60" s="72">
        <f>AEP!BB150</f>
        <v>100</v>
      </c>
      <c r="DU60" s="72"/>
      <c r="DV60" s="72"/>
      <c r="DW60" s="72"/>
      <c r="DX60" s="72"/>
      <c r="DY60" s="72">
        <f>AEP!BG150</f>
        <v>100</v>
      </c>
      <c r="DZ60" s="72"/>
      <c r="EA60" s="72"/>
      <c r="EB60" s="72"/>
      <c r="EC60" s="72"/>
      <c r="ED60" s="72">
        <f>AEP!BL150</f>
        <v>500</v>
      </c>
      <c r="EE60" s="72"/>
      <c r="EF60" s="72"/>
      <c r="EG60" s="72"/>
      <c r="EH60" s="72"/>
      <c r="EI60" s="72">
        <f>AEP!BQ150</f>
        <v>725</v>
      </c>
    </row>
    <row r="61" spans="3:139">
      <c r="BU61" t="s">
        <v>917</v>
      </c>
      <c r="CA61" s="72"/>
      <c r="CF61" s="72"/>
      <c r="CK61" s="72"/>
      <c r="CP61" s="72">
        <f>+AEP!X145</f>
        <v>2856</v>
      </c>
      <c r="CU61" s="72">
        <f>+AEP!AC145</f>
        <v>3207</v>
      </c>
      <c r="CZ61" s="72">
        <f>+AEP!AH145</f>
        <v>2067</v>
      </c>
      <c r="DE61" s="72">
        <f>+AEP!AM145</f>
        <v>3436.6</v>
      </c>
      <c r="DJ61" s="72">
        <f>+AEP!AR145</f>
        <v>2594.9</v>
      </c>
      <c r="DO61" s="72">
        <f>+AEP!AW145</f>
        <v>3854.1</v>
      </c>
      <c r="DT61" s="72">
        <f>+AEP!BB145</f>
        <v>4967.7076957960944</v>
      </c>
      <c r="DY61" s="72">
        <f>+AEP!BG145</f>
        <v>5899.6071560574965</v>
      </c>
      <c r="ED61" s="72">
        <f>+AEP!BL145</f>
        <v>2672.5009312114989</v>
      </c>
      <c r="EI61" s="72">
        <f>+AEP!BQ145</f>
        <v>4233.1441971252571</v>
      </c>
    </row>
    <row r="62" spans="3:139">
      <c r="BU62" t="s">
        <v>920</v>
      </c>
      <c r="CA62" s="72"/>
      <c r="CF62" s="72"/>
      <c r="CK62" s="72"/>
      <c r="CP62" s="72">
        <f>+AEP!X146</f>
        <v>-1714</v>
      </c>
      <c r="CU62" s="72">
        <f>+AEP!AC146</f>
        <v>-2680</v>
      </c>
      <c r="CZ62" s="72">
        <f>+AEP!AH146</f>
        <v>-1900</v>
      </c>
      <c r="DE62" s="72">
        <f>+AEP!AM146</f>
        <v>-2589.6</v>
      </c>
      <c r="DJ62" s="72">
        <f>+AEP!AR146</f>
        <v>-1901.5</v>
      </c>
      <c r="DO62" s="72">
        <f>+AEP!AW146</f>
        <v>-3087.9</v>
      </c>
      <c r="DT62" s="72">
        <f>+AEP!BB146</f>
        <v>-1281.662039</v>
      </c>
      <c r="DY62" s="72">
        <f>+AEP!BG146</f>
        <v>-1852.2286859999999</v>
      </c>
      <c r="ED62" s="72">
        <f>+AEP!BL146</f>
        <v>-869.59703899999988</v>
      </c>
      <c r="EI62" s="72">
        <f>+AEP!BQ146</f>
        <v>-1353.3129819999999</v>
      </c>
    </row>
    <row r="63" spans="3:139">
      <c r="BU63" t="s">
        <v>922</v>
      </c>
      <c r="CA63" s="72"/>
      <c r="CF63" s="72"/>
      <c r="CK63" s="72"/>
      <c r="CP63" s="72">
        <f>AEP!X148+AEP!X158+AEP!X147</f>
        <v>-669</v>
      </c>
      <c r="CU63" s="72">
        <f>AEP!AC148+AEP!AC158+AEP!AC147</f>
        <v>-224</v>
      </c>
      <c r="CZ63" s="72">
        <f>AEP!AH148+AEP!AH158+AEP!AH147</f>
        <v>589</v>
      </c>
      <c r="DE63" s="72">
        <f>AEP!AM148+AEP!AM158+AEP!AM147</f>
        <v>-546</v>
      </c>
      <c r="DJ63" s="72">
        <f>AEP!AR148+AEP!AR158+AEP!AR147</f>
        <v>913</v>
      </c>
      <c r="DO63" s="72">
        <f>AEP!AW148+AEP!AW158+AEP!AW147</f>
        <v>-74.400000000000006</v>
      </c>
      <c r="DT63" s="72">
        <f>AEP!BB148+AEP!BB158+AEP!BB147</f>
        <v>-1194.3958616115328</v>
      </c>
      <c r="DY63" s="72">
        <f>AEP!BG148+AEP!BG158+AEP!BG147</f>
        <v>-444.20413838846707</v>
      </c>
      <c r="ED63" s="72">
        <f>AEP!BL148+AEP!BL158+AEP!BL147</f>
        <v>136.07858148998287</v>
      </c>
      <c r="EI63" s="72">
        <f>AEP!BQ148+AEP!BQ158+AEP!BQ147</f>
        <v>-136.07858148998275</v>
      </c>
    </row>
    <row r="64" spans="3:139">
      <c r="BU64" t="s">
        <v>924</v>
      </c>
      <c r="BV64" s="74"/>
      <c r="BW64" s="74"/>
      <c r="BX64" s="74"/>
      <c r="BY64" s="74"/>
      <c r="BZ64" s="74"/>
      <c r="CA64" s="109"/>
      <c r="CB64" s="109"/>
      <c r="CC64" s="109"/>
      <c r="CD64" s="109"/>
      <c r="CE64" s="109"/>
      <c r="CF64" s="109"/>
      <c r="CG64" s="109"/>
      <c r="CH64" s="109"/>
      <c r="CI64" s="109"/>
      <c r="CJ64" s="109"/>
      <c r="CK64" s="109"/>
      <c r="CL64" s="109"/>
      <c r="CM64" s="109"/>
      <c r="CN64" s="109"/>
      <c r="CO64" s="109"/>
      <c r="CP64" s="109">
        <f>SUM(AEP!X152,AEP!X151)</f>
        <v>5</v>
      </c>
      <c r="CQ64" s="109"/>
      <c r="CR64" s="109"/>
      <c r="CS64" s="109"/>
      <c r="CT64" s="109"/>
      <c r="CU64" s="109">
        <f>SUM(AEP!AC152,AEP!AC151)</f>
        <v>118</v>
      </c>
      <c r="CV64" s="109"/>
      <c r="CW64" s="109"/>
      <c r="CX64" s="109"/>
      <c r="CY64" s="109"/>
      <c r="CZ64" s="109">
        <f>SUM(AEP!AH152,AEP!AH151)</f>
        <v>7</v>
      </c>
      <c r="DA64" s="109"/>
      <c r="DB64" s="109"/>
      <c r="DC64" s="109"/>
      <c r="DD64" s="109"/>
      <c r="DE64" s="109">
        <f>SUM(AEP!AM152,AEP!AM151)</f>
        <v>-113.5</v>
      </c>
      <c r="DF64" s="109"/>
      <c r="DG64" s="109"/>
      <c r="DH64" s="109"/>
      <c r="DI64" s="109"/>
      <c r="DJ64" s="109">
        <f>SUM(AEP!AR152,AEP!AR151)</f>
        <v>-18.2</v>
      </c>
      <c r="DK64" s="109"/>
      <c r="DL64" s="109"/>
      <c r="DM64" s="109"/>
      <c r="DN64" s="109"/>
      <c r="DO64" s="109">
        <f>SUM(AEP!AW152,AEP!AW151)</f>
        <v>-117</v>
      </c>
      <c r="DP64" s="109"/>
      <c r="DQ64" s="109"/>
      <c r="DR64" s="109"/>
      <c r="DS64" s="109"/>
      <c r="DT64" s="109">
        <f>SUM(AEP!BB152,AEP!BB151)</f>
        <v>66.666666666666671</v>
      </c>
      <c r="DU64" s="109"/>
      <c r="DV64" s="109"/>
      <c r="DW64" s="109"/>
      <c r="DX64" s="109"/>
      <c r="DY64" s="109">
        <f>SUM(AEP!BG152,AEP!BG151)</f>
        <v>66.666666666666671</v>
      </c>
      <c r="DZ64" s="109"/>
      <c r="EA64" s="109"/>
      <c r="EB64" s="109"/>
      <c r="EC64" s="109"/>
      <c r="ED64" s="109">
        <f>SUM(AEP!BL152,AEP!BL151)</f>
        <v>57.777777777777786</v>
      </c>
      <c r="EE64" s="109"/>
      <c r="EF64" s="109"/>
      <c r="EG64" s="109"/>
      <c r="EH64" s="109"/>
      <c r="EI64" s="109">
        <f>SUM(AEP!BQ152,AEP!BQ151)</f>
        <v>0</v>
      </c>
    </row>
    <row r="65" spans="73:139">
      <c r="BU65" s="56" t="s">
        <v>926</v>
      </c>
      <c r="BX65" s="119"/>
      <c r="BY65" s="119"/>
      <c r="BZ65" s="119"/>
      <c r="CA65" s="120"/>
      <c r="CC65" s="119"/>
      <c r="CD65" s="119"/>
      <c r="CE65" s="119"/>
      <c r="CF65" s="120"/>
      <c r="CG65" s="119"/>
      <c r="CH65" s="119"/>
      <c r="CI65" s="119"/>
      <c r="CK65" s="120"/>
      <c r="CL65" s="119"/>
      <c r="CM65" s="119"/>
      <c r="CN65" s="119"/>
      <c r="CP65" s="120">
        <f>SUM(CP57,CP60:CP64)</f>
        <v>58</v>
      </c>
      <c r="CQ65" s="119"/>
      <c r="CR65" s="119"/>
      <c r="CS65" s="119"/>
      <c r="CU65" s="120">
        <f>SUM(CU57,CU60:CU64)</f>
        <v>-161</v>
      </c>
      <c r="CV65" s="119"/>
      <c r="CW65" s="119"/>
      <c r="CX65" s="119"/>
      <c r="CZ65" s="120">
        <f>SUM(CZ57,CZ60:CZ64)</f>
        <v>45</v>
      </c>
      <c r="DA65" s="119"/>
      <c r="DB65" s="119"/>
      <c r="DC65" s="119"/>
      <c r="DE65" s="120">
        <f>SUM(DE57,DE60:DE64)</f>
        <v>13.400000000001</v>
      </c>
      <c r="DF65" s="119"/>
      <c r="DG65" s="119"/>
      <c r="DH65" s="119"/>
      <c r="DJ65" s="120">
        <f>SUM(DJ57,DJ60:DJ64)</f>
        <v>34.100000000000634</v>
      </c>
      <c r="DK65" s="119"/>
      <c r="DL65" s="119"/>
      <c r="DM65" s="119"/>
      <c r="DO65" s="120">
        <f>SUM(DO57,DO60:DO64)</f>
        <v>9.1000000000004491</v>
      </c>
      <c r="DP65" s="119"/>
      <c r="DQ65" s="119"/>
      <c r="DR65" s="119"/>
      <c r="DT65" s="120">
        <f>SUM(DT57,DT60:DT64)</f>
        <v>-214.60000000000315</v>
      </c>
      <c r="DU65" s="119"/>
      <c r="DV65" s="119"/>
      <c r="DW65" s="119"/>
      <c r="DY65" s="120">
        <f>SUM(DY57,DY60:DY64)</f>
        <v>177.64615333281034</v>
      </c>
      <c r="DZ65" s="119"/>
      <c r="EA65" s="119"/>
      <c r="EB65" s="119"/>
      <c r="ED65" s="120">
        <f>SUM(ED57,ED60:ED64)</f>
        <v>-177.64615333280932</v>
      </c>
      <c r="EE65" s="119"/>
      <c r="EF65" s="119"/>
      <c r="EG65" s="119"/>
      <c r="EI65" s="120">
        <f>SUM(EI57,EI60:EI64)</f>
        <v>200.61027681223231</v>
      </c>
    </row>
    <row r="67" spans="73:139">
      <c r="CP67" s="1225"/>
      <c r="CQ67" s="1225"/>
      <c r="CR67" s="1225"/>
      <c r="CS67" s="1225"/>
      <c r="CT67" s="1225"/>
      <c r="CU67" s="1225"/>
      <c r="CV67" s="1225"/>
      <c r="CW67" s="1225"/>
      <c r="CX67" s="1225"/>
      <c r="CY67" s="1225"/>
      <c r="CZ67" s="1225"/>
      <c r="DA67" s="1225"/>
      <c r="DB67" s="1225"/>
      <c r="DC67" s="1225"/>
      <c r="DD67" s="1225"/>
      <c r="DE67" s="1225"/>
      <c r="DF67" s="1225"/>
      <c r="DG67" s="1225"/>
      <c r="DH67" s="1225"/>
      <c r="DI67" s="1225"/>
      <c r="DJ67" s="1225"/>
      <c r="DK67" s="1225"/>
      <c r="DL67" s="1225"/>
      <c r="DM67" s="1225"/>
      <c r="DN67" s="1225"/>
      <c r="DO67" s="1225"/>
      <c r="DP67" s="1225"/>
      <c r="DQ67" s="1225"/>
      <c r="DR67" s="1225"/>
      <c r="DS67" s="1225"/>
      <c r="DT67" s="1225"/>
      <c r="DU67" s="1225"/>
      <c r="DV67" s="1225"/>
      <c r="DW67" s="1225"/>
      <c r="DX67" s="1225"/>
      <c r="DY67" s="1225"/>
      <c r="DZ67" s="1225"/>
      <c r="EA67" s="1225"/>
      <c r="EB67" s="1225"/>
      <c r="EC67" s="1225"/>
      <c r="ED67" s="1225"/>
      <c r="EE67" s="1225"/>
      <c r="EF67" s="1225"/>
      <c r="EG67" s="1225"/>
      <c r="EH67" s="1225"/>
      <c r="EI67" s="1225"/>
    </row>
  </sheetData>
  <phoneticPr fontId="40" type="noConversion"/>
  <pageMargins left="0.5" right="0.5" top="0.5" bottom="0.5" header="0" footer="0"/>
  <pageSetup scale="57"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Y254"/>
  <sheetViews>
    <sheetView zoomScale="80" zoomScaleNormal="80" workbookViewId="0">
      <pane xSplit="4" ySplit="5" topLeftCell="I6" activePane="bottomRight" state="frozen"/>
      <selection activeCell="E7" sqref="E7"/>
      <selection pane="topRight" activeCell="E7" sqref="E7"/>
      <selection pane="bottomLeft" activeCell="E7" sqref="E7"/>
      <selection pane="bottomRight" activeCell="I6" sqref="I6"/>
    </sheetView>
  </sheetViews>
  <sheetFormatPr defaultRowHeight="12.75" outlineLevelCol="1"/>
  <cols>
    <col min="1" max="2" width="2.7109375" customWidth="1"/>
    <col min="3" max="3" width="41.42578125" customWidth="1"/>
    <col min="4" max="4" width="2.7109375" customWidth="1"/>
    <col min="5" max="8" width="9" hidden="1" customWidth="1" outlineLevel="1"/>
    <col min="9" max="9" width="9.5703125" customWidth="1" collapsed="1"/>
    <col min="10" max="13" width="9" hidden="1" customWidth="1" outlineLevel="1"/>
    <col min="14" max="14" width="9" customWidth="1" collapsed="1"/>
    <col min="15" max="18" width="9" hidden="1" customWidth="1" outlineLevel="1"/>
    <col min="19" max="19" width="9" customWidth="1" collapsed="1"/>
    <col min="20" max="23" width="9" hidden="1" customWidth="1" outlineLevel="1"/>
    <col min="24" max="24" width="9" customWidth="1" collapsed="1"/>
    <col min="25" max="28" width="9" hidden="1" customWidth="1" outlineLevel="1"/>
    <col min="29" max="29" width="9" customWidth="1" collapsed="1"/>
    <col min="30" max="33" width="9" hidden="1" customWidth="1" outlineLevel="1"/>
    <col min="34" max="34" width="9" customWidth="1" collapsed="1"/>
    <col min="35" max="38" width="9" hidden="1" customWidth="1" outlineLevel="1"/>
    <col min="39" max="39" width="9" customWidth="1" collapsed="1"/>
    <col min="40" max="43" width="9" hidden="1" customWidth="1" outlineLevel="1"/>
    <col min="44" max="44" width="9" customWidth="1" collapsed="1"/>
    <col min="45" max="48" width="9" hidden="1" customWidth="1" outlineLevel="1"/>
    <col min="49" max="49" width="9" customWidth="1" collapsed="1"/>
    <col min="50" max="53" width="9" hidden="1" customWidth="1" outlineLevel="1"/>
    <col min="54" max="54" width="9" customWidth="1" collapsed="1"/>
    <col min="55" max="58" width="9" hidden="1" customWidth="1" outlineLevel="1"/>
    <col min="59" max="59" width="9" customWidth="1" collapsed="1"/>
    <col min="60" max="63" width="9" hidden="1" customWidth="1" outlineLevel="1"/>
    <col min="64" max="64" width="9" customWidth="1" collapsed="1"/>
    <col min="65" max="68" width="9" hidden="1" customWidth="1" outlineLevel="1"/>
    <col min="69" max="69" width="9" customWidth="1" collapsed="1"/>
    <col min="77" max="77" width="37.140625" hidden="1" customWidth="1" outlineLevel="1"/>
    <col min="78" max="82" width="9.140625" hidden="1" customWidth="1" outlineLevel="1"/>
    <col min="83" max="83" width="9.140625" style="50" collapsed="1"/>
    <col min="111" max="111" width="10.28515625" customWidth="1"/>
    <col min="122" max="125" width="9.140625" customWidth="1"/>
    <col min="127" max="127" width="10.85546875" bestFit="1" customWidth="1"/>
  </cols>
  <sheetData>
    <row r="1" spans="1:99" ht="15" customHeight="1">
      <c r="A1" s="32"/>
      <c r="B1" s="32"/>
      <c r="C1" s="32"/>
      <c r="D1" s="33"/>
      <c r="E1" s="34"/>
      <c r="F1" s="34"/>
      <c r="G1" s="34"/>
      <c r="H1" s="34"/>
      <c r="I1" s="34"/>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c r="AW1" s="34"/>
      <c r="AX1" s="34"/>
      <c r="AY1" s="34"/>
      <c r="AZ1" s="34"/>
      <c r="BA1" s="34"/>
      <c r="BB1" s="34"/>
      <c r="BC1" s="34"/>
      <c r="BD1" s="34"/>
      <c r="BE1" s="34"/>
      <c r="BF1" s="34"/>
      <c r="BG1" s="34"/>
      <c r="BH1" s="34"/>
      <c r="BI1" s="34"/>
      <c r="BJ1" s="34"/>
      <c r="BK1" s="34"/>
      <c r="BL1" s="34"/>
      <c r="BM1" s="34"/>
      <c r="BN1" s="34"/>
      <c r="BO1" s="34"/>
      <c r="BP1" s="34"/>
      <c r="BQ1" s="34"/>
      <c r="BR1" s="522"/>
      <c r="BS1" s="522"/>
      <c r="BT1" s="522"/>
      <c r="BU1" s="522"/>
      <c r="BV1" s="522"/>
      <c r="BW1" s="121"/>
      <c r="BX1" s="121"/>
      <c r="CF1" s="121"/>
      <c r="CG1" s="121"/>
      <c r="CH1" s="121"/>
      <c r="CI1" s="121"/>
      <c r="CJ1" s="121"/>
      <c r="CK1" s="121"/>
      <c r="CL1" s="121"/>
      <c r="CM1" s="121"/>
      <c r="CN1" s="121"/>
      <c r="CO1" s="121"/>
      <c r="CP1" s="121"/>
      <c r="CQ1" s="121"/>
      <c r="CR1" s="121"/>
      <c r="CS1" s="121"/>
      <c r="CT1" s="121"/>
      <c r="CU1" s="121"/>
    </row>
    <row r="2" spans="1:99" ht="15" customHeight="1">
      <c r="A2" s="32"/>
      <c r="B2" s="32" t="str">
        <f>Cover!B2</f>
        <v>American Electric Power Company</v>
      </c>
      <c r="C2" s="32"/>
      <c r="D2" s="33"/>
      <c r="E2" s="34"/>
      <c r="F2" s="34"/>
      <c r="G2" s="34"/>
      <c r="H2" s="34"/>
      <c r="I2" s="34"/>
      <c r="J2" s="34"/>
      <c r="K2" s="34"/>
      <c r="L2" s="34"/>
      <c r="M2" s="34"/>
      <c r="N2" s="34"/>
      <c r="O2" s="34"/>
      <c r="P2" s="34"/>
      <c r="Q2" s="34"/>
      <c r="R2" s="34"/>
      <c r="S2" s="34"/>
      <c r="T2" s="34"/>
      <c r="U2" s="34"/>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c r="AW2" s="34"/>
      <c r="AX2" s="34"/>
      <c r="AY2" s="34"/>
      <c r="AZ2" s="34"/>
      <c r="BA2" s="34"/>
      <c r="BB2" s="34"/>
      <c r="BC2" s="34"/>
      <c r="BD2" s="34"/>
      <c r="BE2" s="34"/>
      <c r="BF2" s="34"/>
      <c r="BG2" s="34"/>
      <c r="BH2" s="34"/>
      <c r="BI2" s="34"/>
      <c r="BJ2" s="34"/>
      <c r="BK2" s="34"/>
      <c r="BL2" s="34"/>
      <c r="BM2" s="34"/>
      <c r="BN2" s="34"/>
      <c r="BO2" s="34"/>
      <c r="BP2" s="34"/>
      <c r="BQ2" s="34"/>
      <c r="BR2" s="522"/>
      <c r="BS2" s="522"/>
      <c r="BT2" s="522"/>
      <c r="BU2" s="522"/>
      <c r="BV2" s="522"/>
      <c r="BW2" s="121"/>
      <c r="BX2" s="121"/>
      <c r="CF2" s="121"/>
      <c r="CG2" s="121"/>
      <c r="CH2" s="121"/>
      <c r="CI2" s="121"/>
      <c r="CJ2" s="121"/>
      <c r="CK2" s="121"/>
      <c r="CL2" s="121"/>
      <c r="CM2" s="121"/>
      <c r="CN2" s="121"/>
      <c r="CO2" s="121"/>
      <c r="CP2" s="121"/>
      <c r="CQ2" s="121"/>
      <c r="CR2" s="121"/>
      <c r="CS2" s="121"/>
      <c r="CT2" s="121"/>
      <c r="CU2" s="121"/>
    </row>
    <row r="3" spans="1:99" ht="15" customHeight="1">
      <c r="A3" s="35"/>
      <c r="B3" s="36" t="s">
        <v>936</v>
      </c>
      <c r="C3" s="36"/>
      <c r="D3" s="3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c r="AW3" s="34"/>
      <c r="AX3" s="34"/>
      <c r="AY3" s="34"/>
      <c r="AZ3" s="34"/>
      <c r="BA3" s="34"/>
      <c r="BB3" s="34"/>
      <c r="BC3" s="34"/>
      <c r="BD3" s="34"/>
      <c r="BE3" s="34"/>
      <c r="BF3" s="34"/>
      <c r="BG3" s="34"/>
      <c r="BH3" s="34"/>
      <c r="BI3" s="34"/>
      <c r="BJ3" s="34"/>
      <c r="BK3" s="34"/>
      <c r="BL3" s="34"/>
      <c r="BM3" s="34"/>
      <c r="BN3" s="34"/>
      <c r="BO3" s="34"/>
      <c r="BP3" s="34"/>
      <c r="BQ3" s="34"/>
      <c r="BR3" s="522"/>
      <c r="BS3" s="522"/>
      <c r="BT3" s="522"/>
      <c r="BU3" s="522"/>
      <c r="BV3" s="522"/>
      <c r="BW3" s="121"/>
      <c r="BX3" s="121"/>
      <c r="CF3" s="121"/>
      <c r="CG3" s="121"/>
      <c r="CH3" s="121"/>
      <c r="CI3" s="121"/>
      <c r="CJ3" s="121"/>
      <c r="CK3" s="121"/>
      <c r="CL3" s="121"/>
      <c r="CM3" s="121"/>
      <c r="CN3" s="121"/>
      <c r="CO3" s="121"/>
      <c r="CP3" s="121"/>
      <c r="CQ3" s="121"/>
      <c r="CR3" s="121"/>
      <c r="CS3" s="121"/>
      <c r="CT3" s="121"/>
      <c r="CU3" s="121"/>
    </row>
    <row r="4" spans="1:99">
      <c r="A4" s="38"/>
      <c r="B4" s="39" t="s">
        <v>828</v>
      </c>
      <c r="C4" s="39"/>
      <c r="D4" s="38"/>
      <c r="E4" s="41"/>
      <c r="F4" s="41"/>
      <c r="G4" s="41"/>
      <c r="H4" s="41"/>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c r="BA4" s="41"/>
      <c r="BB4" s="41"/>
      <c r="BC4" s="41"/>
      <c r="BD4" s="41"/>
      <c r="BE4" s="41"/>
      <c r="BF4" s="41"/>
      <c r="BG4" s="41"/>
      <c r="BH4" s="41"/>
      <c r="BI4" s="41"/>
      <c r="BJ4" s="41"/>
      <c r="BK4" s="41"/>
      <c r="BL4" s="41"/>
      <c r="BM4" s="41"/>
      <c r="BN4" s="41"/>
      <c r="BO4" s="41"/>
      <c r="BP4" s="41"/>
      <c r="BQ4" s="41"/>
      <c r="BR4" s="523"/>
      <c r="BS4" s="523"/>
      <c r="BT4" s="523"/>
      <c r="BU4" s="523"/>
      <c r="BV4" s="523"/>
      <c r="BW4" s="122"/>
      <c r="BX4" s="122"/>
      <c r="CE4" s="122"/>
      <c r="CF4" s="122"/>
      <c r="CG4" s="122"/>
      <c r="CH4" s="122"/>
      <c r="CI4" s="122"/>
      <c r="CJ4" s="122"/>
      <c r="CK4" s="122"/>
      <c r="CL4" s="122"/>
      <c r="CM4" s="122"/>
      <c r="CN4" s="122"/>
      <c r="CO4" s="122"/>
      <c r="CP4" s="122"/>
      <c r="CQ4" s="122"/>
      <c r="CR4" s="122"/>
      <c r="CS4" s="122"/>
      <c r="CT4" s="122"/>
      <c r="CU4" s="122"/>
    </row>
    <row r="5" spans="1:99">
      <c r="A5" s="123"/>
      <c r="B5" s="124" t="s">
        <v>859</v>
      </c>
      <c r="C5" s="124"/>
      <c r="D5" s="125"/>
      <c r="E5" s="126" t="s">
        <v>937</v>
      </c>
      <c r="F5" s="127" t="s">
        <v>938</v>
      </c>
      <c r="G5" s="127" t="s">
        <v>939</v>
      </c>
      <c r="H5" s="128" t="s">
        <v>940</v>
      </c>
      <c r="I5" s="129">
        <v>2009</v>
      </c>
      <c r="J5" s="126" t="s">
        <v>941</v>
      </c>
      <c r="K5" s="127" t="s">
        <v>942</v>
      </c>
      <c r="L5" s="127" t="s">
        <v>943</v>
      </c>
      <c r="M5" s="128" t="s">
        <v>944</v>
      </c>
      <c r="N5" s="129" t="s">
        <v>829</v>
      </c>
      <c r="O5" s="126" t="s">
        <v>945</v>
      </c>
      <c r="P5" s="127" t="s">
        <v>946</v>
      </c>
      <c r="Q5" s="127" t="s">
        <v>353</v>
      </c>
      <c r="R5" s="128" t="s">
        <v>76</v>
      </c>
      <c r="S5" s="129">
        <v>2011</v>
      </c>
      <c r="T5" s="131" t="s">
        <v>91</v>
      </c>
      <c r="U5" s="132" t="s">
        <v>92</v>
      </c>
      <c r="V5" s="132" t="s">
        <v>790</v>
      </c>
      <c r="W5" s="133" t="s">
        <v>644</v>
      </c>
      <c r="X5" s="130" t="s">
        <v>645</v>
      </c>
      <c r="Y5" s="126" t="s">
        <v>646</v>
      </c>
      <c r="Z5" s="127" t="s">
        <v>619</v>
      </c>
      <c r="AA5" s="127" t="s">
        <v>620</v>
      </c>
      <c r="AB5" s="128" t="s">
        <v>246</v>
      </c>
      <c r="AC5" s="130" t="s">
        <v>247</v>
      </c>
      <c r="AD5" s="126" t="s">
        <v>274</v>
      </c>
      <c r="AE5" s="127" t="s">
        <v>275</v>
      </c>
      <c r="AF5" s="127" t="s">
        <v>276</v>
      </c>
      <c r="AG5" s="128" t="s">
        <v>1060</v>
      </c>
      <c r="AH5" s="130" t="s">
        <v>1061</v>
      </c>
      <c r="AI5" s="126" t="s">
        <v>1062</v>
      </c>
      <c r="AJ5" s="127" t="s">
        <v>1063</v>
      </c>
      <c r="AK5" s="127" t="s">
        <v>1122</v>
      </c>
      <c r="AL5" s="128" t="s">
        <v>1123</v>
      </c>
      <c r="AM5" s="130" t="s">
        <v>1124</v>
      </c>
      <c r="AN5" s="126" t="s">
        <v>1131</v>
      </c>
      <c r="AO5" s="127" t="s">
        <v>1137</v>
      </c>
      <c r="AP5" s="127" t="s">
        <v>1274</v>
      </c>
      <c r="AQ5" s="128" t="s">
        <v>1291</v>
      </c>
      <c r="AR5" s="130" t="s">
        <v>1292</v>
      </c>
      <c r="AS5" s="126" t="s">
        <v>1320</v>
      </c>
      <c r="AT5" s="127" t="s">
        <v>1324</v>
      </c>
      <c r="AU5" s="127" t="s">
        <v>1330</v>
      </c>
      <c r="AV5" s="128" t="s">
        <v>1354</v>
      </c>
      <c r="AW5" s="130" t="s">
        <v>1353</v>
      </c>
      <c r="AX5" s="126" t="s">
        <v>69</v>
      </c>
      <c r="AY5" s="127" t="s">
        <v>70</v>
      </c>
      <c r="AZ5" s="127" t="s">
        <v>71</v>
      </c>
      <c r="BA5" s="128" t="s">
        <v>72</v>
      </c>
      <c r="BB5" s="130" t="s">
        <v>73</v>
      </c>
      <c r="BC5" s="126" t="s">
        <v>1067</v>
      </c>
      <c r="BD5" s="127" t="s">
        <v>1068</v>
      </c>
      <c r="BE5" s="127" t="s">
        <v>1069</v>
      </c>
      <c r="BF5" s="128" t="s">
        <v>1070</v>
      </c>
      <c r="BG5" s="130" t="s">
        <v>1065</v>
      </c>
      <c r="BH5" s="126" t="s">
        <v>1071</v>
      </c>
      <c r="BI5" s="127" t="s">
        <v>1072</v>
      </c>
      <c r="BJ5" s="127" t="s">
        <v>1073</v>
      </c>
      <c r="BK5" s="128" t="s">
        <v>1074</v>
      </c>
      <c r="BL5" s="130" t="s">
        <v>1066</v>
      </c>
      <c r="BM5" s="126" t="s">
        <v>1278</v>
      </c>
      <c r="BN5" s="127" t="s">
        <v>1279</v>
      </c>
      <c r="BO5" s="127" t="s">
        <v>1280</v>
      </c>
      <c r="BP5" s="128" t="s">
        <v>1281</v>
      </c>
      <c r="BQ5" s="130" t="s">
        <v>1282</v>
      </c>
      <c r="BR5" s="524"/>
      <c r="BS5" s="524"/>
      <c r="BT5" s="524"/>
      <c r="BU5" s="524"/>
      <c r="BV5" s="524"/>
      <c r="BW5" s="134"/>
      <c r="BX5" s="134"/>
      <c r="CE5" s="487"/>
      <c r="CF5" s="134"/>
      <c r="CG5" s="134"/>
      <c r="CH5" s="134"/>
      <c r="CI5" s="134"/>
      <c r="CJ5" s="134"/>
      <c r="CK5" s="134"/>
      <c r="CL5" s="134"/>
      <c r="CM5" s="134"/>
      <c r="CN5" s="134"/>
      <c r="CO5" s="134"/>
      <c r="CP5" s="134"/>
      <c r="CQ5" s="134"/>
      <c r="CR5" s="134"/>
      <c r="CS5" s="134"/>
      <c r="CT5" s="134"/>
      <c r="CU5" s="134"/>
    </row>
    <row r="6" spans="1:99">
      <c r="E6" s="135"/>
      <c r="F6" s="136"/>
      <c r="G6" s="136"/>
      <c r="H6" s="137"/>
      <c r="J6" s="135"/>
      <c r="K6" s="136"/>
      <c r="L6" s="136"/>
      <c r="M6" s="137"/>
      <c r="O6" s="135"/>
      <c r="P6" s="136"/>
      <c r="Q6" s="136"/>
      <c r="R6" s="137"/>
      <c r="T6" s="138"/>
      <c r="U6" s="139"/>
      <c r="V6" s="139"/>
      <c r="W6" s="140"/>
      <c r="Y6" s="135"/>
      <c r="Z6" s="136"/>
      <c r="AA6" s="136"/>
      <c r="AB6" s="137"/>
      <c r="AD6" s="135"/>
      <c r="AE6" s="136"/>
      <c r="AF6" s="136"/>
      <c r="AG6" s="137"/>
      <c r="AI6" s="135"/>
      <c r="AJ6" s="136"/>
      <c r="AK6" s="136"/>
      <c r="AL6" s="137"/>
      <c r="AN6" s="135"/>
      <c r="AO6" s="136"/>
      <c r="AP6" s="136"/>
      <c r="AQ6" s="137"/>
      <c r="AS6" s="135"/>
      <c r="AT6" s="136"/>
      <c r="AU6" s="136"/>
      <c r="AV6" s="137"/>
      <c r="AX6" s="135"/>
      <c r="AY6" s="136"/>
      <c r="AZ6" s="136"/>
      <c r="BA6" s="137"/>
      <c r="BC6" s="135"/>
      <c r="BD6" s="136"/>
      <c r="BE6" s="136"/>
      <c r="BF6" s="137"/>
      <c r="BH6" s="135"/>
      <c r="BI6" s="136"/>
      <c r="BJ6" s="136"/>
      <c r="BK6" s="137"/>
      <c r="BM6" s="135"/>
      <c r="BN6" s="136"/>
      <c r="BO6" s="136"/>
      <c r="BP6" s="137"/>
      <c r="BR6" s="491"/>
      <c r="BS6" s="491"/>
      <c r="BT6" s="491"/>
      <c r="BU6" s="491"/>
      <c r="BV6" s="491"/>
    </row>
    <row r="7" spans="1:99">
      <c r="B7" s="46" t="s">
        <v>947</v>
      </c>
      <c r="C7" s="46"/>
      <c r="D7" s="47"/>
      <c r="E7" s="135"/>
      <c r="F7" s="136"/>
      <c r="G7" s="136"/>
      <c r="H7" s="137"/>
      <c r="J7" s="135"/>
      <c r="K7" s="136"/>
      <c r="L7" s="136"/>
      <c r="M7" s="137"/>
      <c r="O7" s="135"/>
      <c r="P7" s="136"/>
      <c r="Q7" s="136"/>
      <c r="R7" s="137"/>
      <c r="T7" s="135"/>
      <c r="U7" s="136"/>
      <c r="V7" s="136"/>
      <c r="W7" s="137"/>
      <c r="Y7" s="135"/>
      <c r="Z7" s="136"/>
      <c r="AA7" s="136"/>
      <c r="AB7" s="137"/>
      <c r="AD7" s="135"/>
      <c r="AE7" s="136"/>
      <c r="AF7" s="136"/>
      <c r="AG7" s="137"/>
      <c r="AI7" s="135"/>
      <c r="AJ7" s="136"/>
      <c r="AK7" s="136"/>
      <c r="AL7" s="137"/>
      <c r="AN7" s="135"/>
      <c r="AO7" s="136"/>
      <c r="AP7" s="136"/>
      <c r="AQ7" s="137"/>
      <c r="AS7" s="135"/>
      <c r="AT7" s="136"/>
      <c r="AU7" s="136"/>
      <c r="AV7" s="137"/>
      <c r="AX7" s="135"/>
      <c r="AY7" s="136"/>
      <c r="AZ7" s="136"/>
      <c r="BA7" s="137"/>
      <c r="BC7" s="135"/>
      <c r="BD7" s="136"/>
      <c r="BE7" s="136"/>
      <c r="BF7" s="137"/>
      <c r="BH7" s="135"/>
      <c r="BI7" s="136"/>
      <c r="BJ7" s="136"/>
      <c r="BK7" s="137"/>
      <c r="BM7" s="135"/>
      <c r="BN7" s="136"/>
      <c r="BO7" s="136"/>
      <c r="BP7" s="137"/>
      <c r="BR7" s="491"/>
      <c r="BS7" s="491"/>
      <c r="BT7" s="491"/>
      <c r="BU7" s="491"/>
      <c r="BV7" s="491"/>
    </row>
    <row r="8" spans="1:99" s="50" customFormat="1">
      <c r="C8" s="50" t="s">
        <v>948</v>
      </c>
      <c r="D8" s="109"/>
      <c r="E8" s="142">
        <v>3458</v>
      </c>
      <c r="F8" s="143">
        <v>3202</v>
      </c>
      <c r="G8" s="143">
        <v>3547</v>
      </c>
      <c r="H8" s="157">
        <f>I8-SUM(E8:G8)</f>
        <v>3282</v>
      </c>
      <c r="I8" s="145">
        <v>13489</v>
      </c>
      <c r="J8" s="142">
        <v>3569</v>
      </c>
      <c r="K8" s="143">
        <v>3360</v>
      </c>
      <c r="L8" s="143">
        <v>4064</v>
      </c>
      <c r="M8" s="157">
        <f>N8-SUM(J8:L8)</f>
        <v>3434</v>
      </c>
      <c r="N8" s="145">
        <v>14427</v>
      </c>
      <c r="O8" s="142">
        <v>3730</v>
      </c>
      <c r="P8" s="143">
        <v>3609</v>
      </c>
      <c r="Q8" s="143">
        <v>4333</v>
      </c>
      <c r="R8" s="157">
        <f>S8-SUM(O8:Q8)</f>
        <v>3444</v>
      </c>
      <c r="S8" s="1024">
        <v>15116</v>
      </c>
      <c r="T8" s="142">
        <v>3625</v>
      </c>
      <c r="U8" s="143">
        <v>3551</v>
      </c>
      <c r="V8" s="143">
        <v>4156</v>
      </c>
      <c r="W8" s="157">
        <f>X8-SUM(T8:V8)</f>
        <v>3613</v>
      </c>
      <c r="X8" s="145">
        <v>14945</v>
      </c>
      <c r="Y8" s="142">
        <v>3826</v>
      </c>
      <c r="Z8" s="143">
        <v>3582</v>
      </c>
      <c r="AA8" s="143">
        <v>4176</v>
      </c>
      <c r="AB8" s="157">
        <f>AC8-SUM(Y8:AA8)</f>
        <v>3773</v>
      </c>
      <c r="AC8" s="145">
        <v>15357</v>
      </c>
      <c r="AD8" s="142">
        <v>4648</v>
      </c>
      <c r="AE8" s="143">
        <v>4044</v>
      </c>
      <c r="AF8" s="143">
        <v>4302</v>
      </c>
      <c r="AG8" s="157">
        <f>AH8-SUM(AD8:AF8)</f>
        <v>4026</v>
      </c>
      <c r="AH8" s="145">
        <v>17020</v>
      </c>
      <c r="AI8" s="142">
        <v>4708</v>
      </c>
      <c r="AJ8" s="143">
        <v>3942</v>
      </c>
      <c r="AK8" s="143">
        <v>4432</v>
      </c>
      <c r="AL8" s="157">
        <f>AM8-SUM(AI8:AK8)</f>
        <v>3371.2000000000007</v>
      </c>
      <c r="AM8" s="145">
        <v>16453.2</v>
      </c>
      <c r="AN8" s="142">
        <v>4044.9</v>
      </c>
      <c r="AO8" s="143">
        <v>3892.9</v>
      </c>
      <c r="AP8" s="143">
        <v>4652.2</v>
      </c>
      <c r="AQ8" s="157">
        <f>AR8-SUM(AN8:AP8)</f>
        <v>3790.1000000000004</v>
      </c>
      <c r="AR8" s="145">
        <v>16380.1</v>
      </c>
      <c r="AS8" s="142">
        <v>3933.3</v>
      </c>
      <c r="AT8" s="143">
        <v>3576.5</v>
      </c>
      <c r="AU8" s="143">
        <v>4104.7</v>
      </c>
      <c r="AV8" s="157">
        <f>AW8-SUM(AS8:AU8)</f>
        <v>3810.3999999999996</v>
      </c>
      <c r="AW8" s="145">
        <v>15424.9</v>
      </c>
      <c r="AX8" s="161">
        <f>+'Generation &amp; Marketing'!AX8+'Vertically Integrated Utilities'!AX8+'T&amp;D Utilities'!AX8+'Transmission Holdco'!AX8+Parent!AX8+'AEP River'!AX8</f>
        <v>4049.8600599601605</v>
      </c>
      <c r="AY8" s="160">
        <f>+'Generation &amp; Marketing'!AY8+'Vertically Integrated Utilities'!AY8+'T&amp;D Utilities'!AY8+'Transmission Holdco'!AY8+Parent!AY8+'AEP River'!AY8</f>
        <v>3693.9526441682156</v>
      </c>
      <c r="AZ8" s="160">
        <f>+'Generation &amp; Marketing'!AZ8+'Vertically Integrated Utilities'!AZ8+'T&amp;D Utilities'!AZ8+'Transmission Holdco'!AZ8+Parent!AZ8+'AEP River'!AZ8</f>
        <v>4241.8272899612539</v>
      </c>
      <c r="BA8" s="157">
        <f>+'Generation &amp; Marketing'!BA8+'Vertically Integrated Utilities'!BA8+'T&amp;D Utilities'!BA8+'Transmission Holdco'!BA8+Parent!BA8+'AEP River'!BA8</f>
        <v>3854.0908578613703</v>
      </c>
      <c r="BB8" s="109">
        <f>SUM(AX8:BA8)</f>
        <v>15839.730851951001</v>
      </c>
      <c r="BC8" s="161">
        <f>+'Generation &amp; Marketing'!BC8+'Vertically Integrated Utilities'!BC8+'T&amp;D Utilities'!BC8+'Transmission Holdco'!BC8+Parent!BC8+'AEP River'!BC8</f>
        <v>4118.7565931246218</v>
      </c>
      <c r="BD8" s="160">
        <f>+'Generation &amp; Marketing'!BD8+'Vertically Integrated Utilities'!BD8+'T&amp;D Utilities'!BD8+'Transmission Holdco'!BD8+Parent!BD8+'AEP River'!BD8</f>
        <v>3696.8032307648064</v>
      </c>
      <c r="BE8" s="160">
        <f>+'Generation &amp; Marketing'!BE8+'Vertically Integrated Utilities'!BE8+'T&amp;D Utilities'!BE8+'Transmission Holdco'!BE8+Parent!BE8+'AEP River'!BE8</f>
        <v>4264.6502055656047</v>
      </c>
      <c r="BF8" s="157">
        <f>+'Generation &amp; Marketing'!BF8+'Vertically Integrated Utilities'!BF8+'T&amp;D Utilities'!BF8+'Transmission Holdco'!BF8+Parent!BF8+'AEP River'!BF8</f>
        <v>3985.8364955226166</v>
      </c>
      <c r="BG8" s="109">
        <f>SUM(BC8:BF8)</f>
        <v>16066.04652497765</v>
      </c>
      <c r="BH8" s="161">
        <f>+'Generation &amp; Marketing'!BH8+'Vertically Integrated Utilities'!BH8+'T&amp;D Utilities'!BH8+'Transmission Holdco'!BH8+Parent!BH8+'AEP River'!BH8</f>
        <v>4224.428097984438</v>
      </c>
      <c r="BI8" s="160">
        <f>+'Generation &amp; Marketing'!BI8+'Vertically Integrated Utilities'!BI8+'T&amp;D Utilities'!BI8+'Transmission Holdco'!BI8+Parent!BI8+'AEP River'!BI8</f>
        <v>3829.4801972536902</v>
      </c>
      <c r="BJ8" s="160">
        <f>+'Generation &amp; Marketing'!BJ8+'Vertically Integrated Utilities'!BJ8+'T&amp;D Utilities'!BJ8+'Transmission Holdco'!BJ8+Parent!BJ8+'AEP River'!BJ8</f>
        <v>4508.7308281444684</v>
      </c>
      <c r="BK8" s="157">
        <f>+'Generation &amp; Marketing'!BK8+'Vertically Integrated Utilities'!BK8+'T&amp;D Utilities'!BK8+'Transmission Holdco'!BK8+Parent!BK8+'AEP River'!BK8</f>
        <v>4096.4180109700765</v>
      </c>
      <c r="BL8" s="109">
        <f>SUM(BH8:BK8)</f>
        <v>16659.057134352672</v>
      </c>
      <c r="BM8" s="161">
        <f>+'Generation &amp; Marketing'!BM8+'Vertically Integrated Utilities'!BM8+'T&amp;D Utilities'!BM8+'Transmission Holdco'!BM8+Parent!BM8+'AEP River'!BM8</f>
        <v>4371.691306999639</v>
      </c>
      <c r="BN8" s="160">
        <f>+'Generation &amp; Marketing'!BN8+'Vertically Integrated Utilities'!BN8+'T&amp;D Utilities'!BN8+'Transmission Holdco'!BN8+Parent!BN8+'AEP River'!BN8</f>
        <v>4049.7131338440372</v>
      </c>
      <c r="BO8" s="160">
        <f>+'Generation &amp; Marketing'!BO8+'Vertically Integrated Utilities'!BO8+'T&amp;D Utilities'!BO8+'Transmission Holdco'!BO8+Parent!BO8+'AEP River'!BO8</f>
        <v>4606.1556120536679</v>
      </c>
      <c r="BP8" s="157">
        <f>+'Generation &amp; Marketing'!BP8+'Vertically Integrated Utilities'!BP8+'T&amp;D Utilities'!BP8+'Transmission Holdco'!BP8+Parent!BP8+'AEP River'!BP8</f>
        <v>4211.0758877043518</v>
      </c>
      <c r="BQ8" s="109">
        <f>SUM(BM8:BP8)</f>
        <v>17238.635940601696</v>
      </c>
      <c r="BR8" s="525"/>
      <c r="BS8" s="525"/>
      <c r="BT8"/>
      <c r="BU8"/>
      <c r="BV8" s="525"/>
      <c r="BY8"/>
      <c r="BZ8"/>
      <c r="CA8"/>
      <c r="CB8"/>
      <c r="CC8"/>
      <c r="CD8"/>
    </row>
    <row r="9" spans="1:99">
      <c r="C9" s="50" t="s">
        <v>352</v>
      </c>
      <c r="D9" s="109"/>
      <c r="E9" s="142">
        <f>929+295</f>
        <v>1224</v>
      </c>
      <c r="F9" s="143">
        <f>764+258</f>
        <v>1022</v>
      </c>
      <c r="G9" s="143">
        <f>931+247</f>
        <v>1178</v>
      </c>
      <c r="H9" s="157">
        <f>I9-SUM(E9:G9)</f>
        <v>1107</v>
      </c>
      <c r="I9" s="145">
        <f>3478+1053</f>
        <v>4531</v>
      </c>
      <c r="J9" s="142">
        <f>1014+238</f>
        <v>1252</v>
      </c>
      <c r="K9" s="143">
        <f>895+227</f>
        <v>1122</v>
      </c>
      <c r="L9" s="143">
        <f>1189+247</f>
        <v>1436</v>
      </c>
      <c r="M9" s="157">
        <f>N9-SUM(J9:L9)</f>
        <v>1219</v>
      </c>
      <c r="N9" s="145">
        <f>4029+1000</f>
        <v>5029</v>
      </c>
      <c r="O9" s="142">
        <f>1056+275</f>
        <v>1331</v>
      </c>
      <c r="P9" s="143">
        <f>980+287</f>
        <v>1267</v>
      </c>
      <c r="Q9" s="143">
        <f>1371+294</f>
        <v>1665</v>
      </c>
      <c r="R9" s="157">
        <f>S9-SUM(O9:Q9)</f>
        <v>1349</v>
      </c>
      <c r="S9" s="1024">
        <v>5612</v>
      </c>
      <c r="T9" s="142">
        <f>1053+260</f>
        <v>1313</v>
      </c>
      <c r="U9" s="143">
        <f>904+268</f>
        <v>1172</v>
      </c>
      <c r="V9" s="143">
        <f>1180+327</f>
        <v>1507</v>
      </c>
      <c r="W9" s="157">
        <f>X9-SUM(T9:V9)</f>
        <v>1288</v>
      </c>
      <c r="X9" s="145">
        <f>4111+1169</f>
        <v>5280</v>
      </c>
      <c r="Y9" s="142">
        <f>1031+371</f>
        <v>1402</v>
      </c>
      <c r="Z9" s="143">
        <f>908+359</f>
        <v>1267</v>
      </c>
      <c r="AA9" s="143">
        <f>1168+373</f>
        <v>1541</v>
      </c>
      <c r="AB9" s="157">
        <f>AC9-SUM(Y9:AA9)</f>
        <v>1349</v>
      </c>
      <c r="AC9" s="145">
        <f>4068+1491</f>
        <v>5559</v>
      </c>
      <c r="AD9" s="142">
        <f>1168+638</f>
        <v>1806</v>
      </c>
      <c r="AE9" s="143">
        <f>1043+473</f>
        <v>1516</v>
      </c>
      <c r="AF9" s="143">
        <f>1080+449</f>
        <v>1529</v>
      </c>
      <c r="AG9" s="157">
        <f>AH9-SUM(AD9:AF9)</f>
        <v>1507</v>
      </c>
      <c r="AH9" s="145">
        <f>4272+2086</f>
        <v>6358</v>
      </c>
      <c r="AI9" s="142">
        <f>1071+718</f>
        <v>1789</v>
      </c>
      <c r="AJ9" s="143">
        <f>756+601</f>
        <v>1357</v>
      </c>
      <c r="AK9" s="143">
        <f>955+731</f>
        <v>1686</v>
      </c>
      <c r="AL9" s="157">
        <f>AM9-SUM(AI9:AK9)</f>
        <v>1276.1999999999998</v>
      </c>
      <c r="AM9" s="145">
        <f>3348.1+2760.1</f>
        <v>6108.2</v>
      </c>
      <c r="AN9" s="142">
        <f>675.6+731.4</f>
        <v>1407</v>
      </c>
      <c r="AO9" s="143">
        <f>680.4+629.2</f>
        <v>1309.5999999999999</v>
      </c>
      <c r="AP9" s="143">
        <f>880.1+774</f>
        <v>1654.1</v>
      </c>
      <c r="AQ9" s="157">
        <f>AR9-SUM(AN9:AP9)</f>
        <v>1359.6000000000004</v>
      </c>
      <c r="AR9" s="145">
        <f>2908.9+2821.4</f>
        <v>5730.3</v>
      </c>
      <c r="AS9" s="142">
        <f>635.6+769.6</f>
        <v>1405.2</v>
      </c>
      <c r="AT9" s="143">
        <f>522.3+669.2</f>
        <v>1191.5</v>
      </c>
      <c r="AU9" s="143">
        <f>707.4+718.1</f>
        <v>1425.5</v>
      </c>
      <c r="AV9" s="157">
        <f>AW9-SUM(AS9:AU9)</f>
        <v>1289.6000000000004</v>
      </c>
      <c r="AW9" s="145">
        <f>2346.5+2965.3</f>
        <v>5311.8</v>
      </c>
      <c r="AX9" s="161">
        <f>'Generation &amp; Marketing'!AX9+'Vertically Integrated Utilities'!AX9+'T&amp;D Utilities'!AX9+'Transmission Holdco'!AX9+Parent!AX9+'AEP River'!AX9</f>
        <v>1555.3173150127611</v>
      </c>
      <c r="AY9" s="162">
        <f>'Generation &amp; Marketing'!AY9+'Vertically Integrated Utilities'!AY9+'T&amp;D Utilities'!AY9+'Transmission Holdco'!AY9+Parent!AY9+'AEP River'!AY9</f>
        <v>1307.9798213729118</v>
      </c>
      <c r="AZ9" s="162">
        <f>'Generation &amp; Marketing'!AZ9+'Vertically Integrated Utilities'!AZ9+'T&amp;D Utilities'!AZ9+'Transmission Holdco'!AZ9+Parent!AZ9+'AEP River'!AZ9</f>
        <v>1524.6793278556136</v>
      </c>
      <c r="BA9" s="157">
        <f>'Generation &amp; Marketing'!BA9+'Vertically Integrated Utilities'!BA9+'T&amp;D Utilities'!BA9+'Transmission Holdco'!BA9+Parent!BA9+'AEP River'!BA9</f>
        <v>1361.6970079257135</v>
      </c>
      <c r="BB9" s="109">
        <f>SUM(AX9:BA9)</f>
        <v>5749.673472167</v>
      </c>
      <c r="BC9" s="161">
        <f>'Generation &amp; Marketing'!BC9+'Vertically Integrated Utilities'!BC9+'T&amp;D Utilities'!BC9+'Transmission Holdco'!BC9+Parent!BC9+'AEP River'!BC9</f>
        <v>1479.7872991043096</v>
      </c>
      <c r="BD9" s="162">
        <f>'Generation &amp; Marketing'!BD9+'Vertically Integrated Utilities'!BD9+'T&amp;D Utilities'!BD9+'Transmission Holdco'!BD9+Parent!BD9+'AEP River'!BD9</f>
        <v>1211.3469963376504</v>
      </c>
      <c r="BE9" s="162">
        <f>'Generation &amp; Marketing'!BE9+'Vertically Integrated Utilities'!BE9+'T&amp;D Utilities'!BE9+'Transmission Holdco'!BE9+Parent!BE9+'AEP River'!BE9</f>
        <v>1447.9013411497513</v>
      </c>
      <c r="BF9" s="157">
        <f>'Generation &amp; Marketing'!BF9+'Vertically Integrated Utilities'!BF9+'T&amp;D Utilities'!BF9+'Transmission Holdco'!BF9+Parent!BF9+'AEP River'!BF9</f>
        <v>1398.3915478893425</v>
      </c>
      <c r="BG9" s="109">
        <f>SUM(BC9:BF9)</f>
        <v>5537.4271844810528</v>
      </c>
      <c r="BH9" s="161">
        <f>'Generation &amp; Marketing'!BH9+'Vertically Integrated Utilities'!BH9+'T&amp;D Utilities'!BH9+'Transmission Holdco'!BH9+Parent!BH9+'AEP River'!BH9</f>
        <v>1475.5939594633755</v>
      </c>
      <c r="BI9" s="162">
        <f>'Generation &amp; Marketing'!BI9+'Vertically Integrated Utilities'!BI9+'T&amp;D Utilities'!BI9+'Transmission Holdco'!BI9+Parent!BI9+'AEP River'!BI9</f>
        <v>1211.863696275863</v>
      </c>
      <c r="BJ9" s="162">
        <f>'Generation &amp; Marketing'!BJ9+'Vertically Integrated Utilities'!BJ9+'T&amp;D Utilities'!BJ9+'Transmission Holdco'!BJ9+Parent!BJ9+'AEP River'!BJ9</f>
        <v>1533.9102000021082</v>
      </c>
      <c r="BK9" s="157">
        <f>'Generation &amp; Marketing'!BK9+'Vertically Integrated Utilities'!BK9+'T&amp;D Utilities'!BK9+'Transmission Holdco'!BK9+Parent!BK9+'AEP River'!BK9</f>
        <v>1388.089585000328</v>
      </c>
      <c r="BL9" s="109">
        <f>SUM(BH9:BK9)</f>
        <v>5609.4574407416749</v>
      </c>
      <c r="BM9" s="161">
        <f>'Generation &amp; Marketing'!BM9+'Vertically Integrated Utilities'!BM9+'T&amp;D Utilities'!BM9+'Transmission Holdco'!BM9+Parent!BM9+'AEP River'!BM9</f>
        <v>1449.7063890552045</v>
      </c>
      <c r="BN9" s="162">
        <f>'Generation &amp; Marketing'!BN9+'Vertically Integrated Utilities'!BN9+'T&amp;D Utilities'!BN9+'Transmission Holdco'!BN9+Parent!BN9+'AEP River'!BN9</f>
        <v>1235.0085099853786</v>
      </c>
      <c r="BO9" s="162">
        <f>'Generation &amp; Marketing'!BO9+'Vertically Integrated Utilities'!BO9+'T&amp;D Utilities'!BO9+'Transmission Holdco'!BO9+Parent!BO9+'AEP River'!BO9</f>
        <v>1455.0655687768171</v>
      </c>
      <c r="BP9" s="157">
        <f>'Generation &amp; Marketing'!BP9+'Vertically Integrated Utilities'!BP9+'T&amp;D Utilities'!BP9+'Transmission Holdco'!BP9+Parent!BP9+'AEP River'!BP9</f>
        <v>1332.1731081432317</v>
      </c>
      <c r="BQ9" s="109">
        <f>SUM(BM9:BP9)</f>
        <v>5471.9535759606315</v>
      </c>
      <c r="BR9" s="525"/>
      <c r="BS9" s="525"/>
      <c r="BV9" s="525"/>
      <c r="BW9" s="50"/>
      <c r="BX9" s="50"/>
      <c r="CF9" s="50"/>
      <c r="CG9" s="50"/>
      <c r="CH9" s="50"/>
      <c r="CI9" s="50"/>
      <c r="CJ9" s="50"/>
      <c r="CK9" s="50"/>
      <c r="CL9" s="50"/>
      <c r="CM9" s="50"/>
      <c r="CN9" s="50"/>
      <c r="CO9" s="50"/>
      <c r="CP9" s="50"/>
      <c r="CQ9" s="50"/>
      <c r="CR9" s="50"/>
      <c r="CS9" s="50"/>
      <c r="CT9" s="50"/>
      <c r="CU9" s="50"/>
    </row>
    <row r="10" spans="1:99">
      <c r="A10" s="56"/>
      <c r="B10" s="56"/>
      <c r="C10" s="56" t="s">
        <v>950</v>
      </c>
      <c r="D10" s="112"/>
      <c r="E10" s="149">
        <f t="shared" ref="E10:AF10" si="0">+E8-E9</f>
        <v>2234</v>
      </c>
      <c r="F10" s="150">
        <f t="shared" si="0"/>
        <v>2180</v>
      </c>
      <c r="G10" s="150">
        <f t="shared" si="0"/>
        <v>2369</v>
      </c>
      <c r="H10" s="151">
        <f t="shared" si="0"/>
        <v>2175</v>
      </c>
      <c r="I10" s="112">
        <f t="shared" si="0"/>
        <v>8958</v>
      </c>
      <c r="J10" s="149">
        <f t="shared" si="0"/>
        <v>2317</v>
      </c>
      <c r="K10" s="150">
        <f t="shared" si="0"/>
        <v>2238</v>
      </c>
      <c r="L10" s="150">
        <f t="shared" si="0"/>
        <v>2628</v>
      </c>
      <c r="M10" s="151">
        <f t="shared" si="0"/>
        <v>2215</v>
      </c>
      <c r="N10" s="112">
        <f t="shared" si="0"/>
        <v>9398</v>
      </c>
      <c r="O10" s="149">
        <f t="shared" si="0"/>
        <v>2399</v>
      </c>
      <c r="P10" s="150">
        <f t="shared" si="0"/>
        <v>2342</v>
      </c>
      <c r="Q10" s="150">
        <f t="shared" si="0"/>
        <v>2668</v>
      </c>
      <c r="R10" s="151">
        <f t="shared" si="0"/>
        <v>2095</v>
      </c>
      <c r="S10" s="112">
        <f t="shared" si="0"/>
        <v>9504</v>
      </c>
      <c r="T10" s="149">
        <f t="shared" si="0"/>
        <v>2312</v>
      </c>
      <c r="U10" s="150">
        <f t="shared" si="0"/>
        <v>2379</v>
      </c>
      <c r="V10" s="150">
        <f t="shared" si="0"/>
        <v>2649</v>
      </c>
      <c r="W10" s="151">
        <f t="shared" si="0"/>
        <v>2325</v>
      </c>
      <c r="X10" s="112">
        <f t="shared" si="0"/>
        <v>9665</v>
      </c>
      <c r="Y10" s="149">
        <f t="shared" si="0"/>
        <v>2424</v>
      </c>
      <c r="Z10" s="150">
        <f t="shared" si="0"/>
        <v>2315</v>
      </c>
      <c r="AA10" s="150">
        <f t="shared" si="0"/>
        <v>2635</v>
      </c>
      <c r="AB10" s="151">
        <f t="shared" si="0"/>
        <v>2424</v>
      </c>
      <c r="AC10" s="112">
        <f t="shared" si="0"/>
        <v>9798</v>
      </c>
      <c r="AD10" s="149">
        <f t="shared" si="0"/>
        <v>2842</v>
      </c>
      <c r="AE10" s="150">
        <f t="shared" si="0"/>
        <v>2528</v>
      </c>
      <c r="AF10" s="150">
        <f t="shared" si="0"/>
        <v>2773</v>
      </c>
      <c r="AG10" s="151">
        <f t="shared" ref="AG10:AM10" si="1">+AG8-AG9</f>
        <v>2519</v>
      </c>
      <c r="AH10" s="112">
        <f t="shared" si="1"/>
        <v>10662</v>
      </c>
      <c r="AI10" s="149">
        <f t="shared" si="1"/>
        <v>2919</v>
      </c>
      <c r="AJ10" s="150">
        <f t="shared" si="1"/>
        <v>2585</v>
      </c>
      <c r="AK10" s="150">
        <f t="shared" si="1"/>
        <v>2746</v>
      </c>
      <c r="AL10" s="151">
        <f t="shared" si="1"/>
        <v>2095.0000000000009</v>
      </c>
      <c r="AM10" s="112">
        <f t="shared" si="1"/>
        <v>10345</v>
      </c>
      <c r="AN10" s="149">
        <f t="shared" ref="AN10:AS10" si="2">+AN8-AN9</f>
        <v>2637.9</v>
      </c>
      <c r="AO10" s="150">
        <f t="shared" si="2"/>
        <v>2583.3000000000002</v>
      </c>
      <c r="AP10" s="150">
        <f t="shared" si="2"/>
        <v>2998.1</v>
      </c>
      <c r="AQ10" s="151">
        <f t="shared" si="2"/>
        <v>2430.5</v>
      </c>
      <c r="AR10" s="112">
        <f t="shared" si="2"/>
        <v>10649.8</v>
      </c>
      <c r="AS10" s="149">
        <f t="shared" si="2"/>
        <v>2528.1000000000004</v>
      </c>
      <c r="AT10" s="150">
        <f t="shared" ref="AT10:BB10" si="3">+AT8-AT9</f>
        <v>2385</v>
      </c>
      <c r="AU10" s="150">
        <f t="shared" si="3"/>
        <v>2679.2</v>
      </c>
      <c r="AV10" s="151">
        <f t="shared" si="3"/>
        <v>2520.7999999999993</v>
      </c>
      <c r="AW10" s="112">
        <f t="shared" si="3"/>
        <v>10113.099999999999</v>
      </c>
      <c r="AX10" s="149">
        <f t="shared" si="3"/>
        <v>2494.5427449473991</v>
      </c>
      <c r="AY10" s="150">
        <f t="shared" si="3"/>
        <v>2385.9728227953037</v>
      </c>
      <c r="AZ10" s="150">
        <f t="shared" si="3"/>
        <v>2717.1479621056405</v>
      </c>
      <c r="BA10" s="151">
        <f t="shared" si="3"/>
        <v>2492.3938499356568</v>
      </c>
      <c r="BB10" s="112">
        <f t="shared" si="3"/>
        <v>10090.057379784001</v>
      </c>
      <c r="BC10" s="149">
        <f t="shared" ref="BC10:BL10" si="4">+BC8-BC9</f>
        <v>2638.9692940203122</v>
      </c>
      <c r="BD10" s="150">
        <f t="shared" si="4"/>
        <v>2485.4562344271562</v>
      </c>
      <c r="BE10" s="150">
        <f t="shared" si="4"/>
        <v>2816.7488644158534</v>
      </c>
      <c r="BF10" s="151">
        <f t="shared" si="4"/>
        <v>2587.4449476332738</v>
      </c>
      <c r="BG10" s="112">
        <f t="shared" si="4"/>
        <v>10528.619340496596</v>
      </c>
      <c r="BH10" s="149">
        <f t="shared" si="4"/>
        <v>2748.8341385210624</v>
      </c>
      <c r="BI10" s="150">
        <f t="shared" si="4"/>
        <v>2617.6165009778269</v>
      </c>
      <c r="BJ10" s="150">
        <f t="shared" si="4"/>
        <v>2974.82062814236</v>
      </c>
      <c r="BK10" s="151">
        <f t="shared" si="4"/>
        <v>2708.3284259697484</v>
      </c>
      <c r="BL10" s="112">
        <f t="shared" si="4"/>
        <v>11049.599693610997</v>
      </c>
      <c r="BM10" s="149">
        <f>+BM8-BM9</f>
        <v>2921.9849179444345</v>
      </c>
      <c r="BN10" s="150">
        <f>+BN8-BN9</f>
        <v>2814.7046238586586</v>
      </c>
      <c r="BO10" s="150">
        <f>+BO8-BO9</f>
        <v>3151.0900432768508</v>
      </c>
      <c r="BP10" s="151">
        <f>+BP8-BP9</f>
        <v>2878.90277956112</v>
      </c>
      <c r="BQ10" s="112">
        <f>+BQ8-BQ9</f>
        <v>11766.682364641065</v>
      </c>
      <c r="BR10" s="515"/>
      <c r="BS10" s="515"/>
      <c r="BV10" s="515"/>
      <c r="BW10" s="56"/>
      <c r="BX10" s="56"/>
      <c r="CF10" s="56"/>
      <c r="CG10" s="56"/>
      <c r="CH10" s="56"/>
      <c r="CI10" s="56"/>
      <c r="CJ10" s="56"/>
      <c r="CK10" s="56"/>
      <c r="CL10" s="56"/>
      <c r="CM10" s="56"/>
      <c r="CN10" s="56"/>
      <c r="CO10" s="56"/>
      <c r="CP10" s="56"/>
      <c r="CQ10" s="56"/>
      <c r="CR10" s="56"/>
      <c r="CS10" s="56"/>
      <c r="CT10" s="56"/>
      <c r="CU10" s="56"/>
    </row>
    <row r="11" spans="1:99">
      <c r="A11" s="56"/>
      <c r="B11" s="56"/>
      <c r="C11" s="56"/>
      <c r="D11" s="112"/>
      <c r="E11" s="149"/>
      <c r="F11" s="156"/>
      <c r="G11" s="156"/>
      <c r="H11" s="151"/>
      <c r="I11" s="112"/>
      <c r="J11" s="149"/>
      <c r="K11" s="156"/>
      <c r="L11" s="156"/>
      <c r="M11" s="151"/>
      <c r="N11" s="788"/>
      <c r="O11" s="149"/>
      <c r="P11" s="156"/>
      <c r="Q11" s="156"/>
      <c r="R11" s="151"/>
      <c r="S11" s="552"/>
      <c r="T11" s="149"/>
      <c r="U11" s="156"/>
      <c r="V11" s="156"/>
      <c r="W11" s="151"/>
      <c r="X11" s="788"/>
      <c r="Y11" s="149"/>
      <c r="Z11" s="156"/>
      <c r="AA11" s="156"/>
      <c r="AB11" s="151"/>
      <c r="AC11" s="788"/>
      <c r="AD11" s="149"/>
      <c r="AE11" s="156"/>
      <c r="AF11" s="156"/>
      <c r="AG11" s="151"/>
      <c r="AH11" s="788"/>
      <c r="AI11" s="149"/>
      <c r="AJ11" s="156"/>
      <c r="AK11" s="156"/>
      <c r="AL11" s="151"/>
      <c r="AM11" s="112"/>
      <c r="AN11" s="149"/>
      <c r="AO11" s="156"/>
      <c r="AP11" s="156"/>
      <c r="AQ11" s="151"/>
      <c r="AR11" s="112"/>
      <c r="AS11" s="149"/>
      <c r="AT11" s="156"/>
      <c r="AU11" s="156"/>
      <c r="AV11" s="151"/>
      <c r="AW11" s="112"/>
      <c r="AX11" s="149"/>
      <c r="AY11" s="156"/>
      <c r="AZ11" s="156"/>
      <c r="BA11" s="151"/>
      <c r="BB11" s="552"/>
      <c r="BC11" s="149"/>
      <c r="BD11" s="156"/>
      <c r="BE11" s="156"/>
      <c r="BF11" s="151"/>
      <c r="BG11" s="552"/>
      <c r="BH11" s="149"/>
      <c r="BI11" s="156"/>
      <c r="BJ11" s="156"/>
      <c r="BK11" s="151"/>
      <c r="BL11" s="552"/>
      <c r="BM11" s="149"/>
      <c r="BN11" s="156"/>
      <c r="BO11" s="156"/>
      <c r="BP11" s="151"/>
      <c r="BQ11" s="552"/>
      <c r="BR11" s="515"/>
      <c r="BS11" s="515"/>
      <c r="BV11" s="515"/>
      <c r="BW11" s="56"/>
      <c r="BX11" s="56"/>
      <c r="CF11" s="56"/>
      <c r="CG11" s="56"/>
      <c r="CH11" s="56"/>
      <c r="CI11" s="56"/>
      <c r="CJ11" s="56"/>
      <c r="CK11" s="56"/>
      <c r="CL11" s="56"/>
      <c r="CM11" s="56"/>
      <c r="CN11" s="56"/>
      <c r="CO11" s="56"/>
      <c r="CP11" s="56"/>
      <c r="CQ11" s="56"/>
      <c r="CR11" s="56"/>
      <c r="CS11" s="56"/>
      <c r="CT11" s="56"/>
      <c r="CU11" s="56"/>
    </row>
    <row r="12" spans="1:99">
      <c r="C12" t="s">
        <v>1010</v>
      </c>
      <c r="D12" s="72"/>
      <c r="E12" s="142">
        <f>610+295</f>
        <v>905</v>
      </c>
      <c r="F12" s="143">
        <f>638+271</f>
        <v>909</v>
      </c>
      <c r="G12" s="143">
        <f>642+255</f>
        <v>897</v>
      </c>
      <c r="H12" s="157">
        <f>I12-SUM(E12:G12)</f>
        <v>1114</v>
      </c>
      <c r="I12" s="145">
        <f>2620+1205</f>
        <v>3825</v>
      </c>
      <c r="J12" s="142">
        <f>673+271</f>
        <v>944</v>
      </c>
      <c r="K12" s="143">
        <f>994+243</f>
        <v>1237</v>
      </c>
      <c r="L12" s="143">
        <f>707+262</f>
        <v>969</v>
      </c>
      <c r="M12" s="157">
        <f>N12-SUM(J12:L12)</f>
        <v>1124</v>
      </c>
      <c r="N12" s="145">
        <f>3132+1142</f>
        <v>4274</v>
      </c>
      <c r="O12" s="142">
        <f>686+265+51-41</f>
        <v>961</v>
      </c>
      <c r="P12" s="143">
        <f>697+316</f>
        <v>1013</v>
      </c>
      <c r="Q12" s="143">
        <f>747+283-9</f>
        <v>1021</v>
      </c>
      <c r="R12" s="157">
        <f>S12-SUM(O12:Q12)</f>
        <v>1141</v>
      </c>
      <c r="S12" s="1024">
        <v>4136</v>
      </c>
      <c r="T12" s="142">
        <f>656+262</f>
        <v>918</v>
      </c>
      <c r="U12" s="143">
        <f>719+252</f>
        <v>971</v>
      </c>
      <c r="V12" s="143">
        <f>775+255</f>
        <v>1030</v>
      </c>
      <c r="W12" s="157">
        <f>X12-SUM(T12:V12)</f>
        <v>1158</v>
      </c>
      <c r="X12" s="145">
        <f>2962+1115</f>
        <v>4077</v>
      </c>
      <c r="Y12" s="142">
        <f>738+293</f>
        <v>1031</v>
      </c>
      <c r="Z12" s="143">
        <f>664+285</f>
        <v>949</v>
      </c>
      <c r="AA12" s="143">
        <f>677+261</f>
        <v>938</v>
      </c>
      <c r="AB12" s="157">
        <f>AC12-SUM(Y12:AA12)</f>
        <v>1177</v>
      </c>
      <c r="AC12" s="145">
        <v>4095</v>
      </c>
      <c r="AD12" s="142">
        <f>780+292</f>
        <v>1072</v>
      </c>
      <c r="AE12" s="143">
        <f>760+340</f>
        <v>1100</v>
      </c>
      <c r="AF12" s="143">
        <f>787+321</f>
        <v>1108</v>
      </c>
      <c r="AG12" s="157">
        <f>AH12-SUM(AD12:AF12)</f>
        <v>1306</v>
      </c>
      <c r="AH12" s="145">
        <f>3225+1361</f>
        <v>4586</v>
      </c>
      <c r="AI12" s="142">
        <f>746+294</f>
        <v>1040</v>
      </c>
      <c r="AJ12" s="143">
        <f>695+333</f>
        <v>1028</v>
      </c>
      <c r="AK12" s="143">
        <f>691+312</f>
        <v>1003</v>
      </c>
      <c r="AL12" s="157">
        <f>AM12-SUM(AI12:AK12)</f>
        <v>958.19999999999982</v>
      </c>
      <c r="AM12" s="145">
        <f>2703.9+1325.3</f>
        <v>4029.2</v>
      </c>
      <c r="AN12" s="142">
        <f>715.1+278.7</f>
        <v>993.8</v>
      </c>
      <c r="AO12" s="143">
        <f>664.5+289.4</f>
        <v>953.9</v>
      </c>
      <c r="AP12" s="143">
        <f>771.1+286.3</f>
        <v>1057.4000000000001</v>
      </c>
      <c r="AQ12" s="157">
        <f>AR12-SUM(AN12:AP12)</f>
        <v>1189.5000000000005</v>
      </c>
      <c r="AR12" s="145">
        <f>2956.9+1237.7</f>
        <v>4194.6000000000004</v>
      </c>
      <c r="AS12" s="142">
        <f>602.2+302.4</f>
        <v>904.6</v>
      </c>
      <c r="AT12" s="143">
        <f>289+604.2</f>
        <v>893.2</v>
      </c>
      <c r="AU12" s="143">
        <f>636.1+268</f>
        <v>904.1</v>
      </c>
      <c r="AV12" s="157">
        <f>AW12-SUM(AS12:AU12)</f>
        <v>923.40000000000009</v>
      </c>
      <c r="AW12" s="145">
        <f>2484+1141.3</f>
        <v>3625.3</v>
      </c>
      <c r="AX12" s="161">
        <f>+'Generation &amp; Marketing'!AX12+'Vertically Integrated Utilities'!AX12+'T&amp;D Utilities'!AX12++'Transmission Holdco'!AX12++Parent!AX12+'AEP River'!AX12</f>
        <v>922.87675000000036</v>
      </c>
      <c r="AY12" s="160">
        <f>+'Generation &amp; Marketing'!AY12+'Vertically Integrated Utilities'!AY12+'T&amp;D Utilities'!AY12++'Transmission Holdco'!AY12++Parent!AY12+'AEP River'!AY12</f>
        <v>901.22300000000007</v>
      </c>
      <c r="AZ12" s="160">
        <f>+'Generation &amp; Marketing'!AZ12+'Vertically Integrated Utilities'!AZ12+'T&amp;D Utilities'!AZ12++'Transmission Holdco'!AZ12++Parent!AZ12+'AEP River'!AZ12</f>
        <v>916.26250000000005</v>
      </c>
      <c r="BA12" s="157">
        <f>+'Generation &amp; Marketing'!BA12+'Vertically Integrated Utilities'!BA12+'T&amp;D Utilities'!BA12++'Transmission Holdco'!BA12++Parent!BA12+'AEP River'!BA12</f>
        <v>933.76525000000026</v>
      </c>
      <c r="BB12" s="72">
        <f>SUM(AX12:BA12)</f>
        <v>3674.1275000000005</v>
      </c>
      <c r="BC12" s="161">
        <f>+'Generation &amp; Marketing'!BC12+'Vertically Integrated Utilities'!BC12+'T&amp;D Utilities'!BC12++'Transmission Holdco'!BC12++Parent!BC12+'AEP River'!BC12</f>
        <v>912.67365874999996</v>
      </c>
      <c r="BD12" s="160">
        <f>+'Generation &amp; Marketing'!BD12+'Vertically Integrated Utilities'!BD12+'T&amp;D Utilities'!BD12++'Transmission Holdco'!BD12++Parent!BD12+'AEP River'!BD12</f>
        <v>893.06398999999999</v>
      </c>
      <c r="BE12" s="160">
        <f>+'Generation &amp; Marketing'!BE12+'Vertically Integrated Utilities'!BE12+'T&amp;D Utilities'!BE12++'Transmission Holdco'!BE12++Parent!BE12+'AEP River'!BE12</f>
        <v>921.81318749999991</v>
      </c>
      <c r="BF12" s="157">
        <f>+'Generation &amp; Marketing'!BF12+'Vertically Integrated Utilities'!BF12+'T&amp;D Utilities'!BF12++'Transmission Holdco'!BF12++Parent!BF12+'AEP River'!BF12</f>
        <v>939.60115125000004</v>
      </c>
      <c r="BG12" s="72">
        <f>SUM(BC12:BF12)</f>
        <v>3667.1519874999999</v>
      </c>
      <c r="BH12" s="161">
        <f>+'Generation &amp; Marketing'!BH12+'Vertically Integrated Utilities'!BH12+'T&amp;D Utilities'!BH12++'Transmission Holdco'!BH12++Parent!BH12+'AEP River'!BH12</f>
        <v>918.15372204374989</v>
      </c>
      <c r="BI12" s="160">
        <f>+'Generation &amp; Marketing'!BI12+'Vertically Integrated Utilities'!BI12+'T&amp;D Utilities'!BI12++'Transmission Holdco'!BI12++Parent!BI12+'AEP River'!BI12</f>
        <v>898.7752849499999</v>
      </c>
      <c r="BJ12" s="160">
        <f>+'Generation &amp; Marketing'!BJ12+'Vertically Integrated Utilities'!BJ12+'T&amp;D Utilities'!BJ12++'Transmission Holdco'!BJ12++Parent!BJ12+'AEP River'!BJ12</f>
        <v>927.38850343749982</v>
      </c>
      <c r="BK12" s="157">
        <f>+'Generation &amp; Marketing'!BK12+'Vertically Integrated Utilities'!BK12+'T&amp;D Utilities'!BK12++'Transmission Holdco'!BK12++Parent!BK12+'AEP River'!BK12</f>
        <v>945.46310700624997</v>
      </c>
      <c r="BL12" s="72">
        <f>SUM(BH12:BK12)</f>
        <v>3689.7806174374996</v>
      </c>
      <c r="BM12" s="161">
        <f>+'Generation &amp; Marketing'!BM12+'Vertically Integrated Utilities'!BM12+'T&amp;D Utilities'!BM12++'Transmission Holdco'!BM12++Parent!BM12+'AEP River'!BM12</f>
        <v>923.65806065396873</v>
      </c>
      <c r="BN12" s="160">
        <f>+'Generation &amp; Marketing'!BN12+'Vertically Integrated Utilities'!BN12+'T&amp;D Utilities'!BN12++'Transmission Holdco'!BN12++Parent!BN12+'AEP River'!BN12</f>
        <v>904.41941878215709</v>
      </c>
      <c r="BO12" s="160">
        <f>+'Generation &amp; Marketing'!BO12+'Vertically Integrated Utilities'!BO12+'T&amp;D Utilities'!BO12++'Transmission Holdco'!BO12++Parent!BO12+'AEP River'!BO12</f>
        <v>932.45616354727963</v>
      </c>
      <c r="BP12" s="157">
        <f>+'Generation &amp; Marketing'!BP12+'Vertically Integrated Utilities'!BP12+'T&amp;D Utilities'!BP12++'Transmission Holdco'!BP12++Parent!BP12+'AEP River'!BP12</f>
        <v>950.72624754128117</v>
      </c>
      <c r="BQ12" s="72">
        <f>SUM(BM12:BP12)</f>
        <v>3711.2598905246869</v>
      </c>
      <c r="BR12" s="491"/>
      <c r="BS12" s="491"/>
      <c r="BV12" s="491"/>
    </row>
    <row r="13" spans="1:99">
      <c r="C13" t="s">
        <v>1016</v>
      </c>
      <c r="D13" s="72"/>
      <c r="E13" s="142">
        <v>382</v>
      </c>
      <c r="F13" s="143">
        <v>397</v>
      </c>
      <c r="G13" s="143">
        <v>421</v>
      </c>
      <c r="H13" s="157">
        <f>I13-SUM(E13:G13)</f>
        <v>397</v>
      </c>
      <c r="I13" s="145">
        <v>1597</v>
      </c>
      <c r="J13" s="142">
        <v>408</v>
      </c>
      <c r="K13" s="143">
        <v>405</v>
      </c>
      <c r="L13" s="143">
        <v>424</v>
      </c>
      <c r="M13" s="157">
        <f>N13-SUM(J13:L13)</f>
        <v>404</v>
      </c>
      <c r="N13" s="145">
        <v>1641</v>
      </c>
      <c r="O13" s="142">
        <v>403</v>
      </c>
      <c r="P13" s="143">
        <v>410</v>
      </c>
      <c r="Q13" s="143">
        <v>445</v>
      </c>
      <c r="R13" s="157">
        <f>S13-SUM(O13:Q13)</f>
        <v>397</v>
      </c>
      <c r="S13" s="1024">
        <v>1655</v>
      </c>
      <c r="T13" s="142">
        <v>423</v>
      </c>
      <c r="U13" s="143">
        <v>460</v>
      </c>
      <c r="V13" s="143">
        <v>470</v>
      </c>
      <c r="W13" s="157">
        <f>X13-SUM(T13:V13)</f>
        <v>429</v>
      </c>
      <c r="X13" s="145">
        <v>1782</v>
      </c>
      <c r="Y13" s="142">
        <v>420</v>
      </c>
      <c r="Z13" s="143">
        <v>443</v>
      </c>
      <c r="AA13" s="143">
        <v>447</v>
      </c>
      <c r="AB13" s="157">
        <f>AC13-SUM(Y13:AA13)</f>
        <v>433</v>
      </c>
      <c r="AC13" s="145">
        <v>1743</v>
      </c>
      <c r="AD13" s="142">
        <v>491</v>
      </c>
      <c r="AE13" s="143">
        <v>443</v>
      </c>
      <c r="AF13" s="143">
        <v>507</v>
      </c>
      <c r="AG13" s="157">
        <f>AH13-SUM(AD13:AF13)</f>
        <v>488</v>
      </c>
      <c r="AH13" s="145">
        <v>1929</v>
      </c>
      <c r="AI13" s="142">
        <v>505</v>
      </c>
      <c r="AJ13" s="143">
        <v>506</v>
      </c>
      <c r="AK13" s="143">
        <v>535</v>
      </c>
      <c r="AL13" s="157">
        <f>AM13-SUM(AI13:AK13)</f>
        <v>463.70000000000005</v>
      </c>
      <c r="AM13" s="145">
        <v>2009.7</v>
      </c>
      <c r="AN13" s="142">
        <v>497.1</v>
      </c>
      <c r="AO13" s="143">
        <v>513.79999999999995</v>
      </c>
      <c r="AP13" s="143">
        <v>539.29999999999995</v>
      </c>
      <c r="AQ13" s="157">
        <f>AR13-SUM(AN13:AP13)</f>
        <v>412.10000000000014</v>
      </c>
      <c r="AR13" s="145">
        <v>1962.3</v>
      </c>
      <c r="AS13" s="142">
        <v>481.9</v>
      </c>
      <c r="AT13" s="143">
        <f>485.5</f>
        <v>485.5</v>
      </c>
      <c r="AU13" s="143">
        <v>518.5</v>
      </c>
      <c r="AV13" s="157">
        <f>AW13-SUM(AS13:AU13)</f>
        <v>511.29999999999995</v>
      </c>
      <c r="AW13" s="145">
        <v>1997.2</v>
      </c>
      <c r="AX13" s="161">
        <f>+'Generation &amp; Marketing'!AX13+'Vertically Integrated Utilities'!AX13+'T&amp;D Utilities'!AX13+'Transmission Holdco'!AX13+Parent!AX13+'AEP River'!AX13</f>
        <v>521.67882543634516</v>
      </c>
      <c r="AY13" s="160">
        <f>+'Generation &amp; Marketing'!AY13+'Vertically Integrated Utilities'!AY13+'T&amp;D Utilities'!AY13+'Transmission Holdco'!AY13+Parent!AY13+'AEP River'!AY13</f>
        <v>521.26504090290803</v>
      </c>
      <c r="AZ13" s="160">
        <f>+'Generation &amp; Marketing'!AZ13+'Vertically Integrated Utilities'!AZ13+'T&amp;D Utilities'!AZ13+'Transmission Holdco'!AZ13+Parent!AZ13+'AEP River'!AZ13</f>
        <v>527.09900382742649</v>
      </c>
      <c r="BA13" s="157">
        <f>+'Generation &amp; Marketing'!BA13+'Vertically Integrated Utilities'!BA13+'T&amp;D Utilities'!BA13+'Transmission Holdco'!BA13+Parent!BA13+'AEP River'!BA13</f>
        <v>536.22372767330603</v>
      </c>
      <c r="BB13" s="72">
        <f>SUM(AX13:BA13)</f>
        <v>2106.2665978399855</v>
      </c>
      <c r="BC13" s="161">
        <f>+'Generation &amp; Marketing'!BC13+'Vertically Integrated Utilities'!BC13+'T&amp;D Utilities'!BC13+'Transmission Holdco'!BC13+Parent!BC13+'AEP River'!BC13</f>
        <v>546.26365129555973</v>
      </c>
      <c r="BD13" s="160">
        <f>+'Generation &amp; Marketing'!BD13+'Vertically Integrated Utilities'!BD13+'T&amp;D Utilities'!BD13+'Transmission Holdco'!BD13+Parent!BD13+'AEP River'!BD13</f>
        <v>551.61118192222705</v>
      </c>
      <c r="BE13" s="160">
        <f>+'Generation &amp; Marketing'!BE13+'Vertically Integrated Utilities'!BE13+'T&amp;D Utilities'!BE13+'Transmission Holdco'!BE13+Parent!BE13+'AEP River'!BE13</f>
        <v>557.91055145991209</v>
      </c>
      <c r="BF13" s="157">
        <f>+'Generation &amp; Marketing'!BF13+'Vertically Integrated Utilities'!BF13+'T&amp;D Utilities'!BF13+'Transmission Holdco'!BF13+Parent!BF13+'AEP River'!BF13</f>
        <v>567.50285086730253</v>
      </c>
      <c r="BG13" s="72">
        <f>SUM(BC13:BF13)</f>
        <v>2223.2882355450015</v>
      </c>
      <c r="BH13" s="161">
        <f>+'Generation &amp; Marketing'!BH13+'Vertically Integrated Utilities'!BH13+'T&amp;D Utilities'!BH13+'Transmission Holdco'!BH13+Parent!BH13+'AEP River'!BH13</f>
        <v>583.8041201471525</v>
      </c>
      <c r="BI13" s="160">
        <f>+'Generation &amp; Marketing'!BI13+'Vertically Integrated Utilities'!BI13+'T&amp;D Utilities'!BI13+'Transmission Holdco'!BI13+Parent!BI13+'AEP River'!BI13</f>
        <v>594.34476805630879</v>
      </c>
      <c r="BJ13" s="160">
        <f>+'Generation &amp; Marketing'!BJ13+'Vertically Integrated Utilities'!BJ13+'T&amp;D Utilities'!BJ13+'Transmission Holdco'!BJ13+Parent!BJ13+'AEP River'!BJ13</f>
        <v>598.14654359701558</v>
      </c>
      <c r="BK13" s="157">
        <f>+'Generation &amp; Marketing'!BK13+'Vertically Integrated Utilities'!BK13+'T&amp;D Utilities'!BK13+'Transmission Holdco'!BK13+Parent!BK13+'AEP River'!BK13</f>
        <v>605.27078120270096</v>
      </c>
      <c r="BL13" s="72">
        <f>SUM(BH13:BK13)</f>
        <v>2381.5662130031778</v>
      </c>
      <c r="BM13" s="161">
        <f>+'Generation &amp; Marketing'!BM13+'Vertically Integrated Utilities'!BM13+'T&amp;D Utilities'!BM13+'Transmission Holdco'!BM13+Parent!BM13+'AEP River'!BM13</f>
        <v>620.24297084001535</v>
      </c>
      <c r="BN13" s="160">
        <f>+'Generation &amp; Marketing'!BN13+'Vertically Integrated Utilities'!BN13+'T&amp;D Utilities'!BN13+'Transmission Holdco'!BN13+Parent!BN13+'AEP River'!BN13</f>
        <v>638.40043696310272</v>
      </c>
      <c r="BO13" s="160">
        <f>+'Generation &amp; Marketing'!BO13+'Vertically Integrated Utilities'!BO13+'T&amp;D Utilities'!BO13+'Transmission Holdco'!BO13+Parent!BO13+'AEP River'!BO13</f>
        <v>640.31446690474149</v>
      </c>
      <c r="BP13" s="157">
        <f>+'Generation &amp; Marketing'!BP13+'Vertically Integrated Utilities'!BP13+'T&amp;D Utilities'!BP13+'Transmission Holdco'!BP13+Parent!BP13+'AEP River'!BP13</f>
        <v>645.57236050212202</v>
      </c>
      <c r="BQ13" s="72">
        <f>SUM(BM13:BP13)</f>
        <v>2544.5302352099816</v>
      </c>
      <c r="BR13" s="491"/>
      <c r="BS13" s="491"/>
      <c r="BV13" s="491"/>
    </row>
    <row r="14" spans="1:99">
      <c r="C14" t="s">
        <v>1017</v>
      </c>
      <c r="D14" s="72"/>
      <c r="E14" s="142">
        <v>197</v>
      </c>
      <c r="F14" s="143">
        <v>192</v>
      </c>
      <c r="G14" s="143">
        <v>193</v>
      </c>
      <c r="H14" s="157">
        <f>I14-SUM(E14:G14)</f>
        <v>183</v>
      </c>
      <c r="I14" s="145">
        <v>765</v>
      </c>
      <c r="J14" s="142">
        <v>207</v>
      </c>
      <c r="K14" s="143">
        <v>202</v>
      </c>
      <c r="L14" s="143">
        <f>210</f>
        <v>210</v>
      </c>
      <c r="M14" s="157">
        <f>N14-SUM(J14:L14)</f>
        <v>201</v>
      </c>
      <c r="N14" s="145">
        <v>820</v>
      </c>
      <c r="O14" s="142">
        <v>213</v>
      </c>
      <c r="P14" s="143">
        <v>202</v>
      </c>
      <c r="Q14" s="143">
        <f>213</f>
        <v>213</v>
      </c>
      <c r="R14" s="157">
        <f>S14-SUM(O14:Q14)</f>
        <v>196</v>
      </c>
      <c r="S14" s="1024">
        <v>824</v>
      </c>
      <c r="T14" s="142">
        <v>217</v>
      </c>
      <c r="U14" s="143">
        <v>207</v>
      </c>
      <c r="V14" s="143">
        <f>224</f>
        <v>224</v>
      </c>
      <c r="W14" s="157">
        <f>X14-SUM(T14:V14)</f>
        <v>202</v>
      </c>
      <c r="X14" s="145">
        <v>850</v>
      </c>
      <c r="Y14" s="142">
        <v>218</v>
      </c>
      <c r="Z14" s="143">
        <v>222</v>
      </c>
      <c r="AA14" s="143">
        <v>231</v>
      </c>
      <c r="AB14" s="157">
        <f>AC14-SUM(Y14:AA14)</f>
        <v>220</v>
      </c>
      <c r="AC14" s="145">
        <v>891</v>
      </c>
      <c r="AD14" s="142">
        <v>238</v>
      </c>
      <c r="AE14" s="143">
        <v>218</v>
      </c>
      <c r="AF14" s="143">
        <v>233</v>
      </c>
      <c r="AG14" s="157">
        <f>AH14-SUM(AD14:AF14)</f>
        <v>226</v>
      </c>
      <c r="AH14" s="145">
        <v>915</v>
      </c>
      <c r="AI14" s="142">
        <v>250</v>
      </c>
      <c r="AJ14" s="143">
        <v>242</v>
      </c>
      <c r="AK14" s="143">
        <v>248</v>
      </c>
      <c r="AL14" s="157">
        <f>AM14-SUM(AI14:AK14)</f>
        <v>232.60000000000002</v>
      </c>
      <c r="AM14" s="145">
        <v>972.6</v>
      </c>
      <c r="AN14" s="142">
        <v>254.1</v>
      </c>
      <c r="AO14" s="143">
        <v>249.4</v>
      </c>
      <c r="AP14" s="143">
        <v>264.39999999999998</v>
      </c>
      <c r="AQ14" s="157">
        <f>AR14-SUM(AN14:AP14)</f>
        <v>250.10000000000002</v>
      </c>
      <c r="AR14" s="145">
        <v>1018</v>
      </c>
      <c r="AS14" s="142">
        <v>259.8</v>
      </c>
      <c r="AT14" s="143">
        <v>259.60000000000002</v>
      </c>
      <c r="AU14" s="143">
        <v>272.60000000000002</v>
      </c>
      <c r="AV14" s="157">
        <f>AW14-SUM(AS14:AU14)</f>
        <v>267.39999999999998</v>
      </c>
      <c r="AW14" s="145">
        <v>1059.4000000000001</v>
      </c>
      <c r="AX14" s="161">
        <f>+'Generation &amp; Marketing'!AX14+'Vertically Integrated Utilities'!AX14+'T&amp;D Utilities'!AX14+'Transmission Holdco'!AX14+Parent!AX14+'AEP River'!AX14</f>
        <v>268.25186478036704</v>
      </c>
      <c r="AY14" s="160">
        <f>+'Generation &amp; Marketing'!AY14+'Vertically Integrated Utilities'!AY14+'T&amp;D Utilities'!AY14+'Transmission Holdco'!AY14+Parent!AY14+'AEP River'!AY14</f>
        <v>268.08702530754232</v>
      </c>
      <c r="AZ14" s="160">
        <f>+'Generation &amp; Marketing'!AZ14+'Vertically Integrated Utilities'!AZ14+'T&amp;D Utilities'!AZ14+'Transmission Holdco'!AZ14+Parent!AZ14+'AEP River'!AZ14</f>
        <v>280.32281924765562</v>
      </c>
      <c r="BA14" s="157">
        <f>+'Generation &amp; Marketing'!BA14+'Vertically Integrated Utilities'!BA14+'T&amp;D Utilities'!BA14+'Transmission Holdco'!BA14+Parent!BA14+'AEP River'!BA14</f>
        <v>274.99492477354454</v>
      </c>
      <c r="BB14" s="72">
        <f>SUM(AX14:BA14)</f>
        <v>1091.6566341091095</v>
      </c>
      <c r="BC14" s="161">
        <f>+'Generation &amp; Marketing'!BC14+'Vertically Integrated Utilities'!BC14+'T&amp;D Utilities'!BC14+'Transmission Holdco'!BC14+Parent!BC14+'AEP River'!BC14</f>
        <v>271.73921207597442</v>
      </c>
      <c r="BD14" s="160">
        <f>+'Generation &amp; Marketing'!BD14+'Vertically Integrated Utilities'!BD14+'T&amp;D Utilities'!BD14+'Transmission Holdco'!BD14+Parent!BD14+'AEP River'!BD14</f>
        <v>271.57210581369316</v>
      </c>
      <c r="BE14" s="160">
        <f>+'Generation &amp; Marketing'!BE14+'Vertically Integrated Utilities'!BE14+'T&amp;D Utilities'!BE14+'Transmission Holdco'!BE14+Parent!BE14+'AEP River'!BE14</f>
        <v>283.97791563260876</v>
      </c>
      <c r="BF14" s="157">
        <f>+'Generation &amp; Marketing'!BF14+'Vertically Integrated Utilities'!BF14+'T&amp;D Utilities'!BF14+'Transmission Holdco'!BF14+Parent!BF14+'AEP River'!BF14</f>
        <v>278.60616326901544</v>
      </c>
      <c r="BG14" s="72">
        <f>SUM(BC14:BF14)</f>
        <v>1105.8953967912919</v>
      </c>
      <c r="BH14" s="161">
        <f>+'Generation &amp; Marketing'!BH14+'Vertically Integrated Utilities'!BH14+'T&amp;D Utilities'!BH14+'Transmission Holdco'!BH14+Parent!BH14+'AEP River'!BH14</f>
        <v>275.28348941749385</v>
      </c>
      <c r="BI14" s="160">
        <f>+'Generation &amp; Marketing'!BI14+'Vertically Integrated Utilities'!BI14+'T&amp;D Utilities'!BI14+'Transmission Holdco'!BI14+Parent!BI14+'AEP River'!BI14</f>
        <v>275.11410132996701</v>
      </c>
      <c r="BJ14" s="160">
        <f>+'Generation &amp; Marketing'!BJ14+'Vertically Integrated Utilities'!BJ14+'T&amp;D Utilities'!BJ14+'Transmission Holdco'!BJ14+Parent!BJ14+'AEP River'!BJ14</f>
        <v>287.69262034526093</v>
      </c>
      <c r="BK14" s="157">
        <f>+'Generation &amp; Marketing'!BK14+'Vertically Integrated Utilities'!BK14+'T&amp;D Utilities'!BK14+'Transmission Holdco'!BK14+Parent!BK14+'AEP River'!BK14</f>
        <v>282.27683993439575</v>
      </c>
      <c r="BL14" s="72">
        <f>SUM(BH14:BK14)</f>
        <v>1120.3670510271177</v>
      </c>
      <c r="BM14" s="161">
        <f>+'Generation &amp; Marketing'!BM14+'Vertically Integrated Utilities'!BM14+'T&amp;D Utilities'!BM14+'Transmission Holdco'!BM14+Parent!BM14+'AEP River'!BM14</f>
        <v>278.88570723684376</v>
      </c>
      <c r="BN14" s="160">
        <f>+'Generation &amp; Marketing'!BN14+'Vertically Integrated Utilities'!BN14+'T&amp;D Utilities'!BN14+'Transmission Holdco'!BN14+Parent!BN14+'AEP River'!BN14</f>
        <v>278.71402229056639</v>
      </c>
      <c r="BO14" s="160">
        <f>+'Generation &amp; Marketing'!BO14+'Vertically Integrated Utilities'!BO14+'T&amp;D Utilities'!BO14+'Transmission Holdco'!BO14+Parent!BO14+'AEP River'!BO14</f>
        <v>291.46799061616611</v>
      </c>
      <c r="BP14" s="157">
        <f>+'Generation &amp; Marketing'!BP14+'Vertically Integrated Utilities'!BP14+'T&amp;D Utilities'!BP14+'Transmission Holdco'!BP14+Parent!BP14+'AEP River'!BP14</f>
        <v>286.00801566708367</v>
      </c>
      <c r="BQ14" s="72">
        <f>SUM(BM14:BP14)</f>
        <v>1135.0757358106598</v>
      </c>
      <c r="BR14" s="491"/>
      <c r="BS14" s="491"/>
      <c r="BV14" s="491"/>
    </row>
    <row r="15" spans="1:99">
      <c r="C15" s="56" t="s">
        <v>1018</v>
      </c>
      <c r="D15" s="72"/>
      <c r="E15" s="149">
        <f t="shared" ref="E15:AF15" si="5">SUM(E12:E14)+E9</f>
        <v>2708</v>
      </c>
      <c r="F15" s="150">
        <f t="shared" si="5"/>
        <v>2520</v>
      </c>
      <c r="G15" s="150">
        <f t="shared" si="5"/>
        <v>2689</v>
      </c>
      <c r="H15" s="151">
        <f t="shared" si="5"/>
        <v>2801</v>
      </c>
      <c r="I15" s="112">
        <f t="shared" si="5"/>
        <v>10718</v>
      </c>
      <c r="J15" s="149">
        <f t="shared" si="5"/>
        <v>2811</v>
      </c>
      <c r="K15" s="150">
        <f t="shared" si="5"/>
        <v>2966</v>
      </c>
      <c r="L15" s="150">
        <f t="shared" si="5"/>
        <v>3039</v>
      </c>
      <c r="M15" s="151">
        <f t="shared" si="5"/>
        <v>2948</v>
      </c>
      <c r="N15" s="112">
        <f t="shared" si="5"/>
        <v>11764</v>
      </c>
      <c r="O15" s="149">
        <f t="shared" si="5"/>
        <v>2908</v>
      </c>
      <c r="P15" s="150">
        <f t="shared" si="5"/>
        <v>2892</v>
      </c>
      <c r="Q15" s="150">
        <f t="shared" si="5"/>
        <v>3344</v>
      </c>
      <c r="R15" s="151">
        <f t="shared" si="5"/>
        <v>3083</v>
      </c>
      <c r="S15" s="112">
        <f t="shared" si="5"/>
        <v>12227</v>
      </c>
      <c r="T15" s="149">
        <f t="shared" si="5"/>
        <v>2871</v>
      </c>
      <c r="U15" s="150">
        <f t="shared" si="5"/>
        <v>2810</v>
      </c>
      <c r="V15" s="150">
        <f t="shared" si="5"/>
        <v>3231</v>
      </c>
      <c r="W15" s="151">
        <f t="shared" si="5"/>
        <v>3077</v>
      </c>
      <c r="X15" s="112">
        <f t="shared" si="5"/>
        <v>11989</v>
      </c>
      <c r="Y15" s="149">
        <f t="shared" si="5"/>
        <v>3071</v>
      </c>
      <c r="Z15" s="150">
        <f t="shared" si="5"/>
        <v>2881</v>
      </c>
      <c r="AA15" s="150">
        <f t="shared" si="5"/>
        <v>3157</v>
      </c>
      <c r="AB15" s="151">
        <f t="shared" si="5"/>
        <v>3179</v>
      </c>
      <c r="AC15" s="112">
        <f t="shared" si="5"/>
        <v>12288</v>
      </c>
      <c r="AD15" s="149">
        <f t="shared" si="5"/>
        <v>3607</v>
      </c>
      <c r="AE15" s="150">
        <f t="shared" si="5"/>
        <v>3277</v>
      </c>
      <c r="AF15" s="150">
        <f t="shared" si="5"/>
        <v>3377</v>
      </c>
      <c r="AG15" s="151">
        <f t="shared" ref="AG15:AM15" si="6">SUM(AG12:AG14)+AG9</f>
        <v>3527</v>
      </c>
      <c r="AH15" s="112">
        <f t="shared" si="6"/>
        <v>13788</v>
      </c>
      <c r="AI15" s="149">
        <f t="shared" si="6"/>
        <v>3584</v>
      </c>
      <c r="AJ15" s="150">
        <f t="shared" si="6"/>
        <v>3133</v>
      </c>
      <c r="AK15" s="150">
        <f t="shared" si="6"/>
        <v>3472</v>
      </c>
      <c r="AL15" s="151">
        <f t="shared" si="6"/>
        <v>2930.7</v>
      </c>
      <c r="AM15" s="112">
        <f t="shared" si="6"/>
        <v>13119.7</v>
      </c>
      <c r="AN15" s="149">
        <f t="shared" ref="AN15:AS15" si="7">SUM(AN12:AN14)+AN9</f>
        <v>3152</v>
      </c>
      <c r="AO15" s="150">
        <f t="shared" si="7"/>
        <v>3026.7</v>
      </c>
      <c r="AP15" s="150">
        <f t="shared" si="7"/>
        <v>3515.2</v>
      </c>
      <c r="AQ15" s="151">
        <f t="shared" si="7"/>
        <v>3211.3000000000011</v>
      </c>
      <c r="AR15" s="112">
        <f t="shared" si="7"/>
        <v>12905.2</v>
      </c>
      <c r="AS15" s="149">
        <f t="shared" si="7"/>
        <v>3051.5</v>
      </c>
      <c r="AT15" s="150">
        <f t="shared" ref="AT15:BB15" si="8">SUM(AT12:AT14)+AT9</f>
        <v>2829.8</v>
      </c>
      <c r="AU15" s="150">
        <f t="shared" si="8"/>
        <v>3120.7</v>
      </c>
      <c r="AV15" s="151">
        <f t="shared" si="8"/>
        <v>2991.7000000000003</v>
      </c>
      <c r="AW15" s="112">
        <f t="shared" si="8"/>
        <v>11993.7</v>
      </c>
      <c r="AX15" s="149">
        <f t="shared" si="8"/>
        <v>3268.1247552294735</v>
      </c>
      <c r="AY15" s="150">
        <f t="shared" si="8"/>
        <v>2998.554887583362</v>
      </c>
      <c r="AZ15" s="150">
        <f t="shared" si="8"/>
        <v>3248.3636509306957</v>
      </c>
      <c r="BA15" s="151">
        <f t="shared" si="8"/>
        <v>3106.6809103725641</v>
      </c>
      <c r="BB15" s="112">
        <f t="shared" si="8"/>
        <v>12621.724204116095</v>
      </c>
      <c r="BC15" s="149">
        <f t="shared" ref="BC15:BL15" si="9">SUM(BC12:BC14)+BC9</f>
        <v>3210.4638212258433</v>
      </c>
      <c r="BD15" s="150">
        <f t="shared" si="9"/>
        <v>2927.5942740735709</v>
      </c>
      <c r="BE15" s="150">
        <f t="shared" si="9"/>
        <v>3211.602995742272</v>
      </c>
      <c r="BF15" s="151">
        <f t="shared" si="9"/>
        <v>3184.1017132756606</v>
      </c>
      <c r="BG15" s="112">
        <f t="shared" si="9"/>
        <v>12533.762804317346</v>
      </c>
      <c r="BH15" s="149">
        <f t="shared" si="9"/>
        <v>3252.8352910717717</v>
      </c>
      <c r="BI15" s="150">
        <f t="shared" si="9"/>
        <v>2980.0978506121392</v>
      </c>
      <c r="BJ15" s="150">
        <f t="shared" si="9"/>
        <v>3347.1378673818845</v>
      </c>
      <c r="BK15" s="151">
        <f t="shared" si="9"/>
        <v>3221.1003131436746</v>
      </c>
      <c r="BL15" s="112">
        <f t="shared" si="9"/>
        <v>12801.17132220947</v>
      </c>
      <c r="BM15" s="149">
        <f>SUM(BM12:BM14)+BM9</f>
        <v>3272.4931277860323</v>
      </c>
      <c r="BN15" s="150">
        <f>SUM(BN12:BN14)+BN9</f>
        <v>3056.5423880212047</v>
      </c>
      <c r="BO15" s="150">
        <f>SUM(BO12:BO14)+BO9</f>
        <v>3319.3041898450047</v>
      </c>
      <c r="BP15" s="151">
        <f>SUM(BP12:BP14)+BP9</f>
        <v>3214.4797318537185</v>
      </c>
      <c r="BQ15" s="112">
        <f>SUM(BQ12:BQ14)+BQ9</f>
        <v>12862.819437505959</v>
      </c>
      <c r="BR15" s="491"/>
      <c r="BS15" s="491"/>
      <c r="BV15" s="491"/>
    </row>
    <row r="16" spans="1:99">
      <c r="C16" s="56"/>
      <c r="D16" s="72"/>
      <c r="E16" s="148"/>
      <c r="F16" s="163"/>
      <c r="G16" s="163"/>
      <c r="H16" s="147"/>
      <c r="I16" s="72"/>
      <c r="J16" s="148"/>
      <c r="K16" s="163"/>
      <c r="L16" s="163"/>
      <c r="M16" s="147"/>
      <c r="N16" s="72"/>
      <c r="O16" s="148"/>
      <c r="P16" s="163"/>
      <c r="Q16" s="163"/>
      <c r="R16" s="147"/>
      <c r="S16" s="72"/>
      <c r="T16" s="148"/>
      <c r="U16" s="163"/>
      <c r="V16" s="163"/>
      <c r="W16" s="147"/>
      <c r="X16" s="72"/>
      <c r="Y16" s="148"/>
      <c r="Z16" s="163"/>
      <c r="AA16" s="163"/>
      <c r="AB16" s="147"/>
      <c r="AC16" s="72"/>
      <c r="AD16" s="148"/>
      <c r="AE16" s="163"/>
      <c r="AF16" s="163"/>
      <c r="AG16" s="147"/>
      <c r="AH16" s="72"/>
      <c r="AI16" s="148"/>
      <c r="AJ16" s="163"/>
      <c r="AK16" s="163"/>
      <c r="AL16" s="147"/>
      <c r="AM16" s="72"/>
      <c r="AN16" s="148"/>
      <c r="AO16" s="163"/>
      <c r="AP16" s="163"/>
      <c r="AQ16" s="147"/>
      <c r="AR16" s="72"/>
      <c r="AS16" s="148"/>
      <c r="AT16" s="163"/>
      <c r="AU16" s="163"/>
      <c r="AV16" s="147"/>
      <c r="AW16" s="72"/>
      <c r="AX16" s="148"/>
      <c r="AY16" s="163"/>
      <c r="AZ16" s="163"/>
      <c r="BA16" s="147"/>
      <c r="BB16" s="72"/>
      <c r="BC16" s="148"/>
      <c r="BD16" s="163"/>
      <c r="BE16" s="163"/>
      <c r="BF16" s="147"/>
      <c r="BG16" s="72"/>
      <c r="BH16" s="148"/>
      <c r="BI16" s="163"/>
      <c r="BJ16" s="163"/>
      <c r="BK16" s="147"/>
      <c r="BL16" s="72"/>
      <c r="BM16" s="148"/>
      <c r="BN16" s="163"/>
      <c r="BO16" s="163"/>
      <c r="BP16" s="147"/>
      <c r="BQ16" s="72"/>
      <c r="BR16" s="491"/>
      <c r="BS16" s="491"/>
      <c r="BV16" s="491"/>
    </row>
    <row r="17" spans="3:99">
      <c r="C17" s="100" t="s">
        <v>151</v>
      </c>
      <c r="D17" s="72"/>
      <c r="E17" s="148">
        <f>+'Generation &amp; Marketing'!E17</f>
        <v>0</v>
      </c>
      <c r="F17" s="146">
        <f>+'Generation &amp; Marketing'!F17</f>
        <v>0</v>
      </c>
      <c r="G17" s="146">
        <f>+'Generation &amp; Marketing'!G17</f>
        <v>0</v>
      </c>
      <c r="H17" s="147">
        <f>+'Generation &amp; Marketing'!H17</f>
        <v>0</v>
      </c>
      <c r="I17" s="72">
        <f>+'Generation &amp; Marketing'!I17</f>
        <v>0</v>
      </c>
      <c r="J17" s="148">
        <f>+'Generation &amp; Marketing'!J17</f>
        <v>0</v>
      </c>
      <c r="K17" s="146">
        <f>+'Generation &amp; Marketing'!K17</f>
        <v>0</v>
      </c>
      <c r="L17" s="146">
        <f>+'Generation &amp; Marketing'!L17</f>
        <v>0</v>
      </c>
      <c r="M17" s="147">
        <f>+'Generation &amp; Marketing'!M17</f>
        <v>0</v>
      </c>
      <c r="N17" s="72">
        <f>+'Generation &amp; Marketing'!N17</f>
        <v>0</v>
      </c>
      <c r="O17" s="148">
        <f>+'Generation &amp; Marketing'!O17</f>
        <v>0</v>
      </c>
      <c r="P17" s="146">
        <f>+'Generation &amp; Marketing'!P17</f>
        <v>0</v>
      </c>
      <c r="Q17" s="146">
        <f>+'Generation &amp; Marketing'!Q17</f>
        <v>0</v>
      </c>
      <c r="R17" s="147">
        <f>+'Generation &amp; Marketing'!R17</f>
        <v>0</v>
      </c>
      <c r="S17" s="72">
        <f>+'Generation &amp; Marketing'!S17</f>
        <v>0</v>
      </c>
      <c r="T17" s="148">
        <f>+'Generation &amp; Marketing'!T17</f>
        <v>0</v>
      </c>
      <c r="U17" s="146">
        <f>+'Generation &amp; Marketing'!U17</f>
        <v>0</v>
      </c>
      <c r="V17" s="146">
        <f>+'Generation &amp; Marketing'!V17</f>
        <v>0</v>
      </c>
      <c r="W17" s="147">
        <f>+'Generation &amp; Marketing'!W17</f>
        <v>0</v>
      </c>
      <c r="X17" s="72">
        <f>+'Generation &amp; Marketing'!X17</f>
        <v>484</v>
      </c>
      <c r="Y17" s="148">
        <f>+'Generation &amp; Marketing'!Y17</f>
        <v>150</v>
      </c>
      <c r="Z17" s="146">
        <f>+'Generation &amp; Marketing'!Z17</f>
        <v>154</v>
      </c>
      <c r="AA17" s="146">
        <f>+'Generation &amp; Marketing'!AA17</f>
        <v>179</v>
      </c>
      <c r="AB17" s="147">
        <f>+'Generation &amp; Marketing'!AB17</f>
        <v>64</v>
      </c>
      <c r="AC17" s="72">
        <f>+'Generation &amp; Marketing'!AC17</f>
        <v>547</v>
      </c>
      <c r="AD17" s="148">
        <f>+'Generation &amp; Marketing'!AD17</f>
        <v>261</v>
      </c>
      <c r="AE17" s="146">
        <f>+'Generation &amp; Marketing'!AE17</f>
        <v>159</v>
      </c>
      <c r="AF17" s="146">
        <f>+'Generation &amp; Marketing'!AF17</f>
        <v>182</v>
      </c>
      <c r="AG17" s="147">
        <f>+'Generation &amp; Marketing'!AG17</f>
        <v>-15</v>
      </c>
      <c r="AH17" s="72">
        <f>+'Generation &amp; Marketing'!AH17</f>
        <v>587</v>
      </c>
      <c r="AI17" s="148">
        <f>+'Generation &amp; Marketing'!AI17</f>
        <v>295</v>
      </c>
      <c r="AJ17" s="146">
        <f>+'Generation &amp; Marketing'!AJ17</f>
        <v>132</v>
      </c>
      <c r="AK17" s="146">
        <f>+'Generation &amp; Marketing'!AK17</f>
        <v>149</v>
      </c>
      <c r="AL17" s="147">
        <f>+'Generation &amp; Marketing'!AL17</f>
        <v>21.599999999999682</v>
      </c>
      <c r="AM17" s="72">
        <f>+'Generation &amp; Marketing'!AM17</f>
        <v>597.59999999999945</v>
      </c>
      <c r="AN17" s="148">
        <f>+'Generation &amp; Marketing'!AN17</f>
        <v>116.29999999999995</v>
      </c>
      <c r="AO17" s="146">
        <f>+'Generation &amp; Marketing'!AO17</f>
        <v>78.299999999999955</v>
      </c>
      <c r="AP17" s="146">
        <f>+'Generation &amp; Marketing'!AP17</f>
        <v>137</v>
      </c>
      <c r="AQ17" s="147">
        <f>+'Generation &amp; Marketing'!AQ17</f>
        <v>95.200000000000273</v>
      </c>
      <c r="AR17" s="72">
        <f>+'Generation &amp; Marketing'!AR17</f>
        <v>426.80000000000018</v>
      </c>
      <c r="AS17" s="148">
        <f>+'Generation &amp; Marketing'!AS17</f>
        <v>92.199999999999989</v>
      </c>
      <c r="AT17" s="146">
        <f>+'Generation &amp; Marketing'!AT17</f>
        <v>29.800000000000068</v>
      </c>
      <c r="AU17" s="146">
        <f>+'Generation &amp; Marketing'!AU17</f>
        <v>45</v>
      </c>
      <c r="AV17" s="147">
        <f>+'Generation &amp; Marketing'!AV17</f>
        <v>23.999999999999659</v>
      </c>
      <c r="AW17" s="72">
        <f>+'Generation &amp; Marketing'!AW17</f>
        <v>190.99999999999977</v>
      </c>
      <c r="AX17" s="148">
        <f>+'Generation &amp; Marketing'!AX17</f>
        <v>17.783774171793993</v>
      </c>
      <c r="AY17" s="146">
        <f>+'Generation &amp; Marketing'!AY17</f>
        <v>18.930745060090487</v>
      </c>
      <c r="AZ17" s="146">
        <f>+'Generation &amp; Marketing'!AZ17</f>
        <v>41.998047734920419</v>
      </c>
      <c r="BA17" s="147">
        <f>+'Generation &amp; Marketing'!BA17</f>
        <v>32.221290903914621</v>
      </c>
      <c r="BB17" s="72">
        <f>+'Generation &amp; Marketing'!BB17</f>
        <v>110.93385787071929</v>
      </c>
      <c r="BC17" s="148">
        <f>+'Generation &amp; Marketing'!BC17</f>
        <v>31.231814568834579</v>
      </c>
      <c r="BD17" s="146">
        <f>+'Generation &amp; Marketing'!BD17</f>
        <v>8.208121604037558</v>
      </c>
      <c r="BE17" s="146">
        <f>+'Generation &amp; Marketing'!BE17</f>
        <v>22.685144108554823</v>
      </c>
      <c r="BF17" s="147">
        <f>+'Generation &amp; Marketing'!BF17</f>
        <v>23.225544680499524</v>
      </c>
      <c r="BG17" s="72">
        <f>+'Generation &amp; Marketing'!BG17</f>
        <v>85.350624961926087</v>
      </c>
      <c r="BH17" s="148">
        <f>+'Generation &amp; Marketing'!BH17</f>
        <v>20.782364656216032</v>
      </c>
      <c r="BI17" s="146">
        <f>+'Generation &amp; Marketing'!BI17</f>
        <v>3.5984009904549339</v>
      </c>
      <c r="BJ17" s="146">
        <f>+'Generation &amp; Marketing'!BJ17</f>
        <v>36.418990980089916</v>
      </c>
      <c r="BK17" s="147">
        <f>+'Generation &amp; Marketing'!BK17</f>
        <v>19.156930904796241</v>
      </c>
      <c r="BL17" s="72">
        <f>+'Generation &amp; Marketing'!BL17</f>
        <v>79.956687531557236</v>
      </c>
      <c r="BM17" s="148">
        <f>+'Generation &amp; Marketing'!BM17</f>
        <v>25.467563217346424</v>
      </c>
      <c r="BN17" s="146">
        <f>+'Generation &amp; Marketing'!BN17</f>
        <v>26.062757009525626</v>
      </c>
      <c r="BO17" s="146">
        <f>+'Generation &amp; Marketing'!BO17</f>
        <v>39.686486623768587</v>
      </c>
      <c r="BP17" s="147">
        <f>+'Generation &amp; Marketing'!BP17</f>
        <v>30.965657352246524</v>
      </c>
      <c r="BQ17" s="72">
        <f>+'Generation &amp; Marketing'!BQ17</f>
        <v>122.1824642028871</v>
      </c>
      <c r="BR17" s="491"/>
      <c r="BS17" s="491"/>
      <c r="BV17" s="491"/>
    </row>
    <row r="18" spans="3:99">
      <c r="C18" s="100" t="s">
        <v>152</v>
      </c>
      <c r="D18" s="72"/>
      <c r="E18" s="148">
        <f>'Vertically Integrated Utilities'!E17</f>
        <v>0</v>
      </c>
      <c r="F18" s="146">
        <f>'Vertically Integrated Utilities'!F17</f>
        <v>0</v>
      </c>
      <c r="G18" s="146">
        <f>'Vertically Integrated Utilities'!G17</f>
        <v>0</v>
      </c>
      <c r="H18" s="147">
        <f>'Vertically Integrated Utilities'!H17</f>
        <v>0</v>
      </c>
      <c r="I18" s="72">
        <f>'Vertically Integrated Utilities'!I17</f>
        <v>0</v>
      </c>
      <c r="J18" s="148">
        <f>'Vertically Integrated Utilities'!J17</f>
        <v>0</v>
      </c>
      <c r="K18" s="146">
        <f>'Vertically Integrated Utilities'!K17</f>
        <v>0</v>
      </c>
      <c r="L18" s="146">
        <f>'Vertically Integrated Utilities'!L17</f>
        <v>0</v>
      </c>
      <c r="M18" s="147">
        <f>'Vertically Integrated Utilities'!M17</f>
        <v>0</v>
      </c>
      <c r="N18" s="72">
        <f>'Vertically Integrated Utilities'!N17</f>
        <v>0</v>
      </c>
      <c r="O18" s="148">
        <f>'Vertically Integrated Utilities'!O17</f>
        <v>0</v>
      </c>
      <c r="P18" s="146">
        <f>'Vertically Integrated Utilities'!P17</f>
        <v>0</v>
      </c>
      <c r="Q18" s="146">
        <f>'Vertically Integrated Utilities'!Q17</f>
        <v>0</v>
      </c>
      <c r="R18" s="147">
        <f>'Vertically Integrated Utilities'!R17</f>
        <v>0</v>
      </c>
      <c r="S18" s="72">
        <f>'Vertically Integrated Utilities'!S17</f>
        <v>0</v>
      </c>
      <c r="T18" s="148">
        <f>'Vertically Integrated Utilities'!T17</f>
        <v>0</v>
      </c>
      <c r="U18" s="146">
        <f>'Vertically Integrated Utilities'!U17</f>
        <v>0</v>
      </c>
      <c r="V18" s="146">
        <f>'Vertically Integrated Utilities'!V17</f>
        <v>0</v>
      </c>
      <c r="W18" s="147">
        <f>'Vertically Integrated Utilities'!W17</f>
        <v>0</v>
      </c>
      <c r="X18" s="72">
        <f>'Vertically Integrated Utilities'!X17</f>
        <v>1574</v>
      </c>
      <c r="Y18" s="148">
        <f>'Vertically Integrated Utilities'!Y17</f>
        <v>410</v>
      </c>
      <c r="Z18" s="146">
        <f>'Vertically Integrated Utilities'!Z17</f>
        <v>360</v>
      </c>
      <c r="AA18" s="146">
        <f>'Vertically Integrated Utilities'!AA17</f>
        <v>563</v>
      </c>
      <c r="AB18" s="147">
        <f>'Vertically Integrated Utilities'!AB17</f>
        <v>300</v>
      </c>
      <c r="AC18" s="72">
        <f>'Vertically Integrated Utilities'!AC17</f>
        <v>1633</v>
      </c>
      <c r="AD18" s="148">
        <f>'Vertically Integrated Utilities'!AD17</f>
        <v>557</v>
      </c>
      <c r="AE18" s="146">
        <f>'Vertically Integrated Utilities'!AE17</f>
        <v>361</v>
      </c>
      <c r="AF18" s="146">
        <f>'Vertically Integrated Utilities'!AF17</f>
        <v>473</v>
      </c>
      <c r="AG18" s="147">
        <f>'Vertically Integrated Utilities'!AG17</f>
        <v>222</v>
      </c>
      <c r="AH18" s="72">
        <f>'Vertically Integrated Utilities'!AH17</f>
        <v>1613</v>
      </c>
      <c r="AI18" s="148">
        <f>'Vertically Integrated Utilities'!AI17</f>
        <v>577</v>
      </c>
      <c r="AJ18" s="146">
        <f>'Vertically Integrated Utilities'!AJ17</f>
        <v>427</v>
      </c>
      <c r="AK18" s="146">
        <f>'Vertically Integrated Utilities'!AK17</f>
        <v>526</v>
      </c>
      <c r="AL18" s="147">
        <f>'Vertically Integrated Utilities'!AL17</f>
        <v>253.40000000000055</v>
      </c>
      <c r="AM18" s="72">
        <f>'Vertically Integrated Utilities'!AM17</f>
        <v>1783.4000000000005</v>
      </c>
      <c r="AN18" s="148">
        <f>'Vertically Integrated Utilities'!AN17</f>
        <v>509.29999999999973</v>
      </c>
      <c r="AO18" s="146">
        <f>'Vertically Integrated Utilities'!AO17</f>
        <v>433</v>
      </c>
      <c r="AP18" s="146">
        <f>'Vertically Integrated Utilities'!AP17</f>
        <v>648.30000000000018</v>
      </c>
      <c r="AQ18" s="147">
        <f>'Vertically Integrated Utilities'!AQ17</f>
        <v>254.49999999999955</v>
      </c>
      <c r="AR18" s="72">
        <f>'Vertically Integrated Utilities'!AR17</f>
        <v>1845.0999999999995</v>
      </c>
      <c r="AS18" s="148">
        <f>'Vertically Integrated Utilities'!AS17</f>
        <v>468.40000000000009</v>
      </c>
      <c r="AT18" s="146">
        <f>'Vertically Integrated Utilities'!AT17</f>
        <v>320</v>
      </c>
      <c r="AU18" s="146">
        <f>'Vertically Integrated Utilities'!AU17</f>
        <v>559.99999999999955</v>
      </c>
      <c r="AV18" s="147">
        <f>'Vertically Integrated Utilities'!AV17</f>
        <v>407.900000000001</v>
      </c>
      <c r="AW18" s="72">
        <f>'Vertically Integrated Utilities'!AW17</f>
        <v>1756.3000000000002</v>
      </c>
      <c r="AX18" s="148">
        <f>'Vertically Integrated Utilities'!AX17</f>
        <v>446.7016700621125</v>
      </c>
      <c r="AY18" s="146">
        <f>'Vertically Integrated Utilities'!AY17</f>
        <v>291.87758396418667</v>
      </c>
      <c r="AZ18" s="146">
        <f>'Vertically Integrated Utilities'!AZ17</f>
        <v>552.92253985673688</v>
      </c>
      <c r="BA18" s="147">
        <f>'Vertically Integrated Utilities'!BA17</f>
        <v>354.07481063007981</v>
      </c>
      <c r="BB18" s="72">
        <f>'Vertically Integrated Utilities'!BB17</f>
        <v>1645.5766045131149</v>
      </c>
      <c r="BC18" s="148">
        <f>'Vertically Integrated Utilities'!BC17</f>
        <v>519.69591789141305</v>
      </c>
      <c r="BD18" s="146">
        <f>'Vertically Integrated Utilities'!BD17</f>
        <v>329.95502176711261</v>
      </c>
      <c r="BE18" s="146">
        <f>'Vertically Integrated Utilities'!BE17</f>
        <v>587.02366664231295</v>
      </c>
      <c r="BF18" s="147">
        <f>'Vertically Integrated Utilities'!BF17</f>
        <v>378.39294957591619</v>
      </c>
      <c r="BG18" s="72">
        <f>'Vertically Integrated Utilities'!BG17</f>
        <v>1815.0675558767543</v>
      </c>
      <c r="BH18" s="148">
        <f>'Vertically Integrated Utilities'!BH17</f>
        <v>550.30870554264629</v>
      </c>
      <c r="BI18" s="146">
        <f>'Vertically Integrated Utilities'!BI17</f>
        <v>356.0104729100658</v>
      </c>
      <c r="BJ18" s="146">
        <f>'Vertically Integrated Utilities'!BJ17</f>
        <v>629.22463954178102</v>
      </c>
      <c r="BK18" s="147">
        <f>'Vertically Integrated Utilities'!BK17</f>
        <v>410.06621791552061</v>
      </c>
      <c r="BL18" s="72">
        <f>'Vertically Integrated Utilities'!BL17</f>
        <v>1945.6100359100146</v>
      </c>
      <c r="BM18" s="148">
        <f>'Vertically Integrated Utilities'!BM17</f>
        <v>639.71032052775126</v>
      </c>
      <c r="BN18" s="146">
        <f>'Vertically Integrated Utilities'!BN17</f>
        <v>431.42628483890257</v>
      </c>
      <c r="BO18" s="146">
        <f>'Vertically Integrated Utilities'!BO17</f>
        <v>707.61615976206576</v>
      </c>
      <c r="BP18" s="147">
        <f>'Vertically Integrated Utilities'!BP17</f>
        <v>480.99319931849595</v>
      </c>
      <c r="BQ18" s="72">
        <f>'Vertically Integrated Utilities'!BQ17</f>
        <v>2259.7459644472146</v>
      </c>
      <c r="BR18" s="491"/>
      <c r="BS18" s="491"/>
      <c r="BV18" s="491"/>
    </row>
    <row r="19" spans="3:99">
      <c r="C19" s="100" t="s">
        <v>153</v>
      </c>
      <c r="D19" s="72"/>
      <c r="E19" s="148">
        <f>'T&amp;D Utilities'!E17</f>
        <v>0</v>
      </c>
      <c r="F19" s="163">
        <f>'T&amp;D Utilities'!F17</f>
        <v>0</v>
      </c>
      <c r="G19" s="163">
        <f>'T&amp;D Utilities'!G17</f>
        <v>0</v>
      </c>
      <c r="H19" s="147">
        <f>'T&amp;D Utilities'!H17</f>
        <v>0</v>
      </c>
      <c r="I19" s="72">
        <f>'T&amp;D Utilities'!I17</f>
        <v>0</v>
      </c>
      <c r="J19" s="148">
        <f>'T&amp;D Utilities'!J17</f>
        <v>0</v>
      </c>
      <c r="K19" s="163">
        <f>'T&amp;D Utilities'!K17</f>
        <v>0</v>
      </c>
      <c r="L19" s="163">
        <f>'T&amp;D Utilities'!L17</f>
        <v>0</v>
      </c>
      <c r="M19" s="147">
        <f>'T&amp;D Utilities'!M17</f>
        <v>0</v>
      </c>
      <c r="N19" s="72">
        <f>'T&amp;D Utilities'!N17</f>
        <v>0</v>
      </c>
      <c r="O19" s="148">
        <f>'T&amp;D Utilities'!O17</f>
        <v>0</v>
      </c>
      <c r="P19" s="163">
        <f>'T&amp;D Utilities'!P17</f>
        <v>0</v>
      </c>
      <c r="Q19" s="163">
        <f>'T&amp;D Utilities'!Q17</f>
        <v>0</v>
      </c>
      <c r="R19" s="147">
        <f>'T&amp;D Utilities'!R17</f>
        <v>0</v>
      </c>
      <c r="S19" s="72">
        <f>'T&amp;D Utilities'!S17</f>
        <v>0</v>
      </c>
      <c r="T19" s="148">
        <f>'T&amp;D Utilities'!T17</f>
        <v>0</v>
      </c>
      <c r="U19" s="163">
        <f>'T&amp;D Utilities'!U17</f>
        <v>0</v>
      </c>
      <c r="V19" s="163">
        <f>'T&amp;D Utilities'!V17</f>
        <v>0</v>
      </c>
      <c r="W19" s="147">
        <f>'T&amp;D Utilities'!W17</f>
        <v>0</v>
      </c>
      <c r="X19" s="72">
        <f>'T&amp;D Utilities'!X17</f>
        <v>847</v>
      </c>
      <c r="Y19" s="148">
        <f>'T&amp;D Utilities'!Y17</f>
        <v>204</v>
      </c>
      <c r="Z19" s="163">
        <f>'T&amp;D Utilities'!Z17</f>
        <v>184</v>
      </c>
      <c r="AA19" s="163">
        <f>'T&amp;D Utilities'!AA17</f>
        <v>252</v>
      </c>
      <c r="AB19" s="147">
        <f>'T&amp;D Utilities'!AB17</f>
        <v>182</v>
      </c>
      <c r="AC19" s="72">
        <f>'T&amp;D Utilities'!AC17</f>
        <v>822</v>
      </c>
      <c r="AD19" s="148">
        <f>'T&amp;D Utilities'!AD17</f>
        <v>239</v>
      </c>
      <c r="AE19" s="163">
        <f>'T&amp;D Utilities'!AE17</f>
        <v>229</v>
      </c>
      <c r="AF19" s="163">
        <f>'T&amp;D Utilities'!AF17</f>
        <v>226</v>
      </c>
      <c r="AG19" s="147">
        <f>'T&amp;D Utilities'!AG17</f>
        <v>212.80000000000052</v>
      </c>
      <c r="AH19" s="72">
        <f>'T&amp;D Utilities'!AH17</f>
        <v>906.80000000000064</v>
      </c>
      <c r="AI19" s="148">
        <f>'T&amp;D Utilities'!AI17</f>
        <v>240</v>
      </c>
      <c r="AJ19" s="163">
        <f>'T&amp;D Utilities'!AJ17</f>
        <v>214</v>
      </c>
      <c r="AK19" s="163">
        <f>'T&amp;D Utilities'!AK17</f>
        <v>292</v>
      </c>
      <c r="AL19" s="147">
        <f>'T&amp;D Utilities'!AL17</f>
        <v>203.50000000000023</v>
      </c>
      <c r="AM19" s="72">
        <f>'T&amp;D Utilities'!AM17</f>
        <v>949.5</v>
      </c>
      <c r="AN19" s="148">
        <f>'T&amp;D Utilities'!AN17</f>
        <v>275.19999999999993</v>
      </c>
      <c r="AO19" s="163">
        <f>'T&amp;D Utilities'!AO17</f>
        <v>294.19999999999993</v>
      </c>
      <c r="AP19" s="163">
        <f>'T&amp;D Utilities'!AP17</f>
        <v>350.69999999999993</v>
      </c>
      <c r="AQ19" s="147">
        <f>'T&amp;D Utilities'!AQ17</f>
        <v>217.00000000000011</v>
      </c>
      <c r="AR19" s="72">
        <f>'T&amp;D Utilities'!AR17</f>
        <v>1137.0999999999995</v>
      </c>
      <c r="AS19" s="148">
        <f>'T&amp;D Utilities'!AS17</f>
        <v>294.20000000000016</v>
      </c>
      <c r="AT19" s="163">
        <f>'T&amp;D Utilities'!AT17</f>
        <v>282.5</v>
      </c>
      <c r="AU19" s="163">
        <f>'T&amp;D Utilities'!AU17</f>
        <v>338.5</v>
      </c>
      <c r="AV19" s="147">
        <f>'T&amp;D Utilities'!AV17</f>
        <v>297.20000000000027</v>
      </c>
      <c r="AW19" s="72">
        <f>'T&amp;D Utilities'!AW17</f>
        <v>1212.3999999999996</v>
      </c>
      <c r="AX19" s="148">
        <f>'T&amp;D Utilities'!AX17</f>
        <v>286.75011345818803</v>
      </c>
      <c r="AY19" s="163">
        <f>'T&amp;D Utilities'!AY17</f>
        <v>275.4284614127904</v>
      </c>
      <c r="AZ19" s="163">
        <f>'T&amp;D Utilities'!AZ17</f>
        <v>347.89512226969282</v>
      </c>
      <c r="BA19" s="147">
        <f>'T&amp;D Utilities'!BA17</f>
        <v>268.53487599583877</v>
      </c>
      <c r="BB19" s="72">
        <f>'T&amp;D Utilities'!BB17</f>
        <v>1178.6085731365106</v>
      </c>
      <c r="BC19" s="148">
        <f>'T&amp;D Utilities'!BC17</f>
        <v>308.56401909275837</v>
      </c>
      <c r="BD19" s="163">
        <f>'T&amp;D Utilities'!BD17</f>
        <v>294.08298300099659</v>
      </c>
      <c r="BE19" s="163">
        <f>'T&amp;D Utilities'!BE17</f>
        <v>373.7416422675708</v>
      </c>
      <c r="BF19" s="147">
        <f>'T&amp;D Utilities'!BF17</f>
        <v>288.07223811588619</v>
      </c>
      <c r="BG19" s="72">
        <f>'T&amp;D Utilities'!BG17</f>
        <v>1264.4608824772126</v>
      </c>
      <c r="BH19" s="148">
        <f>'T&amp;D Utilities'!BH17</f>
        <v>330.86824549609332</v>
      </c>
      <c r="BI19" s="163">
        <f>'T&amp;D Utilities'!BI17</f>
        <v>318.04155604246967</v>
      </c>
      <c r="BJ19" s="163">
        <f>'T&amp;D Utilities'!BJ17</f>
        <v>405.60232814343954</v>
      </c>
      <c r="BK19" s="147">
        <f>'T&amp;D Utilities'!BK17</f>
        <v>313.03451631677592</v>
      </c>
      <c r="BL19" s="72">
        <f>'T&amp;D Utilities'!BL17</f>
        <v>1367.5466459987783</v>
      </c>
      <c r="BM19" s="148">
        <f>'T&amp;D Utilities'!BM17</f>
        <v>349.38991200722876</v>
      </c>
      <c r="BN19" s="163">
        <f>'T&amp;D Utilities'!BN17</f>
        <v>340.42362652978795</v>
      </c>
      <c r="BO19" s="163">
        <f>'T&amp;D Utilities'!BO17</f>
        <v>433.08615119860519</v>
      </c>
      <c r="BP19" s="147">
        <f>'T&amp;D Utilities'!BP17</f>
        <v>334.73662970076111</v>
      </c>
      <c r="BQ19" s="72">
        <f>'T&amp;D Utilities'!BQ17</f>
        <v>1457.6363194363835</v>
      </c>
      <c r="BR19" s="491"/>
      <c r="BS19" s="491"/>
      <c r="BV19" s="491"/>
    </row>
    <row r="20" spans="3:99">
      <c r="C20" s="100" t="s">
        <v>628</v>
      </c>
      <c r="D20" s="72"/>
      <c r="E20" s="148">
        <f>+'Transmission Holdco'!E17</f>
        <v>0</v>
      </c>
      <c r="F20" s="146">
        <f>+'Transmission Holdco'!F17</f>
        <v>0</v>
      </c>
      <c r="G20" s="146">
        <f>+'Transmission Holdco'!G17</f>
        <v>0</v>
      </c>
      <c r="H20" s="147">
        <f>+'Transmission Holdco'!H17</f>
        <v>0</v>
      </c>
      <c r="I20" s="72">
        <f>+'Transmission Holdco'!I17</f>
        <v>0</v>
      </c>
      <c r="J20" s="148">
        <f>+'Transmission Holdco'!J17</f>
        <v>0</v>
      </c>
      <c r="K20" s="146">
        <f>+'Transmission Holdco'!K17</f>
        <v>0</v>
      </c>
      <c r="L20" s="146">
        <f>+'Transmission Holdco'!L17</f>
        <v>0</v>
      </c>
      <c r="M20" s="147">
        <f>+'Transmission Holdco'!M17</f>
        <v>0</v>
      </c>
      <c r="N20" s="72">
        <f>+'Transmission Holdco'!N17</f>
        <v>0</v>
      </c>
      <c r="O20" s="148">
        <f>+'Transmission Holdco'!O17</f>
        <v>0</v>
      </c>
      <c r="P20" s="146">
        <f>+'Transmission Holdco'!P17</f>
        <v>0</v>
      </c>
      <c r="Q20" s="146">
        <f>+'Transmission Holdco'!Q17</f>
        <v>0</v>
      </c>
      <c r="R20" s="147">
        <f>+'Transmission Holdco'!R17</f>
        <v>0</v>
      </c>
      <c r="S20" s="72">
        <f>+'Transmission Holdco'!S17</f>
        <v>0</v>
      </c>
      <c r="T20" s="148">
        <f>+'Transmission Holdco'!T17</f>
        <v>0</v>
      </c>
      <c r="U20" s="146">
        <f>+'Transmission Holdco'!U17</f>
        <v>0</v>
      </c>
      <c r="V20" s="146">
        <f>+'Transmission Holdco'!V17</f>
        <v>0</v>
      </c>
      <c r="W20" s="147">
        <f>+'Transmission Holdco'!W17</f>
        <v>0</v>
      </c>
      <c r="X20" s="72">
        <f>+'Transmission Holdco'!X17</f>
        <v>21</v>
      </c>
      <c r="Y20" s="148">
        <f>+'Transmission Holdco'!Y17</f>
        <v>5.5</v>
      </c>
      <c r="Z20" s="146">
        <f>+'Transmission Holdco'!Z17</f>
        <v>16.5</v>
      </c>
      <c r="AA20" s="146">
        <f>+'Transmission Holdco'!AA17</f>
        <v>23.5</v>
      </c>
      <c r="AB20" s="147">
        <f>+'Transmission Holdco'!AB17</f>
        <v>22.5</v>
      </c>
      <c r="AC20" s="72">
        <f>+'Transmission Holdco'!AC17</f>
        <v>68</v>
      </c>
      <c r="AD20" s="148">
        <f>+'Transmission Holdco'!AD17</f>
        <v>22</v>
      </c>
      <c r="AE20" s="146">
        <f>+'Transmission Holdco'!AE17</f>
        <v>51</v>
      </c>
      <c r="AF20" s="146">
        <f>+'Transmission Holdco'!AF17</f>
        <v>49</v>
      </c>
      <c r="AG20" s="147">
        <f>+'Transmission Holdco'!AG17</f>
        <v>46</v>
      </c>
      <c r="AH20" s="72">
        <f>+'Transmission Holdco'!AH17</f>
        <v>168</v>
      </c>
      <c r="AI20" s="148">
        <f>+'Transmission Holdco'!AI17</f>
        <v>21.200000000000003</v>
      </c>
      <c r="AJ20" s="146">
        <f>+'Transmission Holdco'!AJ17</f>
        <v>62.2</v>
      </c>
      <c r="AK20" s="146">
        <f>+'Transmission Holdco'!AK17</f>
        <v>51.2</v>
      </c>
      <c r="AL20" s="147">
        <f>+'Transmission Holdco'!AL17</f>
        <v>47.399999999999991</v>
      </c>
      <c r="AM20" s="72">
        <f>+'Transmission Holdco'!AM17</f>
        <v>182</v>
      </c>
      <c r="AN20" s="148">
        <f>+'Transmission Holdco'!AN17</f>
        <v>40.199999999999996</v>
      </c>
      <c r="AO20" s="146">
        <f>+'Transmission Holdco'!AO17</f>
        <v>115.29999999999998</v>
      </c>
      <c r="AP20" s="146">
        <f>+'Transmission Holdco'!AP17</f>
        <v>80.400000000000006</v>
      </c>
      <c r="AQ20" s="147">
        <f>+'Transmission Holdco'!AQ17</f>
        <v>65.799999999999969</v>
      </c>
      <c r="AR20" s="72">
        <f>+'Transmission Holdco'!AR17</f>
        <v>301.69999999999993</v>
      </c>
      <c r="AS20" s="148">
        <f>+'Transmission Holdco'!AS17</f>
        <v>89.5</v>
      </c>
      <c r="AT20" s="146">
        <f>+'Transmission Holdco'!AT17</f>
        <v>177.5</v>
      </c>
      <c r="AU20" s="146">
        <f>+'Transmission Holdco'!AU17</f>
        <v>100.69999999999999</v>
      </c>
      <c r="AV20" s="147">
        <f>+'Transmission Holdco'!AV17</f>
        <v>108.40000000000009</v>
      </c>
      <c r="AW20" s="72">
        <f>+'Transmission Holdco'!AW17</f>
        <v>476.1</v>
      </c>
      <c r="AX20" s="148">
        <f>+'Transmission Holdco'!AX17</f>
        <v>92.999747038591906</v>
      </c>
      <c r="AY20" s="146">
        <f>+'Transmission Holdco'!AY17</f>
        <v>172.26096614778604</v>
      </c>
      <c r="AZ20" s="146">
        <f>+'Transmission Holdco'!AZ17</f>
        <v>105.8479291692081</v>
      </c>
      <c r="BA20" s="147">
        <f>+'Transmission Holdco'!BA17</f>
        <v>106.37896995897475</v>
      </c>
      <c r="BB20" s="72">
        <f>+'Transmission Holdco'!BB17</f>
        <v>477.48761231456092</v>
      </c>
      <c r="BC20" s="148">
        <f>+'Transmission Holdco'!BC17</f>
        <v>111.30102034577239</v>
      </c>
      <c r="BD20" s="146">
        <f>+'Transmission Holdco'!BD17</f>
        <v>200.06283031908848</v>
      </c>
      <c r="BE20" s="146">
        <f>+'Transmission Holdco'!BE17</f>
        <v>124.79675680489481</v>
      </c>
      <c r="BF20" s="147">
        <f>+'Transmission Holdco'!BF17</f>
        <v>125.84404987465626</v>
      </c>
      <c r="BG20" s="72">
        <f>+'Transmission Holdco'!BG17</f>
        <v>562.00465734441184</v>
      </c>
      <c r="BH20" s="148">
        <f>+'Transmission Holdco'!BH17</f>
        <v>132.13349121771034</v>
      </c>
      <c r="BI20" s="146">
        <f>+'Transmission Holdco'!BI17</f>
        <v>234.83191669856146</v>
      </c>
      <c r="BJ20" s="146">
        <f>+'Transmission Holdco'!BJ17</f>
        <v>145.54700209727318</v>
      </c>
      <c r="BK20" s="147">
        <f>+'Transmission Holdco'!BK17</f>
        <v>146.8600326893102</v>
      </c>
      <c r="BL20" s="72">
        <f>+'Transmission Holdco'!BL17</f>
        <v>659.37244270285532</v>
      </c>
      <c r="BM20" s="148">
        <f>+'Transmission Holdco'!BM17</f>
        <v>147.13038346128127</v>
      </c>
      <c r="BN20" s="146">
        <f>+'Transmission Holdco'!BN17</f>
        <v>258.35807744461727</v>
      </c>
      <c r="BO20" s="146">
        <f>+'Transmission Holdco'!BO17</f>
        <v>161.66262462422355</v>
      </c>
      <c r="BP20" s="147">
        <f>+'Transmission Holdco'!BP17</f>
        <v>163.70066947913159</v>
      </c>
      <c r="BQ20" s="72">
        <f>+'Transmission Holdco'!BQ17</f>
        <v>730.85175500925379</v>
      </c>
      <c r="BR20" s="491"/>
      <c r="BS20" s="491"/>
      <c r="BV20" s="491"/>
    </row>
    <row r="21" spans="3:99">
      <c r="C21" s="100" t="s">
        <v>651</v>
      </c>
      <c r="D21" s="72"/>
      <c r="E21" s="148"/>
      <c r="F21" s="146"/>
      <c r="G21" s="146"/>
      <c r="H21" s="147"/>
      <c r="I21" s="72"/>
      <c r="J21" s="148"/>
      <c r="K21" s="146"/>
      <c r="L21" s="146"/>
      <c r="M21" s="147"/>
      <c r="N21" s="72"/>
      <c r="O21" s="148"/>
      <c r="P21" s="146"/>
      <c r="Q21" s="146"/>
      <c r="R21" s="147"/>
      <c r="S21" s="72">
        <f>Parent!S16</f>
        <v>0</v>
      </c>
      <c r="T21" s="148">
        <f>Parent!T16</f>
        <v>0</v>
      </c>
      <c r="U21" s="146">
        <f>Parent!U16</f>
        <v>0</v>
      </c>
      <c r="V21" s="146">
        <f>Parent!V16</f>
        <v>0</v>
      </c>
      <c r="W21" s="147">
        <f>Parent!W16</f>
        <v>0</v>
      </c>
      <c r="X21" s="72">
        <f>'AEP River'!X17</f>
        <v>39</v>
      </c>
      <c r="Y21" s="148">
        <f>'AEP River'!Y17</f>
        <v>4</v>
      </c>
      <c r="Z21" s="146">
        <f>'AEP River'!Z17</f>
        <v>-3</v>
      </c>
      <c r="AA21" s="146">
        <f>'AEP River'!AA17</f>
        <v>5</v>
      </c>
      <c r="AB21" s="147">
        <f>'AEP River'!AB17</f>
        <v>30</v>
      </c>
      <c r="AC21" s="72">
        <f>'AEP River'!AC17</f>
        <v>36</v>
      </c>
      <c r="AD21" s="148">
        <f>'AEP River'!AD17</f>
        <v>9</v>
      </c>
      <c r="AE21" s="146">
        <f>'AEP River'!AE17</f>
        <v>9</v>
      </c>
      <c r="AF21" s="146">
        <f>'AEP River'!AF17</f>
        <v>17</v>
      </c>
      <c r="AG21" s="147">
        <f>'AEP River'!AG17</f>
        <v>46.25</v>
      </c>
      <c r="AH21" s="72">
        <f>'AEP River'!AH17</f>
        <v>106</v>
      </c>
      <c r="AI21" s="148">
        <f>'AEP River'!AI17</f>
        <v>3.8499999999999943</v>
      </c>
      <c r="AJ21" s="146">
        <f>'AEP River'!AJ17</f>
        <v>-6.1500000000000057</v>
      </c>
      <c r="AK21" s="146">
        <f>'AEP River'!AK17</f>
        <v>-3.1500000000000004</v>
      </c>
      <c r="AL21" s="147">
        <f>'AEP River'!AL17</f>
        <v>5.4500000000000455</v>
      </c>
      <c r="AM21" s="72">
        <f>'AEP River'!AM17</f>
        <v>0</v>
      </c>
      <c r="AN21" s="148">
        <f>'AEP River'!AN17</f>
        <v>0</v>
      </c>
      <c r="AO21" s="146">
        <f>'AEP River'!AO17</f>
        <v>0</v>
      </c>
      <c r="AP21" s="146">
        <f>'AEP River'!AP17</f>
        <v>0</v>
      </c>
      <c r="AQ21" s="147">
        <f>'AEP River'!AQ17</f>
        <v>0</v>
      </c>
      <c r="AR21" s="72">
        <f>'AEP River'!AR17</f>
        <v>0</v>
      </c>
      <c r="AS21" s="148">
        <f>'AEP River'!AS17</f>
        <v>0</v>
      </c>
      <c r="AT21" s="146">
        <f>'AEP River'!AT17</f>
        <v>0</v>
      </c>
      <c r="AU21" s="146">
        <f>'AEP River'!AU17</f>
        <v>0</v>
      </c>
      <c r="AV21" s="147">
        <f>'AEP River'!AV17</f>
        <v>0</v>
      </c>
      <c r="AW21" s="72">
        <f>'AEP River'!AW17</f>
        <v>0</v>
      </c>
      <c r="AX21" s="148">
        <f>'AEP River'!AX17</f>
        <v>0</v>
      </c>
      <c r="AY21" s="146">
        <f>'AEP River'!AY17</f>
        <v>0</v>
      </c>
      <c r="AZ21" s="146">
        <f>'AEP River'!AZ17</f>
        <v>0</v>
      </c>
      <c r="BA21" s="147">
        <f>'AEP River'!BA17</f>
        <v>0</v>
      </c>
      <c r="BB21" s="72">
        <f>'AEP River'!BB17</f>
        <v>0</v>
      </c>
      <c r="BC21" s="148">
        <f>'AEP River'!BC17</f>
        <v>0</v>
      </c>
      <c r="BD21" s="146">
        <f>'AEP River'!BD17</f>
        <v>0</v>
      </c>
      <c r="BE21" s="146">
        <f>'AEP River'!BE17</f>
        <v>0</v>
      </c>
      <c r="BF21" s="147">
        <f>'AEP River'!BF17</f>
        <v>0</v>
      </c>
      <c r="BG21" s="72">
        <f>'AEP River'!BG17</f>
        <v>0</v>
      </c>
      <c r="BH21" s="148">
        <f>'AEP River'!BH17</f>
        <v>0</v>
      </c>
      <c r="BI21" s="146">
        <f>'AEP River'!BI17</f>
        <v>0</v>
      </c>
      <c r="BJ21" s="146">
        <f>'AEP River'!BJ17</f>
        <v>0</v>
      </c>
      <c r="BK21" s="147">
        <f>'AEP River'!BK17</f>
        <v>0</v>
      </c>
      <c r="BL21" s="72">
        <f>'AEP River'!BL17</f>
        <v>0</v>
      </c>
      <c r="BM21" s="148">
        <f>'AEP River'!BM17</f>
        <v>0</v>
      </c>
      <c r="BN21" s="146">
        <f>'AEP River'!BN17</f>
        <v>0</v>
      </c>
      <c r="BO21" s="146">
        <f>'AEP River'!BO17</f>
        <v>0</v>
      </c>
      <c r="BP21" s="147">
        <f>'AEP River'!BP17</f>
        <v>0</v>
      </c>
      <c r="BQ21" s="72">
        <f>'AEP River'!BQ17</f>
        <v>0</v>
      </c>
      <c r="BR21" s="491"/>
      <c r="BS21" s="491"/>
      <c r="BV21" s="491"/>
    </row>
    <row r="22" spans="3:99">
      <c r="C22" s="100" t="s">
        <v>154</v>
      </c>
      <c r="D22" s="72"/>
      <c r="E22" s="148"/>
      <c r="F22" s="146"/>
      <c r="G22" s="146"/>
      <c r="H22" s="147"/>
      <c r="I22" s="72"/>
      <c r="J22" s="148"/>
      <c r="K22" s="146"/>
      <c r="L22" s="146"/>
      <c r="M22" s="147"/>
      <c r="N22" s="72"/>
      <c r="O22" s="148"/>
      <c r="P22" s="146"/>
      <c r="Q22" s="146"/>
      <c r="R22" s="147"/>
      <c r="S22" s="72">
        <f>Parent!S17</f>
        <v>0</v>
      </c>
      <c r="T22" s="148">
        <f>Parent!T17</f>
        <v>0</v>
      </c>
      <c r="U22" s="146">
        <f>Parent!U17</f>
        <v>0</v>
      </c>
      <c r="V22" s="146">
        <f>Parent!V17</f>
        <v>0</v>
      </c>
      <c r="W22" s="147">
        <f>Parent!W17</f>
        <v>0</v>
      </c>
      <c r="X22" s="72">
        <f>Parent!X17</f>
        <v>-9</v>
      </c>
      <c r="Y22" s="148">
        <f>Parent!Y17</f>
        <v>-18.5</v>
      </c>
      <c r="Z22" s="146">
        <f>Parent!Z17</f>
        <v>-10.5</v>
      </c>
      <c r="AA22" s="146">
        <f>Parent!AA17</f>
        <v>-3.5</v>
      </c>
      <c r="AB22" s="147">
        <f>Parent!AB17</f>
        <v>-4.5</v>
      </c>
      <c r="AC22" s="72">
        <f>Parent!AC17</f>
        <v>-37</v>
      </c>
      <c r="AD22" s="148">
        <f>Parent!AD17</f>
        <v>-47</v>
      </c>
      <c r="AE22" s="146">
        <f>Parent!AE17</f>
        <v>-42</v>
      </c>
      <c r="AF22" s="146">
        <f>Parent!AF17</f>
        <v>-22</v>
      </c>
      <c r="AG22" s="147">
        <f>Parent!AG17</f>
        <v>-13.050000000000523</v>
      </c>
      <c r="AH22" s="72">
        <f>Parent!AH17</f>
        <v>-148.80000000000064</v>
      </c>
      <c r="AI22" s="148">
        <f>Parent!AI17</f>
        <v>-13.050000000000011</v>
      </c>
      <c r="AJ22" s="146">
        <f>Parent!AJ17</f>
        <v>-20.049999999999955</v>
      </c>
      <c r="AK22" s="146">
        <f>Parent!AK17</f>
        <v>-55.05</v>
      </c>
      <c r="AL22" s="147">
        <f>Parent!AL17</f>
        <v>-90.849999999999341</v>
      </c>
      <c r="AM22" s="72">
        <f>Parent!AM17</f>
        <v>-179.00000000000034</v>
      </c>
      <c r="AN22" s="148">
        <f>Parent!AN17</f>
        <v>-48.099999999999696</v>
      </c>
      <c r="AO22" s="146">
        <f>Parent!AO17</f>
        <v>-54.599999999999511</v>
      </c>
      <c r="AP22" s="146">
        <f>Parent!AP17</f>
        <v>-79.400000000000333</v>
      </c>
      <c r="AQ22" s="147">
        <f>Parent!AQ17</f>
        <v>-53.70000000000033</v>
      </c>
      <c r="AR22" s="72">
        <f>Parent!AR17</f>
        <v>-235.79999999999916</v>
      </c>
      <c r="AS22" s="148">
        <f>Parent!AS17</f>
        <v>-62.500000000000142</v>
      </c>
      <c r="AT22" s="146">
        <f>Parent!AT17</f>
        <v>-63.099999999999909</v>
      </c>
      <c r="AU22" s="146">
        <f>Parent!AU17</f>
        <v>-60.200000000000045</v>
      </c>
      <c r="AV22" s="147">
        <f>Parent!AV17</f>
        <v>-18.800000000001717</v>
      </c>
      <c r="AW22" s="72">
        <f>Parent!AW17</f>
        <v>-204.60000000000207</v>
      </c>
      <c r="AX22" s="148">
        <f>Parent!AX17</f>
        <v>-62.500000000000142</v>
      </c>
      <c r="AY22" s="146">
        <f>Parent!AY17</f>
        <v>-63.099999999999909</v>
      </c>
      <c r="AZ22" s="146">
        <f>Parent!AZ17</f>
        <v>-55.200000000000045</v>
      </c>
      <c r="BA22" s="147">
        <f>Parent!BA17</f>
        <v>-13.800000000001717</v>
      </c>
      <c r="BB22" s="72">
        <f>Parent!BB17</f>
        <v>-194.60000000000184</v>
      </c>
      <c r="BC22" s="148">
        <f>Parent!BC17</f>
        <v>-62.500000000000142</v>
      </c>
      <c r="BD22" s="146">
        <f>Parent!BD17</f>
        <v>-63.099999999999909</v>
      </c>
      <c r="BE22" s="146">
        <f>Parent!BE17</f>
        <v>-55.200000000000045</v>
      </c>
      <c r="BF22" s="147">
        <f>Parent!BF17</f>
        <v>-13.800000000001717</v>
      </c>
      <c r="BG22" s="72">
        <f>Parent!BG17</f>
        <v>-194.60000000000184</v>
      </c>
      <c r="BH22" s="148">
        <f>Parent!BH17</f>
        <v>-62.500000000000142</v>
      </c>
      <c r="BI22" s="146">
        <f>Parent!BI17</f>
        <v>-63.099999999999909</v>
      </c>
      <c r="BJ22" s="146">
        <f>Parent!BJ17</f>
        <v>-55.200000000000045</v>
      </c>
      <c r="BK22" s="147">
        <f>Parent!BK17</f>
        <v>-13.800000000001717</v>
      </c>
      <c r="BL22" s="72">
        <f>Parent!BL17</f>
        <v>-194.60000000000184</v>
      </c>
      <c r="BM22" s="148">
        <f>Parent!BM17</f>
        <v>-62.500000000000142</v>
      </c>
      <c r="BN22" s="146">
        <f>Parent!BN17</f>
        <v>-63.099999999999909</v>
      </c>
      <c r="BO22" s="146">
        <f>Parent!BO17</f>
        <v>-55.200000000000045</v>
      </c>
      <c r="BP22" s="147">
        <f>Parent!BP17</f>
        <v>-13.800000000001717</v>
      </c>
      <c r="BQ22" s="72">
        <f>Parent!BQ17</f>
        <v>-194.60000000000184</v>
      </c>
      <c r="BR22" s="491"/>
      <c r="BS22" s="491"/>
      <c r="BV22" s="491"/>
    </row>
    <row r="23" spans="3:99">
      <c r="C23" s="164" t="s">
        <v>1019</v>
      </c>
      <c r="D23" s="72"/>
      <c r="E23" s="149">
        <f t="shared" ref="E23:W23" si="10">E8-E15</f>
        <v>750</v>
      </c>
      <c r="F23" s="150">
        <f t="shared" si="10"/>
        <v>682</v>
      </c>
      <c r="G23" s="150">
        <f t="shared" si="10"/>
        <v>858</v>
      </c>
      <c r="H23" s="151">
        <f t="shared" si="10"/>
        <v>481</v>
      </c>
      <c r="I23" s="112">
        <f t="shared" si="10"/>
        <v>2771</v>
      </c>
      <c r="J23" s="149">
        <f t="shared" si="10"/>
        <v>758</v>
      </c>
      <c r="K23" s="150">
        <f t="shared" si="10"/>
        <v>394</v>
      </c>
      <c r="L23" s="150">
        <f t="shared" si="10"/>
        <v>1025</v>
      </c>
      <c r="M23" s="151">
        <f t="shared" si="10"/>
        <v>486</v>
      </c>
      <c r="N23" s="112">
        <f t="shared" si="10"/>
        <v>2663</v>
      </c>
      <c r="O23" s="149">
        <f t="shared" si="10"/>
        <v>822</v>
      </c>
      <c r="P23" s="150">
        <f t="shared" si="10"/>
        <v>717</v>
      </c>
      <c r="Q23" s="150">
        <f t="shared" si="10"/>
        <v>989</v>
      </c>
      <c r="R23" s="151">
        <f t="shared" si="10"/>
        <v>361</v>
      </c>
      <c r="S23" s="112">
        <f t="shared" si="10"/>
        <v>2889</v>
      </c>
      <c r="T23" s="149">
        <f t="shared" si="10"/>
        <v>754</v>
      </c>
      <c r="U23" s="150">
        <f t="shared" si="10"/>
        <v>741</v>
      </c>
      <c r="V23" s="150">
        <f t="shared" si="10"/>
        <v>925</v>
      </c>
      <c r="W23" s="151">
        <f t="shared" si="10"/>
        <v>536</v>
      </c>
      <c r="X23" s="112">
        <f t="shared" ref="X23:AE23" si="11">X8-X15</f>
        <v>2956</v>
      </c>
      <c r="Y23" s="149">
        <f t="shared" si="11"/>
        <v>755</v>
      </c>
      <c r="Z23" s="150">
        <f t="shared" si="11"/>
        <v>701</v>
      </c>
      <c r="AA23" s="150">
        <f t="shared" si="11"/>
        <v>1019</v>
      </c>
      <c r="AB23" s="151">
        <f t="shared" si="11"/>
        <v>594</v>
      </c>
      <c r="AC23" s="112">
        <f t="shared" si="11"/>
        <v>3069</v>
      </c>
      <c r="AD23" s="149">
        <f t="shared" si="11"/>
        <v>1041</v>
      </c>
      <c r="AE23" s="150">
        <f t="shared" si="11"/>
        <v>767</v>
      </c>
      <c r="AF23" s="150">
        <f t="shared" ref="AF23:AM23" si="12">AF8-AF15</f>
        <v>925</v>
      </c>
      <c r="AG23" s="151">
        <f t="shared" si="12"/>
        <v>499</v>
      </c>
      <c r="AH23" s="112">
        <f t="shared" si="12"/>
        <v>3232</v>
      </c>
      <c r="AI23" s="149">
        <f t="shared" si="12"/>
        <v>1124</v>
      </c>
      <c r="AJ23" s="150">
        <f t="shared" si="12"/>
        <v>809</v>
      </c>
      <c r="AK23" s="150">
        <f t="shared" si="12"/>
        <v>960</v>
      </c>
      <c r="AL23" s="151">
        <f t="shared" si="12"/>
        <v>440.50000000000091</v>
      </c>
      <c r="AM23" s="112">
        <f t="shared" si="12"/>
        <v>3333.5</v>
      </c>
      <c r="AN23" s="149">
        <f t="shared" ref="AN23:AS23" si="13">AN8-AN15</f>
        <v>892.90000000000009</v>
      </c>
      <c r="AO23" s="150">
        <f t="shared" si="13"/>
        <v>866.20000000000027</v>
      </c>
      <c r="AP23" s="150">
        <f t="shared" si="13"/>
        <v>1137</v>
      </c>
      <c r="AQ23" s="151">
        <f t="shared" si="13"/>
        <v>578.79999999999927</v>
      </c>
      <c r="AR23" s="112">
        <f t="shared" si="13"/>
        <v>3474.8999999999996</v>
      </c>
      <c r="AS23" s="149">
        <f t="shared" si="13"/>
        <v>881.80000000000018</v>
      </c>
      <c r="AT23" s="150">
        <f t="shared" ref="AT23:BB23" si="14">AT8-AT15</f>
        <v>746.69999999999982</v>
      </c>
      <c r="AU23" s="150">
        <f t="shared" si="14"/>
        <v>984</v>
      </c>
      <c r="AV23" s="151">
        <f t="shared" si="14"/>
        <v>818.69999999999936</v>
      </c>
      <c r="AW23" s="112">
        <f t="shared" si="14"/>
        <v>3431.1999999999989</v>
      </c>
      <c r="AX23" s="149">
        <f t="shared" si="14"/>
        <v>781.73530473068695</v>
      </c>
      <c r="AY23" s="150">
        <f t="shared" si="14"/>
        <v>695.3977565848536</v>
      </c>
      <c r="AZ23" s="150">
        <f t="shared" si="14"/>
        <v>993.46363903055817</v>
      </c>
      <c r="BA23" s="151">
        <f t="shared" si="14"/>
        <v>747.40994748880621</v>
      </c>
      <c r="BB23" s="112">
        <f t="shared" si="14"/>
        <v>3218.0066478349054</v>
      </c>
      <c r="BC23" s="149">
        <f t="shared" ref="BC23:BL23" si="15">BC8-BC15</f>
        <v>908.29277189877848</v>
      </c>
      <c r="BD23" s="150">
        <f t="shared" si="15"/>
        <v>769.20895669123547</v>
      </c>
      <c r="BE23" s="150">
        <f t="shared" si="15"/>
        <v>1053.0472098233327</v>
      </c>
      <c r="BF23" s="151">
        <f t="shared" si="15"/>
        <v>801.734782246956</v>
      </c>
      <c r="BG23" s="112">
        <f t="shared" si="15"/>
        <v>3532.2837206603035</v>
      </c>
      <c r="BH23" s="149">
        <f t="shared" si="15"/>
        <v>971.59280691266622</v>
      </c>
      <c r="BI23" s="150">
        <f t="shared" si="15"/>
        <v>849.38234664155107</v>
      </c>
      <c r="BJ23" s="150">
        <f t="shared" si="15"/>
        <v>1161.592960762584</v>
      </c>
      <c r="BK23" s="151">
        <f t="shared" si="15"/>
        <v>875.31769782640185</v>
      </c>
      <c r="BL23" s="112">
        <f t="shared" si="15"/>
        <v>3857.8858121432022</v>
      </c>
      <c r="BM23" s="149">
        <f>BM8-BM15</f>
        <v>1099.1981792136066</v>
      </c>
      <c r="BN23" s="150">
        <f>BN8-BN15</f>
        <v>993.17074582283249</v>
      </c>
      <c r="BO23" s="150">
        <f>BO8-BO15</f>
        <v>1286.8514222086633</v>
      </c>
      <c r="BP23" s="151">
        <f>BP8-BP15</f>
        <v>996.59615585063329</v>
      </c>
      <c r="BQ23" s="112">
        <f>BQ8-BQ15</f>
        <v>4375.8165030957371</v>
      </c>
      <c r="BR23" s="491"/>
      <c r="BS23" s="491"/>
      <c r="BV23" s="491"/>
    </row>
    <row r="24" spans="3:99">
      <c r="C24" s="165" t="s">
        <v>1020</v>
      </c>
      <c r="D24" s="166"/>
      <c r="E24" s="167">
        <f t="shared" ref="E24:AA24" si="16">SUM(E17:E22)-E23</f>
        <v>-750</v>
      </c>
      <c r="F24" s="168">
        <f t="shared" si="16"/>
        <v>-682</v>
      </c>
      <c r="G24" s="168">
        <f t="shared" si="16"/>
        <v>-858</v>
      </c>
      <c r="H24" s="169">
        <f t="shared" si="16"/>
        <v>-481</v>
      </c>
      <c r="I24" s="166">
        <f t="shared" si="16"/>
        <v>-2771</v>
      </c>
      <c r="J24" s="167">
        <f t="shared" si="16"/>
        <v>-758</v>
      </c>
      <c r="K24" s="168">
        <f t="shared" si="16"/>
        <v>-394</v>
      </c>
      <c r="L24" s="168">
        <f t="shared" si="16"/>
        <v>-1025</v>
      </c>
      <c r="M24" s="169">
        <f t="shared" si="16"/>
        <v>-486</v>
      </c>
      <c r="N24" s="166">
        <f t="shared" si="16"/>
        <v>-2663</v>
      </c>
      <c r="O24" s="167">
        <f t="shared" si="16"/>
        <v>-822</v>
      </c>
      <c r="P24" s="168">
        <f t="shared" si="16"/>
        <v>-717</v>
      </c>
      <c r="Q24" s="168">
        <f t="shared" si="16"/>
        <v>-989</v>
      </c>
      <c r="R24" s="169">
        <f t="shared" si="16"/>
        <v>-361</v>
      </c>
      <c r="S24" s="166">
        <f t="shared" si="16"/>
        <v>-2889</v>
      </c>
      <c r="T24" s="167">
        <f t="shared" si="16"/>
        <v>-754</v>
      </c>
      <c r="U24" s="168">
        <f t="shared" si="16"/>
        <v>-741</v>
      </c>
      <c r="V24" s="168">
        <f t="shared" si="16"/>
        <v>-925</v>
      </c>
      <c r="W24" s="169">
        <f t="shared" si="16"/>
        <v>-536</v>
      </c>
      <c r="X24" s="166">
        <f t="shared" si="16"/>
        <v>0</v>
      </c>
      <c r="Y24" s="167">
        <f t="shared" si="16"/>
        <v>0</v>
      </c>
      <c r="Z24" s="168">
        <f t="shared" si="16"/>
        <v>0</v>
      </c>
      <c r="AA24" s="168">
        <f t="shared" si="16"/>
        <v>0</v>
      </c>
      <c r="AB24" s="169">
        <f>SUM(AB17:AB22)-AB23</f>
        <v>0</v>
      </c>
      <c r="AC24" s="166">
        <f>SUM(AC17:AC22)-AC23</f>
        <v>0</v>
      </c>
      <c r="AD24" s="167">
        <f>SUM(AD17:AD22)-AD23</f>
        <v>0</v>
      </c>
      <c r="AE24" s="168">
        <f>SUM(AE17:AE22)-AE23</f>
        <v>0</v>
      </c>
      <c r="AF24" s="168">
        <f>SUM(AF17:AF22)-AF23</f>
        <v>0</v>
      </c>
      <c r="AG24" s="169">
        <f t="shared" ref="AG24:AR24" si="17">SUM(AG17:AG22)-AG23</f>
        <v>0</v>
      </c>
      <c r="AH24" s="166">
        <f t="shared" si="17"/>
        <v>0</v>
      </c>
      <c r="AI24" s="167">
        <f t="shared" si="17"/>
        <v>0</v>
      </c>
      <c r="AJ24" s="168">
        <f t="shared" si="17"/>
        <v>0</v>
      </c>
      <c r="AK24" s="168">
        <f t="shared" si="17"/>
        <v>0</v>
      </c>
      <c r="AL24" s="169">
        <f t="shared" si="17"/>
        <v>0</v>
      </c>
      <c r="AM24" s="166">
        <f t="shared" si="17"/>
        <v>0</v>
      </c>
      <c r="AN24" s="167">
        <f>SUM(AN17:AN22)-AN23</f>
        <v>0</v>
      </c>
      <c r="AO24" s="168">
        <f t="shared" si="17"/>
        <v>0</v>
      </c>
      <c r="AP24" s="168">
        <f>SUM(AP17:AP22)-AP23</f>
        <v>0</v>
      </c>
      <c r="AQ24" s="169">
        <f t="shared" si="17"/>
        <v>0</v>
      </c>
      <c r="AR24" s="166">
        <f t="shared" si="17"/>
        <v>0</v>
      </c>
      <c r="AS24" s="167">
        <f t="shared" ref="AS24:BB24" si="18">SUM(AS17:AS22)-AS23</f>
        <v>0</v>
      </c>
      <c r="AT24" s="168">
        <f t="shared" si="18"/>
        <v>0</v>
      </c>
      <c r="AU24" s="168">
        <f t="shared" si="18"/>
        <v>0</v>
      </c>
      <c r="AV24" s="169">
        <f t="shared" si="18"/>
        <v>0</v>
      </c>
      <c r="AW24" s="166">
        <f t="shared" si="18"/>
        <v>0</v>
      </c>
      <c r="AX24" s="167">
        <f t="shared" si="18"/>
        <v>0</v>
      </c>
      <c r="AY24" s="168">
        <f t="shared" si="18"/>
        <v>0</v>
      </c>
      <c r="AZ24" s="168">
        <f t="shared" si="18"/>
        <v>0</v>
      </c>
      <c r="BA24" s="169">
        <f t="shared" si="18"/>
        <v>0</v>
      </c>
      <c r="BB24" s="166">
        <f t="shared" si="18"/>
        <v>0</v>
      </c>
      <c r="BC24" s="167">
        <f t="shared" ref="BC24:BL24" si="19">SUM(BC17:BC22)-BC23</f>
        <v>0</v>
      </c>
      <c r="BD24" s="168">
        <f t="shared" si="19"/>
        <v>0</v>
      </c>
      <c r="BE24" s="168">
        <f t="shared" si="19"/>
        <v>0</v>
      </c>
      <c r="BF24" s="169">
        <f t="shared" si="19"/>
        <v>0</v>
      </c>
      <c r="BG24" s="166">
        <f t="shared" si="19"/>
        <v>0</v>
      </c>
      <c r="BH24" s="167">
        <f t="shared" si="19"/>
        <v>0</v>
      </c>
      <c r="BI24" s="168">
        <f t="shared" si="19"/>
        <v>9.0949470177292824E-13</v>
      </c>
      <c r="BJ24" s="168">
        <f t="shared" si="19"/>
        <v>0</v>
      </c>
      <c r="BK24" s="169">
        <f t="shared" si="19"/>
        <v>0</v>
      </c>
      <c r="BL24" s="166">
        <f t="shared" si="19"/>
        <v>0</v>
      </c>
      <c r="BM24" s="167">
        <f>SUM(BM17:BM22)-BM23</f>
        <v>0</v>
      </c>
      <c r="BN24" s="168">
        <f>SUM(BN17:BN22)-BN23</f>
        <v>9.0949470177292824E-13</v>
      </c>
      <c r="BO24" s="168">
        <f>SUM(BO17:BO22)-BO23</f>
        <v>0</v>
      </c>
      <c r="BP24" s="169">
        <f>SUM(BP17:BP22)-BP23</f>
        <v>0</v>
      </c>
      <c r="BQ24" s="166">
        <f>SUM(BQ17:BQ22)-BQ23</f>
        <v>0</v>
      </c>
      <c r="BR24" s="526"/>
      <c r="BS24" s="526"/>
      <c r="BV24" s="526"/>
      <c r="BW24" s="170"/>
      <c r="BX24" s="170"/>
      <c r="CE24" s="170"/>
      <c r="CF24" s="170"/>
      <c r="CG24" s="170"/>
      <c r="CH24" s="170"/>
      <c r="CI24" s="170"/>
      <c r="CJ24" s="170"/>
      <c r="CK24" s="170"/>
      <c r="CL24" s="170"/>
      <c r="CM24" s="170"/>
      <c r="CN24" s="170"/>
      <c r="CO24" s="170"/>
      <c r="CP24" s="170"/>
      <c r="CQ24" s="170"/>
      <c r="CR24" s="170"/>
      <c r="CS24" s="170"/>
      <c r="CT24" s="170"/>
      <c r="CU24" s="170"/>
    </row>
    <row r="25" spans="3:99">
      <c r="C25" s="56"/>
      <c r="D25" s="72"/>
      <c r="E25" s="148">
        <f>Parent!E20</f>
        <v>0</v>
      </c>
      <c r="F25" s="163">
        <f>Parent!F20</f>
        <v>0</v>
      </c>
      <c r="G25" s="163">
        <f>Parent!G20</f>
        <v>0</v>
      </c>
      <c r="H25" s="147">
        <f>Parent!H20</f>
        <v>0</v>
      </c>
      <c r="I25" s="72"/>
      <c r="J25" s="148"/>
      <c r="K25" s="163"/>
      <c r="L25" s="163"/>
      <c r="M25" s="147"/>
      <c r="N25" s="72"/>
      <c r="O25" s="148"/>
      <c r="P25" s="163"/>
      <c r="Q25" s="163"/>
      <c r="R25" s="147"/>
      <c r="S25" s="72"/>
      <c r="T25" s="148"/>
      <c r="U25" s="163"/>
      <c r="V25" s="163"/>
      <c r="W25" s="147"/>
      <c r="X25" s="72"/>
      <c r="Y25" s="148"/>
      <c r="Z25" s="163"/>
      <c r="AA25" s="163"/>
      <c r="AB25" s="147"/>
      <c r="AC25" s="72"/>
      <c r="AD25" s="148"/>
      <c r="AE25" s="163"/>
      <c r="AF25" s="163"/>
      <c r="AG25" s="147"/>
      <c r="AH25" s="72"/>
      <c r="AI25" s="148"/>
      <c r="AJ25" s="163"/>
      <c r="AK25" s="163"/>
      <c r="AL25" s="147"/>
      <c r="AM25" s="72"/>
      <c r="AN25" s="148"/>
      <c r="AO25" s="163"/>
      <c r="AP25" s="163"/>
      <c r="AQ25" s="147"/>
      <c r="AR25" s="72"/>
      <c r="AS25" s="148"/>
      <c r="AT25" s="163"/>
      <c r="AU25" s="163"/>
      <c r="AV25" s="147"/>
      <c r="AW25" s="72"/>
      <c r="AX25" s="148"/>
      <c r="AY25" s="163"/>
      <c r="AZ25" s="163"/>
      <c r="BA25" s="147"/>
      <c r="BB25" s="72"/>
      <c r="BC25" s="148"/>
      <c r="BD25" s="163"/>
      <c r="BE25" s="163"/>
      <c r="BF25" s="147"/>
      <c r="BG25" s="72"/>
      <c r="BH25" s="148"/>
      <c r="BI25" s="163"/>
      <c r="BJ25" s="163"/>
      <c r="BK25" s="147"/>
      <c r="BL25" s="72"/>
      <c r="BM25" s="148"/>
      <c r="BN25" s="163"/>
      <c r="BO25" s="163"/>
      <c r="BP25" s="147"/>
      <c r="BQ25" s="72"/>
      <c r="BR25" s="491"/>
      <c r="BS25" s="491"/>
      <c r="BV25" s="491"/>
    </row>
    <row r="26" spans="3:99">
      <c r="C26" s="50" t="s">
        <v>1021</v>
      </c>
      <c r="D26" s="72"/>
      <c r="E26" s="142">
        <v>16</v>
      </c>
      <c r="F26" s="143">
        <v>20</v>
      </c>
      <c r="G26" s="143">
        <v>23</v>
      </c>
      <c r="H26" s="144">
        <f>I26-SUM(E26:G26)</f>
        <v>23</v>
      </c>
      <c r="I26" s="145">
        <v>82</v>
      </c>
      <c r="J26" s="142">
        <v>24</v>
      </c>
      <c r="K26" s="143">
        <v>19</v>
      </c>
      <c r="L26" s="143">
        <v>17</v>
      </c>
      <c r="M26" s="144">
        <f>N26-SUM(J26:L26)</f>
        <v>17</v>
      </c>
      <c r="N26" s="145">
        <v>77</v>
      </c>
      <c r="O26" s="142">
        <v>20</v>
      </c>
      <c r="P26" s="143">
        <v>23</v>
      </c>
      <c r="Q26" s="143">
        <v>26</v>
      </c>
      <c r="R26" s="158">
        <v>29</v>
      </c>
      <c r="S26" s="820">
        <f>SUM(O26:R26)</f>
        <v>98</v>
      </c>
      <c r="T26" s="142">
        <v>23</v>
      </c>
      <c r="U26" s="143">
        <v>24</v>
      </c>
      <c r="V26" s="143">
        <v>23</v>
      </c>
      <c r="W26" s="144">
        <f>X26-SUM(T26:V26)</f>
        <v>23</v>
      </c>
      <c r="X26" s="145">
        <v>93</v>
      </c>
      <c r="Y26" s="142">
        <v>15</v>
      </c>
      <c r="Z26" s="143">
        <v>17</v>
      </c>
      <c r="AA26" s="143">
        <v>19</v>
      </c>
      <c r="AB26" s="144">
        <f>AC26-SUM(Y26:AA26)</f>
        <v>22</v>
      </c>
      <c r="AC26" s="145">
        <v>73</v>
      </c>
      <c r="AD26" s="142">
        <v>22</v>
      </c>
      <c r="AE26" s="143">
        <v>25</v>
      </c>
      <c r="AF26" s="143">
        <v>27</v>
      </c>
      <c r="AG26" s="144">
        <f>AH26-SUM(AD26:AF26)</f>
        <v>29</v>
      </c>
      <c r="AH26" s="145">
        <v>103</v>
      </c>
      <c r="AI26" s="142">
        <v>30</v>
      </c>
      <c r="AJ26" s="143">
        <v>34</v>
      </c>
      <c r="AK26" s="143">
        <v>33</v>
      </c>
      <c r="AL26" s="144">
        <f>AM26-SUM(AI26:AK26)</f>
        <v>34.900000000000006</v>
      </c>
      <c r="AM26" s="145">
        <v>131.9</v>
      </c>
      <c r="AN26" s="142">
        <v>31.7</v>
      </c>
      <c r="AO26" s="143">
        <v>28.8</v>
      </c>
      <c r="AP26" s="143">
        <v>25.6</v>
      </c>
      <c r="AQ26" s="144">
        <f>AR26-SUM(AN26:AP26)</f>
        <v>27.100000000000009</v>
      </c>
      <c r="AR26" s="145">
        <v>113.2</v>
      </c>
      <c r="AS26" s="142">
        <v>21.2</v>
      </c>
      <c r="AT26" s="143">
        <v>21</v>
      </c>
      <c r="AU26" s="143">
        <v>20</v>
      </c>
      <c r="AV26" s="144">
        <f>AW26-SUM(AS26:AU26)</f>
        <v>31.5</v>
      </c>
      <c r="AW26" s="145">
        <v>93.7</v>
      </c>
      <c r="AX26" s="148">
        <f>'Vertically Integrated Utilities'!AX19+'T&amp;D Utilities'!AX19</f>
        <v>21.630783052624825</v>
      </c>
      <c r="AY26" s="146">
        <f>'Vertically Integrated Utilities'!AY19+'T&amp;D Utilities'!AY19</f>
        <v>21.630783052624825</v>
      </c>
      <c r="AZ26" s="146">
        <f>'Vertically Integrated Utilities'!AZ19+'T&amp;D Utilities'!AZ19</f>
        <v>21.630783052624825</v>
      </c>
      <c r="BA26" s="147">
        <f>'Vertically Integrated Utilities'!BA19+'T&amp;D Utilities'!BA19</f>
        <v>21.630783052624825</v>
      </c>
      <c r="BB26" s="72">
        <f>SUM(AX26:BA26)</f>
        <v>86.523132210499298</v>
      </c>
      <c r="BC26" s="148">
        <f>'Vertically Integrated Utilities'!BC19+'T&amp;D Utilities'!BC19</f>
        <v>28.387821757977143</v>
      </c>
      <c r="BD26" s="146">
        <f>'Vertically Integrated Utilities'!BD19+'T&amp;D Utilities'!BD19</f>
        <v>28.387821757977143</v>
      </c>
      <c r="BE26" s="146">
        <f>'Vertically Integrated Utilities'!BE19+'T&amp;D Utilities'!BE19</f>
        <v>28.387821757977143</v>
      </c>
      <c r="BF26" s="147">
        <f>'Vertically Integrated Utilities'!BF19+'T&amp;D Utilities'!BF19</f>
        <v>28.387821757977143</v>
      </c>
      <c r="BG26" s="72">
        <f>SUM(BC26:BF26)</f>
        <v>113.55128703190857</v>
      </c>
      <c r="BH26" s="148">
        <f>'Vertically Integrated Utilities'!BH19+'T&amp;D Utilities'!BH19</f>
        <v>30.72952317829353</v>
      </c>
      <c r="BI26" s="146">
        <f>'Vertically Integrated Utilities'!BI19+'T&amp;D Utilities'!BI19</f>
        <v>30.72952317829353</v>
      </c>
      <c r="BJ26" s="146">
        <f>'Vertically Integrated Utilities'!BJ19+'T&amp;D Utilities'!BJ19</f>
        <v>30.72952317829353</v>
      </c>
      <c r="BK26" s="147">
        <f>'Vertically Integrated Utilities'!BK19+'T&amp;D Utilities'!BK19</f>
        <v>30.72952317829353</v>
      </c>
      <c r="BL26" s="72">
        <f>SUM(BH26:BK26)</f>
        <v>122.91809271317412</v>
      </c>
      <c r="BM26" s="148">
        <f>'Vertically Integrated Utilities'!BM19+'T&amp;D Utilities'!BM19</f>
        <v>17.908470546714579</v>
      </c>
      <c r="BN26" s="146">
        <f>'Vertically Integrated Utilities'!BN19+'T&amp;D Utilities'!BN19</f>
        <v>17.908470546714579</v>
      </c>
      <c r="BO26" s="146">
        <f>'Vertically Integrated Utilities'!BO19+'T&amp;D Utilities'!BO19</f>
        <v>17.908470546714579</v>
      </c>
      <c r="BP26" s="147">
        <f>'Vertically Integrated Utilities'!BP19+'T&amp;D Utilities'!BP19</f>
        <v>17.908470546714579</v>
      </c>
      <c r="BQ26" s="72">
        <f>SUM(BM26:BP26)</f>
        <v>71.633882186858315</v>
      </c>
      <c r="BR26" s="491"/>
      <c r="BS26" s="491"/>
      <c r="BV26" s="491"/>
    </row>
    <row r="27" spans="3:99">
      <c r="C27" s="50" t="s">
        <v>1</v>
      </c>
      <c r="D27" s="72"/>
      <c r="E27" s="142">
        <v>9</v>
      </c>
      <c r="F27" s="143">
        <v>12</v>
      </c>
      <c r="G27" s="143">
        <v>12</v>
      </c>
      <c r="H27" s="144">
        <f>I27-SUM(E27:G27)</f>
        <v>14</v>
      </c>
      <c r="I27" s="145">
        <v>47</v>
      </c>
      <c r="J27" s="142">
        <v>14</v>
      </c>
      <c r="K27" s="143">
        <v>19</v>
      </c>
      <c r="L27" s="143">
        <v>18</v>
      </c>
      <c r="M27" s="144">
        <f>N27-SUM(J27:L27)</f>
        <v>19</v>
      </c>
      <c r="N27" s="145">
        <f>70</f>
        <v>70</v>
      </c>
      <c r="O27" s="142">
        <f>15+51-41</f>
        <v>25</v>
      </c>
      <c r="P27" s="143">
        <v>17</v>
      </c>
      <c r="Q27" s="143">
        <f>291-90-9</f>
        <v>192</v>
      </c>
      <c r="R27" s="158">
        <f>4+27-49+52-16</f>
        <v>18</v>
      </c>
      <c r="S27" s="820">
        <f>SUM(O27:R27)</f>
        <v>252</v>
      </c>
      <c r="T27" s="142">
        <f>2+20</f>
        <v>22</v>
      </c>
      <c r="U27" s="143">
        <f>2+11</f>
        <v>13</v>
      </c>
      <c r="V27" s="143">
        <f>11-13+2</f>
        <v>0</v>
      </c>
      <c r="W27" s="144">
        <f>X27-SUM(T27:V27)</f>
        <v>-274</v>
      </c>
      <c r="X27" s="145">
        <f>-300+8+53</f>
        <v>-239</v>
      </c>
      <c r="Y27" s="142">
        <f>3+4</f>
        <v>7</v>
      </c>
      <c r="Z27" s="143">
        <f>49+8-154</f>
        <v>-97</v>
      </c>
      <c r="AA27" s="143">
        <f>-144+8+3</f>
        <v>-133</v>
      </c>
      <c r="AB27" s="144">
        <f>AC27-SUM(Y27:AA27)</f>
        <v>97</v>
      </c>
      <c r="AC27" s="145">
        <f>88+12-226</f>
        <v>-126</v>
      </c>
      <c r="AD27" s="142">
        <f>1+6</f>
        <v>7</v>
      </c>
      <c r="AE27" s="143">
        <f>9+3</f>
        <v>12</v>
      </c>
      <c r="AF27" s="143">
        <f>1+7</f>
        <v>8</v>
      </c>
      <c r="AG27" s="144">
        <f>AH27-SUM(AD27:AF27)</f>
        <v>13</v>
      </c>
      <c r="AH27" s="145">
        <f>7+33</f>
        <v>40</v>
      </c>
      <c r="AI27" s="142">
        <f>1+8</f>
        <v>9</v>
      </c>
      <c r="AJ27" s="143">
        <f>3+9</f>
        <v>12</v>
      </c>
      <c r="AK27" s="143">
        <f>2+1</f>
        <v>3</v>
      </c>
      <c r="AL27" s="144">
        <f>AM27-SUM(AI27:AK27)</f>
        <v>7.3999999999999986</v>
      </c>
      <c r="AM27" s="145">
        <f>23.5+7.9</f>
        <v>31.4</v>
      </c>
      <c r="AN27" s="142">
        <f>2.1+3.9</f>
        <v>6</v>
      </c>
      <c r="AO27" s="143">
        <f>2.4+6.3</f>
        <v>8.6999999999999993</v>
      </c>
      <c r="AP27" s="143">
        <f>2+1.7-2264.9</f>
        <v>-2261.2000000000003</v>
      </c>
      <c r="AQ27" s="144">
        <f>AR27-SUM(AN27:AP27)</f>
        <v>11.200000000000273</v>
      </c>
      <c r="AR27" s="145">
        <f>16.3+16.2-2267.8</f>
        <v>-2235.3000000000002</v>
      </c>
      <c r="AS27" s="142">
        <f>8+5.9-11.2+226.5</f>
        <v>229.2</v>
      </c>
      <c r="AT27" s="143">
        <f>2.3+5.7-1.9-0.1</f>
        <v>6</v>
      </c>
      <c r="AU27" s="143">
        <f>2.4+2.6+12.4+2.5</f>
        <v>19.899999999999999</v>
      </c>
      <c r="AV27" s="144">
        <f>AW27-SUM(AS27:AU27)</f>
        <v>-68.799999999999983</v>
      </c>
      <c r="AW27" s="145">
        <f>16+18.6-87.1+226.4+12.4</f>
        <v>186.3</v>
      </c>
      <c r="AX27" s="148">
        <f>+'Vertically Integrated Utilities'!AX20+'T&amp;D Utilities'!AX20+'Generation &amp; Marketing'!AX20+'Transmission Holdco'!AX19+'AEP River'!AX19+Parent!AX19+'Vertically Integrated Utilities'!AX26+'T&amp;D Utilities'!AX25+'Generation &amp; Marketing'!AX25</f>
        <v>29.224999999999991</v>
      </c>
      <c r="AY27" s="146">
        <f>+'Vertically Integrated Utilities'!AY20+'T&amp;D Utilities'!AY20+'Generation &amp; Marketing'!AY20+'Transmission Holdco'!AY19+'AEP River'!AY19+Parent!AY19+'Vertically Integrated Utilities'!AY26+'T&amp;D Utilities'!AY25+'Generation &amp; Marketing'!AY25</f>
        <v>31.725000000000001</v>
      </c>
      <c r="AZ27" s="146">
        <f>+'Vertically Integrated Utilities'!AZ20+'T&amp;D Utilities'!AZ20+'Generation &amp; Marketing'!AZ20+'Transmission Holdco'!AZ19+'AEP River'!AZ19+Parent!AZ19+'Vertically Integrated Utilities'!AZ26+'T&amp;D Utilities'!AZ25+'Generation &amp; Marketing'!AZ25</f>
        <v>19.725000000000012</v>
      </c>
      <c r="BA27" s="147">
        <f>+'Vertically Integrated Utilities'!BA20+'T&amp;D Utilities'!BA20+'Generation &amp; Marketing'!BA20+'Transmission Holdco'!BA19+'AEP River'!BA19+Parent!BA19+'Vertically Integrated Utilities'!BA26+'T&amp;D Utilities'!BA25+'Generation &amp; Marketing'!BA25</f>
        <v>29.624999999999915</v>
      </c>
      <c r="BB27" s="72">
        <f>SUM(AX27:BA27)</f>
        <v>110.29999999999991</v>
      </c>
      <c r="BC27" s="148">
        <f>+'Vertically Integrated Utilities'!BC20+'T&amp;D Utilities'!BC20+'Generation &amp; Marketing'!BC20+'Transmission Holdco'!BC19+'AEP River'!BC19+Parent!BC19+'Vertically Integrated Utilities'!BC26+'T&amp;D Utilities'!BC25+'Generation &amp; Marketing'!BC25</f>
        <v>29.024999999999988</v>
      </c>
      <c r="BD27" s="146">
        <f>+'Vertically Integrated Utilities'!BD20+'T&amp;D Utilities'!BD20+'Generation &amp; Marketing'!BD20+'Transmission Holdco'!BD19+'AEP River'!BD19+Parent!BD19+'Vertically Integrated Utilities'!BD26+'T&amp;D Utilities'!BD25+'Generation &amp; Marketing'!BD25</f>
        <v>30.524999999999999</v>
      </c>
      <c r="BE27" s="146">
        <f>+'Vertically Integrated Utilities'!BE20+'T&amp;D Utilities'!BE20+'Generation &amp; Marketing'!BE20+'Transmission Holdco'!BE19+'AEP River'!BE19+Parent!BE19+'Vertically Integrated Utilities'!BE26+'T&amp;D Utilities'!BE25+'Generation &amp; Marketing'!BE25</f>
        <v>21.525000000000009</v>
      </c>
      <c r="BF27" s="147">
        <f>+'Vertically Integrated Utilities'!BF20+'T&amp;D Utilities'!BF20+'Generation &amp; Marketing'!BF20+'Transmission Holdco'!BF19+'AEP River'!BF19+Parent!BF19+'Vertically Integrated Utilities'!BF26+'T&amp;D Utilities'!BF25+'Generation &amp; Marketing'!BF25</f>
        <v>29.624999999999915</v>
      </c>
      <c r="BG27" s="72">
        <f>SUM(BC27:BF27)</f>
        <v>110.6999999999999</v>
      </c>
      <c r="BH27" s="148">
        <f>+'Vertically Integrated Utilities'!BH20+'T&amp;D Utilities'!BH20+'Generation &amp; Marketing'!BH20+'Transmission Holdco'!BH19+'AEP River'!BH19+Parent!BH19+'Vertically Integrated Utilities'!BH26+'T&amp;D Utilities'!BH25+'Generation &amp; Marketing'!BH25</f>
        <v>29.024999999999988</v>
      </c>
      <c r="BI27" s="146">
        <f>+'Vertically Integrated Utilities'!BI20+'T&amp;D Utilities'!BI20+'Generation &amp; Marketing'!BI20+'Transmission Holdco'!BI19+'AEP River'!BI19+Parent!BI19+'Vertically Integrated Utilities'!BI26+'T&amp;D Utilities'!BI25+'Generation &amp; Marketing'!BI25</f>
        <v>30.524999999999999</v>
      </c>
      <c r="BJ27" s="146">
        <f>+'Vertically Integrated Utilities'!BJ20+'T&amp;D Utilities'!BJ20+'Generation &amp; Marketing'!BJ20+'Transmission Holdco'!BJ19+'AEP River'!BJ19+Parent!BJ19+'Vertically Integrated Utilities'!BJ26+'T&amp;D Utilities'!BJ25+'Generation &amp; Marketing'!BJ25</f>
        <v>21.525000000000009</v>
      </c>
      <c r="BK27" s="147">
        <f>+'Vertically Integrated Utilities'!BK20+'T&amp;D Utilities'!BK20+'Generation &amp; Marketing'!BK20+'Transmission Holdco'!BK19+'AEP River'!BK19+Parent!BK19+'Vertically Integrated Utilities'!BK26+'T&amp;D Utilities'!BK25+'Generation &amp; Marketing'!BK25</f>
        <v>29.624999999999915</v>
      </c>
      <c r="BL27" s="72">
        <f>SUM(BH27:BK27)</f>
        <v>110.6999999999999</v>
      </c>
      <c r="BM27" s="148">
        <f>+'Vertically Integrated Utilities'!BM20+'T&amp;D Utilities'!BM20+'Generation &amp; Marketing'!BM20+'Transmission Holdco'!BM19+'AEP River'!BM19+Parent!BM19+'Vertically Integrated Utilities'!BM26+'T&amp;D Utilities'!BM25+'Generation &amp; Marketing'!BM25</f>
        <v>29.024999999999988</v>
      </c>
      <c r="BN27" s="146">
        <f>+'Vertically Integrated Utilities'!BN20+'T&amp;D Utilities'!BN20+'Generation &amp; Marketing'!BN20+'Transmission Holdco'!BN19+'AEP River'!BN19+Parent!BN19+'Vertically Integrated Utilities'!BN26+'T&amp;D Utilities'!BN25+'Generation &amp; Marketing'!BN25</f>
        <v>30.524999999999999</v>
      </c>
      <c r="BO27" s="146">
        <f>+'Vertically Integrated Utilities'!BO20+'T&amp;D Utilities'!BO20+'Generation &amp; Marketing'!BO20+'Transmission Holdco'!BO19+'AEP River'!BO19+Parent!BO19+'Vertically Integrated Utilities'!BO26+'T&amp;D Utilities'!BO25+'Generation &amp; Marketing'!BO25</f>
        <v>21.525000000000009</v>
      </c>
      <c r="BP27" s="147">
        <f>+'Vertically Integrated Utilities'!BP20+'T&amp;D Utilities'!BP20+'Generation &amp; Marketing'!BP20+'Transmission Holdco'!BP19+'AEP River'!BP19+Parent!BP19+'Vertically Integrated Utilities'!BP26+'T&amp;D Utilities'!BP25+'Generation &amp; Marketing'!BP25</f>
        <v>29.624999999999915</v>
      </c>
      <c r="BQ27" s="72">
        <f>SUM(BM27:BP27)</f>
        <v>110.6999999999999</v>
      </c>
      <c r="BR27" s="491"/>
      <c r="BS27" s="491"/>
      <c r="BV27" s="491"/>
    </row>
    <row r="28" spans="3:99">
      <c r="C28" s="56" t="s">
        <v>2</v>
      </c>
      <c r="D28" s="72"/>
      <c r="E28" s="152">
        <f>SUM(E26:E27)</f>
        <v>25</v>
      </c>
      <c r="F28" s="155">
        <f>SUM(F26:F27)</f>
        <v>32</v>
      </c>
      <c r="G28" s="155">
        <f>SUM(G26:G27)</f>
        <v>35</v>
      </c>
      <c r="H28" s="153">
        <f>I28-SUM(E28:G28)</f>
        <v>37</v>
      </c>
      <c r="I28" s="112">
        <f t="shared" ref="I28:N28" si="20">SUM(I26:I27)</f>
        <v>129</v>
      </c>
      <c r="J28" s="152">
        <f t="shared" si="20"/>
        <v>38</v>
      </c>
      <c r="K28" s="155">
        <f t="shared" si="20"/>
        <v>38</v>
      </c>
      <c r="L28" s="155">
        <f t="shared" si="20"/>
        <v>35</v>
      </c>
      <c r="M28" s="153">
        <f t="shared" si="20"/>
        <v>36</v>
      </c>
      <c r="N28" s="154">
        <f t="shared" si="20"/>
        <v>147</v>
      </c>
      <c r="O28" s="152">
        <f t="shared" ref="O28:AM28" si="21">SUM(O26:O27)</f>
        <v>45</v>
      </c>
      <c r="P28" s="155">
        <f t="shared" si="21"/>
        <v>40</v>
      </c>
      <c r="Q28" s="155">
        <f t="shared" si="21"/>
        <v>218</v>
      </c>
      <c r="R28" s="153">
        <f t="shared" si="21"/>
        <v>47</v>
      </c>
      <c r="S28" s="112">
        <f t="shared" si="21"/>
        <v>350</v>
      </c>
      <c r="T28" s="152">
        <f t="shared" si="21"/>
        <v>45</v>
      </c>
      <c r="U28" s="155">
        <f t="shared" si="21"/>
        <v>37</v>
      </c>
      <c r="V28" s="155">
        <f t="shared" si="21"/>
        <v>23</v>
      </c>
      <c r="W28" s="153">
        <f t="shared" si="21"/>
        <v>-251</v>
      </c>
      <c r="X28" s="154">
        <f t="shared" si="21"/>
        <v>-146</v>
      </c>
      <c r="Y28" s="152">
        <f t="shared" si="21"/>
        <v>22</v>
      </c>
      <c r="Z28" s="155">
        <f t="shared" si="21"/>
        <v>-80</v>
      </c>
      <c r="AA28" s="155">
        <f t="shared" si="21"/>
        <v>-114</v>
      </c>
      <c r="AB28" s="153">
        <f t="shared" si="21"/>
        <v>119</v>
      </c>
      <c r="AC28" s="154">
        <f t="shared" si="21"/>
        <v>-53</v>
      </c>
      <c r="AD28" s="152">
        <f t="shared" si="21"/>
        <v>29</v>
      </c>
      <c r="AE28" s="155">
        <f t="shared" si="21"/>
        <v>37</v>
      </c>
      <c r="AF28" s="155">
        <f t="shared" si="21"/>
        <v>35</v>
      </c>
      <c r="AG28" s="153">
        <f t="shared" si="21"/>
        <v>42</v>
      </c>
      <c r="AH28" s="154">
        <f t="shared" si="21"/>
        <v>143</v>
      </c>
      <c r="AI28" s="152">
        <f t="shared" si="21"/>
        <v>39</v>
      </c>
      <c r="AJ28" s="155">
        <f t="shared" si="21"/>
        <v>46</v>
      </c>
      <c r="AK28" s="155">
        <f t="shared" si="21"/>
        <v>36</v>
      </c>
      <c r="AL28" s="153">
        <f t="shared" si="21"/>
        <v>42.300000000000004</v>
      </c>
      <c r="AM28" s="154">
        <f t="shared" si="21"/>
        <v>163.30000000000001</v>
      </c>
      <c r="AN28" s="152">
        <f t="shared" ref="AN28:AS28" si="22">SUM(AN26:AN27)</f>
        <v>37.700000000000003</v>
      </c>
      <c r="AO28" s="155">
        <f t="shared" si="22"/>
        <v>37.5</v>
      </c>
      <c r="AP28" s="155">
        <f t="shared" si="22"/>
        <v>-2235.6000000000004</v>
      </c>
      <c r="AQ28" s="153">
        <f t="shared" si="22"/>
        <v>38.300000000000281</v>
      </c>
      <c r="AR28" s="154">
        <f t="shared" si="22"/>
        <v>-2122.1000000000004</v>
      </c>
      <c r="AS28" s="152">
        <f t="shared" si="22"/>
        <v>250.39999999999998</v>
      </c>
      <c r="AT28" s="155">
        <f t="shared" ref="AT28:BB28" si="23">SUM(AT26:AT27)</f>
        <v>27</v>
      </c>
      <c r="AU28" s="155">
        <f t="shared" si="23"/>
        <v>39.9</v>
      </c>
      <c r="AV28" s="153">
        <f t="shared" si="23"/>
        <v>-37.299999999999983</v>
      </c>
      <c r="AW28" s="154">
        <f t="shared" si="23"/>
        <v>280</v>
      </c>
      <c r="AX28" s="149">
        <f t="shared" si="23"/>
        <v>50.855783052624815</v>
      </c>
      <c r="AY28" s="150">
        <f t="shared" si="23"/>
        <v>53.35578305262483</v>
      </c>
      <c r="AZ28" s="150">
        <f t="shared" si="23"/>
        <v>41.355783052624837</v>
      </c>
      <c r="BA28" s="151">
        <f t="shared" si="23"/>
        <v>51.255783052624736</v>
      </c>
      <c r="BB28" s="112">
        <f t="shared" si="23"/>
        <v>196.82313221049921</v>
      </c>
      <c r="BC28" s="149">
        <f t="shared" ref="BC28:BL28" si="24">SUM(BC26:BC27)</f>
        <v>57.412821757977127</v>
      </c>
      <c r="BD28" s="150">
        <f t="shared" si="24"/>
        <v>58.912821757977142</v>
      </c>
      <c r="BE28" s="150">
        <f t="shared" si="24"/>
        <v>49.912821757977156</v>
      </c>
      <c r="BF28" s="151">
        <f t="shared" si="24"/>
        <v>58.012821757977058</v>
      </c>
      <c r="BG28" s="112">
        <f t="shared" si="24"/>
        <v>224.25128703190848</v>
      </c>
      <c r="BH28" s="149">
        <f t="shared" si="24"/>
        <v>59.754523178293518</v>
      </c>
      <c r="BI28" s="150">
        <f t="shared" si="24"/>
        <v>61.254523178293525</v>
      </c>
      <c r="BJ28" s="150">
        <f t="shared" si="24"/>
        <v>52.254523178293539</v>
      </c>
      <c r="BK28" s="151">
        <f t="shared" si="24"/>
        <v>60.354523178293448</v>
      </c>
      <c r="BL28" s="112">
        <f t="shared" si="24"/>
        <v>233.61809271317401</v>
      </c>
      <c r="BM28" s="149">
        <f>SUM(BM26:BM27)</f>
        <v>46.933470546714567</v>
      </c>
      <c r="BN28" s="150">
        <f>SUM(BN26:BN27)</f>
        <v>48.433470546714574</v>
      </c>
      <c r="BO28" s="150">
        <f>SUM(BO26:BO27)</f>
        <v>39.433470546714588</v>
      </c>
      <c r="BP28" s="151">
        <f>SUM(BP26:BP27)</f>
        <v>47.533470546714497</v>
      </c>
      <c r="BQ28" s="112">
        <f>SUM(BQ26:BQ27)</f>
        <v>182.3338821868582</v>
      </c>
      <c r="BR28" s="491"/>
      <c r="BS28" s="491"/>
      <c r="BV28" s="491"/>
    </row>
    <row r="29" spans="3:99">
      <c r="D29" s="72"/>
      <c r="E29" s="171"/>
      <c r="F29" s="172"/>
      <c r="G29" s="172"/>
      <c r="H29" s="173"/>
      <c r="I29" s="72"/>
      <c r="J29" s="171"/>
      <c r="K29" s="172"/>
      <c r="L29" s="172"/>
      <c r="M29" s="173"/>
      <c r="N29" s="72"/>
      <c r="O29" s="171"/>
      <c r="P29" s="172"/>
      <c r="Q29" s="172"/>
      <c r="R29" s="173"/>
      <c r="S29" s="72"/>
      <c r="T29" s="171"/>
      <c r="U29" s="172"/>
      <c r="V29" s="172"/>
      <c r="W29" s="173"/>
      <c r="X29" s="72"/>
      <c r="Y29" s="171"/>
      <c r="Z29" s="172"/>
      <c r="AA29" s="172"/>
      <c r="AB29" s="173"/>
      <c r="AC29" s="72"/>
      <c r="AD29" s="171"/>
      <c r="AE29" s="172"/>
      <c r="AF29" s="172"/>
      <c r="AG29" s="173"/>
      <c r="AH29" s="72"/>
      <c r="AI29" s="171"/>
      <c r="AJ29" s="172"/>
      <c r="AK29" s="172"/>
      <c r="AL29" s="173"/>
      <c r="AM29" s="72"/>
      <c r="AN29" s="171"/>
      <c r="AO29" s="172"/>
      <c r="AP29" s="172"/>
      <c r="AQ29" s="173"/>
      <c r="AR29" s="72"/>
      <c r="AS29" s="171"/>
      <c r="AT29" s="172"/>
      <c r="AU29" s="172"/>
      <c r="AV29" s="173"/>
      <c r="AW29" s="72"/>
      <c r="AX29" s="171"/>
      <c r="AY29" s="163"/>
      <c r="AZ29" s="163"/>
      <c r="BA29" s="147"/>
      <c r="BB29" s="72"/>
      <c r="BC29" s="171"/>
      <c r="BD29" s="163"/>
      <c r="BE29" s="163"/>
      <c r="BF29" s="147"/>
      <c r="BG29" s="72"/>
      <c r="BH29" s="171"/>
      <c r="BI29" s="163"/>
      <c r="BJ29" s="163"/>
      <c r="BK29" s="147"/>
      <c r="BL29" s="72"/>
      <c r="BM29" s="171"/>
      <c r="BN29" s="163"/>
      <c r="BO29" s="163"/>
      <c r="BP29" s="147"/>
      <c r="BQ29" s="72"/>
      <c r="BR29" s="491"/>
      <c r="BS29" s="491"/>
      <c r="BV29" s="491"/>
    </row>
    <row r="30" spans="3:99">
      <c r="C30" s="56" t="s">
        <v>3</v>
      </c>
      <c r="D30" s="72"/>
      <c r="E30" s="149">
        <f t="shared" ref="E30:Q30" si="25">E23+E28</f>
        <v>775</v>
      </c>
      <c r="F30" s="150">
        <f t="shared" si="25"/>
        <v>714</v>
      </c>
      <c r="G30" s="150">
        <f t="shared" si="25"/>
        <v>893</v>
      </c>
      <c r="H30" s="151">
        <f t="shared" si="25"/>
        <v>518</v>
      </c>
      <c r="I30" s="112">
        <f t="shared" si="25"/>
        <v>2900</v>
      </c>
      <c r="J30" s="149">
        <f t="shared" si="25"/>
        <v>796</v>
      </c>
      <c r="K30" s="150">
        <f t="shared" si="25"/>
        <v>432</v>
      </c>
      <c r="L30" s="150">
        <f t="shared" si="25"/>
        <v>1060</v>
      </c>
      <c r="M30" s="151">
        <f t="shared" si="25"/>
        <v>522</v>
      </c>
      <c r="N30" s="112">
        <f t="shared" si="25"/>
        <v>2810</v>
      </c>
      <c r="O30" s="149">
        <f t="shared" si="25"/>
        <v>867</v>
      </c>
      <c r="P30" s="150">
        <f t="shared" si="25"/>
        <v>757</v>
      </c>
      <c r="Q30" s="150">
        <f t="shared" si="25"/>
        <v>1207</v>
      </c>
      <c r="R30" s="151">
        <f t="shared" ref="R30:AC30" si="26">R23+R28</f>
        <v>408</v>
      </c>
      <c r="S30" s="112">
        <f t="shared" si="26"/>
        <v>3239</v>
      </c>
      <c r="T30" s="149">
        <f t="shared" si="26"/>
        <v>799</v>
      </c>
      <c r="U30" s="150">
        <f t="shared" si="26"/>
        <v>778</v>
      </c>
      <c r="V30" s="150">
        <f t="shared" si="26"/>
        <v>948</v>
      </c>
      <c r="W30" s="151">
        <f t="shared" si="26"/>
        <v>285</v>
      </c>
      <c r="X30" s="112">
        <f t="shared" si="26"/>
        <v>2810</v>
      </c>
      <c r="Y30" s="149">
        <f t="shared" si="26"/>
        <v>777</v>
      </c>
      <c r="Z30" s="150">
        <f t="shared" si="26"/>
        <v>621</v>
      </c>
      <c r="AA30" s="150">
        <f t="shared" si="26"/>
        <v>905</v>
      </c>
      <c r="AB30" s="151">
        <f t="shared" si="26"/>
        <v>713</v>
      </c>
      <c r="AC30" s="112">
        <f t="shared" si="26"/>
        <v>3016</v>
      </c>
      <c r="AD30" s="149">
        <f t="shared" ref="AD30:AR30" si="27">AD23+AD28</f>
        <v>1070</v>
      </c>
      <c r="AE30" s="150">
        <f t="shared" si="27"/>
        <v>804</v>
      </c>
      <c r="AF30" s="150">
        <f t="shared" si="27"/>
        <v>960</v>
      </c>
      <c r="AG30" s="151">
        <f t="shared" si="27"/>
        <v>541</v>
      </c>
      <c r="AH30" s="112">
        <f t="shared" si="27"/>
        <v>3375</v>
      </c>
      <c r="AI30" s="149">
        <f t="shared" si="27"/>
        <v>1163</v>
      </c>
      <c r="AJ30" s="150">
        <f t="shared" si="27"/>
        <v>855</v>
      </c>
      <c r="AK30" s="150">
        <f t="shared" si="27"/>
        <v>996</v>
      </c>
      <c r="AL30" s="151">
        <f t="shared" si="27"/>
        <v>482.80000000000092</v>
      </c>
      <c r="AM30" s="112">
        <f t="shared" si="27"/>
        <v>3496.8</v>
      </c>
      <c r="AN30" s="149">
        <f t="shared" si="27"/>
        <v>930.60000000000014</v>
      </c>
      <c r="AO30" s="150">
        <f t="shared" si="27"/>
        <v>903.70000000000027</v>
      </c>
      <c r="AP30" s="150">
        <f t="shared" si="27"/>
        <v>-1098.6000000000004</v>
      </c>
      <c r="AQ30" s="151">
        <f t="shared" si="27"/>
        <v>617.09999999999957</v>
      </c>
      <c r="AR30" s="112">
        <f t="shared" si="27"/>
        <v>1352.7999999999993</v>
      </c>
      <c r="AS30" s="149">
        <f>AS23+AS28</f>
        <v>1132.2000000000003</v>
      </c>
      <c r="AT30" s="150">
        <f t="shared" ref="AT30:BB30" si="28">AT23+AT28</f>
        <v>773.69999999999982</v>
      </c>
      <c r="AU30" s="150">
        <f t="shared" si="28"/>
        <v>1023.9</v>
      </c>
      <c r="AV30" s="151">
        <f t="shared" si="28"/>
        <v>781.39999999999941</v>
      </c>
      <c r="AW30" s="112">
        <f t="shared" si="28"/>
        <v>3711.1999999999989</v>
      </c>
      <c r="AX30" s="149">
        <f t="shared" si="28"/>
        <v>832.59108778331176</v>
      </c>
      <c r="AY30" s="150">
        <f t="shared" si="28"/>
        <v>748.75353963747841</v>
      </c>
      <c r="AZ30" s="150">
        <f t="shared" si="28"/>
        <v>1034.8194220831831</v>
      </c>
      <c r="BA30" s="151">
        <f t="shared" si="28"/>
        <v>798.665730541431</v>
      </c>
      <c r="BB30" s="112">
        <f t="shared" si="28"/>
        <v>3414.8297800454047</v>
      </c>
      <c r="BC30" s="149">
        <f t="shared" ref="BC30:BL30" si="29">BC23+BC28</f>
        <v>965.70559365675558</v>
      </c>
      <c r="BD30" s="150">
        <f t="shared" si="29"/>
        <v>828.12177844921257</v>
      </c>
      <c r="BE30" s="150">
        <f t="shared" si="29"/>
        <v>1102.9600315813097</v>
      </c>
      <c r="BF30" s="151">
        <f t="shared" si="29"/>
        <v>859.74760400493301</v>
      </c>
      <c r="BG30" s="112">
        <f t="shared" si="29"/>
        <v>3756.5350076922118</v>
      </c>
      <c r="BH30" s="149">
        <f t="shared" si="29"/>
        <v>1031.3473300909598</v>
      </c>
      <c r="BI30" s="150">
        <f t="shared" si="29"/>
        <v>910.63686981984461</v>
      </c>
      <c r="BJ30" s="150">
        <f t="shared" si="29"/>
        <v>1213.8474839408775</v>
      </c>
      <c r="BK30" s="151">
        <f t="shared" si="29"/>
        <v>935.6722210046953</v>
      </c>
      <c r="BL30" s="112">
        <f t="shared" si="29"/>
        <v>4091.5039048563763</v>
      </c>
      <c r="BM30" s="149">
        <f>BM23+BM28</f>
        <v>1146.1316497603211</v>
      </c>
      <c r="BN30" s="150">
        <f>BN23+BN28</f>
        <v>1041.604216369547</v>
      </c>
      <c r="BO30" s="150">
        <f>BO23+BO28</f>
        <v>1326.2848927553778</v>
      </c>
      <c r="BP30" s="151">
        <f>BP23+BP28</f>
        <v>1044.1296263973477</v>
      </c>
      <c r="BQ30" s="112">
        <f>BQ23+BQ28</f>
        <v>4558.1503852825954</v>
      </c>
      <c r="BR30" s="491"/>
      <c r="BS30" s="491"/>
      <c r="BV30" s="491"/>
    </row>
    <row r="31" spans="3:99">
      <c r="C31" s="56" t="s">
        <v>4</v>
      </c>
      <c r="D31" s="72"/>
      <c r="E31" s="149">
        <f t="shared" ref="E31:AF31" si="30">+E30+E13</f>
        <v>1157</v>
      </c>
      <c r="F31" s="150">
        <f t="shared" si="30"/>
        <v>1111</v>
      </c>
      <c r="G31" s="150">
        <f t="shared" si="30"/>
        <v>1314</v>
      </c>
      <c r="H31" s="151">
        <f t="shared" si="30"/>
        <v>915</v>
      </c>
      <c r="I31" s="112">
        <f t="shared" si="30"/>
        <v>4497</v>
      </c>
      <c r="J31" s="149">
        <f t="shared" si="30"/>
        <v>1204</v>
      </c>
      <c r="K31" s="150">
        <f t="shared" si="30"/>
        <v>837</v>
      </c>
      <c r="L31" s="150">
        <f t="shared" si="30"/>
        <v>1484</v>
      </c>
      <c r="M31" s="151">
        <f t="shared" si="30"/>
        <v>926</v>
      </c>
      <c r="N31" s="112">
        <f t="shared" si="30"/>
        <v>4451</v>
      </c>
      <c r="O31" s="149">
        <f t="shared" si="30"/>
        <v>1270</v>
      </c>
      <c r="P31" s="150">
        <f t="shared" si="30"/>
        <v>1167</v>
      </c>
      <c r="Q31" s="150">
        <f t="shared" si="30"/>
        <v>1652</v>
      </c>
      <c r="R31" s="151">
        <f t="shared" si="30"/>
        <v>805</v>
      </c>
      <c r="S31" s="112">
        <f t="shared" si="30"/>
        <v>4894</v>
      </c>
      <c r="T31" s="149">
        <f t="shared" si="30"/>
        <v>1222</v>
      </c>
      <c r="U31" s="150">
        <f t="shared" si="30"/>
        <v>1238</v>
      </c>
      <c r="V31" s="150">
        <f t="shared" si="30"/>
        <v>1418</v>
      </c>
      <c r="W31" s="151">
        <f t="shared" si="30"/>
        <v>714</v>
      </c>
      <c r="X31" s="112">
        <f t="shared" si="30"/>
        <v>4592</v>
      </c>
      <c r="Y31" s="149">
        <f t="shared" si="30"/>
        <v>1197</v>
      </c>
      <c r="Z31" s="150">
        <f t="shared" si="30"/>
        <v>1064</v>
      </c>
      <c r="AA31" s="150">
        <f t="shared" si="30"/>
        <v>1352</v>
      </c>
      <c r="AB31" s="151">
        <f t="shared" si="30"/>
        <v>1146</v>
      </c>
      <c r="AC31" s="112">
        <f t="shared" si="30"/>
        <v>4759</v>
      </c>
      <c r="AD31" s="149">
        <f t="shared" si="30"/>
        <v>1561</v>
      </c>
      <c r="AE31" s="150">
        <f t="shared" si="30"/>
        <v>1247</v>
      </c>
      <c r="AF31" s="150">
        <f t="shared" si="30"/>
        <v>1467</v>
      </c>
      <c r="AG31" s="151">
        <f t="shared" ref="AG31:AM31" si="31">+AG30+AG13</f>
        <v>1029</v>
      </c>
      <c r="AH31" s="112">
        <f t="shared" si="31"/>
        <v>5304</v>
      </c>
      <c r="AI31" s="149">
        <f t="shared" si="31"/>
        <v>1668</v>
      </c>
      <c r="AJ31" s="150">
        <f t="shared" si="31"/>
        <v>1361</v>
      </c>
      <c r="AK31" s="150">
        <f t="shared" si="31"/>
        <v>1531</v>
      </c>
      <c r="AL31" s="151">
        <f t="shared" si="31"/>
        <v>946.50000000000091</v>
      </c>
      <c r="AM31" s="112">
        <f t="shared" si="31"/>
        <v>5506.5</v>
      </c>
      <c r="AN31" s="149">
        <f t="shared" ref="AN31:AS31" si="32">+AN30+AN13</f>
        <v>1427.7000000000003</v>
      </c>
      <c r="AO31" s="150">
        <f t="shared" si="32"/>
        <v>1417.5000000000002</v>
      </c>
      <c r="AP31" s="150">
        <f t="shared" si="32"/>
        <v>-559.30000000000041</v>
      </c>
      <c r="AQ31" s="151">
        <f t="shared" si="32"/>
        <v>1029.1999999999998</v>
      </c>
      <c r="AR31" s="112">
        <f t="shared" si="32"/>
        <v>3315.0999999999995</v>
      </c>
      <c r="AS31" s="149">
        <f t="shared" si="32"/>
        <v>1614.1000000000004</v>
      </c>
      <c r="AT31" s="150">
        <f t="shared" ref="AT31:BB31" si="33">+AT30+AT13</f>
        <v>1259.1999999999998</v>
      </c>
      <c r="AU31" s="150">
        <f t="shared" si="33"/>
        <v>1542.4</v>
      </c>
      <c r="AV31" s="151">
        <f t="shared" si="33"/>
        <v>1292.6999999999994</v>
      </c>
      <c r="AW31" s="112">
        <f t="shared" si="33"/>
        <v>5708.3999999999987</v>
      </c>
      <c r="AX31" s="149">
        <f t="shared" si="33"/>
        <v>1354.2699132196569</v>
      </c>
      <c r="AY31" s="150">
        <f t="shared" si="33"/>
        <v>1270.0185805403864</v>
      </c>
      <c r="AZ31" s="150">
        <f t="shared" si="33"/>
        <v>1561.9184259106096</v>
      </c>
      <c r="BA31" s="151">
        <f t="shared" si="33"/>
        <v>1334.889458214737</v>
      </c>
      <c r="BB31" s="112">
        <f t="shared" si="33"/>
        <v>5521.0963778853902</v>
      </c>
      <c r="BC31" s="149">
        <f t="shared" ref="BC31:BL31" si="34">+BC30+BC13</f>
        <v>1511.9692449523154</v>
      </c>
      <c r="BD31" s="150">
        <f t="shared" si="34"/>
        <v>1379.7329603714397</v>
      </c>
      <c r="BE31" s="150">
        <f t="shared" si="34"/>
        <v>1660.8705830412218</v>
      </c>
      <c r="BF31" s="151">
        <f t="shared" si="34"/>
        <v>1427.2504548722354</v>
      </c>
      <c r="BG31" s="112">
        <f t="shared" si="34"/>
        <v>5979.8232432372133</v>
      </c>
      <c r="BH31" s="149">
        <f t="shared" si="34"/>
        <v>1615.1514502381124</v>
      </c>
      <c r="BI31" s="150">
        <f t="shared" si="34"/>
        <v>1504.9816378761534</v>
      </c>
      <c r="BJ31" s="150">
        <f t="shared" si="34"/>
        <v>1811.9940275378931</v>
      </c>
      <c r="BK31" s="151">
        <f t="shared" si="34"/>
        <v>1540.9430022073961</v>
      </c>
      <c r="BL31" s="112">
        <f t="shared" si="34"/>
        <v>6473.0701178595536</v>
      </c>
      <c r="BM31" s="149">
        <f>+BM30+BM13</f>
        <v>1766.3746206003366</v>
      </c>
      <c r="BN31" s="150">
        <f>+BN30+BN13</f>
        <v>1680.0046533326497</v>
      </c>
      <c r="BO31" s="150">
        <f>+BO30+BO13</f>
        <v>1966.5993596601193</v>
      </c>
      <c r="BP31" s="151">
        <f>+BP30+BP13</f>
        <v>1689.7019868994698</v>
      </c>
      <c r="BQ31" s="112">
        <f>+BQ30+BQ13</f>
        <v>7102.680620492577</v>
      </c>
      <c r="BR31" s="491"/>
      <c r="BS31" s="491"/>
      <c r="BV31" s="491"/>
    </row>
    <row r="32" spans="3:99">
      <c r="D32" s="72"/>
      <c r="E32" s="171"/>
      <c r="F32" s="172"/>
      <c r="G32" s="172"/>
      <c r="H32" s="173"/>
      <c r="I32" s="72"/>
      <c r="J32" s="171"/>
      <c r="K32" s="172"/>
      <c r="L32" s="172"/>
      <c r="M32" s="173"/>
      <c r="N32" s="72"/>
      <c r="O32" s="171"/>
      <c r="P32" s="172"/>
      <c r="Q32" s="172"/>
      <c r="R32" s="173"/>
      <c r="S32" s="72"/>
      <c r="T32" s="171"/>
      <c r="U32" s="172"/>
      <c r="V32" s="172"/>
      <c r="W32" s="173"/>
      <c r="X32" s="72"/>
      <c r="Y32" s="171"/>
      <c r="Z32" s="172"/>
      <c r="AA32" s="172"/>
      <c r="AB32" s="173"/>
      <c r="AC32" s="72"/>
      <c r="AD32" s="171"/>
      <c r="AE32" s="172"/>
      <c r="AF32" s="172"/>
      <c r="AG32" s="173"/>
      <c r="AH32" s="72"/>
      <c r="AI32" s="171"/>
      <c r="AJ32" s="172"/>
      <c r="AK32" s="172"/>
      <c r="AL32" s="173"/>
      <c r="AM32" s="72"/>
      <c r="AN32" s="171"/>
      <c r="AO32" s="172"/>
      <c r="AP32" s="172"/>
      <c r="AQ32" s="173"/>
      <c r="AR32" s="72"/>
      <c r="AS32" s="171"/>
      <c r="AT32" s="172"/>
      <c r="AU32" s="172"/>
      <c r="AV32" s="173"/>
      <c r="AW32" s="72"/>
      <c r="AX32" s="171"/>
      <c r="AY32" s="163"/>
      <c r="AZ32" s="163"/>
      <c r="BA32" s="147"/>
      <c r="BB32" s="72"/>
      <c r="BC32" s="171"/>
      <c r="BD32" s="163"/>
      <c r="BE32" s="163"/>
      <c r="BF32" s="147"/>
      <c r="BG32" s="72"/>
      <c r="BH32" s="171"/>
      <c r="BI32" s="163"/>
      <c r="BJ32" s="163"/>
      <c r="BK32" s="147"/>
      <c r="BL32" s="72"/>
      <c r="BM32" s="171"/>
      <c r="BN32" s="163"/>
      <c r="BO32" s="163"/>
      <c r="BP32" s="147"/>
      <c r="BQ32" s="72"/>
      <c r="BR32" s="491"/>
      <c r="BS32" s="491"/>
      <c r="BV32" s="491"/>
    </row>
    <row r="33" spans="1:99" s="1299" customFormat="1">
      <c r="A33" s="1272"/>
      <c r="B33" s="1272"/>
      <c r="C33" s="1272" t="s">
        <v>6</v>
      </c>
      <c r="D33" s="1206"/>
      <c r="E33" s="142">
        <v>233</v>
      </c>
      <c r="F33" s="143">
        <v>245</v>
      </c>
      <c r="G33" s="143">
        <v>243</v>
      </c>
      <c r="H33" s="157">
        <f>I33-SUM(E33:G33)</f>
        <v>241</v>
      </c>
      <c r="I33" s="781">
        <v>962</v>
      </c>
      <c r="J33" s="1291">
        <v>247</v>
      </c>
      <c r="K33" s="1292">
        <v>231</v>
      </c>
      <c r="L33" s="1292">
        <v>248</v>
      </c>
      <c r="M33" s="157">
        <f>N33-SUM(J33:L33)</f>
        <v>235</v>
      </c>
      <c r="N33" s="781">
        <v>961</v>
      </c>
      <c r="O33" s="1291">
        <v>240</v>
      </c>
      <c r="P33" s="1292">
        <v>236</v>
      </c>
      <c r="Q33" s="1292">
        <v>223</v>
      </c>
      <c r="R33" s="157">
        <f>S33-SUM(O33:Q33)</f>
        <v>189</v>
      </c>
      <c r="S33" s="1293">
        <v>888</v>
      </c>
      <c r="T33" s="1291">
        <v>229</v>
      </c>
      <c r="U33" s="1292">
        <v>235</v>
      </c>
      <c r="V33" s="1292">
        <v>233</v>
      </c>
      <c r="W33" s="157">
        <f>X33-SUM(T33:V33)</f>
        <v>291</v>
      </c>
      <c r="X33" s="781">
        <v>988</v>
      </c>
      <c r="Y33" s="1291">
        <v>232</v>
      </c>
      <c r="Z33" s="1292">
        <v>228</v>
      </c>
      <c r="AA33" s="1292">
        <v>225</v>
      </c>
      <c r="AB33" s="157">
        <f>AC33-SUM(Y33:AA33)</f>
        <v>221</v>
      </c>
      <c r="AC33" s="781">
        <v>906</v>
      </c>
      <c r="AD33" s="1291">
        <v>220</v>
      </c>
      <c r="AE33" s="1292">
        <v>221</v>
      </c>
      <c r="AF33" s="1292">
        <v>221</v>
      </c>
      <c r="AG33" s="157">
        <f>AH33-SUM(AD33:AF33)</f>
        <v>223</v>
      </c>
      <c r="AH33" s="781">
        <v>885</v>
      </c>
      <c r="AI33" s="1291">
        <v>223</v>
      </c>
      <c r="AJ33" s="1292">
        <v>224</v>
      </c>
      <c r="AK33" s="1292">
        <v>221</v>
      </c>
      <c r="AL33" s="157">
        <f>AM33-SUM(AI33:AK33)</f>
        <v>205.89999999999998</v>
      </c>
      <c r="AM33" s="781">
        <v>873.9</v>
      </c>
      <c r="AN33" s="1291">
        <v>217</v>
      </c>
      <c r="AO33" s="1292">
        <v>224.9</v>
      </c>
      <c r="AP33" s="1292">
        <v>225.3</v>
      </c>
      <c r="AQ33" s="157">
        <f>AR33-SUM(AN33:AP33)</f>
        <v>210</v>
      </c>
      <c r="AR33" s="781">
        <v>877.2</v>
      </c>
      <c r="AS33" s="1291">
        <v>221.8</v>
      </c>
      <c r="AT33" s="1292">
        <v>222.9</v>
      </c>
      <c r="AU33" s="1292">
        <v>223.3</v>
      </c>
      <c r="AV33" s="157">
        <f>AW33-SUM(AS33:AU33)</f>
        <v>227</v>
      </c>
      <c r="AW33" s="781">
        <v>895</v>
      </c>
      <c r="AX33" s="1296">
        <f>+AS33+AX113</f>
        <v>225.48623203762335</v>
      </c>
      <c r="AY33" s="1297">
        <f>+AT33+AY113</f>
        <v>245.04034611490081</v>
      </c>
      <c r="AZ33" s="1297">
        <f>+AU33+AZ113</f>
        <v>262.15940664419441</v>
      </c>
      <c r="BA33" s="1294">
        <f>+AV33+BA113</f>
        <v>264.16303117259218</v>
      </c>
      <c r="BB33" s="1295">
        <f>SUM(AX33:BA33)</f>
        <v>996.84901596931081</v>
      </c>
      <c r="BC33" s="1296">
        <f>+AX33+BC113</f>
        <v>249.01887329627391</v>
      </c>
      <c r="BD33" s="1297">
        <f>+AY33+BD113</f>
        <v>255.45650930854831</v>
      </c>
      <c r="BE33" s="1297">
        <f>+AZ33+BE113</f>
        <v>335.61992598402185</v>
      </c>
      <c r="BF33" s="1294">
        <f>+BA33+BF113</f>
        <v>304.37862041074447</v>
      </c>
      <c r="BG33" s="1295">
        <f>SUM(BC33:BF33)</f>
        <v>1144.4739289995887</v>
      </c>
      <c r="BH33" s="1296">
        <f>+BC33+BH113</f>
        <v>301.59460126169739</v>
      </c>
      <c r="BI33" s="1297">
        <f>+BD33+BI113</f>
        <v>306.1568692412871</v>
      </c>
      <c r="BJ33" s="1297">
        <f>+BE33+BJ113</f>
        <v>351.46300293208338</v>
      </c>
      <c r="BK33" s="1294">
        <f>+BF33+BK113</f>
        <v>316.77346360279455</v>
      </c>
      <c r="BL33" s="1295">
        <f>SUM(BH33:BK33)</f>
        <v>1275.9879370378626</v>
      </c>
      <c r="BM33" s="1296">
        <f>+BH33+BM113</f>
        <v>311.07940293550791</v>
      </c>
      <c r="BN33" s="1297">
        <f>+BI33+BN113</f>
        <v>321.31560382150894</v>
      </c>
      <c r="BO33" s="1297">
        <f>+BJ33+BO113</f>
        <v>399.10839618438172</v>
      </c>
      <c r="BP33" s="1294">
        <f>+BK33+BP113</f>
        <v>338.30352148049968</v>
      </c>
      <c r="BQ33" s="1295">
        <f>SUM(BM33:BP33)</f>
        <v>1369.8069244218984</v>
      </c>
      <c r="BR33" s="1298"/>
      <c r="BS33" s="1298"/>
      <c r="BT33"/>
      <c r="BU33"/>
      <c r="BV33" s="1298"/>
      <c r="BY33"/>
      <c r="BZ33"/>
      <c r="CA33"/>
      <c r="CB33"/>
      <c r="CC33"/>
      <c r="CD33"/>
    </row>
    <row r="34" spans="1:99">
      <c r="C34" s="50"/>
      <c r="D34" s="72"/>
      <c r="E34" s="171"/>
      <c r="F34" s="172"/>
      <c r="G34" s="172"/>
      <c r="H34" s="173"/>
      <c r="I34" s="72"/>
      <c r="J34" s="171"/>
      <c r="K34" s="172"/>
      <c r="L34" s="172"/>
      <c r="M34" s="173"/>
      <c r="N34" s="72"/>
      <c r="O34" s="171"/>
      <c r="P34" s="172"/>
      <c r="Q34" s="172"/>
      <c r="R34" s="173"/>
      <c r="S34" s="72"/>
      <c r="T34" s="171"/>
      <c r="U34" s="172"/>
      <c r="V34" s="172"/>
      <c r="W34" s="173"/>
      <c r="X34" s="72"/>
      <c r="Y34" s="171"/>
      <c r="Z34" s="172"/>
      <c r="AA34" s="172"/>
      <c r="AB34" s="173"/>
      <c r="AC34" s="72"/>
      <c r="AD34" s="171"/>
      <c r="AE34" s="172"/>
      <c r="AF34" s="172"/>
      <c r="AG34" s="173"/>
      <c r="AH34" s="72"/>
      <c r="AI34" s="171"/>
      <c r="AJ34" s="172"/>
      <c r="AK34" s="172"/>
      <c r="AL34" s="173"/>
      <c r="AM34" s="72"/>
      <c r="AN34" s="171"/>
      <c r="AO34" s="172"/>
      <c r="AP34" s="172"/>
      <c r="AQ34" s="173"/>
      <c r="AR34" s="72"/>
      <c r="AS34" s="171"/>
      <c r="AT34" s="172"/>
      <c r="AU34" s="172"/>
      <c r="AV34" s="173"/>
      <c r="AW34" s="72"/>
      <c r="AX34" s="171"/>
      <c r="AY34" s="163"/>
      <c r="AZ34" s="163"/>
      <c r="BA34" s="147"/>
      <c r="BB34" s="72"/>
      <c r="BC34" s="171"/>
      <c r="BD34" s="163"/>
      <c r="BE34" s="163"/>
      <c r="BF34" s="147"/>
      <c r="BG34" s="72"/>
      <c r="BH34" s="171"/>
      <c r="BI34" s="163"/>
      <c r="BJ34" s="163"/>
      <c r="BK34" s="147"/>
      <c r="BL34" s="72"/>
      <c r="BM34" s="171"/>
      <c r="BN34" s="163"/>
      <c r="BO34" s="163"/>
      <c r="BP34" s="147"/>
      <c r="BQ34" s="72"/>
      <c r="BR34" s="72"/>
      <c r="BS34" s="72"/>
      <c r="BV34" s="491"/>
    </row>
    <row r="35" spans="1:99">
      <c r="C35" s="56" t="s">
        <v>7</v>
      </c>
      <c r="D35" s="109"/>
      <c r="E35" s="149">
        <f t="shared" ref="E35:U35" si="35">+E30-E33</f>
        <v>542</v>
      </c>
      <c r="F35" s="150">
        <f t="shared" si="35"/>
        <v>469</v>
      </c>
      <c r="G35" s="150">
        <f t="shared" si="35"/>
        <v>650</v>
      </c>
      <c r="H35" s="151">
        <f t="shared" si="35"/>
        <v>277</v>
      </c>
      <c r="I35" s="112">
        <f t="shared" si="35"/>
        <v>1938</v>
      </c>
      <c r="J35" s="149">
        <f t="shared" si="35"/>
        <v>549</v>
      </c>
      <c r="K35" s="150">
        <f t="shared" si="35"/>
        <v>201</v>
      </c>
      <c r="L35" s="150">
        <f t="shared" si="35"/>
        <v>812</v>
      </c>
      <c r="M35" s="151">
        <f t="shared" si="35"/>
        <v>287</v>
      </c>
      <c r="N35" s="112">
        <f t="shared" si="35"/>
        <v>1849</v>
      </c>
      <c r="O35" s="149">
        <f t="shared" si="35"/>
        <v>627</v>
      </c>
      <c r="P35" s="150">
        <f t="shared" si="35"/>
        <v>521</v>
      </c>
      <c r="Q35" s="150">
        <f t="shared" si="35"/>
        <v>984</v>
      </c>
      <c r="R35" s="151">
        <f>+R30-R33</f>
        <v>219</v>
      </c>
      <c r="S35" s="112">
        <f t="shared" si="35"/>
        <v>2351</v>
      </c>
      <c r="T35" s="149">
        <f t="shared" si="35"/>
        <v>570</v>
      </c>
      <c r="U35" s="150">
        <f t="shared" si="35"/>
        <v>543</v>
      </c>
      <c r="V35" s="150">
        <f t="shared" ref="V35:AE35" si="36">+V30-V33</f>
        <v>715</v>
      </c>
      <c r="W35" s="151">
        <f t="shared" si="36"/>
        <v>-6</v>
      </c>
      <c r="X35" s="112">
        <f t="shared" si="36"/>
        <v>1822</v>
      </c>
      <c r="Y35" s="149">
        <f t="shared" si="36"/>
        <v>545</v>
      </c>
      <c r="Z35" s="150">
        <f t="shared" si="36"/>
        <v>393</v>
      </c>
      <c r="AA35" s="150">
        <f t="shared" si="36"/>
        <v>680</v>
      </c>
      <c r="AB35" s="151">
        <f t="shared" si="36"/>
        <v>492</v>
      </c>
      <c r="AC35" s="112">
        <f t="shared" si="36"/>
        <v>2110</v>
      </c>
      <c r="AD35" s="149">
        <f t="shared" si="36"/>
        <v>850</v>
      </c>
      <c r="AE35" s="150">
        <f t="shared" si="36"/>
        <v>583</v>
      </c>
      <c r="AF35" s="150">
        <f t="shared" ref="AF35:AM35" si="37">+AF30-AF33</f>
        <v>739</v>
      </c>
      <c r="AG35" s="151">
        <f t="shared" si="37"/>
        <v>318</v>
      </c>
      <c r="AH35" s="112">
        <f t="shared" si="37"/>
        <v>2490</v>
      </c>
      <c r="AI35" s="149">
        <f t="shared" si="37"/>
        <v>940</v>
      </c>
      <c r="AJ35" s="150">
        <f t="shared" si="37"/>
        <v>631</v>
      </c>
      <c r="AK35" s="150">
        <f t="shared" si="37"/>
        <v>775</v>
      </c>
      <c r="AL35" s="151">
        <f t="shared" si="37"/>
        <v>276.90000000000094</v>
      </c>
      <c r="AM35" s="112">
        <f t="shared" si="37"/>
        <v>2622.9</v>
      </c>
      <c r="AN35" s="149">
        <f t="shared" ref="AN35:AS35" si="38">+AN30-AN33</f>
        <v>713.60000000000014</v>
      </c>
      <c r="AO35" s="150">
        <f t="shared" si="38"/>
        <v>678.8000000000003</v>
      </c>
      <c r="AP35" s="150">
        <f t="shared" si="38"/>
        <v>-1323.9000000000003</v>
      </c>
      <c r="AQ35" s="151">
        <f t="shared" si="38"/>
        <v>407.09999999999957</v>
      </c>
      <c r="AR35" s="112">
        <f t="shared" si="38"/>
        <v>475.59999999999923</v>
      </c>
      <c r="AS35" s="149">
        <f t="shared" si="38"/>
        <v>910.40000000000032</v>
      </c>
      <c r="AT35" s="150">
        <f t="shared" ref="AT35:BB35" si="39">+AT30-AT33</f>
        <v>550.79999999999984</v>
      </c>
      <c r="AU35" s="150">
        <f t="shared" si="39"/>
        <v>800.59999999999991</v>
      </c>
      <c r="AV35" s="151">
        <f t="shared" si="39"/>
        <v>554.39999999999941</v>
      </c>
      <c r="AW35" s="112">
        <f t="shared" si="39"/>
        <v>2816.1999999999989</v>
      </c>
      <c r="AX35" s="149">
        <f t="shared" si="39"/>
        <v>607.10485574568838</v>
      </c>
      <c r="AY35" s="150">
        <f t="shared" si="39"/>
        <v>503.71319352257763</v>
      </c>
      <c r="AZ35" s="150">
        <f t="shared" si="39"/>
        <v>772.66001543898869</v>
      </c>
      <c r="BA35" s="151">
        <f t="shared" si="39"/>
        <v>534.50269936883888</v>
      </c>
      <c r="BB35" s="112">
        <f t="shared" si="39"/>
        <v>2417.9807640760937</v>
      </c>
      <c r="BC35" s="149">
        <f t="shared" ref="BC35:BL35" si="40">+BC30-BC33</f>
        <v>716.68672036048167</v>
      </c>
      <c r="BD35" s="150">
        <f t="shared" si="40"/>
        <v>572.66526914066424</v>
      </c>
      <c r="BE35" s="150">
        <f t="shared" si="40"/>
        <v>767.3401055972879</v>
      </c>
      <c r="BF35" s="151">
        <f t="shared" si="40"/>
        <v>555.36898359418853</v>
      </c>
      <c r="BG35" s="112">
        <f t="shared" si="40"/>
        <v>2612.0610786926231</v>
      </c>
      <c r="BH35" s="149">
        <f t="shared" si="40"/>
        <v>729.75272882926242</v>
      </c>
      <c r="BI35" s="150">
        <f t="shared" si="40"/>
        <v>604.48000057855756</v>
      </c>
      <c r="BJ35" s="150">
        <f t="shared" si="40"/>
        <v>862.38448100879418</v>
      </c>
      <c r="BK35" s="151">
        <f t="shared" si="40"/>
        <v>618.89875740190075</v>
      </c>
      <c r="BL35" s="112">
        <f t="shared" si="40"/>
        <v>2815.5159678185137</v>
      </c>
      <c r="BM35" s="149">
        <f>+BM30-BM33</f>
        <v>835.05224682481321</v>
      </c>
      <c r="BN35" s="150">
        <f>+BN30-BN33</f>
        <v>720.28861254803803</v>
      </c>
      <c r="BO35" s="150">
        <f>+BO30-BO33</f>
        <v>927.17649657099605</v>
      </c>
      <c r="BP35" s="151">
        <f>+BP30-BP33</f>
        <v>705.82610491684795</v>
      </c>
      <c r="BQ35" s="112">
        <f>+BQ30-BQ33</f>
        <v>3188.3434608606967</v>
      </c>
      <c r="BR35" s="72"/>
      <c r="BS35" s="72"/>
      <c r="BV35" s="491"/>
    </row>
    <row r="36" spans="1:99">
      <c r="D36" s="72"/>
      <c r="E36" s="148"/>
      <c r="F36" s="163"/>
      <c r="G36" s="163"/>
      <c r="H36" s="147"/>
      <c r="I36" s="72"/>
      <c r="J36" s="148"/>
      <c r="K36" s="163"/>
      <c r="L36" s="163"/>
      <c r="M36" s="147"/>
      <c r="N36" s="72"/>
      <c r="O36" s="148"/>
      <c r="P36" s="163"/>
      <c r="Q36" s="163"/>
      <c r="R36" s="147"/>
      <c r="S36" s="72"/>
      <c r="T36" s="148"/>
      <c r="U36" s="163"/>
      <c r="V36" s="163"/>
      <c r="W36" s="147"/>
      <c r="X36" s="72"/>
      <c r="Y36" s="148"/>
      <c r="Z36" s="163"/>
      <c r="AA36" s="163"/>
      <c r="AB36" s="147"/>
      <c r="AC36" s="72"/>
      <c r="AD36" s="148"/>
      <c r="AE36" s="163"/>
      <c r="AF36" s="163"/>
      <c r="AG36" s="147"/>
      <c r="AH36" s="72"/>
      <c r="AI36" s="148"/>
      <c r="AJ36" s="163"/>
      <c r="AK36" s="163"/>
      <c r="AL36" s="147"/>
      <c r="AM36" s="72"/>
      <c r="AN36" s="148"/>
      <c r="AO36" s="163"/>
      <c r="AP36" s="163"/>
      <c r="AQ36" s="147"/>
      <c r="AR36" s="72"/>
      <c r="AS36" s="148"/>
      <c r="AT36" s="163"/>
      <c r="AU36" s="163"/>
      <c r="AV36" s="147"/>
      <c r="AW36" s="72"/>
      <c r="AX36" s="148"/>
      <c r="AY36" s="163"/>
      <c r="AZ36" s="163"/>
      <c r="BA36" s="147"/>
      <c r="BB36" s="72"/>
      <c r="BC36" s="148"/>
      <c r="BD36" s="163"/>
      <c r="BE36" s="163"/>
      <c r="BF36" s="147"/>
      <c r="BG36" s="72"/>
      <c r="BH36" s="148"/>
      <c r="BI36" s="163"/>
      <c r="BJ36" s="163"/>
      <c r="BK36" s="147"/>
      <c r="BL36" s="72"/>
      <c r="BM36" s="148"/>
      <c r="BN36" s="163"/>
      <c r="BO36" s="163"/>
      <c r="BP36" s="147"/>
      <c r="BQ36" s="72"/>
      <c r="BR36" s="72"/>
      <c r="BS36" s="72"/>
      <c r="CP36" s="72"/>
    </row>
    <row r="37" spans="1:99">
      <c r="C37" t="s">
        <v>8</v>
      </c>
      <c r="D37" s="72"/>
      <c r="E37" s="142">
        <v>179</v>
      </c>
      <c r="F37" s="143">
        <v>148</v>
      </c>
      <c r="G37" s="143">
        <v>208</v>
      </c>
      <c r="H37" s="157">
        <f>I37-SUM(E37:G37)</f>
        <v>40</v>
      </c>
      <c r="I37" s="145">
        <v>575</v>
      </c>
      <c r="J37" s="142">
        <v>207</v>
      </c>
      <c r="K37" s="143">
        <v>65</v>
      </c>
      <c r="L37" s="143">
        <v>258</v>
      </c>
      <c r="M37" s="157">
        <f>N37-SUM(J37:L37)</f>
        <v>113</v>
      </c>
      <c r="N37" s="145">
        <v>643</v>
      </c>
      <c r="O37" s="142">
        <v>278</v>
      </c>
      <c r="P37" s="143">
        <v>174</v>
      </c>
      <c r="Q37" s="143">
        <v>334</v>
      </c>
      <c r="R37" s="157">
        <f>S37-SUM(O37:Q37)</f>
        <v>16</v>
      </c>
      <c r="S37" s="1024">
        <v>802</v>
      </c>
      <c r="T37" s="142">
        <v>189</v>
      </c>
      <c r="U37" s="143">
        <v>190</v>
      </c>
      <c r="V37" s="143">
        <v>241</v>
      </c>
      <c r="W37" s="157">
        <f>X37-SUM(T37:V37)</f>
        <v>-16</v>
      </c>
      <c r="X37" s="145">
        <v>604</v>
      </c>
      <c r="Y37" s="142">
        <v>195</v>
      </c>
      <c r="Z37" s="143">
        <v>68</v>
      </c>
      <c r="AA37" s="143">
        <v>257</v>
      </c>
      <c r="AB37" s="157">
        <f>AC37-SUM(Y37:AA37)</f>
        <v>164</v>
      </c>
      <c r="AC37" s="145">
        <v>684</v>
      </c>
      <c r="AD37" s="142">
        <v>307</v>
      </c>
      <c r="AE37" s="143">
        <v>215</v>
      </c>
      <c r="AF37" s="143">
        <v>269</v>
      </c>
      <c r="AG37" s="157">
        <f>AH37-SUM(AD37:AF37)</f>
        <v>151</v>
      </c>
      <c r="AH37" s="145">
        <v>942</v>
      </c>
      <c r="AI37" s="142">
        <v>333</v>
      </c>
      <c r="AJ37" s="143">
        <v>225</v>
      </c>
      <c r="AK37" s="143">
        <v>275</v>
      </c>
      <c r="AL37" s="157">
        <f>AM37-SUM(AI37:AK37)</f>
        <v>86.600000000000023</v>
      </c>
      <c r="AM37" s="145">
        <v>919.6</v>
      </c>
      <c r="AN37" s="142">
        <v>235.5</v>
      </c>
      <c r="AO37" s="143">
        <v>165</v>
      </c>
      <c r="AP37" s="143">
        <v>-534.5</v>
      </c>
      <c r="AQ37" s="157">
        <f>AR37-SUM(AN37:AP37)</f>
        <v>60.3</v>
      </c>
      <c r="AR37" s="145">
        <v>-73.7</v>
      </c>
      <c r="AS37" s="142">
        <v>343.2</v>
      </c>
      <c r="AT37" s="143">
        <v>190.6</v>
      </c>
      <c r="AU37" s="143">
        <v>264</v>
      </c>
      <c r="AV37" s="157">
        <f>AW37-SUM(AS37:AU37)</f>
        <v>171.90000000000009</v>
      </c>
      <c r="AW37" s="145">
        <v>969.7</v>
      </c>
      <c r="AX37" s="148">
        <f>AX118*(AX35-AX26)</f>
        <v>146.3685181732659</v>
      </c>
      <c r="AY37" s="146">
        <f>AY118*(AY35-AY26)</f>
        <v>120.52060261748819</v>
      </c>
      <c r="AZ37" s="146">
        <f>AZ118*(AZ35-AZ26)</f>
        <v>187.75730809659098</v>
      </c>
      <c r="BA37" s="147">
        <f>BA118*(BA35-BA26)</f>
        <v>128.21797907905352</v>
      </c>
      <c r="BB37" s="72">
        <f>SUM(AX37:BA37)</f>
        <v>582.86440796639863</v>
      </c>
      <c r="BC37" s="148">
        <f>BC118*(BC35-BC26)</f>
        <v>172.07472465062614</v>
      </c>
      <c r="BD37" s="146">
        <f>BD118*(BD35-BD26)</f>
        <v>136.06936184567178</v>
      </c>
      <c r="BE37" s="146">
        <f>BE118*(BE35-BE26)</f>
        <v>184.7380709598277</v>
      </c>
      <c r="BF37" s="147">
        <f>BF118*(BF35-BF26)</f>
        <v>131.74529045905285</v>
      </c>
      <c r="BG37" s="72">
        <f>SUM(BC37:BF37)</f>
        <v>624.62744791517844</v>
      </c>
      <c r="BH37" s="148">
        <f>BH118*(BH35-BH26)</f>
        <v>174.75580141274222</v>
      </c>
      <c r="BI37" s="146">
        <f>BI118*(BI35-BI26)</f>
        <v>143.437619350066</v>
      </c>
      <c r="BJ37" s="146">
        <f>BJ118*(BJ35-BJ26)</f>
        <v>207.91373945762516</v>
      </c>
      <c r="BK37" s="147">
        <f>BK118*(BK35-BK26)</f>
        <v>147.0423085559018</v>
      </c>
      <c r="BL37" s="72">
        <f>SUM(BH37:BK37)</f>
        <v>673.1494687763352</v>
      </c>
      <c r="BM37" s="148">
        <f>BM118*(BM35-BM26)</f>
        <v>204.28594406952465</v>
      </c>
      <c r="BN37" s="146">
        <f>BN118*(BN35-BN26)</f>
        <v>175.59503550033085</v>
      </c>
      <c r="BO37" s="146">
        <f>BO118*(BO35-BO26)</f>
        <v>227.31700650607036</v>
      </c>
      <c r="BP37" s="147">
        <f>BP118*(BP35-BP26)</f>
        <v>171.97940859253333</v>
      </c>
      <c r="BQ37" s="72">
        <f>SUM(BM37:BP37)</f>
        <v>779.17739466845921</v>
      </c>
      <c r="BR37" s="72"/>
      <c r="BS37" s="72"/>
      <c r="CP37" s="72"/>
    </row>
    <row r="38" spans="1:99">
      <c r="D38" s="72"/>
      <c r="E38" s="142"/>
      <c r="F38" s="159"/>
      <c r="G38" s="159"/>
      <c r="H38" s="144"/>
      <c r="I38" s="145"/>
      <c r="J38" s="142"/>
      <c r="K38" s="159"/>
      <c r="L38" s="159"/>
      <c r="M38" s="144"/>
      <c r="N38" s="145"/>
      <c r="O38" s="142"/>
      <c r="P38" s="159"/>
      <c r="Q38" s="159"/>
      <c r="R38" s="144"/>
      <c r="S38" s="567"/>
      <c r="T38" s="142"/>
      <c r="U38" s="159"/>
      <c r="V38" s="159"/>
      <c r="W38" s="144"/>
      <c r="X38" s="145"/>
      <c r="Y38" s="142"/>
      <c r="Z38" s="159"/>
      <c r="AA38" s="159"/>
      <c r="AB38" s="144"/>
      <c r="AC38" s="145"/>
      <c r="AD38" s="142"/>
      <c r="AE38" s="159"/>
      <c r="AF38" s="159"/>
      <c r="AG38" s="144"/>
      <c r="AH38" s="145"/>
      <c r="AI38" s="142"/>
      <c r="AJ38" s="159"/>
      <c r="AK38" s="159"/>
      <c r="AL38" s="144"/>
      <c r="AM38" s="145"/>
      <c r="AN38" s="142"/>
      <c r="AO38" s="159"/>
      <c r="AP38" s="159"/>
      <c r="AQ38" s="144"/>
      <c r="AR38" s="145"/>
      <c r="AS38" s="142"/>
      <c r="AT38" s="159"/>
      <c r="AU38" s="159"/>
      <c r="AV38" s="144"/>
      <c r="AW38" s="145"/>
      <c r="AX38" s="148"/>
      <c r="AY38" s="163"/>
      <c r="AZ38" s="163"/>
      <c r="BA38" s="147"/>
      <c r="BB38" s="72"/>
      <c r="BC38" s="148"/>
      <c r="BD38" s="163"/>
      <c r="BE38" s="163"/>
      <c r="BF38" s="147"/>
      <c r="BG38" s="72"/>
      <c r="BH38" s="148"/>
      <c r="BI38" s="163"/>
      <c r="BJ38" s="163"/>
      <c r="BK38" s="147"/>
      <c r="BL38" s="72"/>
      <c r="BM38" s="148"/>
      <c r="BN38" s="163"/>
      <c r="BO38" s="163"/>
      <c r="BP38" s="147"/>
      <c r="BQ38" s="72"/>
      <c r="BR38" s="72"/>
      <c r="BS38" s="72"/>
      <c r="CP38" s="72"/>
    </row>
    <row r="39" spans="1:99">
      <c r="C39" s="56" t="s">
        <v>10</v>
      </c>
      <c r="D39" s="112"/>
      <c r="E39" s="149">
        <f t="shared" ref="E39:Q39" si="41">E35-E37</f>
        <v>363</v>
      </c>
      <c r="F39" s="150">
        <f t="shared" si="41"/>
        <v>321</v>
      </c>
      <c r="G39" s="150">
        <f t="shared" si="41"/>
        <v>442</v>
      </c>
      <c r="H39" s="151">
        <f t="shared" si="41"/>
        <v>237</v>
      </c>
      <c r="I39" s="112">
        <f t="shared" si="41"/>
        <v>1363</v>
      </c>
      <c r="J39" s="149">
        <f t="shared" si="41"/>
        <v>342</v>
      </c>
      <c r="K39" s="150">
        <f t="shared" si="41"/>
        <v>136</v>
      </c>
      <c r="L39" s="150">
        <f t="shared" si="41"/>
        <v>554</v>
      </c>
      <c r="M39" s="151">
        <f t="shared" si="41"/>
        <v>174</v>
      </c>
      <c r="N39" s="112">
        <f t="shared" si="41"/>
        <v>1206</v>
      </c>
      <c r="O39" s="149">
        <f t="shared" si="41"/>
        <v>349</v>
      </c>
      <c r="P39" s="150">
        <f t="shared" si="41"/>
        <v>347</v>
      </c>
      <c r="Q39" s="150">
        <f t="shared" si="41"/>
        <v>650</v>
      </c>
      <c r="R39" s="151">
        <f>R35-R37</f>
        <v>203</v>
      </c>
      <c r="S39" s="112">
        <f>S35-S37</f>
        <v>1549</v>
      </c>
      <c r="T39" s="149">
        <f t="shared" ref="T39:Y39" si="42">T35-T37</f>
        <v>381</v>
      </c>
      <c r="U39" s="150">
        <f t="shared" si="42"/>
        <v>353</v>
      </c>
      <c r="V39" s="150">
        <f t="shared" si="42"/>
        <v>474</v>
      </c>
      <c r="W39" s="151">
        <f t="shared" si="42"/>
        <v>10</v>
      </c>
      <c r="X39" s="112">
        <f t="shared" si="42"/>
        <v>1218</v>
      </c>
      <c r="Y39" s="149">
        <f t="shared" si="42"/>
        <v>350</v>
      </c>
      <c r="Z39" s="150">
        <f t="shared" ref="Z39:AF39" si="43">Z35-Z37</f>
        <v>325</v>
      </c>
      <c r="AA39" s="150">
        <f t="shared" si="43"/>
        <v>423</v>
      </c>
      <c r="AB39" s="151">
        <f t="shared" si="43"/>
        <v>328</v>
      </c>
      <c r="AC39" s="112">
        <f t="shared" si="43"/>
        <v>1426</v>
      </c>
      <c r="AD39" s="149">
        <f t="shared" si="43"/>
        <v>543</v>
      </c>
      <c r="AE39" s="150">
        <f t="shared" si="43"/>
        <v>368</v>
      </c>
      <c r="AF39" s="150">
        <f t="shared" si="43"/>
        <v>470</v>
      </c>
      <c r="AG39" s="151">
        <f t="shared" ref="AG39:AM39" si="44">AG35-AG37</f>
        <v>167</v>
      </c>
      <c r="AH39" s="112">
        <f t="shared" si="44"/>
        <v>1548</v>
      </c>
      <c r="AI39" s="149">
        <f t="shared" si="44"/>
        <v>607</v>
      </c>
      <c r="AJ39" s="150">
        <f t="shared" si="44"/>
        <v>406</v>
      </c>
      <c r="AK39" s="150">
        <f t="shared" si="44"/>
        <v>500</v>
      </c>
      <c r="AL39" s="151">
        <f t="shared" si="44"/>
        <v>190.30000000000092</v>
      </c>
      <c r="AM39" s="112">
        <f t="shared" si="44"/>
        <v>1703.3000000000002</v>
      </c>
      <c r="AN39" s="149">
        <f t="shared" ref="AN39:AS39" si="45">AN35-AN37</f>
        <v>478.10000000000014</v>
      </c>
      <c r="AO39" s="150">
        <f t="shared" si="45"/>
        <v>513.8000000000003</v>
      </c>
      <c r="AP39" s="150">
        <f t="shared" si="45"/>
        <v>-789.40000000000032</v>
      </c>
      <c r="AQ39" s="151">
        <f t="shared" si="45"/>
        <v>346.79999999999956</v>
      </c>
      <c r="AR39" s="112">
        <f t="shared" si="45"/>
        <v>549.29999999999927</v>
      </c>
      <c r="AS39" s="149">
        <f t="shared" si="45"/>
        <v>567.20000000000027</v>
      </c>
      <c r="AT39" s="150">
        <f t="shared" ref="AT39:BB39" si="46">AT35-AT37</f>
        <v>360.19999999999982</v>
      </c>
      <c r="AU39" s="150">
        <f t="shared" si="46"/>
        <v>536.59999999999991</v>
      </c>
      <c r="AV39" s="151">
        <f t="shared" si="46"/>
        <v>382.49999999999932</v>
      </c>
      <c r="AW39" s="112">
        <f t="shared" si="46"/>
        <v>1846.4999999999989</v>
      </c>
      <c r="AX39" s="149">
        <f t="shared" si="46"/>
        <v>460.73633757242249</v>
      </c>
      <c r="AY39" s="150">
        <f t="shared" si="46"/>
        <v>383.19259090508945</v>
      </c>
      <c r="AZ39" s="150">
        <f t="shared" si="46"/>
        <v>584.90270734239766</v>
      </c>
      <c r="BA39" s="151">
        <f t="shared" si="46"/>
        <v>406.28472028978535</v>
      </c>
      <c r="BB39" s="112">
        <f t="shared" si="46"/>
        <v>1835.1163561096951</v>
      </c>
      <c r="BC39" s="149">
        <f t="shared" ref="BC39:BL39" si="47">BC35-BC37</f>
        <v>544.61199570985559</v>
      </c>
      <c r="BD39" s="150">
        <f t="shared" si="47"/>
        <v>436.59590729499246</v>
      </c>
      <c r="BE39" s="150">
        <f t="shared" si="47"/>
        <v>582.60203463746018</v>
      </c>
      <c r="BF39" s="151">
        <f t="shared" si="47"/>
        <v>423.62369313513568</v>
      </c>
      <c r="BG39" s="112">
        <f t="shared" si="47"/>
        <v>1987.4336307774447</v>
      </c>
      <c r="BH39" s="149">
        <f t="shared" si="47"/>
        <v>554.99692741652018</v>
      </c>
      <c r="BI39" s="150">
        <f t="shared" si="47"/>
        <v>461.04238122849154</v>
      </c>
      <c r="BJ39" s="150">
        <f t="shared" si="47"/>
        <v>654.470741551169</v>
      </c>
      <c r="BK39" s="151">
        <f t="shared" si="47"/>
        <v>471.85644884599895</v>
      </c>
      <c r="BL39" s="112">
        <f t="shared" si="47"/>
        <v>2142.3664990421785</v>
      </c>
      <c r="BM39" s="149">
        <f>BM35-BM37</f>
        <v>630.76630275528851</v>
      </c>
      <c r="BN39" s="150">
        <f>BN35-BN37</f>
        <v>544.69357704770721</v>
      </c>
      <c r="BO39" s="150">
        <f>BO35-BO37</f>
        <v>699.85949006492569</v>
      </c>
      <c r="BP39" s="151">
        <f>BP35-BP37</f>
        <v>533.84669632431462</v>
      </c>
      <c r="BQ39" s="112">
        <f>BQ35-BQ37</f>
        <v>2409.1660661922374</v>
      </c>
      <c r="BR39" s="72"/>
      <c r="BS39" s="72"/>
      <c r="CP39" s="72"/>
    </row>
    <row r="40" spans="1:99">
      <c r="A40" s="50"/>
      <c r="B40" s="50"/>
      <c r="C40" s="491" t="s">
        <v>0</v>
      </c>
      <c r="E40" s="142">
        <v>0</v>
      </c>
      <c r="F40" s="143">
        <v>1</v>
      </c>
      <c r="G40" s="143">
        <v>4</v>
      </c>
      <c r="H40" s="144">
        <f>I40-SUM(E40:G40)</f>
        <v>2</v>
      </c>
      <c r="I40" s="145">
        <v>7</v>
      </c>
      <c r="J40" s="142">
        <v>4</v>
      </c>
      <c r="K40" s="143">
        <v>1</v>
      </c>
      <c r="L40" s="143">
        <v>3</v>
      </c>
      <c r="M40" s="144">
        <f>N40-SUM(J40:L40)</f>
        <v>4</v>
      </c>
      <c r="N40" s="145">
        <v>12</v>
      </c>
      <c r="O40" s="142">
        <v>6</v>
      </c>
      <c r="P40" s="143">
        <v>6</v>
      </c>
      <c r="Q40" s="143">
        <v>7</v>
      </c>
      <c r="R40" s="158">
        <v>8</v>
      </c>
      <c r="S40" s="820">
        <f>SUM(O40:R40)</f>
        <v>27</v>
      </c>
      <c r="T40" s="142">
        <v>9</v>
      </c>
      <c r="U40" s="143">
        <v>10</v>
      </c>
      <c r="V40" s="143">
        <v>14</v>
      </c>
      <c r="W40" s="144">
        <f>X40-SUM(T40:V40)</f>
        <v>11</v>
      </c>
      <c r="X40" s="145">
        <v>44</v>
      </c>
      <c r="Y40" s="142">
        <v>14</v>
      </c>
      <c r="Z40" s="143">
        <v>14</v>
      </c>
      <c r="AA40" s="143">
        <v>11</v>
      </c>
      <c r="AB40" s="144">
        <f>AC40-SUM(Y40:AA40)</f>
        <v>19</v>
      </c>
      <c r="AC40" s="145">
        <v>58</v>
      </c>
      <c r="AD40" s="142">
        <v>18</v>
      </c>
      <c r="AE40" s="143">
        <v>23</v>
      </c>
      <c r="AF40" s="143">
        <v>24</v>
      </c>
      <c r="AG40" s="144">
        <f>AH40-SUM(AD40:AF40)</f>
        <v>25</v>
      </c>
      <c r="AH40" s="145">
        <v>90</v>
      </c>
      <c r="AI40" s="142">
        <v>24</v>
      </c>
      <c r="AJ40" s="143">
        <v>25</v>
      </c>
      <c r="AK40" s="143">
        <v>12</v>
      </c>
      <c r="AL40" s="144">
        <f>AM40-SUM(AI40:AK40)</f>
        <v>4.2999999999999972</v>
      </c>
      <c r="AM40" s="145">
        <v>65.3</v>
      </c>
      <c r="AN40" s="142">
        <v>25</v>
      </c>
      <c r="AO40" s="143">
        <v>-7.4</v>
      </c>
      <c r="AP40" s="143">
        <v>25.2</v>
      </c>
      <c r="AQ40" s="144">
        <f>AR40-SUM(AN40:AP40)</f>
        <v>28.400000000000006</v>
      </c>
      <c r="AR40" s="145">
        <v>71.2</v>
      </c>
      <c r="AS40" s="142">
        <v>27</v>
      </c>
      <c r="AT40" s="143">
        <v>16</v>
      </c>
      <c r="AU40" s="143">
        <v>20.100000000000001</v>
      </c>
      <c r="AV40" s="144">
        <f>AW40-SUM(AS40:AU40)</f>
        <v>19.300000000000004</v>
      </c>
      <c r="AW40" s="145">
        <v>82.4</v>
      </c>
      <c r="AX40" s="161">
        <f>+Parent!AX31+'Vertically Integrated Utilities'!AX37</f>
        <v>17.850000000000001</v>
      </c>
      <c r="AY40" s="162">
        <f>+Parent!AY31+'Vertically Integrated Utilities'!AY37</f>
        <v>10.350000000000001</v>
      </c>
      <c r="AZ40" s="162">
        <f>+Parent!AZ31+'Vertically Integrated Utilities'!AZ37</f>
        <v>16.95</v>
      </c>
      <c r="BA40" s="144">
        <f>+Parent!BA31+'Vertically Integrated Utilities'!BA37</f>
        <v>17.25</v>
      </c>
      <c r="BB40" s="72">
        <f>SUM(AX40:BA40)</f>
        <v>62.400000000000006</v>
      </c>
      <c r="BC40" s="161">
        <f>+Parent!BC31+'Vertically Integrated Utilities'!BC37</f>
        <v>17.850000000000001</v>
      </c>
      <c r="BD40" s="162">
        <f>+Parent!BD31+'Vertically Integrated Utilities'!BD37</f>
        <v>10.350000000000001</v>
      </c>
      <c r="BE40" s="162">
        <f>+Parent!BE31+'Vertically Integrated Utilities'!BE37</f>
        <v>16.95</v>
      </c>
      <c r="BF40" s="144">
        <f>+Parent!BF31+'Vertically Integrated Utilities'!BF37</f>
        <v>17.25</v>
      </c>
      <c r="BG40" s="72">
        <f>SUM(BC40:BF40)</f>
        <v>62.400000000000006</v>
      </c>
      <c r="BH40" s="161">
        <f>+Parent!BH31+'Vertically Integrated Utilities'!BH37</f>
        <v>17.850000000000001</v>
      </c>
      <c r="BI40" s="162">
        <f>+Parent!BI31+'Vertically Integrated Utilities'!BI37</f>
        <v>10.350000000000001</v>
      </c>
      <c r="BJ40" s="162">
        <f>+Parent!BJ31+'Vertically Integrated Utilities'!BJ37</f>
        <v>16.95</v>
      </c>
      <c r="BK40" s="144">
        <f>+Parent!BK31+'Vertically Integrated Utilities'!BK37</f>
        <v>17.25</v>
      </c>
      <c r="BL40" s="72">
        <f>SUM(BH40:BK40)</f>
        <v>62.400000000000006</v>
      </c>
      <c r="BM40" s="161">
        <f>+Parent!BM31+'Vertically Integrated Utilities'!BM37</f>
        <v>17.850000000000001</v>
      </c>
      <c r="BN40" s="162">
        <f>+Parent!BN31+'Vertically Integrated Utilities'!BN37</f>
        <v>10.350000000000001</v>
      </c>
      <c r="BO40" s="162">
        <f>+Parent!BO31+'Vertically Integrated Utilities'!BO37</f>
        <v>16.95</v>
      </c>
      <c r="BP40" s="144">
        <f>+Parent!BP31+'Vertically Integrated Utilities'!BP37</f>
        <v>17.25</v>
      </c>
      <c r="BQ40" s="72">
        <f>SUM(BM40:BP40)</f>
        <v>62.400000000000006</v>
      </c>
      <c r="BR40" s="72"/>
      <c r="BS40" s="72"/>
      <c r="BW40" s="50"/>
      <c r="BX40" s="50"/>
      <c r="CF40" s="50"/>
      <c r="CG40" s="50"/>
      <c r="CH40" s="50"/>
      <c r="CI40" s="50"/>
      <c r="CJ40" s="50"/>
      <c r="CK40" s="50"/>
      <c r="CL40" s="50"/>
      <c r="CM40" s="50"/>
      <c r="CN40" s="50"/>
      <c r="CO40" s="50"/>
      <c r="CP40" s="72"/>
      <c r="CQ40" s="50"/>
      <c r="CR40" s="50"/>
      <c r="CS40" s="50"/>
      <c r="CT40" s="50"/>
      <c r="CU40" s="50"/>
    </row>
    <row r="41" spans="1:99">
      <c r="A41" s="50"/>
      <c r="B41" s="50"/>
      <c r="C41" s="491" t="s">
        <v>360</v>
      </c>
      <c r="E41" s="142">
        <v>0</v>
      </c>
      <c r="F41" s="143">
        <v>-5.3250000000000002</v>
      </c>
      <c r="G41" s="143">
        <v>0</v>
      </c>
      <c r="H41" s="144">
        <f>I41-SUM(E41:G41)</f>
        <v>0</v>
      </c>
      <c r="I41" s="145">
        <v>-5.3250000000000002</v>
      </c>
      <c r="J41" s="142">
        <v>0</v>
      </c>
      <c r="K41" s="143">
        <v>0</v>
      </c>
      <c r="L41" s="143">
        <v>0</v>
      </c>
      <c r="M41" s="144">
        <f>N41-SUM(J41:L41)</f>
        <v>0</v>
      </c>
      <c r="N41" s="145">
        <v>0</v>
      </c>
      <c r="O41" s="142">
        <v>0</v>
      </c>
      <c r="P41" s="143">
        <v>0</v>
      </c>
      <c r="Q41" s="143">
        <v>273</v>
      </c>
      <c r="R41" s="158">
        <v>100</v>
      </c>
      <c r="S41" s="820">
        <f>SUM(O41:R41)</f>
        <v>373</v>
      </c>
      <c r="T41" s="142">
        <v>0</v>
      </c>
      <c r="U41" s="143">
        <v>0</v>
      </c>
      <c r="V41" s="143">
        <v>0</v>
      </c>
      <c r="W41" s="144">
        <f>X41-SUM(T41:V41)</f>
        <v>0</v>
      </c>
      <c r="X41" s="145">
        <v>0</v>
      </c>
      <c r="Y41" s="142">
        <v>0</v>
      </c>
      <c r="Z41" s="143">
        <v>0</v>
      </c>
      <c r="AA41" s="143">
        <v>0</v>
      </c>
      <c r="AB41" s="144">
        <f>AC41-SUM(Y41:AA41)</f>
        <v>0</v>
      </c>
      <c r="AC41" s="145">
        <v>0</v>
      </c>
      <c r="AD41" s="142">
        <v>0</v>
      </c>
      <c r="AE41" s="143">
        <v>0</v>
      </c>
      <c r="AF41" s="143">
        <v>0</v>
      </c>
      <c r="AG41" s="144">
        <f>AH41-SUM(AD41:AF41)</f>
        <v>0</v>
      </c>
      <c r="AH41" s="145">
        <v>0</v>
      </c>
      <c r="AI41" s="142">
        <v>0</v>
      </c>
      <c r="AJ41" s="143">
        <v>0</v>
      </c>
      <c r="AK41" s="143">
        <v>0</v>
      </c>
      <c r="AL41" s="144">
        <f>AM41-SUM(AI41:AK41)</f>
        <v>0</v>
      </c>
      <c r="AM41" s="145">
        <v>0</v>
      </c>
      <c r="AN41" s="142">
        <v>0</v>
      </c>
      <c r="AO41" s="143">
        <v>0</v>
      </c>
      <c r="AP41" s="143">
        <v>0</v>
      </c>
      <c r="AQ41" s="144">
        <f>AR41-SUM(AN41:AP41)</f>
        <v>0</v>
      </c>
      <c r="AR41" s="145">
        <v>0</v>
      </c>
      <c r="AS41" s="142">
        <v>0</v>
      </c>
      <c r="AT41" s="143">
        <v>0</v>
      </c>
      <c r="AU41" s="143">
        <v>0</v>
      </c>
      <c r="AV41" s="144">
        <f>AW41-SUM(AS41:AU41)</f>
        <v>0</v>
      </c>
      <c r="AW41" s="145">
        <v>0</v>
      </c>
      <c r="AX41" s="161">
        <f>+Parent!AX32</f>
        <v>0</v>
      </c>
      <c r="AY41" s="162">
        <f>+Parent!AY32</f>
        <v>0</v>
      </c>
      <c r="AZ41" s="162">
        <f>+Parent!AZ32</f>
        <v>0</v>
      </c>
      <c r="BA41" s="144">
        <f>+Parent!BA32</f>
        <v>0</v>
      </c>
      <c r="BB41" s="72">
        <f>SUM(AX41:BA41)</f>
        <v>0</v>
      </c>
      <c r="BC41" s="161">
        <f>+Parent!BC32</f>
        <v>0</v>
      </c>
      <c r="BD41" s="162">
        <f>+Parent!BD32</f>
        <v>0</v>
      </c>
      <c r="BE41" s="162">
        <f>+Parent!BE32</f>
        <v>0</v>
      </c>
      <c r="BF41" s="144">
        <f>+Parent!BF32</f>
        <v>0</v>
      </c>
      <c r="BG41" s="72">
        <f>SUM(BC41:BF41)</f>
        <v>0</v>
      </c>
      <c r="BH41" s="161">
        <f>+Parent!BH32</f>
        <v>0</v>
      </c>
      <c r="BI41" s="162">
        <f>+Parent!BI32</f>
        <v>0</v>
      </c>
      <c r="BJ41" s="162">
        <f>+Parent!BJ32</f>
        <v>0</v>
      </c>
      <c r="BK41" s="144">
        <f>+Parent!BK32</f>
        <v>0</v>
      </c>
      <c r="BL41" s="72">
        <f>SUM(BH41:BK41)</f>
        <v>0</v>
      </c>
      <c r="BM41" s="161">
        <f>+Parent!BM32</f>
        <v>0</v>
      </c>
      <c r="BN41" s="162">
        <f>+Parent!BN32</f>
        <v>0</v>
      </c>
      <c r="BO41" s="162">
        <f>+Parent!BO32</f>
        <v>0</v>
      </c>
      <c r="BP41" s="144">
        <f>+Parent!BP32</f>
        <v>0</v>
      </c>
      <c r="BQ41" s="72">
        <f>SUM(BM41:BP41)</f>
        <v>0</v>
      </c>
      <c r="BR41" s="72"/>
      <c r="BS41" s="72"/>
      <c r="BW41" s="50"/>
      <c r="BX41" s="50"/>
      <c r="CF41" s="50"/>
      <c r="CG41" s="50"/>
      <c r="CH41" s="50"/>
      <c r="CI41" s="50"/>
      <c r="CJ41" s="50"/>
      <c r="CK41" s="50"/>
      <c r="CL41" s="50"/>
      <c r="CM41" s="50"/>
      <c r="CN41" s="50"/>
      <c r="CO41" s="50"/>
      <c r="CP41" s="72"/>
      <c r="CQ41" s="50"/>
      <c r="CR41" s="50"/>
      <c r="CS41" s="50"/>
      <c r="CT41" s="50"/>
      <c r="CU41" s="50"/>
    </row>
    <row r="42" spans="1:99">
      <c r="A42" s="50"/>
      <c r="B42" s="50"/>
      <c r="C42" s="50" t="s">
        <v>799</v>
      </c>
      <c r="E42" s="142">
        <v>2</v>
      </c>
      <c r="F42" s="143">
        <v>1</v>
      </c>
      <c r="G42" s="143">
        <v>2</v>
      </c>
      <c r="H42" s="144">
        <f>I42-SUM(E42:G42)</f>
        <v>0</v>
      </c>
      <c r="I42" s="145">
        <v>5</v>
      </c>
      <c r="J42" s="142">
        <v>1</v>
      </c>
      <c r="K42" s="143">
        <v>1</v>
      </c>
      <c r="L42" s="143">
        <v>1</v>
      </c>
      <c r="M42" s="144">
        <f>N42-SUM(J42:L42)</f>
        <v>1</v>
      </c>
      <c r="N42" s="145">
        <v>4</v>
      </c>
      <c r="O42" s="142">
        <v>1</v>
      </c>
      <c r="P42" s="143">
        <v>1</v>
      </c>
      <c r="Q42" s="143">
        <v>1</v>
      </c>
      <c r="R42" s="158">
        <v>0</v>
      </c>
      <c r="S42" s="820">
        <f>SUM(O42:R42)</f>
        <v>3</v>
      </c>
      <c r="T42" s="142">
        <v>1</v>
      </c>
      <c r="U42" s="143">
        <v>1</v>
      </c>
      <c r="V42" s="143">
        <v>1</v>
      </c>
      <c r="W42" s="144">
        <f>X42-SUM(T42:V42)</f>
        <v>0</v>
      </c>
      <c r="X42" s="145">
        <v>3</v>
      </c>
      <c r="Y42" s="142">
        <v>1</v>
      </c>
      <c r="Z42" s="143">
        <v>1</v>
      </c>
      <c r="AA42" s="143">
        <v>1</v>
      </c>
      <c r="AB42" s="144">
        <f>AC42-SUM(Y42:AA42)</f>
        <v>1</v>
      </c>
      <c r="AC42" s="145">
        <v>4</v>
      </c>
      <c r="AD42" s="142">
        <v>1</v>
      </c>
      <c r="AE42" s="143">
        <v>1</v>
      </c>
      <c r="AF42" s="143">
        <v>1</v>
      </c>
      <c r="AG42" s="144">
        <f>AH42-SUM(AD42:AF42)</f>
        <v>1</v>
      </c>
      <c r="AH42" s="145">
        <v>4</v>
      </c>
      <c r="AI42" s="142">
        <v>2</v>
      </c>
      <c r="AJ42" s="143">
        <v>1</v>
      </c>
      <c r="AK42" s="143">
        <v>1</v>
      </c>
      <c r="AL42" s="144">
        <f>AM42-SUM(AI42:AK42)</f>
        <v>1.2000000000000002</v>
      </c>
      <c r="AM42" s="145">
        <v>5.2</v>
      </c>
      <c r="AN42" s="142">
        <v>1.9</v>
      </c>
      <c r="AO42" s="143">
        <v>1.8</v>
      </c>
      <c r="AP42" s="143">
        <v>1.6</v>
      </c>
      <c r="AQ42" s="144">
        <f>AR42-SUM(AN42:AP42)</f>
        <v>1.7999999999999989</v>
      </c>
      <c r="AR42" s="145">
        <v>7.1</v>
      </c>
      <c r="AS42" s="142">
        <v>2</v>
      </c>
      <c r="AT42" s="143">
        <v>1.2</v>
      </c>
      <c r="AU42" s="143">
        <v>12</v>
      </c>
      <c r="AV42" s="144">
        <f>AW42-SUM(AS42:AU42)</f>
        <v>1.1000000000000014</v>
      </c>
      <c r="AW42" s="145">
        <v>16.3</v>
      </c>
      <c r="AX42" s="161">
        <f>+Parent!AX33+'Vertically Integrated Utilities'!AX36</f>
        <v>0</v>
      </c>
      <c r="AY42" s="162">
        <f>+Parent!AY33+'Vertically Integrated Utilities'!AY36</f>
        <v>0</v>
      </c>
      <c r="AZ42" s="162">
        <f>+Parent!AZ33+'Vertically Integrated Utilities'!AZ36</f>
        <v>0</v>
      </c>
      <c r="BA42" s="144">
        <f>+Parent!BA33+'Vertically Integrated Utilities'!BA36</f>
        <v>0</v>
      </c>
      <c r="BB42" s="72">
        <f>SUM(AX42:BA42)</f>
        <v>0</v>
      </c>
      <c r="BC42" s="161">
        <f>+Parent!BC33+'Vertically Integrated Utilities'!BC36</f>
        <v>0</v>
      </c>
      <c r="BD42" s="162">
        <f>+Parent!BD33+'Vertically Integrated Utilities'!BD36</f>
        <v>0</v>
      </c>
      <c r="BE42" s="162">
        <f>+Parent!BE33+'Vertically Integrated Utilities'!BE36</f>
        <v>0</v>
      </c>
      <c r="BF42" s="144">
        <f>+Parent!BF33+'Vertically Integrated Utilities'!BF36</f>
        <v>0</v>
      </c>
      <c r="BG42" s="72">
        <f>SUM(BC42:BF42)</f>
        <v>0</v>
      </c>
      <c r="BH42" s="161">
        <f>+Parent!BH33+'Vertically Integrated Utilities'!BH36</f>
        <v>0</v>
      </c>
      <c r="BI42" s="162">
        <f>+Parent!BI33+'Vertically Integrated Utilities'!BI36</f>
        <v>0</v>
      </c>
      <c r="BJ42" s="162">
        <f>+Parent!BJ33+'Vertically Integrated Utilities'!BJ36</f>
        <v>0</v>
      </c>
      <c r="BK42" s="144">
        <f>+Parent!BK33+'Vertically Integrated Utilities'!BK36</f>
        <v>0</v>
      </c>
      <c r="BL42" s="72">
        <f>SUM(BH42:BK42)</f>
        <v>0</v>
      </c>
      <c r="BM42" s="161">
        <f>+Parent!BM33+'Vertically Integrated Utilities'!BM36</f>
        <v>0</v>
      </c>
      <c r="BN42" s="162">
        <f>+Parent!BN33+'Vertically Integrated Utilities'!BN36</f>
        <v>0</v>
      </c>
      <c r="BO42" s="162">
        <f>+Parent!BO33+'Vertically Integrated Utilities'!BO36</f>
        <v>0</v>
      </c>
      <c r="BP42" s="144">
        <f>+Parent!BP33+'Vertically Integrated Utilities'!BP36</f>
        <v>0</v>
      </c>
      <c r="BQ42" s="72">
        <f>SUM(BM42:BP42)</f>
        <v>0</v>
      </c>
      <c r="BR42" s="72"/>
      <c r="BS42" s="72"/>
      <c r="BW42" s="50"/>
      <c r="BX42" s="50"/>
      <c r="CF42" s="50"/>
      <c r="CG42" s="50"/>
      <c r="CH42" s="50"/>
      <c r="CI42" s="50"/>
      <c r="CJ42" s="50"/>
      <c r="CK42" s="50"/>
      <c r="CL42" s="50"/>
      <c r="CM42" s="50"/>
      <c r="CN42" s="50"/>
      <c r="CO42" s="50"/>
      <c r="CP42" s="72"/>
      <c r="CQ42" s="50"/>
      <c r="CR42" s="50"/>
      <c r="CS42" s="50"/>
      <c r="CT42" s="50"/>
      <c r="CU42" s="50"/>
    </row>
    <row r="43" spans="1:99">
      <c r="C43" s="50" t="s">
        <v>11</v>
      </c>
      <c r="D43" s="72"/>
      <c r="E43" s="142">
        <v>1</v>
      </c>
      <c r="F43" s="143">
        <v>0</v>
      </c>
      <c r="G43" s="143">
        <v>1</v>
      </c>
      <c r="H43" s="157">
        <f>I43-SUM(E43:G43)</f>
        <v>1</v>
      </c>
      <c r="I43" s="145">
        <v>3</v>
      </c>
      <c r="J43" s="142">
        <v>1</v>
      </c>
      <c r="K43" s="143">
        <v>0</v>
      </c>
      <c r="L43" s="143">
        <v>1</v>
      </c>
      <c r="M43" s="157">
        <f>N43-SUM(J43:L43)</f>
        <v>1</v>
      </c>
      <c r="N43" s="145">
        <v>3</v>
      </c>
      <c r="O43" s="142">
        <v>1</v>
      </c>
      <c r="P43" s="143">
        <v>0</v>
      </c>
      <c r="Q43" s="143">
        <v>1</v>
      </c>
      <c r="R43" s="158">
        <v>3</v>
      </c>
      <c r="S43" s="820">
        <f>SUM(O43:R43)</f>
        <v>5</v>
      </c>
      <c r="T43" s="142">
        <v>0</v>
      </c>
      <c r="U43" s="143">
        <v>0</v>
      </c>
      <c r="V43" s="143">
        <v>0</v>
      </c>
      <c r="W43" s="157">
        <f>X43-SUM(T43:V43)</f>
        <v>0</v>
      </c>
      <c r="X43" s="145">
        <v>0</v>
      </c>
      <c r="Y43" s="142">
        <v>0</v>
      </c>
      <c r="Z43" s="143">
        <v>0</v>
      </c>
      <c r="AA43" s="143">
        <v>0</v>
      </c>
      <c r="AB43" s="157">
        <f>AC43-SUM(Y43:AA43)</f>
        <v>0</v>
      </c>
      <c r="AC43" s="145">
        <v>0</v>
      </c>
      <c r="AD43" s="142">
        <v>0</v>
      </c>
      <c r="AE43" s="143">
        <v>0</v>
      </c>
      <c r="AF43" s="143">
        <v>0</v>
      </c>
      <c r="AG43" s="157">
        <f>AH43-SUM(AD43:AF43)</f>
        <v>0</v>
      </c>
      <c r="AH43" s="145">
        <v>0</v>
      </c>
      <c r="AI43" s="142">
        <v>0</v>
      </c>
      <c r="AJ43" s="143">
        <v>0</v>
      </c>
      <c r="AK43" s="143">
        <v>0</v>
      </c>
      <c r="AL43" s="157">
        <f>AM43-SUM(AI43:AK43)</f>
        <v>0</v>
      </c>
      <c r="AM43" s="145">
        <v>0</v>
      </c>
      <c r="AN43" s="142">
        <v>0</v>
      </c>
      <c r="AO43" s="143">
        <v>0</v>
      </c>
      <c r="AP43" s="143">
        <v>0</v>
      </c>
      <c r="AQ43" s="157">
        <f>AR43-SUM(AN43:AP43)</f>
        <v>0</v>
      </c>
      <c r="AR43" s="145">
        <v>0</v>
      </c>
      <c r="AS43" s="142">
        <v>0</v>
      </c>
      <c r="AT43" s="143">
        <v>0</v>
      </c>
      <c r="AU43" s="143">
        <v>0</v>
      </c>
      <c r="AV43" s="157">
        <f>AW43-SUM(AS43:AU43)</f>
        <v>0</v>
      </c>
      <c r="AW43" s="145">
        <v>0</v>
      </c>
      <c r="AX43" s="161">
        <f>+'Generation &amp; Marketing'!AX34+'Vertically Integrated Utilities'!AX35+'T&amp;D Utilities'!AX34+Parent!AX34</f>
        <v>0</v>
      </c>
      <c r="AY43" s="162">
        <f>+'Generation &amp; Marketing'!AY34+'Vertically Integrated Utilities'!AY35+'T&amp;D Utilities'!AY34+Parent!AY34</f>
        <v>0</v>
      </c>
      <c r="AZ43" s="162">
        <f>+'Generation &amp; Marketing'!AZ34+'Vertically Integrated Utilities'!AZ35+'T&amp;D Utilities'!AZ34+Parent!AZ34</f>
        <v>0</v>
      </c>
      <c r="BA43" s="144">
        <f>+'Generation &amp; Marketing'!BA34+'Vertically Integrated Utilities'!BA35+'T&amp;D Utilities'!BA34+Parent!BA34</f>
        <v>0</v>
      </c>
      <c r="BB43" s="72">
        <f>SUM(AX43:BA43)</f>
        <v>0</v>
      </c>
      <c r="BC43" s="161">
        <f>+'Generation &amp; Marketing'!BC34+'Vertically Integrated Utilities'!BC35+'T&amp;D Utilities'!BC34+Parent!BC34</f>
        <v>0</v>
      </c>
      <c r="BD43" s="162">
        <f>+'Generation &amp; Marketing'!BD34+'Vertically Integrated Utilities'!BD35+'T&amp;D Utilities'!BD34+Parent!BD34</f>
        <v>0</v>
      </c>
      <c r="BE43" s="162">
        <f>+'Generation &amp; Marketing'!BE34+'Vertically Integrated Utilities'!BE35+'T&amp;D Utilities'!BE34+Parent!BE34</f>
        <v>0</v>
      </c>
      <c r="BF43" s="144">
        <f>+'Generation &amp; Marketing'!BF34+'Vertically Integrated Utilities'!BF35+'T&amp;D Utilities'!BF34+Parent!BF34</f>
        <v>0</v>
      </c>
      <c r="BG43" s="72">
        <f>SUM(BC43:BF43)</f>
        <v>0</v>
      </c>
      <c r="BH43" s="161">
        <f>+'Generation &amp; Marketing'!BH34+'Vertically Integrated Utilities'!BH35+'T&amp;D Utilities'!BH34+Parent!BH34</f>
        <v>0</v>
      </c>
      <c r="BI43" s="162">
        <f>+'Generation &amp; Marketing'!BI34+'Vertically Integrated Utilities'!BI35+'T&amp;D Utilities'!BI34+Parent!BI34</f>
        <v>0</v>
      </c>
      <c r="BJ43" s="162">
        <f>+'Generation &amp; Marketing'!BJ34+'Vertically Integrated Utilities'!BJ35+'T&amp;D Utilities'!BJ34+Parent!BJ34</f>
        <v>0</v>
      </c>
      <c r="BK43" s="144">
        <f>+'Generation &amp; Marketing'!BK34+'Vertically Integrated Utilities'!BK35+'T&amp;D Utilities'!BK34+Parent!BK34</f>
        <v>0</v>
      </c>
      <c r="BL43" s="72">
        <f>SUM(BH43:BK43)</f>
        <v>0</v>
      </c>
      <c r="BM43" s="161">
        <f>+'Generation &amp; Marketing'!BM34+'Vertically Integrated Utilities'!BM35+'T&amp;D Utilities'!BM34+Parent!BM34</f>
        <v>0</v>
      </c>
      <c r="BN43" s="162">
        <f>+'Generation &amp; Marketing'!BN34+'Vertically Integrated Utilities'!BN35+'T&amp;D Utilities'!BN34+Parent!BN34</f>
        <v>0</v>
      </c>
      <c r="BO43" s="162">
        <f>+'Generation &amp; Marketing'!BO34+'Vertically Integrated Utilities'!BO35+'T&amp;D Utilities'!BO34+Parent!BO34</f>
        <v>0</v>
      </c>
      <c r="BP43" s="144">
        <f>+'Generation &amp; Marketing'!BP34+'Vertically Integrated Utilities'!BP35+'T&amp;D Utilities'!BP34+Parent!BP34</f>
        <v>0</v>
      </c>
      <c r="BQ43" s="72">
        <f>SUM(BM43:BP43)</f>
        <v>0</v>
      </c>
      <c r="BR43" s="72"/>
      <c r="BS43" s="72"/>
      <c r="CP43" s="72"/>
    </row>
    <row r="44" spans="1:99">
      <c r="C44" s="1272" t="s">
        <v>1125</v>
      </c>
      <c r="D44" s="72"/>
      <c r="E44" s="142">
        <v>0</v>
      </c>
      <c r="F44" s="143">
        <v>0</v>
      </c>
      <c r="G44" s="143">
        <v>0</v>
      </c>
      <c r="H44" s="157">
        <f>I44-SUM(E44:G44)</f>
        <v>0</v>
      </c>
      <c r="I44" s="145">
        <v>0</v>
      </c>
      <c r="J44" s="142">
        <v>0</v>
      </c>
      <c r="K44" s="143">
        <v>0</v>
      </c>
      <c r="L44" s="143">
        <v>0</v>
      </c>
      <c r="M44" s="157">
        <f>N44-SUM(J44:L44)</f>
        <v>0</v>
      </c>
      <c r="N44" s="145">
        <v>0</v>
      </c>
      <c r="O44" s="142">
        <v>0</v>
      </c>
      <c r="P44" s="143">
        <v>0</v>
      </c>
      <c r="Q44" s="143">
        <v>0</v>
      </c>
      <c r="R44" s="157">
        <f>S44-SUM(O44:Q44)</f>
        <v>0</v>
      </c>
      <c r="S44" s="145">
        <v>0</v>
      </c>
      <c r="T44" s="142">
        <v>0</v>
      </c>
      <c r="U44" s="143">
        <v>0</v>
      </c>
      <c r="V44" s="143">
        <v>0</v>
      </c>
      <c r="W44" s="157">
        <f>X44-SUM(T44:V44)</f>
        <v>0</v>
      </c>
      <c r="X44" s="145">
        <v>0</v>
      </c>
      <c r="Y44" s="142">
        <v>0</v>
      </c>
      <c r="Z44" s="143">
        <v>0</v>
      </c>
      <c r="AA44" s="143">
        <v>0</v>
      </c>
      <c r="AB44" s="157">
        <f>AC44-SUM(Y44:AA44)</f>
        <v>0</v>
      </c>
      <c r="AC44" s="145">
        <v>0</v>
      </c>
      <c r="AD44" s="142">
        <v>0</v>
      </c>
      <c r="AE44" s="143">
        <v>0</v>
      </c>
      <c r="AF44" s="143">
        <v>0</v>
      </c>
      <c r="AG44" s="157">
        <f>AH44-SUM(AD44:AF44)</f>
        <v>0</v>
      </c>
      <c r="AH44" s="145">
        <v>0</v>
      </c>
      <c r="AI44" s="142">
        <v>0</v>
      </c>
      <c r="AJ44" s="143">
        <v>0</v>
      </c>
      <c r="AK44" s="143">
        <v>8</v>
      </c>
      <c r="AL44" s="157">
        <f>AM44-SUM(AI44:AK44)</f>
        <v>275.7</v>
      </c>
      <c r="AM44" s="145">
        <v>283.7</v>
      </c>
      <c r="AN44" s="142">
        <v>0</v>
      </c>
      <c r="AO44" s="143">
        <v>-2.5</v>
      </c>
      <c r="AP44" s="143">
        <v>0</v>
      </c>
      <c r="AQ44" s="157">
        <f>AR44-SUM(AN44:AP44)</f>
        <v>0</v>
      </c>
      <c r="AR44" s="145">
        <v>-2.5</v>
      </c>
      <c r="AS44" s="142">
        <v>0</v>
      </c>
      <c r="AT44" s="143">
        <v>0</v>
      </c>
      <c r="AU44" s="143">
        <v>0</v>
      </c>
      <c r="AV44" s="157">
        <f>AW44-SUM(AS44:AU44)</f>
        <v>0</v>
      </c>
      <c r="AW44" s="145">
        <v>0</v>
      </c>
      <c r="AX44" s="161">
        <f>+Parent!AX35</f>
        <v>0</v>
      </c>
      <c r="AY44" s="162">
        <f>+Parent!AY35</f>
        <v>0</v>
      </c>
      <c r="AZ44" s="162">
        <f>+Parent!AZ35</f>
        <v>0</v>
      </c>
      <c r="BA44" s="144">
        <f>+Parent!BA35</f>
        <v>0</v>
      </c>
      <c r="BB44" s="72">
        <f>SUM(AX44:BA44)</f>
        <v>0</v>
      </c>
      <c r="BC44" s="161">
        <f>+Parent!BC35</f>
        <v>0</v>
      </c>
      <c r="BD44" s="162">
        <f>+Parent!BD35</f>
        <v>0</v>
      </c>
      <c r="BE44" s="162">
        <f>+Parent!BE35</f>
        <v>0</v>
      </c>
      <c r="BF44" s="144">
        <f>+Parent!BF35</f>
        <v>0</v>
      </c>
      <c r="BG44" s="72">
        <f>SUM(BC44:BF44)</f>
        <v>0</v>
      </c>
      <c r="BH44" s="161">
        <f>+Parent!BH35</f>
        <v>0</v>
      </c>
      <c r="BI44" s="162">
        <f>+Parent!BI35</f>
        <v>0</v>
      </c>
      <c r="BJ44" s="162">
        <f>+Parent!BJ35</f>
        <v>0</v>
      </c>
      <c r="BK44" s="144">
        <f>+Parent!BK35</f>
        <v>0</v>
      </c>
      <c r="BL44" s="72">
        <f>SUM(BH44:BK44)</f>
        <v>0</v>
      </c>
      <c r="BM44" s="161">
        <f>+Parent!BM35</f>
        <v>0</v>
      </c>
      <c r="BN44" s="162">
        <f>+Parent!BN35</f>
        <v>0</v>
      </c>
      <c r="BO44" s="162">
        <f>+Parent!BO35</f>
        <v>0</v>
      </c>
      <c r="BP44" s="144">
        <f>+Parent!BP35</f>
        <v>0</v>
      </c>
      <c r="BQ44" s="72">
        <f>SUM(BM44:BP44)</f>
        <v>0</v>
      </c>
      <c r="BR44" s="72"/>
      <c r="BS44" s="72"/>
      <c r="CP44" s="72"/>
    </row>
    <row r="45" spans="1:99">
      <c r="D45" s="72"/>
      <c r="E45" s="148"/>
      <c r="F45" s="566"/>
      <c r="G45" s="163"/>
      <c r="H45" s="147"/>
      <c r="I45" s="72"/>
      <c r="J45" s="148"/>
      <c r="K45" s="163"/>
      <c r="L45" s="163"/>
      <c r="M45" s="147"/>
      <c r="N45" s="72"/>
      <c r="O45" s="148"/>
      <c r="P45" s="163"/>
      <c r="Q45" s="163"/>
      <c r="R45" s="147"/>
      <c r="S45" s="72"/>
      <c r="T45" s="148"/>
      <c r="U45" s="163"/>
      <c r="V45" s="163"/>
      <c r="W45" s="147"/>
      <c r="X45" s="72"/>
      <c r="Y45" s="148"/>
      <c r="Z45" s="163"/>
      <c r="AA45" s="163"/>
      <c r="AB45" s="147"/>
      <c r="AC45" s="72"/>
      <c r="AD45" s="148"/>
      <c r="AE45" s="163"/>
      <c r="AF45" s="163"/>
      <c r="AG45" s="147"/>
      <c r="AH45" s="72"/>
      <c r="AI45" s="148"/>
      <c r="AJ45" s="163"/>
      <c r="AK45" s="163"/>
      <c r="AL45" s="147"/>
      <c r="AM45" s="72"/>
      <c r="AN45" s="148"/>
      <c r="AO45" s="163"/>
      <c r="AP45" s="163"/>
      <c r="AQ45" s="147"/>
      <c r="AR45" s="72"/>
      <c r="AS45" s="148"/>
      <c r="AT45" s="163"/>
      <c r="AU45" s="163"/>
      <c r="AV45" s="147"/>
      <c r="AW45" s="72"/>
      <c r="AX45" s="148"/>
      <c r="AY45" s="163"/>
      <c r="AZ45" s="163"/>
      <c r="BA45" s="147"/>
      <c r="BB45" s="72"/>
      <c r="BC45" s="148"/>
      <c r="BD45" s="163"/>
      <c r="BE45" s="163"/>
      <c r="BF45" s="147"/>
      <c r="BG45" s="72"/>
      <c r="BH45" s="148"/>
      <c r="BI45" s="163"/>
      <c r="BJ45" s="163"/>
      <c r="BK45" s="147"/>
      <c r="BL45" s="72"/>
      <c r="BM45" s="148"/>
      <c r="BN45" s="163"/>
      <c r="BO45" s="163"/>
      <c r="BP45" s="147"/>
      <c r="BQ45" s="72"/>
      <c r="BR45" s="72"/>
      <c r="BS45" s="72"/>
      <c r="CP45" s="72"/>
    </row>
    <row r="46" spans="1:99">
      <c r="C46" s="56" t="s">
        <v>12</v>
      </c>
      <c r="D46" s="112"/>
      <c r="E46" s="149">
        <f t="shared" ref="E46:M46" si="48">E39+E40+E41-E42-E43+E44</f>
        <v>360</v>
      </c>
      <c r="F46" s="150">
        <f t="shared" si="48"/>
        <v>315.67500000000001</v>
      </c>
      <c r="G46" s="150">
        <f t="shared" si="48"/>
        <v>443</v>
      </c>
      <c r="H46" s="151">
        <f t="shared" si="48"/>
        <v>238</v>
      </c>
      <c r="I46" s="112">
        <f t="shared" si="48"/>
        <v>1356.675</v>
      </c>
      <c r="J46" s="149">
        <f t="shared" si="48"/>
        <v>344</v>
      </c>
      <c r="K46" s="150">
        <f t="shared" si="48"/>
        <v>136</v>
      </c>
      <c r="L46" s="150">
        <f t="shared" si="48"/>
        <v>555</v>
      </c>
      <c r="M46" s="151">
        <f t="shared" si="48"/>
        <v>176</v>
      </c>
      <c r="N46" s="112">
        <f t="shared" ref="N46:AJ46" si="49">N39+N40+N41-N42-N43+N44</f>
        <v>1211</v>
      </c>
      <c r="O46" s="149">
        <f t="shared" si="49"/>
        <v>353</v>
      </c>
      <c r="P46" s="150">
        <f t="shared" si="49"/>
        <v>352</v>
      </c>
      <c r="Q46" s="150">
        <f t="shared" si="49"/>
        <v>928</v>
      </c>
      <c r="R46" s="151">
        <f t="shared" si="49"/>
        <v>308</v>
      </c>
      <c r="S46" s="112">
        <f t="shared" si="49"/>
        <v>1941</v>
      </c>
      <c r="T46" s="149">
        <f t="shared" si="49"/>
        <v>389</v>
      </c>
      <c r="U46" s="150">
        <f t="shared" si="49"/>
        <v>362</v>
      </c>
      <c r="V46" s="150">
        <f t="shared" si="49"/>
        <v>487</v>
      </c>
      <c r="W46" s="151">
        <f t="shared" si="49"/>
        <v>21</v>
      </c>
      <c r="X46" s="112">
        <f t="shared" si="49"/>
        <v>1259</v>
      </c>
      <c r="Y46" s="149">
        <f t="shared" si="49"/>
        <v>363</v>
      </c>
      <c r="Z46" s="150">
        <f t="shared" si="49"/>
        <v>338</v>
      </c>
      <c r="AA46" s="150">
        <f t="shared" si="49"/>
        <v>433</v>
      </c>
      <c r="AB46" s="151">
        <f t="shared" si="49"/>
        <v>346</v>
      </c>
      <c r="AC46" s="112">
        <f t="shared" si="49"/>
        <v>1480</v>
      </c>
      <c r="AD46" s="149">
        <f t="shared" si="49"/>
        <v>560</v>
      </c>
      <c r="AE46" s="150">
        <f t="shared" si="49"/>
        <v>390</v>
      </c>
      <c r="AF46" s="150">
        <f t="shared" si="49"/>
        <v>493</v>
      </c>
      <c r="AG46" s="151">
        <f t="shared" si="49"/>
        <v>191</v>
      </c>
      <c r="AH46" s="112">
        <f t="shared" si="49"/>
        <v>1634</v>
      </c>
      <c r="AI46" s="149">
        <f t="shared" si="49"/>
        <v>629</v>
      </c>
      <c r="AJ46" s="150">
        <f t="shared" si="49"/>
        <v>430</v>
      </c>
      <c r="AK46" s="150">
        <f>AK39+AK40+AK41-AK42-AK43+AK44</f>
        <v>519</v>
      </c>
      <c r="AL46" s="151">
        <f t="shared" ref="AL46:BL46" si="50">AL39+AL40+AL41-AL42-AL43+AL44</f>
        <v>469.10000000000093</v>
      </c>
      <c r="AM46" s="112">
        <f t="shared" si="50"/>
        <v>2047.1000000000001</v>
      </c>
      <c r="AN46" s="149">
        <f t="shared" si="50"/>
        <v>501.20000000000016</v>
      </c>
      <c r="AO46" s="150">
        <f t="shared" si="50"/>
        <v>502.10000000000031</v>
      </c>
      <c r="AP46" s="150">
        <f>AP39+AP40+AP41-AP42-AP43+AP44</f>
        <v>-765.8000000000003</v>
      </c>
      <c r="AQ46" s="151">
        <f>AQ39+AQ40+AQ41-AQ42-AQ43+AQ44</f>
        <v>373.39999999999958</v>
      </c>
      <c r="AR46" s="112">
        <f>AR39+AR40+AR41-AR42-AR43+AR44</f>
        <v>610.8999999999993</v>
      </c>
      <c r="AS46" s="149">
        <f>AS39+AS40+AS41-AS42-AS43+AS44</f>
        <v>592.20000000000027</v>
      </c>
      <c r="AT46" s="150">
        <f t="shared" si="50"/>
        <v>374.99999999999983</v>
      </c>
      <c r="AU46" s="150">
        <f t="shared" si="50"/>
        <v>544.69999999999993</v>
      </c>
      <c r="AV46" s="151">
        <f>AV39+AV40+AV41-AV42-AV43+AV44</f>
        <v>400.69999999999931</v>
      </c>
      <c r="AW46" s="112">
        <f>AW39+AW40+AW41-AW42-AW43+AW44</f>
        <v>1912.599999999999</v>
      </c>
      <c r="AX46" s="149">
        <f>AX39+AX40+AX41-AX42-AX43+AX44</f>
        <v>478.58633757242251</v>
      </c>
      <c r="AY46" s="150">
        <f t="shared" si="50"/>
        <v>393.54259090508947</v>
      </c>
      <c r="AZ46" s="150">
        <f t="shared" si="50"/>
        <v>601.85270734239771</v>
      </c>
      <c r="BA46" s="151">
        <f t="shared" si="50"/>
        <v>423.53472028978535</v>
      </c>
      <c r="BB46" s="112">
        <f t="shared" si="50"/>
        <v>1897.5163561096952</v>
      </c>
      <c r="BC46" s="149">
        <f t="shared" si="50"/>
        <v>562.46199570985561</v>
      </c>
      <c r="BD46" s="150">
        <f t="shared" si="50"/>
        <v>446.94590729499248</v>
      </c>
      <c r="BE46" s="150">
        <f t="shared" si="50"/>
        <v>599.55203463746022</v>
      </c>
      <c r="BF46" s="151">
        <f t="shared" si="50"/>
        <v>440.87369313513568</v>
      </c>
      <c r="BG46" s="112">
        <f t="shared" si="50"/>
        <v>2049.8336307774448</v>
      </c>
      <c r="BH46" s="149">
        <f t="shared" si="50"/>
        <v>572.8469274165202</v>
      </c>
      <c r="BI46" s="150">
        <f t="shared" si="50"/>
        <v>471.39238122849156</v>
      </c>
      <c r="BJ46" s="150">
        <f t="shared" si="50"/>
        <v>671.42074155116904</v>
      </c>
      <c r="BK46" s="151">
        <f t="shared" si="50"/>
        <v>489.10644884599895</v>
      </c>
      <c r="BL46" s="112">
        <f t="shared" si="50"/>
        <v>2204.7664990421786</v>
      </c>
      <c r="BM46" s="149">
        <f>BM39+BM40+BM41-BM42-BM43+BM44</f>
        <v>648.61630275528853</v>
      </c>
      <c r="BN46" s="150">
        <f>BN39+BN40+BN41-BN42-BN43+BN44</f>
        <v>555.04357704770723</v>
      </c>
      <c r="BO46" s="150">
        <f>BO39+BO40+BO41-BO42-BO43+BO44</f>
        <v>716.80949006492574</v>
      </c>
      <c r="BP46" s="151">
        <f>BP39+BP40+BP41-BP42-BP43+BP44</f>
        <v>551.09669632431462</v>
      </c>
      <c r="BQ46" s="112">
        <f>BQ39+BQ40+BQ41-BQ42-BQ43+BQ44</f>
        <v>2471.5660661922375</v>
      </c>
      <c r="BR46" s="112"/>
      <c r="BS46" s="112"/>
      <c r="CP46" s="72"/>
    </row>
    <row r="47" spans="1:99">
      <c r="C47" t="s">
        <v>13</v>
      </c>
      <c r="D47" s="72"/>
      <c r="E47" s="161">
        <f>-E41</f>
        <v>0</v>
      </c>
      <c r="F47" s="160">
        <f>-F41</f>
        <v>5.3250000000000002</v>
      </c>
      <c r="G47" s="160">
        <f>-G41</f>
        <v>0</v>
      </c>
      <c r="H47" s="144">
        <f>-H41</f>
        <v>0</v>
      </c>
      <c r="I47" s="109">
        <f>-I41</f>
        <v>5.3250000000000002</v>
      </c>
      <c r="J47" s="142">
        <f>21*0</f>
        <v>0</v>
      </c>
      <c r="K47" s="143">
        <f>34*0</f>
        <v>0</v>
      </c>
      <c r="L47" s="143">
        <f>-L41</f>
        <v>0</v>
      </c>
      <c r="M47" s="158">
        <f>-M41</f>
        <v>0</v>
      </c>
      <c r="N47" s="109">
        <f>SUM(J47:M47)</f>
        <v>0</v>
      </c>
      <c r="O47" s="142">
        <v>39</v>
      </c>
      <c r="P47" s="143">
        <v>0</v>
      </c>
      <c r="Q47" s="143">
        <v>-362</v>
      </c>
      <c r="R47" s="144">
        <f>S47-SUM(O47:Q47)</f>
        <v>-114</v>
      </c>
      <c r="S47" s="1024">
        <v>-437</v>
      </c>
      <c r="T47" s="142">
        <v>0</v>
      </c>
      <c r="U47" s="143">
        <v>8</v>
      </c>
      <c r="V47" s="143">
        <v>9</v>
      </c>
      <c r="W47" s="157">
        <f>X47-SUM(T47:V47)</f>
        <v>221</v>
      </c>
      <c r="X47" s="145">
        <f>30+9+184+15</f>
        <v>238</v>
      </c>
      <c r="Y47" s="142">
        <f>5+19</f>
        <v>24</v>
      </c>
      <c r="Z47" s="143">
        <f>-80+99</f>
        <v>19</v>
      </c>
      <c r="AA47" s="143">
        <f>79+21</f>
        <v>100</v>
      </c>
      <c r="AB47" s="157">
        <f>AC47-SUM(Y47:AA47)</f>
        <v>-50</v>
      </c>
      <c r="AC47" s="145">
        <f>5+19-80+99+21+4+25</f>
        <v>93</v>
      </c>
      <c r="AD47" s="142">
        <v>0</v>
      </c>
      <c r="AE47" s="143">
        <v>0</v>
      </c>
      <c r="AF47" s="143">
        <v>0</v>
      </c>
      <c r="AG47" s="157">
        <f>AH47-SUM(AD47:AF47)</f>
        <v>41</v>
      </c>
      <c r="AH47" s="145">
        <f>6+35</f>
        <v>41</v>
      </c>
      <c r="AI47" s="142">
        <v>-4</v>
      </c>
      <c r="AJ47" s="143">
        <v>-1</v>
      </c>
      <c r="AK47" s="159">
        <v>2</v>
      </c>
      <c r="AL47" s="157">
        <f>AM47-SUM(AI47:AK47)</f>
        <v>-236</v>
      </c>
      <c r="AM47" s="145">
        <v>-239</v>
      </c>
      <c r="AN47" s="142">
        <v>0</v>
      </c>
      <c r="AO47" s="143">
        <f>-3.7+22.9-55.6</f>
        <v>-36.400000000000006</v>
      </c>
      <c r="AP47" s="143">
        <f>2.1-17.7-43.9+1465</f>
        <v>1405.5</v>
      </c>
      <c r="AQ47" s="157">
        <f>AR47-SUM(AN47:AP47)</f>
        <v>-42.999999999999773</v>
      </c>
      <c r="AR47" s="145">
        <f>-6.5-0.7-76.8-43.9-12.9+1466.9</f>
        <v>1326.1000000000001</v>
      </c>
      <c r="AS47" s="142">
        <f>2-127.1+7.2</f>
        <v>-117.89999999999999</v>
      </c>
      <c r="AT47" s="143">
        <f>0.7-2.3-3</f>
        <v>-4.5999999999999996</v>
      </c>
      <c r="AU47" s="143">
        <f>0.1-1.7</f>
        <v>-1.5999999999999999</v>
      </c>
      <c r="AV47" s="157">
        <f>AW47-SUM(AS47:AU47)</f>
        <v>19.399999999999963</v>
      </c>
      <c r="AW47" s="145">
        <f>3.1-129.4+30.3+4.5+13.5-26.7</f>
        <v>-104.70000000000002</v>
      </c>
      <c r="AX47" s="161">
        <f>-AX41</f>
        <v>0</v>
      </c>
      <c r="AY47" s="160">
        <f>-AY41</f>
        <v>0</v>
      </c>
      <c r="AZ47" s="160">
        <f>-AZ41</f>
        <v>0</v>
      </c>
      <c r="BA47" s="144">
        <f>-BA41</f>
        <v>0</v>
      </c>
      <c r="BB47" s="109">
        <f>SUM(AX47:BA47)</f>
        <v>0</v>
      </c>
      <c r="BC47" s="161">
        <f>-BC41</f>
        <v>0</v>
      </c>
      <c r="BD47" s="160">
        <f>-BD41</f>
        <v>0</v>
      </c>
      <c r="BE47" s="160">
        <f>-BE41</f>
        <v>0</v>
      </c>
      <c r="BF47" s="144">
        <f>-BF41</f>
        <v>0</v>
      </c>
      <c r="BG47" s="109">
        <f>SUM(BC47:BF47)</f>
        <v>0</v>
      </c>
      <c r="BH47" s="161">
        <f>-BH41</f>
        <v>0</v>
      </c>
      <c r="BI47" s="160">
        <f>-BI41</f>
        <v>0</v>
      </c>
      <c r="BJ47" s="160">
        <f>-BJ41</f>
        <v>0</v>
      </c>
      <c r="BK47" s="144">
        <f>-BK41</f>
        <v>0</v>
      </c>
      <c r="BL47" s="109">
        <f>SUM(BH47:BK47)</f>
        <v>0</v>
      </c>
      <c r="BM47" s="161">
        <f>-BM41</f>
        <v>0</v>
      </c>
      <c r="BN47" s="160">
        <f>-BN41</f>
        <v>0</v>
      </c>
      <c r="BO47" s="160">
        <f>-BO41</f>
        <v>0</v>
      </c>
      <c r="BP47" s="144">
        <f>-BP41</f>
        <v>0</v>
      </c>
      <c r="BQ47" s="109">
        <f>SUM(BM47:BP47)</f>
        <v>0</v>
      </c>
      <c r="BR47" s="491"/>
      <c r="BS47" s="491"/>
      <c r="CP47" s="72"/>
    </row>
    <row r="48" spans="1:99">
      <c r="C48" s="56" t="s">
        <v>16</v>
      </c>
      <c r="D48" s="72"/>
      <c r="E48" s="149">
        <f t="shared" ref="E48:N48" si="51">+E46+E47</f>
        <v>360</v>
      </c>
      <c r="F48" s="150">
        <f t="shared" si="51"/>
        <v>321</v>
      </c>
      <c r="G48" s="150">
        <f t="shared" si="51"/>
        <v>443</v>
      </c>
      <c r="H48" s="151">
        <f t="shared" si="51"/>
        <v>238</v>
      </c>
      <c r="I48" s="112">
        <f t="shared" si="51"/>
        <v>1362</v>
      </c>
      <c r="J48" s="152">
        <f>+J46+J47</f>
        <v>344</v>
      </c>
      <c r="K48" s="150">
        <f t="shared" si="51"/>
        <v>136</v>
      </c>
      <c r="L48" s="150">
        <f t="shared" si="51"/>
        <v>555</v>
      </c>
      <c r="M48" s="151">
        <f t="shared" si="51"/>
        <v>176</v>
      </c>
      <c r="N48" s="112">
        <f t="shared" si="51"/>
        <v>1211</v>
      </c>
      <c r="O48" s="149">
        <f t="shared" ref="O48:AH48" si="52">+O46+O47</f>
        <v>392</v>
      </c>
      <c r="P48" s="155">
        <f t="shared" si="52"/>
        <v>352</v>
      </c>
      <c r="Q48" s="155">
        <f t="shared" si="52"/>
        <v>566</v>
      </c>
      <c r="R48" s="151">
        <f t="shared" si="52"/>
        <v>194</v>
      </c>
      <c r="S48" s="112">
        <f t="shared" si="52"/>
        <v>1504</v>
      </c>
      <c r="T48" s="149">
        <f t="shared" si="52"/>
        <v>389</v>
      </c>
      <c r="U48" s="155">
        <f t="shared" si="52"/>
        <v>370</v>
      </c>
      <c r="V48" s="155">
        <f t="shared" si="52"/>
        <v>496</v>
      </c>
      <c r="W48" s="151">
        <f t="shared" si="52"/>
        <v>242</v>
      </c>
      <c r="X48" s="112">
        <f t="shared" si="52"/>
        <v>1497</v>
      </c>
      <c r="Y48" s="149">
        <f t="shared" si="52"/>
        <v>387</v>
      </c>
      <c r="Z48" s="155">
        <f t="shared" si="52"/>
        <v>357</v>
      </c>
      <c r="AA48" s="155">
        <f t="shared" si="52"/>
        <v>533</v>
      </c>
      <c r="AB48" s="151">
        <f t="shared" si="52"/>
        <v>296</v>
      </c>
      <c r="AC48" s="112">
        <f t="shared" si="52"/>
        <v>1573</v>
      </c>
      <c r="AD48" s="149">
        <f t="shared" si="52"/>
        <v>560</v>
      </c>
      <c r="AE48" s="155">
        <f t="shared" si="52"/>
        <v>390</v>
      </c>
      <c r="AF48" s="155">
        <f t="shared" si="52"/>
        <v>493</v>
      </c>
      <c r="AG48" s="151">
        <f t="shared" si="52"/>
        <v>232</v>
      </c>
      <c r="AH48" s="112">
        <f t="shared" si="52"/>
        <v>1675</v>
      </c>
      <c r="AI48" s="149">
        <f t="shared" ref="AI48:AN48" si="53">+AI46+AI47</f>
        <v>625</v>
      </c>
      <c r="AJ48" s="155">
        <f t="shared" si="53"/>
        <v>429</v>
      </c>
      <c r="AK48" s="155">
        <f t="shared" si="53"/>
        <v>521</v>
      </c>
      <c r="AL48" s="151">
        <f t="shared" si="53"/>
        <v>233.10000000000093</v>
      </c>
      <c r="AM48" s="112">
        <f t="shared" si="53"/>
        <v>1808.1000000000001</v>
      </c>
      <c r="AN48" s="149">
        <f t="shared" si="53"/>
        <v>501.20000000000016</v>
      </c>
      <c r="AO48" s="155">
        <f>+AO46+AO47</f>
        <v>465.70000000000027</v>
      </c>
      <c r="AP48" s="155">
        <f>+AP46+AP47</f>
        <v>639.6999999999997</v>
      </c>
      <c r="AQ48" s="151">
        <f>+AQ46+AQ47</f>
        <v>330.39999999999981</v>
      </c>
      <c r="AR48" s="112">
        <f>+AR46+AR47</f>
        <v>1936.9999999999995</v>
      </c>
      <c r="AS48" s="149">
        <f>+AS46+AS47</f>
        <v>474.3000000000003</v>
      </c>
      <c r="AT48" s="155">
        <f t="shared" ref="AT48:BB48" si="54">+AT46+AT47</f>
        <v>370.39999999999981</v>
      </c>
      <c r="AU48" s="155">
        <f t="shared" si="54"/>
        <v>543.09999999999991</v>
      </c>
      <c r="AV48" s="151">
        <f>+AV46+AV47</f>
        <v>420.09999999999928</v>
      </c>
      <c r="AW48" s="112">
        <f>+AW46+AW47</f>
        <v>1807.899999999999</v>
      </c>
      <c r="AX48" s="149">
        <f t="shared" si="54"/>
        <v>478.58633757242251</v>
      </c>
      <c r="AY48" s="150">
        <f t="shared" si="54"/>
        <v>393.54259090508947</v>
      </c>
      <c r="AZ48" s="150">
        <f t="shared" si="54"/>
        <v>601.85270734239771</v>
      </c>
      <c r="BA48" s="151">
        <f t="shared" si="54"/>
        <v>423.53472028978535</v>
      </c>
      <c r="BB48" s="112">
        <f t="shared" si="54"/>
        <v>1897.5163561096952</v>
      </c>
      <c r="BC48" s="149">
        <f t="shared" ref="BC48:BL48" si="55">+BC46+BC47</f>
        <v>562.46199570985561</v>
      </c>
      <c r="BD48" s="150">
        <f t="shared" si="55"/>
        <v>446.94590729499248</v>
      </c>
      <c r="BE48" s="150">
        <f t="shared" si="55"/>
        <v>599.55203463746022</v>
      </c>
      <c r="BF48" s="151">
        <f t="shared" si="55"/>
        <v>440.87369313513568</v>
      </c>
      <c r="BG48" s="112">
        <f t="shared" si="55"/>
        <v>2049.8336307774448</v>
      </c>
      <c r="BH48" s="149">
        <f t="shared" si="55"/>
        <v>572.8469274165202</v>
      </c>
      <c r="BI48" s="150">
        <f t="shared" si="55"/>
        <v>471.39238122849156</v>
      </c>
      <c r="BJ48" s="150">
        <f t="shared" si="55"/>
        <v>671.42074155116904</v>
      </c>
      <c r="BK48" s="151">
        <f t="shared" si="55"/>
        <v>489.10644884599895</v>
      </c>
      <c r="BL48" s="112">
        <f t="shared" si="55"/>
        <v>2204.7664990421786</v>
      </c>
      <c r="BM48" s="149">
        <f>+BM46+BM47</f>
        <v>648.61630275528853</v>
      </c>
      <c r="BN48" s="150">
        <f>+BN46+BN47</f>
        <v>555.04357704770723</v>
      </c>
      <c r="BO48" s="150">
        <f>+BO46+BO47</f>
        <v>716.80949006492574</v>
      </c>
      <c r="BP48" s="151">
        <f>+BP46+BP47</f>
        <v>551.09669632431462</v>
      </c>
      <c r="BQ48" s="112">
        <f>+BQ46+BQ47</f>
        <v>2471.5660661922375</v>
      </c>
      <c r="BR48" s="550"/>
      <c r="BS48" s="491"/>
      <c r="CP48" s="112"/>
    </row>
    <row r="49" spans="1:99">
      <c r="C49" s="56"/>
      <c r="D49" s="72"/>
      <c r="E49" s="149"/>
      <c r="F49" s="150"/>
      <c r="G49" s="150"/>
      <c r="H49" s="151"/>
      <c r="I49" s="112"/>
      <c r="J49" s="152"/>
      <c r="K49" s="150"/>
      <c r="L49" s="150"/>
      <c r="M49" s="151"/>
      <c r="N49" s="112"/>
      <c r="O49" s="149"/>
      <c r="P49" s="155"/>
      <c r="Q49" s="155"/>
      <c r="R49" s="151"/>
      <c r="S49" s="112"/>
      <c r="T49" s="149"/>
      <c r="U49" s="155"/>
      <c r="V49" s="155"/>
      <c r="W49" s="151"/>
      <c r="X49" s="112"/>
      <c r="Y49" s="149"/>
      <c r="Z49" s="155"/>
      <c r="AA49" s="155"/>
      <c r="AB49" s="151"/>
      <c r="AC49" s="112"/>
      <c r="AD49" s="149"/>
      <c r="AE49" s="155"/>
      <c r="AF49" s="155"/>
      <c r="AG49" s="151"/>
      <c r="AH49" s="112"/>
      <c r="AI49" s="149"/>
      <c r="AJ49" s="155"/>
      <c r="AK49" s="155"/>
      <c r="AL49" s="151"/>
      <c r="AM49" s="112"/>
      <c r="AN49" s="149"/>
      <c r="AO49" s="155"/>
      <c r="AP49" s="155"/>
      <c r="AQ49" s="151"/>
      <c r="AR49" s="112"/>
      <c r="AS49" s="149"/>
      <c r="AT49" s="155"/>
      <c r="AU49" s="155"/>
      <c r="AV49" s="151"/>
      <c r="AW49" s="112"/>
      <c r="AX49" s="149"/>
      <c r="AY49" s="150"/>
      <c r="AZ49" s="150"/>
      <c r="BA49" s="151"/>
      <c r="BB49" s="112"/>
      <c r="BC49" s="149"/>
      <c r="BD49" s="150"/>
      <c r="BE49" s="150"/>
      <c r="BF49" s="151"/>
      <c r="BG49" s="112"/>
      <c r="BH49" s="149"/>
      <c r="BI49" s="150"/>
      <c r="BJ49" s="150"/>
      <c r="BK49" s="151"/>
      <c r="BL49" s="112"/>
      <c r="BM49" s="149"/>
      <c r="BN49" s="150"/>
      <c r="BO49" s="150"/>
      <c r="BP49" s="151"/>
      <c r="BQ49" s="112"/>
      <c r="BR49" s="491"/>
      <c r="BS49" s="491"/>
      <c r="CP49" s="112"/>
    </row>
    <row r="50" spans="1:99">
      <c r="C50" s="100" t="s">
        <v>897</v>
      </c>
      <c r="D50" s="72"/>
      <c r="E50" s="142">
        <f>428.010854-20.249992</f>
        <v>407.76086199999997</v>
      </c>
      <c r="F50" s="143">
        <f>497.033402-20.249992</f>
        <v>476.78341</v>
      </c>
      <c r="G50" s="143">
        <f>497.649344-20.249992</f>
        <v>477.39935199999996</v>
      </c>
      <c r="H50" s="157">
        <f>I50</f>
        <v>478.05476699999997</v>
      </c>
      <c r="I50" s="145">
        <f>498.333625-20.278858</f>
        <v>478.05476699999997</v>
      </c>
      <c r="J50" s="142">
        <f>499.133697-20.278858</f>
        <v>478.85483899999997</v>
      </c>
      <c r="K50" s="143">
        <f>499.655121-20.278858</f>
        <v>479.37626299999999</v>
      </c>
      <c r="L50" s="143">
        <f>500.319686-20.278858</f>
        <v>480.04082799999998</v>
      </c>
      <c r="M50" s="157">
        <f>N50</f>
        <v>480.80715600000002</v>
      </c>
      <c r="N50" s="145">
        <v>480.80715600000002</v>
      </c>
      <c r="O50" s="142">
        <f>502.009606-20.307725</f>
        <v>481.70188100000001</v>
      </c>
      <c r="P50" s="143">
        <f>502.534747-20.307725</f>
        <v>482.22702199999998</v>
      </c>
      <c r="Q50" s="143">
        <f>503.177402-20.307725</f>
        <v>482.86967699999997</v>
      </c>
      <c r="R50" s="158">
        <f>(503.75946)-(20.336592)</f>
        <v>483.42286799999999</v>
      </c>
      <c r="S50" s="145">
        <f>503.75946-20.336592</f>
        <v>483.42286799999999</v>
      </c>
      <c r="T50" s="142">
        <f>504.566633-20.336592</f>
        <v>484.23004100000003</v>
      </c>
      <c r="U50" s="143">
        <f>505.165281-20.336592</f>
        <v>484.828689</v>
      </c>
      <c r="V50" s="143">
        <f>505.552303 -20.336592</f>
        <v>485.215711</v>
      </c>
      <c r="W50" s="147">
        <f>+X50</f>
        <v>485.66836999999998</v>
      </c>
      <c r="X50" s="145">
        <f>506.004962 -20.336592</f>
        <v>485.66836999999998</v>
      </c>
      <c r="Y50" s="142">
        <f>506.356262 -20.336592</f>
        <v>486.01967000000002</v>
      </c>
      <c r="Z50" s="143">
        <f>507.071824-20.336592</f>
        <v>486.735232</v>
      </c>
      <c r="AA50" s="143">
        <f>507.59443-20.336592</f>
        <v>487.25783799999999</v>
      </c>
      <c r="AB50" s="147">
        <f>AC50</f>
        <v>487.77737200000001</v>
      </c>
      <c r="AC50" s="145">
        <f>508.113964-20.336592</f>
        <v>487.77737200000001</v>
      </c>
      <c r="AD50" s="142">
        <f>508.397086-20.336592</f>
        <v>488.06049400000001</v>
      </c>
      <c r="AE50" s="143">
        <f>508.90234-20.336592</f>
        <v>488.56574799999999</v>
      </c>
      <c r="AF50" s="143">
        <f>509.563446-20.336592</f>
        <v>489.226854</v>
      </c>
      <c r="AG50" s="147">
        <f>AH50</f>
        <v>489.40256699999998</v>
      </c>
      <c r="AH50" s="145">
        <f>509.739159-20.336592</f>
        <v>489.40256699999998</v>
      </c>
      <c r="AI50" s="142">
        <f>510.266134-20.336592</f>
        <v>489.92954200000003</v>
      </c>
      <c r="AJ50" s="143">
        <f>510.884774-20.336592</f>
        <v>490.548182</v>
      </c>
      <c r="AK50" s="143">
        <f>511.141256-20.336592</f>
        <v>490.804664</v>
      </c>
      <c r="AL50" s="147">
        <f>AM50</f>
        <v>491.05258100000003</v>
      </c>
      <c r="AM50" s="145">
        <f>511.389173-20.336592</f>
        <v>491.05258100000003</v>
      </c>
      <c r="AN50" s="142">
        <f>511.57997-20.336592</f>
        <v>491.24337800000001</v>
      </c>
      <c r="AO50" s="143">
        <f>511.999477-20.336592</f>
        <v>491.66288500000002</v>
      </c>
      <c r="AP50" s="143">
        <f>512.046044-20.336592</f>
        <v>491.70945200000006</v>
      </c>
      <c r="AQ50" s="147">
        <f>AR50</f>
        <v>491.71192800000006</v>
      </c>
      <c r="AR50" s="145">
        <f>512.04852-20.336592</f>
        <v>491.71192800000006</v>
      </c>
      <c r="AS50" s="142">
        <f>512.048663-20.336592</f>
        <v>491.71207100000004</v>
      </c>
      <c r="AT50" s="143">
        <f>512.048663-20.211575</f>
        <v>491.83708800000005</v>
      </c>
      <c r="AU50" s="143">
        <f>512.048663-20.206368</f>
        <v>491.84229500000004</v>
      </c>
      <c r="AV50" s="147">
        <f>AW50</f>
        <v>492.00559800000002</v>
      </c>
      <c r="AW50" s="145">
        <f>512.210644-20.205046</f>
        <v>492.00559800000002</v>
      </c>
      <c r="AX50" s="148">
        <f>+AW50+AX72</f>
        <v>492.36854805807201</v>
      </c>
      <c r="AY50" s="146">
        <f>+AX50+AY72</f>
        <v>492.731498116144</v>
      </c>
      <c r="AZ50" s="146">
        <f>+AY50+AZ72</f>
        <v>493.09444817421598</v>
      </c>
      <c r="BA50" s="147">
        <f>+AZ50+BA72</f>
        <v>493.45739823228797</v>
      </c>
      <c r="BB50" s="109">
        <f>+BA50</f>
        <v>493.45739823228797</v>
      </c>
      <c r="BC50" s="148">
        <f>+BB50+BC72</f>
        <v>493.82034829035996</v>
      </c>
      <c r="BD50" s="146">
        <f>+BC50+BD72</f>
        <v>494.18329834843195</v>
      </c>
      <c r="BE50" s="146">
        <f>+BD50+BE72</f>
        <v>494.54624840650393</v>
      </c>
      <c r="BF50" s="147">
        <f>+BE50+BF72</f>
        <v>494.90919846457592</v>
      </c>
      <c r="BG50" s="109">
        <f>+BF50</f>
        <v>494.90919846457592</v>
      </c>
      <c r="BH50" s="148">
        <f>+BG50+BH72</f>
        <v>496.72394875493598</v>
      </c>
      <c r="BI50" s="146">
        <f>+BH50+BI72</f>
        <v>498.53869904529603</v>
      </c>
      <c r="BJ50" s="146">
        <f>+BI50+BJ72</f>
        <v>500.35344933565608</v>
      </c>
      <c r="BK50" s="147">
        <f>+BJ50+BK72</f>
        <v>502.16819962601613</v>
      </c>
      <c r="BL50" s="109">
        <f>+BK50</f>
        <v>502.16819962601613</v>
      </c>
      <c r="BM50" s="148">
        <f>+BL50+BM72</f>
        <v>504.79958754703819</v>
      </c>
      <c r="BN50" s="146">
        <f>+BM50+BN72</f>
        <v>507.43097546806024</v>
      </c>
      <c r="BO50" s="146">
        <f>+BN50+BO72</f>
        <v>510.06236338908229</v>
      </c>
      <c r="BP50" s="147">
        <f>+BO50+BP72</f>
        <v>512.6937513101044</v>
      </c>
      <c r="BQ50" s="109">
        <f>+BP50</f>
        <v>512.6937513101044</v>
      </c>
      <c r="BR50" s="491"/>
      <c r="BS50" s="491"/>
      <c r="BV50" s="491"/>
    </row>
    <row r="51" spans="1:99">
      <c r="C51" s="113" t="s">
        <v>898</v>
      </c>
      <c r="D51" s="72"/>
      <c r="E51" s="142">
        <v>406.82660600000003</v>
      </c>
      <c r="F51" s="143">
        <v>472.22004099999998</v>
      </c>
      <c r="G51" s="143">
        <v>476.94814300000002</v>
      </c>
      <c r="H51" s="158">
        <f>H46/0.49</f>
        <v>485.71428571428572</v>
      </c>
      <c r="I51" s="145">
        <v>458.67753399999998</v>
      </c>
      <c r="J51" s="142">
        <v>478.42953499999999</v>
      </c>
      <c r="K51" s="143">
        <v>479.05077399999999</v>
      </c>
      <c r="L51" s="143">
        <v>479.57813900000002</v>
      </c>
      <c r="M51" s="158">
        <f>M46/0.37</f>
        <v>475.67567567567568</v>
      </c>
      <c r="N51" s="145">
        <v>479.37330600000001</v>
      </c>
      <c r="O51" s="142">
        <v>481.14427000000001</v>
      </c>
      <c r="P51" s="143">
        <v>481.928494</v>
      </c>
      <c r="Q51" s="143">
        <v>482.49873400000001</v>
      </c>
      <c r="R51" s="158">
        <v>483</v>
      </c>
      <c r="S51" s="145">
        <v>482.16928200000001</v>
      </c>
      <c r="T51" s="142">
        <v>483.828101</v>
      </c>
      <c r="U51" s="143">
        <v>484.50002899999998</v>
      </c>
      <c r="V51" s="143">
        <v>484.97954299999998</v>
      </c>
      <c r="W51" s="1014">
        <v>485</v>
      </c>
      <c r="X51" s="145">
        <v>484.68246900000003</v>
      </c>
      <c r="Y51" s="142">
        <v>485.823668</v>
      </c>
      <c r="Z51" s="143">
        <v>486.293026</v>
      </c>
      <c r="AA51" s="143">
        <v>486.93274700000001</v>
      </c>
      <c r="AB51" s="1014">
        <v>487</v>
      </c>
      <c r="AC51" s="145">
        <v>486.61955499999999</v>
      </c>
      <c r="AD51" s="142">
        <v>487.86708900000002</v>
      </c>
      <c r="AE51" s="143">
        <v>488.29157600000002</v>
      </c>
      <c r="AF51" s="143">
        <v>488.912892</v>
      </c>
      <c r="AG51" s="1014">
        <v>489</v>
      </c>
      <c r="AH51" s="145">
        <v>488.59299700000003</v>
      </c>
      <c r="AI51" s="142">
        <v>489.59798599999999</v>
      </c>
      <c r="AJ51" s="143">
        <v>490.20748200000003</v>
      </c>
      <c r="AK51" s="143">
        <v>490.64892900000001</v>
      </c>
      <c r="AL51" s="1014">
        <v>491</v>
      </c>
      <c r="AM51" s="145">
        <v>490.34052200000002</v>
      </c>
      <c r="AN51" s="142">
        <v>491.10839199999998</v>
      </c>
      <c r="AO51" s="143">
        <v>491.459541</v>
      </c>
      <c r="AP51" s="143">
        <v>491.69780900000001</v>
      </c>
      <c r="AQ51" s="1014">
        <v>492</v>
      </c>
      <c r="AR51" s="145">
        <v>491.49545799999999</v>
      </c>
      <c r="AS51" s="142">
        <v>491.712042</v>
      </c>
      <c r="AT51" s="143">
        <v>491.790752</v>
      </c>
      <c r="AU51" s="143">
        <v>491.84072200000003</v>
      </c>
      <c r="AV51" s="1014">
        <v>492</v>
      </c>
      <c r="AW51" s="145">
        <v>491.81465100000003</v>
      </c>
      <c r="AX51" s="148">
        <f>AVERAGE(AW50:AX50)</f>
        <v>492.18707302903601</v>
      </c>
      <c r="AY51" s="146">
        <f>AVERAGE(AX50:AY50)</f>
        <v>492.550023087108</v>
      </c>
      <c r="AZ51" s="146">
        <f>AVERAGE(AY50:AZ50)</f>
        <v>492.91297314517999</v>
      </c>
      <c r="BA51" s="147">
        <f>AVERAGE(AZ50:BA50)</f>
        <v>493.27592320325198</v>
      </c>
      <c r="BB51" s="109">
        <f>AVERAGE(AX51:BA51)</f>
        <v>492.731498116144</v>
      </c>
      <c r="BC51" s="148">
        <f>AVERAGE(BB50:BC50)</f>
        <v>493.63887326132397</v>
      </c>
      <c r="BD51" s="146">
        <f>AVERAGE(BC50:BD50)</f>
        <v>494.00182331939595</v>
      </c>
      <c r="BE51" s="146">
        <f>AVERAGE(BD50:BE50)</f>
        <v>494.36477337746794</v>
      </c>
      <c r="BF51" s="147">
        <f>AVERAGE(BE50:BF50)</f>
        <v>494.72772343553993</v>
      </c>
      <c r="BG51" s="109">
        <f>AVERAGE(BC51:BF51)</f>
        <v>494.18329834843195</v>
      </c>
      <c r="BH51" s="148">
        <f>AVERAGE(BG50:BH50)</f>
        <v>495.81657360975595</v>
      </c>
      <c r="BI51" s="146">
        <f>AVERAGE(BH50:BI50)</f>
        <v>497.631323900116</v>
      </c>
      <c r="BJ51" s="146">
        <f>AVERAGE(BI50:BJ50)</f>
        <v>499.44607419047605</v>
      </c>
      <c r="BK51" s="147">
        <f>AVERAGE(BJ50:BK50)</f>
        <v>501.26082448083611</v>
      </c>
      <c r="BL51" s="109">
        <f>AVERAGE(BH51:BK51)</f>
        <v>498.53869904529603</v>
      </c>
      <c r="BM51" s="148">
        <f>AVERAGE(BL50:BM50)</f>
        <v>503.48389358652719</v>
      </c>
      <c r="BN51" s="146">
        <f>AVERAGE(BM50:BN50)</f>
        <v>506.11528150754918</v>
      </c>
      <c r="BO51" s="146">
        <f>AVERAGE(BN50:BO50)</f>
        <v>508.74666942857129</v>
      </c>
      <c r="BP51" s="147">
        <f>AVERAGE(BO50:BP50)</f>
        <v>511.37805734959335</v>
      </c>
      <c r="BQ51" s="109">
        <f>AVERAGE(BM51:BP51)</f>
        <v>507.43097546806024</v>
      </c>
      <c r="BR51" s="491"/>
      <c r="BS51" s="491"/>
      <c r="BV51" s="491"/>
    </row>
    <row r="52" spans="1:99">
      <c r="C52" s="100" t="s">
        <v>901</v>
      </c>
      <c r="D52" s="72"/>
      <c r="E52" s="606">
        <v>407.38195400000001</v>
      </c>
      <c r="F52" s="143">
        <v>472.22281700000002</v>
      </c>
      <c r="G52" s="143">
        <v>477.11114400000002</v>
      </c>
      <c r="H52" s="158">
        <f>H46/0.49</f>
        <v>485.71428571428572</v>
      </c>
      <c r="I52" s="145">
        <v>458.98229199999997</v>
      </c>
      <c r="J52" s="142">
        <v>478.84463199999999</v>
      </c>
      <c r="K52" s="143">
        <v>479.17654299999998</v>
      </c>
      <c r="L52" s="143">
        <v>479.75044700000001</v>
      </c>
      <c r="M52" s="158">
        <f>M46/0.37</f>
        <v>475.67567567567568</v>
      </c>
      <c r="N52" s="145">
        <v>479.60144200000002</v>
      </c>
      <c r="O52" s="142">
        <v>481.36580600000002</v>
      </c>
      <c r="P52" s="143">
        <v>482.20325500000001</v>
      </c>
      <c r="Q52" s="143">
        <v>482.79694499999999</v>
      </c>
      <c r="R52" s="158">
        <v>483</v>
      </c>
      <c r="S52" s="145">
        <v>482.460328</v>
      </c>
      <c r="T52" s="142">
        <v>484.24886800000002</v>
      </c>
      <c r="U52" s="143">
        <v>484.86068999999998</v>
      </c>
      <c r="V52" s="143">
        <v>485.36285800000002</v>
      </c>
      <c r="W52" s="1014">
        <v>485</v>
      </c>
      <c r="X52" s="145">
        <v>485.08469400000001</v>
      </c>
      <c r="Y52" s="142">
        <v>486.34403600000002</v>
      </c>
      <c r="Z52" s="143">
        <v>486.86361499999998</v>
      </c>
      <c r="AA52" s="143">
        <v>487.25890500000003</v>
      </c>
      <c r="AB52" s="1014">
        <v>487</v>
      </c>
      <c r="AC52" s="145">
        <v>487.04095599999999</v>
      </c>
      <c r="AD52" s="142">
        <v>488.27116699999999</v>
      </c>
      <c r="AE52" s="143">
        <v>488.53822700000001</v>
      </c>
      <c r="AF52" s="143">
        <v>488.97064699999999</v>
      </c>
      <c r="AG52" s="1014">
        <v>489</v>
      </c>
      <c r="AH52" s="145">
        <v>488.89983999999998</v>
      </c>
      <c r="AI52" s="142">
        <v>489.93672600000002</v>
      </c>
      <c r="AJ52" s="143">
        <v>490.48444999999998</v>
      </c>
      <c r="AK52" s="143">
        <v>490.80033500000002</v>
      </c>
      <c r="AL52" s="1014">
        <v>491</v>
      </c>
      <c r="AM52" s="145">
        <v>490.574568</v>
      </c>
      <c r="AN52" s="142">
        <v>491.33230500000002</v>
      </c>
      <c r="AO52" s="143">
        <v>491.64139999999998</v>
      </c>
      <c r="AP52" s="143">
        <v>491.81385799999998</v>
      </c>
      <c r="AQ52" s="1014">
        <v>492</v>
      </c>
      <c r="AR52" s="145">
        <v>491.66200700000002</v>
      </c>
      <c r="AS52" s="142">
        <v>492.03197499999999</v>
      </c>
      <c r="AT52" s="143">
        <v>492.64210000000003</v>
      </c>
      <c r="AU52" s="143">
        <v>492.98630700000001</v>
      </c>
      <c r="AV52" s="1014">
        <v>492</v>
      </c>
      <c r="AW52" s="145">
        <v>492.61106699999999</v>
      </c>
      <c r="AX52" s="148">
        <f>AX51+(AV52-AV51)</f>
        <v>492.18707302903601</v>
      </c>
      <c r="AY52" s="146">
        <f>AY51+(AX52-AX51)</f>
        <v>492.550023087108</v>
      </c>
      <c r="AZ52" s="146">
        <f>AZ51+(AY52-AY51)</f>
        <v>492.91297314517999</v>
      </c>
      <c r="BA52" s="147">
        <f>BA51+(AZ52-AZ51)</f>
        <v>493.27592320325198</v>
      </c>
      <c r="BB52" s="109">
        <f>AVERAGE(AX52:BA52)</f>
        <v>492.731498116144</v>
      </c>
      <c r="BC52" s="148">
        <f>BC51+(BA52-BA51)</f>
        <v>493.63887326132397</v>
      </c>
      <c r="BD52" s="146">
        <f>BD51+(BC52-BC51)</f>
        <v>494.00182331939595</v>
      </c>
      <c r="BE52" s="146">
        <f>BE51+(BD52-BD51)</f>
        <v>494.36477337746794</v>
      </c>
      <c r="BF52" s="147">
        <f>BF51+(BE52-BE51)</f>
        <v>494.72772343553993</v>
      </c>
      <c r="BG52" s="109">
        <f>AVERAGE(BC52:BF52)</f>
        <v>494.18329834843195</v>
      </c>
      <c r="BH52" s="148">
        <f>BH51+(BF52-BF51)</f>
        <v>495.81657360975595</v>
      </c>
      <c r="BI52" s="146">
        <f>BI51+(BH52-BH51)</f>
        <v>497.631323900116</v>
      </c>
      <c r="BJ52" s="146">
        <f>BJ51+(BI52-BI51)</f>
        <v>499.44607419047605</v>
      </c>
      <c r="BK52" s="147">
        <f>BK51+(BJ52-BJ51)</f>
        <v>501.26082448083611</v>
      </c>
      <c r="BL52" s="109">
        <f>AVERAGE(BH52:BK52)</f>
        <v>498.53869904529603</v>
      </c>
      <c r="BM52" s="148">
        <f>BM51+(BK52-BK51)</f>
        <v>503.48389358652719</v>
      </c>
      <c r="BN52" s="146">
        <f>BN51+(BM52-BM51)</f>
        <v>506.11528150754918</v>
      </c>
      <c r="BO52" s="146">
        <f>BO51+(BN52-BN51)</f>
        <v>508.74666942857129</v>
      </c>
      <c r="BP52" s="147">
        <f>BP51+(BO52-BO51)</f>
        <v>511.37805734959335</v>
      </c>
      <c r="BQ52" s="109">
        <f>AVERAGE(BM52:BP52)</f>
        <v>507.43097546806024</v>
      </c>
      <c r="BR52" s="491"/>
      <c r="BS52" s="491"/>
      <c r="BV52" s="491"/>
    </row>
    <row r="53" spans="1:99">
      <c r="C53" s="56"/>
      <c r="D53" s="72"/>
      <c r="E53" s="148"/>
      <c r="F53" s="163"/>
      <c r="G53" s="163"/>
      <c r="H53" s="147"/>
      <c r="I53" s="72"/>
      <c r="J53" s="148"/>
      <c r="K53" s="163"/>
      <c r="L53" s="163"/>
      <c r="M53" s="147"/>
      <c r="N53" s="72"/>
      <c r="O53" s="148"/>
      <c r="P53" s="163"/>
      <c r="Q53" s="163"/>
      <c r="R53" s="147"/>
      <c r="S53" s="72"/>
      <c r="T53" s="148"/>
      <c r="U53" s="163"/>
      <c r="V53" s="163"/>
      <c r="W53" s="147"/>
      <c r="X53" s="72"/>
      <c r="Y53" s="148"/>
      <c r="Z53" s="163"/>
      <c r="AA53" s="163"/>
      <c r="AB53" s="147"/>
      <c r="AC53" s="72"/>
      <c r="AD53" s="148"/>
      <c r="AE53" s="163"/>
      <c r="AF53" s="163"/>
      <c r="AG53" s="147"/>
      <c r="AH53" s="72"/>
      <c r="AI53" s="148"/>
      <c r="AJ53" s="163"/>
      <c r="AK53" s="163"/>
      <c r="AL53" s="147"/>
      <c r="AM53" s="72"/>
      <c r="AN53" s="148"/>
      <c r="AO53" s="163"/>
      <c r="AP53" s="163"/>
      <c r="AQ53" s="147"/>
      <c r="AR53" s="72"/>
      <c r="AS53" s="148"/>
      <c r="AT53" s="163"/>
      <c r="AU53" s="163"/>
      <c r="AV53" s="147"/>
      <c r="AW53" s="72"/>
      <c r="AX53" s="148"/>
      <c r="AY53" s="163"/>
      <c r="AZ53" s="163"/>
      <c r="BA53" s="147"/>
      <c r="BB53" s="72"/>
      <c r="BC53" s="148"/>
      <c r="BD53" s="163"/>
      <c r="BE53" s="163"/>
      <c r="BF53" s="147"/>
      <c r="BG53" s="72"/>
      <c r="BH53" s="148"/>
      <c r="BI53" s="163"/>
      <c r="BJ53" s="163"/>
      <c r="BK53" s="147"/>
      <c r="BL53" s="72"/>
      <c r="BM53" s="148"/>
      <c r="BN53" s="163"/>
      <c r="BO53" s="163"/>
      <c r="BP53" s="147"/>
      <c r="BQ53" s="72"/>
      <c r="BR53" s="491"/>
      <c r="BS53" s="491"/>
      <c r="BV53" s="491"/>
    </row>
    <row r="54" spans="1:99">
      <c r="A54" s="50"/>
      <c r="B54" s="50"/>
      <c r="C54" s="50" t="s">
        <v>20</v>
      </c>
      <c r="D54" s="50"/>
      <c r="E54" s="174">
        <f t="shared" ref="E54:AF54" si="56">+E46/E52</f>
        <v>0.88369157363313156</v>
      </c>
      <c r="F54" s="175">
        <f t="shared" si="56"/>
        <v>0.6684873933145844</v>
      </c>
      <c r="G54" s="175">
        <f t="shared" si="56"/>
        <v>0.92850482653995603</v>
      </c>
      <c r="H54" s="176">
        <f t="shared" si="56"/>
        <v>0.49</v>
      </c>
      <c r="I54" s="607">
        <f t="shared" si="56"/>
        <v>2.9558329888683375</v>
      </c>
      <c r="J54" s="174">
        <f t="shared" si="56"/>
        <v>0.71839585746885848</v>
      </c>
      <c r="K54" s="175">
        <f t="shared" si="56"/>
        <v>0.28382023700187681</v>
      </c>
      <c r="L54" s="175">
        <f t="shared" si="56"/>
        <v>1.1568514494786912</v>
      </c>
      <c r="M54" s="176">
        <f t="shared" si="56"/>
        <v>0.37</v>
      </c>
      <c r="N54" s="177">
        <f t="shared" si="56"/>
        <v>2.5250132588216863</v>
      </c>
      <c r="O54" s="174">
        <f t="shared" si="56"/>
        <v>0.73333002801615699</v>
      </c>
      <c r="P54" s="175">
        <f t="shared" si="56"/>
        <v>0.72998262942045045</v>
      </c>
      <c r="Q54" s="175">
        <f t="shared" si="56"/>
        <v>1.9221331236882619</v>
      </c>
      <c r="R54" s="176">
        <f t="shared" si="56"/>
        <v>0.6376811594202898</v>
      </c>
      <c r="S54" s="177">
        <f t="shared" si="56"/>
        <v>4.0231287161915619</v>
      </c>
      <c r="T54" s="174">
        <f t="shared" si="56"/>
        <v>0.80330595630839963</v>
      </c>
      <c r="U54" s="175">
        <f t="shared" si="56"/>
        <v>0.74660620558866098</v>
      </c>
      <c r="V54" s="175">
        <f t="shared" si="56"/>
        <v>1.0033730269488399</v>
      </c>
      <c r="W54" s="176">
        <f t="shared" si="56"/>
        <v>4.3298969072164947E-2</v>
      </c>
      <c r="X54" s="177">
        <f t="shared" si="56"/>
        <v>2.5954230582257867</v>
      </c>
      <c r="Y54" s="174">
        <f t="shared" si="56"/>
        <v>0.74638521937174529</v>
      </c>
      <c r="Z54" s="175">
        <f t="shared" si="56"/>
        <v>0.69423959726380458</v>
      </c>
      <c r="AA54" s="175">
        <f t="shared" si="56"/>
        <v>0.88864461081527069</v>
      </c>
      <c r="AB54" s="176">
        <f t="shared" si="56"/>
        <v>0.71047227926078027</v>
      </c>
      <c r="AC54" s="177">
        <f t="shared" si="56"/>
        <v>3.0387588184678251</v>
      </c>
      <c r="AD54" s="174">
        <f t="shared" si="56"/>
        <v>1.1469036835427147</v>
      </c>
      <c r="AE54" s="175">
        <f t="shared" si="56"/>
        <v>0.79829986364608474</v>
      </c>
      <c r="AF54" s="175">
        <f t="shared" si="56"/>
        <v>1.0082404803329637</v>
      </c>
      <c r="AG54" s="176">
        <f t="shared" ref="AG54:AM54" si="57">+AG46/AG52</f>
        <v>0.39059304703476483</v>
      </c>
      <c r="AH54" s="177">
        <f t="shared" si="57"/>
        <v>3.3421978620406176</v>
      </c>
      <c r="AI54" s="174">
        <f t="shared" si="57"/>
        <v>1.2838392523364333</v>
      </c>
      <c r="AJ54" s="175">
        <f t="shared" si="57"/>
        <v>0.87668426593340532</v>
      </c>
      <c r="AK54" s="175">
        <f t="shared" si="57"/>
        <v>1.0574564909373991</v>
      </c>
      <c r="AL54" s="176">
        <f t="shared" si="57"/>
        <v>0.95539714867617298</v>
      </c>
      <c r="AM54" s="177">
        <f t="shared" si="57"/>
        <v>4.1728620550912865</v>
      </c>
      <c r="AN54" s="174">
        <f t="shared" ref="AN54:AS54" si="58">+AN46/AN52</f>
        <v>1.0200835461043014</v>
      </c>
      <c r="AO54" s="175">
        <f t="shared" si="58"/>
        <v>1.021272822020278</v>
      </c>
      <c r="AP54" s="175">
        <f t="shared" si="58"/>
        <v>-1.5570931716202279</v>
      </c>
      <c r="AQ54" s="176">
        <f t="shared" si="58"/>
        <v>0.7589430894308935</v>
      </c>
      <c r="AR54" s="177">
        <f t="shared" si="58"/>
        <v>1.2425202502986961</v>
      </c>
      <c r="AS54" s="174">
        <f t="shared" si="58"/>
        <v>1.2035803160963274</v>
      </c>
      <c r="AT54" s="175">
        <f t="shared" ref="AT54:BB54" si="59">+AT46/AT52</f>
        <v>0.76120169185702924</v>
      </c>
      <c r="AU54" s="175">
        <f t="shared" si="59"/>
        <v>1.1048988425554789</v>
      </c>
      <c r="AV54" s="176">
        <f t="shared" si="59"/>
        <v>0.81443089430894167</v>
      </c>
      <c r="AW54" s="177">
        <f t="shared" si="59"/>
        <v>3.8825761906806675</v>
      </c>
      <c r="AX54" s="174">
        <f t="shared" si="59"/>
        <v>0.97236673573543619</v>
      </c>
      <c r="AY54" s="175">
        <f t="shared" si="59"/>
        <v>0.79899009736822413</v>
      </c>
      <c r="AZ54" s="175">
        <f t="shared" si="59"/>
        <v>1.2210121058532806</v>
      </c>
      <c r="BA54" s="176">
        <f t="shared" si="59"/>
        <v>0.85861624370275602</v>
      </c>
      <c r="BB54" s="177">
        <f t="shared" si="59"/>
        <v>3.8510149307776196</v>
      </c>
      <c r="BC54" s="174">
        <f t="shared" ref="BC54:BL54" si="60">+BC46/BC52</f>
        <v>1.1394199812381831</v>
      </c>
      <c r="BD54" s="175">
        <f t="shared" si="60"/>
        <v>0.90474546084017271</v>
      </c>
      <c r="BE54" s="175">
        <f t="shared" si="60"/>
        <v>1.2127725657743771</v>
      </c>
      <c r="BF54" s="176">
        <f t="shared" si="60"/>
        <v>0.8911441026057213</v>
      </c>
      <c r="BG54" s="177">
        <f t="shared" si="60"/>
        <v>4.1479217076498127</v>
      </c>
      <c r="BH54" s="174">
        <f t="shared" si="60"/>
        <v>1.1553605867709311</v>
      </c>
      <c r="BI54" s="175">
        <f t="shared" si="60"/>
        <v>0.94727232509002768</v>
      </c>
      <c r="BJ54" s="175">
        <f t="shared" si="60"/>
        <v>1.3443308021580449</v>
      </c>
      <c r="BK54" s="176">
        <f t="shared" si="60"/>
        <v>0.97575239268413683</v>
      </c>
      <c r="BL54" s="177">
        <f t="shared" si="60"/>
        <v>4.4224580825206088</v>
      </c>
      <c r="BM54" s="174">
        <f>+BM46/BM52</f>
        <v>1.288256309720103</v>
      </c>
      <c r="BN54" s="175">
        <f>+BN46/BN52</f>
        <v>1.0966742110501326</v>
      </c>
      <c r="BO54" s="175">
        <f>+BO46/BO52</f>
        <v>1.4089713665743551</v>
      </c>
      <c r="BP54" s="176">
        <f>+BP46/BP52</f>
        <v>1.0776698147366313</v>
      </c>
      <c r="BQ54" s="177">
        <f>+BQ46/BQ52</f>
        <v>4.8707433832009093</v>
      </c>
      <c r="BR54" s="525"/>
      <c r="BS54" s="525"/>
      <c r="BV54" s="525"/>
      <c r="BW54" s="50"/>
      <c r="BX54" s="50"/>
      <c r="CF54" s="50"/>
      <c r="CG54" s="50"/>
      <c r="CH54" s="50"/>
      <c r="CI54" s="50"/>
      <c r="CJ54" s="50"/>
      <c r="CK54" s="50"/>
      <c r="CL54" s="50"/>
      <c r="CM54" s="50"/>
      <c r="CN54" s="50"/>
      <c r="CO54" s="50"/>
      <c r="CP54" s="50"/>
      <c r="CQ54" s="50"/>
      <c r="CR54" s="50"/>
      <c r="CS54" s="50"/>
      <c r="CT54" s="50"/>
      <c r="CU54" s="50"/>
    </row>
    <row r="55" spans="1:99">
      <c r="C55" s="178" t="s">
        <v>21</v>
      </c>
      <c r="D55" s="179"/>
      <c r="E55" s="180">
        <f t="shared" ref="E55:AF55" si="61">+E48/E52</f>
        <v>0.88369157363313156</v>
      </c>
      <c r="F55" s="105">
        <f t="shared" si="61"/>
        <v>0.6797638496997912</v>
      </c>
      <c r="G55" s="105">
        <f t="shared" si="61"/>
        <v>0.92850482653995603</v>
      </c>
      <c r="H55" s="106">
        <f t="shared" si="61"/>
        <v>0.49</v>
      </c>
      <c r="I55" s="181">
        <f t="shared" si="61"/>
        <v>2.9674347436480186</v>
      </c>
      <c r="J55" s="180">
        <f t="shared" si="61"/>
        <v>0.71839585746885848</v>
      </c>
      <c r="K55" s="105">
        <f t="shared" si="61"/>
        <v>0.28382023700187681</v>
      </c>
      <c r="L55" s="105">
        <f t="shared" si="61"/>
        <v>1.1568514494786912</v>
      </c>
      <c r="M55" s="106">
        <f t="shared" si="61"/>
        <v>0.37</v>
      </c>
      <c r="N55" s="181">
        <f t="shared" si="61"/>
        <v>2.5250132588216863</v>
      </c>
      <c r="O55" s="180">
        <f t="shared" si="61"/>
        <v>0.81434949286780034</v>
      </c>
      <c r="P55" s="105">
        <f t="shared" si="61"/>
        <v>0.72998262942045045</v>
      </c>
      <c r="Q55" s="105">
        <f t="shared" si="61"/>
        <v>1.1723355043184873</v>
      </c>
      <c r="R55" s="106">
        <f t="shared" si="61"/>
        <v>0.40165631469979296</v>
      </c>
      <c r="S55" s="181">
        <f t="shared" si="61"/>
        <v>3.1173547599959348</v>
      </c>
      <c r="T55" s="180">
        <f t="shared" si="61"/>
        <v>0.80330595630839963</v>
      </c>
      <c r="U55" s="105">
        <f t="shared" si="61"/>
        <v>0.76310579024255398</v>
      </c>
      <c r="V55" s="105">
        <f t="shared" si="61"/>
        <v>1.0219158549622682</v>
      </c>
      <c r="W55" s="106">
        <f t="shared" si="61"/>
        <v>0.49896907216494846</v>
      </c>
      <c r="X55" s="181">
        <f t="shared" si="61"/>
        <v>3.0860590295186681</v>
      </c>
      <c r="Y55" s="180">
        <f t="shared" si="61"/>
        <v>0.79573300247070367</v>
      </c>
      <c r="Z55" s="105">
        <f t="shared" si="61"/>
        <v>0.7332649000685747</v>
      </c>
      <c r="AA55" s="105">
        <f t="shared" si="61"/>
        <v>1.0938743130820769</v>
      </c>
      <c r="AB55" s="106">
        <f t="shared" si="61"/>
        <v>0.6078028747433265</v>
      </c>
      <c r="AC55" s="181">
        <f t="shared" si="61"/>
        <v>3.2297078523310061</v>
      </c>
      <c r="AD55" s="180">
        <f t="shared" si="61"/>
        <v>1.1469036835427147</v>
      </c>
      <c r="AE55" s="105">
        <f t="shared" si="61"/>
        <v>0.79829986364608474</v>
      </c>
      <c r="AF55" s="105">
        <f t="shared" si="61"/>
        <v>1.0082404803329637</v>
      </c>
      <c r="AG55" s="106">
        <f t="shared" ref="AG55:AM55" si="62">+AG48/AG52</f>
        <v>0.47443762781186094</v>
      </c>
      <c r="AH55" s="181">
        <f t="shared" si="62"/>
        <v>3.4260596199008782</v>
      </c>
      <c r="AI55" s="180">
        <f t="shared" si="62"/>
        <v>1.2756749327667263</v>
      </c>
      <c r="AJ55" s="105">
        <f t="shared" si="62"/>
        <v>0.87464546531495546</v>
      </c>
      <c r="AK55" s="105">
        <f t="shared" si="62"/>
        <v>1.0615314677810885</v>
      </c>
      <c r="AL55" s="106">
        <f t="shared" si="62"/>
        <v>0.47474541751527682</v>
      </c>
      <c r="AM55" s="181">
        <f t="shared" si="62"/>
        <v>3.6856782188513288</v>
      </c>
      <c r="AN55" s="180">
        <f t="shared" ref="AN55:AS55" si="63">+AN48/AN52</f>
        <v>1.0200835461043014</v>
      </c>
      <c r="AO55" s="105">
        <f t="shared" si="63"/>
        <v>0.9472351189301802</v>
      </c>
      <c r="AP55" s="105">
        <f t="shared" si="63"/>
        <v>1.3006953537287267</v>
      </c>
      <c r="AQ55" s="106">
        <f t="shared" si="63"/>
        <v>0.67154471544715411</v>
      </c>
      <c r="AR55" s="181">
        <f t="shared" si="63"/>
        <v>3.9396983546056252</v>
      </c>
      <c r="AS55" s="180">
        <f t="shared" si="63"/>
        <v>0.96396174252699796</v>
      </c>
      <c r="AT55" s="105">
        <f t="shared" ref="AT55:BB55" si="64">+AT48/AT52</f>
        <v>0.75186428443691633</v>
      </c>
      <c r="AU55" s="105">
        <f t="shared" si="64"/>
        <v>1.1016533163060043</v>
      </c>
      <c r="AV55" s="106">
        <f t="shared" si="64"/>
        <v>0.85386178861788475</v>
      </c>
      <c r="AW55" s="181">
        <f t="shared" si="64"/>
        <v>3.6700352897268527</v>
      </c>
      <c r="AX55" s="180">
        <f t="shared" si="64"/>
        <v>0.97236673573543619</v>
      </c>
      <c r="AY55" s="105">
        <f t="shared" si="64"/>
        <v>0.79899009736822413</v>
      </c>
      <c r="AZ55" s="105">
        <f t="shared" si="64"/>
        <v>1.2210121058532806</v>
      </c>
      <c r="BA55" s="106">
        <f t="shared" si="64"/>
        <v>0.85861624370275602</v>
      </c>
      <c r="BB55" s="181">
        <f t="shared" si="64"/>
        <v>3.8510149307776196</v>
      </c>
      <c r="BC55" s="180">
        <f t="shared" ref="BC55:BL55" si="65">+BC48/BC52</f>
        <v>1.1394199812381831</v>
      </c>
      <c r="BD55" s="105">
        <f t="shared" si="65"/>
        <v>0.90474546084017271</v>
      </c>
      <c r="BE55" s="105">
        <f t="shared" si="65"/>
        <v>1.2127725657743771</v>
      </c>
      <c r="BF55" s="106">
        <f t="shared" si="65"/>
        <v>0.8911441026057213</v>
      </c>
      <c r="BG55" s="181">
        <f t="shared" si="65"/>
        <v>4.1479217076498127</v>
      </c>
      <c r="BH55" s="180">
        <f t="shared" si="65"/>
        <v>1.1553605867709311</v>
      </c>
      <c r="BI55" s="105">
        <f t="shared" si="65"/>
        <v>0.94727232509002768</v>
      </c>
      <c r="BJ55" s="105">
        <f t="shared" si="65"/>
        <v>1.3443308021580449</v>
      </c>
      <c r="BK55" s="106">
        <f t="shared" si="65"/>
        <v>0.97575239268413683</v>
      </c>
      <c r="BL55" s="181">
        <f t="shared" si="65"/>
        <v>4.4224580825206088</v>
      </c>
      <c r="BM55" s="180">
        <f>+BM48/BM52</f>
        <v>1.288256309720103</v>
      </c>
      <c r="BN55" s="105">
        <f>+BN48/BN52</f>
        <v>1.0966742110501326</v>
      </c>
      <c r="BO55" s="105">
        <f>+BO48/BO52</f>
        <v>1.4089713665743551</v>
      </c>
      <c r="BP55" s="106">
        <f>+BP48/BP52</f>
        <v>1.0776698147366313</v>
      </c>
      <c r="BQ55" s="772">
        <f>+BQ48/BQ52</f>
        <v>4.8707433832009093</v>
      </c>
      <c r="BR55" s="525"/>
      <c r="BS55" s="1463"/>
      <c r="BT55" s="884">
        <f>RATE(4,0,AW55,-BQ55)</f>
        <v>7.3325017600439024E-2</v>
      </c>
      <c r="BV55" s="525"/>
      <c r="BW55" s="50"/>
      <c r="BX55" s="50"/>
      <c r="CF55" s="50"/>
      <c r="CG55" s="50"/>
      <c r="CH55" s="50"/>
      <c r="CI55" s="50"/>
      <c r="CJ55" s="50"/>
      <c r="CK55" s="50"/>
      <c r="CL55" s="50"/>
      <c r="CM55" s="50"/>
      <c r="CN55" s="50"/>
      <c r="CO55" s="50"/>
      <c r="CP55" s="50"/>
      <c r="CQ55" s="50"/>
      <c r="CR55" s="50"/>
      <c r="CS55" s="50"/>
      <c r="CT55" s="50"/>
      <c r="CU55" s="50"/>
    </row>
    <row r="56" spans="1:99">
      <c r="A56" s="50"/>
      <c r="B56" s="50"/>
      <c r="C56" s="75" t="s">
        <v>22</v>
      </c>
      <c r="D56" s="50"/>
      <c r="E56" s="174"/>
      <c r="F56" s="175"/>
      <c r="G56" s="175"/>
      <c r="H56" s="176"/>
      <c r="I56" s="177"/>
      <c r="J56" s="182">
        <f t="shared" ref="J56:Q56" si="66">J55/E55-1</f>
        <v>-0.18705136621897489</v>
      </c>
      <c r="K56" s="183">
        <f t="shared" si="66"/>
        <v>-0.58247229956811863</v>
      </c>
      <c r="L56" s="183">
        <f t="shared" si="66"/>
        <v>0.24592938713055656</v>
      </c>
      <c r="M56" s="184">
        <f t="shared" si="66"/>
        <v>-0.24489795918367352</v>
      </c>
      <c r="N56" s="185">
        <f t="shared" si="66"/>
        <v>-0.14909223725083209</v>
      </c>
      <c r="O56" s="182">
        <f t="shared" si="66"/>
        <v>0.13356652102229205</v>
      </c>
      <c r="P56" s="186">
        <f t="shared" si="66"/>
        <v>1.5719893589392759</v>
      </c>
      <c r="Q56" s="186">
        <f t="shared" si="66"/>
        <v>1.3384652668044561E-2</v>
      </c>
      <c r="R56" s="184">
        <f t="shared" ref="R56:AJ56" si="67">R55/M55-1</f>
        <v>8.555760729673767E-2</v>
      </c>
      <c r="S56" s="185">
        <f t="shared" si="67"/>
        <v>0.2345894617007549</v>
      </c>
      <c r="T56" s="182">
        <f t="shared" si="67"/>
        <v>-1.3561175706648942E-2</v>
      </c>
      <c r="U56" s="186">
        <f t="shared" si="67"/>
        <v>4.5375272625871599E-2</v>
      </c>
      <c r="V56" s="186">
        <f t="shared" si="67"/>
        <v>-0.12830768052500674</v>
      </c>
      <c r="W56" s="184">
        <f t="shared" si="67"/>
        <v>0.24227866935912434</v>
      </c>
      <c r="X56" s="187">
        <f t="shared" si="67"/>
        <v>-1.0039194408950625E-2</v>
      </c>
      <c r="Y56" s="182">
        <f t="shared" si="67"/>
        <v>-9.4272347643201693E-3</v>
      </c>
      <c r="Z56" s="186">
        <f t="shared" si="67"/>
        <v>-3.9104525945864332E-2</v>
      </c>
      <c r="AA56" s="186">
        <f t="shared" si="67"/>
        <v>7.041524776270891E-2</v>
      </c>
      <c r="AB56" s="184">
        <f t="shared" si="67"/>
        <v>0.21811733161369151</v>
      </c>
      <c r="AC56" s="187">
        <f t="shared" si="67"/>
        <v>4.6547658822567284E-2</v>
      </c>
      <c r="AD56" s="182">
        <f t="shared" si="67"/>
        <v>0.44131722572979482</v>
      </c>
      <c r="AE56" s="186">
        <f t="shared" si="67"/>
        <v>8.8692317839607515E-2</v>
      </c>
      <c r="AF56" s="186">
        <f t="shared" si="67"/>
        <v>-7.82848922632009E-2</v>
      </c>
      <c r="AG56" s="184">
        <f>AG55/AB55-1</f>
        <v>-0.21942187586359363</v>
      </c>
      <c r="AH56" s="187">
        <f>AH55/AC55-1</f>
        <v>6.0795519764475614E-2</v>
      </c>
      <c r="AI56" s="182">
        <f t="shared" si="67"/>
        <v>0.11227730024045712</v>
      </c>
      <c r="AJ56" s="186">
        <f t="shared" si="67"/>
        <v>9.5635243278354709E-2</v>
      </c>
      <c r="AK56" s="186">
        <f t="shared" ref="AK56:AP56" si="68">AK55/AF55-1</f>
        <v>5.285543328961162E-2</v>
      </c>
      <c r="AL56" s="184">
        <f t="shared" si="68"/>
        <v>6.4874640073431245E-4</v>
      </c>
      <c r="AM56" s="187">
        <f t="shared" si="68"/>
        <v>7.5777606858447477E-2</v>
      </c>
      <c r="AN56" s="182">
        <f t="shared" si="68"/>
        <v>-0.20035777148030165</v>
      </c>
      <c r="AO56" s="186">
        <f t="shared" si="68"/>
        <v>8.2993231536489631E-2</v>
      </c>
      <c r="AP56" s="186">
        <f t="shared" si="68"/>
        <v>0.22530079720345997</v>
      </c>
      <c r="AQ56" s="184">
        <f t="shared" ref="AQ56:AW56" si="69">AQ55/AL55-1</f>
        <v>0.41453648770721307</v>
      </c>
      <c r="AR56" s="187">
        <f t="shared" si="69"/>
        <v>6.8920866302176531E-2</v>
      </c>
      <c r="AS56" s="182">
        <f t="shared" si="69"/>
        <v>-5.5016869737417706E-2</v>
      </c>
      <c r="AT56" s="186">
        <f t="shared" si="69"/>
        <v>-0.20625379125925802</v>
      </c>
      <c r="AU56" s="186">
        <f t="shared" si="69"/>
        <v>-0.15302740711122331</v>
      </c>
      <c r="AV56" s="184">
        <f t="shared" si="69"/>
        <v>0.27148910411622129</v>
      </c>
      <c r="AW56" s="187">
        <f t="shared" si="69"/>
        <v>-6.8447642587541879E-2</v>
      </c>
      <c r="AX56" s="182">
        <f t="shared" ref="AX56:BL56" si="70">AX55/AS55-1</f>
        <v>8.7192186553013418E-3</v>
      </c>
      <c r="AY56" s="186">
        <f t="shared" si="70"/>
        <v>6.2678616216756522E-2</v>
      </c>
      <c r="AZ56" s="186">
        <f t="shared" si="70"/>
        <v>0.10834514613681079</v>
      </c>
      <c r="BA56" s="184">
        <f t="shared" si="70"/>
        <v>5.5681787711416852E-3</v>
      </c>
      <c r="BB56" s="187">
        <f t="shared" si="70"/>
        <v>4.9312779513963845E-2</v>
      </c>
      <c r="BC56" s="182">
        <f t="shared" si="70"/>
        <v>0.17180065849990078</v>
      </c>
      <c r="BD56" s="186">
        <f t="shared" si="70"/>
        <v>0.13236129436434041</v>
      </c>
      <c r="BE56" s="186">
        <f t="shared" si="70"/>
        <v>-6.7481231671699948E-3</v>
      </c>
      <c r="BF56" s="184">
        <f t="shared" si="70"/>
        <v>3.7884047898616435E-2</v>
      </c>
      <c r="BG56" s="187">
        <f t="shared" si="70"/>
        <v>7.7098318809228905E-2</v>
      </c>
      <c r="BH56" s="182">
        <f t="shared" si="70"/>
        <v>1.3990105312551737E-2</v>
      </c>
      <c r="BI56" s="186">
        <f t="shared" si="70"/>
        <v>4.7004230571505934E-2</v>
      </c>
      <c r="BJ56" s="186">
        <f t="shared" si="70"/>
        <v>0.10847725294615773</v>
      </c>
      <c r="BK56" s="184">
        <f t="shared" si="70"/>
        <v>9.4943443861682297E-2</v>
      </c>
      <c r="BL56" s="187">
        <f t="shared" si="70"/>
        <v>6.6186489095124923E-2</v>
      </c>
      <c r="BM56" s="182">
        <f>BM55/BH55-1</f>
        <v>0.11502532150641942</v>
      </c>
      <c r="BN56" s="186">
        <f>BN55/BI55-1</f>
        <v>0.15771798880106203</v>
      </c>
      <c r="BO56" s="186">
        <f>BO55/BJ55-1</f>
        <v>4.8083823053479913E-2</v>
      </c>
      <c r="BP56" s="184">
        <f>BP55/BK55-1</f>
        <v>0.10445008673987077</v>
      </c>
      <c r="BQ56" s="187">
        <f>BQ55/BL55-1</f>
        <v>0.10136564153137151</v>
      </c>
      <c r="BR56" s="525"/>
      <c r="BS56" s="1870"/>
      <c r="BT56" s="525"/>
      <c r="BU56" s="525"/>
      <c r="BV56" s="525"/>
      <c r="BW56" s="50"/>
      <c r="BX56" s="50"/>
      <c r="CF56" s="50"/>
      <c r="CG56" s="50"/>
      <c r="CH56" s="50"/>
      <c r="CI56" s="50"/>
      <c r="CJ56" s="50"/>
      <c r="CK56" s="50"/>
      <c r="CL56" s="50"/>
      <c r="CM56" s="50"/>
      <c r="CN56" s="50"/>
      <c r="CO56" s="50"/>
      <c r="CP56" s="50"/>
      <c r="CQ56" s="50"/>
      <c r="CR56" s="50"/>
      <c r="CS56" s="50"/>
      <c r="CT56" s="50"/>
      <c r="CU56" s="50"/>
    </row>
    <row r="57" spans="1:99">
      <c r="C57" s="56"/>
      <c r="E57" s="188"/>
      <c r="F57" s="189"/>
      <c r="G57" s="189"/>
      <c r="H57" s="190"/>
      <c r="I57" s="191"/>
      <c r="J57" s="188"/>
      <c r="K57" s="189"/>
      <c r="L57" s="189"/>
      <c r="M57" s="190"/>
      <c r="N57" s="191"/>
      <c r="O57" s="188"/>
      <c r="P57" s="189"/>
      <c r="Q57" s="189"/>
      <c r="R57" s="190"/>
      <c r="S57" s="191"/>
      <c r="T57" s="188"/>
      <c r="U57" s="189"/>
      <c r="V57" s="189"/>
      <c r="W57" s="190"/>
      <c r="X57" s="191"/>
      <c r="Y57" s="188"/>
      <c r="Z57" s="189"/>
      <c r="AA57" s="189"/>
      <c r="AB57" s="190"/>
      <c r="AC57" s="191"/>
      <c r="AD57" s="188"/>
      <c r="AE57" s="189"/>
      <c r="AF57" s="189"/>
      <c r="AG57" s="190"/>
      <c r="AH57" s="191"/>
      <c r="AI57" s="188"/>
      <c r="AJ57" s="189"/>
      <c r="AK57" s="189"/>
      <c r="AL57" s="190"/>
      <c r="AM57" s="191"/>
      <c r="AN57" s="188"/>
      <c r="AO57" s="189"/>
      <c r="AP57" s="189"/>
      <c r="AQ57" s="190"/>
      <c r="AR57" s="191"/>
      <c r="AS57" s="188"/>
      <c r="AT57" s="189"/>
      <c r="AU57" s="189"/>
      <c r="AV57" s="190"/>
      <c r="AW57" s="886"/>
      <c r="AX57" s="188"/>
      <c r="AY57" s="189"/>
      <c r="AZ57" s="189"/>
      <c r="BA57" s="190"/>
      <c r="BB57" s="886"/>
      <c r="BC57" s="188"/>
      <c r="BD57" s="189"/>
      <c r="BE57" s="189"/>
      <c r="BF57" s="190"/>
      <c r="BG57" s="886"/>
      <c r="BH57" s="188"/>
      <c r="BI57" s="189"/>
      <c r="BJ57" s="189"/>
      <c r="BK57" s="190"/>
      <c r="BL57" s="886"/>
      <c r="BM57" s="188"/>
      <c r="BN57" s="189"/>
      <c r="BO57" s="189"/>
      <c r="BP57" s="190"/>
      <c r="BQ57" s="886"/>
      <c r="BR57" s="491"/>
      <c r="BS57" s="1873"/>
      <c r="BT57" s="491"/>
      <c r="BU57" s="491"/>
      <c r="BV57" s="491"/>
    </row>
    <row r="58" spans="1:99" s="75" customFormat="1">
      <c r="C58" s="75" t="s">
        <v>428</v>
      </c>
      <c r="E58" s="1025"/>
      <c r="F58" s="1026"/>
      <c r="G58" s="1026"/>
      <c r="H58" s="1027"/>
      <c r="I58" s="795"/>
      <c r="J58" s="1025"/>
      <c r="K58" s="1026"/>
      <c r="L58" s="1026"/>
      <c r="M58" s="1027"/>
      <c r="N58" s="795"/>
      <c r="O58" s="1025"/>
      <c r="P58" s="1026"/>
      <c r="Q58" s="1026"/>
      <c r="R58" s="1027"/>
      <c r="S58" s="795"/>
      <c r="T58" s="1025"/>
      <c r="U58" s="1026"/>
      <c r="V58" s="1026"/>
      <c r="W58" s="1027"/>
      <c r="X58" s="795"/>
      <c r="Y58" s="1025"/>
      <c r="Z58" s="1026"/>
      <c r="AA58" s="1026"/>
      <c r="AB58" s="1027"/>
      <c r="AC58" s="1029"/>
      <c r="AD58" s="1025"/>
      <c r="AE58" s="1026"/>
      <c r="AF58" s="1026"/>
      <c r="AG58" s="1032"/>
      <c r="AH58" s="1029"/>
      <c r="AI58" s="1025"/>
      <c r="AJ58" s="1026"/>
      <c r="AK58" s="1026"/>
      <c r="AL58" s="1027"/>
      <c r="AM58" s="1029"/>
      <c r="AN58" s="1030"/>
      <c r="AO58" s="1026"/>
      <c r="AP58" s="1031"/>
      <c r="AQ58" s="1027"/>
      <c r="AR58" s="1029"/>
      <c r="AS58" s="1030"/>
      <c r="AT58" s="1026"/>
      <c r="AU58" s="1031"/>
      <c r="AV58" s="1027"/>
      <c r="AW58" s="1029"/>
      <c r="AX58" s="1025"/>
      <c r="AY58" s="1026"/>
      <c r="AZ58" s="1026"/>
      <c r="BA58" s="1027"/>
      <c r="BB58" s="1029">
        <v>3.75</v>
      </c>
      <c r="BC58" s="1025"/>
      <c r="BD58" s="1026"/>
      <c r="BE58" s="1026"/>
      <c r="BF58" s="1027"/>
      <c r="BG58" s="1029">
        <v>4</v>
      </c>
      <c r="BH58" s="1025"/>
      <c r="BI58" s="1026"/>
      <c r="BJ58" s="1026"/>
      <c r="BK58" s="1027"/>
      <c r="BL58" s="1029">
        <f>BG58*1.05</f>
        <v>4.2</v>
      </c>
      <c r="BM58" s="259"/>
      <c r="BN58" s="260"/>
      <c r="BO58" s="260"/>
      <c r="BP58" s="1455"/>
      <c r="BQ58" s="1029">
        <f>BL58*1.05</f>
        <v>4.41</v>
      </c>
      <c r="BR58" s="1028"/>
      <c r="BS58" s="1028"/>
      <c r="BT58" s="1028"/>
      <c r="BU58" s="1028"/>
      <c r="BV58" s="1028"/>
      <c r="BY58"/>
      <c r="BZ58"/>
      <c r="CA58"/>
      <c r="CB58"/>
      <c r="CC58"/>
      <c r="CD58"/>
    </row>
    <row r="59" spans="1:99" s="75" customFormat="1">
      <c r="C59" s="75" t="s">
        <v>427</v>
      </c>
      <c r="E59" s="1025"/>
      <c r="F59" s="1026"/>
      <c r="G59" s="1026"/>
      <c r="H59" s="1027"/>
      <c r="I59" s="795"/>
      <c r="J59" s="1025"/>
      <c r="K59" s="1026"/>
      <c r="L59" s="1026"/>
      <c r="M59" s="1027"/>
      <c r="N59" s="795"/>
      <c r="O59" s="1025"/>
      <c r="P59" s="1026"/>
      <c r="Q59" s="1026"/>
      <c r="R59" s="1027"/>
      <c r="S59" s="795"/>
      <c r="T59" s="1025"/>
      <c r="U59" s="1026"/>
      <c r="V59" s="1026"/>
      <c r="W59" s="1027"/>
      <c r="X59" s="795"/>
      <c r="Y59" s="1025"/>
      <c r="Z59" s="1026"/>
      <c r="AA59" s="1026"/>
      <c r="AB59" s="1027"/>
      <c r="AC59" s="1029"/>
      <c r="AD59" s="1025"/>
      <c r="AE59" s="1026"/>
      <c r="AF59" s="1026"/>
      <c r="AG59" s="1032"/>
      <c r="AH59" s="1029"/>
      <c r="AI59" s="1025"/>
      <c r="AJ59" s="1026"/>
      <c r="AK59" s="1026"/>
      <c r="AL59" s="1027"/>
      <c r="AM59" s="1029"/>
      <c r="AN59" s="1030"/>
      <c r="AO59" s="1026"/>
      <c r="AP59" s="1031"/>
      <c r="AQ59" s="1027"/>
      <c r="AR59" s="1029"/>
      <c r="AS59" s="1030"/>
      <c r="AT59" s="1026"/>
      <c r="AU59" s="1031"/>
      <c r="AV59" s="1027"/>
      <c r="AW59" s="1029"/>
      <c r="AX59" s="1025"/>
      <c r="AY59" s="1026"/>
      <c r="AZ59" s="1026"/>
      <c r="BA59" s="1027"/>
      <c r="BB59" s="1029">
        <v>3.95</v>
      </c>
      <c r="BC59" s="1025"/>
      <c r="BD59" s="1026"/>
      <c r="BE59" s="1026"/>
      <c r="BF59" s="1027"/>
      <c r="BG59" s="1029">
        <v>4.2</v>
      </c>
      <c r="BH59" s="1025"/>
      <c r="BI59" s="1026"/>
      <c r="BJ59" s="1026"/>
      <c r="BK59" s="1027"/>
      <c r="BL59" s="1029">
        <f>BG59*1.07</f>
        <v>4.4940000000000007</v>
      </c>
      <c r="BM59" s="207"/>
      <c r="BN59" s="199"/>
      <c r="BO59" s="199"/>
      <c r="BP59" s="198"/>
      <c r="BQ59" s="1029">
        <f>BL59*1.07</f>
        <v>4.808580000000001</v>
      </c>
      <c r="BR59" s="1028"/>
      <c r="BS59" s="1028"/>
      <c r="BT59" s="1028"/>
      <c r="BU59" s="1028"/>
      <c r="BV59" s="1028"/>
      <c r="BY59"/>
      <c r="BZ59"/>
      <c r="CA59"/>
      <c r="CB59"/>
      <c r="CC59"/>
      <c r="CD59"/>
    </row>
    <row r="60" spans="1:99">
      <c r="C60" s="56"/>
      <c r="E60" s="188"/>
      <c r="F60" s="189"/>
      <c r="G60" s="189"/>
      <c r="H60" s="190"/>
      <c r="I60" s="191"/>
      <c r="J60" s="188"/>
      <c r="K60" s="189"/>
      <c r="L60" s="189"/>
      <c r="M60" s="190"/>
      <c r="N60" s="191"/>
      <c r="O60" s="188"/>
      <c r="P60" s="189"/>
      <c r="Q60" s="189"/>
      <c r="R60" s="190"/>
      <c r="S60" s="191"/>
      <c r="T60" s="188"/>
      <c r="U60" s="189"/>
      <c r="V60" s="189"/>
      <c r="W60" s="190"/>
      <c r="X60" s="191"/>
      <c r="Y60" s="188"/>
      <c r="Z60" s="189"/>
      <c r="AA60" s="189"/>
      <c r="AB60" s="190"/>
      <c r="AC60" s="191"/>
      <c r="AD60" s="188"/>
      <c r="AE60" s="189"/>
      <c r="AF60" s="189"/>
      <c r="AG60" s="190"/>
      <c r="AH60" s="191"/>
      <c r="AI60" s="188"/>
      <c r="AJ60" s="189"/>
      <c r="AK60" s="260"/>
      <c r="AL60" s="1455"/>
      <c r="AM60" s="191"/>
      <c r="AN60" s="259"/>
      <c r="AO60" s="189"/>
      <c r="AP60" s="260"/>
      <c r="AQ60" s="1455"/>
      <c r="AR60" s="191"/>
      <c r="AS60" s="259"/>
      <c r="AT60" s="189"/>
      <c r="AU60" s="260"/>
      <c r="AV60" s="1455"/>
      <c r="AW60" s="191"/>
      <c r="AX60" s="259"/>
      <c r="AY60" s="260"/>
      <c r="AZ60" s="260"/>
      <c r="BA60" s="1455"/>
      <c r="BB60" s="191"/>
      <c r="BC60" s="259"/>
      <c r="BD60" s="260"/>
      <c r="BE60" s="260"/>
      <c r="BF60" s="1455"/>
      <c r="BG60" s="191"/>
      <c r="BH60" s="259"/>
      <c r="BI60" s="260"/>
      <c r="BJ60" s="260"/>
      <c r="BK60" s="1455"/>
      <c r="BL60" s="191"/>
      <c r="BM60" s="259"/>
      <c r="BN60" s="260"/>
      <c r="BO60" s="260"/>
      <c r="BP60" s="1455"/>
      <c r="BQ60" s="191"/>
      <c r="BR60" s="491"/>
      <c r="BS60" s="491"/>
      <c r="BT60" s="491"/>
      <c r="BU60" s="491"/>
      <c r="BV60" s="491"/>
    </row>
    <row r="61" spans="1:99">
      <c r="C61" s="56"/>
      <c r="E61" s="188"/>
      <c r="F61" s="189"/>
      <c r="G61" s="189"/>
      <c r="H61" s="190"/>
      <c r="I61" s="191"/>
      <c r="J61" s="188"/>
      <c r="K61" s="189"/>
      <c r="L61" s="189"/>
      <c r="M61" s="190"/>
      <c r="N61" s="191"/>
      <c r="O61" s="188"/>
      <c r="P61" s="189"/>
      <c r="Q61" s="189"/>
      <c r="R61" s="190"/>
      <c r="S61" s="191"/>
      <c r="T61" s="188"/>
      <c r="U61" s="189"/>
      <c r="V61" s="189"/>
      <c r="W61" s="190"/>
      <c r="X61" s="191"/>
      <c r="Y61" s="188"/>
      <c r="Z61" s="189"/>
      <c r="AA61" s="189"/>
      <c r="AB61" s="190"/>
      <c r="AC61" s="191"/>
      <c r="AD61" s="188"/>
      <c r="AE61" s="189"/>
      <c r="AF61" s="189"/>
      <c r="AG61" s="190"/>
      <c r="AH61" s="191"/>
      <c r="AI61" s="188"/>
      <c r="AJ61" s="189"/>
      <c r="AK61" s="260"/>
      <c r="AL61" s="1455"/>
      <c r="AM61" s="191"/>
      <c r="AN61" s="259"/>
      <c r="AO61" s="189"/>
      <c r="AP61" s="260"/>
      <c r="AQ61" s="1455"/>
      <c r="AR61" s="191"/>
      <c r="AS61" s="259"/>
      <c r="AT61" s="189"/>
      <c r="AU61" s="260"/>
      <c r="AV61" s="1455"/>
      <c r="AW61" s="191"/>
      <c r="AX61" s="259"/>
      <c r="AY61" s="260"/>
      <c r="AZ61" s="260"/>
      <c r="BA61" s="1455"/>
      <c r="BB61" s="191"/>
      <c r="BC61" s="259"/>
      <c r="BD61" s="260"/>
      <c r="BE61" s="260"/>
      <c r="BF61" s="1455"/>
      <c r="BG61" s="191"/>
      <c r="BH61" s="259"/>
      <c r="BI61" s="260"/>
      <c r="BJ61" s="260"/>
      <c r="BK61" s="1455"/>
      <c r="BL61" s="191"/>
      <c r="BM61" s="259"/>
      <c r="BN61" s="260"/>
      <c r="BO61" s="260"/>
      <c r="BP61" s="1455"/>
      <c r="BQ61" s="191"/>
      <c r="BR61" s="491"/>
      <c r="BS61" s="491"/>
      <c r="BT61" s="491"/>
      <c r="BU61" s="491"/>
      <c r="BV61" s="491"/>
    </row>
    <row r="62" spans="1:99">
      <c r="B62" s="46" t="s">
        <v>23</v>
      </c>
      <c r="C62" s="46"/>
      <c r="D62" s="47"/>
      <c r="E62" s="188"/>
      <c r="F62" s="189"/>
      <c r="G62" s="189"/>
      <c r="H62" s="190"/>
      <c r="J62" s="188"/>
      <c r="K62" s="189"/>
      <c r="L62" s="189"/>
      <c r="M62" s="190"/>
      <c r="O62" s="188"/>
      <c r="P62" s="189"/>
      <c r="Q62" s="189"/>
      <c r="R62" s="190"/>
      <c r="T62" s="188"/>
      <c r="U62" s="189"/>
      <c r="V62" s="189"/>
      <c r="W62" s="190"/>
      <c r="Y62" s="188"/>
      <c r="Z62" s="189"/>
      <c r="AA62" s="189"/>
      <c r="AB62" s="190"/>
      <c r="AC62" s="63"/>
      <c r="AD62" s="188"/>
      <c r="AE62" s="189"/>
      <c r="AF62" s="189"/>
      <c r="AG62" s="198"/>
      <c r="AH62" s="63"/>
      <c r="AI62" s="207"/>
      <c r="AJ62" s="199"/>
      <c r="AK62" s="199"/>
      <c r="AL62" s="198"/>
      <c r="AM62" s="63"/>
      <c r="AN62" s="207"/>
      <c r="AO62" s="199"/>
      <c r="AP62" s="199"/>
      <c r="AQ62" s="198"/>
      <c r="AR62" s="63"/>
      <c r="AS62" s="207"/>
      <c r="AT62" s="199"/>
      <c r="AU62" s="199"/>
      <c r="AV62" s="198"/>
      <c r="AW62" s="63"/>
      <c r="AX62" s="207"/>
      <c r="AY62" s="199"/>
      <c r="AZ62" s="199"/>
      <c r="BA62" s="198"/>
      <c r="BB62" s="63"/>
      <c r="BC62" s="207">
        <v>1.0662727827702414</v>
      </c>
      <c r="BD62" s="199">
        <v>0.96327499109109394</v>
      </c>
      <c r="BE62" s="199">
        <v>1.1885478691490563</v>
      </c>
      <c r="BF62" s="198">
        <v>0.98125396358232453</v>
      </c>
      <c r="BG62" s="63"/>
      <c r="BH62" s="207">
        <v>1.0801023592450625</v>
      </c>
      <c r="BI62" s="199">
        <v>1.0059816507905694</v>
      </c>
      <c r="BJ62" s="199">
        <v>1.2368809976698638</v>
      </c>
      <c r="BK62" s="198">
        <v>1.0233009775346935</v>
      </c>
      <c r="BL62" s="63"/>
      <c r="BM62" s="207">
        <v>1.1498598744097757</v>
      </c>
      <c r="BN62" s="199">
        <v>1.1238071562057832</v>
      </c>
      <c r="BO62" s="199">
        <v>1.3214941434705634</v>
      </c>
      <c r="BP62" s="198">
        <v>1.0879326465941397</v>
      </c>
      <c r="BQ62" s="63"/>
      <c r="BR62" s="491"/>
      <c r="BS62" s="491"/>
      <c r="BT62" s="491"/>
      <c r="BU62" s="491"/>
      <c r="BV62" s="491"/>
    </row>
    <row r="63" spans="1:99">
      <c r="A63" s="56"/>
      <c r="B63" s="56"/>
      <c r="C63" s="164" t="s">
        <v>909</v>
      </c>
      <c r="D63" s="56"/>
      <c r="E63" s="192"/>
      <c r="F63" s="193"/>
      <c r="G63" s="193"/>
      <c r="H63" s="194"/>
      <c r="I63" s="56"/>
      <c r="J63" s="192"/>
      <c r="K63" s="193"/>
      <c r="L63" s="193"/>
      <c r="M63" s="194"/>
      <c r="N63" s="56"/>
      <c r="O63" s="192"/>
      <c r="P63" s="193"/>
      <c r="Q63" s="193"/>
      <c r="R63" s="194"/>
      <c r="S63" s="56"/>
      <c r="T63" s="192"/>
      <c r="U63" s="193"/>
      <c r="V63" s="193"/>
      <c r="W63" s="194"/>
      <c r="X63" s="85"/>
      <c r="Y63" s="192"/>
      <c r="Z63" s="193"/>
      <c r="AA63" s="193"/>
      <c r="AB63" s="194"/>
      <c r="AC63" s="56"/>
      <c r="AD63" s="192"/>
      <c r="AE63" s="193"/>
      <c r="AF63" s="193"/>
      <c r="AG63" s="194"/>
      <c r="AH63" s="56"/>
      <c r="AI63" s="192"/>
      <c r="AJ63" s="193"/>
      <c r="AK63" s="193"/>
      <c r="AL63" s="194"/>
      <c r="AM63" s="56"/>
      <c r="AN63" s="192"/>
      <c r="AO63" s="193"/>
      <c r="AP63" s="193"/>
      <c r="AQ63" s="194"/>
      <c r="AR63" s="56"/>
      <c r="AS63" s="192"/>
      <c r="AT63" s="193"/>
      <c r="AU63" s="193"/>
      <c r="AV63" s="194"/>
      <c r="AW63" s="56"/>
      <c r="AX63" s="192"/>
      <c r="AY63" s="193"/>
      <c r="AZ63" s="193"/>
      <c r="BA63" s="194"/>
      <c r="BB63" s="56"/>
      <c r="BC63" s="192"/>
      <c r="BD63" s="193"/>
      <c r="BE63" s="193"/>
      <c r="BF63" s="194"/>
      <c r="BG63" s="56"/>
      <c r="BH63" s="192"/>
      <c r="BI63" s="193"/>
      <c r="BJ63" s="193"/>
      <c r="BK63" s="194"/>
      <c r="BL63" s="56"/>
      <c r="BM63" s="192"/>
      <c r="BN63" s="193"/>
      <c r="BO63" s="193"/>
      <c r="BP63" s="194"/>
      <c r="BQ63" s="56"/>
      <c r="BR63" s="515"/>
      <c r="BS63" s="515"/>
      <c r="BT63" s="515"/>
      <c r="BU63" s="515"/>
      <c r="BV63" s="515"/>
      <c r="BW63" s="56"/>
      <c r="BX63" s="56"/>
      <c r="CF63" s="56"/>
      <c r="CG63" s="56"/>
      <c r="CH63" s="56"/>
      <c r="CI63" s="56"/>
      <c r="CJ63" s="56"/>
      <c r="CK63" s="56"/>
      <c r="CL63" s="56"/>
      <c r="CM63" s="56"/>
      <c r="CN63" s="56"/>
      <c r="CO63" s="56"/>
      <c r="CP63" s="56"/>
      <c r="CQ63" s="56"/>
      <c r="CR63" s="56"/>
      <c r="CS63" s="56"/>
      <c r="CT63" s="56"/>
      <c r="CU63" s="56"/>
    </row>
    <row r="64" spans="1:99">
      <c r="C64" s="100" t="s">
        <v>856</v>
      </c>
      <c r="E64" s="196">
        <v>0.41</v>
      </c>
      <c r="F64" s="197">
        <v>0.41</v>
      </c>
      <c r="G64" s="197">
        <v>0.41</v>
      </c>
      <c r="H64" s="608">
        <f>I64-SUM(E64:G64)</f>
        <v>0.40999999999999992</v>
      </c>
      <c r="I64" s="603">
        <v>1.64</v>
      </c>
      <c r="J64" s="196">
        <v>0.41</v>
      </c>
      <c r="K64" s="197">
        <v>0.42</v>
      </c>
      <c r="L64" s="197">
        <v>0.42</v>
      </c>
      <c r="M64" s="608">
        <f>N64-SUM(J64:L64)</f>
        <v>0.45999999999999996</v>
      </c>
      <c r="N64" s="603">
        <v>1.71</v>
      </c>
      <c r="O64" s="196">
        <v>0.46</v>
      </c>
      <c r="P64" s="197">
        <v>0.46</v>
      </c>
      <c r="Q64" s="197">
        <v>0.46</v>
      </c>
      <c r="R64" s="822">
        <v>0.47</v>
      </c>
      <c r="S64" s="63">
        <f>SUM(O64:R64)</f>
        <v>1.85</v>
      </c>
      <c r="T64" s="196">
        <v>0.47</v>
      </c>
      <c r="U64" s="197">
        <v>0.47</v>
      </c>
      <c r="V64" s="197">
        <v>0.47</v>
      </c>
      <c r="W64" s="1012">
        <v>0.47</v>
      </c>
      <c r="X64" s="63">
        <f>SUM(T64:W64)</f>
        <v>1.88</v>
      </c>
      <c r="Y64" s="196">
        <v>0.47</v>
      </c>
      <c r="Z64" s="197">
        <v>0.49</v>
      </c>
      <c r="AA64" s="197">
        <v>0.49</v>
      </c>
      <c r="AB64" s="1012">
        <v>0.5</v>
      </c>
      <c r="AC64" s="1217">
        <f>SUM(Y64:AB64)</f>
        <v>1.95</v>
      </c>
      <c r="AD64" s="196">
        <v>0.5</v>
      </c>
      <c r="AE64" s="197">
        <v>0.5</v>
      </c>
      <c r="AF64" s="197">
        <v>0.5</v>
      </c>
      <c r="AG64" s="1012">
        <v>0.53</v>
      </c>
      <c r="AH64" s="1217">
        <f>SUM(AD64:AG64)</f>
        <v>2.0300000000000002</v>
      </c>
      <c r="AI64" s="196">
        <v>0.53</v>
      </c>
      <c r="AJ64" s="197">
        <v>0.53</v>
      </c>
      <c r="AK64" s="197">
        <v>0.53</v>
      </c>
      <c r="AL64" s="1012">
        <v>0.56000000000000005</v>
      </c>
      <c r="AM64" s="1217">
        <f>SUM(AI64:AL64)</f>
        <v>2.1500000000000004</v>
      </c>
      <c r="AN64" s="196">
        <v>0.56000000000000005</v>
      </c>
      <c r="AO64" s="197">
        <v>0.56000000000000005</v>
      </c>
      <c r="AP64" s="197">
        <v>0.56000000000000005</v>
      </c>
      <c r="AQ64" s="1012">
        <v>0.59</v>
      </c>
      <c r="AR64" s="1217">
        <f>SUM(AN64:AQ64)</f>
        <v>2.27</v>
      </c>
      <c r="AS64" s="196">
        <v>0.59</v>
      </c>
      <c r="AT64" s="197">
        <v>0.59</v>
      </c>
      <c r="AU64" s="197">
        <v>0.59</v>
      </c>
      <c r="AV64" s="1012">
        <v>0.62</v>
      </c>
      <c r="AW64" s="1217">
        <f>SUM(AS64:AV64)</f>
        <v>2.39</v>
      </c>
      <c r="AX64" s="548">
        <f>+AV64</f>
        <v>0.62</v>
      </c>
      <c r="AY64" s="199">
        <f>+AX64</f>
        <v>0.62</v>
      </c>
      <c r="AZ64" s="199">
        <f>+AY64</f>
        <v>0.62</v>
      </c>
      <c r="BA64" s="1501">
        <f>AV64*(1+BA65)</f>
        <v>0.64480000000000004</v>
      </c>
      <c r="BB64" s="1217">
        <f>SUM(AX64:BA64)</f>
        <v>2.5047999999999999</v>
      </c>
      <c r="BC64" s="548">
        <f>+BA64</f>
        <v>0.64480000000000004</v>
      </c>
      <c r="BD64" s="199">
        <f>+BC64</f>
        <v>0.64480000000000004</v>
      </c>
      <c r="BE64" s="199">
        <f>+BD64</f>
        <v>0.64480000000000004</v>
      </c>
      <c r="BF64" s="1501">
        <f>BA64*(1+BF65)</f>
        <v>0.67059200000000008</v>
      </c>
      <c r="BG64" s="63">
        <f>SUM(BC64:BF64)</f>
        <v>2.6049920000000002</v>
      </c>
      <c r="BH64" s="548">
        <f>+BF64</f>
        <v>0.67059200000000008</v>
      </c>
      <c r="BI64" s="199">
        <f>+BH64</f>
        <v>0.67059200000000008</v>
      </c>
      <c r="BJ64" s="199">
        <f>+BI64</f>
        <v>0.67059200000000008</v>
      </c>
      <c r="BK64" s="1501">
        <f>BF64*(1+BK65)</f>
        <v>0.69741568000000009</v>
      </c>
      <c r="BL64" s="63">
        <f>SUM(BH64:BK64)</f>
        <v>2.7091916800000004</v>
      </c>
      <c r="BM64" s="548">
        <f>+BK64</f>
        <v>0.69741568000000009</v>
      </c>
      <c r="BN64" s="199">
        <f>+BM64</f>
        <v>0.69741568000000009</v>
      </c>
      <c r="BO64" s="199">
        <f>+BN64</f>
        <v>0.69741568000000009</v>
      </c>
      <c r="BP64" s="1501">
        <f>BK64*(1+BP65)</f>
        <v>0.72531230720000017</v>
      </c>
      <c r="BQ64" s="63">
        <f>SUM(BM64:BP64)</f>
        <v>2.8175593472000005</v>
      </c>
      <c r="BR64" s="491"/>
      <c r="BS64" s="491"/>
      <c r="BT64" s="491"/>
      <c r="BU64" s="491"/>
      <c r="BV64" s="491"/>
    </row>
    <row r="65" spans="1:99">
      <c r="C65" s="200" t="s">
        <v>24</v>
      </c>
      <c r="E65" s="188"/>
      <c r="F65" s="189"/>
      <c r="G65" s="189"/>
      <c r="H65" s="190"/>
      <c r="J65" s="201">
        <f t="shared" ref="J65:Q65" si="71">+J64/E64-1</f>
        <v>0</v>
      </c>
      <c r="K65" s="202">
        <f t="shared" si="71"/>
        <v>2.4390243902439046E-2</v>
      </c>
      <c r="L65" s="202">
        <f t="shared" si="71"/>
        <v>2.4390243902439046E-2</v>
      </c>
      <c r="M65" s="203">
        <f t="shared" si="71"/>
        <v>0.12195121951219523</v>
      </c>
      <c r="N65" s="65">
        <f t="shared" si="71"/>
        <v>4.2682926829268331E-2</v>
      </c>
      <c r="O65" s="201">
        <f t="shared" si="71"/>
        <v>0.12195121951219523</v>
      </c>
      <c r="P65" s="202">
        <f t="shared" si="71"/>
        <v>9.5238095238095344E-2</v>
      </c>
      <c r="Q65" s="202">
        <f t="shared" si="71"/>
        <v>9.5238095238095344E-2</v>
      </c>
      <c r="R65" s="203">
        <f t="shared" ref="R65:X65" si="72">+R64/M64-1</f>
        <v>2.1739130434782705E-2</v>
      </c>
      <c r="S65" s="65">
        <f t="shared" si="72"/>
        <v>8.1871345029239873E-2</v>
      </c>
      <c r="T65" s="201">
        <f t="shared" si="72"/>
        <v>2.1739130434782483E-2</v>
      </c>
      <c r="U65" s="202">
        <f t="shared" si="72"/>
        <v>2.1739130434782483E-2</v>
      </c>
      <c r="V65" s="202">
        <f t="shared" si="72"/>
        <v>2.1739130434782483E-2</v>
      </c>
      <c r="W65" s="203">
        <f t="shared" si="72"/>
        <v>0</v>
      </c>
      <c r="X65" s="65">
        <f t="shared" si="72"/>
        <v>1.6216216216216051E-2</v>
      </c>
      <c r="Y65" s="201">
        <f t="shared" ref="Y65:AJ65" si="73">+Y64/T64-1</f>
        <v>0</v>
      </c>
      <c r="Z65" s="202">
        <f t="shared" si="73"/>
        <v>4.2553191489361764E-2</v>
      </c>
      <c r="AA65" s="202">
        <f t="shared" si="73"/>
        <v>4.2553191489361764E-2</v>
      </c>
      <c r="AB65" s="203">
        <f t="shared" si="73"/>
        <v>6.3829787234042534E-2</v>
      </c>
      <c r="AC65" s="65">
        <f t="shared" si="73"/>
        <v>3.7234042553191626E-2</v>
      </c>
      <c r="AD65" s="201">
        <f t="shared" si="73"/>
        <v>6.3829787234042534E-2</v>
      </c>
      <c r="AE65" s="202">
        <f t="shared" si="73"/>
        <v>2.0408163265306145E-2</v>
      </c>
      <c r="AF65" s="202">
        <f t="shared" si="73"/>
        <v>2.0408163265306145E-2</v>
      </c>
      <c r="AG65" s="203">
        <f>+AG64/AB64-1</f>
        <v>6.0000000000000053E-2</v>
      </c>
      <c r="AH65" s="65">
        <f>+AH64/AC64-1</f>
        <v>4.1025641025641102E-2</v>
      </c>
      <c r="AI65" s="201">
        <f t="shared" si="73"/>
        <v>6.0000000000000053E-2</v>
      </c>
      <c r="AJ65" s="202">
        <f t="shared" si="73"/>
        <v>6.0000000000000053E-2</v>
      </c>
      <c r="AK65" s="202">
        <f t="shared" ref="AK65:AP65" si="74">+AK64/AF64-1</f>
        <v>6.0000000000000053E-2</v>
      </c>
      <c r="AL65" s="203">
        <f t="shared" si="74"/>
        <v>5.6603773584905648E-2</v>
      </c>
      <c r="AM65" s="65">
        <f t="shared" si="74"/>
        <v>5.9113300492610987E-2</v>
      </c>
      <c r="AN65" s="201">
        <f t="shared" si="74"/>
        <v>5.6603773584905648E-2</v>
      </c>
      <c r="AO65" s="202">
        <f t="shared" si="74"/>
        <v>5.6603773584905648E-2</v>
      </c>
      <c r="AP65" s="202">
        <f t="shared" si="74"/>
        <v>5.6603773584905648E-2</v>
      </c>
      <c r="AQ65" s="203">
        <f t="shared" ref="AQ65:AZ65" si="75">+AQ64/AL64-1</f>
        <v>5.3571428571428381E-2</v>
      </c>
      <c r="AR65" s="65">
        <f t="shared" si="75"/>
        <v>5.5813953488371926E-2</v>
      </c>
      <c r="AS65" s="201">
        <f t="shared" si="75"/>
        <v>5.3571428571428381E-2</v>
      </c>
      <c r="AT65" s="202">
        <f t="shared" si="75"/>
        <v>5.3571428571428381E-2</v>
      </c>
      <c r="AU65" s="202">
        <f t="shared" si="75"/>
        <v>5.3571428571428381E-2</v>
      </c>
      <c r="AV65" s="203">
        <f t="shared" si="75"/>
        <v>5.0847457627118731E-2</v>
      </c>
      <c r="AW65" s="65">
        <f t="shared" si="75"/>
        <v>5.2863436123347984E-2</v>
      </c>
      <c r="AX65" s="201">
        <f t="shared" si="75"/>
        <v>5.0847457627118731E-2</v>
      </c>
      <c r="AY65" s="202">
        <f t="shared" si="75"/>
        <v>5.0847457627118731E-2</v>
      </c>
      <c r="AZ65" s="202">
        <f t="shared" si="75"/>
        <v>5.0847457627118731E-2</v>
      </c>
      <c r="BA65" s="1502">
        <v>0.04</v>
      </c>
      <c r="BB65" s="65">
        <f>+BB64/AW64-1</f>
        <v>4.8033472803347133E-2</v>
      </c>
      <c r="BC65" s="201">
        <f>+BC64/AX64-1</f>
        <v>4.0000000000000036E-2</v>
      </c>
      <c r="BD65" s="202">
        <f>+BD64/AY64-1</f>
        <v>4.0000000000000036E-2</v>
      </c>
      <c r="BE65" s="202">
        <f>+BE64/AZ64-1</f>
        <v>4.0000000000000036E-2</v>
      </c>
      <c r="BF65" s="1502">
        <v>0.04</v>
      </c>
      <c r="BG65" s="65">
        <f>+BG64/BB64-1</f>
        <v>4.0000000000000036E-2</v>
      </c>
      <c r="BH65" s="201">
        <f>+BH64/BC64-1</f>
        <v>4.0000000000000036E-2</v>
      </c>
      <c r="BI65" s="202">
        <f>+BI64/BD64-1</f>
        <v>4.0000000000000036E-2</v>
      </c>
      <c r="BJ65" s="202">
        <f>+BJ64/BE64-1</f>
        <v>4.0000000000000036E-2</v>
      </c>
      <c r="BK65" s="1502">
        <v>0.04</v>
      </c>
      <c r="BL65" s="65">
        <f>+BL64/BG64-1</f>
        <v>4.0000000000000036E-2</v>
      </c>
      <c r="BM65" s="201">
        <f>+BM64/BH64-1</f>
        <v>4.0000000000000036E-2</v>
      </c>
      <c r="BN65" s="202">
        <f>+BN64/BI64-1</f>
        <v>4.0000000000000036E-2</v>
      </c>
      <c r="BO65" s="202">
        <f>+BO64/BJ64-1</f>
        <v>4.0000000000000036E-2</v>
      </c>
      <c r="BP65" s="1502">
        <v>0.04</v>
      </c>
      <c r="BQ65" s="65">
        <f>+BQ64/BL64-1</f>
        <v>4.0000000000000036E-2</v>
      </c>
      <c r="BR65" s="491"/>
      <c r="BS65" s="491"/>
      <c r="BT65" s="491"/>
      <c r="BU65" s="491"/>
      <c r="BV65" s="491"/>
    </row>
    <row r="66" spans="1:99">
      <c r="C66" s="200"/>
      <c r="E66" s="188"/>
      <c r="F66" s="189"/>
      <c r="G66" s="189"/>
      <c r="H66" s="190"/>
      <c r="J66" s="188"/>
      <c r="K66" s="189"/>
      <c r="L66" s="189"/>
      <c r="M66" s="190"/>
      <c r="O66" s="188"/>
      <c r="P66" s="189"/>
      <c r="Q66" s="189"/>
      <c r="R66" s="190"/>
      <c r="T66" s="188"/>
      <c r="U66" s="189"/>
      <c r="V66" s="189"/>
      <c r="W66" s="190"/>
      <c r="Y66" s="188"/>
      <c r="Z66" s="189"/>
      <c r="AA66" s="189"/>
      <c r="AB66" s="190"/>
      <c r="AD66" s="188"/>
      <c r="AE66" s="189"/>
      <c r="AF66" s="189"/>
      <c r="AG66" s="190"/>
      <c r="AI66" s="188"/>
      <c r="AJ66" s="189"/>
      <c r="AK66" s="189"/>
      <c r="AL66" s="190"/>
      <c r="AN66" s="188"/>
      <c r="AO66" s="189"/>
      <c r="AP66" s="189"/>
      <c r="AQ66" s="190"/>
      <c r="AS66" s="188"/>
      <c r="AT66" s="189"/>
      <c r="AU66" s="189"/>
      <c r="AV66" s="190"/>
      <c r="AW66" s="839"/>
      <c r="AX66" s="188"/>
      <c r="AY66" s="189"/>
      <c r="AZ66" s="189"/>
      <c r="BA66" s="190"/>
      <c r="BB66" s="839"/>
      <c r="BC66" s="188"/>
      <c r="BD66" s="189"/>
      <c r="BE66" s="189"/>
      <c r="BF66" s="190"/>
      <c r="BG66" s="839"/>
      <c r="BH66" s="188"/>
      <c r="BI66" s="189"/>
      <c r="BJ66" s="189"/>
      <c r="BK66" s="190"/>
      <c r="BL66" s="839"/>
      <c r="BM66" s="188"/>
      <c r="BN66" s="189"/>
      <c r="BO66" s="189"/>
      <c r="BP66" s="190"/>
      <c r="BQ66" s="839"/>
      <c r="BR66" s="491"/>
      <c r="BS66" s="491"/>
      <c r="BT66" s="491"/>
      <c r="BU66" s="491"/>
      <c r="BV66" s="491"/>
    </row>
    <row r="67" spans="1:99">
      <c r="A67" s="50"/>
      <c r="B67" s="50"/>
      <c r="C67" s="100" t="s">
        <v>25</v>
      </c>
      <c r="D67" s="109"/>
      <c r="E67" s="161">
        <f>-E149</f>
        <v>169</v>
      </c>
      <c r="F67" s="160">
        <f t="shared" ref="F67:N67" si="76">+-F149</f>
        <v>195</v>
      </c>
      <c r="G67" s="160">
        <f t="shared" si="76"/>
        <v>200</v>
      </c>
      <c r="H67" s="144">
        <f t="shared" si="76"/>
        <v>194</v>
      </c>
      <c r="I67" s="109">
        <f t="shared" si="76"/>
        <v>758</v>
      </c>
      <c r="J67" s="161">
        <f t="shared" si="76"/>
        <v>197</v>
      </c>
      <c r="K67" s="160">
        <f t="shared" si="76"/>
        <v>202</v>
      </c>
      <c r="L67" s="160">
        <f t="shared" si="76"/>
        <v>203</v>
      </c>
      <c r="M67" s="144">
        <f t="shared" si="76"/>
        <v>222</v>
      </c>
      <c r="N67" s="109">
        <f t="shared" si="76"/>
        <v>824</v>
      </c>
      <c r="O67" s="161">
        <f t="shared" ref="O67:U67" si="77">+-O149</f>
        <v>223</v>
      </c>
      <c r="P67" s="160">
        <f t="shared" si="77"/>
        <v>223</v>
      </c>
      <c r="Q67" s="160">
        <f t="shared" si="77"/>
        <v>222</v>
      </c>
      <c r="R67" s="144">
        <f t="shared" si="77"/>
        <v>230</v>
      </c>
      <c r="S67" s="109">
        <f t="shared" si="77"/>
        <v>898</v>
      </c>
      <c r="T67" s="161">
        <f t="shared" si="77"/>
        <v>229</v>
      </c>
      <c r="U67" s="160">
        <f t="shared" si="77"/>
        <v>229</v>
      </c>
      <c r="V67" s="160">
        <f t="shared" ref="V67:AF67" si="78">+-V149</f>
        <v>229</v>
      </c>
      <c r="W67" s="144">
        <f t="shared" si="78"/>
        <v>229</v>
      </c>
      <c r="X67" s="109">
        <f t="shared" si="78"/>
        <v>916</v>
      </c>
      <c r="Y67" s="161">
        <f t="shared" si="78"/>
        <v>230</v>
      </c>
      <c r="Z67" s="160">
        <f t="shared" si="78"/>
        <v>239</v>
      </c>
      <c r="AA67" s="160">
        <f t="shared" si="78"/>
        <v>240</v>
      </c>
      <c r="AB67" s="144">
        <f t="shared" si="78"/>
        <v>245</v>
      </c>
      <c r="AC67" s="109">
        <f t="shared" si="78"/>
        <v>954</v>
      </c>
      <c r="AD67" s="161">
        <f t="shared" si="78"/>
        <v>245</v>
      </c>
      <c r="AE67" s="160">
        <f t="shared" si="78"/>
        <v>245</v>
      </c>
      <c r="AF67" s="160">
        <f t="shared" si="78"/>
        <v>246</v>
      </c>
      <c r="AG67" s="144">
        <f t="shared" ref="AG67:AM67" si="79">+-AG149</f>
        <v>262</v>
      </c>
      <c r="AH67" s="109">
        <f t="shared" si="79"/>
        <v>998</v>
      </c>
      <c r="AI67" s="161">
        <f t="shared" si="79"/>
        <v>260</v>
      </c>
      <c r="AJ67" s="160">
        <f t="shared" si="79"/>
        <v>262</v>
      </c>
      <c r="AK67" s="160">
        <f t="shared" si="79"/>
        <v>261</v>
      </c>
      <c r="AL67" s="144">
        <f t="shared" si="79"/>
        <v>276</v>
      </c>
      <c r="AM67" s="109">
        <f t="shared" si="79"/>
        <v>1059</v>
      </c>
      <c r="AN67" s="161">
        <f t="shared" ref="AN67:AS67" si="80">+-AN149</f>
        <v>276.5</v>
      </c>
      <c r="AO67" s="160">
        <f t="shared" si="80"/>
        <v>276.60000000000002</v>
      </c>
      <c r="AP67" s="160">
        <f t="shared" si="80"/>
        <v>276.69999999999993</v>
      </c>
      <c r="AQ67" s="144">
        <f t="shared" si="80"/>
        <v>291.20000000000005</v>
      </c>
      <c r="AR67" s="109">
        <f t="shared" si="80"/>
        <v>1121</v>
      </c>
      <c r="AS67" s="161">
        <f t="shared" si="80"/>
        <v>291.39999999999998</v>
      </c>
      <c r="AT67" s="160">
        <f>+-AT149</f>
        <v>293.5</v>
      </c>
      <c r="AU67" s="160">
        <f>+-AU149</f>
        <v>290.10000000000002</v>
      </c>
      <c r="AV67" s="144">
        <f t="shared" ref="AV67" si="81">+-AV149</f>
        <v>316.90000000000009</v>
      </c>
      <c r="AW67" s="109">
        <f t="shared" ref="AW67" si="82">+-AW149</f>
        <v>1191.9000000000001</v>
      </c>
      <c r="AX67" s="161">
        <f t="shared" ref="AX67:BL67" si="83">+AX64*AX51</f>
        <v>305.15598527800233</v>
      </c>
      <c r="AY67" s="160">
        <f t="shared" si="83"/>
        <v>305.38101431400696</v>
      </c>
      <c r="AZ67" s="160">
        <f t="shared" si="83"/>
        <v>305.60604335001159</v>
      </c>
      <c r="BA67" s="144">
        <f t="shared" si="83"/>
        <v>318.06431528145691</v>
      </c>
      <c r="BB67" s="109">
        <f t="shared" si="83"/>
        <v>1234.1938564813174</v>
      </c>
      <c r="BC67" s="161">
        <f t="shared" si="83"/>
        <v>318.29834547890169</v>
      </c>
      <c r="BD67" s="160">
        <f t="shared" si="83"/>
        <v>318.53237567634653</v>
      </c>
      <c r="BE67" s="160">
        <f t="shared" si="83"/>
        <v>318.76640587379137</v>
      </c>
      <c r="BF67" s="144">
        <f t="shared" si="83"/>
        <v>331.76045351408561</v>
      </c>
      <c r="BG67" s="109">
        <f t="shared" si="83"/>
        <v>1287.3435387312786</v>
      </c>
      <c r="BH67" s="161">
        <f t="shared" si="83"/>
        <v>332.49062773011349</v>
      </c>
      <c r="BI67" s="160">
        <f t="shared" si="83"/>
        <v>333.70758475682663</v>
      </c>
      <c r="BJ67" s="160">
        <f t="shared" si="83"/>
        <v>334.92454178353978</v>
      </c>
      <c r="BK67" s="144">
        <f t="shared" si="83"/>
        <v>349.58715876266302</v>
      </c>
      <c r="BL67" s="109">
        <f t="shared" si="83"/>
        <v>1350.6368956115402</v>
      </c>
      <c r="BM67" s="161">
        <f>+BM64*BM51</f>
        <v>351.13756201469556</v>
      </c>
      <c r="BN67" s="160">
        <f>+BN64*BN51</f>
        <v>352.9727332109789</v>
      </c>
      <c r="BO67" s="160">
        <f>+BO64*BO51</f>
        <v>354.8079044072623</v>
      </c>
      <c r="BP67" s="144">
        <f>+BP64*BP51</f>
        <v>370.90879862768753</v>
      </c>
      <c r="BQ67" s="109">
        <f>+BQ64*BQ51</f>
        <v>1429.7168879888472</v>
      </c>
      <c r="BR67" s="525"/>
      <c r="BS67" s="525"/>
      <c r="BT67" s="525"/>
      <c r="BU67" s="525"/>
      <c r="BV67" s="525"/>
      <c r="BW67" s="50"/>
      <c r="BX67" s="50"/>
      <c r="CF67" s="50"/>
      <c r="CG67" s="50"/>
      <c r="CH67" s="50"/>
      <c r="CI67" s="50"/>
      <c r="CJ67" s="50"/>
      <c r="CK67" s="50"/>
      <c r="CL67" s="50"/>
      <c r="CM67" s="50"/>
      <c r="CN67" s="50"/>
      <c r="CO67" s="50"/>
      <c r="CP67" s="50"/>
      <c r="CQ67" s="50"/>
      <c r="CR67" s="50"/>
      <c r="CS67" s="50"/>
      <c r="CT67" s="50"/>
      <c r="CU67" s="50"/>
    </row>
    <row r="68" spans="1:99">
      <c r="C68" s="200" t="s">
        <v>256</v>
      </c>
      <c r="E68" s="204">
        <f t="shared" ref="E68:AJ68" si="84">+E64/E55</f>
        <v>0.46396278094444438</v>
      </c>
      <c r="F68" s="205">
        <f t="shared" si="84"/>
        <v>0.60315063853582551</v>
      </c>
      <c r="G68" s="205">
        <f t="shared" si="84"/>
        <v>0.44157013327313771</v>
      </c>
      <c r="H68" s="206">
        <f t="shared" si="84"/>
        <v>0.83673469387755084</v>
      </c>
      <c r="I68" s="82">
        <f t="shared" si="84"/>
        <v>0.55266590226138024</v>
      </c>
      <c r="J68" s="204">
        <f t="shared" si="84"/>
        <v>0.57071598581395344</v>
      </c>
      <c r="K68" s="205">
        <f t="shared" si="84"/>
        <v>1.4798099122058821</v>
      </c>
      <c r="L68" s="205">
        <f t="shared" si="84"/>
        <v>0.36305439232432429</v>
      </c>
      <c r="M68" s="206">
        <f t="shared" si="84"/>
        <v>1.2432432432432432</v>
      </c>
      <c r="N68" s="82">
        <f t="shared" si="84"/>
        <v>0.67722416665565655</v>
      </c>
      <c r="O68" s="204">
        <f t="shared" si="84"/>
        <v>0.56486803765306126</v>
      </c>
      <c r="P68" s="205">
        <f t="shared" si="84"/>
        <v>0.63015198096590919</v>
      </c>
      <c r="Q68" s="205">
        <f t="shared" si="84"/>
        <v>0.39237914257950535</v>
      </c>
      <c r="R68" s="206">
        <f t="shared" si="84"/>
        <v>1.1701546391752577</v>
      </c>
      <c r="S68" s="82">
        <f t="shared" si="84"/>
        <v>0.59345186622340429</v>
      </c>
      <c r="T68" s="204">
        <f t="shared" si="84"/>
        <v>0.58508217984575839</v>
      </c>
      <c r="U68" s="205">
        <f t="shared" si="84"/>
        <v>0.61590411972972969</v>
      </c>
      <c r="V68" s="205">
        <f t="shared" si="84"/>
        <v>0.45992045012096772</v>
      </c>
      <c r="W68" s="206">
        <f t="shared" si="84"/>
        <v>0.94194214876033056</v>
      </c>
      <c r="X68" s="82">
        <f t="shared" si="84"/>
        <v>0.60919119887775541</v>
      </c>
      <c r="Y68" s="204">
        <f t="shared" si="84"/>
        <v>0.59065037963824285</v>
      </c>
      <c r="Z68" s="205">
        <f t="shared" si="84"/>
        <v>0.6682441774509803</v>
      </c>
      <c r="AA68" s="205">
        <f t="shared" si="84"/>
        <v>0.44794908714821763</v>
      </c>
      <c r="AB68" s="206">
        <f t="shared" si="84"/>
        <v>0.82263513513513509</v>
      </c>
      <c r="AC68" s="82">
        <f t="shared" si="84"/>
        <v>0.60376978016528926</v>
      </c>
      <c r="AD68" s="204">
        <f t="shared" si="84"/>
        <v>0.4359563991071429</v>
      </c>
      <c r="AE68" s="205">
        <f t="shared" si="84"/>
        <v>0.62633106025641028</v>
      </c>
      <c r="AF68" s="205">
        <f t="shared" si="84"/>
        <v>0.49591343509127789</v>
      </c>
      <c r="AG68" s="206">
        <f t="shared" si="84"/>
        <v>1.1171120689655174</v>
      </c>
      <c r="AH68" s="82">
        <f t="shared" si="84"/>
        <v>0.59251741802985081</v>
      </c>
      <c r="AI68" s="204">
        <f t="shared" si="84"/>
        <v>0.415466343648</v>
      </c>
      <c r="AJ68" s="205">
        <f t="shared" si="84"/>
        <v>0.60595981002331001</v>
      </c>
      <c r="AK68" s="205">
        <f t="shared" ref="AK68:BL68" si="85">+AK64/AK55</f>
        <v>0.49927865172744729</v>
      </c>
      <c r="AL68" s="206">
        <f t="shared" si="85"/>
        <v>1.1795795795795749</v>
      </c>
      <c r="AM68" s="82">
        <f t="shared" si="85"/>
        <v>0.58333904164592676</v>
      </c>
      <c r="AN68" s="204">
        <f t="shared" si="85"/>
        <v>0.54897464245810046</v>
      </c>
      <c r="AO68" s="205">
        <f t="shared" si="85"/>
        <v>0.59119429675756896</v>
      </c>
      <c r="AP68" s="205">
        <f>+AP64/AP55</f>
        <v>0.430538940878537</v>
      </c>
      <c r="AQ68" s="206">
        <f>+AQ64/AQ55</f>
        <v>0.878571428571429</v>
      </c>
      <c r="AR68" s="82">
        <f>+AR64/AR55</f>
        <v>0.57618624465152313</v>
      </c>
      <c r="AS68" s="204">
        <f>+AS64/AS55</f>
        <v>0.61205748524140802</v>
      </c>
      <c r="AT68" s="205">
        <f>+AT64/AT55</f>
        <v>0.78471608801295945</v>
      </c>
      <c r="AU68" s="205">
        <f t="shared" si="85"/>
        <v>0.53555868372307125</v>
      </c>
      <c r="AV68" s="206">
        <f>+AV64/AV55</f>
        <v>0.72611283027850637</v>
      </c>
      <c r="AW68" s="82">
        <f>+AW64/AW55</f>
        <v>0.65121989608385455</v>
      </c>
      <c r="AX68" s="204">
        <f t="shared" si="85"/>
        <v>0.63761950837517234</v>
      </c>
      <c r="AY68" s="205">
        <f t="shared" si="85"/>
        <v>0.77597957977477361</v>
      </c>
      <c r="AZ68" s="205">
        <f t="shared" si="85"/>
        <v>0.50777547333711737</v>
      </c>
      <c r="BA68" s="206">
        <f t="shared" si="85"/>
        <v>0.75097577611543886</v>
      </c>
      <c r="BB68" s="82">
        <f t="shared" si="85"/>
        <v>0.65042593836275153</v>
      </c>
      <c r="BC68" s="204">
        <f t="shared" si="85"/>
        <v>0.56590195943317567</v>
      </c>
      <c r="BD68" s="205">
        <f t="shared" si="85"/>
        <v>0.71268663719099534</v>
      </c>
      <c r="BE68" s="205">
        <f t="shared" si="85"/>
        <v>0.53167429590418191</v>
      </c>
      <c r="BF68" s="206">
        <f t="shared" si="85"/>
        <v>0.75250680337689169</v>
      </c>
      <c r="BG68" s="82">
        <f t="shared" si="85"/>
        <v>0.62802342560992375</v>
      </c>
      <c r="BH68" s="204">
        <f t="shared" si="85"/>
        <v>0.58041792984665463</v>
      </c>
      <c r="BI68" s="205">
        <f t="shared" si="85"/>
        <v>0.70791891860270251</v>
      </c>
      <c r="BJ68" s="205">
        <f t="shared" si="85"/>
        <v>0.49882960274621646</v>
      </c>
      <c r="BK68" s="206">
        <f t="shared" si="85"/>
        <v>0.71474657426308996</v>
      </c>
      <c r="BL68" s="82">
        <f t="shared" si="85"/>
        <v>0.61259861132609739</v>
      </c>
      <c r="BM68" s="204">
        <f>+BM64/BM55</f>
        <v>0.54136407075042881</v>
      </c>
      <c r="BN68" s="205">
        <f>+BN64/BN55</f>
        <v>0.63593697469386279</v>
      </c>
      <c r="BO68" s="205">
        <f>+BO64/BO55</f>
        <v>0.49498215261509054</v>
      </c>
      <c r="BP68" s="206">
        <f>+BP64/BP55</f>
        <v>0.67303760138930613</v>
      </c>
      <c r="BQ68" s="82">
        <f>+BQ64/BQ55</f>
        <v>0.57846598055600773</v>
      </c>
      <c r="BR68" s="491"/>
      <c r="BS68" s="491"/>
      <c r="BT68" s="491"/>
      <c r="BU68" s="491"/>
      <c r="BV68" s="491"/>
    </row>
    <row r="69" spans="1:99">
      <c r="E69" s="188"/>
      <c r="F69" s="189"/>
      <c r="G69" s="189"/>
      <c r="H69" s="190"/>
      <c r="J69" s="188"/>
      <c r="K69" s="189"/>
      <c r="L69" s="189"/>
      <c r="M69" s="190"/>
      <c r="O69" s="188"/>
      <c r="P69" s="189"/>
      <c r="Q69" s="189"/>
      <c r="R69" s="190"/>
      <c r="T69" s="188"/>
      <c r="U69" s="189"/>
      <c r="V69" s="189"/>
      <c r="W69" s="190"/>
      <c r="Y69" s="188"/>
      <c r="Z69" s="189"/>
      <c r="AA69" s="189"/>
      <c r="AB69" s="190"/>
      <c r="AC69" s="86"/>
      <c r="AD69" s="188"/>
      <c r="AE69" s="189"/>
      <c r="AF69" s="189"/>
      <c r="AG69" s="190"/>
      <c r="AH69" s="86"/>
      <c r="AI69" s="188"/>
      <c r="AJ69" s="189"/>
      <c r="AK69" s="189"/>
      <c r="AL69" s="190"/>
      <c r="AM69" s="86"/>
      <c r="AN69" s="188"/>
      <c r="AO69" s="189"/>
      <c r="AP69" s="189"/>
      <c r="AQ69" s="190"/>
      <c r="AR69" s="86"/>
      <c r="AS69" s="188"/>
      <c r="AT69" s="189"/>
      <c r="AU69" s="189"/>
      <c r="AV69" s="190"/>
      <c r="AW69" s="86"/>
      <c r="AX69" s="188"/>
      <c r="AY69" s="189"/>
      <c r="AZ69" s="189"/>
      <c r="BA69" s="190"/>
      <c r="BB69" s="86"/>
      <c r="BC69" s="188"/>
      <c r="BD69" s="189"/>
      <c r="BE69" s="189"/>
      <c r="BF69" s="190"/>
      <c r="BG69" s="86"/>
      <c r="BH69" s="188"/>
      <c r="BI69" s="189"/>
      <c r="BJ69" s="189"/>
      <c r="BK69" s="190"/>
      <c r="BL69" s="86"/>
      <c r="BM69" s="188"/>
      <c r="BN69" s="189"/>
      <c r="BO69" s="189"/>
      <c r="BP69" s="190"/>
      <c r="BQ69" s="86"/>
      <c r="BR69" s="491"/>
      <c r="BS69" s="491"/>
      <c r="BT69" s="491"/>
      <c r="BU69" s="491"/>
      <c r="BV69" s="491"/>
    </row>
    <row r="70" spans="1:99">
      <c r="A70" s="56"/>
      <c r="B70" s="56"/>
      <c r="C70" s="164" t="s">
        <v>850</v>
      </c>
      <c r="D70" s="56"/>
      <c r="E70" s="192"/>
      <c r="F70" s="193"/>
      <c r="G70" s="193"/>
      <c r="H70" s="194"/>
      <c r="I70" s="56"/>
      <c r="J70" s="192"/>
      <c r="K70" s="193"/>
      <c r="L70" s="193"/>
      <c r="M70" s="194"/>
      <c r="N70" s="56"/>
      <c r="O70" s="192"/>
      <c r="P70" s="193"/>
      <c r="Q70" s="193"/>
      <c r="R70" s="194"/>
      <c r="S70" s="56"/>
      <c r="T70" s="192"/>
      <c r="U70" s="193"/>
      <c r="V70" s="193"/>
      <c r="W70" s="194"/>
      <c r="X70" s="56"/>
      <c r="Y70" s="192"/>
      <c r="Z70" s="193"/>
      <c r="AA70" s="193"/>
      <c r="AB70" s="194"/>
      <c r="AC70" s="1009"/>
      <c r="AD70" s="192"/>
      <c r="AE70" s="193"/>
      <c r="AF70" s="193"/>
      <c r="AG70" s="194"/>
      <c r="AH70" s="1009"/>
      <c r="AI70" s="192"/>
      <c r="AJ70" s="193"/>
      <c r="AK70" s="193"/>
      <c r="AL70" s="194"/>
      <c r="AM70" s="1009"/>
      <c r="AN70" s="192"/>
      <c r="AO70" s="193"/>
      <c r="AP70" s="193"/>
      <c r="AQ70" s="194"/>
      <c r="AR70" s="1009"/>
      <c r="AS70" s="192"/>
      <c r="AT70" s="193"/>
      <c r="AU70" s="193"/>
      <c r="AV70" s="194"/>
      <c r="AW70" s="1009"/>
      <c r="AX70" s="192"/>
      <c r="AY70" s="193"/>
      <c r="AZ70" s="193"/>
      <c r="BA70" s="194"/>
      <c r="BB70" s="1009"/>
      <c r="BC70" s="192"/>
      <c r="BD70" s="193"/>
      <c r="BE70" s="193"/>
      <c r="BF70" s="194"/>
      <c r="BG70" s="1009"/>
      <c r="BH70" s="192"/>
      <c r="BI70" s="193"/>
      <c r="BJ70" s="193"/>
      <c r="BK70" s="194"/>
      <c r="BL70" s="1009"/>
      <c r="BM70" s="192"/>
      <c r="BN70" s="193"/>
      <c r="BO70" s="193"/>
      <c r="BP70" s="194"/>
      <c r="BQ70" s="1009"/>
      <c r="BR70" s="515"/>
      <c r="BS70" s="515"/>
      <c r="BT70" s="515"/>
      <c r="BU70" s="515"/>
      <c r="BV70" s="515"/>
      <c r="BW70" s="56"/>
      <c r="BX70" s="56"/>
      <c r="CF70" s="56"/>
      <c r="CG70" s="56"/>
      <c r="CH70" s="56"/>
      <c r="CI70" s="56"/>
      <c r="CJ70" s="56"/>
      <c r="CK70" s="56"/>
      <c r="CL70" s="56"/>
      <c r="CM70" s="56"/>
      <c r="CN70" s="56"/>
      <c r="CO70" s="56"/>
      <c r="CP70" s="56"/>
      <c r="CQ70" s="56"/>
      <c r="CR70" s="56"/>
      <c r="CS70" s="56"/>
      <c r="CT70" s="56"/>
      <c r="CU70" s="56"/>
    </row>
    <row r="71" spans="1:99">
      <c r="C71" s="100" t="s">
        <v>26</v>
      </c>
      <c r="E71" s="188"/>
      <c r="F71" s="189"/>
      <c r="G71" s="189"/>
      <c r="H71" s="190"/>
      <c r="J71" s="188"/>
      <c r="K71" s="189"/>
      <c r="L71" s="189"/>
      <c r="M71" s="190"/>
      <c r="O71" s="207"/>
      <c r="P71" s="199"/>
      <c r="Q71" s="199"/>
      <c r="R71" s="198"/>
      <c r="S71" s="63"/>
      <c r="T71" s="207"/>
      <c r="U71" s="199"/>
      <c r="V71" s="199"/>
      <c r="W71" s="198"/>
      <c r="X71" s="63"/>
      <c r="Y71" s="207"/>
      <c r="Z71" s="199"/>
      <c r="AA71" s="199"/>
      <c r="AB71" s="198"/>
      <c r="AC71" s="63"/>
      <c r="AD71" s="207"/>
      <c r="AE71" s="199"/>
      <c r="AF71" s="199"/>
      <c r="AG71" s="198"/>
      <c r="AH71" s="63"/>
      <c r="AI71" s="207"/>
      <c r="AJ71" s="199"/>
      <c r="AK71" s="199"/>
      <c r="AL71" s="198"/>
      <c r="AM71" s="63"/>
      <c r="AN71" s="207"/>
      <c r="AO71" s="199"/>
      <c r="AP71" s="199"/>
      <c r="AQ71" s="198"/>
      <c r="AR71" s="63"/>
      <c r="AS71" s="207"/>
      <c r="AT71" s="199"/>
      <c r="AU71" s="199"/>
      <c r="AV71" s="198"/>
      <c r="AW71" s="63"/>
      <c r="AX71" s="207">
        <f>Valuation!$AR$21</f>
        <v>68.88</v>
      </c>
      <c r="AY71" s="199">
        <f>Valuation!$AR$21</f>
        <v>68.88</v>
      </c>
      <c r="AZ71" s="199">
        <f>Valuation!$AR$21</f>
        <v>68.88</v>
      </c>
      <c r="BA71" s="198">
        <f>Valuation!$AR$21</f>
        <v>68.88</v>
      </c>
      <c r="BB71" s="63">
        <f>Valuation!$AR$21</f>
        <v>68.88</v>
      </c>
      <c r="BC71" s="207">
        <f>Valuation!$AR$21</f>
        <v>68.88</v>
      </c>
      <c r="BD71" s="199">
        <f>Valuation!$AR$21</f>
        <v>68.88</v>
      </c>
      <c r="BE71" s="199">
        <f>Valuation!$AR$21</f>
        <v>68.88</v>
      </c>
      <c r="BF71" s="198">
        <f>Valuation!$AR$21</f>
        <v>68.88</v>
      </c>
      <c r="BG71" s="63">
        <f>Valuation!$AR$21</f>
        <v>68.88</v>
      </c>
      <c r="BH71" s="207">
        <f>Valuation!$AR$21</f>
        <v>68.88</v>
      </c>
      <c r="BI71" s="199">
        <f>Valuation!$AR$21</f>
        <v>68.88</v>
      </c>
      <c r="BJ71" s="199">
        <f>Valuation!$AR$21</f>
        <v>68.88</v>
      </c>
      <c r="BK71" s="198">
        <f>Valuation!$AR$21</f>
        <v>68.88</v>
      </c>
      <c r="BL71" s="63">
        <f>Valuation!$AR$21</f>
        <v>68.88</v>
      </c>
      <c r="BM71" s="207">
        <f>Valuation!$AR$21</f>
        <v>68.88</v>
      </c>
      <c r="BN71" s="199">
        <f>Valuation!$AR$21</f>
        <v>68.88</v>
      </c>
      <c r="BO71" s="199">
        <f>Valuation!$AR$21</f>
        <v>68.88</v>
      </c>
      <c r="BP71" s="198">
        <f>Valuation!$AR$21</f>
        <v>68.88</v>
      </c>
      <c r="BQ71" s="63">
        <f>Valuation!$AR$21</f>
        <v>68.88</v>
      </c>
      <c r="BR71" s="491"/>
      <c r="BS71" s="491"/>
      <c r="BT71" s="491"/>
      <c r="BU71" s="491"/>
      <c r="BV71" s="491"/>
    </row>
    <row r="72" spans="1:99">
      <c r="C72" s="100" t="s">
        <v>27</v>
      </c>
      <c r="D72" s="208"/>
      <c r="E72" s="209"/>
      <c r="F72" s="210"/>
      <c r="G72" s="210"/>
      <c r="H72" s="211"/>
      <c r="I72" s="208"/>
      <c r="J72" s="209"/>
      <c r="K72" s="210"/>
      <c r="L72" s="210"/>
      <c r="M72" s="211"/>
      <c r="N72" s="208"/>
      <c r="O72" s="212"/>
      <c r="P72" s="213"/>
      <c r="Q72" s="213"/>
      <c r="R72" s="214"/>
      <c r="S72" s="208"/>
      <c r="T72" s="212"/>
      <c r="U72" s="213"/>
      <c r="V72" s="213"/>
      <c r="W72" s="214"/>
      <c r="X72" s="208"/>
      <c r="Y72" s="212"/>
      <c r="Z72" s="213"/>
      <c r="AA72" s="213"/>
      <c r="AB72" s="214"/>
      <c r="AC72" s="208"/>
      <c r="AD72" s="212"/>
      <c r="AE72" s="213"/>
      <c r="AF72" s="213"/>
      <c r="AG72" s="214"/>
      <c r="AH72" s="208"/>
      <c r="AI72" s="212"/>
      <c r="AJ72" s="213"/>
      <c r="AK72" s="213"/>
      <c r="AL72" s="214"/>
      <c r="AM72" s="208"/>
      <c r="AN72" s="212"/>
      <c r="AO72" s="213"/>
      <c r="AP72" s="213"/>
      <c r="AQ72" s="214"/>
      <c r="AR72" s="208"/>
      <c r="AS72" s="212"/>
      <c r="AT72" s="213"/>
      <c r="AU72" s="213"/>
      <c r="AV72" s="214"/>
      <c r="AW72" s="208"/>
      <c r="AX72" s="1433">
        <f>AX73/AX71</f>
        <v>0.36295005807200931</v>
      </c>
      <c r="AY72" s="1434">
        <f>AY73/AY71</f>
        <v>0.36295005807200931</v>
      </c>
      <c r="AZ72" s="1434">
        <f>AZ73/AZ71</f>
        <v>0.36295005807200931</v>
      </c>
      <c r="BA72" s="1435">
        <f>BA73/BA71</f>
        <v>0.36295005807200931</v>
      </c>
      <c r="BB72" s="208">
        <f>SUM(AX72:BA72)</f>
        <v>1.4518002322880372</v>
      </c>
      <c r="BC72" s="1433">
        <f>BC73/BC71</f>
        <v>0.36295005807200931</v>
      </c>
      <c r="BD72" s="1434">
        <f>BD73/BD71</f>
        <v>0.36295005807200931</v>
      </c>
      <c r="BE72" s="1434">
        <f>BE73/BE71</f>
        <v>0.36295005807200931</v>
      </c>
      <c r="BF72" s="1435">
        <f>BF73/BF71</f>
        <v>0.36295005807200931</v>
      </c>
      <c r="BG72" s="208">
        <f>SUM(BC72:BF72)</f>
        <v>1.4518002322880372</v>
      </c>
      <c r="BH72" s="1433">
        <f>BH73/BH71</f>
        <v>1.8147502903600465</v>
      </c>
      <c r="BI72" s="1434">
        <f>BI73/BI71</f>
        <v>1.8147502903600465</v>
      </c>
      <c r="BJ72" s="1434">
        <f>BJ73/BJ71</f>
        <v>1.8147502903600465</v>
      </c>
      <c r="BK72" s="1435">
        <f>BK73/BK71</f>
        <v>1.8147502903600465</v>
      </c>
      <c r="BL72" s="208">
        <f>SUM(BH72:BK72)</f>
        <v>7.2590011614401861</v>
      </c>
      <c r="BM72" s="1433">
        <f>BM73/BM71</f>
        <v>2.6313879210220676</v>
      </c>
      <c r="BN72" s="1434">
        <f>BN73/BN71</f>
        <v>2.6313879210220676</v>
      </c>
      <c r="BO72" s="1434">
        <f>BO73/BO71</f>
        <v>2.6313879210220676</v>
      </c>
      <c r="BP72" s="1435">
        <f>BP73/BP71</f>
        <v>2.6313879210220676</v>
      </c>
      <c r="BQ72" s="208">
        <f>SUM(BM72:BP72)</f>
        <v>10.525551684088271</v>
      </c>
      <c r="BR72" s="491"/>
      <c r="BS72" s="491"/>
      <c r="BT72" s="491"/>
      <c r="BU72" s="491"/>
      <c r="BV72" s="491"/>
    </row>
    <row r="73" spans="1:99">
      <c r="C73" s="100" t="s">
        <v>28</v>
      </c>
      <c r="D73" s="208"/>
      <c r="E73" s="148">
        <f t="shared" ref="E73:S73" si="86">+E150</f>
        <v>48</v>
      </c>
      <c r="F73" s="146">
        <f t="shared" si="86"/>
        <v>1640</v>
      </c>
      <c r="G73" s="146">
        <f t="shared" si="86"/>
        <v>18</v>
      </c>
      <c r="H73" s="147">
        <f t="shared" si="86"/>
        <v>22</v>
      </c>
      <c r="I73" s="72">
        <f t="shared" si="86"/>
        <v>1728</v>
      </c>
      <c r="J73" s="148">
        <f t="shared" si="86"/>
        <v>26</v>
      </c>
      <c r="K73" s="146">
        <f t="shared" si="86"/>
        <v>16</v>
      </c>
      <c r="L73" s="146">
        <f t="shared" si="86"/>
        <v>23</v>
      </c>
      <c r="M73" s="147">
        <f t="shared" si="86"/>
        <v>28</v>
      </c>
      <c r="N73" s="72">
        <f t="shared" si="86"/>
        <v>93</v>
      </c>
      <c r="O73" s="148">
        <f t="shared" si="86"/>
        <v>31</v>
      </c>
      <c r="P73" s="146">
        <f t="shared" si="86"/>
        <v>18</v>
      </c>
      <c r="Q73" s="146">
        <f>+Q150</f>
        <v>21</v>
      </c>
      <c r="R73" s="147">
        <f t="shared" si="86"/>
        <v>22</v>
      </c>
      <c r="S73" s="72">
        <f t="shared" si="86"/>
        <v>92</v>
      </c>
      <c r="T73" s="148">
        <f>+T150</f>
        <v>31</v>
      </c>
      <c r="U73" s="146">
        <f>+U150</f>
        <v>19</v>
      </c>
      <c r="V73" s="146">
        <f>+V150</f>
        <v>14</v>
      </c>
      <c r="W73" s="147">
        <f>+W150</f>
        <v>19</v>
      </c>
      <c r="X73" s="72">
        <f>+X150</f>
        <v>83</v>
      </c>
      <c r="Y73" s="148">
        <f t="shared" ref="Y73:AF73" si="87">+Y150</f>
        <v>15</v>
      </c>
      <c r="Z73" s="146">
        <f t="shared" si="87"/>
        <v>26</v>
      </c>
      <c r="AA73" s="146">
        <f t="shared" si="87"/>
        <v>20</v>
      </c>
      <c r="AB73" s="147">
        <f t="shared" si="87"/>
        <v>23</v>
      </c>
      <c r="AC73" s="72">
        <f t="shared" si="87"/>
        <v>84</v>
      </c>
      <c r="AD73" s="148">
        <f t="shared" si="87"/>
        <v>15</v>
      </c>
      <c r="AE73" s="146">
        <f t="shared" si="87"/>
        <v>14</v>
      </c>
      <c r="AF73" s="146">
        <f t="shared" si="87"/>
        <v>34</v>
      </c>
      <c r="AG73" s="147">
        <f t="shared" ref="AG73:AM73" si="88">+AG150</f>
        <v>10</v>
      </c>
      <c r="AH73" s="72">
        <f t="shared" si="88"/>
        <v>73</v>
      </c>
      <c r="AI73" s="148">
        <f t="shared" si="88"/>
        <v>31</v>
      </c>
      <c r="AJ73" s="146">
        <f t="shared" si="88"/>
        <v>25</v>
      </c>
      <c r="AK73" s="146">
        <f t="shared" si="88"/>
        <v>12</v>
      </c>
      <c r="AL73" s="147">
        <f t="shared" si="88"/>
        <v>13.599999999999994</v>
      </c>
      <c r="AM73" s="72">
        <f t="shared" si="88"/>
        <v>81.599999999999994</v>
      </c>
      <c r="AN73" s="148">
        <f t="shared" ref="AN73:AS73" si="89">+AN150</f>
        <v>12.1</v>
      </c>
      <c r="AO73" s="146">
        <f t="shared" si="89"/>
        <v>18.799999999999997</v>
      </c>
      <c r="AP73" s="146">
        <f t="shared" si="89"/>
        <v>3.3000000000000043</v>
      </c>
      <c r="AQ73" s="147">
        <f t="shared" si="89"/>
        <v>0</v>
      </c>
      <c r="AR73" s="72">
        <f t="shared" si="89"/>
        <v>34.200000000000003</v>
      </c>
      <c r="AS73" s="148">
        <f t="shared" si="89"/>
        <v>0</v>
      </c>
      <c r="AT73" s="146">
        <f>+AT150</f>
        <v>0</v>
      </c>
      <c r="AU73" s="146">
        <f>+AU150</f>
        <v>0</v>
      </c>
      <c r="AV73" s="147">
        <f t="shared" ref="AV73:AW73" si="90">+AV150</f>
        <v>12.2</v>
      </c>
      <c r="AW73" s="72">
        <f t="shared" si="90"/>
        <v>12.2</v>
      </c>
      <c r="AX73" s="148">
        <f>BB73/4</f>
        <v>25</v>
      </c>
      <c r="AY73" s="146">
        <f>(BB73-AX73)/3</f>
        <v>25</v>
      </c>
      <c r="AZ73" s="146">
        <f>(BB73-AX73-AY73)/2</f>
        <v>25</v>
      </c>
      <c r="BA73" s="147">
        <f>BB73-SUM(AX73:AZ73)</f>
        <v>25</v>
      </c>
      <c r="BB73" s="1591">
        <f>100</f>
        <v>100</v>
      </c>
      <c r="BC73" s="148">
        <f>BG73/4</f>
        <v>25</v>
      </c>
      <c r="BD73" s="146">
        <f>(BG73-BC73)/3</f>
        <v>25</v>
      </c>
      <c r="BE73" s="146">
        <f>(BG73-BC73-BD73)/2</f>
        <v>25</v>
      </c>
      <c r="BF73" s="147">
        <f>BG73-SUM(BC73:BE73)</f>
        <v>25</v>
      </c>
      <c r="BG73" s="1591">
        <f>100</f>
        <v>100</v>
      </c>
      <c r="BH73" s="148">
        <f>BL73/4</f>
        <v>125</v>
      </c>
      <c r="BI73" s="146">
        <f>(BL73-BH73)/3</f>
        <v>125</v>
      </c>
      <c r="BJ73" s="146">
        <f>(BL73-BH73-BI73)/2</f>
        <v>125</v>
      </c>
      <c r="BK73" s="147">
        <f>BL73-SUM(BH73:BJ73)</f>
        <v>125</v>
      </c>
      <c r="BL73" s="1591">
        <f>500</f>
        <v>500</v>
      </c>
      <c r="BM73" s="148">
        <f>BQ73/4</f>
        <v>181.25</v>
      </c>
      <c r="BN73" s="146">
        <f>(BQ73-BM73)/3</f>
        <v>181.25</v>
      </c>
      <c r="BO73" s="146">
        <f>(BQ73-BM73-BN73)/2</f>
        <v>181.25</v>
      </c>
      <c r="BP73" s="147">
        <f>BQ73-SUM(BM73:BO73)</f>
        <v>181.25</v>
      </c>
      <c r="BQ73" s="1591">
        <f>0+'Vertically Integrated Utilities'!BQ148*0.5</f>
        <v>725</v>
      </c>
      <c r="BR73" s="491"/>
      <c r="BS73" s="491"/>
      <c r="BT73" s="491"/>
      <c r="BU73" s="491"/>
      <c r="BV73" s="491"/>
    </row>
    <row r="74" spans="1:99">
      <c r="E74" s="188"/>
      <c r="F74" s="189"/>
      <c r="G74" s="189"/>
      <c r="H74" s="190"/>
      <c r="J74" s="188"/>
      <c r="K74" s="189"/>
      <c r="L74" s="189"/>
      <c r="M74" s="190"/>
      <c r="O74" s="188"/>
      <c r="P74" s="189"/>
      <c r="Q74" s="189"/>
      <c r="R74" s="190"/>
      <c r="T74" s="188"/>
      <c r="U74" s="189"/>
      <c r="V74" s="189"/>
      <c r="W74" s="190"/>
      <c r="Y74" s="188"/>
      <c r="Z74" s="189"/>
      <c r="AA74" s="189"/>
      <c r="AB74" s="190"/>
      <c r="AD74" s="188"/>
      <c r="AE74" s="189"/>
      <c r="AF74" s="189"/>
      <c r="AG74" s="190"/>
      <c r="AI74" s="188"/>
      <c r="AJ74" s="189"/>
      <c r="AK74" s="189"/>
      <c r="AL74" s="190"/>
      <c r="AN74" s="188"/>
      <c r="AO74" s="189"/>
      <c r="AP74" s="189"/>
      <c r="AQ74" s="190"/>
      <c r="AS74" s="188"/>
      <c r="AT74" s="189"/>
      <c r="AU74" s="189"/>
      <c r="AV74" s="190"/>
      <c r="AX74" s="188"/>
      <c r="AY74" s="189"/>
      <c r="AZ74" s="189"/>
      <c r="BA74" s="190"/>
      <c r="BC74" s="188"/>
      <c r="BD74" s="189"/>
      <c r="BE74" s="189"/>
      <c r="BF74" s="190"/>
      <c r="BH74" s="188"/>
      <c r="BI74" s="189"/>
      <c r="BJ74" s="189"/>
      <c r="BK74" s="190"/>
      <c r="BM74" s="188"/>
      <c r="BN74" s="189"/>
      <c r="BO74" s="189"/>
      <c r="BP74" s="190"/>
      <c r="BR74" s="491"/>
      <c r="BS74" s="491"/>
      <c r="BT74" s="491"/>
      <c r="BU74" s="491"/>
      <c r="BV74" s="491"/>
    </row>
    <row r="75" spans="1:99">
      <c r="E75" s="188"/>
      <c r="F75" s="189"/>
      <c r="G75" s="189"/>
      <c r="H75" s="190"/>
      <c r="I75" s="246"/>
      <c r="J75" s="188"/>
      <c r="K75" s="189"/>
      <c r="L75" s="189"/>
      <c r="M75" s="190"/>
      <c r="N75" s="246"/>
      <c r="O75" s="188"/>
      <c r="P75" s="189"/>
      <c r="Q75" s="189"/>
      <c r="R75" s="190"/>
      <c r="T75" s="188"/>
      <c r="U75" s="189"/>
      <c r="V75" s="189"/>
      <c r="W75" s="190"/>
      <c r="Y75" s="188"/>
      <c r="Z75" s="189"/>
      <c r="AA75" s="189"/>
      <c r="AB75" s="190"/>
      <c r="AD75" s="188"/>
      <c r="AE75" s="189"/>
      <c r="AF75" s="189"/>
      <c r="AG75" s="190"/>
      <c r="AI75" s="188"/>
      <c r="AJ75" s="189"/>
      <c r="AK75" s="189"/>
      <c r="AL75" s="190"/>
      <c r="AN75" s="188"/>
      <c r="AO75" s="189"/>
      <c r="AP75" s="189"/>
      <c r="AQ75" s="190"/>
      <c r="AS75" s="188"/>
      <c r="AT75" s="189"/>
      <c r="AU75" s="189"/>
      <c r="AV75" s="190"/>
      <c r="AX75" s="188"/>
      <c r="AY75" s="189"/>
      <c r="AZ75" s="189"/>
      <c r="BA75" s="190"/>
      <c r="BC75" s="188"/>
      <c r="BD75" s="189"/>
      <c r="BE75" s="189"/>
      <c r="BF75" s="190"/>
      <c r="BH75" s="188"/>
      <c r="BI75" s="189"/>
      <c r="BJ75" s="189"/>
      <c r="BK75" s="190"/>
      <c r="BM75" s="188"/>
      <c r="BN75" s="189"/>
      <c r="BO75" s="189"/>
      <c r="BP75" s="190"/>
      <c r="BR75" s="491"/>
      <c r="BS75" s="491"/>
      <c r="BT75" s="491"/>
      <c r="BU75" s="491"/>
      <c r="BV75" s="491"/>
    </row>
    <row r="76" spans="1:99">
      <c r="B76" s="46" t="s">
        <v>29</v>
      </c>
      <c r="C76" s="46"/>
      <c r="D76" s="47"/>
      <c r="E76" s="188"/>
      <c r="F76" s="189"/>
      <c r="G76" s="189"/>
      <c r="H76" s="190"/>
      <c r="J76" s="188"/>
      <c r="K76" s="189"/>
      <c r="L76" s="189"/>
      <c r="M76" s="190"/>
      <c r="N76" s="72"/>
      <c r="O76" s="188"/>
      <c r="P76" s="189"/>
      <c r="Q76" s="189"/>
      <c r="R76" s="190"/>
      <c r="T76" s="188"/>
      <c r="U76" s="189"/>
      <c r="V76" s="189"/>
      <c r="W76" s="190"/>
      <c r="Y76" s="188"/>
      <c r="Z76" s="189"/>
      <c r="AA76" s="189"/>
      <c r="AB76" s="190"/>
      <c r="AD76" s="188"/>
      <c r="AE76" s="189"/>
      <c r="AF76" s="189"/>
      <c r="AG76" s="190"/>
      <c r="AI76" s="188"/>
      <c r="AJ76" s="189"/>
      <c r="AK76" s="189"/>
      <c r="AL76" s="190"/>
      <c r="AN76" s="188"/>
      <c r="AO76" s="189"/>
      <c r="AP76" s="189"/>
      <c r="AQ76" s="190"/>
      <c r="AS76" s="188"/>
      <c r="AT76" s="189"/>
      <c r="AU76" s="189"/>
      <c r="AV76" s="190"/>
      <c r="AX76" s="188"/>
      <c r="AY76" s="189"/>
      <c r="AZ76" s="189"/>
      <c r="BA76" s="190"/>
      <c r="BC76" s="188"/>
      <c r="BD76" s="189"/>
      <c r="BE76" s="189"/>
      <c r="BF76" s="190"/>
      <c r="BH76" s="188"/>
      <c r="BI76" s="189"/>
      <c r="BJ76" s="189"/>
      <c r="BK76" s="190"/>
      <c r="BM76" s="188"/>
      <c r="BN76" s="189"/>
      <c r="BO76" s="189"/>
      <c r="BP76" s="190"/>
      <c r="BR76" s="491"/>
      <c r="BS76" s="491"/>
      <c r="BT76" s="491"/>
      <c r="BU76" s="491"/>
      <c r="BV76" s="491"/>
    </row>
    <row r="77" spans="1:99">
      <c r="A77" s="56"/>
      <c r="B77" s="56"/>
      <c r="C77" s="164" t="s">
        <v>30</v>
      </c>
      <c r="D77" s="56"/>
      <c r="E77" s="192"/>
      <c r="F77" s="193"/>
      <c r="G77" s="193"/>
      <c r="H77" s="194"/>
      <c r="I77" s="112"/>
      <c r="J77" s="192"/>
      <c r="K77" s="193"/>
      <c r="L77" s="193"/>
      <c r="M77" s="194"/>
      <c r="N77" s="112"/>
      <c r="O77" s="192"/>
      <c r="P77" s="193"/>
      <c r="Q77" s="193"/>
      <c r="R77" s="194"/>
      <c r="S77" s="56"/>
      <c r="T77" s="192"/>
      <c r="U77" s="193"/>
      <c r="V77" s="193"/>
      <c r="W77" s="194"/>
      <c r="X77" s="56"/>
      <c r="Y77" s="192"/>
      <c r="Z77" s="193"/>
      <c r="AA77" s="193"/>
      <c r="AB77" s="194"/>
      <c r="AC77" s="56"/>
      <c r="AD77" s="192"/>
      <c r="AE77" s="193"/>
      <c r="AF77" s="193"/>
      <c r="AG77" s="194"/>
      <c r="AH77" s="56"/>
      <c r="AI77" s="192"/>
      <c r="AJ77" s="193"/>
      <c r="AK77" s="193"/>
      <c r="AL77" s="194"/>
      <c r="AM77" s="56"/>
      <c r="AN77" s="192"/>
      <c r="AO77" s="193"/>
      <c r="AP77" s="193"/>
      <c r="AQ77" s="194"/>
      <c r="AR77" s="56"/>
      <c r="AS77" s="192"/>
      <c r="AT77" s="193"/>
      <c r="AU77" s="193"/>
      <c r="AV77" s="194"/>
      <c r="AW77" s="56"/>
      <c r="AX77" s="192"/>
      <c r="AY77" s="193"/>
      <c r="AZ77" s="193"/>
      <c r="BA77" s="194"/>
      <c r="BB77" s="56"/>
      <c r="BC77" s="192"/>
      <c r="BD77" s="193"/>
      <c r="BE77" s="193"/>
      <c r="BF77" s="194"/>
      <c r="BG77" s="56"/>
      <c r="BH77" s="192"/>
      <c r="BI77" s="193"/>
      <c r="BJ77" s="193"/>
      <c r="BK77" s="194"/>
      <c r="BL77" s="56"/>
      <c r="BM77" s="192"/>
      <c r="BN77" s="193"/>
      <c r="BO77" s="193"/>
      <c r="BP77" s="194"/>
      <c r="BQ77" s="56"/>
      <c r="BR77" s="515"/>
      <c r="BS77" s="515"/>
      <c r="BT77" s="515"/>
      <c r="BU77" s="515"/>
      <c r="BV77" s="515"/>
      <c r="BW77" s="56"/>
      <c r="BX77" s="56"/>
      <c r="CF77" s="56"/>
      <c r="CG77" s="56"/>
      <c r="CH77" s="56"/>
      <c r="CI77" s="56"/>
      <c r="CJ77" s="56"/>
      <c r="CK77" s="56"/>
      <c r="CL77" s="56"/>
      <c r="CM77" s="56"/>
      <c r="CN77" s="56"/>
      <c r="CO77" s="56"/>
      <c r="CP77" s="56"/>
      <c r="CQ77" s="56"/>
      <c r="CR77" s="56"/>
      <c r="CS77" s="56"/>
      <c r="CT77" s="56"/>
      <c r="CU77" s="56"/>
    </row>
    <row r="78" spans="1:99">
      <c r="C78" s="100" t="s">
        <v>155</v>
      </c>
      <c r="E78" s="215"/>
      <c r="F78" s="216"/>
      <c r="G78" s="216"/>
      <c r="H78" s="217"/>
      <c r="I78" s="86"/>
      <c r="J78" s="215"/>
      <c r="K78" s="216"/>
      <c r="L78" s="216"/>
      <c r="M78" s="217"/>
      <c r="N78" s="86"/>
      <c r="O78" s="215"/>
      <c r="P78" s="216"/>
      <c r="Q78" s="216"/>
      <c r="R78" s="217"/>
      <c r="S78" s="86"/>
      <c r="T78" s="215"/>
      <c r="U78" s="216"/>
      <c r="V78" s="216"/>
      <c r="W78" s="217"/>
      <c r="X78" s="86">
        <f>+'Generation &amp; Marketing'!X44</f>
        <v>0.58546477246713535</v>
      </c>
      <c r="Y78" s="215">
        <f>+'Generation &amp; Marketing'!Y44</f>
        <v>0.1829980289919706</v>
      </c>
      <c r="Z78" s="216">
        <f>+'Generation &amp; Marketing'!Z44</f>
        <v>0.18485669749627934</v>
      </c>
      <c r="AA78" s="216">
        <f>+'Generation &amp; Marketing'!AA44</f>
        <v>0.22985726653882291</v>
      </c>
      <c r="AB78" s="217">
        <f>+'Generation &amp; Marketing'!AB44</f>
        <v>8.2135523613963035E-2</v>
      </c>
      <c r="AC78" s="86">
        <f>+'Generation &amp; Marketing'!AC44</f>
        <v>0.67961430331949335</v>
      </c>
      <c r="AD78" s="215">
        <f>+'Generation &amp; Marketing'!AD44</f>
        <v>0.33383089360261159</v>
      </c>
      <c r="AE78" s="216">
        <f>+'Generation &amp; Marketing'!AE44</f>
        <v>0.20059842727517002</v>
      </c>
      <c r="AF78" s="216">
        <f>+'Generation &amp; Marketing'!AF44</f>
        <v>0.23927816673216379</v>
      </c>
      <c r="AG78" s="217">
        <f>+'Generation &amp; Marketing'!AG44</f>
        <v>6.1349693251533742E-2</v>
      </c>
      <c r="AH78" s="86">
        <f>+'Generation &amp; Marketing'!AH44</f>
        <v>0.83452676114600488</v>
      </c>
      <c r="AI78" s="215">
        <f>+'Generation &amp; Marketing'!AI44</f>
        <v>0.37351762031409746</v>
      </c>
      <c r="AJ78" s="216">
        <f>+'Generation &amp; Marketing'!AJ44</f>
        <v>0.16514285009443216</v>
      </c>
      <c r="AK78" s="216">
        <f>+'Generation &amp; Marketing'!AK44</f>
        <v>0.18948642323155707</v>
      </c>
      <c r="AL78" s="217">
        <f>+'Generation &amp; Marketing'!AL44</f>
        <v>1.8329938900202507E-2</v>
      </c>
      <c r="AM78" s="86">
        <f>+'Generation &amp; Marketing'!AM44</f>
        <v>0.74606395005784198</v>
      </c>
      <c r="AN78" s="215">
        <f>+'Generation &amp; Marketing'!AN44</f>
        <v>0.1438944666990703</v>
      </c>
      <c r="AO78" s="216">
        <f>+'Generation &amp; Marketing'!AO44</f>
        <v>9.3564130278694924E-2</v>
      </c>
      <c r="AP78" s="216">
        <f>+'Generation &amp; Marketing'!AP44</f>
        <v>0.16469645717059123</v>
      </c>
      <c r="AQ78" s="217">
        <f>+'Generation &amp; Marketing'!AQ44</f>
        <v>9.6544715447154011E-2</v>
      </c>
      <c r="AR78" s="86">
        <f>+'Generation &amp; Marketing'!AR44</f>
        <v>0.49871659088760911</v>
      </c>
      <c r="AS78" s="215">
        <f>+'Generation &amp; Marketing'!AS44</f>
        <v>0.13881211683448011</v>
      </c>
      <c r="AT78" s="216">
        <f>+'Generation &amp; Marketing'!AT44</f>
        <v>4.4251191686622129E-2</v>
      </c>
      <c r="AU78" s="216">
        <f>+'Generation &amp; Marketing'!AU44</f>
        <v>6.5113370380082386E-2</v>
      </c>
      <c r="AV78" s="217">
        <f>+'Generation &amp; Marketing'!AV44</f>
        <v>4.9796747967479009E-2</v>
      </c>
      <c r="AW78" s="86">
        <f>+'Generation &amp; Marketing'!AW44</f>
        <v>0.2978008612218202</v>
      </c>
      <c r="AX78" s="215">
        <f>+'Generation &amp; Marketing'!AX44</f>
        <v>2.5233939661937058E-2</v>
      </c>
      <c r="AY78" s="216">
        <f>+'Generation &amp; Marketing'!AY44</f>
        <v>3.0239381435443573E-2</v>
      </c>
      <c r="AZ78" s="216">
        <f>+'Generation &amp; Marketing'!AZ44</f>
        <v>6.5883490620358545E-2</v>
      </c>
      <c r="BA78" s="217">
        <f>+'Generation &amp; Marketing'!BA44</f>
        <v>5.2132079525382805E-2</v>
      </c>
      <c r="BB78" s="86">
        <f>+'Generation &amp; Marketing'!BB44</f>
        <v>0.17353173919980422</v>
      </c>
      <c r="BC78" s="215">
        <f>+'Generation &amp; Marketing'!BC44</f>
        <v>4.8201015355167798E-2</v>
      </c>
      <c r="BD78" s="216">
        <f>+'Generation &amp; Marketing'!BD44</f>
        <v>1.6127971221924768E-2</v>
      </c>
      <c r="BE78" s="216">
        <f>+'Generation &amp; Marketing'!BE44</f>
        <v>3.6429877591511825E-2</v>
      </c>
      <c r="BF78" s="217">
        <f>+'Generation &amp; Marketing'!BF44</f>
        <v>3.9826841247766635E-2</v>
      </c>
      <c r="BG78" s="86">
        <f>+'Generation &amp; Marketing'!BG44</f>
        <v>0.14058393517965259</v>
      </c>
      <c r="BH78" s="215">
        <f>+'Generation &amp; Marketing'!BH44</f>
        <v>3.2252204998543706E-2</v>
      </c>
      <c r="BI78" s="216">
        <f>+'Generation &amp; Marketing'!BI44</f>
        <v>9.1634658574043116E-3</v>
      </c>
      <c r="BJ78" s="216">
        <f>+'Generation &amp; Marketing'!BJ44</f>
        <v>5.4961016231163971E-2</v>
      </c>
      <c r="BK78" s="217">
        <f>+'Generation &amp; Marketing'!BK44</f>
        <v>3.2104393952756369E-2</v>
      </c>
      <c r="BL78" s="86">
        <f>+'Generation &amp; Marketing'!BL44</f>
        <v>0.12856362869121579</v>
      </c>
      <c r="BM78" s="215">
        <f>+'Generation &amp; Marketing'!BM44</f>
        <v>3.7949525971197565E-2</v>
      </c>
      <c r="BN78" s="216">
        <f>+'Generation &amp; Marketing'!BN44</f>
        <v>4.2047634877135448E-2</v>
      </c>
      <c r="BO78" s="216">
        <f>+'Generation &amp; Marketing'!BO44</f>
        <v>5.6670432272883542E-2</v>
      </c>
      <c r="BP78" s="217">
        <f>+'Generation &amp; Marketing'!BP44</f>
        <v>4.7827775359210435E-2</v>
      </c>
      <c r="BQ78" s="86">
        <f>+'Generation &amp; Marketing'!BQ44</f>
        <v>0.18461012179312394</v>
      </c>
      <c r="BR78" s="86"/>
      <c r="BS78" s="557"/>
      <c r="BT78" s="491"/>
      <c r="BU78" s="491"/>
      <c r="BV78" s="491"/>
    </row>
    <row r="79" spans="1:99">
      <c r="C79" s="100" t="s">
        <v>156</v>
      </c>
      <c r="E79" s="215"/>
      <c r="F79" s="216"/>
      <c r="G79" s="216"/>
      <c r="H79" s="217"/>
      <c r="I79" s="86"/>
      <c r="J79" s="215"/>
      <c r="K79" s="216"/>
      <c r="L79" s="216"/>
      <c r="M79" s="217"/>
      <c r="N79" s="86"/>
      <c r="O79" s="215"/>
      <c r="P79" s="216"/>
      <c r="Q79" s="216"/>
      <c r="R79" s="217"/>
      <c r="S79" s="86"/>
      <c r="T79" s="215"/>
      <c r="U79" s="216"/>
      <c r="V79" s="216"/>
      <c r="W79" s="217"/>
      <c r="X79" s="86">
        <f>'Vertically Integrated Utilities'!X47</f>
        <v>1.7316563692689919</v>
      </c>
      <c r="Y79" s="215">
        <f>'Vertically Integrated Utilities'!Y47</f>
        <v>0.41739999871202282</v>
      </c>
      <c r="Z79" s="216">
        <f>'Vertically Integrated Utilities'!Z47</f>
        <v>0.31425638574367487</v>
      </c>
      <c r="AA79" s="216">
        <f>'Vertically Integrated Utilities'!AA47</f>
        <v>0.56027708718838087</v>
      </c>
      <c r="AB79" s="217">
        <f>'Vertically Integrated Utilities'!AB47</f>
        <v>0.25051334702258726</v>
      </c>
      <c r="AC79" s="86">
        <f>'Vertically Integrated Utilities'!AC47</f>
        <v>1.541964778830633</v>
      </c>
      <c r="AD79" s="215">
        <f>'Vertically Integrated Utilities'!AD47</f>
        <v>0.57140379947931674</v>
      </c>
      <c r="AE79" s="216">
        <f>'Vertically Integrated Utilities'!AE47</f>
        <v>0.31727302273113622</v>
      </c>
      <c r="AF79" s="216">
        <f>'Vertically Integrated Utilities'!AF47</f>
        <v>0.44787964542174247</v>
      </c>
      <c r="AG79" s="217">
        <f>'Vertically Integrated Utilities'!AG47</f>
        <v>0.11247443762781185</v>
      </c>
      <c r="AH79" s="86">
        <f>'Vertically Integrated Utilities'!AH47</f>
        <v>1.4481493796357143</v>
      </c>
      <c r="AI79" s="215">
        <f>'Vertically Integrated Utilities'!AI47</f>
        <v>0.61028288783560181</v>
      </c>
      <c r="AJ79" s="216">
        <f>'Vertically Integrated Utilities'!AJ47</f>
        <v>0.42203172801910438</v>
      </c>
      <c r="AK79" s="216">
        <f>'Vertically Integrated Utilities'!AK47</f>
        <v>0.55827182758544769</v>
      </c>
      <c r="AL79" s="217">
        <f>'Vertically Integrated Utilities'!AL47</f>
        <v>0.23727087576374875</v>
      </c>
      <c r="AM79" s="86">
        <f>'Vertically Integrated Utilities'!AM47</f>
        <v>1.8274489924231061</v>
      </c>
      <c r="AN79" s="215">
        <f>'Vertically Integrated Utilities'!AN47</f>
        <v>0.56499439824132813</v>
      </c>
      <c r="AO79" s="216">
        <f>'Vertically Integrated Utilities'!AO47</f>
        <v>0.42592019305127671</v>
      </c>
      <c r="AP79" s="216">
        <f>'Vertically Integrated Utilities'!AP47</f>
        <v>0.7098213975092994</v>
      </c>
      <c r="AQ79" s="217">
        <f>'Vertically Integrated Utilities'!AQ47</f>
        <v>0.3060975609756087</v>
      </c>
      <c r="AR79" s="86">
        <f>'Vertically Integrated Utilities'!AR47</f>
        <v>2.0068664772789719</v>
      </c>
      <c r="AS79" s="215">
        <f>'Vertically Integrated Utilities'!AS47</f>
        <v>0.44610921881652127</v>
      </c>
      <c r="AT79" s="216">
        <f>'Vertically Integrated Utilities'!AT47</f>
        <v>0.2452084383368778</v>
      </c>
      <c r="AU79" s="216">
        <f>'Vertically Integrated Utilities'!AU47</f>
        <v>0.5807463532653443</v>
      </c>
      <c r="AV79" s="217">
        <f>'Vertically Integrated Utilities'!AV47</f>
        <v>0.36463414634146429</v>
      </c>
      <c r="AW79" s="86">
        <f>'Vertically Integrated Utilities'!AW47</f>
        <v>1.6361792375241138</v>
      </c>
      <c r="AX79" s="215">
        <f>'Vertically Integrated Utilities'!AX47</f>
        <v>0.53019343517353346</v>
      </c>
      <c r="AY79" s="216">
        <f>'Vertically Integrated Utilities'!AY47</f>
        <v>0.27746834956023875</v>
      </c>
      <c r="AZ79" s="216">
        <f>'Vertically Integrated Utilities'!AZ47</f>
        <v>0.65396031048029168</v>
      </c>
      <c r="BA79" s="217">
        <f>'Vertically Integrated Utilities'!BA47</f>
        <v>0.36579558147355579</v>
      </c>
      <c r="BB79" s="86">
        <f>'Vertically Integrated Utilities'!BB47</f>
        <v>1.8273746950102516</v>
      </c>
      <c r="BC79" s="215">
        <f>'Vertically Integrated Utilities'!BC47</f>
        <v>0.66366788413538025</v>
      </c>
      <c r="BD79" s="216">
        <f>'Vertically Integrated Utilities'!BD47</f>
        <v>0.35266644000091207</v>
      </c>
      <c r="BE79" s="216">
        <f>'Vertically Integrated Utilities'!BE47</f>
        <v>0.69573749198073465</v>
      </c>
      <c r="BF79" s="217">
        <f>'Vertically Integrated Utilities'!BF47</f>
        <v>0.40950287499902643</v>
      </c>
      <c r="BG79" s="86">
        <f>'Vertically Integrated Utilities'!BG47</f>
        <v>2.1214206693626396</v>
      </c>
      <c r="BH79" s="215">
        <f>'Vertically Integrated Utilities'!BH47</f>
        <v>0.68665436212340847</v>
      </c>
      <c r="BI79" s="216">
        <f>'Vertically Integrated Utilities'!BI47</f>
        <v>0.3684592284501535</v>
      </c>
      <c r="BJ79" s="216">
        <f>'Vertically Integrated Utilities'!BJ47</f>
        <v>0.76071212876356098</v>
      </c>
      <c r="BK79" s="217">
        <f>'Vertically Integrated Utilities'!BK47</f>
        <v>0.4599972384502003</v>
      </c>
      <c r="BL79" s="86">
        <f>'Vertically Integrated Utilities'!BL47</f>
        <v>2.2752992901369926</v>
      </c>
      <c r="BM79" s="215">
        <f>'Vertically Integrated Utilities'!BM47</f>
        <v>0.79157900782511081</v>
      </c>
      <c r="BN79" s="216">
        <f>'Vertically Integrated Utilities'!BN47</f>
        <v>0.44897554933794009</v>
      </c>
      <c r="BO79" s="216">
        <f>'Vertically Integrated Utilities'!BO47</f>
        <v>0.79414392359656483</v>
      </c>
      <c r="BP79" s="217">
        <f>'Vertically Integrated Utilities'!BP47</f>
        <v>0.50375915705968066</v>
      </c>
      <c r="BQ79" s="86">
        <f>'Vertically Integrated Utilities'!BQ47</f>
        <v>2.537113784949256</v>
      </c>
      <c r="BR79" s="86"/>
      <c r="BS79" s="557"/>
      <c r="BT79" s="491"/>
      <c r="BU79" s="491"/>
      <c r="BV79" s="491"/>
    </row>
    <row r="80" spans="1:99">
      <c r="C80" s="100" t="s">
        <v>157</v>
      </c>
      <c r="E80" s="215"/>
      <c r="F80" s="216"/>
      <c r="G80" s="216"/>
      <c r="H80" s="217"/>
      <c r="I80" s="86"/>
      <c r="J80" s="215"/>
      <c r="K80" s="216"/>
      <c r="L80" s="216"/>
      <c r="M80" s="217"/>
      <c r="N80" s="86"/>
      <c r="O80" s="215"/>
      <c r="P80" s="216"/>
      <c r="Q80" s="216"/>
      <c r="R80" s="217"/>
      <c r="S80" s="86"/>
      <c r="T80" s="215"/>
      <c r="U80" s="216"/>
      <c r="V80" s="216"/>
      <c r="W80" s="217"/>
      <c r="X80" s="86">
        <f>'T&amp;D Utilities'!X44</f>
        <v>0.8019218186257594</v>
      </c>
      <c r="Y80" s="215">
        <f>'T&amp;D Utilities'!Y44</f>
        <v>0.1768295561046008</v>
      </c>
      <c r="Z80" s="216">
        <f>'T&amp;D Utilities'!Z44</f>
        <v>0.15404724791356611</v>
      </c>
      <c r="AA80" s="216">
        <f>'T&amp;D Utilities'!AA44</f>
        <v>0.24422334569749934</v>
      </c>
      <c r="AB80" s="217">
        <f>'T&amp;D Utilities'!AB44</f>
        <v>0.16016427104722791</v>
      </c>
      <c r="AC80" s="86">
        <f>'T&amp;D Utilities'!AC44</f>
        <v>0.73505111960235225</v>
      </c>
      <c r="AD80" s="215">
        <f>'T&amp;D Utilities'!AD44</f>
        <v>0.19866010232793452</v>
      </c>
      <c r="AE80" s="216">
        <f>'T&amp;D Utilities'!AE44</f>
        <v>0.18422304545678878</v>
      </c>
      <c r="AF80" s="216">
        <f>'T&amp;D Utilities'!AF44</f>
        <v>0.18815035332785529</v>
      </c>
      <c r="AG80" s="217">
        <f>'T&amp;D Utilities'!AG44</f>
        <v>0.14969325153374394</v>
      </c>
      <c r="AH80" s="86">
        <f>'T&amp;D Utilities'!AH44</f>
        <v>0.7203929541069205</v>
      </c>
      <c r="AI80" s="215">
        <f>'T&amp;D Utilities'!AI44</f>
        <v>0.19798474956539591</v>
      </c>
      <c r="AJ80" s="216">
        <f>'T&amp;D Utilities'!AJ44</f>
        <v>0.15902644823908282</v>
      </c>
      <c r="AK80" s="216">
        <f>'T&amp;D Utilities'!AK44</f>
        <v>0.23023619166845108</v>
      </c>
      <c r="AL80" s="217">
        <f>'T&amp;D Utilities'!AL44</f>
        <v>0.13116089613034643</v>
      </c>
      <c r="AM80" s="86">
        <f>'T&amp;D Utilities'!AM44</f>
        <v>0.71834135519230602</v>
      </c>
      <c r="AN80" s="215">
        <f>'T&amp;D Utilities'!AN44</f>
        <v>0.21981050075671282</v>
      </c>
      <c r="AO80" s="216">
        <f>'T&amp;D Utilities'!AO44</f>
        <v>0.25343675288533457</v>
      </c>
      <c r="AP80" s="216">
        <f>'T&amp;D Utilities'!AP44</f>
        <v>0.31617653197564016</v>
      </c>
      <c r="AQ80" s="217">
        <f>'T&amp;D Utilities'!AQ44</f>
        <v>0.19105691056910523</v>
      </c>
      <c r="AR80" s="86">
        <f>'T&amp;D Utilities'!AR44</f>
        <v>0.98055166585202413</v>
      </c>
      <c r="AS80" s="215">
        <f>'T&amp;D Utilities'!AS44</f>
        <v>0.24205743945807617</v>
      </c>
      <c r="AT80" s="216">
        <f>'T&amp;D Utilities'!AT44</f>
        <v>0.22572167502533785</v>
      </c>
      <c r="AU80" s="216">
        <f>'T&amp;D Utilities'!AU44</f>
        <v>0.29209736245270596</v>
      </c>
      <c r="AV80" s="217">
        <f>'T&amp;D Utilities'!AV44</f>
        <v>0.25182926829268193</v>
      </c>
      <c r="AW80" s="86">
        <f>'T&amp;D Utilities'!AW44</f>
        <v>1.0113455287028694</v>
      </c>
      <c r="AX80" s="215">
        <f>'T&amp;D Utilities'!AX44</f>
        <v>0.27769314922286692</v>
      </c>
      <c r="AY80" s="216">
        <f>'T&amp;D Utilities'!AY44</f>
        <v>0.26852064335326881</v>
      </c>
      <c r="AZ80" s="216">
        <f>'T&amp;D Utilities'!AZ44</f>
        <v>0.37363228568854384</v>
      </c>
      <c r="BA80" s="217">
        <f>'T&amp;D Utilities'!BA44</f>
        <v>0.24267545140312499</v>
      </c>
      <c r="BB80" s="86">
        <f>'T&amp;D Utilities'!BB44</f>
        <v>1.1625215512315956</v>
      </c>
      <c r="BC80" s="215">
        <f>'T&amp;D Utilities'!BC44</f>
        <v>0.30136764521746856</v>
      </c>
      <c r="BD80" s="216">
        <f>'T&amp;D Utilities'!BD44</f>
        <v>0.28512833599184861</v>
      </c>
      <c r="BE80" s="216">
        <f>'T&amp;D Utilities'!BE44</f>
        <v>0.38389554142824273</v>
      </c>
      <c r="BF80" s="217">
        <f>'T&amp;D Utilities'!BF44</f>
        <v>0.25934433201562834</v>
      </c>
      <c r="BG80" s="86">
        <f>'T&amp;D Utilities'!BG44</f>
        <v>1.2297258284857873</v>
      </c>
      <c r="BH80" s="215">
        <f>'T&amp;D Utilities'!BH44</f>
        <v>0.32119992601371999</v>
      </c>
      <c r="BI80" s="216">
        <f>'T&amp;D Utilities'!BI44</f>
        <v>0.30749086752941535</v>
      </c>
      <c r="BJ80" s="216">
        <f>'T&amp;D Utilities'!BJ44</f>
        <v>0.41823072502975728</v>
      </c>
      <c r="BK80" s="217">
        <f>'T&amp;D Utilities'!BK44</f>
        <v>0.28659503094674521</v>
      </c>
      <c r="BL80" s="86">
        <f>'T&amp;D Utilities'!BL44</f>
        <v>1.3335291538154179</v>
      </c>
      <c r="BM80" s="215">
        <f>'T&amp;D Utilities'!BM44</f>
        <v>0.33913170591453257</v>
      </c>
      <c r="BN80" s="216">
        <f>'T&amp;D Utilities'!BN44</f>
        <v>0.33169969115418846</v>
      </c>
      <c r="BO80" s="216">
        <f>'T&amp;D Utilities'!BO44</f>
        <v>0.43468635849284354</v>
      </c>
      <c r="BP80" s="217">
        <f>'T&amp;D Utilities'!BP44</f>
        <v>0.31123077532909538</v>
      </c>
      <c r="BQ80" s="86">
        <f>'T&amp;D Utilities'!BQ44</f>
        <v>1.4167985311465874</v>
      </c>
      <c r="BR80" s="86"/>
      <c r="BS80" s="557"/>
      <c r="BT80" s="491"/>
      <c r="BU80" s="491"/>
      <c r="BV80" s="491"/>
    </row>
    <row r="81" spans="1:99">
      <c r="C81" s="100" t="s">
        <v>158</v>
      </c>
      <c r="E81" s="215"/>
      <c r="F81" s="216"/>
      <c r="G81" s="216"/>
      <c r="H81" s="217"/>
      <c r="I81" s="86"/>
      <c r="J81" s="215"/>
      <c r="K81" s="216"/>
      <c r="L81" s="216"/>
      <c r="M81" s="217"/>
      <c r="N81" s="86"/>
      <c r="O81" s="215"/>
      <c r="P81" s="216"/>
      <c r="Q81" s="216"/>
      <c r="R81" s="217"/>
      <c r="S81" s="86"/>
      <c r="T81" s="215"/>
      <c r="U81" s="216"/>
      <c r="V81" s="216"/>
      <c r="W81" s="217"/>
      <c r="X81" s="86">
        <f>+'Transmission Holdco'!X38</f>
        <v>8.8644314141150773E-2</v>
      </c>
      <c r="Y81" s="215">
        <f>+'Transmission Holdco'!Y38</f>
        <v>2.4673891549479184E-2</v>
      </c>
      <c r="Z81" s="216">
        <f>+'Transmission Holdco'!Z38</f>
        <v>3.9025302804770082E-2</v>
      </c>
      <c r="AA81" s="216">
        <f>+'Transmission Holdco'!AA38</f>
        <v>4.515053449869736E-2</v>
      </c>
      <c r="AB81" s="217">
        <f>+'Transmission Holdco'!AB38</f>
        <v>5.5441478439425054E-2</v>
      </c>
      <c r="AC81" s="86">
        <f>+'Transmission Holdco'!AC38</f>
        <v>0.16425723343069326</v>
      </c>
      <c r="AD81" s="215">
        <f>+'Transmission Holdco'!AD38</f>
        <v>4.915301500897349E-2</v>
      </c>
      <c r="AE81" s="216">
        <f>+'Transmission Holdco'!AE38</f>
        <v>9.6205368182989706E-2</v>
      </c>
      <c r="AF81" s="216">
        <f>+'Transmission Holdco'!AF38</f>
        <v>8.7939839055410626E-2</v>
      </c>
      <c r="AG81" s="217">
        <f>+'Transmission Holdco'!AG38</f>
        <v>7.5664621676891614E-2</v>
      </c>
      <c r="AH81" s="86">
        <f>+'Transmission Holdco'!AH38</f>
        <v>0.30885671797315378</v>
      </c>
      <c r="AI81" s="215">
        <f>+'Transmission Holdco'!AI38</f>
        <v>7.3478876127363438E-2</v>
      </c>
      <c r="AJ81" s="216">
        <f>+'Transmission Holdco'!AJ38</f>
        <v>0.13252204019923569</v>
      </c>
      <c r="AK81" s="216">
        <f>+'Transmission Holdco'!AK38</f>
        <v>9.3724467404856196E-2</v>
      </c>
      <c r="AL81" s="217">
        <f>+'Transmission Holdco'!AL38</f>
        <v>9.0020366598777976E-2</v>
      </c>
      <c r="AM81" s="86">
        <f>+'Transmission Holdco'!AM38</f>
        <v>0.38974706899196615</v>
      </c>
      <c r="AN81" s="215">
        <f>+'Transmission Holdco'!AN38</f>
        <v>8.934889799277497E-2</v>
      </c>
      <c r="AO81" s="216">
        <f>+'Transmission Holdco'!AO38</f>
        <v>0.1924166679209684</v>
      </c>
      <c r="AP81" s="216">
        <f>+'Transmission Holdco'!AP38</f>
        <v>0.14029698203420693</v>
      </c>
      <c r="AQ81" s="217">
        <f>+'Transmission Holdco'!AQ38</f>
        <v>0.11951219512195126</v>
      </c>
      <c r="AR81" s="86">
        <f>+'Transmission Holdco'!AR38</f>
        <v>0.54163225184898212</v>
      </c>
      <c r="AS81" s="215">
        <f>+'Transmission Holdco'!AS38</f>
        <v>0.14592547567665698</v>
      </c>
      <c r="AT81" s="216">
        <f>+'Transmission Holdco'!AT38</f>
        <v>0.26063545929184695</v>
      </c>
      <c r="AU81" s="216">
        <f>+'Transmission Holdco'!AU38</f>
        <v>0.1531482698970785</v>
      </c>
      <c r="AV81" s="217">
        <f>+'Transmission Holdco'!AV38</f>
        <v>0.15955284552845531</v>
      </c>
      <c r="AW81" s="86">
        <f>+'Transmission Holdco'!AW38</f>
        <v>0.71902566492684994</v>
      </c>
      <c r="AX81" s="215">
        <f>+'Transmission Holdco'!AX38</f>
        <v>0.15029969422989811</v>
      </c>
      <c r="AY81" s="216">
        <f>+'Transmission Holdco'!AY38</f>
        <v>0.26858300950673036</v>
      </c>
      <c r="AZ81" s="216">
        <f>+'Transmission Holdco'!AZ38</f>
        <v>0.15781219441954475</v>
      </c>
      <c r="BA81" s="217">
        <f>+'Transmission Holdco'!BA38</f>
        <v>0.16396214624724254</v>
      </c>
      <c r="BB81" s="86">
        <f>+'Transmission Holdco'!BB38</f>
        <v>0.74063134286961285</v>
      </c>
      <c r="BC81" s="215">
        <f>+'Transmission Holdco'!BC38</f>
        <v>0.16838581172359435</v>
      </c>
      <c r="BD81" s="216">
        <f>+'Transmission Holdco'!BD38</f>
        <v>0.30090324743924318</v>
      </c>
      <c r="BE81" s="216">
        <f>+'Transmission Holdco'!BE38</f>
        <v>0.17680308457850219</v>
      </c>
      <c r="BF81" s="217">
        <f>+'Transmission Holdco'!BF38</f>
        <v>0.18369350959913974</v>
      </c>
      <c r="BG81" s="86">
        <f>+'Transmission Holdco'!BG38</f>
        <v>0.82975694499287511</v>
      </c>
      <c r="BH81" s="215">
        <f>+'Transmission Holdco'!BH38</f>
        <v>0.19575239661219571</v>
      </c>
      <c r="BI81" s="216">
        <f>+'Transmission Holdco'!BI38</f>
        <v>0.34878756858698934</v>
      </c>
      <c r="BJ81" s="216">
        <f>+'Transmission Holdco'!BJ38</f>
        <v>0.20434406629169924</v>
      </c>
      <c r="BK81" s="217">
        <f>+'Transmission Holdco'!BK38</f>
        <v>0.21169450059537129</v>
      </c>
      <c r="BL81" s="86">
        <f>+'Transmission Holdco'!BL38</f>
        <v>0.96040268207243573</v>
      </c>
      <c r="BM81" s="215">
        <f>+'Transmission Holdco'!BM38</f>
        <v>0.2085471146570097</v>
      </c>
      <c r="BN81" s="216">
        <f>+'Transmission Holdco'!BN38</f>
        <v>0.37100596877818548</v>
      </c>
      <c r="BO81" s="216">
        <f>+'Transmission Holdco'!BO38</f>
        <v>0.21702546525808786</v>
      </c>
      <c r="BP81" s="217">
        <f>+'Transmission Holdco'!BP38</f>
        <v>0.22448787613033916</v>
      </c>
      <c r="BQ81" s="86">
        <f>+'Transmission Holdco'!BQ38</f>
        <v>1.0207911721597507</v>
      </c>
      <c r="BR81" s="86"/>
      <c r="BS81" s="557"/>
      <c r="BT81" s="491"/>
      <c r="BU81" s="491"/>
      <c r="BV81" s="491"/>
    </row>
    <row r="82" spans="1:99">
      <c r="C82" s="100" t="s">
        <v>652</v>
      </c>
      <c r="E82" s="215"/>
      <c r="F82" s="216"/>
      <c r="G82" s="216"/>
      <c r="H82" s="217"/>
      <c r="I82" s="86"/>
      <c r="J82" s="215"/>
      <c r="K82" s="216"/>
      <c r="L82" s="216"/>
      <c r="M82" s="217"/>
      <c r="N82" s="86"/>
      <c r="O82" s="215"/>
      <c r="P82" s="216"/>
      <c r="Q82" s="216"/>
      <c r="R82" s="217"/>
      <c r="S82" s="86"/>
      <c r="T82" s="215"/>
      <c r="U82" s="216"/>
      <c r="V82" s="216"/>
      <c r="W82" s="217"/>
      <c r="X82" s="86">
        <f>'AEP River'!X38</f>
        <v>3.0922435165517712E-2</v>
      </c>
      <c r="Y82" s="215">
        <f>'AEP River'!Y38</f>
        <v>-4.1123152582465301E-3</v>
      </c>
      <c r="Z82" s="216">
        <f>'AEP River'!Z38</f>
        <v>-1.8485669749627932E-2</v>
      </c>
      <c r="AA82" s="216">
        <f>'AEP River'!AA38</f>
        <v>-2.0522970226680617E-3</v>
      </c>
      <c r="AB82" s="217">
        <f>'AEP River'!AB38</f>
        <v>4.9281314168377825E-2</v>
      </c>
      <c r="AC82" s="86">
        <f>'AEP River'!AC38</f>
        <v>2.4638585014603989E-2</v>
      </c>
      <c r="AD82" s="215">
        <f>'AEP River'!AD38</f>
        <v>6.1441268761216862E-3</v>
      </c>
      <c r="AE82" s="216">
        <f>'AEP River'!AE38</f>
        <v>6.1407681818929595E-3</v>
      </c>
      <c r="AF82" s="216">
        <f>'AEP River'!AF38</f>
        <v>2.2496237897895739E-2</v>
      </c>
      <c r="AG82" s="217">
        <f>'AEP River'!AG38</f>
        <v>6.5439672801635998E-2</v>
      </c>
      <c r="AH82" s="86">
        <f>'AEP River'!AH38</f>
        <v>0.10022502768665255</v>
      </c>
      <c r="AI82" s="215">
        <f>'AEP River'!AI38</f>
        <v>2.245187881669438E-2</v>
      </c>
      <c r="AJ82" s="216">
        <f>'AEP River'!AJ38</f>
        <v>2.0388006184497796E-3</v>
      </c>
      <c r="AK82" s="216">
        <f>'AEP River'!AK38</f>
        <v>8.1499536873787994E-3</v>
      </c>
      <c r="AL82" s="217">
        <f>'AEP River'!AL38</f>
        <v>2.5661914460285134E-2</v>
      </c>
      <c r="AM82" s="86">
        <f>'AEP River'!AM38</f>
        <v>5.8298986261350591E-2</v>
      </c>
      <c r="AN82" s="215">
        <f>'AEP River'!AN38</f>
        <v>0</v>
      </c>
      <c r="AO82" s="216">
        <f>'AEP River'!AO38</f>
        <v>0</v>
      </c>
      <c r="AP82" s="216">
        <f>'AEP River'!AP38</f>
        <v>0</v>
      </c>
      <c r="AQ82" s="217">
        <f>'AEP River'!AQ38</f>
        <v>0</v>
      </c>
      <c r="AR82" s="86">
        <f>'AEP River'!AR38</f>
        <v>0</v>
      </c>
      <c r="AS82" s="215">
        <f>'AEP River'!AS38</f>
        <v>0</v>
      </c>
      <c r="AT82" s="216">
        <f>'AEP River'!AT38</f>
        <v>0</v>
      </c>
      <c r="AU82" s="216">
        <f>'AEP River'!AU38</f>
        <v>0</v>
      </c>
      <c r="AV82" s="217">
        <f>'AEP River'!AV38</f>
        <v>0</v>
      </c>
      <c r="AW82" s="86">
        <f>'AEP River'!AW38</f>
        <v>0</v>
      </c>
      <c r="AX82" s="215">
        <f>'AEP River'!AX38</f>
        <v>0</v>
      </c>
      <c r="AY82" s="216">
        <f>'AEP River'!AY38</f>
        <v>0</v>
      </c>
      <c r="AZ82" s="216">
        <f>'AEP River'!AZ38</f>
        <v>0</v>
      </c>
      <c r="BA82" s="217">
        <f>'AEP River'!BA38</f>
        <v>0</v>
      </c>
      <c r="BB82" s="86">
        <f>'AEP River'!BB38</f>
        <v>0</v>
      </c>
      <c r="BC82" s="215">
        <f>'AEP River'!BC38</f>
        <v>0</v>
      </c>
      <c r="BD82" s="216">
        <f>'AEP River'!BD38</f>
        <v>0</v>
      </c>
      <c r="BE82" s="216">
        <f>'AEP River'!BE38</f>
        <v>0</v>
      </c>
      <c r="BF82" s="217">
        <f>'AEP River'!BF38</f>
        <v>0</v>
      </c>
      <c r="BG82" s="86">
        <f>'AEP River'!BG38</f>
        <v>0</v>
      </c>
      <c r="BH82" s="215">
        <f>'AEP River'!BH38</f>
        <v>0</v>
      </c>
      <c r="BI82" s="216">
        <f>'AEP River'!BI38</f>
        <v>0</v>
      </c>
      <c r="BJ82" s="216">
        <f>'AEP River'!BJ38</f>
        <v>0</v>
      </c>
      <c r="BK82" s="217">
        <f>'AEP River'!BK38</f>
        <v>0</v>
      </c>
      <c r="BL82" s="86">
        <f>'AEP River'!BL38</f>
        <v>0</v>
      </c>
      <c r="BM82" s="215">
        <f>'AEP River'!BM38</f>
        <v>0</v>
      </c>
      <c r="BN82" s="216">
        <f>'AEP River'!BN38</f>
        <v>0</v>
      </c>
      <c r="BO82" s="216">
        <f>'AEP River'!BO38</f>
        <v>0</v>
      </c>
      <c r="BP82" s="217">
        <f>'AEP River'!BP38</f>
        <v>0</v>
      </c>
      <c r="BQ82" s="86">
        <f>'AEP River'!BQ38</f>
        <v>0</v>
      </c>
      <c r="BR82" s="86"/>
      <c r="BS82" s="557"/>
      <c r="BT82" s="491"/>
      <c r="BU82" s="491"/>
      <c r="BV82" s="491"/>
    </row>
    <row r="83" spans="1:99">
      <c r="C83" s="100" t="s">
        <v>159</v>
      </c>
      <c r="E83" s="215"/>
      <c r="F83" s="216"/>
      <c r="G83" s="216"/>
      <c r="H83" s="217"/>
      <c r="I83" s="86"/>
      <c r="J83" s="215"/>
      <c r="K83" s="216"/>
      <c r="L83" s="216"/>
      <c r="M83" s="217"/>
      <c r="N83" s="86"/>
      <c r="O83" s="215"/>
      <c r="P83" s="216"/>
      <c r="Q83" s="216"/>
      <c r="R83" s="217"/>
      <c r="S83" s="86"/>
      <c r="T83" s="215"/>
      <c r="U83" s="216"/>
      <c r="V83" s="216"/>
      <c r="W83" s="217"/>
      <c r="X83" s="86">
        <f>Parent!X45</f>
        <v>-0.1525506801498874</v>
      </c>
      <c r="Y83" s="215">
        <f>Parent!Y45</f>
        <v>-2.0561576291232651E-3</v>
      </c>
      <c r="Z83" s="216">
        <f>Parent!Z45</f>
        <v>5.9564935859912231E-2</v>
      </c>
      <c r="AA83" s="216">
        <f>Parent!AA45</f>
        <v>1.6418376181344493E-2</v>
      </c>
      <c r="AB83" s="217">
        <f>Parent!AB45</f>
        <v>1.0266940451745379E-2</v>
      </c>
      <c r="AC83" s="86">
        <f>Parent!AC45</f>
        <v>8.4181832133230286E-2</v>
      </c>
      <c r="AD83" s="215">
        <f>Parent!AD45</f>
        <v>-1.2288253752243372E-2</v>
      </c>
      <c r="AE83" s="216">
        <f>Parent!AE45</f>
        <v>-6.1407681818929595E-3</v>
      </c>
      <c r="AF83" s="216">
        <f>Parent!AF45</f>
        <v>2.2496237897895739E-2</v>
      </c>
      <c r="AG83" s="217">
        <f>Parent!AG45</f>
        <v>9.8159509202443533E-3</v>
      </c>
      <c r="AH83" s="86">
        <f>Parent!AH45</f>
        <v>1.3908779352432073E-2</v>
      </c>
      <c r="AI83" s="215">
        <f>Parent!AI45</f>
        <v>-2.0410798924267765E-3</v>
      </c>
      <c r="AJ83" s="216">
        <f>Parent!AJ45</f>
        <v>-6.116401855349245E-3</v>
      </c>
      <c r="AK83" s="216">
        <f>Parent!AK45</f>
        <v>-1.8337395796602284E-2</v>
      </c>
      <c r="AL83" s="217">
        <f>Parent!AL45</f>
        <v>-2.7698574338084314E-2</v>
      </c>
      <c r="AM83" s="86">
        <f>Parent!AM45</f>
        <v>-5.4222134075242782E-2</v>
      </c>
      <c r="AN83" s="215">
        <f>Parent!AN45</f>
        <v>2.0352824144147042E-3</v>
      </c>
      <c r="AO83" s="216">
        <f>Parent!AO45</f>
        <v>-1.8102625206094375E-2</v>
      </c>
      <c r="AP83" s="216">
        <f>Parent!AP45</f>
        <v>-3.0296014961011621E-2</v>
      </c>
      <c r="AQ83" s="217">
        <f>Parent!AQ45</f>
        <v>-4.1666666666665818E-2</v>
      </c>
      <c r="AR83" s="86">
        <f>Parent!AR45</f>
        <v>-8.8068631261961752E-2</v>
      </c>
      <c r="AS83" s="215">
        <f>Parent!AS45</f>
        <v>-8.942508258736926E-3</v>
      </c>
      <c r="AT83" s="216">
        <f>Parent!AT45</f>
        <v>-2.3952479903767764E-2</v>
      </c>
      <c r="AU83" s="216">
        <f>Parent!AU45</f>
        <v>1.0547960310792038E-2</v>
      </c>
      <c r="AV83" s="217">
        <f>Parent!AV45</f>
        <v>2.8048780487801492E-2</v>
      </c>
      <c r="AW83" s="86">
        <f>Parent!AW45</f>
        <v>5.6839973511964223E-3</v>
      </c>
      <c r="AX83" s="215">
        <f>Parent!AX45</f>
        <v>-1.1053482552800475E-2</v>
      </c>
      <c r="AY83" s="216">
        <f>Parent!AY45</f>
        <v>-4.582128648745723E-2</v>
      </c>
      <c r="AZ83" s="216">
        <f>Parent!AZ45</f>
        <v>-3.0276175355458412E-2</v>
      </c>
      <c r="BA83" s="217">
        <f>Parent!BA45</f>
        <v>3.405098505344864E-2</v>
      </c>
      <c r="BB83" s="86">
        <f>Parent!BB45</f>
        <v>-5.304439753364721E-2</v>
      </c>
      <c r="BC83" s="215">
        <f>Parent!BC45</f>
        <v>-4.2202375193428524E-2</v>
      </c>
      <c r="BD83" s="216">
        <f>Parent!BD45</f>
        <v>-5.0080533813756038E-2</v>
      </c>
      <c r="BE83" s="216">
        <f>Parent!BE45</f>
        <v>-8.0093429804612898E-2</v>
      </c>
      <c r="BF83" s="217">
        <f>Parent!BF45</f>
        <v>-1.2234552558382122E-3</v>
      </c>
      <c r="BG83" s="86">
        <f>Parent!BG45</f>
        <v>-0.17356567037114179</v>
      </c>
      <c r="BH83" s="215">
        <f>Parent!BH45</f>
        <v>-8.0498302976937566E-2</v>
      </c>
      <c r="BI83" s="216">
        <f>Parent!BI45</f>
        <v>-8.6628805333933107E-2</v>
      </c>
      <c r="BJ83" s="216">
        <f>Parent!BJ45</f>
        <v>-9.3917134158137253E-2</v>
      </c>
      <c r="BK83" s="217">
        <f>Parent!BK45</f>
        <v>-1.4638771260935258E-2</v>
      </c>
      <c r="BL83" s="86">
        <f>Parent!BL45</f>
        <v>-0.27533667219544938</v>
      </c>
      <c r="BM83" s="215">
        <f>Parent!BM45</f>
        <v>-8.8951044647745656E-2</v>
      </c>
      <c r="BN83" s="216">
        <f>Parent!BN45</f>
        <v>-9.7054633097314769E-2</v>
      </c>
      <c r="BO83" s="216">
        <f>Parent!BO45</f>
        <v>-9.355481304602517E-2</v>
      </c>
      <c r="BP83" s="217">
        <f>Parent!BP45</f>
        <v>-9.6357691416946254E-3</v>
      </c>
      <c r="BQ83" s="86">
        <f>Parent!BQ45</f>
        <v>-0.28857022684780737</v>
      </c>
      <c r="BR83" s="86"/>
      <c r="BS83" s="557"/>
      <c r="BT83" s="491"/>
      <c r="BU83" s="491"/>
      <c r="BV83" s="491"/>
    </row>
    <row r="84" spans="1:99">
      <c r="A84" s="56"/>
      <c r="B84" s="56"/>
      <c r="C84" s="751" t="s">
        <v>31</v>
      </c>
      <c r="D84" s="56"/>
      <c r="E84" s="218"/>
      <c r="F84" s="219"/>
      <c r="G84" s="219"/>
      <c r="H84" s="220"/>
      <c r="I84" s="221"/>
      <c r="J84" s="218"/>
      <c r="K84" s="219"/>
      <c r="L84" s="219"/>
      <c r="M84" s="220"/>
      <c r="N84" s="221"/>
      <c r="O84" s="218"/>
      <c r="P84" s="219"/>
      <c r="Q84" s="219"/>
      <c r="R84" s="220"/>
      <c r="S84" s="221"/>
      <c r="T84" s="218"/>
      <c r="U84" s="219"/>
      <c r="V84" s="219"/>
      <c r="W84" s="220"/>
      <c r="X84" s="221">
        <f t="shared" ref="X84:AF84" si="91">SUM(X78:X83)</f>
        <v>3.0860590295186676</v>
      </c>
      <c r="Y84" s="218">
        <f t="shared" si="91"/>
        <v>0.79573300247070367</v>
      </c>
      <c r="Z84" s="219">
        <f t="shared" si="91"/>
        <v>0.7332649000685747</v>
      </c>
      <c r="AA84" s="219">
        <f t="shared" si="91"/>
        <v>1.0938743130820769</v>
      </c>
      <c r="AB84" s="220">
        <f t="shared" si="91"/>
        <v>0.60780287474332639</v>
      </c>
      <c r="AC84" s="221">
        <f t="shared" si="91"/>
        <v>3.2297078523310061</v>
      </c>
      <c r="AD84" s="218">
        <f t="shared" si="91"/>
        <v>1.1469036835427147</v>
      </c>
      <c r="AE84" s="219">
        <f t="shared" si="91"/>
        <v>0.79829986364608474</v>
      </c>
      <c r="AF84" s="219">
        <f t="shared" si="91"/>
        <v>1.0082404803329637</v>
      </c>
      <c r="AG84" s="220">
        <f t="shared" ref="AG84:AM84" si="92">SUM(AG78:AG83)</f>
        <v>0.4744376278118615</v>
      </c>
      <c r="AH84" s="221">
        <f t="shared" si="92"/>
        <v>3.4260596199008782</v>
      </c>
      <c r="AI84" s="218">
        <f t="shared" si="92"/>
        <v>1.2756749327667261</v>
      </c>
      <c r="AJ84" s="219">
        <f t="shared" si="92"/>
        <v>0.87464546531495557</v>
      </c>
      <c r="AK84" s="219">
        <f t="shared" si="92"/>
        <v>1.0615314677810888</v>
      </c>
      <c r="AL84" s="220">
        <f t="shared" si="92"/>
        <v>0.47474541751527644</v>
      </c>
      <c r="AM84" s="221">
        <f t="shared" si="92"/>
        <v>3.685678218851328</v>
      </c>
      <c r="AN84" s="218">
        <f t="shared" ref="AN84:AS84" si="93">SUM(AN78:AN83)</f>
        <v>1.020083546104301</v>
      </c>
      <c r="AO84" s="219">
        <f t="shared" si="93"/>
        <v>0.94723511893018031</v>
      </c>
      <c r="AP84" s="219">
        <f t="shared" si="93"/>
        <v>1.3006953537287262</v>
      </c>
      <c r="AQ84" s="220">
        <f t="shared" si="93"/>
        <v>0.67154471544715333</v>
      </c>
      <c r="AR84" s="221">
        <f t="shared" si="93"/>
        <v>3.9396983546056257</v>
      </c>
      <c r="AS84" s="218">
        <f t="shared" si="93"/>
        <v>0.96396174252699773</v>
      </c>
      <c r="AT84" s="219">
        <f t="shared" ref="AT84:BB84" si="94">SUM(AT78:AT83)</f>
        <v>0.751864284436917</v>
      </c>
      <c r="AU84" s="219">
        <f t="shared" si="94"/>
        <v>1.1016533163060032</v>
      </c>
      <c r="AV84" s="220">
        <f t="shared" si="94"/>
        <v>0.85386178861788198</v>
      </c>
      <c r="AW84" s="221">
        <f t="shared" si="94"/>
        <v>3.67003528972685</v>
      </c>
      <c r="AX84" s="218">
        <f t="shared" si="94"/>
        <v>0.97236673573543508</v>
      </c>
      <c r="AY84" s="219">
        <f t="shared" si="94"/>
        <v>0.79899009736822424</v>
      </c>
      <c r="AZ84" s="219">
        <f t="shared" si="94"/>
        <v>1.2210121058532806</v>
      </c>
      <c r="BA84" s="220">
        <f t="shared" si="94"/>
        <v>0.8586162437027548</v>
      </c>
      <c r="BB84" s="221">
        <f t="shared" si="94"/>
        <v>3.8510149307776169</v>
      </c>
      <c r="BC84" s="218">
        <f t="shared" ref="BC84:BL84" si="95">SUM(BC78:BC83)</f>
        <v>1.1394199812381822</v>
      </c>
      <c r="BD84" s="219">
        <f t="shared" si="95"/>
        <v>0.9047454608401726</v>
      </c>
      <c r="BE84" s="219">
        <f t="shared" si="95"/>
        <v>1.2127725657743784</v>
      </c>
      <c r="BF84" s="220">
        <f t="shared" si="95"/>
        <v>0.89114410260572297</v>
      </c>
      <c r="BG84" s="221">
        <f t="shared" si="95"/>
        <v>4.1479217076498127</v>
      </c>
      <c r="BH84" s="218">
        <f t="shared" si="95"/>
        <v>1.1553605867709305</v>
      </c>
      <c r="BI84" s="219">
        <f t="shared" si="95"/>
        <v>0.94727232509002934</v>
      </c>
      <c r="BJ84" s="219">
        <f t="shared" si="95"/>
        <v>1.3443308021580442</v>
      </c>
      <c r="BK84" s="220">
        <f t="shared" si="95"/>
        <v>0.97575239268413794</v>
      </c>
      <c r="BL84" s="221">
        <f t="shared" si="95"/>
        <v>4.4224580825206123</v>
      </c>
      <c r="BM84" s="218">
        <f>SUM(BM78:BM83)</f>
        <v>1.288256309720105</v>
      </c>
      <c r="BN84" s="219">
        <f>SUM(BN78:BN83)</f>
        <v>1.0966742110501346</v>
      </c>
      <c r="BO84" s="219">
        <f>SUM(BO78:BO83)</f>
        <v>1.4089713665743546</v>
      </c>
      <c r="BP84" s="220">
        <f>SUM(BP78:BP83)</f>
        <v>1.077669814736631</v>
      </c>
      <c r="BQ84" s="221">
        <f>SUM(BQ78:BQ83)</f>
        <v>4.8707433832009102</v>
      </c>
      <c r="BR84" s="221"/>
      <c r="BS84" s="556"/>
      <c r="BT84" s="515"/>
      <c r="BU84" s="515"/>
      <c r="BV84" s="515"/>
      <c r="BW84" s="56"/>
      <c r="BX84" s="56"/>
      <c r="CF84" s="56"/>
      <c r="CG84" s="56"/>
      <c r="CH84" s="56"/>
      <c r="CI84" s="56"/>
      <c r="CJ84" s="56"/>
      <c r="CK84" s="56"/>
      <c r="CL84" s="56"/>
      <c r="CM84" s="56"/>
      <c r="CN84" s="56"/>
      <c r="CO84" s="56"/>
      <c r="CP84" s="56"/>
      <c r="CQ84" s="56"/>
      <c r="CR84" s="56"/>
      <c r="CS84" s="56"/>
      <c r="CT84" s="56"/>
      <c r="CU84" s="56"/>
    </row>
    <row r="85" spans="1:99">
      <c r="E85" s="188"/>
      <c r="F85" s="189"/>
      <c r="G85" s="189"/>
      <c r="H85" s="190"/>
      <c r="J85" s="188"/>
      <c r="K85" s="189"/>
      <c r="L85" s="189"/>
      <c r="M85" s="190"/>
      <c r="O85" s="188"/>
      <c r="P85" s="189"/>
      <c r="Q85" s="189"/>
      <c r="R85" s="190"/>
      <c r="T85" s="188"/>
      <c r="U85" s="189"/>
      <c r="V85" s="189"/>
      <c r="W85" s="190"/>
      <c r="Y85" s="188"/>
      <c r="Z85" s="189"/>
      <c r="AA85" s="189"/>
      <c r="AB85" s="190"/>
      <c r="AD85" s="188"/>
      <c r="AE85" s="189"/>
      <c r="AF85" s="189"/>
      <c r="AG85" s="190"/>
      <c r="AI85" s="188"/>
      <c r="AJ85" s="189"/>
      <c r="AK85" s="189"/>
      <c r="AL85" s="190"/>
      <c r="AN85" s="188"/>
      <c r="AO85" s="189"/>
      <c r="AP85" s="189"/>
      <c r="AQ85" s="190"/>
      <c r="AS85" s="215"/>
      <c r="AT85" s="216"/>
      <c r="AU85" s="216"/>
      <c r="AV85" s="217"/>
      <c r="AW85" s="86"/>
      <c r="AX85" s="215"/>
      <c r="AY85" s="216"/>
      <c r="AZ85" s="216"/>
      <c r="BA85" s="217"/>
      <c r="BB85" s="86"/>
      <c r="BC85" s="215"/>
      <c r="BD85" s="216"/>
      <c r="BE85" s="216"/>
      <c r="BF85" s="217"/>
      <c r="BG85" s="86"/>
      <c r="BH85" s="215"/>
      <c r="BI85" s="216"/>
      <c r="BJ85" s="216"/>
      <c r="BK85" s="217"/>
      <c r="BL85" s="86"/>
      <c r="BM85" s="215"/>
      <c r="BN85" s="216"/>
      <c r="BO85" s="216"/>
      <c r="BP85" s="217"/>
      <c r="BQ85" s="86"/>
      <c r="BR85" s="491"/>
      <c r="BS85" s="491"/>
      <c r="BT85" s="491"/>
      <c r="BU85" s="491"/>
      <c r="BV85" s="491"/>
    </row>
    <row r="86" spans="1:99">
      <c r="C86" s="100" t="s">
        <v>919</v>
      </c>
      <c r="E86" s="188"/>
      <c r="F86" s="189"/>
      <c r="G86" s="189"/>
      <c r="H86" s="190"/>
      <c r="J86" s="188"/>
      <c r="K86" s="189"/>
      <c r="L86" s="189"/>
      <c r="M86" s="190"/>
      <c r="O86" s="188"/>
      <c r="P86" s="189"/>
      <c r="Q86" s="189"/>
      <c r="R86" s="190"/>
      <c r="T86" s="188"/>
      <c r="U86" s="189"/>
      <c r="V86" s="189"/>
      <c r="W86" s="190"/>
      <c r="X86" s="63"/>
      <c r="Y86" s="1218"/>
      <c r="Z86" s="1219"/>
      <c r="AA86" s="1219"/>
      <c r="AB86" s="1220"/>
      <c r="AC86" s="63"/>
      <c r="AD86" s="188"/>
      <c r="AE86" s="189"/>
      <c r="AF86" s="189"/>
      <c r="AG86" s="190"/>
      <c r="AH86" s="63"/>
      <c r="AI86" s="188"/>
      <c r="AJ86" s="189"/>
      <c r="AK86" s="189"/>
      <c r="AL86" s="190"/>
      <c r="AM86" s="63"/>
      <c r="AN86" s="188"/>
      <c r="AO86" s="189"/>
      <c r="AP86" s="189"/>
      <c r="AQ86" s="190"/>
      <c r="AR86" s="63"/>
      <c r="AS86" s="188"/>
      <c r="AT86" s="189"/>
      <c r="AU86" s="189"/>
      <c r="AV86" s="190"/>
      <c r="AW86" s="63"/>
      <c r="AX86" s="188"/>
      <c r="AY86" s="189"/>
      <c r="AZ86" s="189"/>
      <c r="BA86" s="190"/>
      <c r="BB86" s="63"/>
      <c r="BC86" s="188"/>
      <c r="BD86" s="189"/>
      <c r="BE86" s="189"/>
      <c r="BF86" s="190"/>
      <c r="BG86" s="63"/>
      <c r="BH86" s="188"/>
      <c r="BI86" s="189"/>
      <c r="BJ86" s="189"/>
      <c r="BK86" s="190"/>
      <c r="BL86" s="63"/>
      <c r="BM86" s="188"/>
      <c r="BN86" s="189"/>
      <c r="BO86" s="189"/>
      <c r="BP86" s="190"/>
      <c r="BQ86" s="63"/>
      <c r="BR86" s="491"/>
      <c r="BS86" s="491"/>
      <c r="BT86" s="491"/>
      <c r="BU86" s="491"/>
      <c r="BV86" s="491"/>
    </row>
    <row r="87" spans="1:99">
      <c r="C87" s="100" t="s">
        <v>370</v>
      </c>
      <c r="E87" s="188"/>
      <c r="F87" s="189"/>
      <c r="G87" s="189"/>
      <c r="H87" s="190"/>
      <c r="J87" s="188"/>
      <c r="K87" s="189"/>
      <c r="L87" s="189"/>
      <c r="M87" s="190"/>
      <c r="O87" s="188"/>
      <c r="P87" s="189"/>
      <c r="Q87" s="189"/>
      <c r="R87" s="190"/>
      <c r="T87" s="188"/>
      <c r="U87" s="189"/>
      <c r="V87" s="189"/>
      <c r="W87" s="190"/>
      <c r="Y87" s="188"/>
      <c r="Z87" s="189"/>
      <c r="AA87" s="189"/>
      <c r="AB87" s="190"/>
      <c r="AC87" s="82"/>
      <c r="AD87" s="188"/>
      <c r="AE87" s="189"/>
      <c r="AF87" s="189"/>
      <c r="AG87" s="190"/>
      <c r="AH87" s="82"/>
      <c r="AI87" s="188"/>
      <c r="AJ87" s="189"/>
      <c r="AK87" s="189"/>
      <c r="AL87" s="190"/>
      <c r="AM87" s="82"/>
      <c r="AN87" s="188"/>
      <c r="AO87" s="189"/>
      <c r="AP87" s="189"/>
      <c r="AQ87" s="190"/>
      <c r="AR87" s="82"/>
      <c r="AS87" s="188"/>
      <c r="AT87" s="189"/>
      <c r="AU87" s="189"/>
      <c r="AV87" s="190"/>
      <c r="AW87" s="82"/>
      <c r="AX87" s="188"/>
      <c r="AY87" s="189"/>
      <c r="AZ87" s="189"/>
      <c r="BA87" s="190"/>
      <c r="BB87" s="82"/>
      <c r="BC87" s="188"/>
      <c r="BD87" s="189"/>
      <c r="BE87" s="189"/>
      <c r="BF87" s="190"/>
      <c r="BG87" s="82"/>
      <c r="BH87" s="188"/>
      <c r="BI87" s="189"/>
      <c r="BJ87" s="189"/>
      <c r="BK87" s="190"/>
      <c r="BL87" s="82"/>
      <c r="BM87" s="188"/>
      <c r="BN87" s="189"/>
      <c r="BO87" s="189"/>
      <c r="BP87" s="190"/>
      <c r="BQ87" s="82"/>
      <c r="BR87" s="491"/>
      <c r="BS87" s="491"/>
      <c r="BT87" s="491"/>
      <c r="BU87" s="491"/>
      <c r="BV87" s="491"/>
    </row>
    <row r="88" spans="1:99">
      <c r="E88" s="188"/>
      <c r="F88" s="189"/>
      <c r="G88" s="189"/>
      <c r="H88" s="190"/>
      <c r="J88" s="188"/>
      <c r="K88" s="189"/>
      <c r="L88" s="189"/>
      <c r="M88" s="190"/>
      <c r="O88" s="188"/>
      <c r="P88" s="189"/>
      <c r="Q88" s="189"/>
      <c r="R88" s="190"/>
      <c r="T88" s="188"/>
      <c r="U88" s="189"/>
      <c r="V88" s="189"/>
      <c r="W88" s="190"/>
      <c r="Y88" s="188"/>
      <c r="Z88" s="189"/>
      <c r="AA88" s="189"/>
      <c r="AB88" s="190"/>
      <c r="AC88" s="82"/>
      <c r="AD88" s="188"/>
      <c r="AE88" s="189"/>
      <c r="AF88" s="189"/>
      <c r="AG88" s="190"/>
      <c r="AH88" s="82"/>
      <c r="AI88" s="188"/>
      <c r="AJ88" s="189"/>
      <c r="AK88" s="189"/>
      <c r="AL88" s="190"/>
      <c r="AM88" s="82"/>
      <c r="AN88" s="188"/>
      <c r="AO88" s="189"/>
      <c r="AP88" s="189"/>
      <c r="AQ88" s="190"/>
      <c r="AR88" s="82"/>
      <c r="AS88" s="188"/>
      <c r="AT88" s="189"/>
      <c r="AU88" s="189"/>
      <c r="AV88" s="190"/>
      <c r="AW88" s="82"/>
      <c r="AX88" s="188"/>
      <c r="AY88" s="189"/>
      <c r="AZ88" s="189"/>
      <c r="BA88" s="190"/>
      <c r="BB88" s="82"/>
      <c r="BC88" s="188"/>
      <c r="BD88" s="189"/>
      <c r="BE88" s="189"/>
      <c r="BF88" s="190"/>
      <c r="BG88" s="82"/>
      <c r="BH88" s="188"/>
      <c r="BI88" s="189"/>
      <c r="BJ88" s="189"/>
      <c r="BK88" s="190"/>
      <c r="BL88" s="82"/>
      <c r="BM88" s="188"/>
      <c r="BN88" s="189"/>
      <c r="BO88" s="189"/>
      <c r="BP88" s="190"/>
      <c r="BQ88" s="82"/>
      <c r="BR88" s="491"/>
      <c r="BS88" s="491"/>
      <c r="BT88" s="491"/>
      <c r="BU88" s="491"/>
      <c r="BV88" s="491"/>
    </row>
    <row r="89" spans="1:99">
      <c r="C89" s="100" t="s">
        <v>374</v>
      </c>
      <c r="E89" s="188"/>
      <c r="F89" s="189"/>
      <c r="G89" s="189"/>
      <c r="H89" s="190"/>
      <c r="J89" s="188"/>
      <c r="K89" s="189"/>
      <c r="L89" s="189"/>
      <c r="M89" s="190"/>
      <c r="O89" s="188"/>
      <c r="P89" s="189"/>
      <c r="Q89" s="189"/>
      <c r="R89" s="190"/>
      <c r="T89" s="188"/>
      <c r="U89" s="189"/>
      <c r="V89" s="189"/>
      <c r="W89" s="190"/>
      <c r="X89" s="63"/>
      <c r="Y89" s="188"/>
      <c r="Z89" s="189"/>
      <c r="AA89" s="189"/>
      <c r="AB89" s="190"/>
      <c r="AC89" s="63"/>
      <c r="AD89" s="188"/>
      <c r="AE89" s="189"/>
      <c r="AF89" s="189"/>
      <c r="AG89" s="190"/>
      <c r="AH89" s="63"/>
      <c r="AI89" s="188"/>
      <c r="AJ89" s="189"/>
      <c r="AK89" s="189"/>
      <c r="AL89" s="190"/>
      <c r="AM89" s="63"/>
      <c r="AN89" s="188"/>
      <c r="AO89" s="189"/>
      <c r="AP89" s="189"/>
      <c r="AQ89" s="190"/>
      <c r="AR89" s="63"/>
      <c r="AS89" s="188"/>
      <c r="AT89" s="189"/>
      <c r="AU89" s="189"/>
      <c r="AV89" s="190"/>
      <c r="AW89" s="63"/>
      <c r="AX89" s="188"/>
      <c r="AY89" s="189"/>
      <c r="AZ89" s="189"/>
      <c r="BA89" s="190"/>
      <c r="BB89" s="63"/>
      <c r="BC89" s="188"/>
      <c r="BD89" s="189"/>
      <c r="BE89" s="189"/>
      <c r="BF89" s="190"/>
      <c r="BG89" s="63"/>
      <c r="BH89" s="188"/>
      <c r="BI89" s="189"/>
      <c r="BJ89" s="189"/>
      <c r="BK89" s="190"/>
      <c r="BL89" s="63"/>
      <c r="BM89" s="188"/>
      <c r="BN89" s="189"/>
      <c r="BO89" s="189"/>
      <c r="BP89" s="190"/>
      <c r="BQ89" s="63"/>
      <c r="BR89" s="491"/>
      <c r="BS89" s="491"/>
      <c r="BT89" s="491"/>
      <c r="BU89" s="491"/>
      <c r="BV89" s="491"/>
    </row>
    <row r="90" spans="1:99">
      <c r="C90" s="100"/>
      <c r="E90" s="188"/>
      <c r="F90" s="189"/>
      <c r="G90" s="189"/>
      <c r="H90" s="190"/>
      <c r="J90" s="188"/>
      <c r="K90" s="189"/>
      <c r="L90" s="189"/>
      <c r="M90" s="190"/>
      <c r="O90" s="188"/>
      <c r="P90" s="189"/>
      <c r="Q90" s="189"/>
      <c r="R90" s="190"/>
      <c r="T90" s="188"/>
      <c r="U90" s="189"/>
      <c r="V90" s="189"/>
      <c r="W90" s="190"/>
      <c r="X90" s="63"/>
      <c r="Y90" s="188"/>
      <c r="Z90" s="189"/>
      <c r="AA90" s="189"/>
      <c r="AB90" s="190"/>
      <c r="AC90" s="63"/>
      <c r="AD90" s="188"/>
      <c r="AE90" s="189"/>
      <c r="AF90" s="189"/>
      <c r="AG90" s="190"/>
      <c r="AH90" s="63"/>
      <c r="AI90" s="188"/>
      <c r="AJ90" s="189"/>
      <c r="AK90" s="189"/>
      <c r="AL90" s="190"/>
      <c r="AM90" s="63"/>
      <c r="AN90" s="188"/>
      <c r="AO90" s="189"/>
      <c r="AP90" s="189"/>
      <c r="AQ90" s="190"/>
      <c r="AR90" s="63"/>
      <c r="AS90" s="188"/>
      <c r="AT90" s="189"/>
      <c r="AU90" s="189"/>
      <c r="AV90" s="190"/>
      <c r="AW90" s="63"/>
      <c r="AX90" s="188"/>
      <c r="AY90" s="189"/>
      <c r="AZ90" s="189"/>
      <c r="BA90" s="190"/>
      <c r="BB90" s="63"/>
      <c r="BC90" s="188"/>
      <c r="BD90" s="189"/>
      <c r="BE90" s="189"/>
      <c r="BF90" s="190"/>
      <c r="BG90" s="63"/>
      <c r="BH90" s="188"/>
      <c r="BI90" s="189"/>
      <c r="BJ90" s="189"/>
      <c r="BK90" s="190"/>
      <c r="BL90" s="63"/>
      <c r="BM90" s="188"/>
      <c r="BN90" s="189"/>
      <c r="BO90" s="189"/>
      <c r="BP90" s="190"/>
      <c r="BQ90" s="63"/>
      <c r="BR90" s="491"/>
      <c r="BS90" s="491"/>
      <c r="BT90" s="491"/>
      <c r="BU90" s="491"/>
      <c r="BV90" s="491"/>
    </row>
    <row r="91" spans="1:99">
      <c r="E91" s="188"/>
      <c r="F91" s="189"/>
      <c r="G91" s="189"/>
      <c r="H91" s="190"/>
      <c r="J91" s="188"/>
      <c r="K91" s="189"/>
      <c r="L91" s="189"/>
      <c r="M91" s="190"/>
      <c r="O91" s="188"/>
      <c r="P91" s="189"/>
      <c r="Q91" s="189"/>
      <c r="R91" s="190"/>
      <c r="T91" s="188"/>
      <c r="U91" s="189"/>
      <c r="V91" s="189"/>
      <c r="W91" s="190"/>
      <c r="Y91" s="188"/>
      <c r="Z91" s="189"/>
      <c r="AA91" s="189"/>
      <c r="AB91" s="190"/>
      <c r="AD91" s="188"/>
      <c r="AE91" s="189"/>
      <c r="AF91" s="189"/>
      <c r="AG91" s="190"/>
      <c r="AI91" s="188"/>
      <c r="AJ91" s="189"/>
      <c r="AK91" s="189"/>
      <c r="AL91" s="190"/>
      <c r="AN91" s="188"/>
      <c r="AO91" s="189"/>
      <c r="AP91" s="189"/>
      <c r="AQ91" s="190"/>
      <c r="AS91" s="188"/>
      <c r="AT91" s="189"/>
      <c r="AU91" s="189"/>
      <c r="AV91" s="190"/>
      <c r="AX91" s="188"/>
      <c r="AY91" s="189"/>
      <c r="AZ91" s="189"/>
      <c r="BA91" s="190"/>
      <c r="BC91" s="188"/>
      <c r="BD91" s="189"/>
      <c r="BE91" s="189"/>
      <c r="BF91" s="190"/>
      <c r="BH91" s="188"/>
      <c r="BI91" s="189"/>
      <c r="BJ91" s="189"/>
      <c r="BK91" s="190"/>
      <c r="BM91" s="188"/>
      <c r="BN91" s="189"/>
      <c r="BO91" s="189"/>
      <c r="BP91" s="190"/>
      <c r="BR91" s="491"/>
      <c r="BS91" s="491"/>
      <c r="BT91" s="491"/>
      <c r="BU91" s="491"/>
      <c r="BV91" s="491"/>
    </row>
    <row r="92" spans="1:99">
      <c r="C92" s="164" t="s">
        <v>32</v>
      </c>
      <c r="E92" s="188"/>
      <c r="F92" s="189"/>
      <c r="G92" s="189"/>
      <c r="H92" s="190"/>
      <c r="J92" s="188"/>
      <c r="K92" s="189"/>
      <c r="L92" s="189"/>
      <c r="M92" s="190"/>
      <c r="O92" s="188"/>
      <c r="P92" s="189"/>
      <c r="Q92" s="189"/>
      <c r="R92" s="190"/>
      <c r="T92" s="188"/>
      <c r="U92" s="189"/>
      <c r="V92" s="189"/>
      <c r="W92" s="190"/>
      <c r="Y92" s="188"/>
      <c r="Z92" s="189"/>
      <c r="AA92" s="189"/>
      <c r="AB92" s="190"/>
      <c r="AD92" s="188"/>
      <c r="AE92" s="189"/>
      <c r="AF92" s="189"/>
      <c r="AG92" s="190"/>
      <c r="AI92" s="188"/>
      <c r="AJ92" s="189"/>
      <c r="AK92" s="189"/>
      <c r="AL92" s="190"/>
      <c r="AN92" s="188"/>
      <c r="AO92" s="189"/>
      <c r="AP92" s="189"/>
      <c r="AQ92" s="190"/>
      <c r="AS92" s="188"/>
      <c r="AT92" s="189"/>
      <c r="AU92" s="189"/>
      <c r="AV92" s="190"/>
      <c r="AX92" s="188"/>
      <c r="AY92" s="189"/>
      <c r="AZ92" s="189"/>
      <c r="BA92" s="190"/>
      <c r="BC92" s="188"/>
      <c r="BD92" s="189"/>
      <c r="BE92" s="189"/>
      <c r="BF92" s="190"/>
      <c r="BH92" s="188"/>
      <c r="BI92" s="189"/>
      <c r="BJ92" s="189"/>
      <c r="BK92" s="190"/>
      <c r="BM92" s="188"/>
      <c r="BN92" s="189"/>
      <c r="BO92" s="189"/>
      <c r="BP92" s="190"/>
      <c r="BR92" s="491"/>
      <c r="BS92" s="491"/>
      <c r="BT92" s="491"/>
      <c r="BU92" s="491"/>
      <c r="BV92" s="491"/>
    </row>
    <row r="93" spans="1:99">
      <c r="C93" s="100" t="s">
        <v>124</v>
      </c>
      <c r="E93" s="148"/>
      <c r="F93" s="163"/>
      <c r="G93" s="163"/>
      <c r="H93" s="147"/>
      <c r="I93" s="74"/>
      <c r="J93" s="148"/>
      <c r="K93" s="163"/>
      <c r="L93" s="163"/>
      <c r="M93" s="147"/>
      <c r="N93" s="74"/>
      <c r="O93" s="148"/>
      <c r="P93" s="163"/>
      <c r="Q93" s="163"/>
      <c r="R93" s="147"/>
      <c r="S93" s="74"/>
      <c r="T93" s="148"/>
      <c r="U93" s="163"/>
      <c r="V93" s="163"/>
      <c r="W93" s="147"/>
      <c r="X93" s="74">
        <f>+'Generation &amp; Marketing'!X323</f>
        <v>249</v>
      </c>
      <c r="Y93" s="148">
        <f>+'Generation &amp; Marketing'!Y323</f>
        <v>46.25</v>
      </c>
      <c r="Z93" s="163">
        <f>+'Generation &amp; Marketing'!Z323</f>
        <v>46.25</v>
      </c>
      <c r="AA93" s="163">
        <f>+'Generation &amp; Marketing'!AA323</f>
        <v>46.25</v>
      </c>
      <c r="AB93" s="147">
        <f>+'Generation &amp; Marketing'!AB323</f>
        <v>46.25</v>
      </c>
      <c r="AC93" s="74">
        <f>+'Generation &amp; Marketing'!AC323</f>
        <v>185</v>
      </c>
      <c r="AD93" s="148">
        <f>+'Generation &amp; Marketing'!AD323</f>
        <v>41.25</v>
      </c>
      <c r="AE93" s="163">
        <f>+'Generation &amp; Marketing'!AE323</f>
        <v>41.25</v>
      </c>
      <c r="AF93" s="163">
        <f>+'Generation &amp; Marketing'!AF323</f>
        <v>41.25</v>
      </c>
      <c r="AG93" s="147">
        <f>+'Generation &amp; Marketing'!AG323</f>
        <v>41.25</v>
      </c>
      <c r="AH93" s="74">
        <f>+'Generation &amp; Marketing'!AH323</f>
        <v>165</v>
      </c>
      <c r="AI93" s="148">
        <f>+'Generation &amp; Marketing'!AI323</f>
        <v>33.575000000000003</v>
      </c>
      <c r="AJ93" s="163">
        <f>+'Generation &amp; Marketing'!AJ323</f>
        <v>33.575000000000003</v>
      </c>
      <c r="AK93" s="163">
        <f>+'Generation &amp; Marketing'!AK323</f>
        <v>33.575000000000003</v>
      </c>
      <c r="AL93" s="147">
        <f>+'Generation &amp; Marketing'!AL323</f>
        <v>33.575000000000003</v>
      </c>
      <c r="AM93" s="74">
        <f>+'Generation &amp; Marketing'!AM323</f>
        <v>134.30000000000001</v>
      </c>
      <c r="AN93" s="148">
        <f>+'Generation &amp; Marketing'!AN323</f>
        <v>84.05</v>
      </c>
      <c r="AO93" s="163">
        <f>+'Generation &amp; Marketing'!AO323</f>
        <v>84.05</v>
      </c>
      <c r="AP93" s="163">
        <f>+'Generation &amp; Marketing'!AP323</f>
        <v>84.049999999999983</v>
      </c>
      <c r="AQ93" s="147">
        <f>+'Generation &amp; Marketing'!AQ323</f>
        <v>84.050000000000011</v>
      </c>
      <c r="AR93" s="74">
        <f>+'Generation &amp; Marketing'!AR323</f>
        <v>336.2</v>
      </c>
      <c r="AS93" s="148">
        <f>+'Generation &amp; Marketing'!AS323</f>
        <v>82.125</v>
      </c>
      <c r="AT93" s="163">
        <f>+'Generation &amp; Marketing'!AT323</f>
        <v>82.125</v>
      </c>
      <c r="AU93" s="163">
        <f>+'Generation &amp; Marketing'!AU323</f>
        <v>82.125</v>
      </c>
      <c r="AV93" s="147">
        <f>+'Generation &amp; Marketing'!AV323</f>
        <v>82.125</v>
      </c>
      <c r="AW93" s="74">
        <f>+'Generation &amp; Marketing'!AW323</f>
        <v>328.5</v>
      </c>
      <c r="AX93" s="148">
        <f>+'Generation &amp; Marketing'!AX323</f>
        <v>108.95833333333333</v>
      </c>
      <c r="AY93" s="163">
        <f>+'Generation &amp; Marketing'!AY323</f>
        <v>108.95833333333333</v>
      </c>
      <c r="AZ93" s="163">
        <f>+'Generation &amp; Marketing'!AZ323</f>
        <v>108.95833333333333</v>
      </c>
      <c r="BA93" s="147">
        <f>+'Generation &amp; Marketing'!BA323</f>
        <v>108.95833333333331</v>
      </c>
      <c r="BB93" s="74">
        <f>+'Generation &amp; Marketing'!BB323</f>
        <v>435.83333333333331</v>
      </c>
      <c r="BC93" s="148">
        <f>+'Generation &amp; Marketing'!BC323</f>
        <v>102.08333333333333</v>
      </c>
      <c r="BD93" s="163">
        <f>+'Generation &amp; Marketing'!BD323</f>
        <v>102.08333333333333</v>
      </c>
      <c r="BE93" s="163">
        <f>+'Generation &amp; Marketing'!BE323</f>
        <v>102.08333333333333</v>
      </c>
      <c r="BF93" s="147">
        <f>+'Generation &amp; Marketing'!BF323</f>
        <v>102.08333333333331</v>
      </c>
      <c r="BG93" s="74">
        <f>+'Generation &amp; Marketing'!BG323</f>
        <v>408.33333333333331</v>
      </c>
      <c r="BH93" s="148">
        <f>+'Generation &amp; Marketing'!BH323</f>
        <v>102.08333333333333</v>
      </c>
      <c r="BI93" s="163">
        <f>+'Generation &amp; Marketing'!BI323</f>
        <v>102.08333333333333</v>
      </c>
      <c r="BJ93" s="163">
        <f>+'Generation &amp; Marketing'!BJ323</f>
        <v>102.08333333333333</v>
      </c>
      <c r="BK93" s="147">
        <f>+'Generation &amp; Marketing'!BK323</f>
        <v>102.08333333333331</v>
      </c>
      <c r="BL93" s="74">
        <f>+'Generation &amp; Marketing'!BL323</f>
        <v>408.33333333333331</v>
      </c>
      <c r="BM93" s="148">
        <f>+'Generation &amp; Marketing'!BM323</f>
        <v>18.75</v>
      </c>
      <c r="BN93" s="163">
        <f>+'Generation &amp; Marketing'!BN323</f>
        <v>18.75</v>
      </c>
      <c r="BO93" s="163">
        <f>+'Generation &amp; Marketing'!BO323</f>
        <v>18.75</v>
      </c>
      <c r="BP93" s="147">
        <f>+'Generation &amp; Marketing'!BP323</f>
        <v>18.75</v>
      </c>
      <c r="BQ93" s="74">
        <f>+'Generation &amp; Marketing'!BQ323</f>
        <v>75</v>
      </c>
      <c r="BR93" s="491"/>
      <c r="BS93" s="491"/>
      <c r="BT93" s="491"/>
      <c r="BU93" s="491"/>
      <c r="BV93" s="491"/>
    </row>
    <row r="94" spans="1:99">
      <c r="C94" s="100" t="s">
        <v>122</v>
      </c>
      <c r="E94" s="148"/>
      <c r="F94" s="163"/>
      <c r="G94" s="163"/>
      <c r="H94" s="147"/>
      <c r="I94" s="74"/>
      <c r="J94" s="148"/>
      <c r="K94" s="163"/>
      <c r="L94" s="163"/>
      <c r="M94" s="147"/>
      <c r="N94" s="74"/>
      <c r="O94" s="148"/>
      <c r="P94" s="163"/>
      <c r="Q94" s="163"/>
      <c r="R94" s="147"/>
      <c r="S94" s="74"/>
      <c r="T94" s="148"/>
      <c r="U94" s="163"/>
      <c r="V94" s="163"/>
      <c r="W94" s="147"/>
      <c r="X94" s="74">
        <f>'Vertically Integrated Utilities'!X147</f>
        <v>1801</v>
      </c>
      <c r="Y94" s="148">
        <f>'Vertically Integrated Utilities'!Y147</f>
        <v>455.5</v>
      </c>
      <c r="Z94" s="163">
        <f>'Vertically Integrated Utilities'!Z147</f>
        <v>455.5</v>
      </c>
      <c r="AA94" s="163">
        <f>'Vertically Integrated Utilities'!AA147</f>
        <v>455.5</v>
      </c>
      <c r="AB94" s="147">
        <f>'Vertically Integrated Utilities'!AB147</f>
        <v>455.5</v>
      </c>
      <c r="AC94" s="74">
        <f>'Vertically Integrated Utilities'!AC147</f>
        <v>1822</v>
      </c>
      <c r="AD94" s="148">
        <f>'Vertically Integrated Utilities'!AD147</f>
        <v>513.75</v>
      </c>
      <c r="AE94" s="163">
        <f>'Vertically Integrated Utilities'!AE147</f>
        <v>513.75</v>
      </c>
      <c r="AF94" s="163">
        <f>'Vertically Integrated Utilities'!AF147</f>
        <v>513.75</v>
      </c>
      <c r="AG94" s="147">
        <f>'Vertically Integrated Utilities'!AG147</f>
        <v>513.75</v>
      </c>
      <c r="AH94" s="74">
        <f>'Vertically Integrated Utilities'!AH147</f>
        <v>2055</v>
      </c>
      <c r="AI94" s="148">
        <f>'Vertically Integrated Utilities'!AI147</f>
        <v>555.57500000000005</v>
      </c>
      <c r="AJ94" s="163">
        <f>'Vertically Integrated Utilities'!AJ147</f>
        <v>555.57500000000005</v>
      </c>
      <c r="AK94" s="163">
        <f>'Vertically Integrated Utilities'!AK147</f>
        <v>555.57500000000005</v>
      </c>
      <c r="AL94" s="147">
        <f>'Vertically Integrated Utilities'!AL147</f>
        <v>555.57500000000005</v>
      </c>
      <c r="AM94" s="74">
        <f>'Vertically Integrated Utilities'!AM147</f>
        <v>2222.3000000000002</v>
      </c>
      <c r="AN94" s="148">
        <f>'Vertically Integrated Utilities'!AN147</f>
        <v>559.25</v>
      </c>
      <c r="AO94" s="163">
        <f>'Vertically Integrated Utilities'!AO147</f>
        <v>559.25</v>
      </c>
      <c r="AP94" s="163">
        <f>'Vertically Integrated Utilities'!AP147</f>
        <v>559.25</v>
      </c>
      <c r="AQ94" s="147">
        <f>'Vertically Integrated Utilities'!AQ147</f>
        <v>559.25</v>
      </c>
      <c r="AR94" s="74">
        <f>'Vertically Integrated Utilities'!AR147</f>
        <v>2237</v>
      </c>
      <c r="AS94" s="148">
        <f>'Vertically Integrated Utilities'!AS147</f>
        <v>585.79999999999995</v>
      </c>
      <c r="AT94" s="163">
        <f>'Vertically Integrated Utilities'!AT147</f>
        <v>585.79999999999995</v>
      </c>
      <c r="AU94" s="163">
        <f>'Vertically Integrated Utilities'!AU147</f>
        <v>585.79999999999995</v>
      </c>
      <c r="AV94" s="147">
        <f>'Vertically Integrated Utilities'!AV147</f>
        <v>585.79999999999995</v>
      </c>
      <c r="AW94" s="74">
        <f>'Vertically Integrated Utilities'!AW147</f>
        <v>2343.1999999999998</v>
      </c>
      <c r="AX94" s="148">
        <f>'Vertically Integrated Utilities'!AX149</f>
        <v>592</v>
      </c>
      <c r="AY94" s="163">
        <f>'Vertically Integrated Utilities'!AY149</f>
        <v>592</v>
      </c>
      <c r="AZ94" s="163">
        <f>'Vertically Integrated Utilities'!AZ149</f>
        <v>592</v>
      </c>
      <c r="BA94" s="147">
        <f>'Vertically Integrated Utilities'!BA149</f>
        <v>592</v>
      </c>
      <c r="BB94" s="74">
        <f>'Vertically Integrated Utilities'!BB149</f>
        <v>2368</v>
      </c>
      <c r="BC94" s="148">
        <f>'Vertically Integrated Utilities'!BC149</f>
        <v>755.25</v>
      </c>
      <c r="BD94" s="163">
        <f>'Vertically Integrated Utilities'!BD149</f>
        <v>755.25</v>
      </c>
      <c r="BE94" s="163">
        <f>'Vertically Integrated Utilities'!BE149</f>
        <v>755.25</v>
      </c>
      <c r="BF94" s="147">
        <f>'Vertically Integrated Utilities'!BF149</f>
        <v>755.25</v>
      </c>
      <c r="BG94" s="74">
        <f>'Vertically Integrated Utilities'!BG149</f>
        <v>3021</v>
      </c>
      <c r="BH94" s="148">
        <f>'Vertically Integrated Utilities'!BH149</f>
        <v>668.75</v>
      </c>
      <c r="BI94" s="163">
        <f>'Vertically Integrated Utilities'!BI149</f>
        <v>668.75</v>
      </c>
      <c r="BJ94" s="163">
        <f>'Vertically Integrated Utilities'!BJ149</f>
        <v>668.75</v>
      </c>
      <c r="BK94" s="147">
        <f>'Vertically Integrated Utilities'!BK149</f>
        <v>668.75</v>
      </c>
      <c r="BL94" s="74">
        <f>'Vertically Integrated Utilities'!BL149</f>
        <v>2675</v>
      </c>
      <c r="BM94" s="148">
        <f>'Vertically Integrated Utilities'!BM149</f>
        <v>2038.75</v>
      </c>
      <c r="BN94" s="163">
        <f>'Vertically Integrated Utilities'!BN149</f>
        <v>588.75</v>
      </c>
      <c r="BO94" s="163">
        <f>'Vertically Integrated Utilities'!BO149</f>
        <v>588.75</v>
      </c>
      <c r="BP94" s="147">
        <f>'Vertically Integrated Utilities'!BP149</f>
        <v>588.75</v>
      </c>
      <c r="BQ94" s="74">
        <f>'Vertically Integrated Utilities'!BQ149</f>
        <v>3805</v>
      </c>
      <c r="BR94" s="491"/>
      <c r="BS94" s="491"/>
      <c r="BT94" s="491"/>
      <c r="BU94" s="491"/>
      <c r="BV94" s="491"/>
    </row>
    <row r="95" spans="1:99">
      <c r="C95" s="100" t="s">
        <v>876</v>
      </c>
      <c r="E95" s="148"/>
      <c r="F95" s="163"/>
      <c r="G95" s="163"/>
      <c r="H95" s="147"/>
      <c r="I95" s="74"/>
      <c r="J95" s="148"/>
      <c r="K95" s="163"/>
      <c r="L95" s="163"/>
      <c r="M95" s="147"/>
      <c r="N95" s="74"/>
      <c r="O95" s="148"/>
      <c r="P95" s="163"/>
      <c r="Q95" s="163"/>
      <c r="R95" s="147"/>
      <c r="S95" s="74"/>
      <c r="T95" s="148"/>
      <c r="U95" s="163"/>
      <c r="V95" s="163"/>
      <c r="W95" s="147"/>
      <c r="X95" s="74">
        <f>'T&amp;D Utilities'!X132</f>
        <v>664</v>
      </c>
      <c r="Y95" s="148">
        <f>'T&amp;D Utilities'!Y132</f>
        <v>217.75</v>
      </c>
      <c r="Z95" s="163">
        <f>'T&amp;D Utilities'!Z132</f>
        <v>217.75</v>
      </c>
      <c r="AA95" s="163">
        <f>'T&amp;D Utilities'!AA132</f>
        <v>217.75</v>
      </c>
      <c r="AB95" s="147">
        <f>'T&amp;D Utilities'!AB132</f>
        <v>217.75</v>
      </c>
      <c r="AC95" s="74">
        <f>'T&amp;D Utilities'!AC132</f>
        <v>871</v>
      </c>
      <c r="AD95" s="148">
        <f>'T&amp;D Utilities'!AD132</f>
        <v>259.5</v>
      </c>
      <c r="AE95" s="163">
        <f>'T&amp;D Utilities'!AE132</f>
        <v>259.5</v>
      </c>
      <c r="AF95" s="163">
        <f>'T&amp;D Utilities'!AF132</f>
        <v>259.5</v>
      </c>
      <c r="AG95" s="147">
        <f>'T&amp;D Utilities'!AG132</f>
        <v>259.5</v>
      </c>
      <c r="AH95" s="74">
        <f>'T&amp;D Utilities'!AH132</f>
        <v>1038</v>
      </c>
      <c r="AI95" s="148">
        <f>'T&amp;D Utilities'!AI132</f>
        <v>262.07499999999999</v>
      </c>
      <c r="AJ95" s="163">
        <f>'T&amp;D Utilities'!AJ132</f>
        <v>262.07499999999999</v>
      </c>
      <c r="AK95" s="163">
        <f>'T&amp;D Utilities'!AK132</f>
        <v>262.07499999999999</v>
      </c>
      <c r="AL95" s="147">
        <f>'T&amp;D Utilities'!AL132</f>
        <v>262.07500000000005</v>
      </c>
      <c r="AM95" s="74">
        <f>'T&amp;D Utilities'!AM132</f>
        <v>1048.3</v>
      </c>
      <c r="AN95" s="148">
        <f>'T&amp;D Utilities'!AN132</f>
        <v>264.57499999999999</v>
      </c>
      <c r="AO95" s="163">
        <f>'T&amp;D Utilities'!AO132</f>
        <v>264.57499999999999</v>
      </c>
      <c r="AP95" s="163">
        <f>'T&amp;D Utilities'!AP132</f>
        <v>264.57499999999999</v>
      </c>
      <c r="AQ95" s="147">
        <f>'T&amp;D Utilities'!AQ132</f>
        <v>264.57500000000005</v>
      </c>
      <c r="AR95" s="74">
        <f>'T&amp;D Utilities'!AR132</f>
        <v>1058.3</v>
      </c>
      <c r="AS95" s="148">
        <f>'T&amp;D Utilities'!AS132</f>
        <v>389.6</v>
      </c>
      <c r="AT95" s="163">
        <f>'T&amp;D Utilities'!AT132</f>
        <v>389.6</v>
      </c>
      <c r="AU95" s="163">
        <f>'T&amp;D Utilities'!AU132</f>
        <v>389.6</v>
      </c>
      <c r="AV95" s="147">
        <f>'T&amp;D Utilities'!AV132</f>
        <v>389.59999999999991</v>
      </c>
      <c r="AW95" s="74">
        <f>'T&amp;D Utilities'!AW132</f>
        <v>1558.4</v>
      </c>
      <c r="AX95" s="148">
        <f>'T&amp;D Utilities'!AX132</f>
        <v>446.25</v>
      </c>
      <c r="AY95" s="163">
        <f>'T&amp;D Utilities'!AY132</f>
        <v>446.25</v>
      </c>
      <c r="AZ95" s="163">
        <f>'T&amp;D Utilities'!AZ132</f>
        <v>446.25</v>
      </c>
      <c r="BA95" s="147">
        <f>'T&amp;D Utilities'!BA132</f>
        <v>446.25</v>
      </c>
      <c r="BB95" s="74">
        <f>'T&amp;D Utilities'!BB132</f>
        <v>1785</v>
      </c>
      <c r="BC95" s="148">
        <f>'T&amp;D Utilities'!BC132</f>
        <v>399.75</v>
      </c>
      <c r="BD95" s="163">
        <f>'T&amp;D Utilities'!BD132</f>
        <v>399.75</v>
      </c>
      <c r="BE95" s="163">
        <f>'T&amp;D Utilities'!BE132</f>
        <v>399.75</v>
      </c>
      <c r="BF95" s="147">
        <f>'T&amp;D Utilities'!BF132</f>
        <v>399.75</v>
      </c>
      <c r="BG95" s="74">
        <f>'T&amp;D Utilities'!BG132</f>
        <v>1599</v>
      </c>
      <c r="BH95" s="148">
        <f>'T&amp;D Utilities'!BH132</f>
        <v>341</v>
      </c>
      <c r="BI95" s="163">
        <f>'T&amp;D Utilities'!BI132</f>
        <v>341</v>
      </c>
      <c r="BJ95" s="163">
        <f>'T&amp;D Utilities'!BJ132</f>
        <v>341</v>
      </c>
      <c r="BK95" s="147">
        <f>'T&amp;D Utilities'!BK132</f>
        <v>341</v>
      </c>
      <c r="BL95" s="74">
        <f>'T&amp;D Utilities'!BL132</f>
        <v>1364</v>
      </c>
      <c r="BM95" s="148">
        <f>'T&amp;D Utilities'!BM132</f>
        <v>341</v>
      </c>
      <c r="BN95" s="163">
        <f>'T&amp;D Utilities'!BN132</f>
        <v>341</v>
      </c>
      <c r="BO95" s="163">
        <f>'T&amp;D Utilities'!BO132</f>
        <v>341</v>
      </c>
      <c r="BP95" s="147">
        <f>'T&amp;D Utilities'!BP132</f>
        <v>341</v>
      </c>
      <c r="BQ95" s="74">
        <f>'T&amp;D Utilities'!BQ132</f>
        <v>1364</v>
      </c>
      <c r="BR95" s="491"/>
      <c r="BS95" s="491"/>
      <c r="BT95" s="491"/>
      <c r="BU95" s="491"/>
      <c r="BV95" s="491"/>
    </row>
    <row r="96" spans="1:99">
      <c r="C96" s="100" t="s">
        <v>132</v>
      </c>
      <c r="E96" s="148"/>
      <c r="F96" s="163"/>
      <c r="G96" s="163"/>
      <c r="H96" s="147"/>
      <c r="I96" s="74"/>
      <c r="J96" s="148"/>
      <c r="K96" s="163"/>
      <c r="L96" s="163"/>
      <c r="M96" s="147"/>
      <c r="N96" s="74"/>
      <c r="O96" s="148"/>
      <c r="P96" s="163"/>
      <c r="Q96" s="163"/>
      <c r="R96" s="147"/>
      <c r="S96" s="74"/>
      <c r="T96" s="148"/>
      <c r="U96" s="163"/>
      <c r="V96" s="163"/>
      <c r="W96" s="147"/>
      <c r="X96" s="74">
        <f>+'Transmission Holdco'!X53</f>
        <v>542</v>
      </c>
      <c r="Y96" s="148">
        <f>+'Transmission Holdco'!Y53</f>
        <v>253.19062500000001</v>
      </c>
      <c r="Z96" s="163">
        <f>+'Transmission Holdco'!Z53</f>
        <v>253.19062500000001</v>
      </c>
      <c r="AA96" s="163">
        <f>+'Transmission Holdco'!AA53</f>
        <v>253.19062500000001</v>
      </c>
      <c r="AB96" s="147">
        <f>+'Transmission Holdco'!AB53</f>
        <v>253.19062500000001</v>
      </c>
      <c r="AC96" s="74">
        <f>+'Transmission Holdco'!AC53</f>
        <v>1012.7625</v>
      </c>
      <c r="AD96" s="148">
        <f>+'Transmission Holdco'!AD53</f>
        <v>296.94062500000001</v>
      </c>
      <c r="AE96" s="163">
        <f>+'Transmission Holdco'!AE53</f>
        <v>296.94062500000001</v>
      </c>
      <c r="AF96" s="163">
        <f>+'Transmission Holdco'!AF53</f>
        <v>296.94062500000001</v>
      </c>
      <c r="AG96" s="147">
        <f>+'Transmission Holdco'!AG53</f>
        <v>296.94062500000001</v>
      </c>
      <c r="AH96" s="74">
        <f>+'Transmission Holdco'!AH53</f>
        <v>1187.7625</v>
      </c>
      <c r="AI96" s="148">
        <f>+'Transmission Holdco'!AI53</f>
        <v>421.60955110313665</v>
      </c>
      <c r="AJ96" s="163">
        <f>+'Transmission Holdco'!AJ53</f>
        <v>421.60955110313665</v>
      </c>
      <c r="AK96" s="163">
        <f>+'Transmission Holdco'!AK53</f>
        <v>421.60955110313665</v>
      </c>
      <c r="AL96" s="147">
        <f>+'Transmission Holdco'!AL53</f>
        <v>421.60955110313654</v>
      </c>
      <c r="AM96" s="74">
        <f>+'Transmission Holdco'!AM53</f>
        <v>1686.4382044125466</v>
      </c>
      <c r="AN96" s="148">
        <f>+'Transmission Holdco'!AN53</f>
        <v>305.5</v>
      </c>
      <c r="AO96" s="163">
        <f>+'Transmission Holdco'!AO53</f>
        <v>305.5</v>
      </c>
      <c r="AP96" s="163">
        <f>+'Transmission Holdco'!AP53</f>
        <v>305.5</v>
      </c>
      <c r="AQ96" s="147">
        <f>+'Transmission Holdco'!AQ53</f>
        <v>305.5</v>
      </c>
      <c r="AR96" s="74">
        <f>+'Transmission Holdco'!AR53</f>
        <v>1222</v>
      </c>
      <c r="AS96" s="148">
        <f>+'Transmission Holdco'!AS53</f>
        <v>394.5</v>
      </c>
      <c r="AT96" s="163">
        <f>+'Transmission Holdco'!AT53</f>
        <v>394.5</v>
      </c>
      <c r="AU96" s="163">
        <f>+'Transmission Holdco'!AU53</f>
        <v>394.5</v>
      </c>
      <c r="AV96" s="147">
        <f>+'Transmission Holdco'!AV53</f>
        <v>394.5</v>
      </c>
      <c r="AW96" s="74">
        <f>+'Transmission Holdco'!AW53</f>
        <v>1578</v>
      </c>
      <c r="AX96" s="148">
        <f>+'Transmission Holdco'!AX53</f>
        <v>378.5</v>
      </c>
      <c r="AY96" s="163">
        <f>+'Transmission Holdco'!AY53</f>
        <v>378.5</v>
      </c>
      <c r="AZ96" s="163">
        <f>+'Transmission Holdco'!AZ53</f>
        <v>378.5</v>
      </c>
      <c r="BA96" s="147">
        <f>+'Transmission Holdco'!BA53</f>
        <v>378.5</v>
      </c>
      <c r="BB96" s="74">
        <f>+'Transmission Holdco'!BB53</f>
        <v>1514</v>
      </c>
      <c r="BC96" s="148">
        <f>+'Transmission Holdco'!BC53</f>
        <v>386</v>
      </c>
      <c r="BD96" s="163">
        <f>+'Transmission Holdco'!BD53</f>
        <v>386</v>
      </c>
      <c r="BE96" s="163">
        <f>+'Transmission Holdco'!BE53</f>
        <v>386</v>
      </c>
      <c r="BF96" s="147">
        <f>+'Transmission Holdco'!BF53</f>
        <v>386</v>
      </c>
      <c r="BG96" s="74">
        <f>+'Transmission Holdco'!BG53</f>
        <v>1544</v>
      </c>
      <c r="BH96" s="148">
        <f>+'Transmission Holdco'!BH53</f>
        <v>325.25</v>
      </c>
      <c r="BI96" s="163">
        <f>+'Transmission Holdco'!BI53</f>
        <v>325.25</v>
      </c>
      <c r="BJ96" s="163">
        <f>+'Transmission Holdco'!BJ53</f>
        <v>325.25</v>
      </c>
      <c r="BK96" s="147">
        <f>+'Transmission Holdco'!BK53</f>
        <v>325.25</v>
      </c>
      <c r="BL96" s="74">
        <f>+'Transmission Holdco'!BL53</f>
        <v>1301</v>
      </c>
      <c r="BM96" s="148">
        <f>+'Transmission Holdco'!BM53</f>
        <v>375</v>
      </c>
      <c r="BN96" s="163">
        <f>+'Transmission Holdco'!BN53</f>
        <v>375</v>
      </c>
      <c r="BO96" s="163">
        <f>+'Transmission Holdco'!BO53</f>
        <v>375</v>
      </c>
      <c r="BP96" s="147">
        <f>+'Transmission Holdco'!BP53</f>
        <v>375</v>
      </c>
      <c r="BQ96" s="74">
        <f>+'Transmission Holdco'!BQ53</f>
        <v>1500</v>
      </c>
      <c r="BR96" s="491"/>
      <c r="BS96" s="491"/>
      <c r="BT96" s="491"/>
      <c r="BU96" s="491"/>
      <c r="BV96" s="491"/>
    </row>
    <row r="97" spans="1:99">
      <c r="C97" s="100" t="s">
        <v>653</v>
      </c>
      <c r="E97" s="148"/>
      <c r="F97" s="163"/>
      <c r="G97" s="163"/>
      <c r="H97" s="147"/>
      <c r="I97" s="74"/>
      <c r="J97" s="148"/>
      <c r="K97" s="163"/>
      <c r="L97" s="163"/>
      <c r="M97" s="147"/>
      <c r="N97" s="74"/>
      <c r="O97" s="148"/>
      <c r="P97" s="163"/>
      <c r="Q97" s="163"/>
      <c r="R97" s="147"/>
      <c r="S97" s="74"/>
      <c r="T97" s="148"/>
      <c r="U97" s="163"/>
      <c r="V97" s="163"/>
      <c r="W97" s="147"/>
      <c r="X97" s="496">
        <f>'AEP River'!X71</f>
        <v>31</v>
      </c>
      <c r="Y97" s="578">
        <f>'AEP River'!Y71</f>
        <v>1.75</v>
      </c>
      <c r="Z97" s="579">
        <f>'AEP River'!Z71</f>
        <v>1.75</v>
      </c>
      <c r="AA97" s="579">
        <f>'AEP River'!AA71</f>
        <v>1.75</v>
      </c>
      <c r="AB97" s="580">
        <f>'AEP River'!AB71</f>
        <v>1.75</v>
      </c>
      <c r="AC97" s="496">
        <f>'AEP River'!AC71</f>
        <v>7</v>
      </c>
      <c r="AD97" s="578">
        <f>'AEP River'!AD71</f>
        <v>1</v>
      </c>
      <c r="AE97" s="579">
        <f>'AEP River'!AE71</f>
        <v>1</v>
      </c>
      <c r="AF97" s="579">
        <f>'AEP River'!AF71</f>
        <v>1</v>
      </c>
      <c r="AG97" s="580">
        <f>'AEP River'!AG71</f>
        <v>1</v>
      </c>
      <c r="AH97" s="496">
        <f>'AEP River'!AH71</f>
        <v>4</v>
      </c>
      <c r="AI97" s="578">
        <f>'AEP River'!AI71</f>
        <v>5</v>
      </c>
      <c r="AJ97" s="579">
        <f>'AEP River'!AJ71</f>
        <v>5</v>
      </c>
      <c r="AK97" s="579">
        <f>'AEP River'!AK71</f>
        <v>5</v>
      </c>
      <c r="AL97" s="580">
        <f>'AEP River'!AL71</f>
        <v>-395</v>
      </c>
      <c r="AM97" s="496">
        <f>'AEP River'!AM71</f>
        <v>-380</v>
      </c>
      <c r="AN97" s="578">
        <f>'AEP River'!AN71</f>
        <v>0</v>
      </c>
      <c r="AO97" s="579">
        <f>'AEP River'!AO71</f>
        <v>0</v>
      </c>
      <c r="AP97" s="579">
        <f>'AEP River'!AP71</f>
        <v>0</v>
      </c>
      <c r="AQ97" s="580">
        <f>'AEP River'!AQ71</f>
        <v>0</v>
      </c>
      <c r="AR97" s="496">
        <f>'AEP River'!AR71</f>
        <v>0</v>
      </c>
      <c r="AS97" s="578">
        <f>'AEP River'!AS71</f>
        <v>0</v>
      </c>
      <c r="AT97" s="579">
        <f>'AEP River'!AT71</f>
        <v>0</v>
      </c>
      <c r="AU97" s="579">
        <f>'AEP River'!AU71</f>
        <v>0</v>
      </c>
      <c r="AV97" s="580">
        <f>'AEP River'!AV71</f>
        <v>0</v>
      </c>
      <c r="AW97" s="496">
        <f>'AEP River'!AW71</f>
        <v>0</v>
      </c>
      <c r="AX97" s="578">
        <f>'AEP River'!AX71</f>
        <v>0</v>
      </c>
      <c r="AY97" s="579">
        <f>'AEP River'!AY71</f>
        <v>0</v>
      </c>
      <c r="AZ97" s="579">
        <f>'AEP River'!AZ71</f>
        <v>0</v>
      </c>
      <c r="BA97" s="580">
        <f>'AEP River'!BA71</f>
        <v>0</v>
      </c>
      <c r="BB97" s="496">
        <f>'AEP River'!BB71</f>
        <v>0</v>
      </c>
      <c r="BC97" s="578">
        <f>'AEP River'!BC71</f>
        <v>0</v>
      </c>
      <c r="BD97" s="579">
        <f>'AEP River'!BD71</f>
        <v>0</v>
      </c>
      <c r="BE97" s="579">
        <f>'AEP River'!BE71</f>
        <v>0</v>
      </c>
      <c r="BF97" s="580">
        <f>'AEP River'!BF71</f>
        <v>0</v>
      </c>
      <c r="BG97" s="496">
        <f>'AEP River'!BG71</f>
        <v>0</v>
      </c>
      <c r="BH97" s="578">
        <f>'AEP River'!BH71</f>
        <v>0</v>
      </c>
      <c r="BI97" s="579">
        <f>'AEP River'!BI71</f>
        <v>0</v>
      </c>
      <c r="BJ97" s="579">
        <f>'AEP River'!BJ71</f>
        <v>0</v>
      </c>
      <c r="BK97" s="580">
        <f>'AEP River'!BK71</f>
        <v>0</v>
      </c>
      <c r="BL97" s="496">
        <f>'AEP River'!BL71</f>
        <v>0</v>
      </c>
      <c r="BM97" s="578">
        <f>'AEP River'!BM71</f>
        <v>0</v>
      </c>
      <c r="BN97" s="579">
        <f>'AEP River'!BN71</f>
        <v>0</v>
      </c>
      <c r="BO97" s="579">
        <f>'AEP River'!BO71</f>
        <v>0</v>
      </c>
      <c r="BP97" s="580">
        <f>'AEP River'!BP71</f>
        <v>0</v>
      </c>
      <c r="BQ97" s="496">
        <f>'AEP River'!BQ71</f>
        <v>0</v>
      </c>
      <c r="BR97" s="491"/>
      <c r="BS97" s="491"/>
      <c r="BT97" s="491"/>
      <c r="BU97" s="491"/>
      <c r="BV97" s="491"/>
    </row>
    <row r="98" spans="1:99">
      <c r="C98" s="100" t="s">
        <v>877</v>
      </c>
      <c r="E98" s="148"/>
      <c r="F98" s="163"/>
      <c r="G98" s="163"/>
      <c r="H98" s="147"/>
      <c r="I98" s="74"/>
      <c r="J98" s="148"/>
      <c r="K98" s="163"/>
      <c r="L98" s="163"/>
      <c r="M98" s="147"/>
      <c r="N98" s="74"/>
      <c r="O98" s="148"/>
      <c r="P98" s="163"/>
      <c r="Q98" s="163"/>
      <c r="R98" s="147"/>
      <c r="S98" s="74"/>
      <c r="T98" s="148"/>
      <c r="U98" s="163"/>
      <c r="V98" s="163"/>
      <c r="W98" s="147"/>
      <c r="X98" s="74">
        <f>X99-X93-X95-X94-X96-X97</f>
        <v>-262</v>
      </c>
      <c r="Y98" s="148">
        <f t="shared" ref="Y98:AF98" si="96">Y99-Y93-Y95-Y94-Y96-Y97</f>
        <v>-131.44062500000001</v>
      </c>
      <c r="Z98" s="163">
        <f t="shared" si="96"/>
        <v>-180.44062500000001</v>
      </c>
      <c r="AA98" s="163">
        <f t="shared" si="96"/>
        <v>-130.44062500000001</v>
      </c>
      <c r="AB98" s="147">
        <f t="shared" si="96"/>
        <v>168.55937499999999</v>
      </c>
      <c r="AC98" s="74">
        <f t="shared" si="96"/>
        <v>-273.76250000000005</v>
      </c>
      <c r="AD98" s="148">
        <f t="shared" si="96"/>
        <v>-205.44062500000001</v>
      </c>
      <c r="AE98" s="163">
        <f t="shared" si="96"/>
        <v>-136.44062500000001</v>
      </c>
      <c r="AF98" s="163">
        <f t="shared" si="96"/>
        <v>-96.440625000000011</v>
      </c>
      <c r="AG98" s="147">
        <f t="shared" ref="AG98:AM98" si="97">AG99-AG93-AG95-AG94-AG96-AG97</f>
        <v>122.55937499999999</v>
      </c>
      <c r="AH98" s="74">
        <f t="shared" si="97"/>
        <v>-315.76250000000005</v>
      </c>
      <c r="AI98" s="148">
        <f t="shared" si="97"/>
        <v>-200.83455110313679</v>
      </c>
      <c r="AJ98" s="163">
        <f t="shared" si="97"/>
        <v>-172.83455110313679</v>
      </c>
      <c r="AK98" s="163">
        <f t="shared" si="97"/>
        <v>-176.83455110313679</v>
      </c>
      <c r="AL98" s="147">
        <f t="shared" si="97"/>
        <v>347.16544889686332</v>
      </c>
      <c r="AM98" s="74">
        <f t="shared" si="97"/>
        <v>-203.33820441254716</v>
      </c>
      <c r="AN98" s="578">
        <f t="shared" ref="AN98:AR98" si="98">AN99-AN93-AN95-AN94-AN96-AN97</f>
        <v>-9.875</v>
      </c>
      <c r="AO98" s="579">
        <f t="shared" si="98"/>
        <v>-131.07499999999982</v>
      </c>
      <c r="AP98" s="163">
        <f t="shared" si="98"/>
        <v>-112.17500000000018</v>
      </c>
      <c r="AQ98" s="147">
        <f t="shared" si="98"/>
        <v>180.72500000000036</v>
      </c>
      <c r="AR98" s="74">
        <f t="shared" si="98"/>
        <v>-72.399999999999636</v>
      </c>
      <c r="AS98" s="578">
        <f t="shared" ref="AS98:AW98" si="99">AS99-AS93-AS95-AS94-AS96-AS97</f>
        <v>-86.225000000000023</v>
      </c>
      <c r="AT98" s="579">
        <f t="shared" si="99"/>
        <v>-307.42499999999984</v>
      </c>
      <c r="AU98" s="163">
        <f t="shared" si="99"/>
        <v>-184.22500000000025</v>
      </c>
      <c r="AV98" s="147">
        <f t="shared" si="99"/>
        <v>461.0750000000005</v>
      </c>
      <c r="AW98" s="74">
        <f t="shared" si="99"/>
        <v>-116.79999999999973</v>
      </c>
      <c r="AX98" s="578">
        <f>-Parent!AX61</f>
        <v>9</v>
      </c>
      <c r="AY98" s="579">
        <f>-Parent!AY61</f>
        <v>9</v>
      </c>
      <c r="AZ98" s="579">
        <f>-Parent!AZ61</f>
        <v>9</v>
      </c>
      <c r="BA98" s="580">
        <f>-Parent!BA61</f>
        <v>9</v>
      </c>
      <c r="BB98" s="496">
        <f>SUM(AX98:BA98)</f>
        <v>36</v>
      </c>
      <c r="BC98" s="578">
        <f>-Parent!BC61</f>
        <v>4.25</v>
      </c>
      <c r="BD98" s="579">
        <f>-Parent!BD61</f>
        <v>4.25</v>
      </c>
      <c r="BE98" s="579">
        <f>-Parent!BE61</f>
        <v>4.25</v>
      </c>
      <c r="BF98" s="580">
        <f>-Parent!BF61</f>
        <v>4.25</v>
      </c>
      <c r="BG98" s="496">
        <f>SUM(BC98:BF98)</f>
        <v>17</v>
      </c>
      <c r="BH98" s="578">
        <f>-Parent!BH61</f>
        <v>9</v>
      </c>
      <c r="BI98" s="579">
        <f>-Parent!BI61</f>
        <v>9</v>
      </c>
      <c r="BJ98" s="579">
        <f>-Parent!BJ61</f>
        <v>9</v>
      </c>
      <c r="BK98" s="580">
        <f>-Parent!BK61</f>
        <v>9</v>
      </c>
      <c r="BL98" s="496">
        <f>SUM(BH98:BK98)</f>
        <v>36</v>
      </c>
      <c r="BM98" s="578">
        <f>-Parent!BM61</f>
        <v>9</v>
      </c>
      <c r="BN98" s="579">
        <f>-Parent!BN61</f>
        <v>9</v>
      </c>
      <c r="BO98" s="579">
        <f>-Parent!BO61</f>
        <v>9</v>
      </c>
      <c r="BP98" s="580">
        <f>-Parent!BP61</f>
        <v>9</v>
      </c>
      <c r="BQ98" s="496">
        <f>SUM(BM98:BP98)</f>
        <v>36</v>
      </c>
      <c r="BR98" s="491"/>
      <c r="BS98" s="541"/>
      <c r="BT98" s="491"/>
      <c r="BU98" s="491"/>
      <c r="BV98" s="491"/>
    </row>
    <row r="99" spans="1:99">
      <c r="A99" s="56"/>
      <c r="B99" s="56"/>
      <c r="C99" s="164" t="s">
        <v>33</v>
      </c>
      <c r="D99" s="56"/>
      <c r="E99" s="149"/>
      <c r="F99" s="156"/>
      <c r="G99" s="156"/>
      <c r="H99" s="151"/>
      <c r="I99" s="111"/>
      <c r="J99" s="149"/>
      <c r="K99" s="156"/>
      <c r="L99" s="156"/>
      <c r="M99" s="151"/>
      <c r="N99" s="111"/>
      <c r="O99" s="149"/>
      <c r="P99" s="156"/>
      <c r="Q99" s="156"/>
      <c r="R99" s="151"/>
      <c r="S99" s="111"/>
      <c r="T99" s="149"/>
      <c r="U99" s="156"/>
      <c r="V99" s="156"/>
      <c r="W99" s="151"/>
      <c r="X99" s="111">
        <f t="shared" ref="X99:AF99" si="100">-X141</f>
        <v>3025</v>
      </c>
      <c r="Y99" s="149">
        <f t="shared" si="100"/>
        <v>843</v>
      </c>
      <c r="Z99" s="156">
        <f t="shared" si="100"/>
        <v>794</v>
      </c>
      <c r="AA99" s="156">
        <f t="shared" si="100"/>
        <v>844</v>
      </c>
      <c r="AB99" s="151">
        <f t="shared" si="100"/>
        <v>1143</v>
      </c>
      <c r="AC99" s="111">
        <f t="shared" si="100"/>
        <v>3624</v>
      </c>
      <c r="AD99" s="149">
        <f t="shared" si="100"/>
        <v>907</v>
      </c>
      <c r="AE99" s="156">
        <f t="shared" si="100"/>
        <v>976</v>
      </c>
      <c r="AF99" s="156">
        <f t="shared" si="100"/>
        <v>1016</v>
      </c>
      <c r="AG99" s="151">
        <f t="shared" ref="AG99:AM99" si="101">-AG141</f>
        <v>1235</v>
      </c>
      <c r="AH99" s="111">
        <f t="shared" si="101"/>
        <v>4134</v>
      </c>
      <c r="AI99" s="149">
        <f t="shared" si="101"/>
        <v>1077</v>
      </c>
      <c r="AJ99" s="156">
        <f t="shared" si="101"/>
        <v>1105</v>
      </c>
      <c r="AK99" s="156">
        <f t="shared" si="101"/>
        <v>1101</v>
      </c>
      <c r="AL99" s="151">
        <f t="shared" si="101"/>
        <v>1225</v>
      </c>
      <c r="AM99" s="111">
        <f t="shared" si="101"/>
        <v>4508</v>
      </c>
      <c r="AN99" s="149">
        <f t="shared" ref="AN99:AS99" si="102">-AN141</f>
        <v>1203.5</v>
      </c>
      <c r="AO99" s="156">
        <f t="shared" si="102"/>
        <v>1082.3000000000002</v>
      </c>
      <c r="AP99" s="156">
        <f t="shared" si="102"/>
        <v>1101.1999999999998</v>
      </c>
      <c r="AQ99" s="151">
        <f t="shared" si="102"/>
        <v>1394.1000000000004</v>
      </c>
      <c r="AR99" s="111">
        <f t="shared" si="102"/>
        <v>4781.1000000000004</v>
      </c>
      <c r="AS99" s="149">
        <f t="shared" si="102"/>
        <v>1365.8</v>
      </c>
      <c r="AT99" s="156">
        <f>-AT141</f>
        <v>1144.6000000000001</v>
      </c>
      <c r="AU99" s="156">
        <f>-AU141</f>
        <v>1267.7999999999997</v>
      </c>
      <c r="AV99" s="151">
        <f t="shared" ref="AV99:AW99" si="103">-AV141</f>
        <v>1913.1000000000004</v>
      </c>
      <c r="AW99" s="111">
        <f t="shared" si="103"/>
        <v>5691.3</v>
      </c>
      <c r="AX99" s="149">
        <f t="shared" ref="AX99:BA99" si="104">SUM(AX93:AX98)</f>
        <v>1534.7083333333335</v>
      </c>
      <c r="AY99" s="156">
        <f t="shared" si="104"/>
        <v>1534.7083333333335</v>
      </c>
      <c r="AZ99" s="156">
        <f t="shared" si="104"/>
        <v>1534.7083333333335</v>
      </c>
      <c r="BA99" s="151">
        <f t="shared" si="104"/>
        <v>1534.7083333333333</v>
      </c>
      <c r="BB99" s="111">
        <f>SUM(BB93:BB98)</f>
        <v>6138.8333333333339</v>
      </c>
      <c r="BC99" s="149">
        <f t="shared" ref="BC99:BK99" si="105">SUM(BC93:BC98)</f>
        <v>1647.3333333333335</v>
      </c>
      <c r="BD99" s="156">
        <f t="shared" si="105"/>
        <v>1647.3333333333335</v>
      </c>
      <c r="BE99" s="156">
        <f t="shared" si="105"/>
        <v>1647.3333333333335</v>
      </c>
      <c r="BF99" s="151">
        <f t="shared" si="105"/>
        <v>1647.3333333333333</v>
      </c>
      <c r="BG99" s="111">
        <f>SUM(BG93:BG98)</f>
        <v>6589.3333333333339</v>
      </c>
      <c r="BH99" s="149">
        <f t="shared" si="105"/>
        <v>1446.0833333333335</v>
      </c>
      <c r="BI99" s="156">
        <f t="shared" si="105"/>
        <v>1446.0833333333335</v>
      </c>
      <c r="BJ99" s="156">
        <f t="shared" si="105"/>
        <v>1446.0833333333335</v>
      </c>
      <c r="BK99" s="151">
        <f t="shared" si="105"/>
        <v>1446.0833333333333</v>
      </c>
      <c r="BL99" s="111">
        <f t="shared" ref="BL99:BQ99" si="106">SUM(BL93:BL98)</f>
        <v>5784.3333333333339</v>
      </c>
      <c r="BM99" s="149">
        <f t="shared" si="106"/>
        <v>2782.5</v>
      </c>
      <c r="BN99" s="156">
        <f t="shared" si="106"/>
        <v>1332.5</v>
      </c>
      <c r="BO99" s="156">
        <f t="shared" si="106"/>
        <v>1332.5</v>
      </c>
      <c r="BP99" s="151">
        <f t="shared" si="106"/>
        <v>1332.5</v>
      </c>
      <c r="BQ99" s="111">
        <f t="shared" si="106"/>
        <v>6780</v>
      </c>
      <c r="BR99" s="545"/>
      <c r="BS99" s="1510">
        <f>BB99+BG99+BL99</f>
        <v>18512.5</v>
      </c>
      <c r="BT99" s="545" t="s">
        <v>1367</v>
      </c>
      <c r="BU99" s="515"/>
      <c r="BV99" s="515"/>
      <c r="BW99" s="56"/>
      <c r="BX99" s="56"/>
      <c r="CF99" s="56"/>
      <c r="CG99" s="56"/>
      <c r="CH99" s="56"/>
      <c r="CI99" s="56"/>
      <c r="CJ99" s="56"/>
      <c r="CK99" s="56"/>
      <c r="CL99" s="56"/>
      <c r="CM99" s="56"/>
      <c r="CN99" s="56"/>
      <c r="CO99" s="56"/>
      <c r="CP99" s="56"/>
      <c r="CQ99" s="56"/>
      <c r="CR99" s="56"/>
      <c r="CS99" s="56"/>
      <c r="CT99" s="56"/>
      <c r="CU99" s="56"/>
    </row>
    <row r="100" spans="1:99">
      <c r="E100" s="148"/>
      <c r="F100" s="163"/>
      <c r="G100" s="163"/>
      <c r="H100" s="147"/>
      <c r="I100" s="74"/>
      <c r="J100" s="148"/>
      <c r="K100" s="163"/>
      <c r="L100" s="163"/>
      <c r="M100" s="147"/>
      <c r="N100" s="74"/>
      <c r="O100" s="148"/>
      <c r="P100" s="163"/>
      <c r="Q100" s="163"/>
      <c r="R100" s="147"/>
      <c r="S100" s="74"/>
      <c r="T100" s="148"/>
      <c r="U100" s="163"/>
      <c r="V100" s="163"/>
      <c r="W100" s="147"/>
      <c r="X100" s="74"/>
      <c r="Y100" s="148"/>
      <c r="Z100" s="163"/>
      <c r="AA100" s="163"/>
      <c r="AB100" s="147"/>
      <c r="AC100" s="74"/>
      <c r="AD100" s="148"/>
      <c r="AE100" s="163"/>
      <c r="AF100" s="163"/>
      <c r="AG100" s="147"/>
      <c r="AH100" s="74"/>
      <c r="AI100" s="148"/>
      <c r="AJ100" s="163"/>
      <c r="AK100" s="163"/>
      <c r="AL100" s="147"/>
      <c r="AM100" s="74"/>
      <c r="AN100" s="148"/>
      <c r="AO100" s="163"/>
      <c r="AP100" s="163"/>
      <c r="AQ100" s="147"/>
      <c r="AR100" s="74"/>
      <c r="AS100" s="148"/>
      <c r="AT100" s="163"/>
      <c r="AU100" s="163"/>
      <c r="AV100" s="147"/>
      <c r="AW100" s="74"/>
      <c r="AX100" s="148"/>
      <c r="AY100" s="163"/>
      <c r="AZ100" s="163"/>
      <c r="BA100" s="147"/>
      <c r="BB100" s="74"/>
      <c r="BC100" s="148"/>
      <c r="BD100" s="163"/>
      <c r="BE100" s="163"/>
      <c r="BF100" s="147"/>
      <c r="BG100" s="74"/>
      <c r="BH100" s="148"/>
      <c r="BI100" s="163"/>
      <c r="BJ100" s="163"/>
      <c r="BK100" s="147"/>
      <c r="BL100" s="74"/>
      <c r="BM100" s="148"/>
      <c r="BN100" s="163"/>
      <c r="BO100" s="163"/>
      <c r="BP100" s="147"/>
      <c r="BQ100" s="74"/>
      <c r="BR100" s="491"/>
      <c r="BS100" s="541"/>
      <c r="BT100" s="491"/>
      <c r="BU100" s="491"/>
      <c r="BV100" s="491"/>
    </row>
    <row r="101" spans="1:99">
      <c r="C101" s="100" t="s">
        <v>596</v>
      </c>
      <c r="E101" s="188"/>
      <c r="F101" s="189"/>
      <c r="G101" s="189"/>
      <c r="H101" s="190"/>
      <c r="J101" s="188"/>
      <c r="K101" s="189"/>
      <c r="L101" s="189"/>
      <c r="M101" s="190"/>
      <c r="O101" s="188"/>
      <c r="P101" s="189"/>
      <c r="Q101" s="189"/>
      <c r="R101" s="190"/>
      <c r="T101" s="188"/>
      <c r="U101" s="189"/>
      <c r="V101" s="189"/>
      <c r="W101" s="190"/>
      <c r="Y101" s="188"/>
      <c r="Z101" s="189"/>
      <c r="AA101" s="189"/>
      <c r="AB101" s="190"/>
      <c r="AD101" s="188"/>
      <c r="AE101" s="189"/>
      <c r="AF101" s="189"/>
      <c r="AG101" s="190"/>
      <c r="AI101" s="188"/>
      <c r="AJ101" s="189"/>
      <c r="AK101" s="189"/>
      <c r="AL101" s="190"/>
      <c r="AN101" s="188"/>
      <c r="AO101" s="189"/>
      <c r="AP101" s="189"/>
      <c r="AQ101" s="190"/>
      <c r="AR101" s="496"/>
      <c r="AS101" s="188"/>
      <c r="AT101" s="189"/>
      <c r="AU101" s="189"/>
      <c r="AV101" s="190"/>
      <c r="AW101" s="496"/>
      <c r="AX101" s="578"/>
      <c r="AY101" s="579"/>
      <c r="AZ101" s="579"/>
      <c r="BA101" s="580"/>
      <c r="BB101" s="496">
        <f>'Generation &amp; Marketing'!BB322</f>
        <v>102.5</v>
      </c>
      <c r="BC101" s="578"/>
      <c r="BD101" s="579"/>
      <c r="BE101" s="579"/>
      <c r="BF101" s="580"/>
      <c r="BG101" s="496">
        <f>'Generation &amp; Marketing'!BG322</f>
        <v>75</v>
      </c>
      <c r="BH101" s="578"/>
      <c r="BI101" s="579"/>
      <c r="BJ101" s="579"/>
      <c r="BK101" s="580"/>
      <c r="BL101" s="496">
        <f>'Generation &amp; Marketing'!BL322</f>
        <v>75</v>
      </c>
      <c r="BM101" s="578"/>
      <c r="BN101" s="579"/>
      <c r="BO101" s="579"/>
      <c r="BP101" s="580"/>
      <c r="BQ101" s="496">
        <f>'Generation &amp; Marketing'!BQ322</f>
        <v>75</v>
      </c>
      <c r="BR101" s="491"/>
      <c r="BS101" s="491"/>
      <c r="BT101" s="491"/>
      <c r="BU101" s="491"/>
      <c r="BV101" s="491"/>
    </row>
    <row r="102" spans="1:99">
      <c r="E102" s="148">
        <f>-Parent!E65</f>
        <v>0</v>
      </c>
      <c r="F102" s="163">
        <f>-Parent!F65</f>
        <v>0</v>
      </c>
      <c r="G102" s="163">
        <f>-Parent!G65</f>
        <v>0</v>
      </c>
      <c r="H102" s="147">
        <f>-Parent!H65</f>
        <v>0</v>
      </c>
      <c r="I102" s="74"/>
      <c r="J102" s="148"/>
      <c r="K102" s="163"/>
      <c r="L102" s="163"/>
      <c r="M102" s="147"/>
      <c r="N102" s="74"/>
      <c r="O102" s="148"/>
      <c r="P102" s="163"/>
      <c r="Q102" s="163"/>
      <c r="R102" s="147"/>
      <c r="S102" s="74"/>
      <c r="T102" s="148"/>
      <c r="U102" s="163"/>
      <c r="V102" s="163"/>
      <c r="W102" s="147"/>
      <c r="X102" s="74"/>
      <c r="Y102" s="148"/>
      <c r="Z102" s="163"/>
      <c r="AA102" s="163"/>
      <c r="AB102" s="147"/>
      <c r="AC102" s="74"/>
      <c r="AD102" s="148"/>
      <c r="AE102" s="163"/>
      <c r="AF102" s="163"/>
      <c r="AG102" s="147"/>
      <c r="AH102" s="74"/>
      <c r="AI102" s="148"/>
      <c r="AJ102" s="163"/>
      <c r="AK102" s="163"/>
      <c r="AL102" s="147"/>
      <c r="AM102" s="74"/>
      <c r="AN102" s="148"/>
      <c r="AO102" s="163"/>
      <c r="AP102" s="163"/>
      <c r="AQ102" s="147"/>
      <c r="AR102" s="74"/>
      <c r="AS102" s="148"/>
      <c r="AT102" s="163"/>
      <c r="AU102" s="163"/>
      <c r="AV102" s="147"/>
      <c r="AW102" s="74"/>
      <c r="AX102" s="148"/>
      <c r="AY102" s="163"/>
      <c r="AZ102" s="163"/>
      <c r="BA102" s="147"/>
      <c r="BB102" s="74"/>
      <c r="BC102" s="148"/>
      <c r="BD102" s="163"/>
      <c r="BE102" s="163"/>
      <c r="BF102" s="147"/>
      <c r="BG102" s="74"/>
      <c r="BH102" s="148"/>
      <c r="BI102" s="163"/>
      <c r="BJ102" s="163"/>
      <c r="BK102" s="147"/>
      <c r="BL102" s="74"/>
      <c r="BM102" s="148"/>
      <c r="BN102" s="163"/>
      <c r="BO102" s="163"/>
      <c r="BP102" s="147"/>
      <c r="BQ102" s="74"/>
      <c r="BR102" s="491"/>
      <c r="BS102" s="491"/>
      <c r="BT102" s="491"/>
      <c r="BU102" s="491"/>
      <c r="BV102" s="491"/>
    </row>
    <row r="103" spans="1:99">
      <c r="E103" s="188"/>
      <c r="F103" s="189"/>
      <c r="G103" s="189"/>
      <c r="H103" s="190"/>
      <c r="J103" s="188"/>
      <c r="K103" s="189"/>
      <c r="L103" s="189"/>
      <c r="M103" s="190"/>
      <c r="O103" s="188"/>
      <c r="P103" s="189"/>
      <c r="Q103" s="189"/>
      <c r="R103" s="190"/>
      <c r="T103" s="188"/>
      <c r="U103" s="189"/>
      <c r="V103" s="189"/>
      <c r="W103" s="190"/>
      <c r="Y103" s="188"/>
      <c r="Z103" s="189"/>
      <c r="AA103" s="189"/>
      <c r="AB103" s="190"/>
      <c r="AD103" s="188"/>
      <c r="AE103" s="189"/>
      <c r="AF103" s="189"/>
      <c r="AG103" s="190"/>
      <c r="AI103" s="188"/>
      <c r="AJ103" s="189"/>
      <c r="AK103" s="189"/>
      <c r="AL103" s="190"/>
      <c r="AN103" s="188"/>
      <c r="AO103" s="189"/>
      <c r="AP103" s="189"/>
      <c r="AQ103" s="190"/>
      <c r="AS103" s="188"/>
      <c r="AT103" s="189"/>
      <c r="AU103" s="189"/>
      <c r="AV103" s="190"/>
      <c r="AX103" s="188"/>
      <c r="AY103" s="189"/>
      <c r="AZ103" s="189"/>
      <c r="BA103" s="190"/>
      <c r="BC103" s="188"/>
      <c r="BD103" s="189"/>
      <c r="BE103" s="189"/>
      <c r="BF103" s="190"/>
      <c r="BH103" s="188"/>
      <c r="BI103" s="189"/>
      <c r="BJ103" s="189"/>
      <c r="BK103" s="190"/>
      <c r="BM103" s="188"/>
      <c r="BN103" s="189"/>
      <c r="BO103" s="189"/>
      <c r="BP103" s="190"/>
      <c r="BR103" s="491"/>
      <c r="BS103" s="491"/>
      <c r="BT103" s="491"/>
      <c r="BU103" s="491"/>
      <c r="BV103" s="491"/>
    </row>
    <row r="104" spans="1:99">
      <c r="B104" s="46" t="s">
        <v>34</v>
      </c>
      <c r="C104" s="46"/>
      <c r="D104" s="47"/>
      <c r="E104" s="148"/>
      <c r="F104" s="163"/>
      <c r="G104" s="163"/>
      <c r="H104" s="147"/>
      <c r="I104" s="72"/>
      <c r="J104" s="148"/>
      <c r="K104" s="163"/>
      <c r="L104" s="163"/>
      <c r="M104" s="147"/>
      <c r="N104" s="72"/>
      <c r="O104" s="148"/>
      <c r="P104" s="163"/>
      <c r="Q104" s="163"/>
      <c r="R104" s="147"/>
      <c r="S104" s="72"/>
      <c r="T104" s="148"/>
      <c r="U104" s="163"/>
      <c r="V104" s="163"/>
      <c r="W104" s="147"/>
      <c r="X104" s="72"/>
      <c r="Y104" s="148"/>
      <c r="Z104" s="163"/>
      <c r="AA104" s="163"/>
      <c r="AB104" s="147"/>
      <c r="AC104" s="72"/>
      <c r="AD104" s="148"/>
      <c r="AE104" s="163"/>
      <c r="AF104" s="163"/>
      <c r="AG104" s="147"/>
      <c r="AH104" s="72"/>
      <c r="AI104" s="148"/>
      <c r="AJ104" s="163"/>
      <c r="AK104" s="163"/>
      <c r="AL104" s="147"/>
      <c r="AM104" s="74"/>
      <c r="AN104" s="148"/>
      <c r="AO104" s="163"/>
      <c r="AP104" s="163"/>
      <c r="AQ104" s="147"/>
      <c r="AR104" s="74"/>
      <c r="AS104" s="148"/>
      <c r="AT104" s="163"/>
      <c r="AU104" s="163"/>
      <c r="AV104" s="147"/>
      <c r="AW104" s="74"/>
      <c r="AX104" s="148"/>
      <c r="AY104" s="163"/>
      <c r="AZ104" s="163"/>
      <c r="BA104" s="147"/>
      <c r="BB104" s="74"/>
      <c r="BC104" s="148"/>
      <c r="BD104" s="163"/>
      <c r="BE104" s="163"/>
      <c r="BF104" s="147"/>
      <c r="BG104" s="74"/>
      <c r="BH104" s="148"/>
      <c r="BI104" s="163"/>
      <c r="BJ104" s="163"/>
      <c r="BK104" s="147"/>
      <c r="BL104" s="74"/>
      <c r="BM104" s="148"/>
      <c r="BN104" s="163"/>
      <c r="BO104" s="163"/>
      <c r="BP104" s="147"/>
      <c r="BQ104" s="74"/>
      <c r="BR104" s="491"/>
      <c r="BS104" s="491"/>
      <c r="BT104" s="491"/>
      <c r="BU104" s="491"/>
      <c r="BV104" s="491"/>
    </row>
    <row r="105" spans="1:99">
      <c r="C105" s="164" t="s">
        <v>35</v>
      </c>
      <c r="D105" s="72"/>
      <c r="E105" s="148"/>
      <c r="F105" s="163"/>
      <c r="G105" s="163"/>
      <c r="H105" s="147"/>
      <c r="I105" s="72"/>
      <c r="J105" s="148"/>
      <c r="K105" s="163"/>
      <c r="L105" s="163"/>
      <c r="M105" s="147"/>
      <c r="N105" s="72"/>
      <c r="O105" s="148"/>
      <c r="P105" s="163"/>
      <c r="Q105" s="163"/>
      <c r="R105" s="147"/>
      <c r="S105" s="72"/>
      <c r="T105" s="148"/>
      <c r="U105" s="163"/>
      <c r="V105" s="163"/>
      <c r="W105" s="147"/>
      <c r="X105" s="72"/>
      <c r="Y105" s="148"/>
      <c r="Z105" s="163"/>
      <c r="AA105" s="163"/>
      <c r="AB105" s="147"/>
      <c r="AC105" s="72"/>
      <c r="AD105" s="148"/>
      <c r="AE105" s="163"/>
      <c r="AF105" s="163"/>
      <c r="AG105" s="147"/>
      <c r="AH105" s="72"/>
      <c r="AI105" s="148"/>
      <c r="AJ105" s="163"/>
      <c r="AK105" s="163"/>
      <c r="AL105" s="147"/>
      <c r="AM105" s="74"/>
      <c r="AN105" s="148"/>
      <c r="AO105" s="163"/>
      <c r="AP105" s="163"/>
      <c r="AQ105" s="147"/>
      <c r="AR105" s="74"/>
      <c r="AS105" s="148"/>
      <c r="AT105" s="163"/>
      <c r="AU105" s="163"/>
      <c r="AV105" s="147"/>
      <c r="AW105" s="74"/>
      <c r="AX105" s="148"/>
      <c r="AY105" s="163"/>
      <c r="AZ105" s="163"/>
      <c r="BA105" s="147"/>
      <c r="BB105" s="74"/>
      <c r="BC105" s="148"/>
      <c r="BD105" s="163"/>
      <c r="BE105" s="163"/>
      <c r="BF105" s="147"/>
      <c r="BG105" s="74"/>
      <c r="BH105" s="148"/>
      <c r="BI105" s="163"/>
      <c r="BJ105" s="163"/>
      <c r="BK105" s="147"/>
      <c r="BL105" s="74"/>
      <c r="BM105" s="148"/>
      <c r="BN105" s="163"/>
      <c r="BO105" s="163"/>
      <c r="BP105" s="147"/>
      <c r="BQ105" s="74"/>
      <c r="BR105" s="491"/>
      <c r="BS105" s="491"/>
      <c r="BT105" s="491"/>
      <c r="BU105" s="491"/>
      <c r="BV105" s="491"/>
    </row>
    <row r="106" spans="1:99">
      <c r="C106" s="100" t="s">
        <v>36</v>
      </c>
      <c r="D106" s="109"/>
      <c r="E106" s="161">
        <f t="shared" ref="E106:Q106" si="107">+E145</f>
        <v>947</v>
      </c>
      <c r="F106" s="160">
        <f t="shared" si="107"/>
        <v>128</v>
      </c>
      <c r="G106" s="160">
        <f t="shared" si="107"/>
        <v>837</v>
      </c>
      <c r="H106" s="144">
        <f t="shared" si="107"/>
        <v>394</v>
      </c>
      <c r="I106" s="109">
        <f t="shared" si="107"/>
        <v>2306</v>
      </c>
      <c r="J106" s="161">
        <f t="shared" si="107"/>
        <v>652</v>
      </c>
      <c r="K106" s="160">
        <f t="shared" si="107"/>
        <v>509</v>
      </c>
      <c r="L106" s="160">
        <f t="shared" si="107"/>
        <v>40</v>
      </c>
      <c r="M106" s="144">
        <f t="shared" si="107"/>
        <v>69</v>
      </c>
      <c r="N106" s="109">
        <f t="shared" si="107"/>
        <v>1270</v>
      </c>
      <c r="O106" s="161">
        <f t="shared" si="107"/>
        <v>1014</v>
      </c>
      <c r="P106" s="160">
        <f t="shared" si="107"/>
        <v>60</v>
      </c>
      <c r="Q106" s="160">
        <f t="shared" si="107"/>
        <v>44</v>
      </c>
      <c r="R106" s="144">
        <f t="shared" ref="R106:V107" si="108">+R145</f>
        <v>210</v>
      </c>
      <c r="S106" s="109">
        <f t="shared" si="108"/>
        <v>1328</v>
      </c>
      <c r="T106" s="161">
        <f t="shared" si="108"/>
        <v>1132</v>
      </c>
      <c r="U106" s="160">
        <f t="shared" si="108"/>
        <v>129</v>
      </c>
      <c r="V106" s="160">
        <f t="shared" si="108"/>
        <v>339</v>
      </c>
      <c r="W106" s="144">
        <f t="shared" ref="W106:Y107" si="109">+W145</f>
        <v>1256</v>
      </c>
      <c r="X106" s="109">
        <f>+X145</f>
        <v>2856</v>
      </c>
      <c r="Y106" s="1202">
        <f t="shared" si="109"/>
        <v>671</v>
      </c>
      <c r="Z106" s="1204">
        <f t="shared" ref="Z106:AF106" si="110">+Z145</f>
        <v>270</v>
      </c>
      <c r="AA106" s="1204">
        <f t="shared" si="110"/>
        <v>1146</v>
      </c>
      <c r="AB106" s="1205">
        <f t="shared" si="110"/>
        <v>1120</v>
      </c>
      <c r="AC106" s="1206">
        <f t="shared" si="110"/>
        <v>3207</v>
      </c>
      <c r="AD106" s="1202">
        <f t="shared" si="110"/>
        <v>76</v>
      </c>
      <c r="AE106" s="1204">
        <f t="shared" si="110"/>
        <v>863</v>
      </c>
      <c r="AF106" s="1204">
        <f t="shared" si="110"/>
        <v>267</v>
      </c>
      <c r="AG106" s="1205">
        <f t="shared" ref="AG106:AK107" si="111">+AG145</f>
        <v>861</v>
      </c>
      <c r="AH106" s="1206">
        <f t="shared" si="111"/>
        <v>2067</v>
      </c>
      <c r="AI106" s="1202">
        <f t="shared" si="111"/>
        <v>774</v>
      </c>
      <c r="AJ106" s="1204">
        <f t="shared" si="111"/>
        <v>1829</v>
      </c>
      <c r="AK106" s="1204">
        <f t="shared" si="111"/>
        <v>328</v>
      </c>
      <c r="AL106" s="1205">
        <f t="shared" ref="AL106:AP107" si="112">+AL145</f>
        <v>505.59999999999991</v>
      </c>
      <c r="AM106" s="1206">
        <f t="shared" si="112"/>
        <v>3436.6</v>
      </c>
      <c r="AN106" s="1202">
        <f t="shared" si="112"/>
        <v>525.1</v>
      </c>
      <c r="AO106" s="1204">
        <f t="shared" si="112"/>
        <v>218.29999999999995</v>
      </c>
      <c r="AP106" s="1204">
        <f t="shared" si="112"/>
        <v>816.19999999999993</v>
      </c>
      <c r="AQ106" s="1205">
        <f t="shared" ref="AQ106:AT107" si="113">+AQ145</f>
        <v>1035.3000000000002</v>
      </c>
      <c r="AR106" s="1206">
        <f t="shared" si="113"/>
        <v>2594.9</v>
      </c>
      <c r="AS106" s="1202">
        <f t="shared" si="113"/>
        <v>82.9</v>
      </c>
      <c r="AT106" s="1204">
        <f t="shared" si="113"/>
        <v>967.1</v>
      </c>
      <c r="AU106" s="1204">
        <f>+AU145</f>
        <v>1692.6999999999998</v>
      </c>
      <c r="AV106" s="1205">
        <f t="shared" ref="AV106:AW106" si="114">+AV145</f>
        <v>1111.4000000000001</v>
      </c>
      <c r="AW106" s="1206">
        <f t="shared" si="114"/>
        <v>3854.1</v>
      </c>
      <c r="AX106" s="161">
        <f>Debt!AV11</f>
        <v>0</v>
      </c>
      <c r="AY106" s="160">
        <f>Debt!AW11</f>
        <v>2332.7076957960949</v>
      </c>
      <c r="AZ106" s="160">
        <f>Debt!AX11</f>
        <v>1810</v>
      </c>
      <c r="BA106" s="144">
        <f>Debt!AY11</f>
        <v>825</v>
      </c>
      <c r="BB106" s="109">
        <f>Debt!AZ11</f>
        <v>4967.7076957960944</v>
      </c>
      <c r="BC106" s="161">
        <f>Debt!BA11</f>
        <v>0</v>
      </c>
      <c r="BD106" s="160">
        <f>Debt!BB11</f>
        <v>0</v>
      </c>
      <c r="BE106" s="160">
        <f>Debt!BC11</f>
        <v>5899.6071560574965</v>
      </c>
      <c r="BF106" s="144">
        <f>Debt!BD11</f>
        <v>0</v>
      </c>
      <c r="BG106" s="109">
        <f>Debt!BE11</f>
        <v>5899.6071560574965</v>
      </c>
      <c r="BH106" s="161">
        <f>Debt!BF11</f>
        <v>1020</v>
      </c>
      <c r="BI106" s="160">
        <f>Debt!BG11</f>
        <v>0</v>
      </c>
      <c r="BJ106" s="160">
        <f>Debt!BH11</f>
        <v>1652.5009312114989</v>
      </c>
      <c r="BK106" s="144">
        <f>Debt!BI11</f>
        <v>0</v>
      </c>
      <c r="BL106" s="109">
        <f>Debt!BJ11</f>
        <v>2672.5009312114989</v>
      </c>
      <c r="BM106" s="161">
        <f>Debt!BK11</f>
        <v>0</v>
      </c>
      <c r="BN106" s="160">
        <f>Debt!BL11</f>
        <v>0</v>
      </c>
      <c r="BO106" s="160">
        <f>Debt!BM11</f>
        <v>4233.1441971252571</v>
      </c>
      <c r="BP106" s="144">
        <f>Debt!BN11</f>
        <v>0</v>
      </c>
      <c r="BQ106" s="109">
        <f>Debt!BO11</f>
        <v>4233.1441971252571</v>
      </c>
      <c r="BR106" s="491"/>
      <c r="BS106" s="491"/>
      <c r="BT106" s="491"/>
      <c r="BU106" s="491"/>
      <c r="BV106" s="491"/>
    </row>
    <row r="107" spans="1:99">
      <c r="C107" s="100" t="s">
        <v>37</v>
      </c>
      <c r="D107" s="109"/>
      <c r="E107" s="161">
        <f t="shared" ref="E107:Q107" si="115">+E146</f>
        <v>-116</v>
      </c>
      <c r="F107" s="160">
        <f t="shared" si="115"/>
        <v>-298</v>
      </c>
      <c r="G107" s="160">
        <f t="shared" si="115"/>
        <v>-307</v>
      </c>
      <c r="H107" s="144">
        <f t="shared" si="115"/>
        <v>-177</v>
      </c>
      <c r="I107" s="109">
        <f t="shared" si="115"/>
        <v>-898</v>
      </c>
      <c r="J107" s="161">
        <f t="shared" si="115"/>
        <v>-662</v>
      </c>
      <c r="K107" s="160">
        <f t="shared" si="115"/>
        <v>-728</v>
      </c>
      <c r="L107" s="160">
        <f t="shared" si="115"/>
        <v>-138</v>
      </c>
      <c r="M107" s="144">
        <f t="shared" si="115"/>
        <v>-560</v>
      </c>
      <c r="N107" s="109">
        <f t="shared" si="115"/>
        <v>-2088</v>
      </c>
      <c r="O107" s="161">
        <f t="shared" si="115"/>
        <v>-794</v>
      </c>
      <c r="P107" s="160">
        <f t="shared" si="115"/>
        <v>-504</v>
      </c>
      <c r="Q107" s="160">
        <f t="shared" si="115"/>
        <v>-275</v>
      </c>
      <c r="R107" s="144">
        <f t="shared" si="108"/>
        <v>-163</v>
      </c>
      <c r="S107" s="109">
        <f t="shared" si="108"/>
        <v>-1736</v>
      </c>
      <c r="T107" s="161">
        <f t="shared" si="108"/>
        <v>-357</v>
      </c>
      <c r="U107" s="160">
        <f t="shared" si="108"/>
        <v>-166</v>
      </c>
      <c r="V107" s="160">
        <f t="shared" si="108"/>
        <v>-434</v>
      </c>
      <c r="W107" s="144">
        <f t="shared" si="109"/>
        <v>-757</v>
      </c>
      <c r="X107" s="109">
        <f t="shared" si="109"/>
        <v>-1714</v>
      </c>
      <c r="Y107" s="1202">
        <f t="shared" si="109"/>
        <v>-874</v>
      </c>
      <c r="Z107" s="1204">
        <f t="shared" ref="Z107:AF107" si="116">+Z146</f>
        <v>-232</v>
      </c>
      <c r="AA107" s="1204">
        <f t="shared" si="116"/>
        <v>-1228</v>
      </c>
      <c r="AB107" s="1205">
        <f t="shared" si="116"/>
        <v>-346</v>
      </c>
      <c r="AC107" s="1206">
        <f t="shared" si="116"/>
        <v>-2680</v>
      </c>
      <c r="AD107" s="1202">
        <f t="shared" si="116"/>
        <v>-403</v>
      </c>
      <c r="AE107" s="1204">
        <f t="shared" si="116"/>
        <v>-862</v>
      </c>
      <c r="AF107" s="1204">
        <f t="shared" si="116"/>
        <v>-364</v>
      </c>
      <c r="AG107" s="1205">
        <f t="shared" si="111"/>
        <v>-271</v>
      </c>
      <c r="AH107" s="1206">
        <f t="shared" si="111"/>
        <v>-1900</v>
      </c>
      <c r="AI107" s="1202">
        <f t="shared" si="111"/>
        <v>-270</v>
      </c>
      <c r="AJ107" s="1204">
        <f t="shared" si="111"/>
        <v>-1514</v>
      </c>
      <c r="AK107" s="1204">
        <f t="shared" si="111"/>
        <v>-421</v>
      </c>
      <c r="AL107" s="1205">
        <f t="shared" si="112"/>
        <v>-384.59999999999991</v>
      </c>
      <c r="AM107" s="1206">
        <f t="shared" si="112"/>
        <v>-2589.6</v>
      </c>
      <c r="AN107" s="1202">
        <f t="shared" si="112"/>
        <v>-347.29999999999995</v>
      </c>
      <c r="AO107" s="1204">
        <f t="shared" si="112"/>
        <v>-487.80000000000007</v>
      </c>
      <c r="AP107" s="1204">
        <f t="shared" si="112"/>
        <v>-554.4</v>
      </c>
      <c r="AQ107" s="1205">
        <f t="shared" si="113"/>
        <v>-512</v>
      </c>
      <c r="AR107" s="1206">
        <f t="shared" si="113"/>
        <v>-1901.5</v>
      </c>
      <c r="AS107" s="1202">
        <f t="shared" si="113"/>
        <v>-1303.8</v>
      </c>
      <c r="AT107" s="1204">
        <f t="shared" si="113"/>
        <v>-673.7</v>
      </c>
      <c r="AU107" s="1204">
        <f>+AU146</f>
        <v>-546.29999999999973</v>
      </c>
      <c r="AV107" s="1205">
        <f t="shared" ref="AV107:AW107" si="117">+AV146</f>
        <v>-564.10000000000036</v>
      </c>
      <c r="AW107" s="1206">
        <f t="shared" si="117"/>
        <v>-3087.9</v>
      </c>
      <c r="AX107" s="161">
        <f>+Debt!AV10</f>
        <v>-451.66203899999999</v>
      </c>
      <c r="AY107" s="160">
        <f>+Debt!AW10</f>
        <v>-580</v>
      </c>
      <c r="AZ107" s="160">
        <f>+Debt!AX10</f>
        <v>0</v>
      </c>
      <c r="BA107" s="144">
        <f>+Debt!AY10</f>
        <v>-250</v>
      </c>
      <c r="BB107" s="109">
        <f>+Debt!AZ10</f>
        <v>-1281.662039</v>
      </c>
      <c r="BC107" s="161">
        <f>+Debt!BA10</f>
        <v>-928.5</v>
      </c>
      <c r="BD107" s="160">
        <f>+Debt!BB10</f>
        <v>-152.55974000000001</v>
      </c>
      <c r="BE107" s="160">
        <f>+Debt!BC10</f>
        <v>-294.878311</v>
      </c>
      <c r="BF107" s="144">
        <f>+Debt!BD10</f>
        <v>-476.29063500000001</v>
      </c>
      <c r="BG107" s="109">
        <f>+Debt!BE10</f>
        <v>-1852.2286859999999</v>
      </c>
      <c r="BH107" s="161">
        <f>+Debt!BF10</f>
        <v>0</v>
      </c>
      <c r="BI107" s="160">
        <f>+Debt!BG10</f>
        <v>-332.12924299999997</v>
      </c>
      <c r="BJ107" s="160">
        <f>+Debt!BH10</f>
        <v>-494.7</v>
      </c>
      <c r="BK107" s="144">
        <f>+Debt!BI10</f>
        <v>-42.767795999999997</v>
      </c>
      <c r="BL107" s="109">
        <f>+Debt!BJ10</f>
        <v>-869.597039</v>
      </c>
      <c r="BM107" s="161">
        <f>+Debt!BK10</f>
        <v>-652</v>
      </c>
      <c r="BN107" s="160">
        <f>+Debt!BL10</f>
        <v>-133.81298200000001</v>
      </c>
      <c r="BO107" s="160">
        <f>+Debt!BM10</f>
        <v>0</v>
      </c>
      <c r="BP107" s="144">
        <f>+Debt!BN10</f>
        <v>-567.5</v>
      </c>
      <c r="BQ107" s="109">
        <f>+Debt!BO10</f>
        <v>-1353.3129819999999</v>
      </c>
      <c r="BR107" s="491"/>
      <c r="BS107" s="491"/>
      <c r="BT107" s="491"/>
      <c r="BU107" s="491"/>
      <c r="BV107" s="491"/>
    </row>
    <row r="108" spans="1:99">
      <c r="C108" s="100"/>
      <c r="D108" s="109"/>
      <c r="E108" s="161"/>
      <c r="F108" s="162"/>
      <c r="G108" s="162"/>
      <c r="H108" s="144"/>
      <c r="I108" s="109"/>
      <c r="J108" s="161"/>
      <c r="K108" s="162"/>
      <c r="L108" s="162"/>
      <c r="M108" s="144"/>
      <c r="N108" s="109"/>
      <c r="O108" s="161"/>
      <c r="P108" s="162"/>
      <c r="Q108" s="162"/>
      <c r="R108" s="144"/>
      <c r="S108" s="109"/>
      <c r="T108" s="161"/>
      <c r="U108" s="162"/>
      <c r="V108" s="162"/>
      <c r="W108" s="144"/>
      <c r="X108" s="109"/>
      <c r="Y108" s="161"/>
      <c r="Z108" s="162"/>
      <c r="AA108" s="162"/>
      <c r="AB108" s="144"/>
      <c r="AC108" s="109"/>
      <c r="AD108" s="161"/>
      <c r="AE108" s="162"/>
      <c r="AF108" s="162"/>
      <c r="AG108" s="144"/>
      <c r="AH108" s="109"/>
      <c r="AI108" s="161"/>
      <c r="AJ108" s="162"/>
      <c r="AK108" s="162"/>
      <c r="AL108" s="144"/>
      <c r="AM108" s="109"/>
      <c r="AN108" s="161"/>
      <c r="AO108" s="162"/>
      <c r="AP108" s="162"/>
      <c r="AQ108" s="144"/>
      <c r="AR108" s="109"/>
      <c r="AS108" s="161"/>
      <c r="AT108" s="162"/>
      <c r="AU108" s="162"/>
      <c r="AV108" s="144"/>
      <c r="AW108" s="109"/>
      <c r="AX108" s="161"/>
      <c r="AY108" s="162"/>
      <c r="AZ108" s="162"/>
      <c r="BA108" s="144"/>
      <c r="BB108" s="109"/>
      <c r="BC108" s="161"/>
      <c r="BD108" s="162"/>
      <c r="BE108" s="162"/>
      <c r="BF108" s="144"/>
      <c r="BG108" s="109"/>
      <c r="BH108" s="161"/>
      <c r="BI108" s="162"/>
      <c r="BJ108" s="162"/>
      <c r="BK108" s="144"/>
      <c r="BL108" s="109"/>
      <c r="BM108" s="161"/>
      <c r="BN108" s="162"/>
      <c r="BO108" s="162"/>
      <c r="BP108" s="144"/>
      <c r="BQ108" s="109"/>
      <c r="BR108" s="491"/>
      <c r="BS108" s="491"/>
      <c r="BT108" s="491"/>
      <c r="BU108" s="491"/>
      <c r="BV108" s="491"/>
    </row>
    <row r="109" spans="1:99">
      <c r="C109" s="164" t="s">
        <v>5</v>
      </c>
      <c r="D109" s="109"/>
      <c r="E109" s="161"/>
      <c r="F109" s="162"/>
      <c r="G109" s="162"/>
      <c r="H109" s="144"/>
      <c r="I109" s="109"/>
      <c r="J109" s="161"/>
      <c r="K109" s="162"/>
      <c r="L109" s="162"/>
      <c r="M109" s="144"/>
      <c r="N109" s="109"/>
      <c r="O109" s="223"/>
      <c r="P109" s="224"/>
      <c r="Q109" s="160"/>
      <c r="R109" s="144"/>
      <c r="S109" s="109"/>
      <c r="T109" s="223"/>
      <c r="U109" s="224"/>
      <c r="V109" s="160"/>
      <c r="W109" s="144"/>
      <c r="X109" s="109"/>
      <c r="Y109" s="223"/>
      <c r="Z109" s="160"/>
      <c r="AA109" s="160"/>
      <c r="AB109" s="144"/>
      <c r="AC109" s="109"/>
      <c r="AD109" s="223"/>
      <c r="AE109" s="160"/>
      <c r="AF109" s="160"/>
      <c r="AG109" s="144"/>
      <c r="AH109" s="109"/>
      <c r="AI109" s="161"/>
      <c r="AJ109" s="160"/>
      <c r="AK109" s="160"/>
      <c r="AL109" s="144"/>
      <c r="AM109" s="109"/>
      <c r="AN109" s="161"/>
      <c r="AO109" s="160"/>
      <c r="AP109" s="160"/>
      <c r="AQ109" s="144"/>
      <c r="AR109" s="109"/>
      <c r="AS109" s="161"/>
      <c r="AT109" s="160"/>
      <c r="AU109" s="160"/>
      <c r="AV109" s="144"/>
      <c r="AW109" s="109"/>
      <c r="AX109" s="161"/>
      <c r="AY109" s="160"/>
      <c r="AZ109" s="160"/>
      <c r="BA109" s="144"/>
      <c r="BB109" s="109"/>
      <c r="BC109" s="161"/>
      <c r="BD109" s="160"/>
      <c r="BE109" s="160"/>
      <c r="BF109" s="144"/>
      <c r="BG109" s="109"/>
      <c r="BH109" s="161"/>
      <c r="BI109" s="160"/>
      <c r="BJ109" s="160"/>
      <c r="BK109" s="144"/>
      <c r="BL109" s="109"/>
      <c r="BM109" s="161"/>
      <c r="BN109" s="160"/>
      <c r="BO109" s="160"/>
      <c r="BP109" s="144"/>
      <c r="BQ109" s="109"/>
      <c r="BR109" s="491"/>
      <c r="BS109" s="491"/>
      <c r="BT109" s="491"/>
      <c r="BU109" s="491"/>
      <c r="BV109" s="491"/>
    </row>
    <row r="110" spans="1:99">
      <c r="C110" s="100" t="s">
        <v>38</v>
      </c>
      <c r="D110" s="109"/>
      <c r="E110" s="161"/>
      <c r="F110" s="162"/>
      <c r="G110" s="162"/>
      <c r="H110" s="144"/>
      <c r="I110" s="109"/>
      <c r="J110" s="161"/>
      <c r="K110" s="162"/>
      <c r="L110" s="162"/>
      <c r="M110" s="144"/>
      <c r="N110" s="109"/>
      <c r="O110" s="161"/>
      <c r="P110" s="160"/>
      <c r="Q110" s="160"/>
      <c r="R110" s="144"/>
      <c r="S110" s="109"/>
      <c r="T110" s="161"/>
      <c r="U110" s="160"/>
      <c r="V110" s="160"/>
      <c r="W110" s="144"/>
      <c r="X110" s="109"/>
      <c r="Y110" s="161"/>
      <c r="Z110" s="160"/>
      <c r="AA110" s="160"/>
      <c r="AB110" s="144"/>
      <c r="AC110" s="109"/>
      <c r="AD110" s="161"/>
      <c r="AE110" s="160"/>
      <c r="AF110" s="160"/>
      <c r="AG110" s="144"/>
      <c r="AH110" s="109"/>
      <c r="AI110" s="161"/>
      <c r="AJ110" s="160"/>
      <c r="AK110" s="160"/>
      <c r="AL110" s="144"/>
      <c r="AM110" s="109"/>
      <c r="AN110" s="161"/>
      <c r="AO110" s="160"/>
      <c r="AP110" s="160"/>
      <c r="AQ110" s="144"/>
      <c r="AR110" s="109"/>
      <c r="AS110" s="161"/>
      <c r="AT110" s="160"/>
      <c r="AU110" s="160"/>
      <c r="AV110" s="144"/>
      <c r="AW110" s="109"/>
      <c r="AX110" s="161">
        <f>(((AW183-AS183)*AX115)/4)-((AW164-AS164)*(AX115-1%)/4)</f>
        <v>0.41399999999999959</v>
      </c>
      <c r="AY110" s="160">
        <f>(((AX183-AT183)*AY115)/4)-((AX164-AT164)*(AY115-1%)/4)</f>
        <v>3.9167839640762896</v>
      </c>
      <c r="AZ110" s="160">
        <f>(((AY183-AU183)*AZ115)/4)-((AY164-AU164)*(AZ115-1%)/4)</f>
        <v>3.467621633134879</v>
      </c>
      <c r="BA110" s="144">
        <f>(((AZ183-AV183)*BA115)/4)-((AZ164-AV164)*(BA115-1%)/4)</f>
        <v>-6.2842809978506819</v>
      </c>
      <c r="BB110" s="109">
        <f>+SUM(AX110:BA110)</f>
        <v>1.5141245993604864</v>
      </c>
      <c r="BC110" s="161">
        <f>(((BB183-AX183)*BC115)/4)-((BB164-AX164)*(BC115-1%)/4)</f>
        <v>-10.523263272133955</v>
      </c>
      <c r="BD110" s="160">
        <f>(((BC183-AY183)*BD115)/4)-((BC164-AY164)*(BD115-1%)/4)</f>
        <v>3.0052102686474815</v>
      </c>
      <c r="BE110" s="160">
        <f>(((BD183-AZ183)*BE115)/4)-((BD164-AZ164)*(BE115-1%)/4)</f>
        <v>14.934241112206225</v>
      </c>
      <c r="BF110" s="144">
        <f>(((BE183-BA183)*BF115)/4)-((BE164-BA164)*(BF115-1%)/4)</f>
        <v>-6.183586012385561</v>
      </c>
      <c r="BG110" s="109">
        <f>+SUM(BC110:BF110)</f>
        <v>1.2326020963341904</v>
      </c>
      <c r="BH110" s="161">
        <f>(((BG183-BC183)*BH115)/4)-((BG164-BC164)*(BH115-1%)/4)</f>
        <v>-11.353697285114384</v>
      </c>
      <c r="BI110" s="160">
        <f>(((BH183-BD183)*BI115)/4)-((BH164-BD164)*(BI115-1%)/4)</f>
        <v>-18.015819405992403</v>
      </c>
      <c r="BJ110" s="160">
        <f>(((BI183-BE183)*BJ115)/4)-((BI164-BE164)*(BJ115-1%)/4)</f>
        <v>5.2346594120877761</v>
      </c>
      <c r="BK110" s="144">
        <f>(((BJ183-BF183)*BK115)/4)-((BJ164-BF164)*(BK115-1%)/4)</f>
        <v>-0.80578961600699273</v>
      </c>
      <c r="BL110" s="109">
        <f>+SUM(BH110:BK110)</f>
        <v>-24.940646895026006</v>
      </c>
      <c r="BM110" s="161">
        <f>(((BL183-BH183)*BM115)/4)-((BL164-BH164)*(BM115-1%)/4)</f>
        <v>2.3897521990867721</v>
      </c>
      <c r="BN110" s="160">
        <f>(((BM183-BI183)*BN115)/4)-((BM164-BI164)*(BN115-1%)/4)</f>
        <v>11.178954832858112</v>
      </c>
      <c r="BO110" s="160">
        <f>(((BN183-BJ183)*BO115)/4)-((BN164-BJ164)*(BO115-1%)/4)</f>
        <v>16.016927004798319</v>
      </c>
      <c r="BP110" s="144">
        <f>(((BO183-BK183)*BP115)/4)-((BO164-BK164)*(BP115-1%)/4)</f>
        <v>-3.460900241461522</v>
      </c>
      <c r="BQ110" s="109">
        <f>+SUM(BM110:BP110)</f>
        <v>26.124733795281678</v>
      </c>
      <c r="BR110" s="491"/>
      <c r="BS110" s="491"/>
      <c r="BT110" s="491"/>
      <c r="BU110" s="491"/>
      <c r="BV110" s="491"/>
    </row>
    <row r="111" spans="1:99">
      <c r="C111" s="100" t="s">
        <v>39</v>
      </c>
      <c r="D111" s="109"/>
      <c r="E111" s="161"/>
      <c r="F111" s="162"/>
      <c r="G111" s="162"/>
      <c r="H111" s="144"/>
      <c r="I111" s="109"/>
      <c r="J111" s="161"/>
      <c r="K111" s="162"/>
      <c r="L111" s="162"/>
      <c r="M111" s="144"/>
      <c r="N111" s="109"/>
      <c r="O111" s="161"/>
      <c r="P111" s="160"/>
      <c r="Q111" s="222"/>
      <c r="R111" s="144"/>
      <c r="S111" s="109"/>
      <c r="T111" s="161"/>
      <c r="U111" s="160"/>
      <c r="V111" s="222"/>
      <c r="W111" s="144"/>
      <c r="X111" s="109"/>
      <c r="Y111" s="161"/>
      <c r="Z111" s="160"/>
      <c r="AA111" s="160"/>
      <c r="AB111" s="144"/>
      <c r="AC111" s="109"/>
      <c r="AD111" s="161"/>
      <c r="AE111" s="160"/>
      <c r="AF111" s="160"/>
      <c r="AG111" s="144"/>
      <c r="AH111" s="109"/>
      <c r="AI111" s="161"/>
      <c r="AJ111" s="160"/>
      <c r="AK111" s="160"/>
      <c r="AL111" s="144"/>
      <c r="AM111" s="109"/>
      <c r="AN111" s="161"/>
      <c r="AO111" s="160"/>
      <c r="AP111" s="160"/>
      <c r="AQ111" s="144"/>
      <c r="AR111" s="109"/>
      <c r="AS111" s="161"/>
      <c r="AT111" s="160"/>
      <c r="AU111" s="160"/>
      <c r="AV111" s="144"/>
      <c r="AW111" s="109"/>
      <c r="AX111" s="161">
        <f>Debt!DA11</f>
        <v>23.103125000000002</v>
      </c>
      <c r="AY111" s="160">
        <f>Debt!DB11</f>
        <v>43.160846197451185</v>
      </c>
      <c r="AZ111" s="160">
        <f>Debt!DC11</f>
        <v>57.435179530784524</v>
      </c>
      <c r="BA111" s="144">
        <f>Debt!DD11</f>
        <v>62.096346197451183</v>
      </c>
      <c r="BB111" s="109">
        <f>Debt!DE11</f>
        <v>185.7954969256869</v>
      </c>
      <c r="BC111" s="161">
        <f>Debt!DF11</f>
        <v>62.096346197451183</v>
      </c>
      <c r="BD111" s="160">
        <f>Debt!DG11</f>
        <v>32.9375</v>
      </c>
      <c r="BE111" s="160">
        <f>Debt!DH11</f>
        <v>84.057589450718709</v>
      </c>
      <c r="BF111" s="144">
        <f>Debt!DI11</f>
        <v>73.745089450718709</v>
      </c>
      <c r="BG111" s="109">
        <f>Debt!DJ11</f>
        <v>252.83652509888861</v>
      </c>
      <c r="BH111" s="161">
        <f>Debt!DK11</f>
        <v>86.495089450718709</v>
      </c>
      <c r="BI111" s="160">
        <f>Debt!DL11</f>
        <v>86.495089450718709</v>
      </c>
      <c r="BJ111" s="160">
        <f>Debt!DM11</f>
        <v>33.40626164014374</v>
      </c>
      <c r="BK111" s="144">
        <f>Debt!DN11</f>
        <v>33.40626164014374</v>
      </c>
      <c r="BL111" s="109">
        <f>Debt!DO11</f>
        <v>239.8027021817249</v>
      </c>
      <c r="BM111" s="161">
        <f>Debt!DP11</f>
        <v>20.656261640143736</v>
      </c>
      <c r="BN111" s="160">
        <f>Debt!DQ11</f>
        <v>20.656261640143736</v>
      </c>
      <c r="BO111" s="160">
        <f>Debt!DR11</f>
        <v>41.25</v>
      </c>
      <c r="BP111" s="144">
        <f>Debt!DS11</f>
        <v>41.25</v>
      </c>
      <c r="BQ111" s="109">
        <f>Debt!DT11</f>
        <v>123.81252328028748</v>
      </c>
      <c r="BR111" s="491"/>
      <c r="BS111" s="491"/>
      <c r="BT111" s="491"/>
      <c r="BU111" s="491"/>
      <c r="BV111" s="491"/>
    </row>
    <row r="112" spans="1:99">
      <c r="C112" s="100" t="s">
        <v>40</v>
      </c>
      <c r="D112" s="109"/>
      <c r="E112" s="161"/>
      <c r="F112" s="162"/>
      <c r="G112" s="162"/>
      <c r="H112" s="144"/>
      <c r="I112" s="109"/>
      <c r="J112" s="161"/>
      <c r="K112" s="162"/>
      <c r="L112" s="162"/>
      <c r="M112" s="144"/>
      <c r="N112" s="109"/>
      <c r="O112" s="161"/>
      <c r="P112" s="160"/>
      <c r="Q112" s="222"/>
      <c r="R112" s="144"/>
      <c r="S112" s="109"/>
      <c r="T112" s="161"/>
      <c r="U112" s="160"/>
      <c r="V112" s="222"/>
      <c r="W112" s="144"/>
      <c r="X112" s="109"/>
      <c r="Y112" s="161"/>
      <c r="Z112" s="160"/>
      <c r="AA112" s="160"/>
      <c r="AB112" s="144"/>
      <c r="AC112" s="109"/>
      <c r="AD112" s="161"/>
      <c r="AE112" s="160"/>
      <c r="AF112" s="160"/>
      <c r="AG112" s="144"/>
      <c r="AH112" s="109"/>
      <c r="AI112" s="161"/>
      <c r="AJ112" s="160"/>
      <c r="AK112" s="160"/>
      <c r="AL112" s="144"/>
      <c r="AM112" s="109"/>
      <c r="AN112" s="161"/>
      <c r="AO112" s="160"/>
      <c r="AP112" s="160"/>
      <c r="AQ112" s="144"/>
      <c r="AR112" s="109"/>
      <c r="AS112" s="161"/>
      <c r="AT112" s="160"/>
      <c r="AU112" s="160"/>
      <c r="AV112" s="144"/>
      <c r="AW112" s="109"/>
      <c r="AX112" s="161">
        <f>+Debt!DA10</f>
        <v>-18.31089296237667</v>
      </c>
      <c r="AY112" s="160">
        <f>+Debt!DB10</f>
        <v>-23.417284046626666</v>
      </c>
      <c r="AZ112" s="160">
        <f>+Debt!DC10</f>
        <v>-20.523394519724999</v>
      </c>
      <c r="BA112" s="144">
        <f>+Debt!DD10</f>
        <v>-17.129034027008334</v>
      </c>
      <c r="BB112" s="109">
        <f>+Debt!DE10</f>
        <v>-79.380605555736679</v>
      </c>
      <c r="BC112" s="161">
        <f>+Debt!DF10</f>
        <v>-23.480441666666668</v>
      </c>
      <c r="BD112" s="160">
        <f>+Debt!DG10</f>
        <v>-20.966547074999998</v>
      </c>
      <c r="BE112" s="160">
        <f>+Debt!DH10</f>
        <v>-20.971311223097501</v>
      </c>
      <c r="BF112" s="144">
        <f>+Debt!DI10</f>
        <v>-22.785914200180837</v>
      </c>
      <c r="BG112" s="109">
        <f>+Debt!DJ10</f>
        <v>-88.204214164945</v>
      </c>
      <c r="BH112" s="161">
        <f>+Debt!DK10</f>
        <v>-14.965664200180832</v>
      </c>
      <c r="BI112" s="160">
        <f>+Debt!DL10</f>
        <v>-10.1789101119875</v>
      </c>
      <c r="BJ112" s="160">
        <f>+Debt!DM10</f>
        <v>-15.197844104170001</v>
      </c>
      <c r="BK112" s="144">
        <f>+Debt!DN10</f>
        <v>-12.605628832086666</v>
      </c>
      <c r="BL112" s="109">
        <f>+Debt!DO10</f>
        <v>-52.948047248425006</v>
      </c>
      <c r="BM112" s="161">
        <f>+Debt!DP10</f>
        <v>-13.561212165419999</v>
      </c>
      <c r="BN112" s="160">
        <f>+Debt!DQ10</f>
        <v>-16.676481892780004</v>
      </c>
      <c r="BO112" s="160">
        <f>+Debt!DR10</f>
        <v>-9.6215337525000013</v>
      </c>
      <c r="BP112" s="144">
        <f>+Debt!DS10</f>
        <v>-16.259041880833333</v>
      </c>
      <c r="BQ112" s="109">
        <f>+Debt!DT10</f>
        <v>-56.118269691533342</v>
      </c>
      <c r="BR112" s="491"/>
      <c r="BS112" s="491"/>
      <c r="BT112" s="491"/>
      <c r="BU112" s="491"/>
      <c r="BV112" s="491"/>
    </row>
    <row r="113" spans="1:89">
      <c r="C113" s="164" t="s">
        <v>41</v>
      </c>
      <c r="D113" s="109"/>
      <c r="E113" s="161"/>
      <c r="F113" s="162"/>
      <c r="G113" s="162"/>
      <c r="H113" s="144"/>
      <c r="I113" s="109"/>
      <c r="J113" s="161"/>
      <c r="K113" s="162"/>
      <c r="L113" s="162"/>
      <c r="M113" s="144"/>
      <c r="N113" s="109"/>
      <c r="O113" s="149"/>
      <c r="P113" s="150"/>
      <c r="Q113" s="150"/>
      <c r="R113" s="151"/>
      <c r="S113" s="112"/>
      <c r="T113" s="149"/>
      <c r="U113" s="150"/>
      <c r="V113" s="150"/>
      <c r="W113" s="151"/>
      <c r="X113" s="112"/>
      <c r="Y113" s="149"/>
      <c r="Z113" s="150"/>
      <c r="AA113" s="150"/>
      <c r="AB113" s="151"/>
      <c r="AC113" s="112"/>
      <c r="AD113" s="149"/>
      <c r="AE113" s="150"/>
      <c r="AF113" s="150"/>
      <c r="AG113" s="151"/>
      <c r="AH113" s="112"/>
      <c r="AI113" s="149"/>
      <c r="AJ113" s="150"/>
      <c r="AK113" s="150"/>
      <c r="AL113" s="151"/>
      <c r="AM113" s="112"/>
      <c r="AN113" s="149"/>
      <c r="AO113" s="150"/>
      <c r="AP113" s="150"/>
      <c r="AQ113" s="151"/>
      <c r="AR113" s="112"/>
      <c r="AS113" s="149"/>
      <c r="AT113" s="150"/>
      <c r="AU113" s="150"/>
      <c r="AV113" s="151"/>
      <c r="AW113" s="112"/>
      <c r="AX113" s="149">
        <f>SUM(AX110:AX112)-'Vertically Integrated Utilities'!AX157</f>
        <v>3.6862320376233302</v>
      </c>
      <c r="AY113" s="150">
        <f>SUM(AY110:AY112)-'Vertically Integrated Utilities'!AY157</f>
        <v>22.140346114900808</v>
      </c>
      <c r="AZ113" s="150">
        <f>SUM(AZ110:AZ112)-'Vertically Integrated Utilities'!AZ157</f>
        <v>38.859406644194401</v>
      </c>
      <c r="BA113" s="151">
        <f>SUM(BA110:BA112)-'Vertically Integrated Utilities'!BA157</f>
        <v>37.163031172592163</v>
      </c>
      <c r="BB113" s="112">
        <f>SUM(BB110:BB112)-'Vertically Integrated Utilities'!BB157</f>
        <v>101.84901596931071</v>
      </c>
      <c r="BC113" s="149">
        <f>SUM(BC110:BC112)-'Vertically Integrated Utilities'!BC157</f>
        <v>23.532641258650564</v>
      </c>
      <c r="BD113" s="150">
        <f>SUM(BD110:BD112)-'Vertically Integrated Utilities'!BD157</f>
        <v>10.416163193647483</v>
      </c>
      <c r="BE113" s="150">
        <f>SUM(BE110:BE112)-'Vertically Integrated Utilities'!BE157</f>
        <v>73.460519339827428</v>
      </c>
      <c r="BF113" s="151">
        <f>SUM(BF110:BF112)-'Vertically Integrated Utilities'!BF157</f>
        <v>40.215589238152305</v>
      </c>
      <c r="BG113" s="112">
        <f>SUM(BG110:BG112)-'Vertically Integrated Utilities'!BG157</f>
        <v>147.62491303027778</v>
      </c>
      <c r="BH113" s="149">
        <f>SUM(BH110:BH112)-'Vertically Integrated Utilities'!BH157</f>
        <v>52.575727965423496</v>
      </c>
      <c r="BI113" s="150">
        <f>SUM(BI110:BI112)-'Vertically Integrated Utilities'!BI157</f>
        <v>50.700359932738806</v>
      </c>
      <c r="BJ113" s="150">
        <f>SUM(BJ110:BJ112)-'Vertically Integrated Utilities'!BJ157</f>
        <v>15.843076948061515</v>
      </c>
      <c r="BK113" s="151">
        <f>SUM(BK110:BK112)-'Vertically Integrated Utilities'!BK157</f>
        <v>12.394843192050082</v>
      </c>
      <c r="BL113" s="112">
        <f>SUM(BL110:BL112)-'Vertically Integrated Utilities'!BL157</f>
        <v>131.51400803827386</v>
      </c>
      <c r="BM113" s="149">
        <f>SUM(BM110:BM112)</f>
        <v>9.4848016738105088</v>
      </c>
      <c r="BN113" s="150">
        <f>SUM(BN110:BN112)</f>
        <v>15.158734580221846</v>
      </c>
      <c r="BO113" s="150">
        <f>SUM(BO110:BO112)</f>
        <v>47.645393252298319</v>
      </c>
      <c r="BP113" s="151">
        <f>SUM(BP110:BP112)</f>
        <v>21.530057877705143</v>
      </c>
      <c r="BQ113" s="112">
        <f>SUM(BQ110:BQ112)</f>
        <v>93.818987384035822</v>
      </c>
      <c r="BR113" s="491"/>
      <c r="BS113" s="491"/>
      <c r="BT113" s="491"/>
      <c r="BU113" s="491"/>
      <c r="BV113" s="491"/>
    </row>
    <row r="114" spans="1:89">
      <c r="C114" s="50"/>
      <c r="D114" s="109"/>
      <c r="E114" s="161"/>
      <c r="F114" s="162"/>
      <c r="G114" s="162"/>
      <c r="H114" s="144"/>
      <c r="I114" s="109"/>
      <c r="J114" s="161"/>
      <c r="K114" s="162"/>
      <c r="L114" s="162"/>
      <c r="M114" s="144"/>
      <c r="N114" s="109"/>
      <c r="O114" s="161"/>
      <c r="P114" s="162"/>
      <c r="Q114" s="162"/>
      <c r="R114" s="144"/>
      <c r="S114" s="109"/>
      <c r="T114" s="161"/>
      <c r="U114" s="162"/>
      <c r="V114" s="162"/>
      <c r="W114" s="144"/>
      <c r="X114" s="109"/>
      <c r="Y114" s="161"/>
      <c r="Z114" s="162"/>
      <c r="AA114" s="162"/>
      <c r="AB114" s="144"/>
      <c r="AC114" s="109"/>
      <c r="AD114" s="161"/>
      <c r="AE114" s="162"/>
      <c r="AF114" s="162"/>
      <c r="AG114" s="144"/>
      <c r="AH114" s="109"/>
      <c r="AI114" s="161"/>
      <c r="AJ114" s="162"/>
      <c r="AK114" s="162"/>
      <c r="AL114" s="144"/>
      <c r="AM114" s="109"/>
      <c r="AN114" s="161"/>
      <c r="AO114" s="162"/>
      <c r="AP114" s="162"/>
      <c r="AQ114" s="144"/>
      <c r="AR114" s="109"/>
      <c r="AS114" s="161"/>
      <c r="AT114" s="162"/>
      <c r="AU114" s="162"/>
      <c r="AV114" s="144"/>
      <c r="AW114" s="109"/>
      <c r="AX114" s="161"/>
      <c r="AY114" s="162"/>
      <c r="AZ114" s="162"/>
      <c r="BA114" s="144"/>
      <c r="BB114" s="109"/>
      <c r="BC114" s="161"/>
      <c r="BD114" s="162"/>
      <c r="BE114" s="162"/>
      <c r="BF114" s="144"/>
      <c r="BG114" s="109"/>
      <c r="BH114" s="161"/>
      <c r="BI114" s="162"/>
      <c r="BJ114" s="162"/>
      <c r="BK114" s="144"/>
      <c r="BL114" s="109"/>
      <c r="BM114" s="161"/>
      <c r="BN114" s="162"/>
      <c r="BO114" s="162"/>
      <c r="BP114" s="144"/>
      <c r="BQ114" s="109"/>
      <c r="BR114" s="491"/>
      <c r="BS114" s="491"/>
      <c r="BT114" s="491"/>
      <c r="BU114" s="491"/>
      <c r="BV114" s="491"/>
    </row>
    <row r="115" spans="1:89">
      <c r="C115" s="100" t="s">
        <v>42</v>
      </c>
      <c r="D115" s="50"/>
      <c r="E115" s="225"/>
      <c r="F115" s="226"/>
      <c r="G115" s="226"/>
      <c r="H115" s="227"/>
      <c r="I115" s="228"/>
      <c r="J115" s="225"/>
      <c r="K115" s="226"/>
      <c r="L115" s="226"/>
      <c r="M115" s="227"/>
      <c r="N115" s="228"/>
      <c r="O115" s="229"/>
      <c r="P115" s="230"/>
      <c r="Q115" s="230"/>
      <c r="R115" s="231"/>
      <c r="S115" s="66"/>
      <c r="T115" s="229"/>
      <c r="U115" s="230"/>
      <c r="V115" s="230"/>
      <c r="W115" s="231"/>
      <c r="X115" s="66"/>
      <c r="Y115" s="229"/>
      <c r="Z115" s="230"/>
      <c r="AA115" s="230"/>
      <c r="AB115" s="231"/>
      <c r="AC115" s="66"/>
      <c r="AD115" s="229"/>
      <c r="AE115" s="230"/>
      <c r="AF115" s="230"/>
      <c r="AG115" s="231"/>
      <c r="AH115" s="66"/>
      <c r="AI115" s="229"/>
      <c r="AJ115" s="230"/>
      <c r="AK115" s="230"/>
      <c r="AL115" s="231"/>
      <c r="AM115" s="66"/>
      <c r="AN115" s="229"/>
      <c r="AO115" s="230"/>
      <c r="AP115" s="230"/>
      <c r="AQ115" s="231"/>
      <c r="AR115" s="66"/>
      <c r="AS115" s="229"/>
      <c r="AT115" s="230"/>
      <c r="AU115" s="230"/>
      <c r="AV115" s="231"/>
      <c r="AW115" s="66"/>
      <c r="AX115" s="229">
        <f>+AY115</f>
        <v>0.02</v>
      </c>
      <c r="AY115" s="230">
        <f>+AZ115</f>
        <v>0.02</v>
      </c>
      <c r="AZ115" s="230">
        <f>+BA115</f>
        <v>0.02</v>
      </c>
      <c r="BA115" s="231">
        <f>+BB115</f>
        <v>0.02</v>
      </c>
      <c r="BB115" s="66">
        <v>0.02</v>
      </c>
      <c r="BC115" s="229">
        <f>+BD115</f>
        <v>0.02</v>
      </c>
      <c r="BD115" s="230">
        <f>+BE115</f>
        <v>0.02</v>
      </c>
      <c r="BE115" s="230">
        <f>+BF115</f>
        <v>0.02</v>
      </c>
      <c r="BF115" s="231">
        <f>+BG115</f>
        <v>0.02</v>
      </c>
      <c r="BG115" s="66">
        <v>0.02</v>
      </c>
      <c r="BH115" s="229">
        <f>+BI115</f>
        <v>0.02</v>
      </c>
      <c r="BI115" s="230">
        <f>+BJ115</f>
        <v>0.02</v>
      </c>
      <c r="BJ115" s="230">
        <f>+BK115</f>
        <v>0.02</v>
      </c>
      <c r="BK115" s="231">
        <f>+BL115</f>
        <v>0.02</v>
      </c>
      <c r="BL115" s="66">
        <v>0.02</v>
      </c>
      <c r="BM115" s="229">
        <f>+BN115</f>
        <v>0.02</v>
      </c>
      <c r="BN115" s="230">
        <f>+BO115</f>
        <v>0.02</v>
      </c>
      <c r="BO115" s="230">
        <f>+BP115</f>
        <v>0.02</v>
      </c>
      <c r="BP115" s="231">
        <f>+BQ115</f>
        <v>0.02</v>
      </c>
      <c r="BQ115" s="66">
        <v>0.02</v>
      </c>
      <c r="BR115" s="491"/>
      <c r="BS115" s="491"/>
      <c r="BT115" s="491"/>
      <c r="BU115" s="491"/>
      <c r="BV115" s="491"/>
    </row>
    <row r="116" spans="1:89">
      <c r="C116" s="100"/>
      <c r="E116" s="188"/>
      <c r="F116" s="189"/>
      <c r="G116" s="189"/>
      <c r="H116" s="190"/>
      <c r="J116" s="188"/>
      <c r="K116" s="189"/>
      <c r="L116" s="189"/>
      <c r="M116" s="190"/>
      <c r="O116" s="188"/>
      <c r="P116" s="189"/>
      <c r="Q116" s="189"/>
      <c r="R116" s="190"/>
      <c r="T116" s="188"/>
      <c r="U116" s="189"/>
      <c r="V116" s="189"/>
      <c r="W116" s="190"/>
      <c r="Y116" s="188"/>
      <c r="Z116" s="189"/>
      <c r="AA116" s="189"/>
      <c r="AB116" s="190"/>
      <c r="AD116" s="188"/>
      <c r="AE116" s="189"/>
      <c r="AF116" s="189"/>
      <c r="AG116" s="190"/>
      <c r="AI116" s="188"/>
      <c r="AJ116" s="189"/>
      <c r="AK116" s="189"/>
      <c r="AL116" s="190"/>
      <c r="AN116" s="188"/>
      <c r="AO116" s="189"/>
      <c r="AP116" s="189"/>
      <c r="AQ116" s="190"/>
      <c r="AS116" s="188"/>
      <c r="AT116" s="189"/>
      <c r="AU116" s="189"/>
      <c r="AV116" s="190"/>
      <c r="AX116" s="188"/>
      <c r="AY116" s="189"/>
      <c r="AZ116" s="189"/>
      <c r="BA116" s="190"/>
      <c r="BC116" s="188"/>
      <c r="BD116" s="189"/>
      <c r="BE116" s="189"/>
      <c r="BF116" s="190"/>
      <c r="BH116" s="188"/>
      <c r="BI116" s="189"/>
      <c r="BJ116" s="189"/>
      <c r="BK116" s="190"/>
      <c r="BL116" s="1108"/>
      <c r="BM116" s="188"/>
      <c r="BN116" s="189"/>
      <c r="BO116" s="189"/>
      <c r="BP116" s="190"/>
      <c r="BQ116" s="1116"/>
      <c r="BR116" s="491"/>
      <c r="BS116" s="491"/>
      <c r="BT116" s="491"/>
      <c r="BU116" s="491"/>
      <c r="BV116" s="491"/>
    </row>
    <row r="117" spans="1:89">
      <c r="C117" s="164" t="s">
        <v>43</v>
      </c>
      <c r="E117" s="188"/>
      <c r="F117" s="189"/>
      <c r="G117" s="189"/>
      <c r="H117" s="190"/>
      <c r="J117" s="188"/>
      <c r="K117" s="189"/>
      <c r="L117" s="189"/>
      <c r="M117" s="190"/>
      <c r="O117" s="188"/>
      <c r="P117" s="189"/>
      <c r="Q117" s="189"/>
      <c r="R117" s="190"/>
      <c r="T117" s="188"/>
      <c r="U117" s="189"/>
      <c r="V117" s="189"/>
      <c r="W117" s="190"/>
      <c r="Y117" s="188"/>
      <c r="Z117" s="189"/>
      <c r="AA117" s="189"/>
      <c r="AB117" s="190"/>
      <c r="AD117" s="188"/>
      <c r="AE117" s="189"/>
      <c r="AF117" s="189"/>
      <c r="AG117" s="190"/>
      <c r="AI117" s="188"/>
      <c r="AJ117" s="189"/>
      <c r="AK117" s="189"/>
      <c r="AL117" s="190"/>
      <c r="AN117" s="188"/>
      <c r="AO117" s="189"/>
      <c r="AP117" s="189"/>
      <c r="AQ117" s="190"/>
      <c r="AS117" s="188"/>
      <c r="AT117" s="189"/>
      <c r="AU117" s="189"/>
      <c r="AV117" s="190"/>
      <c r="AX117" s="188"/>
      <c r="AY117" s="189"/>
      <c r="AZ117" s="189"/>
      <c r="BA117" s="190"/>
      <c r="BC117" s="188"/>
      <c r="BD117" s="189"/>
      <c r="BE117" s="189"/>
      <c r="BF117" s="190"/>
      <c r="BH117" s="188"/>
      <c r="BI117" s="189"/>
      <c r="BJ117" s="189"/>
      <c r="BK117" s="190"/>
      <c r="BL117" s="1108"/>
      <c r="BM117" s="188"/>
      <c r="BN117" s="189"/>
      <c r="BO117" s="189"/>
      <c r="BP117" s="190"/>
      <c r="BQ117" s="1108"/>
      <c r="BR117" s="491"/>
      <c r="BS117" s="491"/>
      <c r="BT117" s="491"/>
      <c r="BU117" s="491"/>
      <c r="BV117" s="491"/>
    </row>
    <row r="118" spans="1:89">
      <c r="C118" s="100" t="s">
        <v>44</v>
      </c>
      <c r="E118" s="229">
        <f t="shared" ref="E118:AN118" si="118">(E37)/(E35-E26)</f>
        <v>0.34030418250950573</v>
      </c>
      <c r="F118" s="230">
        <f t="shared" si="118"/>
        <v>0.32962138084632514</v>
      </c>
      <c r="G118" s="230">
        <f t="shared" si="118"/>
        <v>0.33173843700159489</v>
      </c>
      <c r="H118" s="231">
        <f t="shared" si="118"/>
        <v>0.15748031496062992</v>
      </c>
      <c r="I118" s="114">
        <f t="shared" si="118"/>
        <v>0.30980603448275862</v>
      </c>
      <c r="J118" s="229">
        <f t="shared" si="118"/>
        <v>0.39428571428571429</v>
      </c>
      <c r="K118" s="230">
        <f t="shared" si="118"/>
        <v>0.35714285714285715</v>
      </c>
      <c r="L118" s="230">
        <f t="shared" si="118"/>
        <v>0.32452830188679244</v>
      </c>
      <c r="M118" s="231">
        <f t="shared" si="118"/>
        <v>0.41851851851851851</v>
      </c>
      <c r="N118" s="114">
        <f t="shared" si="118"/>
        <v>0.36286681715575619</v>
      </c>
      <c r="O118" s="229">
        <f t="shared" si="118"/>
        <v>0.45799011532125206</v>
      </c>
      <c r="P118" s="230">
        <f t="shared" si="118"/>
        <v>0.3493975903614458</v>
      </c>
      <c r="Q118" s="230">
        <f t="shared" si="118"/>
        <v>0.34864300626304801</v>
      </c>
      <c r="R118" s="231">
        <f t="shared" si="118"/>
        <v>8.4210526315789472E-2</v>
      </c>
      <c r="S118" s="114">
        <f t="shared" si="118"/>
        <v>0.35596981802041722</v>
      </c>
      <c r="T118" s="229">
        <f t="shared" si="118"/>
        <v>0.34552102376599636</v>
      </c>
      <c r="U118" s="230">
        <f t="shared" si="118"/>
        <v>0.36608863198458574</v>
      </c>
      <c r="V118" s="230">
        <f t="shared" si="118"/>
        <v>0.34826589595375723</v>
      </c>
      <c r="W118" s="231">
        <f t="shared" si="118"/>
        <v>0.55172413793103448</v>
      </c>
      <c r="X118" s="114">
        <f t="shared" si="118"/>
        <v>0.34933487565066512</v>
      </c>
      <c r="Y118" s="229">
        <f t="shared" si="118"/>
        <v>0.36792452830188677</v>
      </c>
      <c r="Z118" s="230">
        <f t="shared" si="118"/>
        <v>0.18085106382978725</v>
      </c>
      <c r="AA118" s="230">
        <f t="shared" si="118"/>
        <v>0.38880484114977309</v>
      </c>
      <c r="AB118" s="231">
        <f t="shared" si="118"/>
        <v>0.34893617021276596</v>
      </c>
      <c r="AC118" s="114">
        <f t="shared" si="118"/>
        <v>0.33578792341678937</v>
      </c>
      <c r="AD118" s="229">
        <f t="shared" si="118"/>
        <v>0.37077294685990336</v>
      </c>
      <c r="AE118" s="230">
        <f t="shared" si="118"/>
        <v>0.38530465949820786</v>
      </c>
      <c r="AF118" s="230">
        <f t="shared" si="118"/>
        <v>0.37780898876404495</v>
      </c>
      <c r="AG118" s="231">
        <f t="shared" si="118"/>
        <v>0.52249134948096887</v>
      </c>
      <c r="AH118" s="114">
        <f t="shared" si="118"/>
        <v>0.39463762044407208</v>
      </c>
      <c r="AI118" s="229">
        <f t="shared" si="118"/>
        <v>0.36593406593406591</v>
      </c>
      <c r="AJ118" s="230">
        <f t="shared" si="118"/>
        <v>0.37688442211055279</v>
      </c>
      <c r="AK118" s="230">
        <f t="shared" si="118"/>
        <v>0.37061994609164423</v>
      </c>
      <c r="AL118" s="231">
        <f t="shared" si="118"/>
        <v>0.35785123966942017</v>
      </c>
      <c r="AM118" s="114">
        <f t="shared" si="118"/>
        <v>0.36916900843034928</v>
      </c>
      <c r="AN118" s="229">
        <f t="shared" si="118"/>
        <v>0.3453585569731632</v>
      </c>
      <c r="AO118" s="230">
        <f t="shared" ref="AO118:AT118" si="119">(AO37)/(AO35-AO26)</f>
        <v>0.25384615384615372</v>
      </c>
      <c r="AP118" s="230">
        <f t="shared" si="119"/>
        <v>0.39607261948869943</v>
      </c>
      <c r="AQ118" s="231">
        <f t="shared" si="119"/>
        <v>0.15868421052631598</v>
      </c>
      <c r="AR118" s="114">
        <f t="shared" si="119"/>
        <v>-0.20336644591611522</v>
      </c>
      <c r="AS118" s="229">
        <f t="shared" si="119"/>
        <v>0.38596491228070162</v>
      </c>
      <c r="AT118" s="230">
        <f t="shared" si="119"/>
        <v>0.35975839939599857</v>
      </c>
      <c r="AU118" s="230">
        <f>(AU37)/(AU35-AU26)</f>
        <v>0.33820138355111456</v>
      </c>
      <c r="AV118" s="231">
        <f t="shared" ref="AV118:AW118" si="120">(AV37)/(AV35-AV26)</f>
        <v>0.32874354561101604</v>
      </c>
      <c r="AW118" s="114">
        <f t="shared" si="120"/>
        <v>0.35617998163452724</v>
      </c>
      <c r="AX118" s="229">
        <f>+AY118</f>
        <v>0.25</v>
      </c>
      <c r="AY118" s="230">
        <f>+AZ118</f>
        <v>0.25</v>
      </c>
      <c r="AZ118" s="230">
        <f>+BA118</f>
        <v>0.25</v>
      </c>
      <c r="BA118" s="231">
        <f>+BB118</f>
        <v>0.25</v>
      </c>
      <c r="BB118" s="66">
        <v>0.25</v>
      </c>
      <c r="BC118" s="229">
        <f>+BD118</f>
        <v>0.25</v>
      </c>
      <c r="BD118" s="230">
        <f>+BE118</f>
        <v>0.25</v>
      </c>
      <c r="BE118" s="230">
        <f>+BF118</f>
        <v>0.25</v>
      </c>
      <c r="BF118" s="231">
        <f>+BG118</f>
        <v>0.25</v>
      </c>
      <c r="BG118" s="66">
        <v>0.25</v>
      </c>
      <c r="BH118" s="229">
        <f>+BI118</f>
        <v>0.25</v>
      </c>
      <c r="BI118" s="230">
        <f>+BJ118</f>
        <v>0.25</v>
      </c>
      <c r="BJ118" s="230">
        <f>+BK118</f>
        <v>0.25</v>
      </c>
      <c r="BK118" s="231">
        <f>+BL118</f>
        <v>0.25</v>
      </c>
      <c r="BL118" s="66">
        <v>0.25</v>
      </c>
      <c r="BM118" s="229">
        <f>+BN118</f>
        <v>0.25</v>
      </c>
      <c r="BN118" s="230">
        <f>+BO118</f>
        <v>0.25</v>
      </c>
      <c r="BO118" s="230">
        <f>+BP118</f>
        <v>0.25</v>
      </c>
      <c r="BP118" s="231">
        <f>+BQ118</f>
        <v>0.25</v>
      </c>
      <c r="BQ118" s="66">
        <v>0.25</v>
      </c>
      <c r="BR118" s="491"/>
      <c r="BS118" s="491"/>
      <c r="BT118" s="491"/>
      <c r="BU118" s="491"/>
      <c r="BV118" s="491"/>
    </row>
    <row r="119" spans="1:89">
      <c r="C119" s="100" t="s">
        <v>45</v>
      </c>
      <c r="E119" s="229">
        <f t="shared" ref="E119:AJ119" si="121">E37/E35</f>
        <v>0.33025830258302585</v>
      </c>
      <c r="F119" s="230">
        <f t="shared" si="121"/>
        <v>0.31556503198294245</v>
      </c>
      <c r="G119" s="230">
        <f t="shared" si="121"/>
        <v>0.32</v>
      </c>
      <c r="H119" s="231">
        <f t="shared" si="121"/>
        <v>0.1444043321299639</v>
      </c>
      <c r="I119" s="114">
        <f t="shared" si="121"/>
        <v>0.29669762641898867</v>
      </c>
      <c r="J119" s="229">
        <f t="shared" si="121"/>
        <v>0.37704918032786883</v>
      </c>
      <c r="K119" s="230">
        <f t="shared" si="121"/>
        <v>0.32338308457711445</v>
      </c>
      <c r="L119" s="230">
        <f t="shared" si="121"/>
        <v>0.31773399014778325</v>
      </c>
      <c r="M119" s="231">
        <f t="shared" si="121"/>
        <v>0.39372822299651566</v>
      </c>
      <c r="N119" s="114">
        <f t="shared" si="121"/>
        <v>0.34775554353704707</v>
      </c>
      <c r="O119" s="229">
        <f t="shared" si="121"/>
        <v>0.44338118022328549</v>
      </c>
      <c r="P119" s="230">
        <f t="shared" si="121"/>
        <v>0.33397312859884837</v>
      </c>
      <c r="Q119" s="230">
        <f t="shared" si="121"/>
        <v>0.33943089430894308</v>
      </c>
      <c r="R119" s="231">
        <f t="shared" si="121"/>
        <v>7.3059360730593603E-2</v>
      </c>
      <c r="S119" s="114">
        <f t="shared" si="121"/>
        <v>0.3411314334325819</v>
      </c>
      <c r="T119" s="229">
        <f t="shared" si="121"/>
        <v>0.33157894736842103</v>
      </c>
      <c r="U119" s="230">
        <f t="shared" si="121"/>
        <v>0.34990791896869244</v>
      </c>
      <c r="V119" s="230">
        <f t="shared" si="121"/>
        <v>0.33706293706293705</v>
      </c>
      <c r="W119" s="231">
        <f t="shared" si="121"/>
        <v>2.6666666666666665</v>
      </c>
      <c r="X119" s="114">
        <f t="shared" si="121"/>
        <v>0.33150384193194293</v>
      </c>
      <c r="Y119" s="229">
        <f t="shared" si="121"/>
        <v>0.3577981651376147</v>
      </c>
      <c r="Z119" s="230">
        <f t="shared" si="121"/>
        <v>0.17302798982188294</v>
      </c>
      <c r="AA119" s="230">
        <f t="shared" si="121"/>
        <v>0.37794117647058822</v>
      </c>
      <c r="AB119" s="231">
        <f t="shared" si="121"/>
        <v>0.33333333333333331</v>
      </c>
      <c r="AC119" s="114">
        <f t="shared" si="121"/>
        <v>0.32417061611374409</v>
      </c>
      <c r="AD119" s="229">
        <f t="shared" si="121"/>
        <v>0.36117647058823532</v>
      </c>
      <c r="AE119" s="230">
        <f t="shared" si="121"/>
        <v>0.36878216123499141</v>
      </c>
      <c r="AF119" s="230">
        <f t="shared" si="121"/>
        <v>0.36400541271989173</v>
      </c>
      <c r="AG119" s="231">
        <f t="shared" si="121"/>
        <v>0.47484276729559749</v>
      </c>
      <c r="AH119" s="114">
        <f t="shared" si="121"/>
        <v>0.37831325301204821</v>
      </c>
      <c r="AI119" s="229">
        <f t="shared" si="121"/>
        <v>0.35425531914893615</v>
      </c>
      <c r="AJ119" s="230">
        <f t="shared" si="121"/>
        <v>0.35657686212361334</v>
      </c>
      <c r="AK119" s="230">
        <f t="shared" ref="AK119:BL119" si="122">AK37/AK35</f>
        <v>0.35483870967741937</v>
      </c>
      <c r="AL119" s="231">
        <f t="shared" si="122"/>
        <v>0.31274828457926951</v>
      </c>
      <c r="AM119" s="114">
        <f t="shared" si="122"/>
        <v>0.35060429295817608</v>
      </c>
      <c r="AN119" s="229">
        <f t="shared" si="122"/>
        <v>0.3300168161434977</v>
      </c>
      <c r="AO119" s="230">
        <f t="shared" si="122"/>
        <v>0.24307601649970526</v>
      </c>
      <c r="AP119" s="230">
        <f t="shared" ref="AP119:AU119" si="123">AP37/AP35</f>
        <v>0.40373139965254162</v>
      </c>
      <c r="AQ119" s="231">
        <f t="shared" si="123"/>
        <v>0.14812085482682402</v>
      </c>
      <c r="AR119" s="114">
        <f t="shared" si="123"/>
        <v>-0.15496215306980682</v>
      </c>
      <c r="AS119" s="229">
        <f t="shared" si="123"/>
        <v>0.37697715289982409</v>
      </c>
      <c r="AT119" s="230">
        <f t="shared" si="123"/>
        <v>0.34604212055192457</v>
      </c>
      <c r="AU119" s="230">
        <f t="shared" si="123"/>
        <v>0.3297526854858856</v>
      </c>
      <c r="AV119" s="231">
        <f t="shared" ref="AV119:AW119" si="124">AV37/AV35</f>
        <v>0.31006493506493554</v>
      </c>
      <c r="AW119" s="114">
        <f t="shared" si="124"/>
        <v>0.34432923798025722</v>
      </c>
      <c r="AX119" s="229">
        <f t="shared" si="122"/>
        <v>0.24109264946248191</v>
      </c>
      <c r="AY119" s="230">
        <f t="shared" si="122"/>
        <v>0.2392643356721729</v>
      </c>
      <c r="AZ119" s="230">
        <f t="shared" si="122"/>
        <v>0.2430011963151946</v>
      </c>
      <c r="BA119" s="231">
        <f t="shared" si="122"/>
        <v>0.23988275312820345</v>
      </c>
      <c r="BB119" s="114">
        <f t="shared" si="122"/>
        <v>0.24105419556102636</v>
      </c>
      <c r="BC119" s="229">
        <f t="shared" si="122"/>
        <v>0.24009754856916474</v>
      </c>
      <c r="BD119" s="230">
        <f t="shared" si="122"/>
        <v>0.23760714884954715</v>
      </c>
      <c r="BE119" s="230">
        <f t="shared" si="122"/>
        <v>0.24075122571109442</v>
      </c>
      <c r="BF119" s="231">
        <f t="shared" si="122"/>
        <v>0.23722118870671383</v>
      </c>
      <c r="BG119" s="114">
        <f t="shared" si="122"/>
        <v>0.23913202222201255</v>
      </c>
      <c r="BH119" s="229">
        <f t="shared" si="122"/>
        <v>0.23947262477949458</v>
      </c>
      <c r="BI119" s="230">
        <f t="shared" si="122"/>
        <v>0.23729092643723454</v>
      </c>
      <c r="BJ119" s="230">
        <f t="shared" si="122"/>
        <v>0.24109169869848915</v>
      </c>
      <c r="BK119" s="231">
        <f t="shared" si="122"/>
        <v>0.23758701531923646</v>
      </c>
      <c r="BL119" s="114">
        <f t="shared" si="122"/>
        <v>0.23908565125201447</v>
      </c>
      <c r="BM119" s="229">
        <f>BM37/BM35</f>
        <v>0.24463851794459285</v>
      </c>
      <c r="BN119" s="230">
        <f>BN37/BN35</f>
        <v>0.24378427263921229</v>
      </c>
      <c r="BO119" s="230">
        <f>BO37/BO35</f>
        <v>0.24517123476141112</v>
      </c>
      <c r="BP119" s="231">
        <f>BP37/BP35</f>
        <v>0.24365691123423935</v>
      </c>
      <c r="BQ119" s="114">
        <f>BQ37/BQ35</f>
        <v>0.24438314260475547</v>
      </c>
      <c r="BR119" s="491"/>
      <c r="BS119" s="491"/>
      <c r="BT119" s="491"/>
      <c r="BU119" s="491"/>
      <c r="BV119" s="491"/>
    </row>
    <row r="120" spans="1:89">
      <c r="E120" s="188"/>
      <c r="F120" s="189"/>
      <c r="G120" s="189"/>
      <c r="H120" s="190"/>
      <c r="J120" s="188"/>
      <c r="K120" s="189"/>
      <c r="L120" s="189"/>
      <c r="M120" s="190"/>
      <c r="O120" s="188"/>
      <c r="P120" s="189"/>
      <c r="Q120" s="189"/>
      <c r="R120" s="190"/>
      <c r="T120" s="188"/>
      <c r="U120" s="189"/>
      <c r="V120" s="189"/>
      <c r="W120" s="190"/>
      <c r="Y120" s="188"/>
      <c r="Z120" s="189"/>
      <c r="AA120" s="189"/>
      <c r="AB120" s="190"/>
      <c r="AD120" s="188"/>
      <c r="AE120" s="189"/>
      <c r="AF120" s="189"/>
      <c r="AG120" s="190"/>
      <c r="AI120" s="188"/>
      <c r="AJ120" s="189"/>
      <c r="AK120" s="189"/>
      <c r="AL120" s="190"/>
      <c r="AN120" s="188"/>
      <c r="AO120" s="189"/>
      <c r="AP120" s="189"/>
      <c r="AQ120" s="190"/>
      <c r="AS120" s="188"/>
      <c r="AT120" s="189"/>
      <c r="AU120" s="189"/>
      <c r="AV120" s="190"/>
      <c r="AX120" s="188"/>
      <c r="AY120" s="189"/>
      <c r="AZ120" s="189"/>
      <c r="BA120" s="190"/>
      <c r="BC120" s="188"/>
      <c r="BD120" s="189"/>
      <c r="BE120" s="189"/>
      <c r="BF120" s="190"/>
      <c r="BH120" s="188"/>
      <c r="BI120" s="189"/>
      <c r="BJ120" s="189"/>
      <c r="BK120" s="190"/>
      <c r="BM120" s="188"/>
      <c r="BN120" s="189"/>
      <c r="BO120" s="189"/>
      <c r="BP120" s="190"/>
      <c r="BR120" s="491"/>
      <c r="BS120" s="491"/>
      <c r="BT120" s="491"/>
      <c r="BU120" s="491"/>
      <c r="BV120" s="491"/>
    </row>
    <row r="121" spans="1:89">
      <c r="E121" s="188"/>
      <c r="F121" s="189"/>
      <c r="G121" s="189"/>
      <c r="H121" s="190"/>
      <c r="J121" s="188"/>
      <c r="K121" s="189"/>
      <c r="L121" s="189"/>
      <c r="M121" s="190"/>
      <c r="O121" s="188"/>
      <c r="P121" s="189"/>
      <c r="Q121" s="189"/>
      <c r="R121" s="190"/>
      <c r="T121" s="188"/>
      <c r="U121" s="189"/>
      <c r="V121" s="189"/>
      <c r="W121" s="190"/>
      <c r="Y121" s="188"/>
      <c r="Z121" s="189"/>
      <c r="AA121" s="189"/>
      <c r="AB121" s="190"/>
      <c r="AD121" s="188"/>
      <c r="AE121" s="189"/>
      <c r="AF121" s="189"/>
      <c r="AG121" s="190"/>
      <c r="AI121" s="188"/>
      <c r="AJ121" s="189"/>
      <c r="AK121" s="189"/>
      <c r="AL121" s="190"/>
      <c r="AN121" s="188"/>
      <c r="AO121" s="189"/>
      <c r="AP121" s="189"/>
      <c r="AQ121" s="190"/>
      <c r="AS121" s="188"/>
      <c r="AT121" s="189"/>
      <c r="AU121" s="189"/>
      <c r="AV121" s="190"/>
      <c r="AX121" s="188"/>
      <c r="AY121" s="189"/>
      <c r="AZ121" s="189"/>
      <c r="BA121" s="190"/>
      <c r="BC121" s="188"/>
      <c r="BD121" s="189"/>
      <c r="BE121" s="189"/>
      <c r="BF121" s="190"/>
      <c r="BH121" s="188"/>
      <c r="BI121" s="189"/>
      <c r="BJ121" s="189"/>
      <c r="BK121" s="190"/>
      <c r="BM121" s="188"/>
      <c r="BN121" s="189"/>
      <c r="BO121" s="189"/>
      <c r="BP121" s="190"/>
      <c r="BR121" s="491"/>
      <c r="BS121" s="491"/>
      <c r="BT121" s="491"/>
      <c r="BU121" s="491"/>
      <c r="BV121" s="491"/>
    </row>
    <row r="122" spans="1:89">
      <c r="A122" s="1300"/>
      <c r="B122" s="46" t="s">
        <v>334</v>
      </c>
      <c r="C122" s="46"/>
      <c r="D122" s="47"/>
      <c r="E122" s="234"/>
      <c r="F122" s="235"/>
      <c r="G122" s="235"/>
      <c r="H122" s="236"/>
      <c r="J122" s="234"/>
      <c r="K122" s="235"/>
      <c r="L122" s="235"/>
      <c r="M122" s="236"/>
      <c r="O122" s="234"/>
      <c r="P122" s="235"/>
      <c r="Q122" s="235"/>
      <c r="R122" s="236"/>
      <c r="T122" s="234"/>
      <c r="U122" s="235"/>
      <c r="V122" s="235"/>
      <c r="W122" s="236"/>
      <c r="Y122" s="234"/>
      <c r="Z122" s="235"/>
      <c r="AA122" s="235"/>
      <c r="AB122" s="236"/>
      <c r="AD122" s="234"/>
      <c r="AE122" s="235"/>
      <c r="AF122" s="235"/>
      <c r="AG122" s="236"/>
      <c r="AI122" s="234"/>
      <c r="AJ122" s="235"/>
      <c r="AK122" s="235"/>
      <c r="AL122" s="236"/>
      <c r="AN122" s="234"/>
      <c r="AO122" s="235"/>
      <c r="AP122" s="235"/>
      <c r="AQ122" s="236"/>
      <c r="AS122" s="234"/>
      <c r="AT122" s="235"/>
      <c r="AU122" s="235"/>
      <c r="AV122" s="236"/>
      <c r="AX122" s="234"/>
      <c r="AY122" s="235"/>
      <c r="AZ122" s="235"/>
      <c r="BA122" s="236"/>
      <c r="BC122" s="234"/>
      <c r="BD122" s="235"/>
      <c r="BE122" s="235"/>
      <c r="BF122" s="236"/>
      <c r="BH122" s="234"/>
      <c r="BI122" s="235"/>
      <c r="BJ122" s="235"/>
      <c r="BK122" s="236"/>
      <c r="BM122" s="234"/>
      <c r="BN122" s="235"/>
      <c r="BO122" s="235"/>
      <c r="BP122" s="236"/>
      <c r="BR122" s="491"/>
      <c r="BS122" s="491"/>
      <c r="BT122" s="491"/>
      <c r="BU122" s="491"/>
      <c r="BV122" s="491"/>
    </row>
    <row r="123" spans="1:89">
      <c r="A123" s="1300"/>
      <c r="C123" s="100" t="s">
        <v>1006</v>
      </c>
      <c r="E123" s="237"/>
      <c r="F123" s="238"/>
      <c r="G123" s="238"/>
      <c r="H123" s="239"/>
      <c r="I123" s="72"/>
      <c r="J123" s="171"/>
      <c r="K123" s="172"/>
      <c r="L123" s="172"/>
      <c r="M123" s="173"/>
      <c r="N123" s="72"/>
      <c r="O123" s="148"/>
      <c r="P123" s="163"/>
      <c r="Q123" s="163"/>
      <c r="R123" s="147"/>
      <c r="S123" s="72"/>
      <c r="T123" s="148"/>
      <c r="U123" s="146"/>
      <c r="V123" s="146"/>
      <c r="W123" s="147"/>
      <c r="X123" s="72">
        <f>-'Generation &amp; Marketing'!X356</f>
        <v>0</v>
      </c>
      <c r="Y123" s="148">
        <f>-'Generation &amp; Marketing'!Y356</f>
        <v>0</v>
      </c>
      <c r="Z123" s="146">
        <f>-'Generation &amp; Marketing'!Z356</f>
        <v>0</v>
      </c>
      <c r="AA123" s="146">
        <f>-'Generation &amp; Marketing'!AA356</f>
        <v>0</v>
      </c>
      <c r="AB123" s="147">
        <f>-'Generation &amp; Marketing'!AB356</f>
        <v>0</v>
      </c>
      <c r="AC123" s="72">
        <f>-'Generation &amp; Marketing'!AC356</f>
        <v>0</v>
      </c>
      <c r="AD123" s="148">
        <f>-'Generation &amp; Marketing'!AD356</f>
        <v>0</v>
      </c>
      <c r="AE123" s="146">
        <f>-'Generation &amp; Marketing'!AE356</f>
        <v>0</v>
      </c>
      <c r="AF123" s="146">
        <f>-'Generation &amp; Marketing'!AF356</f>
        <v>0</v>
      </c>
      <c r="AG123" s="147">
        <f>-'Generation &amp; Marketing'!AG356</f>
        <v>0</v>
      </c>
      <c r="AH123" s="72">
        <f>-'Generation &amp; Marketing'!AH356</f>
        <v>0</v>
      </c>
      <c r="AI123" s="148">
        <f>-'Generation &amp; Marketing'!AI356</f>
        <v>0</v>
      </c>
      <c r="AJ123" s="146">
        <f>-'Generation &amp; Marketing'!AJ356</f>
        <v>0</v>
      </c>
      <c r="AK123" s="146">
        <f>-'Generation &amp; Marketing'!AK356</f>
        <v>0</v>
      </c>
      <c r="AL123" s="147">
        <f>-'Generation &amp; Marketing'!AL356</f>
        <v>0</v>
      </c>
      <c r="AM123" s="72">
        <f>-'Generation &amp; Marketing'!AM356</f>
        <v>0</v>
      </c>
      <c r="AN123" s="148">
        <f>-'Generation &amp; Marketing'!AN356</f>
        <v>0</v>
      </c>
      <c r="AO123" s="146">
        <f>-'Generation &amp; Marketing'!AO356</f>
        <v>0</v>
      </c>
      <c r="AP123" s="146">
        <f>-'Generation &amp; Marketing'!AP356</f>
        <v>0</v>
      </c>
      <c r="AQ123" s="147">
        <f>-'Generation &amp; Marketing'!AQ356</f>
        <v>0</v>
      </c>
      <c r="AR123" s="72">
        <f>-'Generation &amp; Marketing'!AR356</f>
        <v>0</v>
      </c>
      <c r="AS123" s="148">
        <f>-'Generation &amp; Marketing'!AS356</f>
        <v>0</v>
      </c>
      <c r="AT123" s="146">
        <f>-'Generation &amp; Marketing'!AT356</f>
        <v>0</v>
      </c>
      <c r="AU123" s="146">
        <f>-'Generation &amp; Marketing'!AU356</f>
        <v>0</v>
      </c>
      <c r="AV123" s="147">
        <f>-'Generation &amp; Marketing'!AV356</f>
        <v>0</v>
      </c>
      <c r="AW123" s="72">
        <f>-'Generation &amp; Marketing'!AW356</f>
        <v>0</v>
      </c>
      <c r="AX123" s="148">
        <f>-'Generation &amp; Marketing'!AX356</f>
        <v>-37.5</v>
      </c>
      <c r="AY123" s="146">
        <f>-'Generation &amp; Marketing'!AY356</f>
        <v>-37.5</v>
      </c>
      <c r="AZ123" s="146">
        <f>-'Generation &amp; Marketing'!AZ356</f>
        <v>-37.5</v>
      </c>
      <c r="BA123" s="147">
        <f>-'Generation &amp; Marketing'!BA356</f>
        <v>-37.5</v>
      </c>
      <c r="BB123" s="72">
        <f>-'Generation &amp; Marketing'!BB356</f>
        <v>-150</v>
      </c>
      <c r="BC123" s="148">
        <f>-'Generation &amp; Marketing'!BC356</f>
        <v>-37.5</v>
      </c>
      <c r="BD123" s="146">
        <f>-'Generation &amp; Marketing'!BD356</f>
        <v>-37.5</v>
      </c>
      <c r="BE123" s="146">
        <f>-'Generation &amp; Marketing'!BE356</f>
        <v>-37.5</v>
      </c>
      <c r="BF123" s="147">
        <f>-'Generation &amp; Marketing'!BF356</f>
        <v>-37.5</v>
      </c>
      <c r="BG123" s="72">
        <f>-'Generation &amp; Marketing'!BG356</f>
        <v>-150</v>
      </c>
      <c r="BH123" s="148">
        <f>-'Generation &amp; Marketing'!BH356</f>
        <v>-12.5</v>
      </c>
      <c r="BI123" s="146">
        <f>-'Generation &amp; Marketing'!BI356</f>
        <v>-12.5</v>
      </c>
      <c r="BJ123" s="146">
        <f>-'Generation &amp; Marketing'!BJ356</f>
        <v>-12.5</v>
      </c>
      <c r="BK123" s="147">
        <f>-'Generation &amp; Marketing'!BK356</f>
        <v>-12.5</v>
      </c>
      <c r="BL123" s="72">
        <f>-'Generation &amp; Marketing'!BL356</f>
        <v>-50</v>
      </c>
      <c r="BM123" s="148">
        <f>-'Generation &amp; Marketing'!BM356</f>
        <v>50</v>
      </c>
      <c r="BN123" s="146">
        <f>-'Generation &amp; Marketing'!BN356</f>
        <v>50</v>
      </c>
      <c r="BO123" s="146">
        <f>-'Generation &amp; Marketing'!BO356</f>
        <v>50</v>
      </c>
      <c r="BP123" s="147">
        <f>-'Generation &amp; Marketing'!BP356</f>
        <v>50</v>
      </c>
      <c r="BQ123" s="72">
        <f>-'Generation &amp; Marketing'!BQ356</f>
        <v>200</v>
      </c>
      <c r="BR123" s="491"/>
      <c r="BS123" s="491"/>
      <c r="BT123" s="491"/>
      <c r="BU123" s="491"/>
      <c r="BV123" s="491"/>
    </row>
    <row r="124" spans="1:89">
      <c r="A124" s="1300"/>
      <c r="C124" s="100" t="s">
        <v>1007</v>
      </c>
      <c r="E124" s="237"/>
      <c r="F124" s="238"/>
      <c r="G124" s="238"/>
      <c r="H124" s="239"/>
      <c r="I124" s="72"/>
      <c r="J124" s="171"/>
      <c r="K124" s="172"/>
      <c r="L124" s="172"/>
      <c r="M124" s="173"/>
      <c r="N124" s="72"/>
      <c r="O124" s="148"/>
      <c r="P124" s="163"/>
      <c r="Q124" s="163"/>
      <c r="R124" s="147"/>
      <c r="S124" s="72"/>
      <c r="T124" s="148"/>
      <c r="U124" s="146"/>
      <c r="V124" s="146"/>
      <c r="W124" s="147"/>
      <c r="X124" s="72">
        <f>-'Vertically Integrated Utilities'!X190</f>
        <v>0</v>
      </c>
      <c r="Y124" s="148">
        <f>-'Vertically Integrated Utilities'!Y190</f>
        <v>0</v>
      </c>
      <c r="Z124" s="146">
        <f>-'Vertically Integrated Utilities'!Z190</f>
        <v>0</v>
      </c>
      <c r="AA124" s="146">
        <f>-'Vertically Integrated Utilities'!AA190</f>
        <v>0</v>
      </c>
      <c r="AB124" s="147">
        <f>-'Vertically Integrated Utilities'!AB190</f>
        <v>0</v>
      </c>
      <c r="AC124" s="72">
        <f>-'Vertically Integrated Utilities'!AC190</f>
        <v>0</v>
      </c>
      <c r="AD124" s="148">
        <f>-'Vertically Integrated Utilities'!AD190</f>
        <v>0</v>
      </c>
      <c r="AE124" s="146">
        <f>-'Vertically Integrated Utilities'!AE190</f>
        <v>0</v>
      </c>
      <c r="AF124" s="146">
        <f>-'Vertically Integrated Utilities'!AF190</f>
        <v>0</v>
      </c>
      <c r="AG124" s="147">
        <f>-'Vertically Integrated Utilities'!AG190</f>
        <v>0</v>
      </c>
      <c r="AH124" s="72">
        <f>-'Vertically Integrated Utilities'!AH190</f>
        <v>0</v>
      </c>
      <c r="AI124" s="148">
        <f>-'Vertically Integrated Utilities'!AI190</f>
        <v>0</v>
      </c>
      <c r="AJ124" s="146">
        <f>-'Vertically Integrated Utilities'!AJ190</f>
        <v>0</v>
      </c>
      <c r="AK124" s="146">
        <f>-'Vertically Integrated Utilities'!AK190</f>
        <v>0</v>
      </c>
      <c r="AL124" s="147">
        <f>-'Vertically Integrated Utilities'!AL190</f>
        <v>0</v>
      </c>
      <c r="AM124" s="72">
        <f>-'Vertically Integrated Utilities'!AM190</f>
        <v>0</v>
      </c>
      <c r="AN124" s="148">
        <f>-'Vertically Integrated Utilities'!AN190</f>
        <v>0</v>
      </c>
      <c r="AO124" s="146">
        <f>-'Vertically Integrated Utilities'!AO190</f>
        <v>0</v>
      </c>
      <c r="AP124" s="146">
        <f>-'Vertically Integrated Utilities'!AP190</f>
        <v>0</v>
      </c>
      <c r="AQ124" s="147">
        <f>-'Vertically Integrated Utilities'!AQ190</f>
        <v>0</v>
      </c>
      <c r="AR124" s="72">
        <f>-'Vertically Integrated Utilities'!AR190</f>
        <v>0</v>
      </c>
      <c r="AS124" s="148">
        <f>-'Vertically Integrated Utilities'!AS190</f>
        <v>0</v>
      </c>
      <c r="AT124" s="146">
        <f>-'Vertically Integrated Utilities'!AT190</f>
        <v>0</v>
      </c>
      <c r="AU124" s="146">
        <f>-'Vertically Integrated Utilities'!AU190</f>
        <v>0</v>
      </c>
      <c r="AV124" s="147">
        <f>-'Vertically Integrated Utilities'!AV190</f>
        <v>0</v>
      </c>
      <c r="AW124" s="72">
        <f>-'Vertically Integrated Utilities'!AW190</f>
        <v>0</v>
      </c>
      <c r="AX124" s="148">
        <f>-'Vertically Integrated Utilities'!AX190</f>
        <v>25</v>
      </c>
      <c r="AY124" s="146">
        <f>-'Vertically Integrated Utilities'!AY190</f>
        <v>25</v>
      </c>
      <c r="AZ124" s="146">
        <f>-'Vertically Integrated Utilities'!AZ190</f>
        <v>25</v>
      </c>
      <c r="BA124" s="147">
        <f>-'Vertically Integrated Utilities'!BA190</f>
        <v>25</v>
      </c>
      <c r="BB124" s="72">
        <f>-'Vertically Integrated Utilities'!BB190</f>
        <v>100</v>
      </c>
      <c r="BC124" s="148">
        <f>-'Vertically Integrated Utilities'!BC190</f>
        <v>25</v>
      </c>
      <c r="BD124" s="146">
        <f>-'Vertically Integrated Utilities'!BD190</f>
        <v>25</v>
      </c>
      <c r="BE124" s="146">
        <f>-'Vertically Integrated Utilities'!BE190</f>
        <v>25</v>
      </c>
      <c r="BF124" s="147">
        <f>-'Vertically Integrated Utilities'!BF190</f>
        <v>25</v>
      </c>
      <c r="BG124" s="72">
        <f>-'Vertically Integrated Utilities'!BG190</f>
        <v>100</v>
      </c>
      <c r="BH124" s="148">
        <f>-'Vertically Integrated Utilities'!BH190</f>
        <v>75</v>
      </c>
      <c r="BI124" s="146">
        <f>-'Vertically Integrated Utilities'!BI190</f>
        <v>75</v>
      </c>
      <c r="BJ124" s="146">
        <f>-'Vertically Integrated Utilities'!BJ190</f>
        <v>75</v>
      </c>
      <c r="BK124" s="147">
        <f>-'Vertically Integrated Utilities'!BK190</f>
        <v>75</v>
      </c>
      <c r="BL124" s="72">
        <f>-'Vertically Integrated Utilities'!BL190</f>
        <v>300</v>
      </c>
      <c r="BM124" s="148">
        <f>-'Vertically Integrated Utilities'!BM190</f>
        <v>-56.25</v>
      </c>
      <c r="BN124" s="146">
        <f>-'Vertically Integrated Utilities'!BN190</f>
        <v>-56.25</v>
      </c>
      <c r="BO124" s="146">
        <f>-'Vertically Integrated Utilities'!BO190</f>
        <v>-56.25</v>
      </c>
      <c r="BP124" s="147">
        <f>-'Vertically Integrated Utilities'!BP190</f>
        <v>-56.25</v>
      </c>
      <c r="BQ124" s="72">
        <f>-'Vertically Integrated Utilities'!BQ190</f>
        <v>-225</v>
      </c>
      <c r="BR124" s="491"/>
      <c r="BS124" s="491"/>
      <c r="BT124" s="491"/>
      <c r="BU124" s="491"/>
      <c r="BV124" s="491"/>
    </row>
    <row r="125" spans="1:89">
      <c r="A125" s="1300"/>
      <c r="C125" s="100" t="s">
        <v>1008</v>
      </c>
      <c r="E125" s="237"/>
      <c r="F125" s="238"/>
      <c r="G125" s="238"/>
      <c r="H125" s="239"/>
      <c r="I125" s="72"/>
      <c r="J125" s="171"/>
      <c r="K125" s="172"/>
      <c r="L125" s="172"/>
      <c r="M125" s="173"/>
      <c r="N125" s="72"/>
      <c r="O125" s="148"/>
      <c r="P125" s="163"/>
      <c r="Q125" s="163"/>
      <c r="R125" s="147"/>
      <c r="S125" s="72"/>
      <c r="T125" s="148"/>
      <c r="U125" s="146"/>
      <c r="V125" s="146"/>
      <c r="W125" s="147"/>
      <c r="X125" s="72">
        <f>-'T&amp;D Utilities'!X171</f>
        <v>0</v>
      </c>
      <c r="Y125" s="148">
        <f>-'T&amp;D Utilities'!Y171</f>
        <v>0</v>
      </c>
      <c r="Z125" s="146">
        <f>-'T&amp;D Utilities'!Z171</f>
        <v>0</v>
      </c>
      <c r="AA125" s="146">
        <f>-'T&amp;D Utilities'!AA171</f>
        <v>0</v>
      </c>
      <c r="AB125" s="147">
        <f>-'T&amp;D Utilities'!AB171</f>
        <v>0</v>
      </c>
      <c r="AC125" s="72">
        <f>-'T&amp;D Utilities'!AC171</f>
        <v>0</v>
      </c>
      <c r="AD125" s="148">
        <f>-'T&amp;D Utilities'!AD171</f>
        <v>0</v>
      </c>
      <c r="AE125" s="146">
        <f>-'T&amp;D Utilities'!AE171</f>
        <v>0</v>
      </c>
      <c r="AF125" s="146">
        <f>-'T&amp;D Utilities'!AF171</f>
        <v>0</v>
      </c>
      <c r="AG125" s="147">
        <f>-'T&amp;D Utilities'!AG171</f>
        <v>0</v>
      </c>
      <c r="AH125" s="72">
        <f>-'T&amp;D Utilities'!AH171</f>
        <v>0</v>
      </c>
      <c r="AI125" s="148">
        <f>-'T&amp;D Utilities'!AI171</f>
        <v>0</v>
      </c>
      <c r="AJ125" s="146">
        <f>-'T&amp;D Utilities'!AJ171</f>
        <v>0</v>
      </c>
      <c r="AK125" s="146">
        <f>-'T&amp;D Utilities'!AK171</f>
        <v>0</v>
      </c>
      <c r="AL125" s="147">
        <f>-'T&amp;D Utilities'!AL171</f>
        <v>0</v>
      </c>
      <c r="AM125" s="72">
        <f>-'T&amp;D Utilities'!AM171</f>
        <v>0</v>
      </c>
      <c r="AN125" s="148">
        <f>-'T&amp;D Utilities'!AN171</f>
        <v>0</v>
      </c>
      <c r="AO125" s="146">
        <f>-'T&amp;D Utilities'!AO171</f>
        <v>0</v>
      </c>
      <c r="AP125" s="146">
        <f>-'T&amp;D Utilities'!AP171</f>
        <v>0</v>
      </c>
      <c r="AQ125" s="147">
        <f>-'T&amp;D Utilities'!AQ171</f>
        <v>0</v>
      </c>
      <c r="AR125" s="72">
        <f>-'T&amp;D Utilities'!AR171</f>
        <v>0</v>
      </c>
      <c r="AS125" s="148">
        <f>-'T&amp;D Utilities'!AS171</f>
        <v>0</v>
      </c>
      <c r="AT125" s="146">
        <f>-'T&amp;D Utilities'!AT171</f>
        <v>0</v>
      </c>
      <c r="AU125" s="146">
        <f>-'T&amp;D Utilities'!AU171</f>
        <v>0</v>
      </c>
      <c r="AV125" s="147">
        <f>-'T&amp;D Utilities'!AV171</f>
        <v>0</v>
      </c>
      <c r="AW125" s="72">
        <f>-'T&amp;D Utilities'!AW171</f>
        <v>0</v>
      </c>
      <c r="AX125" s="148">
        <f>-'T&amp;D Utilities'!AX171</f>
        <v>37.5</v>
      </c>
      <c r="AY125" s="146">
        <f>-'T&amp;D Utilities'!AY171</f>
        <v>37.5</v>
      </c>
      <c r="AZ125" s="146">
        <f>-'T&amp;D Utilities'!AZ171</f>
        <v>37.5</v>
      </c>
      <c r="BA125" s="147">
        <f>-'T&amp;D Utilities'!BA171</f>
        <v>37.5</v>
      </c>
      <c r="BB125" s="72">
        <f>-'T&amp;D Utilities'!BB171</f>
        <v>150</v>
      </c>
      <c r="BC125" s="148">
        <f>-'T&amp;D Utilities'!BC171</f>
        <v>50</v>
      </c>
      <c r="BD125" s="146">
        <f>-'T&amp;D Utilities'!BD171</f>
        <v>50</v>
      </c>
      <c r="BE125" s="146">
        <f>-'T&amp;D Utilities'!BE171</f>
        <v>50</v>
      </c>
      <c r="BF125" s="147">
        <f>-'T&amp;D Utilities'!BF171</f>
        <v>50</v>
      </c>
      <c r="BG125" s="72">
        <f>-'T&amp;D Utilities'!BG171</f>
        <v>200</v>
      </c>
      <c r="BH125" s="148">
        <f>-'T&amp;D Utilities'!BH171</f>
        <v>100</v>
      </c>
      <c r="BI125" s="146">
        <f>-'T&amp;D Utilities'!BI171</f>
        <v>100</v>
      </c>
      <c r="BJ125" s="146">
        <f>-'T&amp;D Utilities'!BJ171</f>
        <v>100</v>
      </c>
      <c r="BK125" s="147">
        <f>-'T&amp;D Utilities'!BK171</f>
        <v>100</v>
      </c>
      <c r="BL125" s="72">
        <f>-'T&amp;D Utilities'!BL171</f>
        <v>400</v>
      </c>
      <c r="BM125" s="148">
        <f>-'T&amp;D Utilities'!BM171</f>
        <v>125</v>
      </c>
      <c r="BN125" s="146">
        <f>-'T&amp;D Utilities'!BN171</f>
        <v>125</v>
      </c>
      <c r="BO125" s="146">
        <f>-'T&amp;D Utilities'!BO171</f>
        <v>125</v>
      </c>
      <c r="BP125" s="147">
        <f>-'T&amp;D Utilities'!BP171</f>
        <v>125</v>
      </c>
      <c r="BQ125" s="72">
        <f>-'T&amp;D Utilities'!BQ171</f>
        <v>500</v>
      </c>
      <c r="BR125" s="491"/>
      <c r="BS125" s="491"/>
      <c r="BT125" s="491"/>
      <c r="BU125" s="491"/>
      <c r="BV125" s="491"/>
    </row>
    <row r="126" spans="1:89">
      <c r="A126" s="1300"/>
      <c r="C126" s="549" t="s">
        <v>333</v>
      </c>
      <c r="E126" s="237"/>
      <c r="F126" s="238"/>
      <c r="G126" s="238"/>
      <c r="H126" s="239"/>
      <c r="I126" s="72"/>
      <c r="J126" s="171"/>
      <c r="K126" s="172"/>
      <c r="L126" s="172"/>
      <c r="M126" s="173"/>
      <c r="N126" s="72"/>
      <c r="O126" s="148"/>
      <c r="P126" s="163"/>
      <c r="Q126" s="163"/>
      <c r="R126" s="147"/>
      <c r="S126" s="72"/>
      <c r="T126" s="148"/>
      <c r="U126" s="146"/>
      <c r="V126" s="146"/>
      <c r="W126" s="147"/>
      <c r="X126" s="72">
        <f t="shared" ref="X126:AC126" si="125">+X150</f>
        <v>83</v>
      </c>
      <c r="Y126" s="148">
        <f t="shared" si="125"/>
        <v>15</v>
      </c>
      <c r="Z126" s="146">
        <f t="shared" si="125"/>
        <v>26</v>
      </c>
      <c r="AA126" s="146">
        <f t="shared" si="125"/>
        <v>20</v>
      </c>
      <c r="AB126" s="147">
        <f t="shared" si="125"/>
        <v>23</v>
      </c>
      <c r="AC126" s="72">
        <f t="shared" si="125"/>
        <v>84</v>
      </c>
      <c r="AD126" s="148">
        <f t="shared" ref="AD126:BB126" si="126">+AD150</f>
        <v>15</v>
      </c>
      <c r="AE126" s="146">
        <f t="shared" si="126"/>
        <v>14</v>
      </c>
      <c r="AF126" s="146">
        <f t="shared" si="126"/>
        <v>34</v>
      </c>
      <c r="AG126" s="147">
        <f t="shared" si="126"/>
        <v>10</v>
      </c>
      <c r="AH126" s="72">
        <f t="shared" si="126"/>
        <v>73</v>
      </c>
      <c r="AI126" s="148">
        <f t="shared" ref="AI126:AN126" si="127">+AI150</f>
        <v>31</v>
      </c>
      <c r="AJ126" s="146">
        <f t="shared" si="127"/>
        <v>25</v>
      </c>
      <c r="AK126" s="146">
        <f t="shared" si="127"/>
        <v>12</v>
      </c>
      <c r="AL126" s="147">
        <f t="shared" si="127"/>
        <v>13.599999999999994</v>
      </c>
      <c r="AM126" s="72">
        <f t="shared" si="127"/>
        <v>81.599999999999994</v>
      </c>
      <c r="AN126" s="148">
        <f t="shared" si="127"/>
        <v>12.1</v>
      </c>
      <c r="AO126" s="146">
        <f>+AO150</f>
        <v>18.799999999999997</v>
      </c>
      <c r="AP126" s="146">
        <f t="shared" si="126"/>
        <v>3.3000000000000043</v>
      </c>
      <c r="AQ126" s="147">
        <f t="shared" si="126"/>
        <v>0</v>
      </c>
      <c r="AR126" s="72">
        <f t="shared" si="126"/>
        <v>34.200000000000003</v>
      </c>
      <c r="AS126" s="148">
        <f t="shared" si="126"/>
        <v>0</v>
      </c>
      <c r="AT126" s="146">
        <f>+AT150</f>
        <v>0</v>
      </c>
      <c r="AU126" s="146">
        <f t="shared" ref="AU126:AW126" si="128">+AU150</f>
        <v>0</v>
      </c>
      <c r="AV126" s="147">
        <f t="shared" si="128"/>
        <v>12.2</v>
      </c>
      <c r="AW126" s="72">
        <f t="shared" si="128"/>
        <v>12.2</v>
      </c>
      <c r="AX126" s="148">
        <f t="shared" si="126"/>
        <v>25</v>
      </c>
      <c r="AY126" s="146">
        <f t="shared" si="126"/>
        <v>25</v>
      </c>
      <c r="AZ126" s="146">
        <f t="shared" si="126"/>
        <v>25</v>
      </c>
      <c r="BA126" s="147">
        <f t="shared" si="126"/>
        <v>25</v>
      </c>
      <c r="BB126" s="72">
        <f t="shared" si="126"/>
        <v>100</v>
      </c>
      <c r="BC126" s="148">
        <f t="shared" ref="BC126:BL126" si="129">+BC150</f>
        <v>25</v>
      </c>
      <c r="BD126" s="146">
        <f t="shared" si="129"/>
        <v>25</v>
      </c>
      <c r="BE126" s="146">
        <f t="shared" si="129"/>
        <v>25</v>
      </c>
      <c r="BF126" s="147">
        <f t="shared" si="129"/>
        <v>25</v>
      </c>
      <c r="BG126" s="72">
        <f t="shared" si="129"/>
        <v>100</v>
      </c>
      <c r="BH126" s="148">
        <f t="shared" si="129"/>
        <v>125</v>
      </c>
      <c r="BI126" s="146">
        <f t="shared" si="129"/>
        <v>125</v>
      </c>
      <c r="BJ126" s="146">
        <f t="shared" si="129"/>
        <v>125</v>
      </c>
      <c r="BK126" s="147">
        <f t="shared" si="129"/>
        <v>125</v>
      </c>
      <c r="BL126" s="72">
        <f t="shared" si="129"/>
        <v>500</v>
      </c>
      <c r="BM126" s="148">
        <f>+BM150</f>
        <v>181.25</v>
      </c>
      <c r="BN126" s="146">
        <f>+BN150</f>
        <v>181.25</v>
      </c>
      <c r="BO126" s="146">
        <f>+BO150</f>
        <v>181.25</v>
      </c>
      <c r="BP126" s="147">
        <f>+BP150</f>
        <v>181.25</v>
      </c>
      <c r="BQ126" s="72">
        <f>+BQ150</f>
        <v>725</v>
      </c>
      <c r="BR126" s="491"/>
      <c r="BS126" s="491"/>
      <c r="BT126" s="491"/>
      <c r="BU126" s="491"/>
      <c r="BV126" s="491"/>
    </row>
    <row r="127" spans="1:89">
      <c r="A127" s="1300"/>
      <c r="C127" s="100" t="s">
        <v>586</v>
      </c>
      <c r="E127" s="237"/>
      <c r="F127" s="238"/>
      <c r="G127" s="238"/>
      <c r="H127" s="239"/>
      <c r="I127" s="72"/>
      <c r="J127" s="171"/>
      <c r="K127" s="172"/>
      <c r="L127" s="172"/>
      <c r="M127" s="173"/>
      <c r="N127" s="72"/>
      <c r="O127" s="148"/>
      <c r="P127" s="163"/>
      <c r="Q127" s="163"/>
      <c r="R127" s="147"/>
      <c r="S127" s="72"/>
      <c r="T127" s="148"/>
      <c r="U127" s="146"/>
      <c r="V127" s="146"/>
      <c r="W127" s="147"/>
      <c r="X127" s="72">
        <f>('Transmission Holdco'!X30+'Transmission Holdco'!X13)+(Parent!X37+Parent!X13)</f>
        <v>-78</v>
      </c>
      <c r="Y127" s="148">
        <f>('Transmission Holdco'!Y30+'Transmission Holdco'!Y13)+(Parent!Y37+Parent!Y13)</f>
        <v>-5.75</v>
      </c>
      <c r="Z127" s="146">
        <f>('Transmission Holdco'!Z30+'Transmission Holdco'!Z13)+(Parent!Z37+Parent!Z13)</f>
        <v>117.25</v>
      </c>
      <c r="AA127" s="146">
        <f>('Transmission Holdco'!AA30+'Transmission Holdco'!AA13)+(Parent!AA37+Parent!AA13)</f>
        <v>14.25</v>
      </c>
      <c r="AB127" s="147">
        <f>('Transmission Holdco'!AB30+'Transmission Holdco'!AB13)+(Parent!AB37+Parent!AB13)</f>
        <v>19.25</v>
      </c>
      <c r="AC127" s="72">
        <f>('Transmission Holdco'!AC30+'Transmission Holdco'!AC13)+(Parent!AC37+Parent!AC13)</f>
        <v>145</v>
      </c>
      <c r="AD127" s="148">
        <f>('Transmission Holdco'!AD30+'Transmission Holdco'!AD13)+(Parent!AD37+Parent!AD13)</f>
        <v>20.25</v>
      </c>
      <c r="AE127" s="146">
        <f>('Transmission Holdco'!AE30+'Transmission Holdco'!AE13)+(Parent!AE37+Parent!AE13)</f>
        <v>15.25</v>
      </c>
      <c r="AF127" s="146">
        <f>('Transmission Holdco'!AF30+'Transmission Holdco'!AF13)+(Parent!AF37+Parent!AF13)</f>
        <v>58.25</v>
      </c>
      <c r="AG127" s="147">
        <f>('Transmission Holdco'!AG30+'Transmission Holdco'!AG13)+(Parent!AG37+Parent!AG13)</f>
        <v>44.249999999999531</v>
      </c>
      <c r="AH127" s="72">
        <f>('Transmission Holdco'!AH30+'Transmission Holdco'!AH13)+(Parent!AH37+Parent!AH13)</f>
        <v>137.99999999999937</v>
      </c>
      <c r="AI127" s="148">
        <f>('Transmission Holdco'!AI30+'Transmission Holdco'!AI13)+(Parent!AI37+Parent!AI13)</f>
        <v>49.999999999999993</v>
      </c>
      <c r="AJ127" s="146">
        <f>('Transmission Holdco'!AJ30+'Transmission Holdco'!AJ13)+(Parent!AJ37+Parent!AJ13)</f>
        <v>81.000000000000043</v>
      </c>
      <c r="AK127" s="146">
        <f>('Transmission Holdco'!AK30+'Transmission Holdco'!AK13)+(Parent!AK37+Parent!AK13)</f>
        <v>59.000000000000007</v>
      </c>
      <c r="AL127" s="147">
        <f>('Transmission Holdco'!AL30+'Transmission Holdco'!AL13)+(Parent!AL37+Parent!AL13)</f>
        <v>272.90000000000077</v>
      </c>
      <c r="AM127" s="72">
        <f>('Transmission Holdco'!AM30+'Transmission Holdco'!AM13)+(Parent!AM37+Parent!AM13)</f>
        <v>462.89999999999975</v>
      </c>
      <c r="AN127" s="148">
        <f>('Transmission Holdco'!AN30+'Transmission Holdco'!AN13)+(Parent!AN37+Parent!AN13)</f>
        <v>70.200000000000358</v>
      </c>
      <c r="AO127" s="146">
        <f>('Transmission Holdco'!AO30+'Transmission Holdco'!AO13)+(Parent!AO37+Parent!AO13)</f>
        <v>143.30000000000038</v>
      </c>
      <c r="AP127" s="146">
        <f>('Transmission Holdco'!AP30+'Transmission Holdco'!AP13)+(Parent!AP37+Parent!AP13)</f>
        <v>135.29999999999916</v>
      </c>
      <c r="AQ127" s="147">
        <f>('Transmission Holdco'!AQ30+'Transmission Holdco'!AQ13)+(Parent!AQ37+Parent!AQ13)</f>
        <v>82.100000000000279</v>
      </c>
      <c r="AR127" s="72">
        <f>('Transmission Holdco'!AR30+'Transmission Holdco'!AR13)+(Parent!AR37+Parent!AR13)</f>
        <v>430.90000000000072</v>
      </c>
      <c r="AS127" s="148">
        <f>('Transmission Holdco'!AS30+'Transmission Holdco'!AS13)+(Parent!AS37+Parent!AS13)</f>
        <v>109.09999999999985</v>
      </c>
      <c r="AT127" s="146">
        <f>('Transmission Holdco'!AT30+'Transmission Holdco'!AT13)+(Parent!AT37+Parent!AT13)</f>
        <v>154.60000000000002</v>
      </c>
      <c r="AU127" s="146">
        <f>('Transmission Holdco'!AU30+'Transmission Holdco'!AU13)+(Parent!AU37+Parent!AU13)</f>
        <v>121.89999999999986</v>
      </c>
      <c r="AV127" s="147">
        <f>('Transmission Holdco'!AV30+'Transmission Holdco'!AV13)+(Parent!AV37+Parent!AV13)</f>
        <v>97.099999999998289</v>
      </c>
      <c r="AW127" s="72">
        <f>('Transmission Holdco'!AW30+'Transmission Holdco'!AW13)+(Parent!AW37+Parent!AW13)</f>
        <v>482.69999999999806</v>
      </c>
      <c r="AX127" s="148">
        <f>('Transmission Holdco'!AX30+'Transmission Holdco'!AX13)+(Parent!AX37+Parent!AX13)</f>
        <v>112.54529829207722</v>
      </c>
      <c r="AY127" s="146">
        <f>('Transmission Holdco'!AY30+'Transmission Holdco'!AY13)+(Parent!AY37+Parent!AY13)</f>
        <v>151.99151768875683</v>
      </c>
      <c r="AZ127" s="146">
        <f>('Transmission Holdco'!AZ30+'Transmission Holdco'!AZ13)+(Parent!AZ37+Parent!AZ13)</f>
        <v>102.59449714901399</v>
      </c>
      <c r="BA127" s="147">
        <f>('Transmission Holdco'!BA30+'Transmission Holdco'!BA13)+(Parent!BA37+Parent!BA13)</f>
        <v>138.26556189409499</v>
      </c>
      <c r="BB127" s="72">
        <f>('Transmission Holdco'!BB30+'Transmission Holdco'!BB13)+(Parent!BB37+Parent!BB13)</f>
        <v>505.3968750239431</v>
      </c>
      <c r="BC127" s="148">
        <f>('Transmission Holdco'!BC30+'Transmission Holdco'!BC13)+(Parent!BC37+Parent!BC13)</f>
        <v>111.76656483340352</v>
      </c>
      <c r="BD127" s="146">
        <f>('Transmission Holdco'!BD30+'Transmission Holdco'!BD13)+(Parent!BD37+Parent!BD13)</f>
        <v>171.67145691635079</v>
      </c>
      <c r="BE127" s="146">
        <f>('Transmission Holdco'!BE30+'Transmission Holdco'!BE13)+(Parent!BE37+Parent!BE13)</f>
        <v>93.061489276179145</v>
      </c>
      <c r="BF127" s="147">
        <f>('Transmission Holdco'!BF30+'Transmission Holdco'!BF13)+(Parent!BF37+Parent!BF13)</f>
        <v>136.41170094592383</v>
      </c>
      <c r="BG127" s="72">
        <f>('Transmission Holdco'!BG30+'Transmission Holdco'!BG13)+(Parent!BG37+Parent!BG13)</f>
        <v>512.91121197185726</v>
      </c>
      <c r="BH127" s="148">
        <f>('Transmission Holdco'!BH30+'Transmission Holdco'!BH13)+(Parent!BH37+Parent!BH13)</f>
        <v>111.95235899991033</v>
      </c>
      <c r="BI127" s="146">
        <f>('Transmission Holdco'!BI30+'Transmission Holdco'!BI13)+(Parent!BI37+Parent!BI13)</f>
        <v>183.33464446248968</v>
      </c>
      <c r="BJ127" s="146">
        <f>('Transmission Holdco'!BJ30+'Transmission Holdco'!BJ13)+(Parent!BJ37+Parent!BJ13)</f>
        <v>105.29729260553538</v>
      </c>
      <c r="BK127" s="147">
        <f>('Transmission Holdco'!BK30+'Transmission Holdco'!BK13)+(Parent!BK37+Parent!BK13)</f>
        <v>149.59007505505713</v>
      </c>
      <c r="BL127" s="72">
        <f>('Transmission Holdco'!BL30+'Transmission Holdco'!BL13)+(Parent!BL37+Parent!BL13)</f>
        <v>550.17437112299251</v>
      </c>
      <c r="BM127" s="148">
        <f>('Transmission Holdco'!BM30+'Transmission Holdco'!BM13)+(Parent!BM37+Parent!BM13)</f>
        <v>119.87598862040807</v>
      </c>
      <c r="BN127" s="146">
        <f>('Transmission Holdco'!BN30+'Transmission Holdco'!BN13)+(Parent!BN37+Parent!BN13)</f>
        <v>196.55978694628146</v>
      </c>
      <c r="BO127" s="146">
        <f>('Transmission Holdco'!BO30+'Transmission Holdco'!BO13)+(Parent!BO37+Parent!BO13)</f>
        <v>118.17164858814036</v>
      </c>
      <c r="BP127" s="147">
        <f>('Transmission Holdco'!BP30+'Transmission Holdco'!BP13)+(Parent!BP37+Parent!BP13)</f>
        <v>166.07455452669163</v>
      </c>
      <c r="BQ127" s="72">
        <f>('Transmission Holdco'!BQ30+'Transmission Holdco'!BQ13)+(Parent!BQ37+Parent!BQ13)</f>
        <v>600.68197868152151</v>
      </c>
      <c r="BR127" s="491"/>
      <c r="BS127" s="491"/>
      <c r="BT127" s="491"/>
      <c r="BU127" s="491"/>
      <c r="BV127" s="491"/>
    </row>
    <row r="128" spans="1:89">
      <c r="A128" s="1300"/>
      <c r="C128" s="100" t="s">
        <v>46</v>
      </c>
      <c r="E128" s="237"/>
      <c r="F128" s="238"/>
      <c r="G128" s="238"/>
      <c r="H128" s="239"/>
      <c r="I128" s="72"/>
      <c r="J128" s="171"/>
      <c r="K128" s="172"/>
      <c r="L128" s="172"/>
      <c r="M128" s="173"/>
      <c r="N128" s="72"/>
      <c r="O128" s="148"/>
      <c r="P128" s="163"/>
      <c r="Q128" s="163"/>
      <c r="R128" s="147"/>
      <c r="S128" s="72"/>
      <c r="T128" s="148"/>
      <c r="U128" s="146"/>
      <c r="V128" s="146"/>
      <c r="W128" s="147"/>
      <c r="X128" s="72">
        <f t="shared" ref="X128:AC128" si="130">+X149</f>
        <v>-916</v>
      </c>
      <c r="Y128" s="148">
        <f t="shared" si="130"/>
        <v>-230</v>
      </c>
      <c r="Z128" s="146">
        <f t="shared" si="130"/>
        <v>-239</v>
      </c>
      <c r="AA128" s="146">
        <f t="shared" si="130"/>
        <v>-240</v>
      </c>
      <c r="AB128" s="147">
        <f t="shared" si="130"/>
        <v>-245</v>
      </c>
      <c r="AC128" s="72">
        <f t="shared" si="130"/>
        <v>-954</v>
      </c>
      <c r="AD128" s="148">
        <f t="shared" ref="AD128:BB128" si="131">+AD149</f>
        <v>-245</v>
      </c>
      <c r="AE128" s="146">
        <f t="shared" si="131"/>
        <v>-245</v>
      </c>
      <c r="AF128" s="146">
        <f t="shared" si="131"/>
        <v>-246</v>
      </c>
      <c r="AG128" s="147">
        <f t="shared" si="131"/>
        <v>-262</v>
      </c>
      <c r="AH128" s="72">
        <f t="shared" si="131"/>
        <v>-998</v>
      </c>
      <c r="AI128" s="148">
        <f t="shared" ref="AI128:AN128" si="132">+AI149</f>
        <v>-260</v>
      </c>
      <c r="AJ128" s="146">
        <f t="shared" si="132"/>
        <v>-262</v>
      </c>
      <c r="AK128" s="146">
        <f t="shared" si="132"/>
        <v>-261</v>
      </c>
      <c r="AL128" s="147">
        <f t="shared" si="132"/>
        <v>-276</v>
      </c>
      <c r="AM128" s="72">
        <f t="shared" si="132"/>
        <v>-1059</v>
      </c>
      <c r="AN128" s="148">
        <f t="shared" si="132"/>
        <v>-276.5</v>
      </c>
      <c r="AO128" s="146">
        <f>+AO149</f>
        <v>-276.60000000000002</v>
      </c>
      <c r="AP128" s="146">
        <f t="shared" si="131"/>
        <v>-276.69999999999993</v>
      </c>
      <c r="AQ128" s="147">
        <f t="shared" si="131"/>
        <v>-291.20000000000005</v>
      </c>
      <c r="AR128" s="72">
        <f t="shared" si="131"/>
        <v>-1121</v>
      </c>
      <c r="AS128" s="148">
        <f t="shared" si="131"/>
        <v>-291.39999999999998</v>
      </c>
      <c r="AT128" s="146">
        <f>+AT149</f>
        <v>-293.5</v>
      </c>
      <c r="AU128" s="146">
        <f t="shared" ref="AU128:AW128" si="133">+AU149</f>
        <v>-290.10000000000002</v>
      </c>
      <c r="AV128" s="147">
        <f t="shared" si="133"/>
        <v>-316.90000000000009</v>
      </c>
      <c r="AW128" s="72">
        <f t="shared" si="133"/>
        <v>-1191.9000000000001</v>
      </c>
      <c r="AX128" s="148">
        <f t="shared" si="131"/>
        <v>-305.15598527800233</v>
      </c>
      <c r="AY128" s="146">
        <f t="shared" si="131"/>
        <v>-305.38101431400696</v>
      </c>
      <c r="AZ128" s="146">
        <f t="shared" si="131"/>
        <v>-305.60604335001159</v>
      </c>
      <c r="BA128" s="147">
        <f t="shared" si="131"/>
        <v>-318.06431528145691</v>
      </c>
      <c r="BB128" s="72">
        <f t="shared" si="131"/>
        <v>-1234.2073582234777</v>
      </c>
      <c r="BC128" s="148">
        <f t="shared" ref="BC128:BL128" si="134">+BC149</f>
        <v>-318.29834547890169</v>
      </c>
      <c r="BD128" s="146">
        <f t="shared" si="134"/>
        <v>-318.53237567634653</v>
      </c>
      <c r="BE128" s="146">
        <f t="shared" si="134"/>
        <v>-318.76640587379137</v>
      </c>
      <c r="BF128" s="147">
        <f t="shared" si="134"/>
        <v>-331.76045351408561</v>
      </c>
      <c r="BG128" s="72">
        <f t="shared" si="134"/>
        <v>-1287.3575805431253</v>
      </c>
      <c r="BH128" s="148">
        <f t="shared" si="134"/>
        <v>-332.49062773011349</v>
      </c>
      <c r="BI128" s="146">
        <f t="shared" si="134"/>
        <v>-333.70758475682663</v>
      </c>
      <c r="BJ128" s="146">
        <f t="shared" si="134"/>
        <v>-334.92454178353978</v>
      </c>
      <c r="BK128" s="147">
        <f t="shared" si="134"/>
        <v>-349.58715876266302</v>
      </c>
      <c r="BL128" s="72">
        <f t="shared" si="134"/>
        <v>-1350.7099130331428</v>
      </c>
      <c r="BM128" s="148">
        <f>+BM149</f>
        <v>-351.13756201469556</v>
      </c>
      <c r="BN128" s="146">
        <f>+BN149</f>
        <v>-352.9727332109789</v>
      </c>
      <c r="BO128" s="146">
        <f>+BO149</f>
        <v>-354.8079044072623</v>
      </c>
      <c r="BP128" s="147">
        <f>+BP149</f>
        <v>-370.90879862768753</v>
      </c>
      <c r="BQ128" s="72">
        <f>+BQ149</f>
        <v>-1429.8269982606241</v>
      </c>
      <c r="BR128" s="491"/>
      <c r="BS128" s="491"/>
      <c r="BT128" s="491"/>
      <c r="BU128" s="491"/>
      <c r="BV128" s="491"/>
      <c r="CK128" s="491"/>
    </row>
    <row r="129" spans="2:129">
      <c r="C129" s="164" t="s">
        <v>48</v>
      </c>
      <c r="E129" s="188"/>
      <c r="F129" s="189"/>
      <c r="G129" s="189"/>
      <c r="H129" s="190"/>
      <c r="I129" s="72"/>
      <c r="J129" s="148"/>
      <c r="K129" s="163"/>
      <c r="L129" s="163"/>
      <c r="M129" s="147"/>
      <c r="N129" s="72"/>
      <c r="O129" s="149"/>
      <c r="P129" s="156"/>
      <c r="Q129" s="156"/>
      <c r="R129" s="151"/>
      <c r="S129" s="112"/>
      <c r="T129" s="149"/>
      <c r="U129" s="150"/>
      <c r="V129" s="150"/>
      <c r="W129" s="151"/>
      <c r="X129" s="112">
        <f t="shared" ref="X129:BA129" si="135">SUM(X123:X128)</f>
        <v>-911</v>
      </c>
      <c r="Y129" s="149">
        <f t="shared" si="135"/>
        <v>-220.75</v>
      </c>
      <c r="Z129" s="150">
        <f t="shared" si="135"/>
        <v>-95.75</v>
      </c>
      <c r="AA129" s="150">
        <f t="shared" si="135"/>
        <v>-205.75</v>
      </c>
      <c r="AB129" s="151">
        <f t="shared" si="135"/>
        <v>-202.75</v>
      </c>
      <c r="AC129" s="112">
        <f t="shared" si="135"/>
        <v>-725</v>
      </c>
      <c r="AD129" s="149">
        <f t="shared" si="135"/>
        <v>-209.75</v>
      </c>
      <c r="AE129" s="150">
        <f t="shared" si="135"/>
        <v>-215.75</v>
      </c>
      <c r="AF129" s="150">
        <f t="shared" si="135"/>
        <v>-153.75</v>
      </c>
      <c r="AG129" s="151">
        <f t="shared" ref="AG129:AM129" si="136">SUM(AG123:AG128)</f>
        <v>-207.75000000000045</v>
      </c>
      <c r="AH129" s="112">
        <f t="shared" si="136"/>
        <v>-787.00000000000068</v>
      </c>
      <c r="AI129" s="149">
        <f t="shared" si="136"/>
        <v>-179</v>
      </c>
      <c r="AJ129" s="150">
        <f t="shared" si="136"/>
        <v>-155.99999999999994</v>
      </c>
      <c r="AK129" s="150">
        <f t="shared" si="136"/>
        <v>-190</v>
      </c>
      <c r="AL129" s="151">
        <f t="shared" si="136"/>
        <v>10.500000000000796</v>
      </c>
      <c r="AM129" s="112">
        <f t="shared" si="136"/>
        <v>-514.50000000000023</v>
      </c>
      <c r="AN129" s="149">
        <f>SUM(AN123:AN128)</f>
        <v>-194.19999999999965</v>
      </c>
      <c r="AO129" s="150">
        <f>SUM(AO123:AO128)</f>
        <v>-114.49999999999966</v>
      </c>
      <c r="AP129" s="150">
        <f t="shared" si="135"/>
        <v>-138.10000000000076</v>
      </c>
      <c r="AQ129" s="151">
        <f t="shared" si="135"/>
        <v>-209.09999999999977</v>
      </c>
      <c r="AR129" s="112">
        <f t="shared" si="135"/>
        <v>-655.8999999999993</v>
      </c>
      <c r="AS129" s="149">
        <f>SUM(AS123:AS128)</f>
        <v>-182.30000000000013</v>
      </c>
      <c r="AT129" s="150">
        <f>SUM(AT123:AT128)</f>
        <v>-138.89999999999998</v>
      </c>
      <c r="AU129" s="150">
        <f t="shared" ref="AU129:AW129" si="137">SUM(AU123:AU128)</f>
        <v>-168.20000000000016</v>
      </c>
      <c r="AV129" s="151">
        <f t="shared" si="137"/>
        <v>-207.60000000000178</v>
      </c>
      <c r="AW129" s="112">
        <f t="shared" si="137"/>
        <v>-697.00000000000205</v>
      </c>
      <c r="AX129" s="149">
        <f t="shared" si="135"/>
        <v>-142.6106869859251</v>
      </c>
      <c r="AY129" s="150">
        <f t="shared" si="135"/>
        <v>-103.38949662525013</v>
      </c>
      <c r="AZ129" s="150">
        <f t="shared" si="135"/>
        <v>-153.0115462009976</v>
      </c>
      <c r="BA129" s="151">
        <f t="shared" si="135"/>
        <v>-129.79875338736193</v>
      </c>
      <c r="BB129" s="112">
        <f t="shared" ref="BB129:BL129" si="138">SUM(BB123:BB128)</f>
        <v>-528.8104831995347</v>
      </c>
      <c r="BC129" s="149">
        <f t="shared" si="138"/>
        <v>-144.03178064549817</v>
      </c>
      <c r="BD129" s="150">
        <f t="shared" si="138"/>
        <v>-84.360918759995741</v>
      </c>
      <c r="BE129" s="150">
        <f t="shared" si="138"/>
        <v>-163.20491659761223</v>
      </c>
      <c r="BF129" s="151">
        <f t="shared" si="138"/>
        <v>-132.84875256816179</v>
      </c>
      <c r="BG129" s="112">
        <f t="shared" si="138"/>
        <v>-524.44636857126807</v>
      </c>
      <c r="BH129" s="149">
        <f t="shared" si="138"/>
        <v>66.961731269796815</v>
      </c>
      <c r="BI129" s="150">
        <f t="shared" si="138"/>
        <v>137.12705970566304</v>
      </c>
      <c r="BJ129" s="150">
        <f t="shared" si="138"/>
        <v>57.872750821995623</v>
      </c>
      <c r="BK129" s="151">
        <f t="shared" si="138"/>
        <v>87.502916292394104</v>
      </c>
      <c r="BL129" s="112">
        <f t="shared" si="138"/>
        <v>349.46445808984959</v>
      </c>
      <c r="BM129" s="149">
        <f>SUM(BM123:BM128)</f>
        <v>68.738426605712505</v>
      </c>
      <c r="BN129" s="150">
        <f>SUM(BN123:BN128)</f>
        <v>143.58705373530256</v>
      </c>
      <c r="BO129" s="150">
        <f>SUM(BO123:BO128)</f>
        <v>63.36374418087803</v>
      </c>
      <c r="BP129" s="151">
        <f>SUM(BP123:BP128)</f>
        <v>95.165755899004068</v>
      </c>
      <c r="BQ129" s="112">
        <f>SUM(BQ123:BQ128)</f>
        <v>370.85498042089739</v>
      </c>
      <c r="BR129" s="491"/>
      <c r="BS129" s="491"/>
      <c r="BT129" s="491"/>
      <c r="BU129" s="491"/>
      <c r="BV129" s="491"/>
      <c r="CK129" s="491"/>
    </row>
    <row r="130" spans="2:129">
      <c r="E130" s="188"/>
      <c r="F130" s="189"/>
      <c r="G130" s="189"/>
      <c r="H130" s="190"/>
      <c r="J130" s="188"/>
      <c r="K130" s="189"/>
      <c r="L130" s="189"/>
      <c r="M130" s="190"/>
      <c r="O130" s="188"/>
      <c r="P130" s="189"/>
      <c r="Q130" s="189"/>
      <c r="R130" s="190"/>
      <c r="T130" s="188"/>
      <c r="U130" s="189"/>
      <c r="V130" s="189"/>
      <c r="W130" s="190"/>
      <c r="Y130" s="188"/>
      <c r="Z130" s="189"/>
      <c r="AA130" s="189"/>
      <c r="AB130" s="190"/>
      <c r="AD130" s="188"/>
      <c r="AE130" s="189"/>
      <c r="AF130" s="189"/>
      <c r="AG130" s="190"/>
      <c r="AI130" s="188"/>
      <c r="AJ130" s="189"/>
      <c r="AK130" s="189"/>
      <c r="AL130" s="190"/>
      <c r="AN130" s="188"/>
      <c r="AO130" s="189"/>
      <c r="AP130" s="189"/>
      <c r="AQ130" s="190"/>
      <c r="AS130" s="188"/>
      <c r="AT130" s="189"/>
      <c r="AU130" s="189"/>
      <c r="AV130" s="190"/>
      <c r="AX130" s="188"/>
      <c r="AY130" s="189"/>
      <c r="AZ130" s="189"/>
      <c r="BA130" s="190"/>
      <c r="BC130" s="188"/>
      <c r="BD130" s="189"/>
      <c r="BE130" s="189"/>
      <c r="BF130" s="190"/>
      <c r="BH130" s="188"/>
      <c r="BI130" s="189"/>
      <c r="BJ130" s="189"/>
      <c r="BK130" s="190"/>
      <c r="BM130" s="188"/>
      <c r="BN130" s="189"/>
      <c r="BO130" s="189"/>
      <c r="BP130" s="190"/>
      <c r="BR130" s="491"/>
      <c r="BS130" s="491"/>
      <c r="BT130" s="491"/>
      <c r="BU130" s="491"/>
      <c r="BV130" s="491"/>
      <c r="CG130" s="491"/>
      <c r="CH130" s="491"/>
      <c r="CI130" s="491"/>
      <c r="CJ130" s="491"/>
      <c r="CK130" s="491"/>
      <c r="CL130" s="491"/>
      <c r="CM130" s="491"/>
      <c r="CN130" s="491"/>
    </row>
    <row r="131" spans="2:129">
      <c r="E131" s="188"/>
      <c r="F131" s="189"/>
      <c r="G131" s="189"/>
      <c r="H131" s="190"/>
      <c r="J131" s="188"/>
      <c r="K131" s="189"/>
      <c r="L131" s="189"/>
      <c r="M131" s="190"/>
      <c r="O131" s="188"/>
      <c r="P131" s="189"/>
      <c r="Q131" s="189"/>
      <c r="R131" s="190"/>
      <c r="T131" s="188"/>
      <c r="U131" s="189"/>
      <c r="V131" s="189"/>
      <c r="W131" s="190"/>
      <c r="Y131" s="188"/>
      <c r="Z131" s="189"/>
      <c r="AA131" s="189"/>
      <c r="AB131" s="190"/>
      <c r="AD131" s="188"/>
      <c r="AE131" s="189"/>
      <c r="AF131" s="189"/>
      <c r="AG131" s="190"/>
      <c r="AI131" s="188"/>
      <c r="AJ131" s="189"/>
      <c r="AK131" s="189"/>
      <c r="AL131" s="190"/>
      <c r="AN131" s="188"/>
      <c r="AO131" s="189"/>
      <c r="AP131" s="189"/>
      <c r="AQ131" s="190"/>
      <c r="AS131" s="188"/>
      <c r="AT131" s="189"/>
      <c r="AU131" s="189"/>
      <c r="AV131" s="190"/>
      <c r="AX131" s="188"/>
      <c r="AY131" s="189"/>
      <c r="AZ131" s="189"/>
      <c r="BA131" s="190"/>
      <c r="BC131" s="188"/>
      <c r="BD131" s="189"/>
      <c r="BE131" s="189"/>
      <c r="BF131" s="190"/>
      <c r="BH131" s="188"/>
      <c r="BI131" s="189"/>
      <c r="BJ131" s="189"/>
      <c r="BK131" s="190"/>
      <c r="BM131" s="188"/>
      <c r="BN131" s="189"/>
      <c r="BO131" s="189"/>
      <c r="BP131" s="190"/>
      <c r="BR131" s="491"/>
      <c r="BS131" s="491"/>
      <c r="BT131" s="491"/>
      <c r="BU131" s="491"/>
      <c r="BV131" s="491"/>
      <c r="CG131" s="37" t="s">
        <v>49</v>
      </c>
      <c r="CH131" s="37"/>
      <c r="CI131" s="37"/>
      <c r="CJ131" s="37"/>
      <c r="CK131" s="525"/>
      <c r="CL131" s="50"/>
      <c r="CM131" s="50"/>
      <c r="CN131" s="50"/>
      <c r="CO131" s="50"/>
      <c r="CP131" s="50"/>
      <c r="CQ131" s="50"/>
      <c r="CR131" s="50"/>
      <c r="CS131" s="50"/>
    </row>
    <row r="132" spans="2:129">
      <c r="B132" s="46" t="s">
        <v>63</v>
      </c>
      <c r="C132" s="46"/>
      <c r="D132" s="47"/>
      <c r="E132" s="234"/>
      <c r="F132" s="235"/>
      <c r="G132" s="235"/>
      <c r="H132" s="236"/>
      <c r="J132" s="234"/>
      <c r="K132" s="235"/>
      <c r="L132" s="235"/>
      <c r="M132" s="236"/>
      <c r="O132" s="234"/>
      <c r="P132" s="235"/>
      <c r="Q132" s="235"/>
      <c r="R132" s="236"/>
      <c r="T132" s="234"/>
      <c r="U132" s="235"/>
      <c r="V132" s="235"/>
      <c r="W132" s="236"/>
      <c r="Y132" s="234"/>
      <c r="Z132" s="235"/>
      <c r="AA132" s="235"/>
      <c r="AB132" s="236"/>
      <c r="AD132" s="234"/>
      <c r="AE132" s="235"/>
      <c r="AF132" s="235"/>
      <c r="AG132" s="236"/>
      <c r="AI132" s="234"/>
      <c r="AJ132" s="235"/>
      <c r="AK132" s="235"/>
      <c r="AL132" s="236"/>
      <c r="AN132" s="234"/>
      <c r="AO132" s="235"/>
      <c r="AP132" s="235"/>
      <c r="AQ132" s="236"/>
      <c r="AS132" s="234"/>
      <c r="AT132" s="235"/>
      <c r="AU132" s="235"/>
      <c r="AV132" s="236"/>
      <c r="AX132" s="234"/>
      <c r="AY132" s="235"/>
      <c r="AZ132" s="235"/>
      <c r="BA132" s="236"/>
      <c r="BC132" s="234"/>
      <c r="BD132" s="235"/>
      <c r="BE132" s="235"/>
      <c r="BF132" s="236"/>
      <c r="BH132" s="234"/>
      <c r="BI132" s="235"/>
      <c r="BJ132" s="235"/>
      <c r="BK132" s="236"/>
      <c r="BM132" s="234"/>
      <c r="BN132" s="235"/>
      <c r="BO132" s="235"/>
      <c r="BP132" s="236"/>
      <c r="BR132" s="491"/>
      <c r="BS132" s="515"/>
      <c r="BT132" s="491"/>
      <c r="BU132" s="491"/>
      <c r="BV132" s="491"/>
      <c r="CG132" s="240" t="s">
        <v>937</v>
      </c>
      <c r="CH132" s="240" t="s">
        <v>938</v>
      </c>
      <c r="CI132" s="240" t="s">
        <v>939</v>
      </c>
      <c r="CJ132" s="240" t="s">
        <v>940</v>
      </c>
      <c r="CK132" s="240" t="s">
        <v>64</v>
      </c>
      <c r="CL132" s="240" t="s">
        <v>941</v>
      </c>
      <c r="CM132" s="240" t="s">
        <v>942</v>
      </c>
      <c r="CN132" s="240" t="s">
        <v>943</v>
      </c>
      <c r="CO132" s="240" t="s">
        <v>944</v>
      </c>
      <c r="CP132" s="240" t="s">
        <v>75</v>
      </c>
      <c r="CQ132" s="240" t="s">
        <v>945</v>
      </c>
      <c r="CR132" s="240" t="s">
        <v>946</v>
      </c>
      <c r="CS132" s="240" t="s">
        <v>353</v>
      </c>
      <c r="CT132" s="240" t="s">
        <v>76</v>
      </c>
      <c r="CU132" s="240" t="s">
        <v>77</v>
      </c>
      <c r="CV132" s="240" t="s">
        <v>91</v>
      </c>
      <c r="CW132" s="240" t="s">
        <v>92</v>
      </c>
      <c r="CX132" s="240" t="s">
        <v>790</v>
      </c>
      <c r="CY132" s="240" t="s">
        <v>644</v>
      </c>
      <c r="CZ132" s="240" t="s">
        <v>647</v>
      </c>
      <c r="DA132" s="240" t="s">
        <v>646</v>
      </c>
      <c r="DB132" s="240" t="s">
        <v>619</v>
      </c>
      <c r="DC132" s="240" t="s">
        <v>620</v>
      </c>
      <c r="DD132" s="240" t="s">
        <v>246</v>
      </c>
      <c r="DE132" s="240" t="s">
        <v>248</v>
      </c>
      <c r="DF132" s="240" t="s">
        <v>274</v>
      </c>
      <c r="DG132" s="240" t="s">
        <v>275</v>
      </c>
      <c r="DH132" s="240" t="s">
        <v>276</v>
      </c>
      <c r="DI132" s="240" t="s">
        <v>1060</v>
      </c>
      <c r="DJ132" s="240" t="s">
        <v>1064</v>
      </c>
      <c r="DK132" s="240" t="s">
        <v>1062</v>
      </c>
      <c r="DL132" s="240" t="s">
        <v>1063</v>
      </c>
      <c r="DM132" s="240" t="s">
        <v>1122</v>
      </c>
      <c r="DN132" s="240" t="s">
        <v>1123</v>
      </c>
      <c r="DO132" s="1537" t="s">
        <v>1126</v>
      </c>
      <c r="DP132" s="240" t="s">
        <v>1131</v>
      </c>
      <c r="DQ132" s="240" t="s">
        <v>1137</v>
      </c>
      <c r="DR132" s="240" t="s">
        <v>1274</v>
      </c>
      <c r="DS132" s="240" t="s">
        <v>1291</v>
      </c>
      <c r="DT132" s="1537" t="s">
        <v>1293</v>
      </c>
      <c r="DU132" s="240" t="s">
        <v>1320</v>
      </c>
      <c r="DV132" s="240" t="s">
        <v>1324</v>
      </c>
      <c r="DW132" s="240" t="s">
        <v>1330</v>
      </c>
      <c r="DX132" s="240" t="s">
        <v>1354</v>
      </c>
      <c r="DY132" s="1537" t="s">
        <v>1355</v>
      </c>
    </row>
    <row r="133" spans="2:129">
      <c r="C133" s="100" t="s">
        <v>78</v>
      </c>
      <c r="D133" s="72"/>
      <c r="E133" s="161">
        <f t="shared" ref="E133:E138" si="139">+CG133</f>
        <v>363</v>
      </c>
      <c r="F133" s="160">
        <f t="shared" ref="F133:G138" si="140">+CH133-CG133</f>
        <v>317</v>
      </c>
      <c r="G133" s="160">
        <f t="shared" si="140"/>
        <v>446</v>
      </c>
      <c r="H133" s="144">
        <f t="shared" ref="H133:H138" si="141">+I133-CI133</f>
        <v>239</v>
      </c>
      <c r="I133" s="72">
        <f t="shared" ref="I133:I139" si="142">CK133</f>
        <v>1365</v>
      </c>
      <c r="J133" s="148">
        <f t="shared" ref="J133:J138" si="143">+CL133</f>
        <v>346</v>
      </c>
      <c r="K133" s="146">
        <f t="shared" ref="K133:L138" si="144">+CM133-CL133</f>
        <v>137</v>
      </c>
      <c r="L133" s="146">
        <f t="shared" si="144"/>
        <v>557</v>
      </c>
      <c r="M133" s="147">
        <f t="shared" ref="M133:M138" si="145">+N133-CN133</f>
        <v>178</v>
      </c>
      <c r="N133" s="72">
        <f t="shared" ref="N133:N139" si="146">CP133</f>
        <v>1218</v>
      </c>
      <c r="O133" s="161">
        <f t="shared" ref="O133:O138" si="147">+CQ133</f>
        <v>355</v>
      </c>
      <c r="P133" s="160">
        <f t="shared" ref="P133:Q138" si="148">+CR133-CQ133</f>
        <v>353</v>
      </c>
      <c r="Q133" s="146">
        <f t="shared" si="148"/>
        <v>930</v>
      </c>
      <c r="R133" s="147">
        <f t="shared" ref="R133:R138" si="149">+S133-CS133</f>
        <v>311</v>
      </c>
      <c r="S133" s="72">
        <f t="shared" ref="S133:S139" si="150">CU133</f>
        <v>1949</v>
      </c>
      <c r="T133" s="161">
        <f t="shared" ref="T133:T138" si="151">+CV133</f>
        <v>390</v>
      </c>
      <c r="U133" s="160">
        <f t="shared" ref="U133:V138" si="152">+CW133-CV133</f>
        <v>363</v>
      </c>
      <c r="V133" s="160">
        <f t="shared" si="152"/>
        <v>488</v>
      </c>
      <c r="W133" s="147">
        <f t="shared" ref="W133:W138" si="153">+X133-CX133</f>
        <v>21</v>
      </c>
      <c r="X133" s="72">
        <f t="shared" ref="X133:X139" si="154">CZ133</f>
        <v>1262</v>
      </c>
      <c r="Y133" s="161">
        <f t="shared" ref="Y133:Y138" si="155">+DA133</f>
        <v>364</v>
      </c>
      <c r="Z133" s="160">
        <f t="shared" ref="Z133:AA138" si="156">+DB133-DA133</f>
        <v>339</v>
      </c>
      <c r="AA133" s="160">
        <f t="shared" si="156"/>
        <v>434</v>
      </c>
      <c r="AB133" s="147">
        <f t="shared" ref="AB133:AB138" si="157">+AC133-DC133</f>
        <v>347</v>
      </c>
      <c r="AC133" s="72">
        <f t="shared" ref="AC133:AC139" si="158">DE133</f>
        <v>1484</v>
      </c>
      <c r="AD133" s="161">
        <f t="shared" ref="AD133:AD138" si="159">+DF133</f>
        <v>561</v>
      </c>
      <c r="AE133" s="160">
        <f t="shared" ref="AE133:AF138" si="160">+DG133-DF133</f>
        <v>391</v>
      </c>
      <c r="AF133" s="160">
        <f t="shared" si="160"/>
        <v>494</v>
      </c>
      <c r="AG133" s="147">
        <f t="shared" ref="AG133:AG138" si="161">+AH133-DH133</f>
        <v>192</v>
      </c>
      <c r="AH133" s="72">
        <f t="shared" ref="AH133:AH139" si="162">DJ133</f>
        <v>1638</v>
      </c>
      <c r="AI133" s="161">
        <f t="shared" ref="AI133:AI138" si="163">+DK133</f>
        <v>631</v>
      </c>
      <c r="AJ133" s="160">
        <f t="shared" ref="AJ133:AJ138" si="164">+DL133-DK133</f>
        <v>431</v>
      </c>
      <c r="AK133" s="160">
        <f t="shared" ref="AK133:AK138" si="165">+DM133-DL133</f>
        <v>520</v>
      </c>
      <c r="AL133" s="147">
        <f t="shared" ref="AL133:AL138" si="166">+AM133-DM133</f>
        <v>186.59999999999991</v>
      </c>
      <c r="AM133" s="72">
        <f t="shared" ref="AM133:AM139" si="167">DO133</f>
        <v>1768.6</v>
      </c>
      <c r="AN133" s="161">
        <f t="shared" ref="AN133:AN138" si="168">+DP133</f>
        <v>503.1</v>
      </c>
      <c r="AO133" s="160">
        <f t="shared" ref="AO133:AP138" si="169">+DQ133-DP133</f>
        <v>503.9</v>
      </c>
      <c r="AP133" s="160">
        <f t="shared" si="169"/>
        <v>-764.2</v>
      </c>
      <c r="AQ133" s="147">
        <f t="shared" ref="AQ133:AQ138" si="170">+AR133-DR133</f>
        <v>377.7</v>
      </c>
      <c r="AR133" s="72">
        <f t="shared" ref="AR133:AR139" si="171">DT133</f>
        <v>620.5</v>
      </c>
      <c r="AS133" s="161">
        <f t="shared" ref="AS133:AS138" si="172">+DU133</f>
        <v>594.20000000000005</v>
      </c>
      <c r="AT133" s="160">
        <f t="shared" ref="AT133:AT138" si="173">+DV133-DU133</f>
        <v>376.19999999999993</v>
      </c>
      <c r="AU133" s="160">
        <f t="shared" ref="AU133:AU138" si="174">+DW133-DV133</f>
        <v>556.69999999999993</v>
      </c>
      <c r="AV133" s="147">
        <f t="shared" ref="AV133:AV138" si="175">+AW133-DW133</f>
        <v>401.80000000000018</v>
      </c>
      <c r="AW133" s="72">
        <f t="shared" ref="AW133:AW139" si="176">DY133</f>
        <v>1928.9</v>
      </c>
      <c r="AX133" s="148">
        <f>+AX46+AX43</f>
        <v>478.58633757242251</v>
      </c>
      <c r="AY133" s="146">
        <f>+AY46+AY43</f>
        <v>393.54259090508947</v>
      </c>
      <c r="AZ133" s="146">
        <f>+AZ46+AZ43</f>
        <v>601.85270734239771</v>
      </c>
      <c r="BA133" s="147">
        <f>+BA46+BA43</f>
        <v>423.53472028978535</v>
      </c>
      <c r="BB133" s="72">
        <f t="shared" ref="BB133:BB138" si="177">SUM(AX133:BA133)</f>
        <v>1897.5163561096949</v>
      </c>
      <c r="BC133" s="148">
        <f>+BC46+BC43</f>
        <v>562.46199570985561</v>
      </c>
      <c r="BD133" s="146">
        <f>+BD46+BD43</f>
        <v>446.94590729499248</v>
      </c>
      <c r="BE133" s="146">
        <f>+BE46+BE43</f>
        <v>599.55203463746022</v>
      </c>
      <c r="BF133" s="147">
        <f>+BF46+BF43</f>
        <v>440.87369313513568</v>
      </c>
      <c r="BG133" s="72">
        <f t="shared" ref="BG133:BG138" si="178">SUM(BC133:BF133)</f>
        <v>2049.8336307774443</v>
      </c>
      <c r="BH133" s="148">
        <f>+BH46+BH43</f>
        <v>572.8469274165202</v>
      </c>
      <c r="BI133" s="146">
        <f>+BI46+BI43</f>
        <v>471.39238122849156</v>
      </c>
      <c r="BJ133" s="146">
        <f>+BJ46+BJ43</f>
        <v>671.42074155116904</v>
      </c>
      <c r="BK133" s="147">
        <f>+BK46+BK43</f>
        <v>489.10644884599895</v>
      </c>
      <c r="BL133" s="72">
        <f t="shared" ref="BL133:BL138" si="179">SUM(BH133:BK133)</f>
        <v>2204.7664990421795</v>
      </c>
      <c r="BM133" s="148">
        <f>+BM46+BM43</f>
        <v>648.61630275528853</v>
      </c>
      <c r="BN133" s="146">
        <f>+BN46+BN43</f>
        <v>555.04357704770723</v>
      </c>
      <c r="BO133" s="146">
        <f>+BO46+BO43</f>
        <v>716.80949006492574</v>
      </c>
      <c r="BP133" s="147">
        <f>+BP46+BP43</f>
        <v>551.09669632431462</v>
      </c>
      <c r="BQ133" s="72">
        <f t="shared" ref="BQ133:BQ138" si="180">SUM(BM133:BP133)</f>
        <v>2471.5660661922361</v>
      </c>
      <c r="BR133" s="527"/>
      <c r="BS133" s="527"/>
      <c r="BT133" s="491"/>
      <c r="BU133" s="491"/>
      <c r="BV133" s="491"/>
      <c r="CG133" s="145">
        <v>363</v>
      </c>
      <c r="CH133" s="145">
        <v>680</v>
      </c>
      <c r="CI133" s="145">
        <v>1126</v>
      </c>
      <c r="CJ133" s="109">
        <f t="shared" ref="CJ133:CJ138" si="181">CK133-CI133</f>
        <v>239</v>
      </c>
      <c r="CK133" s="145">
        <v>1365</v>
      </c>
      <c r="CL133" s="145">
        <v>346</v>
      </c>
      <c r="CM133" s="145">
        <v>483</v>
      </c>
      <c r="CN133" s="145">
        <v>1040</v>
      </c>
      <c r="CO133" s="109">
        <f t="shared" ref="CO133:CO138" si="182">CP133-CN133</f>
        <v>178</v>
      </c>
      <c r="CP133" s="145">
        <v>1218</v>
      </c>
      <c r="CQ133" s="145">
        <v>355</v>
      </c>
      <c r="CR133" s="145">
        <v>708</v>
      </c>
      <c r="CS133" s="145">
        <v>1638</v>
      </c>
      <c r="CT133" s="109">
        <f t="shared" ref="CT133:CT138" si="183">CU133-CS133</f>
        <v>311</v>
      </c>
      <c r="CU133" s="145">
        <v>1949</v>
      </c>
      <c r="CV133" s="145">
        <v>390</v>
      </c>
      <c r="CW133" s="145">
        <v>753</v>
      </c>
      <c r="CX133" s="145">
        <v>1241</v>
      </c>
      <c r="CY133" s="109">
        <f t="shared" ref="CY133:CY138" si="184">CZ133-CX133</f>
        <v>21</v>
      </c>
      <c r="CZ133" s="145">
        <v>1262</v>
      </c>
      <c r="DA133" s="145">
        <v>364</v>
      </c>
      <c r="DB133" s="145">
        <v>703</v>
      </c>
      <c r="DC133" s="145">
        <v>1137</v>
      </c>
      <c r="DD133" s="109">
        <f t="shared" ref="DD133:DD138" si="185">DE133-DC133</f>
        <v>347</v>
      </c>
      <c r="DE133" s="145">
        <v>1484</v>
      </c>
      <c r="DF133" s="145">
        <v>561</v>
      </c>
      <c r="DG133" s="145">
        <v>952</v>
      </c>
      <c r="DH133" s="145">
        <v>1446</v>
      </c>
      <c r="DI133" s="109">
        <f t="shared" ref="DI133:DI138" si="186">DJ133-DH133</f>
        <v>192</v>
      </c>
      <c r="DJ133" s="145">
        <v>1638</v>
      </c>
      <c r="DK133" s="145">
        <v>631</v>
      </c>
      <c r="DL133" s="145">
        <v>1062</v>
      </c>
      <c r="DM133" s="145">
        <v>1582</v>
      </c>
      <c r="DN133" s="109">
        <f t="shared" ref="DN133:DN138" si="187">DO133-DM133</f>
        <v>186.59999999999991</v>
      </c>
      <c r="DO133" s="1424">
        <v>1768.6</v>
      </c>
      <c r="DP133" s="145">
        <v>503.1</v>
      </c>
      <c r="DQ133" s="145">
        <v>1007</v>
      </c>
      <c r="DR133" s="145">
        <v>242.8</v>
      </c>
      <c r="DS133" s="109">
        <f t="shared" ref="DS133:DS138" si="188">DT133-DR133</f>
        <v>377.7</v>
      </c>
      <c r="DT133" s="1424">
        <v>620.5</v>
      </c>
      <c r="DU133" s="145">
        <v>594.20000000000005</v>
      </c>
      <c r="DV133" s="145">
        <v>970.4</v>
      </c>
      <c r="DW133" s="145">
        <v>1527.1</v>
      </c>
      <c r="DX133" s="109">
        <f t="shared" ref="DX133:DX138" si="189">DY133-DW133</f>
        <v>401.80000000000018</v>
      </c>
      <c r="DY133" s="1424">
        <v>1928.9</v>
      </c>
    </row>
    <row r="134" spans="2:129">
      <c r="C134" s="100" t="s">
        <v>79</v>
      </c>
      <c r="D134" s="72"/>
      <c r="E134" s="161">
        <f t="shared" si="139"/>
        <v>382</v>
      </c>
      <c r="F134" s="160">
        <f t="shared" si="140"/>
        <v>397</v>
      </c>
      <c r="G134" s="160">
        <f t="shared" si="140"/>
        <v>421</v>
      </c>
      <c r="H134" s="144">
        <f t="shared" si="141"/>
        <v>397</v>
      </c>
      <c r="I134" s="72">
        <f t="shared" si="142"/>
        <v>1597</v>
      </c>
      <c r="J134" s="148">
        <f t="shared" si="143"/>
        <v>408</v>
      </c>
      <c r="K134" s="146">
        <f t="shared" si="144"/>
        <v>405</v>
      </c>
      <c r="L134" s="146">
        <f t="shared" si="144"/>
        <v>424</v>
      </c>
      <c r="M134" s="147">
        <f t="shared" si="145"/>
        <v>404</v>
      </c>
      <c r="N134" s="72">
        <f t="shared" si="146"/>
        <v>1641</v>
      </c>
      <c r="O134" s="161">
        <f t="shared" si="147"/>
        <v>403</v>
      </c>
      <c r="P134" s="160">
        <f t="shared" si="148"/>
        <v>410</v>
      </c>
      <c r="Q134" s="146">
        <f t="shared" si="148"/>
        <v>445</v>
      </c>
      <c r="R134" s="147">
        <f t="shared" si="149"/>
        <v>397</v>
      </c>
      <c r="S134" s="72">
        <f t="shared" si="150"/>
        <v>1655</v>
      </c>
      <c r="T134" s="161">
        <f t="shared" si="151"/>
        <v>423</v>
      </c>
      <c r="U134" s="160">
        <f t="shared" si="152"/>
        <v>460</v>
      </c>
      <c r="V134" s="160">
        <f t="shared" si="152"/>
        <v>470</v>
      </c>
      <c r="W134" s="147">
        <f t="shared" si="153"/>
        <v>429</v>
      </c>
      <c r="X134" s="72">
        <f t="shared" si="154"/>
        <v>1782</v>
      </c>
      <c r="Y134" s="161">
        <f t="shared" si="155"/>
        <v>420</v>
      </c>
      <c r="Z134" s="160">
        <f t="shared" si="156"/>
        <v>443</v>
      </c>
      <c r="AA134" s="160">
        <f t="shared" si="156"/>
        <v>447</v>
      </c>
      <c r="AB134" s="147">
        <f t="shared" si="157"/>
        <v>433</v>
      </c>
      <c r="AC134" s="72">
        <f t="shared" si="158"/>
        <v>1743</v>
      </c>
      <c r="AD134" s="161">
        <f t="shared" si="159"/>
        <v>491</v>
      </c>
      <c r="AE134" s="160">
        <f t="shared" si="160"/>
        <v>443</v>
      </c>
      <c r="AF134" s="160">
        <f t="shared" si="160"/>
        <v>507</v>
      </c>
      <c r="AG134" s="147">
        <f t="shared" si="161"/>
        <v>488</v>
      </c>
      <c r="AH134" s="72">
        <f t="shared" si="162"/>
        <v>1929</v>
      </c>
      <c r="AI134" s="161">
        <f t="shared" si="163"/>
        <v>505</v>
      </c>
      <c r="AJ134" s="160">
        <f t="shared" si="164"/>
        <v>506</v>
      </c>
      <c r="AK134" s="160">
        <f t="shared" si="165"/>
        <v>517</v>
      </c>
      <c r="AL134" s="147">
        <f t="shared" si="166"/>
        <v>481.70000000000005</v>
      </c>
      <c r="AM134" s="72">
        <f t="shared" si="167"/>
        <v>2009.7</v>
      </c>
      <c r="AN134" s="161">
        <f t="shared" si="168"/>
        <v>497.1</v>
      </c>
      <c r="AO134" s="160">
        <f t="shared" si="169"/>
        <v>513.79999999999995</v>
      </c>
      <c r="AP134" s="160">
        <f t="shared" si="169"/>
        <v>539.30000000000007</v>
      </c>
      <c r="AQ134" s="147">
        <f t="shared" si="170"/>
        <v>412.09999999999991</v>
      </c>
      <c r="AR134" s="72">
        <f t="shared" si="171"/>
        <v>1962.3</v>
      </c>
      <c r="AS134" s="161">
        <f t="shared" si="172"/>
        <v>481.9</v>
      </c>
      <c r="AT134" s="160">
        <f t="shared" si="173"/>
        <v>485.5</v>
      </c>
      <c r="AU134" s="160">
        <f t="shared" si="174"/>
        <v>518.50000000000011</v>
      </c>
      <c r="AV134" s="147">
        <f t="shared" si="175"/>
        <v>511.29999999999995</v>
      </c>
      <c r="AW134" s="72">
        <f t="shared" si="176"/>
        <v>1997.2</v>
      </c>
      <c r="AX134" s="148">
        <f>+AX13</f>
        <v>521.67882543634516</v>
      </c>
      <c r="AY134" s="146">
        <f>+AY13</f>
        <v>521.26504090290803</v>
      </c>
      <c r="AZ134" s="146">
        <f>+AZ13</f>
        <v>527.09900382742649</v>
      </c>
      <c r="BA134" s="147">
        <f>+BA13</f>
        <v>536.22372767330603</v>
      </c>
      <c r="BB134" s="72">
        <f t="shared" si="177"/>
        <v>2106.2665978399855</v>
      </c>
      <c r="BC134" s="148">
        <f>+BC13</f>
        <v>546.26365129555973</v>
      </c>
      <c r="BD134" s="146">
        <f>+BD13</f>
        <v>551.61118192222705</v>
      </c>
      <c r="BE134" s="146">
        <f>+BE13</f>
        <v>557.91055145991209</v>
      </c>
      <c r="BF134" s="147">
        <f>+BF13</f>
        <v>567.50285086730253</v>
      </c>
      <c r="BG134" s="72">
        <f t="shared" si="178"/>
        <v>2223.2882355450015</v>
      </c>
      <c r="BH134" s="148">
        <f>+BH13</f>
        <v>583.8041201471525</v>
      </c>
      <c r="BI134" s="146">
        <f>+BI13</f>
        <v>594.34476805630879</v>
      </c>
      <c r="BJ134" s="146">
        <f>+BJ13</f>
        <v>598.14654359701558</v>
      </c>
      <c r="BK134" s="147">
        <f>+BK13</f>
        <v>605.27078120270096</v>
      </c>
      <c r="BL134" s="72">
        <f t="shared" si="179"/>
        <v>2381.5662130031778</v>
      </c>
      <c r="BM134" s="148">
        <f>+BM13</f>
        <v>620.24297084001535</v>
      </c>
      <c r="BN134" s="146">
        <f>+BN13</f>
        <v>638.40043696310272</v>
      </c>
      <c r="BO134" s="146">
        <f>+BO13</f>
        <v>640.31446690474149</v>
      </c>
      <c r="BP134" s="147">
        <f>+BP13</f>
        <v>645.57236050212202</v>
      </c>
      <c r="BQ134" s="72">
        <f t="shared" si="180"/>
        <v>2544.5302352099816</v>
      </c>
      <c r="BR134" s="527"/>
      <c r="BS134" s="527"/>
      <c r="BT134" s="491"/>
      <c r="BU134" s="491"/>
      <c r="BV134" s="491"/>
      <c r="CG134" s="145">
        <v>382</v>
      </c>
      <c r="CH134" s="145">
        <v>779</v>
      </c>
      <c r="CI134" s="145">
        <v>1200</v>
      </c>
      <c r="CJ134" s="109">
        <f t="shared" si="181"/>
        <v>397</v>
      </c>
      <c r="CK134" s="145">
        <v>1597</v>
      </c>
      <c r="CL134" s="145">
        <v>408</v>
      </c>
      <c r="CM134" s="145">
        <v>813</v>
      </c>
      <c r="CN134" s="145">
        <v>1237</v>
      </c>
      <c r="CO134" s="109">
        <f t="shared" si="182"/>
        <v>404</v>
      </c>
      <c r="CP134" s="145">
        <v>1641</v>
      </c>
      <c r="CQ134" s="145">
        <v>403</v>
      </c>
      <c r="CR134" s="145">
        <v>813</v>
      </c>
      <c r="CS134" s="145">
        <v>1258</v>
      </c>
      <c r="CT134" s="109">
        <f t="shared" si="183"/>
        <v>397</v>
      </c>
      <c r="CU134" s="145">
        <v>1655</v>
      </c>
      <c r="CV134" s="145">
        <v>423</v>
      </c>
      <c r="CW134" s="145">
        <v>883</v>
      </c>
      <c r="CX134" s="145">
        <v>1353</v>
      </c>
      <c r="CY134" s="109">
        <f t="shared" si="184"/>
        <v>429</v>
      </c>
      <c r="CZ134" s="145">
        <v>1782</v>
      </c>
      <c r="DA134" s="145">
        <v>420</v>
      </c>
      <c r="DB134" s="145">
        <v>863</v>
      </c>
      <c r="DC134" s="145">
        <v>1310</v>
      </c>
      <c r="DD134" s="109">
        <f t="shared" si="185"/>
        <v>433</v>
      </c>
      <c r="DE134" s="145">
        <v>1743</v>
      </c>
      <c r="DF134" s="145">
        <v>491</v>
      </c>
      <c r="DG134" s="145">
        <v>934</v>
      </c>
      <c r="DH134" s="145">
        <v>1441</v>
      </c>
      <c r="DI134" s="109">
        <f t="shared" si="186"/>
        <v>488</v>
      </c>
      <c r="DJ134" s="145">
        <v>1929</v>
      </c>
      <c r="DK134" s="145">
        <v>505</v>
      </c>
      <c r="DL134" s="145">
        <v>1011</v>
      </c>
      <c r="DM134" s="145">
        <v>1528</v>
      </c>
      <c r="DN134" s="109">
        <f t="shared" si="187"/>
        <v>481.70000000000005</v>
      </c>
      <c r="DO134" s="1424">
        <v>2009.7</v>
      </c>
      <c r="DP134" s="145">
        <v>497.1</v>
      </c>
      <c r="DQ134" s="145">
        <v>1010.9</v>
      </c>
      <c r="DR134" s="145">
        <v>1550.2</v>
      </c>
      <c r="DS134" s="109">
        <f t="shared" si="188"/>
        <v>412.09999999999991</v>
      </c>
      <c r="DT134" s="1424">
        <v>1962.3</v>
      </c>
      <c r="DU134" s="145">
        <v>481.9</v>
      </c>
      <c r="DV134" s="145">
        <v>967.4</v>
      </c>
      <c r="DW134" s="145">
        <v>1485.9</v>
      </c>
      <c r="DX134" s="109">
        <f t="shared" si="189"/>
        <v>511.29999999999995</v>
      </c>
      <c r="DY134" s="1424">
        <v>1997.2</v>
      </c>
    </row>
    <row r="135" spans="2:129">
      <c r="C135" s="100" t="s">
        <v>80</v>
      </c>
      <c r="D135" s="72"/>
      <c r="E135" s="161">
        <f>+CG135</f>
        <v>-16</v>
      </c>
      <c r="F135" s="160">
        <f t="shared" si="140"/>
        <v>-20</v>
      </c>
      <c r="G135" s="160">
        <f t="shared" si="140"/>
        <v>-23</v>
      </c>
      <c r="H135" s="144">
        <f t="shared" si="141"/>
        <v>-23</v>
      </c>
      <c r="I135" s="72">
        <f>CK135</f>
        <v>-82</v>
      </c>
      <c r="J135" s="148">
        <f>+CL135</f>
        <v>-24</v>
      </c>
      <c r="K135" s="146">
        <f t="shared" si="144"/>
        <v>-19</v>
      </c>
      <c r="L135" s="146">
        <f t="shared" si="144"/>
        <v>-17</v>
      </c>
      <c r="M135" s="147">
        <f t="shared" si="145"/>
        <v>-17</v>
      </c>
      <c r="N135" s="72">
        <f>CP135</f>
        <v>-77</v>
      </c>
      <c r="O135" s="161">
        <f>+CQ135</f>
        <v>-20</v>
      </c>
      <c r="P135" s="160">
        <f>+CR135-CQ135</f>
        <v>-23</v>
      </c>
      <c r="Q135" s="146">
        <f t="shared" si="148"/>
        <v>-26</v>
      </c>
      <c r="R135" s="147">
        <f t="shared" si="149"/>
        <v>-29</v>
      </c>
      <c r="S135" s="72">
        <f t="shared" si="150"/>
        <v>-98</v>
      </c>
      <c r="T135" s="161">
        <f t="shared" si="151"/>
        <v>-23</v>
      </c>
      <c r="U135" s="160">
        <f t="shared" si="152"/>
        <v>-24</v>
      </c>
      <c r="V135" s="160">
        <f t="shared" si="152"/>
        <v>-23</v>
      </c>
      <c r="W135" s="147">
        <f t="shared" si="153"/>
        <v>-23</v>
      </c>
      <c r="X135" s="72">
        <f t="shared" si="154"/>
        <v>-93</v>
      </c>
      <c r="Y135" s="161">
        <f t="shared" si="155"/>
        <v>-15</v>
      </c>
      <c r="Z135" s="160">
        <f t="shared" si="156"/>
        <v>-17</v>
      </c>
      <c r="AA135" s="160">
        <f t="shared" si="156"/>
        <v>-19</v>
      </c>
      <c r="AB135" s="147">
        <f t="shared" si="157"/>
        <v>-22</v>
      </c>
      <c r="AC135" s="72">
        <f t="shared" si="158"/>
        <v>-73</v>
      </c>
      <c r="AD135" s="161">
        <f t="shared" si="159"/>
        <v>-22</v>
      </c>
      <c r="AE135" s="160">
        <f t="shared" si="160"/>
        <v>-25</v>
      </c>
      <c r="AF135" s="160">
        <f t="shared" si="160"/>
        <v>-27</v>
      </c>
      <c r="AG135" s="147">
        <f t="shared" si="161"/>
        <v>-29</v>
      </c>
      <c r="AH135" s="72">
        <f t="shared" si="162"/>
        <v>-103</v>
      </c>
      <c r="AI135" s="161">
        <f t="shared" si="163"/>
        <v>-30</v>
      </c>
      <c r="AJ135" s="160">
        <f t="shared" si="164"/>
        <v>-34</v>
      </c>
      <c r="AK135" s="160">
        <f t="shared" si="165"/>
        <v>-33</v>
      </c>
      <c r="AL135" s="147">
        <f t="shared" si="166"/>
        <v>-34.900000000000006</v>
      </c>
      <c r="AM135" s="72">
        <f t="shared" si="167"/>
        <v>-131.9</v>
      </c>
      <c r="AN135" s="161">
        <f t="shared" si="168"/>
        <v>-31.7</v>
      </c>
      <c r="AO135" s="160">
        <f t="shared" si="169"/>
        <v>-28.8</v>
      </c>
      <c r="AP135" s="160">
        <f t="shared" si="169"/>
        <v>-25.599999999999994</v>
      </c>
      <c r="AQ135" s="147">
        <f t="shared" si="170"/>
        <v>-27.100000000000009</v>
      </c>
      <c r="AR135" s="72">
        <f t="shared" si="171"/>
        <v>-113.2</v>
      </c>
      <c r="AS135" s="161">
        <f t="shared" si="172"/>
        <v>-21.2</v>
      </c>
      <c r="AT135" s="160">
        <f t="shared" si="173"/>
        <v>-21.000000000000004</v>
      </c>
      <c r="AU135" s="160">
        <f t="shared" si="174"/>
        <v>-20</v>
      </c>
      <c r="AV135" s="147">
        <f t="shared" si="175"/>
        <v>-31.5</v>
      </c>
      <c r="AW135" s="72">
        <f t="shared" si="176"/>
        <v>-93.7</v>
      </c>
      <c r="AX135" s="148">
        <f>-AX26</f>
        <v>-21.630783052624825</v>
      </c>
      <c r="AY135" s="146">
        <f>-AY26</f>
        <v>-21.630783052624825</v>
      </c>
      <c r="AZ135" s="146">
        <f>-AZ26</f>
        <v>-21.630783052624825</v>
      </c>
      <c r="BA135" s="147">
        <f>-BA26</f>
        <v>-21.630783052624825</v>
      </c>
      <c r="BB135" s="72">
        <f t="shared" si="177"/>
        <v>-86.523132210499298</v>
      </c>
      <c r="BC135" s="148">
        <f>-BC26</f>
        <v>-28.387821757977143</v>
      </c>
      <c r="BD135" s="146">
        <f>-BD26</f>
        <v>-28.387821757977143</v>
      </c>
      <c r="BE135" s="146">
        <f>-BE26</f>
        <v>-28.387821757977143</v>
      </c>
      <c r="BF135" s="147">
        <f>-BF26</f>
        <v>-28.387821757977143</v>
      </c>
      <c r="BG135" s="72">
        <f t="shared" si="178"/>
        <v>-113.55128703190857</v>
      </c>
      <c r="BH135" s="148">
        <f>-BH26</f>
        <v>-30.72952317829353</v>
      </c>
      <c r="BI135" s="146">
        <f>-BI26</f>
        <v>-30.72952317829353</v>
      </c>
      <c r="BJ135" s="146">
        <f>-BJ26</f>
        <v>-30.72952317829353</v>
      </c>
      <c r="BK135" s="147">
        <f>-BK26</f>
        <v>-30.72952317829353</v>
      </c>
      <c r="BL135" s="72">
        <f t="shared" si="179"/>
        <v>-122.91809271317412</v>
      </c>
      <c r="BM135" s="148">
        <f>-BM26</f>
        <v>-17.908470546714579</v>
      </c>
      <c r="BN135" s="146">
        <f>-BN26</f>
        <v>-17.908470546714579</v>
      </c>
      <c r="BO135" s="146">
        <f>-BO26</f>
        <v>-17.908470546714579</v>
      </c>
      <c r="BP135" s="147">
        <f>-BP26</f>
        <v>-17.908470546714579</v>
      </c>
      <c r="BQ135" s="72">
        <f t="shared" si="180"/>
        <v>-71.633882186858315</v>
      </c>
      <c r="BR135" s="491"/>
      <c r="BS135" s="491"/>
      <c r="BT135" s="491"/>
      <c r="BU135" s="491"/>
      <c r="BV135" s="491"/>
      <c r="BW135" s="491"/>
      <c r="BX135" s="491"/>
      <c r="CG135" s="145">
        <v>-16</v>
      </c>
      <c r="CH135" s="145">
        <v>-36</v>
      </c>
      <c r="CI135" s="145">
        <v>-59</v>
      </c>
      <c r="CJ135" s="109">
        <f>CK135-CI135</f>
        <v>-23</v>
      </c>
      <c r="CK135" s="145">
        <v>-82</v>
      </c>
      <c r="CL135" s="145">
        <v>-24</v>
      </c>
      <c r="CM135" s="145">
        <v>-43</v>
      </c>
      <c r="CN135" s="145">
        <v>-60</v>
      </c>
      <c r="CO135" s="109">
        <f>CP135-CN135</f>
        <v>-17</v>
      </c>
      <c r="CP135" s="145">
        <v>-77</v>
      </c>
      <c r="CQ135" s="145">
        <v>-20</v>
      </c>
      <c r="CR135" s="145">
        <v>-43</v>
      </c>
      <c r="CS135" s="145">
        <v>-69</v>
      </c>
      <c r="CT135" s="109">
        <f t="shared" si="183"/>
        <v>-29</v>
      </c>
      <c r="CU135" s="145">
        <v>-98</v>
      </c>
      <c r="CV135" s="145">
        <v>-23</v>
      </c>
      <c r="CW135" s="145">
        <v>-47</v>
      </c>
      <c r="CX135" s="145">
        <v>-70</v>
      </c>
      <c r="CY135" s="109">
        <f t="shared" si="184"/>
        <v>-23</v>
      </c>
      <c r="CZ135" s="145">
        <v>-93</v>
      </c>
      <c r="DA135" s="145">
        <v>-15</v>
      </c>
      <c r="DB135" s="145">
        <v>-32</v>
      </c>
      <c r="DC135" s="145">
        <v>-51</v>
      </c>
      <c r="DD135" s="109">
        <f t="shared" si="185"/>
        <v>-22</v>
      </c>
      <c r="DE135" s="145">
        <v>-73</v>
      </c>
      <c r="DF135" s="145">
        <v>-22</v>
      </c>
      <c r="DG135" s="145">
        <v>-47</v>
      </c>
      <c r="DH135" s="145">
        <v>-74</v>
      </c>
      <c r="DI135" s="109">
        <f t="shared" si="186"/>
        <v>-29</v>
      </c>
      <c r="DJ135" s="145">
        <v>-103</v>
      </c>
      <c r="DK135" s="145">
        <v>-30</v>
      </c>
      <c r="DL135" s="145">
        <v>-64</v>
      </c>
      <c r="DM135" s="145">
        <v>-97</v>
      </c>
      <c r="DN135" s="109">
        <f t="shared" si="187"/>
        <v>-34.900000000000006</v>
      </c>
      <c r="DO135" s="1424">
        <v>-131.9</v>
      </c>
      <c r="DP135" s="145">
        <v>-31.7</v>
      </c>
      <c r="DQ135" s="145">
        <v>-60.5</v>
      </c>
      <c r="DR135" s="145">
        <v>-86.1</v>
      </c>
      <c r="DS135" s="109">
        <f t="shared" si="188"/>
        <v>-27.100000000000009</v>
      </c>
      <c r="DT135" s="1424">
        <v>-113.2</v>
      </c>
      <c r="DU135" s="145">
        <v>-21.2</v>
      </c>
      <c r="DV135" s="145">
        <v>-42.2</v>
      </c>
      <c r="DW135" s="145">
        <v>-62.2</v>
      </c>
      <c r="DX135" s="109">
        <f t="shared" si="189"/>
        <v>-31.5</v>
      </c>
      <c r="DY135" s="1424">
        <v>-93.7</v>
      </c>
    </row>
    <row r="136" spans="2:129">
      <c r="C136" s="100" t="s">
        <v>81</v>
      </c>
      <c r="D136" s="72"/>
      <c r="E136" s="161">
        <f t="shared" si="139"/>
        <v>217</v>
      </c>
      <c r="F136" s="160">
        <f t="shared" si="140"/>
        <v>143</v>
      </c>
      <c r="G136" s="160">
        <f t="shared" si="140"/>
        <v>302</v>
      </c>
      <c r="H136" s="144">
        <f t="shared" si="141"/>
        <v>582</v>
      </c>
      <c r="I136" s="72">
        <f t="shared" si="142"/>
        <v>1244</v>
      </c>
      <c r="J136" s="148">
        <f t="shared" si="143"/>
        <v>121</v>
      </c>
      <c r="K136" s="146">
        <f t="shared" si="144"/>
        <v>91</v>
      </c>
      <c r="L136" s="146">
        <f t="shared" si="144"/>
        <v>192</v>
      </c>
      <c r="M136" s="147">
        <f t="shared" si="145"/>
        <v>405</v>
      </c>
      <c r="N136" s="72">
        <f t="shared" si="146"/>
        <v>809</v>
      </c>
      <c r="O136" s="161">
        <f t="shared" si="147"/>
        <v>330</v>
      </c>
      <c r="P136" s="160">
        <f t="shared" si="148"/>
        <v>195</v>
      </c>
      <c r="Q136" s="146">
        <f t="shared" si="148"/>
        <v>239</v>
      </c>
      <c r="R136" s="147">
        <f t="shared" si="149"/>
        <v>30</v>
      </c>
      <c r="S136" s="72">
        <f t="shared" si="150"/>
        <v>794</v>
      </c>
      <c r="T136" s="161">
        <f t="shared" si="151"/>
        <v>261</v>
      </c>
      <c r="U136" s="160">
        <f t="shared" si="152"/>
        <v>156</v>
      </c>
      <c r="V136" s="160">
        <f t="shared" si="152"/>
        <v>175</v>
      </c>
      <c r="W136" s="147">
        <f t="shared" si="153"/>
        <v>44</v>
      </c>
      <c r="X136" s="72">
        <f t="shared" si="154"/>
        <v>636</v>
      </c>
      <c r="Y136" s="161">
        <f t="shared" si="155"/>
        <v>246</v>
      </c>
      <c r="Z136" s="160">
        <f t="shared" si="156"/>
        <v>121</v>
      </c>
      <c r="AA136" s="160">
        <f t="shared" si="156"/>
        <v>215</v>
      </c>
      <c r="AB136" s="147">
        <f t="shared" si="157"/>
        <v>127</v>
      </c>
      <c r="AC136" s="72">
        <f t="shared" si="158"/>
        <v>709</v>
      </c>
      <c r="AD136" s="161">
        <f t="shared" si="159"/>
        <v>299</v>
      </c>
      <c r="AE136" s="160">
        <f t="shared" si="160"/>
        <v>111</v>
      </c>
      <c r="AF136" s="160">
        <f t="shared" si="160"/>
        <v>-27</v>
      </c>
      <c r="AG136" s="147">
        <f t="shared" si="161"/>
        <v>495</v>
      </c>
      <c r="AH136" s="72">
        <f t="shared" si="162"/>
        <v>878</v>
      </c>
      <c r="AI136" s="161">
        <f t="shared" si="163"/>
        <v>243</v>
      </c>
      <c r="AJ136" s="160">
        <f>+DL136-DK136</f>
        <v>210</v>
      </c>
      <c r="AK136" s="160">
        <f t="shared" si="165"/>
        <v>76</v>
      </c>
      <c r="AL136" s="147">
        <f t="shared" si="166"/>
        <v>279.20000000000005</v>
      </c>
      <c r="AM136" s="72">
        <f t="shared" si="167"/>
        <v>808.2</v>
      </c>
      <c r="AN136" s="161">
        <f t="shared" si="168"/>
        <v>330.2</v>
      </c>
      <c r="AO136" s="160">
        <f t="shared" si="169"/>
        <v>222.09999999999997</v>
      </c>
      <c r="AP136" s="160">
        <f t="shared" si="169"/>
        <v>-599.29999999999995</v>
      </c>
      <c r="AQ136" s="147">
        <f t="shared" si="170"/>
        <v>-3</v>
      </c>
      <c r="AR136" s="72">
        <f t="shared" si="171"/>
        <v>-50</v>
      </c>
      <c r="AS136" s="161">
        <f t="shared" si="172"/>
        <v>136.19999999999999</v>
      </c>
      <c r="AT136" s="160">
        <f t="shared" si="173"/>
        <v>287.90000000000003</v>
      </c>
      <c r="AU136" s="160">
        <f t="shared" si="174"/>
        <v>316.79999999999995</v>
      </c>
      <c r="AV136" s="147">
        <f t="shared" si="175"/>
        <v>160.60000000000002</v>
      </c>
      <c r="AW136" s="72">
        <f t="shared" si="176"/>
        <v>901.5</v>
      </c>
      <c r="AX136" s="148">
        <f>AX37</f>
        <v>146.3685181732659</v>
      </c>
      <c r="AY136" s="146">
        <f>AY37</f>
        <v>120.52060261748819</v>
      </c>
      <c r="AZ136" s="146">
        <f>AZ37</f>
        <v>187.75730809659098</v>
      </c>
      <c r="BA136" s="147">
        <f>BA37</f>
        <v>128.21797907905352</v>
      </c>
      <c r="BB136" s="72">
        <f>SUM(AX136:BA136)</f>
        <v>582.86440796639863</v>
      </c>
      <c r="BC136" s="148">
        <f>BC37*0.2</f>
        <v>34.41494493012523</v>
      </c>
      <c r="BD136" s="146">
        <f>BD37*0.2</f>
        <v>27.213872369134357</v>
      </c>
      <c r="BE136" s="146">
        <f>BE37*0.2</f>
        <v>36.947614191965542</v>
      </c>
      <c r="BF136" s="147">
        <f>BF37*0.2</f>
        <v>26.349058091810573</v>
      </c>
      <c r="BG136" s="72">
        <f t="shared" si="178"/>
        <v>124.9254895830357</v>
      </c>
      <c r="BH136" s="148">
        <f>+'Generation &amp; Marketing'!BH343+'Vertically Integrated Utilities'!BH177+'T&amp;D Utilities'!BH158</f>
        <v>-0.69444444444444453</v>
      </c>
      <c r="BI136" s="146">
        <f>+'Generation &amp; Marketing'!BI343+'Vertically Integrated Utilities'!BI177+'T&amp;D Utilities'!BI158</f>
        <v>-0.69444444444444453</v>
      </c>
      <c r="BJ136" s="146">
        <f>+'Generation &amp; Marketing'!BJ343+'Vertically Integrated Utilities'!BJ177+'T&amp;D Utilities'!BJ158</f>
        <v>-0.69444444444444453</v>
      </c>
      <c r="BK136" s="147">
        <f>+'Generation &amp; Marketing'!BK343+'Vertically Integrated Utilities'!BK177+'T&amp;D Utilities'!BK158</f>
        <v>-0.69444444444444453</v>
      </c>
      <c r="BL136" s="72">
        <f t="shared" si="179"/>
        <v>-2.7777777777777781</v>
      </c>
      <c r="BM136" s="148">
        <f>+'Generation &amp; Marketing'!BM343+'Vertically Integrated Utilities'!BM177+'T&amp;D Utilities'!BM158</f>
        <v>-0.69444444444444453</v>
      </c>
      <c r="BN136" s="146">
        <f>+'Generation &amp; Marketing'!BN343+'Vertically Integrated Utilities'!BN177+'T&amp;D Utilities'!BN158</f>
        <v>-0.69444444444444453</v>
      </c>
      <c r="BO136" s="146">
        <f>+'Generation &amp; Marketing'!BO343+'Vertically Integrated Utilities'!BO177+'T&amp;D Utilities'!BO158</f>
        <v>-0.69444444444444453</v>
      </c>
      <c r="BP136" s="147">
        <f>+'Generation &amp; Marketing'!BP343+'Vertically Integrated Utilities'!BP177+'T&amp;D Utilities'!BP158</f>
        <v>-0.69444444444444453</v>
      </c>
      <c r="BQ136" s="72">
        <f t="shared" si="180"/>
        <v>-2.7777777777777781</v>
      </c>
      <c r="BR136" s="491"/>
      <c r="BS136" s="491"/>
      <c r="BT136" s="491"/>
      <c r="BU136" s="491"/>
      <c r="BV136" s="491"/>
      <c r="BW136" s="491"/>
      <c r="BX136" s="491"/>
      <c r="CG136" s="145">
        <v>217</v>
      </c>
      <c r="CH136" s="145">
        <v>360</v>
      </c>
      <c r="CI136" s="145">
        <v>662</v>
      </c>
      <c r="CJ136" s="109">
        <f t="shared" si="181"/>
        <v>582</v>
      </c>
      <c r="CK136" s="145">
        <v>1244</v>
      </c>
      <c r="CL136" s="145">
        <v>121</v>
      </c>
      <c r="CM136" s="145">
        <v>212</v>
      </c>
      <c r="CN136" s="145">
        <v>404</v>
      </c>
      <c r="CO136" s="109">
        <f t="shared" si="182"/>
        <v>405</v>
      </c>
      <c r="CP136" s="145">
        <v>809</v>
      </c>
      <c r="CQ136" s="145">
        <v>330</v>
      </c>
      <c r="CR136" s="145">
        <v>525</v>
      </c>
      <c r="CS136" s="145">
        <v>764</v>
      </c>
      <c r="CT136" s="109">
        <f t="shared" si="183"/>
        <v>30</v>
      </c>
      <c r="CU136" s="145">
        <v>794</v>
      </c>
      <c r="CV136" s="145">
        <v>261</v>
      </c>
      <c r="CW136" s="145">
        <v>417</v>
      </c>
      <c r="CX136" s="145">
        <v>592</v>
      </c>
      <c r="CY136" s="109">
        <f t="shared" si="184"/>
        <v>44</v>
      </c>
      <c r="CZ136" s="145">
        <v>636</v>
      </c>
      <c r="DA136" s="145">
        <v>246</v>
      </c>
      <c r="DB136" s="145">
        <v>367</v>
      </c>
      <c r="DC136" s="145">
        <v>582</v>
      </c>
      <c r="DD136" s="109">
        <f t="shared" si="185"/>
        <v>127</v>
      </c>
      <c r="DE136" s="145">
        <v>709</v>
      </c>
      <c r="DF136" s="145">
        <v>299</v>
      </c>
      <c r="DG136" s="145">
        <v>410</v>
      </c>
      <c r="DH136" s="145">
        <v>383</v>
      </c>
      <c r="DI136" s="109">
        <f t="shared" si="186"/>
        <v>495</v>
      </c>
      <c r="DJ136" s="145">
        <v>878</v>
      </c>
      <c r="DK136" s="145">
        <v>243</v>
      </c>
      <c r="DL136" s="145">
        <v>453</v>
      </c>
      <c r="DM136" s="145">
        <v>529</v>
      </c>
      <c r="DN136" s="109">
        <f t="shared" si="187"/>
        <v>279.20000000000005</v>
      </c>
      <c r="DO136" s="1424">
        <v>808.2</v>
      </c>
      <c r="DP136" s="145">
        <v>330.2</v>
      </c>
      <c r="DQ136" s="145">
        <v>552.29999999999995</v>
      </c>
      <c r="DR136" s="145">
        <v>-47</v>
      </c>
      <c r="DS136" s="109">
        <f t="shared" si="188"/>
        <v>-3</v>
      </c>
      <c r="DT136" s="1424">
        <v>-50</v>
      </c>
      <c r="DU136" s="145">
        <v>136.19999999999999</v>
      </c>
      <c r="DV136" s="145">
        <v>424.1</v>
      </c>
      <c r="DW136" s="145">
        <v>740.9</v>
      </c>
      <c r="DX136" s="109">
        <f t="shared" si="189"/>
        <v>160.60000000000002</v>
      </c>
      <c r="DY136" s="1424">
        <v>901.5</v>
      </c>
    </row>
    <row r="137" spans="2:129">
      <c r="C137" s="100" t="s">
        <v>924</v>
      </c>
      <c r="D137" s="72"/>
      <c r="E137" s="161">
        <f t="shared" si="139"/>
        <v>-160</v>
      </c>
      <c r="F137" s="160">
        <f t="shared" si="140"/>
        <v>-49</v>
      </c>
      <c r="G137" s="160">
        <f t="shared" si="140"/>
        <v>67</v>
      </c>
      <c r="H137" s="144">
        <f t="shared" si="141"/>
        <v>-295</v>
      </c>
      <c r="I137" s="72">
        <f t="shared" si="142"/>
        <v>-437</v>
      </c>
      <c r="J137" s="148">
        <f t="shared" si="143"/>
        <v>-194</v>
      </c>
      <c r="K137" s="146">
        <f t="shared" si="144"/>
        <v>151</v>
      </c>
      <c r="L137" s="146">
        <f t="shared" si="144"/>
        <v>-409</v>
      </c>
      <c r="M137" s="147">
        <f t="shared" si="145"/>
        <v>-110</v>
      </c>
      <c r="N137" s="72">
        <f t="shared" si="146"/>
        <v>-562</v>
      </c>
      <c r="O137" s="161">
        <f t="shared" si="147"/>
        <v>-206</v>
      </c>
      <c r="P137" s="160">
        <f t="shared" si="148"/>
        <v>86</v>
      </c>
      <c r="Q137" s="146">
        <f t="shared" si="148"/>
        <v>-334</v>
      </c>
      <c r="R137" s="147">
        <f t="shared" si="149"/>
        <v>-556</v>
      </c>
      <c r="S137" s="72">
        <f t="shared" si="150"/>
        <v>-1010</v>
      </c>
      <c r="T137" s="161">
        <f t="shared" si="151"/>
        <v>-19</v>
      </c>
      <c r="U137" s="160">
        <f t="shared" si="152"/>
        <v>170</v>
      </c>
      <c r="V137" s="160">
        <f t="shared" si="152"/>
        <v>128</v>
      </c>
      <c r="W137" s="147">
        <f t="shared" si="153"/>
        <v>-10</v>
      </c>
      <c r="X137" s="72">
        <f t="shared" si="154"/>
        <v>269</v>
      </c>
      <c r="Y137" s="161">
        <f t="shared" si="155"/>
        <v>13</v>
      </c>
      <c r="Z137" s="160">
        <f t="shared" si="156"/>
        <v>162</v>
      </c>
      <c r="AA137" s="160">
        <f t="shared" si="156"/>
        <v>286</v>
      </c>
      <c r="AB137" s="147">
        <f t="shared" si="157"/>
        <v>-464</v>
      </c>
      <c r="AC137" s="72">
        <f t="shared" si="158"/>
        <v>-3</v>
      </c>
      <c r="AD137" s="161">
        <f t="shared" si="159"/>
        <v>-157</v>
      </c>
      <c r="AE137" s="160">
        <f t="shared" si="160"/>
        <v>190</v>
      </c>
      <c r="AF137" s="160">
        <f t="shared" si="160"/>
        <v>258</v>
      </c>
      <c r="AG137" s="147">
        <f t="shared" si="161"/>
        <v>-148</v>
      </c>
      <c r="AH137" s="72">
        <f t="shared" si="162"/>
        <v>143</v>
      </c>
      <c r="AI137" s="161">
        <f t="shared" si="163"/>
        <v>-60</v>
      </c>
      <c r="AJ137" s="160">
        <f t="shared" si="164"/>
        <v>19</v>
      </c>
      <c r="AK137" s="160">
        <f t="shared" si="165"/>
        <v>301</v>
      </c>
      <c r="AL137" s="147">
        <f t="shared" si="166"/>
        <v>-188.39999999999998</v>
      </c>
      <c r="AM137" s="72">
        <f t="shared" si="167"/>
        <v>71.600000000000023</v>
      </c>
      <c r="AN137" s="161">
        <f t="shared" si="168"/>
        <v>2.300000000000014</v>
      </c>
      <c r="AO137" s="160">
        <f t="shared" si="169"/>
        <v>28.299999999999997</v>
      </c>
      <c r="AP137" s="160">
        <f t="shared" si="169"/>
        <v>2482.3000000000002</v>
      </c>
      <c r="AQ137" s="147">
        <f t="shared" si="170"/>
        <v>-437.69999999999982</v>
      </c>
      <c r="AR137" s="72">
        <f t="shared" si="171"/>
        <v>2075.2000000000003</v>
      </c>
      <c r="AS137" s="161">
        <f t="shared" si="172"/>
        <v>-234.39999999999998</v>
      </c>
      <c r="AT137" s="160">
        <f t="shared" si="173"/>
        <v>-51.800000000000068</v>
      </c>
      <c r="AU137" s="160">
        <f t="shared" si="174"/>
        <v>218.5</v>
      </c>
      <c r="AV137" s="147">
        <f t="shared" si="175"/>
        <v>-233.59999999999997</v>
      </c>
      <c r="AW137" s="72">
        <f t="shared" si="176"/>
        <v>-301.3</v>
      </c>
      <c r="AX137" s="161">
        <f>+'Generation &amp; Marketing'!AX344+'Vertically Integrated Utilities'!AX178+'T&amp;D Utilities'!AX159</f>
        <v>0</v>
      </c>
      <c r="AY137" s="160">
        <f>+'Generation &amp; Marketing'!AY344+'Vertically Integrated Utilities'!AY178+'T&amp;D Utilities'!AY159</f>
        <v>0</v>
      </c>
      <c r="AZ137" s="160">
        <f>+'Generation &amp; Marketing'!AZ344+'Vertically Integrated Utilities'!AZ178+'T&amp;D Utilities'!AZ159</f>
        <v>0</v>
      </c>
      <c r="BA137" s="144">
        <f>+'Generation &amp; Marketing'!BA344+'Vertically Integrated Utilities'!BA178+'T&amp;D Utilities'!BA159</f>
        <v>0</v>
      </c>
      <c r="BB137" s="72">
        <f t="shared" si="177"/>
        <v>0</v>
      </c>
      <c r="BC137" s="161">
        <f>+'Generation &amp; Marketing'!BC344+'Vertically Integrated Utilities'!BC178+'T&amp;D Utilities'!BC159</f>
        <v>0</v>
      </c>
      <c r="BD137" s="160">
        <f>+'Generation &amp; Marketing'!BD344+'Vertically Integrated Utilities'!BD178+'T&amp;D Utilities'!BD159</f>
        <v>0</v>
      </c>
      <c r="BE137" s="160">
        <f>+'Generation &amp; Marketing'!BE344+'Vertically Integrated Utilities'!BE178+'T&amp;D Utilities'!BE159</f>
        <v>0</v>
      </c>
      <c r="BF137" s="144">
        <f>+'Generation &amp; Marketing'!BF344+'Vertically Integrated Utilities'!BF178+'T&amp;D Utilities'!BF159</f>
        <v>0</v>
      </c>
      <c r="BG137" s="72">
        <f t="shared" si="178"/>
        <v>0</v>
      </c>
      <c r="BH137" s="161">
        <f>+'Generation &amp; Marketing'!BH344+'Vertically Integrated Utilities'!BH178+'T&amp;D Utilities'!BH159</f>
        <v>0</v>
      </c>
      <c r="BI137" s="160">
        <f>+'Generation &amp; Marketing'!BI344+'Vertically Integrated Utilities'!BI178+'T&amp;D Utilities'!BI159</f>
        <v>0</v>
      </c>
      <c r="BJ137" s="160">
        <f>+'Generation &amp; Marketing'!BJ344+'Vertically Integrated Utilities'!BJ178+'T&amp;D Utilities'!BJ159</f>
        <v>0</v>
      </c>
      <c r="BK137" s="144">
        <f>+'Generation &amp; Marketing'!BK344+'Vertically Integrated Utilities'!BK178+'T&amp;D Utilities'!BK159</f>
        <v>0</v>
      </c>
      <c r="BL137" s="72">
        <f t="shared" si="179"/>
        <v>0</v>
      </c>
      <c r="BM137" s="161">
        <f>+'Generation &amp; Marketing'!BM344+'Vertically Integrated Utilities'!BM178+'T&amp;D Utilities'!BM159</f>
        <v>0</v>
      </c>
      <c r="BN137" s="160">
        <f>+'Generation &amp; Marketing'!BN344+'Vertically Integrated Utilities'!BN178+'T&amp;D Utilities'!BN159</f>
        <v>0</v>
      </c>
      <c r="BO137" s="160">
        <f>+'Generation &amp; Marketing'!BO344+'Vertically Integrated Utilities'!BO178+'T&amp;D Utilities'!BO159</f>
        <v>0</v>
      </c>
      <c r="BP137" s="144">
        <f>+'Generation &amp; Marketing'!BP344+'Vertically Integrated Utilities'!BP178+'T&amp;D Utilities'!BP159</f>
        <v>0</v>
      </c>
      <c r="BQ137" s="72">
        <f t="shared" si="180"/>
        <v>0</v>
      </c>
      <c r="BR137" s="491"/>
      <c r="BS137" s="491"/>
      <c r="BT137" s="491"/>
      <c r="BU137" s="491"/>
      <c r="BV137" s="491"/>
      <c r="BW137" s="491"/>
      <c r="BX137" s="491"/>
      <c r="CG137" s="145">
        <f>-9-46+13-64-95+23+18</f>
        <v>-160</v>
      </c>
      <c r="CH137" s="145">
        <f>5-21-83+25+38-246-11+84</f>
        <v>-209</v>
      </c>
      <c r="CI137" s="145">
        <f>5-33-99+41+144-377+13+164</f>
        <v>-142</v>
      </c>
      <c r="CJ137" s="109">
        <f t="shared" si="181"/>
        <v>-295</v>
      </c>
      <c r="CK137" s="145">
        <f>5-47-59+63-17-474-15-137+244</f>
        <v>-437</v>
      </c>
      <c r="CL137" s="145">
        <f>-14-69+30-53-97-28+37</f>
        <v>-194</v>
      </c>
      <c r="CM137" s="145">
        <f>-33+4+69+54-181-21+65</f>
        <v>-43</v>
      </c>
      <c r="CN137" s="145">
        <f>-51-108+113-463+157-233-50+183</f>
        <v>-452</v>
      </c>
      <c r="CO137" s="109">
        <f t="shared" si="182"/>
        <v>-110</v>
      </c>
      <c r="CP137" s="145">
        <f>-70+30+139-500-21-253-14-75+202</f>
        <v>-562</v>
      </c>
      <c r="CQ137" s="145">
        <f>-51-211-15+42+34-52-27-3+77</f>
        <v>-206</v>
      </c>
      <c r="CR137" s="145">
        <f>-51-211-32+61+72+62-93-11+83</f>
        <v>-120</v>
      </c>
      <c r="CS137" s="145">
        <f>-51-211-273+90-323+84+108-150+173-94-32+225</f>
        <v>-454</v>
      </c>
      <c r="CT137" s="109">
        <f t="shared" si="183"/>
        <v>-556</v>
      </c>
      <c r="CU137" s="145">
        <f>-51-211-373+139-393+37+137-450-15-25-112+307</f>
        <v>-1010</v>
      </c>
      <c r="CV137" s="145">
        <f>-20+10+34-49+112-59-47</f>
        <v>-19</v>
      </c>
      <c r="CW137" s="145">
        <f>-31+8+64+68+91-80+31</f>
        <v>151</v>
      </c>
      <c r="CX137" s="145">
        <f>13-42+70-100+100+181+133-195+119</f>
        <v>279</v>
      </c>
      <c r="CY137" s="109">
        <f t="shared" si="184"/>
        <v>-10</v>
      </c>
      <c r="CZ137" s="145">
        <f>300-53+57+136-200-19+157-236+127</f>
        <v>269</v>
      </c>
      <c r="DA137" s="145">
        <f>-4+34+34-51-4-13+17</f>
        <v>13</v>
      </c>
      <c r="DB137" s="145">
        <f>154-12+16+63+68-4-102-20+12</f>
        <v>175</v>
      </c>
      <c r="DC137" s="145">
        <f>298-20+29+101+191+38-157-35+16</f>
        <v>461</v>
      </c>
      <c r="DD137" s="109">
        <f t="shared" si="185"/>
        <v>-464</v>
      </c>
      <c r="DE137" s="145">
        <f>226-30+38+131-35+62-214-184+3</f>
        <v>-3</v>
      </c>
      <c r="DF137" s="145">
        <f>+-6+6+38-54-137-56-25+77</f>
        <v>-157</v>
      </c>
      <c r="DG137" s="145">
        <f>+-15+9+79-71+92-105-99+11+132</f>
        <v>33</v>
      </c>
      <c r="DH137" s="145">
        <f>+-22+15+114-71+220-77-106-54+272</f>
        <v>291</v>
      </c>
      <c r="DI137" s="109">
        <f t="shared" si="186"/>
        <v>-148</v>
      </c>
      <c r="DJ137" s="145">
        <f>-33-53+144+80-71-42-36-114+26+242</f>
        <v>143</v>
      </c>
      <c r="DK137" s="145">
        <f>-8-21+38-35+3-7+1-31</f>
        <v>-60</v>
      </c>
      <c r="DL137" s="145">
        <f>-17-41+66-93+102+22-1-91+12</f>
        <v>-41</v>
      </c>
      <c r="DM137" s="145">
        <f>+-18+18+102-92+247+93+35-106-1-18</f>
        <v>260</v>
      </c>
      <c r="DN137" s="109">
        <f t="shared" si="187"/>
        <v>-188.39999999999998</v>
      </c>
      <c r="DO137" s="1424">
        <f>-23.5+52.5+145+33.2-91.8-52.4+137.8+65.5-105.7-89</f>
        <v>71.600000000000023</v>
      </c>
      <c r="DP137" s="145">
        <f>-3.9+20.9+40.5-34.4+10.6+35.1-68.3+1.8</f>
        <v>2.300000000000014</v>
      </c>
      <c r="DQ137" s="145">
        <f>-10.2+48.7+73.2-84.8+131.3-5.8+67.4-191+1.8</f>
        <v>30.600000000000012</v>
      </c>
      <c r="DR137" s="145">
        <f>2264.9-11.9+56.6+109.7-84.8+288.3-28.5+108.8-231.5+41.3</f>
        <v>2512.9</v>
      </c>
      <c r="DS137" s="109">
        <f t="shared" si="188"/>
        <v>-437.69999999999982</v>
      </c>
      <c r="DT137" s="1424">
        <f>2267.8-16.2+150.8+128.6+21.6-84.8-19-65.5+88.1+120.3-93.5-438.4+15.4</f>
        <v>2075.2000000000003</v>
      </c>
      <c r="DU137" s="145">
        <f>11.2-5.9+6+35.1-44.4+19.3-226.5+30.2-104.4+45</f>
        <v>-234.39999999999998</v>
      </c>
      <c r="DV137" s="145">
        <f>13.1-84.7+71.6-93.3+122.9+20.7-226.4+47.1-88.1-201.1+132</f>
        <v>-286.20000000000005</v>
      </c>
      <c r="DW137" s="145">
        <f>10.6-56.2+104.8-93.3+291.4+81-226.4-12.4+65.6-93.3-345.2+205.7</f>
        <v>-67.700000000000045</v>
      </c>
      <c r="DX137" s="109">
        <f t="shared" si="189"/>
        <v>-233.59999999999997</v>
      </c>
      <c r="DY137" s="1424">
        <f>87.1-23.3+129.1+27.8-93.3-29.5+84.4-226.4+83.2-98.2-423.9+181.7</f>
        <v>-301.3</v>
      </c>
    </row>
    <row r="138" spans="2:129">
      <c r="C138" s="100" t="s">
        <v>82</v>
      </c>
      <c r="D138" s="72"/>
      <c r="E138" s="161">
        <f t="shared" si="139"/>
        <v>-469</v>
      </c>
      <c r="F138" s="160">
        <f t="shared" si="140"/>
        <v>-248</v>
      </c>
      <c r="G138" s="160">
        <f t="shared" si="140"/>
        <v>-199</v>
      </c>
      <c r="H138" s="144">
        <f t="shared" si="141"/>
        <v>-296</v>
      </c>
      <c r="I138" s="72">
        <f t="shared" si="142"/>
        <v>-1212</v>
      </c>
      <c r="J138" s="148">
        <f t="shared" si="143"/>
        <v>-655</v>
      </c>
      <c r="K138" s="146">
        <f t="shared" si="144"/>
        <v>-185</v>
      </c>
      <c r="L138" s="146">
        <f t="shared" si="144"/>
        <v>373</v>
      </c>
      <c r="M138" s="147">
        <f t="shared" si="145"/>
        <v>100</v>
      </c>
      <c r="N138" s="72">
        <f t="shared" si="146"/>
        <v>-367</v>
      </c>
      <c r="O138" s="161">
        <f t="shared" si="147"/>
        <v>-32</v>
      </c>
      <c r="P138" s="160">
        <f t="shared" si="148"/>
        <v>-119</v>
      </c>
      <c r="Q138" s="146">
        <f t="shared" si="148"/>
        <v>352</v>
      </c>
      <c r="R138" s="147">
        <f t="shared" si="149"/>
        <v>297</v>
      </c>
      <c r="S138" s="72">
        <f t="shared" si="150"/>
        <v>498</v>
      </c>
      <c r="T138" s="161">
        <f t="shared" si="151"/>
        <v>-156</v>
      </c>
      <c r="U138" s="160">
        <f t="shared" si="152"/>
        <v>-288</v>
      </c>
      <c r="V138" s="160">
        <f t="shared" si="152"/>
        <v>-39</v>
      </c>
      <c r="W138" s="147">
        <f t="shared" si="153"/>
        <v>431</v>
      </c>
      <c r="X138" s="72">
        <f t="shared" si="154"/>
        <v>-52</v>
      </c>
      <c r="Y138" s="161">
        <f t="shared" si="155"/>
        <v>-272</v>
      </c>
      <c r="Z138" s="160">
        <f t="shared" si="156"/>
        <v>-288</v>
      </c>
      <c r="AA138" s="160">
        <f t="shared" si="156"/>
        <v>161</v>
      </c>
      <c r="AB138" s="147">
        <f t="shared" si="157"/>
        <v>645</v>
      </c>
      <c r="AC138" s="72">
        <f t="shared" si="158"/>
        <v>246</v>
      </c>
      <c r="AD138" s="161">
        <f t="shared" si="159"/>
        <v>-39</v>
      </c>
      <c r="AE138" s="160">
        <f t="shared" si="160"/>
        <v>-46</v>
      </c>
      <c r="AF138" s="160">
        <f t="shared" si="160"/>
        <v>323</v>
      </c>
      <c r="AG138" s="147">
        <f t="shared" si="161"/>
        <v>-110</v>
      </c>
      <c r="AH138" s="72">
        <f t="shared" si="162"/>
        <v>128</v>
      </c>
      <c r="AI138" s="161">
        <f t="shared" si="163"/>
        <v>-32</v>
      </c>
      <c r="AJ138" s="160">
        <f t="shared" si="164"/>
        <v>-186</v>
      </c>
      <c r="AK138" s="160">
        <f t="shared" si="165"/>
        <v>326</v>
      </c>
      <c r="AL138" s="147">
        <f t="shared" si="166"/>
        <v>184.3</v>
      </c>
      <c r="AM138" s="72">
        <f t="shared" si="167"/>
        <v>292.3</v>
      </c>
      <c r="AN138" s="161">
        <f t="shared" si="168"/>
        <v>-501.09999999999991</v>
      </c>
      <c r="AO138" s="160">
        <f t="shared" si="169"/>
        <v>-315.90000000000009</v>
      </c>
      <c r="AP138" s="160">
        <f t="shared" si="169"/>
        <v>62.699999999999932</v>
      </c>
      <c r="AQ138" s="147">
        <f t="shared" si="170"/>
        <v>781.30000000000007</v>
      </c>
      <c r="AR138" s="72">
        <f t="shared" si="171"/>
        <v>27.000000000000028</v>
      </c>
      <c r="AS138" s="161">
        <f t="shared" si="172"/>
        <v>-149.89999999999998</v>
      </c>
      <c r="AT138" s="160">
        <f t="shared" si="173"/>
        <v>-166.60000000000002</v>
      </c>
      <c r="AU138" s="160">
        <f t="shared" si="174"/>
        <v>-183.3</v>
      </c>
      <c r="AV138" s="147">
        <f t="shared" si="175"/>
        <v>337.6</v>
      </c>
      <c r="AW138" s="72">
        <f t="shared" si="176"/>
        <v>-162.19999999999999</v>
      </c>
      <c r="AX138" s="161">
        <f>+'Generation &amp; Marketing'!AX345+'Vertically Integrated Utilities'!AX179+'T&amp;D Utilities'!AX160</f>
        <v>0</v>
      </c>
      <c r="AY138" s="160">
        <f>+'Generation &amp; Marketing'!AY345+'Vertically Integrated Utilities'!AY179+'T&amp;D Utilities'!AY160</f>
        <v>0</v>
      </c>
      <c r="AZ138" s="160">
        <f>+'Generation &amp; Marketing'!AZ345+'Vertically Integrated Utilities'!AZ179+'T&amp;D Utilities'!AZ160</f>
        <v>0</v>
      </c>
      <c r="BA138" s="144">
        <f>+'Generation &amp; Marketing'!BA345+'Vertically Integrated Utilities'!BA179+'T&amp;D Utilities'!BA160</f>
        <v>0</v>
      </c>
      <c r="BB138" s="72">
        <f t="shared" si="177"/>
        <v>0</v>
      </c>
      <c r="BC138" s="161">
        <f>+'Generation &amp; Marketing'!BC345+'Vertically Integrated Utilities'!BC179+'T&amp;D Utilities'!BC160</f>
        <v>0</v>
      </c>
      <c r="BD138" s="160">
        <f>+'Generation &amp; Marketing'!BD345+'Vertically Integrated Utilities'!BD179+'T&amp;D Utilities'!BD160</f>
        <v>0</v>
      </c>
      <c r="BE138" s="160">
        <f>+'Generation &amp; Marketing'!BE345+'Vertically Integrated Utilities'!BE179+'T&amp;D Utilities'!BE160</f>
        <v>0</v>
      </c>
      <c r="BF138" s="144">
        <f>+'Generation &amp; Marketing'!BF345+'Vertically Integrated Utilities'!BF179+'T&amp;D Utilities'!BF160</f>
        <v>0</v>
      </c>
      <c r="BG138" s="72">
        <f t="shared" si="178"/>
        <v>0</v>
      </c>
      <c r="BH138" s="161">
        <f>+'Generation &amp; Marketing'!BH345+'Vertically Integrated Utilities'!BH179+'T&amp;D Utilities'!BH160</f>
        <v>0</v>
      </c>
      <c r="BI138" s="160">
        <f>+'Generation &amp; Marketing'!BI345+'Vertically Integrated Utilities'!BI179+'T&amp;D Utilities'!BI160</f>
        <v>0</v>
      </c>
      <c r="BJ138" s="160">
        <f>+'Generation &amp; Marketing'!BJ345+'Vertically Integrated Utilities'!BJ179+'T&amp;D Utilities'!BJ160</f>
        <v>0</v>
      </c>
      <c r="BK138" s="144">
        <f>+'Generation &amp; Marketing'!BK345+'Vertically Integrated Utilities'!BK179+'T&amp;D Utilities'!BK160</f>
        <v>0</v>
      </c>
      <c r="BL138" s="72">
        <f t="shared" si="179"/>
        <v>0</v>
      </c>
      <c r="BM138" s="161">
        <f>+'Generation &amp; Marketing'!BM345+'Vertically Integrated Utilities'!BM179+'T&amp;D Utilities'!BM160</f>
        <v>0</v>
      </c>
      <c r="BN138" s="160">
        <f>+'Generation &amp; Marketing'!BN345+'Vertically Integrated Utilities'!BN179+'T&amp;D Utilities'!BN160</f>
        <v>0</v>
      </c>
      <c r="BO138" s="160">
        <f>+'Generation &amp; Marketing'!BO345+'Vertically Integrated Utilities'!BO179+'T&amp;D Utilities'!BO160</f>
        <v>0</v>
      </c>
      <c r="BP138" s="144">
        <f>+'Generation &amp; Marketing'!BP345+'Vertically Integrated Utilities'!BP179+'T&amp;D Utilities'!BP160</f>
        <v>0</v>
      </c>
      <c r="BQ138" s="72">
        <f t="shared" si="180"/>
        <v>0</v>
      </c>
      <c r="BR138" s="491"/>
      <c r="BS138" s="491"/>
      <c r="BT138" s="491"/>
      <c r="BU138" s="491"/>
      <c r="BV138" s="491"/>
      <c r="BW138" s="491"/>
      <c r="BX138" s="491"/>
      <c r="CG138" s="145">
        <f>102-118-39+3+12-57-44-7-321</f>
        <v>-469</v>
      </c>
      <c r="CH138" s="145">
        <f>29-313-49+18+17-110+3-25-287</f>
        <v>-717</v>
      </c>
      <c r="CI138" s="145">
        <f>-394+68-15-29+11-165-38-71-283</f>
        <v>-916</v>
      </c>
      <c r="CJ138" s="109">
        <f t="shared" si="181"/>
        <v>-296</v>
      </c>
      <c r="CK138" s="145">
        <f>41-475-3+8+2-470+17-70-262</f>
        <v>-1212</v>
      </c>
      <c r="CL138" s="145">
        <f>-617+83-20-83+5+80-34-14-55</f>
        <v>-655</v>
      </c>
      <c r="CM138" s="145">
        <f>-802+71-168-164+66+157</f>
        <v>-840</v>
      </c>
      <c r="CN138" s="145">
        <f>-766+240+3-163+223-32+35-7</f>
        <v>-467</v>
      </c>
      <c r="CO138" s="109">
        <f t="shared" si="182"/>
        <v>100</v>
      </c>
      <c r="CP138" s="145">
        <f>-866+221+1-36+14+179-8+72+56</f>
        <v>-367</v>
      </c>
      <c r="CQ138" s="145">
        <f>181+121+18-126+2-96-33-16-83</f>
        <v>-32</v>
      </c>
      <c r="CR138" s="145">
        <f>53+146-87-198-9-56</f>
        <v>-151</v>
      </c>
      <c r="CS138" s="145">
        <f>51+275+26-66-42-46-13+16</f>
        <v>201</v>
      </c>
      <c r="CT138" s="109">
        <f t="shared" si="183"/>
        <v>297</v>
      </c>
      <c r="CU138" s="145">
        <f>107+176-44+193+37+29</f>
        <v>498</v>
      </c>
      <c r="CV138" s="145">
        <f>207-126-26-30-15-166</f>
        <v>-156</v>
      </c>
      <c r="CW138" s="145">
        <f>93-199-100-92-7-139</f>
        <v>-444</v>
      </c>
      <c r="CX138" s="145">
        <f>-4-169-135-130-32-28+15</f>
        <v>-483</v>
      </c>
      <c r="CY138" s="109">
        <f t="shared" si="184"/>
        <v>431</v>
      </c>
      <c r="CZ138" s="145">
        <f>-16-224-60+174-3+77</f>
        <v>-52</v>
      </c>
      <c r="DA138" s="145">
        <f>-4-1-3-69-16-179</f>
        <v>-272</v>
      </c>
      <c r="DB138" s="145">
        <f>-53-61-57-214-10-165</f>
        <v>-560</v>
      </c>
      <c r="DC138" s="145">
        <f>4+72-28-278-5-164</f>
        <v>-399</v>
      </c>
      <c r="DD138" s="109">
        <f t="shared" si="185"/>
        <v>645</v>
      </c>
      <c r="DE138" s="145">
        <f>5+122+95+85+5-66</f>
        <v>246</v>
      </c>
      <c r="DF138" s="145">
        <f>-83+209+33-16-51-131</f>
        <v>-39</v>
      </c>
      <c r="DG138" s="145">
        <f>+-73+207-39-86-3-91</f>
        <v>-85</v>
      </c>
      <c r="DH138" s="145">
        <f>222-43+32-12+39</f>
        <v>238</v>
      </c>
      <c r="DI138" s="109">
        <f t="shared" si="186"/>
        <v>-110</v>
      </c>
      <c r="DJ138" s="145">
        <f>-72+102-80+4-36+210</f>
        <v>128</v>
      </c>
      <c r="DK138" s="145">
        <f>37+133+49+35-17-269</f>
        <v>-32</v>
      </c>
      <c r="DL138" s="145">
        <f>12+149-10-115+22-276</f>
        <v>-218</v>
      </c>
      <c r="DM138" s="145">
        <f>-18+194-13-68+11+2</f>
        <v>108</v>
      </c>
      <c r="DN138" s="109">
        <f t="shared" si="187"/>
        <v>184.3</v>
      </c>
      <c r="DO138" s="1424">
        <f>200.2-38.6+16.5+120.2-26.7-49.1+69.8</f>
        <v>292.3</v>
      </c>
      <c r="DP138" s="145">
        <f>-10.8-95.4-34.4-169.2+21.6-212.9</f>
        <v>-501.09999999999991</v>
      </c>
      <c r="DQ138" s="145">
        <f>-166-107-22.6-303.7+26.3-244</f>
        <v>-817</v>
      </c>
      <c r="DR138" s="145">
        <f>-240.8+11.6+47.8-393+31.5-211.4</f>
        <v>-754.30000000000007</v>
      </c>
      <c r="DS138" s="109">
        <f t="shared" si="188"/>
        <v>781.30000000000007</v>
      </c>
      <c r="DT138" s="1424">
        <f>-226.6+60.2+164.9+42.8+14.2-28.5</f>
        <v>27.000000000000028</v>
      </c>
      <c r="DU138" s="145">
        <f>235.8+13.4-250.7+186.8-45.9-289.3</f>
        <v>-149.89999999999998</v>
      </c>
      <c r="DV138" s="145">
        <f>270.5-9.5-170.5-72.8-45.3-288.9</f>
        <v>-316.5</v>
      </c>
      <c r="DW138" s="145">
        <f>201.3+58.5-91-310.1-98.2-260.3</f>
        <v>-499.8</v>
      </c>
      <c r="DX138" s="109">
        <f t="shared" si="189"/>
        <v>337.6</v>
      </c>
      <c r="DY138" s="1424">
        <f>28.5+17.9-58+91.9-60.7-181.8</f>
        <v>-162.19999999999999</v>
      </c>
    </row>
    <row r="139" spans="2:129">
      <c r="C139" s="56" t="s">
        <v>83</v>
      </c>
      <c r="D139" s="109"/>
      <c r="E139" s="149">
        <f>SUM(E133:E138)</f>
        <v>317</v>
      </c>
      <c r="F139" s="150">
        <f>SUM(F133:F138)</f>
        <v>540</v>
      </c>
      <c r="G139" s="150">
        <f>SUM(G133:G138)</f>
        <v>1014</v>
      </c>
      <c r="H139" s="151">
        <f>SUM(H133:H138)</f>
        <v>604</v>
      </c>
      <c r="I139" s="112">
        <f t="shared" si="142"/>
        <v>2475</v>
      </c>
      <c r="J139" s="149">
        <f>SUM(J133:J138)</f>
        <v>2</v>
      </c>
      <c r="K139" s="150">
        <f>SUM(K133:K138)</f>
        <v>580</v>
      </c>
      <c r="L139" s="150">
        <f>SUM(L133:L138)</f>
        <v>1120</v>
      </c>
      <c r="M139" s="151">
        <f>SUM(M133:M138)</f>
        <v>960</v>
      </c>
      <c r="N139" s="112">
        <f t="shared" si="146"/>
        <v>2662</v>
      </c>
      <c r="O139" s="149">
        <f>SUM(O133:O138)</f>
        <v>830</v>
      </c>
      <c r="P139" s="150">
        <f>SUM(P133:P138)</f>
        <v>902</v>
      </c>
      <c r="Q139" s="150">
        <f>SUM(Q133:Q138)</f>
        <v>1606</v>
      </c>
      <c r="R139" s="151">
        <f>SUM(R133:R138)</f>
        <v>450</v>
      </c>
      <c r="S139" s="112">
        <f t="shared" si="150"/>
        <v>3788</v>
      </c>
      <c r="T139" s="149">
        <f>SUM(T133:T138)</f>
        <v>876</v>
      </c>
      <c r="U139" s="150">
        <f>SUM(U133:U138)</f>
        <v>837</v>
      </c>
      <c r="V139" s="150">
        <f>SUM(V133:V138)</f>
        <v>1199</v>
      </c>
      <c r="W139" s="151">
        <f>SUM(W133:W138)</f>
        <v>892</v>
      </c>
      <c r="X139" s="112">
        <f t="shared" si="154"/>
        <v>3804</v>
      </c>
      <c r="Y139" s="149">
        <f>SUM(Y133:Y138)</f>
        <v>756</v>
      </c>
      <c r="Z139" s="150">
        <f>SUM(Z133:Z138)</f>
        <v>760</v>
      </c>
      <c r="AA139" s="150">
        <f>SUM(AA133:AA138)</f>
        <v>1524</v>
      </c>
      <c r="AB139" s="151">
        <f>SUM(AB133:AB138)</f>
        <v>1066</v>
      </c>
      <c r="AC139" s="112">
        <f t="shared" si="158"/>
        <v>4106</v>
      </c>
      <c r="AD139" s="149">
        <f>SUM(AD133:AD138)</f>
        <v>1133</v>
      </c>
      <c r="AE139" s="150">
        <f>SUM(AE133:AE138)</f>
        <v>1064</v>
      </c>
      <c r="AF139" s="150">
        <f>SUM(AF133:AF138)</f>
        <v>1528</v>
      </c>
      <c r="AG139" s="151">
        <f>SUM(AG133:AG138)</f>
        <v>888</v>
      </c>
      <c r="AH139" s="112">
        <f t="shared" si="162"/>
        <v>4613</v>
      </c>
      <c r="AI139" s="149">
        <f>SUM(AI133:AI138)</f>
        <v>1257</v>
      </c>
      <c r="AJ139" s="150">
        <f>SUM(AJ133:AJ138)</f>
        <v>946</v>
      </c>
      <c r="AK139" s="150">
        <f>SUM(AK133:AK138)</f>
        <v>1707</v>
      </c>
      <c r="AL139" s="151">
        <f>SUM(AL133:AL138)</f>
        <v>908.5</v>
      </c>
      <c r="AM139" s="112">
        <f t="shared" si="167"/>
        <v>4818.5000000000009</v>
      </c>
      <c r="AN139" s="149">
        <f>SUM(AN133:AN138)</f>
        <v>799.90000000000009</v>
      </c>
      <c r="AO139" s="150">
        <f>SUM(AO133:AO138)</f>
        <v>923.39999999999986</v>
      </c>
      <c r="AP139" s="150">
        <f>SUM(AP133:AP138)</f>
        <v>1695.2000000000003</v>
      </c>
      <c r="AQ139" s="151">
        <f>SUM(AQ133:AQ138)</f>
        <v>1103.3000000000002</v>
      </c>
      <c r="AR139" s="112">
        <f t="shared" si="171"/>
        <v>4521.8000000000011</v>
      </c>
      <c r="AS139" s="149">
        <f>SUM(AS133:AS138)</f>
        <v>806.8</v>
      </c>
      <c r="AT139" s="150">
        <f>SUM(AT133:AT138)</f>
        <v>910.1999999999997</v>
      </c>
      <c r="AU139" s="150">
        <f>SUM(AU133:AU138)</f>
        <v>1407.2</v>
      </c>
      <c r="AV139" s="151">
        <f>SUM(AV133:AV138)</f>
        <v>1146.2000000000003</v>
      </c>
      <c r="AW139" s="112">
        <f t="shared" si="176"/>
        <v>4270.4000000000005</v>
      </c>
      <c r="AX139" s="149">
        <f t="shared" ref="AX139:BB139" si="190">SUM(AX133:AX138)</f>
        <v>1125.0028981294088</v>
      </c>
      <c r="AY139" s="150">
        <f t="shared" si="190"/>
        <v>1013.6974513728609</v>
      </c>
      <c r="AZ139" s="150">
        <f t="shared" si="190"/>
        <v>1295.0782362137904</v>
      </c>
      <c r="BA139" s="151">
        <f t="shared" si="190"/>
        <v>1066.3456439895201</v>
      </c>
      <c r="BB139" s="112">
        <f t="shared" si="190"/>
        <v>4500.1242297055796</v>
      </c>
      <c r="BC139" s="149">
        <f t="shared" ref="BC139:BL139" si="191">SUM(BC133:BC138)</f>
        <v>1114.7527701775634</v>
      </c>
      <c r="BD139" s="150">
        <f t="shared" si="191"/>
        <v>997.38313982837678</v>
      </c>
      <c r="BE139" s="150">
        <f t="shared" si="191"/>
        <v>1166.0223785313608</v>
      </c>
      <c r="BF139" s="151">
        <f t="shared" si="191"/>
        <v>1006.3377803362716</v>
      </c>
      <c r="BG139" s="112">
        <f t="shared" si="191"/>
        <v>4284.4960688735728</v>
      </c>
      <c r="BH139" s="149">
        <f t="shared" si="191"/>
        <v>1125.227079940935</v>
      </c>
      <c r="BI139" s="150">
        <f t="shared" si="191"/>
        <v>1034.3131816620626</v>
      </c>
      <c r="BJ139" s="150">
        <f t="shared" si="191"/>
        <v>1238.1433175254467</v>
      </c>
      <c r="BK139" s="151">
        <f t="shared" si="191"/>
        <v>1062.9532624259621</v>
      </c>
      <c r="BL139" s="112">
        <f t="shared" si="191"/>
        <v>4460.6368415544066</v>
      </c>
      <c r="BM139" s="149">
        <f>SUM(BM133:BM138)</f>
        <v>1250.2563586041449</v>
      </c>
      <c r="BN139" s="150">
        <f>SUM(BN133:BN138)</f>
        <v>1174.841099019651</v>
      </c>
      <c r="BO139" s="150">
        <f>SUM(BO133:BO138)</f>
        <v>1338.5210419785083</v>
      </c>
      <c r="BP139" s="151">
        <f>SUM(BP133:BP138)</f>
        <v>1178.0661418352777</v>
      </c>
      <c r="BQ139" s="112">
        <f>SUM(BQ133:BQ138)</f>
        <v>4941.6846414375823</v>
      </c>
      <c r="BR139" s="491"/>
      <c r="BS139" s="491"/>
      <c r="BT139" s="491"/>
      <c r="BU139" s="491"/>
      <c r="BV139" s="491"/>
      <c r="BW139" s="491"/>
      <c r="BX139" s="491"/>
      <c r="CG139" s="112">
        <f t="shared" ref="CG139:CS139" si="192">SUM(CG133:CG138)</f>
        <v>317</v>
      </c>
      <c r="CH139" s="112">
        <f t="shared" si="192"/>
        <v>857</v>
      </c>
      <c r="CI139" s="112">
        <f t="shared" si="192"/>
        <v>1871</v>
      </c>
      <c r="CJ139" s="112">
        <f t="shared" si="192"/>
        <v>604</v>
      </c>
      <c r="CK139" s="112">
        <f t="shared" si="192"/>
        <v>2475</v>
      </c>
      <c r="CL139" s="112">
        <f>SUM(CL133:CL138)</f>
        <v>2</v>
      </c>
      <c r="CM139" s="112">
        <f t="shared" si="192"/>
        <v>582</v>
      </c>
      <c r="CN139" s="112">
        <f t="shared" si="192"/>
        <v>1702</v>
      </c>
      <c r="CO139" s="112">
        <f t="shared" si="192"/>
        <v>960</v>
      </c>
      <c r="CP139" s="112">
        <f t="shared" si="192"/>
        <v>2662</v>
      </c>
      <c r="CQ139" s="112">
        <f t="shared" si="192"/>
        <v>830</v>
      </c>
      <c r="CR139" s="112">
        <f t="shared" si="192"/>
        <v>1732</v>
      </c>
      <c r="CS139" s="112">
        <f t="shared" si="192"/>
        <v>3338</v>
      </c>
      <c r="CT139" s="112">
        <f t="shared" ref="CT139:DC139" si="193">SUM(CT133:CT138)</f>
        <v>450</v>
      </c>
      <c r="CU139" s="112">
        <f t="shared" si="193"/>
        <v>3788</v>
      </c>
      <c r="CV139" s="112">
        <f t="shared" si="193"/>
        <v>876</v>
      </c>
      <c r="CW139" s="112">
        <f t="shared" si="193"/>
        <v>1713</v>
      </c>
      <c r="CX139" s="112">
        <f t="shared" si="193"/>
        <v>2912</v>
      </c>
      <c r="CY139" s="112">
        <f t="shared" si="193"/>
        <v>892</v>
      </c>
      <c r="CZ139" s="112">
        <f t="shared" si="193"/>
        <v>3804</v>
      </c>
      <c r="DA139" s="112">
        <f t="shared" si="193"/>
        <v>756</v>
      </c>
      <c r="DB139" s="112">
        <f t="shared" si="193"/>
        <v>1516</v>
      </c>
      <c r="DC139" s="112">
        <f t="shared" si="193"/>
        <v>3040</v>
      </c>
      <c r="DD139" s="112">
        <f t="shared" ref="DD139:DL139" si="194">SUM(DD133:DD138)</f>
        <v>1066</v>
      </c>
      <c r="DE139" s="112">
        <f t="shared" si="194"/>
        <v>4106</v>
      </c>
      <c r="DF139" s="112">
        <f t="shared" si="194"/>
        <v>1133</v>
      </c>
      <c r="DG139" s="112">
        <f t="shared" si="194"/>
        <v>2197</v>
      </c>
      <c r="DH139" s="112">
        <f t="shared" si="194"/>
        <v>3725</v>
      </c>
      <c r="DI139" s="112">
        <f t="shared" si="194"/>
        <v>888</v>
      </c>
      <c r="DJ139" s="112">
        <f t="shared" si="194"/>
        <v>4613</v>
      </c>
      <c r="DK139" s="112">
        <f t="shared" si="194"/>
        <v>1257</v>
      </c>
      <c r="DL139" s="112">
        <f t="shared" si="194"/>
        <v>2203</v>
      </c>
      <c r="DM139" s="112">
        <f t="shared" ref="DM139:DR139" si="195">SUM(DM133:DM138)</f>
        <v>3910</v>
      </c>
      <c r="DN139" s="112">
        <f t="shared" si="195"/>
        <v>908.5</v>
      </c>
      <c r="DO139" s="1425">
        <f t="shared" si="195"/>
        <v>4818.5000000000009</v>
      </c>
      <c r="DP139" s="112">
        <f t="shared" si="195"/>
        <v>799.90000000000009</v>
      </c>
      <c r="DQ139" s="112">
        <f t="shared" si="195"/>
        <v>1723.2999999999997</v>
      </c>
      <c r="DR139" s="112">
        <f t="shared" si="195"/>
        <v>3418.5</v>
      </c>
      <c r="DS139" s="112">
        <f t="shared" ref="DS139:DY139" si="196">SUM(DS133:DS138)</f>
        <v>1103.3000000000002</v>
      </c>
      <c r="DT139" s="1425">
        <f t="shared" si="196"/>
        <v>4521.8000000000011</v>
      </c>
      <c r="DU139" s="112">
        <f t="shared" si="196"/>
        <v>806.8</v>
      </c>
      <c r="DV139" s="112">
        <f t="shared" si="196"/>
        <v>1716.9999999999998</v>
      </c>
      <c r="DW139" s="112">
        <f t="shared" si="196"/>
        <v>3124.2</v>
      </c>
      <c r="DX139" s="112">
        <f t="shared" si="196"/>
        <v>1146.2000000000003</v>
      </c>
      <c r="DY139" s="1425">
        <f t="shared" si="196"/>
        <v>4270.4000000000005</v>
      </c>
    </row>
    <row r="140" spans="2:129">
      <c r="D140" s="72"/>
      <c r="E140" s="148"/>
      <c r="F140" s="163"/>
      <c r="G140" s="163"/>
      <c r="H140" s="147"/>
      <c r="I140" s="72"/>
      <c r="J140" s="148"/>
      <c r="K140" s="163"/>
      <c r="L140" s="163"/>
      <c r="M140" s="147"/>
      <c r="N140" s="72"/>
      <c r="O140" s="148"/>
      <c r="P140" s="163"/>
      <c r="Q140" s="163"/>
      <c r="R140" s="147"/>
      <c r="S140" s="72"/>
      <c r="T140" s="148"/>
      <c r="U140" s="163"/>
      <c r="V140" s="163"/>
      <c r="W140" s="147"/>
      <c r="X140" s="72"/>
      <c r="Y140" s="148"/>
      <c r="Z140" s="163"/>
      <c r="AA140" s="163"/>
      <c r="AB140" s="147"/>
      <c r="AC140" s="72"/>
      <c r="AD140" s="148"/>
      <c r="AE140" s="163"/>
      <c r="AF140" s="163"/>
      <c r="AG140" s="147"/>
      <c r="AH140" s="72"/>
      <c r="AI140" s="148"/>
      <c r="AJ140" s="163"/>
      <c r="AK140" s="163"/>
      <c r="AL140" s="147"/>
      <c r="AM140" s="72"/>
      <c r="AN140" s="148"/>
      <c r="AO140" s="163"/>
      <c r="AP140" s="163"/>
      <c r="AQ140" s="147"/>
      <c r="AR140" s="72"/>
      <c r="AS140" s="148"/>
      <c r="AT140" s="163"/>
      <c r="AU140" s="163"/>
      <c r="AV140" s="147"/>
      <c r="AW140" s="72"/>
      <c r="AX140" s="148"/>
      <c r="AY140" s="163"/>
      <c r="AZ140" s="163"/>
      <c r="BA140" s="147"/>
      <c r="BB140" s="72"/>
      <c r="BC140" s="148"/>
      <c r="BD140" s="163"/>
      <c r="BE140" s="163"/>
      <c r="BF140" s="147"/>
      <c r="BG140" s="72"/>
      <c r="BH140" s="148"/>
      <c r="BI140" s="163"/>
      <c r="BJ140" s="163"/>
      <c r="BK140" s="147"/>
      <c r="BL140" s="72"/>
      <c r="BM140" s="148"/>
      <c r="BN140" s="163"/>
      <c r="BO140" s="163"/>
      <c r="BP140" s="147"/>
      <c r="BQ140" s="72"/>
      <c r="BR140" s="491"/>
      <c r="BS140" s="491"/>
      <c r="BT140" s="491"/>
      <c r="BU140" s="491"/>
      <c r="BV140" s="491"/>
      <c r="BW140" s="491"/>
      <c r="BX140" s="491"/>
      <c r="CG140" s="242"/>
      <c r="CH140" s="242"/>
      <c r="CI140" s="242"/>
      <c r="CJ140" s="242"/>
      <c r="CK140" s="242"/>
      <c r="CL140" s="242"/>
      <c r="CM140" s="242"/>
      <c r="CN140" s="242"/>
      <c r="CO140" s="242"/>
      <c r="CP140" s="242"/>
      <c r="CQ140" s="242"/>
      <c r="CR140" s="242"/>
      <c r="CS140" s="145"/>
      <c r="CT140" s="242"/>
      <c r="CU140" s="242"/>
      <c r="CV140" s="242"/>
      <c r="CW140" s="242"/>
      <c r="CX140" s="145"/>
      <c r="CY140" s="242"/>
      <c r="CZ140" s="242"/>
      <c r="DA140" s="242"/>
      <c r="DB140" s="242"/>
      <c r="DC140" s="145"/>
      <c r="DD140" s="242"/>
      <c r="DE140" s="242"/>
      <c r="DF140" s="242"/>
      <c r="DG140" s="242"/>
      <c r="DH140" s="145"/>
      <c r="DI140" s="242"/>
      <c r="DJ140" s="242"/>
      <c r="DK140" s="242"/>
      <c r="DL140" s="242"/>
      <c r="DM140" s="242"/>
      <c r="DN140" s="242"/>
      <c r="DO140" s="1519"/>
      <c r="DP140" s="242"/>
      <c r="DQ140" s="242"/>
      <c r="DR140" s="242"/>
      <c r="DS140" s="242"/>
      <c r="DT140" s="1519"/>
      <c r="DU140" s="242"/>
      <c r="DV140" s="242"/>
      <c r="DW140" s="242"/>
      <c r="DX140" s="242"/>
      <c r="DY140" s="1519"/>
    </row>
    <row r="141" spans="2:129">
      <c r="C141" s="100" t="s">
        <v>84</v>
      </c>
      <c r="D141" s="72"/>
      <c r="E141" s="161">
        <f>+CG141</f>
        <v>-897</v>
      </c>
      <c r="F141" s="160">
        <f>+CH141-CG141</f>
        <v>-650</v>
      </c>
      <c r="G141" s="160">
        <f>+CI141-CH141</f>
        <v>-576</v>
      </c>
      <c r="H141" s="144">
        <f>+I141-CI141</f>
        <v>-669</v>
      </c>
      <c r="I141" s="72">
        <f>CK141</f>
        <v>-2792</v>
      </c>
      <c r="J141" s="148">
        <f>+CL141</f>
        <v>-609</v>
      </c>
      <c r="K141" s="146">
        <f>+CM141-CL141</f>
        <v>-495</v>
      </c>
      <c r="L141" s="146">
        <f>+CN141-CM141</f>
        <v>-525</v>
      </c>
      <c r="M141" s="147">
        <f>+N141-CN141</f>
        <v>-716</v>
      </c>
      <c r="N141" s="72">
        <f>CP141</f>
        <v>-2345</v>
      </c>
      <c r="O141" s="161">
        <f>+CQ141</f>
        <v>-540</v>
      </c>
      <c r="P141" s="160">
        <f>+CR141-CQ141</f>
        <v>-573</v>
      </c>
      <c r="Q141" s="146">
        <f>+CS141-CR141</f>
        <v>-736</v>
      </c>
      <c r="R141" s="147">
        <f>+S141-CS141</f>
        <v>-820</v>
      </c>
      <c r="S141" s="72">
        <f>CU141</f>
        <v>-2669</v>
      </c>
      <c r="T141" s="161">
        <f>+CV141</f>
        <v>-741</v>
      </c>
      <c r="U141" s="160">
        <f>+CW141-CV141</f>
        <v>-630</v>
      </c>
      <c r="V141" s="160">
        <f>+CX141-CW141</f>
        <v>-737</v>
      </c>
      <c r="W141" s="147">
        <f>+X141-CX141</f>
        <v>-917</v>
      </c>
      <c r="X141" s="72">
        <f>CZ141</f>
        <v>-3025</v>
      </c>
      <c r="Y141" s="161">
        <f>+DA141</f>
        <v>-843</v>
      </c>
      <c r="Z141" s="160">
        <f>+DB141-DA141</f>
        <v>-794</v>
      </c>
      <c r="AA141" s="160">
        <f>+DC141-DB141</f>
        <v>-844</v>
      </c>
      <c r="AB141" s="147">
        <f>+AC141-DC141</f>
        <v>-1143</v>
      </c>
      <c r="AC141" s="72">
        <f>DE141</f>
        <v>-3624</v>
      </c>
      <c r="AD141" s="161">
        <f>+DF141</f>
        <v>-907</v>
      </c>
      <c r="AE141" s="160">
        <f>+DG141-DF141</f>
        <v>-976</v>
      </c>
      <c r="AF141" s="160">
        <f>+DH141-DG141</f>
        <v>-1016</v>
      </c>
      <c r="AG141" s="147">
        <f>+AH141-DH141</f>
        <v>-1235</v>
      </c>
      <c r="AH141" s="72">
        <f>DJ141</f>
        <v>-4134</v>
      </c>
      <c r="AI141" s="161">
        <f>+DK141</f>
        <v>-1077</v>
      </c>
      <c r="AJ141" s="160">
        <f>+DL141-DK141</f>
        <v>-1105</v>
      </c>
      <c r="AK141" s="160">
        <f>+DM141-DL141</f>
        <v>-1101</v>
      </c>
      <c r="AL141" s="147">
        <f>+AM141-DM141</f>
        <v>-1225</v>
      </c>
      <c r="AM141" s="72">
        <f>DO141</f>
        <v>-4508</v>
      </c>
      <c r="AN141" s="161">
        <f>+DP141</f>
        <v>-1203.5</v>
      </c>
      <c r="AO141" s="160">
        <f>+DQ141-DP141</f>
        <v>-1082.3000000000002</v>
      </c>
      <c r="AP141" s="160">
        <f>+DR141-DQ141</f>
        <v>-1101.1999999999998</v>
      </c>
      <c r="AQ141" s="147">
        <f>+AR141-DR141</f>
        <v>-1394.1000000000004</v>
      </c>
      <c r="AR141" s="72">
        <f>DT141</f>
        <v>-4781.1000000000004</v>
      </c>
      <c r="AS141" s="161">
        <f>+DU141</f>
        <v>-1365.8</v>
      </c>
      <c r="AT141" s="160">
        <f>+DV141-DU141</f>
        <v>-1144.6000000000001</v>
      </c>
      <c r="AU141" s="160">
        <f>+DW141-DV141</f>
        <v>-1267.7999999999997</v>
      </c>
      <c r="AV141" s="147">
        <f>+AW141-DW141</f>
        <v>-1913.1000000000004</v>
      </c>
      <c r="AW141" s="72">
        <f>DY141</f>
        <v>-5691.3</v>
      </c>
      <c r="AX141" s="161">
        <f>+-AX99</f>
        <v>-1534.7083333333335</v>
      </c>
      <c r="AY141" s="160">
        <f>+-AY99</f>
        <v>-1534.7083333333335</v>
      </c>
      <c r="AZ141" s="160">
        <f>+-AZ99</f>
        <v>-1534.7083333333335</v>
      </c>
      <c r="BA141" s="144">
        <f>+-BA99</f>
        <v>-1534.7083333333333</v>
      </c>
      <c r="BB141" s="72">
        <f>SUM(AX141:BA141)</f>
        <v>-6138.833333333333</v>
      </c>
      <c r="BC141" s="161">
        <f>+-BC99</f>
        <v>-1647.3333333333335</v>
      </c>
      <c r="BD141" s="160">
        <f>+-BD99</f>
        <v>-1647.3333333333335</v>
      </c>
      <c r="BE141" s="160">
        <f>+-BE99</f>
        <v>-1647.3333333333335</v>
      </c>
      <c r="BF141" s="144">
        <f>+-BF99</f>
        <v>-1647.3333333333333</v>
      </c>
      <c r="BG141" s="72">
        <f>SUM(BC141:BF141)</f>
        <v>-6589.333333333333</v>
      </c>
      <c r="BH141" s="161">
        <f>+-BH99</f>
        <v>-1446.0833333333335</v>
      </c>
      <c r="BI141" s="160">
        <f>+-BI99</f>
        <v>-1446.0833333333335</v>
      </c>
      <c r="BJ141" s="160">
        <f>+-BJ99</f>
        <v>-1446.0833333333335</v>
      </c>
      <c r="BK141" s="144">
        <f>+-BK99</f>
        <v>-1446.0833333333333</v>
      </c>
      <c r="BL141" s="72">
        <f>SUM(BH141:BK141)</f>
        <v>-5784.333333333333</v>
      </c>
      <c r="BM141" s="161">
        <f>+-BM99</f>
        <v>-2782.5</v>
      </c>
      <c r="BN141" s="160">
        <f>+-BN99</f>
        <v>-1332.5</v>
      </c>
      <c r="BO141" s="160">
        <f>+-BO99</f>
        <v>-1332.5</v>
      </c>
      <c r="BP141" s="144">
        <f>+-BP99</f>
        <v>-1332.5</v>
      </c>
      <c r="BQ141" s="72">
        <f>SUM(BM141:BP141)</f>
        <v>-6780</v>
      </c>
      <c r="BR141" s="491"/>
      <c r="BS141" s="491"/>
      <c r="BT141" s="491"/>
      <c r="BU141" s="491"/>
      <c r="BV141" s="491"/>
      <c r="BW141" s="491"/>
      <c r="BX141" s="491"/>
      <c r="CG141" s="145">
        <v>-897</v>
      </c>
      <c r="CH141" s="145">
        <v>-1547</v>
      </c>
      <c r="CI141" s="145">
        <v>-2123</v>
      </c>
      <c r="CJ141" s="109">
        <f>CK141-CI141</f>
        <v>-669</v>
      </c>
      <c r="CK141" s="145">
        <v>-2792</v>
      </c>
      <c r="CL141" s="145">
        <v>-609</v>
      </c>
      <c r="CM141" s="145">
        <v>-1104</v>
      </c>
      <c r="CN141" s="145">
        <v>-1629</v>
      </c>
      <c r="CO141" s="109">
        <f>CP141-CN141</f>
        <v>-716</v>
      </c>
      <c r="CP141" s="145">
        <v>-2345</v>
      </c>
      <c r="CQ141" s="145">
        <v>-540</v>
      </c>
      <c r="CR141" s="145">
        <v>-1113</v>
      </c>
      <c r="CS141" s="145">
        <v>-1849</v>
      </c>
      <c r="CT141" s="109">
        <f>CU141-CS141</f>
        <v>-820</v>
      </c>
      <c r="CU141" s="145">
        <v>-2669</v>
      </c>
      <c r="CV141" s="145">
        <v>-741</v>
      </c>
      <c r="CW141" s="145">
        <v>-1371</v>
      </c>
      <c r="CX141" s="145">
        <v>-2108</v>
      </c>
      <c r="CY141" s="109">
        <f>CZ141-CX141</f>
        <v>-917</v>
      </c>
      <c r="CZ141" s="145">
        <v>-3025</v>
      </c>
      <c r="DA141" s="145">
        <v>-843</v>
      </c>
      <c r="DB141" s="145">
        <v>-1637</v>
      </c>
      <c r="DC141" s="145">
        <v>-2481</v>
      </c>
      <c r="DD141" s="109">
        <f>DE141-DC141</f>
        <v>-1143</v>
      </c>
      <c r="DE141" s="145">
        <v>-3624</v>
      </c>
      <c r="DF141" s="145">
        <v>-907</v>
      </c>
      <c r="DG141" s="145">
        <v>-1883</v>
      </c>
      <c r="DH141" s="145">
        <v>-2899</v>
      </c>
      <c r="DI141" s="109">
        <f>DJ141-DH141</f>
        <v>-1235</v>
      </c>
      <c r="DJ141" s="145">
        <v>-4134</v>
      </c>
      <c r="DK141" s="145">
        <v>-1077</v>
      </c>
      <c r="DL141" s="145">
        <v>-2182</v>
      </c>
      <c r="DM141" s="145">
        <v>-3283</v>
      </c>
      <c r="DN141" s="109">
        <f>DO141-DM141</f>
        <v>-1225</v>
      </c>
      <c r="DO141" s="1424">
        <v>-4508</v>
      </c>
      <c r="DP141" s="145">
        <v>-1203.5</v>
      </c>
      <c r="DQ141" s="145">
        <v>-2285.8000000000002</v>
      </c>
      <c r="DR141" s="145">
        <v>-3387</v>
      </c>
      <c r="DS141" s="109">
        <f>DT141-DR141</f>
        <v>-1394.1000000000004</v>
      </c>
      <c r="DT141" s="1424">
        <v>-4781.1000000000004</v>
      </c>
      <c r="DU141" s="145">
        <v>-1365.8</v>
      </c>
      <c r="DV141" s="145">
        <v>-2510.4</v>
      </c>
      <c r="DW141" s="145">
        <v>-3778.2</v>
      </c>
      <c r="DX141" s="109">
        <f>DY141-DW141</f>
        <v>-1913.1000000000004</v>
      </c>
      <c r="DY141" s="1424">
        <v>-5691.3</v>
      </c>
    </row>
    <row r="142" spans="2:129">
      <c r="C142" s="100" t="s">
        <v>85</v>
      </c>
      <c r="D142" s="72"/>
      <c r="E142" s="161">
        <f>+CG142</f>
        <v>170</v>
      </c>
      <c r="F142" s="160">
        <f>+CH142-CG142</f>
        <v>-101</v>
      </c>
      <c r="G142" s="160">
        <f>+CI142-CH142</f>
        <v>-43</v>
      </c>
      <c r="H142" s="144">
        <f>+I142-CI142</f>
        <v>-150</v>
      </c>
      <c r="I142" s="72">
        <f>CK142</f>
        <v>-124</v>
      </c>
      <c r="J142" s="148">
        <f>+CL142</f>
        <v>179</v>
      </c>
      <c r="K142" s="146">
        <f>+CM142-CL142</f>
        <v>-67</v>
      </c>
      <c r="L142" s="146">
        <f>+CN142-CM142</f>
        <v>-58</v>
      </c>
      <c r="M142" s="147">
        <f>+N142-CN142</f>
        <v>-232</v>
      </c>
      <c r="N142" s="72">
        <f>CP142</f>
        <v>-178</v>
      </c>
      <c r="O142" s="161">
        <f>+CQ142</f>
        <v>-73</v>
      </c>
      <c r="P142" s="160">
        <f>+CR142-CQ142</f>
        <v>-94</v>
      </c>
      <c r="Q142" s="146">
        <f>+CS142-CR142</f>
        <v>49</v>
      </c>
      <c r="R142" s="147">
        <f>+S142-CS142</f>
        <v>-103</v>
      </c>
      <c r="S142" s="72">
        <f>CU142</f>
        <v>-221</v>
      </c>
      <c r="T142" s="161">
        <f>+CV142</f>
        <v>-51</v>
      </c>
      <c r="U142" s="160">
        <f>+CW142-CV142</f>
        <v>-108</v>
      </c>
      <c r="V142" s="160">
        <f>+CX142-CW142</f>
        <v>-14</v>
      </c>
      <c r="W142" s="147">
        <f>+X142-CX142</f>
        <v>-193</v>
      </c>
      <c r="X142" s="72">
        <f>CZ142</f>
        <v>-366</v>
      </c>
      <c r="Y142" s="161">
        <f>+DA142</f>
        <v>71</v>
      </c>
      <c r="Z142" s="160">
        <f>+DB142-DA142</f>
        <v>-77</v>
      </c>
      <c r="AA142" s="160">
        <f>+DC142-DB142</f>
        <v>-33</v>
      </c>
      <c r="AB142" s="147">
        <f>+AC142-DC142</f>
        <v>-155</v>
      </c>
      <c r="AC142" s="72">
        <f>DE142</f>
        <v>-194</v>
      </c>
      <c r="AD142" s="161">
        <f>+DF142</f>
        <v>-74</v>
      </c>
      <c r="AE142" s="160">
        <f>+DG142-DF142</f>
        <v>-111</v>
      </c>
      <c r="AF142" s="160">
        <f>+DH142-DG142</f>
        <v>3</v>
      </c>
      <c r="AG142" s="147">
        <f>+AH142-DH142</f>
        <v>-90</v>
      </c>
      <c r="AH142" s="72">
        <f>DJ142</f>
        <v>-272</v>
      </c>
      <c r="AI142" s="161">
        <f>+DK142</f>
        <v>60</v>
      </c>
      <c r="AJ142" s="160">
        <f>+DL142-DK142</f>
        <v>-68</v>
      </c>
      <c r="AK142" s="160">
        <f>+DM142-DL142</f>
        <v>43</v>
      </c>
      <c r="AL142" s="147">
        <f>+AM142-DM142</f>
        <v>457.80000000000013</v>
      </c>
      <c r="AM142" s="72">
        <f>DO142</f>
        <v>492.80000000000013</v>
      </c>
      <c r="AN142" s="161">
        <f>+DP142</f>
        <v>65.2</v>
      </c>
      <c r="AO142" s="160">
        <f>+DQ142-DP142</f>
        <v>-79.100000000000009</v>
      </c>
      <c r="AP142" s="160">
        <f>+DR142-DQ142</f>
        <v>-27.800000000000171</v>
      </c>
      <c r="AQ142" s="147">
        <f>+AR142-DR142</f>
        <v>-166.30000000000013</v>
      </c>
      <c r="AR142" s="72">
        <f>DT142</f>
        <v>-208.00000000000028</v>
      </c>
      <c r="AS142" s="161">
        <f>+DU142</f>
        <v>2210.6</v>
      </c>
      <c r="AT142" s="160">
        <f>+DV142-DU142</f>
        <v>-75.900000000000091</v>
      </c>
      <c r="AU142" s="160">
        <f>+DW142-DV142</f>
        <v>-33.099999999999909</v>
      </c>
      <c r="AV142" s="147">
        <f>+AW142-DW142</f>
        <v>-66.699999999999591</v>
      </c>
      <c r="AW142" s="72">
        <f>DY142</f>
        <v>2034.9000000000003</v>
      </c>
      <c r="AX142" s="148">
        <f>+'Generation &amp; Marketing'!AX349+'Vertically Integrated Utilities'!AX183+'T&amp;D Utilities'!AX164</f>
        <v>0</v>
      </c>
      <c r="AY142" s="146">
        <f>+'Generation &amp; Marketing'!AY349+'Vertically Integrated Utilities'!AY183+'T&amp;D Utilities'!AY164</f>
        <v>0</v>
      </c>
      <c r="AZ142" s="146">
        <f>+'Generation &amp; Marketing'!AZ349+'Vertically Integrated Utilities'!AZ183+'T&amp;D Utilities'!AZ164</f>
        <v>0</v>
      </c>
      <c r="BA142" s="147">
        <f>+'Generation &amp; Marketing'!BA349+'Vertically Integrated Utilities'!BA183+'T&amp;D Utilities'!BA164</f>
        <v>0</v>
      </c>
      <c r="BB142" s="72">
        <f>SUM(AX142:BA142)</f>
        <v>0</v>
      </c>
      <c r="BC142" s="148">
        <f>+'Generation &amp; Marketing'!BC349+'Vertically Integrated Utilities'!BC183+'T&amp;D Utilities'!BC164</f>
        <v>0</v>
      </c>
      <c r="BD142" s="146">
        <f>+'Generation &amp; Marketing'!BD349+'Vertically Integrated Utilities'!BD183+'T&amp;D Utilities'!BD164</f>
        <v>0</v>
      </c>
      <c r="BE142" s="146">
        <f>+'Generation &amp; Marketing'!BE349+'Vertically Integrated Utilities'!BE183+'T&amp;D Utilities'!BE164</f>
        <v>0</v>
      </c>
      <c r="BF142" s="147">
        <f>+'Generation &amp; Marketing'!BF349+'Vertically Integrated Utilities'!BF183+'T&amp;D Utilities'!BF164</f>
        <v>0</v>
      </c>
      <c r="BG142" s="72">
        <f>SUM(BC142:BF142)</f>
        <v>0</v>
      </c>
      <c r="BH142" s="148">
        <f>+'Generation &amp; Marketing'!BH349+'Vertically Integrated Utilities'!BH183+'T&amp;D Utilities'!BH164</f>
        <v>0</v>
      </c>
      <c r="BI142" s="146">
        <f>+'Generation &amp; Marketing'!BI349+'Vertically Integrated Utilities'!BI183+'T&amp;D Utilities'!BI164</f>
        <v>0</v>
      </c>
      <c r="BJ142" s="146">
        <f>+'Generation &amp; Marketing'!BJ349+'Vertically Integrated Utilities'!BJ183+'T&amp;D Utilities'!BJ164</f>
        <v>0</v>
      </c>
      <c r="BK142" s="147">
        <f>+'Generation &amp; Marketing'!BK349+'Vertically Integrated Utilities'!BK183+'T&amp;D Utilities'!BK164</f>
        <v>0</v>
      </c>
      <c r="BL142" s="72">
        <f>SUM(BH142:BK142)</f>
        <v>0</v>
      </c>
      <c r="BM142" s="148">
        <f>+'Generation &amp; Marketing'!BM349+'Vertically Integrated Utilities'!BM183+'T&amp;D Utilities'!BM164</f>
        <v>0</v>
      </c>
      <c r="BN142" s="146">
        <f>+'Generation &amp; Marketing'!BN349+'Vertically Integrated Utilities'!BN183+'T&amp;D Utilities'!BN164</f>
        <v>0</v>
      </c>
      <c r="BO142" s="146">
        <f>+'Generation &amp; Marketing'!BO349+'Vertically Integrated Utilities'!BO183+'T&amp;D Utilities'!BO164</f>
        <v>0</v>
      </c>
      <c r="BP142" s="147">
        <f>+'Generation &amp; Marketing'!BP349+'Vertically Integrated Utilities'!BP183+'T&amp;D Utilities'!BP164</f>
        <v>0</v>
      </c>
      <c r="BQ142" s="72">
        <f>SUM(BM142:BP142)</f>
        <v>0</v>
      </c>
      <c r="BR142" s="491"/>
      <c r="BS142" s="491"/>
      <c r="BT142" s="491"/>
      <c r="BU142" s="491"/>
      <c r="BV142" s="491"/>
      <c r="BW142" s="491"/>
      <c r="BX142" s="491"/>
      <c r="CG142" s="145">
        <f>111-179+158-76+172-16</f>
        <v>170</v>
      </c>
      <c r="CH142" s="145">
        <f>-443+43+411-152-11+240-19</f>
        <v>69</v>
      </c>
      <c r="CI142" s="145">
        <f>-573+72+524-153-70+258-32</f>
        <v>26</v>
      </c>
      <c r="CJ142" s="109">
        <f>CK142-CI142</f>
        <v>-150</v>
      </c>
      <c r="CK142" s="145">
        <f>16-853+748-169-104+278-40</f>
        <v>-124</v>
      </c>
      <c r="CL142" s="145">
        <f>82-445+473-38+139-32</f>
        <v>179</v>
      </c>
      <c r="CM142" s="145">
        <f>-838+31+849-41-12+147-24</f>
        <v>112</v>
      </c>
      <c r="CN142" s="145">
        <f>-1542+63+1477-69-16+160-19</f>
        <v>54</v>
      </c>
      <c r="CO142" s="109">
        <f>CP142-CN142</f>
        <v>-232</v>
      </c>
      <c r="CP142" s="145">
        <f>-4-1918+1817-91-155+187-14</f>
        <v>-178</v>
      </c>
      <c r="CQ142" s="145">
        <f>-454+73+484-27-214+69-4</f>
        <v>-73</v>
      </c>
      <c r="CR142" s="145">
        <f>11-645+712-93-10-214+94-22</f>
        <v>-167</v>
      </c>
      <c r="CS142" s="145">
        <f>-1024+62+1094-104-10-214+116-38</f>
        <v>-118</v>
      </c>
      <c r="CT142" s="109">
        <f>CU142-CS142</f>
        <v>-103</v>
      </c>
      <c r="CU142" s="145">
        <f>8-1321+1379-106-19-214+123-71</f>
        <v>-221</v>
      </c>
      <c r="CV142" s="145">
        <f>79-353+334-11-85+8-23</f>
        <v>-51</v>
      </c>
      <c r="CW142" s="145">
        <f>-1-546+517-11-88+8-38</f>
        <v>-159</v>
      </c>
      <c r="CX142" s="145">
        <f>19-745+699-13-89+13-57</f>
        <v>-173</v>
      </c>
      <c r="CY142" s="109">
        <f>CZ142-CX142</f>
        <v>-193</v>
      </c>
      <c r="CZ142" s="145">
        <f>-27-1047+988-107-94+18-97</f>
        <v>-366</v>
      </c>
      <c r="DA142" s="145">
        <f>75-196+168-47-2+72+1</f>
        <v>71</v>
      </c>
      <c r="DB142" s="145">
        <f>38-423+385-59-4+72+11-26</f>
        <v>-6</v>
      </c>
      <c r="DC142" s="145">
        <f>53-693+635-110-6+72+14-4</f>
        <v>-39</v>
      </c>
      <c r="DD142" s="109">
        <f>DE142-DC142</f>
        <v>-155</v>
      </c>
      <c r="DE142" s="145">
        <f>-11-927+858-154-32+72+21-21</f>
        <v>-194</v>
      </c>
      <c r="DF142" s="145">
        <f>44-165+148-49-43-9</f>
        <v>-74</v>
      </c>
      <c r="DG142" s="145">
        <f>+-24-510+483-58-45+2-33</f>
        <v>-185</v>
      </c>
      <c r="DH142" s="145">
        <f>37-791+746-109-45+2-22</f>
        <v>-182</v>
      </c>
      <c r="DI142" s="109">
        <f>DJ142-DH142</f>
        <v>-90</v>
      </c>
      <c r="DJ142" s="145">
        <f>-31-1088+1032-116-65+6-10</f>
        <v>-272</v>
      </c>
      <c r="DK142" s="145">
        <f>93-246+228-52-2+39</f>
        <v>60</v>
      </c>
      <c r="DL142" s="145">
        <f>30-541+516-52-2+41</f>
        <v>-8</v>
      </c>
      <c r="DM142" s="145">
        <f>81-1489+1437-53-1+60</f>
        <v>35</v>
      </c>
      <c r="DN142" s="109">
        <f>DO142-DM142</f>
        <v>457.80000000000013</v>
      </c>
      <c r="DO142" s="1424">
        <f>9.6-2282.7+2218.4-92-5.3+96+548.8</f>
        <v>492.80000000000013</v>
      </c>
      <c r="DP142" s="145">
        <f>122.8-1152+1137.7-45.5+2.2</f>
        <v>65.2</v>
      </c>
      <c r="DQ142" s="145">
        <f>80.9-1797.4+1777-79.2+4.8</f>
        <v>-13.900000000000002</v>
      </c>
      <c r="DR142" s="145">
        <f>109.2-2454.5+2427-127.6+4.2</f>
        <v>-41.700000000000173</v>
      </c>
      <c r="DS142" s="109">
        <f>DT142-DR142</f>
        <v>-166.30000000000013</v>
      </c>
      <c r="DT142" s="1424">
        <f>57.4-3002.3+2957.7-128.5-107.9+15.6</f>
        <v>-208.00000000000028</v>
      </c>
      <c r="DU142" s="145">
        <f>55.6-506+487.9-3.7+2159.6+17.2</f>
        <v>2210.6</v>
      </c>
      <c r="DV142" s="145">
        <f>13.5-1318.2+1289.1-38.9+2159.6+29.6</f>
        <v>2134.6999999999998</v>
      </c>
      <c r="DW142" s="145">
        <f>34.5-1855.8+1808.6-73.2+2159.6+27.9</f>
        <v>2101.6</v>
      </c>
      <c r="DX142" s="109">
        <f>DY142-DW142</f>
        <v>-66.699999999999591</v>
      </c>
      <c r="DY142" s="1424">
        <f>-2314.7+2256.3-108-6.8+2159.6+48.5</f>
        <v>2034.9000000000003</v>
      </c>
    </row>
    <row r="143" spans="2:129">
      <c r="C143" s="56" t="s">
        <v>86</v>
      </c>
      <c r="D143" s="72"/>
      <c r="E143" s="149">
        <f>SUM(E141:E142)</f>
        <v>-727</v>
      </c>
      <c r="F143" s="150">
        <f>SUM(F141:F142)</f>
        <v>-751</v>
      </c>
      <c r="G143" s="150">
        <f>SUM(G141:G142)</f>
        <v>-619</v>
      </c>
      <c r="H143" s="151">
        <f>SUM(H141:H142)</f>
        <v>-819</v>
      </c>
      <c r="I143" s="112">
        <f>CK143</f>
        <v>-2916</v>
      </c>
      <c r="J143" s="149">
        <f>SUM(J141:J142)</f>
        <v>-430</v>
      </c>
      <c r="K143" s="150">
        <f>SUM(K141:K142)</f>
        <v>-562</v>
      </c>
      <c r="L143" s="150">
        <f>SUM(L141:L142)</f>
        <v>-583</v>
      </c>
      <c r="M143" s="151">
        <f>SUM(M141:M142)</f>
        <v>-948</v>
      </c>
      <c r="N143" s="112">
        <f>CP143</f>
        <v>-2523</v>
      </c>
      <c r="O143" s="149">
        <f>SUM(O141:O142)</f>
        <v>-613</v>
      </c>
      <c r="P143" s="150">
        <f>SUM(P141:P142)</f>
        <v>-667</v>
      </c>
      <c r="Q143" s="150">
        <f>SUM(Q141:Q142)</f>
        <v>-687</v>
      </c>
      <c r="R143" s="151">
        <f>SUM(R141:R142)</f>
        <v>-923</v>
      </c>
      <c r="S143" s="112">
        <f>CU143</f>
        <v>-2890</v>
      </c>
      <c r="T143" s="149">
        <f>SUM(T141:T142)</f>
        <v>-792</v>
      </c>
      <c r="U143" s="150">
        <f>SUM(U141:U142)</f>
        <v>-738</v>
      </c>
      <c r="V143" s="150">
        <f>SUM(V141:V142)</f>
        <v>-751</v>
      </c>
      <c r="W143" s="151">
        <f>SUM(W141:W142)</f>
        <v>-1110</v>
      </c>
      <c r="X143" s="112">
        <f>CZ143</f>
        <v>-3391</v>
      </c>
      <c r="Y143" s="149">
        <f>SUM(Y141:Y142)</f>
        <v>-772</v>
      </c>
      <c r="Z143" s="150">
        <f>SUM(Z141:Z142)</f>
        <v>-871</v>
      </c>
      <c r="AA143" s="150">
        <f>SUM(AA141:AA142)</f>
        <v>-877</v>
      </c>
      <c r="AB143" s="151">
        <f>SUM(AB141:AB142)</f>
        <v>-1298</v>
      </c>
      <c r="AC143" s="112">
        <f>DE143</f>
        <v>-3818</v>
      </c>
      <c r="AD143" s="149">
        <f>SUM(AD141:AD142)</f>
        <v>-981</v>
      </c>
      <c r="AE143" s="150">
        <f>SUM(AE141:AE142)</f>
        <v>-1087</v>
      </c>
      <c r="AF143" s="150">
        <f>SUM(AF141:AF142)</f>
        <v>-1013</v>
      </c>
      <c r="AG143" s="151">
        <f>SUM(AG141:AG142)</f>
        <v>-1325</v>
      </c>
      <c r="AH143" s="112">
        <f>DJ143</f>
        <v>-4406</v>
      </c>
      <c r="AI143" s="149">
        <f>SUM(AI141:AI142)</f>
        <v>-1017</v>
      </c>
      <c r="AJ143" s="150">
        <f>SUM(AJ141:AJ142)</f>
        <v>-1173</v>
      </c>
      <c r="AK143" s="150">
        <f>SUM(AK141:AK142)</f>
        <v>-1058</v>
      </c>
      <c r="AL143" s="151">
        <f>SUM(AL141:AL142)</f>
        <v>-767.19999999999982</v>
      </c>
      <c r="AM143" s="112">
        <f>DO143</f>
        <v>-4015.2</v>
      </c>
      <c r="AN143" s="149">
        <f>SUM(AN141:AN142)</f>
        <v>-1138.3</v>
      </c>
      <c r="AO143" s="150">
        <f>SUM(AO141:AO142)</f>
        <v>-1161.4000000000001</v>
      </c>
      <c r="AP143" s="150">
        <f>SUM(AP141:AP142)</f>
        <v>-1129</v>
      </c>
      <c r="AQ143" s="151">
        <f>SUM(AQ141:AQ142)</f>
        <v>-1560.4000000000005</v>
      </c>
      <c r="AR143" s="112">
        <f>DT143</f>
        <v>-4989.1000000000004</v>
      </c>
      <c r="AS143" s="149">
        <f>SUM(AS141:AS142)</f>
        <v>844.8</v>
      </c>
      <c r="AT143" s="150">
        <f>SUM(AT141:AT142)</f>
        <v>-1220.5000000000002</v>
      </c>
      <c r="AU143" s="150">
        <f>SUM(AU141:AU142)</f>
        <v>-1300.8999999999996</v>
      </c>
      <c r="AV143" s="151">
        <f>SUM(AV141:AV142)</f>
        <v>-1979.8</v>
      </c>
      <c r="AW143" s="112">
        <f>DY143</f>
        <v>-3656.3999999999996</v>
      </c>
      <c r="AX143" s="149">
        <f t="shared" ref="AX143:BB143" si="197">SUM(AX141:AX142)</f>
        <v>-1534.7083333333335</v>
      </c>
      <c r="AY143" s="150">
        <f t="shared" si="197"/>
        <v>-1534.7083333333335</v>
      </c>
      <c r="AZ143" s="150">
        <f t="shared" si="197"/>
        <v>-1534.7083333333335</v>
      </c>
      <c r="BA143" s="151">
        <f t="shared" si="197"/>
        <v>-1534.7083333333333</v>
      </c>
      <c r="BB143" s="112">
        <f t="shared" si="197"/>
        <v>-6138.833333333333</v>
      </c>
      <c r="BC143" s="149">
        <f t="shared" ref="BC143:BL143" si="198">SUM(BC141:BC142)</f>
        <v>-1647.3333333333335</v>
      </c>
      <c r="BD143" s="150">
        <f t="shared" si="198"/>
        <v>-1647.3333333333335</v>
      </c>
      <c r="BE143" s="150">
        <f t="shared" si="198"/>
        <v>-1647.3333333333335</v>
      </c>
      <c r="BF143" s="151">
        <f t="shared" si="198"/>
        <v>-1647.3333333333333</v>
      </c>
      <c r="BG143" s="112">
        <f t="shared" si="198"/>
        <v>-6589.333333333333</v>
      </c>
      <c r="BH143" s="149">
        <f t="shared" si="198"/>
        <v>-1446.0833333333335</v>
      </c>
      <c r="BI143" s="150">
        <f t="shared" si="198"/>
        <v>-1446.0833333333335</v>
      </c>
      <c r="BJ143" s="150">
        <f t="shared" si="198"/>
        <v>-1446.0833333333335</v>
      </c>
      <c r="BK143" s="151">
        <f t="shared" si="198"/>
        <v>-1446.0833333333333</v>
      </c>
      <c r="BL143" s="112">
        <f t="shared" si="198"/>
        <v>-5784.333333333333</v>
      </c>
      <c r="BM143" s="149">
        <f>SUM(BM141:BM142)</f>
        <v>-2782.5</v>
      </c>
      <c r="BN143" s="150">
        <f>SUM(BN141:BN142)</f>
        <v>-1332.5</v>
      </c>
      <c r="BO143" s="150">
        <f>SUM(BO141:BO142)</f>
        <v>-1332.5</v>
      </c>
      <c r="BP143" s="151">
        <f>SUM(BP141:BP142)</f>
        <v>-1332.5</v>
      </c>
      <c r="BQ143" s="112">
        <f>SUM(BQ141:BQ142)</f>
        <v>-6780</v>
      </c>
      <c r="BR143" s="491"/>
      <c r="BS143" s="491"/>
      <c r="BT143" s="491"/>
      <c r="BU143" s="491"/>
      <c r="BV143" s="491"/>
      <c r="BW143" s="491"/>
      <c r="BX143" s="491"/>
      <c r="CG143" s="112">
        <f t="shared" ref="CG143:CS143" si="199">SUM(CG141:CG142)</f>
        <v>-727</v>
      </c>
      <c r="CH143" s="112">
        <f t="shared" si="199"/>
        <v>-1478</v>
      </c>
      <c r="CI143" s="112">
        <f t="shared" si="199"/>
        <v>-2097</v>
      </c>
      <c r="CJ143" s="112">
        <f t="shared" si="199"/>
        <v>-819</v>
      </c>
      <c r="CK143" s="112">
        <f t="shared" si="199"/>
        <v>-2916</v>
      </c>
      <c r="CL143" s="112">
        <f t="shared" si="199"/>
        <v>-430</v>
      </c>
      <c r="CM143" s="112">
        <f t="shared" si="199"/>
        <v>-992</v>
      </c>
      <c r="CN143" s="112">
        <f t="shared" si="199"/>
        <v>-1575</v>
      </c>
      <c r="CO143" s="112">
        <f t="shared" si="199"/>
        <v>-948</v>
      </c>
      <c r="CP143" s="112">
        <f t="shared" si="199"/>
        <v>-2523</v>
      </c>
      <c r="CQ143" s="112">
        <f t="shared" si="199"/>
        <v>-613</v>
      </c>
      <c r="CR143" s="112">
        <f t="shared" si="199"/>
        <v>-1280</v>
      </c>
      <c r="CS143" s="112">
        <f t="shared" si="199"/>
        <v>-1967</v>
      </c>
      <c r="CT143" s="112">
        <f t="shared" ref="CT143:DC143" si="200">SUM(CT141:CT142)</f>
        <v>-923</v>
      </c>
      <c r="CU143" s="112">
        <f t="shared" si="200"/>
        <v>-2890</v>
      </c>
      <c r="CV143" s="112">
        <f t="shared" si="200"/>
        <v>-792</v>
      </c>
      <c r="CW143" s="112">
        <f t="shared" si="200"/>
        <v>-1530</v>
      </c>
      <c r="CX143" s="112">
        <f t="shared" si="200"/>
        <v>-2281</v>
      </c>
      <c r="CY143" s="112">
        <f t="shared" si="200"/>
        <v>-1110</v>
      </c>
      <c r="CZ143" s="112">
        <f t="shared" si="200"/>
        <v>-3391</v>
      </c>
      <c r="DA143" s="112">
        <f t="shared" si="200"/>
        <v>-772</v>
      </c>
      <c r="DB143" s="112">
        <f t="shared" si="200"/>
        <v>-1643</v>
      </c>
      <c r="DC143" s="112">
        <f t="shared" si="200"/>
        <v>-2520</v>
      </c>
      <c r="DD143" s="112">
        <f t="shared" ref="DD143:DL143" si="201">SUM(DD141:DD142)</f>
        <v>-1298</v>
      </c>
      <c r="DE143" s="112">
        <f t="shared" si="201"/>
        <v>-3818</v>
      </c>
      <c r="DF143" s="112">
        <f t="shared" si="201"/>
        <v>-981</v>
      </c>
      <c r="DG143" s="112">
        <f t="shared" si="201"/>
        <v>-2068</v>
      </c>
      <c r="DH143" s="112">
        <f t="shared" si="201"/>
        <v>-3081</v>
      </c>
      <c r="DI143" s="112">
        <f t="shared" si="201"/>
        <v>-1325</v>
      </c>
      <c r="DJ143" s="112">
        <f t="shared" si="201"/>
        <v>-4406</v>
      </c>
      <c r="DK143" s="112">
        <f t="shared" si="201"/>
        <v>-1017</v>
      </c>
      <c r="DL143" s="112">
        <f t="shared" si="201"/>
        <v>-2190</v>
      </c>
      <c r="DM143" s="112">
        <f t="shared" ref="DM143:DR143" si="202">SUM(DM141:DM142)</f>
        <v>-3248</v>
      </c>
      <c r="DN143" s="112">
        <f t="shared" si="202"/>
        <v>-767.19999999999982</v>
      </c>
      <c r="DO143" s="1425">
        <f t="shared" si="202"/>
        <v>-4015.2</v>
      </c>
      <c r="DP143" s="112">
        <f t="shared" si="202"/>
        <v>-1138.3</v>
      </c>
      <c r="DQ143" s="112">
        <f t="shared" si="202"/>
        <v>-2299.7000000000003</v>
      </c>
      <c r="DR143" s="112">
        <f t="shared" si="202"/>
        <v>-3428.7000000000003</v>
      </c>
      <c r="DS143" s="112">
        <f t="shared" ref="DS143:DY143" si="203">SUM(DS141:DS142)</f>
        <v>-1560.4000000000005</v>
      </c>
      <c r="DT143" s="1425">
        <f t="shared" si="203"/>
        <v>-4989.1000000000004</v>
      </c>
      <c r="DU143" s="112">
        <f t="shared" si="203"/>
        <v>844.8</v>
      </c>
      <c r="DV143" s="112">
        <f t="shared" si="203"/>
        <v>-375.70000000000027</v>
      </c>
      <c r="DW143" s="112">
        <f t="shared" si="203"/>
        <v>-1676.6</v>
      </c>
      <c r="DX143" s="112">
        <f t="shared" si="203"/>
        <v>-1979.8</v>
      </c>
      <c r="DY143" s="1425">
        <f t="shared" si="203"/>
        <v>-3656.3999999999996</v>
      </c>
    </row>
    <row r="144" spans="2:129">
      <c r="D144" s="72"/>
      <c r="E144" s="148"/>
      <c r="F144" s="163"/>
      <c r="G144" s="163"/>
      <c r="H144" s="147"/>
      <c r="I144" s="72"/>
      <c r="J144" s="148"/>
      <c r="K144" s="163"/>
      <c r="L144" s="163"/>
      <c r="M144" s="147"/>
      <c r="N144" s="72"/>
      <c r="O144" s="148"/>
      <c r="P144" s="163"/>
      <c r="Q144" s="163"/>
      <c r="R144" s="147"/>
      <c r="S144" s="72"/>
      <c r="T144" s="148"/>
      <c r="U144" s="163"/>
      <c r="V144" s="163"/>
      <c r="W144" s="147"/>
      <c r="X144" s="72"/>
      <c r="Y144" s="148"/>
      <c r="Z144" s="163"/>
      <c r="AA144" s="163"/>
      <c r="AB144" s="147"/>
      <c r="AC144" s="72"/>
      <c r="AD144" s="148"/>
      <c r="AE144" s="163"/>
      <c r="AF144" s="163"/>
      <c r="AG144" s="147"/>
      <c r="AH144" s="72"/>
      <c r="AI144" s="148"/>
      <c r="AJ144" s="163"/>
      <c r="AK144" s="163"/>
      <c r="AL144" s="147"/>
      <c r="AM144" s="72"/>
      <c r="AN144" s="148"/>
      <c r="AO144" s="163"/>
      <c r="AP144" s="163"/>
      <c r="AQ144" s="147"/>
      <c r="AR144" s="72"/>
      <c r="AS144" s="148"/>
      <c r="AT144" s="163"/>
      <c r="AU144" s="163"/>
      <c r="AV144" s="147"/>
      <c r="AW144" s="72"/>
      <c r="AX144" s="148"/>
      <c r="AY144" s="163"/>
      <c r="AZ144" s="163"/>
      <c r="BA144" s="147"/>
      <c r="BB144" s="72"/>
      <c r="BC144" s="148"/>
      <c r="BD144" s="163"/>
      <c r="BE144" s="163"/>
      <c r="BF144" s="147"/>
      <c r="BG144" s="72"/>
      <c r="BH144" s="148"/>
      <c r="BI144" s="163"/>
      <c r="BJ144" s="163"/>
      <c r="BK144" s="147"/>
      <c r="BL144" s="72"/>
      <c r="BM144" s="148"/>
      <c r="BN144" s="163"/>
      <c r="BO144" s="163"/>
      <c r="BP144" s="147"/>
      <c r="BQ144" s="72"/>
      <c r="BR144" s="491"/>
      <c r="BS144" s="491"/>
      <c r="BT144" s="491"/>
      <c r="BU144" s="491"/>
      <c r="BV144" s="491"/>
      <c r="BW144" s="491"/>
      <c r="BX144" s="491"/>
      <c r="CG144" s="242"/>
      <c r="CH144" s="242"/>
      <c r="CI144" s="242"/>
      <c r="CJ144" s="242"/>
      <c r="CK144" s="242"/>
      <c r="CL144" s="242"/>
      <c r="CM144" s="242"/>
      <c r="CN144" s="242"/>
      <c r="CO144" s="242"/>
      <c r="CP144" s="242"/>
      <c r="CQ144" s="241"/>
      <c r="CR144" s="241"/>
      <c r="CS144" s="241"/>
      <c r="CT144" s="242"/>
      <c r="CU144" s="242"/>
      <c r="CV144" s="241"/>
      <c r="CW144" s="241"/>
      <c r="CX144" s="241"/>
      <c r="CY144" s="242"/>
      <c r="CZ144" s="242"/>
      <c r="DA144" s="241"/>
      <c r="DB144" s="241"/>
      <c r="DC144" s="241"/>
      <c r="DD144" s="242"/>
      <c r="DE144" s="242"/>
      <c r="DF144" s="241"/>
      <c r="DG144" s="241"/>
      <c r="DH144" s="241"/>
      <c r="DI144" s="242"/>
      <c r="DJ144" s="242"/>
      <c r="DK144" s="241"/>
      <c r="DL144" s="241"/>
      <c r="DM144" s="241"/>
      <c r="DN144" s="242"/>
      <c r="DO144" s="1519"/>
      <c r="DP144" s="241"/>
      <c r="DQ144" s="241"/>
      <c r="DR144" s="241"/>
      <c r="DS144" s="242"/>
      <c r="DT144" s="1519"/>
      <c r="DU144" s="241"/>
      <c r="DV144" s="241"/>
      <c r="DW144" s="241"/>
      <c r="DX144" s="242"/>
      <c r="DY144" s="1519"/>
    </row>
    <row r="145" spans="3:129">
      <c r="C145" s="50" t="s">
        <v>87</v>
      </c>
      <c r="D145" s="72"/>
      <c r="E145" s="161">
        <f>+CG145</f>
        <v>947</v>
      </c>
      <c r="F145" s="160">
        <f t="shared" ref="F145:G152" si="204">+CH145-CG145</f>
        <v>128</v>
      </c>
      <c r="G145" s="160">
        <f t="shared" si="204"/>
        <v>837</v>
      </c>
      <c r="H145" s="144">
        <f t="shared" ref="H145:H152" si="205">+I145-CI145</f>
        <v>394</v>
      </c>
      <c r="I145" s="72">
        <f t="shared" ref="I145:I153" si="206">CK145</f>
        <v>2306</v>
      </c>
      <c r="J145" s="148">
        <f t="shared" ref="J145:J152" si="207">+CL145</f>
        <v>652</v>
      </c>
      <c r="K145" s="146">
        <f t="shared" ref="K145:L152" si="208">+CM145-CL145</f>
        <v>509</v>
      </c>
      <c r="L145" s="146">
        <f t="shared" si="208"/>
        <v>40</v>
      </c>
      <c r="M145" s="147">
        <f t="shared" ref="M145:M152" si="209">+N145-CN145</f>
        <v>69</v>
      </c>
      <c r="N145" s="72">
        <f t="shared" ref="N145:N153" si="210">CP145</f>
        <v>1270</v>
      </c>
      <c r="O145" s="161">
        <f t="shared" ref="O145:O152" si="211">+CQ145</f>
        <v>1014</v>
      </c>
      <c r="P145" s="160">
        <f t="shared" ref="P145:Q152" si="212">+CR145-CQ145</f>
        <v>60</v>
      </c>
      <c r="Q145" s="146">
        <f t="shared" si="212"/>
        <v>44</v>
      </c>
      <c r="R145" s="147">
        <f t="shared" ref="R145:R152" si="213">+S145-CS145</f>
        <v>210</v>
      </c>
      <c r="S145" s="72">
        <f t="shared" ref="S145:S153" si="214">CU145</f>
        <v>1328</v>
      </c>
      <c r="T145" s="161">
        <f t="shared" ref="T145:T152" si="215">+CV145</f>
        <v>1132</v>
      </c>
      <c r="U145" s="160">
        <f t="shared" ref="U145:V152" si="216">+CW145-CV145</f>
        <v>129</v>
      </c>
      <c r="V145" s="160">
        <f t="shared" si="216"/>
        <v>339</v>
      </c>
      <c r="W145" s="147">
        <f t="shared" ref="W145:W152" si="217">+X145-CX145</f>
        <v>1256</v>
      </c>
      <c r="X145" s="72">
        <f t="shared" ref="X145:X153" si="218">CZ145</f>
        <v>2856</v>
      </c>
      <c r="Y145" s="161">
        <f t="shared" ref="Y145:Y152" si="219">+DA145</f>
        <v>671</v>
      </c>
      <c r="Z145" s="160">
        <f t="shared" ref="Z145:AA152" si="220">+DB145-DA145</f>
        <v>270</v>
      </c>
      <c r="AA145" s="160">
        <f t="shared" si="220"/>
        <v>1146</v>
      </c>
      <c r="AB145" s="147">
        <f t="shared" ref="AB145:AB152" si="221">+AC145-DC145</f>
        <v>1120</v>
      </c>
      <c r="AC145" s="72">
        <f t="shared" ref="AC145:AC153" si="222">DE145</f>
        <v>3207</v>
      </c>
      <c r="AD145" s="161">
        <f t="shared" ref="AD145:AD152" si="223">+DF145</f>
        <v>76</v>
      </c>
      <c r="AE145" s="160">
        <f t="shared" ref="AE145:AF152" si="224">+DG145-DF145</f>
        <v>863</v>
      </c>
      <c r="AF145" s="160">
        <f t="shared" si="224"/>
        <v>267</v>
      </c>
      <c r="AG145" s="147">
        <f t="shared" ref="AG145:AG152" si="225">+AH145-DH145</f>
        <v>861</v>
      </c>
      <c r="AH145" s="72">
        <f t="shared" ref="AH145:AH153" si="226">DJ145</f>
        <v>2067</v>
      </c>
      <c r="AI145" s="161">
        <f t="shared" ref="AI145:AI152" si="227">+DK145</f>
        <v>774</v>
      </c>
      <c r="AJ145" s="160">
        <f t="shared" ref="AJ145:AJ152" si="228">+DL145-DK145</f>
        <v>1829</v>
      </c>
      <c r="AK145" s="160">
        <f t="shared" ref="AK145:AK152" si="229">+DM145-DL145</f>
        <v>328</v>
      </c>
      <c r="AL145" s="147">
        <f t="shared" ref="AL145:AL152" si="230">+AM145-DM145</f>
        <v>505.59999999999991</v>
      </c>
      <c r="AM145" s="72">
        <f t="shared" ref="AM145:AM153" si="231">DO145</f>
        <v>3436.6</v>
      </c>
      <c r="AN145" s="161">
        <f t="shared" ref="AN145:AN152" si="232">+DP145</f>
        <v>525.1</v>
      </c>
      <c r="AO145" s="160">
        <f t="shared" ref="AO145:AP152" si="233">+DQ145-DP145</f>
        <v>218.29999999999995</v>
      </c>
      <c r="AP145" s="160">
        <f t="shared" si="233"/>
        <v>816.19999999999993</v>
      </c>
      <c r="AQ145" s="147">
        <f t="shared" ref="AQ145:AQ152" si="234">+AR145-DR145</f>
        <v>1035.3000000000002</v>
      </c>
      <c r="AR145" s="72">
        <f>DT145</f>
        <v>2594.9</v>
      </c>
      <c r="AS145" s="161">
        <f t="shared" ref="AS145:AS152" si="235">+DU145</f>
        <v>82.9</v>
      </c>
      <c r="AT145" s="160">
        <f t="shared" ref="AT145:AT152" si="236">+DV145-DU145</f>
        <v>967.1</v>
      </c>
      <c r="AU145" s="160">
        <f t="shared" ref="AU145:AU152" si="237">+DW145-DV145</f>
        <v>1692.6999999999998</v>
      </c>
      <c r="AV145" s="147">
        <f t="shared" ref="AV145:AV152" si="238">+AW145-DW145</f>
        <v>1111.4000000000001</v>
      </c>
      <c r="AW145" s="72">
        <f>DY145</f>
        <v>3854.1</v>
      </c>
      <c r="AX145" s="148">
        <f>+AX106</f>
        <v>0</v>
      </c>
      <c r="AY145" s="146">
        <f>+AY106</f>
        <v>2332.7076957960949</v>
      </c>
      <c r="AZ145" s="146">
        <f>+AZ106</f>
        <v>1810</v>
      </c>
      <c r="BA145" s="147">
        <f>+BA106</f>
        <v>825</v>
      </c>
      <c r="BB145" s="72">
        <f>SUM(AX145:BA145)</f>
        <v>4967.7076957960944</v>
      </c>
      <c r="BC145" s="148">
        <f>+BC106</f>
        <v>0</v>
      </c>
      <c r="BD145" s="146">
        <f>+BD106</f>
        <v>0</v>
      </c>
      <c r="BE145" s="146">
        <f>+BE106</f>
        <v>5899.6071560574965</v>
      </c>
      <c r="BF145" s="147">
        <f>+BF106</f>
        <v>0</v>
      </c>
      <c r="BG145" s="72">
        <f>SUM(BC145:BF145)</f>
        <v>5899.6071560574965</v>
      </c>
      <c r="BH145" s="148">
        <f>+BH106</f>
        <v>1020</v>
      </c>
      <c r="BI145" s="146">
        <f>+BI106</f>
        <v>0</v>
      </c>
      <c r="BJ145" s="146">
        <f>+BJ106</f>
        <v>1652.5009312114989</v>
      </c>
      <c r="BK145" s="147">
        <f>+BK106</f>
        <v>0</v>
      </c>
      <c r="BL145" s="72">
        <f>SUM(BH145:BK145)</f>
        <v>2672.5009312114989</v>
      </c>
      <c r="BM145" s="148">
        <f>+BM106</f>
        <v>0</v>
      </c>
      <c r="BN145" s="146">
        <f>+BN106</f>
        <v>0</v>
      </c>
      <c r="BO145" s="146">
        <f>+BO106</f>
        <v>4233.1441971252571</v>
      </c>
      <c r="BP145" s="147">
        <f>+BP106</f>
        <v>0</v>
      </c>
      <c r="BQ145" s="72">
        <f>SUM(BM145:BP145)</f>
        <v>4233.1441971252571</v>
      </c>
      <c r="BR145" s="491"/>
      <c r="BS145" s="491"/>
      <c r="BT145" s="491"/>
      <c r="BU145" s="491"/>
      <c r="BV145" s="491"/>
      <c r="BW145" s="491"/>
      <c r="BX145" s="491"/>
      <c r="CG145" s="145">
        <v>947</v>
      </c>
      <c r="CH145" s="145">
        <v>1075</v>
      </c>
      <c r="CI145" s="145">
        <v>1912</v>
      </c>
      <c r="CJ145" s="109">
        <f t="shared" ref="CJ145:CJ152" si="239">CK145-CI145</f>
        <v>394</v>
      </c>
      <c r="CK145" s="145">
        <v>2306</v>
      </c>
      <c r="CL145" s="145">
        <v>652</v>
      </c>
      <c r="CM145" s="145">
        <v>1161</v>
      </c>
      <c r="CN145" s="145">
        <v>1201</v>
      </c>
      <c r="CO145" s="109">
        <f t="shared" ref="CO145:CO152" si="240">CP145-CN145</f>
        <v>69</v>
      </c>
      <c r="CP145" s="145">
        <v>1270</v>
      </c>
      <c r="CQ145" s="145">
        <v>1014</v>
      </c>
      <c r="CR145" s="145">
        <v>1074</v>
      </c>
      <c r="CS145" s="145">
        <v>1118</v>
      </c>
      <c r="CT145" s="109">
        <f t="shared" ref="CT145:CT152" si="241">CU145-CS145</f>
        <v>210</v>
      </c>
      <c r="CU145" s="145">
        <v>1328</v>
      </c>
      <c r="CV145" s="145">
        <v>1132</v>
      </c>
      <c r="CW145" s="145">
        <v>1261</v>
      </c>
      <c r="CX145" s="145">
        <v>1600</v>
      </c>
      <c r="CY145" s="109">
        <f t="shared" ref="CY145:CY152" si="242">CZ145-CX145</f>
        <v>1256</v>
      </c>
      <c r="CZ145" s="145">
        <v>2856</v>
      </c>
      <c r="DA145" s="145">
        <v>671</v>
      </c>
      <c r="DB145" s="145">
        <v>941</v>
      </c>
      <c r="DC145" s="145">
        <v>2087</v>
      </c>
      <c r="DD145" s="109">
        <f t="shared" ref="DD145:DD152" si="243">DE145-DC145</f>
        <v>1120</v>
      </c>
      <c r="DE145" s="145">
        <v>3207</v>
      </c>
      <c r="DF145" s="145">
        <v>76</v>
      </c>
      <c r="DG145" s="145">
        <v>939</v>
      </c>
      <c r="DH145" s="145">
        <v>1206</v>
      </c>
      <c r="DI145" s="109">
        <f t="shared" ref="DI145:DI152" si="244">DJ145-DH145</f>
        <v>861</v>
      </c>
      <c r="DJ145" s="145">
        <v>2067</v>
      </c>
      <c r="DK145" s="145">
        <v>774</v>
      </c>
      <c r="DL145" s="145">
        <v>2603</v>
      </c>
      <c r="DM145" s="145">
        <v>2931</v>
      </c>
      <c r="DN145" s="109">
        <f t="shared" ref="DN145:DN152" si="245">DO145-DM145</f>
        <v>505.59999999999991</v>
      </c>
      <c r="DO145" s="1424">
        <v>3436.6</v>
      </c>
      <c r="DP145" s="145">
        <v>525.1</v>
      </c>
      <c r="DQ145" s="145">
        <v>743.4</v>
      </c>
      <c r="DR145" s="145">
        <v>1559.6</v>
      </c>
      <c r="DS145" s="109">
        <f t="shared" ref="DS145:DS152" si="246">DT145-DR145</f>
        <v>1035.3000000000002</v>
      </c>
      <c r="DT145" s="1424">
        <v>2594.9</v>
      </c>
      <c r="DU145" s="145">
        <v>82.9</v>
      </c>
      <c r="DV145" s="145">
        <v>1050</v>
      </c>
      <c r="DW145" s="145">
        <v>2742.7</v>
      </c>
      <c r="DX145" s="109">
        <f t="shared" ref="DX145:DX152" si="247">DY145-DW145</f>
        <v>1111.4000000000001</v>
      </c>
      <c r="DY145" s="1424">
        <v>3854.1</v>
      </c>
    </row>
    <row r="146" spans="3:129">
      <c r="C146" s="50" t="s">
        <v>88</v>
      </c>
      <c r="D146" s="72"/>
      <c r="E146" s="161">
        <f t="shared" ref="E146:E152" si="248">+CG146</f>
        <v>-116</v>
      </c>
      <c r="F146" s="160">
        <f t="shared" si="204"/>
        <v>-298</v>
      </c>
      <c r="G146" s="160">
        <f t="shared" si="204"/>
        <v>-307</v>
      </c>
      <c r="H146" s="144">
        <f t="shared" si="205"/>
        <v>-177</v>
      </c>
      <c r="I146" s="72">
        <f t="shared" si="206"/>
        <v>-898</v>
      </c>
      <c r="J146" s="148">
        <f t="shared" si="207"/>
        <v>-662</v>
      </c>
      <c r="K146" s="146">
        <f t="shared" si="208"/>
        <v>-728</v>
      </c>
      <c r="L146" s="146">
        <f t="shared" si="208"/>
        <v>-138</v>
      </c>
      <c r="M146" s="147">
        <f t="shared" si="209"/>
        <v>-560</v>
      </c>
      <c r="N146" s="72">
        <f t="shared" si="210"/>
        <v>-2088</v>
      </c>
      <c r="O146" s="161">
        <f t="shared" si="211"/>
        <v>-794</v>
      </c>
      <c r="P146" s="160">
        <f t="shared" si="212"/>
        <v>-504</v>
      </c>
      <c r="Q146" s="146">
        <f t="shared" si="212"/>
        <v>-275</v>
      </c>
      <c r="R146" s="147">
        <f t="shared" si="213"/>
        <v>-163</v>
      </c>
      <c r="S146" s="72">
        <f t="shared" si="214"/>
        <v>-1736</v>
      </c>
      <c r="T146" s="161">
        <f t="shared" si="215"/>
        <v>-357</v>
      </c>
      <c r="U146" s="160">
        <f t="shared" si="216"/>
        <v>-166</v>
      </c>
      <c r="V146" s="160">
        <f t="shared" si="216"/>
        <v>-434</v>
      </c>
      <c r="W146" s="147">
        <f t="shared" si="217"/>
        <v>-757</v>
      </c>
      <c r="X146" s="72">
        <f t="shared" si="218"/>
        <v>-1714</v>
      </c>
      <c r="Y146" s="161">
        <f t="shared" si="219"/>
        <v>-874</v>
      </c>
      <c r="Z146" s="160">
        <f t="shared" si="220"/>
        <v>-232</v>
      </c>
      <c r="AA146" s="160">
        <f t="shared" si="220"/>
        <v>-1228</v>
      </c>
      <c r="AB146" s="147">
        <f t="shared" si="221"/>
        <v>-346</v>
      </c>
      <c r="AC146" s="72">
        <f t="shared" si="222"/>
        <v>-2680</v>
      </c>
      <c r="AD146" s="161">
        <f t="shared" si="223"/>
        <v>-403</v>
      </c>
      <c r="AE146" s="160">
        <f t="shared" si="224"/>
        <v>-862</v>
      </c>
      <c r="AF146" s="160">
        <f t="shared" si="224"/>
        <v>-364</v>
      </c>
      <c r="AG146" s="147">
        <f t="shared" si="225"/>
        <v>-271</v>
      </c>
      <c r="AH146" s="72">
        <f t="shared" si="226"/>
        <v>-1900</v>
      </c>
      <c r="AI146" s="161">
        <f t="shared" si="227"/>
        <v>-270</v>
      </c>
      <c r="AJ146" s="160">
        <f t="shared" si="228"/>
        <v>-1514</v>
      </c>
      <c r="AK146" s="160">
        <f t="shared" si="229"/>
        <v>-421</v>
      </c>
      <c r="AL146" s="147">
        <f t="shared" si="230"/>
        <v>-384.59999999999991</v>
      </c>
      <c r="AM146" s="72">
        <f>DO146</f>
        <v>-2589.6</v>
      </c>
      <c r="AN146" s="161">
        <f t="shared" si="232"/>
        <v>-347.29999999999995</v>
      </c>
      <c r="AO146" s="160">
        <f t="shared" si="233"/>
        <v>-487.80000000000007</v>
      </c>
      <c r="AP146" s="160">
        <f t="shared" si="233"/>
        <v>-554.4</v>
      </c>
      <c r="AQ146" s="147">
        <f t="shared" si="234"/>
        <v>-512</v>
      </c>
      <c r="AR146" s="72">
        <f>DT146</f>
        <v>-1901.5</v>
      </c>
      <c r="AS146" s="161">
        <f t="shared" si="235"/>
        <v>-1303.8</v>
      </c>
      <c r="AT146" s="160">
        <f t="shared" si="236"/>
        <v>-673.7</v>
      </c>
      <c r="AU146" s="160">
        <f t="shared" si="237"/>
        <v>-546.29999999999973</v>
      </c>
      <c r="AV146" s="147">
        <f t="shared" si="238"/>
        <v>-564.10000000000036</v>
      </c>
      <c r="AW146" s="72">
        <f>DY146</f>
        <v>-3087.9</v>
      </c>
      <c r="AX146" s="148">
        <f>AX107</f>
        <v>-451.66203899999999</v>
      </c>
      <c r="AY146" s="146">
        <f>AY107</f>
        <v>-580</v>
      </c>
      <c r="AZ146" s="146">
        <f>AZ107</f>
        <v>0</v>
      </c>
      <c r="BA146" s="147">
        <f>BA107</f>
        <v>-250</v>
      </c>
      <c r="BB146" s="72">
        <f>SUM(AX146:BA146)</f>
        <v>-1281.662039</v>
      </c>
      <c r="BC146" s="148">
        <f>BC107</f>
        <v>-928.5</v>
      </c>
      <c r="BD146" s="146">
        <f>BD107</f>
        <v>-152.55974000000001</v>
      </c>
      <c r="BE146" s="146">
        <f>BE107</f>
        <v>-294.878311</v>
      </c>
      <c r="BF146" s="147">
        <f>BF107</f>
        <v>-476.29063500000001</v>
      </c>
      <c r="BG146" s="72">
        <f>SUM(BC146:BF146)</f>
        <v>-1852.2286859999999</v>
      </c>
      <c r="BH146" s="148">
        <f>BH107</f>
        <v>0</v>
      </c>
      <c r="BI146" s="146">
        <f>BI107</f>
        <v>-332.12924299999997</v>
      </c>
      <c r="BJ146" s="146">
        <f>BJ107</f>
        <v>-494.7</v>
      </c>
      <c r="BK146" s="147">
        <f>BK107</f>
        <v>-42.767795999999997</v>
      </c>
      <c r="BL146" s="72">
        <f>SUM(BH146:BK146)</f>
        <v>-869.59703899999988</v>
      </c>
      <c r="BM146" s="148">
        <f>BM107</f>
        <v>-652</v>
      </c>
      <c r="BN146" s="146">
        <f>BN107</f>
        <v>-133.81298200000001</v>
      </c>
      <c r="BO146" s="146">
        <f>BO107</f>
        <v>0</v>
      </c>
      <c r="BP146" s="147">
        <f>BP107</f>
        <v>-567.5</v>
      </c>
      <c r="BQ146" s="72">
        <f>SUM(BM146:BP146)</f>
        <v>-1353.3129819999999</v>
      </c>
      <c r="BR146" s="491"/>
      <c r="BS146" s="491"/>
      <c r="BT146" s="491"/>
      <c r="BU146" s="491"/>
      <c r="BV146" s="491"/>
      <c r="BW146" s="491"/>
      <c r="BX146" s="491"/>
      <c r="CG146" s="145">
        <f>-93-23</f>
        <v>-116</v>
      </c>
      <c r="CH146" s="145">
        <f>-372-42</f>
        <v>-414</v>
      </c>
      <c r="CI146" s="145">
        <f>-659-62</f>
        <v>-721</v>
      </c>
      <c r="CJ146" s="109">
        <f t="shared" si="239"/>
        <v>-177</v>
      </c>
      <c r="CK146" s="145">
        <f>-816-82</f>
        <v>-898</v>
      </c>
      <c r="CL146" s="145">
        <f>-638-24</f>
        <v>-662</v>
      </c>
      <c r="CM146" s="145">
        <f>-1341-49</f>
        <v>-1390</v>
      </c>
      <c r="CN146" s="145">
        <f>-1454-74</f>
        <v>-1528</v>
      </c>
      <c r="CO146" s="109">
        <f t="shared" si="240"/>
        <v>-560</v>
      </c>
      <c r="CP146" s="145">
        <f>-1993-95</f>
        <v>-2088</v>
      </c>
      <c r="CQ146" s="145">
        <f>-777-17</f>
        <v>-794</v>
      </c>
      <c r="CR146" s="145">
        <f>-1263-35</f>
        <v>-1298</v>
      </c>
      <c r="CS146" s="145">
        <f>-1520-53</f>
        <v>-1573</v>
      </c>
      <c r="CT146" s="109">
        <f t="shared" si="241"/>
        <v>-163</v>
      </c>
      <c r="CU146" s="145">
        <f>-1665-71</f>
        <v>-1736</v>
      </c>
      <c r="CV146" s="145">
        <f>-339-18</f>
        <v>-357</v>
      </c>
      <c r="CW146" s="145">
        <f>-487-36</f>
        <v>-523</v>
      </c>
      <c r="CX146" s="145">
        <f>-904-53</f>
        <v>-957</v>
      </c>
      <c r="CY146" s="109">
        <f t="shared" si="242"/>
        <v>-757</v>
      </c>
      <c r="CZ146" s="145">
        <f>-1643-71</f>
        <v>-1714</v>
      </c>
      <c r="DA146" s="145">
        <f>-858-16</f>
        <v>-874</v>
      </c>
      <c r="DB146" s="145">
        <f>-1073-33</f>
        <v>-1106</v>
      </c>
      <c r="DC146" s="145">
        <f>-2281-53</f>
        <v>-2334</v>
      </c>
      <c r="DD146" s="109">
        <f t="shared" si="243"/>
        <v>-346</v>
      </c>
      <c r="DE146" s="145">
        <f>-2598-82</f>
        <v>-2680</v>
      </c>
      <c r="DF146" s="145">
        <f>-370-33</f>
        <v>-403</v>
      </c>
      <c r="DG146" s="145">
        <f>-1205-60</f>
        <v>-1265</v>
      </c>
      <c r="DH146" s="145">
        <f>-1538-91</f>
        <v>-1629</v>
      </c>
      <c r="DI146" s="109">
        <f t="shared" si="244"/>
        <v>-271</v>
      </c>
      <c r="DJ146" s="145">
        <f>-1780-120</f>
        <v>-1900</v>
      </c>
      <c r="DK146" s="145">
        <f>-239-31</f>
        <v>-270</v>
      </c>
      <c r="DL146" s="145">
        <f>-1727-57</f>
        <v>-1784</v>
      </c>
      <c r="DM146" s="145">
        <f>-2131-74</f>
        <v>-2205</v>
      </c>
      <c r="DN146" s="109">
        <f t="shared" si="245"/>
        <v>-384.59999999999991</v>
      </c>
      <c r="DO146" s="1424">
        <f>-2397.9-92.7-99</f>
        <v>-2589.6</v>
      </c>
      <c r="DP146" s="145">
        <f>-322.4-24.9</f>
        <v>-347.29999999999995</v>
      </c>
      <c r="DQ146" s="145">
        <f>-784.1-51</f>
        <v>-835.1</v>
      </c>
      <c r="DR146" s="145">
        <f>-1307.6-81.9</f>
        <v>-1389.5</v>
      </c>
      <c r="DS146" s="109">
        <f t="shared" si="246"/>
        <v>-512</v>
      </c>
      <c r="DT146" s="1424">
        <f>-1794.9-106.6</f>
        <v>-1901.5</v>
      </c>
      <c r="DU146" s="145">
        <f>-1242.3-44.9-16.6</f>
        <v>-1303.8</v>
      </c>
      <c r="DV146" s="145">
        <f>-1899.3-33.3-44.9</f>
        <v>-1977.5</v>
      </c>
      <c r="DW146" s="145">
        <f>-2427.2-46.1-50.5</f>
        <v>-2523.7999999999997</v>
      </c>
      <c r="DX146" s="109">
        <f t="shared" si="247"/>
        <v>-564.10000000000036</v>
      </c>
      <c r="DY146" s="1424">
        <v>-3087.9</v>
      </c>
    </row>
    <row r="147" spans="3:129">
      <c r="C147" s="50" t="s">
        <v>361</v>
      </c>
      <c r="D147" s="72"/>
      <c r="E147" s="161">
        <f>+CG147</f>
        <v>0</v>
      </c>
      <c r="F147" s="160">
        <f>+CH147-CG147</f>
        <v>-1742</v>
      </c>
      <c r="G147" s="160">
        <f>+CI147-CH147</f>
        <v>-229</v>
      </c>
      <c r="H147" s="144">
        <f t="shared" si="205"/>
        <v>2</v>
      </c>
      <c r="I147" s="72">
        <f>CK147</f>
        <v>-1969</v>
      </c>
      <c r="J147" s="148">
        <f>+CL147</f>
        <v>7</v>
      </c>
      <c r="K147" s="146">
        <f>+CM147-CL147</f>
        <v>-6</v>
      </c>
      <c r="L147" s="146">
        <f>+CN147-CM147</f>
        <v>116</v>
      </c>
      <c r="M147" s="147">
        <f t="shared" si="209"/>
        <v>333</v>
      </c>
      <c r="N147" s="72">
        <f>CP147</f>
        <v>450</v>
      </c>
      <c r="O147" s="161">
        <f>+CQ147</f>
        <v>-157</v>
      </c>
      <c r="P147" s="160">
        <f>+CR147-CQ147</f>
        <v>-116</v>
      </c>
      <c r="Q147" s="146">
        <f>+CS147-CR147</f>
        <v>-84</v>
      </c>
      <c r="R147" s="147">
        <f t="shared" si="213"/>
        <v>-83</v>
      </c>
      <c r="S147" s="72">
        <f t="shared" si="214"/>
        <v>-440</v>
      </c>
      <c r="T147" s="161">
        <f t="shared" si="215"/>
        <v>-17</v>
      </c>
      <c r="U147" s="160">
        <f t="shared" si="216"/>
        <v>0</v>
      </c>
      <c r="V147" s="160">
        <f t="shared" si="216"/>
        <v>0</v>
      </c>
      <c r="W147" s="147">
        <f t="shared" si="217"/>
        <v>2</v>
      </c>
      <c r="X147" s="72">
        <f t="shared" si="218"/>
        <v>-15</v>
      </c>
      <c r="Y147" s="161">
        <f t="shared" si="219"/>
        <v>-3</v>
      </c>
      <c r="Z147" s="160">
        <f t="shared" si="220"/>
        <v>0</v>
      </c>
      <c r="AA147" s="160">
        <f t="shared" si="220"/>
        <v>0</v>
      </c>
      <c r="AB147" s="147">
        <f t="shared" si="221"/>
        <v>20</v>
      </c>
      <c r="AC147" s="72">
        <f t="shared" si="222"/>
        <v>17</v>
      </c>
      <c r="AD147" s="161">
        <f t="shared" si="223"/>
        <v>0</v>
      </c>
      <c r="AE147" s="160">
        <f t="shared" si="224"/>
        <v>0</v>
      </c>
      <c r="AF147" s="160">
        <f t="shared" si="224"/>
        <v>0</v>
      </c>
      <c r="AG147" s="147">
        <f t="shared" si="225"/>
        <v>0</v>
      </c>
      <c r="AH147" s="72">
        <f t="shared" si="226"/>
        <v>0</v>
      </c>
      <c r="AI147" s="161">
        <f t="shared" si="227"/>
        <v>0</v>
      </c>
      <c r="AJ147" s="160">
        <f t="shared" si="228"/>
        <v>0</v>
      </c>
      <c r="AK147" s="160">
        <f t="shared" si="229"/>
        <v>0</v>
      </c>
      <c r="AL147" s="147">
        <f t="shared" si="230"/>
        <v>0</v>
      </c>
      <c r="AM147" s="72">
        <f t="shared" si="231"/>
        <v>0</v>
      </c>
      <c r="AN147" s="161">
        <f t="shared" si="232"/>
        <v>0</v>
      </c>
      <c r="AO147" s="160">
        <f t="shared" si="233"/>
        <v>0</v>
      </c>
      <c r="AP147" s="160">
        <f t="shared" si="233"/>
        <v>0</v>
      </c>
      <c r="AQ147" s="147">
        <f t="shared" si="234"/>
        <v>0</v>
      </c>
      <c r="AR147" s="72">
        <f t="shared" ref="AR147:AR153" si="249">DT147</f>
        <v>0</v>
      </c>
      <c r="AS147" s="161">
        <f t="shared" si="235"/>
        <v>0</v>
      </c>
      <c r="AT147" s="160">
        <f t="shared" si="236"/>
        <v>0</v>
      </c>
      <c r="AU147" s="160">
        <f t="shared" si="237"/>
        <v>0</v>
      </c>
      <c r="AV147" s="147">
        <f t="shared" si="238"/>
        <v>0</v>
      </c>
      <c r="AW147" s="72">
        <f t="shared" ref="AW147:AW153" si="250">DY147</f>
        <v>0</v>
      </c>
      <c r="AX147" s="171">
        <v>0</v>
      </c>
      <c r="AY147" s="243">
        <v>0</v>
      </c>
      <c r="AZ147" s="243">
        <v>0</v>
      </c>
      <c r="BA147" s="173">
        <v>0</v>
      </c>
      <c r="BB147" s="109">
        <f>SUM(AX147:BA147)</f>
        <v>0</v>
      </c>
      <c r="BC147" s="171">
        <v>0</v>
      </c>
      <c r="BD147" s="243">
        <v>0</v>
      </c>
      <c r="BE147" s="243">
        <v>0</v>
      </c>
      <c r="BF147" s="173">
        <v>0</v>
      </c>
      <c r="BG147" s="109">
        <f>SUM(BC147:BF147)</f>
        <v>0</v>
      </c>
      <c r="BH147" s="171">
        <v>0</v>
      </c>
      <c r="BI147" s="243">
        <v>0</v>
      </c>
      <c r="BJ147" s="243">
        <v>0</v>
      </c>
      <c r="BK147" s="173">
        <v>0</v>
      </c>
      <c r="BL147" s="109">
        <f>SUM(BH147:BK147)</f>
        <v>0</v>
      </c>
      <c r="BM147" s="171">
        <v>0</v>
      </c>
      <c r="BN147" s="243">
        <v>0</v>
      </c>
      <c r="BO147" s="243">
        <v>0</v>
      </c>
      <c r="BP147" s="173">
        <v>0</v>
      </c>
      <c r="BQ147" s="109">
        <f>SUM(BM147:BP147)</f>
        <v>0</v>
      </c>
      <c r="BR147" s="491"/>
      <c r="BS147" s="491"/>
      <c r="BT147" s="491"/>
      <c r="BU147" s="491"/>
      <c r="BV147" s="491"/>
      <c r="BW147" s="491"/>
      <c r="BX147" s="491"/>
      <c r="CG147" s="145">
        <f>28-28</f>
        <v>0</v>
      </c>
      <c r="CH147" s="145">
        <f>59-1801</f>
        <v>-1742</v>
      </c>
      <c r="CI147" s="145">
        <f>90-2061</f>
        <v>-1971</v>
      </c>
      <c r="CJ147" s="109">
        <f>CK147-CI147</f>
        <v>2</v>
      </c>
      <c r="CK147" s="145">
        <f>127-2096</f>
        <v>-1969</v>
      </c>
      <c r="CL147" s="145">
        <f>-17+24</f>
        <v>7</v>
      </c>
      <c r="CM147" s="145">
        <f>-49+50</f>
        <v>1</v>
      </c>
      <c r="CN147" s="145">
        <f>195-78</f>
        <v>117</v>
      </c>
      <c r="CO147" s="109">
        <f>CP147-CN147</f>
        <v>333</v>
      </c>
      <c r="CP147" s="145">
        <f>565-115</f>
        <v>450</v>
      </c>
      <c r="CQ147" s="145">
        <f>318-475</f>
        <v>-157</v>
      </c>
      <c r="CR147" s="145">
        <f>-630+357</f>
        <v>-273</v>
      </c>
      <c r="CS147" s="145">
        <f>462-819</f>
        <v>-357</v>
      </c>
      <c r="CT147" s="109">
        <f t="shared" si="241"/>
        <v>-83</v>
      </c>
      <c r="CU147" s="145">
        <f>488-928</f>
        <v>-440</v>
      </c>
      <c r="CV147" s="145">
        <f>21-38</f>
        <v>-17</v>
      </c>
      <c r="CW147" s="145">
        <f>21-38</f>
        <v>-17</v>
      </c>
      <c r="CX147" s="145">
        <f>21-38</f>
        <v>-17</v>
      </c>
      <c r="CY147" s="109">
        <f t="shared" si="242"/>
        <v>2</v>
      </c>
      <c r="CZ147" s="145">
        <f>25-40</f>
        <v>-15</v>
      </c>
      <c r="DA147" s="145">
        <f>17-20</f>
        <v>-3</v>
      </c>
      <c r="DB147" s="145">
        <f>17-20</f>
        <v>-3</v>
      </c>
      <c r="DC147" s="145">
        <f>17-20</f>
        <v>-3</v>
      </c>
      <c r="DD147" s="109">
        <f t="shared" si="243"/>
        <v>20</v>
      </c>
      <c r="DE147" s="145">
        <v>17</v>
      </c>
      <c r="DF147" s="145">
        <v>0</v>
      </c>
      <c r="DG147" s="145">
        <v>0</v>
      </c>
      <c r="DH147" s="145">
        <v>0</v>
      </c>
      <c r="DI147" s="109">
        <f t="shared" si="244"/>
        <v>0</v>
      </c>
      <c r="DJ147" s="145">
        <v>0</v>
      </c>
      <c r="DK147" s="145">
        <v>0</v>
      </c>
      <c r="DL147" s="145">
        <v>0</v>
      </c>
      <c r="DM147" s="145">
        <v>0</v>
      </c>
      <c r="DN147" s="109">
        <f t="shared" si="245"/>
        <v>0</v>
      </c>
      <c r="DO147" s="1424">
        <v>0</v>
      </c>
      <c r="DP147" s="145">
        <v>0</v>
      </c>
      <c r="DQ147" s="145">
        <v>0</v>
      </c>
      <c r="DR147" s="145">
        <v>0</v>
      </c>
      <c r="DS147" s="109">
        <f t="shared" si="246"/>
        <v>0</v>
      </c>
      <c r="DT147" s="1424">
        <v>0</v>
      </c>
      <c r="DU147" s="145">
        <v>0</v>
      </c>
      <c r="DV147" s="145">
        <v>0</v>
      </c>
      <c r="DW147" s="145">
        <v>0</v>
      </c>
      <c r="DX147" s="109">
        <f t="shared" si="247"/>
        <v>0</v>
      </c>
      <c r="DY147" s="1424">
        <v>0</v>
      </c>
    </row>
    <row r="148" spans="3:129">
      <c r="C148" t="s">
        <v>89</v>
      </c>
      <c r="D148" s="72"/>
      <c r="E148" s="161">
        <f t="shared" si="248"/>
        <v>0</v>
      </c>
      <c r="F148" s="160">
        <f t="shared" si="204"/>
        <v>328</v>
      </c>
      <c r="G148" s="160">
        <f t="shared" si="204"/>
        <v>19</v>
      </c>
      <c r="H148" s="144">
        <f t="shared" si="205"/>
        <v>-228</v>
      </c>
      <c r="I148" s="72">
        <f t="shared" si="206"/>
        <v>119</v>
      </c>
      <c r="J148" s="148">
        <f t="shared" si="207"/>
        <v>931</v>
      </c>
      <c r="K148" s="146">
        <f t="shared" si="208"/>
        <v>414</v>
      </c>
      <c r="L148" s="146">
        <f t="shared" si="208"/>
        <v>-122</v>
      </c>
      <c r="M148" s="147">
        <f t="shared" si="209"/>
        <v>-453</v>
      </c>
      <c r="N148" s="72">
        <f t="shared" si="210"/>
        <v>770</v>
      </c>
      <c r="O148" s="161">
        <f t="shared" si="211"/>
        <v>244</v>
      </c>
      <c r="P148" s="160">
        <f t="shared" si="212"/>
        <v>322</v>
      </c>
      <c r="Q148" s="146">
        <f t="shared" si="212"/>
        <v>-276</v>
      </c>
      <c r="R148" s="147">
        <f t="shared" si="213"/>
        <v>454</v>
      </c>
      <c r="S148" s="72">
        <f t="shared" si="214"/>
        <v>744</v>
      </c>
      <c r="T148" s="161">
        <f t="shared" si="215"/>
        <v>-583</v>
      </c>
      <c r="U148" s="160">
        <f t="shared" si="216"/>
        <v>158</v>
      </c>
      <c r="V148" s="160">
        <f t="shared" si="216"/>
        <v>8</v>
      </c>
      <c r="W148" s="147">
        <f t="shared" si="217"/>
        <v>-237</v>
      </c>
      <c r="X148" s="72">
        <f t="shared" si="218"/>
        <v>-654</v>
      </c>
      <c r="Y148" s="161">
        <f t="shared" si="219"/>
        <v>329</v>
      </c>
      <c r="Z148" s="160">
        <f t="shared" si="220"/>
        <v>231</v>
      </c>
      <c r="AA148" s="160">
        <f t="shared" si="220"/>
        <v>-320</v>
      </c>
      <c r="AB148" s="147">
        <f t="shared" si="221"/>
        <v>-481</v>
      </c>
      <c r="AC148" s="72">
        <f t="shared" si="222"/>
        <v>-241</v>
      </c>
      <c r="AD148" s="161">
        <f t="shared" si="223"/>
        <v>575</v>
      </c>
      <c r="AE148" s="160">
        <f t="shared" si="224"/>
        <v>150</v>
      </c>
      <c r="AF148" s="160">
        <f t="shared" si="224"/>
        <v>-200</v>
      </c>
      <c r="AG148" s="147">
        <f t="shared" si="225"/>
        <v>64</v>
      </c>
      <c r="AH148" s="72">
        <f t="shared" si="226"/>
        <v>589</v>
      </c>
      <c r="AI148" s="161">
        <f t="shared" si="227"/>
        <v>-491</v>
      </c>
      <c r="AJ148" s="160">
        <f t="shared" si="228"/>
        <v>250</v>
      </c>
      <c r="AK148" s="160">
        <f t="shared" si="229"/>
        <v>-323</v>
      </c>
      <c r="AL148" s="147">
        <f t="shared" si="230"/>
        <v>18</v>
      </c>
      <c r="AM148" s="72">
        <f t="shared" si="231"/>
        <v>-546</v>
      </c>
      <c r="AN148" s="161">
        <f t="shared" si="232"/>
        <v>421</v>
      </c>
      <c r="AO148" s="160">
        <f t="shared" si="233"/>
        <v>839.3</v>
      </c>
      <c r="AP148" s="160">
        <f t="shared" si="233"/>
        <v>-582</v>
      </c>
      <c r="AQ148" s="147">
        <f t="shared" si="234"/>
        <v>234.70000000000005</v>
      </c>
      <c r="AR148" s="72">
        <f t="shared" si="249"/>
        <v>913</v>
      </c>
      <c r="AS148" s="161">
        <f t="shared" si="235"/>
        <v>-177</v>
      </c>
      <c r="AT148" s="160">
        <f t="shared" si="236"/>
        <v>315.7</v>
      </c>
      <c r="AU148" s="160">
        <f t="shared" si="237"/>
        <v>-792.40000000000009</v>
      </c>
      <c r="AV148" s="147">
        <f t="shared" si="238"/>
        <v>579.30000000000007</v>
      </c>
      <c r="AW148" s="72">
        <f t="shared" si="250"/>
        <v>-74.400000000000006</v>
      </c>
      <c r="AX148" s="171">
        <v>0</v>
      </c>
      <c r="AY148" s="243">
        <v>0</v>
      </c>
      <c r="AZ148" s="243">
        <v>0</v>
      </c>
      <c r="BA148" s="173">
        <v>0</v>
      </c>
      <c r="BB148" s="72">
        <f t="shared" ref="BB148:BB153" si="251">SUM(AX148:BA148)</f>
        <v>0</v>
      </c>
      <c r="BC148" s="171">
        <v>0</v>
      </c>
      <c r="BD148" s="243">
        <v>0</v>
      </c>
      <c r="BE148" s="243">
        <v>0</v>
      </c>
      <c r="BF148" s="173">
        <v>0</v>
      </c>
      <c r="BG148" s="72">
        <f t="shared" ref="BG148:BG153" si="252">SUM(BC148:BF148)</f>
        <v>0</v>
      </c>
      <c r="BH148" s="171">
        <v>0</v>
      </c>
      <c r="BI148" s="243">
        <v>0</v>
      </c>
      <c r="BJ148" s="243">
        <v>0</v>
      </c>
      <c r="BK148" s="173">
        <v>0</v>
      </c>
      <c r="BL148" s="72">
        <f t="shared" ref="BL148:BL153" si="253">SUM(BH148:BK148)</f>
        <v>0</v>
      </c>
      <c r="BM148" s="171">
        <v>0</v>
      </c>
      <c r="BN148" s="243">
        <v>0</v>
      </c>
      <c r="BO148" s="243">
        <v>0</v>
      </c>
      <c r="BP148" s="173">
        <v>0</v>
      </c>
      <c r="BQ148" s="72">
        <f t="shared" ref="BQ148:BQ153" si="254">SUM(BM148:BP148)</f>
        <v>0</v>
      </c>
      <c r="BR148" s="491"/>
      <c r="BS148" s="491"/>
      <c r="BT148" s="491"/>
      <c r="BU148" s="491"/>
      <c r="BV148" s="491"/>
      <c r="BW148" s="491"/>
      <c r="BX148" s="491"/>
      <c r="CG148" s="145">
        <v>0</v>
      </c>
      <c r="CH148" s="145">
        <v>328</v>
      </c>
      <c r="CI148" s="145">
        <v>347</v>
      </c>
      <c r="CJ148" s="109">
        <f t="shared" si="239"/>
        <v>-228</v>
      </c>
      <c r="CK148" s="145">
        <v>119</v>
      </c>
      <c r="CL148" s="145">
        <v>931</v>
      </c>
      <c r="CM148" s="145">
        <v>1345</v>
      </c>
      <c r="CN148" s="145">
        <v>1223</v>
      </c>
      <c r="CO148" s="109">
        <f t="shared" si="240"/>
        <v>-453</v>
      </c>
      <c r="CP148" s="145">
        <v>770</v>
      </c>
      <c r="CQ148" s="145">
        <v>244</v>
      </c>
      <c r="CR148" s="145">
        <v>566</v>
      </c>
      <c r="CS148" s="145">
        <v>290</v>
      </c>
      <c r="CT148" s="109">
        <f t="shared" si="241"/>
        <v>454</v>
      </c>
      <c r="CU148" s="145">
        <v>744</v>
      </c>
      <c r="CV148" s="145">
        <v>-583</v>
      </c>
      <c r="CW148" s="145">
        <v>-425</v>
      </c>
      <c r="CX148" s="145">
        <v>-417</v>
      </c>
      <c r="CY148" s="109">
        <f t="shared" si="242"/>
        <v>-237</v>
      </c>
      <c r="CZ148" s="145">
        <v>-654</v>
      </c>
      <c r="DA148" s="145">
        <v>329</v>
      </c>
      <c r="DB148" s="145">
        <v>560</v>
      </c>
      <c r="DC148" s="145">
        <v>240</v>
      </c>
      <c r="DD148" s="109">
        <f t="shared" si="243"/>
        <v>-481</v>
      </c>
      <c r="DE148" s="145">
        <f>-221-20</f>
        <v>-241</v>
      </c>
      <c r="DF148" s="145">
        <v>575</v>
      </c>
      <c r="DG148" s="145">
        <v>725</v>
      </c>
      <c r="DH148" s="145">
        <v>525</v>
      </c>
      <c r="DI148" s="109">
        <f t="shared" si="244"/>
        <v>64</v>
      </c>
      <c r="DJ148" s="145">
        <v>589</v>
      </c>
      <c r="DK148" s="145">
        <v>-491</v>
      </c>
      <c r="DL148" s="145">
        <v>-241</v>
      </c>
      <c r="DM148" s="145">
        <v>-564</v>
      </c>
      <c r="DN148" s="109">
        <f t="shared" si="245"/>
        <v>18</v>
      </c>
      <c r="DO148" s="1424">
        <v>-546</v>
      </c>
      <c r="DP148" s="145">
        <v>421</v>
      </c>
      <c r="DQ148" s="145">
        <v>1260.3</v>
      </c>
      <c r="DR148" s="145">
        <v>678.3</v>
      </c>
      <c r="DS148" s="109">
        <f t="shared" si="246"/>
        <v>234.70000000000005</v>
      </c>
      <c r="DT148" s="1424">
        <v>913</v>
      </c>
      <c r="DU148" s="145">
        <v>-177</v>
      </c>
      <c r="DV148" s="145">
        <v>138.69999999999999</v>
      </c>
      <c r="DW148" s="145">
        <v>-653.70000000000005</v>
      </c>
      <c r="DX148" s="109">
        <f t="shared" si="247"/>
        <v>579.30000000000007</v>
      </c>
      <c r="DY148" s="1424">
        <v>-74.400000000000006</v>
      </c>
    </row>
    <row r="149" spans="3:129">
      <c r="C149" t="s">
        <v>90</v>
      </c>
      <c r="D149" s="72"/>
      <c r="E149" s="161">
        <f t="shared" si="248"/>
        <v>-169</v>
      </c>
      <c r="F149" s="160">
        <f t="shared" si="204"/>
        <v>-195</v>
      </c>
      <c r="G149" s="160">
        <f t="shared" si="204"/>
        <v>-200</v>
      </c>
      <c r="H149" s="144">
        <f t="shared" si="205"/>
        <v>-194</v>
      </c>
      <c r="I149" s="72">
        <f t="shared" si="206"/>
        <v>-758</v>
      </c>
      <c r="J149" s="148">
        <f t="shared" si="207"/>
        <v>-197</v>
      </c>
      <c r="K149" s="146">
        <f t="shared" si="208"/>
        <v>-202</v>
      </c>
      <c r="L149" s="146">
        <f t="shared" si="208"/>
        <v>-203</v>
      </c>
      <c r="M149" s="147">
        <f t="shared" si="209"/>
        <v>-222</v>
      </c>
      <c r="N149" s="72">
        <f t="shared" si="210"/>
        <v>-824</v>
      </c>
      <c r="O149" s="161">
        <f t="shared" si="211"/>
        <v>-223</v>
      </c>
      <c r="P149" s="160">
        <f t="shared" si="212"/>
        <v>-223</v>
      </c>
      <c r="Q149" s="146">
        <f t="shared" si="212"/>
        <v>-222</v>
      </c>
      <c r="R149" s="147">
        <f t="shared" si="213"/>
        <v>-230</v>
      </c>
      <c r="S149" s="72">
        <f t="shared" si="214"/>
        <v>-898</v>
      </c>
      <c r="T149" s="161">
        <f t="shared" si="215"/>
        <v>-229</v>
      </c>
      <c r="U149" s="160">
        <f t="shared" si="216"/>
        <v>-229</v>
      </c>
      <c r="V149" s="160">
        <f t="shared" si="216"/>
        <v>-229</v>
      </c>
      <c r="W149" s="147">
        <f t="shared" si="217"/>
        <v>-229</v>
      </c>
      <c r="X149" s="72">
        <f t="shared" si="218"/>
        <v>-916</v>
      </c>
      <c r="Y149" s="161">
        <f t="shared" si="219"/>
        <v>-230</v>
      </c>
      <c r="Z149" s="160">
        <f t="shared" si="220"/>
        <v>-239</v>
      </c>
      <c r="AA149" s="160">
        <f t="shared" si="220"/>
        <v>-240</v>
      </c>
      <c r="AB149" s="147">
        <f t="shared" si="221"/>
        <v>-245</v>
      </c>
      <c r="AC149" s="72">
        <f t="shared" si="222"/>
        <v>-954</v>
      </c>
      <c r="AD149" s="161">
        <f t="shared" si="223"/>
        <v>-245</v>
      </c>
      <c r="AE149" s="160">
        <f t="shared" si="224"/>
        <v>-245</v>
      </c>
      <c r="AF149" s="160">
        <f t="shared" si="224"/>
        <v>-246</v>
      </c>
      <c r="AG149" s="147">
        <f t="shared" si="225"/>
        <v>-262</v>
      </c>
      <c r="AH149" s="72">
        <f t="shared" si="226"/>
        <v>-998</v>
      </c>
      <c r="AI149" s="161">
        <f t="shared" si="227"/>
        <v>-260</v>
      </c>
      <c r="AJ149" s="160">
        <f t="shared" si="228"/>
        <v>-262</v>
      </c>
      <c r="AK149" s="160">
        <f t="shared" si="229"/>
        <v>-261</v>
      </c>
      <c r="AL149" s="147">
        <f t="shared" si="230"/>
        <v>-276</v>
      </c>
      <c r="AM149" s="72">
        <f t="shared" si="231"/>
        <v>-1059</v>
      </c>
      <c r="AN149" s="161">
        <f t="shared" si="232"/>
        <v>-276.5</v>
      </c>
      <c r="AO149" s="160">
        <f t="shared" si="233"/>
        <v>-276.60000000000002</v>
      </c>
      <c r="AP149" s="160">
        <f t="shared" si="233"/>
        <v>-276.69999999999993</v>
      </c>
      <c r="AQ149" s="147">
        <f t="shared" si="234"/>
        <v>-291.20000000000005</v>
      </c>
      <c r="AR149" s="72">
        <f t="shared" si="249"/>
        <v>-1121</v>
      </c>
      <c r="AS149" s="161">
        <f t="shared" si="235"/>
        <v>-291.39999999999998</v>
      </c>
      <c r="AT149" s="160">
        <f t="shared" si="236"/>
        <v>-293.5</v>
      </c>
      <c r="AU149" s="160">
        <f t="shared" si="237"/>
        <v>-290.10000000000002</v>
      </c>
      <c r="AV149" s="147">
        <f t="shared" si="238"/>
        <v>-316.90000000000009</v>
      </c>
      <c r="AW149" s="72">
        <f t="shared" si="250"/>
        <v>-1191.9000000000001</v>
      </c>
      <c r="AX149" s="148">
        <f>+-AX67</f>
        <v>-305.15598527800233</v>
      </c>
      <c r="AY149" s="146">
        <f>+-AY67</f>
        <v>-305.38101431400696</v>
      </c>
      <c r="AZ149" s="146">
        <f>+-AZ67</f>
        <v>-305.60604335001159</v>
      </c>
      <c r="BA149" s="147">
        <f>+-BA67</f>
        <v>-318.06431528145691</v>
      </c>
      <c r="BB149" s="72">
        <f t="shared" si="251"/>
        <v>-1234.2073582234777</v>
      </c>
      <c r="BC149" s="148">
        <f>+-BC67</f>
        <v>-318.29834547890169</v>
      </c>
      <c r="BD149" s="146">
        <f>+-BD67</f>
        <v>-318.53237567634653</v>
      </c>
      <c r="BE149" s="146">
        <f>+-BE67</f>
        <v>-318.76640587379137</v>
      </c>
      <c r="BF149" s="147">
        <f>+-BF67</f>
        <v>-331.76045351408561</v>
      </c>
      <c r="BG149" s="72">
        <f t="shared" si="252"/>
        <v>-1287.3575805431253</v>
      </c>
      <c r="BH149" s="148">
        <f>+-BH67</f>
        <v>-332.49062773011349</v>
      </c>
      <c r="BI149" s="146">
        <f>+-BI67</f>
        <v>-333.70758475682663</v>
      </c>
      <c r="BJ149" s="146">
        <f>+-BJ67</f>
        <v>-334.92454178353978</v>
      </c>
      <c r="BK149" s="147">
        <f>+-BK67</f>
        <v>-349.58715876266302</v>
      </c>
      <c r="BL149" s="72">
        <f t="shared" si="253"/>
        <v>-1350.7099130331428</v>
      </c>
      <c r="BM149" s="148">
        <f>+-BM67</f>
        <v>-351.13756201469556</v>
      </c>
      <c r="BN149" s="146">
        <f>+-BN67</f>
        <v>-352.9727332109789</v>
      </c>
      <c r="BO149" s="146">
        <f>+-BO67</f>
        <v>-354.8079044072623</v>
      </c>
      <c r="BP149" s="147">
        <f>+-BP67</f>
        <v>-370.90879862768753</v>
      </c>
      <c r="BQ149" s="72">
        <f t="shared" si="254"/>
        <v>-1429.8269982606241</v>
      </c>
      <c r="BR149" s="491"/>
      <c r="BS149" s="491"/>
      <c r="BT149" s="491"/>
      <c r="BU149" s="491"/>
      <c r="BV149" s="491"/>
      <c r="BW149" s="491"/>
      <c r="BX149" s="491"/>
      <c r="CG149" s="145">
        <v>-169</v>
      </c>
      <c r="CH149" s="145">
        <v>-364</v>
      </c>
      <c r="CI149" s="145">
        <v>-564</v>
      </c>
      <c r="CJ149" s="109">
        <f t="shared" si="239"/>
        <v>-194</v>
      </c>
      <c r="CK149" s="145">
        <v>-758</v>
      </c>
      <c r="CL149" s="145">
        <v>-197</v>
      </c>
      <c r="CM149" s="145">
        <v>-399</v>
      </c>
      <c r="CN149" s="145">
        <v>-602</v>
      </c>
      <c r="CO149" s="109">
        <f t="shared" si="240"/>
        <v>-222</v>
      </c>
      <c r="CP149" s="145">
        <v>-824</v>
      </c>
      <c r="CQ149" s="145">
        <v>-223</v>
      </c>
      <c r="CR149" s="145">
        <v>-446</v>
      </c>
      <c r="CS149" s="145">
        <v>-668</v>
      </c>
      <c r="CT149" s="109">
        <f t="shared" si="241"/>
        <v>-230</v>
      </c>
      <c r="CU149" s="145">
        <v>-898</v>
      </c>
      <c r="CV149" s="145">
        <v>-229</v>
      </c>
      <c r="CW149" s="145">
        <v>-458</v>
      </c>
      <c r="CX149" s="145">
        <v>-687</v>
      </c>
      <c r="CY149" s="109">
        <f t="shared" si="242"/>
        <v>-229</v>
      </c>
      <c r="CZ149" s="145">
        <v>-916</v>
      </c>
      <c r="DA149" s="145">
        <v>-230</v>
      </c>
      <c r="DB149" s="145">
        <v>-469</v>
      </c>
      <c r="DC149" s="145">
        <v>-709</v>
      </c>
      <c r="DD149" s="109">
        <f t="shared" si="243"/>
        <v>-245</v>
      </c>
      <c r="DE149" s="145">
        <v>-954</v>
      </c>
      <c r="DF149" s="145">
        <v>-245</v>
      </c>
      <c r="DG149" s="145">
        <v>-490</v>
      </c>
      <c r="DH149" s="145">
        <v>-736</v>
      </c>
      <c r="DI149" s="109">
        <f t="shared" si="244"/>
        <v>-262</v>
      </c>
      <c r="DJ149" s="145">
        <v>-998</v>
      </c>
      <c r="DK149" s="145">
        <v>-260</v>
      </c>
      <c r="DL149" s="145">
        <v>-522</v>
      </c>
      <c r="DM149" s="145">
        <v>-783</v>
      </c>
      <c r="DN149" s="109">
        <f t="shared" si="245"/>
        <v>-276</v>
      </c>
      <c r="DO149" s="1424">
        <v>-1059</v>
      </c>
      <c r="DP149" s="145">
        <v>-276.5</v>
      </c>
      <c r="DQ149" s="145">
        <v>-553.1</v>
      </c>
      <c r="DR149" s="145">
        <v>-829.8</v>
      </c>
      <c r="DS149" s="109">
        <f t="shared" si="246"/>
        <v>-291.20000000000005</v>
      </c>
      <c r="DT149" s="1424">
        <v>-1121</v>
      </c>
      <c r="DU149" s="145">
        <v>-291.39999999999998</v>
      </c>
      <c r="DV149" s="145">
        <v>-584.9</v>
      </c>
      <c r="DW149" s="145">
        <v>-875</v>
      </c>
      <c r="DX149" s="109">
        <f t="shared" si="247"/>
        <v>-316.90000000000009</v>
      </c>
      <c r="DY149" s="1424">
        <v>-1191.9000000000001</v>
      </c>
    </row>
    <row r="150" spans="3:129">
      <c r="C150" t="s">
        <v>94</v>
      </c>
      <c r="D150" s="72"/>
      <c r="E150" s="161">
        <f t="shared" si="248"/>
        <v>48</v>
      </c>
      <c r="F150" s="160">
        <f t="shared" si="204"/>
        <v>1640</v>
      </c>
      <c r="G150" s="160">
        <f t="shared" si="204"/>
        <v>18</v>
      </c>
      <c r="H150" s="144">
        <f t="shared" si="205"/>
        <v>22</v>
      </c>
      <c r="I150" s="72">
        <f t="shared" si="206"/>
        <v>1728</v>
      </c>
      <c r="J150" s="148">
        <f t="shared" si="207"/>
        <v>26</v>
      </c>
      <c r="K150" s="146">
        <f t="shared" si="208"/>
        <v>16</v>
      </c>
      <c r="L150" s="146">
        <f t="shared" si="208"/>
        <v>23</v>
      </c>
      <c r="M150" s="147">
        <f t="shared" si="209"/>
        <v>28</v>
      </c>
      <c r="N150" s="72">
        <f t="shared" si="210"/>
        <v>93</v>
      </c>
      <c r="O150" s="161">
        <f t="shared" si="211"/>
        <v>31</v>
      </c>
      <c r="P150" s="160">
        <f t="shared" si="212"/>
        <v>18</v>
      </c>
      <c r="Q150" s="146">
        <f t="shared" si="212"/>
        <v>21</v>
      </c>
      <c r="R150" s="147">
        <f t="shared" si="213"/>
        <v>22</v>
      </c>
      <c r="S150" s="72">
        <f t="shared" si="214"/>
        <v>92</v>
      </c>
      <c r="T150" s="161">
        <f t="shared" si="215"/>
        <v>31</v>
      </c>
      <c r="U150" s="160">
        <f t="shared" si="216"/>
        <v>19</v>
      </c>
      <c r="V150" s="160">
        <f t="shared" si="216"/>
        <v>14</v>
      </c>
      <c r="W150" s="147">
        <f t="shared" si="217"/>
        <v>19</v>
      </c>
      <c r="X150" s="72">
        <f t="shared" si="218"/>
        <v>83</v>
      </c>
      <c r="Y150" s="161">
        <f t="shared" si="219"/>
        <v>15</v>
      </c>
      <c r="Z150" s="160">
        <f t="shared" si="220"/>
        <v>26</v>
      </c>
      <c r="AA150" s="160">
        <f t="shared" si="220"/>
        <v>20</v>
      </c>
      <c r="AB150" s="147">
        <f t="shared" si="221"/>
        <v>23</v>
      </c>
      <c r="AC150" s="72">
        <f t="shared" si="222"/>
        <v>84</v>
      </c>
      <c r="AD150" s="161">
        <f t="shared" si="223"/>
        <v>15</v>
      </c>
      <c r="AE150" s="160">
        <f t="shared" si="224"/>
        <v>14</v>
      </c>
      <c r="AF150" s="160">
        <f t="shared" si="224"/>
        <v>34</v>
      </c>
      <c r="AG150" s="147">
        <f t="shared" si="225"/>
        <v>10</v>
      </c>
      <c r="AH150" s="72">
        <f t="shared" si="226"/>
        <v>73</v>
      </c>
      <c r="AI150" s="161">
        <f t="shared" si="227"/>
        <v>31</v>
      </c>
      <c r="AJ150" s="160">
        <f t="shared" si="228"/>
        <v>25</v>
      </c>
      <c r="AK150" s="160">
        <f t="shared" si="229"/>
        <v>12</v>
      </c>
      <c r="AL150" s="147">
        <f t="shared" si="230"/>
        <v>13.599999999999994</v>
      </c>
      <c r="AM150" s="72">
        <f t="shared" si="231"/>
        <v>81.599999999999994</v>
      </c>
      <c r="AN150" s="161">
        <f t="shared" si="232"/>
        <v>12.1</v>
      </c>
      <c r="AO150" s="160">
        <f t="shared" si="233"/>
        <v>18.799999999999997</v>
      </c>
      <c r="AP150" s="160">
        <f t="shared" si="233"/>
        <v>3.3000000000000043</v>
      </c>
      <c r="AQ150" s="147">
        <f t="shared" si="234"/>
        <v>0</v>
      </c>
      <c r="AR150" s="72">
        <f t="shared" si="249"/>
        <v>34.200000000000003</v>
      </c>
      <c r="AS150" s="161">
        <f t="shared" si="235"/>
        <v>0</v>
      </c>
      <c r="AT150" s="160">
        <f t="shared" si="236"/>
        <v>0</v>
      </c>
      <c r="AU150" s="160">
        <f t="shared" si="237"/>
        <v>0</v>
      </c>
      <c r="AV150" s="147">
        <f t="shared" si="238"/>
        <v>12.2</v>
      </c>
      <c r="AW150" s="72">
        <f t="shared" si="250"/>
        <v>12.2</v>
      </c>
      <c r="AX150" s="148">
        <f>AX73</f>
        <v>25</v>
      </c>
      <c r="AY150" s="146">
        <f>AY73</f>
        <v>25</v>
      </c>
      <c r="AZ150" s="146">
        <f>AZ73</f>
        <v>25</v>
      </c>
      <c r="BA150" s="147">
        <f>BA73</f>
        <v>25</v>
      </c>
      <c r="BB150" s="72">
        <f t="shared" si="251"/>
        <v>100</v>
      </c>
      <c r="BC150" s="148">
        <f>BC73</f>
        <v>25</v>
      </c>
      <c r="BD150" s="146">
        <f>BD73</f>
        <v>25</v>
      </c>
      <c r="BE150" s="146">
        <f>BE73</f>
        <v>25</v>
      </c>
      <c r="BF150" s="147">
        <f>BF73</f>
        <v>25</v>
      </c>
      <c r="BG150" s="72">
        <f t="shared" si="252"/>
        <v>100</v>
      </c>
      <c r="BH150" s="148">
        <f>BH73</f>
        <v>125</v>
      </c>
      <c r="BI150" s="146">
        <f>BI73</f>
        <v>125</v>
      </c>
      <c r="BJ150" s="146">
        <f>BJ73</f>
        <v>125</v>
      </c>
      <c r="BK150" s="147">
        <f>BK73</f>
        <v>125</v>
      </c>
      <c r="BL150" s="72">
        <f t="shared" si="253"/>
        <v>500</v>
      </c>
      <c r="BM150" s="148">
        <f>BM73</f>
        <v>181.25</v>
      </c>
      <c r="BN150" s="146">
        <f>BN73</f>
        <v>181.25</v>
      </c>
      <c r="BO150" s="146">
        <f>BO73</f>
        <v>181.25</v>
      </c>
      <c r="BP150" s="147">
        <f>BP73</f>
        <v>181.25</v>
      </c>
      <c r="BQ150" s="72">
        <f t="shared" si="254"/>
        <v>725</v>
      </c>
      <c r="BR150" s="491"/>
      <c r="BS150" s="491"/>
      <c r="BT150" s="491"/>
      <c r="BU150" s="491"/>
      <c r="BV150" s="491"/>
      <c r="BW150" s="491"/>
      <c r="BX150" s="491"/>
      <c r="CG150" s="145">
        <v>48</v>
      </c>
      <c r="CH150" s="145">
        <v>1688</v>
      </c>
      <c r="CI150" s="145">
        <v>1706</v>
      </c>
      <c r="CJ150" s="109">
        <f t="shared" si="239"/>
        <v>22</v>
      </c>
      <c r="CK150" s="145">
        <f>1728</f>
        <v>1728</v>
      </c>
      <c r="CL150" s="145">
        <v>26</v>
      </c>
      <c r="CM150" s="145">
        <v>42</v>
      </c>
      <c r="CN150" s="145">
        <v>65</v>
      </c>
      <c r="CO150" s="109">
        <f t="shared" si="240"/>
        <v>28</v>
      </c>
      <c r="CP150" s="145">
        <v>93</v>
      </c>
      <c r="CQ150" s="145">
        <v>31</v>
      </c>
      <c r="CR150" s="145">
        <v>49</v>
      </c>
      <c r="CS150" s="145">
        <v>70</v>
      </c>
      <c r="CT150" s="109">
        <f t="shared" si="241"/>
        <v>22</v>
      </c>
      <c r="CU150" s="145">
        <v>92</v>
      </c>
      <c r="CV150" s="145">
        <v>31</v>
      </c>
      <c r="CW150" s="145">
        <v>50</v>
      </c>
      <c r="CX150" s="145">
        <v>64</v>
      </c>
      <c r="CY150" s="109">
        <f t="shared" si="242"/>
        <v>19</v>
      </c>
      <c r="CZ150" s="145">
        <v>83</v>
      </c>
      <c r="DA150" s="145">
        <v>15</v>
      </c>
      <c r="DB150" s="145">
        <v>41</v>
      </c>
      <c r="DC150" s="145">
        <v>61</v>
      </c>
      <c r="DD150" s="109">
        <f t="shared" si="243"/>
        <v>23</v>
      </c>
      <c r="DE150" s="145">
        <v>84</v>
      </c>
      <c r="DF150" s="145">
        <v>15</v>
      </c>
      <c r="DG150" s="145">
        <v>29</v>
      </c>
      <c r="DH150" s="145">
        <v>63</v>
      </c>
      <c r="DI150" s="109">
        <f t="shared" si="244"/>
        <v>10</v>
      </c>
      <c r="DJ150" s="145">
        <v>73</v>
      </c>
      <c r="DK150" s="145">
        <v>31</v>
      </c>
      <c r="DL150" s="145">
        <v>56</v>
      </c>
      <c r="DM150" s="145">
        <v>68</v>
      </c>
      <c r="DN150" s="109">
        <f t="shared" si="245"/>
        <v>13.599999999999994</v>
      </c>
      <c r="DO150" s="1424">
        <v>81.599999999999994</v>
      </c>
      <c r="DP150" s="145">
        <v>12.1</v>
      </c>
      <c r="DQ150" s="145">
        <v>30.9</v>
      </c>
      <c r="DR150" s="145">
        <v>34.200000000000003</v>
      </c>
      <c r="DS150" s="109">
        <f t="shared" si="246"/>
        <v>0</v>
      </c>
      <c r="DT150" s="1424">
        <v>34.200000000000003</v>
      </c>
      <c r="DU150" s="145">
        <v>0</v>
      </c>
      <c r="DV150" s="145">
        <v>0</v>
      </c>
      <c r="DW150" s="145">
        <v>0</v>
      </c>
      <c r="DX150" s="109">
        <f t="shared" si="247"/>
        <v>12.2</v>
      </c>
      <c r="DY150" s="1424">
        <v>12.2</v>
      </c>
    </row>
    <row r="151" spans="3:129">
      <c r="C151" s="609" t="s">
        <v>93</v>
      </c>
      <c r="D151" s="72"/>
      <c r="E151" s="161">
        <f>+CG151</f>
        <v>-1</v>
      </c>
      <c r="F151" s="160">
        <f>+CH151-CG151</f>
        <v>0</v>
      </c>
      <c r="G151" s="160">
        <f>+CI151-CH151</f>
        <v>-1</v>
      </c>
      <c r="H151" s="144">
        <f t="shared" si="205"/>
        <v>-1</v>
      </c>
      <c r="I151" s="72">
        <f>CK151</f>
        <v>-3</v>
      </c>
      <c r="J151" s="148">
        <f>+CL151</f>
        <v>-1</v>
      </c>
      <c r="K151" s="146">
        <f>+CM151-CL151</f>
        <v>0</v>
      </c>
      <c r="L151" s="146">
        <f>+CN151-CM151</f>
        <v>-1</v>
      </c>
      <c r="M151" s="147">
        <f t="shared" si="209"/>
        <v>-1</v>
      </c>
      <c r="N151" s="72">
        <f>CP151</f>
        <v>-3</v>
      </c>
      <c r="O151" s="161">
        <f>+CQ151</f>
        <v>-1</v>
      </c>
      <c r="P151" s="160">
        <f>+CR151-CQ151</f>
        <v>0</v>
      </c>
      <c r="Q151" s="146">
        <f>+CS151-CR151</f>
        <v>-1</v>
      </c>
      <c r="R151" s="147">
        <f t="shared" si="213"/>
        <v>0</v>
      </c>
      <c r="S151" s="72">
        <f t="shared" si="214"/>
        <v>-2</v>
      </c>
      <c r="T151" s="161">
        <f t="shared" si="215"/>
        <v>0</v>
      </c>
      <c r="U151" s="160">
        <f t="shared" si="216"/>
        <v>0</v>
      </c>
      <c r="V151" s="160">
        <f t="shared" si="216"/>
        <v>0</v>
      </c>
      <c r="W151" s="147">
        <f t="shared" si="217"/>
        <v>0</v>
      </c>
      <c r="X151" s="72">
        <f t="shared" si="218"/>
        <v>0</v>
      </c>
      <c r="Y151" s="161">
        <f t="shared" si="219"/>
        <v>0</v>
      </c>
      <c r="Z151" s="160">
        <f t="shared" si="220"/>
        <v>0</v>
      </c>
      <c r="AA151" s="160">
        <f t="shared" si="220"/>
        <v>0</v>
      </c>
      <c r="AB151" s="147">
        <f t="shared" si="221"/>
        <v>0</v>
      </c>
      <c r="AC151" s="72">
        <f t="shared" si="222"/>
        <v>0</v>
      </c>
      <c r="AD151" s="161">
        <f t="shared" si="223"/>
        <v>0</v>
      </c>
      <c r="AE151" s="160">
        <f t="shared" si="224"/>
        <v>0</v>
      </c>
      <c r="AF151" s="160">
        <f t="shared" si="224"/>
        <v>0</v>
      </c>
      <c r="AG151" s="147">
        <f t="shared" si="225"/>
        <v>0</v>
      </c>
      <c r="AH151" s="72">
        <f t="shared" si="226"/>
        <v>0</v>
      </c>
      <c r="AI151" s="161">
        <f t="shared" si="227"/>
        <v>0</v>
      </c>
      <c r="AJ151" s="160">
        <f t="shared" si="228"/>
        <v>0</v>
      </c>
      <c r="AK151" s="160">
        <f t="shared" si="229"/>
        <v>0</v>
      </c>
      <c r="AL151" s="147">
        <f t="shared" si="230"/>
        <v>0</v>
      </c>
      <c r="AM151" s="72">
        <f t="shared" si="231"/>
        <v>0</v>
      </c>
      <c r="AN151" s="161">
        <f t="shared" si="232"/>
        <v>0</v>
      </c>
      <c r="AO151" s="160">
        <f t="shared" si="233"/>
        <v>0</v>
      </c>
      <c r="AP151" s="160">
        <f t="shared" si="233"/>
        <v>0</v>
      </c>
      <c r="AQ151" s="147">
        <f t="shared" si="234"/>
        <v>0</v>
      </c>
      <c r="AR151" s="72">
        <f t="shared" si="249"/>
        <v>0</v>
      </c>
      <c r="AS151" s="161">
        <f t="shared" si="235"/>
        <v>0</v>
      </c>
      <c r="AT151" s="160">
        <f t="shared" si="236"/>
        <v>0</v>
      </c>
      <c r="AU151" s="160">
        <f t="shared" si="237"/>
        <v>0</v>
      </c>
      <c r="AV151" s="147">
        <f t="shared" si="238"/>
        <v>0</v>
      </c>
      <c r="AW151" s="72">
        <f t="shared" si="250"/>
        <v>0</v>
      </c>
      <c r="AX151" s="148">
        <f>-AX43</f>
        <v>0</v>
      </c>
      <c r="AY151" s="146">
        <f>-AY43</f>
        <v>0</v>
      </c>
      <c r="AZ151" s="146">
        <f>-AZ43</f>
        <v>0</v>
      </c>
      <c r="BA151" s="147">
        <f>-BA43</f>
        <v>0</v>
      </c>
      <c r="BB151" s="72">
        <f t="shared" si="251"/>
        <v>0</v>
      </c>
      <c r="BC151" s="148">
        <f>-BC43</f>
        <v>0</v>
      </c>
      <c r="BD151" s="146">
        <f>-BD43</f>
        <v>0</v>
      </c>
      <c r="BE151" s="146">
        <f>-BE43</f>
        <v>0</v>
      </c>
      <c r="BF151" s="147">
        <f>-BF43</f>
        <v>0</v>
      </c>
      <c r="BG151" s="72">
        <f t="shared" si="252"/>
        <v>0</v>
      </c>
      <c r="BH151" s="148">
        <f>-BH43</f>
        <v>0</v>
      </c>
      <c r="BI151" s="146">
        <f>-BI43</f>
        <v>0</v>
      </c>
      <c r="BJ151" s="146">
        <f>-BJ43</f>
        <v>0</v>
      </c>
      <c r="BK151" s="147">
        <f>-BK43</f>
        <v>0</v>
      </c>
      <c r="BL151" s="72">
        <f t="shared" si="253"/>
        <v>0</v>
      </c>
      <c r="BM151" s="148">
        <f>-BM43</f>
        <v>0</v>
      </c>
      <c r="BN151" s="146">
        <f>-BN43</f>
        <v>0</v>
      </c>
      <c r="BO151" s="146">
        <f>-BO43</f>
        <v>0</v>
      </c>
      <c r="BP151" s="147">
        <f>-BP43</f>
        <v>0</v>
      </c>
      <c r="BQ151" s="72">
        <f t="shared" si="254"/>
        <v>0</v>
      </c>
      <c r="BR151" s="527"/>
      <c r="BS151" s="550"/>
      <c r="BT151" s="551"/>
      <c r="BU151" s="491"/>
      <c r="BV151" s="491"/>
      <c r="CG151" s="145">
        <v>-1</v>
      </c>
      <c r="CH151" s="145">
        <v>-1</v>
      </c>
      <c r="CI151" s="145">
        <v>-2</v>
      </c>
      <c r="CJ151" s="109">
        <f t="shared" si="239"/>
        <v>-1</v>
      </c>
      <c r="CK151" s="145">
        <v>-3</v>
      </c>
      <c r="CL151" s="145">
        <v>-1</v>
      </c>
      <c r="CM151" s="145">
        <v>-1</v>
      </c>
      <c r="CN151" s="145">
        <v>-2</v>
      </c>
      <c r="CO151" s="109">
        <f t="shared" si="240"/>
        <v>-1</v>
      </c>
      <c r="CP151" s="145">
        <v>-3</v>
      </c>
      <c r="CQ151" s="145">
        <v>-1</v>
      </c>
      <c r="CR151" s="145">
        <v>-1</v>
      </c>
      <c r="CS151" s="145">
        <v>-2</v>
      </c>
      <c r="CT151" s="109">
        <f t="shared" si="241"/>
        <v>0</v>
      </c>
      <c r="CU151" s="145">
        <v>-2</v>
      </c>
      <c r="CV151" s="145">
        <v>0</v>
      </c>
      <c r="CW151" s="145">
        <v>0</v>
      </c>
      <c r="CX151" s="145">
        <v>0</v>
      </c>
      <c r="CY151" s="109">
        <f t="shared" si="242"/>
        <v>0</v>
      </c>
      <c r="CZ151" s="145">
        <v>0</v>
      </c>
      <c r="DA151" s="145">
        <v>0</v>
      </c>
      <c r="DB151" s="145">
        <v>0</v>
      </c>
      <c r="DC151" s="145">
        <v>0</v>
      </c>
      <c r="DD151" s="109">
        <f t="shared" si="243"/>
        <v>0</v>
      </c>
      <c r="DE151" s="145">
        <v>0</v>
      </c>
      <c r="DF151" s="145">
        <v>0</v>
      </c>
      <c r="DG151" s="145">
        <v>0</v>
      </c>
      <c r="DH151" s="145">
        <v>0</v>
      </c>
      <c r="DI151" s="109">
        <f t="shared" si="244"/>
        <v>0</v>
      </c>
      <c r="DJ151" s="145">
        <v>0</v>
      </c>
      <c r="DK151" s="145">
        <v>0</v>
      </c>
      <c r="DL151" s="145">
        <v>0</v>
      </c>
      <c r="DM151" s="145">
        <v>0</v>
      </c>
      <c r="DN151" s="109">
        <f t="shared" si="245"/>
        <v>0</v>
      </c>
      <c r="DO151" s="1424">
        <v>0</v>
      </c>
      <c r="DP151" s="145">
        <v>0</v>
      </c>
      <c r="DQ151" s="145">
        <v>0</v>
      </c>
      <c r="DR151" s="145">
        <v>0</v>
      </c>
      <c r="DS151" s="109">
        <f t="shared" si="246"/>
        <v>0</v>
      </c>
      <c r="DT151" s="1424">
        <v>0</v>
      </c>
      <c r="DU151" s="145">
        <v>0</v>
      </c>
      <c r="DV151" s="145">
        <v>0</v>
      </c>
      <c r="DW151" s="145">
        <v>0</v>
      </c>
      <c r="DX151" s="109">
        <f t="shared" si="247"/>
        <v>0</v>
      </c>
      <c r="DY151" s="1424">
        <v>0</v>
      </c>
    </row>
    <row r="152" spans="3:129">
      <c r="C152" t="s">
        <v>95</v>
      </c>
      <c r="D152" s="72"/>
      <c r="E152" s="161">
        <f t="shared" si="248"/>
        <v>0</v>
      </c>
      <c r="F152" s="160">
        <f t="shared" si="204"/>
        <v>-2</v>
      </c>
      <c r="G152" s="160">
        <f t="shared" si="204"/>
        <v>-13</v>
      </c>
      <c r="H152" s="144">
        <f t="shared" si="205"/>
        <v>10</v>
      </c>
      <c r="I152" s="72">
        <f t="shared" si="206"/>
        <v>-5</v>
      </c>
      <c r="J152" s="148">
        <f t="shared" si="207"/>
        <v>0</v>
      </c>
      <c r="K152" s="146">
        <f t="shared" si="208"/>
        <v>-1</v>
      </c>
      <c r="L152" s="146">
        <f t="shared" si="208"/>
        <v>0</v>
      </c>
      <c r="M152" s="147">
        <f t="shared" si="209"/>
        <v>-2</v>
      </c>
      <c r="N152" s="72">
        <f t="shared" si="210"/>
        <v>-3</v>
      </c>
      <c r="O152" s="161">
        <f t="shared" si="211"/>
        <v>0</v>
      </c>
      <c r="P152" s="160">
        <f t="shared" si="212"/>
        <v>0</v>
      </c>
      <c r="Q152" s="146">
        <f t="shared" si="212"/>
        <v>3</v>
      </c>
      <c r="R152" s="147">
        <f t="shared" si="213"/>
        <v>-62</v>
      </c>
      <c r="S152" s="72">
        <f t="shared" si="214"/>
        <v>-59</v>
      </c>
      <c r="T152" s="161">
        <f t="shared" si="215"/>
        <v>4</v>
      </c>
      <c r="U152" s="160">
        <f t="shared" si="216"/>
        <v>1</v>
      </c>
      <c r="V152" s="160">
        <f t="shared" si="216"/>
        <v>0</v>
      </c>
      <c r="W152" s="147">
        <f t="shared" si="217"/>
        <v>0</v>
      </c>
      <c r="X152" s="72">
        <f t="shared" si="218"/>
        <v>5</v>
      </c>
      <c r="Y152" s="161">
        <f t="shared" si="219"/>
        <v>8</v>
      </c>
      <c r="Z152" s="160">
        <f t="shared" si="220"/>
        <v>-7</v>
      </c>
      <c r="AA152" s="160">
        <f t="shared" si="220"/>
        <v>5</v>
      </c>
      <c r="AB152" s="147">
        <f t="shared" si="221"/>
        <v>112</v>
      </c>
      <c r="AC152" s="72">
        <f t="shared" si="222"/>
        <v>118</v>
      </c>
      <c r="AD152" s="161">
        <f t="shared" si="223"/>
        <v>4</v>
      </c>
      <c r="AE152" s="160">
        <f t="shared" si="224"/>
        <v>1</v>
      </c>
      <c r="AF152" s="160">
        <f t="shared" si="224"/>
        <v>-2</v>
      </c>
      <c r="AG152" s="147">
        <f t="shared" si="225"/>
        <v>4</v>
      </c>
      <c r="AH152" s="72">
        <f t="shared" si="226"/>
        <v>7</v>
      </c>
      <c r="AI152" s="161">
        <f t="shared" si="227"/>
        <v>3</v>
      </c>
      <c r="AJ152" s="160">
        <f t="shared" si="228"/>
        <v>-96</v>
      </c>
      <c r="AK152" s="160">
        <f t="shared" si="229"/>
        <v>-1</v>
      </c>
      <c r="AL152" s="147">
        <f t="shared" si="230"/>
        <v>-19.5</v>
      </c>
      <c r="AM152" s="72">
        <f t="shared" si="231"/>
        <v>-113.5</v>
      </c>
      <c r="AN152" s="161">
        <f t="shared" si="232"/>
        <v>18</v>
      </c>
      <c r="AO152" s="160">
        <f t="shared" si="233"/>
        <v>-17.600000000000001</v>
      </c>
      <c r="AP152" s="160">
        <f t="shared" si="233"/>
        <v>-7.2</v>
      </c>
      <c r="AQ152" s="147">
        <f t="shared" si="234"/>
        <v>-11.399999999999999</v>
      </c>
      <c r="AR152" s="72">
        <f t="shared" si="249"/>
        <v>-18.2</v>
      </c>
      <c r="AS152" s="161">
        <f t="shared" si="235"/>
        <v>2.2000000000000002</v>
      </c>
      <c r="AT152" s="160">
        <f t="shared" si="236"/>
        <v>-7.9</v>
      </c>
      <c r="AU152" s="160">
        <f t="shared" si="237"/>
        <v>1.2999999999999998</v>
      </c>
      <c r="AV152" s="147">
        <f t="shared" si="238"/>
        <v>-112.6</v>
      </c>
      <c r="AW152" s="72">
        <f t="shared" si="250"/>
        <v>-117</v>
      </c>
      <c r="AX152" s="148">
        <f>+'Generation &amp; Marketing'!AX358+'Vertically Integrated Utilities'!AX192+'T&amp;D Utilities'!AX173</f>
        <v>16.666666666666668</v>
      </c>
      <c r="AY152" s="146">
        <f>+'Generation &amp; Marketing'!AY358+'Vertically Integrated Utilities'!AY192+'T&amp;D Utilities'!AY173</f>
        <v>16.666666666666668</v>
      </c>
      <c r="AZ152" s="146">
        <f>+'Generation &amp; Marketing'!AZ358+'Vertically Integrated Utilities'!AZ192+'T&amp;D Utilities'!AZ173</f>
        <v>16.666666666666668</v>
      </c>
      <c r="BA152" s="147">
        <f>+'Generation &amp; Marketing'!BA358+'Vertically Integrated Utilities'!BA192+'T&amp;D Utilities'!BA173</f>
        <v>16.666666666666668</v>
      </c>
      <c r="BB152" s="72">
        <f t="shared" si="251"/>
        <v>66.666666666666671</v>
      </c>
      <c r="BC152" s="148">
        <f>+'Generation &amp; Marketing'!BC358+'Vertically Integrated Utilities'!BC192+'T&amp;D Utilities'!BC173</f>
        <v>16.666666666666668</v>
      </c>
      <c r="BD152" s="146">
        <f>+'Generation &amp; Marketing'!BD358+'Vertically Integrated Utilities'!BD192+'T&amp;D Utilities'!BD173</f>
        <v>16.666666666666668</v>
      </c>
      <c r="BE152" s="146">
        <f>+'Generation &amp; Marketing'!BE358+'Vertically Integrated Utilities'!BE192+'T&amp;D Utilities'!BE173</f>
        <v>16.666666666666668</v>
      </c>
      <c r="BF152" s="147">
        <f>+'Generation &amp; Marketing'!BF358+'Vertically Integrated Utilities'!BF192+'T&amp;D Utilities'!BF173</f>
        <v>16.666666666666668</v>
      </c>
      <c r="BG152" s="72">
        <f t="shared" si="252"/>
        <v>66.666666666666671</v>
      </c>
      <c r="BH152" s="148">
        <f>+'Generation &amp; Marketing'!BH358+'Vertically Integrated Utilities'!BH192+'T&amp;D Utilities'!BH173</f>
        <v>14.444444444444446</v>
      </c>
      <c r="BI152" s="146">
        <f>+'Generation &amp; Marketing'!BI358+'Vertically Integrated Utilities'!BI192+'T&amp;D Utilities'!BI173</f>
        <v>14.444444444444446</v>
      </c>
      <c r="BJ152" s="146">
        <f>+'Generation &amp; Marketing'!BJ358+'Vertically Integrated Utilities'!BJ192+'T&amp;D Utilities'!BJ173</f>
        <v>14.444444444444446</v>
      </c>
      <c r="BK152" s="147">
        <f>+'Generation &amp; Marketing'!BK358+'Vertically Integrated Utilities'!BK192+'T&amp;D Utilities'!BK173</f>
        <v>14.444444444444446</v>
      </c>
      <c r="BL152" s="72">
        <f t="shared" si="253"/>
        <v>57.777777777777786</v>
      </c>
      <c r="BM152" s="148">
        <f>+'Generation &amp; Marketing'!BM358+'Vertically Integrated Utilities'!BM192+'T&amp;D Utilities'!BM173</f>
        <v>0</v>
      </c>
      <c r="BN152" s="146">
        <f>+'Generation &amp; Marketing'!BN358+'Vertically Integrated Utilities'!BN192+'T&amp;D Utilities'!BN173</f>
        <v>0</v>
      </c>
      <c r="BO152" s="146">
        <f>+'Generation &amp; Marketing'!BO358+'Vertically Integrated Utilities'!BO192+'T&amp;D Utilities'!BO173</f>
        <v>0</v>
      </c>
      <c r="BP152" s="147">
        <f>+'Generation &amp; Marketing'!BP358+'Vertically Integrated Utilities'!BP192+'T&amp;D Utilities'!BP173</f>
        <v>0</v>
      </c>
      <c r="BQ152" s="72">
        <f t="shared" si="254"/>
        <v>0</v>
      </c>
      <c r="BR152" s="527"/>
      <c r="BS152" s="527"/>
      <c r="BT152" s="491"/>
      <c r="BU152" s="491"/>
      <c r="BV152" s="491"/>
      <c r="CG152" s="145">
        <v>0</v>
      </c>
      <c r="CH152" s="145">
        <v>-2</v>
      </c>
      <c r="CI152" s="145">
        <v>-15</v>
      </c>
      <c r="CJ152" s="109">
        <f t="shared" si="239"/>
        <v>10</v>
      </c>
      <c r="CK152" s="145">
        <v>-5</v>
      </c>
      <c r="CL152" s="145">
        <v>0</v>
      </c>
      <c r="CM152" s="145">
        <v>-1</v>
      </c>
      <c r="CN152" s="145">
        <v>-1</v>
      </c>
      <c r="CO152" s="109">
        <f t="shared" si="240"/>
        <v>-2</v>
      </c>
      <c r="CP152" s="145">
        <v>-3</v>
      </c>
      <c r="CQ152" s="145">
        <v>0</v>
      </c>
      <c r="CR152" s="145">
        <v>0</v>
      </c>
      <c r="CS152" s="145">
        <v>3</v>
      </c>
      <c r="CT152" s="109">
        <f t="shared" si="241"/>
        <v>-62</v>
      </c>
      <c r="CU152" s="145">
        <f>5-64</f>
        <v>-59</v>
      </c>
      <c r="CV152" s="145">
        <v>4</v>
      </c>
      <c r="CW152" s="145">
        <v>5</v>
      </c>
      <c r="CX152" s="145">
        <v>5</v>
      </c>
      <c r="CY152" s="109">
        <f t="shared" si="242"/>
        <v>0</v>
      </c>
      <c r="CZ152" s="145">
        <v>5</v>
      </c>
      <c r="DA152" s="145">
        <v>8</v>
      </c>
      <c r="DB152" s="145">
        <v>1</v>
      </c>
      <c r="DC152" s="145">
        <v>6</v>
      </c>
      <c r="DD152" s="109">
        <f t="shared" si="243"/>
        <v>112</v>
      </c>
      <c r="DE152" s="145">
        <f>110+8</f>
        <v>118</v>
      </c>
      <c r="DF152" s="145">
        <v>4</v>
      </c>
      <c r="DG152" s="145">
        <v>5</v>
      </c>
      <c r="DH152" s="145">
        <v>3</v>
      </c>
      <c r="DI152" s="109">
        <f t="shared" si="244"/>
        <v>4</v>
      </c>
      <c r="DJ152" s="145">
        <v>7</v>
      </c>
      <c r="DK152" s="145">
        <v>3</v>
      </c>
      <c r="DL152" s="145">
        <v>-93</v>
      </c>
      <c r="DM152" s="145">
        <f>-93-1</f>
        <v>-94</v>
      </c>
      <c r="DN152" s="109">
        <f t="shared" si="245"/>
        <v>-19.5</v>
      </c>
      <c r="DO152" s="1424">
        <f>14.7-127.7+162.5-163</f>
        <v>-113.5</v>
      </c>
      <c r="DP152" s="145">
        <v>18</v>
      </c>
      <c r="DQ152" s="145">
        <v>0.4</v>
      </c>
      <c r="DR152" s="145">
        <v>-6.8</v>
      </c>
      <c r="DS152" s="109">
        <f t="shared" si="246"/>
        <v>-11.399999999999999</v>
      </c>
      <c r="DT152" s="1424">
        <f>-15.7-2.5</f>
        <v>-18.2</v>
      </c>
      <c r="DU152" s="145">
        <v>2.2000000000000002</v>
      </c>
      <c r="DV152" s="145">
        <v>-5.7</v>
      </c>
      <c r="DW152" s="145">
        <v>-4.4000000000000004</v>
      </c>
      <c r="DX152" s="109">
        <f t="shared" si="247"/>
        <v>-112.6</v>
      </c>
      <c r="DY152" s="1424">
        <f>-46.1-67.3-3.6</f>
        <v>-117</v>
      </c>
    </row>
    <row r="153" spans="3:129">
      <c r="C153" s="56" t="s">
        <v>96</v>
      </c>
      <c r="D153" s="72"/>
      <c r="E153" s="149">
        <f>SUM(E145:E152)</f>
        <v>709</v>
      </c>
      <c r="F153" s="150">
        <f>SUM(F145:F152)</f>
        <v>-141</v>
      </c>
      <c r="G153" s="150">
        <f>SUM(G145:G152)</f>
        <v>124</v>
      </c>
      <c r="H153" s="151">
        <f>SUM(H145:H152)</f>
        <v>-172</v>
      </c>
      <c r="I153" s="112">
        <f t="shared" si="206"/>
        <v>520</v>
      </c>
      <c r="J153" s="149">
        <f>SUM(J145:J152)</f>
        <v>756</v>
      </c>
      <c r="K153" s="150">
        <f>SUM(K145:K152)</f>
        <v>2</v>
      </c>
      <c r="L153" s="150">
        <f>SUM(L145:L152)</f>
        <v>-285</v>
      </c>
      <c r="M153" s="151">
        <f>SUM(M145:M152)</f>
        <v>-808</v>
      </c>
      <c r="N153" s="112">
        <f t="shared" si="210"/>
        <v>-335</v>
      </c>
      <c r="O153" s="149">
        <f>SUM(O145:O152)</f>
        <v>114</v>
      </c>
      <c r="P153" s="150">
        <f>SUM(P145:P152)</f>
        <v>-443</v>
      </c>
      <c r="Q153" s="150">
        <f>SUM(Q145:Q152)</f>
        <v>-790</v>
      </c>
      <c r="R153" s="151">
        <f>SUM(R145:R152)</f>
        <v>148</v>
      </c>
      <c r="S153" s="112">
        <f t="shared" si="214"/>
        <v>-971</v>
      </c>
      <c r="T153" s="149">
        <f>SUM(T145:T152)</f>
        <v>-19</v>
      </c>
      <c r="U153" s="150">
        <f>SUM(U145:U152)</f>
        <v>-88</v>
      </c>
      <c r="V153" s="150">
        <f>SUM(V145:V152)</f>
        <v>-302</v>
      </c>
      <c r="W153" s="151">
        <f>SUM(W145:W152)</f>
        <v>54</v>
      </c>
      <c r="X153" s="112">
        <f t="shared" si="218"/>
        <v>-355</v>
      </c>
      <c r="Y153" s="149">
        <f>SUM(Y145:Y152)</f>
        <v>-84</v>
      </c>
      <c r="Z153" s="150">
        <f>SUM(Z145:Z152)</f>
        <v>49</v>
      </c>
      <c r="AA153" s="150">
        <f>SUM(AA145:AA152)</f>
        <v>-617</v>
      </c>
      <c r="AB153" s="151">
        <f>SUM(AB145:AB152)</f>
        <v>203</v>
      </c>
      <c r="AC153" s="112">
        <f t="shared" si="222"/>
        <v>-449</v>
      </c>
      <c r="AD153" s="149">
        <f>SUM(AD145:AD152)</f>
        <v>22</v>
      </c>
      <c r="AE153" s="150">
        <f>SUM(AE145:AE152)</f>
        <v>-79</v>
      </c>
      <c r="AF153" s="150">
        <f>SUM(AF145:AF152)</f>
        <v>-511</v>
      </c>
      <c r="AG153" s="151">
        <f>SUM(AG145:AG152)</f>
        <v>406</v>
      </c>
      <c r="AH153" s="112">
        <f t="shared" si="226"/>
        <v>-162</v>
      </c>
      <c r="AI153" s="149">
        <f>SUM(AI145:AI152)</f>
        <v>-213</v>
      </c>
      <c r="AJ153" s="150">
        <f>SUM(AJ145:AJ152)</f>
        <v>232</v>
      </c>
      <c r="AK153" s="150">
        <f>SUM(AK145:AK152)</f>
        <v>-666</v>
      </c>
      <c r="AL153" s="151">
        <f>SUM(AL145:AL152)</f>
        <v>-142.9</v>
      </c>
      <c r="AM153" s="112">
        <f t="shared" si="231"/>
        <v>-789.9</v>
      </c>
      <c r="AN153" s="149">
        <f>SUM(AN145:AN152)</f>
        <v>352.40000000000009</v>
      </c>
      <c r="AO153" s="150">
        <f>SUM(AO145:AO152)</f>
        <v>294.39999999999981</v>
      </c>
      <c r="AP153" s="150">
        <f>SUM(AP145:AP152)</f>
        <v>-600.80000000000007</v>
      </c>
      <c r="AQ153" s="151">
        <f>SUM(AQ145:AQ152)</f>
        <v>455.4000000000002</v>
      </c>
      <c r="AR153" s="112">
        <f t="shared" si="249"/>
        <v>501.40000000000015</v>
      </c>
      <c r="AS153" s="149">
        <f>SUM(AS145:AS152)</f>
        <v>-1687.0999999999997</v>
      </c>
      <c r="AT153" s="150">
        <f>SUM(AT145:AT152)</f>
        <v>307.69999999999993</v>
      </c>
      <c r="AU153" s="150">
        <f>SUM(AU145:AU152)</f>
        <v>65.199999999999974</v>
      </c>
      <c r="AV153" s="151">
        <f>SUM(AV145:AV152)</f>
        <v>709.29999999999984</v>
      </c>
      <c r="AW153" s="112">
        <f t="shared" si="250"/>
        <v>-604.90000000000032</v>
      </c>
      <c r="AX153" s="149">
        <f>SUM(AX145:AX152)</f>
        <v>-715.1513576113357</v>
      </c>
      <c r="AY153" s="150">
        <f>SUM(AY145:AY152)</f>
        <v>1488.9933481487546</v>
      </c>
      <c r="AZ153" s="150">
        <f>SUM(AZ145:AZ152)</f>
        <v>1546.0606233166552</v>
      </c>
      <c r="BA153" s="151">
        <f>SUM(BA145:BA152)</f>
        <v>298.60235138520977</v>
      </c>
      <c r="BB153" s="112">
        <f t="shared" si="251"/>
        <v>2618.5049652392836</v>
      </c>
      <c r="BC153" s="149">
        <f>SUM(BC145:BC152)</f>
        <v>-1205.1316788122349</v>
      </c>
      <c r="BD153" s="150">
        <f>SUM(BD145:BD152)</f>
        <v>-429.42544900967988</v>
      </c>
      <c r="BE153" s="150">
        <f>SUM(BE145:BE152)</f>
        <v>5327.6291058503721</v>
      </c>
      <c r="BF153" s="151">
        <f>SUM(BF145:BF152)</f>
        <v>-766.38442184741905</v>
      </c>
      <c r="BG153" s="112">
        <f t="shared" si="252"/>
        <v>2926.687556181038</v>
      </c>
      <c r="BH153" s="149">
        <f>SUM(BH145:BH152)</f>
        <v>826.95381671433097</v>
      </c>
      <c r="BI153" s="150">
        <f>SUM(BI145:BI152)</f>
        <v>-526.39238331238209</v>
      </c>
      <c r="BJ153" s="150">
        <f>SUM(BJ145:BJ152)</f>
        <v>962.32083387240357</v>
      </c>
      <c r="BK153" s="151">
        <f>SUM(BK145:BK152)</f>
        <v>-252.91051031821854</v>
      </c>
      <c r="BL153" s="112">
        <f t="shared" si="253"/>
        <v>1009.971756956134</v>
      </c>
      <c r="BM153" s="149">
        <f>SUM(BM145:BM152)</f>
        <v>-821.8875620146955</v>
      </c>
      <c r="BN153" s="150">
        <f>SUM(BN145:BN152)</f>
        <v>-305.53571521097888</v>
      </c>
      <c r="BO153" s="150">
        <f>SUM(BO145:BO152)</f>
        <v>4059.5862927179946</v>
      </c>
      <c r="BP153" s="151">
        <f>SUM(BP145:BP152)</f>
        <v>-757.15879862768747</v>
      </c>
      <c r="BQ153" s="112">
        <f t="shared" si="254"/>
        <v>2175.0042168646332</v>
      </c>
      <c r="BR153" s="527"/>
      <c r="BS153" s="527"/>
      <c r="BT153" s="527"/>
      <c r="BU153" s="491"/>
      <c r="BV153" s="491"/>
      <c r="CG153" s="112">
        <f t="shared" ref="CG153:CS153" si="255">SUM(CG145:CG152)</f>
        <v>709</v>
      </c>
      <c r="CH153" s="112">
        <f t="shared" si="255"/>
        <v>568</v>
      </c>
      <c r="CI153" s="112">
        <f t="shared" si="255"/>
        <v>692</v>
      </c>
      <c r="CJ153" s="112">
        <f t="shared" si="255"/>
        <v>-172</v>
      </c>
      <c r="CK153" s="112">
        <f t="shared" si="255"/>
        <v>520</v>
      </c>
      <c r="CL153" s="112">
        <f t="shared" si="255"/>
        <v>756</v>
      </c>
      <c r="CM153" s="112">
        <f t="shared" si="255"/>
        <v>758</v>
      </c>
      <c r="CN153" s="112">
        <f t="shared" si="255"/>
        <v>473</v>
      </c>
      <c r="CO153" s="112">
        <f t="shared" si="255"/>
        <v>-808</v>
      </c>
      <c r="CP153" s="112">
        <f t="shared" si="255"/>
        <v>-335</v>
      </c>
      <c r="CQ153" s="112">
        <f t="shared" si="255"/>
        <v>114</v>
      </c>
      <c r="CR153" s="112">
        <f t="shared" si="255"/>
        <v>-329</v>
      </c>
      <c r="CS153" s="112">
        <f t="shared" si="255"/>
        <v>-1119</v>
      </c>
      <c r="CT153" s="112">
        <f t="shared" ref="CT153:DC153" si="256">SUM(CT145:CT152)</f>
        <v>148</v>
      </c>
      <c r="CU153" s="112">
        <f t="shared" si="256"/>
        <v>-971</v>
      </c>
      <c r="CV153" s="112">
        <f t="shared" si="256"/>
        <v>-19</v>
      </c>
      <c r="CW153" s="112">
        <f t="shared" si="256"/>
        <v>-107</v>
      </c>
      <c r="CX153" s="112">
        <f t="shared" si="256"/>
        <v>-409</v>
      </c>
      <c r="CY153" s="112">
        <f t="shared" si="256"/>
        <v>54</v>
      </c>
      <c r="CZ153" s="112">
        <f t="shared" si="256"/>
        <v>-355</v>
      </c>
      <c r="DA153" s="112">
        <f t="shared" si="256"/>
        <v>-84</v>
      </c>
      <c r="DB153" s="112">
        <f t="shared" si="256"/>
        <v>-35</v>
      </c>
      <c r="DC153" s="112">
        <f t="shared" si="256"/>
        <v>-652</v>
      </c>
      <c r="DD153" s="112">
        <f t="shared" ref="DD153:DL153" si="257">SUM(DD145:DD152)</f>
        <v>203</v>
      </c>
      <c r="DE153" s="112">
        <f t="shared" si="257"/>
        <v>-449</v>
      </c>
      <c r="DF153" s="112">
        <f t="shared" si="257"/>
        <v>22</v>
      </c>
      <c r="DG153" s="112">
        <f t="shared" si="257"/>
        <v>-57</v>
      </c>
      <c r="DH153" s="112">
        <f t="shared" si="257"/>
        <v>-568</v>
      </c>
      <c r="DI153" s="112">
        <f t="shared" si="257"/>
        <v>406</v>
      </c>
      <c r="DJ153" s="112">
        <f t="shared" si="257"/>
        <v>-162</v>
      </c>
      <c r="DK153" s="112">
        <f t="shared" si="257"/>
        <v>-213</v>
      </c>
      <c r="DL153" s="112">
        <f t="shared" si="257"/>
        <v>19</v>
      </c>
      <c r="DM153" s="112">
        <f t="shared" ref="DM153:DR153" si="258">SUM(DM145:DM152)</f>
        <v>-647</v>
      </c>
      <c r="DN153" s="112">
        <f t="shared" si="258"/>
        <v>-142.9</v>
      </c>
      <c r="DO153" s="1425">
        <f t="shared" si="258"/>
        <v>-789.9</v>
      </c>
      <c r="DP153" s="112">
        <f t="shared" si="258"/>
        <v>352.40000000000009</v>
      </c>
      <c r="DQ153" s="112">
        <f t="shared" si="258"/>
        <v>646.79999999999984</v>
      </c>
      <c r="DR153" s="112">
        <f t="shared" si="258"/>
        <v>45.999999999999915</v>
      </c>
      <c r="DS153" s="112">
        <f t="shared" ref="DS153:DY153" si="259">SUM(DS145:DS152)</f>
        <v>455.4000000000002</v>
      </c>
      <c r="DT153" s="1425">
        <f t="shared" si="259"/>
        <v>501.40000000000015</v>
      </c>
      <c r="DU153" s="112">
        <f t="shared" si="259"/>
        <v>-1687.0999999999997</v>
      </c>
      <c r="DV153" s="112">
        <f t="shared" si="259"/>
        <v>-1379.3999999999999</v>
      </c>
      <c r="DW153" s="112">
        <f t="shared" si="259"/>
        <v>-1314.2</v>
      </c>
      <c r="DX153" s="112">
        <f t="shared" si="259"/>
        <v>709.29999999999984</v>
      </c>
      <c r="DY153" s="1425">
        <f t="shared" si="259"/>
        <v>-604.90000000000032</v>
      </c>
    </row>
    <row r="154" spans="3:129">
      <c r="C154" s="56"/>
      <c r="D154" s="72"/>
      <c r="E154" s="149"/>
      <c r="F154" s="150"/>
      <c r="G154" s="150"/>
      <c r="H154" s="151"/>
      <c r="I154" s="112"/>
      <c r="J154" s="149"/>
      <c r="K154" s="150"/>
      <c r="L154" s="150"/>
      <c r="M154" s="151"/>
      <c r="N154" s="112"/>
      <c r="O154" s="149"/>
      <c r="P154" s="150"/>
      <c r="Q154" s="150"/>
      <c r="R154" s="151"/>
      <c r="S154" s="112"/>
      <c r="T154" s="149"/>
      <c r="U154" s="150"/>
      <c r="V154" s="150"/>
      <c r="W154" s="151"/>
      <c r="X154" s="112"/>
      <c r="Y154" s="149"/>
      <c r="Z154" s="150"/>
      <c r="AA154" s="150"/>
      <c r="AB154" s="151"/>
      <c r="AC154" s="112"/>
      <c r="AD154" s="149"/>
      <c r="AE154" s="150"/>
      <c r="AF154" s="150"/>
      <c r="AG154" s="151"/>
      <c r="AH154" s="112"/>
      <c r="AI154" s="149"/>
      <c r="AJ154" s="150"/>
      <c r="AK154" s="150"/>
      <c r="AL154" s="151"/>
      <c r="AM154" s="112"/>
      <c r="AN154" s="149"/>
      <c r="AO154" s="150"/>
      <c r="AP154" s="150"/>
      <c r="AQ154" s="151"/>
      <c r="AR154" s="112"/>
      <c r="AS154" s="149"/>
      <c r="AT154" s="150"/>
      <c r="AU154" s="150"/>
      <c r="AV154" s="151"/>
      <c r="AW154" s="112"/>
      <c r="AX154" s="149"/>
      <c r="AY154" s="150"/>
      <c r="AZ154" s="150"/>
      <c r="BA154" s="151"/>
      <c r="BB154" s="112"/>
      <c r="BC154" s="149"/>
      <c r="BD154" s="150"/>
      <c r="BE154" s="150"/>
      <c r="BF154" s="151"/>
      <c r="BG154" s="112"/>
      <c r="BH154" s="149"/>
      <c r="BI154" s="150"/>
      <c r="BJ154" s="150"/>
      <c r="BK154" s="151"/>
      <c r="BL154" s="112"/>
      <c r="BM154" s="149"/>
      <c r="BN154" s="150"/>
      <c r="BO154" s="150"/>
      <c r="BP154" s="151"/>
      <c r="BQ154" s="112"/>
      <c r="BR154" s="527"/>
      <c r="BS154" s="527"/>
      <c r="BT154" s="527"/>
      <c r="BU154" s="491"/>
      <c r="BV154" s="491"/>
      <c r="CG154" s="112"/>
      <c r="CH154" s="112"/>
      <c r="CI154" s="112"/>
      <c r="CJ154" s="112"/>
      <c r="CK154" s="112"/>
      <c r="CL154" s="112"/>
      <c r="CM154" s="112"/>
      <c r="CN154" s="112"/>
      <c r="CO154" s="112"/>
      <c r="CP154" s="112"/>
      <c r="CQ154" s="112"/>
      <c r="CR154" s="112"/>
      <c r="CS154" s="112"/>
      <c r="CT154" s="112"/>
      <c r="CU154" s="112"/>
      <c r="CV154" s="112"/>
      <c r="CW154" s="112"/>
      <c r="CX154" s="112"/>
      <c r="CY154" s="112"/>
      <c r="CZ154" s="112"/>
      <c r="DA154" s="112"/>
      <c r="DB154" s="112"/>
      <c r="DC154" s="112"/>
      <c r="DD154" s="112"/>
      <c r="DE154" s="112"/>
      <c r="DF154" s="112"/>
      <c r="DG154" s="112"/>
      <c r="DH154" s="112"/>
      <c r="DI154" s="112"/>
      <c r="DJ154" s="112"/>
      <c r="DK154" s="112"/>
      <c r="DL154" s="112"/>
      <c r="DM154" s="112"/>
      <c r="DN154" s="112"/>
      <c r="DO154" s="1425"/>
      <c r="DP154" s="112"/>
      <c r="DQ154" s="112"/>
      <c r="DR154" s="112"/>
      <c r="DS154" s="112"/>
      <c r="DT154" s="1425"/>
      <c r="DU154" s="112"/>
      <c r="DV154" s="112"/>
      <c r="DW154" s="112"/>
      <c r="DX154" s="112"/>
      <c r="DY154" s="1425"/>
    </row>
    <row r="155" spans="3:129">
      <c r="C155" s="56" t="s">
        <v>97</v>
      </c>
      <c r="D155" s="72"/>
      <c r="E155" s="149">
        <f t="shared" ref="E155:Q155" si="260">E139+E143+E153</f>
        <v>299</v>
      </c>
      <c r="F155" s="150">
        <f t="shared" si="260"/>
        <v>-352</v>
      </c>
      <c r="G155" s="150">
        <f t="shared" si="260"/>
        <v>519</v>
      </c>
      <c r="H155" s="151">
        <f t="shared" si="260"/>
        <v>-387</v>
      </c>
      <c r="I155" s="112">
        <f t="shared" si="260"/>
        <v>79</v>
      </c>
      <c r="J155" s="149">
        <f t="shared" si="260"/>
        <v>328</v>
      </c>
      <c r="K155" s="150">
        <f t="shared" si="260"/>
        <v>20</v>
      </c>
      <c r="L155" s="150">
        <f t="shared" si="260"/>
        <v>252</v>
      </c>
      <c r="M155" s="151">
        <f t="shared" si="260"/>
        <v>-796</v>
      </c>
      <c r="N155" s="112">
        <f t="shared" si="260"/>
        <v>-196</v>
      </c>
      <c r="O155" s="149">
        <f t="shared" si="260"/>
        <v>331</v>
      </c>
      <c r="P155" s="150">
        <f t="shared" si="260"/>
        <v>-208</v>
      </c>
      <c r="Q155" s="150">
        <f t="shared" si="260"/>
        <v>129</v>
      </c>
      <c r="R155" s="151">
        <f t="shared" ref="R155:Y155" si="261">R139+R143+R153</f>
        <v>-325</v>
      </c>
      <c r="S155" s="112">
        <f t="shared" si="261"/>
        <v>-73</v>
      </c>
      <c r="T155" s="149">
        <f t="shared" si="261"/>
        <v>65</v>
      </c>
      <c r="U155" s="150">
        <f t="shared" si="261"/>
        <v>11</v>
      </c>
      <c r="V155" s="150">
        <f t="shared" si="261"/>
        <v>146</v>
      </c>
      <c r="W155" s="151">
        <f t="shared" si="261"/>
        <v>-164</v>
      </c>
      <c r="X155" s="112">
        <f t="shared" si="261"/>
        <v>58</v>
      </c>
      <c r="Y155" s="149">
        <f t="shared" si="261"/>
        <v>-100</v>
      </c>
      <c r="Z155" s="150">
        <f t="shared" ref="Z155:AF155" si="262">Z139+Z143+Z153</f>
        <v>-62</v>
      </c>
      <c r="AA155" s="150">
        <f t="shared" si="262"/>
        <v>30</v>
      </c>
      <c r="AB155" s="151">
        <f t="shared" si="262"/>
        <v>-29</v>
      </c>
      <c r="AC155" s="112">
        <f t="shared" si="262"/>
        <v>-161</v>
      </c>
      <c r="AD155" s="149">
        <f t="shared" si="262"/>
        <v>174</v>
      </c>
      <c r="AE155" s="150">
        <f t="shared" si="262"/>
        <v>-102</v>
      </c>
      <c r="AF155" s="150">
        <f t="shared" si="262"/>
        <v>4</v>
      </c>
      <c r="AG155" s="151">
        <f t="shared" ref="AG155:AM155" si="263">AG139+AG143+AG153</f>
        <v>-31</v>
      </c>
      <c r="AH155" s="112">
        <f t="shared" si="263"/>
        <v>45</v>
      </c>
      <c r="AI155" s="149">
        <f t="shared" si="263"/>
        <v>27</v>
      </c>
      <c r="AJ155" s="150">
        <f t="shared" si="263"/>
        <v>5</v>
      </c>
      <c r="AK155" s="150">
        <f t="shared" si="263"/>
        <v>-17</v>
      </c>
      <c r="AL155" s="151">
        <f t="shared" si="263"/>
        <v>-1.5999999999998238</v>
      </c>
      <c r="AM155" s="112">
        <f t="shared" si="263"/>
        <v>13.400000000001114</v>
      </c>
      <c r="AN155" s="149">
        <f t="shared" ref="AN155:AR155" si="264">AN139+AN143+AN153</f>
        <v>14.000000000000227</v>
      </c>
      <c r="AO155" s="150">
        <f t="shared" si="264"/>
        <v>56.399999999999579</v>
      </c>
      <c r="AP155" s="150">
        <f t="shared" si="264"/>
        <v>-34.599999999999795</v>
      </c>
      <c r="AQ155" s="151">
        <f t="shared" si="264"/>
        <v>-1.7000000000001592</v>
      </c>
      <c r="AR155" s="112">
        <f t="shared" si="264"/>
        <v>34.100000000000875</v>
      </c>
      <c r="AS155" s="149">
        <f t="shared" ref="AS155:AW155" si="265">AS139+AS143+AS153</f>
        <v>-35.499999999999773</v>
      </c>
      <c r="AT155" s="150">
        <f t="shared" si="265"/>
        <v>-2.6000000000005912</v>
      </c>
      <c r="AU155" s="150">
        <f t="shared" si="265"/>
        <v>171.5000000000004</v>
      </c>
      <c r="AV155" s="151">
        <f t="shared" si="265"/>
        <v>-124.29999999999984</v>
      </c>
      <c r="AW155" s="112">
        <f t="shared" si="265"/>
        <v>9.1000000000005912</v>
      </c>
      <c r="AX155" s="149">
        <f t="shared" ref="AX155:BB155" si="266">AX139+AX143+AX153</f>
        <v>-1124.8567928152604</v>
      </c>
      <c r="AY155" s="150">
        <f t="shared" si="266"/>
        <v>967.98246618828205</v>
      </c>
      <c r="AZ155" s="150">
        <f t="shared" si="266"/>
        <v>1306.4305261971122</v>
      </c>
      <c r="BA155" s="151">
        <f t="shared" si="266"/>
        <v>-169.76033795860337</v>
      </c>
      <c r="BB155" s="112">
        <f t="shared" si="266"/>
        <v>979.7958616115302</v>
      </c>
      <c r="BC155" s="149">
        <f t="shared" ref="BC155:BL155" si="267">BC139+BC143+BC153</f>
        <v>-1737.7122419680049</v>
      </c>
      <c r="BD155" s="150">
        <f t="shared" si="267"/>
        <v>-1079.3756425146366</v>
      </c>
      <c r="BE155" s="150">
        <f t="shared" si="267"/>
        <v>4846.3181510483992</v>
      </c>
      <c r="BF155" s="151">
        <f t="shared" si="267"/>
        <v>-1407.3799748444808</v>
      </c>
      <c r="BG155" s="112">
        <f t="shared" si="267"/>
        <v>621.8502917212777</v>
      </c>
      <c r="BH155" s="149">
        <f t="shared" si="267"/>
        <v>506.09756332193251</v>
      </c>
      <c r="BI155" s="150">
        <f t="shared" si="267"/>
        <v>-938.16253498365302</v>
      </c>
      <c r="BJ155" s="150">
        <f t="shared" si="267"/>
        <v>754.3808180645168</v>
      </c>
      <c r="BK155" s="151">
        <f t="shared" si="267"/>
        <v>-636.04058122558968</v>
      </c>
      <c r="BL155" s="112">
        <f t="shared" si="267"/>
        <v>-313.72473482279247</v>
      </c>
      <c r="BM155" s="149">
        <f>BM139+BM143+BM153</f>
        <v>-2354.1312034105504</v>
      </c>
      <c r="BN155" s="150">
        <f>BN139+BN143+BN153</f>
        <v>-463.1946161913279</v>
      </c>
      <c r="BO155" s="150">
        <f>BO139+BO143+BO153</f>
        <v>4065.6073346965031</v>
      </c>
      <c r="BP155" s="151">
        <f>BP139+BP143+BP153</f>
        <v>-911.5926567924098</v>
      </c>
      <c r="BQ155" s="112">
        <f>BQ139+BQ143+BQ153</f>
        <v>336.68885830221552</v>
      </c>
      <c r="BR155" s="527"/>
      <c r="BS155" s="527"/>
      <c r="BT155" s="491"/>
      <c r="BU155" s="491"/>
      <c r="BV155" s="491"/>
      <c r="CG155" s="112">
        <f t="shared" ref="CG155:CS155" si="268">CG139+CG143+CG153</f>
        <v>299</v>
      </c>
      <c r="CH155" s="112">
        <f t="shared" si="268"/>
        <v>-53</v>
      </c>
      <c r="CI155" s="112">
        <f t="shared" si="268"/>
        <v>466</v>
      </c>
      <c r="CJ155" s="112">
        <f t="shared" si="268"/>
        <v>-387</v>
      </c>
      <c r="CK155" s="112">
        <f t="shared" si="268"/>
        <v>79</v>
      </c>
      <c r="CL155" s="112">
        <f t="shared" si="268"/>
        <v>328</v>
      </c>
      <c r="CM155" s="112">
        <f t="shared" si="268"/>
        <v>348</v>
      </c>
      <c r="CN155" s="112">
        <f t="shared" si="268"/>
        <v>600</v>
      </c>
      <c r="CO155" s="112">
        <f t="shared" si="268"/>
        <v>-796</v>
      </c>
      <c r="CP155" s="112">
        <f t="shared" si="268"/>
        <v>-196</v>
      </c>
      <c r="CQ155" s="112">
        <f t="shared" si="268"/>
        <v>331</v>
      </c>
      <c r="CR155" s="112">
        <f t="shared" si="268"/>
        <v>123</v>
      </c>
      <c r="CS155" s="112">
        <f t="shared" si="268"/>
        <v>252</v>
      </c>
      <c r="CT155" s="112">
        <f t="shared" ref="CT155:DA155" si="269">CT139+CT143+CT153</f>
        <v>-325</v>
      </c>
      <c r="CU155" s="112">
        <f t="shared" si="269"/>
        <v>-73</v>
      </c>
      <c r="CV155" s="112">
        <f t="shared" si="269"/>
        <v>65</v>
      </c>
      <c r="CW155" s="112">
        <f t="shared" si="269"/>
        <v>76</v>
      </c>
      <c r="CX155" s="112">
        <f t="shared" si="269"/>
        <v>222</v>
      </c>
      <c r="CY155" s="112">
        <f t="shared" si="269"/>
        <v>-164</v>
      </c>
      <c r="CZ155" s="112">
        <f t="shared" si="269"/>
        <v>58</v>
      </c>
      <c r="DA155" s="112">
        <f t="shared" si="269"/>
        <v>-100</v>
      </c>
      <c r="DB155" s="112">
        <f t="shared" ref="DB155:DH155" si="270">DB139+DB143+DB153</f>
        <v>-162</v>
      </c>
      <c r="DC155" s="112">
        <f t="shared" si="270"/>
        <v>-132</v>
      </c>
      <c r="DD155" s="112">
        <f t="shared" si="270"/>
        <v>-29</v>
      </c>
      <c r="DE155" s="112">
        <f t="shared" si="270"/>
        <v>-161</v>
      </c>
      <c r="DF155" s="112">
        <f t="shared" si="270"/>
        <v>174</v>
      </c>
      <c r="DG155" s="112">
        <f t="shared" si="270"/>
        <v>72</v>
      </c>
      <c r="DH155" s="112">
        <f t="shared" si="270"/>
        <v>76</v>
      </c>
      <c r="DI155" s="112">
        <f t="shared" ref="DI155:DO155" si="271">DI139+DI143+DI153</f>
        <v>-31</v>
      </c>
      <c r="DJ155" s="112">
        <f t="shared" si="271"/>
        <v>45</v>
      </c>
      <c r="DK155" s="112">
        <f t="shared" si="271"/>
        <v>27</v>
      </c>
      <c r="DL155" s="112">
        <f t="shared" si="271"/>
        <v>32</v>
      </c>
      <c r="DM155" s="112">
        <f t="shared" si="271"/>
        <v>15</v>
      </c>
      <c r="DN155" s="112">
        <f t="shared" si="271"/>
        <v>-1.5999999999998238</v>
      </c>
      <c r="DO155" s="1425">
        <f t="shared" si="271"/>
        <v>13.400000000001114</v>
      </c>
      <c r="DP155" s="112">
        <f t="shared" ref="DP155:DU155" si="272">DP139+DP143+DP153</f>
        <v>14.000000000000227</v>
      </c>
      <c r="DQ155" s="112">
        <f t="shared" si="272"/>
        <v>70.399999999999295</v>
      </c>
      <c r="DR155" s="112">
        <f t="shared" si="272"/>
        <v>35.799999999999642</v>
      </c>
      <c r="DS155" s="112">
        <f t="shared" si="272"/>
        <v>-1.7000000000001592</v>
      </c>
      <c r="DT155" s="1425">
        <f t="shared" si="272"/>
        <v>34.100000000000875</v>
      </c>
      <c r="DU155" s="112">
        <f t="shared" si="272"/>
        <v>-35.499999999999773</v>
      </c>
      <c r="DV155" s="112">
        <f>DV139+DV143+DV153</f>
        <v>-38.100000000000364</v>
      </c>
      <c r="DW155" s="112">
        <v>133.4</v>
      </c>
      <c r="DX155" s="112">
        <f t="shared" ref="DX155:DY155" si="273">DX139+DX143+DX153</f>
        <v>-124.29999999999984</v>
      </c>
      <c r="DY155" s="1425">
        <f t="shared" si="273"/>
        <v>9.1000000000005912</v>
      </c>
    </row>
    <row r="156" spans="3:129">
      <c r="C156" s="50" t="s">
        <v>98</v>
      </c>
      <c r="D156" s="72"/>
      <c r="E156" s="244">
        <f>CG156</f>
        <v>411</v>
      </c>
      <c r="F156" s="146">
        <f>E159</f>
        <v>710</v>
      </c>
      <c r="G156" s="146">
        <f>F159</f>
        <v>358</v>
      </c>
      <c r="H156" s="147">
        <f>G159</f>
        <v>877</v>
      </c>
      <c r="I156" s="245">
        <f>E156</f>
        <v>411</v>
      </c>
      <c r="J156" s="148">
        <f>I159</f>
        <v>490</v>
      </c>
      <c r="K156" s="146">
        <f>J159</f>
        <v>818</v>
      </c>
      <c r="L156" s="146">
        <f>K159</f>
        <v>838</v>
      </c>
      <c r="M156" s="147">
        <f>L159</f>
        <v>1090</v>
      </c>
      <c r="N156" s="72">
        <f>I159</f>
        <v>490</v>
      </c>
      <c r="O156" s="148">
        <f>N159</f>
        <v>294</v>
      </c>
      <c r="P156" s="146">
        <f>O159</f>
        <v>625</v>
      </c>
      <c r="Q156" s="146">
        <f>P159</f>
        <v>417</v>
      </c>
      <c r="R156" s="147">
        <f>Q159</f>
        <v>546</v>
      </c>
      <c r="S156" s="72">
        <f>N159</f>
        <v>294</v>
      </c>
      <c r="T156" s="148">
        <f>S159</f>
        <v>221</v>
      </c>
      <c r="U156" s="146">
        <f>T159</f>
        <v>286</v>
      </c>
      <c r="V156" s="146">
        <f>U159</f>
        <v>297</v>
      </c>
      <c r="W156" s="147">
        <f>V159</f>
        <v>443</v>
      </c>
      <c r="X156" s="72">
        <f>S159</f>
        <v>221</v>
      </c>
      <c r="Y156" s="148">
        <f>X159</f>
        <v>279</v>
      </c>
      <c r="Z156" s="146">
        <f>Y159</f>
        <v>179</v>
      </c>
      <c r="AA156" s="146">
        <f>Z159</f>
        <v>117</v>
      </c>
      <c r="AB156" s="147">
        <f>AA159</f>
        <v>147</v>
      </c>
      <c r="AC156" s="72">
        <f>X159</f>
        <v>279</v>
      </c>
      <c r="AD156" s="148">
        <f>AC159</f>
        <v>118</v>
      </c>
      <c r="AE156" s="146">
        <f>AD159</f>
        <v>292</v>
      </c>
      <c r="AF156" s="146">
        <f>AE159</f>
        <v>190</v>
      </c>
      <c r="AG156" s="147">
        <f>AF159</f>
        <v>194</v>
      </c>
      <c r="AH156" s="72">
        <f>AC159</f>
        <v>118</v>
      </c>
      <c r="AI156" s="148">
        <f>AH159</f>
        <v>163</v>
      </c>
      <c r="AJ156" s="146">
        <f>AI159</f>
        <v>190</v>
      </c>
      <c r="AK156" s="146">
        <f>AJ159</f>
        <v>195</v>
      </c>
      <c r="AL156" s="147">
        <f>AK159</f>
        <v>178</v>
      </c>
      <c r="AM156" s="72">
        <f>AH159</f>
        <v>163</v>
      </c>
      <c r="AN156" s="148">
        <f>AM159</f>
        <v>176.40000000000111</v>
      </c>
      <c r="AO156" s="146">
        <f>AN159</f>
        <v>190.40000000000134</v>
      </c>
      <c r="AP156" s="146">
        <f>AO159</f>
        <v>246.80000000000092</v>
      </c>
      <c r="AQ156" s="147">
        <f>AP159</f>
        <v>212.20000000000113</v>
      </c>
      <c r="AR156" s="72">
        <f>AM159</f>
        <v>176.40000000000111</v>
      </c>
      <c r="AS156" s="148">
        <f>AR159</f>
        <v>210.50000000000199</v>
      </c>
      <c r="AT156" s="146">
        <f>AS159</f>
        <v>175.00000000000222</v>
      </c>
      <c r="AU156" s="146">
        <f>AT159</f>
        <v>172.40000000000163</v>
      </c>
      <c r="AV156" s="147">
        <f>AU159</f>
        <v>343.90000000000202</v>
      </c>
      <c r="AW156" s="72">
        <f>AR159</f>
        <v>210.50000000000199</v>
      </c>
      <c r="AX156" s="148">
        <f>+AW159</f>
        <v>214.60000000000255</v>
      </c>
      <c r="AY156" s="146">
        <f>+AX159</f>
        <v>0</v>
      </c>
      <c r="AZ156" s="146">
        <f>+AY159</f>
        <v>0</v>
      </c>
      <c r="BA156" s="147">
        <f>+AZ159</f>
        <v>0</v>
      </c>
      <c r="BB156" s="72">
        <f>+AW159</f>
        <v>214.60000000000255</v>
      </c>
      <c r="BC156" s="148">
        <f>+BB159</f>
        <v>-1.1368683772161603E-13</v>
      </c>
      <c r="BD156" s="146">
        <f>+BC159</f>
        <v>0</v>
      </c>
      <c r="BE156" s="146">
        <f>+BD159</f>
        <v>0</v>
      </c>
      <c r="BF156" s="147">
        <f>+BE159</f>
        <v>1585.0261281772905</v>
      </c>
      <c r="BG156" s="72">
        <f>+BB159</f>
        <v>-1.1368683772161603E-13</v>
      </c>
      <c r="BH156" s="148">
        <f>+BG159</f>
        <v>177.64615333281051</v>
      </c>
      <c r="BI156" s="146">
        <f>+BH159</f>
        <v>683.74371665474303</v>
      </c>
      <c r="BJ156" s="146">
        <f>+BI159</f>
        <v>0</v>
      </c>
      <c r="BK156" s="147">
        <f>+BJ159</f>
        <v>499.96199973560681</v>
      </c>
      <c r="BL156" s="72">
        <f>+BG159</f>
        <v>177.64615333281051</v>
      </c>
      <c r="BM156" s="148">
        <f>+BL159</f>
        <v>9.0949470177292824E-13</v>
      </c>
      <c r="BN156" s="146">
        <f>+BM159</f>
        <v>0</v>
      </c>
      <c r="BO156" s="146">
        <f>+BN159</f>
        <v>0</v>
      </c>
      <c r="BP156" s="147">
        <f>+BO159</f>
        <v>1112.202933604643</v>
      </c>
      <c r="BQ156" s="72">
        <f>+BL159</f>
        <v>9.0949470177292824E-13</v>
      </c>
      <c r="BR156" s="491"/>
      <c r="BS156" s="491"/>
      <c r="BT156" s="491"/>
      <c r="BU156" s="491"/>
      <c r="BV156" s="491"/>
      <c r="CG156" s="145">
        <v>411</v>
      </c>
      <c r="CH156" s="109">
        <f>CG156</f>
        <v>411</v>
      </c>
      <c r="CI156" s="109">
        <f>CG156</f>
        <v>411</v>
      </c>
      <c r="CJ156" s="109">
        <f>CI159</f>
        <v>877</v>
      </c>
      <c r="CK156" s="109">
        <f>CG156</f>
        <v>411</v>
      </c>
      <c r="CL156" s="109">
        <f>CK159</f>
        <v>490</v>
      </c>
      <c r="CM156" s="109">
        <f>CL156</f>
        <v>490</v>
      </c>
      <c r="CN156" s="109">
        <f>CL156</f>
        <v>490</v>
      </c>
      <c r="CO156" s="109">
        <f>CN159</f>
        <v>1090</v>
      </c>
      <c r="CP156" s="145">
        <f>CL156</f>
        <v>490</v>
      </c>
      <c r="CQ156" s="109">
        <f>CP159</f>
        <v>294</v>
      </c>
      <c r="CR156" s="109">
        <f>CQ156</f>
        <v>294</v>
      </c>
      <c r="CS156" s="823">
        <f>CR156</f>
        <v>294</v>
      </c>
      <c r="CT156" s="109">
        <f>CS159</f>
        <v>546</v>
      </c>
      <c r="CU156" s="365">
        <f>CQ156</f>
        <v>294</v>
      </c>
      <c r="CV156" s="109">
        <f>CU159</f>
        <v>221</v>
      </c>
      <c r="CW156" s="109">
        <f>CV156</f>
        <v>221</v>
      </c>
      <c r="CX156" s="823">
        <f>CW156</f>
        <v>221</v>
      </c>
      <c r="CY156" s="109">
        <f>CX159</f>
        <v>443</v>
      </c>
      <c r="CZ156" s="365">
        <f>CV156</f>
        <v>221</v>
      </c>
      <c r="DA156" s="109">
        <f>CZ159</f>
        <v>279</v>
      </c>
      <c r="DB156" s="109">
        <f>DA156</f>
        <v>279</v>
      </c>
      <c r="DC156" s="823">
        <f>DB156</f>
        <v>279</v>
      </c>
      <c r="DD156" s="109">
        <f>DC159</f>
        <v>147</v>
      </c>
      <c r="DE156" s="365">
        <f>DA156</f>
        <v>279</v>
      </c>
      <c r="DF156" s="109">
        <f>DE159</f>
        <v>118</v>
      </c>
      <c r="DG156" s="109">
        <f>DF156</f>
        <v>118</v>
      </c>
      <c r="DH156" s="823">
        <f>DG156</f>
        <v>118</v>
      </c>
      <c r="DI156" s="109">
        <f>DH159</f>
        <v>194</v>
      </c>
      <c r="DJ156" s="365">
        <f>DF156</f>
        <v>118</v>
      </c>
      <c r="DK156" s="109">
        <f>DJ159</f>
        <v>163</v>
      </c>
      <c r="DL156" s="109">
        <f>DK156</f>
        <v>163</v>
      </c>
      <c r="DM156" s="109">
        <f>DL156</f>
        <v>163</v>
      </c>
      <c r="DN156" s="109">
        <f>DM159</f>
        <v>178</v>
      </c>
      <c r="DO156" s="1538">
        <f>DK156</f>
        <v>163</v>
      </c>
      <c r="DP156" s="109">
        <f>DO159</f>
        <v>176.40000000000111</v>
      </c>
      <c r="DQ156" s="109">
        <f>DP156</f>
        <v>176.40000000000111</v>
      </c>
      <c r="DR156" s="109">
        <f>DQ156</f>
        <v>176.40000000000111</v>
      </c>
      <c r="DS156" s="109">
        <f>DR159</f>
        <v>212.20000000000076</v>
      </c>
      <c r="DT156" s="1382">
        <f>DP156</f>
        <v>176.40000000000111</v>
      </c>
      <c r="DU156" s="109">
        <f>DT159</f>
        <v>210.50000000000199</v>
      </c>
      <c r="DV156" s="109">
        <f>+DU156</f>
        <v>210.50000000000199</v>
      </c>
      <c r="DW156" s="109">
        <v>210.5</v>
      </c>
      <c r="DX156" s="109">
        <f>DW159</f>
        <v>343.9</v>
      </c>
      <c r="DY156" s="1382">
        <f>DU156</f>
        <v>210.50000000000199</v>
      </c>
    </row>
    <row r="157" spans="3:129" s="1884" customFormat="1">
      <c r="C157" s="570" t="s">
        <v>1364</v>
      </c>
      <c r="D157" s="72"/>
      <c r="E157" s="244"/>
      <c r="F157" s="146"/>
      <c r="G157" s="146"/>
      <c r="H157" s="147"/>
      <c r="I157" s="245"/>
      <c r="J157" s="148"/>
      <c r="K157" s="146"/>
      <c r="L157" s="146"/>
      <c r="M157" s="147"/>
      <c r="N157" s="72"/>
      <c r="O157" s="148"/>
      <c r="P157" s="146"/>
      <c r="Q157" s="146"/>
      <c r="R157" s="147"/>
      <c r="S157" s="72"/>
      <c r="T157" s="148"/>
      <c r="U157" s="146"/>
      <c r="V157" s="146"/>
      <c r="W157" s="147"/>
      <c r="X157" s="72"/>
      <c r="Y157" s="148"/>
      <c r="Z157" s="146"/>
      <c r="AA157" s="146"/>
      <c r="AB157" s="147"/>
      <c r="AC157" s="72"/>
      <c r="AD157" s="148"/>
      <c r="AE157" s="146"/>
      <c r="AF157" s="146"/>
      <c r="AG157" s="147"/>
      <c r="AH157" s="72"/>
      <c r="AI157" s="148"/>
      <c r="AJ157" s="146"/>
      <c r="AK157" s="146"/>
      <c r="AL157" s="147"/>
      <c r="AM157" s="72"/>
      <c r="AN157" s="148"/>
      <c r="AO157" s="146"/>
      <c r="AP157" s="146"/>
      <c r="AQ157" s="147"/>
      <c r="AR157" s="72"/>
      <c r="AS157" s="148">
        <f t="shared" ref="AS157" si="274">+DU157</f>
        <v>0</v>
      </c>
      <c r="AT157" s="146">
        <f t="shared" ref="AT157" si="275">+DV157-DU157</f>
        <v>0</v>
      </c>
      <c r="AU157" s="146">
        <f t="shared" ref="AU157" si="276">+DW157-DV157</f>
        <v>0</v>
      </c>
      <c r="AV157" s="147">
        <f t="shared" ref="AV157" si="277">+AW157-DW157</f>
        <v>-5.0000000000000284</v>
      </c>
      <c r="AW157" s="72">
        <f t="shared" ref="AW157" si="278">DY157</f>
        <v>-5.0000000000000284</v>
      </c>
      <c r="AX157" s="148">
        <f t="shared" ref="AX157" si="279">+DZ157</f>
        <v>0</v>
      </c>
      <c r="AY157" s="146">
        <f t="shared" ref="AY157" si="280">+EA157-DZ157</f>
        <v>0</v>
      </c>
      <c r="AZ157" s="146">
        <f t="shared" ref="AZ157" si="281">+EB157-EA157</f>
        <v>0</v>
      </c>
      <c r="BA157" s="147">
        <f t="shared" ref="BA157" si="282">+BB157-EB157</f>
        <v>0</v>
      </c>
      <c r="BB157" s="72">
        <f t="shared" ref="BB157" si="283">ED157</f>
        <v>0</v>
      </c>
      <c r="BC157" s="148">
        <f t="shared" ref="BC157" si="284">+EE157</f>
        <v>0</v>
      </c>
      <c r="BD157" s="146">
        <f t="shared" ref="BD157" si="285">+EF157-EE157</f>
        <v>0</v>
      </c>
      <c r="BE157" s="146">
        <f t="shared" ref="BE157" si="286">+EG157-EF157</f>
        <v>0</v>
      </c>
      <c r="BF157" s="147">
        <f t="shared" ref="BF157" si="287">+BG157-EG157</f>
        <v>0</v>
      </c>
      <c r="BG157" s="72">
        <f t="shared" ref="BG157" si="288">EI157</f>
        <v>0</v>
      </c>
      <c r="BH157" s="148">
        <f t="shared" ref="BH157" si="289">+EJ157</f>
        <v>0</v>
      </c>
      <c r="BI157" s="146">
        <f t="shared" ref="BI157" si="290">+EK157-EJ157</f>
        <v>0</v>
      </c>
      <c r="BJ157" s="146">
        <f t="shared" ref="BJ157" si="291">+EL157-EK157</f>
        <v>0</v>
      </c>
      <c r="BK157" s="147">
        <f t="shared" ref="BK157" si="292">+BL157-EL157</f>
        <v>0</v>
      </c>
      <c r="BL157" s="72">
        <f t="shared" ref="BL157" si="293">EN157</f>
        <v>0</v>
      </c>
      <c r="BM157" s="148">
        <f t="shared" ref="BM157" si="294">+EO157</f>
        <v>0</v>
      </c>
      <c r="BN157" s="146">
        <f t="shared" ref="BN157" si="295">+EP157-EO157</f>
        <v>0</v>
      </c>
      <c r="BO157" s="146">
        <f t="shared" ref="BO157" si="296">+EQ157-EP157</f>
        <v>0</v>
      </c>
      <c r="BP157" s="147">
        <f t="shared" ref="BP157" si="297">+BQ157-EQ157</f>
        <v>0</v>
      </c>
      <c r="BQ157" s="72">
        <f t="shared" ref="BQ157" si="298">ES157</f>
        <v>0</v>
      </c>
      <c r="BR157" s="491"/>
      <c r="BS157" s="491"/>
      <c r="BT157" s="491"/>
      <c r="BU157" s="491"/>
      <c r="BV157" s="491"/>
      <c r="BY157"/>
      <c r="BZ157"/>
      <c r="CA157"/>
      <c r="CB157"/>
      <c r="CC157"/>
      <c r="CD157"/>
      <c r="CE157" s="50"/>
      <c r="CG157" s="145"/>
      <c r="CH157" s="109"/>
      <c r="CI157" s="109"/>
      <c r="CJ157" s="109"/>
      <c r="CK157" s="109"/>
      <c r="CL157" s="109"/>
      <c r="CM157" s="109"/>
      <c r="CN157" s="109"/>
      <c r="CO157" s="109"/>
      <c r="CP157" s="145"/>
      <c r="CQ157" s="109"/>
      <c r="CR157" s="109"/>
      <c r="CS157" s="823"/>
      <c r="CT157" s="109"/>
      <c r="CU157" s="365"/>
      <c r="CV157" s="109"/>
      <c r="CW157" s="109"/>
      <c r="CX157" s="823"/>
      <c r="CY157" s="109"/>
      <c r="CZ157" s="365"/>
      <c r="DA157" s="109"/>
      <c r="DB157" s="109"/>
      <c r="DC157" s="823"/>
      <c r="DD157" s="109"/>
      <c r="DE157" s="365"/>
      <c r="DF157" s="109"/>
      <c r="DG157" s="109"/>
      <c r="DH157" s="823"/>
      <c r="DI157" s="109"/>
      <c r="DJ157" s="365"/>
      <c r="DK157" s="109"/>
      <c r="DL157" s="109"/>
      <c r="DM157" s="109"/>
      <c r="DN157" s="109"/>
      <c r="DO157" s="1538"/>
      <c r="DP157" s="109"/>
      <c r="DQ157" s="109"/>
      <c r="DR157" s="109"/>
      <c r="DS157" s="109"/>
      <c r="DT157" s="1382"/>
      <c r="DU157" s="109"/>
      <c r="DV157" s="109"/>
      <c r="DW157" s="109"/>
      <c r="DX157" s="109">
        <f t="shared" ref="DX157" si="299">DY157-DW157</f>
        <v>-5.0000000000000284</v>
      </c>
      <c r="DY157" s="1424">
        <f>403.5-210.5+(214.6-412.6)</f>
        <v>-5.0000000000000284</v>
      </c>
    </row>
    <row r="158" spans="3:129">
      <c r="C158" s="50" t="s">
        <v>89</v>
      </c>
      <c r="D158" s="72"/>
      <c r="E158" s="148">
        <f>+CG158</f>
        <v>0</v>
      </c>
      <c r="F158" s="146">
        <f>+CH158-CG158</f>
        <v>0</v>
      </c>
      <c r="G158" s="146">
        <f>+CI158-CH158</f>
        <v>0</v>
      </c>
      <c r="H158" s="147">
        <f>+I158-CI158</f>
        <v>0</v>
      </c>
      <c r="I158" s="72">
        <v>0</v>
      </c>
      <c r="J158" s="148">
        <f>+CL158</f>
        <v>0</v>
      </c>
      <c r="K158" s="146">
        <f>+CM158-CL158</f>
        <v>0</v>
      </c>
      <c r="L158" s="146">
        <f>+CN158-CM158</f>
        <v>0</v>
      </c>
      <c r="M158" s="147">
        <f>+N158-CN158</f>
        <v>0</v>
      </c>
      <c r="N158" s="72">
        <f>CP158</f>
        <v>0</v>
      </c>
      <c r="O158" s="148">
        <f>+CQ158</f>
        <v>0</v>
      </c>
      <c r="P158" s="146">
        <f>+CR158-CQ158</f>
        <v>0</v>
      </c>
      <c r="Q158" s="146">
        <f>+CS158-CR158</f>
        <v>0</v>
      </c>
      <c r="R158" s="147">
        <f>+S158-CS158</f>
        <v>0</v>
      </c>
      <c r="S158" s="72">
        <f>CU158</f>
        <v>0</v>
      </c>
      <c r="T158" s="148">
        <f>+CV158</f>
        <v>0</v>
      </c>
      <c r="U158" s="146">
        <f>+CW158-CV158</f>
        <v>0</v>
      </c>
      <c r="V158" s="146">
        <f>+CX158-CW158</f>
        <v>0</v>
      </c>
      <c r="W158" s="147">
        <f>+X158-CX158</f>
        <v>0</v>
      </c>
      <c r="X158" s="72">
        <f>CZ158</f>
        <v>0</v>
      </c>
      <c r="Y158" s="148">
        <f>+DA158</f>
        <v>0</v>
      </c>
      <c r="Z158" s="146">
        <f>+DB158-DA158</f>
        <v>0</v>
      </c>
      <c r="AA158" s="146">
        <f>+DC158-DB158</f>
        <v>0</v>
      </c>
      <c r="AB158" s="147">
        <f>+AC158-DC158</f>
        <v>0</v>
      </c>
      <c r="AC158" s="72">
        <f>DE158</f>
        <v>0</v>
      </c>
      <c r="AD158" s="148">
        <f>+DF158</f>
        <v>0</v>
      </c>
      <c r="AE158" s="146">
        <f>+DG158-DF158</f>
        <v>0</v>
      </c>
      <c r="AF158" s="146">
        <f>+DH158-DG158</f>
        <v>0</v>
      </c>
      <c r="AG158" s="147">
        <f>+AH158-DH158</f>
        <v>0</v>
      </c>
      <c r="AH158" s="72">
        <f>DJ158</f>
        <v>0</v>
      </c>
      <c r="AI158" s="148">
        <f>+DK158</f>
        <v>0</v>
      </c>
      <c r="AJ158" s="146">
        <f>+DL158-DK158</f>
        <v>0</v>
      </c>
      <c r="AK158" s="146">
        <f>+DM158-DL158</f>
        <v>0</v>
      </c>
      <c r="AL158" s="147">
        <f>+AM158-DM158</f>
        <v>0</v>
      </c>
      <c r="AM158" s="72">
        <f>DO158</f>
        <v>0</v>
      </c>
      <c r="AN158" s="148">
        <f>+DP158</f>
        <v>0</v>
      </c>
      <c r="AO158" s="146">
        <f>+DQ158-DP158</f>
        <v>0</v>
      </c>
      <c r="AP158" s="146">
        <f>+DR158-DQ158</f>
        <v>0</v>
      </c>
      <c r="AQ158" s="147">
        <f>+AR158-DR158</f>
        <v>0</v>
      </c>
      <c r="AR158" s="72">
        <f>DT158</f>
        <v>0</v>
      </c>
      <c r="AS158" s="148">
        <f>+DU158</f>
        <v>0</v>
      </c>
      <c r="AT158" s="146">
        <f>+DV158-DU158</f>
        <v>0</v>
      </c>
      <c r="AU158" s="146">
        <f>+DW158-DV158</f>
        <v>0</v>
      </c>
      <c r="AV158" s="147">
        <f>+AW158-DW158</f>
        <v>0</v>
      </c>
      <c r="AW158" s="72">
        <f>DY158</f>
        <v>0</v>
      </c>
      <c r="AX158" s="161">
        <f>IF((AX155+AX156)&gt;=AW214,-AW214,-(AX155+AX156))</f>
        <v>910.25679281525788</v>
      </c>
      <c r="AY158" s="146">
        <f>IF((AY155+AY156)&gt;=AX214,-AX214,-(AY155+AY156))</f>
        <v>-967.98246618828205</v>
      </c>
      <c r="AZ158" s="146">
        <f>IF((AZ155+AZ156)&gt;=AY214,-AY214,-(AZ155+AZ156))</f>
        <v>-1306.4305261971122</v>
      </c>
      <c r="BA158" s="147">
        <f>IF((BA155+BA156)&gt;=AZ214,-AZ214,-(BA155+BA156))</f>
        <v>169.76033795860337</v>
      </c>
      <c r="BB158" s="72">
        <f>SUM(AX158:BA158)</f>
        <v>-1194.3958616115328</v>
      </c>
      <c r="BC158" s="161">
        <f>IF((BC155+BC156)&gt;=BB214,-BB214,-(BC155+BC156))</f>
        <v>1737.7122419680049</v>
      </c>
      <c r="BD158" s="146">
        <f>IF((BD155+BD156)&gt;=BC214,-BC214,-(BD155+BD156))</f>
        <v>1079.3756425146366</v>
      </c>
      <c r="BE158" s="146">
        <f>IF((BE155+BE156)&gt;=BD214,-BD214,-(BE155+BE156))</f>
        <v>-3261.2920228711087</v>
      </c>
      <c r="BF158" s="147">
        <f>IF((BF155+BF156)&gt;=BE214,-BE214,-(BF155+BF156))</f>
        <v>0</v>
      </c>
      <c r="BG158" s="72">
        <f>SUM(BC158:BF158)</f>
        <v>-444.20413838846707</v>
      </c>
      <c r="BH158" s="161">
        <f>IF((BH155+BH156)&gt;=BG214,-BG214,-(BH155+BH156))</f>
        <v>0</v>
      </c>
      <c r="BI158" s="146">
        <f>IF((BI155+BI156)&gt;=BH214,-BH214,-(BI155+BI156))</f>
        <v>254.41881832890999</v>
      </c>
      <c r="BJ158" s="146">
        <f>IF((BJ155+BJ156)&gt;=BI214,-BI214,-(BJ155+BJ156))</f>
        <v>-254.41881832890999</v>
      </c>
      <c r="BK158" s="147">
        <f>IF((BK155+BK156)&gt;=BJ214,-BJ214,-(BK155+BK156))</f>
        <v>136.07858148998287</v>
      </c>
      <c r="BL158" s="72">
        <f>SUM(BH158:BK158)</f>
        <v>136.07858148998287</v>
      </c>
      <c r="BM158" s="161">
        <f>IF((BM155+BM156)&gt;=BL214,-BL214,-(BM155+BM156))</f>
        <v>2354.1312034105495</v>
      </c>
      <c r="BN158" s="146">
        <f>IF((BN155+BN156)&gt;=BM214,-BM214,-(BN155+BN156))</f>
        <v>463.1946161913279</v>
      </c>
      <c r="BO158" s="146">
        <f>IF((BO155+BO156)&gt;=BN214,-BN214,-(BO155+BO156))</f>
        <v>-2953.4044010918601</v>
      </c>
      <c r="BP158" s="147">
        <f>IF((BP155+BP156)&gt;=BO214,-BO214,-(BP155+BP156))</f>
        <v>0</v>
      </c>
      <c r="BQ158" s="72">
        <f>SUM(BM158:BP158)</f>
        <v>-136.07858148998275</v>
      </c>
      <c r="BR158" s="491"/>
      <c r="BS158" s="491"/>
      <c r="BT158" s="491"/>
      <c r="BU158" s="491"/>
      <c r="BV158" s="491"/>
      <c r="CG158" s="241"/>
      <c r="CH158" s="241"/>
      <c r="CI158" s="241"/>
      <c r="CJ158" s="109">
        <f>CK158-CI158</f>
        <v>0</v>
      </c>
      <c r="CK158" s="241"/>
      <c r="CL158" s="241"/>
      <c r="CM158" s="241"/>
      <c r="CN158" s="241"/>
      <c r="CO158" s="109">
        <f>CP158-CN158</f>
        <v>0</v>
      </c>
      <c r="CP158" s="241"/>
      <c r="CQ158" s="241"/>
      <c r="CR158" s="241"/>
      <c r="CS158" s="242"/>
      <c r="CT158" s="109">
        <f>CU158-CS158</f>
        <v>0</v>
      </c>
      <c r="CU158" s="241"/>
      <c r="CV158" s="241"/>
      <c r="CW158" s="241"/>
      <c r="CX158" s="242"/>
      <c r="CY158" s="109">
        <f>CZ158-CX158</f>
        <v>0</v>
      </c>
      <c r="CZ158" s="241"/>
      <c r="DA158" s="241"/>
      <c r="DB158" s="241"/>
      <c r="DC158" s="242"/>
      <c r="DD158" s="109">
        <f>DE158-DC158</f>
        <v>0</v>
      </c>
      <c r="DE158" s="241"/>
      <c r="DF158" s="241"/>
      <c r="DG158" s="241"/>
      <c r="DH158" s="242"/>
      <c r="DI158" s="109">
        <f>DJ158-DH158</f>
        <v>0</v>
      </c>
      <c r="DJ158" s="241"/>
      <c r="DK158" s="241"/>
      <c r="DL158" s="241"/>
      <c r="DN158" s="109">
        <f>DO158-DM158</f>
        <v>0</v>
      </c>
      <c r="DO158" s="1539"/>
      <c r="DP158" s="241"/>
      <c r="DQ158" s="241"/>
      <c r="DR158" s="241"/>
      <c r="DS158" s="109">
        <f>DT158-DR158</f>
        <v>0</v>
      </c>
      <c r="DT158" s="1539"/>
      <c r="DU158" s="241"/>
      <c r="DV158" s="241"/>
      <c r="DW158" s="241"/>
      <c r="DX158" s="109">
        <f>DY158-DW158</f>
        <v>0</v>
      </c>
      <c r="DY158" s="1539"/>
    </row>
    <row r="159" spans="3:129">
      <c r="C159" s="56" t="s">
        <v>99</v>
      </c>
      <c r="D159" s="72">
        <f>+E156</f>
        <v>411</v>
      </c>
      <c r="E159" s="149">
        <f t="shared" ref="E159:H159" si="300">E158+E156+E155</f>
        <v>710</v>
      </c>
      <c r="F159" s="150">
        <f t="shared" si="300"/>
        <v>358</v>
      </c>
      <c r="G159" s="150">
        <f t="shared" si="300"/>
        <v>877</v>
      </c>
      <c r="H159" s="151">
        <f t="shared" si="300"/>
        <v>490</v>
      </c>
      <c r="I159" s="112">
        <f t="shared" ref="I159:AV159" si="301">I158+I156+I155+I157</f>
        <v>490</v>
      </c>
      <c r="J159" s="149">
        <f t="shared" si="301"/>
        <v>818</v>
      </c>
      <c r="K159" s="150">
        <f t="shared" si="301"/>
        <v>838</v>
      </c>
      <c r="L159" s="150">
        <f t="shared" si="301"/>
        <v>1090</v>
      </c>
      <c r="M159" s="151">
        <f t="shared" si="301"/>
        <v>294</v>
      </c>
      <c r="N159" s="112">
        <f t="shared" si="301"/>
        <v>294</v>
      </c>
      <c r="O159" s="149">
        <f t="shared" si="301"/>
        <v>625</v>
      </c>
      <c r="P159" s="150">
        <f t="shared" si="301"/>
        <v>417</v>
      </c>
      <c r="Q159" s="150">
        <f t="shared" si="301"/>
        <v>546</v>
      </c>
      <c r="R159" s="151">
        <f t="shared" si="301"/>
        <v>221</v>
      </c>
      <c r="S159" s="112">
        <f t="shared" si="301"/>
        <v>221</v>
      </c>
      <c r="T159" s="149">
        <f t="shared" si="301"/>
        <v>286</v>
      </c>
      <c r="U159" s="150">
        <f t="shared" si="301"/>
        <v>297</v>
      </c>
      <c r="V159" s="150">
        <f t="shared" si="301"/>
        <v>443</v>
      </c>
      <c r="W159" s="151">
        <f t="shared" si="301"/>
        <v>279</v>
      </c>
      <c r="X159" s="112">
        <f t="shared" si="301"/>
        <v>279</v>
      </c>
      <c r="Y159" s="149">
        <f t="shared" si="301"/>
        <v>179</v>
      </c>
      <c r="Z159" s="150">
        <f t="shared" si="301"/>
        <v>117</v>
      </c>
      <c r="AA159" s="150">
        <f t="shared" si="301"/>
        <v>147</v>
      </c>
      <c r="AB159" s="151">
        <f t="shared" si="301"/>
        <v>118</v>
      </c>
      <c r="AC159" s="112">
        <f t="shared" si="301"/>
        <v>118</v>
      </c>
      <c r="AD159" s="149">
        <f t="shared" si="301"/>
        <v>292</v>
      </c>
      <c r="AE159" s="150">
        <f t="shared" si="301"/>
        <v>190</v>
      </c>
      <c r="AF159" s="150">
        <f t="shared" si="301"/>
        <v>194</v>
      </c>
      <c r="AG159" s="151">
        <f t="shared" si="301"/>
        <v>163</v>
      </c>
      <c r="AH159" s="112">
        <f t="shared" si="301"/>
        <v>163</v>
      </c>
      <c r="AI159" s="149">
        <f t="shared" si="301"/>
        <v>190</v>
      </c>
      <c r="AJ159" s="150">
        <f t="shared" si="301"/>
        <v>195</v>
      </c>
      <c r="AK159" s="150">
        <f t="shared" si="301"/>
        <v>178</v>
      </c>
      <c r="AL159" s="151">
        <f t="shared" si="301"/>
        <v>176.40000000000018</v>
      </c>
      <c r="AM159" s="112">
        <f t="shared" si="301"/>
        <v>176.40000000000111</v>
      </c>
      <c r="AN159" s="149">
        <f t="shared" si="301"/>
        <v>190.40000000000134</v>
      </c>
      <c r="AO159" s="150">
        <f t="shared" si="301"/>
        <v>246.80000000000092</v>
      </c>
      <c r="AP159" s="150">
        <f t="shared" si="301"/>
        <v>212.20000000000113</v>
      </c>
      <c r="AQ159" s="151">
        <f t="shared" si="301"/>
        <v>210.50000000000097</v>
      </c>
      <c r="AR159" s="112">
        <f t="shared" si="301"/>
        <v>210.50000000000199</v>
      </c>
      <c r="AS159" s="149">
        <f t="shared" si="301"/>
        <v>175.00000000000222</v>
      </c>
      <c r="AT159" s="150">
        <f t="shared" si="301"/>
        <v>172.40000000000163</v>
      </c>
      <c r="AU159" s="150">
        <f t="shared" si="301"/>
        <v>343.90000000000202</v>
      </c>
      <c r="AV159" s="151">
        <f t="shared" si="301"/>
        <v>214.60000000000215</v>
      </c>
      <c r="AW159" s="112">
        <f>AW158+AW156+AW155+AW157</f>
        <v>214.60000000000255</v>
      </c>
      <c r="AX159" s="149">
        <f t="shared" ref="AX159:BQ159" si="302">AX158+AX156+AX155+AX157</f>
        <v>0</v>
      </c>
      <c r="AY159" s="150">
        <f>AY158+AY156+AY155+AY157</f>
        <v>0</v>
      </c>
      <c r="AZ159" s="150">
        <f t="shared" si="302"/>
        <v>0</v>
      </c>
      <c r="BA159" s="151">
        <f t="shared" si="302"/>
        <v>0</v>
      </c>
      <c r="BB159" s="112">
        <f t="shared" si="302"/>
        <v>-1.1368683772161603E-13</v>
      </c>
      <c r="BC159" s="149">
        <f t="shared" si="302"/>
        <v>0</v>
      </c>
      <c r="BD159" s="150">
        <f t="shared" si="302"/>
        <v>0</v>
      </c>
      <c r="BE159" s="150">
        <f t="shared" si="302"/>
        <v>1585.0261281772905</v>
      </c>
      <c r="BF159" s="151">
        <f t="shared" si="302"/>
        <v>177.64615333280972</v>
      </c>
      <c r="BG159" s="112">
        <f t="shared" si="302"/>
        <v>177.64615333281051</v>
      </c>
      <c r="BH159" s="149">
        <f t="shared" si="302"/>
        <v>683.74371665474303</v>
      </c>
      <c r="BI159" s="150">
        <f t="shared" si="302"/>
        <v>0</v>
      </c>
      <c r="BJ159" s="150">
        <f t="shared" si="302"/>
        <v>499.96199973560681</v>
      </c>
      <c r="BK159" s="151">
        <f t="shared" si="302"/>
        <v>0</v>
      </c>
      <c r="BL159" s="112">
        <f t="shared" si="302"/>
        <v>9.0949470177292824E-13</v>
      </c>
      <c r="BM159" s="149">
        <f t="shared" si="302"/>
        <v>0</v>
      </c>
      <c r="BN159" s="150">
        <f t="shared" si="302"/>
        <v>0</v>
      </c>
      <c r="BO159" s="150">
        <f t="shared" si="302"/>
        <v>1112.202933604643</v>
      </c>
      <c r="BP159" s="151">
        <f t="shared" si="302"/>
        <v>200.61027681223322</v>
      </c>
      <c r="BQ159" s="112">
        <f t="shared" si="302"/>
        <v>200.61027681223368</v>
      </c>
      <c r="BR159" s="491"/>
      <c r="BS159" s="491"/>
      <c r="BT159" s="491"/>
      <c r="BU159" s="491"/>
      <c r="BV159" s="491"/>
      <c r="CG159" s="112">
        <f t="shared" ref="CG159:DX159" si="303">CG156+CG155+CG158+CG157</f>
        <v>710</v>
      </c>
      <c r="CH159" s="112">
        <f t="shared" si="303"/>
        <v>358</v>
      </c>
      <c r="CI159" s="112">
        <f t="shared" si="303"/>
        <v>877</v>
      </c>
      <c r="CJ159" s="112">
        <f t="shared" si="303"/>
        <v>490</v>
      </c>
      <c r="CK159" s="112">
        <f t="shared" si="303"/>
        <v>490</v>
      </c>
      <c r="CL159" s="112">
        <f t="shared" si="303"/>
        <v>818</v>
      </c>
      <c r="CM159" s="112">
        <f t="shared" si="303"/>
        <v>838</v>
      </c>
      <c r="CN159" s="112">
        <f t="shared" si="303"/>
        <v>1090</v>
      </c>
      <c r="CO159" s="112">
        <f t="shared" si="303"/>
        <v>294</v>
      </c>
      <c r="CP159" s="112">
        <f t="shared" si="303"/>
        <v>294</v>
      </c>
      <c r="CQ159" s="112">
        <f t="shared" si="303"/>
        <v>625</v>
      </c>
      <c r="CR159" s="112">
        <f t="shared" si="303"/>
        <v>417</v>
      </c>
      <c r="CS159" s="112">
        <f t="shared" si="303"/>
        <v>546</v>
      </c>
      <c r="CT159" s="112">
        <f t="shared" si="303"/>
        <v>221</v>
      </c>
      <c r="CU159" s="112">
        <f t="shared" si="303"/>
        <v>221</v>
      </c>
      <c r="CV159" s="112">
        <f t="shared" si="303"/>
        <v>286</v>
      </c>
      <c r="CW159" s="112">
        <f t="shared" si="303"/>
        <v>297</v>
      </c>
      <c r="CX159" s="112">
        <f t="shared" si="303"/>
        <v>443</v>
      </c>
      <c r="CY159" s="112">
        <f t="shared" si="303"/>
        <v>279</v>
      </c>
      <c r="CZ159" s="112">
        <f t="shared" si="303"/>
        <v>279</v>
      </c>
      <c r="DA159" s="112">
        <f t="shared" si="303"/>
        <v>179</v>
      </c>
      <c r="DB159" s="112">
        <f t="shared" si="303"/>
        <v>117</v>
      </c>
      <c r="DC159" s="112">
        <f t="shared" si="303"/>
        <v>147</v>
      </c>
      <c r="DD159" s="112">
        <f t="shared" si="303"/>
        <v>118</v>
      </c>
      <c r="DE159" s="112">
        <f t="shared" si="303"/>
        <v>118</v>
      </c>
      <c r="DF159" s="112">
        <f t="shared" si="303"/>
        <v>292</v>
      </c>
      <c r="DG159" s="112">
        <f t="shared" si="303"/>
        <v>190</v>
      </c>
      <c r="DH159" s="112">
        <f t="shared" si="303"/>
        <v>194</v>
      </c>
      <c r="DI159" s="112">
        <f t="shared" si="303"/>
        <v>163</v>
      </c>
      <c r="DJ159" s="112">
        <f t="shared" si="303"/>
        <v>163</v>
      </c>
      <c r="DK159" s="112">
        <f t="shared" si="303"/>
        <v>190</v>
      </c>
      <c r="DL159" s="112">
        <f t="shared" si="303"/>
        <v>195</v>
      </c>
      <c r="DM159">
        <f t="shared" si="303"/>
        <v>178</v>
      </c>
      <c r="DN159" s="112">
        <f t="shared" si="303"/>
        <v>176.40000000000018</v>
      </c>
      <c r="DO159" s="1425">
        <f t="shared" si="303"/>
        <v>176.40000000000111</v>
      </c>
      <c r="DP159" s="112">
        <f t="shared" si="303"/>
        <v>190.40000000000134</v>
      </c>
      <c r="DQ159" s="112">
        <f t="shared" si="303"/>
        <v>246.80000000000041</v>
      </c>
      <c r="DR159" s="112">
        <f t="shared" si="303"/>
        <v>212.20000000000076</v>
      </c>
      <c r="DS159" s="112">
        <f t="shared" si="303"/>
        <v>210.5000000000006</v>
      </c>
      <c r="DT159" s="1425">
        <f t="shared" si="303"/>
        <v>210.50000000000199</v>
      </c>
      <c r="DU159" s="112">
        <f t="shared" si="303"/>
        <v>175.00000000000222</v>
      </c>
      <c r="DV159" s="112">
        <f t="shared" si="303"/>
        <v>172.40000000000163</v>
      </c>
      <c r="DW159" s="112">
        <f t="shared" si="303"/>
        <v>343.9</v>
      </c>
      <c r="DX159" s="112">
        <f t="shared" si="303"/>
        <v>214.60000000000011</v>
      </c>
      <c r="DY159" s="1425">
        <f>DY156+DY155+DY158+DY157</f>
        <v>214.60000000000255</v>
      </c>
    </row>
    <row r="160" spans="3:129">
      <c r="D160" s="72"/>
      <c r="E160" s="148"/>
      <c r="F160" s="163"/>
      <c r="G160" s="163"/>
      <c r="H160" s="147"/>
      <c r="I160" s="72"/>
      <c r="J160" s="148"/>
      <c r="K160" s="163"/>
      <c r="L160" s="163"/>
      <c r="M160" s="147"/>
      <c r="N160" s="72"/>
      <c r="O160" s="148"/>
      <c r="P160" s="163"/>
      <c r="Q160" s="163"/>
      <c r="R160" s="147"/>
      <c r="S160" s="72"/>
      <c r="T160" s="148"/>
      <c r="U160" s="163"/>
      <c r="V160" s="163"/>
      <c r="W160" s="147"/>
      <c r="X160" s="72"/>
      <c r="Y160" s="148"/>
      <c r="Z160" s="163"/>
      <c r="AA160" s="163"/>
      <c r="AB160" s="147"/>
      <c r="AC160" s="72"/>
      <c r="AD160" s="148"/>
      <c r="AE160" s="163"/>
      <c r="AF160" s="163"/>
      <c r="AG160" s="147"/>
      <c r="AH160" s="72"/>
      <c r="AI160" s="148"/>
      <c r="AJ160" s="163"/>
      <c r="AK160" s="163"/>
      <c r="AL160" s="147"/>
      <c r="AM160" s="72"/>
      <c r="AN160" s="148"/>
      <c r="AO160" s="163"/>
      <c r="AP160" s="163"/>
      <c r="AQ160" s="147"/>
      <c r="AR160" s="1239"/>
      <c r="AS160" s="148"/>
      <c r="AT160" s="163"/>
      <c r="AU160" s="163"/>
      <c r="AV160" s="147"/>
      <c r="AW160" s="72"/>
      <c r="AX160" s="148"/>
      <c r="AY160" s="163"/>
      <c r="AZ160" s="163"/>
      <c r="BA160" s="147"/>
      <c r="BB160" s="72"/>
      <c r="BC160" s="148"/>
      <c r="BD160" s="163"/>
      <c r="BE160" s="163"/>
      <c r="BF160" s="147"/>
      <c r="BG160" s="72"/>
      <c r="BH160" s="148"/>
      <c r="BI160" s="163"/>
      <c r="BJ160" s="163"/>
      <c r="BK160" s="147"/>
      <c r="BL160" s="72"/>
      <c r="BM160" s="148"/>
      <c r="BN160" s="163"/>
      <c r="BO160" s="163"/>
      <c r="BP160" s="147"/>
      <c r="BQ160" s="72"/>
      <c r="BR160" s="491"/>
      <c r="BS160" s="491"/>
      <c r="BT160" s="491"/>
      <c r="BU160" s="491"/>
      <c r="BV160" s="491"/>
      <c r="CH160" s="246"/>
      <c r="CI160" s="246"/>
      <c r="CJ160" s="246"/>
      <c r="CL160" s="246"/>
      <c r="CM160" s="246"/>
      <c r="CN160" s="246"/>
      <c r="CO160" s="246"/>
      <c r="CR160" s="246"/>
    </row>
    <row r="161" spans="2:96">
      <c r="D161" s="72"/>
      <c r="E161" s="824"/>
      <c r="F161" s="825"/>
      <c r="G161" s="825"/>
      <c r="H161" s="826"/>
      <c r="I161" s="827"/>
      <c r="J161" s="824"/>
      <c r="K161" s="825"/>
      <c r="L161" s="825"/>
      <c r="M161" s="826"/>
      <c r="N161" s="827"/>
      <c r="O161" s="824"/>
      <c r="P161" s="825"/>
      <c r="Q161" s="825"/>
      <c r="R161" s="826"/>
      <c r="S161" s="827"/>
      <c r="T161" s="148"/>
      <c r="U161" s="163"/>
      <c r="V161" s="163"/>
      <c r="W161" s="147"/>
      <c r="X161" s="72"/>
      <c r="Y161" s="148"/>
      <c r="Z161" s="163"/>
      <c r="AA161" s="163"/>
      <c r="AB161" s="147"/>
      <c r="AC161" s="72"/>
      <c r="AD161" s="148"/>
      <c r="AE161" s="163"/>
      <c r="AF161" s="163"/>
      <c r="AG161" s="147"/>
      <c r="AH161" s="72"/>
      <c r="AI161" s="148"/>
      <c r="AJ161" s="163"/>
      <c r="AK161" s="163"/>
      <c r="AL161" s="147"/>
      <c r="AM161" s="72"/>
      <c r="AN161" s="148"/>
      <c r="AO161" s="163"/>
      <c r="AP161" s="163"/>
      <c r="AQ161" s="147"/>
      <c r="AR161" s="72"/>
      <c r="AS161" s="148"/>
      <c r="AT161" s="163"/>
      <c r="AU161" s="163"/>
      <c r="AV161" s="147"/>
      <c r="AW161" s="72"/>
      <c r="AX161" s="148"/>
      <c r="AY161" s="163"/>
      <c r="AZ161" s="163"/>
      <c r="BA161" s="147"/>
      <c r="BB161" s="72"/>
      <c r="BC161" s="148"/>
      <c r="BD161" s="163"/>
      <c r="BE161" s="163"/>
      <c r="BF161" s="147"/>
      <c r="BG161" s="72"/>
      <c r="BH161" s="148"/>
      <c r="BI161" s="163"/>
      <c r="BJ161" s="163"/>
      <c r="BK161" s="147"/>
      <c r="BL161" s="72"/>
      <c r="BM161" s="148"/>
      <c r="BN161" s="163"/>
      <c r="BO161" s="163"/>
      <c r="BP161" s="147"/>
      <c r="BQ161" s="72"/>
      <c r="BR161" s="491"/>
      <c r="BS161" s="491"/>
      <c r="BT161" s="491"/>
      <c r="BU161" s="491"/>
      <c r="BV161" s="491"/>
      <c r="CG161" s="246"/>
      <c r="CH161" s="246"/>
      <c r="CI161" s="246"/>
    </row>
    <row r="162" spans="2:96">
      <c r="B162" s="46" t="s">
        <v>100</v>
      </c>
      <c r="C162" s="46"/>
      <c r="D162" s="247"/>
      <c r="E162" s="248"/>
      <c r="F162" s="249"/>
      <c r="G162" s="249"/>
      <c r="H162" s="250"/>
      <c r="I162" s="72"/>
      <c r="J162" s="248"/>
      <c r="K162" s="249"/>
      <c r="L162" s="249"/>
      <c r="M162" s="250"/>
      <c r="N162" s="72"/>
      <c r="O162" s="248"/>
      <c r="P162" s="249"/>
      <c r="Q162" s="249"/>
      <c r="R162" s="250"/>
      <c r="S162" s="72"/>
      <c r="T162" s="248"/>
      <c r="U162" s="249"/>
      <c r="V162" s="249"/>
      <c r="W162" s="250"/>
      <c r="X162" s="72"/>
      <c r="Y162" s="248"/>
      <c r="Z162" s="249"/>
      <c r="AA162" s="249"/>
      <c r="AB162" s="250"/>
      <c r="AC162" s="72"/>
      <c r="AD162" s="248"/>
      <c r="AE162" s="249"/>
      <c r="AF162" s="249"/>
      <c r="AG162" s="250"/>
      <c r="AH162" s="72"/>
      <c r="AI162" s="248"/>
      <c r="AJ162" s="249"/>
      <c r="AK162" s="249"/>
      <c r="AL162" s="250"/>
      <c r="AM162" s="72"/>
      <c r="AN162" s="248"/>
      <c r="AO162" s="249"/>
      <c r="AP162" s="249"/>
      <c r="AQ162" s="250"/>
      <c r="AR162" s="72"/>
      <c r="AS162" s="248"/>
      <c r="AT162" s="249"/>
      <c r="AU162" s="249"/>
      <c r="AV162" s="250"/>
      <c r="AW162" s="72"/>
      <c r="AX162" s="248"/>
      <c r="AY162" s="249"/>
      <c r="AZ162" s="249"/>
      <c r="BA162" s="250"/>
      <c r="BB162" s="72"/>
      <c r="BC162" s="248"/>
      <c r="BD162" s="249"/>
      <c r="BE162" s="249"/>
      <c r="BF162" s="250"/>
      <c r="BG162" s="72"/>
      <c r="BH162" s="248"/>
      <c r="BI162" s="249"/>
      <c r="BJ162" s="249"/>
      <c r="BK162" s="250"/>
      <c r="BL162" s="72"/>
      <c r="BM162" s="248"/>
      <c r="BN162" s="249"/>
      <c r="BO162" s="249"/>
      <c r="BP162" s="250"/>
      <c r="BQ162" s="72"/>
      <c r="BR162" s="491"/>
      <c r="BS162" s="491"/>
      <c r="BT162" s="491"/>
      <c r="BU162" s="491"/>
      <c r="BV162" s="491"/>
      <c r="CG162" s="246"/>
      <c r="CH162" s="246"/>
      <c r="CI162" s="246"/>
    </row>
    <row r="163" spans="2:96">
      <c r="D163" s="72"/>
      <c r="E163" s="251"/>
      <c r="F163" s="163"/>
      <c r="G163" s="163"/>
      <c r="H163" s="147"/>
      <c r="I163" s="72"/>
      <c r="J163" s="148"/>
      <c r="K163" s="163"/>
      <c r="L163" s="163"/>
      <c r="M163" s="147"/>
      <c r="N163" s="72"/>
      <c r="O163" s="148"/>
      <c r="P163" s="163"/>
      <c r="Q163" s="163"/>
      <c r="R163" s="147"/>
      <c r="S163" s="72"/>
      <c r="T163" s="148"/>
      <c r="U163" s="163"/>
      <c r="V163" s="163"/>
      <c r="W163" s="147"/>
      <c r="X163" s="72"/>
      <c r="Y163" s="148"/>
      <c r="Z163" s="163"/>
      <c r="AA163" s="163"/>
      <c r="AB163" s="147"/>
      <c r="AC163" s="72"/>
      <c r="AD163" s="148"/>
      <c r="AE163" s="163"/>
      <c r="AF163" s="163"/>
      <c r="AG163" s="147"/>
      <c r="AH163" s="72"/>
      <c r="AI163" s="148"/>
      <c r="AJ163" s="163"/>
      <c r="AK163" s="163"/>
      <c r="AL163" s="147"/>
      <c r="AM163" s="72"/>
      <c r="AN163" s="148"/>
      <c r="AO163" s="163"/>
      <c r="AP163" s="163"/>
      <c r="AQ163" s="147"/>
      <c r="AR163" s="72"/>
      <c r="AS163" s="148"/>
      <c r="AT163" s="163"/>
      <c r="AU163" s="163"/>
      <c r="AV163" s="147"/>
      <c r="AW163" s="72"/>
      <c r="AX163" s="148"/>
      <c r="AY163" s="163"/>
      <c r="AZ163" s="163"/>
      <c r="BA163" s="147"/>
      <c r="BB163" s="72"/>
      <c r="BC163" s="148"/>
      <c r="BD163" s="163"/>
      <c r="BE163" s="163"/>
      <c r="BF163" s="147"/>
      <c r="BG163" s="72"/>
      <c r="BH163" s="148"/>
      <c r="BI163" s="163"/>
      <c r="BJ163" s="163"/>
      <c r="BK163" s="147"/>
      <c r="BL163" s="72"/>
      <c r="BM163" s="148"/>
      <c r="BN163" s="163"/>
      <c r="BO163" s="163"/>
      <c r="BP163" s="147"/>
      <c r="BQ163" s="72"/>
      <c r="BR163" s="491"/>
      <c r="BS163" s="491"/>
      <c r="BT163" s="491"/>
      <c r="BU163" s="491"/>
      <c r="BV163" s="491"/>
      <c r="CG163" s="73"/>
      <c r="CH163" s="73"/>
      <c r="CI163" s="73"/>
      <c r="CK163" s="73"/>
      <c r="CL163" s="73"/>
      <c r="CM163" s="73"/>
      <c r="CN163" s="73"/>
      <c r="CP163" s="73"/>
      <c r="CQ163" s="73"/>
      <c r="CR163" s="73"/>
    </row>
    <row r="164" spans="2:96">
      <c r="C164" s="83" t="s">
        <v>101</v>
      </c>
      <c r="D164" s="72"/>
      <c r="E164" s="142">
        <v>710</v>
      </c>
      <c r="F164" s="143">
        <v>358</v>
      </c>
      <c r="G164" s="143">
        <v>877</v>
      </c>
      <c r="H164" s="144">
        <f>I164</f>
        <v>490</v>
      </c>
      <c r="I164" s="145">
        <v>490</v>
      </c>
      <c r="J164" s="142">
        <v>818</v>
      </c>
      <c r="K164" s="143">
        <v>838</v>
      </c>
      <c r="L164" s="143">
        <v>1090</v>
      </c>
      <c r="M164" s="144">
        <f>N164</f>
        <v>294</v>
      </c>
      <c r="N164" s="145">
        <v>294</v>
      </c>
      <c r="O164" s="142">
        <v>625</v>
      </c>
      <c r="P164" s="143">
        <v>417</v>
      </c>
      <c r="Q164" s="143">
        <v>546</v>
      </c>
      <c r="R164" s="144">
        <f>S164</f>
        <v>221</v>
      </c>
      <c r="S164" s="145">
        <v>221</v>
      </c>
      <c r="T164" s="142">
        <v>286</v>
      </c>
      <c r="U164" s="143">
        <v>297</v>
      </c>
      <c r="V164" s="143">
        <v>443</v>
      </c>
      <c r="W164" s="144">
        <f>X164</f>
        <v>279</v>
      </c>
      <c r="X164" s="145">
        <v>279</v>
      </c>
      <c r="Y164" s="142">
        <v>179</v>
      </c>
      <c r="Z164" s="143">
        <v>117</v>
      </c>
      <c r="AA164" s="143">
        <v>147</v>
      </c>
      <c r="AB164" s="144">
        <f>AC164</f>
        <v>118</v>
      </c>
      <c r="AC164" s="145">
        <v>118</v>
      </c>
      <c r="AD164" s="142">
        <v>292</v>
      </c>
      <c r="AE164" s="143">
        <v>190</v>
      </c>
      <c r="AF164" s="143">
        <v>194</v>
      </c>
      <c r="AG164" s="144">
        <f>AH164</f>
        <v>163</v>
      </c>
      <c r="AH164" s="145">
        <v>163</v>
      </c>
      <c r="AI164" s="142">
        <v>190</v>
      </c>
      <c r="AJ164" s="143">
        <v>195</v>
      </c>
      <c r="AK164" s="143">
        <v>178</v>
      </c>
      <c r="AL164" s="144">
        <f>AM164</f>
        <v>176.4</v>
      </c>
      <c r="AM164" s="145">
        <v>176.4</v>
      </c>
      <c r="AN164" s="142">
        <v>190.4</v>
      </c>
      <c r="AO164" s="143">
        <v>246.8</v>
      </c>
      <c r="AP164" s="143">
        <v>212.2</v>
      </c>
      <c r="AQ164" s="144">
        <f>AR164</f>
        <v>210.5</v>
      </c>
      <c r="AR164" s="145">
        <v>210.5</v>
      </c>
      <c r="AS164" s="142">
        <v>175</v>
      </c>
      <c r="AT164" s="143">
        <v>172.4</v>
      </c>
      <c r="AU164" s="143">
        <v>343.9</v>
      </c>
      <c r="AV164" s="144">
        <f>AW164</f>
        <v>214.6</v>
      </c>
      <c r="AW164" s="145">
        <f>214.6</f>
        <v>214.6</v>
      </c>
      <c r="AX164" s="148">
        <f>+AX159</f>
        <v>0</v>
      </c>
      <c r="AY164" s="146">
        <f>+AY159</f>
        <v>0</v>
      </c>
      <c r="AZ164" s="146">
        <f>+AZ159</f>
        <v>0</v>
      </c>
      <c r="BA164" s="147">
        <f>+BA159</f>
        <v>0</v>
      </c>
      <c r="BB164" s="72">
        <f>+BA164</f>
        <v>0</v>
      </c>
      <c r="BC164" s="148">
        <f>+BC159</f>
        <v>0</v>
      </c>
      <c r="BD164" s="146">
        <f>+BD159</f>
        <v>0</v>
      </c>
      <c r="BE164" s="146">
        <f>+BE159</f>
        <v>1585.0261281772905</v>
      </c>
      <c r="BF164" s="147">
        <f>+BF159</f>
        <v>177.64615333280972</v>
      </c>
      <c r="BG164" s="72">
        <f>+BF164</f>
        <v>177.64615333280972</v>
      </c>
      <c r="BH164" s="148">
        <f>+BH159</f>
        <v>683.74371665474303</v>
      </c>
      <c r="BI164" s="146">
        <f>+BI159</f>
        <v>0</v>
      </c>
      <c r="BJ164" s="146">
        <f>+BJ159</f>
        <v>499.96199973560681</v>
      </c>
      <c r="BK164" s="147">
        <f>+BK159</f>
        <v>0</v>
      </c>
      <c r="BL164" s="72">
        <f>+BK164</f>
        <v>0</v>
      </c>
      <c r="BM164" s="148">
        <f>+BM159</f>
        <v>0</v>
      </c>
      <c r="BN164" s="146">
        <f>+BN159</f>
        <v>0</v>
      </c>
      <c r="BO164" s="146">
        <f>+BO159</f>
        <v>1112.202933604643</v>
      </c>
      <c r="BP164" s="147">
        <f>+BP159</f>
        <v>200.61027681223322</v>
      </c>
      <c r="BQ164" s="72">
        <f>+BP164</f>
        <v>200.61027681223322</v>
      </c>
      <c r="BR164" s="527"/>
      <c r="BS164" s="527"/>
      <c r="BT164" s="491"/>
      <c r="BU164" s="491"/>
      <c r="BV164" s="491"/>
    </row>
    <row r="165" spans="2:96">
      <c r="C165" t="s">
        <v>102</v>
      </c>
      <c r="D165" s="72"/>
      <c r="E165" s="142">
        <v>962</v>
      </c>
      <c r="F165" s="143">
        <v>1037</v>
      </c>
      <c r="G165" s="143">
        <v>1029</v>
      </c>
      <c r="H165" s="144">
        <f>I165</f>
        <v>1050</v>
      </c>
      <c r="I165" s="145">
        <v>1050</v>
      </c>
      <c r="J165" s="142">
        <v>1656</v>
      </c>
      <c r="K165" s="143">
        <v>1847</v>
      </c>
      <c r="L165" s="143">
        <v>1816</v>
      </c>
      <c r="M165" s="144">
        <f>N165</f>
        <v>1923</v>
      </c>
      <c r="N165" s="145">
        <v>1923</v>
      </c>
      <c r="O165" s="142">
        <v>1749</v>
      </c>
      <c r="P165" s="143">
        <v>1866</v>
      </c>
      <c r="Q165" s="143">
        <v>1860</v>
      </c>
      <c r="R165" s="144">
        <f>S165</f>
        <v>1834</v>
      </c>
      <c r="S165" s="145">
        <v>1834</v>
      </c>
      <c r="T165" s="142">
        <v>1670</v>
      </c>
      <c r="U165" s="143">
        <v>1762</v>
      </c>
      <c r="V165" s="143">
        <v>1855</v>
      </c>
      <c r="W165" s="144">
        <f>X165</f>
        <v>1871</v>
      </c>
      <c r="X165" s="145">
        <v>1871</v>
      </c>
      <c r="Y165" s="142">
        <v>1869</v>
      </c>
      <c r="Z165" s="143">
        <v>1931</v>
      </c>
      <c r="AA165" s="143">
        <v>1856</v>
      </c>
      <c r="AB165" s="144">
        <f>AC165</f>
        <v>1860</v>
      </c>
      <c r="AC165" s="145">
        <v>1860</v>
      </c>
      <c r="AD165" s="142">
        <v>1943</v>
      </c>
      <c r="AE165" s="143">
        <v>1926</v>
      </c>
      <c r="AF165" s="143">
        <v>1855</v>
      </c>
      <c r="AG165" s="144">
        <f>AH165</f>
        <v>1926</v>
      </c>
      <c r="AH165" s="145">
        <v>1926</v>
      </c>
      <c r="AI165" s="142">
        <v>1889</v>
      </c>
      <c r="AJ165" s="143">
        <v>1920</v>
      </c>
      <c r="AK165" s="143">
        <v>1853</v>
      </c>
      <c r="AL165" s="144">
        <f>AM165</f>
        <v>1640.5</v>
      </c>
      <c r="AM165" s="145">
        <f>615.9+31.2+940.3+82.1-29</f>
        <v>1640.5</v>
      </c>
      <c r="AN165" s="142">
        <v>1650</v>
      </c>
      <c r="AO165" s="143">
        <f>692.4+99+989+71.7-36.9</f>
        <v>1815.2</v>
      </c>
      <c r="AP165" s="143">
        <f>628.4+166.7+1065.5+59.9-40.5</f>
        <v>1880</v>
      </c>
      <c r="AQ165" s="144">
        <f>AR165</f>
        <v>1916.6999999999998</v>
      </c>
      <c r="AR165" s="145">
        <f>705.1+158.7+972.7+118.1-37.9</f>
        <v>1916.6999999999998</v>
      </c>
      <c r="AS165" s="142">
        <f>601+143.6+900.1+104.2-37.7</f>
        <v>1711.2</v>
      </c>
      <c r="AT165" s="143">
        <v>1661.8</v>
      </c>
      <c r="AU165" s="143">
        <f>522.7+187.3+967.6+99.9-36.6</f>
        <v>1740.9</v>
      </c>
      <c r="AV165" s="144">
        <f>AW165</f>
        <v>1891</v>
      </c>
      <c r="AW165" s="145">
        <f>643.9+230.2+954.2+101.2-38.5</f>
        <v>1891</v>
      </c>
      <c r="AX165" s="148">
        <f t="shared" ref="AX165:BA167" si="304">+AW165</f>
        <v>1891</v>
      </c>
      <c r="AY165" s="146">
        <f t="shared" si="304"/>
        <v>1891</v>
      </c>
      <c r="AZ165" s="146">
        <f t="shared" si="304"/>
        <v>1891</v>
      </c>
      <c r="BA165" s="147">
        <f t="shared" si="304"/>
        <v>1891</v>
      </c>
      <c r="BB165" s="72">
        <f>+BA165</f>
        <v>1891</v>
      </c>
      <c r="BC165" s="148">
        <f t="shared" ref="BC165:BF167" si="305">+BB165</f>
        <v>1891</v>
      </c>
      <c r="BD165" s="146">
        <f t="shared" si="305"/>
        <v>1891</v>
      </c>
      <c r="BE165" s="146">
        <f t="shared" si="305"/>
        <v>1891</v>
      </c>
      <c r="BF165" s="147">
        <f t="shared" si="305"/>
        <v>1891</v>
      </c>
      <c r="BG165" s="72">
        <f>+BF165</f>
        <v>1891</v>
      </c>
      <c r="BH165" s="148">
        <f t="shared" ref="BH165:BK167" si="306">+BG165</f>
        <v>1891</v>
      </c>
      <c r="BI165" s="146">
        <f t="shared" si="306"/>
        <v>1891</v>
      </c>
      <c r="BJ165" s="146">
        <f t="shared" si="306"/>
        <v>1891</v>
      </c>
      <c r="BK165" s="147">
        <f t="shared" si="306"/>
        <v>1891</v>
      </c>
      <c r="BL165" s="72">
        <f>+BK165</f>
        <v>1891</v>
      </c>
      <c r="BM165" s="148">
        <f t="shared" ref="BM165:BP167" si="307">+BL165</f>
        <v>1891</v>
      </c>
      <c r="BN165" s="146">
        <f t="shared" si="307"/>
        <v>1891</v>
      </c>
      <c r="BO165" s="146">
        <f t="shared" si="307"/>
        <v>1891</v>
      </c>
      <c r="BP165" s="147">
        <f t="shared" si="307"/>
        <v>1891</v>
      </c>
      <c r="BQ165" s="72">
        <f>+BP165</f>
        <v>1891</v>
      </c>
      <c r="BR165" s="527"/>
      <c r="BS165" s="527"/>
      <c r="BT165" s="491"/>
      <c r="BU165" s="491"/>
      <c r="BV165" s="491"/>
      <c r="CK165" s="246"/>
    </row>
    <row r="166" spans="2:96">
      <c r="C166" t="s">
        <v>103</v>
      </c>
      <c r="D166" s="72"/>
      <c r="E166" s="142">
        <f>550+740</f>
        <v>1290</v>
      </c>
      <c r="F166" s="143">
        <f>575+911</f>
        <v>1486</v>
      </c>
      <c r="G166" s="143">
        <f>569+998</f>
        <v>1567</v>
      </c>
      <c r="H166" s="144">
        <f>I166</f>
        <v>1661</v>
      </c>
      <c r="I166" s="145">
        <f>1075+586</f>
        <v>1661</v>
      </c>
      <c r="J166" s="142">
        <f>582+984</f>
        <v>1566</v>
      </c>
      <c r="K166" s="143">
        <f>593+984</f>
        <v>1577</v>
      </c>
      <c r="L166" s="143">
        <f>598+811</f>
        <v>1409</v>
      </c>
      <c r="M166" s="144">
        <f>N166</f>
        <v>1448</v>
      </c>
      <c r="N166" s="145">
        <f>837+611</f>
        <v>1448</v>
      </c>
      <c r="O166" s="142">
        <f>614+714</f>
        <v>1328</v>
      </c>
      <c r="P166" s="143">
        <f>625+680</f>
        <v>1305</v>
      </c>
      <c r="Q166" s="143">
        <f>544+629</f>
        <v>1173</v>
      </c>
      <c r="R166" s="144">
        <f>S166</f>
        <v>1292</v>
      </c>
      <c r="S166" s="145">
        <f>657+635</f>
        <v>1292</v>
      </c>
      <c r="T166" s="142">
        <f>780+638</f>
        <v>1418</v>
      </c>
      <c r="U166" s="143">
        <f>837+657</f>
        <v>1494</v>
      </c>
      <c r="V166" s="143">
        <f>800+662</f>
        <v>1462</v>
      </c>
      <c r="W166" s="144">
        <f>X166</f>
        <v>1519</v>
      </c>
      <c r="X166" s="145">
        <f>844+675</f>
        <v>1519</v>
      </c>
      <c r="Y166" s="142">
        <f>839+681</f>
        <v>1520</v>
      </c>
      <c r="Z166" s="143">
        <f>879+695</f>
        <v>1574</v>
      </c>
      <c r="AA166" s="143">
        <f>748+692</f>
        <v>1440</v>
      </c>
      <c r="AB166" s="144">
        <f>AC166</f>
        <v>1423</v>
      </c>
      <c r="AC166" s="145">
        <f>701 +722</f>
        <v>1423</v>
      </c>
      <c r="AD166" s="142">
        <f>490+724</f>
        <v>1214</v>
      </c>
      <c r="AE166" s="143">
        <f>471+748</f>
        <v>1219</v>
      </c>
      <c r="AF166" s="143">
        <f>472+733</f>
        <v>1205</v>
      </c>
      <c r="AG166" s="144">
        <f>AH166</f>
        <v>1325</v>
      </c>
      <c r="AH166" s="145">
        <f>587+738</f>
        <v>1325</v>
      </c>
      <c r="AI166" s="142">
        <f>452+740</f>
        <v>1192</v>
      </c>
      <c r="AJ166" s="143">
        <f>424+736</f>
        <v>1160</v>
      </c>
      <c r="AK166" s="143">
        <f>376+729</f>
        <v>1105</v>
      </c>
      <c r="AL166" s="144">
        <f>AM166</f>
        <v>1339.4</v>
      </c>
      <c r="AM166" s="145">
        <f>600.8+738.6</f>
        <v>1339.4</v>
      </c>
      <c r="AN166" s="142">
        <f>701.6+650.3</f>
        <v>1351.9</v>
      </c>
      <c r="AO166" s="143">
        <f>716.4+645.6</f>
        <v>1362</v>
      </c>
      <c r="AP166" s="143">
        <f>468+556.8</f>
        <v>1024.8</v>
      </c>
      <c r="AQ166" s="144">
        <f>AR166</f>
        <v>967.3</v>
      </c>
      <c r="AR166" s="145">
        <f>423.8+543.5</f>
        <v>967.3</v>
      </c>
      <c r="AS166" s="142">
        <f>408+547.3</f>
        <v>955.3</v>
      </c>
      <c r="AT166" s="143">
        <f>427.2+555</f>
        <v>982.2</v>
      </c>
      <c r="AU166" s="143">
        <f>354.2+562.3</f>
        <v>916.5</v>
      </c>
      <c r="AV166" s="144">
        <f>AW166</f>
        <v>953.2</v>
      </c>
      <c r="AW166" s="145">
        <f>387.7+565.5</f>
        <v>953.2</v>
      </c>
      <c r="AX166" s="148">
        <f t="shared" si="304"/>
        <v>953.2</v>
      </c>
      <c r="AY166" s="146">
        <f t="shared" si="304"/>
        <v>953.2</v>
      </c>
      <c r="AZ166" s="146">
        <f t="shared" si="304"/>
        <v>953.2</v>
      </c>
      <c r="BA166" s="147">
        <f t="shared" si="304"/>
        <v>953.2</v>
      </c>
      <c r="BB166" s="72">
        <f>+BA166</f>
        <v>953.2</v>
      </c>
      <c r="BC166" s="148">
        <f t="shared" si="305"/>
        <v>953.2</v>
      </c>
      <c r="BD166" s="146">
        <f t="shared" si="305"/>
        <v>953.2</v>
      </c>
      <c r="BE166" s="146">
        <f t="shared" si="305"/>
        <v>953.2</v>
      </c>
      <c r="BF166" s="147">
        <f t="shared" si="305"/>
        <v>953.2</v>
      </c>
      <c r="BG166" s="72">
        <f>+BF166</f>
        <v>953.2</v>
      </c>
      <c r="BH166" s="148">
        <f t="shared" si="306"/>
        <v>953.2</v>
      </c>
      <c r="BI166" s="146">
        <f t="shared" si="306"/>
        <v>953.2</v>
      </c>
      <c r="BJ166" s="146">
        <f t="shared" si="306"/>
        <v>953.2</v>
      </c>
      <c r="BK166" s="147">
        <f t="shared" si="306"/>
        <v>953.2</v>
      </c>
      <c r="BL166" s="72">
        <f>+BK166</f>
        <v>953.2</v>
      </c>
      <c r="BM166" s="148">
        <f t="shared" si="307"/>
        <v>953.2</v>
      </c>
      <c r="BN166" s="146">
        <f t="shared" si="307"/>
        <v>953.2</v>
      </c>
      <c r="BO166" s="146">
        <f t="shared" si="307"/>
        <v>953.2</v>
      </c>
      <c r="BP166" s="147">
        <f t="shared" si="307"/>
        <v>953.2</v>
      </c>
      <c r="BQ166" s="72">
        <f>+BP166</f>
        <v>953.2</v>
      </c>
      <c r="BR166" s="527"/>
      <c r="BS166" s="527"/>
      <c r="BT166" s="491"/>
      <c r="BU166" s="491"/>
      <c r="BV166" s="491"/>
    </row>
    <row r="167" spans="2:96">
      <c r="C167" t="s">
        <v>105</v>
      </c>
      <c r="D167" s="72"/>
      <c r="E167" s="142">
        <f>293+320+125+203+215</f>
        <v>1156</v>
      </c>
      <c r="F167" s="143">
        <f>289+335+352+135+232</f>
        <v>1343</v>
      </c>
      <c r="G167" s="143">
        <f>259+300+103+101+243</f>
        <v>1006</v>
      </c>
      <c r="H167" s="144">
        <f>I167</f>
        <v>1555</v>
      </c>
      <c r="I167" s="145">
        <f>363+260+547+85+89+211</f>
        <v>1555</v>
      </c>
      <c r="J167" s="142">
        <f>238+323+460+107+109+239</f>
        <v>1476</v>
      </c>
      <c r="K167" s="143">
        <f>298+250+653+104+74+152</f>
        <v>1531</v>
      </c>
      <c r="L167" s="143">
        <f>326+279+165+95+86+155</f>
        <v>1106</v>
      </c>
      <c r="M167" s="144">
        <f>N167</f>
        <v>1351</v>
      </c>
      <c r="N167" s="145">
        <f>416+232+389+81+88+145</f>
        <v>1351</v>
      </c>
      <c r="O167" s="142">
        <f>296+193+301+70+70+157</f>
        <v>1087</v>
      </c>
      <c r="P167" s="143">
        <f>311+173+331+93+86+172</f>
        <v>1166</v>
      </c>
      <c r="Q167" s="143">
        <f>240+164+78+78+62+173</f>
        <v>795</v>
      </c>
      <c r="R167" s="144">
        <f>S167</f>
        <v>835</v>
      </c>
      <c r="S167" s="145">
        <f>294+193+51+65+67+165</f>
        <v>835</v>
      </c>
      <c r="T167" s="142">
        <f>246+47+75+70+185+217</f>
        <v>840</v>
      </c>
      <c r="U167" s="143">
        <f>297+219+46+126+63+179</f>
        <v>930</v>
      </c>
      <c r="V167" s="143">
        <f>175+49+103+74+209+278</f>
        <v>888</v>
      </c>
      <c r="W167" s="144">
        <f>X167</f>
        <v>920</v>
      </c>
      <c r="X167" s="145">
        <f>324+191+88+76+241</f>
        <v>920</v>
      </c>
      <c r="Y167" s="142">
        <f>261+162+91+74+241</f>
        <v>829</v>
      </c>
      <c r="Z167" s="143">
        <f>187+98+80+337+298</f>
        <v>1000</v>
      </c>
      <c r="AA167" s="143">
        <f>171+81+72+262+288</f>
        <v>874</v>
      </c>
      <c r="AB167" s="144">
        <f>AC167</f>
        <v>909</v>
      </c>
      <c r="AC167" s="145">
        <f>160+80+70+246+353</f>
        <v>909</v>
      </c>
      <c r="AD167" s="142">
        <f>310+125+175+117+159</f>
        <v>886</v>
      </c>
      <c r="AE167" s="143">
        <f>146+158+78+229+377</f>
        <v>988</v>
      </c>
      <c r="AF167" s="143">
        <f>135+145+82+177+318</f>
        <v>857</v>
      </c>
      <c r="AG167" s="144">
        <f>AH167</f>
        <v>1064</v>
      </c>
      <c r="AH167" s="145">
        <f>178+127+95+278+386</f>
        <v>1064</v>
      </c>
      <c r="AI167" s="142">
        <f>138+137+129+148+293</f>
        <v>845</v>
      </c>
      <c r="AJ167" s="143">
        <f>172+125+87+210+356</f>
        <v>950</v>
      </c>
      <c r="AK167" s="143">
        <f>315+143+105+85+608+156</f>
        <v>1412</v>
      </c>
      <c r="AL167" s="144">
        <f>AM167</f>
        <v>916.10000000000014</v>
      </c>
      <c r="AM167" s="145">
        <f>134.4+115.2+107.3+172.4+386.8</f>
        <v>916.10000000000014</v>
      </c>
      <c r="AN167" s="142">
        <f>143.8+226.1+102.3+81.3+136+264.5</f>
        <v>954</v>
      </c>
      <c r="AO167" s="143">
        <f>111.1+272.7+106.5+72.5+145.2+306.9</f>
        <v>1014.9</v>
      </c>
      <c r="AP167" s="143">
        <f>110.8+107.4+56.5+363+279.2+1915.3</f>
        <v>2832.2</v>
      </c>
      <c r="AQ167" s="144">
        <f>AR167</f>
        <v>2939.3999999999996</v>
      </c>
      <c r="AR167" s="145">
        <f>94.5+156.6+79.9+1951.2+325.5+331.7</f>
        <v>2939.3999999999996</v>
      </c>
      <c r="AS167" s="142">
        <f>85+158.5+105.7+9.7+141+275</f>
        <v>774.9</v>
      </c>
      <c r="AT167" s="143">
        <f>170.5+189+91.1+224.4+317.6</f>
        <v>992.6</v>
      </c>
      <c r="AU167" s="143">
        <f>310.7+146.1+153.5+105.7+350.5</f>
        <v>1066.5</v>
      </c>
      <c r="AV167" s="144">
        <f>AW167</f>
        <v>1194.3</v>
      </c>
      <c r="AW167" s="145">
        <f>126.2+292.5+105.5+310.4+161.7+198</f>
        <v>1194.3</v>
      </c>
      <c r="AX167" s="148">
        <f t="shared" si="304"/>
        <v>1194.3</v>
      </c>
      <c r="AY167" s="146">
        <f t="shared" si="304"/>
        <v>1194.3</v>
      </c>
      <c r="AZ167" s="146">
        <f t="shared" si="304"/>
        <v>1194.3</v>
      </c>
      <c r="BA167" s="147">
        <f t="shared" si="304"/>
        <v>1194.3</v>
      </c>
      <c r="BB167" s="72">
        <f>+BA167</f>
        <v>1194.3</v>
      </c>
      <c r="BC167" s="148">
        <f t="shared" si="305"/>
        <v>1194.3</v>
      </c>
      <c r="BD167" s="146">
        <f t="shared" si="305"/>
        <v>1194.3</v>
      </c>
      <c r="BE167" s="146">
        <f t="shared" si="305"/>
        <v>1194.3</v>
      </c>
      <c r="BF167" s="147">
        <f t="shared" si="305"/>
        <v>1194.3</v>
      </c>
      <c r="BG167" s="72">
        <f>+BF167</f>
        <v>1194.3</v>
      </c>
      <c r="BH167" s="148">
        <f t="shared" si="306"/>
        <v>1194.3</v>
      </c>
      <c r="BI167" s="146">
        <f t="shared" si="306"/>
        <v>1194.3</v>
      </c>
      <c r="BJ167" s="146">
        <f t="shared" si="306"/>
        <v>1194.3</v>
      </c>
      <c r="BK167" s="147">
        <f t="shared" si="306"/>
        <v>1194.3</v>
      </c>
      <c r="BL167" s="72">
        <f>+BK167</f>
        <v>1194.3</v>
      </c>
      <c r="BM167" s="148">
        <f t="shared" si="307"/>
        <v>1194.3</v>
      </c>
      <c r="BN167" s="146">
        <f t="shared" si="307"/>
        <v>1194.3</v>
      </c>
      <c r="BO167" s="146">
        <f t="shared" si="307"/>
        <v>1194.3</v>
      </c>
      <c r="BP167" s="147">
        <f t="shared" si="307"/>
        <v>1194.3</v>
      </c>
      <c r="BQ167" s="72">
        <f>+BP167</f>
        <v>1194.3</v>
      </c>
      <c r="BR167" s="527"/>
      <c r="BS167" s="527"/>
      <c r="BT167" s="491"/>
      <c r="BU167" s="491"/>
      <c r="BV167" s="491"/>
    </row>
    <row r="168" spans="2:96">
      <c r="C168" s="56" t="s">
        <v>106</v>
      </c>
      <c r="D168" s="72"/>
      <c r="E168" s="149">
        <f t="shared" ref="E168:Q168" si="308">SUM(E164:E167)</f>
        <v>4118</v>
      </c>
      <c r="F168" s="150">
        <f t="shared" si="308"/>
        <v>4224</v>
      </c>
      <c r="G168" s="150">
        <f t="shared" si="308"/>
        <v>4479</v>
      </c>
      <c r="H168" s="151">
        <f t="shared" si="308"/>
        <v>4756</v>
      </c>
      <c r="I168" s="112">
        <f t="shared" si="308"/>
        <v>4756</v>
      </c>
      <c r="J168" s="149">
        <f t="shared" si="308"/>
        <v>5516</v>
      </c>
      <c r="K168" s="150">
        <f t="shared" si="308"/>
        <v>5793</v>
      </c>
      <c r="L168" s="150">
        <f t="shared" si="308"/>
        <v>5421</v>
      </c>
      <c r="M168" s="151">
        <f t="shared" si="308"/>
        <v>5016</v>
      </c>
      <c r="N168" s="112">
        <f t="shared" si="308"/>
        <v>5016</v>
      </c>
      <c r="O168" s="149">
        <f t="shared" si="308"/>
        <v>4789</v>
      </c>
      <c r="P168" s="150">
        <f t="shared" si="308"/>
        <v>4754</v>
      </c>
      <c r="Q168" s="150">
        <f t="shared" si="308"/>
        <v>4374</v>
      </c>
      <c r="R168" s="151">
        <f>SUM(R164:R167)</f>
        <v>4182</v>
      </c>
      <c r="S168" s="112">
        <f>SUM(S164:S167)</f>
        <v>4182</v>
      </c>
      <c r="T168" s="149">
        <f t="shared" ref="T168:AF168" si="309">SUM(T164:T167)</f>
        <v>4214</v>
      </c>
      <c r="U168" s="150">
        <f t="shared" si="309"/>
        <v>4483</v>
      </c>
      <c r="V168" s="150">
        <f t="shared" si="309"/>
        <v>4648</v>
      </c>
      <c r="W168" s="151">
        <f>SUM(W164:W167)</f>
        <v>4589</v>
      </c>
      <c r="X168" s="112">
        <f>SUM(X164:X167)</f>
        <v>4589</v>
      </c>
      <c r="Y168" s="149">
        <f t="shared" si="309"/>
        <v>4397</v>
      </c>
      <c r="Z168" s="150">
        <f t="shared" si="309"/>
        <v>4622</v>
      </c>
      <c r="AA168" s="150">
        <f t="shared" si="309"/>
        <v>4317</v>
      </c>
      <c r="AB168" s="151">
        <f>SUM(AB164:AB167)</f>
        <v>4310</v>
      </c>
      <c r="AC168" s="112">
        <f>SUM(AC164:AC167)</f>
        <v>4310</v>
      </c>
      <c r="AD168" s="149">
        <f t="shared" si="309"/>
        <v>4335</v>
      </c>
      <c r="AE168" s="150">
        <f>SUM(AE164:AE167)</f>
        <v>4323</v>
      </c>
      <c r="AF168" s="150">
        <f t="shared" si="309"/>
        <v>4111</v>
      </c>
      <c r="AG168" s="151">
        <f t="shared" ref="AG168:AM168" si="310">SUM(AG164:AG167)</f>
        <v>4478</v>
      </c>
      <c r="AH168" s="112">
        <f t="shared" si="310"/>
        <v>4478</v>
      </c>
      <c r="AI168" s="149">
        <f t="shared" si="310"/>
        <v>4116</v>
      </c>
      <c r="AJ168" s="150">
        <f t="shared" si="310"/>
        <v>4225</v>
      </c>
      <c r="AK168" s="150">
        <f t="shared" si="310"/>
        <v>4548</v>
      </c>
      <c r="AL168" s="151">
        <f t="shared" si="310"/>
        <v>4072.4000000000005</v>
      </c>
      <c r="AM168" s="112">
        <f t="shared" si="310"/>
        <v>4072.4000000000005</v>
      </c>
      <c r="AN168" s="149">
        <f>SUM(AN164:AN167)</f>
        <v>4146.3</v>
      </c>
      <c r="AO168" s="150">
        <f>SUM(AO164:AO167)</f>
        <v>4438.8999999999996</v>
      </c>
      <c r="AP168" s="150">
        <f t="shared" ref="AP168:AU168" si="311">SUM(AP164:AP167)</f>
        <v>5949.2</v>
      </c>
      <c r="AQ168" s="151">
        <f t="shared" si="311"/>
        <v>6033.9</v>
      </c>
      <c r="AR168" s="112">
        <f t="shared" si="311"/>
        <v>6033.9</v>
      </c>
      <c r="AS168" s="149">
        <f>SUM(AS164:AS167)</f>
        <v>3616.4</v>
      </c>
      <c r="AT168" s="150">
        <f t="shared" si="311"/>
        <v>3809</v>
      </c>
      <c r="AU168" s="150">
        <f t="shared" si="311"/>
        <v>4067.8</v>
      </c>
      <c r="AV168" s="151">
        <f t="shared" ref="AV168:AW168" si="312">SUM(AV164:AV167)</f>
        <v>4253.1000000000004</v>
      </c>
      <c r="AW168" s="112">
        <f t="shared" si="312"/>
        <v>4253.1000000000004</v>
      </c>
      <c r="AX168" s="149">
        <f t="shared" ref="AX168:BL168" si="313">SUM(AX164:AX167)</f>
        <v>4038.5</v>
      </c>
      <c r="AY168" s="150">
        <f t="shared" si="313"/>
        <v>4038.5</v>
      </c>
      <c r="AZ168" s="150">
        <f t="shared" si="313"/>
        <v>4038.5</v>
      </c>
      <c r="BA168" s="151">
        <f t="shared" si="313"/>
        <v>4038.5</v>
      </c>
      <c r="BB168" s="112">
        <f t="shared" si="313"/>
        <v>4038.5</v>
      </c>
      <c r="BC168" s="149">
        <f t="shared" si="313"/>
        <v>4038.5</v>
      </c>
      <c r="BD168" s="150">
        <f t="shared" si="313"/>
        <v>4038.5</v>
      </c>
      <c r="BE168" s="150">
        <f t="shared" si="313"/>
        <v>5623.526128177291</v>
      </c>
      <c r="BF168" s="151">
        <f t="shared" si="313"/>
        <v>4216.1461533328102</v>
      </c>
      <c r="BG168" s="112">
        <f t="shared" si="313"/>
        <v>4216.1461533328102</v>
      </c>
      <c r="BH168" s="149">
        <f t="shared" si="313"/>
        <v>4722.2437166547434</v>
      </c>
      <c r="BI168" s="150">
        <f t="shared" si="313"/>
        <v>4038.5</v>
      </c>
      <c r="BJ168" s="150">
        <f t="shared" si="313"/>
        <v>4538.4619997356067</v>
      </c>
      <c r="BK168" s="151">
        <f t="shared" si="313"/>
        <v>4038.5</v>
      </c>
      <c r="BL168" s="112">
        <f t="shared" si="313"/>
        <v>4038.5</v>
      </c>
      <c r="BM168" s="149">
        <f>SUM(BM164:BM167)</f>
        <v>4038.5</v>
      </c>
      <c r="BN168" s="150">
        <f>SUM(BN164:BN167)</f>
        <v>4038.5</v>
      </c>
      <c r="BO168" s="150">
        <f>SUM(BO164:BO167)</f>
        <v>5150.7029336046435</v>
      </c>
      <c r="BP168" s="151">
        <f>SUM(BP164:BP167)</f>
        <v>4239.1102768122337</v>
      </c>
      <c r="BQ168" s="112">
        <f>SUM(BQ164:BQ167)</f>
        <v>4239.1102768122337</v>
      </c>
      <c r="BR168" s="527"/>
      <c r="BT168" s="491"/>
      <c r="BU168" s="491"/>
      <c r="BV168" s="491"/>
    </row>
    <row r="169" spans="2:96">
      <c r="D169" s="72"/>
      <c r="E169" s="148"/>
      <c r="F169" s="163"/>
      <c r="G169" s="163"/>
      <c r="H169" s="147"/>
      <c r="I169" s="72"/>
      <c r="J169" s="148"/>
      <c r="K169" s="163"/>
      <c r="L169" s="163"/>
      <c r="M169" s="147"/>
      <c r="N169" s="72"/>
      <c r="O169" s="148"/>
      <c r="P169" s="163"/>
      <c r="Q169" s="163"/>
      <c r="R169" s="147"/>
      <c r="S169" s="72"/>
      <c r="T169" s="148"/>
      <c r="U169" s="163"/>
      <c r="V169" s="163"/>
      <c r="W169" s="147"/>
      <c r="X169" s="72"/>
      <c r="Y169" s="148"/>
      <c r="Z169" s="163"/>
      <c r="AA169" s="163"/>
      <c r="AB169" s="147"/>
      <c r="AC169" s="72"/>
      <c r="AD169" s="148"/>
      <c r="AE169" s="163"/>
      <c r="AF169" s="163"/>
      <c r="AG169" s="147"/>
      <c r="AH169" s="72"/>
      <c r="AI169" s="148"/>
      <c r="AJ169" s="163"/>
      <c r="AK169" s="163"/>
      <c r="AL169" s="147"/>
      <c r="AM169" s="72"/>
      <c r="AN169" s="148"/>
      <c r="AO169" s="163"/>
      <c r="AP169" s="163"/>
      <c r="AQ169" s="147"/>
      <c r="AR169" s="72"/>
      <c r="AS169" s="148"/>
      <c r="AT169" s="163"/>
      <c r="AU169" s="163"/>
      <c r="AV169" s="147"/>
      <c r="AW169" s="72"/>
      <c r="AX169" s="148"/>
      <c r="AY169" s="163"/>
      <c r="AZ169" s="163"/>
      <c r="BA169" s="147"/>
      <c r="BB169" s="72"/>
      <c r="BC169" s="148"/>
      <c r="BD169" s="163"/>
      <c r="BE169" s="163"/>
      <c r="BF169" s="147"/>
      <c r="BG169" s="72"/>
      <c r="BH169" s="148"/>
      <c r="BI169" s="163"/>
      <c r="BJ169" s="163"/>
      <c r="BK169" s="147"/>
      <c r="BL169" s="72"/>
      <c r="BM169" s="148"/>
      <c r="BN169" s="163"/>
      <c r="BO169" s="163"/>
      <c r="BP169" s="147"/>
      <c r="BQ169" s="72"/>
      <c r="BR169" s="527"/>
      <c r="BS169" s="527"/>
      <c r="BT169" s="491"/>
      <c r="BU169" s="491"/>
      <c r="BV169" s="491"/>
    </row>
    <row r="170" spans="2:96">
      <c r="B170" s="50"/>
      <c r="C170" s="50" t="s">
        <v>107</v>
      </c>
      <c r="D170" s="72"/>
      <c r="E170" s="142">
        <f>22300+7955+12990</f>
        <v>43245</v>
      </c>
      <c r="F170" s="143">
        <f>22480+8084+13179</f>
        <v>43743</v>
      </c>
      <c r="G170" s="143">
        <f>22552+8198+13336</f>
        <v>44086</v>
      </c>
      <c r="H170" s="144">
        <f>I170</f>
        <v>44909</v>
      </c>
      <c r="I170" s="145">
        <f>23045+8315+13549</f>
        <v>44909</v>
      </c>
      <c r="J170" s="142">
        <f>23417+8313+13685</f>
        <v>45415</v>
      </c>
      <c r="K170" s="143">
        <f>23930+8420+13799</f>
        <v>46149</v>
      </c>
      <c r="L170" s="143">
        <f>24079+8470+13940</f>
        <v>46489</v>
      </c>
      <c r="M170" s="144">
        <f>N170</f>
        <v>47136</v>
      </c>
      <c r="N170" s="145">
        <f>24352+8576+14208</f>
        <v>47136</v>
      </c>
      <c r="O170" s="142">
        <f>24766+8677+14338</f>
        <v>47781</v>
      </c>
      <c r="P170" s="143">
        <f>24841+8779+14465</f>
        <v>48085</v>
      </c>
      <c r="Q170" s="143">
        <f>24666+8826+14620</f>
        <v>48112</v>
      </c>
      <c r="R170" s="144">
        <f>S170</f>
        <v>48769</v>
      </c>
      <c r="S170" s="145">
        <f>24938+9048+14783</f>
        <v>48769</v>
      </c>
      <c r="T170" s="142">
        <f>25309+9211+14944</f>
        <v>49464</v>
      </c>
      <c r="U170" s="143">
        <f>25382+9372+15148</f>
        <v>49902</v>
      </c>
      <c r="V170" s="143">
        <f>25463+9503+15359</f>
        <v>50325</v>
      </c>
      <c r="W170" s="144">
        <f>X170</f>
        <v>51690</v>
      </c>
      <c r="X170" s="145">
        <f>26279+9846+15565</f>
        <v>51690</v>
      </c>
      <c r="Y170" s="142">
        <f>26389+9902+15720</f>
        <v>52011</v>
      </c>
      <c r="Z170" s="143">
        <f>26183+10081+15887</f>
        <v>52151</v>
      </c>
      <c r="AA170" s="143">
        <f>26172+10256+16067</f>
        <v>52495</v>
      </c>
      <c r="AB170" s="144">
        <f>AC170</f>
        <v>52344</v>
      </c>
      <c r="AC170" s="145">
        <f>60285-AC171-AC172</f>
        <v>52344</v>
      </c>
      <c r="AD170" s="142">
        <f>61094-AD171-AD172</f>
        <v>52706</v>
      </c>
      <c r="AE170" s="143">
        <f>62065-AE171-AE172</f>
        <v>53537</v>
      </c>
      <c r="AF170" s="143">
        <f>63123-AF172-AF171</f>
        <v>54152</v>
      </c>
      <c r="AG170" s="144">
        <f>AH170</f>
        <v>55317</v>
      </c>
      <c r="AH170" s="145">
        <f>64305-AH171-AH172</f>
        <v>55317</v>
      </c>
      <c r="AI170" s="142">
        <f>65306-AI171-AI172</f>
        <v>55762</v>
      </c>
      <c r="AJ170" s="159">
        <f>64602-AJ171-AJ172</f>
        <v>56233</v>
      </c>
      <c r="AK170" s="143">
        <f>64826-AK172-AK171</f>
        <v>56782</v>
      </c>
      <c r="AL170" s="144">
        <f>AM170</f>
        <v>57854.6</v>
      </c>
      <c r="AM170" s="145">
        <f>65481.4-AM171-AM172</f>
        <v>57854.6</v>
      </c>
      <c r="AN170" s="142">
        <f>66430.2-AN171-AN172</f>
        <v>58811.599999999991</v>
      </c>
      <c r="AO170" s="159">
        <f>67082.4-AO171-AO172</f>
        <v>60055.899999999994</v>
      </c>
      <c r="AP170" s="159">
        <f>60599.8-AP171-AP172</f>
        <v>53481</v>
      </c>
      <c r="AQ170" s="144">
        <f>AR170</f>
        <v>55408.399999999994</v>
      </c>
      <c r="AR170" s="145">
        <f>62036.6-AR171-AR172</f>
        <v>55408.399999999994</v>
      </c>
      <c r="AS170" s="142">
        <f>62910.5-AS171-AS172</f>
        <v>56301.7</v>
      </c>
      <c r="AT170" s="159">
        <f>64134.8-AT171-AT172</f>
        <v>57202.400000000001</v>
      </c>
      <c r="AU170" s="159">
        <f>65438.2-AU171-AU172</f>
        <v>58114.1</v>
      </c>
      <c r="AV170" s="144">
        <f>AW170</f>
        <v>59601.5</v>
      </c>
      <c r="AW170" s="145">
        <f>67428.5-AW171-AW172</f>
        <v>59601.5</v>
      </c>
      <c r="AX170" s="148">
        <f>+AW170+-AX141+-AX135</f>
        <v>61157.839116385963</v>
      </c>
      <c r="AY170" s="146">
        <f>+AX170+-AY141+-AY135</f>
        <v>62714.178232771927</v>
      </c>
      <c r="AZ170" s="146">
        <f>+AY170+-AZ141+-AZ135</f>
        <v>64270.51734915789</v>
      </c>
      <c r="BA170" s="147">
        <f>+AZ170+-BA141+-BA135</f>
        <v>65826.856465543839</v>
      </c>
      <c r="BB170" s="72">
        <f>+BA170</f>
        <v>65826.856465543839</v>
      </c>
      <c r="BC170" s="148">
        <f>+BB170+-BC141+-BC135</f>
        <v>67502.577620635144</v>
      </c>
      <c r="BD170" s="146">
        <f>+BC170+-BD141+-BD135</f>
        <v>69178.298775726449</v>
      </c>
      <c r="BE170" s="146">
        <f>+BD170+-BE141+-BE135</f>
        <v>70854.019930817754</v>
      </c>
      <c r="BF170" s="147">
        <f>+BE170+-BF141+-BF135</f>
        <v>72529.74108590906</v>
      </c>
      <c r="BG170" s="72">
        <f>+BF170</f>
        <v>72529.74108590906</v>
      </c>
      <c r="BH170" s="148">
        <f>+BG170+-BH141+-BH135</f>
        <v>74006.55394242068</v>
      </c>
      <c r="BI170" s="146">
        <f>+BH170+-BI141+-BI135</f>
        <v>75483.3667989323</v>
      </c>
      <c r="BJ170" s="146">
        <f>+BI170+-BJ141+-BJ135</f>
        <v>76960.179655443921</v>
      </c>
      <c r="BK170" s="147">
        <f>+BJ170+-BK141+-BK135</f>
        <v>78436.992511955541</v>
      </c>
      <c r="BL170" s="72">
        <f>+BK170</f>
        <v>78436.992511955541</v>
      </c>
      <c r="BM170" s="148">
        <f>+BL170+-BM141+-BM135</f>
        <v>81237.400982502251</v>
      </c>
      <c r="BN170" s="146">
        <f>+BM170+-BN141+-BN135</f>
        <v>82587.809453048962</v>
      </c>
      <c r="BO170" s="146">
        <f>+BN170+-BO141+-BO135</f>
        <v>83938.217923595672</v>
      </c>
      <c r="BP170" s="147">
        <f>+BO170+-BP141+-BP135</f>
        <v>85288.626394142382</v>
      </c>
      <c r="BQ170" s="72">
        <f>+BP170</f>
        <v>85288.626394142382</v>
      </c>
      <c r="BR170" s="527"/>
      <c r="BS170" s="527"/>
      <c r="BT170" s="491"/>
      <c r="BU170" s="491"/>
      <c r="BV170" s="491"/>
    </row>
    <row r="171" spans="2:96">
      <c r="B171" s="50"/>
      <c r="C171" s="50" t="s">
        <v>362</v>
      </c>
      <c r="D171" s="72"/>
      <c r="E171" s="142">
        <v>3772</v>
      </c>
      <c r="F171" s="143">
        <v>3810</v>
      </c>
      <c r="G171" s="143">
        <v>3821</v>
      </c>
      <c r="H171" s="144">
        <f>I171</f>
        <v>3744</v>
      </c>
      <c r="I171" s="145">
        <v>3744</v>
      </c>
      <c r="J171" s="142">
        <v>3833</v>
      </c>
      <c r="K171" s="143">
        <v>3820</v>
      </c>
      <c r="L171" s="143">
        <v>3867</v>
      </c>
      <c r="M171" s="144">
        <f>N171</f>
        <v>3846</v>
      </c>
      <c r="N171" s="145">
        <v>3846</v>
      </c>
      <c r="O171" s="142">
        <v>3835</v>
      </c>
      <c r="P171" s="143">
        <v>3870</v>
      </c>
      <c r="Q171" s="143">
        <v>3880</v>
      </c>
      <c r="R171" s="144">
        <f>S171</f>
        <v>3780</v>
      </c>
      <c r="S171" s="145">
        <v>3780</v>
      </c>
      <c r="T171" s="142">
        <v>3836</v>
      </c>
      <c r="U171" s="143">
        <v>3862</v>
      </c>
      <c r="V171" s="143">
        <v>3943</v>
      </c>
      <c r="W171" s="144">
        <f>X171</f>
        <v>3945</v>
      </c>
      <c r="X171" s="145">
        <v>3945</v>
      </c>
      <c r="Y171" s="142">
        <v>3986</v>
      </c>
      <c r="Z171" s="143">
        <v>4033</v>
      </c>
      <c r="AA171" s="143">
        <v>4060</v>
      </c>
      <c r="AB171" s="144">
        <f>AC171</f>
        <v>5470</v>
      </c>
      <c r="AC171" s="145">
        <v>5470</v>
      </c>
      <c r="AD171" s="142">
        <v>5552</v>
      </c>
      <c r="AE171" s="143">
        <v>5642</v>
      </c>
      <c r="AF171" s="143">
        <v>5688</v>
      </c>
      <c r="AG171" s="144">
        <f>AH171</f>
        <v>5770</v>
      </c>
      <c r="AH171" s="145">
        <v>5770</v>
      </c>
      <c r="AI171" s="142">
        <v>5834</v>
      </c>
      <c r="AJ171" s="143">
        <v>4718</v>
      </c>
      <c r="AK171" s="143">
        <v>4036</v>
      </c>
      <c r="AL171" s="144">
        <f>AM171</f>
        <v>3722.9</v>
      </c>
      <c r="AM171" s="145">
        <v>3722.9</v>
      </c>
      <c r="AN171" s="142">
        <v>3812.3</v>
      </c>
      <c r="AO171" s="143">
        <v>3516.6</v>
      </c>
      <c r="AP171" s="143">
        <v>3467.5</v>
      </c>
      <c r="AQ171" s="144">
        <f>AR171</f>
        <v>3444.3</v>
      </c>
      <c r="AR171" s="145">
        <v>3444.3</v>
      </c>
      <c r="AS171" s="142">
        <v>3412</v>
      </c>
      <c r="AT171" s="143">
        <v>3595.6</v>
      </c>
      <c r="AU171" s="143">
        <v>3614.1</v>
      </c>
      <c r="AV171" s="144">
        <f>AW171</f>
        <v>3706.3</v>
      </c>
      <c r="AW171" s="145">
        <v>3706.3</v>
      </c>
      <c r="AX171" s="148">
        <f t="shared" ref="AX171:BA172" si="314">+AW171</f>
        <v>3706.3</v>
      </c>
      <c r="AY171" s="146">
        <f t="shared" si="314"/>
        <v>3706.3</v>
      </c>
      <c r="AZ171" s="146">
        <f t="shared" si="314"/>
        <v>3706.3</v>
      </c>
      <c r="BA171" s="147">
        <f t="shared" si="314"/>
        <v>3706.3</v>
      </c>
      <c r="BB171" s="72">
        <f>+BA171</f>
        <v>3706.3</v>
      </c>
      <c r="BC171" s="148">
        <f t="shared" ref="BC171:BF172" si="315">+BB171</f>
        <v>3706.3</v>
      </c>
      <c r="BD171" s="146">
        <f t="shared" si="315"/>
        <v>3706.3</v>
      </c>
      <c r="BE171" s="146">
        <f t="shared" si="315"/>
        <v>3706.3</v>
      </c>
      <c r="BF171" s="147">
        <f t="shared" si="315"/>
        <v>3706.3</v>
      </c>
      <c r="BG171" s="72">
        <f>+BF171</f>
        <v>3706.3</v>
      </c>
      <c r="BH171" s="148">
        <f t="shared" ref="BH171:BK172" si="316">+BG171</f>
        <v>3706.3</v>
      </c>
      <c r="BI171" s="146">
        <f t="shared" si="316"/>
        <v>3706.3</v>
      </c>
      <c r="BJ171" s="146">
        <f t="shared" si="316"/>
        <v>3706.3</v>
      </c>
      <c r="BK171" s="147">
        <f t="shared" si="316"/>
        <v>3706.3</v>
      </c>
      <c r="BL171" s="72">
        <f>+BK171</f>
        <v>3706.3</v>
      </c>
      <c r="BM171" s="148">
        <f t="shared" ref="BM171:BP172" si="317">+BL171</f>
        <v>3706.3</v>
      </c>
      <c r="BN171" s="146">
        <f t="shared" si="317"/>
        <v>3706.3</v>
      </c>
      <c r="BO171" s="146">
        <f t="shared" si="317"/>
        <v>3706.3</v>
      </c>
      <c r="BP171" s="147">
        <f t="shared" si="317"/>
        <v>3706.3</v>
      </c>
      <c r="BQ171" s="72">
        <f>+BP171</f>
        <v>3706.3</v>
      </c>
      <c r="BR171" s="527"/>
      <c r="BS171" s="527"/>
      <c r="BT171" s="491"/>
      <c r="BU171" s="491"/>
      <c r="BV171" s="491"/>
    </row>
    <row r="172" spans="2:96">
      <c r="B172" s="50"/>
      <c r="C172" s="50" t="s">
        <v>109</v>
      </c>
      <c r="D172" s="72"/>
      <c r="E172" s="142">
        <v>3147</v>
      </c>
      <c r="F172" s="143">
        <v>3145</v>
      </c>
      <c r="G172" s="143">
        <v>3251</v>
      </c>
      <c r="H172" s="144">
        <f>I172</f>
        <v>3031</v>
      </c>
      <c r="I172" s="145">
        <v>3031</v>
      </c>
      <c r="J172" s="142">
        <v>2765</v>
      </c>
      <c r="K172" s="143">
        <v>2431</v>
      </c>
      <c r="L172" s="143">
        <v>2571</v>
      </c>
      <c r="M172" s="144">
        <f>N172</f>
        <v>2758</v>
      </c>
      <c r="N172" s="145">
        <v>2758</v>
      </c>
      <c r="O172" s="142">
        <v>2480</v>
      </c>
      <c r="P172" s="143">
        <v>2714</v>
      </c>
      <c r="Q172" s="143">
        <v>3105</v>
      </c>
      <c r="R172" s="144">
        <f>S172</f>
        <v>3121</v>
      </c>
      <c r="S172" s="145">
        <v>3121</v>
      </c>
      <c r="T172" s="142">
        <v>2923</v>
      </c>
      <c r="U172" s="143">
        <v>3020</v>
      </c>
      <c r="V172" s="143">
        <v>3191</v>
      </c>
      <c r="W172" s="144">
        <f>X172</f>
        <v>1819</v>
      </c>
      <c r="X172" s="145">
        <v>1819</v>
      </c>
      <c r="Y172" s="142">
        <v>2078</v>
      </c>
      <c r="Z172" s="143">
        <v>2173</v>
      </c>
      <c r="AA172" s="143">
        <v>2489</v>
      </c>
      <c r="AB172" s="144">
        <f>AC172</f>
        <v>2471</v>
      </c>
      <c r="AC172" s="145">
        <v>2471</v>
      </c>
      <c r="AD172" s="142">
        <v>2836</v>
      </c>
      <c r="AE172" s="143">
        <v>2886</v>
      </c>
      <c r="AF172" s="143">
        <v>3283</v>
      </c>
      <c r="AG172" s="144">
        <f>AH172</f>
        <v>3218</v>
      </c>
      <c r="AH172" s="145">
        <v>3218</v>
      </c>
      <c r="AI172" s="142">
        <v>3710</v>
      </c>
      <c r="AJ172" s="143">
        <v>3651</v>
      </c>
      <c r="AK172" s="143">
        <v>4008</v>
      </c>
      <c r="AL172" s="144">
        <f>AM172</f>
        <v>3903.9</v>
      </c>
      <c r="AM172" s="145">
        <v>3903.9</v>
      </c>
      <c r="AN172" s="142">
        <v>3806.3</v>
      </c>
      <c r="AO172" s="143">
        <v>3509.9</v>
      </c>
      <c r="AP172" s="143">
        <v>3651.3</v>
      </c>
      <c r="AQ172" s="144">
        <f>AR172</f>
        <v>3183.9</v>
      </c>
      <c r="AR172" s="145">
        <v>3183.9</v>
      </c>
      <c r="AS172" s="142">
        <v>3196.8</v>
      </c>
      <c r="AT172" s="143">
        <v>3336.8</v>
      </c>
      <c r="AU172" s="143">
        <v>3710</v>
      </c>
      <c r="AV172" s="144">
        <f>AW172</f>
        <v>4120.7</v>
      </c>
      <c r="AW172" s="145">
        <v>4120.7</v>
      </c>
      <c r="AX172" s="148">
        <f t="shared" si="314"/>
        <v>4120.7</v>
      </c>
      <c r="AY172" s="146">
        <f t="shared" si="314"/>
        <v>4120.7</v>
      </c>
      <c r="AZ172" s="146">
        <f t="shared" si="314"/>
        <v>4120.7</v>
      </c>
      <c r="BA172" s="147">
        <f t="shared" si="314"/>
        <v>4120.7</v>
      </c>
      <c r="BB172" s="72">
        <f>+BA172</f>
        <v>4120.7</v>
      </c>
      <c r="BC172" s="148">
        <f t="shared" si="315"/>
        <v>4120.7</v>
      </c>
      <c r="BD172" s="146">
        <f t="shared" si="315"/>
        <v>4120.7</v>
      </c>
      <c r="BE172" s="146">
        <f t="shared" si="315"/>
        <v>4120.7</v>
      </c>
      <c r="BF172" s="147">
        <f t="shared" si="315"/>
        <v>4120.7</v>
      </c>
      <c r="BG172" s="72">
        <f>+BF172</f>
        <v>4120.7</v>
      </c>
      <c r="BH172" s="148">
        <f t="shared" si="316"/>
        <v>4120.7</v>
      </c>
      <c r="BI172" s="146">
        <f t="shared" si="316"/>
        <v>4120.7</v>
      </c>
      <c r="BJ172" s="146">
        <f t="shared" si="316"/>
        <v>4120.7</v>
      </c>
      <c r="BK172" s="147">
        <f t="shared" si="316"/>
        <v>4120.7</v>
      </c>
      <c r="BL172" s="72">
        <f>+BK172</f>
        <v>4120.7</v>
      </c>
      <c r="BM172" s="148">
        <f t="shared" si="317"/>
        <v>4120.7</v>
      </c>
      <c r="BN172" s="146">
        <f t="shared" si="317"/>
        <v>4120.7</v>
      </c>
      <c r="BO172" s="146">
        <f t="shared" si="317"/>
        <v>4120.7</v>
      </c>
      <c r="BP172" s="147">
        <f t="shared" si="317"/>
        <v>4120.7</v>
      </c>
      <c r="BQ172" s="72">
        <f>+BP172</f>
        <v>4120.7</v>
      </c>
      <c r="BR172" s="527"/>
      <c r="BS172" s="527"/>
      <c r="BT172" s="491"/>
      <c r="BU172" s="491"/>
      <c r="BV172" s="491"/>
    </row>
    <row r="173" spans="2:96">
      <c r="B173" s="50"/>
      <c r="C173" s="50" t="s">
        <v>108</v>
      </c>
      <c r="D173" s="72"/>
      <c r="E173" s="142">
        <v>16913</v>
      </c>
      <c r="F173" s="143">
        <v>17139</v>
      </c>
      <c r="G173" s="143">
        <v>17337</v>
      </c>
      <c r="H173" s="144">
        <f>I173</f>
        <v>17340</v>
      </c>
      <c r="I173" s="145">
        <v>17340</v>
      </c>
      <c r="J173" s="142">
        <v>17487</v>
      </c>
      <c r="K173" s="143">
        <v>17682</v>
      </c>
      <c r="L173" s="143">
        <v>17929</v>
      </c>
      <c r="M173" s="144">
        <f>N173</f>
        <v>18066</v>
      </c>
      <c r="N173" s="145">
        <v>18066</v>
      </c>
      <c r="O173" s="142">
        <v>18330</v>
      </c>
      <c r="P173" s="143">
        <v>18605</v>
      </c>
      <c r="Q173" s="143">
        <v>18680</v>
      </c>
      <c r="R173" s="144">
        <f>S173</f>
        <v>18699</v>
      </c>
      <c r="S173" s="145">
        <v>18699</v>
      </c>
      <c r="T173" s="142">
        <v>18791</v>
      </c>
      <c r="U173" s="143">
        <v>18956</v>
      </c>
      <c r="V173" s="143">
        <v>19326</v>
      </c>
      <c r="W173" s="144">
        <f>X173</f>
        <v>18691</v>
      </c>
      <c r="X173" s="145">
        <v>18691</v>
      </c>
      <c r="Y173" s="142">
        <v>18945</v>
      </c>
      <c r="Z173" s="143">
        <v>18932</v>
      </c>
      <c r="AA173" s="143">
        <v>19174</v>
      </c>
      <c r="AB173" s="144">
        <f>AC173</f>
        <v>19288</v>
      </c>
      <c r="AC173" s="145">
        <v>19288</v>
      </c>
      <c r="AD173" s="142">
        <v>19564</v>
      </c>
      <c r="AE173" s="143">
        <v>19792</v>
      </c>
      <c r="AF173" s="143">
        <v>20059</v>
      </c>
      <c r="AG173" s="144">
        <f>AH173</f>
        <v>20188</v>
      </c>
      <c r="AH173" s="145">
        <v>20188</v>
      </c>
      <c r="AI173" s="142">
        <v>20496</v>
      </c>
      <c r="AJ173" s="143">
        <v>19589</v>
      </c>
      <c r="AK173" s="143">
        <v>19588</v>
      </c>
      <c r="AL173" s="144">
        <f>AM173</f>
        <v>19348.2</v>
      </c>
      <c r="AM173" s="145">
        <v>19348.2</v>
      </c>
      <c r="AN173" s="142">
        <v>19597.3</v>
      </c>
      <c r="AO173" s="143">
        <v>19646.2</v>
      </c>
      <c r="AP173" s="143">
        <v>16337.6</v>
      </c>
      <c r="AQ173" s="144">
        <f>AR173</f>
        <v>16397.3</v>
      </c>
      <c r="AR173" s="145">
        <v>16397.3</v>
      </c>
      <c r="AS173" s="142">
        <v>16674.2</v>
      </c>
      <c r="AT173" s="143">
        <v>16907.599999999999</v>
      </c>
      <c r="AU173" s="143">
        <v>17121.7</v>
      </c>
      <c r="AV173" s="144">
        <f>AW173</f>
        <v>17167</v>
      </c>
      <c r="AW173" s="145">
        <v>17167</v>
      </c>
      <c r="AX173" s="148">
        <f>+AW173+AX134</f>
        <v>17688.678825436346</v>
      </c>
      <c r="AY173" s="146">
        <f>+AX173+AY134</f>
        <v>18209.943866339254</v>
      </c>
      <c r="AZ173" s="146">
        <f>+AY173+AZ134</f>
        <v>18737.042870166679</v>
      </c>
      <c r="BA173" s="147">
        <f>+AZ173+BA134</f>
        <v>19273.266597839985</v>
      </c>
      <c r="BB173" s="72">
        <f>+BA173</f>
        <v>19273.266597839985</v>
      </c>
      <c r="BC173" s="148">
        <f>+BB173+BC134</f>
        <v>19819.530249135547</v>
      </c>
      <c r="BD173" s="146">
        <f>+BC173+BD134</f>
        <v>20371.141431057775</v>
      </c>
      <c r="BE173" s="146">
        <f>+BD173+BE134</f>
        <v>20929.051982517685</v>
      </c>
      <c r="BF173" s="147">
        <f>+BE173+BF134</f>
        <v>21496.554833384987</v>
      </c>
      <c r="BG173" s="72">
        <f>+BF173</f>
        <v>21496.554833384987</v>
      </c>
      <c r="BH173" s="148">
        <f>+BG173+BH134</f>
        <v>22080.358953532141</v>
      </c>
      <c r="BI173" s="146">
        <f>+BH173+BI134</f>
        <v>22674.703721588448</v>
      </c>
      <c r="BJ173" s="146">
        <f>+BI173+BJ134</f>
        <v>23272.850265185465</v>
      </c>
      <c r="BK173" s="147">
        <f>+BJ173+BK134</f>
        <v>23878.121046388165</v>
      </c>
      <c r="BL173" s="72">
        <f>+BK173</f>
        <v>23878.121046388165</v>
      </c>
      <c r="BM173" s="148">
        <f>+BL173+BM134</f>
        <v>24498.364017228181</v>
      </c>
      <c r="BN173" s="146">
        <f>+BM173+BN134</f>
        <v>25136.764454191285</v>
      </c>
      <c r="BO173" s="146">
        <f>+BN173+BO134</f>
        <v>25777.078921096028</v>
      </c>
      <c r="BP173" s="147">
        <f>+BO173+BP134</f>
        <v>26422.651281598151</v>
      </c>
      <c r="BQ173" s="72">
        <f>+BP173</f>
        <v>26422.651281598151</v>
      </c>
      <c r="BR173" s="527"/>
      <c r="BS173" s="527"/>
      <c r="BT173" s="491"/>
      <c r="BU173" s="491"/>
      <c r="BV173" s="491"/>
    </row>
    <row r="174" spans="2:96">
      <c r="B174" s="50"/>
      <c r="C174" s="56" t="s">
        <v>110</v>
      </c>
      <c r="D174" s="72"/>
      <c r="E174" s="149">
        <f>E170-E173+E171+E172</f>
        <v>33251</v>
      </c>
      <c r="F174" s="150">
        <f>F170-F173+F171+F172</f>
        <v>33559</v>
      </c>
      <c r="G174" s="150">
        <f>G170-G173+G171+G172</f>
        <v>33821</v>
      </c>
      <c r="H174" s="151">
        <f>H170-H173+H171+H172</f>
        <v>34344</v>
      </c>
      <c r="I174" s="112">
        <f t="shared" ref="I174:Q174" si="318">I170-I173+I171+I172</f>
        <v>34344</v>
      </c>
      <c r="J174" s="149">
        <f t="shared" si="318"/>
        <v>34526</v>
      </c>
      <c r="K174" s="150">
        <f t="shared" si="318"/>
        <v>34718</v>
      </c>
      <c r="L174" s="150">
        <f t="shared" si="318"/>
        <v>34998</v>
      </c>
      <c r="M174" s="151">
        <f t="shared" si="318"/>
        <v>35674</v>
      </c>
      <c r="N174" s="112">
        <f t="shared" si="318"/>
        <v>35674</v>
      </c>
      <c r="O174" s="149">
        <f t="shared" si="318"/>
        <v>35766</v>
      </c>
      <c r="P174" s="150">
        <f t="shared" si="318"/>
        <v>36064</v>
      </c>
      <c r="Q174" s="150">
        <f t="shared" si="318"/>
        <v>36417</v>
      </c>
      <c r="R174" s="151">
        <f>R170-R173+R171+R172</f>
        <v>36971</v>
      </c>
      <c r="S174" s="112">
        <f>S170-S173+S171+S172</f>
        <v>36971</v>
      </c>
      <c r="T174" s="149">
        <f t="shared" ref="T174:AF174" si="319">T170-T173+T171+T172</f>
        <v>37432</v>
      </c>
      <c r="U174" s="150">
        <f t="shared" si="319"/>
        <v>37828</v>
      </c>
      <c r="V174" s="150">
        <f t="shared" si="319"/>
        <v>38133</v>
      </c>
      <c r="W174" s="151">
        <f>W170-W173+W171+W172</f>
        <v>38763</v>
      </c>
      <c r="X174" s="112">
        <f>X170-X173+X171+X172</f>
        <v>38763</v>
      </c>
      <c r="Y174" s="149">
        <f t="shared" si="319"/>
        <v>39130</v>
      </c>
      <c r="Z174" s="150">
        <f t="shared" si="319"/>
        <v>39425</v>
      </c>
      <c r="AA174" s="150">
        <f t="shared" si="319"/>
        <v>39870</v>
      </c>
      <c r="AB174" s="151">
        <f>AB170-AB173+AB171+AB172</f>
        <v>40997</v>
      </c>
      <c r="AC174" s="112">
        <f>AC170-AC173+AC171+AC172</f>
        <v>40997</v>
      </c>
      <c r="AD174" s="149">
        <f t="shared" si="319"/>
        <v>41530</v>
      </c>
      <c r="AE174" s="150">
        <f t="shared" si="319"/>
        <v>42273</v>
      </c>
      <c r="AF174" s="150">
        <f t="shared" si="319"/>
        <v>43064</v>
      </c>
      <c r="AG174" s="151">
        <f t="shared" ref="AG174:AM174" si="320">AG170-AG173+AG171+AG172</f>
        <v>44117</v>
      </c>
      <c r="AH174" s="112">
        <f t="shared" si="320"/>
        <v>44117</v>
      </c>
      <c r="AI174" s="149">
        <f t="shared" si="320"/>
        <v>44810</v>
      </c>
      <c r="AJ174" s="150">
        <f t="shared" si="320"/>
        <v>45013</v>
      </c>
      <c r="AK174" s="150">
        <f t="shared" si="320"/>
        <v>45238</v>
      </c>
      <c r="AL174" s="151">
        <f t="shared" si="320"/>
        <v>46133.2</v>
      </c>
      <c r="AM174" s="112">
        <f t="shared" si="320"/>
        <v>46133.2</v>
      </c>
      <c r="AN174" s="149">
        <f>AN170-AN173+AN171+AN172</f>
        <v>46832.899999999994</v>
      </c>
      <c r="AO174" s="150">
        <f>AO170-AO173+AO171+AO172</f>
        <v>47436.2</v>
      </c>
      <c r="AP174" s="150">
        <f t="shared" ref="AP174:AU174" si="321">AP170-AP173+AP171+AP172</f>
        <v>44262.200000000004</v>
      </c>
      <c r="AQ174" s="151">
        <f t="shared" si="321"/>
        <v>45639.299999999996</v>
      </c>
      <c r="AR174" s="112">
        <f t="shared" si="321"/>
        <v>45639.299999999996</v>
      </c>
      <c r="AS174" s="149">
        <f>AS170-AS173+AS171+AS172</f>
        <v>46236.3</v>
      </c>
      <c r="AT174" s="150">
        <f t="shared" si="321"/>
        <v>47227.200000000004</v>
      </c>
      <c r="AU174" s="150">
        <f t="shared" si="321"/>
        <v>48316.499999999993</v>
      </c>
      <c r="AV174" s="151">
        <f t="shared" ref="AV174:AW174" si="322">AV170-AV173+AV171+AV172</f>
        <v>50261.5</v>
      </c>
      <c r="AW174" s="112">
        <f t="shared" si="322"/>
        <v>50261.5</v>
      </c>
      <c r="AX174" s="149">
        <f t="shared" ref="AX174:BL174" si="323">AX170-AX173+AX171+AX172</f>
        <v>51296.160290949614</v>
      </c>
      <c r="AY174" s="150">
        <f t="shared" si="323"/>
        <v>52331.234366432676</v>
      </c>
      <c r="AZ174" s="150">
        <f t="shared" si="323"/>
        <v>53360.474478991207</v>
      </c>
      <c r="BA174" s="151">
        <f t="shared" si="323"/>
        <v>54380.589867703849</v>
      </c>
      <c r="BB174" s="112">
        <f t="shared" si="323"/>
        <v>54380.589867703849</v>
      </c>
      <c r="BC174" s="149">
        <f t="shared" si="323"/>
        <v>55510.047371499597</v>
      </c>
      <c r="BD174" s="150">
        <f t="shared" si="323"/>
        <v>56634.157344668674</v>
      </c>
      <c r="BE174" s="150">
        <f t="shared" si="323"/>
        <v>57751.967948300065</v>
      </c>
      <c r="BF174" s="151">
        <f t="shared" si="323"/>
        <v>58860.186252524072</v>
      </c>
      <c r="BG174" s="112">
        <f t="shared" si="323"/>
        <v>58860.186252524072</v>
      </c>
      <c r="BH174" s="149">
        <f t="shared" si="323"/>
        <v>59753.194988888543</v>
      </c>
      <c r="BI174" s="150">
        <f t="shared" si="323"/>
        <v>60635.663077343852</v>
      </c>
      <c r="BJ174" s="150">
        <f t="shared" si="323"/>
        <v>61514.329390258456</v>
      </c>
      <c r="BK174" s="151">
        <f t="shared" si="323"/>
        <v>62385.871465567376</v>
      </c>
      <c r="BL174" s="112">
        <f t="shared" si="323"/>
        <v>62385.871465567376</v>
      </c>
      <c r="BM174" s="149">
        <f>BM170-BM173+BM171+BM172</f>
        <v>64566.03696527407</v>
      </c>
      <c r="BN174" s="150">
        <f>BN170-BN173+BN171+BN172</f>
        <v>65278.044998857673</v>
      </c>
      <c r="BO174" s="150">
        <f>BO170-BO173+BO171+BO172</f>
        <v>65988.139002499651</v>
      </c>
      <c r="BP174" s="151">
        <f>BP170-BP173+BP171+BP172</f>
        <v>66692.975112544227</v>
      </c>
      <c r="BQ174" s="112">
        <f>BQ170-BQ173+BQ171+BQ172</f>
        <v>66692.975112544227</v>
      </c>
      <c r="BR174" s="527"/>
      <c r="BS174" s="527"/>
      <c r="BT174" s="491"/>
      <c r="BU174" s="491"/>
      <c r="BV174" s="491"/>
    </row>
    <row r="175" spans="2:96">
      <c r="C175" s="50"/>
      <c r="D175" s="72"/>
      <c r="E175" s="148"/>
      <c r="F175" s="163"/>
      <c r="G175" s="163"/>
      <c r="H175" s="147"/>
      <c r="I175" s="72"/>
      <c r="J175" s="148"/>
      <c r="K175" s="163"/>
      <c r="L175" s="163"/>
      <c r="M175" s="147"/>
      <c r="N175" s="72"/>
      <c r="O175" s="148"/>
      <c r="P175" s="163"/>
      <c r="Q175" s="163"/>
      <c r="R175" s="147"/>
      <c r="S175" s="72"/>
      <c r="T175" s="148"/>
      <c r="U175" s="163"/>
      <c r="V175" s="163"/>
      <c r="W175" s="147"/>
      <c r="X175" s="72"/>
      <c r="Y175" s="148"/>
      <c r="Z175" s="163"/>
      <c r="AA175" s="163"/>
      <c r="AB175" s="147"/>
      <c r="AC175" s="72"/>
      <c r="AD175" s="148"/>
      <c r="AE175" s="163"/>
      <c r="AF175" s="163"/>
      <c r="AG175" s="147"/>
      <c r="AH175" s="72"/>
      <c r="AI175" s="148"/>
      <c r="AJ175" s="163"/>
      <c r="AK175" s="163"/>
      <c r="AL175" s="147"/>
      <c r="AM175" s="72"/>
      <c r="AN175" s="148"/>
      <c r="AO175" s="163"/>
      <c r="AP175" s="163"/>
      <c r="AQ175" s="147"/>
      <c r="AR175" s="72"/>
      <c r="AS175" s="148"/>
      <c r="AT175" s="163"/>
      <c r="AU175" s="163"/>
      <c r="AV175" s="147"/>
      <c r="AW175" s="72"/>
      <c r="AX175" s="148"/>
      <c r="AY175" s="163"/>
      <c r="AZ175" s="163"/>
      <c r="BA175" s="147"/>
      <c r="BB175" s="72"/>
      <c r="BC175" s="148"/>
      <c r="BD175" s="163"/>
      <c r="BE175" s="163"/>
      <c r="BF175" s="147"/>
      <c r="BG175" s="72"/>
      <c r="BH175" s="148"/>
      <c r="BI175" s="163"/>
      <c r="BJ175" s="163"/>
      <c r="BK175" s="147"/>
      <c r="BL175" s="72"/>
      <c r="BM175" s="148"/>
      <c r="BN175" s="163"/>
      <c r="BO175" s="163"/>
      <c r="BP175" s="147"/>
      <c r="BQ175" s="72"/>
      <c r="BR175" s="527"/>
      <c r="BS175" s="527"/>
      <c r="BT175" s="491"/>
      <c r="BU175" s="491"/>
      <c r="BV175" s="491"/>
    </row>
    <row r="176" spans="2:96">
      <c r="C176" t="s">
        <v>111</v>
      </c>
      <c r="D176" s="72"/>
      <c r="E176" s="142">
        <v>76</v>
      </c>
      <c r="F176" s="143">
        <v>76</v>
      </c>
      <c r="G176" s="143">
        <v>76</v>
      </c>
      <c r="H176" s="147">
        <f>I176</f>
        <v>76</v>
      </c>
      <c r="I176" s="145">
        <v>76</v>
      </c>
      <c r="J176" s="142">
        <v>76</v>
      </c>
      <c r="K176" s="143">
        <v>76</v>
      </c>
      <c r="L176" s="143">
        <v>76</v>
      </c>
      <c r="M176" s="147">
        <f>N176</f>
        <v>76</v>
      </c>
      <c r="N176" s="145">
        <v>76</v>
      </c>
      <c r="O176" s="142">
        <v>76</v>
      </c>
      <c r="P176" s="143">
        <v>76</v>
      </c>
      <c r="Q176" s="143">
        <v>76</v>
      </c>
      <c r="R176" s="147">
        <f>S176</f>
        <v>76</v>
      </c>
      <c r="S176" s="145">
        <v>76</v>
      </c>
      <c r="T176" s="142">
        <v>90</v>
      </c>
      <c r="U176" s="143">
        <v>90</v>
      </c>
      <c r="V176" s="143">
        <v>90</v>
      </c>
      <c r="W176" s="147">
        <f>X176</f>
        <v>91</v>
      </c>
      <c r="X176" s="145">
        <v>91</v>
      </c>
      <c r="Y176" s="142">
        <v>91</v>
      </c>
      <c r="Z176" s="143">
        <v>91</v>
      </c>
      <c r="AA176" s="143">
        <v>91</v>
      </c>
      <c r="AB176" s="147">
        <f>AC176</f>
        <v>91</v>
      </c>
      <c r="AC176" s="145">
        <v>91</v>
      </c>
      <c r="AD176" s="142">
        <v>91</v>
      </c>
      <c r="AE176" s="143">
        <v>91</v>
      </c>
      <c r="AF176" s="143">
        <v>91</v>
      </c>
      <c r="AG176" s="147">
        <f>AH176</f>
        <v>91</v>
      </c>
      <c r="AH176" s="145">
        <v>91</v>
      </c>
      <c r="AI176" s="142">
        <v>91</v>
      </c>
      <c r="AJ176" s="143">
        <v>91</v>
      </c>
      <c r="AK176" s="143">
        <v>53</v>
      </c>
      <c r="AL176" s="147">
        <f>AM176</f>
        <v>52.5</v>
      </c>
      <c r="AM176" s="145">
        <v>52.5</v>
      </c>
      <c r="AN176" s="142">
        <v>52.5</v>
      </c>
      <c r="AO176" s="143">
        <v>52.5</v>
      </c>
      <c r="AP176" s="143">
        <v>52.5</v>
      </c>
      <c r="AQ176" s="147">
        <f>AR176</f>
        <v>52.5</v>
      </c>
      <c r="AR176" s="145">
        <v>52.5</v>
      </c>
      <c r="AS176" s="142">
        <v>52.5</v>
      </c>
      <c r="AT176" s="143">
        <v>52.5</v>
      </c>
      <c r="AU176" s="143">
        <v>52.5</v>
      </c>
      <c r="AV176" s="147">
        <f>AW176</f>
        <v>52.5</v>
      </c>
      <c r="AW176" s="145">
        <v>52.5</v>
      </c>
      <c r="AX176" s="148">
        <f t="shared" ref="AX176:BB177" si="324">+AW176</f>
        <v>52.5</v>
      </c>
      <c r="AY176" s="146">
        <f t="shared" si="324"/>
        <v>52.5</v>
      </c>
      <c r="AZ176" s="146">
        <f t="shared" si="324"/>
        <v>52.5</v>
      </c>
      <c r="BA176" s="147">
        <f t="shared" si="324"/>
        <v>52.5</v>
      </c>
      <c r="BB176" s="72">
        <f t="shared" si="324"/>
        <v>52.5</v>
      </c>
      <c r="BC176" s="148">
        <f t="shared" ref="BC176:BL176" si="325">+BB176</f>
        <v>52.5</v>
      </c>
      <c r="BD176" s="146">
        <f t="shared" si="325"/>
        <v>52.5</v>
      </c>
      <c r="BE176" s="146">
        <f t="shared" si="325"/>
        <v>52.5</v>
      </c>
      <c r="BF176" s="147">
        <f t="shared" si="325"/>
        <v>52.5</v>
      </c>
      <c r="BG176" s="72">
        <f t="shared" si="325"/>
        <v>52.5</v>
      </c>
      <c r="BH176" s="148">
        <f t="shared" si="325"/>
        <v>52.5</v>
      </c>
      <c r="BI176" s="146">
        <f t="shared" si="325"/>
        <v>52.5</v>
      </c>
      <c r="BJ176" s="146">
        <f t="shared" si="325"/>
        <v>52.5</v>
      </c>
      <c r="BK176" s="147">
        <f t="shared" si="325"/>
        <v>52.5</v>
      </c>
      <c r="BL176" s="72">
        <f t="shared" si="325"/>
        <v>52.5</v>
      </c>
      <c r="BM176" s="148">
        <f t="shared" ref="BM176:BQ177" si="326">+BL176</f>
        <v>52.5</v>
      </c>
      <c r="BN176" s="146">
        <f t="shared" si="326"/>
        <v>52.5</v>
      </c>
      <c r="BO176" s="146">
        <f t="shared" si="326"/>
        <v>52.5</v>
      </c>
      <c r="BP176" s="147">
        <f t="shared" si="326"/>
        <v>52.5</v>
      </c>
      <c r="BQ176" s="72">
        <f t="shared" si="326"/>
        <v>52.5</v>
      </c>
      <c r="BR176" s="527"/>
      <c r="BS176" s="527"/>
      <c r="BT176" s="491"/>
      <c r="BU176" s="491"/>
      <c r="BV176" s="491"/>
    </row>
    <row r="177" spans="3:74">
      <c r="C177" t="s">
        <v>112</v>
      </c>
      <c r="D177" s="72"/>
      <c r="E177" s="142">
        <v>3837</v>
      </c>
      <c r="F177" s="143">
        <v>3979</v>
      </c>
      <c r="G177" s="143">
        <v>4360</v>
      </c>
      <c r="H177" s="144">
        <f>I177</f>
        <v>4595</v>
      </c>
      <c r="I177" s="145">
        <v>4595</v>
      </c>
      <c r="J177" s="142">
        <v>4683</v>
      </c>
      <c r="K177" s="143">
        <v>4732</v>
      </c>
      <c r="L177" s="143">
        <v>4745</v>
      </c>
      <c r="M177" s="144">
        <f>N177</f>
        <v>4943</v>
      </c>
      <c r="N177" s="145">
        <v>4943</v>
      </c>
      <c r="O177" s="142">
        <v>4957</v>
      </c>
      <c r="P177" s="143">
        <v>5004</v>
      </c>
      <c r="Q177" s="143">
        <v>5731</v>
      </c>
      <c r="R177" s="144">
        <f>S177</f>
        <v>6026</v>
      </c>
      <c r="S177" s="145">
        <v>6026</v>
      </c>
      <c r="T177" s="142">
        <v>5291</v>
      </c>
      <c r="U177" s="143">
        <v>5277</v>
      </c>
      <c r="V177" s="143">
        <v>5306</v>
      </c>
      <c r="W177" s="144">
        <f>X177</f>
        <v>5106</v>
      </c>
      <c r="X177" s="145">
        <v>5106</v>
      </c>
      <c r="Y177" s="142">
        <v>5087</v>
      </c>
      <c r="Z177" s="143">
        <v>5139</v>
      </c>
      <c r="AA177" s="143">
        <v>5038</v>
      </c>
      <c r="AB177" s="144">
        <f>AC177</f>
        <v>4376</v>
      </c>
      <c r="AC177" s="145">
        <v>4376</v>
      </c>
      <c r="AD177" s="142">
        <v>4384</v>
      </c>
      <c r="AE177" s="143">
        <v>4390</v>
      </c>
      <c r="AF177" s="143">
        <v>4308</v>
      </c>
      <c r="AG177" s="144">
        <f>AH177</f>
        <v>4264</v>
      </c>
      <c r="AH177" s="145">
        <v>4264</v>
      </c>
      <c r="AI177" s="142">
        <v>4255</v>
      </c>
      <c r="AJ177" s="143">
        <v>5021</v>
      </c>
      <c r="AK177" s="143">
        <v>4950</v>
      </c>
      <c r="AL177" s="144">
        <f>AM177</f>
        <v>5140.3</v>
      </c>
      <c r="AM177" s="145">
        <v>5140.3</v>
      </c>
      <c r="AN177" s="142">
        <v>5109.5</v>
      </c>
      <c r="AO177" s="143">
        <v>5259.1</v>
      </c>
      <c r="AP177" s="143">
        <v>5182.3999999999996</v>
      </c>
      <c r="AQ177" s="144">
        <f>AR177</f>
        <v>5625.5</v>
      </c>
      <c r="AR177" s="145">
        <v>5625.5</v>
      </c>
      <c r="AS177" s="142">
        <v>5583.1</v>
      </c>
      <c r="AT177" s="143">
        <v>5592.6</v>
      </c>
      <c r="AU177" s="143">
        <v>5640</v>
      </c>
      <c r="AV177" s="144">
        <f>AW177</f>
        <v>3587.6</v>
      </c>
      <c r="AW177" s="145">
        <v>3587.6</v>
      </c>
      <c r="AX177" s="148">
        <f t="shared" si="324"/>
        <v>3587.6</v>
      </c>
      <c r="AY177" s="146">
        <f t="shared" si="324"/>
        <v>3587.6</v>
      </c>
      <c r="AZ177" s="146">
        <f t="shared" si="324"/>
        <v>3587.6</v>
      </c>
      <c r="BA177" s="147">
        <f t="shared" si="324"/>
        <v>3587.6</v>
      </c>
      <c r="BB177" s="72">
        <f t="shared" si="324"/>
        <v>3587.6</v>
      </c>
      <c r="BC177" s="148">
        <f t="shared" ref="BC177:BL177" si="327">+BB177</f>
        <v>3587.6</v>
      </c>
      <c r="BD177" s="146">
        <f t="shared" si="327"/>
        <v>3587.6</v>
      </c>
      <c r="BE177" s="146">
        <f t="shared" si="327"/>
        <v>3587.6</v>
      </c>
      <c r="BF177" s="147">
        <f t="shared" si="327"/>
        <v>3587.6</v>
      </c>
      <c r="BG177" s="72">
        <f t="shared" si="327"/>
        <v>3587.6</v>
      </c>
      <c r="BH177" s="148">
        <f t="shared" si="327"/>
        <v>3587.6</v>
      </c>
      <c r="BI177" s="146">
        <f t="shared" si="327"/>
        <v>3587.6</v>
      </c>
      <c r="BJ177" s="146">
        <f t="shared" si="327"/>
        <v>3587.6</v>
      </c>
      <c r="BK177" s="147">
        <f t="shared" si="327"/>
        <v>3587.6</v>
      </c>
      <c r="BL177" s="72">
        <f t="shared" si="327"/>
        <v>3587.6</v>
      </c>
      <c r="BM177" s="148">
        <f t="shared" si="326"/>
        <v>3587.6</v>
      </c>
      <c r="BN177" s="146">
        <f t="shared" si="326"/>
        <v>3587.6</v>
      </c>
      <c r="BO177" s="146">
        <f t="shared" si="326"/>
        <v>3587.6</v>
      </c>
      <c r="BP177" s="147">
        <f t="shared" si="326"/>
        <v>3587.6</v>
      </c>
      <c r="BQ177" s="72">
        <f t="shared" si="326"/>
        <v>3587.6</v>
      </c>
      <c r="BR177" s="527"/>
      <c r="BS177" s="527"/>
      <c r="BT177" s="491"/>
      <c r="BU177" s="491"/>
      <c r="BV177" s="491"/>
    </row>
    <row r="178" spans="3:74">
      <c r="C178" t="s">
        <v>113</v>
      </c>
      <c r="D178" s="72"/>
      <c r="E178" s="142">
        <f>2011+1207+417+948</f>
        <v>4583</v>
      </c>
      <c r="F178" s="143">
        <f>1983+1268+380+869</f>
        <v>4500</v>
      </c>
      <c r="G178" s="143">
        <f>1940+1364+379+774</f>
        <v>4457</v>
      </c>
      <c r="H178" s="144">
        <f>I178</f>
        <v>4577</v>
      </c>
      <c r="I178" s="145">
        <f>1896+1392+343+946</f>
        <v>4577</v>
      </c>
      <c r="J178" s="142">
        <f>1865+1433+449+1077</f>
        <v>4824</v>
      </c>
      <c r="K178" s="143">
        <f>1834+1391+408+985</f>
        <v>4618</v>
      </c>
      <c r="L178" s="143">
        <f>1788+1466+488+910</f>
        <v>4652</v>
      </c>
      <c r="M178" s="144">
        <f>N178</f>
        <v>4746</v>
      </c>
      <c r="N178" s="145">
        <f>1742+1515+410+1079</f>
        <v>4746</v>
      </c>
      <c r="O178" s="142">
        <f>1707+1559+359+1347</f>
        <v>4972</v>
      </c>
      <c r="P178" s="143">
        <f>1673+1574+343+1264</f>
        <v>4854</v>
      </c>
      <c r="Q178" s="143">
        <f>1625+1513+316+1135</f>
        <v>4589</v>
      </c>
      <c r="R178" s="144">
        <f>S178</f>
        <v>4968</v>
      </c>
      <c r="S178" s="145">
        <f>1627+1592+403+1346</f>
        <v>4968</v>
      </c>
      <c r="T178" s="142">
        <f>2289+1662+425+1499</f>
        <v>5875</v>
      </c>
      <c r="U178" s="143">
        <f>2241+1658+439+1405</f>
        <v>5743</v>
      </c>
      <c r="V178" s="143">
        <f>2179+1700+390+1397</f>
        <v>5666</v>
      </c>
      <c r="W178" s="144">
        <f>X178</f>
        <v>5818</v>
      </c>
      <c r="X178" s="145">
        <f>2117+1706+368+1627</f>
        <v>5818</v>
      </c>
      <c r="Y178" s="142">
        <f>2065+1788+341+1651</f>
        <v>5845</v>
      </c>
      <c r="Z178" s="143">
        <f>2013+1791+317+1581</f>
        <v>5702</v>
      </c>
      <c r="AA178" s="143">
        <f>2080+1839+314+1414</f>
        <v>5647</v>
      </c>
      <c r="AB178" s="144">
        <f>AC178</f>
        <v>6640</v>
      </c>
      <c r="AC178" s="145">
        <f>2373+1932+297+2038</f>
        <v>6640</v>
      </c>
      <c r="AD178" s="142">
        <f>2308+1962+266+2162</f>
        <v>6698</v>
      </c>
      <c r="AE178" s="143">
        <f>2244+2019+224+2056</f>
        <v>6543</v>
      </c>
      <c r="AF178" s="143">
        <f>2159+2020+228+1944</f>
        <v>6351</v>
      </c>
      <c r="AG178" s="144">
        <f>AH178</f>
        <v>6683</v>
      </c>
      <c r="AH178" s="145">
        <f>2072+2096+294+2221</f>
        <v>6683</v>
      </c>
      <c r="AI178" s="142">
        <f>2001+2122+365+2278</f>
        <v>6766</v>
      </c>
      <c r="AJ178" s="143">
        <f>1931+2106+363+2188</f>
        <v>6588</v>
      </c>
      <c r="AK178" s="143">
        <f>1841+2047+353+2069</f>
        <v>6310</v>
      </c>
      <c r="AL178" s="144">
        <f>AM178</f>
        <v>6284.7000000000007</v>
      </c>
      <c r="AM178" s="145">
        <f>1749.9+2106.4+321.8+2106.6</f>
        <v>6284.7000000000007</v>
      </c>
      <c r="AN178" s="142">
        <f>1689.2+2152.4+328.9+2174.8</f>
        <v>6345.3</v>
      </c>
      <c r="AO178" s="143">
        <f>1631.9+2196+298.5+2004</f>
        <v>6130.4</v>
      </c>
      <c r="AP178" s="143">
        <f>1559+2230.8+311.7+1894.2</f>
        <v>5995.7</v>
      </c>
      <c r="AQ178" s="144">
        <f>AR178</f>
        <v>6116.5</v>
      </c>
      <c r="AR178" s="145">
        <f>1486.1+2256.2+289.1+2085.1</f>
        <v>6116.5</v>
      </c>
      <c r="AS178" s="142">
        <f>1425.2+2333.2+310.5+2171.1</f>
        <v>6240</v>
      </c>
      <c r="AT178" s="143">
        <f>1364.4+2382+285.6+2025.8</f>
        <v>6057.8</v>
      </c>
      <c r="AU178" s="143">
        <f>1287.8+2433+310.4+1856.9</f>
        <v>5888.1</v>
      </c>
      <c r="AV178" s="144">
        <f>AW178</f>
        <v>6574.4</v>
      </c>
      <c r="AW178" s="145">
        <f>1211.2+2527.6+282.1+2553.5</f>
        <v>6574.4</v>
      </c>
      <c r="AX178" s="148">
        <f>+AW178-AX142</f>
        <v>6574.4</v>
      </c>
      <c r="AY178" s="146">
        <f>+AX178-AY142</f>
        <v>6574.4</v>
      </c>
      <c r="AZ178" s="146">
        <f>+AY178-AZ142</f>
        <v>6574.4</v>
      </c>
      <c r="BA178" s="147">
        <f>+AZ178-BA142</f>
        <v>6574.4</v>
      </c>
      <c r="BB178" s="72">
        <f>+BA178</f>
        <v>6574.4</v>
      </c>
      <c r="BC178" s="148">
        <f>+BB178-BC142</f>
        <v>6574.4</v>
      </c>
      <c r="BD178" s="146">
        <f>+BC178-BD142</f>
        <v>6574.4</v>
      </c>
      <c r="BE178" s="146">
        <f>+BD178-BE142</f>
        <v>6574.4</v>
      </c>
      <c r="BF178" s="147">
        <f>+BE178-BF142</f>
        <v>6574.4</v>
      </c>
      <c r="BG178" s="72">
        <f>+BF178</f>
        <v>6574.4</v>
      </c>
      <c r="BH178" s="148">
        <f>+BG178-BH142</f>
        <v>6574.4</v>
      </c>
      <c r="BI178" s="146">
        <f>+BH178-BI142</f>
        <v>6574.4</v>
      </c>
      <c r="BJ178" s="146">
        <f>+BI178-BJ142</f>
        <v>6574.4</v>
      </c>
      <c r="BK178" s="147">
        <f>+BJ178-BK142</f>
        <v>6574.4</v>
      </c>
      <c r="BL178" s="72">
        <f>+BK178</f>
        <v>6574.4</v>
      </c>
      <c r="BM178" s="148">
        <f>+BL178-BM142</f>
        <v>6574.4</v>
      </c>
      <c r="BN178" s="146">
        <f>+BM178-BN142</f>
        <v>6574.4</v>
      </c>
      <c r="BO178" s="146">
        <f>+BN178-BO142</f>
        <v>6574.4</v>
      </c>
      <c r="BP178" s="147">
        <f>+BO178-BP142</f>
        <v>6574.4</v>
      </c>
      <c r="BQ178" s="72">
        <f>+BP178</f>
        <v>6574.4</v>
      </c>
      <c r="BR178" s="527"/>
      <c r="BS178" s="527"/>
      <c r="BT178" s="491"/>
      <c r="BU178" s="491"/>
      <c r="BV178" s="491"/>
    </row>
    <row r="179" spans="3:74">
      <c r="C179" s="56" t="s">
        <v>114</v>
      </c>
      <c r="D179" s="72"/>
      <c r="E179" s="149">
        <f>SUM(E176:E178)</f>
        <v>8496</v>
      </c>
      <c r="F179" s="150">
        <f>SUM(F176:F178)</f>
        <v>8555</v>
      </c>
      <c r="G179" s="150">
        <f>SUM(G176:G178)</f>
        <v>8893</v>
      </c>
      <c r="H179" s="151">
        <f>SUM(H176:H178)</f>
        <v>9248</v>
      </c>
      <c r="I179" s="112">
        <f t="shared" ref="I179:Q179" si="328">SUM(I176:I178)</f>
        <v>9248</v>
      </c>
      <c r="J179" s="149">
        <f t="shared" si="328"/>
        <v>9583</v>
      </c>
      <c r="K179" s="150">
        <f t="shared" si="328"/>
        <v>9426</v>
      </c>
      <c r="L179" s="150">
        <f t="shared" si="328"/>
        <v>9473</v>
      </c>
      <c r="M179" s="151">
        <f t="shared" si="328"/>
        <v>9765</v>
      </c>
      <c r="N179" s="112">
        <f t="shared" si="328"/>
        <v>9765</v>
      </c>
      <c r="O179" s="149">
        <f t="shared" si="328"/>
        <v>10005</v>
      </c>
      <c r="P179" s="150">
        <f t="shared" si="328"/>
        <v>9934</v>
      </c>
      <c r="Q179" s="150">
        <f t="shared" si="328"/>
        <v>10396</v>
      </c>
      <c r="R179" s="151">
        <f t="shared" ref="R179:AA179" si="329">SUM(R176:R178)</f>
        <v>11070</v>
      </c>
      <c r="S179" s="112">
        <f t="shared" si="329"/>
        <v>11070</v>
      </c>
      <c r="T179" s="149">
        <f t="shared" si="329"/>
        <v>11256</v>
      </c>
      <c r="U179" s="150">
        <f t="shared" si="329"/>
        <v>11110</v>
      </c>
      <c r="V179" s="150">
        <f t="shared" si="329"/>
        <v>11062</v>
      </c>
      <c r="W179" s="151">
        <f t="shared" si="329"/>
        <v>11015</v>
      </c>
      <c r="X179" s="112">
        <f t="shared" si="329"/>
        <v>11015</v>
      </c>
      <c r="Y179" s="149">
        <f t="shared" si="329"/>
        <v>11023</v>
      </c>
      <c r="Z179" s="150">
        <f t="shared" si="329"/>
        <v>10932</v>
      </c>
      <c r="AA179" s="150">
        <f t="shared" si="329"/>
        <v>10776</v>
      </c>
      <c r="AB179" s="151">
        <f t="shared" ref="AB179:AH179" si="330">SUM(AB176:AB178)</f>
        <v>11107</v>
      </c>
      <c r="AC179" s="112">
        <f t="shared" si="330"/>
        <v>11107</v>
      </c>
      <c r="AD179" s="149">
        <f t="shared" si="330"/>
        <v>11173</v>
      </c>
      <c r="AE179" s="150">
        <f t="shared" si="330"/>
        <v>11024</v>
      </c>
      <c r="AF179" s="150">
        <f t="shared" si="330"/>
        <v>10750</v>
      </c>
      <c r="AG179" s="151">
        <f t="shared" si="330"/>
        <v>11038</v>
      </c>
      <c r="AH179" s="112">
        <f t="shared" si="330"/>
        <v>11038</v>
      </c>
      <c r="AI179" s="149">
        <f t="shared" ref="AI179:AN179" si="331">SUM(AI176:AI178)</f>
        <v>11112</v>
      </c>
      <c r="AJ179" s="150">
        <f t="shared" si="331"/>
        <v>11700</v>
      </c>
      <c r="AK179" s="150">
        <f t="shared" si="331"/>
        <v>11313</v>
      </c>
      <c r="AL179" s="151">
        <f t="shared" si="331"/>
        <v>11477.5</v>
      </c>
      <c r="AM179" s="112">
        <f t="shared" si="331"/>
        <v>11477.5</v>
      </c>
      <c r="AN179" s="149">
        <f t="shared" si="331"/>
        <v>11507.3</v>
      </c>
      <c r="AO179" s="150">
        <f>SUM(AO176:AO178)</f>
        <v>11442</v>
      </c>
      <c r="AP179" s="150">
        <f t="shared" ref="AP179:AU179" si="332">SUM(AP176:AP178)</f>
        <v>11230.599999999999</v>
      </c>
      <c r="AQ179" s="151">
        <f t="shared" si="332"/>
        <v>11794.5</v>
      </c>
      <c r="AR179" s="112">
        <f t="shared" si="332"/>
        <v>11794.5</v>
      </c>
      <c r="AS179" s="149">
        <f t="shared" si="332"/>
        <v>11875.6</v>
      </c>
      <c r="AT179" s="150">
        <f t="shared" si="332"/>
        <v>11702.900000000001</v>
      </c>
      <c r="AU179" s="150">
        <f t="shared" si="332"/>
        <v>11580.6</v>
      </c>
      <c r="AV179" s="151">
        <f t="shared" ref="AV179:AW179" si="333">SUM(AV176:AV178)</f>
        <v>10214.5</v>
      </c>
      <c r="AW179" s="112">
        <f t="shared" si="333"/>
        <v>10214.5</v>
      </c>
      <c r="AX179" s="149">
        <f t="shared" ref="AX179:BL179" si="334">SUM(AX176:AX178)</f>
        <v>10214.5</v>
      </c>
      <c r="AY179" s="150">
        <f t="shared" si="334"/>
        <v>10214.5</v>
      </c>
      <c r="AZ179" s="150">
        <f t="shared" si="334"/>
        <v>10214.5</v>
      </c>
      <c r="BA179" s="151">
        <f t="shared" si="334"/>
        <v>10214.5</v>
      </c>
      <c r="BB179" s="112">
        <f t="shared" si="334"/>
        <v>10214.5</v>
      </c>
      <c r="BC179" s="149">
        <f t="shared" si="334"/>
        <v>10214.5</v>
      </c>
      <c r="BD179" s="150">
        <f t="shared" si="334"/>
        <v>10214.5</v>
      </c>
      <c r="BE179" s="150">
        <f t="shared" si="334"/>
        <v>10214.5</v>
      </c>
      <c r="BF179" s="151">
        <f t="shared" si="334"/>
        <v>10214.5</v>
      </c>
      <c r="BG179" s="112">
        <f t="shared" si="334"/>
        <v>10214.5</v>
      </c>
      <c r="BH179" s="149">
        <f t="shared" si="334"/>
        <v>10214.5</v>
      </c>
      <c r="BI179" s="150">
        <f t="shared" si="334"/>
        <v>10214.5</v>
      </c>
      <c r="BJ179" s="150">
        <f t="shared" si="334"/>
        <v>10214.5</v>
      </c>
      <c r="BK179" s="151">
        <f t="shared" si="334"/>
        <v>10214.5</v>
      </c>
      <c r="BL179" s="112">
        <f t="shared" si="334"/>
        <v>10214.5</v>
      </c>
      <c r="BM179" s="149">
        <f>SUM(BM176:BM178)</f>
        <v>10214.5</v>
      </c>
      <c r="BN179" s="150">
        <f>SUM(BN176:BN178)</f>
        <v>10214.5</v>
      </c>
      <c r="BO179" s="150">
        <f>SUM(BO176:BO178)</f>
        <v>10214.5</v>
      </c>
      <c r="BP179" s="151">
        <f>SUM(BP176:BP178)</f>
        <v>10214.5</v>
      </c>
      <c r="BQ179" s="112">
        <f>SUM(BQ176:BQ178)</f>
        <v>10214.5</v>
      </c>
      <c r="BR179" s="527"/>
      <c r="BS179" s="527"/>
      <c r="BT179" s="491"/>
      <c r="BU179" s="491"/>
      <c r="BV179" s="491"/>
    </row>
    <row r="180" spans="3:74">
      <c r="D180" s="72"/>
      <c r="E180" s="252"/>
      <c r="F180" s="253"/>
      <c r="G180" s="253"/>
      <c r="H180" s="254"/>
      <c r="I180" s="72"/>
      <c r="J180" s="252"/>
      <c r="K180" s="253"/>
      <c r="L180" s="253"/>
      <c r="M180" s="254"/>
      <c r="N180" s="72"/>
      <c r="O180" s="252"/>
      <c r="P180" s="253"/>
      <c r="Q180" s="253"/>
      <c r="R180" s="254"/>
      <c r="S180" s="72"/>
      <c r="T180" s="252"/>
      <c r="U180" s="253"/>
      <c r="V180" s="253"/>
      <c r="W180" s="254"/>
      <c r="X180" s="72"/>
      <c r="Y180" s="252"/>
      <c r="Z180" s="253"/>
      <c r="AA180" s="253"/>
      <c r="AB180" s="254"/>
      <c r="AC180" s="72"/>
      <c r="AD180" s="252"/>
      <c r="AE180" s="253"/>
      <c r="AF180" s="253"/>
      <c r="AG180" s="254"/>
      <c r="AH180" s="72"/>
      <c r="AI180" s="252"/>
      <c r="AJ180" s="253"/>
      <c r="AK180" s="253"/>
      <c r="AL180" s="254"/>
      <c r="AM180" s="72"/>
      <c r="AN180" s="252"/>
      <c r="AO180" s="253"/>
      <c r="AP180" s="253">
        <v>11230.599999999999</v>
      </c>
      <c r="AQ180" s="254"/>
      <c r="AR180" s="72"/>
      <c r="AS180" s="252"/>
      <c r="AT180" s="253"/>
      <c r="AU180" s="253"/>
      <c r="AV180" s="254"/>
      <c r="AW180" s="72"/>
      <c r="AX180" s="252"/>
      <c r="AY180" s="253"/>
      <c r="AZ180" s="253"/>
      <c r="BA180" s="254"/>
      <c r="BB180" s="255"/>
      <c r="BC180" s="252"/>
      <c r="BD180" s="253"/>
      <c r="BE180" s="253"/>
      <c r="BF180" s="254"/>
      <c r="BG180" s="255"/>
      <c r="BH180" s="252"/>
      <c r="BI180" s="253"/>
      <c r="BJ180" s="253"/>
      <c r="BK180" s="254"/>
      <c r="BL180" s="255"/>
      <c r="BM180" s="252"/>
      <c r="BN180" s="253"/>
      <c r="BO180" s="253"/>
      <c r="BP180" s="254"/>
      <c r="BQ180" s="255"/>
      <c r="BR180" s="527"/>
      <c r="BS180" s="527"/>
      <c r="BT180" s="491"/>
      <c r="BU180" s="491"/>
      <c r="BV180" s="491"/>
    </row>
    <row r="181" spans="3:74">
      <c r="C181" s="56" t="s">
        <v>115</v>
      </c>
      <c r="D181" s="72"/>
      <c r="E181" s="149">
        <f t="shared" ref="E181:M181" si="335">SUM(E179,E174,E168)</f>
        <v>45865</v>
      </c>
      <c r="F181" s="150">
        <f t="shared" si="335"/>
        <v>46338</v>
      </c>
      <c r="G181" s="150">
        <f t="shared" si="335"/>
        <v>47193</v>
      </c>
      <c r="H181" s="151">
        <f t="shared" si="335"/>
        <v>48348</v>
      </c>
      <c r="I181" s="112">
        <f t="shared" si="335"/>
        <v>48348</v>
      </c>
      <c r="J181" s="149">
        <f t="shared" si="335"/>
        <v>49625</v>
      </c>
      <c r="K181" s="150">
        <f t="shared" si="335"/>
        <v>49937</v>
      </c>
      <c r="L181" s="150">
        <f t="shared" si="335"/>
        <v>49892</v>
      </c>
      <c r="M181" s="151">
        <f t="shared" si="335"/>
        <v>50455</v>
      </c>
      <c r="N181" s="112">
        <f>SUM(N179,N174,N168)</f>
        <v>50455</v>
      </c>
      <c r="O181" s="149">
        <f>SUM(O179,O174,O168)</f>
        <v>50560</v>
      </c>
      <c r="P181" s="150">
        <f>SUM(P179,P174,P168)</f>
        <v>50752</v>
      </c>
      <c r="Q181" s="150">
        <f>+Q179+Q174+Q168</f>
        <v>51187</v>
      </c>
      <c r="R181" s="151">
        <f>SUM(R179,R174,R168)</f>
        <v>52223</v>
      </c>
      <c r="S181" s="112">
        <f>SUM(S179,S174,S168)</f>
        <v>52223</v>
      </c>
      <c r="T181" s="149">
        <f>+T179+T174+T168</f>
        <v>52902</v>
      </c>
      <c r="U181" s="150">
        <f>+U179+U174+U168</f>
        <v>53421</v>
      </c>
      <c r="V181" s="150">
        <f>+V179+V174+V168</f>
        <v>53843</v>
      </c>
      <c r="W181" s="151">
        <f>SUM(W179,W174,W168)</f>
        <v>54367</v>
      </c>
      <c r="X181" s="112">
        <f>SUM(X179,X174,X168)</f>
        <v>54367</v>
      </c>
      <c r="Y181" s="149">
        <f>+Y179+Y174+Y168</f>
        <v>54550</v>
      </c>
      <c r="Z181" s="150">
        <f>+Z179+Z174+Z168</f>
        <v>54979</v>
      </c>
      <c r="AA181" s="150">
        <f>+AA179+AA174+AA168</f>
        <v>54963</v>
      </c>
      <c r="AB181" s="151">
        <f t="shared" ref="AB181:AH181" si="336">SUM(AB179,AB174,AB168)</f>
        <v>56414</v>
      </c>
      <c r="AC181" s="112">
        <f t="shared" si="336"/>
        <v>56414</v>
      </c>
      <c r="AD181" s="149">
        <f t="shared" si="336"/>
        <v>57038</v>
      </c>
      <c r="AE181" s="150">
        <f t="shared" si="336"/>
        <v>57620</v>
      </c>
      <c r="AF181" s="150">
        <f t="shared" si="336"/>
        <v>57925</v>
      </c>
      <c r="AG181" s="151">
        <f t="shared" si="336"/>
        <v>59633</v>
      </c>
      <c r="AH181" s="112">
        <f t="shared" si="336"/>
        <v>59633</v>
      </c>
      <c r="AI181" s="149">
        <f t="shared" ref="AI181:AP181" si="337">SUM(AI179,AI174,AI168)</f>
        <v>60038</v>
      </c>
      <c r="AJ181" s="150">
        <f t="shared" si="337"/>
        <v>60938</v>
      </c>
      <c r="AK181" s="150">
        <f t="shared" si="337"/>
        <v>61099</v>
      </c>
      <c r="AL181" s="151">
        <f t="shared" si="337"/>
        <v>61683.1</v>
      </c>
      <c r="AM181" s="112">
        <f t="shared" si="337"/>
        <v>61683.1</v>
      </c>
      <c r="AN181" s="149">
        <f t="shared" si="337"/>
        <v>62486.5</v>
      </c>
      <c r="AO181" s="150">
        <f>SUM(AO179,AO174,AO168)</f>
        <v>63317.1</v>
      </c>
      <c r="AP181" s="150">
        <f t="shared" si="337"/>
        <v>61442</v>
      </c>
      <c r="AQ181" s="151">
        <f>SUM(AQ179,AQ174,AQ168)</f>
        <v>63467.7</v>
      </c>
      <c r="AR181" s="112">
        <f>SUM(AR179,AR174,AR168)</f>
        <v>63467.7</v>
      </c>
      <c r="AS181" s="149">
        <f>SUM(AS179,AS174,AS168)</f>
        <v>61728.3</v>
      </c>
      <c r="AT181" s="150">
        <f>+AT179+AT174+AT168</f>
        <v>62739.100000000006</v>
      </c>
      <c r="AU181" s="150">
        <f>+AU179+AU174+AU168</f>
        <v>63964.899999999994</v>
      </c>
      <c r="AV181" s="151">
        <f>SUM(AV179,AV174,AV168)</f>
        <v>64729.1</v>
      </c>
      <c r="AW181" s="112">
        <f>SUM(AW179,AW174,AW168)</f>
        <v>64729.1</v>
      </c>
      <c r="AX181" s="149">
        <f t="shared" ref="AX181:BL181" si="338">+AX179+AX174+AX168</f>
        <v>65549.160290949614</v>
      </c>
      <c r="AY181" s="150">
        <f t="shared" si="338"/>
        <v>66584.234366432676</v>
      </c>
      <c r="AZ181" s="150">
        <f t="shared" si="338"/>
        <v>67613.474478991207</v>
      </c>
      <c r="BA181" s="151">
        <f t="shared" si="338"/>
        <v>68633.589867703849</v>
      </c>
      <c r="BB181" s="112">
        <f t="shared" si="338"/>
        <v>68633.589867703849</v>
      </c>
      <c r="BC181" s="149">
        <f t="shared" si="338"/>
        <v>69763.04737149959</v>
      </c>
      <c r="BD181" s="150">
        <f t="shared" si="338"/>
        <v>70887.157344668667</v>
      </c>
      <c r="BE181" s="150">
        <f t="shared" si="338"/>
        <v>73589.994076477364</v>
      </c>
      <c r="BF181" s="151">
        <f t="shared" si="338"/>
        <v>73290.832405856883</v>
      </c>
      <c r="BG181" s="112">
        <f t="shared" si="338"/>
        <v>73290.832405856883</v>
      </c>
      <c r="BH181" s="149">
        <f t="shared" si="338"/>
        <v>74689.938705543289</v>
      </c>
      <c r="BI181" s="150">
        <f t="shared" si="338"/>
        <v>74888.663077343852</v>
      </c>
      <c r="BJ181" s="150">
        <f t="shared" si="338"/>
        <v>76267.291389994061</v>
      </c>
      <c r="BK181" s="151">
        <f t="shared" si="338"/>
        <v>76638.871465567383</v>
      </c>
      <c r="BL181" s="112">
        <f t="shared" si="338"/>
        <v>76638.871465567383</v>
      </c>
      <c r="BM181" s="149">
        <f>+BM179+BM174+BM168</f>
        <v>78819.036965274077</v>
      </c>
      <c r="BN181" s="150">
        <f>+BN179+BN174+BN168</f>
        <v>79531.044998857673</v>
      </c>
      <c r="BO181" s="150">
        <f>+BO179+BO174+BO168</f>
        <v>81353.341936104291</v>
      </c>
      <c r="BP181" s="151">
        <f>+BP179+BP174+BP168</f>
        <v>81146.585389356464</v>
      </c>
      <c r="BQ181" s="112">
        <f>+BQ179+BQ174+BQ168</f>
        <v>81146.585389356464</v>
      </c>
      <c r="BR181" s="527"/>
      <c r="BS181" s="527"/>
      <c r="BT181" s="491"/>
      <c r="BU181" s="491"/>
      <c r="BV181" s="491"/>
    </row>
    <row r="182" spans="3:74">
      <c r="D182" s="72"/>
      <c r="E182" s="148"/>
      <c r="F182" s="163"/>
      <c r="G182" s="163"/>
      <c r="H182" s="147"/>
      <c r="I182" s="72"/>
      <c r="J182" s="148"/>
      <c r="K182" s="163"/>
      <c r="L182" s="163"/>
      <c r="M182" s="147"/>
      <c r="N182" s="72"/>
      <c r="O182" s="148"/>
      <c r="P182" s="163"/>
      <c r="Q182" s="163"/>
      <c r="R182" s="147"/>
      <c r="S182" s="72"/>
      <c r="T182" s="148"/>
      <c r="U182" s="163"/>
      <c r="V182" s="163"/>
      <c r="W182" s="147"/>
      <c r="X182" s="72"/>
      <c r="Y182" s="148"/>
      <c r="Z182" s="163"/>
      <c r="AA182" s="163"/>
      <c r="AB182" s="147"/>
      <c r="AC182" s="72"/>
      <c r="AD182" s="148"/>
      <c r="AE182" s="163"/>
      <c r="AF182" s="163"/>
      <c r="AG182" s="147"/>
      <c r="AH182" s="72"/>
      <c r="AI182" s="148"/>
      <c r="AJ182" s="163"/>
      <c r="AK182" s="163"/>
      <c r="AL182" s="147"/>
      <c r="AM182" s="72"/>
      <c r="AN182" s="148"/>
      <c r="AO182" s="163"/>
      <c r="AP182" s="163"/>
      <c r="AQ182" s="147"/>
      <c r="AR182" s="72"/>
      <c r="AS182" s="148"/>
      <c r="AT182" s="163"/>
      <c r="AU182" s="163"/>
      <c r="AV182" s="147"/>
      <c r="AW182" s="72"/>
      <c r="AX182" s="148"/>
      <c r="AY182" s="163"/>
      <c r="AZ182" s="163"/>
      <c r="BA182" s="147"/>
      <c r="BB182" s="72"/>
      <c r="BC182" s="148"/>
      <c r="BD182" s="163"/>
      <c r="BE182" s="163"/>
      <c r="BF182" s="147"/>
      <c r="BG182" s="72"/>
      <c r="BH182" s="148"/>
      <c r="BI182" s="163"/>
      <c r="BJ182" s="163"/>
      <c r="BK182" s="147"/>
      <c r="BL182" s="72"/>
      <c r="BM182" s="148"/>
      <c r="BN182" s="163"/>
      <c r="BO182" s="163"/>
      <c r="BP182" s="147"/>
      <c r="BQ182" s="72"/>
      <c r="BR182" s="527"/>
      <c r="BS182" s="527"/>
      <c r="BT182" s="491"/>
      <c r="BU182" s="491"/>
      <c r="BV182" s="491"/>
    </row>
    <row r="183" spans="3:74">
      <c r="C183" t="s">
        <v>864</v>
      </c>
      <c r="D183" s="72"/>
      <c r="E183" s="142">
        <v>1976</v>
      </c>
      <c r="F183" s="143">
        <v>562</v>
      </c>
      <c r="G183" s="143">
        <v>352</v>
      </c>
      <c r="H183" s="144">
        <f>I183</f>
        <v>126</v>
      </c>
      <c r="I183" s="145">
        <v>126</v>
      </c>
      <c r="J183" s="142">
        <v>1063</v>
      </c>
      <c r="K183" s="143">
        <v>1473</v>
      </c>
      <c r="L183" s="143">
        <v>1466</v>
      </c>
      <c r="M183" s="144">
        <f>N183</f>
        <v>1346</v>
      </c>
      <c r="N183" s="145">
        <v>1346</v>
      </c>
      <c r="O183" s="142">
        <v>1433</v>
      </c>
      <c r="P183" s="143">
        <v>1639</v>
      </c>
      <c r="Q183" s="143">
        <v>1279</v>
      </c>
      <c r="R183" s="144">
        <f>S183</f>
        <v>1650</v>
      </c>
      <c r="S183" s="145">
        <v>1650</v>
      </c>
      <c r="T183" s="142">
        <v>1050</v>
      </c>
      <c r="U183" s="143">
        <v>1208</v>
      </c>
      <c r="V183" s="143">
        <v>1216</v>
      </c>
      <c r="W183" s="144">
        <f>X183</f>
        <v>981</v>
      </c>
      <c r="X183" s="145">
        <v>981</v>
      </c>
      <c r="Y183" s="142">
        <v>1307</v>
      </c>
      <c r="Z183" s="143">
        <v>1538</v>
      </c>
      <c r="AA183" s="143">
        <v>1218</v>
      </c>
      <c r="AB183" s="144">
        <f>AC183</f>
        <v>757</v>
      </c>
      <c r="AC183" s="145">
        <f>57+700</f>
        <v>757</v>
      </c>
      <c r="AD183" s="142">
        <v>1332</v>
      </c>
      <c r="AE183" s="143">
        <v>1482</v>
      </c>
      <c r="AF183" s="143">
        <v>1282</v>
      </c>
      <c r="AG183" s="144">
        <f>AH183</f>
        <v>1346</v>
      </c>
      <c r="AH183" s="145">
        <v>1346</v>
      </c>
      <c r="AI183" s="142">
        <v>855</v>
      </c>
      <c r="AJ183" s="143">
        <v>1105</v>
      </c>
      <c r="AK183" s="143">
        <v>782</v>
      </c>
      <c r="AL183" s="144">
        <f>AM183</f>
        <v>800</v>
      </c>
      <c r="AM183" s="145">
        <f>675+125</f>
        <v>800</v>
      </c>
      <c r="AN183" s="142">
        <v>1221</v>
      </c>
      <c r="AO183" s="143">
        <f>651+1409.3</f>
        <v>2060.3000000000002</v>
      </c>
      <c r="AP183" s="143">
        <f>750+728.3</f>
        <v>1478.3</v>
      </c>
      <c r="AQ183" s="144">
        <f>AR183</f>
        <v>1713</v>
      </c>
      <c r="AR183" s="145">
        <f>673+1040</f>
        <v>1713</v>
      </c>
      <c r="AS183" s="142">
        <f>572+964</f>
        <v>1536</v>
      </c>
      <c r="AT183" s="143">
        <f>519+1332.7</f>
        <v>1851.7</v>
      </c>
      <c r="AU183" s="143">
        <v>1059.3</v>
      </c>
      <c r="AV183" s="144">
        <f>AW183</f>
        <v>1638.6</v>
      </c>
      <c r="AW183" s="145">
        <f>718+920.6</f>
        <v>1638.6</v>
      </c>
      <c r="AX183" s="148">
        <f>+AW183+AX158</f>
        <v>2548.8567928152579</v>
      </c>
      <c r="AY183" s="146">
        <f>+AX183+AY158</f>
        <v>1580.8743266269757</v>
      </c>
      <c r="AZ183" s="146">
        <f>+AY183+AZ158</f>
        <v>274.44380042986359</v>
      </c>
      <c r="BA183" s="147">
        <f>+AZ183+BA158</f>
        <v>444.20413838846696</v>
      </c>
      <c r="BB183" s="72">
        <f>+BA183</f>
        <v>444.20413838846696</v>
      </c>
      <c r="BC183" s="148">
        <f>+BB183+BC158</f>
        <v>2181.916380356472</v>
      </c>
      <c r="BD183" s="146">
        <f>+BC183+BD158</f>
        <v>3261.2920228711087</v>
      </c>
      <c r="BE183" s="146">
        <f>+BD183+BE158</f>
        <v>0</v>
      </c>
      <c r="BF183" s="147">
        <f>+BE183+BF158</f>
        <v>0</v>
      </c>
      <c r="BG183" s="72">
        <f>+BF183</f>
        <v>0</v>
      </c>
      <c r="BH183" s="148">
        <f>+BG183+BH158</f>
        <v>0</v>
      </c>
      <c r="BI183" s="146">
        <f>+BH183+BI158</f>
        <v>254.41881832890999</v>
      </c>
      <c r="BJ183" s="146">
        <f>+BI183+BJ158</f>
        <v>0</v>
      </c>
      <c r="BK183" s="147">
        <f>+BJ183+BK158</f>
        <v>136.07858148998287</v>
      </c>
      <c r="BL183" s="72">
        <f>+BK183</f>
        <v>136.07858148998287</v>
      </c>
      <c r="BM183" s="148">
        <f>+BL183+BM158</f>
        <v>2490.2097849005322</v>
      </c>
      <c r="BN183" s="146">
        <f>+BM183+BN158</f>
        <v>2953.4044010918601</v>
      </c>
      <c r="BO183" s="146">
        <f>+BN183+BO158</f>
        <v>0</v>
      </c>
      <c r="BP183" s="147">
        <f>+BO183+BP158</f>
        <v>0</v>
      </c>
      <c r="BQ183" s="72">
        <f>+BP183</f>
        <v>0</v>
      </c>
      <c r="BR183" s="527"/>
      <c r="BS183" s="527"/>
      <c r="BT183" s="491"/>
      <c r="BU183" s="491"/>
      <c r="BV183" s="491"/>
    </row>
    <row r="184" spans="3:74">
      <c r="C184" t="s">
        <v>116</v>
      </c>
      <c r="D184" s="72"/>
      <c r="E184" s="142">
        <v>939</v>
      </c>
      <c r="F184" s="143">
        <v>1346</v>
      </c>
      <c r="G184" s="143">
        <v>1540</v>
      </c>
      <c r="H184" s="144">
        <f>I184</f>
        <v>1741</v>
      </c>
      <c r="I184" s="145">
        <v>1741</v>
      </c>
      <c r="J184" s="142">
        <v>1253</v>
      </c>
      <c r="K184" s="143">
        <v>1043</v>
      </c>
      <c r="L184" s="143">
        <v>1286</v>
      </c>
      <c r="M184" s="144">
        <f>N184</f>
        <v>1309</v>
      </c>
      <c r="N184" s="145">
        <v>1309</v>
      </c>
      <c r="O184" s="142">
        <v>1421</v>
      </c>
      <c r="P184" s="143">
        <v>1071</v>
      </c>
      <c r="Q184" s="143">
        <v>1267</v>
      </c>
      <c r="R184" s="144">
        <f>S184</f>
        <v>1433</v>
      </c>
      <c r="S184" s="145">
        <v>1433</v>
      </c>
      <c r="T184" s="142">
        <v>1980</v>
      </c>
      <c r="U184" s="143">
        <v>1983</v>
      </c>
      <c r="V184" s="143">
        <v>2272</v>
      </c>
      <c r="W184" s="144">
        <f>X184</f>
        <v>2171</v>
      </c>
      <c r="X184" s="145">
        <v>2171</v>
      </c>
      <c r="Y184" s="142">
        <v>1674</v>
      </c>
      <c r="Z184" s="143">
        <v>1819</v>
      </c>
      <c r="AA184" s="143">
        <v>1366</v>
      </c>
      <c r="AB184" s="144">
        <f>AC184</f>
        <v>1549</v>
      </c>
      <c r="AC184" s="145">
        <v>1549</v>
      </c>
      <c r="AD184" s="142">
        <v>1612</v>
      </c>
      <c r="AE184" s="143">
        <v>2524</v>
      </c>
      <c r="AF184" s="143">
        <v>2381</v>
      </c>
      <c r="AG184" s="144">
        <f>AH184</f>
        <v>2503</v>
      </c>
      <c r="AH184" s="145">
        <v>2503</v>
      </c>
      <c r="AI184" s="142">
        <v>2451</v>
      </c>
      <c r="AJ184" s="143">
        <v>1817</v>
      </c>
      <c r="AK184" s="143">
        <v>1826</v>
      </c>
      <c r="AL184" s="144">
        <f>AM184</f>
        <v>1831.8</v>
      </c>
      <c r="AM184" s="145">
        <v>1831.8</v>
      </c>
      <c r="AN184" s="142">
        <v>2033.3</v>
      </c>
      <c r="AO184" s="143">
        <v>2006.3</v>
      </c>
      <c r="AP184" s="143">
        <v>2384.8000000000002</v>
      </c>
      <c r="AQ184" s="144">
        <f>AR184</f>
        <v>2878</v>
      </c>
      <c r="AR184" s="145">
        <v>2878</v>
      </c>
      <c r="AS184" s="142">
        <v>2514.1999999999998</v>
      </c>
      <c r="AT184" s="143">
        <v>2755</v>
      </c>
      <c r="AU184" s="143">
        <v>2359.3000000000002</v>
      </c>
      <c r="AV184" s="144">
        <f>AW184</f>
        <v>1753.7</v>
      </c>
      <c r="AW184" s="145">
        <v>1753.7</v>
      </c>
      <c r="AX184" s="148">
        <f>+-SUM(AY146:BA146,BC146)</f>
        <v>1758.5</v>
      </c>
      <c r="AY184" s="146">
        <f>+-SUM(AZ146:BA146,BC146:BD146)</f>
        <v>1331.0597399999999</v>
      </c>
      <c r="AZ184" s="146">
        <f>+-SUM(BA146,BC146:BE146)</f>
        <v>1625.9380509999999</v>
      </c>
      <c r="BA184" s="147">
        <f>+-SUM(BC146:BF146)</f>
        <v>1852.2286859999999</v>
      </c>
      <c r="BB184" s="72">
        <f>+BA184</f>
        <v>1852.2286859999999</v>
      </c>
      <c r="BC184" s="148">
        <f>+-SUM(BD146:BF146,BH146)</f>
        <v>923.72868599999993</v>
      </c>
      <c r="BD184" s="146">
        <f>+-SUM(BE146:BF146,BH146:BI146)</f>
        <v>1103.2981890000001</v>
      </c>
      <c r="BE184" s="146">
        <f>+-SUM(BF146,BH146:BJ146)</f>
        <v>1303.119878</v>
      </c>
      <c r="BF184" s="147">
        <f>+-SUM(BH146:BK146)</f>
        <v>869.59703899999988</v>
      </c>
      <c r="BG184" s="72">
        <f>+BF184</f>
        <v>869.59703899999988</v>
      </c>
      <c r="BH184" s="148">
        <f>+-SUM(BI146:BK146,BM146)</f>
        <v>1521.5970389999998</v>
      </c>
      <c r="BI184" s="146">
        <f>+-SUM(BJ146:BK146,BM146:BN146)</f>
        <v>1323.2807779999998</v>
      </c>
      <c r="BJ184" s="146">
        <f>+-SUM(BK146,BM146:BO146)</f>
        <v>828.58077800000001</v>
      </c>
      <c r="BK184" s="147">
        <f>+-SUM(BM146:BP146)</f>
        <v>1353.3129819999999</v>
      </c>
      <c r="BL184" s="72">
        <f>+BK184</f>
        <v>1353.3129819999999</v>
      </c>
      <c r="BM184" s="148">
        <f>+-SUM(BN146:BP146)</f>
        <v>701.31298200000003</v>
      </c>
      <c r="BN184" s="146">
        <f>+-SUM(BO146:BP146)</f>
        <v>567.5</v>
      </c>
      <c r="BO184" s="146">
        <f>+-SUM(BP146)</f>
        <v>567.5</v>
      </c>
      <c r="BP184" s="565">
        <v>0</v>
      </c>
      <c r="BQ184" s="72">
        <f>+BP184</f>
        <v>0</v>
      </c>
      <c r="BR184" s="527"/>
      <c r="BS184" s="527"/>
      <c r="BT184" s="491"/>
      <c r="BU184" s="491"/>
      <c r="BV184" s="491"/>
    </row>
    <row r="185" spans="3:74">
      <c r="C185" t="s">
        <v>117</v>
      </c>
      <c r="D185" s="72"/>
      <c r="E185" s="142">
        <v>1126</v>
      </c>
      <c r="F185" s="143">
        <v>1096</v>
      </c>
      <c r="G185" s="143">
        <v>1004</v>
      </c>
      <c r="H185" s="144">
        <f>I185</f>
        <v>1158</v>
      </c>
      <c r="I185" s="145">
        <v>1158</v>
      </c>
      <c r="J185" s="142">
        <v>954</v>
      </c>
      <c r="K185" s="143">
        <v>863</v>
      </c>
      <c r="L185" s="143">
        <v>884</v>
      </c>
      <c r="M185" s="144">
        <f>N185</f>
        <v>1061</v>
      </c>
      <c r="N185" s="145">
        <v>1061</v>
      </c>
      <c r="O185" s="142">
        <v>884</v>
      </c>
      <c r="P185" s="143">
        <v>969</v>
      </c>
      <c r="Q185" s="143">
        <v>1003</v>
      </c>
      <c r="R185" s="144">
        <f>S185</f>
        <v>1095</v>
      </c>
      <c r="S185" s="145">
        <v>1095</v>
      </c>
      <c r="T185" s="142">
        <v>978</v>
      </c>
      <c r="U185" s="143">
        <v>906</v>
      </c>
      <c r="V185" s="143">
        <v>988</v>
      </c>
      <c r="W185" s="144">
        <f>X185</f>
        <v>1169</v>
      </c>
      <c r="X185" s="145">
        <v>1169</v>
      </c>
      <c r="Y185" s="142">
        <v>1004</v>
      </c>
      <c r="Z185" s="143">
        <v>987</v>
      </c>
      <c r="AA185" s="143">
        <v>1044</v>
      </c>
      <c r="AB185" s="144">
        <f>AC185</f>
        <v>1266</v>
      </c>
      <c r="AC185" s="145">
        <v>1266</v>
      </c>
      <c r="AD185" s="142">
        <v>1213</v>
      </c>
      <c r="AE185" s="143">
        <v>1228</v>
      </c>
      <c r="AF185" s="143">
        <v>1259</v>
      </c>
      <c r="AG185" s="144">
        <f>AH185</f>
        <v>1287</v>
      </c>
      <c r="AH185" s="145">
        <v>1287</v>
      </c>
      <c r="AI185" s="142">
        <v>1283</v>
      </c>
      <c r="AJ185" s="143">
        <v>1236</v>
      </c>
      <c r="AK185" s="143">
        <v>1274</v>
      </c>
      <c r="AL185" s="144">
        <f>AM185</f>
        <v>1418</v>
      </c>
      <c r="AM185" s="145">
        <v>1418</v>
      </c>
      <c r="AN185" s="142">
        <v>1219.5</v>
      </c>
      <c r="AO185" s="143">
        <v>1242.3</v>
      </c>
      <c r="AP185" s="143">
        <v>1340.3</v>
      </c>
      <c r="AQ185" s="144">
        <f>AR185</f>
        <v>1688.5</v>
      </c>
      <c r="AR185" s="145">
        <v>1688.5</v>
      </c>
      <c r="AS185" s="142">
        <v>1116.9000000000001</v>
      </c>
      <c r="AT185" s="143">
        <v>1268.4000000000001</v>
      </c>
      <c r="AU185" s="143">
        <v>1537</v>
      </c>
      <c r="AV185" s="144">
        <f>AW185</f>
        <v>2065.3000000000002</v>
      </c>
      <c r="AW185" s="145">
        <v>2065.3000000000002</v>
      </c>
      <c r="AX185" s="148">
        <f t="shared" ref="AX185:BA186" si="339">+AW185</f>
        <v>2065.3000000000002</v>
      </c>
      <c r="AY185" s="146">
        <f t="shared" si="339"/>
        <v>2065.3000000000002</v>
      </c>
      <c r="AZ185" s="146">
        <f t="shared" si="339"/>
        <v>2065.3000000000002</v>
      </c>
      <c r="BA185" s="147">
        <f t="shared" si="339"/>
        <v>2065.3000000000002</v>
      </c>
      <c r="BB185" s="72">
        <f>+BA185</f>
        <v>2065.3000000000002</v>
      </c>
      <c r="BC185" s="148">
        <f t="shared" ref="BC185:BF186" si="340">+BB185</f>
        <v>2065.3000000000002</v>
      </c>
      <c r="BD185" s="146">
        <f t="shared" si="340"/>
        <v>2065.3000000000002</v>
      </c>
      <c r="BE185" s="146">
        <f t="shared" si="340"/>
        <v>2065.3000000000002</v>
      </c>
      <c r="BF185" s="147">
        <f t="shared" si="340"/>
        <v>2065.3000000000002</v>
      </c>
      <c r="BG185" s="72">
        <f>+BF185</f>
        <v>2065.3000000000002</v>
      </c>
      <c r="BH185" s="148">
        <f t="shared" ref="BH185:BK186" si="341">+BG185</f>
        <v>2065.3000000000002</v>
      </c>
      <c r="BI185" s="146">
        <f t="shared" si="341"/>
        <v>2065.3000000000002</v>
      </c>
      <c r="BJ185" s="146">
        <f t="shared" si="341"/>
        <v>2065.3000000000002</v>
      </c>
      <c r="BK185" s="147">
        <f t="shared" si="341"/>
        <v>2065.3000000000002</v>
      </c>
      <c r="BL185" s="72">
        <f>+BK185</f>
        <v>2065.3000000000002</v>
      </c>
      <c r="BM185" s="148">
        <f t="shared" ref="BM185:BP186" si="342">+BL185</f>
        <v>2065.3000000000002</v>
      </c>
      <c r="BN185" s="146">
        <f t="shared" si="342"/>
        <v>2065.3000000000002</v>
      </c>
      <c r="BO185" s="146">
        <f t="shared" si="342"/>
        <v>2065.3000000000002</v>
      </c>
      <c r="BP185" s="147">
        <f t="shared" si="342"/>
        <v>2065.3000000000002</v>
      </c>
      <c r="BQ185" s="72">
        <f>+BP185</f>
        <v>2065.3000000000002</v>
      </c>
      <c r="BR185" s="527"/>
      <c r="BS185" s="527"/>
      <c r="BT185" s="491"/>
      <c r="BU185" s="491"/>
      <c r="BV185" s="491"/>
    </row>
    <row r="186" spans="3:74">
      <c r="C186" t="s">
        <v>118</v>
      </c>
      <c r="D186" s="72"/>
      <c r="E186" s="142">
        <f>179+266+614+226+155+930</f>
        <v>2370</v>
      </c>
      <c r="F186" s="143">
        <f>158+271+553+273+130+1004</f>
        <v>2389</v>
      </c>
      <c r="G186" s="143">
        <f>136+265+470+232+107+881</f>
        <v>2091</v>
      </c>
      <c r="H186" s="144">
        <f>I186</f>
        <v>2302</v>
      </c>
      <c r="I186" s="145">
        <f>120+256+632+287+76+931</f>
        <v>2302</v>
      </c>
      <c r="J186" s="142">
        <f>151+261+621+254+38+920</f>
        <v>2245</v>
      </c>
      <c r="K186" s="143">
        <f>120+266+570+284+27+1132</f>
        <v>2399</v>
      </c>
      <c r="L186" s="143">
        <f>124+264+470+255+11+447+941</f>
        <v>2512</v>
      </c>
      <c r="M186" s="144">
        <f>N186</f>
        <v>2802</v>
      </c>
      <c r="N186" s="145">
        <f>129+273+702+281+17+448+952</f>
        <v>2802</v>
      </c>
      <c r="O186" s="142">
        <f>109+275+669+248+20+930</f>
        <v>2251</v>
      </c>
      <c r="P186" s="143">
        <f>94+284+597+282+9+942</f>
        <v>2208</v>
      </c>
      <c r="Q186" s="143">
        <f>113+280+501+235+2+1004</f>
        <v>2135</v>
      </c>
      <c r="R186" s="144">
        <f>S186</f>
        <v>2433</v>
      </c>
      <c r="S186" s="145">
        <f>150+289+717+279+8+990</f>
        <v>2433</v>
      </c>
      <c r="T186" s="142">
        <f>185+301+679+237+79+853</f>
        <v>2334</v>
      </c>
      <c r="U186" s="143">
        <f>165+293+617+281+84+870</f>
        <v>2310</v>
      </c>
      <c r="V186" s="143">
        <f>150+295+512+249+76+1037</f>
        <v>2319</v>
      </c>
      <c r="W186" s="144">
        <f>X186</f>
        <v>2502</v>
      </c>
      <c r="X186" s="145">
        <f>155+316+747+269+47+968</f>
        <v>2502</v>
      </c>
      <c r="Y186" s="142">
        <f>94+299+727+241+18+811</f>
        <v>2190</v>
      </c>
      <c r="Z186" s="143">
        <f>111+297+680+254+10+823</f>
        <v>2175</v>
      </c>
      <c r="AA186" s="143">
        <f>102+298+590+219+14+841</f>
        <v>2064</v>
      </c>
      <c r="AB186" s="144">
        <f>AC186</f>
        <v>2540</v>
      </c>
      <c r="AC186" s="145">
        <f>90+299+822+245+119+965</f>
        <v>2540</v>
      </c>
      <c r="AD186" s="142">
        <f>60+302+803+220+60+917</f>
        <v>2362</v>
      </c>
      <c r="AE186" s="143">
        <f>60+306+692+240+58+1010</f>
        <v>2366</v>
      </c>
      <c r="AF186" s="143">
        <f>60+315+769+219+53+1119</f>
        <v>2535</v>
      </c>
      <c r="AG186" s="144">
        <f>AH186</f>
        <v>2831</v>
      </c>
      <c r="AH186" s="145">
        <f>92+324+871+239+55+1250</f>
        <v>2831</v>
      </c>
      <c r="AI186" s="142">
        <f>83+335+846+227+48+1000</f>
        <v>2539</v>
      </c>
      <c r="AJ186" s="143">
        <f>78+335+749+232+39+1059</f>
        <v>2492</v>
      </c>
      <c r="AK186" s="143">
        <f>75+335+748+236+74+474+1234</f>
        <v>3176</v>
      </c>
      <c r="AL186" s="144">
        <f>AM186</f>
        <v>3058.7000000000003</v>
      </c>
      <c r="AM186" s="145">
        <f>87.1+346.6+979.1+226.9+113.9+1305.1</f>
        <v>3058.7000000000003</v>
      </c>
      <c r="AN186" s="142">
        <f>104.3+358.1+899.5+237.6+93+1055.6</f>
        <v>2748.1</v>
      </c>
      <c r="AO186" s="143">
        <f>85.7+335.8+814+227+59.9+1038.6</f>
        <v>2561</v>
      </c>
      <c r="AP186" s="143">
        <f>79.3+341.6+666.2+230.2+7.9+231+1019.8</f>
        <v>2576</v>
      </c>
      <c r="AQ186" s="144">
        <f>AR186</f>
        <v>3218.5</v>
      </c>
      <c r="AR186" s="145">
        <f>53.4+343.2+1048+227.2+8+235.9+1302.8</f>
        <v>3218.5</v>
      </c>
      <c r="AS186" s="142">
        <f>68.2+342+1078.5+239.7+7.5+3.5+1008</f>
        <v>2747.4</v>
      </c>
      <c r="AT186" s="143">
        <f>61.7+344+891.5+217+17.1+985.8</f>
        <v>2517.1</v>
      </c>
      <c r="AU186" s="143">
        <f>69.4+346.6+716.5+260.3+19.7+953.9</f>
        <v>2366.4</v>
      </c>
      <c r="AV186" s="144">
        <f>AW186</f>
        <v>2813.7</v>
      </c>
      <c r="AW186" s="145">
        <f>61.6+357+1115.5+234.5+11.9+1033.2</f>
        <v>2813.7</v>
      </c>
      <c r="AX186" s="148">
        <f t="shared" si="339"/>
        <v>2813.7</v>
      </c>
      <c r="AY186" s="146">
        <f t="shared" si="339"/>
        <v>2813.7</v>
      </c>
      <c r="AZ186" s="146">
        <f t="shared" si="339"/>
        <v>2813.7</v>
      </c>
      <c r="BA186" s="147">
        <f t="shared" si="339"/>
        <v>2813.7</v>
      </c>
      <c r="BB186" s="72">
        <f>+BA186</f>
        <v>2813.7</v>
      </c>
      <c r="BC186" s="148">
        <f t="shared" si="340"/>
        <v>2813.7</v>
      </c>
      <c r="BD186" s="146">
        <f t="shared" si="340"/>
        <v>2813.7</v>
      </c>
      <c r="BE186" s="146">
        <f t="shared" si="340"/>
        <v>2813.7</v>
      </c>
      <c r="BF186" s="147">
        <f t="shared" si="340"/>
        <v>2813.7</v>
      </c>
      <c r="BG186" s="72">
        <f>+BF186</f>
        <v>2813.7</v>
      </c>
      <c r="BH186" s="148">
        <f t="shared" si="341"/>
        <v>2813.7</v>
      </c>
      <c r="BI186" s="146">
        <f t="shared" si="341"/>
        <v>2813.7</v>
      </c>
      <c r="BJ186" s="146">
        <f t="shared" si="341"/>
        <v>2813.7</v>
      </c>
      <c r="BK186" s="147">
        <f t="shared" si="341"/>
        <v>2813.7</v>
      </c>
      <c r="BL186" s="72">
        <f>+BK186</f>
        <v>2813.7</v>
      </c>
      <c r="BM186" s="148">
        <f t="shared" si="342"/>
        <v>2813.7</v>
      </c>
      <c r="BN186" s="146">
        <f t="shared" si="342"/>
        <v>2813.7</v>
      </c>
      <c r="BO186" s="146">
        <f t="shared" si="342"/>
        <v>2813.7</v>
      </c>
      <c r="BP186" s="147">
        <f t="shared" si="342"/>
        <v>2813.7</v>
      </c>
      <c r="BQ186" s="72">
        <f>+BP186</f>
        <v>2813.7</v>
      </c>
      <c r="BR186" s="527"/>
      <c r="BS186" s="527"/>
      <c r="BT186" s="491"/>
      <c r="BU186" s="491"/>
      <c r="BV186" s="491"/>
    </row>
    <row r="187" spans="3:74">
      <c r="C187" s="56" t="s">
        <v>119</v>
      </c>
      <c r="D187" s="72"/>
      <c r="E187" s="149">
        <f t="shared" ref="E187:Q187" si="343">SUM(E183:E186)</f>
        <v>6411</v>
      </c>
      <c r="F187" s="150">
        <f t="shared" si="343"/>
        <v>5393</v>
      </c>
      <c r="G187" s="150">
        <f t="shared" si="343"/>
        <v>4987</v>
      </c>
      <c r="H187" s="151">
        <f t="shared" si="343"/>
        <v>5327</v>
      </c>
      <c r="I187" s="112">
        <f t="shared" si="343"/>
        <v>5327</v>
      </c>
      <c r="J187" s="149">
        <f t="shared" si="343"/>
        <v>5515</v>
      </c>
      <c r="K187" s="150">
        <f t="shared" si="343"/>
        <v>5778</v>
      </c>
      <c r="L187" s="150">
        <f t="shared" si="343"/>
        <v>6148</v>
      </c>
      <c r="M187" s="151">
        <f t="shared" si="343"/>
        <v>6518</v>
      </c>
      <c r="N187" s="112">
        <f t="shared" si="343"/>
        <v>6518</v>
      </c>
      <c r="O187" s="149">
        <f t="shared" si="343"/>
        <v>5989</v>
      </c>
      <c r="P187" s="150">
        <f t="shared" si="343"/>
        <v>5887</v>
      </c>
      <c r="Q187" s="150">
        <f t="shared" si="343"/>
        <v>5684</v>
      </c>
      <c r="R187" s="151">
        <f t="shared" ref="R187:AA187" si="344">SUM(R183:R186)</f>
        <v>6611</v>
      </c>
      <c r="S187" s="112">
        <f t="shared" si="344"/>
        <v>6611</v>
      </c>
      <c r="T187" s="149">
        <f t="shared" si="344"/>
        <v>6342</v>
      </c>
      <c r="U187" s="150">
        <f t="shared" si="344"/>
        <v>6407</v>
      </c>
      <c r="V187" s="150">
        <f t="shared" si="344"/>
        <v>6795</v>
      </c>
      <c r="W187" s="151">
        <f t="shared" si="344"/>
        <v>6823</v>
      </c>
      <c r="X187" s="112">
        <f t="shared" si="344"/>
        <v>6823</v>
      </c>
      <c r="Y187" s="149">
        <f t="shared" si="344"/>
        <v>6175</v>
      </c>
      <c r="Z187" s="150">
        <f t="shared" si="344"/>
        <v>6519</v>
      </c>
      <c r="AA187" s="150">
        <f t="shared" si="344"/>
        <v>5692</v>
      </c>
      <c r="AB187" s="151">
        <f t="shared" ref="AB187:AH187" si="345">SUM(AB183:AB186)</f>
        <v>6112</v>
      </c>
      <c r="AC187" s="112">
        <f t="shared" si="345"/>
        <v>6112</v>
      </c>
      <c r="AD187" s="149">
        <f t="shared" si="345"/>
        <v>6519</v>
      </c>
      <c r="AE187" s="150">
        <f t="shared" si="345"/>
        <v>7600</v>
      </c>
      <c r="AF187" s="150">
        <f t="shared" si="345"/>
        <v>7457</v>
      </c>
      <c r="AG187" s="151">
        <f t="shared" si="345"/>
        <v>7967</v>
      </c>
      <c r="AH187" s="112">
        <f t="shared" si="345"/>
        <v>7967</v>
      </c>
      <c r="AI187" s="149">
        <f t="shared" ref="AI187:AN187" si="346">SUM(AI183:AI186)</f>
        <v>7128</v>
      </c>
      <c r="AJ187" s="150">
        <f t="shared" si="346"/>
        <v>6650</v>
      </c>
      <c r="AK187" s="150">
        <f t="shared" si="346"/>
        <v>7058</v>
      </c>
      <c r="AL187" s="151">
        <f t="shared" si="346"/>
        <v>7108.5</v>
      </c>
      <c r="AM187" s="112">
        <f t="shared" si="346"/>
        <v>7108.5</v>
      </c>
      <c r="AN187" s="149">
        <f t="shared" si="346"/>
        <v>7221.9</v>
      </c>
      <c r="AO187" s="150">
        <f>SUM(AO183:AO186)</f>
        <v>7869.9000000000005</v>
      </c>
      <c r="AP187" s="150">
        <f t="shared" ref="AP187:AU187" si="347">SUM(AP183:AP186)</f>
        <v>7779.4000000000005</v>
      </c>
      <c r="AQ187" s="151">
        <f t="shared" si="347"/>
        <v>9498</v>
      </c>
      <c r="AR187" s="112">
        <f t="shared" si="347"/>
        <v>9498</v>
      </c>
      <c r="AS187" s="149">
        <f t="shared" si="347"/>
        <v>7914.5</v>
      </c>
      <c r="AT187" s="150">
        <f t="shared" si="347"/>
        <v>8392.2000000000007</v>
      </c>
      <c r="AU187" s="150">
        <f t="shared" si="347"/>
        <v>7322</v>
      </c>
      <c r="AV187" s="151">
        <f t="shared" ref="AV187:AW187" si="348">SUM(AV183:AV186)</f>
        <v>8271.2999999999993</v>
      </c>
      <c r="AW187" s="112">
        <f t="shared" si="348"/>
        <v>8271.2999999999993</v>
      </c>
      <c r="AX187" s="149">
        <f t="shared" ref="AX187:BL187" si="349">SUM(AX183:AX186)</f>
        <v>9186.3567928152588</v>
      </c>
      <c r="AY187" s="150">
        <f t="shared" si="349"/>
        <v>7790.9340666269754</v>
      </c>
      <c r="AZ187" s="150">
        <f t="shared" si="349"/>
        <v>6779.3818514298637</v>
      </c>
      <c r="BA187" s="151">
        <f t="shared" si="349"/>
        <v>7175.4328243884675</v>
      </c>
      <c r="BB187" s="112">
        <f t="shared" si="349"/>
        <v>7175.4328243884675</v>
      </c>
      <c r="BC187" s="149">
        <f t="shared" si="349"/>
        <v>7984.6450663564719</v>
      </c>
      <c r="BD187" s="150">
        <f t="shared" si="349"/>
        <v>9243.5902118711092</v>
      </c>
      <c r="BE187" s="150">
        <f t="shared" si="349"/>
        <v>6182.1198779999995</v>
      </c>
      <c r="BF187" s="151">
        <f t="shared" si="349"/>
        <v>5748.5970390000002</v>
      </c>
      <c r="BG187" s="112">
        <f t="shared" si="349"/>
        <v>5748.5970390000002</v>
      </c>
      <c r="BH187" s="149">
        <f t="shared" si="349"/>
        <v>6400.5970390000002</v>
      </c>
      <c r="BI187" s="150">
        <f t="shared" si="349"/>
        <v>6456.69959632891</v>
      </c>
      <c r="BJ187" s="150">
        <f t="shared" si="349"/>
        <v>5707.5807779999996</v>
      </c>
      <c r="BK187" s="151">
        <f t="shared" si="349"/>
        <v>6368.3915634899822</v>
      </c>
      <c r="BL187" s="112">
        <f t="shared" si="349"/>
        <v>6368.3915634899822</v>
      </c>
      <c r="BM187" s="149">
        <f>SUM(BM183:BM186)</f>
        <v>8070.5227669005317</v>
      </c>
      <c r="BN187" s="150">
        <f>SUM(BN183:BN186)</f>
        <v>8399.9044010918587</v>
      </c>
      <c r="BO187" s="150">
        <f>SUM(BO183:BO186)</f>
        <v>5446.5</v>
      </c>
      <c r="BP187" s="151">
        <f>SUM(BP183:BP186)</f>
        <v>4879</v>
      </c>
      <c r="BQ187" s="112">
        <f>SUM(BQ183:BQ186)</f>
        <v>4879</v>
      </c>
      <c r="BR187" s="527"/>
      <c r="BS187" s="527"/>
      <c r="BT187" s="491"/>
      <c r="BU187" s="491"/>
      <c r="BV187" s="491"/>
    </row>
    <row r="188" spans="3:74">
      <c r="D188" s="72"/>
      <c r="E188" s="148"/>
      <c r="F188" s="163"/>
      <c r="G188" s="163"/>
      <c r="H188" s="147"/>
      <c r="I188" s="72"/>
      <c r="J188" s="148"/>
      <c r="K188" s="163"/>
      <c r="L188" s="163"/>
      <c r="M188" s="147"/>
      <c r="N188" s="72"/>
      <c r="O188" s="148"/>
      <c r="P188" s="163"/>
      <c r="Q188" s="163"/>
      <c r="R188" s="147"/>
      <c r="S188" s="72"/>
      <c r="T188" s="148"/>
      <c r="U188" s="163"/>
      <c r="V188" s="163"/>
      <c r="W188" s="147"/>
      <c r="X188" s="72"/>
      <c r="Y188" s="148"/>
      <c r="Z188" s="163"/>
      <c r="AA188" s="163"/>
      <c r="AB188" s="147"/>
      <c r="AC188" s="72"/>
      <c r="AD188" s="148"/>
      <c r="AE188" s="163"/>
      <c r="AF188" s="163"/>
      <c r="AG188" s="147"/>
      <c r="AH188" s="72"/>
      <c r="AI188" s="148"/>
      <c r="AJ188" s="163"/>
      <c r="AK188" s="163"/>
      <c r="AL188" s="147"/>
      <c r="AM188" s="72"/>
      <c r="AN188" s="148"/>
      <c r="AO188" s="163"/>
      <c r="AP188" s="163"/>
      <c r="AQ188" s="147"/>
      <c r="AR188" s="72"/>
      <c r="AS188" s="148"/>
      <c r="AT188" s="163"/>
      <c r="AU188" s="163"/>
      <c r="AV188" s="147"/>
      <c r="AW188" s="72"/>
      <c r="AX188" s="148"/>
      <c r="AY188" s="163"/>
      <c r="AZ188" s="163"/>
      <c r="BA188" s="147"/>
      <c r="BB188" s="72"/>
      <c r="BC188" s="148"/>
      <c r="BD188" s="163"/>
      <c r="BE188" s="163"/>
      <c r="BF188" s="147"/>
      <c r="BG188" s="72"/>
      <c r="BH188" s="148"/>
      <c r="BI188" s="163"/>
      <c r="BJ188" s="163"/>
      <c r="BK188" s="147"/>
      <c r="BL188" s="72"/>
      <c r="BM188" s="148"/>
      <c r="BN188" s="163"/>
      <c r="BO188" s="163"/>
      <c r="BP188" s="147"/>
      <c r="BQ188" s="72"/>
      <c r="BR188" s="527"/>
      <c r="BS188" s="527"/>
      <c r="BT188" s="491"/>
      <c r="BU188" s="491"/>
      <c r="BV188" s="491"/>
    </row>
    <row r="189" spans="3:74">
      <c r="C189" s="491" t="s">
        <v>865</v>
      </c>
      <c r="D189" s="72"/>
      <c r="E189" s="142">
        <v>15904</v>
      </c>
      <c r="F189" s="143">
        <v>15350</v>
      </c>
      <c r="G189" s="143">
        <v>15713</v>
      </c>
      <c r="H189" s="144">
        <f>I189</f>
        <v>15757</v>
      </c>
      <c r="I189" s="145">
        <v>15757</v>
      </c>
      <c r="J189" s="142">
        <v>16281</v>
      </c>
      <c r="K189" s="143">
        <v>16305</v>
      </c>
      <c r="L189" s="143">
        <v>15995</v>
      </c>
      <c r="M189" s="144">
        <f>N189</f>
        <v>15502</v>
      </c>
      <c r="N189" s="145">
        <v>15502</v>
      </c>
      <c r="O189" s="142">
        <v>15631</v>
      </c>
      <c r="P189" s="143">
        <v>15564</v>
      </c>
      <c r="Q189" s="143">
        <v>15183</v>
      </c>
      <c r="R189" s="144">
        <f>S189</f>
        <v>15083</v>
      </c>
      <c r="S189" s="145">
        <v>15083</v>
      </c>
      <c r="T189" s="142">
        <v>15340</v>
      </c>
      <c r="U189" s="143">
        <v>15319</v>
      </c>
      <c r="V189" s="143">
        <v>14955</v>
      </c>
      <c r="W189" s="144">
        <f>X189</f>
        <v>15586</v>
      </c>
      <c r="X189" s="145">
        <v>15586</v>
      </c>
      <c r="Y189" s="142">
        <v>15899</v>
      </c>
      <c r="Z189" s="143">
        <v>15799</v>
      </c>
      <c r="AA189" s="143">
        <v>16202</v>
      </c>
      <c r="AB189" s="144">
        <f>AC189</f>
        <v>16828</v>
      </c>
      <c r="AC189" s="145">
        <v>16828</v>
      </c>
      <c r="AD189" s="142">
        <v>16475</v>
      </c>
      <c r="AE189" s="143">
        <v>15601</v>
      </c>
      <c r="AF189" s="143">
        <v>15677</v>
      </c>
      <c r="AG189" s="144">
        <f>AH189</f>
        <v>16181</v>
      </c>
      <c r="AH189" s="145">
        <v>16181</v>
      </c>
      <c r="AI189" s="142">
        <v>16778</v>
      </c>
      <c r="AJ189" s="143">
        <v>17761</v>
      </c>
      <c r="AK189" s="143">
        <v>17600</v>
      </c>
      <c r="AL189" s="144">
        <f>AM189</f>
        <v>17740.900000000001</v>
      </c>
      <c r="AM189" s="145">
        <v>17740.900000000001</v>
      </c>
      <c r="AN189" s="142">
        <v>17749.3</v>
      </c>
      <c r="AO189" s="143">
        <v>17537.400000000001</v>
      </c>
      <c r="AP189" s="143">
        <v>17319.900000000001</v>
      </c>
      <c r="AQ189" s="144">
        <f>AR189</f>
        <v>17378.400000000001</v>
      </c>
      <c r="AR189" s="145">
        <v>17378.400000000001</v>
      </c>
      <c r="AS189" s="142">
        <v>16722.2</v>
      </c>
      <c r="AT189" s="143">
        <v>16796.900000000001</v>
      </c>
      <c r="AU189" s="143">
        <v>18362.400000000001</v>
      </c>
      <c r="AV189" s="144">
        <f>AW189</f>
        <v>19419.599999999999</v>
      </c>
      <c r="AW189" s="145">
        <v>19419.599999999999</v>
      </c>
      <c r="AX189" s="148">
        <f>+AX215-AX184</f>
        <v>18963.137961</v>
      </c>
      <c r="AY189" s="146">
        <f>+AY215-AY184</f>
        <v>21143.285916796096</v>
      </c>
      <c r="AZ189" s="146">
        <f>+AZ215-AZ184</f>
        <v>22658.407605796096</v>
      </c>
      <c r="BA189" s="147">
        <f>+BA215-BA184</f>
        <v>23007.116970796098</v>
      </c>
      <c r="BB189" s="72">
        <f>+BA189</f>
        <v>23007.116970796098</v>
      </c>
      <c r="BC189" s="148">
        <f>+BC215-BC184</f>
        <v>23007.116970796098</v>
      </c>
      <c r="BD189" s="146">
        <f>+BD215-BD184</f>
        <v>22674.987727796095</v>
      </c>
      <c r="BE189" s="146">
        <f>+BE215-BE184</f>
        <v>28079.894883853591</v>
      </c>
      <c r="BF189" s="147">
        <f>+BF215-BF184</f>
        <v>28037.127087853591</v>
      </c>
      <c r="BG189" s="72">
        <f>+BF189</f>
        <v>28037.127087853591</v>
      </c>
      <c r="BH189" s="148">
        <f>+BH215-BH184</f>
        <v>28405.127087853591</v>
      </c>
      <c r="BI189" s="146">
        <f>+BI215-BI184</f>
        <v>28271.314105853591</v>
      </c>
      <c r="BJ189" s="146">
        <f>+BJ215-BJ184</f>
        <v>29923.815037065091</v>
      </c>
      <c r="BK189" s="147">
        <f>+BK215-BK184</f>
        <v>29356.315037065091</v>
      </c>
      <c r="BL189" s="72">
        <f>+BK189</f>
        <v>29356.315037065091</v>
      </c>
      <c r="BM189" s="148">
        <f>+BM215-BM184</f>
        <v>29356.315037065091</v>
      </c>
      <c r="BN189" s="146">
        <f>+BN215-BN184</f>
        <v>29356.315037065091</v>
      </c>
      <c r="BO189" s="146">
        <f>+BO215-BO184</f>
        <v>33589.459234190348</v>
      </c>
      <c r="BP189" s="147">
        <f>+BP215-BP184</f>
        <v>33589.459234190348</v>
      </c>
      <c r="BQ189" s="72">
        <f>+BP189</f>
        <v>33589.459234190348</v>
      </c>
      <c r="BR189" s="527"/>
      <c r="BS189" s="527"/>
      <c r="BT189" s="491"/>
      <c r="BU189" s="491"/>
      <c r="BV189" s="491"/>
    </row>
    <row r="190" spans="3:74">
      <c r="D190" s="72"/>
      <c r="E190" s="142"/>
      <c r="F190" s="159"/>
      <c r="G190" s="159"/>
      <c r="H190" s="144"/>
      <c r="I190" s="145"/>
      <c r="J190" s="142"/>
      <c r="K190" s="159"/>
      <c r="L190" s="159"/>
      <c r="M190" s="144"/>
      <c r="N190" s="145"/>
      <c r="O190" s="142"/>
      <c r="P190" s="159"/>
      <c r="Q190" s="821"/>
      <c r="R190" s="144"/>
      <c r="S190" s="145"/>
      <c r="T190" s="142"/>
      <c r="U190" s="159"/>
      <c r="V190" s="159"/>
      <c r="W190" s="144"/>
      <c r="X190" s="145"/>
      <c r="Y190" s="142"/>
      <c r="Z190" s="159"/>
      <c r="AA190" s="159"/>
      <c r="AB190" s="144"/>
      <c r="AC190" s="145"/>
      <c r="AD190" s="142"/>
      <c r="AE190" s="159"/>
      <c r="AF190" s="159"/>
      <c r="AG190" s="144"/>
      <c r="AH190" s="145"/>
      <c r="AI190" s="142"/>
      <c r="AJ190" s="159"/>
      <c r="AK190" s="159"/>
      <c r="AL190" s="144"/>
      <c r="AM190" s="145"/>
      <c r="AN190" s="142"/>
      <c r="AO190" s="159"/>
      <c r="AP190" s="159"/>
      <c r="AQ190" s="144"/>
      <c r="AR190" s="145"/>
      <c r="AS190" s="142"/>
      <c r="AT190" s="159"/>
      <c r="AU190" s="159"/>
      <c r="AV190" s="144"/>
      <c r="AW190" s="145"/>
      <c r="AX190" s="148"/>
      <c r="AY190" s="163"/>
      <c r="AZ190" s="163"/>
      <c r="BA190" s="147"/>
      <c r="BB190" s="72"/>
      <c r="BC190" s="148"/>
      <c r="BD190" s="163"/>
      <c r="BE190" s="163"/>
      <c r="BF190" s="147"/>
      <c r="BG190" s="72"/>
      <c r="BH190" s="148"/>
      <c r="BI190" s="163"/>
      <c r="BJ190" s="163"/>
      <c r="BK190" s="147"/>
      <c r="BL190" s="72"/>
      <c r="BM190" s="148"/>
      <c r="BN190" s="163"/>
      <c r="BO190" s="163"/>
      <c r="BP190" s="147"/>
      <c r="BQ190" s="72"/>
      <c r="BR190" s="527"/>
      <c r="BS190" s="527"/>
      <c r="BT190" s="491"/>
      <c r="BU190" s="491"/>
      <c r="BV190" s="491"/>
    </row>
    <row r="191" spans="3:74">
      <c r="C191" t="s">
        <v>163</v>
      </c>
      <c r="D191" s="72"/>
      <c r="E191" s="142">
        <v>5255</v>
      </c>
      <c r="F191" s="143">
        <v>5417</v>
      </c>
      <c r="G191" s="143">
        <v>5824</v>
      </c>
      <c r="H191" s="144">
        <f>I191</f>
        <v>6420</v>
      </c>
      <c r="I191" s="145">
        <v>6420</v>
      </c>
      <c r="J191" s="142">
        <v>6587</v>
      </c>
      <c r="K191" s="143">
        <v>6671</v>
      </c>
      <c r="L191" s="143">
        <v>6928</v>
      </c>
      <c r="M191" s="144">
        <f>N191</f>
        <v>7359</v>
      </c>
      <c r="N191" s="145">
        <v>7359</v>
      </c>
      <c r="O191" s="142">
        <v>7490</v>
      </c>
      <c r="P191" s="143">
        <v>7716</v>
      </c>
      <c r="Q191" s="143">
        <v>8108</v>
      </c>
      <c r="R191" s="144">
        <f>S191</f>
        <v>8227</v>
      </c>
      <c r="S191" s="145">
        <v>8227</v>
      </c>
      <c r="T191" s="142">
        <v>8493</v>
      </c>
      <c r="U191" s="143">
        <v>8627</v>
      </c>
      <c r="V191" s="143">
        <v>8905</v>
      </c>
      <c r="W191" s="144">
        <f>X191</f>
        <v>9252</v>
      </c>
      <c r="X191" s="145">
        <v>9252</v>
      </c>
      <c r="Y191" s="142">
        <v>9556</v>
      </c>
      <c r="Z191" s="143">
        <v>9691</v>
      </c>
      <c r="AA191" s="143">
        <v>9871</v>
      </c>
      <c r="AB191" s="144">
        <f>AC191</f>
        <v>10300</v>
      </c>
      <c r="AC191" s="145">
        <v>10300</v>
      </c>
      <c r="AD191" s="142">
        <v>10446</v>
      </c>
      <c r="AE191" s="143">
        <v>10463</v>
      </c>
      <c r="AF191" s="143">
        <v>10506</v>
      </c>
      <c r="AG191" s="144">
        <f>AH191</f>
        <v>10986</v>
      </c>
      <c r="AH191" s="145">
        <v>10986</v>
      </c>
      <c r="AI191" s="142">
        <v>11188</v>
      </c>
      <c r="AJ191" s="143">
        <v>11426</v>
      </c>
      <c r="AK191" s="143">
        <v>11425</v>
      </c>
      <c r="AL191" s="144">
        <f>AM191</f>
        <v>11733.2</v>
      </c>
      <c r="AM191" s="145">
        <v>11733.2</v>
      </c>
      <c r="AN191" s="142">
        <v>12133.8</v>
      </c>
      <c r="AO191" s="143">
        <v>12402.5</v>
      </c>
      <c r="AP191" s="143">
        <v>11815.1</v>
      </c>
      <c r="AQ191" s="144">
        <f>AR191</f>
        <v>11884.4</v>
      </c>
      <c r="AR191" s="145">
        <v>11884.4</v>
      </c>
      <c r="AS191" s="142">
        <v>11981.6</v>
      </c>
      <c r="AT191" s="143">
        <v>12288.5</v>
      </c>
      <c r="AU191" s="143">
        <v>12628.2</v>
      </c>
      <c r="AV191" s="144">
        <f>AW191</f>
        <v>6813.9</v>
      </c>
      <c r="AW191" s="145">
        <v>6813.9</v>
      </c>
      <c r="AX191" s="148">
        <f>+AW191+AX136</f>
        <v>6960.2685181732659</v>
      </c>
      <c r="AY191" s="146">
        <f>+AX191+AY136</f>
        <v>7080.7891207907542</v>
      </c>
      <c r="AZ191" s="146">
        <f>+AY191+AZ136</f>
        <v>7268.5464288873454</v>
      </c>
      <c r="BA191" s="147">
        <f>+AZ191+BA136</f>
        <v>7396.7644079663987</v>
      </c>
      <c r="BB191" s="72">
        <f>+BA191</f>
        <v>7396.7644079663987</v>
      </c>
      <c r="BC191" s="148">
        <f>+BB191+BC136</f>
        <v>7431.1793528965236</v>
      </c>
      <c r="BD191" s="146">
        <f>+BC191+BD136</f>
        <v>7458.3932252656577</v>
      </c>
      <c r="BE191" s="146">
        <f>+BD191+BE136</f>
        <v>7495.3408394576236</v>
      </c>
      <c r="BF191" s="147">
        <f>+BE191+BF136</f>
        <v>7521.6898975494341</v>
      </c>
      <c r="BG191" s="72">
        <f>+BF191</f>
        <v>7521.6898975494341</v>
      </c>
      <c r="BH191" s="148">
        <f>+BG191+BH136</f>
        <v>7520.9954531049898</v>
      </c>
      <c r="BI191" s="146">
        <f>+BH191+BI136</f>
        <v>7520.3010086605454</v>
      </c>
      <c r="BJ191" s="146">
        <f>+BI191+BJ136</f>
        <v>7519.6065642161011</v>
      </c>
      <c r="BK191" s="147">
        <f>+BJ191+BK136</f>
        <v>7518.9121197716568</v>
      </c>
      <c r="BL191" s="72">
        <f>+BK191</f>
        <v>7518.9121197716568</v>
      </c>
      <c r="BM191" s="148">
        <f>+BL191+BM136</f>
        <v>7518.2176753272124</v>
      </c>
      <c r="BN191" s="146">
        <f>+BM191+BN136</f>
        <v>7517.5232308827681</v>
      </c>
      <c r="BO191" s="146">
        <f>+BN191+BO136</f>
        <v>7516.8287864383237</v>
      </c>
      <c r="BP191" s="147">
        <f>+BO191+BP136</f>
        <v>7516.1343419938794</v>
      </c>
      <c r="BQ191" s="72">
        <f>+BP191</f>
        <v>7516.1343419938794</v>
      </c>
      <c r="BR191" s="527"/>
      <c r="BS191" s="527"/>
      <c r="BT191" s="491"/>
      <c r="BU191" s="491"/>
      <c r="BV191" s="491"/>
    </row>
    <row r="192" spans="3:74">
      <c r="C192" t="s">
        <v>164</v>
      </c>
      <c r="D192" s="72"/>
      <c r="E192" s="142">
        <v>2652</v>
      </c>
      <c r="F192" s="143">
        <v>2746</v>
      </c>
      <c r="G192" s="143">
        <v>2901</v>
      </c>
      <c r="H192" s="144">
        <f>I192</f>
        <v>2909</v>
      </c>
      <c r="I192" s="145">
        <v>2909</v>
      </c>
      <c r="J192" s="142">
        <v>3005</v>
      </c>
      <c r="K192" s="143">
        <v>3017</v>
      </c>
      <c r="L192" s="143">
        <v>3109</v>
      </c>
      <c r="M192" s="144">
        <f>N192</f>
        <v>3171</v>
      </c>
      <c r="N192" s="145">
        <v>3171</v>
      </c>
      <c r="O192" s="142">
        <v>3204</v>
      </c>
      <c r="P192" s="143">
        <v>3246</v>
      </c>
      <c r="Q192" s="143">
        <v>3229</v>
      </c>
      <c r="R192" s="144">
        <f>S192</f>
        <v>3195</v>
      </c>
      <c r="S192" s="145">
        <v>3195</v>
      </c>
      <c r="T192" s="142">
        <v>3469</v>
      </c>
      <c r="U192" s="143">
        <v>3615</v>
      </c>
      <c r="V192" s="143">
        <v>3589</v>
      </c>
      <c r="W192" s="144">
        <f>X192</f>
        <v>3544</v>
      </c>
      <c r="X192" s="145">
        <v>3544</v>
      </c>
      <c r="Y192" s="142">
        <v>3625</v>
      </c>
      <c r="Z192" s="143">
        <v>3585</v>
      </c>
      <c r="AA192" s="143">
        <v>3640</v>
      </c>
      <c r="AB192" s="144">
        <f>AC192</f>
        <v>3694</v>
      </c>
      <c r="AC192" s="145">
        <v>3694</v>
      </c>
      <c r="AD192" s="142">
        <v>3765</v>
      </c>
      <c r="AE192" s="143">
        <v>3840</v>
      </c>
      <c r="AF192" s="143">
        <v>3837</v>
      </c>
      <c r="AG192" s="144">
        <f>AH192</f>
        <v>3892</v>
      </c>
      <c r="AH192" s="145">
        <v>3892</v>
      </c>
      <c r="AI192" s="142">
        <v>3911</v>
      </c>
      <c r="AJ192" s="143">
        <v>3850</v>
      </c>
      <c r="AK192" s="143">
        <v>3762</v>
      </c>
      <c r="AL192" s="144">
        <f>AM192</f>
        <v>3736.1</v>
      </c>
      <c r="AM192" s="145">
        <v>3736.1</v>
      </c>
      <c r="AN192" s="142">
        <v>3765.2</v>
      </c>
      <c r="AO192" s="143">
        <v>3816</v>
      </c>
      <c r="AP192" s="143">
        <v>3887.5</v>
      </c>
      <c r="AQ192" s="144">
        <f>AR192</f>
        <v>3751.3</v>
      </c>
      <c r="AR192" s="145">
        <v>3751.3</v>
      </c>
      <c r="AS192" s="142">
        <v>3867.6</v>
      </c>
      <c r="AT192" s="143">
        <v>3908.8</v>
      </c>
      <c r="AU192" s="143">
        <v>3959.6</v>
      </c>
      <c r="AV192" s="144">
        <f>AW192</f>
        <v>8422.2999999999993</v>
      </c>
      <c r="AW192" s="145">
        <v>8422.2999999999993</v>
      </c>
      <c r="AX192" s="148">
        <f t="shared" ref="AX192:BA193" si="350">+AW192</f>
        <v>8422.2999999999993</v>
      </c>
      <c r="AY192" s="146">
        <f t="shared" si="350"/>
        <v>8422.2999999999993</v>
      </c>
      <c r="AZ192" s="146">
        <f t="shared" si="350"/>
        <v>8422.2999999999993</v>
      </c>
      <c r="BA192" s="147">
        <f t="shared" si="350"/>
        <v>8422.2999999999993</v>
      </c>
      <c r="BB192" s="72">
        <f>+BA192</f>
        <v>8422.2999999999993</v>
      </c>
      <c r="BC192" s="148">
        <f t="shared" ref="BC192:BF193" si="351">+BB192</f>
        <v>8422.2999999999993</v>
      </c>
      <c r="BD192" s="146">
        <f t="shared" si="351"/>
        <v>8422.2999999999993</v>
      </c>
      <c r="BE192" s="146">
        <f t="shared" si="351"/>
        <v>8422.2999999999993</v>
      </c>
      <c r="BF192" s="147">
        <f t="shared" si="351"/>
        <v>8422.2999999999993</v>
      </c>
      <c r="BG192" s="72">
        <f>+BF192</f>
        <v>8422.2999999999993</v>
      </c>
      <c r="BH192" s="148">
        <f t="shared" ref="BH192:BK193" si="352">+BG192</f>
        <v>8422.2999999999993</v>
      </c>
      <c r="BI192" s="146">
        <f t="shared" si="352"/>
        <v>8422.2999999999993</v>
      </c>
      <c r="BJ192" s="146">
        <f t="shared" si="352"/>
        <v>8422.2999999999993</v>
      </c>
      <c r="BK192" s="147">
        <f t="shared" si="352"/>
        <v>8422.2999999999993</v>
      </c>
      <c r="BL192" s="72">
        <f>+BK192</f>
        <v>8422.2999999999993</v>
      </c>
      <c r="BM192" s="148">
        <f t="shared" ref="BM192:BP193" si="353">+BL192</f>
        <v>8422.2999999999993</v>
      </c>
      <c r="BN192" s="146">
        <f t="shared" si="353"/>
        <v>8422.2999999999993</v>
      </c>
      <c r="BO192" s="146">
        <f t="shared" si="353"/>
        <v>8422.2999999999993</v>
      </c>
      <c r="BP192" s="147">
        <f t="shared" si="353"/>
        <v>8422.2999999999993</v>
      </c>
      <c r="BQ192" s="72">
        <f>+BP192</f>
        <v>8422.2999999999993</v>
      </c>
      <c r="BR192" s="527"/>
      <c r="BS192" s="527"/>
      <c r="BT192" s="491"/>
      <c r="BU192" s="491"/>
      <c r="BV192" s="491"/>
    </row>
    <row r="193" spans="1:76">
      <c r="C193" t="s">
        <v>363</v>
      </c>
      <c r="D193" s="72"/>
      <c r="E193" s="142">
        <v>2162</v>
      </c>
      <c r="F193" s="143">
        <v>2169</v>
      </c>
      <c r="G193" s="143">
        <v>2168</v>
      </c>
      <c r="H193" s="147">
        <f>+I193</f>
        <v>2189</v>
      </c>
      <c r="I193" s="145">
        <v>2189</v>
      </c>
      <c r="J193" s="142">
        <v>2153</v>
      </c>
      <c r="K193" s="143">
        <v>2107</v>
      </c>
      <c r="L193" s="143">
        <v>1729</v>
      </c>
      <c r="M193" s="147">
        <f>+N193</f>
        <v>1893</v>
      </c>
      <c r="N193" s="145">
        <v>1893</v>
      </c>
      <c r="O193" s="142">
        <v>1863</v>
      </c>
      <c r="P193" s="143">
        <v>1790</v>
      </c>
      <c r="Q193" s="143">
        <v>1718</v>
      </c>
      <c r="R193" s="147">
        <f>+S193</f>
        <v>1801</v>
      </c>
      <c r="S193" s="145">
        <v>1801</v>
      </c>
      <c r="T193" s="142">
        <v>1739</v>
      </c>
      <c r="U193" s="143">
        <v>1729</v>
      </c>
      <c r="V193" s="143">
        <v>1611</v>
      </c>
      <c r="W193" s="147">
        <f>+X193</f>
        <v>1075</v>
      </c>
      <c r="X193" s="145">
        <v>1075</v>
      </c>
      <c r="Y193" s="142">
        <v>1049</v>
      </c>
      <c r="Z193" s="143">
        <v>1044</v>
      </c>
      <c r="AA193" s="143">
        <v>986</v>
      </c>
      <c r="AB193" s="147">
        <f>+AC193</f>
        <v>415</v>
      </c>
      <c r="AC193" s="145">
        <v>415</v>
      </c>
      <c r="AD193" s="142">
        <v>456</v>
      </c>
      <c r="AE193" s="143">
        <v>411</v>
      </c>
      <c r="AF193" s="143">
        <v>414</v>
      </c>
      <c r="AG193" s="147">
        <f>+AH193</f>
        <v>630</v>
      </c>
      <c r="AH193" s="145">
        <v>630</v>
      </c>
      <c r="AI193" s="142">
        <v>598</v>
      </c>
      <c r="AJ193" s="143">
        <v>509</v>
      </c>
      <c r="AK193" s="143">
        <v>535</v>
      </c>
      <c r="AL193" s="147">
        <f>+AM193</f>
        <v>583.29999999999995</v>
      </c>
      <c r="AM193" s="145">
        <v>583.29999999999995</v>
      </c>
      <c r="AN193" s="142">
        <v>569.9</v>
      </c>
      <c r="AO193" s="143">
        <v>496.6</v>
      </c>
      <c r="AP193" s="143">
        <v>497</v>
      </c>
      <c r="AQ193" s="147">
        <f>+AR193</f>
        <v>614.1</v>
      </c>
      <c r="AR193" s="145">
        <v>614.1</v>
      </c>
      <c r="AS193" s="142">
        <v>586.20000000000005</v>
      </c>
      <c r="AT193" s="143">
        <v>462.8</v>
      </c>
      <c r="AU193" s="143">
        <v>468.9</v>
      </c>
      <c r="AV193" s="147">
        <f>+AW193</f>
        <v>398.1</v>
      </c>
      <c r="AW193" s="145">
        <v>398.1</v>
      </c>
      <c r="AX193" s="148">
        <f t="shared" si="350"/>
        <v>398.1</v>
      </c>
      <c r="AY193" s="146">
        <f t="shared" si="350"/>
        <v>398.1</v>
      </c>
      <c r="AZ193" s="146">
        <f t="shared" si="350"/>
        <v>398.1</v>
      </c>
      <c r="BA193" s="147">
        <f t="shared" si="350"/>
        <v>398.1</v>
      </c>
      <c r="BB193" s="72">
        <f>+BA193</f>
        <v>398.1</v>
      </c>
      <c r="BC193" s="148">
        <f t="shared" si="351"/>
        <v>398.1</v>
      </c>
      <c r="BD193" s="146">
        <f t="shared" si="351"/>
        <v>398.1</v>
      </c>
      <c r="BE193" s="146">
        <f t="shared" si="351"/>
        <v>398.1</v>
      </c>
      <c r="BF193" s="147">
        <f t="shared" si="351"/>
        <v>398.1</v>
      </c>
      <c r="BG193" s="72">
        <f>+BF193</f>
        <v>398.1</v>
      </c>
      <c r="BH193" s="148">
        <f t="shared" si="352"/>
        <v>398.1</v>
      </c>
      <c r="BI193" s="146">
        <f t="shared" si="352"/>
        <v>398.1</v>
      </c>
      <c r="BJ193" s="146">
        <f t="shared" si="352"/>
        <v>398.1</v>
      </c>
      <c r="BK193" s="147">
        <f t="shared" si="352"/>
        <v>398.1</v>
      </c>
      <c r="BL193" s="72">
        <f>+BK193</f>
        <v>398.1</v>
      </c>
      <c r="BM193" s="148">
        <f t="shared" si="353"/>
        <v>398.1</v>
      </c>
      <c r="BN193" s="146">
        <f t="shared" si="353"/>
        <v>398.1</v>
      </c>
      <c r="BO193" s="146">
        <f t="shared" si="353"/>
        <v>398.1</v>
      </c>
      <c r="BP193" s="147">
        <f t="shared" si="353"/>
        <v>398.1</v>
      </c>
      <c r="BQ193" s="72">
        <f>+BP193</f>
        <v>398.1</v>
      </c>
      <c r="BR193" s="527"/>
      <c r="BS193" s="527"/>
      <c r="BT193" s="491"/>
      <c r="BU193" s="491"/>
      <c r="BV193" s="491"/>
    </row>
    <row r="194" spans="1:76">
      <c r="C194" t="s">
        <v>165</v>
      </c>
      <c r="D194" s="72"/>
      <c r="E194" s="142">
        <f>174+1166+1122</f>
        <v>2462</v>
      </c>
      <c r="F194" s="143">
        <f>138+1181+1120</f>
        <v>2439</v>
      </c>
      <c r="G194" s="143">
        <f>150+1197+1128</f>
        <v>2475</v>
      </c>
      <c r="H194" s="144">
        <f>I194</f>
        <v>2545</v>
      </c>
      <c r="I194" s="145">
        <f>128+1254+1163</f>
        <v>2545</v>
      </c>
      <c r="J194" s="142">
        <f>193+1264+1242</f>
        <v>2699</v>
      </c>
      <c r="K194" s="143">
        <f>177+1280+1272</f>
        <v>2729</v>
      </c>
      <c r="L194" s="143">
        <f>167+1296+804</f>
        <v>2267</v>
      </c>
      <c r="M194" s="144">
        <f>N194</f>
        <v>2330</v>
      </c>
      <c r="N194" s="145">
        <f>141+1394+795</f>
        <v>2330</v>
      </c>
      <c r="O194" s="142">
        <f>138+1413+993</f>
        <v>2544</v>
      </c>
      <c r="P194" s="143">
        <f>997+124+1429</f>
        <v>2550</v>
      </c>
      <c r="Q194" s="143">
        <f>133+1441+978</f>
        <v>2552</v>
      </c>
      <c r="R194" s="144">
        <f>S194</f>
        <v>2641</v>
      </c>
      <c r="S194" s="145">
        <f>195+1472+974</f>
        <v>2641</v>
      </c>
      <c r="T194" s="142">
        <f>239+1500+923</f>
        <v>2662</v>
      </c>
      <c r="U194" s="143">
        <f>259+1523+934</f>
        <v>2716</v>
      </c>
      <c r="V194" s="143">
        <f>224+1535+923</f>
        <v>2682</v>
      </c>
      <c r="W194" s="144">
        <f>X194</f>
        <v>2850</v>
      </c>
      <c r="X194" s="145">
        <f>214+940+1696</f>
        <v>2850</v>
      </c>
      <c r="Y194" s="142">
        <f>185+1727+913</f>
        <v>2825</v>
      </c>
      <c r="Z194" s="143">
        <f>181+1734+889</f>
        <v>2804</v>
      </c>
      <c r="AA194" s="143">
        <f>182+1736+891</f>
        <v>2809</v>
      </c>
      <c r="AB194" s="144">
        <f>AC194</f>
        <v>2979</v>
      </c>
      <c r="AC194" s="145">
        <f>967+1835+177</f>
        <v>2979</v>
      </c>
      <c r="AD194" s="142">
        <f>137+1853+968</f>
        <v>2958</v>
      </c>
      <c r="AE194" s="143">
        <f>115+1908+1097</f>
        <v>3120</v>
      </c>
      <c r="AF194" s="143">
        <f>120+1923+1119</f>
        <v>3162</v>
      </c>
      <c r="AG194" s="144">
        <f>AH194</f>
        <v>3153</v>
      </c>
      <c r="AH194" s="145">
        <f>131+1951+1071</f>
        <v>3153</v>
      </c>
      <c r="AI194" s="142">
        <f>156+1969+1062</f>
        <v>3187</v>
      </c>
      <c r="AJ194" s="143">
        <f>174+2038+1088</f>
        <v>3300</v>
      </c>
      <c r="AK194" s="143">
        <f>201+1944+865</f>
        <v>3010</v>
      </c>
      <c r="AL194" s="144">
        <f>AM194</f>
        <v>2876.2</v>
      </c>
      <c r="AM194" s="145">
        <f>179.1+1806.5+890.6</f>
        <v>2876.2</v>
      </c>
      <c r="AN194" s="142">
        <f>207.6+1824.4+872.7</f>
        <v>2904.7</v>
      </c>
      <c r="AO194" s="143">
        <f>166.8+1851.9+771.1</f>
        <v>2789.8</v>
      </c>
      <c r="AP194" s="143">
        <f>240+1858+702.1</f>
        <v>2800.1</v>
      </c>
      <c r="AQ194" s="144">
        <f>AR194</f>
        <v>2921.3999999999996</v>
      </c>
      <c r="AR194" s="145">
        <f>316.2+1830.6+774.6</f>
        <v>2921.3999999999996</v>
      </c>
      <c r="AS194" s="142">
        <f>344.8+1869.8+728.3</f>
        <v>2942.8999999999996</v>
      </c>
      <c r="AT194" s="143">
        <f>310.6+1911+813.3</f>
        <v>3034.8999999999996</v>
      </c>
      <c r="AU194" s="143">
        <f>352.7+1919.3+837</f>
        <v>3109</v>
      </c>
      <c r="AV194" s="144">
        <f>AW194</f>
        <v>3078.4</v>
      </c>
      <c r="AW194" s="145">
        <f>322+830.9+1925.5</f>
        <v>3078.4</v>
      </c>
      <c r="AX194" s="148">
        <f>+AW194+AX138+AX152+AX137</f>
        <v>3095.0666666666666</v>
      </c>
      <c r="AY194" s="146">
        <f>+AX194+AY138+AY152+AY137</f>
        <v>3111.7333333333331</v>
      </c>
      <c r="AZ194" s="146">
        <f>+AY194+AZ138+AZ152+AZ137</f>
        <v>3128.3999999999996</v>
      </c>
      <c r="BA194" s="147">
        <f>+AZ194+BA138+BA152+BA137</f>
        <v>3145.0666666666662</v>
      </c>
      <c r="BB194" s="72">
        <f>+BA194</f>
        <v>3145.0666666666662</v>
      </c>
      <c r="BC194" s="148">
        <f>+BB194+BC138+BC152+BC137</f>
        <v>3161.7333333333327</v>
      </c>
      <c r="BD194" s="146">
        <f>+BC194+BD138+BD152+BD137</f>
        <v>3178.3999999999992</v>
      </c>
      <c r="BE194" s="146">
        <f>+BD194+BE138+BE152+BE137</f>
        <v>3195.0666666666657</v>
      </c>
      <c r="BF194" s="147">
        <f>+BE194+BF138+BF152+BF137</f>
        <v>3211.7333333333322</v>
      </c>
      <c r="BG194" s="72">
        <f>+BF194</f>
        <v>3211.7333333333322</v>
      </c>
      <c r="BH194" s="148">
        <f>+BG194+BH138+BH152+BH137</f>
        <v>3226.1777777777766</v>
      </c>
      <c r="BI194" s="146">
        <f>+BH194+BI138+BI152+BI137</f>
        <v>3240.6222222222209</v>
      </c>
      <c r="BJ194" s="146">
        <f>+BI194+BJ138+BJ152+BJ137</f>
        <v>3255.0666666666652</v>
      </c>
      <c r="BK194" s="147">
        <f>+BJ194+BK138+BK152+BK137</f>
        <v>3269.5111111111096</v>
      </c>
      <c r="BL194" s="72">
        <f>+BK194</f>
        <v>3269.5111111111096</v>
      </c>
      <c r="BM194" s="148">
        <f>+BL194+BM138+BM152+BM137</f>
        <v>3269.5111111111096</v>
      </c>
      <c r="BN194" s="146">
        <f>+BM194+BN138+BN152+BN137</f>
        <v>3269.5111111111096</v>
      </c>
      <c r="BO194" s="146">
        <f>+BN194+BO138+BO152+BO137</f>
        <v>3269.5111111111096</v>
      </c>
      <c r="BP194" s="147">
        <f>+BO194+BP138+BP152+BP137</f>
        <v>3269.5111111111096</v>
      </c>
      <c r="BQ194" s="72">
        <f>+BP194</f>
        <v>3269.5111111111096</v>
      </c>
      <c r="BR194" s="527"/>
      <c r="BS194" s="527"/>
      <c r="BT194" s="491"/>
      <c r="BU194" s="491"/>
      <c r="BV194" s="491"/>
    </row>
    <row r="195" spans="1:76">
      <c r="C195" s="56" t="s">
        <v>166</v>
      </c>
      <c r="D195" s="72"/>
      <c r="E195" s="149">
        <f t="shared" ref="E195:Q195" si="354">SUM(E189:E194)</f>
        <v>28435</v>
      </c>
      <c r="F195" s="150">
        <f t="shared" si="354"/>
        <v>28121</v>
      </c>
      <c r="G195" s="150">
        <f t="shared" si="354"/>
        <v>29081</v>
      </c>
      <c r="H195" s="151">
        <f t="shared" si="354"/>
        <v>29820</v>
      </c>
      <c r="I195" s="112">
        <f t="shared" si="354"/>
        <v>29820</v>
      </c>
      <c r="J195" s="149">
        <f t="shared" si="354"/>
        <v>30725</v>
      </c>
      <c r="K195" s="150">
        <f t="shared" si="354"/>
        <v>30829</v>
      </c>
      <c r="L195" s="150">
        <f t="shared" si="354"/>
        <v>30028</v>
      </c>
      <c r="M195" s="151">
        <f t="shared" si="354"/>
        <v>30255</v>
      </c>
      <c r="N195" s="112">
        <f t="shared" si="354"/>
        <v>30255</v>
      </c>
      <c r="O195" s="149">
        <f t="shared" si="354"/>
        <v>30732</v>
      </c>
      <c r="P195" s="150">
        <f t="shared" si="354"/>
        <v>30866</v>
      </c>
      <c r="Q195" s="150">
        <f t="shared" si="354"/>
        <v>30790</v>
      </c>
      <c r="R195" s="151">
        <f t="shared" ref="R195:AA195" si="355">SUM(R189:R194)</f>
        <v>30947</v>
      </c>
      <c r="S195" s="112">
        <f t="shared" si="355"/>
        <v>30947</v>
      </c>
      <c r="T195" s="149">
        <f t="shared" si="355"/>
        <v>31703</v>
      </c>
      <c r="U195" s="150">
        <f t="shared" si="355"/>
        <v>32006</v>
      </c>
      <c r="V195" s="150">
        <f t="shared" si="355"/>
        <v>31742</v>
      </c>
      <c r="W195" s="151">
        <f t="shared" si="355"/>
        <v>32307</v>
      </c>
      <c r="X195" s="112">
        <f t="shared" si="355"/>
        <v>32307</v>
      </c>
      <c r="Y195" s="149">
        <f t="shared" si="355"/>
        <v>32954</v>
      </c>
      <c r="Z195" s="150">
        <f t="shared" si="355"/>
        <v>32923</v>
      </c>
      <c r="AA195" s="150">
        <f t="shared" si="355"/>
        <v>33508</v>
      </c>
      <c r="AB195" s="151">
        <f t="shared" ref="AB195:AH195" si="356">SUM(AB189:AB194)</f>
        <v>34216</v>
      </c>
      <c r="AC195" s="112">
        <f t="shared" si="356"/>
        <v>34216</v>
      </c>
      <c r="AD195" s="149">
        <f t="shared" si="356"/>
        <v>34100</v>
      </c>
      <c r="AE195" s="150">
        <f t="shared" si="356"/>
        <v>33435</v>
      </c>
      <c r="AF195" s="150">
        <f t="shared" si="356"/>
        <v>33596</v>
      </c>
      <c r="AG195" s="151">
        <f t="shared" si="356"/>
        <v>34842</v>
      </c>
      <c r="AH195" s="112">
        <f t="shared" si="356"/>
        <v>34842</v>
      </c>
      <c r="AI195" s="149">
        <f t="shared" ref="AI195:AN195" si="357">SUM(AI189:AI194)</f>
        <v>35662</v>
      </c>
      <c r="AJ195" s="150">
        <f t="shared" si="357"/>
        <v>36846</v>
      </c>
      <c r="AK195" s="150">
        <f t="shared" si="357"/>
        <v>36332</v>
      </c>
      <c r="AL195" s="151">
        <f t="shared" si="357"/>
        <v>36669.700000000004</v>
      </c>
      <c r="AM195" s="112">
        <f t="shared" si="357"/>
        <v>36669.700000000004</v>
      </c>
      <c r="AN195" s="149">
        <f t="shared" si="357"/>
        <v>37122.899999999994</v>
      </c>
      <c r="AO195" s="150">
        <f>SUM(AO189:AO194)</f>
        <v>37042.300000000003</v>
      </c>
      <c r="AP195" s="150">
        <f t="shared" ref="AP195:AU195" si="358">SUM(AP189:AP194)</f>
        <v>36319.599999999999</v>
      </c>
      <c r="AQ195" s="151">
        <f t="shared" si="358"/>
        <v>36549.600000000006</v>
      </c>
      <c r="AR195" s="112">
        <f t="shared" si="358"/>
        <v>36549.600000000006</v>
      </c>
      <c r="AS195" s="149">
        <f t="shared" si="358"/>
        <v>36100.5</v>
      </c>
      <c r="AT195" s="150">
        <f t="shared" si="358"/>
        <v>36491.900000000009</v>
      </c>
      <c r="AU195" s="150">
        <f t="shared" si="358"/>
        <v>38528.100000000006</v>
      </c>
      <c r="AV195" s="151">
        <f t="shared" ref="AV195:AW195" si="359">SUM(AV189:AV194)</f>
        <v>38132.300000000003</v>
      </c>
      <c r="AW195" s="112">
        <f t="shared" si="359"/>
        <v>38132.300000000003</v>
      </c>
      <c r="AX195" s="149">
        <f t="shared" ref="AX195:BL195" si="360">SUM(AX189:AX194)</f>
        <v>37838.873145839934</v>
      </c>
      <c r="AY195" s="150">
        <f t="shared" si="360"/>
        <v>40156.208370920183</v>
      </c>
      <c r="AZ195" s="150">
        <f t="shared" si="360"/>
        <v>41875.754034683443</v>
      </c>
      <c r="BA195" s="151">
        <f t="shared" si="360"/>
        <v>42369.348045429164</v>
      </c>
      <c r="BB195" s="112">
        <f t="shared" si="360"/>
        <v>42369.348045429164</v>
      </c>
      <c r="BC195" s="149">
        <f t="shared" si="360"/>
        <v>42420.429657025947</v>
      </c>
      <c r="BD195" s="150">
        <f t="shared" si="360"/>
        <v>42132.180953061747</v>
      </c>
      <c r="BE195" s="150">
        <f t="shared" si="360"/>
        <v>47590.70238997788</v>
      </c>
      <c r="BF195" s="151">
        <f t="shared" si="360"/>
        <v>47590.950318736359</v>
      </c>
      <c r="BG195" s="112">
        <f t="shared" si="360"/>
        <v>47590.950318736359</v>
      </c>
      <c r="BH195" s="149">
        <f t="shared" si="360"/>
        <v>47972.700318736352</v>
      </c>
      <c r="BI195" s="150">
        <f t="shared" si="360"/>
        <v>47852.637336736356</v>
      </c>
      <c r="BJ195" s="150">
        <f t="shared" si="360"/>
        <v>49518.888267947863</v>
      </c>
      <c r="BK195" s="151">
        <f t="shared" si="360"/>
        <v>48965.138267947856</v>
      </c>
      <c r="BL195" s="112">
        <f t="shared" si="360"/>
        <v>48965.138267947856</v>
      </c>
      <c r="BM195" s="149">
        <f>SUM(BM189:BM194)</f>
        <v>48964.443823503418</v>
      </c>
      <c r="BN195" s="150">
        <f>SUM(BN189:BN194)</f>
        <v>48963.749379058965</v>
      </c>
      <c r="BO195" s="150">
        <f>SUM(BO189:BO194)</f>
        <v>53196.199131739777</v>
      </c>
      <c r="BP195" s="151">
        <f>SUM(BP189:BP194)</f>
        <v>53195.504687295339</v>
      </c>
      <c r="BQ195" s="112">
        <f>SUM(BQ189:BQ194)</f>
        <v>53195.504687295339</v>
      </c>
      <c r="BR195" s="527"/>
      <c r="BS195" s="527"/>
      <c r="BT195" s="491"/>
      <c r="BU195" s="491"/>
      <c r="BV195" s="491"/>
    </row>
    <row r="196" spans="1:76">
      <c r="C196" s="56"/>
      <c r="D196" s="72"/>
      <c r="E196" s="148"/>
      <c r="F196" s="163"/>
      <c r="G196" s="163"/>
      <c r="H196" s="147"/>
      <c r="I196" s="72"/>
      <c r="J196" s="148"/>
      <c r="K196" s="163"/>
      <c r="L196" s="163"/>
      <c r="M196" s="147"/>
      <c r="N196" s="72"/>
      <c r="O196" s="148"/>
      <c r="P196" s="163"/>
      <c r="Q196" s="163"/>
      <c r="R196" s="147"/>
      <c r="S196" s="72"/>
      <c r="T196" s="148"/>
      <c r="U196" s="163"/>
      <c r="V196" s="163"/>
      <c r="W196" s="147"/>
      <c r="X196" s="72"/>
      <c r="Y196" s="148"/>
      <c r="Z196" s="163"/>
      <c r="AA196" s="163"/>
      <c r="AB196" s="147"/>
      <c r="AC196" s="72"/>
      <c r="AD196" s="148"/>
      <c r="AE196" s="163"/>
      <c r="AF196" s="163"/>
      <c r="AG196" s="147"/>
      <c r="AH196" s="72"/>
      <c r="AI196" s="148"/>
      <c r="AJ196" s="163"/>
      <c r="AK196" s="163"/>
      <c r="AL196" s="147"/>
      <c r="AM196" s="72"/>
      <c r="AN196" s="148"/>
      <c r="AO196" s="163"/>
      <c r="AP196" s="163"/>
      <c r="AQ196" s="147"/>
      <c r="AR196" s="72"/>
      <c r="AS196" s="148"/>
      <c r="AT196" s="163"/>
      <c r="AU196" s="163"/>
      <c r="AV196" s="147"/>
      <c r="AW196" s="72"/>
      <c r="AX196" s="148"/>
      <c r="AY196" s="163"/>
      <c r="AZ196" s="163"/>
      <c r="BA196" s="147"/>
      <c r="BB196" s="72"/>
      <c r="BC196" s="148"/>
      <c r="BD196" s="163"/>
      <c r="BE196" s="163"/>
      <c r="BF196" s="147"/>
      <c r="BG196" s="72"/>
      <c r="BH196" s="148"/>
      <c r="BI196" s="163"/>
      <c r="BJ196" s="163"/>
      <c r="BK196" s="147"/>
      <c r="BL196" s="72"/>
      <c r="BM196" s="148"/>
      <c r="BN196" s="163"/>
      <c r="BO196" s="163"/>
      <c r="BP196" s="147"/>
      <c r="BQ196" s="72"/>
      <c r="BR196" s="527"/>
      <c r="BS196" s="527"/>
      <c r="BT196" s="491"/>
      <c r="BU196" s="491"/>
      <c r="BV196" s="491"/>
    </row>
    <row r="197" spans="1:76">
      <c r="A197" s="50"/>
      <c r="B197" s="50"/>
      <c r="C197" s="50" t="s">
        <v>364</v>
      </c>
      <c r="D197" s="109"/>
      <c r="E197" s="142">
        <v>61</v>
      </c>
      <c r="F197" s="143">
        <v>61</v>
      </c>
      <c r="G197" s="143">
        <v>61</v>
      </c>
      <c r="H197" s="144">
        <f>I197</f>
        <v>61</v>
      </c>
      <c r="I197" s="145">
        <v>61</v>
      </c>
      <c r="J197" s="142">
        <v>61</v>
      </c>
      <c r="K197" s="143">
        <v>60</v>
      </c>
      <c r="L197" s="143">
        <v>60</v>
      </c>
      <c r="M197" s="144">
        <f>N197</f>
        <v>60</v>
      </c>
      <c r="N197" s="145">
        <v>60</v>
      </c>
      <c r="O197" s="142">
        <v>60</v>
      </c>
      <c r="P197" s="143">
        <v>60</v>
      </c>
      <c r="Q197" s="143">
        <v>60</v>
      </c>
      <c r="R197" s="144">
        <f>S197</f>
        <v>0</v>
      </c>
      <c r="S197" s="145">
        <v>0</v>
      </c>
      <c r="T197" s="142">
        <v>0</v>
      </c>
      <c r="U197" s="143">
        <v>0</v>
      </c>
      <c r="V197" s="143">
        <v>0</v>
      </c>
      <c r="W197" s="144">
        <f>X197</f>
        <v>0</v>
      </c>
      <c r="X197" s="145">
        <v>0</v>
      </c>
      <c r="Y197" s="142">
        <v>0</v>
      </c>
      <c r="Z197" s="143">
        <v>0</v>
      </c>
      <c r="AA197" s="143">
        <v>0</v>
      </c>
      <c r="AB197" s="144">
        <f>AC197</f>
        <v>0</v>
      </c>
      <c r="AC197" s="145">
        <v>0</v>
      </c>
      <c r="AD197" s="142">
        <v>0</v>
      </c>
      <c r="AE197" s="143">
        <v>0</v>
      </c>
      <c r="AF197" s="143">
        <v>0</v>
      </c>
      <c r="AG197" s="144">
        <f>AH197</f>
        <v>0</v>
      </c>
      <c r="AH197" s="145">
        <v>0</v>
      </c>
      <c r="AI197" s="142">
        <v>0</v>
      </c>
      <c r="AJ197" s="143">
        <v>0</v>
      </c>
      <c r="AK197" s="143">
        <v>0</v>
      </c>
      <c r="AL197" s="144">
        <f>AM197</f>
        <v>0</v>
      </c>
      <c r="AM197" s="145">
        <v>0</v>
      </c>
      <c r="AN197" s="142">
        <v>0</v>
      </c>
      <c r="AO197" s="143">
        <v>0</v>
      </c>
      <c r="AP197" s="143">
        <v>0</v>
      </c>
      <c r="AQ197" s="144">
        <f>AR197</f>
        <v>0</v>
      </c>
      <c r="AR197" s="145">
        <v>0</v>
      </c>
      <c r="AS197" s="142">
        <v>0</v>
      </c>
      <c r="AT197" s="143">
        <v>0</v>
      </c>
      <c r="AU197" s="143">
        <v>0</v>
      </c>
      <c r="AV197" s="144">
        <f>AW197</f>
        <v>0</v>
      </c>
      <c r="AW197" s="145">
        <v>0</v>
      </c>
      <c r="AX197" s="161">
        <f t="shared" ref="AX197:BL197" si="361">+AW197</f>
        <v>0</v>
      </c>
      <c r="AY197" s="160">
        <f t="shared" si="361"/>
        <v>0</v>
      </c>
      <c r="AZ197" s="160">
        <f t="shared" si="361"/>
        <v>0</v>
      </c>
      <c r="BA197" s="144">
        <f t="shared" si="361"/>
        <v>0</v>
      </c>
      <c r="BB197" s="109">
        <f t="shared" si="361"/>
        <v>0</v>
      </c>
      <c r="BC197" s="161">
        <f t="shared" si="361"/>
        <v>0</v>
      </c>
      <c r="BD197" s="160">
        <f t="shared" si="361"/>
        <v>0</v>
      </c>
      <c r="BE197" s="160">
        <f t="shared" si="361"/>
        <v>0</v>
      </c>
      <c r="BF197" s="144">
        <f t="shared" si="361"/>
        <v>0</v>
      </c>
      <c r="BG197" s="109">
        <f t="shared" si="361"/>
        <v>0</v>
      </c>
      <c r="BH197" s="161">
        <f t="shared" si="361"/>
        <v>0</v>
      </c>
      <c r="BI197" s="160">
        <f t="shared" si="361"/>
        <v>0</v>
      </c>
      <c r="BJ197" s="160">
        <f t="shared" si="361"/>
        <v>0</v>
      </c>
      <c r="BK197" s="144">
        <f t="shared" si="361"/>
        <v>0</v>
      </c>
      <c r="BL197" s="109">
        <f t="shared" si="361"/>
        <v>0</v>
      </c>
      <c r="BM197" s="161">
        <f>+BL197</f>
        <v>0</v>
      </c>
      <c r="BN197" s="160">
        <f>+BM197</f>
        <v>0</v>
      </c>
      <c r="BO197" s="160">
        <f>+BN197</f>
        <v>0</v>
      </c>
      <c r="BP197" s="144">
        <f>+BO197</f>
        <v>0</v>
      </c>
      <c r="BQ197" s="109">
        <f>+BP197</f>
        <v>0</v>
      </c>
      <c r="BR197" s="528"/>
      <c r="BS197" s="528"/>
      <c r="BT197" s="525"/>
      <c r="BU197" s="525"/>
      <c r="BV197" s="525"/>
      <c r="BW197" s="50"/>
      <c r="BX197" s="50"/>
    </row>
    <row r="198" spans="1:76">
      <c r="A198" s="50"/>
      <c r="B198" s="50"/>
      <c r="C198" s="50"/>
      <c r="D198" s="109"/>
      <c r="E198" s="142"/>
      <c r="F198" s="143"/>
      <c r="G198" s="143"/>
      <c r="H198" s="144"/>
      <c r="I198" s="145"/>
      <c r="J198" s="142"/>
      <c r="K198" s="143"/>
      <c r="L198" s="143"/>
      <c r="M198" s="144"/>
      <c r="N198" s="145"/>
      <c r="O198" s="142"/>
      <c r="P198" s="143"/>
      <c r="Q198" s="143"/>
      <c r="R198" s="144"/>
      <c r="S198" s="145"/>
      <c r="T198" s="142"/>
      <c r="U198" s="143"/>
      <c r="V198" s="143"/>
      <c r="W198" s="144"/>
      <c r="X198" s="145"/>
      <c r="Y198" s="142"/>
      <c r="Z198" s="143"/>
      <c r="AA198" s="143"/>
      <c r="AB198" s="144"/>
      <c r="AC198" s="145"/>
      <c r="AD198" s="142"/>
      <c r="AE198" s="143"/>
      <c r="AF198" s="143"/>
      <c r="AG198" s="144"/>
      <c r="AH198" s="145"/>
      <c r="AI198" s="142"/>
      <c r="AJ198" s="143"/>
      <c r="AK198" s="143"/>
      <c r="AL198" s="144"/>
      <c r="AM198" s="145"/>
      <c r="AN198" s="142"/>
      <c r="AO198" s="143"/>
      <c r="AP198" s="160"/>
      <c r="AQ198" s="144"/>
      <c r="AR198" s="145"/>
      <c r="AS198" s="142"/>
      <c r="AT198" s="143"/>
      <c r="AU198" s="160"/>
      <c r="AV198" s="144"/>
      <c r="AW198" s="145"/>
      <c r="AX198" s="161"/>
      <c r="AY198" s="160"/>
      <c r="AZ198" s="160"/>
      <c r="BA198" s="144"/>
      <c r="BB198" s="109"/>
      <c r="BC198" s="161"/>
      <c r="BD198" s="160"/>
      <c r="BE198" s="160"/>
      <c r="BF198" s="144"/>
      <c r="BG198" s="109"/>
      <c r="BH198" s="161"/>
      <c r="BI198" s="160"/>
      <c r="BJ198" s="160"/>
      <c r="BK198" s="144"/>
      <c r="BL198" s="109"/>
      <c r="BM198" s="161"/>
      <c r="BN198" s="160"/>
      <c r="BO198" s="160"/>
      <c r="BP198" s="144"/>
      <c r="BQ198" s="109"/>
      <c r="BR198" s="528"/>
      <c r="BS198" s="528"/>
      <c r="BT198" s="525"/>
      <c r="BU198" s="525"/>
      <c r="BV198" s="525"/>
      <c r="BW198" s="50"/>
      <c r="BX198" s="50"/>
    </row>
    <row r="199" spans="1:76">
      <c r="A199" s="50"/>
      <c r="B199" s="50"/>
      <c r="C199" s="50" t="s">
        <v>900</v>
      </c>
      <c r="D199" s="109"/>
      <c r="E199" s="142">
        <v>0</v>
      </c>
      <c r="F199" s="143">
        <v>0</v>
      </c>
      <c r="G199" s="143">
        <v>0</v>
      </c>
      <c r="H199" s="144">
        <f>I199</f>
        <v>0</v>
      </c>
      <c r="I199" s="145">
        <v>0</v>
      </c>
      <c r="J199" s="142">
        <v>0</v>
      </c>
      <c r="K199" s="143">
        <v>0</v>
      </c>
      <c r="L199" s="143">
        <v>0</v>
      </c>
      <c r="M199" s="144">
        <f>N199</f>
        <v>0</v>
      </c>
      <c r="N199" s="145">
        <v>0</v>
      </c>
      <c r="O199" s="142">
        <v>0</v>
      </c>
      <c r="P199" s="143">
        <v>0</v>
      </c>
      <c r="Q199" s="143">
        <v>0</v>
      </c>
      <c r="R199" s="144">
        <f>S199</f>
        <v>1</v>
      </c>
      <c r="S199" s="145">
        <v>1</v>
      </c>
      <c r="T199" s="142">
        <v>1</v>
      </c>
      <c r="U199" s="143">
        <v>1</v>
      </c>
      <c r="V199" s="143">
        <v>0</v>
      </c>
      <c r="W199" s="144">
        <f>X199</f>
        <v>0</v>
      </c>
      <c r="X199" s="145">
        <v>0</v>
      </c>
      <c r="Y199" s="142">
        <v>0</v>
      </c>
      <c r="Z199" s="143">
        <v>0</v>
      </c>
      <c r="AA199" s="143">
        <v>1</v>
      </c>
      <c r="AB199" s="144">
        <f>AC199</f>
        <v>1</v>
      </c>
      <c r="AC199" s="145">
        <v>1</v>
      </c>
      <c r="AD199" s="142">
        <v>3</v>
      </c>
      <c r="AE199" s="143">
        <v>4</v>
      </c>
      <c r="AF199" s="143">
        <v>4</v>
      </c>
      <c r="AG199" s="144">
        <f>AH199</f>
        <v>4</v>
      </c>
      <c r="AH199" s="145">
        <v>4</v>
      </c>
      <c r="AI199" s="142">
        <v>7</v>
      </c>
      <c r="AJ199" s="143">
        <v>8</v>
      </c>
      <c r="AK199" s="143">
        <v>10</v>
      </c>
      <c r="AL199" s="144">
        <f>AM199</f>
        <v>13.2</v>
      </c>
      <c r="AM199" s="145">
        <v>13.2</v>
      </c>
      <c r="AN199" s="142">
        <v>15.2</v>
      </c>
      <c r="AO199" s="143">
        <v>18.7</v>
      </c>
      <c r="AP199" s="143">
        <v>21.1</v>
      </c>
      <c r="AQ199" s="144">
        <f>AR199</f>
        <v>23.1</v>
      </c>
      <c r="AR199" s="145">
        <v>23.1</v>
      </c>
      <c r="AS199" s="142">
        <v>24.6</v>
      </c>
      <c r="AT199" s="143">
        <v>25.4</v>
      </c>
      <c r="AU199" s="143">
        <v>36.4</v>
      </c>
      <c r="AV199" s="144">
        <f>AW199</f>
        <v>26.6</v>
      </c>
      <c r="AW199" s="145">
        <v>26.6</v>
      </c>
      <c r="AX199" s="161">
        <f t="shared" ref="AX199:BL199" si="362">AW199</f>
        <v>26.6</v>
      </c>
      <c r="AY199" s="160">
        <f t="shared" si="362"/>
        <v>26.6</v>
      </c>
      <c r="AZ199" s="160">
        <f t="shared" si="362"/>
        <v>26.6</v>
      </c>
      <c r="BA199" s="144">
        <f t="shared" si="362"/>
        <v>26.6</v>
      </c>
      <c r="BB199" s="109">
        <f t="shared" si="362"/>
        <v>26.6</v>
      </c>
      <c r="BC199" s="161">
        <f t="shared" si="362"/>
        <v>26.6</v>
      </c>
      <c r="BD199" s="160">
        <f t="shared" si="362"/>
        <v>26.6</v>
      </c>
      <c r="BE199" s="160">
        <f t="shared" si="362"/>
        <v>26.6</v>
      </c>
      <c r="BF199" s="144">
        <f t="shared" si="362"/>
        <v>26.6</v>
      </c>
      <c r="BG199" s="109">
        <f t="shared" si="362"/>
        <v>26.6</v>
      </c>
      <c r="BH199" s="161">
        <f t="shared" si="362"/>
        <v>26.6</v>
      </c>
      <c r="BI199" s="160">
        <f t="shared" si="362"/>
        <v>26.6</v>
      </c>
      <c r="BJ199" s="160">
        <f t="shared" si="362"/>
        <v>26.6</v>
      </c>
      <c r="BK199" s="144">
        <f t="shared" si="362"/>
        <v>26.6</v>
      </c>
      <c r="BL199" s="109">
        <f t="shared" si="362"/>
        <v>26.6</v>
      </c>
      <c r="BM199" s="161">
        <f>BL199</f>
        <v>26.6</v>
      </c>
      <c r="BN199" s="160">
        <f>BM199</f>
        <v>26.6</v>
      </c>
      <c r="BO199" s="160">
        <f>BN199</f>
        <v>26.6</v>
      </c>
      <c r="BP199" s="144">
        <f>BO199</f>
        <v>26.6</v>
      </c>
      <c r="BQ199" s="109">
        <f>BP199</f>
        <v>26.6</v>
      </c>
      <c r="BR199" s="528"/>
      <c r="BS199" s="528"/>
      <c r="BT199" s="525"/>
      <c r="BU199" s="525"/>
      <c r="BV199" s="525"/>
      <c r="BW199" s="50"/>
      <c r="BX199" s="50"/>
    </row>
    <row r="200" spans="1:76">
      <c r="C200" s="50"/>
      <c r="D200" s="72"/>
      <c r="E200" s="142"/>
      <c r="F200" s="159"/>
      <c r="G200" s="159"/>
      <c r="H200" s="147"/>
      <c r="I200" s="145"/>
      <c r="J200" s="142"/>
      <c r="K200" s="159"/>
      <c r="L200" s="159"/>
      <c r="M200" s="147"/>
      <c r="N200" s="145"/>
      <c r="O200" s="142"/>
      <c r="P200" s="159"/>
      <c r="Q200" s="159"/>
      <c r="R200" s="147"/>
      <c r="S200" s="145"/>
      <c r="T200" s="142"/>
      <c r="U200" s="159"/>
      <c r="V200" s="159"/>
      <c r="W200" s="147"/>
      <c r="X200" s="145"/>
      <c r="Y200" s="142"/>
      <c r="Z200" s="159"/>
      <c r="AA200" s="159"/>
      <c r="AB200" s="147"/>
      <c r="AC200" s="145"/>
      <c r="AD200" s="142"/>
      <c r="AE200" s="159"/>
      <c r="AF200" s="159"/>
      <c r="AG200" s="147"/>
      <c r="AH200" s="145"/>
      <c r="AI200" s="142"/>
      <c r="AJ200" s="159"/>
      <c r="AK200" s="159"/>
      <c r="AL200" s="147"/>
      <c r="AM200" s="145"/>
      <c r="AN200" s="142"/>
      <c r="AO200" s="159"/>
      <c r="AP200" s="159"/>
      <c r="AQ200" s="147"/>
      <c r="AR200" s="145"/>
      <c r="AS200" s="142"/>
      <c r="AT200" s="159"/>
      <c r="AU200" s="159"/>
      <c r="AV200" s="147"/>
      <c r="AW200" s="145"/>
      <c r="AX200" s="148"/>
      <c r="AY200" s="163"/>
      <c r="AZ200" s="163"/>
      <c r="BA200" s="147"/>
      <c r="BB200" s="72"/>
      <c r="BC200" s="148"/>
      <c r="BD200" s="163"/>
      <c r="BE200" s="163"/>
      <c r="BF200" s="147"/>
      <c r="BG200" s="72"/>
      <c r="BH200" s="148"/>
      <c r="BI200" s="163"/>
      <c r="BJ200" s="163"/>
      <c r="BK200" s="147"/>
      <c r="BL200" s="72"/>
      <c r="BM200" s="148"/>
      <c r="BN200" s="163"/>
      <c r="BO200" s="163"/>
      <c r="BP200" s="147"/>
      <c r="BQ200" s="72"/>
      <c r="BR200" s="527"/>
      <c r="BS200" s="527"/>
      <c r="BT200" s="491"/>
      <c r="BU200" s="491"/>
      <c r="BV200" s="491"/>
    </row>
    <row r="201" spans="1:76">
      <c r="C201" s="50" t="s">
        <v>167</v>
      </c>
      <c r="D201" s="72"/>
      <c r="E201" s="142">
        <v>4040</v>
      </c>
      <c r="F201" s="143">
        <v>4160</v>
      </c>
      <c r="G201" s="143">
        <v>4407</v>
      </c>
      <c r="H201" s="144">
        <f>I201</f>
        <v>4451</v>
      </c>
      <c r="I201" s="145">
        <v>4451</v>
      </c>
      <c r="J201" s="142">
        <v>4597</v>
      </c>
      <c r="K201" s="143">
        <v>4533</v>
      </c>
      <c r="L201" s="143">
        <v>4887</v>
      </c>
      <c r="M201" s="144">
        <f>N201</f>
        <v>4842</v>
      </c>
      <c r="N201" s="145">
        <v>4842</v>
      </c>
      <c r="O201" s="142">
        <v>4973</v>
      </c>
      <c r="P201" s="143">
        <v>5103</v>
      </c>
      <c r="Q201" s="143">
        <v>5810</v>
      </c>
      <c r="R201" s="144">
        <f>S201</f>
        <v>5890</v>
      </c>
      <c r="S201" s="145">
        <v>5890</v>
      </c>
      <c r="T201" s="142">
        <v>6050</v>
      </c>
      <c r="U201" s="143">
        <v>6185</v>
      </c>
      <c r="V201" s="143">
        <v>6444</v>
      </c>
      <c r="W201" s="144">
        <f>X201</f>
        <v>6236</v>
      </c>
      <c r="X201" s="145">
        <v>6236</v>
      </c>
      <c r="Y201" s="142">
        <v>6370</v>
      </c>
      <c r="Z201" s="143">
        <v>6470</v>
      </c>
      <c r="AA201" s="143">
        <v>6664</v>
      </c>
      <c r="AB201" s="144">
        <f>AC201</f>
        <v>6766</v>
      </c>
      <c r="AC201" s="145">
        <v>6766</v>
      </c>
      <c r="AD201" s="142">
        <v>7076</v>
      </c>
      <c r="AE201" s="143">
        <v>7222</v>
      </c>
      <c r="AF201" s="143">
        <v>7470</v>
      </c>
      <c r="AG201" s="144">
        <f>AH201</f>
        <v>7406</v>
      </c>
      <c r="AH201" s="145">
        <v>7406</v>
      </c>
      <c r="AI201" s="142">
        <v>7776</v>
      </c>
      <c r="AJ201" s="143">
        <v>7945</v>
      </c>
      <c r="AK201" s="143">
        <v>8204</v>
      </c>
      <c r="AL201" s="144">
        <f>AM201</f>
        <v>8398.2999999999993</v>
      </c>
      <c r="AM201" s="145">
        <v>8398.2999999999993</v>
      </c>
      <c r="AN201" s="142">
        <v>8624.7999999999993</v>
      </c>
      <c r="AO201" s="143">
        <v>8851.4</v>
      </c>
      <c r="AP201" s="143">
        <v>7809.4</v>
      </c>
      <c r="AQ201" s="144">
        <f>AR201</f>
        <v>7892.4</v>
      </c>
      <c r="AR201" s="145">
        <v>7892.4</v>
      </c>
      <c r="AS201" s="142">
        <v>8194.2999999999993</v>
      </c>
      <c r="AT201" s="143">
        <v>8276.4</v>
      </c>
      <c r="AU201" s="143">
        <v>8532</v>
      </c>
      <c r="AV201" s="144">
        <f>AW201</f>
        <v>8626.7000000000007</v>
      </c>
      <c r="AW201" s="145">
        <v>8626.7000000000007</v>
      </c>
      <c r="AX201" s="148">
        <f>+AW201+AX46+AX149</f>
        <v>8800.1303522944199</v>
      </c>
      <c r="AY201" s="146">
        <f>+AX201+AY46+AY149</f>
        <v>8888.2919288855028</v>
      </c>
      <c r="AZ201" s="146">
        <f>+AY201+AZ46+AZ149</f>
        <v>9184.5385928778887</v>
      </c>
      <c r="BA201" s="147">
        <f>+AZ201+BA46+BA149</f>
        <v>9290.0089978862161</v>
      </c>
      <c r="BB201" s="72">
        <f>+BA201</f>
        <v>9290.0089978862161</v>
      </c>
      <c r="BC201" s="148">
        <f>+BB201+BC46+BC149</f>
        <v>9534.17264811717</v>
      </c>
      <c r="BD201" s="146">
        <f>+BC201+BD46+BD149</f>
        <v>9662.5861797358157</v>
      </c>
      <c r="BE201" s="146">
        <f>+BD201+BE46+BE149</f>
        <v>9943.3718084994834</v>
      </c>
      <c r="BF201" s="147">
        <f>+BE201+BF46+BF149</f>
        <v>10052.485048120534</v>
      </c>
      <c r="BG201" s="72">
        <f>+BF201</f>
        <v>10052.485048120534</v>
      </c>
      <c r="BH201" s="148">
        <f>+BG201+BH46+BH149</f>
        <v>10292.84134780694</v>
      </c>
      <c r="BI201" s="146">
        <f>+BH201+BI46+BI149</f>
        <v>10430.526144278605</v>
      </c>
      <c r="BJ201" s="146">
        <f>+BI201+BJ46+BJ149</f>
        <v>10767.022344046234</v>
      </c>
      <c r="BK201" s="147">
        <f>+BJ201+BK46+BK149</f>
        <v>10906.541634129571</v>
      </c>
      <c r="BL201" s="72">
        <f>+BK201</f>
        <v>10906.541634129571</v>
      </c>
      <c r="BM201" s="148">
        <f>+BL201+BM46+BM149</f>
        <v>11204.020374870164</v>
      </c>
      <c r="BN201" s="146">
        <f>+BM201+BN46+BN149</f>
        <v>11406.091218706892</v>
      </c>
      <c r="BO201" s="146">
        <f>+BN201+BO46+BO149</f>
        <v>11768.092804364554</v>
      </c>
      <c r="BP201" s="147">
        <f>+BO201+BP46+BP149</f>
        <v>11948.280702061182</v>
      </c>
      <c r="BQ201" s="72">
        <f>+BP201</f>
        <v>11948.280702061182</v>
      </c>
      <c r="BR201" s="527"/>
      <c r="BS201" s="527"/>
      <c r="BT201" s="491"/>
      <c r="BU201" s="491"/>
      <c r="BV201" s="491"/>
    </row>
    <row r="202" spans="1:76">
      <c r="C202" s="50" t="s">
        <v>168</v>
      </c>
      <c r="D202" s="72"/>
      <c r="E202" s="142">
        <v>4564</v>
      </c>
      <c r="F202" s="143">
        <v>5755</v>
      </c>
      <c r="G202" s="143">
        <v>5826</v>
      </c>
      <c r="H202" s="144">
        <f>I202</f>
        <v>5824</v>
      </c>
      <c r="I202" s="145">
        <v>5824</v>
      </c>
      <c r="J202" s="142">
        <v>5847</v>
      </c>
      <c r="K202" s="143">
        <v>5860</v>
      </c>
      <c r="L202" s="143">
        <v>5881</v>
      </c>
      <c r="M202" s="144">
        <f>N202</f>
        <v>5904</v>
      </c>
      <c r="N202" s="145">
        <v>5904</v>
      </c>
      <c r="O202" s="142">
        <v>5916</v>
      </c>
      <c r="P202" s="143">
        <v>5932</v>
      </c>
      <c r="Q202" s="143">
        <v>5952</v>
      </c>
      <c r="R202" s="144">
        <f>S202</f>
        <v>5970</v>
      </c>
      <c r="S202" s="145">
        <v>5970</v>
      </c>
      <c r="T202" s="142">
        <v>5998</v>
      </c>
      <c r="U202" s="143">
        <v>6013</v>
      </c>
      <c r="V202" s="143">
        <v>6030</v>
      </c>
      <c r="W202" s="144">
        <f>X202</f>
        <v>6049</v>
      </c>
      <c r="X202" s="145">
        <v>6049</v>
      </c>
      <c r="Y202" s="142">
        <v>6066</v>
      </c>
      <c r="Z202" s="143">
        <v>6084</v>
      </c>
      <c r="AA202" s="143">
        <v>6105</v>
      </c>
      <c r="AB202" s="144">
        <f>AC202</f>
        <v>6131</v>
      </c>
      <c r="AC202" s="145">
        <v>6131</v>
      </c>
      <c r="AD202" s="142">
        <f>6144</f>
        <v>6144</v>
      </c>
      <c r="AE202" s="143">
        <v>6155</v>
      </c>
      <c r="AF202" s="143">
        <v>6191</v>
      </c>
      <c r="AG202" s="144">
        <f>AH202</f>
        <v>6204</v>
      </c>
      <c r="AH202" s="145">
        <v>6204</v>
      </c>
      <c r="AI202" s="142">
        <v>6251</v>
      </c>
      <c r="AJ202" s="143">
        <v>6270</v>
      </c>
      <c r="AK202" s="143">
        <v>6282</v>
      </c>
      <c r="AL202" s="144">
        <f>AM202</f>
        <v>6296.5</v>
      </c>
      <c r="AM202" s="145">
        <v>6296.5</v>
      </c>
      <c r="AN202" s="142">
        <v>6310.2</v>
      </c>
      <c r="AO202" s="143">
        <v>6324.7</v>
      </c>
      <c r="AP202" s="143">
        <v>6330</v>
      </c>
      <c r="AQ202" s="144">
        <f>AR202</f>
        <v>6332.6</v>
      </c>
      <c r="AR202" s="145">
        <v>6332.6</v>
      </c>
      <c r="AS202" s="142">
        <v>6335.5</v>
      </c>
      <c r="AT202" s="143">
        <v>6381</v>
      </c>
      <c r="AU202" s="143">
        <v>6384.2</v>
      </c>
      <c r="AV202" s="144">
        <f>AW202</f>
        <v>6398.7</v>
      </c>
      <c r="AW202" s="145">
        <v>6398.7</v>
      </c>
      <c r="AX202" s="148">
        <f>+AW202+AX150</f>
        <v>6423.7</v>
      </c>
      <c r="AY202" s="146">
        <f>+AX202+AY150</f>
        <v>6448.7</v>
      </c>
      <c r="AZ202" s="146">
        <f>+AY202+AZ150</f>
        <v>6473.7</v>
      </c>
      <c r="BA202" s="147">
        <f>+AZ202+BA150</f>
        <v>6498.7</v>
      </c>
      <c r="BB202" s="72">
        <f>+BA202</f>
        <v>6498.7</v>
      </c>
      <c r="BC202" s="148">
        <f>+BB202+BC150</f>
        <v>6523.7</v>
      </c>
      <c r="BD202" s="146">
        <f>+BC202+BD150</f>
        <v>6548.7</v>
      </c>
      <c r="BE202" s="146">
        <f>+BD202+BE150</f>
        <v>6573.7</v>
      </c>
      <c r="BF202" s="147">
        <f>+BE202+BF150</f>
        <v>6598.7</v>
      </c>
      <c r="BG202" s="72">
        <f>+BF202</f>
        <v>6598.7</v>
      </c>
      <c r="BH202" s="148">
        <f>+BG202+BH150</f>
        <v>6723.7</v>
      </c>
      <c r="BI202" s="146">
        <f>+BH202+BI150</f>
        <v>6848.7</v>
      </c>
      <c r="BJ202" s="146">
        <f>+BI202+BJ150</f>
        <v>6973.7</v>
      </c>
      <c r="BK202" s="147">
        <f>+BJ202+BK150</f>
        <v>7098.7</v>
      </c>
      <c r="BL202" s="72">
        <f>+BK202</f>
        <v>7098.7</v>
      </c>
      <c r="BM202" s="148">
        <f>+BL202+BM150</f>
        <v>7279.95</v>
      </c>
      <c r="BN202" s="146">
        <f>+BM202+BN150</f>
        <v>7461.2</v>
      </c>
      <c r="BO202" s="146">
        <f>+BN202+BO150</f>
        <v>7642.45</v>
      </c>
      <c r="BP202" s="147">
        <f>+BO202+BP150</f>
        <v>7823.7</v>
      </c>
      <c r="BQ202" s="72">
        <f>+BP202</f>
        <v>7823.7</v>
      </c>
      <c r="BR202" s="527"/>
      <c r="BS202" s="527"/>
      <c r="BT202" s="491"/>
      <c r="BU202" s="491"/>
      <c r="BV202" s="491"/>
    </row>
    <row r="203" spans="1:76">
      <c r="C203" s="525" t="s">
        <v>924</v>
      </c>
      <c r="D203" s="72"/>
      <c r="E203" s="142">
        <f>2782-446+18</f>
        <v>2354</v>
      </c>
      <c r="F203" s="143">
        <f>3231-401+18</f>
        <v>2848</v>
      </c>
      <c r="G203" s="143">
        <f>3235-404</f>
        <v>2831</v>
      </c>
      <c r="H203" s="144">
        <f>I203</f>
        <v>2865</v>
      </c>
      <c r="I203" s="145">
        <f>3239-374</f>
        <v>2865</v>
      </c>
      <c r="J203" s="142">
        <f>3244-364</f>
        <v>2880</v>
      </c>
      <c r="K203" s="143">
        <f>3248-372+1</f>
        <v>2877</v>
      </c>
      <c r="L203" s="143">
        <f>3252-364</f>
        <v>2888</v>
      </c>
      <c r="M203" s="144">
        <f>N203</f>
        <v>2876</v>
      </c>
      <c r="N203" s="145">
        <f>3257-381</f>
        <v>2876</v>
      </c>
      <c r="O203" s="142">
        <f>3263-373</f>
        <v>2890</v>
      </c>
      <c r="P203" s="143">
        <f>3266-362</f>
        <v>2904</v>
      </c>
      <c r="Q203" s="143">
        <f>3271-380</f>
        <v>2891</v>
      </c>
      <c r="R203" s="144">
        <f>S203</f>
        <v>2804</v>
      </c>
      <c r="S203" s="145">
        <f>3274-470</f>
        <v>2804</v>
      </c>
      <c r="T203" s="142">
        <f>3280-472</f>
        <v>2808</v>
      </c>
      <c r="U203" s="143">
        <f>3284-475</f>
        <v>2809</v>
      </c>
      <c r="V203" s="143">
        <f>3286-454</f>
        <v>2832</v>
      </c>
      <c r="W203" s="144">
        <f>X203</f>
        <v>2952</v>
      </c>
      <c r="X203" s="145">
        <f>3289-337</f>
        <v>2952</v>
      </c>
      <c r="Y203" s="142">
        <f>3291-306</f>
        <v>2985</v>
      </c>
      <c r="Z203" s="143">
        <f>3296-313</f>
        <v>2983</v>
      </c>
      <c r="AA203" s="143">
        <f>3299-306</f>
        <v>2993</v>
      </c>
      <c r="AB203" s="144">
        <f>AC203</f>
        <v>3188</v>
      </c>
      <c r="AC203" s="145">
        <f>3303+-115</f>
        <v>3188</v>
      </c>
      <c r="AD203" s="142">
        <f>-109+3305</f>
        <v>3196</v>
      </c>
      <c r="AE203" s="143">
        <f>3308-104</f>
        <v>3204</v>
      </c>
      <c r="AF203" s="143">
        <f>3312-105</f>
        <v>3207</v>
      </c>
      <c r="AG203" s="144">
        <f>AH203</f>
        <v>3210</v>
      </c>
      <c r="AH203" s="145">
        <f>3313-103</f>
        <v>3210</v>
      </c>
      <c r="AI203" s="142">
        <f>3317-103</f>
        <v>3214</v>
      </c>
      <c r="AJ203" s="143">
        <f>3321-102</f>
        <v>3219</v>
      </c>
      <c r="AK203" s="143">
        <f>3322-109</f>
        <v>3213</v>
      </c>
      <c r="AL203" s="144">
        <f>AM203</f>
        <v>3196.9</v>
      </c>
      <c r="AM203" s="145">
        <f>3324-127.1</f>
        <v>3196.9</v>
      </c>
      <c r="AN203" s="142">
        <f>3325.3-133.8</f>
        <v>3191.5</v>
      </c>
      <c r="AO203" s="143">
        <f>3328-117.9</f>
        <v>3210.1</v>
      </c>
      <c r="AP203" s="143">
        <f>3328.3-145.8</f>
        <v>3182.5</v>
      </c>
      <c r="AQ203" s="144">
        <f>AR203</f>
        <v>3172</v>
      </c>
      <c r="AR203" s="145">
        <f>3328.3-156.3</f>
        <v>3172</v>
      </c>
      <c r="AS203" s="142">
        <f>3328.3-171+1.6</f>
        <v>3158.9</v>
      </c>
      <c r="AT203" s="143">
        <f>3328.3-161.6+5.5</f>
        <v>3172.2000000000003</v>
      </c>
      <c r="AU203" s="143">
        <f>3328.3-175.4+9.3</f>
        <v>3162.2000000000003</v>
      </c>
      <c r="AV203" s="144">
        <f>AW203</f>
        <v>3273.5</v>
      </c>
      <c r="AW203" s="145">
        <f>3329.4-67.8+11.9</f>
        <v>3273.5</v>
      </c>
      <c r="AX203" s="148">
        <f>+AW203</f>
        <v>3273.5</v>
      </c>
      <c r="AY203" s="146">
        <f>+AX203</f>
        <v>3273.5</v>
      </c>
      <c r="AZ203" s="146">
        <f>+AY203</f>
        <v>3273.5</v>
      </c>
      <c r="BA203" s="147">
        <f>+AZ203</f>
        <v>3273.5</v>
      </c>
      <c r="BB203" s="72">
        <f>+BA203</f>
        <v>3273.5</v>
      </c>
      <c r="BC203" s="148">
        <f>+BB203</f>
        <v>3273.5</v>
      </c>
      <c r="BD203" s="146">
        <f>+BC203</f>
        <v>3273.5</v>
      </c>
      <c r="BE203" s="146">
        <f>+BD203</f>
        <v>3273.5</v>
      </c>
      <c r="BF203" s="147">
        <f>+BE203</f>
        <v>3273.5</v>
      </c>
      <c r="BG203" s="72">
        <f>+BF203</f>
        <v>3273.5</v>
      </c>
      <c r="BH203" s="148">
        <f>+BG203</f>
        <v>3273.5</v>
      </c>
      <c r="BI203" s="146">
        <f>+BH203</f>
        <v>3273.5</v>
      </c>
      <c r="BJ203" s="146">
        <f>+BI203</f>
        <v>3273.5</v>
      </c>
      <c r="BK203" s="147">
        <f>+BJ203</f>
        <v>3273.5</v>
      </c>
      <c r="BL203" s="72">
        <f>+BK203</f>
        <v>3273.5</v>
      </c>
      <c r="BM203" s="148">
        <f>+BL203</f>
        <v>3273.5</v>
      </c>
      <c r="BN203" s="146">
        <f>+BM203</f>
        <v>3273.5</v>
      </c>
      <c r="BO203" s="146">
        <f>+BN203</f>
        <v>3273.5</v>
      </c>
      <c r="BP203" s="147">
        <f>+BO203</f>
        <v>3273.5</v>
      </c>
      <c r="BQ203" s="72">
        <f>+BP203</f>
        <v>3273.5</v>
      </c>
      <c r="BR203" s="527"/>
      <c r="BS203" s="527"/>
      <c r="BT203" s="491"/>
      <c r="BU203" s="491"/>
      <c r="BV203" s="491"/>
    </row>
    <row r="204" spans="1:76">
      <c r="C204" s="56" t="s">
        <v>178</v>
      </c>
      <c r="D204" s="72"/>
      <c r="E204" s="149">
        <f t="shared" ref="E204:Q204" si="363">SUM(E201:E203)</f>
        <v>10958</v>
      </c>
      <c r="F204" s="150">
        <f t="shared" si="363"/>
        <v>12763</v>
      </c>
      <c r="G204" s="150">
        <f t="shared" si="363"/>
        <v>13064</v>
      </c>
      <c r="H204" s="151">
        <f t="shared" si="363"/>
        <v>13140</v>
      </c>
      <c r="I204" s="112">
        <f t="shared" si="363"/>
        <v>13140</v>
      </c>
      <c r="J204" s="149">
        <f t="shared" si="363"/>
        <v>13324</v>
      </c>
      <c r="K204" s="150">
        <f t="shared" si="363"/>
        <v>13270</v>
      </c>
      <c r="L204" s="150">
        <f t="shared" si="363"/>
        <v>13656</v>
      </c>
      <c r="M204" s="151">
        <f t="shared" si="363"/>
        <v>13622</v>
      </c>
      <c r="N204" s="112">
        <f t="shared" si="363"/>
        <v>13622</v>
      </c>
      <c r="O204" s="149">
        <f t="shared" si="363"/>
        <v>13779</v>
      </c>
      <c r="P204" s="150">
        <f t="shared" si="363"/>
        <v>13939</v>
      </c>
      <c r="Q204" s="150">
        <f t="shared" si="363"/>
        <v>14653</v>
      </c>
      <c r="R204" s="151">
        <f t="shared" ref="R204:AA204" si="364">SUM(R201:R203)</f>
        <v>14664</v>
      </c>
      <c r="S204" s="112">
        <f t="shared" si="364"/>
        <v>14664</v>
      </c>
      <c r="T204" s="149">
        <f t="shared" si="364"/>
        <v>14856</v>
      </c>
      <c r="U204" s="150">
        <f t="shared" si="364"/>
        <v>15007</v>
      </c>
      <c r="V204" s="150">
        <f t="shared" si="364"/>
        <v>15306</v>
      </c>
      <c r="W204" s="151">
        <f t="shared" si="364"/>
        <v>15237</v>
      </c>
      <c r="X204" s="112">
        <f t="shared" si="364"/>
        <v>15237</v>
      </c>
      <c r="Y204" s="149">
        <f t="shared" si="364"/>
        <v>15421</v>
      </c>
      <c r="Z204" s="150">
        <f t="shared" si="364"/>
        <v>15537</v>
      </c>
      <c r="AA204" s="150">
        <f t="shared" si="364"/>
        <v>15762</v>
      </c>
      <c r="AB204" s="151">
        <f t="shared" ref="AB204:AH204" si="365">SUM(AB201:AB203)</f>
        <v>16085</v>
      </c>
      <c r="AC204" s="112">
        <f t="shared" si="365"/>
        <v>16085</v>
      </c>
      <c r="AD204" s="149">
        <f t="shared" si="365"/>
        <v>16416</v>
      </c>
      <c r="AE204" s="150">
        <f t="shared" si="365"/>
        <v>16581</v>
      </c>
      <c r="AF204" s="150">
        <f t="shared" si="365"/>
        <v>16868</v>
      </c>
      <c r="AG204" s="151">
        <f t="shared" si="365"/>
        <v>16820</v>
      </c>
      <c r="AH204" s="112">
        <f t="shared" si="365"/>
        <v>16820</v>
      </c>
      <c r="AI204" s="149">
        <f t="shared" ref="AI204:AN204" si="366">SUM(AI201:AI203)</f>
        <v>17241</v>
      </c>
      <c r="AJ204" s="150">
        <f t="shared" si="366"/>
        <v>17434</v>
      </c>
      <c r="AK204" s="150">
        <f t="shared" si="366"/>
        <v>17699</v>
      </c>
      <c r="AL204" s="151">
        <f t="shared" si="366"/>
        <v>17891.7</v>
      </c>
      <c r="AM204" s="112">
        <f t="shared" si="366"/>
        <v>17891.7</v>
      </c>
      <c r="AN204" s="149">
        <f t="shared" si="366"/>
        <v>18126.5</v>
      </c>
      <c r="AO204" s="150">
        <f>SUM(AO201:AO203)</f>
        <v>18386.199999999997</v>
      </c>
      <c r="AP204" s="150">
        <f t="shared" ref="AP204:AU204" si="367">SUM(AP201:AP203)</f>
        <v>17321.900000000001</v>
      </c>
      <c r="AQ204" s="151">
        <f t="shared" si="367"/>
        <v>17397</v>
      </c>
      <c r="AR204" s="112">
        <f t="shared" si="367"/>
        <v>17397</v>
      </c>
      <c r="AS204" s="149">
        <f t="shared" si="367"/>
        <v>17688.7</v>
      </c>
      <c r="AT204" s="150">
        <f t="shared" si="367"/>
        <v>17829.599999999999</v>
      </c>
      <c r="AU204" s="150">
        <f t="shared" si="367"/>
        <v>18078.400000000001</v>
      </c>
      <c r="AV204" s="151">
        <f t="shared" ref="AV204:AW204" si="368">SUM(AV201:AV203)</f>
        <v>18298.900000000001</v>
      </c>
      <c r="AW204" s="112">
        <f t="shared" si="368"/>
        <v>18298.900000000001</v>
      </c>
      <c r="AX204" s="149">
        <f t="shared" ref="AX204:BL204" si="369">SUM(AX201:AX203)</f>
        <v>18497.330352294419</v>
      </c>
      <c r="AY204" s="150">
        <f t="shared" si="369"/>
        <v>18610.491928885502</v>
      </c>
      <c r="AZ204" s="150">
        <f t="shared" si="369"/>
        <v>18931.738592877889</v>
      </c>
      <c r="BA204" s="151">
        <f t="shared" si="369"/>
        <v>19062.208997886217</v>
      </c>
      <c r="BB204" s="112">
        <f t="shared" si="369"/>
        <v>19062.208997886217</v>
      </c>
      <c r="BC204" s="149">
        <f t="shared" si="369"/>
        <v>19331.372648117169</v>
      </c>
      <c r="BD204" s="150">
        <f t="shared" si="369"/>
        <v>19484.786179735816</v>
      </c>
      <c r="BE204" s="150">
        <f t="shared" si="369"/>
        <v>19790.571808499484</v>
      </c>
      <c r="BF204" s="151">
        <f t="shared" si="369"/>
        <v>19924.685048120533</v>
      </c>
      <c r="BG204" s="112">
        <f t="shared" si="369"/>
        <v>19924.685048120533</v>
      </c>
      <c r="BH204" s="149">
        <f t="shared" si="369"/>
        <v>20290.041347806939</v>
      </c>
      <c r="BI204" s="150">
        <f t="shared" si="369"/>
        <v>20552.726144278604</v>
      </c>
      <c r="BJ204" s="150">
        <f t="shared" si="369"/>
        <v>21014.222344046233</v>
      </c>
      <c r="BK204" s="151">
        <f t="shared" si="369"/>
        <v>21278.741634129572</v>
      </c>
      <c r="BL204" s="112">
        <f t="shared" si="369"/>
        <v>21278.741634129572</v>
      </c>
      <c r="BM204" s="149">
        <f>SUM(BM201:BM203)</f>
        <v>21757.470374870165</v>
      </c>
      <c r="BN204" s="150">
        <f>SUM(BN201:BN203)</f>
        <v>22140.791218706891</v>
      </c>
      <c r="BO204" s="150">
        <f>SUM(BO201:BO203)</f>
        <v>22684.042804364555</v>
      </c>
      <c r="BP204" s="151">
        <f>SUM(BP201:BP203)</f>
        <v>23045.480702061181</v>
      </c>
      <c r="BQ204" s="112">
        <f>SUM(BQ201:BQ203)</f>
        <v>23045.480702061181</v>
      </c>
      <c r="BR204" s="527"/>
      <c r="BS204" s="527"/>
      <c r="BT204" s="491"/>
      <c r="BU204" s="491"/>
      <c r="BV204" s="491"/>
    </row>
    <row r="205" spans="1:76">
      <c r="C205" s="50"/>
      <c r="D205" s="72"/>
      <c r="E205" s="148"/>
      <c r="F205" s="163"/>
      <c r="G205" s="163"/>
      <c r="H205" s="147"/>
      <c r="I205" s="72"/>
      <c r="J205" s="148"/>
      <c r="K205" s="163"/>
      <c r="L205" s="163"/>
      <c r="M205" s="147"/>
      <c r="N205" s="72"/>
      <c r="O205" s="148"/>
      <c r="P205" s="163"/>
      <c r="Q205" s="163"/>
      <c r="R205" s="147"/>
      <c r="S205" s="72"/>
      <c r="T205" s="148"/>
      <c r="U205" s="163"/>
      <c r="V205" s="163"/>
      <c r="W205" s="147"/>
      <c r="X205" s="72"/>
      <c r="Y205" s="148"/>
      <c r="Z205" s="163"/>
      <c r="AA205" s="163"/>
      <c r="AB205" s="147"/>
      <c r="AC205" s="72"/>
      <c r="AD205" s="148"/>
      <c r="AE205" s="163"/>
      <c r="AF205" s="163"/>
      <c r="AG205" s="147"/>
      <c r="AH205" s="72"/>
      <c r="AI205" s="148"/>
      <c r="AJ205" s="163"/>
      <c r="AK205" s="163"/>
      <c r="AL205" s="147"/>
      <c r="AM205" s="72"/>
      <c r="AN205" s="148"/>
      <c r="AO205" s="163"/>
      <c r="AP205" s="163"/>
      <c r="AQ205" s="147"/>
      <c r="AR205" s="72"/>
      <c r="AS205" s="148"/>
      <c r="AT205" s="163"/>
      <c r="AU205" s="163"/>
      <c r="AV205" s="147"/>
      <c r="AW205" s="72"/>
      <c r="AX205" s="148"/>
      <c r="AY205" s="163"/>
      <c r="AZ205" s="163"/>
      <c r="BA205" s="147"/>
      <c r="BB205" s="72"/>
      <c r="BC205" s="148"/>
      <c r="BD205" s="163"/>
      <c r="BE205" s="163"/>
      <c r="BF205" s="147"/>
      <c r="BG205" s="72"/>
      <c r="BH205" s="148"/>
      <c r="BI205" s="163"/>
      <c r="BJ205" s="163"/>
      <c r="BK205" s="147"/>
      <c r="BL205" s="72"/>
      <c r="BM205" s="148"/>
      <c r="BN205" s="163"/>
      <c r="BO205" s="163"/>
      <c r="BP205" s="147"/>
      <c r="BQ205" s="72"/>
      <c r="BR205" s="527"/>
      <c r="BS205" s="527"/>
      <c r="BT205" s="491"/>
      <c r="BU205" s="491"/>
      <c r="BV205" s="491"/>
    </row>
    <row r="206" spans="1:76">
      <c r="C206" s="56" t="s">
        <v>179</v>
      </c>
      <c r="D206" s="72"/>
      <c r="E206" s="149">
        <f t="shared" ref="E206:Q206" si="370">+E204+E197+E195+E187+E199</f>
        <v>45865</v>
      </c>
      <c r="F206" s="150">
        <f t="shared" si="370"/>
        <v>46338</v>
      </c>
      <c r="G206" s="150">
        <f t="shared" si="370"/>
        <v>47193</v>
      </c>
      <c r="H206" s="151">
        <f t="shared" si="370"/>
        <v>48348</v>
      </c>
      <c r="I206" s="112">
        <f t="shared" si="370"/>
        <v>48348</v>
      </c>
      <c r="J206" s="149">
        <f t="shared" si="370"/>
        <v>49625</v>
      </c>
      <c r="K206" s="150">
        <f t="shared" si="370"/>
        <v>49937</v>
      </c>
      <c r="L206" s="150">
        <f t="shared" si="370"/>
        <v>49892</v>
      </c>
      <c r="M206" s="151">
        <f t="shared" si="370"/>
        <v>50455</v>
      </c>
      <c r="N206" s="112">
        <f t="shared" si="370"/>
        <v>50455</v>
      </c>
      <c r="O206" s="149">
        <f t="shared" si="370"/>
        <v>50560</v>
      </c>
      <c r="P206" s="150">
        <f t="shared" si="370"/>
        <v>50752</v>
      </c>
      <c r="Q206" s="150">
        <f t="shared" si="370"/>
        <v>51187</v>
      </c>
      <c r="R206" s="151">
        <f>+R204+R197+R195+R187+R199</f>
        <v>52223</v>
      </c>
      <c r="S206" s="112">
        <f>+S204+S197+S195+S187+S199</f>
        <v>52223</v>
      </c>
      <c r="T206" s="149">
        <f>+T204+T197+T195+T187+T199</f>
        <v>52902</v>
      </c>
      <c r="U206" s="150">
        <f>+U204+U197+U195+U187+U199</f>
        <v>53421</v>
      </c>
      <c r="V206" s="150">
        <f>+V204+V197+V195+V187+V199</f>
        <v>53843</v>
      </c>
      <c r="W206" s="151">
        <f t="shared" ref="W206:AC206" si="371">+W204+W197+W195+W187+W199</f>
        <v>54367</v>
      </c>
      <c r="X206" s="112">
        <f t="shared" si="371"/>
        <v>54367</v>
      </c>
      <c r="Y206" s="149">
        <f t="shared" si="371"/>
        <v>54550</v>
      </c>
      <c r="Z206" s="150">
        <f t="shared" si="371"/>
        <v>54979</v>
      </c>
      <c r="AA206" s="150">
        <f t="shared" si="371"/>
        <v>54963</v>
      </c>
      <c r="AB206" s="151">
        <f t="shared" si="371"/>
        <v>56414</v>
      </c>
      <c r="AC206" s="112">
        <f t="shared" si="371"/>
        <v>56414</v>
      </c>
      <c r="AD206" s="149">
        <f t="shared" ref="AD206:AK206" si="372">+AD204+AD197+AD195+AD187+AD199</f>
        <v>57038</v>
      </c>
      <c r="AE206" s="150">
        <f t="shared" si="372"/>
        <v>57620</v>
      </c>
      <c r="AF206" s="150">
        <f t="shared" si="372"/>
        <v>57925</v>
      </c>
      <c r="AG206" s="151">
        <f t="shared" si="372"/>
        <v>59633</v>
      </c>
      <c r="AH206" s="112">
        <f t="shared" si="372"/>
        <v>59633</v>
      </c>
      <c r="AI206" s="149">
        <f t="shared" si="372"/>
        <v>60038</v>
      </c>
      <c r="AJ206" s="150">
        <f t="shared" si="372"/>
        <v>60938</v>
      </c>
      <c r="AK206" s="150">
        <f t="shared" si="372"/>
        <v>61099</v>
      </c>
      <c r="AL206" s="151">
        <f>+AL204+AL197+AL195+AL187+AL199</f>
        <v>61683.100000000006</v>
      </c>
      <c r="AM206" s="112">
        <f>+AM204+AM197+AM195+AM187+AM199</f>
        <v>61683.100000000006</v>
      </c>
      <c r="AN206" s="149">
        <f>+AN204+AN197+AN195+AN187+AN199</f>
        <v>62486.499999999993</v>
      </c>
      <c r="AO206" s="150">
        <f>+AO204+AO197+AO195+AO187+AO199</f>
        <v>63317.1</v>
      </c>
      <c r="AP206" s="150">
        <f t="shared" ref="AP206:AU206" si="373">+AP204+AP197+AP195+AP187+AP199</f>
        <v>61442</v>
      </c>
      <c r="AQ206" s="151">
        <f>+AQ204+AQ197+AQ195+AQ187+AQ199</f>
        <v>63467.700000000004</v>
      </c>
      <c r="AR206" s="112">
        <f>+AR204+AR197+AR195+AR187+AR199</f>
        <v>63467.700000000004</v>
      </c>
      <c r="AS206" s="149">
        <f>+AS204+AS197+AS195+AS187+AS199</f>
        <v>61728.299999999996</v>
      </c>
      <c r="AT206" s="150">
        <f t="shared" si="373"/>
        <v>62739.100000000013</v>
      </c>
      <c r="AU206" s="150">
        <f t="shared" si="373"/>
        <v>63964.900000000009</v>
      </c>
      <c r="AV206" s="151">
        <f>+AV204+AV197+AV195+AV187+AV199</f>
        <v>64729.1</v>
      </c>
      <c r="AW206" s="112">
        <f>+AW204+AW197+AW195+AW187+AW199</f>
        <v>64729.1</v>
      </c>
      <c r="AX206" s="149">
        <f t="shared" ref="AX206:BL206" si="374">+AX204+AX197+AX195+AX187+AX199</f>
        <v>65549.160290949614</v>
      </c>
      <c r="AY206" s="150">
        <f t="shared" si="374"/>
        <v>66584.234366432662</v>
      </c>
      <c r="AZ206" s="150">
        <f t="shared" si="374"/>
        <v>67613.474478991207</v>
      </c>
      <c r="BA206" s="151">
        <f t="shared" si="374"/>
        <v>68633.589867703849</v>
      </c>
      <c r="BB206" s="112">
        <f t="shared" si="374"/>
        <v>68633.589867703849</v>
      </c>
      <c r="BC206" s="149">
        <f t="shared" si="374"/>
        <v>69763.04737149959</v>
      </c>
      <c r="BD206" s="150">
        <f t="shared" si="374"/>
        <v>70887.157344668682</v>
      </c>
      <c r="BE206" s="150">
        <f t="shared" si="374"/>
        <v>73589.994076477364</v>
      </c>
      <c r="BF206" s="151">
        <f t="shared" si="374"/>
        <v>73290.832405856898</v>
      </c>
      <c r="BG206" s="112">
        <f t="shared" si="374"/>
        <v>73290.832405856898</v>
      </c>
      <c r="BH206" s="149">
        <f t="shared" si="374"/>
        <v>74689.938705543304</v>
      </c>
      <c r="BI206" s="150">
        <f t="shared" si="374"/>
        <v>74888.663077343881</v>
      </c>
      <c r="BJ206" s="150">
        <f t="shared" si="374"/>
        <v>76267.291389994105</v>
      </c>
      <c r="BK206" s="151">
        <f t="shared" si="374"/>
        <v>76638.871465567412</v>
      </c>
      <c r="BL206" s="112">
        <f t="shared" si="374"/>
        <v>76638.871465567412</v>
      </c>
      <c r="BM206" s="149">
        <f>+BM204+BM197+BM195+BM187+BM199</f>
        <v>78819.036965274121</v>
      </c>
      <c r="BN206" s="150">
        <f>+BN204+BN197+BN195+BN187+BN199</f>
        <v>79531.044998857717</v>
      </c>
      <c r="BO206" s="150">
        <f>+BO204+BO197+BO195+BO187+BO199</f>
        <v>81353.341936104334</v>
      </c>
      <c r="BP206" s="151">
        <f>+BP204+BP197+BP195+BP187+BP199</f>
        <v>81146.585389356522</v>
      </c>
      <c r="BQ206" s="112">
        <f>+BQ204+BQ197+BQ195+BQ187+BQ199</f>
        <v>81146.585389356522</v>
      </c>
      <c r="BR206" s="491"/>
      <c r="BS206" s="491"/>
      <c r="BT206" s="491"/>
      <c r="BU206" s="491"/>
      <c r="BV206" s="491"/>
    </row>
    <row r="207" spans="1:76">
      <c r="D207" s="72"/>
      <c r="E207" s="148"/>
      <c r="F207" s="163"/>
      <c r="G207" s="163"/>
      <c r="H207" s="147"/>
      <c r="I207" s="72"/>
      <c r="J207" s="148"/>
      <c r="K207" s="163"/>
      <c r="L207" s="163"/>
      <c r="M207" s="147"/>
      <c r="N207" s="72"/>
      <c r="O207" s="148"/>
      <c r="P207" s="163"/>
      <c r="Q207" s="163"/>
      <c r="R207" s="147"/>
      <c r="S207" s="72"/>
      <c r="T207" s="148"/>
      <c r="U207" s="163"/>
      <c r="V207" s="163"/>
      <c r="W207" s="147"/>
      <c r="X207" s="72"/>
      <c r="Y207" s="148"/>
      <c r="Z207" s="163"/>
      <c r="AA207" s="163"/>
      <c r="AB207" s="147"/>
      <c r="AC207" s="72"/>
      <c r="AD207" s="148"/>
      <c r="AE207" s="163"/>
      <c r="AF207" s="163"/>
      <c r="AG207" s="147"/>
      <c r="AH207" s="72"/>
      <c r="AI207" s="148"/>
      <c r="AJ207" s="163"/>
      <c r="AK207" s="163"/>
      <c r="AL207" s="147"/>
      <c r="AM207" s="72"/>
      <c r="AN207" s="148"/>
      <c r="AO207" s="163"/>
      <c r="AP207" s="163"/>
      <c r="AQ207" s="147"/>
      <c r="AR207" s="72"/>
      <c r="AS207" s="148"/>
      <c r="AT207" s="163"/>
      <c r="AU207" s="163"/>
      <c r="AV207" s="147"/>
      <c r="AW207" s="72"/>
      <c r="AX207" s="148"/>
      <c r="AY207" s="163"/>
      <c r="AZ207" s="163"/>
      <c r="BA207" s="147"/>
      <c r="BB207" s="72"/>
      <c r="BC207" s="148"/>
      <c r="BD207" s="163"/>
      <c r="BE207" s="163"/>
      <c r="BF207" s="147"/>
      <c r="BG207" s="72"/>
      <c r="BH207" s="148"/>
      <c r="BI207" s="163"/>
      <c r="BJ207" s="163"/>
      <c r="BK207" s="147"/>
      <c r="BL207" s="72"/>
      <c r="BM207" s="148"/>
      <c r="BN207" s="163"/>
      <c r="BO207" s="163"/>
      <c r="BP207" s="147"/>
      <c r="BQ207" s="72"/>
      <c r="BR207" s="491"/>
      <c r="BS207" s="491"/>
      <c r="BT207" s="491"/>
      <c r="BU207" s="491"/>
      <c r="BV207" s="491"/>
    </row>
    <row r="208" spans="1:76">
      <c r="C208" s="491" t="s">
        <v>180</v>
      </c>
      <c r="D208" s="72"/>
      <c r="E208" s="148">
        <f t="shared" ref="E208:Q208" si="375">E181-E206</f>
        <v>0</v>
      </c>
      <c r="F208" s="146">
        <f t="shared" si="375"/>
        <v>0</v>
      </c>
      <c r="G208" s="146">
        <f t="shared" si="375"/>
        <v>0</v>
      </c>
      <c r="H208" s="147">
        <f t="shared" si="375"/>
        <v>0</v>
      </c>
      <c r="I208" s="72">
        <f t="shared" si="375"/>
        <v>0</v>
      </c>
      <c r="J208" s="148">
        <f t="shared" si="375"/>
        <v>0</v>
      </c>
      <c r="K208" s="146">
        <f t="shared" si="375"/>
        <v>0</v>
      </c>
      <c r="L208" s="146">
        <f t="shared" si="375"/>
        <v>0</v>
      </c>
      <c r="M208" s="147">
        <f t="shared" si="375"/>
        <v>0</v>
      </c>
      <c r="N208" s="72">
        <f t="shared" si="375"/>
        <v>0</v>
      </c>
      <c r="O208" s="148">
        <f t="shared" si="375"/>
        <v>0</v>
      </c>
      <c r="P208" s="146">
        <f t="shared" si="375"/>
        <v>0</v>
      </c>
      <c r="Q208" s="146">
        <f t="shared" si="375"/>
        <v>0</v>
      </c>
      <c r="R208" s="147">
        <f>R181-R206</f>
        <v>0</v>
      </c>
      <c r="S208" s="72">
        <f>S181-S206</f>
        <v>0</v>
      </c>
      <c r="T208" s="148">
        <f t="shared" ref="T208:AH208" si="376">T181-T206</f>
        <v>0</v>
      </c>
      <c r="U208" s="146">
        <f t="shared" si="376"/>
        <v>0</v>
      </c>
      <c r="V208" s="146">
        <f t="shared" si="376"/>
        <v>0</v>
      </c>
      <c r="W208" s="147">
        <f>W181-W206</f>
        <v>0</v>
      </c>
      <c r="X208" s="72">
        <f>X181-X206</f>
        <v>0</v>
      </c>
      <c r="Y208" s="148">
        <f t="shared" si="376"/>
        <v>0</v>
      </c>
      <c r="Z208" s="146">
        <f t="shared" si="376"/>
        <v>0</v>
      </c>
      <c r="AA208" s="146">
        <f t="shared" si="376"/>
        <v>0</v>
      </c>
      <c r="AB208" s="147">
        <f>AB181-AB206</f>
        <v>0</v>
      </c>
      <c r="AC208" s="72">
        <f>AC181-AC206</f>
        <v>0</v>
      </c>
      <c r="AD208" s="148">
        <f>AD181-AD206</f>
        <v>0</v>
      </c>
      <c r="AE208" s="146">
        <f>AE181-AE206</f>
        <v>0</v>
      </c>
      <c r="AF208" s="146">
        <f>AF181-AF206</f>
        <v>0</v>
      </c>
      <c r="AG208" s="147">
        <f t="shared" si="376"/>
        <v>0</v>
      </c>
      <c r="AH208" s="72">
        <f t="shared" si="376"/>
        <v>0</v>
      </c>
      <c r="AI208" s="148">
        <f t="shared" ref="AI208:AN208" si="377">AI181-AI206</f>
        <v>0</v>
      </c>
      <c r="AJ208" s="146">
        <f t="shared" si="377"/>
        <v>0</v>
      </c>
      <c r="AK208" s="146">
        <f t="shared" si="377"/>
        <v>0</v>
      </c>
      <c r="AL208" s="147">
        <f t="shared" si="377"/>
        <v>0</v>
      </c>
      <c r="AM208" s="72">
        <f t="shared" si="377"/>
        <v>0</v>
      </c>
      <c r="AN208" s="148">
        <f t="shared" si="377"/>
        <v>0</v>
      </c>
      <c r="AO208" s="146">
        <f>AO181-AO206</f>
        <v>0</v>
      </c>
      <c r="AP208" s="146">
        <f t="shared" ref="AP208:AU208" si="378">AP181-AP206</f>
        <v>0</v>
      </c>
      <c r="AQ208" s="147">
        <f t="shared" si="378"/>
        <v>0</v>
      </c>
      <c r="AR208" s="72">
        <f t="shared" si="378"/>
        <v>0</v>
      </c>
      <c r="AS208" s="148">
        <f t="shared" si="378"/>
        <v>0</v>
      </c>
      <c r="AT208" s="146">
        <f t="shared" si="378"/>
        <v>0</v>
      </c>
      <c r="AU208" s="146">
        <f t="shared" si="378"/>
        <v>0</v>
      </c>
      <c r="AV208" s="147">
        <f t="shared" ref="AV208:AW208" si="379">AV181-AV206</f>
        <v>0</v>
      </c>
      <c r="AW208" s="72">
        <f t="shared" si="379"/>
        <v>0</v>
      </c>
      <c r="AX208" s="148">
        <f t="shared" ref="AX208:BL208" si="380">AX181-AX206</f>
        <v>0</v>
      </c>
      <c r="AY208" s="146">
        <f t="shared" si="380"/>
        <v>0</v>
      </c>
      <c r="AZ208" s="146">
        <f t="shared" si="380"/>
        <v>0</v>
      </c>
      <c r="BA208" s="147">
        <f t="shared" si="380"/>
        <v>0</v>
      </c>
      <c r="BB208" s="72">
        <f t="shared" si="380"/>
        <v>0</v>
      </c>
      <c r="BC208" s="148">
        <f t="shared" si="380"/>
        <v>0</v>
      </c>
      <c r="BD208" s="146">
        <f t="shared" si="380"/>
        <v>0</v>
      </c>
      <c r="BE208" s="146">
        <f t="shared" si="380"/>
        <v>0</v>
      </c>
      <c r="BF208" s="147">
        <f t="shared" si="380"/>
        <v>0</v>
      </c>
      <c r="BG208" s="72">
        <f t="shared" si="380"/>
        <v>0</v>
      </c>
      <c r="BH208" s="148">
        <f t="shared" si="380"/>
        <v>0</v>
      </c>
      <c r="BI208" s="146">
        <f t="shared" si="380"/>
        <v>0</v>
      </c>
      <c r="BJ208" s="146">
        <f t="shared" si="380"/>
        <v>0</v>
      </c>
      <c r="BK208" s="147">
        <f t="shared" si="380"/>
        <v>0</v>
      </c>
      <c r="BL208" s="72">
        <f t="shared" si="380"/>
        <v>0</v>
      </c>
      <c r="BM208" s="148">
        <f>BM181-BM206</f>
        <v>0</v>
      </c>
      <c r="BN208" s="146">
        <f>BN181-BN206</f>
        <v>0</v>
      </c>
      <c r="BO208" s="146">
        <f>BO181-BO206</f>
        <v>0</v>
      </c>
      <c r="BP208" s="147">
        <f>BP181-BP206</f>
        <v>0</v>
      </c>
      <c r="BQ208" s="72">
        <f>BQ181-BQ206</f>
        <v>0</v>
      </c>
      <c r="BR208" s="491"/>
      <c r="BS208" s="491"/>
      <c r="BT208" s="491"/>
      <c r="BU208" s="491"/>
      <c r="BV208" s="491"/>
    </row>
    <row r="209" spans="1:74">
      <c r="C209" s="56"/>
      <c r="E209" s="259"/>
      <c r="F209" s="260"/>
      <c r="G209" s="189"/>
      <c r="H209" s="190"/>
      <c r="J209" s="188"/>
      <c r="K209" s="189"/>
      <c r="L209" s="189"/>
      <c r="M209" s="190"/>
      <c r="O209" s="188"/>
      <c r="P209" s="136"/>
      <c r="Q209" s="136"/>
      <c r="R209" s="137"/>
      <c r="T209" s="135"/>
      <c r="U209" s="136"/>
      <c r="V209" s="136"/>
      <c r="W209" s="137"/>
      <c r="Y209" s="135"/>
      <c r="Z209" s="136"/>
      <c r="AA209" s="136"/>
      <c r="AB209" s="137"/>
      <c r="AD209" s="135"/>
      <c r="AE209" s="136"/>
      <c r="AF209" s="136"/>
      <c r="AG209" s="137"/>
      <c r="AI209" s="135"/>
      <c r="AJ209" s="136"/>
      <c r="AK209" s="136"/>
      <c r="AL209" s="137"/>
      <c r="AN209" s="135"/>
      <c r="AO209" s="136"/>
      <c r="AP209" s="136"/>
      <c r="AQ209" s="137"/>
      <c r="AS209" s="135"/>
      <c r="AT209" s="136"/>
      <c r="AU209" s="136"/>
      <c r="AV209" s="137"/>
      <c r="AX209" s="135"/>
      <c r="AY209" s="136"/>
      <c r="AZ209" s="136"/>
      <c r="BA209" s="137"/>
      <c r="BC209" s="135"/>
      <c r="BD209" s="136"/>
      <c r="BE209" s="136"/>
      <c r="BF209" s="137"/>
      <c r="BH209" s="135"/>
      <c r="BI209" s="136"/>
      <c r="BJ209" s="136"/>
      <c r="BK209" s="137"/>
      <c r="BM209" s="135"/>
      <c r="BN209" s="136"/>
      <c r="BO209" s="136"/>
      <c r="BP209" s="137"/>
      <c r="BR209" s="491"/>
      <c r="BS209" s="491"/>
      <c r="BT209" s="491"/>
      <c r="BU209" s="491"/>
      <c r="BV209" s="491"/>
    </row>
    <row r="210" spans="1:74">
      <c r="C210" s="56"/>
      <c r="E210" s="259"/>
      <c r="F210" s="260"/>
      <c r="G210" s="189"/>
      <c r="H210" s="190"/>
      <c r="J210" s="188"/>
      <c r="K210" s="189"/>
      <c r="L210" s="189"/>
      <c r="M210" s="190"/>
      <c r="O210" s="188"/>
      <c r="P210" s="136"/>
      <c r="Q210" s="136"/>
      <c r="R210" s="137"/>
      <c r="T210" s="135"/>
      <c r="U210" s="136"/>
      <c r="V210" s="136"/>
      <c r="W210" s="137"/>
      <c r="Y210" s="135"/>
      <c r="Z210" s="136"/>
      <c r="AA210" s="136"/>
      <c r="AB210" s="137"/>
      <c r="AD210" s="135"/>
      <c r="AE210" s="136"/>
      <c r="AF210" s="136"/>
      <c r="AG210" s="137"/>
      <c r="AI210" s="135"/>
      <c r="AJ210" s="136"/>
      <c r="AK210" s="136"/>
      <c r="AL210" s="137"/>
      <c r="AN210" s="135"/>
      <c r="AO210" s="136"/>
      <c r="AP210" s="136"/>
      <c r="AQ210" s="137"/>
      <c r="AS210" s="135"/>
      <c r="AT210" s="136"/>
      <c r="AU210" s="136"/>
      <c r="AV210" s="137"/>
      <c r="AX210" s="135"/>
      <c r="AY210" s="136"/>
      <c r="AZ210" s="136"/>
      <c r="BA210" s="137"/>
      <c r="BC210" s="135"/>
      <c r="BD210" s="136"/>
      <c r="BE210" s="136"/>
      <c r="BF210" s="137"/>
      <c r="BH210" s="135"/>
      <c r="BI210" s="136"/>
      <c r="BJ210" s="136"/>
      <c r="BK210" s="137"/>
      <c r="BM210" s="135"/>
      <c r="BN210" s="136"/>
      <c r="BO210" s="136"/>
      <c r="BP210" s="137"/>
      <c r="BR210" s="491"/>
      <c r="BS210" s="491"/>
      <c r="BT210" s="491"/>
      <c r="BU210" s="491"/>
      <c r="BV210" s="491"/>
    </row>
    <row r="211" spans="1:74">
      <c r="A211" s="50"/>
      <c r="B211" s="46" t="s">
        <v>181</v>
      </c>
      <c r="C211" s="46"/>
      <c r="D211" s="47"/>
      <c r="E211" s="225"/>
      <c r="F211" s="226"/>
      <c r="G211" s="226"/>
      <c r="H211" s="227"/>
      <c r="I211" s="228"/>
      <c r="J211" s="225"/>
      <c r="K211" s="226"/>
      <c r="L211" s="226"/>
      <c r="M211" s="227"/>
      <c r="N211" s="228"/>
      <c r="O211" s="225"/>
      <c r="P211" s="226"/>
      <c r="Q211" s="226"/>
      <c r="R211" s="227"/>
      <c r="S211" s="228"/>
      <c r="T211" s="225"/>
      <c r="U211" s="226"/>
      <c r="V211" s="226"/>
      <c r="W211" s="227"/>
      <c r="X211" s="228"/>
      <c r="Y211" s="225"/>
      <c r="Z211" s="226"/>
      <c r="AA211" s="226"/>
      <c r="AB211" s="227"/>
      <c r="AC211" s="228"/>
      <c r="AD211" s="225"/>
      <c r="AE211" s="226"/>
      <c r="AF211" s="226"/>
      <c r="AG211" s="227"/>
      <c r="AH211" s="228"/>
      <c r="AI211" s="225"/>
      <c r="AJ211" s="226"/>
      <c r="AK211" s="226"/>
      <c r="AL211" s="227"/>
      <c r="AM211" s="228"/>
      <c r="AN211" s="225"/>
      <c r="AO211" s="226"/>
      <c r="AP211" s="226"/>
      <c r="AQ211" s="227"/>
      <c r="AR211" s="228"/>
      <c r="AS211" s="225"/>
      <c r="AT211" s="226"/>
      <c r="AU211" s="226"/>
      <c r="AV211" s="227"/>
      <c r="AW211" s="228"/>
      <c r="AX211" s="225"/>
      <c r="AY211" s="226"/>
      <c r="AZ211" s="226"/>
      <c r="BA211" s="227"/>
      <c r="BB211" s="228"/>
      <c r="BC211" s="225"/>
      <c r="BD211" s="226"/>
      <c r="BE211" s="226"/>
      <c r="BF211" s="227"/>
      <c r="BG211" s="228"/>
      <c r="BH211" s="225"/>
      <c r="BI211" s="226"/>
      <c r="BJ211" s="226"/>
      <c r="BK211" s="227"/>
      <c r="BL211" s="228"/>
      <c r="BM211" s="225"/>
      <c r="BN211" s="226"/>
      <c r="BO211" s="226"/>
      <c r="BP211" s="227"/>
      <c r="BQ211" s="228"/>
      <c r="BR211" s="491"/>
      <c r="BS211" s="491"/>
      <c r="BT211" s="491"/>
      <c r="BU211" s="491"/>
      <c r="BV211" s="491"/>
    </row>
    <row r="212" spans="1:74">
      <c r="A212" s="50"/>
      <c r="B212" s="50"/>
      <c r="C212" s="100" t="s">
        <v>182</v>
      </c>
      <c r="D212" s="50"/>
      <c r="E212" s="161">
        <f t="shared" ref="E212:P212" si="381">+E164</f>
        <v>710</v>
      </c>
      <c r="F212" s="160">
        <f t="shared" si="381"/>
        <v>358</v>
      </c>
      <c r="G212" s="160">
        <f t="shared" si="381"/>
        <v>877</v>
      </c>
      <c r="H212" s="144">
        <f t="shared" si="381"/>
        <v>490</v>
      </c>
      <c r="I212" s="109">
        <f t="shared" si="381"/>
        <v>490</v>
      </c>
      <c r="J212" s="161">
        <f t="shared" si="381"/>
        <v>818</v>
      </c>
      <c r="K212" s="160">
        <f t="shared" si="381"/>
        <v>838</v>
      </c>
      <c r="L212" s="160">
        <f t="shared" si="381"/>
        <v>1090</v>
      </c>
      <c r="M212" s="144">
        <f t="shared" si="381"/>
        <v>294</v>
      </c>
      <c r="N212" s="109">
        <f t="shared" si="381"/>
        <v>294</v>
      </c>
      <c r="O212" s="161">
        <f t="shared" si="381"/>
        <v>625</v>
      </c>
      <c r="P212" s="160">
        <f t="shared" si="381"/>
        <v>417</v>
      </c>
      <c r="Q212" s="160">
        <f t="shared" ref="Q212:V212" si="382">+Q164</f>
        <v>546</v>
      </c>
      <c r="R212" s="144">
        <f t="shared" si="382"/>
        <v>221</v>
      </c>
      <c r="S212" s="109">
        <f t="shared" si="382"/>
        <v>221</v>
      </c>
      <c r="T212" s="161">
        <f t="shared" si="382"/>
        <v>286</v>
      </c>
      <c r="U212" s="160">
        <f t="shared" si="382"/>
        <v>297</v>
      </c>
      <c r="V212" s="160">
        <f t="shared" si="382"/>
        <v>443</v>
      </c>
      <c r="W212" s="144">
        <f t="shared" ref="W212:AB212" si="383">+W164</f>
        <v>279</v>
      </c>
      <c r="X212" s="109">
        <f t="shared" si="383"/>
        <v>279</v>
      </c>
      <c r="Y212" s="161">
        <f t="shared" si="383"/>
        <v>179</v>
      </c>
      <c r="Z212" s="160">
        <f t="shared" si="383"/>
        <v>117</v>
      </c>
      <c r="AA212" s="160">
        <f t="shared" si="383"/>
        <v>147</v>
      </c>
      <c r="AB212" s="144">
        <f t="shared" si="383"/>
        <v>118</v>
      </c>
      <c r="AC212" s="109">
        <f t="shared" ref="AC212:AH212" si="384">+AC164</f>
        <v>118</v>
      </c>
      <c r="AD212" s="161">
        <f t="shared" si="384"/>
        <v>292</v>
      </c>
      <c r="AE212" s="160">
        <f t="shared" si="384"/>
        <v>190</v>
      </c>
      <c r="AF212" s="160">
        <f t="shared" si="384"/>
        <v>194</v>
      </c>
      <c r="AG212" s="144">
        <f t="shared" si="384"/>
        <v>163</v>
      </c>
      <c r="AH212" s="109">
        <f t="shared" si="384"/>
        <v>163</v>
      </c>
      <c r="AI212" s="161">
        <f t="shared" ref="AI212:AN212" si="385">+AI164</f>
        <v>190</v>
      </c>
      <c r="AJ212" s="160">
        <f t="shared" si="385"/>
        <v>195</v>
      </c>
      <c r="AK212" s="160">
        <f t="shared" si="385"/>
        <v>178</v>
      </c>
      <c r="AL212" s="144">
        <f t="shared" si="385"/>
        <v>176.4</v>
      </c>
      <c r="AM212" s="109">
        <f t="shared" si="385"/>
        <v>176.4</v>
      </c>
      <c r="AN212" s="161">
        <f t="shared" si="385"/>
        <v>190.4</v>
      </c>
      <c r="AO212" s="160">
        <f>+AO164</f>
        <v>246.8</v>
      </c>
      <c r="AP212" s="160">
        <f>+AP164</f>
        <v>212.2</v>
      </c>
      <c r="AQ212" s="144">
        <f>+AQ164</f>
        <v>210.5</v>
      </c>
      <c r="AR212" s="109">
        <f>+AR164</f>
        <v>210.5</v>
      </c>
      <c r="AS212" s="161">
        <f>+AS164</f>
        <v>175</v>
      </c>
      <c r="AT212" s="160">
        <f>+AT159</f>
        <v>172.40000000000163</v>
      </c>
      <c r="AU212" s="160">
        <f>+AU164</f>
        <v>343.9</v>
      </c>
      <c r="AV212" s="144">
        <f>+AV164</f>
        <v>214.6</v>
      </c>
      <c r="AW212" s="109">
        <f>+AW164</f>
        <v>214.6</v>
      </c>
      <c r="AX212" s="161">
        <f t="shared" ref="AX212:BL212" si="386">+AX159</f>
        <v>0</v>
      </c>
      <c r="AY212" s="160">
        <f t="shared" si="386"/>
        <v>0</v>
      </c>
      <c r="AZ212" s="160">
        <f t="shared" si="386"/>
        <v>0</v>
      </c>
      <c r="BA212" s="144">
        <f t="shared" si="386"/>
        <v>0</v>
      </c>
      <c r="BB212" s="109">
        <f t="shared" si="386"/>
        <v>-1.1368683772161603E-13</v>
      </c>
      <c r="BC212" s="161">
        <f t="shared" si="386"/>
        <v>0</v>
      </c>
      <c r="BD212" s="160">
        <f t="shared" si="386"/>
        <v>0</v>
      </c>
      <c r="BE212" s="160">
        <f t="shared" si="386"/>
        <v>1585.0261281772905</v>
      </c>
      <c r="BF212" s="144">
        <f t="shared" si="386"/>
        <v>177.64615333280972</v>
      </c>
      <c r="BG212" s="109">
        <f t="shared" si="386"/>
        <v>177.64615333281051</v>
      </c>
      <c r="BH212" s="161">
        <f t="shared" si="386"/>
        <v>683.74371665474303</v>
      </c>
      <c r="BI212" s="160">
        <f t="shared" si="386"/>
        <v>0</v>
      </c>
      <c r="BJ212" s="160">
        <f t="shared" si="386"/>
        <v>499.96199973560681</v>
      </c>
      <c r="BK212" s="144">
        <f t="shared" si="386"/>
        <v>0</v>
      </c>
      <c r="BL212" s="109">
        <f t="shared" si="386"/>
        <v>9.0949470177292824E-13</v>
      </c>
      <c r="BM212" s="161">
        <f>+BM159</f>
        <v>0</v>
      </c>
      <c r="BN212" s="160">
        <f>+BN159</f>
        <v>0</v>
      </c>
      <c r="BO212" s="160">
        <f>+BO159</f>
        <v>1112.202933604643</v>
      </c>
      <c r="BP212" s="144">
        <f>+BP159</f>
        <v>200.61027681223322</v>
      </c>
      <c r="BQ212" s="109">
        <f>+BQ159</f>
        <v>200.61027681223368</v>
      </c>
      <c r="BR212" s="491"/>
      <c r="BS212" s="491"/>
      <c r="BT212" s="491"/>
      <c r="BU212" s="491"/>
      <c r="BV212" s="491"/>
    </row>
    <row r="213" spans="1:74">
      <c r="A213" s="50"/>
      <c r="B213" s="50"/>
      <c r="C213" s="262"/>
      <c r="D213" s="50"/>
      <c r="E213" s="263"/>
      <c r="F213" s="264"/>
      <c r="G213" s="264"/>
      <c r="H213" s="265"/>
      <c r="I213" s="266"/>
      <c r="J213" s="263"/>
      <c r="K213" s="264"/>
      <c r="L213" s="264"/>
      <c r="M213" s="265"/>
      <c r="N213" s="266"/>
      <c r="O213" s="161"/>
      <c r="P213" s="162"/>
      <c r="Q213" s="264"/>
      <c r="R213" s="265"/>
      <c r="S213" s="266"/>
      <c r="T213" s="161"/>
      <c r="U213" s="162"/>
      <c r="V213" s="162"/>
      <c r="W213" s="265"/>
      <c r="X213" s="266"/>
      <c r="Y213" s="161"/>
      <c r="Z213" s="162"/>
      <c r="AA213" s="162"/>
      <c r="AB213" s="144"/>
      <c r="AC213" s="266"/>
      <c r="AD213" s="161"/>
      <c r="AE213" s="162"/>
      <c r="AF213" s="162"/>
      <c r="AG213" s="144"/>
      <c r="AH213" s="266"/>
      <c r="AI213" s="161"/>
      <c r="AJ213" s="162"/>
      <c r="AK213" s="162"/>
      <c r="AL213" s="144"/>
      <c r="AM213" s="266"/>
      <c r="AN213" s="161"/>
      <c r="AO213" s="162"/>
      <c r="AP213" s="162"/>
      <c r="AQ213" s="144"/>
      <c r="AR213" s="266"/>
      <c r="AS213" s="161"/>
      <c r="AT213" s="162"/>
      <c r="AU213" s="162"/>
      <c r="AV213" s="144"/>
      <c r="AW213" s="266"/>
      <c r="AX213" s="161"/>
      <c r="AY213" s="162"/>
      <c r="AZ213" s="162"/>
      <c r="BA213" s="144"/>
      <c r="BB213" s="228"/>
      <c r="BC213" s="161"/>
      <c r="BD213" s="162"/>
      <c r="BE213" s="162"/>
      <c r="BF213" s="144"/>
      <c r="BG213" s="228"/>
      <c r="BH213" s="161"/>
      <c r="BI213" s="162"/>
      <c r="BJ213" s="162"/>
      <c r="BK213" s="144"/>
      <c r="BL213" s="228"/>
      <c r="BM213" s="161"/>
      <c r="BN213" s="162"/>
      <c r="BO213" s="162"/>
      <c r="BP213" s="144"/>
      <c r="BQ213" s="228"/>
      <c r="BR213" s="491"/>
      <c r="BS213" s="491"/>
      <c r="BT213" s="491"/>
      <c r="BU213" s="491"/>
      <c r="BV213" s="491"/>
    </row>
    <row r="214" spans="1:74">
      <c r="A214" s="50"/>
      <c r="B214" s="50"/>
      <c r="C214" s="100" t="s">
        <v>183</v>
      </c>
      <c r="D214" s="50"/>
      <c r="E214" s="161">
        <f t="shared" ref="E214:P214" si="387">+E183</f>
        <v>1976</v>
      </c>
      <c r="F214" s="160">
        <f t="shared" si="387"/>
        <v>562</v>
      </c>
      <c r="G214" s="160">
        <f t="shared" si="387"/>
        <v>352</v>
      </c>
      <c r="H214" s="144">
        <f t="shared" si="387"/>
        <v>126</v>
      </c>
      <c r="I214" s="109">
        <f t="shared" si="387"/>
        <v>126</v>
      </c>
      <c r="J214" s="161">
        <f t="shared" si="387"/>
        <v>1063</v>
      </c>
      <c r="K214" s="160">
        <f t="shared" si="387"/>
        <v>1473</v>
      </c>
      <c r="L214" s="160">
        <f t="shared" si="387"/>
        <v>1466</v>
      </c>
      <c r="M214" s="144">
        <f t="shared" si="387"/>
        <v>1346</v>
      </c>
      <c r="N214" s="109">
        <f t="shared" si="387"/>
        <v>1346</v>
      </c>
      <c r="O214" s="161">
        <f t="shared" si="387"/>
        <v>1433</v>
      </c>
      <c r="P214" s="160">
        <f t="shared" si="387"/>
        <v>1639</v>
      </c>
      <c r="Q214" s="160">
        <f t="shared" ref="Q214:V214" si="388">+Q183</f>
        <v>1279</v>
      </c>
      <c r="R214" s="144">
        <f t="shared" si="388"/>
        <v>1650</v>
      </c>
      <c r="S214" s="109">
        <f t="shared" si="388"/>
        <v>1650</v>
      </c>
      <c r="T214" s="161">
        <f t="shared" si="388"/>
        <v>1050</v>
      </c>
      <c r="U214" s="160">
        <f t="shared" si="388"/>
        <v>1208</v>
      </c>
      <c r="V214" s="160">
        <f t="shared" si="388"/>
        <v>1216</v>
      </c>
      <c r="W214" s="144">
        <f t="shared" ref="W214:AB214" si="389">+W183</f>
        <v>981</v>
      </c>
      <c r="X214" s="109">
        <f t="shared" si="389"/>
        <v>981</v>
      </c>
      <c r="Y214" s="161">
        <f t="shared" si="389"/>
        <v>1307</v>
      </c>
      <c r="Z214" s="160">
        <f t="shared" si="389"/>
        <v>1538</v>
      </c>
      <c r="AA214" s="160">
        <f t="shared" si="389"/>
        <v>1218</v>
      </c>
      <c r="AB214" s="144">
        <f t="shared" si="389"/>
        <v>757</v>
      </c>
      <c r="AC214" s="109">
        <f t="shared" ref="AC214:AH214" si="390">+AC183</f>
        <v>757</v>
      </c>
      <c r="AD214" s="161">
        <f t="shared" si="390"/>
        <v>1332</v>
      </c>
      <c r="AE214" s="160">
        <f t="shared" si="390"/>
        <v>1482</v>
      </c>
      <c r="AF214" s="160">
        <f t="shared" si="390"/>
        <v>1282</v>
      </c>
      <c r="AG214" s="144">
        <f t="shared" si="390"/>
        <v>1346</v>
      </c>
      <c r="AH214" s="109">
        <f t="shared" si="390"/>
        <v>1346</v>
      </c>
      <c r="AI214" s="161">
        <f t="shared" ref="AI214:AN214" si="391">+AI183</f>
        <v>855</v>
      </c>
      <c r="AJ214" s="160">
        <f t="shared" si="391"/>
        <v>1105</v>
      </c>
      <c r="AK214" s="160">
        <f t="shared" si="391"/>
        <v>782</v>
      </c>
      <c r="AL214" s="144">
        <f t="shared" si="391"/>
        <v>800</v>
      </c>
      <c r="AM214" s="109">
        <f t="shared" si="391"/>
        <v>800</v>
      </c>
      <c r="AN214" s="161">
        <f t="shared" si="391"/>
        <v>1221</v>
      </c>
      <c r="AO214" s="160">
        <f t="shared" ref="AO214:AT214" si="392">+AO183</f>
        <v>2060.3000000000002</v>
      </c>
      <c r="AP214" s="160">
        <f t="shared" si="392"/>
        <v>1478.3</v>
      </c>
      <c r="AQ214" s="144">
        <f t="shared" si="392"/>
        <v>1713</v>
      </c>
      <c r="AR214" s="109">
        <f t="shared" si="392"/>
        <v>1713</v>
      </c>
      <c r="AS214" s="161">
        <f t="shared" si="392"/>
        <v>1536</v>
      </c>
      <c r="AT214" s="160">
        <f t="shared" si="392"/>
        <v>1851.7</v>
      </c>
      <c r="AU214" s="160">
        <f>+AU183</f>
        <v>1059.3</v>
      </c>
      <c r="AV214" s="144">
        <f t="shared" ref="AV214:AW214" si="393">+AV183</f>
        <v>1638.6</v>
      </c>
      <c r="AW214" s="109">
        <f t="shared" si="393"/>
        <v>1638.6</v>
      </c>
      <c r="AX214" s="161">
        <f>+AW214+AX158</f>
        <v>2548.8567928152579</v>
      </c>
      <c r="AY214" s="160">
        <f>+AX214+AY158</f>
        <v>1580.8743266269757</v>
      </c>
      <c r="AZ214" s="160">
        <f>+AY214+AZ158</f>
        <v>274.44380042986359</v>
      </c>
      <c r="BA214" s="144">
        <f>+AZ214+BA158</f>
        <v>444.20413838846696</v>
      </c>
      <c r="BB214" s="109">
        <f>+BA214</f>
        <v>444.20413838846696</v>
      </c>
      <c r="BC214" s="161">
        <f>+BB214+BC158</f>
        <v>2181.916380356472</v>
      </c>
      <c r="BD214" s="160">
        <f>+BC214+BD158</f>
        <v>3261.2920228711087</v>
      </c>
      <c r="BE214" s="160">
        <f>+BD214+BE158</f>
        <v>0</v>
      </c>
      <c r="BF214" s="144">
        <f>+BE214+BF158</f>
        <v>0</v>
      </c>
      <c r="BG214" s="109">
        <f>+BF214</f>
        <v>0</v>
      </c>
      <c r="BH214" s="161">
        <f>+BG214+BH158</f>
        <v>0</v>
      </c>
      <c r="BI214" s="160">
        <f>+BH214+BI158</f>
        <v>254.41881832890999</v>
      </c>
      <c r="BJ214" s="160">
        <f>+BI214+BJ158</f>
        <v>0</v>
      </c>
      <c r="BK214" s="144">
        <f>+BJ214+BK158</f>
        <v>136.07858148998287</v>
      </c>
      <c r="BL214" s="109">
        <f>+BK214</f>
        <v>136.07858148998287</v>
      </c>
      <c r="BM214" s="161">
        <f>+BL214+BM158</f>
        <v>2490.2097849005322</v>
      </c>
      <c r="BN214" s="160">
        <f>+BM214+BN158</f>
        <v>2953.4044010918601</v>
      </c>
      <c r="BO214" s="160">
        <f>+BN214+BO158</f>
        <v>0</v>
      </c>
      <c r="BP214" s="144">
        <f>+BO214+BP158</f>
        <v>0</v>
      </c>
      <c r="BQ214" s="109">
        <f>+BP214</f>
        <v>0</v>
      </c>
      <c r="BR214" s="491"/>
      <c r="BS214" s="491"/>
      <c r="BT214" s="491"/>
      <c r="BU214" s="491"/>
      <c r="BV214" s="491"/>
    </row>
    <row r="215" spans="1:74">
      <c r="A215" s="50"/>
      <c r="B215" s="50"/>
      <c r="C215" s="267" t="s">
        <v>184</v>
      </c>
      <c r="D215" s="50"/>
      <c r="E215" s="161">
        <f t="shared" ref="E215:P215" si="394">+E184+E189</f>
        <v>16843</v>
      </c>
      <c r="F215" s="160">
        <f t="shared" si="394"/>
        <v>16696</v>
      </c>
      <c r="G215" s="160">
        <f t="shared" si="394"/>
        <v>17253</v>
      </c>
      <c r="H215" s="144">
        <f t="shared" si="394"/>
        <v>17498</v>
      </c>
      <c r="I215" s="109">
        <f t="shared" si="394"/>
        <v>17498</v>
      </c>
      <c r="J215" s="161">
        <f t="shared" si="394"/>
        <v>17534</v>
      </c>
      <c r="K215" s="160">
        <f t="shared" si="394"/>
        <v>17348</v>
      </c>
      <c r="L215" s="160">
        <f t="shared" si="394"/>
        <v>17281</v>
      </c>
      <c r="M215" s="144">
        <f t="shared" si="394"/>
        <v>16811</v>
      </c>
      <c r="N215" s="109">
        <f t="shared" si="394"/>
        <v>16811</v>
      </c>
      <c r="O215" s="161">
        <f t="shared" si="394"/>
        <v>17052</v>
      </c>
      <c r="P215" s="160">
        <f t="shared" si="394"/>
        <v>16635</v>
      </c>
      <c r="Q215" s="160">
        <f t="shared" ref="Q215:V215" si="395">+Q184+Q189</f>
        <v>16450</v>
      </c>
      <c r="R215" s="144">
        <f t="shared" si="395"/>
        <v>16516</v>
      </c>
      <c r="S215" s="242">
        <f t="shared" si="395"/>
        <v>16516</v>
      </c>
      <c r="T215" s="162">
        <f t="shared" si="395"/>
        <v>17320</v>
      </c>
      <c r="U215" s="162">
        <f t="shared" si="395"/>
        <v>17302</v>
      </c>
      <c r="V215" s="162">
        <f t="shared" si="395"/>
        <v>17227</v>
      </c>
      <c r="W215" s="162">
        <f t="shared" ref="W215:AB215" si="396">+W184+W189</f>
        <v>17757</v>
      </c>
      <c r="X215" s="242">
        <f t="shared" si="396"/>
        <v>17757</v>
      </c>
      <c r="Y215" s="161">
        <f t="shared" si="396"/>
        <v>17573</v>
      </c>
      <c r="Z215" s="160">
        <f t="shared" si="396"/>
        <v>17618</v>
      </c>
      <c r="AA215" s="160">
        <f t="shared" si="396"/>
        <v>17568</v>
      </c>
      <c r="AB215" s="144">
        <f t="shared" si="396"/>
        <v>18377</v>
      </c>
      <c r="AC215" s="109">
        <f t="shared" ref="AC215:AH215" si="397">+AC184+AC189</f>
        <v>18377</v>
      </c>
      <c r="AD215" s="161">
        <f t="shared" si="397"/>
        <v>18087</v>
      </c>
      <c r="AE215" s="160">
        <f t="shared" si="397"/>
        <v>18125</v>
      </c>
      <c r="AF215" s="160">
        <f t="shared" si="397"/>
        <v>18058</v>
      </c>
      <c r="AG215" s="144">
        <f t="shared" si="397"/>
        <v>18684</v>
      </c>
      <c r="AH215" s="109">
        <f t="shared" si="397"/>
        <v>18684</v>
      </c>
      <c r="AI215" s="161">
        <f t="shared" ref="AI215:AN215" si="398">+AI184+AI189</f>
        <v>19229</v>
      </c>
      <c r="AJ215" s="160">
        <f t="shared" si="398"/>
        <v>19578</v>
      </c>
      <c r="AK215" s="160">
        <f t="shared" si="398"/>
        <v>19426</v>
      </c>
      <c r="AL215" s="144">
        <f t="shared" si="398"/>
        <v>19572.7</v>
      </c>
      <c r="AM215" s="109">
        <f t="shared" si="398"/>
        <v>19572.7</v>
      </c>
      <c r="AN215" s="161">
        <f t="shared" si="398"/>
        <v>19782.599999999999</v>
      </c>
      <c r="AO215" s="160">
        <f t="shared" ref="AO215:AT215" si="399">+AO184+AO189</f>
        <v>19543.7</v>
      </c>
      <c r="AP215" s="160">
        <f t="shared" si="399"/>
        <v>19704.7</v>
      </c>
      <c r="AQ215" s="144">
        <f t="shared" si="399"/>
        <v>20256.400000000001</v>
      </c>
      <c r="AR215" s="109">
        <f t="shared" si="399"/>
        <v>20256.400000000001</v>
      </c>
      <c r="AS215" s="161">
        <f t="shared" si="399"/>
        <v>19236.400000000001</v>
      </c>
      <c r="AT215" s="160">
        <f t="shared" si="399"/>
        <v>19551.900000000001</v>
      </c>
      <c r="AU215" s="160">
        <f>+AU184+AU189</f>
        <v>20721.7</v>
      </c>
      <c r="AV215" s="144">
        <f t="shared" ref="AV215:AW215" si="400">+AV184+AV189</f>
        <v>21173.3</v>
      </c>
      <c r="AW215" s="109">
        <f t="shared" si="400"/>
        <v>21173.3</v>
      </c>
      <c r="AX215" s="161">
        <f>+AW215+AX145+AX146</f>
        <v>20721.637961</v>
      </c>
      <c r="AY215" s="160">
        <f>+AX215+AY145+AY146</f>
        <v>22474.345656796097</v>
      </c>
      <c r="AZ215" s="160">
        <f>+AY215+AZ145+AZ146</f>
        <v>24284.345656796097</v>
      </c>
      <c r="BA215" s="144">
        <f>+AZ215+BA145+BA146</f>
        <v>24859.345656796097</v>
      </c>
      <c r="BB215" s="109">
        <f>+BA215</f>
        <v>24859.345656796097</v>
      </c>
      <c r="BC215" s="161">
        <f>+BB215+BC145+BC146</f>
        <v>23930.845656796097</v>
      </c>
      <c r="BD215" s="160">
        <f>+BC215+BD145+BD146</f>
        <v>23778.285916796096</v>
      </c>
      <c r="BE215" s="160">
        <f>+BD215+BE145+BE146</f>
        <v>29383.014761853592</v>
      </c>
      <c r="BF215" s="144">
        <f>+BE215+BF145+BF146</f>
        <v>28906.724126853591</v>
      </c>
      <c r="BG215" s="109">
        <f>+BF215</f>
        <v>28906.724126853591</v>
      </c>
      <c r="BH215" s="161">
        <f>+BG215+BH145+BH146</f>
        <v>29926.724126853591</v>
      </c>
      <c r="BI215" s="160">
        <f>+BH215+BI145+BI146</f>
        <v>29594.594883853591</v>
      </c>
      <c r="BJ215" s="160">
        <f>+BI215+BJ145+BJ146</f>
        <v>30752.395815065091</v>
      </c>
      <c r="BK215" s="144">
        <f>+BJ215+BK145+BK146</f>
        <v>30709.62801906509</v>
      </c>
      <c r="BL215" s="109">
        <f>+BK215</f>
        <v>30709.62801906509</v>
      </c>
      <c r="BM215" s="161">
        <f>+BL215+BM145+BM146</f>
        <v>30057.62801906509</v>
      </c>
      <c r="BN215" s="160">
        <f>+BM215+BN145+BN146</f>
        <v>29923.815037065091</v>
      </c>
      <c r="BO215" s="160">
        <f>+BN215+BO145+BO146</f>
        <v>34156.959234190348</v>
      </c>
      <c r="BP215" s="144">
        <f>+BO215+BP145+BP146</f>
        <v>33589.459234190348</v>
      </c>
      <c r="BQ215" s="109">
        <f>+BP215</f>
        <v>33589.459234190348</v>
      </c>
      <c r="BR215" s="491"/>
      <c r="BS215" s="491"/>
      <c r="BT215" s="491"/>
      <c r="BU215" s="491"/>
      <c r="BV215" s="491"/>
    </row>
    <row r="216" spans="1:74">
      <c r="A216" s="50"/>
      <c r="B216" s="50"/>
      <c r="C216" s="268" t="s">
        <v>866</v>
      </c>
      <c r="D216" s="50"/>
      <c r="E216" s="149">
        <f t="shared" ref="E216:P216" si="401">SUM(E214:E215)</f>
        <v>18819</v>
      </c>
      <c r="F216" s="150">
        <f t="shared" si="401"/>
        <v>17258</v>
      </c>
      <c r="G216" s="150">
        <f t="shared" si="401"/>
        <v>17605</v>
      </c>
      <c r="H216" s="151">
        <f t="shared" si="401"/>
        <v>17624</v>
      </c>
      <c r="I216" s="112">
        <f t="shared" si="401"/>
        <v>17624</v>
      </c>
      <c r="J216" s="149">
        <f t="shared" si="401"/>
        <v>18597</v>
      </c>
      <c r="K216" s="150">
        <f t="shared" si="401"/>
        <v>18821</v>
      </c>
      <c r="L216" s="150">
        <f t="shared" si="401"/>
        <v>18747</v>
      </c>
      <c r="M216" s="151">
        <f t="shared" si="401"/>
        <v>18157</v>
      </c>
      <c r="N216" s="112">
        <f t="shared" si="401"/>
        <v>18157</v>
      </c>
      <c r="O216" s="149">
        <f t="shared" si="401"/>
        <v>18485</v>
      </c>
      <c r="P216" s="150">
        <f t="shared" si="401"/>
        <v>18274</v>
      </c>
      <c r="Q216" s="150">
        <f>SUM(Q214:Q215)</f>
        <v>17729</v>
      </c>
      <c r="R216" s="151">
        <f>SUM(R214:R215)</f>
        <v>18166</v>
      </c>
      <c r="S216" s="112">
        <f>SUM(S214:S215)</f>
        <v>18166</v>
      </c>
      <c r="T216" s="149">
        <f t="shared" ref="T216:Y216" si="402">SUM(T214:T215)</f>
        <v>18370</v>
      </c>
      <c r="U216" s="150">
        <f t="shared" si="402"/>
        <v>18510</v>
      </c>
      <c r="V216" s="150">
        <f t="shared" si="402"/>
        <v>18443</v>
      </c>
      <c r="W216" s="151">
        <f t="shared" si="402"/>
        <v>18738</v>
      </c>
      <c r="X216" s="112">
        <f t="shared" si="402"/>
        <v>18738</v>
      </c>
      <c r="Y216" s="149">
        <f t="shared" si="402"/>
        <v>18880</v>
      </c>
      <c r="Z216" s="150">
        <f t="shared" ref="Z216:AH216" si="403">SUM(Z214:Z215)</f>
        <v>19156</v>
      </c>
      <c r="AA216" s="150">
        <f t="shared" si="403"/>
        <v>18786</v>
      </c>
      <c r="AB216" s="151">
        <f t="shared" si="403"/>
        <v>19134</v>
      </c>
      <c r="AC216" s="112">
        <f t="shared" si="403"/>
        <v>19134</v>
      </c>
      <c r="AD216" s="149">
        <f t="shared" si="403"/>
        <v>19419</v>
      </c>
      <c r="AE216" s="150">
        <f t="shared" si="403"/>
        <v>19607</v>
      </c>
      <c r="AF216" s="150">
        <f t="shared" si="403"/>
        <v>19340</v>
      </c>
      <c r="AG216" s="151">
        <f t="shared" si="403"/>
        <v>20030</v>
      </c>
      <c r="AH216" s="112">
        <f t="shared" si="403"/>
        <v>20030</v>
      </c>
      <c r="AI216" s="149">
        <f>SUM(AI214:AI215)</f>
        <v>20084</v>
      </c>
      <c r="AJ216" s="150">
        <f>SUM(AJ214:AJ215)</f>
        <v>20683</v>
      </c>
      <c r="AK216" s="150">
        <f>SUM(AK214:AK215)</f>
        <v>20208</v>
      </c>
      <c r="AL216" s="151">
        <f>SUM(AL214:AL215)</f>
        <v>20372.7</v>
      </c>
      <c r="AM216" s="112">
        <f>SUM(AM214:AM215)</f>
        <v>20372.7</v>
      </c>
      <c r="AN216" s="149">
        <f t="shared" ref="AN216:AR216" si="404">SUM(AN214:AN215)</f>
        <v>21003.599999999999</v>
      </c>
      <c r="AO216" s="150">
        <f t="shared" si="404"/>
        <v>21604</v>
      </c>
      <c r="AP216" s="150">
        <f t="shared" si="404"/>
        <v>21183</v>
      </c>
      <c r="AQ216" s="151">
        <f t="shared" si="404"/>
        <v>21969.4</v>
      </c>
      <c r="AR216" s="112">
        <f t="shared" si="404"/>
        <v>21969.4</v>
      </c>
      <c r="AS216" s="149">
        <f>SUM(AS214:AS215)</f>
        <v>20772.400000000001</v>
      </c>
      <c r="AT216" s="150">
        <f>SUM(AT214:AT215)</f>
        <v>21403.600000000002</v>
      </c>
      <c r="AU216" s="150">
        <f>SUM(AU214:AU215)</f>
        <v>21781</v>
      </c>
      <c r="AV216" s="151">
        <f t="shared" ref="AV216:AW216" si="405">SUM(AV214:AV215)</f>
        <v>22811.899999999998</v>
      </c>
      <c r="AW216" s="112">
        <f t="shared" si="405"/>
        <v>22811.899999999998</v>
      </c>
      <c r="AX216" s="149">
        <f>SUM(AX214:AX215)</f>
        <v>23270.494753815259</v>
      </c>
      <c r="AY216" s="150">
        <f>SUM(AY214:AY215)</f>
        <v>24055.219983423071</v>
      </c>
      <c r="AZ216" s="150">
        <f>SUM(AZ214:AZ215)</f>
        <v>24558.789457225961</v>
      </c>
      <c r="BA216" s="151">
        <f>SUM(BA214:BA215)</f>
        <v>25303.549795184565</v>
      </c>
      <c r="BB216" s="112">
        <f>+BA216</f>
        <v>25303.549795184565</v>
      </c>
      <c r="BC216" s="149">
        <f>SUM(BC214:BC215)</f>
        <v>26112.76203715257</v>
      </c>
      <c r="BD216" s="150">
        <f>SUM(BD214:BD215)</f>
        <v>27039.577939667204</v>
      </c>
      <c r="BE216" s="150">
        <f>SUM(BE214:BE215)</f>
        <v>29383.014761853592</v>
      </c>
      <c r="BF216" s="151">
        <f>SUM(BF214:BF215)</f>
        <v>28906.724126853591</v>
      </c>
      <c r="BG216" s="112">
        <f>+BF216</f>
        <v>28906.724126853591</v>
      </c>
      <c r="BH216" s="149">
        <f>SUM(BH214:BH215)</f>
        <v>29926.724126853591</v>
      </c>
      <c r="BI216" s="150">
        <f>SUM(BI214:BI215)</f>
        <v>29849.013702182503</v>
      </c>
      <c r="BJ216" s="150">
        <f>SUM(BJ214:BJ215)</f>
        <v>30752.395815065091</v>
      </c>
      <c r="BK216" s="151">
        <f>SUM(BK214:BK215)</f>
        <v>30845.706600555073</v>
      </c>
      <c r="BL216" s="112">
        <f>+BK216</f>
        <v>30845.706600555073</v>
      </c>
      <c r="BM216" s="149">
        <f>SUM(BM214:BM215)</f>
        <v>32547.837803965624</v>
      </c>
      <c r="BN216" s="150">
        <f>SUM(BN214:BN215)</f>
        <v>32877.21943815695</v>
      </c>
      <c r="BO216" s="150">
        <f>SUM(BO214:BO215)</f>
        <v>34156.959234190348</v>
      </c>
      <c r="BP216" s="151">
        <f>SUM(BP214:BP215)</f>
        <v>33589.459234190348</v>
      </c>
      <c r="BQ216" s="112">
        <f>+BP216</f>
        <v>33589.459234190348</v>
      </c>
      <c r="BR216" s="491"/>
      <c r="BS216" s="491"/>
      <c r="BT216" s="491"/>
      <c r="BU216" s="491"/>
      <c r="BV216" s="491"/>
    </row>
    <row r="217" spans="1:74">
      <c r="A217" s="75"/>
      <c r="B217" s="75"/>
      <c r="C217" s="269" t="s">
        <v>185</v>
      </c>
      <c r="D217" s="75"/>
      <c r="E217" s="270">
        <f t="shared" ref="E217:P217" si="406">+E216/E225</f>
        <v>0.63070581138145987</v>
      </c>
      <c r="F217" s="271">
        <f t="shared" si="406"/>
        <v>0.57369855727677677</v>
      </c>
      <c r="G217" s="271">
        <f t="shared" si="406"/>
        <v>0.57289293849658318</v>
      </c>
      <c r="H217" s="272">
        <f t="shared" si="406"/>
        <v>0.57174371451743711</v>
      </c>
      <c r="I217" s="273">
        <f t="shared" si="406"/>
        <v>0.57174371451743711</v>
      </c>
      <c r="J217" s="270">
        <f t="shared" si="406"/>
        <v>0.5814833343755863</v>
      </c>
      <c r="K217" s="271">
        <f t="shared" si="406"/>
        <v>0.58539392242854027</v>
      </c>
      <c r="L217" s="271">
        <f t="shared" si="406"/>
        <v>0.57748821735514277</v>
      </c>
      <c r="M217" s="272">
        <f t="shared" si="406"/>
        <v>0.5702754483495085</v>
      </c>
      <c r="N217" s="273">
        <f t="shared" si="406"/>
        <v>0.5702754483495085</v>
      </c>
      <c r="O217" s="270">
        <f t="shared" si="406"/>
        <v>0.57186610567999008</v>
      </c>
      <c r="P217" s="271">
        <f t="shared" si="406"/>
        <v>0.56623183466055216</v>
      </c>
      <c r="Q217" s="271">
        <f t="shared" ref="Q217:V217" si="407">+Q216/Q225</f>
        <v>0.54648295419517912</v>
      </c>
      <c r="R217" s="272">
        <f t="shared" si="407"/>
        <v>0.55333536399634475</v>
      </c>
      <c r="S217" s="273">
        <f t="shared" si="407"/>
        <v>0.55333536399634475</v>
      </c>
      <c r="T217" s="270">
        <f t="shared" si="407"/>
        <v>0.55288027448383792</v>
      </c>
      <c r="U217" s="271">
        <f t="shared" si="407"/>
        <v>0.55225706357967597</v>
      </c>
      <c r="V217" s="271">
        <f t="shared" si="407"/>
        <v>0.54647545112447771</v>
      </c>
      <c r="W217" s="272">
        <f t="shared" ref="W217:AB217" si="408">+W216/W225</f>
        <v>0.55152317880794699</v>
      </c>
      <c r="X217" s="273">
        <f t="shared" si="408"/>
        <v>0.55152317880794699</v>
      </c>
      <c r="Y217" s="270">
        <f t="shared" si="408"/>
        <v>0.5504212705168946</v>
      </c>
      <c r="Z217" s="271">
        <f t="shared" si="408"/>
        <v>0.55215749574842188</v>
      </c>
      <c r="AA217" s="271">
        <f t="shared" si="408"/>
        <v>0.54376519624869746</v>
      </c>
      <c r="AB217" s="272">
        <f t="shared" si="408"/>
        <v>0.54328629432976516</v>
      </c>
      <c r="AC217" s="273">
        <f t="shared" ref="AC217:AH217" si="409">+AC216/AC225</f>
        <v>0.54328629432976516</v>
      </c>
      <c r="AD217" s="270">
        <f t="shared" si="409"/>
        <v>0.54190037672666391</v>
      </c>
      <c r="AE217" s="271">
        <f t="shared" si="409"/>
        <v>0.54180943959323535</v>
      </c>
      <c r="AF217" s="271">
        <f t="shared" si="409"/>
        <v>0.53413610251878041</v>
      </c>
      <c r="AG217" s="272">
        <f t="shared" si="409"/>
        <v>0.54355495251017638</v>
      </c>
      <c r="AH217" s="273">
        <f t="shared" si="409"/>
        <v>0.54355495251017638</v>
      </c>
      <c r="AI217" s="270">
        <f t="shared" ref="AI217:AN217" si="410">+AI216/AI225</f>
        <v>0.53808439383791029</v>
      </c>
      <c r="AJ217" s="271">
        <f t="shared" si="410"/>
        <v>0.54261877902248346</v>
      </c>
      <c r="AK217" s="271">
        <f t="shared" si="410"/>
        <v>0.53309415147598072</v>
      </c>
      <c r="AL217" s="272">
        <f t="shared" si="410"/>
        <v>0.53241916768589082</v>
      </c>
      <c r="AM217" s="273">
        <f t="shared" si="410"/>
        <v>0.53241916768589082</v>
      </c>
      <c r="AN217" s="270">
        <f t="shared" si="410"/>
        <v>0.53676325897454902</v>
      </c>
      <c r="AO217" s="271">
        <f t="shared" ref="AO217:AT217" si="411">+AO216/AO225</f>
        <v>0.54023235692744731</v>
      </c>
      <c r="AP217" s="271">
        <f t="shared" si="411"/>
        <v>0.55013777467283387</v>
      </c>
      <c r="AQ217" s="272">
        <f t="shared" si="411"/>
        <v>0.55807490651926517</v>
      </c>
      <c r="AR217" s="273">
        <f t="shared" si="411"/>
        <v>0.55807490651926517</v>
      </c>
      <c r="AS217" s="270">
        <f t="shared" si="411"/>
        <v>0.54008855700954983</v>
      </c>
      <c r="AT217" s="271">
        <f t="shared" si="411"/>
        <v>0.5463586470963625</v>
      </c>
      <c r="AU217" s="271">
        <f>+AU216/AU225</f>
        <v>0.54644575683527596</v>
      </c>
      <c r="AV217" s="272">
        <f t="shared" ref="AV217:AW217" si="412">+AV216/AV225</f>
        <v>0.55488825320840252</v>
      </c>
      <c r="AW217" s="273">
        <f t="shared" si="412"/>
        <v>0.55488825320840252</v>
      </c>
      <c r="AX217" s="270">
        <f t="shared" ref="AX217:BL217" si="413">+AX216/AX225</f>
        <v>0.55713925000158349</v>
      </c>
      <c r="AY217" s="271">
        <f t="shared" si="413"/>
        <v>0.5638068346981786</v>
      </c>
      <c r="AZ217" s="271">
        <f t="shared" si="413"/>
        <v>0.56469283217101152</v>
      </c>
      <c r="BA217" s="272">
        <f t="shared" si="413"/>
        <v>0.57033961513437637</v>
      </c>
      <c r="BB217" s="273">
        <f t="shared" si="413"/>
        <v>0.57033961513437637</v>
      </c>
      <c r="BC217" s="270">
        <f t="shared" si="413"/>
        <v>0.57461237226763084</v>
      </c>
      <c r="BD217" s="271">
        <f t="shared" si="413"/>
        <v>0.58119177879081052</v>
      </c>
      <c r="BE217" s="271">
        <f t="shared" si="413"/>
        <v>0.59753653965864495</v>
      </c>
      <c r="BF217" s="272">
        <f t="shared" si="413"/>
        <v>0.59196989428001501</v>
      </c>
      <c r="BG217" s="273">
        <f t="shared" si="413"/>
        <v>0.59196989428001512</v>
      </c>
      <c r="BH217" s="270">
        <f t="shared" si="413"/>
        <v>0.59595085115457447</v>
      </c>
      <c r="BI217" s="271">
        <f t="shared" si="413"/>
        <v>0.59222189140913772</v>
      </c>
      <c r="BJ217" s="271">
        <f t="shared" si="413"/>
        <v>0.59405842816588217</v>
      </c>
      <c r="BK217" s="272">
        <f t="shared" si="413"/>
        <v>0.59177041954814835</v>
      </c>
      <c r="BL217" s="273">
        <f t="shared" si="413"/>
        <v>0.59177041954814835</v>
      </c>
      <c r="BM217" s="270">
        <f>+BM216/BM225</f>
        <v>0.59934910408353737</v>
      </c>
      <c r="BN217" s="271">
        <f>+BN216/BN225</f>
        <v>0.59757194136308356</v>
      </c>
      <c r="BO217" s="271">
        <f>+BO216/BO225</f>
        <v>0.60092113103533762</v>
      </c>
      <c r="BP217" s="272">
        <f>+BP216/BP225</f>
        <v>0.5930872226932481</v>
      </c>
      <c r="BQ217" s="273">
        <f>+BQ216/BQ225</f>
        <v>0.59308722269324832</v>
      </c>
      <c r="BR217" s="491"/>
      <c r="BS217" s="491"/>
      <c r="BT217" s="491"/>
      <c r="BU217" s="491"/>
      <c r="BV217" s="491"/>
    </row>
    <row r="218" spans="1:74">
      <c r="A218" s="50"/>
      <c r="B218" s="50"/>
      <c r="C218" s="100"/>
      <c r="D218" s="50"/>
      <c r="E218" s="225"/>
      <c r="F218" s="226"/>
      <c r="G218" s="226"/>
      <c r="H218" s="227"/>
      <c r="I218" s="228"/>
      <c r="J218" s="225"/>
      <c r="K218" s="226"/>
      <c r="L218" s="226"/>
      <c r="M218" s="227"/>
      <c r="N218" s="228"/>
      <c r="O218" s="225"/>
      <c r="P218" s="226"/>
      <c r="Q218" s="226"/>
      <c r="R218" s="227"/>
      <c r="S218" s="228"/>
      <c r="T218" s="225"/>
      <c r="U218" s="226"/>
      <c r="V218" s="226"/>
      <c r="W218" s="227"/>
      <c r="X218" s="228"/>
      <c r="Y218" s="225"/>
      <c r="Z218" s="226"/>
      <c r="AA218" s="226"/>
      <c r="AB218" s="227"/>
      <c r="AC218" s="228"/>
      <c r="AD218" s="225"/>
      <c r="AE218" s="226"/>
      <c r="AF218" s="226"/>
      <c r="AG218" s="227"/>
      <c r="AH218" s="228"/>
      <c r="AI218" s="225"/>
      <c r="AJ218" s="226"/>
      <c r="AK218" s="226"/>
      <c r="AL218" s="227"/>
      <c r="AM218" s="228"/>
      <c r="AN218" s="225"/>
      <c r="AO218" s="226"/>
      <c r="AP218" s="226"/>
      <c r="AQ218" s="227"/>
      <c r="AR218" s="228"/>
      <c r="AS218" s="225"/>
      <c r="AT218" s="226"/>
      <c r="AU218" s="226"/>
      <c r="AV218" s="227"/>
      <c r="AW218" s="228"/>
      <c r="AX218" s="225"/>
      <c r="AY218" s="226"/>
      <c r="AZ218" s="226"/>
      <c r="BA218" s="227"/>
      <c r="BB218" s="228"/>
      <c r="BC218" s="225"/>
      <c r="BD218" s="226"/>
      <c r="BE218" s="226"/>
      <c r="BF218" s="227"/>
      <c r="BG218" s="228"/>
      <c r="BH218" s="225"/>
      <c r="BI218" s="226"/>
      <c r="BJ218" s="226"/>
      <c r="BK218" s="227"/>
      <c r="BL218" s="228"/>
      <c r="BM218" s="225"/>
      <c r="BN218" s="226"/>
      <c r="BO218" s="226"/>
      <c r="BP218" s="227"/>
      <c r="BQ218" s="228"/>
      <c r="BR218" s="491"/>
      <c r="BS218" s="491"/>
      <c r="BT218" s="491"/>
      <c r="BU218" s="491"/>
      <c r="BV218" s="491"/>
    </row>
    <row r="219" spans="1:74">
      <c r="A219" s="50"/>
      <c r="B219" s="50"/>
      <c r="C219" s="164" t="s">
        <v>186</v>
      </c>
      <c r="D219" s="50"/>
      <c r="E219" s="149">
        <f t="shared" ref="E219:P219" si="414">+E197</f>
        <v>61</v>
      </c>
      <c r="F219" s="150">
        <f t="shared" si="414"/>
        <v>61</v>
      </c>
      <c r="G219" s="150">
        <f t="shared" si="414"/>
        <v>61</v>
      </c>
      <c r="H219" s="151">
        <f t="shared" si="414"/>
        <v>61</v>
      </c>
      <c r="I219" s="112">
        <f t="shared" si="414"/>
        <v>61</v>
      </c>
      <c r="J219" s="149">
        <f t="shared" si="414"/>
        <v>61</v>
      </c>
      <c r="K219" s="150">
        <f t="shared" si="414"/>
        <v>60</v>
      </c>
      <c r="L219" s="150">
        <f t="shared" si="414"/>
        <v>60</v>
      </c>
      <c r="M219" s="151">
        <f t="shared" si="414"/>
        <v>60</v>
      </c>
      <c r="N219" s="112">
        <f t="shared" si="414"/>
        <v>60</v>
      </c>
      <c r="O219" s="149">
        <f t="shared" si="414"/>
        <v>60</v>
      </c>
      <c r="P219" s="150">
        <f t="shared" si="414"/>
        <v>60</v>
      </c>
      <c r="Q219" s="150">
        <f t="shared" ref="Q219:V219" si="415">+Q197</f>
        <v>60</v>
      </c>
      <c r="R219" s="151">
        <f t="shared" si="415"/>
        <v>0</v>
      </c>
      <c r="S219" s="112">
        <f t="shared" si="415"/>
        <v>0</v>
      </c>
      <c r="T219" s="149">
        <f t="shared" si="415"/>
        <v>0</v>
      </c>
      <c r="U219" s="150">
        <f t="shared" si="415"/>
        <v>0</v>
      </c>
      <c r="V219" s="150">
        <f t="shared" si="415"/>
        <v>0</v>
      </c>
      <c r="W219" s="151">
        <f t="shared" ref="W219:AB219" si="416">+W197</f>
        <v>0</v>
      </c>
      <c r="X219" s="112">
        <f t="shared" si="416"/>
        <v>0</v>
      </c>
      <c r="Y219" s="149">
        <f t="shared" si="416"/>
        <v>0</v>
      </c>
      <c r="Z219" s="150">
        <f t="shared" si="416"/>
        <v>0</v>
      </c>
      <c r="AA219" s="150">
        <f t="shared" si="416"/>
        <v>0</v>
      </c>
      <c r="AB219" s="151">
        <f t="shared" si="416"/>
        <v>0</v>
      </c>
      <c r="AC219" s="112">
        <f t="shared" ref="AC219:AH219" si="417">+AC197</f>
        <v>0</v>
      </c>
      <c r="AD219" s="149">
        <f t="shared" si="417"/>
        <v>0</v>
      </c>
      <c r="AE219" s="150">
        <f t="shared" si="417"/>
        <v>0</v>
      </c>
      <c r="AF219" s="150">
        <f t="shared" si="417"/>
        <v>0</v>
      </c>
      <c r="AG219" s="151">
        <f t="shared" si="417"/>
        <v>0</v>
      </c>
      <c r="AH219" s="112">
        <f t="shared" si="417"/>
        <v>0</v>
      </c>
      <c r="AI219" s="149">
        <f t="shared" ref="AI219:AN219" si="418">+AI197</f>
        <v>0</v>
      </c>
      <c r="AJ219" s="150">
        <f t="shared" si="418"/>
        <v>0</v>
      </c>
      <c r="AK219" s="150">
        <f t="shared" si="418"/>
        <v>0</v>
      </c>
      <c r="AL219" s="151">
        <f t="shared" si="418"/>
        <v>0</v>
      </c>
      <c r="AM219" s="112">
        <f t="shared" si="418"/>
        <v>0</v>
      </c>
      <c r="AN219" s="149">
        <f t="shared" si="418"/>
        <v>0</v>
      </c>
      <c r="AO219" s="150">
        <f t="shared" ref="AO219:AT219" si="419">+AO197</f>
        <v>0</v>
      </c>
      <c r="AP219" s="150">
        <f t="shared" si="419"/>
        <v>0</v>
      </c>
      <c r="AQ219" s="151">
        <f t="shared" si="419"/>
        <v>0</v>
      </c>
      <c r="AR219" s="112">
        <f t="shared" si="419"/>
        <v>0</v>
      </c>
      <c r="AS219" s="149">
        <f t="shared" si="419"/>
        <v>0</v>
      </c>
      <c r="AT219" s="150">
        <f t="shared" si="419"/>
        <v>0</v>
      </c>
      <c r="AU219" s="150">
        <f>+AU197</f>
        <v>0</v>
      </c>
      <c r="AV219" s="151">
        <f t="shared" ref="AV219:AW219" si="420">+AV197</f>
        <v>0</v>
      </c>
      <c r="AW219" s="112">
        <f t="shared" si="420"/>
        <v>0</v>
      </c>
      <c r="AX219" s="149">
        <f t="shared" ref="AX219:BL219" si="421">+AX197</f>
        <v>0</v>
      </c>
      <c r="AY219" s="150">
        <f t="shared" si="421"/>
        <v>0</v>
      </c>
      <c r="AZ219" s="150">
        <f t="shared" si="421"/>
        <v>0</v>
      </c>
      <c r="BA219" s="151">
        <f t="shared" si="421"/>
        <v>0</v>
      </c>
      <c r="BB219" s="112">
        <f t="shared" si="421"/>
        <v>0</v>
      </c>
      <c r="BC219" s="149">
        <f t="shared" si="421"/>
        <v>0</v>
      </c>
      <c r="BD219" s="150">
        <f t="shared" si="421"/>
        <v>0</v>
      </c>
      <c r="BE219" s="150">
        <f t="shared" si="421"/>
        <v>0</v>
      </c>
      <c r="BF219" s="151">
        <f t="shared" si="421"/>
        <v>0</v>
      </c>
      <c r="BG219" s="112">
        <f t="shared" si="421"/>
        <v>0</v>
      </c>
      <c r="BH219" s="149">
        <f t="shared" si="421"/>
        <v>0</v>
      </c>
      <c r="BI219" s="150">
        <f t="shared" si="421"/>
        <v>0</v>
      </c>
      <c r="BJ219" s="150">
        <f t="shared" si="421"/>
        <v>0</v>
      </c>
      <c r="BK219" s="151">
        <f t="shared" si="421"/>
        <v>0</v>
      </c>
      <c r="BL219" s="112">
        <f t="shared" si="421"/>
        <v>0</v>
      </c>
      <c r="BM219" s="149">
        <f>+BM197</f>
        <v>0</v>
      </c>
      <c r="BN219" s="150">
        <f>+BN197</f>
        <v>0</v>
      </c>
      <c r="BO219" s="150">
        <f>+BO197</f>
        <v>0</v>
      </c>
      <c r="BP219" s="151">
        <f>+BP197</f>
        <v>0</v>
      </c>
      <c r="BQ219" s="112">
        <f>+BQ197</f>
        <v>0</v>
      </c>
      <c r="BR219" s="491"/>
      <c r="BS219" s="491"/>
      <c r="BT219" s="491"/>
      <c r="BU219" s="491"/>
      <c r="BV219" s="491"/>
    </row>
    <row r="220" spans="1:74">
      <c r="A220" s="75"/>
      <c r="B220" s="75"/>
      <c r="C220" s="269" t="s">
        <v>185</v>
      </c>
      <c r="D220" s="75"/>
      <c r="E220" s="270">
        <f t="shared" ref="E220:P220" si="422">+E219/E225</f>
        <v>2.044372947248475E-3</v>
      </c>
      <c r="F220" s="271">
        <f t="shared" si="422"/>
        <v>2.0277907054052258E-3</v>
      </c>
      <c r="G220" s="271">
        <f t="shared" si="422"/>
        <v>1.9850309144158803E-3</v>
      </c>
      <c r="H220" s="272">
        <f t="shared" si="422"/>
        <v>1.9789132197891323E-3</v>
      </c>
      <c r="I220" s="273">
        <f t="shared" si="422"/>
        <v>1.9789132197891323E-3</v>
      </c>
      <c r="J220" s="270">
        <f t="shared" si="422"/>
        <v>1.9073228691138765E-3</v>
      </c>
      <c r="K220" s="271">
        <f t="shared" si="422"/>
        <v>1.866193897545955E-3</v>
      </c>
      <c r="L220" s="271">
        <f t="shared" si="422"/>
        <v>1.848258016819148E-3</v>
      </c>
      <c r="M220" s="272">
        <f t="shared" si="422"/>
        <v>1.8844812965231319E-3</v>
      </c>
      <c r="N220" s="273">
        <f t="shared" si="422"/>
        <v>1.8844812965231319E-3</v>
      </c>
      <c r="O220" s="270">
        <f t="shared" si="422"/>
        <v>1.8562059151095163E-3</v>
      </c>
      <c r="P220" s="271">
        <f t="shared" si="422"/>
        <v>1.8591392185418152E-3</v>
      </c>
      <c r="Q220" s="271">
        <f t="shared" ref="Q220:V220" si="423">+Q219/Q225</f>
        <v>1.8494544109487702E-3</v>
      </c>
      <c r="R220" s="272">
        <f t="shared" si="423"/>
        <v>0</v>
      </c>
      <c r="S220" s="273">
        <f t="shared" si="423"/>
        <v>0</v>
      </c>
      <c r="T220" s="270">
        <f t="shared" si="423"/>
        <v>0</v>
      </c>
      <c r="U220" s="271">
        <f t="shared" si="423"/>
        <v>0</v>
      </c>
      <c r="V220" s="271">
        <f t="shared" si="423"/>
        <v>0</v>
      </c>
      <c r="W220" s="272">
        <f t="shared" ref="W220:AB220" si="424">+W219/W225</f>
        <v>0</v>
      </c>
      <c r="X220" s="273">
        <f t="shared" si="424"/>
        <v>0</v>
      </c>
      <c r="Y220" s="270">
        <f t="shared" si="424"/>
        <v>0</v>
      </c>
      <c r="Z220" s="271">
        <f t="shared" si="424"/>
        <v>0</v>
      </c>
      <c r="AA220" s="271">
        <f t="shared" si="424"/>
        <v>0</v>
      </c>
      <c r="AB220" s="272">
        <f t="shared" si="424"/>
        <v>0</v>
      </c>
      <c r="AC220" s="273">
        <f t="shared" ref="AC220:AH220" si="425">+AC219/AC225</f>
        <v>0</v>
      </c>
      <c r="AD220" s="270">
        <f t="shared" si="425"/>
        <v>0</v>
      </c>
      <c r="AE220" s="271">
        <f t="shared" si="425"/>
        <v>0</v>
      </c>
      <c r="AF220" s="271">
        <f t="shared" si="425"/>
        <v>0</v>
      </c>
      <c r="AG220" s="272">
        <f t="shared" si="425"/>
        <v>0</v>
      </c>
      <c r="AH220" s="273">
        <f t="shared" si="425"/>
        <v>0</v>
      </c>
      <c r="AI220" s="270">
        <f t="shared" ref="AI220:AN220" si="426">+AI219/AI225</f>
        <v>0</v>
      </c>
      <c r="AJ220" s="271">
        <f t="shared" si="426"/>
        <v>0</v>
      </c>
      <c r="AK220" s="271">
        <f t="shared" si="426"/>
        <v>0</v>
      </c>
      <c r="AL220" s="272">
        <f t="shared" si="426"/>
        <v>0</v>
      </c>
      <c r="AM220" s="273">
        <f t="shared" si="426"/>
        <v>0</v>
      </c>
      <c r="AN220" s="270">
        <f t="shared" si="426"/>
        <v>0</v>
      </c>
      <c r="AO220" s="271">
        <f t="shared" ref="AO220:AT220" si="427">+AO219/AO225</f>
        <v>0</v>
      </c>
      <c r="AP220" s="271">
        <f t="shared" si="427"/>
        <v>0</v>
      </c>
      <c r="AQ220" s="272">
        <f t="shared" si="427"/>
        <v>0</v>
      </c>
      <c r="AR220" s="273">
        <f t="shared" si="427"/>
        <v>0</v>
      </c>
      <c r="AS220" s="270">
        <f t="shared" si="427"/>
        <v>0</v>
      </c>
      <c r="AT220" s="271">
        <f t="shared" si="427"/>
        <v>0</v>
      </c>
      <c r="AU220" s="271">
        <f>+AU219/AU225</f>
        <v>0</v>
      </c>
      <c r="AV220" s="272">
        <f t="shared" ref="AV220:AW220" si="428">+AV219/AV225</f>
        <v>0</v>
      </c>
      <c r="AW220" s="273">
        <f t="shared" si="428"/>
        <v>0</v>
      </c>
      <c r="AX220" s="270">
        <f t="shared" ref="AX220:BL220" si="429">+AX219/AX225</f>
        <v>0</v>
      </c>
      <c r="AY220" s="271">
        <f t="shared" si="429"/>
        <v>0</v>
      </c>
      <c r="AZ220" s="271">
        <f t="shared" si="429"/>
        <v>0</v>
      </c>
      <c r="BA220" s="272">
        <f t="shared" si="429"/>
        <v>0</v>
      </c>
      <c r="BB220" s="273">
        <f t="shared" si="429"/>
        <v>0</v>
      </c>
      <c r="BC220" s="270">
        <f t="shared" si="429"/>
        <v>0</v>
      </c>
      <c r="BD220" s="271">
        <f t="shared" si="429"/>
        <v>0</v>
      </c>
      <c r="BE220" s="271">
        <f t="shared" si="429"/>
        <v>0</v>
      </c>
      <c r="BF220" s="272">
        <f t="shared" si="429"/>
        <v>0</v>
      </c>
      <c r="BG220" s="273">
        <f t="shared" si="429"/>
        <v>0</v>
      </c>
      <c r="BH220" s="270">
        <f t="shared" si="429"/>
        <v>0</v>
      </c>
      <c r="BI220" s="271">
        <f t="shared" si="429"/>
        <v>0</v>
      </c>
      <c r="BJ220" s="271">
        <f t="shared" si="429"/>
        <v>0</v>
      </c>
      <c r="BK220" s="272">
        <f t="shared" si="429"/>
        <v>0</v>
      </c>
      <c r="BL220" s="273">
        <f t="shared" si="429"/>
        <v>0</v>
      </c>
      <c r="BM220" s="270">
        <f>+BM219/BM225</f>
        <v>0</v>
      </c>
      <c r="BN220" s="271">
        <f>+BN219/BN225</f>
        <v>0</v>
      </c>
      <c r="BO220" s="271">
        <f>+BO219/BO225</f>
        <v>0</v>
      </c>
      <c r="BP220" s="272">
        <f>+BP219/BP225</f>
        <v>0</v>
      </c>
      <c r="BQ220" s="273">
        <f>+BQ219/BQ225</f>
        <v>0</v>
      </c>
      <c r="BR220" s="491"/>
      <c r="BS220" s="491"/>
      <c r="BT220" s="491"/>
      <c r="BU220" s="491"/>
      <c r="BV220" s="491"/>
    </row>
    <row r="221" spans="1:74">
      <c r="A221" s="50"/>
      <c r="B221" s="50"/>
      <c r="C221" s="100"/>
      <c r="D221" s="50"/>
      <c r="E221" s="225"/>
      <c r="F221" s="226"/>
      <c r="G221" s="226"/>
      <c r="H221" s="227"/>
      <c r="I221" s="228"/>
      <c r="J221" s="225"/>
      <c r="K221" s="226"/>
      <c r="L221" s="226"/>
      <c r="M221" s="227"/>
      <c r="N221" s="228"/>
      <c r="O221" s="225"/>
      <c r="P221" s="226"/>
      <c r="Q221" s="226"/>
      <c r="R221" s="227"/>
      <c r="S221" s="228"/>
      <c r="T221" s="225"/>
      <c r="U221" s="226"/>
      <c r="V221" s="226"/>
      <c r="W221" s="227"/>
      <c r="X221" s="228"/>
      <c r="Y221" s="225"/>
      <c r="Z221" s="226"/>
      <c r="AA221" s="226"/>
      <c r="AB221" s="227"/>
      <c r="AC221" s="228"/>
      <c r="AD221" s="225"/>
      <c r="AE221" s="226"/>
      <c r="AF221" s="226"/>
      <c r="AG221" s="227"/>
      <c r="AH221" s="228"/>
      <c r="AI221" s="225"/>
      <c r="AJ221" s="226"/>
      <c r="AK221" s="226"/>
      <c r="AL221" s="227"/>
      <c r="AM221" s="228"/>
      <c r="AN221" s="225"/>
      <c r="AO221" s="226"/>
      <c r="AP221" s="226"/>
      <c r="AQ221" s="227"/>
      <c r="AR221" s="228"/>
      <c r="AS221" s="225"/>
      <c r="AT221" s="226"/>
      <c r="AU221" s="226"/>
      <c r="AV221" s="227"/>
      <c r="AW221" s="228"/>
      <c r="AX221" s="225"/>
      <c r="AY221" s="226"/>
      <c r="AZ221" s="226"/>
      <c r="BA221" s="227"/>
      <c r="BB221" s="228"/>
      <c r="BC221" s="225"/>
      <c r="BD221" s="226"/>
      <c r="BE221" s="226"/>
      <c r="BF221" s="227"/>
      <c r="BG221" s="228"/>
      <c r="BH221" s="225"/>
      <c r="BI221" s="226"/>
      <c r="BJ221" s="226"/>
      <c r="BK221" s="227"/>
      <c r="BL221" s="228"/>
      <c r="BM221" s="225"/>
      <c r="BN221" s="226"/>
      <c r="BO221" s="226"/>
      <c r="BP221" s="227"/>
      <c r="BQ221" s="228"/>
      <c r="BR221" s="491"/>
      <c r="BS221" s="491"/>
      <c r="BT221" s="491"/>
      <c r="BU221" s="491"/>
      <c r="BV221" s="491"/>
    </row>
    <row r="222" spans="1:74">
      <c r="A222" s="50"/>
      <c r="B222" s="50"/>
      <c r="C222" s="164" t="s">
        <v>869</v>
      </c>
      <c r="D222" s="195"/>
      <c r="E222" s="149">
        <f t="shared" ref="E222:P222" si="430">+E204</f>
        <v>10958</v>
      </c>
      <c r="F222" s="150">
        <f t="shared" si="430"/>
        <v>12763</v>
      </c>
      <c r="G222" s="150">
        <f t="shared" si="430"/>
        <v>13064</v>
      </c>
      <c r="H222" s="151">
        <f t="shared" si="430"/>
        <v>13140</v>
      </c>
      <c r="I222" s="112">
        <f t="shared" si="430"/>
        <v>13140</v>
      </c>
      <c r="J222" s="149">
        <f t="shared" si="430"/>
        <v>13324</v>
      </c>
      <c r="K222" s="150">
        <f t="shared" si="430"/>
        <v>13270</v>
      </c>
      <c r="L222" s="150">
        <f t="shared" si="430"/>
        <v>13656</v>
      </c>
      <c r="M222" s="151">
        <f t="shared" si="430"/>
        <v>13622</v>
      </c>
      <c r="N222" s="112">
        <f t="shared" si="430"/>
        <v>13622</v>
      </c>
      <c r="O222" s="149">
        <f t="shared" si="430"/>
        <v>13779</v>
      </c>
      <c r="P222" s="150">
        <f t="shared" si="430"/>
        <v>13939</v>
      </c>
      <c r="Q222" s="150">
        <f t="shared" ref="Q222:V222" si="431">+Q204</f>
        <v>14653</v>
      </c>
      <c r="R222" s="151">
        <f t="shared" si="431"/>
        <v>14664</v>
      </c>
      <c r="S222" s="112">
        <f t="shared" si="431"/>
        <v>14664</v>
      </c>
      <c r="T222" s="149">
        <f t="shared" si="431"/>
        <v>14856</v>
      </c>
      <c r="U222" s="150">
        <f t="shared" si="431"/>
        <v>15007</v>
      </c>
      <c r="V222" s="150">
        <f t="shared" si="431"/>
        <v>15306</v>
      </c>
      <c r="W222" s="151">
        <f t="shared" ref="W222:AB222" si="432">+W204</f>
        <v>15237</v>
      </c>
      <c r="X222" s="112">
        <f t="shared" si="432"/>
        <v>15237</v>
      </c>
      <c r="Y222" s="149">
        <f t="shared" si="432"/>
        <v>15421</v>
      </c>
      <c r="Z222" s="150">
        <f t="shared" si="432"/>
        <v>15537</v>
      </c>
      <c r="AA222" s="150">
        <f t="shared" si="432"/>
        <v>15762</v>
      </c>
      <c r="AB222" s="151">
        <f t="shared" si="432"/>
        <v>16085</v>
      </c>
      <c r="AC222" s="112">
        <f t="shared" ref="AC222:AH222" si="433">+AC204</f>
        <v>16085</v>
      </c>
      <c r="AD222" s="149">
        <f t="shared" si="433"/>
        <v>16416</v>
      </c>
      <c r="AE222" s="150">
        <f t="shared" si="433"/>
        <v>16581</v>
      </c>
      <c r="AF222" s="150">
        <f t="shared" si="433"/>
        <v>16868</v>
      </c>
      <c r="AG222" s="151">
        <f t="shared" si="433"/>
        <v>16820</v>
      </c>
      <c r="AH222" s="112">
        <f t="shared" si="433"/>
        <v>16820</v>
      </c>
      <c r="AI222" s="149">
        <f t="shared" ref="AI222:AN222" si="434">+AI204</f>
        <v>17241</v>
      </c>
      <c r="AJ222" s="150">
        <f t="shared" si="434"/>
        <v>17434</v>
      </c>
      <c r="AK222" s="150">
        <f t="shared" si="434"/>
        <v>17699</v>
      </c>
      <c r="AL222" s="151">
        <f t="shared" si="434"/>
        <v>17891.7</v>
      </c>
      <c r="AM222" s="112">
        <f t="shared" si="434"/>
        <v>17891.7</v>
      </c>
      <c r="AN222" s="149">
        <f t="shared" si="434"/>
        <v>18126.5</v>
      </c>
      <c r="AO222" s="150">
        <f>+AO204</f>
        <v>18386.199999999997</v>
      </c>
      <c r="AP222" s="150">
        <f>+AP204</f>
        <v>17321.900000000001</v>
      </c>
      <c r="AQ222" s="151">
        <f>+AQ204</f>
        <v>17397</v>
      </c>
      <c r="AR222" s="112">
        <f>+AR204</f>
        <v>17397</v>
      </c>
      <c r="AS222" s="149">
        <f>+AS204</f>
        <v>17688.7</v>
      </c>
      <c r="AT222" s="150">
        <f>+AS222+AT133+AT149+AT150</f>
        <v>17771.400000000001</v>
      </c>
      <c r="AU222" s="150">
        <f>+AU204</f>
        <v>18078.400000000001</v>
      </c>
      <c r="AV222" s="151">
        <f>+AV204</f>
        <v>18298.900000000001</v>
      </c>
      <c r="AW222" s="112">
        <f>+AW204</f>
        <v>18298.900000000001</v>
      </c>
      <c r="AX222" s="149">
        <f>+AW222+AX133+AX149+AX150</f>
        <v>18497.330352294422</v>
      </c>
      <c r="AY222" s="150">
        <f>+AX222+AY133+AY149+AY150</f>
        <v>18610.491928885505</v>
      </c>
      <c r="AZ222" s="150">
        <f>+AY222+AZ133+AZ149+AZ150</f>
        <v>18931.738592877889</v>
      </c>
      <c r="BA222" s="151">
        <f>+AZ222+BA133+BA149+BA150</f>
        <v>19062.20899788622</v>
      </c>
      <c r="BB222" s="112">
        <f>+BB204</f>
        <v>19062.208997886217</v>
      </c>
      <c r="BC222" s="149">
        <f>+BB222+BC133+BC149+BC150</f>
        <v>19331.372648117169</v>
      </c>
      <c r="BD222" s="150">
        <f>+BC222+BD133+BD149+BD150</f>
        <v>19484.786179735816</v>
      </c>
      <c r="BE222" s="150">
        <f>+BD222+BE133+BE149+BE150</f>
        <v>19790.571808499488</v>
      </c>
      <c r="BF222" s="151">
        <f>+BE222+BF133+BF149+BF150</f>
        <v>19924.685048120537</v>
      </c>
      <c r="BG222" s="112">
        <f>+BG204</f>
        <v>19924.685048120533</v>
      </c>
      <c r="BH222" s="149">
        <f>+BG222+BH133+BH149+BH150</f>
        <v>20290.041347806942</v>
      </c>
      <c r="BI222" s="150">
        <f>+BH222+BI133+BI149+BI150</f>
        <v>20552.726144278608</v>
      </c>
      <c r="BJ222" s="150">
        <f>+BI222+BJ133+BJ149+BJ150</f>
        <v>21014.222344046237</v>
      </c>
      <c r="BK222" s="151">
        <f>+BJ222+BK133+BK149+BK150</f>
        <v>21278.741634129572</v>
      </c>
      <c r="BL222" s="112">
        <f>+BL204</f>
        <v>21278.741634129572</v>
      </c>
      <c r="BM222" s="149">
        <f>+BL222+BM133+BM149+BM150</f>
        <v>21757.470374870165</v>
      </c>
      <c r="BN222" s="150">
        <f>+BM222+BN133+BN149+BN150</f>
        <v>22140.791218706894</v>
      </c>
      <c r="BO222" s="150">
        <f>+BN222+BO133+BO149+BO150</f>
        <v>22684.042804364559</v>
      </c>
      <c r="BP222" s="151">
        <f>+BO222+BP133+BP149+BP150</f>
        <v>23045.480702061188</v>
      </c>
      <c r="BQ222" s="112">
        <f>+BQ204</f>
        <v>23045.480702061181</v>
      </c>
      <c r="BR222" s="491"/>
      <c r="BS222" s="491"/>
      <c r="BT222" s="491"/>
      <c r="BU222" s="491"/>
      <c r="BV222" s="491"/>
    </row>
    <row r="223" spans="1:74">
      <c r="A223" s="75"/>
      <c r="B223" s="75"/>
      <c r="C223" s="269" t="s">
        <v>185</v>
      </c>
      <c r="D223" s="75"/>
      <c r="E223" s="270">
        <f t="shared" ref="E223:O223" si="435">+E222/E225</f>
        <v>0.36724981567129167</v>
      </c>
      <c r="F223" s="271">
        <f t="shared" si="435"/>
        <v>0.42427365201781797</v>
      </c>
      <c r="G223" s="271">
        <f t="shared" si="435"/>
        <v>0.425122030589001</v>
      </c>
      <c r="H223" s="272">
        <f t="shared" si="435"/>
        <v>0.42627737226277373</v>
      </c>
      <c r="I223" s="273">
        <f t="shared" si="435"/>
        <v>0.42627737226277373</v>
      </c>
      <c r="J223" s="270">
        <f t="shared" si="435"/>
        <v>0.41660934275529987</v>
      </c>
      <c r="K223" s="271">
        <f t="shared" si="435"/>
        <v>0.41273988367391373</v>
      </c>
      <c r="L223" s="271">
        <f t="shared" si="435"/>
        <v>0.42066352462803808</v>
      </c>
      <c r="M223" s="272">
        <f t="shared" si="435"/>
        <v>0.42784007035396843</v>
      </c>
      <c r="N223" s="273">
        <f t="shared" si="435"/>
        <v>0.42784007035396843</v>
      </c>
      <c r="O223" s="270">
        <f t="shared" si="435"/>
        <v>0.42627768840490038</v>
      </c>
      <c r="P223" s="271">
        <f t="shared" ref="P223:V223" si="436">+P222/P225</f>
        <v>0.43190902612090604</v>
      </c>
      <c r="Q223" s="271">
        <f t="shared" si="436"/>
        <v>0.45166759139387214</v>
      </c>
      <c r="R223" s="272">
        <f t="shared" si="436"/>
        <v>0.44666463600365519</v>
      </c>
      <c r="S223" s="273">
        <f t="shared" si="436"/>
        <v>0.44666463600365519</v>
      </c>
      <c r="T223" s="270">
        <f t="shared" si="436"/>
        <v>0.44711972551616203</v>
      </c>
      <c r="U223" s="271">
        <f t="shared" si="436"/>
        <v>0.44774293642032403</v>
      </c>
      <c r="V223" s="271">
        <f t="shared" si="436"/>
        <v>0.45352454887552224</v>
      </c>
      <c r="W223" s="272">
        <f t="shared" ref="W223:AB223" si="437">+W222/W225</f>
        <v>0.44847682119205295</v>
      </c>
      <c r="X223" s="273">
        <f t="shared" si="437"/>
        <v>0.44847682119205295</v>
      </c>
      <c r="Y223" s="270">
        <f t="shared" si="437"/>
        <v>0.44957872948310545</v>
      </c>
      <c r="Z223" s="271">
        <f t="shared" si="437"/>
        <v>0.44784250425157812</v>
      </c>
      <c r="AA223" s="271">
        <f t="shared" si="437"/>
        <v>0.45623480375130254</v>
      </c>
      <c r="AB223" s="272">
        <f t="shared" si="437"/>
        <v>0.45671370567023484</v>
      </c>
      <c r="AC223" s="273">
        <f t="shared" ref="AC223:AH223" si="438">+AC222/AC225</f>
        <v>0.45671370567023484</v>
      </c>
      <c r="AD223" s="270">
        <f t="shared" si="438"/>
        <v>0.45809962327333614</v>
      </c>
      <c r="AE223" s="271">
        <f t="shared" si="438"/>
        <v>0.45819056040676465</v>
      </c>
      <c r="AF223" s="271">
        <f t="shared" si="438"/>
        <v>0.46586389748121965</v>
      </c>
      <c r="AG223" s="272">
        <f t="shared" si="438"/>
        <v>0.45644504748982362</v>
      </c>
      <c r="AH223" s="273">
        <f t="shared" si="438"/>
        <v>0.45644504748982362</v>
      </c>
      <c r="AI223" s="270">
        <f t="shared" ref="AI223:AN223" si="439">+AI222/AI225</f>
        <v>0.46191560616208976</v>
      </c>
      <c r="AJ223" s="271">
        <f t="shared" si="439"/>
        <v>0.4573812209775166</v>
      </c>
      <c r="AK223" s="271">
        <f t="shared" si="439"/>
        <v>0.46690584852401928</v>
      </c>
      <c r="AL223" s="272">
        <f t="shared" si="439"/>
        <v>0.46758083231410918</v>
      </c>
      <c r="AM223" s="273">
        <f t="shared" si="439"/>
        <v>0.46758083231410918</v>
      </c>
      <c r="AN223" s="270">
        <f t="shared" si="439"/>
        <v>0.46323674102545104</v>
      </c>
      <c r="AO223" s="271">
        <f t="shared" ref="AO223:AT223" si="440">+AO222/AO225</f>
        <v>0.45976764307255275</v>
      </c>
      <c r="AP223" s="271">
        <f t="shared" si="440"/>
        <v>0.44986222532716619</v>
      </c>
      <c r="AQ223" s="272">
        <f t="shared" si="440"/>
        <v>0.44192509348073483</v>
      </c>
      <c r="AR223" s="273">
        <f t="shared" si="440"/>
        <v>0.44192509348073483</v>
      </c>
      <c r="AS223" s="270">
        <f t="shared" si="440"/>
        <v>0.45991144299045006</v>
      </c>
      <c r="AT223" s="271">
        <f t="shared" si="440"/>
        <v>0.45364135290363755</v>
      </c>
      <c r="AU223" s="271">
        <f>+AU222/AU225</f>
        <v>0.45355424316472404</v>
      </c>
      <c r="AV223" s="272">
        <f t="shared" ref="AV223:AW223" si="441">+AV222/AV225</f>
        <v>0.44511174679159732</v>
      </c>
      <c r="AW223" s="273">
        <f t="shared" si="441"/>
        <v>0.44511174679159732</v>
      </c>
      <c r="AX223" s="270">
        <f t="shared" ref="AX223:BL223" si="442">+AX222/AX225</f>
        <v>0.44286074999841646</v>
      </c>
      <c r="AY223" s="271">
        <f t="shared" si="442"/>
        <v>0.43619316530182145</v>
      </c>
      <c r="AZ223" s="271">
        <f t="shared" si="442"/>
        <v>0.43530716782898854</v>
      </c>
      <c r="BA223" s="272">
        <f t="shared" si="442"/>
        <v>0.42966038486562369</v>
      </c>
      <c r="BB223" s="273">
        <f t="shared" si="442"/>
        <v>0.42966038486562363</v>
      </c>
      <c r="BC223" s="270">
        <f t="shared" si="442"/>
        <v>0.42538762773236916</v>
      </c>
      <c r="BD223" s="271">
        <f t="shared" si="442"/>
        <v>0.41880822120918942</v>
      </c>
      <c r="BE223" s="271">
        <f t="shared" si="442"/>
        <v>0.40246346034135511</v>
      </c>
      <c r="BF223" s="272">
        <f t="shared" si="442"/>
        <v>0.40803010571998494</v>
      </c>
      <c r="BG223" s="273">
        <f t="shared" si="442"/>
        <v>0.40803010571998494</v>
      </c>
      <c r="BH223" s="270">
        <f t="shared" si="442"/>
        <v>0.40404914884542559</v>
      </c>
      <c r="BI223" s="271">
        <f t="shared" si="442"/>
        <v>0.40777810859086228</v>
      </c>
      <c r="BJ223" s="271">
        <f t="shared" si="442"/>
        <v>0.40594157183411778</v>
      </c>
      <c r="BK223" s="272">
        <f t="shared" si="442"/>
        <v>0.40822958045185159</v>
      </c>
      <c r="BL223" s="273">
        <f t="shared" si="442"/>
        <v>0.40822958045185159</v>
      </c>
      <c r="BM223" s="270">
        <f>+BM222/BM225</f>
        <v>0.40065089591646263</v>
      </c>
      <c r="BN223" s="271">
        <f>+BN222/BN225</f>
        <v>0.40242805863691639</v>
      </c>
      <c r="BO223" s="271">
        <f>+BO222/BO225</f>
        <v>0.39907886896466233</v>
      </c>
      <c r="BP223" s="272">
        <f>+BP222/BP225</f>
        <v>0.40691277730675179</v>
      </c>
      <c r="BQ223" s="273">
        <f>+BQ222/BQ225</f>
        <v>0.40691277730675179</v>
      </c>
      <c r="BR223" s="491"/>
      <c r="BS223" s="491"/>
      <c r="BT223" s="491"/>
      <c r="BU223" s="491"/>
      <c r="BV223" s="491"/>
    </row>
    <row r="224" spans="1:74">
      <c r="A224" s="50"/>
      <c r="B224" s="50"/>
      <c r="C224" s="100"/>
      <c r="D224" s="50"/>
      <c r="E224" s="225"/>
      <c r="F224" s="226"/>
      <c r="G224" s="226"/>
      <c r="H224" s="227"/>
      <c r="I224" s="228"/>
      <c r="J224" s="225"/>
      <c r="K224" s="226"/>
      <c r="L224" s="226"/>
      <c r="M224" s="227"/>
      <c r="N224" s="228"/>
      <c r="O224" s="225"/>
      <c r="P224" s="226"/>
      <c r="Q224" s="226"/>
      <c r="R224" s="227"/>
      <c r="S224" s="228"/>
      <c r="T224" s="225"/>
      <c r="U224" s="226"/>
      <c r="V224" s="226"/>
      <c r="W224" s="227"/>
      <c r="X224" s="228"/>
      <c r="Y224" s="225"/>
      <c r="Z224" s="226"/>
      <c r="AA224" s="226"/>
      <c r="AB224" s="227"/>
      <c r="AC224" s="228"/>
      <c r="AD224" s="225"/>
      <c r="AE224" s="226"/>
      <c r="AF224" s="226"/>
      <c r="AG224" s="227"/>
      <c r="AH224" s="228"/>
      <c r="AI224" s="225"/>
      <c r="AJ224" s="226"/>
      <c r="AK224" s="226"/>
      <c r="AL224" s="227"/>
      <c r="AM224" s="228"/>
      <c r="AN224" s="225"/>
      <c r="AO224" s="226"/>
      <c r="AP224" s="226"/>
      <c r="AQ224" s="227"/>
      <c r="AR224" s="228"/>
      <c r="AS224" s="225"/>
      <c r="AT224" s="226"/>
      <c r="AU224" s="226"/>
      <c r="AV224" s="227"/>
      <c r="AW224" s="228"/>
      <c r="AX224" s="225"/>
      <c r="AY224" s="226"/>
      <c r="AZ224" s="226"/>
      <c r="BA224" s="227"/>
      <c r="BB224" s="228"/>
      <c r="BC224" s="225"/>
      <c r="BD224" s="226"/>
      <c r="BE224" s="226"/>
      <c r="BF224" s="227"/>
      <c r="BG224" s="228"/>
      <c r="BH224" s="225"/>
      <c r="BI224" s="226"/>
      <c r="BJ224" s="226"/>
      <c r="BK224" s="227"/>
      <c r="BL224" s="228"/>
      <c r="BM224" s="225"/>
      <c r="BN224" s="226"/>
      <c r="BO224" s="226"/>
      <c r="BP224" s="227"/>
      <c r="BQ224" s="228"/>
      <c r="BR224" s="491"/>
      <c r="BS224" s="491"/>
      <c r="BT224" s="491"/>
      <c r="BU224" s="491"/>
      <c r="BV224" s="491"/>
    </row>
    <row r="225" spans="1:74">
      <c r="A225" s="50"/>
      <c r="B225" s="50"/>
      <c r="C225" s="268" t="s">
        <v>870</v>
      </c>
      <c r="D225" s="50"/>
      <c r="E225" s="149">
        <f t="shared" ref="E225:P225" si="443">+E222+E219+E216</f>
        <v>29838</v>
      </c>
      <c r="F225" s="150">
        <f t="shared" si="443"/>
        <v>30082</v>
      </c>
      <c r="G225" s="150">
        <f t="shared" si="443"/>
        <v>30730</v>
      </c>
      <c r="H225" s="151">
        <f t="shared" si="443"/>
        <v>30825</v>
      </c>
      <c r="I225" s="112">
        <f t="shared" si="443"/>
        <v>30825</v>
      </c>
      <c r="J225" s="149">
        <f t="shared" si="443"/>
        <v>31982</v>
      </c>
      <c r="K225" s="150">
        <f t="shared" si="443"/>
        <v>32151</v>
      </c>
      <c r="L225" s="150">
        <f t="shared" si="443"/>
        <v>32463</v>
      </c>
      <c r="M225" s="151">
        <f t="shared" si="443"/>
        <v>31839</v>
      </c>
      <c r="N225" s="112">
        <f t="shared" si="443"/>
        <v>31839</v>
      </c>
      <c r="O225" s="149">
        <f t="shared" si="443"/>
        <v>32324</v>
      </c>
      <c r="P225" s="150">
        <f t="shared" si="443"/>
        <v>32273</v>
      </c>
      <c r="Q225" s="150">
        <f t="shared" ref="Q225:V225" si="444">+Q222+Q219+Q216</f>
        <v>32442</v>
      </c>
      <c r="R225" s="151">
        <f t="shared" si="444"/>
        <v>32830</v>
      </c>
      <c r="S225" s="112">
        <f t="shared" si="444"/>
        <v>32830</v>
      </c>
      <c r="T225" s="149">
        <f t="shared" si="444"/>
        <v>33226</v>
      </c>
      <c r="U225" s="150">
        <f t="shared" si="444"/>
        <v>33517</v>
      </c>
      <c r="V225" s="150">
        <f t="shared" si="444"/>
        <v>33749</v>
      </c>
      <c r="W225" s="151">
        <f t="shared" ref="W225:AB225" si="445">+W222+W219+W216</f>
        <v>33975</v>
      </c>
      <c r="X225" s="112">
        <f t="shared" si="445"/>
        <v>33975</v>
      </c>
      <c r="Y225" s="149">
        <f t="shared" si="445"/>
        <v>34301</v>
      </c>
      <c r="Z225" s="150">
        <f t="shared" si="445"/>
        <v>34693</v>
      </c>
      <c r="AA225" s="150">
        <f t="shared" si="445"/>
        <v>34548</v>
      </c>
      <c r="AB225" s="151">
        <f t="shared" si="445"/>
        <v>35219</v>
      </c>
      <c r="AC225" s="112">
        <f t="shared" ref="AC225:AH225" si="446">+AC222+AC219+AC216</f>
        <v>35219</v>
      </c>
      <c r="AD225" s="149">
        <f t="shared" si="446"/>
        <v>35835</v>
      </c>
      <c r="AE225" s="150">
        <f t="shared" si="446"/>
        <v>36188</v>
      </c>
      <c r="AF225" s="150">
        <f t="shared" si="446"/>
        <v>36208</v>
      </c>
      <c r="AG225" s="151">
        <f t="shared" si="446"/>
        <v>36850</v>
      </c>
      <c r="AH225" s="112">
        <f t="shared" si="446"/>
        <v>36850</v>
      </c>
      <c r="AI225" s="149">
        <f t="shared" ref="AI225:AN225" si="447">+AI222+AI219+AI216</f>
        <v>37325</v>
      </c>
      <c r="AJ225" s="150">
        <f t="shared" si="447"/>
        <v>38117</v>
      </c>
      <c r="AK225" s="150">
        <f t="shared" si="447"/>
        <v>37907</v>
      </c>
      <c r="AL225" s="151">
        <f t="shared" si="447"/>
        <v>38264.400000000001</v>
      </c>
      <c r="AM225" s="112">
        <f t="shared" si="447"/>
        <v>38264.400000000001</v>
      </c>
      <c r="AN225" s="149">
        <f t="shared" si="447"/>
        <v>39130.1</v>
      </c>
      <c r="AO225" s="150">
        <f t="shared" ref="AO225:AT225" si="448">+AO222+AO219+AO216</f>
        <v>39990.199999999997</v>
      </c>
      <c r="AP225" s="150">
        <f t="shared" si="448"/>
        <v>38504.9</v>
      </c>
      <c r="AQ225" s="151">
        <f t="shared" si="448"/>
        <v>39366.400000000001</v>
      </c>
      <c r="AR225" s="112">
        <f t="shared" si="448"/>
        <v>39366.400000000001</v>
      </c>
      <c r="AS225" s="149">
        <f t="shared" si="448"/>
        <v>38461.100000000006</v>
      </c>
      <c r="AT225" s="150">
        <f t="shared" si="448"/>
        <v>39175</v>
      </c>
      <c r="AU225" s="150">
        <f>+AU222+AU219+AU216</f>
        <v>39859.4</v>
      </c>
      <c r="AV225" s="151">
        <f t="shared" ref="AV225:AW225" si="449">+AV222+AV219+AV216</f>
        <v>41110.800000000003</v>
      </c>
      <c r="AW225" s="112">
        <f t="shared" si="449"/>
        <v>41110.800000000003</v>
      </c>
      <c r="AX225" s="149">
        <f t="shared" ref="AX225:BL225" si="450">+AX222+AX219+AX216</f>
        <v>41767.825106109682</v>
      </c>
      <c r="AY225" s="150">
        <f t="shared" si="450"/>
        <v>42665.711912308572</v>
      </c>
      <c r="AZ225" s="150">
        <f t="shared" si="450"/>
        <v>43490.528050103851</v>
      </c>
      <c r="BA225" s="151">
        <f t="shared" si="450"/>
        <v>44365.758793070781</v>
      </c>
      <c r="BB225" s="112">
        <f t="shared" si="450"/>
        <v>44365.758793070781</v>
      </c>
      <c r="BC225" s="149">
        <f t="shared" si="450"/>
        <v>45444.134685269739</v>
      </c>
      <c r="BD225" s="150">
        <f t="shared" si="450"/>
        <v>46524.364119403021</v>
      </c>
      <c r="BE225" s="150">
        <f t="shared" si="450"/>
        <v>49173.58657035308</v>
      </c>
      <c r="BF225" s="151">
        <f t="shared" si="450"/>
        <v>48831.409174974127</v>
      </c>
      <c r="BG225" s="112">
        <f t="shared" si="450"/>
        <v>48831.40917497412</v>
      </c>
      <c r="BH225" s="149">
        <f t="shared" si="450"/>
        <v>50216.765474660533</v>
      </c>
      <c r="BI225" s="150">
        <f t="shared" si="450"/>
        <v>50401.739846461111</v>
      </c>
      <c r="BJ225" s="150">
        <f t="shared" si="450"/>
        <v>51766.618159111327</v>
      </c>
      <c r="BK225" s="151">
        <f t="shared" si="450"/>
        <v>52124.448234684649</v>
      </c>
      <c r="BL225" s="112">
        <f t="shared" si="450"/>
        <v>52124.448234684649</v>
      </c>
      <c r="BM225" s="149">
        <f>+BM222+BM219+BM216</f>
        <v>54305.308178835789</v>
      </c>
      <c r="BN225" s="150">
        <f>+BN222+BN219+BN216</f>
        <v>55018.010656863844</v>
      </c>
      <c r="BO225" s="150">
        <f>+BO222+BO219+BO216</f>
        <v>56841.002038554907</v>
      </c>
      <c r="BP225" s="151">
        <f>+BP222+BP219+BP216</f>
        <v>56634.93993625154</v>
      </c>
      <c r="BQ225" s="112">
        <f>+BQ222+BQ219+BQ216</f>
        <v>56634.939936251525</v>
      </c>
      <c r="BR225" s="491"/>
      <c r="BS225" s="491"/>
      <c r="BT225" s="491"/>
      <c r="BU225" s="491"/>
      <c r="BV225" s="491"/>
    </row>
    <row r="226" spans="1:74">
      <c r="A226" s="75"/>
      <c r="B226" s="75"/>
      <c r="C226" s="269" t="s">
        <v>185</v>
      </c>
      <c r="D226" s="75"/>
      <c r="E226" s="270">
        <f t="shared" ref="E226:P226" si="451">(E216+E219+E222)/E225</f>
        <v>1</v>
      </c>
      <c r="F226" s="271">
        <f t="shared" si="451"/>
        <v>1</v>
      </c>
      <c r="G226" s="271">
        <f t="shared" si="451"/>
        <v>1</v>
      </c>
      <c r="H226" s="272">
        <f t="shared" si="451"/>
        <v>1</v>
      </c>
      <c r="I226" s="273">
        <f t="shared" si="451"/>
        <v>1</v>
      </c>
      <c r="J226" s="270">
        <f t="shared" si="451"/>
        <v>1</v>
      </c>
      <c r="K226" s="271">
        <f t="shared" si="451"/>
        <v>1</v>
      </c>
      <c r="L226" s="271">
        <f t="shared" si="451"/>
        <v>1</v>
      </c>
      <c r="M226" s="272">
        <f t="shared" si="451"/>
        <v>1</v>
      </c>
      <c r="N226" s="273">
        <f t="shared" si="451"/>
        <v>1</v>
      </c>
      <c r="O226" s="270">
        <f t="shared" si="451"/>
        <v>1</v>
      </c>
      <c r="P226" s="271">
        <f t="shared" si="451"/>
        <v>1</v>
      </c>
      <c r="Q226" s="271">
        <f t="shared" ref="Q226:V226" si="452">(Q216+Q219+Q222)/Q225</f>
        <v>1</v>
      </c>
      <c r="R226" s="272">
        <f t="shared" si="452"/>
        <v>1</v>
      </c>
      <c r="S226" s="273">
        <f t="shared" si="452"/>
        <v>1</v>
      </c>
      <c r="T226" s="270">
        <f t="shared" si="452"/>
        <v>1</v>
      </c>
      <c r="U226" s="271">
        <f t="shared" si="452"/>
        <v>1</v>
      </c>
      <c r="V226" s="271">
        <f t="shared" si="452"/>
        <v>1</v>
      </c>
      <c r="W226" s="272">
        <f t="shared" ref="W226:AB226" si="453">(W216+W219+W222)/W225</f>
        <v>1</v>
      </c>
      <c r="X226" s="273">
        <f t="shared" si="453"/>
        <v>1</v>
      </c>
      <c r="Y226" s="270">
        <f t="shared" si="453"/>
        <v>1</v>
      </c>
      <c r="Z226" s="271">
        <f t="shared" si="453"/>
        <v>1</v>
      </c>
      <c r="AA226" s="271">
        <f t="shared" si="453"/>
        <v>1</v>
      </c>
      <c r="AB226" s="272">
        <f t="shared" si="453"/>
        <v>1</v>
      </c>
      <c r="AC226" s="273">
        <f t="shared" ref="AC226:AH226" si="454">(AC216+AC219+AC222)/AC225</f>
        <v>1</v>
      </c>
      <c r="AD226" s="270">
        <f t="shared" si="454"/>
        <v>1</v>
      </c>
      <c r="AE226" s="271">
        <f t="shared" si="454"/>
        <v>1</v>
      </c>
      <c r="AF226" s="271">
        <f t="shared" si="454"/>
        <v>1</v>
      </c>
      <c r="AG226" s="272">
        <f t="shared" si="454"/>
        <v>1</v>
      </c>
      <c r="AH226" s="273">
        <f t="shared" si="454"/>
        <v>1</v>
      </c>
      <c r="AI226" s="270">
        <f t="shared" ref="AI226:AN226" si="455">(AI216+AI219+AI222)/AI225</f>
        <v>1</v>
      </c>
      <c r="AJ226" s="271">
        <f t="shared" si="455"/>
        <v>1</v>
      </c>
      <c r="AK226" s="271">
        <f t="shared" si="455"/>
        <v>1</v>
      </c>
      <c r="AL226" s="272">
        <f t="shared" si="455"/>
        <v>1</v>
      </c>
      <c r="AM226" s="273">
        <f t="shared" si="455"/>
        <v>1</v>
      </c>
      <c r="AN226" s="270">
        <f t="shared" si="455"/>
        <v>1</v>
      </c>
      <c r="AO226" s="271">
        <f t="shared" ref="AO226:AT226" si="456">(AO216+AO219+AO222)/AO225</f>
        <v>1</v>
      </c>
      <c r="AP226" s="271">
        <f t="shared" si="456"/>
        <v>1</v>
      </c>
      <c r="AQ226" s="272">
        <f t="shared" si="456"/>
        <v>1</v>
      </c>
      <c r="AR226" s="273">
        <f t="shared" si="456"/>
        <v>1</v>
      </c>
      <c r="AS226" s="270">
        <f t="shared" si="456"/>
        <v>1</v>
      </c>
      <c r="AT226" s="271">
        <f t="shared" si="456"/>
        <v>1</v>
      </c>
      <c r="AU226" s="271">
        <f>(AU216+AU219+AU222)/AU225</f>
        <v>1</v>
      </c>
      <c r="AV226" s="272">
        <f t="shared" ref="AV226:AW226" si="457">(AV216+AV219+AV222)/AV225</f>
        <v>1</v>
      </c>
      <c r="AW226" s="273">
        <f t="shared" si="457"/>
        <v>1</v>
      </c>
      <c r="AX226" s="270">
        <f t="shared" ref="AX226:BL226" si="458">(AX216+AX219+AX222)/AX225</f>
        <v>1</v>
      </c>
      <c r="AY226" s="271">
        <f t="shared" si="458"/>
        <v>1</v>
      </c>
      <c r="AZ226" s="271">
        <f t="shared" si="458"/>
        <v>1</v>
      </c>
      <c r="BA226" s="272">
        <f t="shared" si="458"/>
        <v>1</v>
      </c>
      <c r="BB226" s="273">
        <f t="shared" si="458"/>
        <v>1</v>
      </c>
      <c r="BC226" s="270">
        <f t="shared" si="458"/>
        <v>1</v>
      </c>
      <c r="BD226" s="271">
        <f t="shared" si="458"/>
        <v>1</v>
      </c>
      <c r="BE226" s="271">
        <f t="shared" si="458"/>
        <v>1</v>
      </c>
      <c r="BF226" s="272">
        <f t="shared" si="458"/>
        <v>1</v>
      </c>
      <c r="BG226" s="273">
        <f t="shared" si="458"/>
        <v>1</v>
      </c>
      <c r="BH226" s="270">
        <f t="shared" si="458"/>
        <v>1</v>
      </c>
      <c r="BI226" s="271">
        <f t="shared" si="458"/>
        <v>1</v>
      </c>
      <c r="BJ226" s="271">
        <f t="shared" si="458"/>
        <v>1</v>
      </c>
      <c r="BK226" s="272">
        <f t="shared" si="458"/>
        <v>1</v>
      </c>
      <c r="BL226" s="273">
        <f t="shared" si="458"/>
        <v>1</v>
      </c>
      <c r="BM226" s="270">
        <f>(BM216+BM219+BM222)/BM225</f>
        <v>1</v>
      </c>
      <c r="BN226" s="271">
        <f>(BN216+BN219+BN222)/BN225</f>
        <v>1</v>
      </c>
      <c r="BO226" s="271">
        <f>(BO216+BO219+BO222)/BO225</f>
        <v>1</v>
      </c>
      <c r="BP226" s="272">
        <f>(BP216+BP219+BP222)/BP225</f>
        <v>1</v>
      </c>
      <c r="BQ226" s="273">
        <f>(BQ216+BQ219+BQ222)/BQ225</f>
        <v>1</v>
      </c>
      <c r="BR226" s="491"/>
      <c r="BS226" s="491"/>
      <c r="BT226" s="491"/>
      <c r="BU226" s="491"/>
      <c r="BV226" s="491"/>
    </row>
    <row r="227" spans="1:74">
      <c r="A227" s="50"/>
      <c r="B227" s="50"/>
      <c r="C227" s="50"/>
      <c r="D227" s="50"/>
      <c r="E227" s="225"/>
      <c r="F227" s="226"/>
      <c r="G227" s="226"/>
      <c r="H227" s="227"/>
      <c r="I227" s="228"/>
      <c r="J227" s="225"/>
      <c r="K227" s="226"/>
      <c r="L227" s="226"/>
      <c r="M227" s="227"/>
      <c r="N227" s="228"/>
      <c r="O227" s="225"/>
      <c r="P227" s="226"/>
      <c r="Q227" s="226"/>
      <c r="R227" s="227"/>
      <c r="S227" s="228"/>
      <c r="T227" s="225"/>
      <c r="U227" s="226"/>
      <c r="V227" s="226"/>
      <c r="W227" s="227"/>
      <c r="X227" s="228"/>
      <c r="Y227" s="225"/>
      <c r="Z227" s="226"/>
      <c r="AA227" s="226"/>
      <c r="AB227" s="227"/>
      <c r="AC227" s="228"/>
      <c r="AD227" s="225"/>
      <c r="AE227" s="226"/>
      <c r="AF227" s="226"/>
      <c r="AG227" s="227"/>
      <c r="AH227" s="228"/>
      <c r="AI227" s="225"/>
      <c r="AJ227" s="226"/>
      <c r="AK227" s="226"/>
      <c r="AL227" s="227"/>
      <c r="AM227" s="228"/>
      <c r="AN227" s="225"/>
      <c r="AO227" s="226"/>
      <c r="AP227" s="226"/>
      <c r="AQ227" s="227"/>
      <c r="AR227" s="228"/>
      <c r="AS227" s="225"/>
      <c r="AT227" s="226"/>
      <c r="AU227" s="226"/>
      <c r="AV227" s="227"/>
      <c r="AW227" s="228"/>
      <c r="AX227" s="225"/>
      <c r="AY227" s="226"/>
      <c r="AZ227" s="226"/>
      <c r="BA227" s="227"/>
      <c r="BB227" s="228"/>
      <c r="BC227" s="225"/>
      <c r="BD227" s="226"/>
      <c r="BE227" s="226"/>
      <c r="BF227" s="227"/>
      <c r="BG227" s="228"/>
      <c r="BH227" s="225"/>
      <c r="BI227" s="226"/>
      <c r="BJ227" s="226"/>
      <c r="BK227" s="227"/>
      <c r="BL227" s="228"/>
      <c r="BM227" s="225"/>
      <c r="BN227" s="226"/>
      <c r="BO227" s="226"/>
      <c r="BP227" s="227"/>
      <c r="BQ227" s="228"/>
      <c r="BR227" s="491"/>
      <c r="BS227" s="491"/>
      <c r="BT227" s="491"/>
      <c r="BU227" s="491"/>
      <c r="BV227" s="491"/>
    </row>
    <row r="228" spans="1:74">
      <c r="A228" s="50"/>
      <c r="B228" s="50"/>
      <c r="C228" s="50"/>
      <c r="D228" s="50"/>
      <c r="E228" s="225"/>
      <c r="F228" s="226"/>
      <c r="G228" s="226"/>
      <c r="H228" s="227"/>
      <c r="I228" s="228"/>
      <c r="J228" s="225"/>
      <c r="K228" s="226"/>
      <c r="L228" s="226"/>
      <c r="M228" s="227"/>
      <c r="N228" s="228"/>
      <c r="O228" s="225"/>
      <c r="P228" s="226"/>
      <c r="Q228" s="226"/>
      <c r="R228" s="227"/>
      <c r="S228" s="228"/>
      <c r="T228" s="225"/>
      <c r="U228" s="226"/>
      <c r="V228" s="226"/>
      <c r="W228" s="227"/>
      <c r="X228" s="228"/>
      <c r="Y228" s="225"/>
      <c r="Z228" s="226"/>
      <c r="AA228" s="226"/>
      <c r="AB228" s="227"/>
      <c r="AC228" s="228"/>
      <c r="AD228" s="225"/>
      <c r="AE228" s="226"/>
      <c r="AF228" s="226"/>
      <c r="AG228" s="227"/>
      <c r="AH228" s="228"/>
      <c r="AI228" s="225"/>
      <c r="AJ228" s="226"/>
      <c r="AK228" s="226"/>
      <c r="AL228" s="227"/>
      <c r="AM228" s="228"/>
      <c r="AN228" s="225"/>
      <c r="AO228" s="226"/>
      <c r="AP228" s="226"/>
      <c r="AQ228" s="227"/>
      <c r="AR228" s="228"/>
      <c r="AS228" s="225"/>
      <c r="AT228" s="226"/>
      <c r="AU228" s="226"/>
      <c r="AV228" s="227"/>
      <c r="AW228" s="228"/>
      <c r="AX228" s="225"/>
      <c r="AY228" s="226"/>
      <c r="AZ228" s="226"/>
      <c r="BA228" s="227"/>
      <c r="BB228" s="228"/>
      <c r="BC228" s="225"/>
      <c r="BD228" s="226"/>
      <c r="BE228" s="226"/>
      <c r="BF228" s="227"/>
      <c r="BG228" s="228"/>
      <c r="BH228" s="225"/>
      <c r="BI228" s="226"/>
      <c r="BJ228" s="226"/>
      <c r="BK228" s="227"/>
      <c r="BL228" s="228"/>
      <c r="BM228" s="225"/>
      <c r="BN228" s="226"/>
      <c r="BO228" s="226"/>
      <c r="BP228" s="227"/>
      <c r="BQ228" s="228"/>
      <c r="BR228" s="491"/>
      <c r="BS228" s="491"/>
      <c r="BT228" s="491"/>
      <c r="BU228" s="491"/>
      <c r="BV228" s="491"/>
    </row>
    <row r="229" spans="1:74">
      <c r="A229" s="50"/>
      <c r="B229" s="46" t="s">
        <v>187</v>
      </c>
      <c r="C229" s="46"/>
      <c r="D229" s="47"/>
      <c r="E229" s="225"/>
      <c r="F229" s="226"/>
      <c r="G229" s="226"/>
      <c r="H229" s="227"/>
      <c r="I229" s="228"/>
      <c r="J229" s="225"/>
      <c r="K229" s="226"/>
      <c r="L229" s="226"/>
      <c r="M229" s="227"/>
      <c r="N229" s="228"/>
      <c r="O229" s="225"/>
      <c r="P229" s="226"/>
      <c r="Q229" s="226"/>
      <c r="R229" s="227"/>
      <c r="S229" s="228"/>
      <c r="T229" s="225"/>
      <c r="U229" s="226"/>
      <c r="V229" s="226"/>
      <c r="W229" s="227"/>
      <c r="X229" s="228"/>
      <c r="Y229" s="225"/>
      <c r="Z229" s="226"/>
      <c r="AA229" s="226"/>
      <c r="AB229" s="227"/>
      <c r="AC229" s="228"/>
      <c r="AD229" s="225"/>
      <c r="AE229" s="226"/>
      <c r="AF229" s="226"/>
      <c r="AG229" s="227"/>
      <c r="AH229" s="228"/>
      <c r="AI229" s="225"/>
      <c r="AJ229" s="226"/>
      <c r="AK229" s="226"/>
      <c r="AL229" s="227"/>
      <c r="AM229" s="228"/>
      <c r="AN229" s="225"/>
      <c r="AO229" s="226"/>
      <c r="AP229" s="226"/>
      <c r="AQ229" s="227"/>
      <c r="AR229" s="228"/>
      <c r="AS229" s="225"/>
      <c r="AT229" s="226"/>
      <c r="AU229" s="226"/>
      <c r="AV229" s="227"/>
      <c r="AW229" s="228"/>
      <c r="AX229" s="225"/>
      <c r="AY229" s="226"/>
      <c r="AZ229" s="226"/>
      <c r="BA229" s="227"/>
      <c r="BB229" s="228"/>
      <c r="BC229" s="225"/>
      <c r="BD229" s="226"/>
      <c r="BE229" s="226"/>
      <c r="BF229" s="227"/>
      <c r="BG229" s="228"/>
      <c r="BH229" s="225"/>
      <c r="BI229" s="226"/>
      <c r="BJ229" s="226"/>
      <c r="BK229" s="227"/>
      <c r="BL229" s="228"/>
      <c r="BM229" s="225"/>
      <c r="BN229" s="226"/>
      <c r="BO229" s="226"/>
      <c r="BP229" s="227"/>
      <c r="BQ229" s="228"/>
      <c r="BR229" s="491"/>
      <c r="BS229" s="491"/>
      <c r="BT229" s="491"/>
      <c r="BU229" s="491"/>
      <c r="BV229" s="491"/>
    </row>
    <row r="230" spans="1:74">
      <c r="A230" s="50"/>
      <c r="B230" s="50"/>
      <c r="C230" s="50" t="s">
        <v>188</v>
      </c>
      <c r="D230" s="50"/>
      <c r="E230" s="225"/>
      <c r="F230" s="226"/>
      <c r="G230" s="150"/>
      <c r="H230" s="144">
        <f>SUM(E48:H48)+SUM(E13:H13)</f>
        <v>2959</v>
      </c>
      <c r="I230" s="109">
        <f>I48+I13</f>
        <v>2959</v>
      </c>
      <c r="J230" s="161">
        <f>SUM(J48,F48:H48)+SUM(J13,F13:H13)</f>
        <v>2969</v>
      </c>
      <c r="K230" s="160">
        <f>SUM(J48:K48,G48:H48)+SUM(J13:K13,G13:H13)</f>
        <v>2792</v>
      </c>
      <c r="L230" s="160">
        <f>SUM(J48:L48,H48)+SUM(J13:L13,H13)</f>
        <v>2907</v>
      </c>
      <c r="M230" s="144">
        <f>SUM(J48:M48)+SUM(J13:M13)</f>
        <v>2852</v>
      </c>
      <c r="N230" s="109">
        <f>N48+N13</f>
        <v>2852</v>
      </c>
      <c r="O230" s="161">
        <f>SUM(O48,K48:M48)+SUM(O13,K13:M13)</f>
        <v>2895</v>
      </c>
      <c r="P230" s="160">
        <f>SUM(O48:P48,L48:M48)+SUM(O13:P13,L13:M13)</f>
        <v>3116</v>
      </c>
      <c r="Q230" s="160">
        <f>SUM(O48:Q48,M48)+SUM(O13:Q13,M13)</f>
        <v>3148</v>
      </c>
      <c r="R230" s="144">
        <f>SUM(O48:R48)+SUM(O13:R13)</f>
        <v>3159</v>
      </c>
      <c r="S230" s="109">
        <f>S48+S13</f>
        <v>3159</v>
      </c>
      <c r="T230" s="161">
        <f>SUM(T48,P48:R48)+SUM(T13,P13:R13)</f>
        <v>3176</v>
      </c>
      <c r="U230" s="160">
        <f>SUM(T48:U48,Q48:R48)+SUM(T13:U13,Q13:R13)</f>
        <v>3244</v>
      </c>
      <c r="V230" s="160">
        <f>SUM(T48:V48,R48)+SUM(T13:V13,R13)</f>
        <v>3199</v>
      </c>
      <c r="W230" s="144">
        <f>SUM(T48:W48)+SUM(T13:W13)</f>
        <v>3279</v>
      </c>
      <c r="X230" s="109">
        <f>X48+X13</f>
        <v>3279</v>
      </c>
      <c r="Y230" s="161">
        <f>SUM(Y48,U48:W48)+SUM(Y13,U13:W13)</f>
        <v>3274</v>
      </c>
      <c r="Z230" s="160">
        <f>SUM(Y48:Z48,V48:W48)+SUM(Y13:Z13,V13:W13)</f>
        <v>3244</v>
      </c>
      <c r="AA230" s="160">
        <f>SUM(Y48:AA48,W48)+SUM(Y13:AA13,W13)</f>
        <v>3258</v>
      </c>
      <c r="AB230" s="144">
        <f>SUM(Y48:AB48)+SUM(Y13:AB13)</f>
        <v>3316</v>
      </c>
      <c r="AC230" s="109">
        <f>AC48+AC13</f>
        <v>3316</v>
      </c>
      <c r="AD230" s="161">
        <f>SUM(AD48,Z48:AB48)+SUM(AD13,Z13:AB13)</f>
        <v>3560</v>
      </c>
      <c r="AE230" s="160">
        <f>SUM(AD48:AE48,AA48:AB48)+SUM(AD13:AE13,AA13:AB13)</f>
        <v>3593</v>
      </c>
      <c r="AF230" s="160">
        <f>SUM(AD48:AF48,AB48)+SUM(AD13:AF13,AB13)</f>
        <v>3613</v>
      </c>
      <c r="AG230" s="144">
        <f>SUM(AD48:AG48)+SUM(AD13:AG13)</f>
        <v>3604</v>
      </c>
      <c r="AH230" s="109">
        <f>AH48+AH13</f>
        <v>3604</v>
      </c>
      <c r="AI230" s="161">
        <f>SUM(AI48,AE48:AG48)+SUM(AI13,AE13:AG13)</f>
        <v>3683</v>
      </c>
      <c r="AJ230" s="160">
        <f>SUM(AI48:AJ48,AF48:AG48)+SUM(AI13:AJ13,AF13:AG13)</f>
        <v>3785</v>
      </c>
      <c r="AK230" s="160">
        <f>SUM(AI48:AK48,AG48)+SUM(AI13:AK13,AG13)</f>
        <v>3841</v>
      </c>
      <c r="AL230" s="144">
        <f>SUM(AI48:AL48)+SUM(AI13:AL13)</f>
        <v>3817.8000000000011</v>
      </c>
      <c r="AM230" s="109">
        <f>AM48+AM13</f>
        <v>3817.8</v>
      </c>
      <c r="AN230" s="161">
        <f>SUM(AN48,AJ48:AL48)+SUM(AN13,AJ13:AL13)</f>
        <v>3686.1000000000013</v>
      </c>
      <c r="AO230" s="160">
        <f>SUM(AN48:AO48,AK48:AL48)+SUM(AN13:AO13,AK13:AL13)</f>
        <v>3730.6000000000013</v>
      </c>
      <c r="AP230" s="160">
        <f>SUM(AN48:AP48,AL48)+SUM(AN13:AP13,AL13)</f>
        <v>3853.6000000000013</v>
      </c>
      <c r="AQ230" s="144">
        <f>SUM(AN48:AQ48)+SUM(AN13:AQ13)</f>
        <v>3899.3</v>
      </c>
      <c r="AR230" s="109">
        <f>AR48+AR13</f>
        <v>3899.2999999999993</v>
      </c>
      <c r="AS230" s="161">
        <f>SUM(AS48,AO48:AQ48)+SUM(AS13,AO13:AQ13)</f>
        <v>3857.2000000000003</v>
      </c>
      <c r="AT230" s="160">
        <f>SUM(AS48:AT48,AP48:AQ48)+SUM(AS13:AT13,AP13:AQ13)</f>
        <v>3733.5999999999995</v>
      </c>
      <c r="AU230" s="160">
        <f>SUM(AS48:AU48,AQ48)+SUM(AS13:AU13,AQ13)</f>
        <v>3616.2</v>
      </c>
      <c r="AV230" s="144">
        <f>SUM(AS48:AV48)+SUM(AS13:AV13)</f>
        <v>3805.0999999999995</v>
      </c>
      <c r="AW230" s="109">
        <f>AW48+AW13</f>
        <v>3805.099999999999</v>
      </c>
      <c r="AX230" s="161">
        <f>SUM(AX48,AT48:AV48)+SUM(AX13,AT13:AV13)</f>
        <v>3849.1651630087663</v>
      </c>
      <c r="AY230" s="160">
        <f>SUM(AX48:AY48,AU48:AV48)+SUM(AX13:AY13,AU13:AV13)</f>
        <v>3908.0727948167641</v>
      </c>
      <c r="AZ230" s="160">
        <f>SUM(AX48:AZ48,AV48)+SUM(AX13:AZ13,AV13)</f>
        <v>3975.4245059865889</v>
      </c>
      <c r="BA230" s="144">
        <f>SUM(AX48:BA48)+SUM(AX13:BA13)</f>
        <v>4003.7829539496806</v>
      </c>
      <c r="BB230" s="109">
        <f>BB48+BB13</f>
        <v>4003.7829539496806</v>
      </c>
      <c r="BC230" s="161">
        <f>SUM(BC48,AY48:BA48)+SUM(BC13,AY13:BA13)</f>
        <v>4112.2434379463284</v>
      </c>
      <c r="BD230" s="160">
        <f>SUM(BC48:BD48,AZ48:BA48)+SUM(BC13:BD13,AZ13:BA13)</f>
        <v>4195.99289535555</v>
      </c>
      <c r="BE230" s="160">
        <f>SUM(BC48:BE48,BA48)+SUM(BC13:BE13,BA13)</f>
        <v>4224.5037702830987</v>
      </c>
      <c r="BF230" s="144">
        <f>SUM(BC48:BF48)+SUM(BC13:BF13)</f>
        <v>4273.1218663224463</v>
      </c>
      <c r="BG230" s="109">
        <f>BG48+BG13</f>
        <v>4273.1218663224463</v>
      </c>
      <c r="BH230" s="161">
        <f>SUM(BH48,BD48:BF48)+SUM(BH13,BD13:BF13)</f>
        <v>4321.0472668807033</v>
      </c>
      <c r="BI230" s="160">
        <f>SUM(BH48:BI48,BE48:BF48)+SUM(BH13:BI13,BE13:BF13)</f>
        <v>4388.227326948283</v>
      </c>
      <c r="BJ230" s="160">
        <f>SUM(BH48:BJ48,BF48)+SUM(BH13:BJ13,BF13)</f>
        <v>4500.332025999096</v>
      </c>
      <c r="BK230" s="144">
        <f>SUM(BH48:BK48)+SUM(BH13:BK13)</f>
        <v>4586.3327120453578</v>
      </c>
      <c r="BL230" s="109">
        <f>BL48+BL13</f>
        <v>4586.3327120453559</v>
      </c>
      <c r="BM230" s="161">
        <f>SUM(BM48,BI48:BK48)+SUM(BM13,BI13:BK13)</f>
        <v>4698.5409380769888</v>
      </c>
      <c r="BN230" s="160">
        <f>SUM(BM48:BN48,BJ48:BK48)+SUM(BM13:BN13,BJ13:BK13)</f>
        <v>4826.2478028029982</v>
      </c>
      <c r="BO230" s="160">
        <f>SUM(BM48:BO48,BK48)+SUM(BM13:BO13,BK13)</f>
        <v>4913.8044746244814</v>
      </c>
      <c r="BP230" s="144">
        <f>SUM(BM48:BP48)+SUM(BM13:BP13)</f>
        <v>5016.0963014022182</v>
      </c>
      <c r="BQ230" s="109">
        <f>BQ48+BQ13</f>
        <v>5016.0963014022191</v>
      </c>
      <c r="BR230" s="491"/>
      <c r="BS230" s="491"/>
      <c r="BT230" s="491"/>
      <c r="BU230" s="491"/>
      <c r="BV230" s="491"/>
    </row>
    <row r="231" spans="1:74">
      <c r="A231" s="50"/>
      <c r="B231" s="50"/>
      <c r="C231" s="50" t="s">
        <v>189</v>
      </c>
      <c r="D231" s="50"/>
      <c r="E231" s="225"/>
      <c r="F231" s="226"/>
      <c r="G231" s="150"/>
      <c r="H231" s="144">
        <f>SUM(E30:H30)</f>
        <v>2900</v>
      </c>
      <c r="I231" s="109">
        <f>+I30</f>
        <v>2900</v>
      </c>
      <c r="J231" s="161">
        <f>SUM(J30,F30:H30)</f>
        <v>2921</v>
      </c>
      <c r="K231" s="160">
        <f>SUM(J30:K30,G30:H30)</f>
        <v>2639</v>
      </c>
      <c r="L231" s="160">
        <f>SUM(J30:L30,H30)</f>
        <v>2806</v>
      </c>
      <c r="M231" s="144">
        <f>SUM(J30:M30)</f>
        <v>2810</v>
      </c>
      <c r="N231" s="109">
        <f>+N30</f>
        <v>2810</v>
      </c>
      <c r="O231" s="161">
        <f>SUM(O30,K30:M30)</f>
        <v>2881</v>
      </c>
      <c r="P231" s="160">
        <f>SUM(O30:P30,L30:M30)</f>
        <v>3206</v>
      </c>
      <c r="Q231" s="160">
        <f>SUM(O30:Q30,M30)</f>
        <v>3353</v>
      </c>
      <c r="R231" s="144">
        <f>SUM(O30:R30)</f>
        <v>3239</v>
      </c>
      <c r="S231" s="109">
        <f>+S30</f>
        <v>3239</v>
      </c>
      <c r="T231" s="161">
        <f>SUM(T30,P30:R30)</f>
        <v>3171</v>
      </c>
      <c r="U231" s="160">
        <f>SUM(T30:U30,Q30:R30)</f>
        <v>3192</v>
      </c>
      <c r="V231" s="160">
        <f>SUM(T30:V30,R30)</f>
        <v>2933</v>
      </c>
      <c r="W231" s="144">
        <f>SUM(T30:W30)</f>
        <v>2810</v>
      </c>
      <c r="X231" s="109">
        <f>+X30</f>
        <v>2810</v>
      </c>
      <c r="Y231" s="161">
        <f>SUM(Y30,U30:W30)</f>
        <v>2788</v>
      </c>
      <c r="Z231" s="160">
        <f>SUM(Y30:Z30,V30:W30)</f>
        <v>2631</v>
      </c>
      <c r="AA231" s="160">
        <f>SUM(Y30:AA30,W30)</f>
        <v>2588</v>
      </c>
      <c r="AB231" s="144">
        <f>SUM(Y30:AB30)</f>
        <v>3016</v>
      </c>
      <c r="AC231" s="109">
        <f>+AC30</f>
        <v>3016</v>
      </c>
      <c r="AD231" s="161">
        <f>SUM(AD30,Z30:AB30)</f>
        <v>3309</v>
      </c>
      <c r="AE231" s="160">
        <f>SUM(AD30:AE30,AA30:AB30)</f>
        <v>3492</v>
      </c>
      <c r="AF231" s="160">
        <f>SUM(AD30:AF30,AB30)</f>
        <v>3547</v>
      </c>
      <c r="AG231" s="144">
        <f>SUM(AD30:AG30)</f>
        <v>3375</v>
      </c>
      <c r="AH231" s="109">
        <f>+AH30</f>
        <v>3375</v>
      </c>
      <c r="AI231" s="161">
        <f>SUM(AI30,AE30:AG30)</f>
        <v>3468</v>
      </c>
      <c r="AJ231" s="160">
        <f>SUM(AI30:AJ30,AF30:AG30)</f>
        <v>3519</v>
      </c>
      <c r="AK231" s="160">
        <f>SUM(AI30:AK30,AG30)</f>
        <v>3555</v>
      </c>
      <c r="AL231" s="144">
        <f>SUM(AI30:AL30)</f>
        <v>3496.8000000000011</v>
      </c>
      <c r="AM231" s="109">
        <f>+AM30</f>
        <v>3496.8</v>
      </c>
      <c r="AN231" s="161">
        <f>SUM(AN30,AJ30:AL30)</f>
        <v>3264.4000000000015</v>
      </c>
      <c r="AO231" s="160">
        <f>SUM(AN30:AO30,AK30:AL30)</f>
        <v>3313.1000000000013</v>
      </c>
      <c r="AP231" s="160">
        <f>SUM(AN30:AP30,AL30)</f>
        <v>1218.5000000000009</v>
      </c>
      <c r="AQ231" s="144">
        <f>SUM(AN30:AQ30)</f>
        <v>1352.7999999999997</v>
      </c>
      <c r="AR231" s="109">
        <f>+AR30</f>
        <v>1352.7999999999993</v>
      </c>
      <c r="AS231" s="161">
        <f>SUM(AS30,AO30:AQ30)</f>
        <v>1554.3999999999996</v>
      </c>
      <c r="AT231" s="160">
        <f>SUM(AS30:AT30,AP30:AQ30)</f>
        <v>1424.3999999999992</v>
      </c>
      <c r="AU231" s="160">
        <f>SUM(AS30:AU30,AQ30)</f>
        <v>3546.8999999999996</v>
      </c>
      <c r="AV231" s="144">
        <f>SUM(AS30:AV30)</f>
        <v>3711.2</v>
      </c>
      <c r="AW231" s="109">
        <f>+AW30</f>
        <v>3711.1999999999989</v>
      </c>
      <c r="AX231" s="161">
        <f>SUM(AX30,AT30:AV30)</f>
        <v>3411.5910877833112</v>
      </c>
      <c r="AY231" s="160">
        <f>SUM(AX30:AY30,AU30:AV30)</f>
        <v>3386.6446274207892</v>
      </c>
      <c r="AZ231" s="160">
        <f>SUM(AX30:AZ30,AV30)</f>
        <v>3397.5640495039725</v>
      </c>
      <c r="BA231" s="144">
        <f>SUM(AX30:BA30)</f>
        <v>3414.8297800454043</v>
      </c>
      <c r="BB231" s="109">
        <f>+BB30</f>
        <v>3414.8297800454047</v>
      </c>
      <c r="BC231" s="161">
        <f>SUM(BC30,AY30:BA30)</f>
        <v>3547.9442859188484</v>
      </c>
      <c r="BD231" s="160">
        <f>SUM(BC30:BD30,AZ30:BA30)</f>
        <v>3627.3125247305825</v>
      </c>
      <c r="BE231" s="160">
        <f>SUM(BC30:BE30,BA30)</f>
        <v>3695.4531342287091</v>
      </c>
      <c r="BF231" s="144">
        <f>SUM(BC30:BF30)</f>
        <v>3756.5350076922114</v>
      </c>
      <c r="BG231" s="109">
        <f>+BG30</f>
        <v>3756.5350076922118</v>
      </c>
      <c r="BH231" s="161">
        <f>SUM(BH30,BD30:BF30)</f>
        <v>3822.1767441264155</v>
      </c>
      <c r="BI231" s="160">
        <f>SUM(BH30:BI30,BE30:BF30)</f>
        <v>3904.6918354970476</v>
      </c>
      <c r="BJ231" s="160">
        <f>SUM(BH30:BJ30,BF30)</f>
        <v>4015.5792878566153</v>
      </c>
      <c r="BK231" s="144">
        <f>SUM(BH30:BK30)</f>
        <v>4091.5039048563776</v>
      </c>
      <c r="BL231" s="109">
        <f>+BL30</f>
        <v>4091.5039048563763</v>
      </c>
      <c r="BM231" s="161">
        <f>SUM(BM30,BI30:BK30)</f>
        <v>4206.2882245257388</v>
      </c>
      <c r="BN231" s="160">
        <f>SUM(BM30:BN30,BJ30:BK30)</f>
        <v>4337.2555710754414</v>
      </c>
      <c r="BO231" s="160">
        <f>SUM(BM30:BO30,BK30)</f>
        <v>4449.6929798899409</v>
      </c>
      <c r="BP231" s="144">
        <f>SUM(BM30:BP30)</f>
        <v>4558.1503852825936</v>
      </c>
      <c r="BQ231" s="109">
        <f>+BQ30</f>
        <v>4558.1503852825954</v>
      </c>
      <c r="BR231" s="491"/>
      <c r="BS231" s="491"/>
      <c r="BT231" s="491"/>
      <c r="BU231" s="491"/>
      <c r="BV231" s="491"/>
    </row>
    <row r="232" spans="1:74">
      <c r="A232" s="50"/>
      <c r="B232" s="50"/>
      <c r="C232" s="50" t="s">
        <v>190</v>
      </c>
      <c r="D232" s="50"/>
      <c r="E232" s="225"/>
      <c r="F232" s="226"/>
      <c r="G232" s="150"/>
      <c r="H232" s="144">
        <f>SUM(E31:H31)</f>
        <v>4497</v>
      </c>
      <c r="I232" s="109">
        <f>+I31</f>
        <v>4497</v>
      </c>
      <c r="J232" s="161">
        <f>SUM(J31,F31:H31)</f>
        <v>4544</v>
      </c>
      <c r="K232" s="160">
        <f>SUM(J31:K31,G31:H31)</f>
        <v>4270</v>
      </c>
      <c r="L232" s="222">
        <f>SUM(J31:L31,H31)</f>
        <v>4440</v>
      </c>
      <c r="M232" s="144">
        <f>SUM(J31:M31)</f>
        <v>4451</v>
      </c>
      <c r="N232" s="109">
        <f>+N31</f>
        <v>4451</v>
      </c>
      <c r="O232" s="161">
        <f>SUM(O31,K31:M31)</f>
        <v>4517</v>
      </c>
      <c r="P232" s="160">
        <f>SUM(O31:P31,L31:M31)</f>
        <v>4847</v>
      </c>
      <c r="Q232" s="160">
        <f>SUM(O31:Q31,M31)</f>
        <v>5015</v>
      </c>
      <c r="R232" s="144">
        <f>SUM(O31:R31)</f>
        <v>4894</v>
      </c>
      <c r="S232" s="109">
        <f>+S31</f>
        <v>4894</v>
      </c>
      <c r="T232" s="161">
        <f>SUM(T31,P31:R31)</f>
        <v>4846</v>
      </c>
      <c r="U232" s="160">
        <f>SUM(T31:U31,Q31:R31)</f>
        <v>4917</v>
      </c>
      <c r="V232" s="160">
        <f>SUM(T31:V31,R31)</f>
        <v>4683</v>
      </c>
      <c r="W232" s="144">
        <f>SUM(T31:W31)</f>
        <v>4592</v>
      </c>
      <c r="X232" s="109">
        <f>+X31</f>
        <v>4592</v>
      </c>
      <c r="Y232" s="161">
        <f>SUM(Y31,U31:W31)</f>
        <v>4567</v>
      </c>
      <c r="Z232" s="160">
        <f>SUM(Y31:Z31,V31:W31)</f>
        <v>4393</v>
      </c>
      <c r="AA232" s="160">
        <f>SUM(Y31:AA31,W31)</f>
        <v>4327</v>
      </c>
      <c r="AB232" s="144">
        <f>SUM(Y31:AB31)</f>
        <v>4759</v>
      </c>
      <c r="AC232" s="109">
        <f>+AC31</f>
        <v>4759</v>
      </c>
      <c r="AD232" s="161">
        <f>SUM(AD31,Z31:AB31)</f>
        <v>5123</v>
      </c>
      <c r="AE232" s="160">
        <f>SUM(AD31:AE31,AA31:AB31)</f>
        <v>5306</v>
      </c>
      <c r="AF232" s="160">
        <f>SUM(AD31:AF31,AB31)</f>
        <v>5421</v>
      </c>
      <c r="AG232" s="144">
        <f>SUM(AD31:AG31)</f>
        <v>5304</v>
      </c>
      <c r="AH232" s="109">
        <f>+AH31</f>
        <v>5304</v>
      </c>
      <c r="AI232" s="161">
        <f>SUM(AI31,AE31:AG31)</f>
        <v>5411</v>
      </c>
      <c r="AJ232" s="160">
        <f>SUM(AI31:AJ31,AF31:AG31)</f>
        <v>5525</v>
      </c>
      <c r="AK232" s="160">
        <f>SUM(AI31:AK31,AG31)</f>
        <v>5589</v>
      </c>
      <c r="AL232" s="144">
        <f>SUM(AI31:AL31)</f>
        <v>5506.5000000000009</v>
      </c>
      <c r="AM232" s="109">
        <f>+AM31</f>
        <v>5506.5</v>
      </c>
      <c r="AN232" s="161">
        <f>SUM(AN31,AJ31:AL31)</f>
        <v>5266.2000000000016</v>
      </c>
      <c r="AO232" s="160">
        <f>SUM(AN31:AO31,AK31:AL31)</f>
        <v>5322.7000000000016</v>
      </c>
      <c r="AP232" s="160">
        <f>SUM(AN31:AP31,AL31)</f>
        <v>3232.4000000000015</v>
      </c>
      <c r="AQ232" s="144">
        <f>SUM(AN31:AQ31)</f>
        <v>3315.1000000000004</v>
      </c>
      <c r="AR232" s="109">
        <f>+AR31</f>
        <v>3315.0999999999995</v>
      </c>
      <c r="AS232" s="161">
        <f>SUM(AS31,AO31:AQ31)</f>
        <v>3501.5</v>
      </c>
      <c r="AT232" s="160">
        <f>SUM(AS31:AT31,AP31:AQ31)</f>
        <v>3343.2</v>
      </c>
      <c r="AU232" s="160">
        <f>SUM(AS31:AU31,AQ31)</f>
        <v>5444.9000000000005</v>
      </c>
      <c r="AV232" s="144">
        <f>SUM(AS31:AV31)</f>
        <v>5708.4</v>
      </c>
      <c r="AW232" s="109">
        <f>+AW31</f>
        <v>5708.3999999999987</v>
      </c>
      <c r="AX232" s="161">
        <f>SUM(AX31,AT31:AV31)</f>
        <v>5448.5699132196551</v>
      </c>
      <c r="AY232" s="160">
        <f>SUM(AX31:AY31,AU31:AV31)</f>
        <v>5459.3884937600433</v>
      </c>
      <c r="AZ232" s="160">
        <f>SUM(AX31:AZ31,AV31)</f>
        <v>5478.9069196706514</v>
      </c>
      <c r="BA232" s="144">
        <f>SUM(AX31:BA31)</f>
        <v>5521.0963778853893</v>
      </c>
      <c r="BB232" s="109">
        <f>+BB31</f>
        <v>5521.0963778853902</v>
      </c>
      <c r="BC232" s="161">
        <f>SUM(BC31,AY31:BA31)</f>
        <v>5678.795709618048</v>
      </c>
      <c r="BD232" s="160">
        <f>SUM(BC31:BD31,AZ31:BA31)</f>
        <v>5788.5100894491015</v>
      </c>
      <c r="BE232" s="160">
        <f>SUM(BC31:BE31,BA31)</f>
        <v>5887.4622465797138</v>
      </c>
      <c r="BF232" s="144">
        <f>SUM(BC31:BF31)</f>
        <v>5979.8232432372124</v>
      </c>
      <c r="BG232" s="109">
        <f>+BG31</f>
        <v>5979.8232432372133</v>
      </c>
      <c r="BH232" s="161">
        <f>SUM(BH31,BD31:BF31)</f>
        <v>6083.0054485230094</v>
      </c>
      <c r="BI232" s="160">
        <f>SUM(BH31:BI31,BE31:BF31)</f>
        <v>6208.254126027723</v>
      </c>
      <c r="BJ232" s="160">
        <f>SUM(BH31:BJ31,BF31)</f>
        <v>6359.3775705243943</v>
      </c>
      <c r="BK232" s="144">
        <f>SUM(BH31:BK31)</f>
        <v>6473.0701178595555</v>
      </c>
      <c r="BL232" s="109">
        <f>+BL31</f>
        <v>6473.0701178595536</v>
      </c>
      <c r="BM232" s="161">
        <f>SUM(BM31,BI31:BK31)</f>
        <v>6624.2932882217792</v>
      </c>
      <c r="BN232" s="160">
        <f>SUM(BM31:BN31,BJ31:BK31)</f>
        <v>6799.3163036782753</v>
      </c>
      <c r="BO232" s="160">
        <f>SUM(BM31:BO31,BK31)</f>
        <v>6953.9216358005015</v>
      </c>
      <c r="BP232" s="144">
        <f>SUM(BM31:BP31)</f>
        <v>7102.6806204925761</v>
      </c>
      <c r="BQ232" s="109">
        <f>+BQ31</f>
        <v>7102.680620492577</v>
      </c>
      <c r="BR232" s="491"/>
      <c r="BS232" s="491"/>
      <c r="BT232" s="491"/>
      <c r="BU232" s="491"/>
      <c r="BV232" s="491"/>
    </row>
    <row r="233" spans="1:74">
      <c r="A233" s="50"/>
      <c r="B233" s="50"/>
      <c r="C233" s="50" t="s">
        <v>191</v>
      </c>
      <c r="D233" s="50"/>
      <c r="E233" s="225"/>
      <c r="F233" s="226"/>
      <c r="G233" s="150"/>
      <c r="H233" s="144">
        <f>SUM(E33:H33)</f>
        <v>962</v>
      </c>
      <c r="I233" s="109">
        <f>I33</f>
        <v>962</v>
      </c>
      <c r="J233" s="161">
        <f>SUM(J33,F33:H33)</f>
        <v>976</v>
      </c>
      <c r="K233" s="160">
        <f>SUM(J33:K33,G33:H33)</f>
        <v>962</v>
      </c>
      <c r="L233" s="160">
        <f>SUM(J33:L33,H33)</f>
        <v>967</v>
      </c>
      <c r="M233" s="144">
        <f>SUM(J33:M33)</f>
        <v>961</v>
      </c>
      <c r="N233" s="109">
        <f>N33</f>
        <v>961</v>
      </c>
      <c r="O233" s="161">
        <f>SUM(O33,K33:M33)</f>
        <v>954</v>
      </c>
      <c r="P233" s="160">
        <f>SUM(O33:P33,L33:M33)</f>
        <v>959</v>
      </c>
      <c r="Q233" s="160">
        <f>SUM(O33:Q33,M33)</f>
        <v>934</v>
      </c>
      <c r="R233" s="144">
        <f>SUM(O33:R33)</f>
        <v>888</v>
      </c>
      <c r="S233" s="109">
        <f>S33</f>
        <v>888</v>
      </c>
      <c r="T233" s="161">
        <f>SUM(T33,P33:R33)</f>
        <v>877</v>
      </c>
      <c r="U233" s="160">
        <f>SUM(T33:U33,Q33:R33)</f>
        <v>876</v>
      </c>
      <c r="V233" s="160">
        <f>SUM(T33:V33,R33)</f>
        <v>886</v>
      </c>
      <c r="W233" s="144">
        <f>SUM(T33:W33)</f>
        <v>988</v>
      </c>
      <c r="X233" s="109">
        <f>X33</f>
        <v>988</v>
      </c>
      <c r="Y233" s="161">
        <f>SUM(Y33,U33:W33)</f>
        <v>991</v>
      </c>
      <c r="Z233" s="160">
        <f>SUM(Y33:Z33,V33:W33)</f>
        <v>984</v>
      </c>
      <c r="AA233" s="160">
        <f>SUM(Y33:AA33,W33)</f>
        <v>976</v>
      </c>
      <c r="AB233" s="144">
        <f>SUM(Y33:AB33)</f>
        <v>906</v>
      </c>
      <c r="AC233" s="109">
        <f>AC33</f>
        <v>906</v>
      </c>
      <c r="AD233" s="161">
        <f>SUM(AD33,Z33:AB33)</f>
        <v>894</v>
      </c>
      <c r="AE233" s="160">
        <f>SUM(AD33:AE33,AA33:AB33)</f>
        <v>887</v>
      </c>
      <c r="AF233" s="160">
        <f>SUM(AD33:AF33,AB33)</f>
        <v>883</v>
      </c>
      <c r="AG233" s="144">
        <f>SUM(AD33:AG33)</f>
        <v>885</v>
      </c>
      <c r="AH233" s="109">
        <f>AH33</f>
        <v>885</v>
      </c>
      <c r="AI233" s="161">
        <f>SUM(AI33,AE33:AG33)</f>
        <v>888</v>
      </c>
      <c r="AJ233" s="160">
        <f>SUM(AI33:AJ33,AF33:AG33)</f>
        <v>891</v>
      </c>
      <c r="AK233" s="160">
        <f>SUM(AI33:AK33,AG33)</f>
        <v>891</v>
      </c>
      <c r="AL233" s="144">
        <f>SUM(AI33:AL33)</f>
        <v>873.9</v>
      </c>
      <c r="AM233" s="109">
        <f>AM33</f>
        <v>873.9</v>
      </c>
      <c r="AN233" s="161">
        <f>SUM(AN33,AJ33:AL33)</f>
        <v>867.9</v>
      </c>
      <c r="AO233" s="160">
        <f>SUM(AN33:AO33,AK33:AL33)</f>
        <v>868.8</v>
      </c>
      <c r="AP233" s="160">
        <f>SUM(AN33:AP33,AL33)</f>
        <v>873.1</v>
      </c>
      <c r="AQ233" s="144">
        <f>SUM(AN33:AQ33)</f>
        <v>877.2</v>
      </c>
      <c r="AR233" s="109">
        <f>AR33</f>
        <v>877.2</v>
      </c>
      <c r="AS233" s="161">
        <f>SUM(AS33,AO33:AQ33)</f>
        <v>882</v>
      </c>
      <c r="AT233" s="160">
        <f>SUM(AS33:AT33,AP33:AQ33)</f>
        <v>880</v>
      </c>
      <c r="AU233" s="160">
        <f>SUM(AS33:AU33,AQ33)</f>
        <v>878</v>
      </c>
      <c r="AV233" s="144">
        <f>SUM(AS33:AV33)</f>
        <v>895</v>
      </c>
      <c r="AW233" s="109">
        <f>AW33</f>
        <v>895</v>
      </c>
      <c r="AX233" s="161">
        <f>SUM(AX33,AT33:AV33)</f>
        <v>898.68623203762331</v>
      </c>
      <c r="AY233" s="160">
        <f>SUM(AX33:AY33,AU33:AV33)</f>
        <v>920.82657815252423</v>
      </c>
      <c r="AZ233" s="160">
        <f>SUM(AX33:AZ33,AV33)</f>
        <v>959.68598479671857</v>
      </c>
      <c r="BA233" s="144">
        <f>SUM(AX33:BA33)</f>
        <v>996.84901596931081</v>
      </c>
      <c r="BB233" s="109">
        <f>BB33</f>
        <v>996.84901596931081</v>
      </c>
      <c r="BC233" s="161">
        <f>SUM(BC33,AY33:BA33)</f>
        <v>1020.3816572279613</v>
      </c>
      <c r="BD233" s="160">
        <f>SUM(BC33:BD33,AZ33:BA33)</f>
        <v>1030.7978204216088</v>
      </c>
      <c r="BE233" s="160">
        <f>SUM(BC33:BE33,BA33)</f>
        <v>1104.2583397614362</v>
      </c>
      <c r="BF233" s="144">
        <f>SUM(BC33:BF33)</f>
        <v>1144.4739289995887</v>
      </c>
      <c r="BG233" s="109">
        <f>BG33</f>
        <v>1144.4739289995887</v>
      </c>
      <c r="BH233" s="161">
        <f>SUM(BH33,BD33:BF33)</f>
        <v>1197.049656965012</v>
      </c>
      <c r="BI233" s="160">
        <f>SUM(BH33:BI33,BE33:BF33)</f>
        <v>1247.7500168977508</v>
      </c>
      <c r="BJ233" s="160">
        <f>SUM(BH33:BJ33,BF33)</f>
        <v>1263.5930938458123</v>
      </c>
      <c r="BK233" s="144">
        <f>SUM(BH33:BK33)</f>
        <v>1275.9879370378626</v>
      </c>
      <c r="BL233" s="109">
        <f>BL33</f>
        <v>1275.9879370378626</v>
      </c>
      <c r="BM233" s="161">
        <f>SUM(BM33,BI33:BK33)</f>
        <v>1285.4727387116727</v>
      </c>
      <c r="BN233" s="160">
        <f>SUM(BM33:BN33,BJ33:BK33)</f>
        <v>1300.631473291895</v>
      </c>
      <c r="BO233" s="160">
        <f>SUM(BM33:BO33,BK33)</f>
        <v>1348.2768665441931</v>
      </c>
      <c r="BP233" s="144">
        <f>SUM(BM33:BP33)</f>
        <v>1369.8069244218984</v>
      </c>
      <c r="BQ233" s="109">
        <f>BQ33</f>
        <v>1369.8069244218984</v>
      </c>
      <c r="BR233" s="491"/>
      <c r="BS233" s="491"/>
      <c r="BT233" s="491"/>
      <c r="BU233" s="491"/>
      <c r="BV233" s="491"/>
    </row>
    <row r="234" spans="1:74">
      <c r="A234" s="50"/>
      <c r="B234" s="50"/>
      <c r="C234" s="50" t="s">
        <v>192</v>
      </c>
      <c r="D234" s="50"/>
      <c r="E234" s="225"/>
      <c r="F234" s="226"/>
      <c r="G234" s="150"/>
      <c r="H234" s="144">
        <f>SUM(E48:H48)</f>
        <v>1362</v>
      </c>
      <c r="I234" s="109">
        <f>I48</f>
        <v>1362</v>
      </c>
      <c r="J234" s="161">
        <f>SUM(J48,F48:H48)</f>
        <v>1346</v>
      </c>
      <c r="K234" s="160">
        <f>SUM(J48:K48,G48:H48)</f>
        <v>1161</v>
      </c>
      <c r="L234" s="160">
        <f>SUM(J48:L48,H48)</f>
        <v>1273</v>
      </c>
      <c r="M234" s="144">
        <f>SUM(J48:M48)</f>
        <v>1211</v>
      </c>
      <c r="N234" s="109">
        <f>N48</f>
        <v>1211</v>
      </c>
      <c r="O234" s="161">
        <f>SUM(O48,K48:M48)</f>
        <v>1259</v>
      </c>
      <c r="P234" s="160">
        <f>SUM(O48:P48,L48:M48)</f>
        <v>1475</v>
      </c>
      <c r="Q234" s="160">
        <f>SUM(O48:Q48,M48)</f>
        <v>1486</v>
      </c>
      <c r="R234" s="144">
        <f>SUM(O48:R48)</f>
        <v>1504</v>
      </c>
      <c r="S234" s="109">
        <f>S48</f>
        <v>1504</v>
      </c>
      <c r="T234" s="161">
        <f>SUM(T48,P48:R48)</f>
        <v>1501</v>
      </c>
      <c r="U234" s="160">
        <f>SUM(T48:U48,Q48:R48)</f>
        <v>1519</v>
      </c>
      <c r="V234" s="160">
        <f>SUM(T48:V48,R48)</f>
        <v>1449</v>
      </c>
      <c r="W234" s="144">
        <f>SUM(T48:W48)</f>
        <v>1497</v>
      </c>
      <c r="X234" s="109">
        <f>X48</f>
        <v>1497</v>
      </c>
      <c r="Y234" s="161">
        <f>SUM(Y48,U48:W48)</f>
        <v>1495</v>
      </c>
      <c r="Z234" s="160">
        <f>SUM(Y48:Z48,V48:W48)</f>
        <v>1482</v>
      </c>
      <c r="AA234" s="160">
        <f>SUM(Y48:AA48,W48)</f>
        <v>1519</v>
      </c>
      <c r="AB234" s="144">
        <f>SUM(Y48:AB48)</f>
        <v>1573</v>
      </c>
      <c r="AC234" s="109">
        <f>AC48</f>
        <v>1573</v>
      </c>
      <c r="AD234" s="161">
        <f>SUM(AD48,Z48:AB48)</f>
        <v>1746</v>
      </c>
      <c r="AE234" s="160">
        <f>SUM(AD48:AE48,AA48:AB48)</f>
        <v>1779</v>
      </c>
      <c r="AF234" s="160">
        <f>SUM(AD48:AF48,AB48)</f>
        <v>1739</v>
      </c>
      <c r="AG234" s="144">
        <f>SUM(AD48:AG48)</f>
        <v>1675</v>
      </c>
      <c r="AH234" s="109">
        <f>AH48</f>
        <v>1675</v>
      </c>
      <c r="AI234" s="161">
        <f>SUM(AI48,AE48:AG48)</f>
        <v>1740</v>
      </c>
      <c r="AJ234" s="160">
        <f>SUM(AI48:AJ48,AF48:AG48)</f>
        <v>1779</v>
      </c>
      <c r="AK234" s="160">
        <f>SUM(AI48:AK48,AG48)</f>
        <v>1807</v>
      </c>
      <c r="AL234" s="144">
        <f>SUM(AI48:AL48)</f>
        <v>1808.1000000000008</v>
      </c>
      <c r="AM234" s="109">
        <f>AM48</f>
        <v>1808.1000000000001</v>
      </c>
      <c r="AN234" s="161">
        <f>SUM(AN48,AJ48:AL48)</f>
        <v>1684.3000000000011</v>
      </c>
      <c r="AO234" s="160">
        <f>SUM(AN48:AO48,AK48:AL48)</f>
        <v>1721.0000000000014</v>
      </c>
      <c r="AP234" s="160">
        <f>SUM(AN48:AP48,AL48)</f>
        <v>1839.7000000000012</v>
      </c>
      <c r="AQ234" s="144">
        <f>SUM(AN48:AQ48)</f>
        <v>1937</v>
      </c>
      <c r="AR234" s="109">
        <f>AR48</f>
        <v>1936.9999999999995</v>
      </c>
      <c r="AS234" s="161">
        <f>SUM(AS48,AO48:AQ48)</f>
        <v>1910.1000000000001</v>
      </c>
      <c r="AT234" s="160">
        <f>SUM(AS48:AT48,AP48:AQ48)</f>
        <v>1814.7999999999995</v>
      </c>
      <c r="AU234" s="160">
        <f>SUM(AS48:AU48,AQ48)</f>
        <v>1718.1999999999998</v>
      </c>
      <c r="AV234" s="144">
        <f>SUM(AS48:AV48)</f>
        <v>1807.8999999999992</v>
      </c>
      <c r="AW234" s="109">
        <f>AW48</f>
        <v>1807.899999999999</v>
      </c>
      <c r="AX234" s="161">
        <f>SUM(AX48,AT48:AV48)</f>
        <v>1812.1863375724215</v>
      </c>
      <c r="AY234" s="160">
        <f>SUM(AX48:AY48,AU48:AV48)</f>
        <v>1835.3289284775112</v>
      </c>
      <c r="AZ234" s="160">
        <f>SUM(AX48:AZ48,AV48)</f>
        <v>1894.0816358199088</v>
      </c>
      <c r="BA234" s="144">
        <f>SUM(AX48:BA48)</f>
        <v>1897.5163561096949</v>
      </c>
      <c r="BB234" s="109">
        <f>BB48</f>
        <v>1897.5163561096952</v>
      </c>
      <c r="BC234" s="161">
        <f>SUM(BC48,AY48:BA48)</f>
        <v>1981.3920142471281</v>
      </c>
      <c r="BD234" s="160">
        <f>SUM(BC48:BD48,AZ48:BA48)</f>
        <v>2034.7953306370312</v>
      </c>
      <c r="BE234" s="160">
        <f>SUM(BC48:BE48,BA48)</f>
        <v>2032.4946579320938</v>
      </c>
      <c r="BF234" s="144">
        <f>SUM(BC48:BF48)</f>
        <v>2049.8336307774443</v>
      </c>
      <c r="BG234" s="109">
        <f>BG48</f>
        <v>2049.8336307774448</v>
      </c>
      <c r="BH234" s="161">
        <f>SUM(BH48,BD48:BF48)</f>
        <v>2060.2185624841086</v>
      </c>
      <c r="BI234" s="160">
        <f>SUM(BH48:BI48,BE48:BF48)</f>
        <v>2084.6650364176076</v>
      </c>
      <c r="BJ234" s="160">
        <f>SUM(BH48:BJ48,BF48)</f>
        <v>2156.5337433313161</v>
      </c>
      <c r="BK234" s="144">
        <f>SUM(BH48:BK48)</f>
        <v>2204.7664990421795</v>
      </c>
      <c r="BL234" s="109">
        <f>BL48</f>
        <v>2204.7664990421786</v>
      </c>
      <c r="BM234" s="161">
        <f>SUM(BM48,BI48:BK48)</f>
        <v>2280.5358743809479</v>
      </c>
      <c r="BN234" s="160">
        <f>SUM(BM48:BN48,BJ48:BK48)</f>
        <v>2364.1870702001638</v>
      </c>
      <c r="BO234" s="160">
        <f>SUM(BM48:BO48,BK48)</f>
        <v>2409.5758187139204</v>
      </c>
      <c r="BP234" s="144">
        <f>SUM(BM48:BP48)</f>
        <v>2471.5660661922361</v>
      </c>
      <c r="BQ234" s="109">
        <f>BQ48</f>
        <v>2471.5660661922375</v>
      </c>
      <c r="BR234" s="491"/>
      <c r="BS234" s="491"/>
      <c r="BT234" s="491"/>
      <c r="BU234" s="491"/>
      <c r="BV234" s="491"/>
    </row>
    <row r="235" spans="1:74">
      <c r="A235" s="50"/>
      <c r="B235" s="50"/>
      <c r="C235" s="50"/>
      <c r="D235" s="50"/>
      <c r="E235" s="225"/>
      <c r="F235" s="226"/>
      <c r="G235" s="226"/>
      <c r="H235" s="227"/>
      <c r="I235" s="228"/>
      <c r="J235" s="225"/>
      <c r="K235" s="226"/>
      <c r="L235" s="226"/>
      <c r="M235" s="227"/>
      <c r="N235" s="228"/>
      <c r="O235" s="225"/>
      <c r="P235" s="226"/>
      <c r="Q235" s="226"/>
      <c r="R235" s="227"/>
      <c r="S235" s="228"/>
      <c r="T235" s="225"/>
      <c r="U235" s="226"/>
      <c r="V235" s="226"/>
      <c r="W235" s="227"/>
      <c r="X235" s="228"/>
      <c r="Y235" s="225"/>
      <c r="Z235" s="226"/>
      <c r="AA235" s="226"/>
      <c r="AB235" s="227"/>
      <c r="AC235" s="228"/>
      <c r="AD235" s="225"/>
      <c r="AE235" s="226"/>
      <c r="AF235" s="226"/>
      <c r="AG235" s="227"/>
      <c r="AH235" s="228"/>
      <c r="AI235" s="225"/>
      <c r="AJ235" s="226"/>
      <c r="AK235" s="226"/>
      <c r="AL235" s="227"/>
      <c r="AM235" s="228"/>
      <c r="AN235" s="225"/>
      <c r="AO235" s="226"/>
      <c r="AP235" s="226"/>
      <c r="AQ235" s="227"/>
      <c r="AR235" s="228"/>
      <c r="AS235" s="225"/>
      <c r="AT235" s="226"/>
      <c r="AU235" s="226"/>
      <c r="AV235" s="227"/>
      <c r="AW235" s="228"/>
      <c r="AX235" s="225"/>
      <c r="AY235" s="226"/>
      <c r="AZ235" s="226"/>
      <c r="BA235" s="227"/>
      <c r="BB235" s="228"/>
      <c r="BC235" s="225"/>
      <c r="BD235" s="226"/>
      <c r="BE235" s="226"/>
      <c r="BF235" s="227"/>
      <c r="BG235" s="228"/>
      <c r="BH235" s="225"/>
      <c r="BI235" s="226"/>
      <c r="BJ235" s="226"/>
      <c r="BK235" s="227"/>
      <c r="BL235" s="228"/>
      <c r="BM235" s="225"/>
      <c r="BN235" s="226"/>
      <c r="BO235" s="226"/>
      <c r="BP235" s="227"/>
      <c r="BQ235" s="228"/>
      <c r="BR235" s="491"/>
      <c r="BS235" s="491"/>
      <c r="BT235" s="491"/>
      <c r="BU235" s="491"/>
      <c r="BV235" s="491"/>
    </row>
    <row r="236" spans="1:74">
      <c r="A236" s="50"/>
      <c r="B236" s="50"/>
      <c r="C236" s="56" t="s">
        <v>871</v>
      </c>
      <c r="D236" s="50"/>
      <c r="E236" s="225"/>
      <c r="F236" s="226"/>
      <c r="G236" s="226"/>
      <c r="H236" s="227"/>
      <c r="I236" s="228"/>
      <c r="J236" s="225"/>
      <c r="K236" s="226"/>
      <c r="L236" s="226"/>
      <c r="M236" s="227"/>
      <c r="N236" s="228"/>
      <c r="O236" s="225"/>
      <c r="P236" s="226"/>
      <c r="Q236" s="226"/>
      <c r="R236" s="227"/>
      <c r="S236" s="228"/>
      <c r="T236" s="225"/>
      <c r="U236" s="226"/>
      <c r="V236" s="226"/>
      <c r="W236" s="227"/>
      <c r="X236" s="228"/>
      <c r="Y236" s="225"/>
      <c r="Z236" s="226"/>
      <c r="AA236" s="226"/>
      <c r="AB236" s="227"/>
      <c r="AC236" s="228"/>
      <c r="AD236" s="225"/>
      <c r="AE236" s="226"/>
      <c r="AF236" s="226"/>
      <c r="AG236" s="227"/>
      <c r="AH236" s="228"/>
      <c r="AI236" s="225"/>
      <c r="AJ236" s="226"/>
      <c r="AK236" s="226"/>
      <c r="AL236" s="227"/>
      <c r="AM236" s="228"/>
      <c r="AN236" s="225"/>
      <c r="AO236" s="226"/>
      <c r="AP236" s="226"/>
      <c r="AQ236" s="227"/>
      <c r="AR236" s="228"/>
      <c r="AS236" s="225"/>
      <c r="AT236" s="226"/>
      <c r="AU236" s="226"/>
      <c r="AV236" s="227"/>
      <c r="AW236" s="228"/>
      <c r="AX236" s="225"/>
      <c r="AY236" s="226"/>
      <c r="AZ236" s="226"/>
      <c r="BA236" s="227"/>
      <c r="BB236" s="228"/>
      <c r="BC236" s="225"/>
      <c r="BD236" s="226"/>
      <c r="BE236" s="226"/>
      <c r="BF236" s="227"/>
      <c r="BG236" s="228"/>
      <c r="BH236" s="225"/>
      <c r="BI236" s="226"/>
      <c r="BJ236" s="226"/>
      <c r="BK236" s="227"/>
      <c r="BL236" s="228"/>
      <c r="BM236" s="225"/>
      <c r="BN236" s="226"/>
      <c r="BO236" s="226"/>
      <c r="BP236" s="227"/>
      <c r="BQ236" s="228"/>
      <c r="BR236" s="491"/>
      <c r="BS236" s="491"/>
      <c r="BT236" s="491"/>
      <c r="BU236" s="491"/>
      <c r="BV236" s="491"/>
    </row>
    <row r="237" spans="1:74">
      <c r="A237" s="50"/>
      <c r="B237" s="50"/>
      <c r="C237" s="50" t="s">
        <v>193</v>
      </c>
      <c r="D237" s="50"/>
      <c r="E237" s="274">
        <f t="shared" ref="E237:Q237" si="459">E215/E225</f>
        <v>0.56448153361485354</v>
      </c>
      <c r="F237" s="275">
        <f t="shared" si="459"/>
        <v>0.5550162888105844</v>
      </c>
      <c r="G237" s="275">
        <f t="shared" si="459"/>
        <v>0.56143833387569153</v>
      </c>
      <c r="H237" s="276">
        <f t="shared" si="459"/>
        <v>0.56765612327656123</v>
      </c>
      <c r="I237" s="107">
        <f t="shared" si="459"/>
        <v>0.56765612327656123</v>
      </c>
      <c r="J237" s="274">
        <f t="shared" si="459"/>
        <v>0.54824588831217558</v>
      </c>
      <c r="K237" s="275">
        <f t="shared" si="459"/>
        <v>0.53957886224378715</v>
      </c>
      <c r="L237" s="275">
        <f t="shared" si="459"/>
        <v>0.53232911314419495</v>
      </c>
      <c r="M237" s="276">
        <f t="shared" si="459"/>
        <v>0.52800025126417283</v>
      </c>
      <c r="N237" s="107">
        <f t="shared" si="459"/>
        <v>0.52800025126417283</v>
      </c>
      <c r="O237" s="274">
        <f t="shared" si="459"/>
        <v>0.52753372107412444</v>
      </c>
      <c r="P237" s="275">
        <f t="shared" si="459"/>
        <v>0.51544634834071823</v>
      </c>
      <c r="Q237" s="275">
        <f t="shared" si="459"/>
        <v>0.50705875100178777</v>
      </c>
      <c r="R237" s="276">
        <f t="shared" ref="R237:AM237" si="460">R215/R225</f>
        <v>0.50307645446238192</v>
      </c>
      <c r="S237" s="107">
        <f t="shared" si="460"/>
        <v>0.50307645446238192</v>
      </c>
      <c r="T237" s="274">
        <f t="shared" si="460"/>
        <v>0.52127851682417381</v>
      </c>
      <c r="U237" s="275">
        <f t="shared" si="460"/>
        <v>0.51621565175880901</v>
      </c>
      <c r="V237" s="275">
        <f t="shared" si="460"/>
        <v>0.51044475391863464</v>
      </c>
      <c r="W237" s="276">
        <f t="shared" si="460"/>
        <v>0.52264900662251657</v>
      </c>
      <c r="X237" s="107">
        <f t="shared" si="460"/>
        <v>0.52264900662251657</v>
      </c>
      <c r="Y237" s="274">
        <f t="shared" si="460"/>
        <v>0.51231742514795486</v>
      </c>
      <c r="Z237" s="275">
        <f t="shared" si="460"/>
        <v>0.50782578618165053</v>
      </c>
      <c r="AA237" s="275">
        <f t="shared" si="460"/>
        <v>0.5085098992705801</v>
      </c>
      <c r="AB237" s="276">
        <f t="shared" si="460"/>
        <v>0.52179221442971124</v>
      </c>
      <c r="AC237" s="107">
        <f t="shared" si="460"/>
        <v>0.52179221442971124</v>
      </c>
      <c r="AD237" s="274">
        <f t="shared" si="460"/>
        <v>0.50473001255755545</v>
      </c>
      <c r="AE237" s="275">
        <f t="shared" si="460"/>
        <v>0.50085663755941201</v>
      </c>
      <c r="AF237" s="275">
        <f t="shared" si="460"/>
        <v>0.49872956252761819</v>
      </c>
      <c r="AG237" s="276">
        <f t="shared" si="460"/>
        <v>0.50702849389416549</v>
      </c>
      <c r="AH237" s="107">
        <f t="shared" si="460"/>
        <v>0.50702849389416549</v>
      </c>
      <c r="AI237" s="274">
        <f>AI215/AI225</f>
        <v>0.51517749497655729</v>
      </c>
      <c r="AJ237" s="275">
        <f>AJ215/AJ225</f>
        <v>0.51362908938269014</v>
      </c>
      <c r="AK237" s="275">
        <f t="shared" si="460"/>
        <v>0.51246471627931511</v>
      </c>
      <c r="AL237" s="276">
        <f t="shared" si="460"/>
        <v>0.51151200593763391</v>
      </c>
      <c r="AM237" s="107">
        <f t="shared" si="460"/>
        <v>0.51151200593763391</v>
      </c>
      <c r="AN237" s="274">
        <f>AN215/AN225</f>
        <v>0.50555965867707975</v>
      </c>
      <c r="AO237" s="275">
        <f>AO215/AO225</f>
        <v>0.48871223449745194</v>
      </c>
      <c r="AP237" s="275">
        <f t="shared" ref="AP237:AU237" si="461">AP215/AP225</f>
        <v>0.51174525839568474</v>
      </c>
      <c r="AQ237" s="276">
        <f t="shared" si="461"/>
        <v>0.51456064054625261</v>
      </c>
      <c r="AR237" s="107">
        <f t="shared" si="461"/>
        <v>0.51456064054625261</v>
      </c>
      <c r="AS237" s="274">
        <f>AS215/AS225</f>
        <v>0.50015210173395974</v>
      </c>
      <c r="AT237" s="275">
        <f>AT215/AT225</f>
        <v>0.49909125717932357</v>
      </c>
      <c r="AU237" s="275">
        <f t="shared" si="461"/>
        <v>0.5198698424963748</v>
      </c>
      <c r="AV237" s="276">
        <f t="shared" ref="AV237:AW237" si="462">AV215/AV225</f>
        <v>0.51503011374140129</v>
      </c>
      <c r="AW237" s="107">
        <f t="shared" si="462"/>
        <v>0.51503011374140129</v>
      </c>
      <c r="AX237" s="274">
        <f t="shared" ref="AX237:BL237" si="463">AX215/AX225</f>
        <v>0.49611484218671698</v>
      </c>
      <c r="AY237" s="275">
        <f t="shared" si="463"/>
        <v>0.52675426354042632</v>
      </c>
      <c r="AZ237" s="275">
        <f t="shared" si="463"/>
        <v>0.55838240521749904</v>
      </c>
      <c r="BA237" s="276">
        <f t="shared" si="463"/>
        <v>0.56032729593883845</v>
      </c>
      <c r="BB237" s="107">
        <f t="shared" si="463"/>
        <v>0.56032729593883845</v>
      </c>
      <c r="BC237" s="274">
        <f t="shared" si="463"/>
        <v>0.52659921511395924</v>
      </c>
      <c r="BD237" s="275">
        <f t="shared" si="463"/>
        <v>0.51109319529376107</v>
      </c>
      <c r="BE237" s="275">
        <f t="shared" si="463"/>
        <v>0.59753653965864495</v>
      </c>
      <c r="BF237" s="276">
        <f t="shared" si="463"/>
        <v>0.59196989428001501</v>
      </c>
      <c r="BG237" s="107">
        <f t="shared" si="463"/>
        <v>0.59196989428001512</v>
      </c>
      <c r="BH237" s="274">
        <f t="shared" si="463"/>
        <v>0.59595085115457447</v>
      </c>
      <c r="BI237" s="275">
        <f t="shared" si="463"/>
        <v>0.58717407323651216</v>
      </c>
      <c r="BJ237" s="275">
        <f t="shared" si="463"/>
        <v>0.59405842816588217</v>
      </c>
      <c r="BK237" s="276">
        <f t="shared" si="463"/>
        <v>0.58915977164493594</v>
      </c>
      <c r="BL237" s="107">
        <f t="shared" si="463"/>
        <v>0.58915977164493594</v>
      </c>
      <c r="BM237" s="274">
        <f>BM215/BM225</f>
        <v>0.55349336974722008</v>
      </c>
      <c r="BN237" s="275">
        <f>BN215/BN225</f>
        <v>0.54389125814987838</v>
      </c>
      <c r="BO237" s="275">
        <f>BO215/BO225</f>
        <v>0.60092113103533762</v>
      </c>
      <c r="BP237" s="276">
        <f>BP215/BP225</f>
        <v>0.5930872226932481</v>
      </c>
      <c r="BQ237" s="107">
        <f>BQ215/BQ225</f>
        <v>0.59308722269324832</v>
      </c>
      <c r="BR237" s="491"/>
      <c r="BS237" s="491"/>
      <c r="BT237" s="491"/>
      <c r="BU237" s="491"/>
      <c r="BV237" s="491"/>
    </row>
    <row r="238" spans="1:74">
      <c r="A238" s="50"/>
      <c r="B238" s="50"/>
      <c r="C238" s="50" t="s">
        <v>194</v>
      </c>
      <c r="D238" s="50"/>
      <c r="E238" s="274">
        <f t="shared" ref="E238:Q238" si="464">+E216/E225</f>
        <v>0.63070581138145987</v>
      </c>
      <c r="F238" s="275">
        <f t="shared" si="464"/>
        <v>0.57369855727677677</v>
      </c>
      <c r="G238" s="275">
        <f t="shared" si="464"/>
        <v>0.57289293849658318</v>
      </c>
      <c r="H238" s="276">
        <f t="shared" si="464"/>
        <v>0.57174371451743711</v>
      </c>
      <c r="I238" s="107">
        <f t="shared" si="464"/>
        <v>0.57174371451743711</v>
      </c>
      <c r="J238" s="274">
        <f t="shared" si="464"/>
        <v>0.5814833343755863</v>
      </c>
      <c r="K238" s="275">
        <f t="shared" si="464"/>
        <v>0.58539392242854027</v>
      </c>
      <c r="L238" s="275">
        <f t="shared" si="464"/>
        <v>0.57748821735514277</v>
      </c>
      <c r="M238" s="276">
        <f t="shared" si="464"/>
        <v>0.5702754483495085</v>
      </c>
      <c r="N238" s="107">
        <f t="shared" si="464"/>
        <v>0.5702754483495085</v>
      </c>
      <c r="O238" s="274">
        <f t="shared" si="464"/>
        <v>0.57186610567999008</v>
      </c>
      <c r="P238" s="275">
        <f t="shared" si="464"/>
        <v>0.56623183466055216</v>
      </c>
      <c r="Q238" s="275">
        <f t="shared" si="464"/>
        <v>0.54648295419517912</v>
      </c>
      <c r="R238" s="276">
        <f t="shared" ref="R238:AM238" si="465">+R216/R225</f>
        <v>0.55333536399634475</v>
      </c>
      <c r="S238" s="107">
        <f t="shared" si="465"/>
        <v>0.55333536399634475</v>
      </c>
      <c r="T238" s="274">
        <f t="shared" si="465"/>
        <v>0.55288027448383792</v>
      </c>
      <c r="U238" s="275">
        <f t="shared" si="465"/>
        <v>0.55225706357967597</v>
      </c>
      <c r="V238" s="275">
        <f t="shared" si="465"/>
        <v>0.54647545112447771</v>
      </c>
      <c r="W238" s="276">
        <f t="shared" si="465"/>
        <v>0.55152317880794699</v>
      </c>
      <c r="X238" s="107">
        <f t="shared" si="465"/>
        <v>0.55152317880794699</v>
      </c>
      <c r="Y238" s="274">
        <f t="shared" si="465"/>
        <v>0.5504212705168946</v>
      </c>
      <c r="Z238" s="275">
        <f t="shared" si="465"/>
        <v>0.55215749574842188</v>
      </c>
      <c r="AA238" s="275">
        <f t="shared" si="465"/>
        <v>0.54376519624869746</v>
      </c>
      <c r="AB238" s="276">
        <f t="shared" si="465"/>
        <v>0.54328629432976516</v>
      </c>
      <c r="AC238" s="107">
        <f t="shared" si="465"/>
        <v>0.54328629432976516</v>
      </c>
      <c r="AD238" s="274">
        <f t="shared" si="465"/>
        <v>0.54190037672666391</v>
      </c>
      <c r="AE238" s="275">
        <f t="shared" si="465"/>
        <v>0.54180943959323535</v>
      </c>
      <c r="AF238" s="275">
        <f t="shared" si="465"/>
        <v>0.53413610251878041</v>
      </c>
      <c r="AG238" s="276">
        <f t="shared" si="465"/>
        <v>0.54355495251017638</v>
      </c>
      <c r="AH238" s="107">
        <f t="shared" si="465"/>
        <v>0.54355495251017638</v>
      </c>
      <c r="AI238" s="274">
        <f>+AI216/AI225</f>
        <v>0.53808439383791029</v>
      </c>
      <c r="AJ238" s="275">
        <f>+AJ216/AJ225</f>
        <v>0.54261877902248346</v>
      </c>
      <c r="AK238" s="275">
        <f t="shared" si="465"/>
        <v>0.53309415147598072</v>
      </c>
      <c r="AL238" s="276">
        <f t="shared" si="465"/>
        <v>0.53241916768589082</v>
      </c>
      <c r="AM238" s="107">
        <f t="shared" si="465"/>
        <v>0.53241916768589082</v>
      </c>
      <c r="AN238" s="274">
        <f>+AN216/AN225</f>
        <v>0.53676325897454902</v>
      </c>
      <c r="AO238" s="275">
        <f>+AO216/AO225</f>
        <v>0.54023235692744731</v>
      </c>
      <c r="AP238" s="275">
        <f t="shared" ref="AP238:AU238" si="466">+AP216/AP225</f>
        <v>0.55013777467283387</v>
      </c>
      <c r="AQ238" s="276">
        <f t="shared" si="466"/>
        <v>0.55807490651926517</v>
      </c>
      <c r="AR238" s="107">
        <f t="shared" si="466"/>
        <v>0.55807490651926517</v>
      </c>
      <c r="AS238" s="274">
        <f>+AS216/AS225</f>
        <v>0.54008855700954983</v>
      </c>
      <c r="AT238" s="275">
        <f>+AT216/AT225</f>
        <v>0.5463586470963625</v>
      </c>
      <c r="AU238" s="275">
        <f t="shared" si="466"/>
        <v>0.54644575683527596</v>
      </c>
      <c r="AV238" s="276">
        <f t="shared" ref="AV238:AW238" si="467">+AV216/AV225</f>
        <v>0.55488825320840252</v>
      </c>
      <c r="AW238" s="107">
        <f t="shared" si="467"/>
        <v>0.55488825320840252</v>
      </c>
      <c r="AX238" s="274">
        <f t="shared" ref="AX238:BL238" si="468">+AX216/AX225</f>
        <v>0.55713925000158349</v>
      </c>
      <c r="AY238" s="275">
        <f t="shared" si="468"/>
        <v>0.5638068346981786</v>
      </c>
      <c r="AZ238" s="275">
        <f t="shared" si="468"/>
        <v>0.56469283217101152</v>
      </c>
      <c r="BA238" s="276">
        <f t="shared" si="468"/>
        <v>0.57033961513437637</v>
      </c>
      <c r="BB238" s="107">
        <f t="shared" si="468"/>
        <v>0.57033961513437637</v>
      </c>
      <c r="BC238" s="274">
        <f t="shared" si="468"/>
        <v>0.57461237226763084</v>
      </c>
      <c r="BD238" s="275">
        <f t="shared" si="468"/>
        <v>0.58119177879081052</v>
      </c>
      <c r="BE238" s="275">
        <f t="shared" si="468"/>
        <v>0.59753653965864495</v>
      </c>
      <c r="BF238" s="276">
        <f t="shared" si="468"/>
        <v>0.59196989428001501</v>
      </c>
      <c r="BG238" s="107">
        <f t="shared" si="468"/>
        <v>0.59196989428001512</v>
      </c>
      <c r="BH238" s="274">
        <f t="shared" si="468"/>
        <v>0.59595085115457447</v>
      </c>
      <c r="BI238" s="275">
        <f t="shared" si="468"/>
        <v>0.59222189140913772</v>
      </c>
      <c r="BJ238" s="275">
        <f t="shared" si="468"/>
        <v>0.59405842816588217</v>
      </c>
      <c r="BK238" s="276">
        <f t="shared" si="468"/>
        <v>0.59177041954814835</v>
      </c>
      <c r="BL238" s="107">
        <f t="shared" si="468"/>
        <v>0.59177041954814835</v>
      </c>
      <c r="BM238" s="274">
        <f>+BM216/BM225</f>
        <v>0.59934910408353737</v>
      </c>
      <c r="BN238" s="275">
        <f>+BN216/BN225</f>
        <v>0.59757194136308356</v>
      </c>
      <c r="BO238" s="275">
        <f>+BO216/BO225</f>
        <v>0.60092113103533762</v>
      </c>
      <c r="BP238" s="276">
        <f>+BP216/BP225</f>
        <v>0.5930872226932481</v>
      </c>
      <c r="BQ238" s="107">
        <f>+BQ216/BQ225</f>
        <v>0.59308722269324832</v>
      </c>
      <c r="BR238" s="491"/>
      <c r="BS238" s="491"/>
      <c r="BT238" s="491"/>
      <c r="BU238" s="491"/>
      <c r="BV238" s="491"/>
    </row>
    <row r="239" spans="1:74">
      <c r="A239" s="50"/>
      <c r="B239" s="50"/>
      <c r="C239" s="50" t="s">
        <v>887</v>
      </c>
      <c r="D239" s="50"/>
      <c r="E239" s="225"/>
      <c r="F239" s="226"/>
      <c r="G239" s="226"/>
      <c r="H239" s="277">
        <f>(H216-H212)/H232</f>
        <v>3.8100956193017566</v>
      </c>
      <c r="I239" s="108">
        <f>(I216-I212)/I23</f>
        <v>6.1833273186575246</v>
      </c>
      <c r="J239" s="278">
        <f t="shared" ref="J239:Q239" si="469">(J216-J212)/J232</f>
        <v>3.912632042253521</v>
      </c>
      <c r="K239" s="279">
        <f t="shared" si="469"/>
        <v>4.2114754098360656</v>
      </c>
      <c r="L239" s="279">
        <f t="shared" si="469"/>
        <v>3.9768018018018019</v>
      </c>
      <c r="M239" s="277">
        <f t="shared" si="469"/>
        <v>4.0132554482138847</v>
      </c>
      <c r="N239" s="108">
        <f t="shared" si="469"/>
        <v>4.0132554482138847</v>
      </c>
      <c r="O239" s="278">
        <f t="shared" si="469"/>
        <v>3.9539517378791231</v>
      </c>
      <c r="P239" s="279">
        <f t="shared" si="469"/>
        <v>3.6841345161955847</v>
      </c>
      <c r="Q239" s="279">
        <f t="shared" si="469"/>
        <v>3.4263210368893322</v>
      </c>
      <c r="R239" s="277">
        <f t="shared" ref="R239:AM239" si="470">(R216-R212)/R232</f>
        <v>3.6667347772782999</v>
      </c>
      <c r="S239" s="108">
        <f t="shared" si="470"/>
        <v>3.6667347772782999</v>
      </c>
      <c r="T239" s="278">
        <f t="shared" si="470"/>
        <v>3.7317375154766816</v>
      </c>
      <c r="U239" s="279">
        <f t="shared" si="470"/>
        <v>3.7040878584502748</v>
      </c>
      <c r="V239" s="279">
        <f t="shared" si="470"/>
        <v>3.8436899423446507</v>
      </c>
      <c r="W239" s="277">
        <f t="shared" si="470"/>
        <v>4.0198170731707314</v>
      </c>
      <c r="X239" s="108">
        <f t="shared" si="470"/>
        <v>4.0198170731707314</v>
      </c>
      <c r="Y239" s="278">
        <f t="shared" si="470"/>
        <v>4.0948105977665863</v>
      </c>
      <c r="Z239" s="279">
        <f t="shared" si="470"/>
        <v>4.3339403596631003</v>
      </c>
      <c r="AA239" s="279">
        <f t="shared" si="470"/>
        <v>4.3076034203836375</v>
      </c>
      <c r="AB239" s="277">
        <f t="shared" si="470"/>
        <v>3.9957974364362263</v>
      </c>
      <c r="AC239" s="108">
        <f t="shared" si="470"/>
        <v>3.9957974364362263</v>
      </c>
      <c r="AD239" s="278">
        <f t="shared" si="470"/>
        <v>3.7335545578762446</v>
      </c>
      <c r="AE239" s="279">
        <f t="shared" si="470"/>
        <v>3.6594421409724838</v>
      </c>
      <c r="AF239" s="279">
        <f t="shared" si="470"/>
        <v>3.5318206972883233</v>
      </c>
      <c r="AG239" s="277">
        <f t="shared" si="470"/>
        <v>3.7456636500754148</v>
      </c>
      <c r="AH239" s="108">
        <f t="shared" si="470"/>
        <v>3.7456636500754148</v>
      </c>
      <c r="AI239" s="278">
        <f>(AI216-AI212)/AI232</f>
        <v>3.6765847347994827</v>
      </c>
      <c r="AJ239" s="279">
        <f>(AJ216-AJ212)/AJ232</f>
        <v>3.7082352941176469</v>
      </c>
      <c r="AK239" s="279">
        <f t="shared" si="470"/>
        <v>3.5838253712649846</v>
      </c>
      <c r="AL239" s="277">
        <f t="shared" si="470"/>
        <v>3.6677199673113585</v>
      </c>
      <c r="AM239" s="108">
        <f t="shared" si="470"/>
        <v>3.667719967311359</v>
      </c>
      <c r="AN239" s="278">
        <f>(AN216-AN212)/AN232</f>
        <v>3.9522236147506722</v>
      </c>
      <c r="AO239" s="279">
        <f>(AO216-AO212)/AO232</f>
        <v>4.0124748717756011</v>
      </c>
      <c r="AP239" s="279">
        <f t="shared" ref="AP239:AU239" si="471">(AP216-AP212)/AP232</f>
        <v>6.4876871674297707</v>
      </c>
      <c r="AQ239" s="277">
        <f t="shared" si="471"/>
        <v>6.5635727429036832</v>
      </c>
      <c r="AR239" s="108">
        <f t="shared" si="471"/>
        <v>6.563572742903685</v>
      </c>
      <c r="AS239" s="278">
        <f>(AS216-AS212)/AS232</f>
        <v>5.8824503784092537</v>
      </c>
      <c r="AT239" s="279">
        <f>(AT216-AT212)/AT232</f>
        <v>6.3505623354869591</v>
      </c>
      <c r="AU239" s="279">
        <f t="shared" si="471"/>
        <v>3.9370971000385677</v>
      </c>
      <c r="AV239" s="277">
        <f t="shared" ref="AV239:AW239" si="472">(AV216-AV212)/AV232</f>
        <v>3.9586048630088992</v>
      </c>
      <c r="AW239" s="108">
        <f t="shared" si="472"/>
        <v>3.9586048630089001</v>
      </c>
      <c r="AX239" s="278">
        <f t="shared" ref="AX239:BL239" si="473">(AX216-AX212)/AX232</f>
        <v>4.2709362501442731</v>
      </c>
      <c r="AY239" s="279">
        <f t="shared" si="473"/>
        <v>4.4062114302577369</v>
      </c>
      <c r="AZ239" s="279">
        <f t="shared" si="473"/>
        <v>4.4824250196793347</v>
      </c>
      <c r="BA239" s="277">
        <f t="shared" si="473"/>
        <v>4.5830661273252336</v>
      </c>
      <c r="BB239" s="108">
        <f t="shared" si="473"/>
        <v>4.5830661273252327</v>
      </c>
      <c r="BC239" s="278">
        <f t="shared" si="473"/>
        <v>4.5982922035610425</v>
      </c>
      <c r="BD239" s="279">
        <f t="shared" si="473"/>
        <v>4.6712500318437877</v>
      </c>
      <c r="BE239" s="279">
        <f t="shared" si="473"/>
        <v>4.7215570086798229</v>
      </c>
      <c r="BF239" s="277">
        <f t="shared" si="473"/>
        <v>4.8043356475480241</v>
      </c>
      <c r="BG239" s="108">
        <f t="shared" si="473"/>
        <v>4.8043356475480232</v>
      </c>
      <c r="BH239" s="278">
        <f t="shared" si="473"/>
        <v>4.8073243822754135</v>
      </c>
      <c r="BI239" s="279">
        <f t="shared" si="473"/>
        <v>4.8079561654930254</v>
      </c>
      <c r="BJ239" s="279">
        <f t="shared" si="473"/>
        <v>4.7571375468487664</v>
      </c>
      <c r="BK239" s="277">
        <f t="shared" si="473"/>
        <v>4.7652359759629483</v>
      </c>
      <c r="BL239" s="108">
        <f t="shared" si="473"/>
        <v>4.7652359759629492</v>
      </c>
      <c r="BM239" s="278">
        <f>(BM216-BM212)/BM232</f>
        <v>4.9134053079800672</v>
      </c>
      <c r="BN239" s="279">
        <f>(BN216-BN212)/BN232</f>
        <v>4.8353713770267053</v>
      </c>
      <c r="BO239" s="279">
        <f>(BO216-BO212)/BO232</f>
        <v>4.7519598337811519</v>
      </c>
      <c r="BP239" s="277">
        <f>(BP216-BP212)/BP232</f>
        <v>4.7008799552446394</v>
      </c>
      <c r="BQ239" s="108">
        <f>(BQ216-BQ212)/BQ232</f>
        <v>4.7008799552446394</v>
      </c>
      <c r="BR239" s="491"/>
      <c r="BS239" s="491"/>
      <c r="BT239" s="491"/>
      <c r="BU239" s="491"/>
      <c r="BV239" s="491"/>
    </row>
    <row r="240" spans="1:74">
      <c r="A240" s="50"/>
      <c r="B240" s="50"/>
      <c r="C240" s="50" t="s">
        <v>888</v>
      </c>
      <c r="D240" s="50"/>
      <c r="E240" s="225"/>
      <c r="F240" s="226"/>
      <c r="G240" s="226"/>
      <c r="H240" s="276">
        <f t="shared" ref="H240:Q240" si="474">H230/H216</f>
        <v>0.16789605083976397</v>
      </c>
      <c r="I240" s="107">
        <f t="shared" si="474"/>
        <v>0.16789605083976397</v>
      </c>
      <c r="J240" s="274">
        <f t="shared" si="474"/>
        <v>0.15964940581814271</v>
      </c>
      <c r="K240" s="275">
        <f t="shared" si="474"/>
        <v>0.14834493385048617</v>
      </c>
      <c r="L240" s="275">
        <f t="shared" si="474"/>
        <v>0.15506481036965913</v>
      </c>
      <c r="M240" s="276">
        <f t="shared" si="474"/>
        <v>0.15707440656496116</v>
      </c>
      <c r="N240" s="107">
        <f t="shared" si="474"/>
        <v>0.15707440656496116</v>
      </c>
      <c r="O240" s="274">
        <f t="shared" si="474"/>
        <v>0.15661347038139031</v>
      </c>
      <c r="P240" s="275">
        <f t="shared" si="474"/>
        <v>0.17051548648352852</v>
      </c>
      <c r="Q240" s="275">
        <f t="shared" si="474"/>
        <v>0.17756218624851938</v>
      </c>
      <c r="R240" s="276">
        <f t="shared" ref="R240:AM240" si="475">R230/R216</f>
        <v>0.17389628977210173</v>
      </c>
      <c r="S240" s="107">
        <f t="shared" si="475"/>
        <v>0.17389628977210173</v>
      </c>
      <c r="T240" s="274">
        <f t="shared" si="475"/>
        <v>0.17289058247142081</v>
      </c>
      <c r="U240" s="275">
        <f t="shared" si="475"/>
        <v>0.17525661804430037</v>
      </c>
      <c r="V240" s="275">
        <f t="shared" si="475"/>
        <v>0.17345334273165972</v>
      </c>
      <c r="W240" s="276">
        <f t="shared" si="475"/>
        <v>0.1749919948767211</v>
      </c>
      <c r="X240" s="107">
        <f t="shared" si="475"/>
        <v>0.1749919948767211</v>
      </c>
      <c r="Y240" s="274">
        <f t="shared" si="475"/>
        <v>0.17341101694915254</v>
      </c>
      <c r="Z240" s="275">
        <f t="shared" si="475"/>
        <v>0.16934641887659219</v>
      </c>
      <c r="AA240" s="275">
        <f t="shared" si="475"/>
        <v>0.17342702012136699</v>
      </c>
      <c r="AB240" s="276">
        <f t="shared" si="475"/>
        <v>0.17330406606041601</v>
      </c>
      <c r="AC240" s="107">
        <f t="shared" si="475"/>
        <v>0.17330406606041601</v>
      </c>
      <c r="AD240" s="274">
        <f t="shared" si="475"/>
        <v>0.18332560893969824</v>
      </c>
      <c r="AE240" s="275">
        <f t="shared" si="475"/>
        <v>0.18325087978783089</v>
      </c>
      <c r="AF240" s="275">
        <f t="shared" si="475"/>
        <v>0.18681489141675284</v>
      </c>
      <c r="AG240" s="276">
        <f t="shared" si="475"/>
        <v>0.17993010484273589</v>
      </c>
      <c r="AH240" s="107">
        <f t="shared" si="475"/>
        <v>0.17993010484273589</v>
      </c>
      <c r="AI240" s="274">
        <f>AI230/AI216</f>
        <v>0.18337980481975702</v>
      </c>
      <c r="AJ240" s="275">
        <f>AJ230/AJ216</f>
        <v>0.18300053183774115</v>
      </c>
      <c r="AK240" s="275">
        <f t="shared" si="475"/>
        <v>0.19007323832145684</v>
      </c>
      <c r="AL240" s="276">
        <f t="shared" si="475"/>
        <v>0.18739784122870318</v>
      </c>
      <c r="AM240" s="107">
        <f t="shared" si="475"/>
        <v>0.18739784122870312</v>
      </c>
      <c r="AN240" s="274">
        <f>AN230/AN216</f>
        <v>0.17549848597383313</v>
      </c>
      <c r="AO240" s="275">
        <f>AO230/AO216</f>
        <v>0.17268098500277732</v>
      </c>
      <c r="AP240" s="275">
        <f t="shared" ref="AP240:AU240" si="476">AP230/AP216</f>
        <v>0.18191946372090834</v>
      </c>
      <c r="AQ240" s="276">
        <f t="shared" si="476"/>
        <v>0.17748777845548808</v>
      </c>
      <c r="AR240" s="107">
        <f t="shared" si="476"/>
        <v>0.17748777845548805</v>
      </c>
      <c r="AS240" s="274">
        <f>AS230/AS216</f>
        <v>0.18568870231653539</v>
      </c>
      <c r="AT240" s="275">
        <f>AT230/AT216</f>
        <v>0.17443794501859497</v>
      </c>
      <c r="AU240" s="275">
        <f t="shared" si="476"/>
        <v>0.16602543501216657</v>
      </c>
      <c r="AV240" s="276">
        <f t="shared" ref="AV240:AW240" si="477">AV230/AV216</f>
        <v>0.16680329126464696</v>
      </c>
      <c r="AW240" s="107">
        <f t="shared" si="477"/>
        <v>0.16680329126464694</v>
      </c>
      <c r="AX240" s="274">
        <f t="shared" ref="AX240:BL240" si="478">AX230/AX216</f>
        <v>0.16540968310859336</v>
      </c>
      <c r="AY240" s="275">
        <f t="shared" si="478"/>
        <v>0.1624625672727123</v>
      </c>
      <c r="AZ240" s="275">
        <f t="shared" si="478"/>
        <v>0.16187379727777645</v>
      </c>
      <c r="BA240" s="276">
        <f t="shared" si="478"/>
        <v>0.15823008970510641</v>
      </c>
      <c r="BB240" s="107">
        <f t="shared" si="478"/>
        <v>0.15823008970510641</v>
      </c>
      <c r="BC240" s="274">
        <f t="shared" si="478"/>
        <v>0.157480217224648</v>
      </c>
      <c r="BD240" s="275">
        <f t="shared" si="478"/>
        <v>0.15517967420637901</v>
      </c>
      <c r="BE240" s="275">
        <f t="shared" si="478"/>
        <v>0.14377366667519589</v>
      </c>
      <c r="BF240" s="276">
        <f t="shared" si="478"/>
        <v>0.14782449396792174</v>
      </c>
      <c r="BG240" s="107">
        <f t="shared" si="478"/>
        <v>0.14782449396792174</v>
      </c>
      <c r="BH240" s="274">
        <f t="shared" si="478"/>
        <v>0.1443875797619753</v>
      </c>
      <c r="BI240" s="275">
        <f t="shared" si="478"/>
        <v>0.14701414829755075</v>
      </c>
      <c r="BJ240" s="275">
        <f t="shared" si="478"/>
        <v>0.14634085919882892</v>
      </c>
      <c r="BK240" s="276">
        <f t="shared" si="478"/>
        <v>0.14868625872110272</v>
      </c>
      <c r="BL240" s="107">
        <f t="shared" si="478"/>
        <v>0.14868625872110267</v>
      </c>
      <c r="BM240" s="274">
        <f>BM230/BM216</f>
        <v>0.14435800517306618</v>
      </c>
      <c r="BN240" s="275">
        <f>BN230/BN216</f>
        <v>0.14679610640070451</v>
      </c>
      <c r="BO240" s="275">
        <f>BO230/BO216</f>
        <v>0.1438595409191423</v>
      </c>
      <c r="BP240" s="276">
        <f>BP230/BP216</f>
        <v>0.14933542890432686</v>
      </c>
      <c r="BQ240" s="107">
        <f>BQ230/BQ216</f>
        <v>0.14933542890432688</v>
      </c>
      <c r="BR240" s="491"/>
      <c r="BS240" s="491"/>
      <c r="BT240" s="491"/>
      <c r="BU240" s="491"/>
      <c r="BV240" s="491"/>
    </row>
    <row r="241" spans="1:83">
      <c r="A241" s="50"/>
      <c r="B241" s="50"/>
      <c r="C241" s="50"/>
      <c r="D241" s="50"/>
      <c r="E241" s="225"/>
      <c r="F241" s="226"/>
      <c r="G241" s="226"/>
      <c r="H241" s="227"/>
      <c r="I241" s="228"/>
      <c r="J241" s="225"/>
      <c r="K241" s="226"/>
      <c r="L241" s="226"/>
      <c r="M241" s="227"/>
      <c r="N241" s="228"/>
      <c r="O241" s="225"/>
      <c r="P241" s="226"/>
      <c r="Q241" s="226"/>
      <c r="R241" s="227"/>
      <c r="S241" s="228"/>
      <c r="T241" s="225"/>
      <c r="U241" s="226"/>
      <c r="V241" s="226"/>
      <c r="W241" s="227"/>
      <c r="X241" s="228"/>
      <c r="Y241" s="225"/>
      <c r="Z241" s="226"/>
      <c r="AA241" s="226"/>
      <c r="AB241" s="227"/>
      <c r="AC241" s="228"/>
      <c r="AD241" s="225"/>
      <c r="AE241" s="226"/>
      <c r="AF241" s="226"/>
      <c r="AG241" s="227"/>
      <c r="AH241" s="228"/>
      <c r="AI241" s="225"/>
      <c r="AJ241" s="226"/>
      <c r="AK241" s="226"/>
      <c r="AL241" s="227"/>
      <c r="AM241" s="228"/>
      <c r="AN241" s="225"/>
      <c r="AO241" s="226"/>
      <c r="AP241" s="226"/>
      <c r="AQ241" s="227"/>
      <c r="AR241" s="228"/>
      <c r="AS241" s="225"/>
      <c r="AT241" s="226"/>
      <c r="AU241" s="226"/>
      <c r="AV241" s="227"/>
      <c r="AW241" s="228"/>
      <c r="AX241" s="225"/>
      <c r="AY241" s="226"/>
      <c r="AZ241" s="226"/>
      <c r="BA241" s="227"/>
      <c r="BB241" s="228"/>
      <c r="BC241" s="225"/>
      <c r="BD241" s="226"/>
      <c r="BE241" s="226"/>
      <c r="BF241" s="227"/>
      <c r="BG241" s="228"/>
      <c r="BH241" s="225"/>
      <c r="BI241" s="226"/>
      <c r="BJ241" s="226"/>
      <c r="BK241" s="227"/>
      <c r="BL241" s="228"/>
      <c r="BM241" s="225"/>
      <c r="BN241" s="226"/>
      <c r="BO241" s="226"/>
      <c r="BP241" s="227"/>
      <c r="BQ241" s="228"/>
      <c r="BR241" s="491"/>
      <c r="BS241" s="491"/>
      <c r="BT241" s="491"/>
      <c r="BU241" s="491"/>
      <c r="BV241" s="491"/>
    </row>
    <row r="242" spans="1:83">
      <c r="A242" s="50"/>
      <c r="B242" s="50"/>
      <c r="C242" s="56" t="s">
        <v>889</v>
      </c>
      <c r="D242" s="50"/>
      <c r="E242" s="225"/>
      <c r="F242" s="226"/>
      <c r="G242" s="226"/>
      <c r="H242" s="227"/>
      <c r="I242" s="228"/>
      <c r="J242" s="225"/>
      <c r="K242" s="226"/>
      <c r="L242" s="226"/>
      <c r="M242" s="227"/>
      <c r="N242" s="228"/>
      <c r="O242" s="225"/>
      <c r="P242" s="226"/>
      <c r="Q242" s="226"/>
      <c r="R242" s="227"/>
      <c r="S242" s="228"/>
      <c r="T242" s="225"/>
      <c r="U242" s="226"/>
      <c r="V242" s="226"/>
      <c r="W242" s="227"/>
      <c r="X242" s="228"/>
      <c r="Y242" s="225"/>
      <c r="Z242" s="226"/>
      <c r="AA242" s="226"/>
      <c r="AB242" s="227"/>
      <c r="AC242" s="228"/>
      <c r="AD242" s="225"/>
      <c r="AE242" s="226"/>
      <c r="AF242" s="226"/>
      <c r="AG242" s="227"/>
      <c r="AH242" s="228"/>
      <c r="AI242" s="225"/>
      <c r="AJ242" s="226"/>
      <c r="AK242" s="226"/>
      <c r="AL242" s="227"/>
      <c r="AM242" s="228"/>
      <c r="AN242" s="225"/>
      <c r="AO242" s="226"/>
      <c r="AP242" s="226"/>
      <c r="AQ242" s="227"/>
      <c r="AR242" s="228"/>
      <c r="AS242" s="225"/>
      <c r="AT242" s="226"/>
      <c r="AU242" s="226"/>
      <c r="AV242" s="227"/>
      <c r="AW242" s="228"/>
      <c r="AX242" s="225"/>
      <c r="AY242" s="226"/>
      <c r="AZ242" s="226"/>
      <c r="BA242" s="227"/>
      <c r="BB242" s="228"/>
      <c r="BC242" s="225"/>
      <c r="BD242" s="226"/>
      <c r="BE242" s="226"/>
      <c r="BF242" s="227"/>
      <c r="BG242" s="228"/>
      <c r="BH242" s="225"/>
      <c r="BI242" s="226"/>
      <c r="BJ242" s="226"/>
      <c r="BK242" s="227"/>
      <c r="BL242" s="228"/>
      <c r="BM242" s="225"/>
      <c r="BN242" s="226"/>
      <c r="BO242" s="226"/>
      <c r="BP242" s="227"/>
      <c r="BQ242" s="228"/>
      <c r="BR242" s="491"/>
      <c r="BS242" s="491"/>
      <c r="BT242" s="491"/>
      <c r="BU242" s="491"/>
      <c r="BV242" s="491"/>
    </row>
    <row r="243" spans="1:83">
      <c r="A243" s="50"/>
      <c r="B243" s="50"/>
      <c r="C243" s="50" t="s">
        <v>891</v>
      </c>
      <c r="D243" s="50"/>
      <c r="E243" s="278"/>
      <c r="F243" s="279"/>
      <c r="G243" s="279"/>
      <c r="H243" s="277">
        <f t="shared" ref="H243:Q243" si="479">(H230+H233)/H233</f>
        <v>4.0758835758835756</v>
      </c>
      <c r="I243" s="108">
        <f t="shared" si="479"/>
        <v>4.0758835758835756</v>
      </c>
      <c r="J243" s="278">
        <f t="shared" si="479"/>
        <v>4.0420081967213113</v>
      </c>
      <c r="K243" s="279">
        <f t="shared" si="479"/>
        <v>3.9022869022869022</v>
      </c>
      <c r="L243" s="279">
        <f t="shared" si="479"/>
        <v>4.0062047569803516</v>
      </c>
      <c r="M243" s="277">
        <f t="shared" si="479"/>
        <v>3.967741935483871</v>
      </c>
      <c r="N243" s="108">
        <f t="shared" si="479"/>
        <v>3.967741935483871</v>
      </c>
      <c r="O243" s="278">
        <f t="shared" si="479"/>
        <v>4.0345911949685531</v>
      </c>
      <c r="P243" s="279">
        <f t="shared" si="479"/>
        <v>4.2492179353493222</v>
      </c>
      <c r="Q243" s="279">
        <f t="shared" si="479"/>
        <v>4.3704496788008562</v>
      </c>
      <c r="R243" s="277">
        <f t="shared" ref="R243:AM243" si="480">(R230+R233)/R233</f>
        <v>4.5574324324324325</v>
      </c>
      <c r="S243" s="108">
        <f t="shared" si="480"/>
        <v>4.5574324324324325</v>
      </c>
      <c r="T243" s="278">
        <f t="shared" si="480"/>
        <v>4.6214367160775369</v>
      </c>
      <c r="U243" s="279">
        <f t="shared" si="480"/>
        <v>4.7031963470319633</v>
      </c>
      <c r="V243" s="279">
        <f t="shared" si="480"/>
        <v>4.6106094808126414</v>
      </c>
      <c r="W243" s="277">
        <f t="shared" si="480"/>
        <v>4.3188259109311744</v>
      </c>
      <c r="X243" s="108">
        <f t="shared" si="480"/>
        <v>4.3188259109311744</v>
      </c>
      <c r="Y243" s="278">
        <f t="shared" si="480"/>
        <v>4.3037336024217963</v>
      </c>
      <c r="Z243" s="279">
        <f t="shared" si="480"/>
        <v>4.2967479674796749</v>
      </c>
      <c r="AA243" s="279">
        <f t="shared" si="480"/>
        <v>4.3381147540983607</v>
      </c>
      <c r="AB243" s="277">
        <f t="shared" si="480"/>
        <v>4.6600441501103749</v>
      </c>
      <c r="AC243" s="108">
        <f t="shared" si="480"/>
        <v>4.6600441501103749</v>
      </c>
      <c r="AD243" s="278">
        <f t="shared" si="480"/>
        <v>4.9821029082774047</v>
      </c>
      <c r="AE243" s="279">
        <f t="shared" si="480"/>
        <v>5.0507328072153328</v>
      </c>
      <c r="AF243" s="279">
        <f t="shared" si="480"/>
        <v>5.0917327293318237</v>
      </c>
      <c r="AG243" s="277">
        <f t="shared" si="480"/>
        <v>5.072316384180791</v>
      </c>
      <c r="AH243" s="108">
        <f t="shared" si="480"/>
        <v>5.072316384180791</v>
      </c>
      <c r="AI243" s="278">
        <f>(AI230+AI233)/AI233</f>
        <v>5.1475225225225225</v>
      </c>
      <c r="AJ243" s="279">
        <f>(AJ230+AJ233)/AJ233</f>
        <v>5.248035914702581</v>
      </c>
      <c r="AK243" s="279">
        <f t="shared" si="480"/>
        <v>5.3108866442199778</v>
      </c>
      <c r="AL243" s="277">
        <f t="shared" si="480"/>
        <v>5.3686920700308969</v>
      </c>
      <c r="AM243" s="108">
        <f t="shared" si="480"/>
        <v>5.368692070030896</v>
      </c>
      <c r="AN243" s="278">
        <f>(AN230+AN233)/AN233</f>
        <v>5.2471482889733849</v>
      </c>
      <c r="AO243" s="279">
        <f>(AO230+AO233)/AO233</f>
        <v>5.293968692449357</v>
      </c>
      <c r="AP243" s="279">
        <f t="shared" ref="AP243:AU243" si="481">(AP230+AP233)/AP233</f>
        <v>5.4136983163440631</v>
      </c>
      <c r="AQ243" s="277">
        <f t="shared" si="481"/>
        <v>5.4451664386684904</v>
      </c>
      <c r="AR243" s="108">
        <f t="shared" si="481"/>
        <v>5.4451664386684895</v>
      </c>
      <c r="AS243" s="278">
        <f>(AS230+AS233)/AS233</f>
        <v>5.3732426303854881</v>
      </c>
      <c r="AT243" s="279">
        <f>(AT230+AT233)/AT233</f>
        <v>5.2427272727272722</v>
      </c>
      <c r="AU243" s="279">
        <f t="shared" si="481"/>
        <v>5.1186788154897496</v>
      </c>
      <c r="AV243" s="277">
        <f t="shared" ref="AV243:AW243" si="482">(AV230+AV233)/AV233</f>
        <v>5.2515083798882678</v>
      </c>
      <c r="AW243" s="108">
        <f t="shared" si="482"/>
        <v>5.2515083798882669</v>
      </c>
      <c r="AX243" s="278">
        <f t="shared" ref="AX243:BL243" si="483">(AX230+AX233)/AX233</f>
        <v>5.2831024063664769</v>
      </c>
      <c r="AY243" s="279">
        <f t="shared" si="483"/>
        <v>5.2440920880646402</v>
      </c>
      <c r="AZ243" s="279">
        <f t="shared" si="483"/>
        <v>5.1424221765921345</v>
      </c>
      <c r="BA243" s="277">
        <f t="shared" si="483"/>
        <v>5.0164386881161773</v>
      </c>
      <c r="BB243" s="108">
        <f t="shared" si="483"/>
        <v>5.0164386881161773</v>
      </c>
      <c r="BC243" s="278">
        <f t="shared" si="483"/>
        <v>5.0301032548134295</v>
      </c>
      <c r="BD243" s="279">
        <f t="shared" si="483"/>
        <v>5.0706264722594563</v>
      </c>
      <c r="BE243" s="279">
        <f t="shared" si="483"/>
        <v>4.8256480555046206</v>
      </c>
      <c r="BF243" s="277">
        <f t="shared" si="483"/>
        <v>4.733699613461428</v>
      </c>
      <c r="BG243" s="108">
        <f t="shared" si="483"/>
        <v>4.733699613461428</v>
      </c>
      <c r="BH243" s="278">
        <f t="shared" si="483"/>
        <v>4.6097477174307411</v>
      </c>
      <c r="BI243" s="279">
        <f t="shared" si="483"/>
        <v>4.5169122560772399</v>
      </c>
      <c r="BJ243" s="279">
        <f t="shared" si="483"/>
        <v>4.5615357886312102</v>
      </c>
      <c r="BK243" s="277">
        <f t="shared" si="483"/>
        <v>4.5943386131786497</v>
      </c>
      <c r="BL243" s="108">
        <f t="shared" si="483"/>
        <v>4.5943386131786488</v>
      </c>
      <c r="BM243" s="278">
        <f>(BM230+BM233)/BM233</f>
        <v>4.6551074142466558</v>
      </c>
      <c r="BN243" s="279">
        <f>(BN230+BN233)/BN233</f>
        <v>4.7106958442177147</v>
      </c>
      <c r="BO243" s="279">
        <f>(BO230+BO233)/BO233</f>
        <v>4.6445069974531217</v>
      </c>
      <c r="BP243" s="277">
        <f>(BP230+BP233)/BP233</f>
        <v>4.6619002371587284</v>
      </c>
      <c r="BQ243" s="108">
        <f>(BQ230+BQ233)/BQ233</f>
        <v>4.6619002371587293</v>
      </c>
      <c r="BR243" s="491"/>
      <c r="BS243" s="491"/>
      <c r="BT243" s="491"/>
      <c r="BU243" s="491"/>
      <c r="BV243" s="491"/>
    </row>
    <row r="244" spans="1:83">
      <c r="A244" s="50"/>
      <c r="B244" s="50"/>
      <c r="C244" s="50" t="s">
        <v>892</v>
      </c>
      <c r="D244" s="50"/>
      <c r="E244" s="278"/>
      <c r="F244" s="279"/>
      <c r="G244" s="279"/>
      <c r="H244" s="277">
        <f t="shared" ref="H244:Q244" si="484">H231/H233</f>
        <v>3.0145530145530146</v>
      </c>
      <c r="I244" s="108">
        <f t="shared" si="484"/>
        <v>3.0145530145530146</v>
      </c>
      <c r="J244" s="278">
        <f t="shared" si="484"/>
        <v>2.992827868852459</v>
      </c>
      <c r="K244" s="279">
        <f t="shared" si="484"/>
        <v>2.7432432432432434</v>
      </c>
      <c r="L244" s="279">
        <f t="shared" si="484"/>
        <v>2.9017580144777662</v>
      </c>
      <c r="M244" s="277">
        <f t="shared" si="484"/>
        <v>2.9240374609781479</v>
      </c>
      <c r="N244" s="108">
        <f t="shared" si="484"/>
        <v>2.9240374609781479</v>
      </c>
      <c r="O244" s="278">
        <f t="shared" si="484"/>
        <v>3.0199161425576522</v>
      </c>
      <c r="P244" s="279">
        <f t="shared" si="484"/>
        <v>3.3430656934306571</v>
      </c>
      <c r="Q244" s="279">
        <f t="shared" si="484"/>
        <v>3.589935760171306</v>
      </c>
      <c r="R244" s="277">
        <f t="shared" ref="R244:AM244" si="485">R231/R233</f>
        <v>3.6475225225225225</v>
      </c>
      <c r="S244" s="108">
        <f t="shared" si="485"/>
        <v>3.6475225225225225</v>
      </c>
      <c r="T244" s="278">
        <f t="shared" si="485"/>
        <v>3.6157354618015964</v>
      </c>
      <c r="U244" s="279">
        <f t="shared" si="485"/>
        <v>3.6438356164383561</v>
      </c>
      <c r="V244" s="279">
        <f t="shared" si="485"/>
        <v>3.3103837471783297</v>
      </c>
      <c r="W244" s="277">
        <f t="shared" si="485"/>
        <v>2.8441295546558703</v>
      </c>
      <c r="X244" s="108">
        <f t="shared" si="485"/>
        <v>2.8441295546558703</v>
      </c>
      <c r="Y244" s="278">
        <f t="shared" si="485"/>
        <v>2.8133198789101916</v>
      </c>
      <c r="Z244" s="279">
        <f t="shared" si="485"/>
        <v>2.6737804878048781</v>
      </c>
      <c r="AA244" s="279">
        <f t="shared" si="485"/>
        <v>2.651639344262295</v>
      </c>
      <c r="AB244" s="277">
        <f t="shared" si="485"/>
        <v>3.3289183222958059</v>
      </c>
      <c r="AC244" s="108">
        <f t="shared" si="485"/>
        <v>3.3289183222958059</v>
      </c>
      <c r="AD244" s="278">
        <f t="shared" si="485"/>
        <v>3.7013422818791946</v>
      </c>
      <c r="AE244" s="279">
        <f t="shared" si="485"/>
        <v>3.9368658399098084</v>
      </c>
      <c r="AF244" s="279">
        <f t="shared" si="485"/>
        <v>4.0169875424688559</v>
      </c>
      <c r="AG244" s="277">
        <f t="shared" si="485"/>
        <v>3.8135593220338984</v>
      </c>
      <c r="AH244" s="108">
        <f t="shared" si="485"/>
        <v>3.8135593220338984</v>
      </c>
      <c r="AI244" s="278">
        <f>AI231/AI233</f>
        <v>3.9054054054054053</v>
      </c>
      <c r="AJ244" s="279">
        <f>AJ231/AJ233</f>
        <v>3.9494949494949494</v>
      </c>
      <c r="AK244" s="279">
        <f t="shared" si="485"/>
        <v>3.9898989898989901</v>
      </c>
      <c r="AL244" s="277">
        <f t="shared" si="485"/>
        <v>4.0013731548232077</v>
      </c>
      <c r="AM244" s="108">
        <f t="shared" si="485"/>
        <v>4.0013731548232068</v>
      </c>
      <c r="AN244" s="278">
        <f>AN231/AN233</f>
        <v>3.7612628182970407</v>
      </c>
      <c r="AO244" s="279">
        <f>AO231/AO233</f>
        <v>3.8134208103130773</v>
      </c>
      <c r="AP244" s="279">
        <f t="shared" ref="AP244:AU244" si="486">AP231/AP233</f>
        <v>1.3956018783644495</v>
      </c>
      <c r="AQ244" s="277">
        <f t="shared" si="486"/>
        <v>1.5421796625626991</v>
      </c>
      <c r="AR244" s="108">
        <f t="shared" si="486"/>
        <v>1.5421796625626987</v>
      </c>
      <c r="AS244" s="278">
        <f>AS231/AS233</f>
        <v>1.7623582766439905</v>
      </c>
      <c r="AT244" s="279">
        <f>AT231/AT233</f>
        <v>1.6186363636363628</v>
      </c>
      <c r="AU244" s="279">
        <f t="shared" si="486"/>
        <v>4.0397494305239174</v>
      </c>
      <c r="AV244" s="277">
        <f t="shared" ref="AV244:AW244" si="487">AV231/AV233</f>
        <v>4.1465921787709492</v>
      </c>
      <c r="AW244" s="108">
        <f t="shared" si="487"/>
        <v>4.1465921787709483</v>
      </c>
      <c r="AX244" s="278">
        <f t="shared" ref="AX244:BL244" si="488">AX231/AX233</f>
        <v>3.796198234892382</v>
      </c>
      <c r="AY244" s="279">
        <f t="shared" si="488"/>
        <v>3.6778311006351414</v>
      </c>
      <c r="AZ244" s="279">
        <f t="shared" si="488"/>
        <v>3.5402872432524344</v>
      </c>
      <c r="BA244" s="277">
        <f t="shared" si="488"/>
        <v>3.425623866142768</v>
      </c>
      <c r="BB244" s="108">
        <f t="shared" si="488"/>
        <v>3.4256238661427685</v>
      </c>
      <c r="BC244" s="278">
        <f t="shared" si="488"/>
        <v>3.4770757204293901</v>
      </c>
      <c r="BD244" s="279">
        <f t="shared" si="488"/>
        <v>3.5189369368737777</v>
      </c>
      <c r="BE244" s="279">
        <f t="shared" si="488"/>
        <v>3.3465476339776381</v>
      </c>
      <c r="BF244" s="277">
        <f t="shared" si="488"/>
        <v>3.282324666823897</v>
      </c>
      <c r="BG244" s="108">
        <f t="shared" si="488"/>
        <v>3.2823246668238975</v>
      </c>
      <c r="BH244" s="278">
        <f t="shared" si="488"/>
        <v>3.1929976520916643</v>
      </c>
      <c r="BI244" s="279">
        <f t="shared" si="488"/>
        <v>3.1293863214726167</v>
      </c>
      <c r="BJ244" s="279">
        <f t="shared" si="488"/>
        <v>3.1779053774621291</v>
      </c>
      <c r="BK244" s="277">
        <f t="shared" si="488"/>
        <v>3.2065380761785129</v>
      </c>
      <c r="BL244" s="108">
        <f t="shared" si="488"/>
        <v>3.2065380761785121</v>
      </c>
      <c r="BM244" s="278">
        <f>BM231/BM233</f>
        <v>3.2721722506082607</v>
      </c>
      <c r="BN244" s="279">
        <f>BN231/BN233</f>
        <v>3.3347305982822779</v>
      </c>
      <c r="BO244" s="279">
        <f>BO231/BO233</f>
        <v>3.300281337092934</v>
      </c>
      <c r="BP244" s="277">
        <f>BP231/BP233</f>
        <v>3.327586029838677</v>
      </c>
      <c r="BQ244" s="108">
        <f>BQ231/BQ233</f>
        <v>3.3275860298386783</v>
      </c>
      <c r="BR244" s="491"/>
      <c r="BS244" s="491"/>
      <c r="BT244" s="491"/>
      <c r="BU244" s="491"/>
      <c r="BV244" s="491"/>
    </row>
    <row r="245" spans="1:83">
      <c r="A245" s="50"/>
      <c r="B245" s="50"/>
      <c r="C245" s="50"/>
      <c r="D245" s="50"/>
      <c r="E245" s="225"/>
      <c r="F245" s="226"/>
      <c r="G245" s="226"/>
      <c r="H245" s="227"/>
      <c r="I245" s="228"/>
      <c r="J245" s="225"/>
      <c r="K245" s="226"/>
      <c r="L245" s="226"/>
      <c r="M245" s="227"/>
      <c r="N245" s="228"/>
      <c r="O245" s="225"/>
      <c r="P245" s="226"/>
      <c r="Q245" s="226"/>
      <c r="R245" s="227"/>
      <c r="S245" s="228"/>
      <c r="T245" s="225"/>
      <c r="U245" s="226"/>
      <c r="V245" s="226"/>
      <c r="W245" s="227"/>
      <c r="X245" s="228"/>
      <c r="Y245" s="225"/>
      <c r="Z245" s="226"/>
      <c r="AA245" s="226"/>
      <c r="AB245" s="227"/>
      <c r="AC245" s="228"/>
      <c r="AD245" s="225"/>
      <c r="AE245" s="226"/>
      <c r="AF245" s="226"/>
      <c r="AG245" s="227"/>
      <c r="AH245" s="228"/>
      <c r="AI245" s="225"/>
      <c r="AJ245" s="226"/>
      <c r="AK245" s="226"/>
      <c r="AL245" s="227"/>
      <c r="AM245" s="228"/>
      <c r="AN245" s="225"/>
      <c r="AO245" s="226"/>
      <c r="AP245" s="226"/>
      <c r="AQ245" s="227"/>
      <c r="AR245" s="228"/>
      <c r="AS245" s="225"/>
      <c r="AT245" s="226"/>
      <c r="AU245" s="226"/>
      <c r="AV245" s="227"/>
      <c r="AW245" s="228"/>
      <c r="AX245" s="225"/>
      <c r="AY245" s="226"/>
      <c r="AZ245" s="226"/>
      <c r="BA245" s="227"/>
      <c r="BB245" s="228"/>
      <c r="BC245" s="225"/>
      <c r="BD245" s="226"/>
      <c r="BE245" s="226"/>
      <c r="BF245" s="227"/>
      <c r="BG245" s="228"/>
      <c r="BH245" s="225"/>
      <c r="BI245" s="226"/>
      <c r="BJ245" s="226"/>
      <c r="BK245" s="227"/>
      <c r="BL245" s="228"/>
      <c r="BM245" s="225"/>
      <c r="BN245" s="226"/>
      <c r="BO245" s="226"/>
      <c r="BP245" s="227"/>
      <c r="BQ245" s="228"/>
      <c r="BR245" s="491"/>
      <c r="BS245" s="491"/>
      <c r="BT245" s="491"/>
      <c r="BU245" s="491"/>
      <c r="BV245" s="491"/>
    </row>
    <row r="246" spans="1:83">
      <c r="A246" s="50"/>
      <c r="B246" s="50"/>
      <c r="C246" s="50"/>
      <c r="D246" s="50"/>
      <c r="E246" s="225"/>
      <c r="F246" s="604"/>
      <c r="G246" s="604"/>
      <c r="H246" s="227"/>
      <c r="I246" s="228"/>
      <c r="J246" s="225"/>
      <c r="K246" s="604"/>
      <c r="L246" s="604"/>
      <c r="M246" s="227"/>
      <c r="N246" s="228"/>
      <c r="O246" s="225"/>
      <c r="P246" s="604"/>
      <c r="Q246" s="604"/>
      <c r="R246" s="227"/>
      <c r="S246" s="228"/>
      <c r="T246" s="225"/>
      <c r="U246" s="604"/>
      <c r="V246" s="604"/>
      <c r="W246" s="227"/>
      <c r="X246" s="228"/>
      <c r="Y246" s="225"/>
      <c r="Z246" s="604"/>
      <c r="AA246" s="604"/>
      <c r="AB246" s="227"/>
      <c r="AC246" s="228"/>
      <c r="AD246" s="225"/>
      <c r="AE246" s="604"/>
      <c r="AF246" s="604"/>
      <c r="AG246" s="227"/>
      <c r="AH246" s="228"/>
      <c r="AI246" s="225"/>
      <c r="AJ246" s="604"/>
      <c r="AK246" s="604"/>
      <c r="AL246" s="227"/>
      <c r="AM246" s="228"/>
      <c r="AN246" s="225"/>
      <c r="AO246" s="604"/>
      <c r="AP246" s="604"/>
      <c r="AQ246" s="227"/>
      <c r="AR246" s="228"/>
      <c r="AS246" s="225"/>
      <c r="AT246" s="604"/>
      <c r="AU246" s="604"/>
      <c r="AV246" s="227"/>
      <c r="AW246" s="228"/>
      <c r="AX246" s="225"/>
      <c r="AY246" s="604"/>
      <c r="AZ246" s="604"/>
      <c r="BA246" s="227"/>
      <c r="BB246" s="228"/>
      <c r="BC246" s="225"/>
      <c r="BD246" s="604"/>
      <c r="BE246" s="604"/>
      <c r="BF246" s="227"/>
      <c r="BG246" s="228"/>
      <c r="BH246" s="225"/>
      <c r="BI246" s="604"/>
      <c r="BJ246" s="604"/>
      <c r="BK246" s="227"/>
      <c r="BL246" s="228"/>
      <c r="BM246" s="225"/>
      <c r="BN246" s="604"/>
      <c r="BO246" s="604"/>
      <c r="BP246" s="227"/>
      <c r="BQ246" s="228"/>
      <c r="BR246" s="491"/>
      <c r="BS246" s="491"/>
      <c r="BT246" s="491"/>
      <c r="BU246" s="491"/>
      <c r="BV246" s="491"/>
    </row>
    <row r="247" spans="1:83" s="78" customFormat="1">
      <c r="C247" s="78" t="s">
        <v>326</v>
      </c>
      <c r="E247" s="78">
        <f t="shared" ref="E247:AJ247" si="489">E46+E43+E42</f>
        <v>363</v>
      </c>
      <c r="F247" s="78">
        <f t="shared" si="489"/>
        <v>316.67500000000001</v>
      </c>
      <c r="G247" s="78">
        <f t="shared" si="489"/>
        <v>446</v>
      </c>
      <c r="H247" s="78">
        <f t="shared" si="489"/>
        <v>239</v>
      </c>
      <c r="I247" s="78">
        <f t="shared" si="489"/>
        <v>1364.675</v>
      </c>
      <c r="J247" s="78">
        <f t="shared" si="489"/>
        <v>346</v>
      </c>
      <c r="K247" s="78">
        <f t="shared" si="489"/>
        <v>137</v>
      </c>
      <c r="L247" s="78">
        <f t="shared" si="489"/>
        <v>557</v>
      </c>
      <c r="M247" s="78">
        <f t="shared" si="489"/>
        <v>178</v>
      </c>
      <c r="N247" s="78">
        <f t="shared" si="489"/>
        <v>1218</v>
      </c>
      <c r="O247" s="78">
        <f t="shared" si="489"/>
        <v>355</v>
      </c>
      <c r="P247" s="78">
        <f t="shared" si="489"/>
        <v>353</v>
      </c>
      <c r="Q247" s="78">
        <f t="shared" si="489"/>
        <v>930</v>
      </c>
      <c r="R247" s="78">
        <f t="shared" si="489"/>
        <v>311</v>
      </c>
      <c r="S247" s="78">
        <f t="shared" si="489"/>
        <v>1949</v>
      </c>
      <c r="T247" s="78">
        <f t="shared" si="489"/>
        <v>390</v>
      </c>
      <c r="U247" s="78">
        <f t="shared" si="489"/>
        <v>363</v>
      </c>
      <c r="V247" s="78">
        <f t="shared" si="489"/>
        <v>488</v>
      </c>
      <c r="W247" s="78">
        <f t="shared" si="489"/>
        <v>21</v>
      </c>
      <c r="X247" s="78">
        <f t="shared" si="489"/>
        <v>1262</v>
      </c>
      <c r="Y247" s="78">
        <f t="shared" si="489"/>
        <v>364</v>
      </c>
      <c r="Z247" s="78">
        <f t="shared" si="489"/>
        <v>339</v>
      </c>
      <c r="AA247" s="78">
        <f t="shared" si="489"/>
        <v>434</v>
      </c>
      <c r="AB247" s="78">
        <f t="shared" si="489"/>
        <v>347</v>
      </c>
      <c r="AC247" s="78">
        <f t="shared" si="489"/>
        <v>1484</v>
      </c>
      <c r="AD247" s="78">
        <f t="shared" si="489"/>
        <v>561</v>
      </c>
      <c r="AE247" s="78">
        <f t="shared" si="489"/>
        <v>391</v>
      </c>
      <c r="AF247" s="78">
        <f t="shared" si="489"/>
        <v>494</v>
      </c>
      <c r="AG247" s="78">
        <f t="shared" si="489"/>
        <v>192</v>
      </c>
      <c r="AH247" s="78">
        <f t="shared" si="489"/>
        <v>1638</v>
      </c>
      <c r="AI247" s="78">
        <f t="shared" si="489"/>
        <v>631</v>
      </c>
      <c r="AJ247" s="78">
        <f t="shared" si="489"/>
        <v>431</v>
      </c>
      <c r="AK247" s="78">
        <f t="shared" ref="AK247:BL247" si="490">AK46+AK43+AK42</f>
        <v>520</v>
      </c>
      <c r="AL247" s="78">
        <f t="shared" si="490"/>
        <v>470.30000000000092</v>
      </c>
      <c r="AM247" s="78">
        <f t="shared" si="490"/>
        <v>2052.3000000000002</v>
      </c>
      <c r="AN247" s="78">
        <f t="shared" si="490"/>
        <v>503.10000000000014</v>
      </c>
      <c r="AO247" s="78">
        <f t="shared" si="490"/>
        <v>503.90000000000032</v>
      </c>
      <c r="AP247" s="78">
        <f t="shared" si="490"/>
        <v>-764.20000000000027</v>
      </c>
      <c r="AQ247" s="78">
        <f>AQ46+AQ43+AQ42</f>
        <v>375.19999999999959</v>
      </c>
      <c r="AR247" s="78">
        <f>AR46+AR43+AR42</f>
        <v>617.99999999999932</v>
      </c>
      <c r="AS247" s="78">
        <f>AS46+AS43+AS42</f>
        <v>594.20000000000027</v>
      </c>
      <c r="AT247" s="78">
        <f>AT46+AT43+AT42</f>
        <v>376.19999999999982</v>
      </c>
      <c r="AU247" s="78">
        <f t="shared" si="490"/>
        <v>556.69999999999993</v>
      </c>
      <c r="AV247" s="78">
        <f>AV46+AV43+AV42</f>
        <v>401.79999999999933</v>
      </c>
      <c r="AW247" s="78">
        <f>AW46+AW43+AW42</f>
        <v>1928.899999999999</v>
      </c>
      <c r="AX247" s="78">
        <f>AX46+AX43+AX42</f>
        <v>478.58633757242251</v>
      </c>
      <c r="AY247" s="78">
        <f t="shared" si="490"/>
        <v>393.54259090508947</v>
      </c>
      <c r="AZ247" s="78">
        <f t="shared" si="490"/>
        <v>601.85270734239771</v>
      </c>
      <c r="BA247" s="78">
        <f t="shared" si="490"/>
        <v>423.53472028978535</v>
      </c>
      <c r="BB247" s="78">
        <f t="shared" si="490"/>
        <v>1897.5163561096952</v>
      </c>
      <c r="BC247" s="78">
        <f t="shared" si="490"/>
        <v>562.46199570985561</v>
      </c>
      <c r="BD247" s="78">
        <f t="shared" si="490"/>
        <v>446.94590729499248</v>
      </c>
      <c r="BE247" s="78">
        <f t="shared" si="490"/>
        <v>599.55203463746022</v>
      </c>
      <c r="BF247" s="78">
        <f t="shared" si="490"/>
        <v>440.87369313513568</v>
      </c>
      <c r="BG247" s="78">
        <f t="shared" si="490"/>
        <v>2049.8336307774448</v>
      </c>
      <c r="BH247" s="78">
        <f t="shared" si="490"/>
        <v>572.8469274165202</v>
      </c>
      <c r="BI247" s="78">
        <f t="shared" si="490"/>
        <v>471.39238122849156</v>
      </c>
      <c r="BJ247" s="78">
        <f t="shared" si="490"/>
        <v>671.42074155116904</v>
      </c>
      <c r="BK247" s="78">
        <f t="shared" si="490"/>
        <v>489.10644884599895</v>
      </c>
      <c r="BL247" s="78">
        <f t="shared" si="490"/>
        <v>2204.7664990421786</v>
      </c>
      <c r="BM247" s="78">
        <f>BM46+BM43+BM42</f>
        <v>648.61630275528853</v>
      </c>
      <c r="BN247" s="78">
        <f>BN46+BN43+BN42</f>
        <v>555.04357704770723</v>
      </c>
      <c r="BO247" s="78">
        <f>BO46+BO43+BO42</f>
        <v>716.80949006492574</v>
      </c>
      <c r="BP247" s="78">
        <f>BP46+BP43+BP42</f>
        <v>551.09669632431462</v>
      </c>
      <c r="BQ247" s="78">
        <f>BQ46+BQ43+BQ42</f>
        <v>2471.5660661922375</v>
      </c>
      <c r="BR247" s="529"/>
      <c r="BS247" s="529"/>
      <c r="BT247" s="529"/>
      <c r="BU247" s="529"/>
      <c r="BV247" s="529"/>
      <c r="BY247"/>
      <c r="BZ247"/>
      <c r="CA247"/>
      <c r="CB247"/>
      <c r="CC247"/>
      <c r="CD247"/>
      <c r="CE247" s="488"/>
    </row>
    <row r="248" spans="1:83">
      <c r="C248" s="50" t="s">
        <v>307</v>
      </c>
      <c r="E248" s="78">
        <v>0</v>
      </c>
      <c r="F248" s="78">
        <v>0</v>
      </c>
      <c r="G248" s="78">
        <v>0</v>
      </c>
      <c r="H248" s="78">
        <v>0</v>
      </c>
      <c r="I248" s="78">
        <v>0</v>
      </c>
      <c r="J248" s="78">
        <v>0</v>
      </c>
      <c r="K248" s="78">
        <v>0</v>
      </c>
      <c r="L248" s="78">
        <v>0</v>
      </c>
      <c r="M248" s="78">
        <v>0</v>
      </c>
      <c r="N248" s="78">
        <v>0</v>
      </c>
      <c r="O248" s="78">
        <v>0</v>
      </c>
      <c r="P248" s="78">
        <v>0</v>
      </c>
      <c r="Q248" s="78">
        <v>0</v>
      </c>
      <c r="R248" s="78">
        <v>0</v>
      </c>
      <c r="S248" s="78">
        <v>0</v>
      </c>
      <c r="T248" s="78">
        <v>0</v>
      </c>
      <c r="U248" s="78">
        <v>0</v>
      </c>
      <c r="V248" s="78">
        <v>0</v>
      </c>
      <c r="W248" s="78">
        <v>0</v>
      </c>
      <c r="X248" s="78">
        <v>0</v>
      </c>
      <c r="Y248" s="78">
        <v>0</v>
      </c>
      <c r="Z248" s="78">
        <v>0</v>
      </c>
      <c r="AA248" s="78">
        <v>0</v>
      </c>
      <c r="AB248" s="78">
        <v>0</v>
      </c>
      <c r="AC248" s="78">
        <v>0</v>
      </c>
      <c r="AD248" s="78">
        <v>0</v>
      </c>
      <c r="AE248" s="78">
        <v>0</v>
      </c>
      <c r="AF248" s="78">
        <v>0</v>
      </c>
      <c r="AG248" s="78">
        <v>0</v>
      </c>
      <c r="AH248" s="78">
        <v>0</v>
      </c>
      <c r="AI248" s="78">
        <v>0</v>
      </c>
      <c r="AJ248" s="78">
        <v>0</v>
      </c>
      <c r="AK248" s="78">
        <v>0</v>
      </c>
      <c r="AL248" s="78">
        <v>0</v>
      </c>
      <c r="AM248" s="78">
        <v>0</v>
      </c>
      <c r="AN248" s="78">
        <v>0</v>
      </c>
      <c r="AO248" s="78">
        <v>0</v>
      </c>
      <c r="AP248" s="78">
        <v>0</v>
      </c>
      <c r="AQ248" s="78">
        <v>0</v>
      </c>
      <c r="AR248" s="78">
        <v>0</v>
      </c>
      <c r="AS248" s="78">
        <v>0</v>
      </c>
      <c r="AT248" s="78">
        <v>0</v>
      </c>
      <c r="AU248" s="78">
        <v>0</v>
      </c>
      <c r="AV248" s="78">
        <v>0</v>
      </c>
      <c r="AW248" s="78">
        <v>0</v>
      </c>
      <c r="AX248" s="78">
        <v>0</v>
      </c>
      <c r="AY248" s="78">
        <v>0</v>
      </c>
      <c r="AZ248" s="78">
        <v>0</v>
      </c>
      <c r="BA248" s="78">
        <v>0</v>
      </c>
      <c r="BB248" s="78">
        <v>0</v>
      </c>
      <c r="BC248" s="78">
        <v>0</v>
      </c>
      <c r="BD248" s="78">
        <v>0</v>
      </c>
      <c r="BE248" s="78">
        <v>0</v>
      </c>
      <c r="BF248" s="78">
        <v>0</v>
      </c>
      <c r="BG248" s="78">
        <v>0</v>
      </c>
      <c r="BH248" s="78">
        <v>0</v>
      </c>
      <c r="BI248" s="78">
        <v>0</v>
      </c>
      <c r="BJ248" s="78">
        <v>0</v>
      </c>
      <c r="BK248" s="78">
        <v>0</v>
      </c>
      <c r="BL248" s="78">
        <v>0</v>
      </c>
      <c r="BM248" s="78">
        <v>0</v>
      </c>
      <c r="BN248" s="78">
        <v>0</v>
      </c>
      <c r="BO248" s="78">
        <v>0</v>
      </c>
      <c r="BP248" s="78">
        <v>0</v>
      </c>
      <c r="BQ248" s="78">
        <v>0</v>
      </c>
      <c r="BR248" s="491"/>
      <c r="BS248" s="491"/>
      <c r="BT248" s="491"/>
      <c r="BU248" s="491"/>
      <c r="BV248" s="491"/>
    </row>
    <row r="249" spans="1:83">
      <c r="C249" s="1272" t="s">
        <v>1127</v>
      </c>
      <c r="E249" s="78">
        <f t="shared" ref="E249:AJ249" si="491">+E47+E44</f>
        <v>0</v>
      </c>
      <c r="F249" s="78">
        <f t="shared" si="491"/>
        <v>5.3250000000000002</v>
      </c>
      <c r="G249" s="78">
        <f t="shared" si="491"/>
        <v>0</v>
      </c>
      <c r="H249" s="78">
        <f t="shared" si="491"/>
        <v>0</v>
      </c>
      <c r="I249" s="78">
        <f t="shared" si="491"/>
        <v>5.3250000000000002</v>
      </c>
      <c r="J249" s="78">
        <f t="shared" si="491"/>
        <v>0</v>
      </c>
      <c r="K249" s="78">
        <f t="shared" si="491"/>
        <v>0</v>
      </c>
      <c r="L249" s="78">
        <f t="shared" si="491"/>
        <v>0</v>
      </c>
      <c r="M249" s="78">
        <f t="shared" si="491"/>
        <v>0</v>
      </c>
      <c r="N249" s="78">
        <f t="shared" si="491"/>
        <v>0</v>
      </c>
      <c r="O249" s="78">
        <f t="shared" si="491"/>
        <v>39</v>
      </c>
      <c r="P249" s="78">
        <f t="shared" si="491"/>
        <v>0</v>
      </c>
      <c r="Q249" s="78">
        <f t="shared" si="491"/>
        <v>-362</v>
      </c>
      <c r="R249" s="78">
        <f t="shared" si="491"/>
        <v>-114</v>
      </c>
      <c r="S249" s="78">
        <f t="shared" si="491"/>
        <v>-437</v>
      </c>
      <c r="T249" s="78">
        <f t="shared" si="491"/>
        <v>0</v>
      </c>
      <c r="U249" s="78">
        <f t="shared" si="491"/>
        <v>8</v>
      </c>
      <c r="V249" s="78">
        <f t="shared" si="491"/>
        <v>9</v>
      </c>
      <c r="W249" s="78">
        <f t="shared" si="491"/>
        <v>221</v>
      </c>
      <c r="X249" s="78">
        <f t="shared" si="491"/>
        <v>238</v>
      </c>
      <c r="Y249" s="78">
        <f t="shared" si="491"/>
        <v>24</v>
      </c>
      <c r="Z249" s="78">
        <f t="shared" si="491"/>
        <v>19</v>
      </c>
      <c r="AA249" s="78">
        <f t="shared" si="491"/>
        <v>100</v>
      </c>
      <c r="AB249" s="78">
        <f t="shared" si="491"/>
        <v>-50</v>
      </c>
      <c r="AC249" s="78">
        <f t="shared" si="491"/>
        <v>93</v>
      </c>
      <c r="AD249" s="78">
        <f t="shared" si="491"/>
        <v>0</v>
      </c>
      <c r="AE249" s="78">
        <f t="shared" si="491"/>
        <v>0</v>
      </c>
      <c r="AF249" s="78">
        <f t="shared" si="491"/>
        <v>0</v>
      </c>
      <c r="AG249" s="78">
        <f t="shared" si="491"/>
        <v>41</v>
      </c>
      <c r="AH249" s="78">
        <f t="shared" si="491"/>
        <v>41</v>
      </c>
      <c r="AI249" s="78">
        <f t="shared" si="491"/>
        <v>-4</v>
      </c>
      <c r="AJ249" s="78">
        <f t="shared" si="491"/>
        <v>-1</v>
      </c>
      <c r="AK249" s="78">
        <f t="shared" ref="AK249:BL249" si="492">+AK47+AK44</f>
        <v>10</v>
      </c>
      <c r="AL249" s="78">
        <f t="shared" si="492"/>
        <v>39.699999999999989</v>
      </c>
      <c r="AM249" s="78">
        <f t="shared" si="492"/>
        <v>44.699999999999989</v>
      </c>
      <c r="AN249" s="78">
        <f t="shared" si="492"/>
        <v>0</v>
      </c>
      <c r="AO249" s="78">
        <f t="shared" si="492"/>
        <v>-38.900000000000006</v>
      </c>
      <c r="AP249" s="78">
        <f t="shared" si="492"/>
        <v>1405.5</v>
      </c>
      <c r="AQ249" s="78">
        <f>+AQ47+AQ44</f>
        <v>-42.999999999999773</v>
      </c>
      <c r="AR249" s="78">
        <f>+AR47+AR44</f>
        <v>1323.6000000000001</v>
      </c>
      <c r="AS249" s="78">
        <f>+AS47+AS44</f>
        <v>-117.89999999999999</v>
      </c>
      <c r="AT249" s="78">
        <f>+AT47+AT44</f>
        <v>-4.5999999999999996</v>
      </c>
      <c r="AU249" s="78">
        <f t="shared" si="492"/>
        <v>-1.5999999999999999</v>
      </c>
      <c r="AV249" s="78">
        <f>+AV47+AV44</f>
        <v>19.399999999999963</v>
      </c>
      <c r="AW249" s="78">
        <f>+AW47+AW44</f>
        <v>-104.70000000000002</v>
      </c>
      <c r="AX249" s="78">
        <f t="shared" si="492"/>
        <v>0</v>
      </c>
      <c r="AY249" s="78">
        <f t="shared" si="492"/>
        <v>0</v>
      </c>
      <c r="AZ249" s="78">
        <f t="shared" si="492"/>
        <v>0</v>
      </c>
      <c r="BA249" s="78">
        <f t="shared" si="492"/>
        <v>0</v>
      </c>
      <c r="BB249" s="78">
        <f t="shared" si="492"/>
        <v>0</v>
      </c>
      <c r="BC249" s="78">
        <f t="shared" si="492"/>
        <v>0</v>
      </c>
      <c r="BD249" s="78">
        <f t="shared" si="492"/>
        <v>0</v>
      </c>
      <c r="BE249" s="78">
        <f t="shared" si="492"/>
        <v>0</v>
      </c>
      <c r="BF249" s="78">
        <f t="shared" si="492"/>
        <v>0</v>
      </c>
      <c r="BG249" s="78">
        <f t="shared" si="492"/>
        <v>0</v>
      </c>
      <c r="BH249" s="78">
        <f t="shared" si="492"/>
        <v>0</v>
      </c>
      <c r="BI249" s="78">
        <f t="shared" si="492"/>
        <v>0</v>
      </c>
      <c r="BJ249" s="78">
        <f t="shared" si="492"/>
        <v>0</v>
      </c>
      <c r="BK249" s="78">
        <f t="shared" si="492"/>
        <v>0</v>
      </c>
      <c r="BL249" s="78">
        <f t="shared" si="492"/>
        <v>0</v>
      </c>
      <c r="BM249" s="78">
        <f>+BM47+BM44</f>
        <v>0</v>
      </c>
      <c r="BN249" s="78">
        <f>+BN47+BN44</f>
        <v>0</v>
      </c>
      <c r="BO249" s="78">
        <f>+BO47+BO44</f>
        <v>0</v>
      </c>
      <c r="BP249" s="78">
        <f>+BP47+BP44</f>
        <v>0</v>
      </c>
      <c r="BQ249" s="78">
        <f>+BQ47+BQ44</f>
        <v>0</v>
      </c>
      <c r="BR249" s="491"/>
      <c r="BS249" s="491"/>
      <c r="BT249" s="491"/>
      <c r="BU249" s="491"/>
      <c r="BV249" s="491"/>
    </row>
    <row r="250" spans="1:83">
      <c r="C250" s="50"/>
      <c r="E250" s="78"/>
      <c r="F250" s="78"/>
      <c r="G250" s="78"/>
      <c r="H250" s="78"/>
      <c r="I250" s="78"/>
      <c r="J250" s="78"/>
      <c r="K250" s="78"/>
      <c r="L250" s="78"/>
      <c r="M250" s="78"/>
      <c r="N250" s="78"/>
      <c r="O250" s="78"/>
      <c r="P250" s="78"/>
      <c r="Q250" s="78"/>
      <c r="R250" s="78"/>
      <c r="S250" s="78"/>
      <c r="T250" s="78"/>
      <c r="U250" s="78"/>
      <c r="V250" s="78"/>
      <c r="W250" s="78"/>
      <c r="X250" s="78"/>
      <c r="Y250" s="78"/>
      <c r="Z250" s="78"/>
      <c r="AA250" s="78"/>
      <c r="AB250" s="78"/>
      <c r="AC250" s="78"/>
      <c r="AD250" s="78"/>
      <c r="AE250" s="78"/>
      <c r="AF250" s="78"/>
      <c r="AG250" s="78"/>
      <c r="AH250" s="78"/>
      <c r="AI250" s="78"/>
      <c r="AJ250" s="78"/>
      <c r="AK250" s="78"/>
      <c r="AL250" s="78"/>
      <c r="AM250" s="78"/>
      <c r="AN250" s="78"/>
      <c r="AO250" s="78"/>
      <c r="AP250" s="78"/>
      <c r="AQ250" s="78"/>
      <c r="AR250" s="78"/>
      <c r="AS250" s="78"/>
      <c r="AT250" s="78"/>
      <c r="AU250" s="78"/>
      <c r="AV250" s="78"/>
      <c r="AW250" s="78"/>
      <c r="AX250" s="78"/>
      <c r="AY250" s="78"/>
      <c r="AZ250" s="78"/>
      <c r="BA250" s="78"/>
      <c r="BB250" s="78"/>
      <c r="BC250" s="78"/>
      <c r="BD250" s="78"/>
      <c r="BE250" s="78"/>
      <c r="BF250" s="78"/>
      <c r="BG250" s="78"/>
      <c r="BH250" s="78"/>
      <c r="BI250" s="78"/>
      <c r="BJ250" s="78"/>
      <c r="BK250" s="78"/>
      <c r="BL250" s="78"/>
      <c r="BM250" s="78"/>
      <c r="BN250" s="78"/>
      <c r="BO250" s="78"/>
      <c r="BP250" s="78"/>
      <c r="BQ250" s="78"/>
      <c r="BR250" s="491"/>
      <c r="BS250" s="491"/>
      <c r="BT250" s="491"/>
      <c r="BU250" s="491"/>
      <c r="BV250" s="491"/>
    </row>
    <row r="251" spans="1:83">
      <c r="C251" s="50"/>
      <c r="BR251" s="491"/>
      <c r="BS251" s="491"/>
      <c r="BT251" s="491"/>
      <c r="BU251" s="491"/>
      <c r="BV251" s="491"/>
    </row>
    <row r="252" spans="1:83">
      <c r="C252" s="559" t="s">
        <v>308</v>
      </c>
      <c r="E252" s="816">
        <f>+I252</f>
        <v>0.34293059125964009</v>
      </c>
      <c r="F252" s="817">
        <f>+I252</f>
        <v>0.34293059125964009</v>
      </c>
      <c r="G252" s="817">
        <f>+I252</f>
        <v>0.34293059125964009</v>
      </c>
      <c r="H252" s="817">
        <f>+I252</f>
        <v>0.34293059125964009</v>
      </c>
      <c r="I252" s="818">
        <f>+(681-14)/1945</f>
        <v>0.34293059125964009</v>
      </c>
      <c r="J252" s="817">
        <f>+N252</f>
        <v>0.35572272971520685</v>
      </c>
      <c r="K252" s="817">
        <f>+N252</f>
        <v>0.35572272971520685</v>
      </c>
      <c r="L252" s="817">
        <f>+N252</f>
        <v>0.35572272971520685</v>
      </c>
      <c r="M252" s="817">
        <f>+N252</f>
        <v>0.35572272971520685</v>
      </c>
      <c r="N252" s="818">
        <f>+(651+11)/1861</f>
        <v>0.35572272971520685</v>
      </c>
      <c r="O252" s="817">
        <f>S252</f>
        <v>0.34085213032581452</v>
      </c>
      <c r="P252" s="817">
        <f>+O252</f>
        <v>0.34085213032581452</v>
      </c>
      <c r="Q252" s="817">
        <f>+P252</f>
        <v>0.34085213032581452</v>
      </c>
      <c r="R252" s="817">
        <f>+Q252</f>
        <v>0.34085213032581452</v>
      </c>
      <c r="S252" s="818">
        <f>(838-22)/2394</f>
        <v>0.34085213032581452</v>
      </c>
      <c r="T252" s="817">
        <f>X252</f>
        <v>0.33226152197213288</v>
      </c>
      <c r="U252" s="817">
        <f>+T252</f>
        <v>0.33226152197213288</v>
      </c>
      <c r="V252" s="817">
        <f>+U252</f>
        <v>0.33226152197213288</v>
      </c>
      <c r="W252" s="817">
        <f>+V252</f>
        <v>0.33226152197213288</v>
      </c>
      <c r="X252" s="818">
        <f>(653-33)/1866</f>
        <v>0.33226152197213288</v>
      </c>
      <c r="Y252" s="817">
        <f>AC252</f>
        <v>0.36346863468634688</v>
      </c>
      <c r="Z252" s="817">
        <f>+Y252</f>
        <v>0.36346863468634688</v>
      </c>
      <c r="AA252" s="817">
        <f>+Z252</f>
        <v>0.36346863468634688</v>
      </c>
      <c r="AB252" s="817">
        <f>+AA252</f>
        <v>0.36346863468634688</v>
      </c>
      <c r="AC252" s="818">
        <f>+(759+29)/2168</f>
        <v>0.36346863468634688</v>
      </c>
      <c r="AD252" s="817">
        <f>AH252</f>
        <v>0.37480620155038757</v>
      </c>
      <c r="AE252" s="817">
        <f>+AD252</f>
        <v>0.37480620155038757</v>
      </c>
      <c r="AF252" s="817">
        <f>+AE252</f>
        <v>0.37480620155038757</v>
      </c>
      <c r="AG252" s="817">
        <f>+AF252</f>
        <v>0.37480620155038757</v>
      </c>
      <c r="AH252" s="818">
        <f>+(903+64)/2580</f>
        <v>0.37480620155038757</v>
      </c>
      <c r="AI252" s="817">
        <f>AM252</f>
        <v>0.35908786548619898</v>
      </c>
      <c r="AJ252" s="817">
        <f>+AI252</f>
        <v>0.35908786548619898</v>
      </c>
      <c r="AK252" s="817">
        <f>+AJ252</f>
        <v>0.35908786548619898</v>
      </c>
      <c r="AL252" s="817">
        <f>+AK252</f>
        <v>0.35908786548619898</v>
      </c>
      <c r="AM252" s="818">
        <f>+(940.9+24.4)/2688.2</f>
        <v>0.35908786548619898</v>
      </c>
      <c r="AN252" s="817">
        <f>AR252</f>
        <v>0.31217995610826632</v>
      </c>
      <c r="AO252" s="817">
        <f>+AN252</f>
        <v>0.31217995610826632</v>
      </c>
      <c r="AP252" s="817">
        <f>+AO252</f>
        <v>0.31217995610826632</v>
      </c>
      <c r="AQ252" s="817">
        <f>+AP252</f>
        <v>0.31217995610826632</v>
      </c>
      <c r="AR252" s="818">
        <f>+(191.4-20.7)/546.8</f>
        <v>0.31217995610826632</v>
      </c>
      <c r="AS252" s="817">
        <f>AW252</f>
        <v>0.3311253708686952</v>
      </c>
      <c r="AT252" s="817">
        <f>+AS252</f>
        <v>0.3311253708686952</v>
      </c>
      <c r="AU252" s="817">
        <f>+AT252</f>
        <v>0.3311253708686952</v>
      </c>
      <c r="AV252" s="817">
        <f>+AU252</f>
        <v>0.3311253708686952</v>
      </c>
      <c r="AW252" s="818">
        <f>+(1014.5-54.7)/2898.6</f>
        <v>0.3311253708686952</v>
      </c>
      <c r="AX252" s="817">
        <f t="shared" ref="AX252:BL252" si="493">+AX118</f>
        <v>0.25</v>
      </c>
      <c r="AY252" s="817">
        <f t="shared" si="493"/>
        <v>0.25</v>
      </c>
      <c r="AZ252" s="817">
        <f t="shared" si="493"/>
        <v>0.25</v>
      </c>
      <c r="BA252" s="817">
        <f t="shared" si="493"/>
        <v>0.25</v>
      </c>
      <c r="BB252" s="817">
        <f t="shared" si="493"/>
        <v>0.25</v>
      </c>
      <c r="BC252" s="817">
        <f t="shared" si="493"/>
        <v>0.25</v>
      </c>
      <c r="BD252" s="817">
        <f t="shared" si="493"/>
        <v>0.25</v>
      </c>
      <c r="BE252" s="817">
        <f t="shared" si="493"/>
        <v>0.25</v>
      </c>
      <c r="BF252" s="817">
        <f t="shared" si="493"/>
        <v>0.25</v>
      </c>
      <c r="BG252" s="817">
        <f t="shared" si="493"/>
        <v>0.25</v>
      </c>
      <c r="BH252" s="817">
        <f t="shared" si="493"/>
        <v>0.25</v>
      </c>
      <c r="BI252" s="817">
        <f t="shared" si="493"/>
        <v>0.25</v>
      </c>
      <c r="BJ252" s="817">
        <f t="shared" si="493"/>
        <v>0.25</v>
      </c>
      <c r="BK252" s="817">
        <f t="shared" si="493"/>
        <v>0.25</v>
      </c>
      <c r="BL252" s="817">
        <f t="shared" si="493"/>
        <v>0.25</v>
      </c>
      <c r="BM252" s="817">
        <f>+BM118</f>
        <v>0.25</v>
      </c>
      <c r="BN252" s="817">
        <f>+BN118</f>
        <v>0.25</v>
      </c>
      <c r="BO252" s="817">
        <f>+BO118</f>
        <v>0.25</v>
      </c>
      <c r="BP252" s="817">
        <f>+BP118</f>
        <v>0.25</v>
      </c>
      <c r="BQ252" s="817">
        <f>+BQ118</f>
        <v>0.25</v>
      </c>
      <c r="BR252" s="491"/>
      <c r="BS252" s="491"/>
      <c r="BT252" s="491"/>
      <c r="BU252" s="491"/>
      <c r="BV252" s="491"/>
    </row>
    <row r="253" spans="1:83">
      <c r="BR253" s="491"/>
      <c r="BS253" s="491"/>
      <c r="BT253" s="491"/>
      <c r="BU253" s="491"/>
      <c r="BV253" s="491"/>
    </row>
    <row r="254" spans="1:83">
      <c r="CE254"/>
    </row>
  </sheetData>
  <phoneticPr fontId="40" type="noConversion"/>
  <conditionalFormatting sqref="C164">
    <cfRule type="cellIs" dxfId="0" priority="1" stopIfTrue="1" operator="equal">
      <formula>0</formula>
    </cfRule>
  </conditionalFormatting>
  <pageMargins left="0.5" right="0.5" top="0.5" bottom="0.5" header="0" footer="0"/>
  <pageSetup scale="70" orientation="landscape" r:id="rId1"/>
  <headerFooter alignWithMargins="0"/>
  <rowBreaks count="4" manualBreakCount="4">
    <brk id="61" max="39" man="1"/>
    <brk id="121" max="39" man="1"/>
    <brk id="161" max="39" man="1"/>
    <brk id="210" max="39" man="1"/>
  </rowBreaks>
  <cellWatches>
    <cellWatch r="AL60"/>
  </cellWatches>
  <ignoredErrors>
    <ignoredError sqref="M40:M43 S35 M33:Q33 AB26 S26 M37:Q37 M35:Q35 S30:S31 S28 M26:Q28 M30:Q31" formulaRange="1"/>
    <ignoredError sqref="H28 BB133:BR135 BB137:BR142 BC136:BR136" formula="1"/>
  </ignoredError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Z222"/>
  <sheetViews>
    <sheetView zoomScale="80" zoomScaleNormal="80" workbookViewId="0">
      <pane xSplit="8" ySplit="5" topLeftCell="X6" activePane="bottomRight" state="frozen"/>
      <selection activeCell="I6" sqref="I6"/>
      <selection pane="topRight" activeCell="I6" sqref="I6"/>
      <selection pane="bottomLeft" activeCell="I6" sqref="I6"/>
      <selection pane="bottomRight" activeCell="X6" sqref="X6"/>
    </sheetView>
  </sheetViews>
  <sheetFormatPr defaultRowHeight="12.75" outlineLevelCol="1"/>
  <cols>
    <col min="1" max="2" width="2.7109375" customWidth="1"/>
    <col min="3" max="3" width="41.5703125" customWidth="1"/>
    <col min="4" max="4" width="2.7109375" customWidth="1"/>
    <col min="5" max="8" width="1.7109375" hidden="1" customWidth="1" outlineLevel="1"/>
    <col min="9" max="9" width="9.140625" hidden="1" customWidth="1" outlineLevel="1" collapsed="1"/>
    <col min="10" max="13" width="1.7109375" hidden="1" customWidth="1" outlineLevel="1"/>
    <col min="14" max="14" width="8.85546875" hidden="1" customWidth="1" outlineLevel="1" collapsed="1"/>
    <col min="15" max="18" width="1.7109375" hidden="1" customWidth="1" outlineLevel="1"/>
    <col min="19" max="19" width="9" hidden="1" customWidth="1" outlineLevel="1" collapsed="1"/>
    <col min="20" max="23" width="1.7109375" hidden="1" customWidth="1" outlineLevel="1"/>
    <col min="24" max="24" width="8.7109375" bestFit="1" customWidth="1" collapsed="1"/>
    <col min="25" max="28" width="9" hidden="1" customWidth="1" outlineLevel="1"/>
    <col min="29" max="29" width="9" customWidth="1" collapsed="1"/>
    <col min="30" max="33" width="9" hidden="1" customWidth="1" outlineLevel="1"/>
    <col min="34" max="34" width="9" customWidth="1" collapsed="1"/>
    <col min="35" max="38" width="9" hidden="1" customWidth="1" outlineLevel="1"/>
    <col min="39" max="39" width="9" customWidth="1" collapsed="1"/>
    <col min="40" max="43" width="9" hidden="1" customWidth="1" outlineLevel="1"/>
    <col min="44" max="44" width="9" customWidth="1" collapsed="1"/>
    <col min="45" max="48" width="9" hidden="1" customWidth="1" outlineLevel="1"/>
    <col min="49" max="49" width="9" style="1896" customWidth="1" collapsed="1"/>
    <col min="50" max="53" width="9" hidden="1" customWidth="1" outlineLevel="1"/>
    <col min="54" max="54" width="9" customWidth="1" collapsed="1"/>
    <col min="55" max="58" width="9" hidden="1" customWidth="1" outlineLevel="1"/>
    <col min="59" max="59" width="9" customWidth="1" collapsed="1"/>
    <col min="60" max="63" width="9" hidden="1" customWidth="1" outlineLevel="1"/>
    <col min="64" max="64" width="9" customWidth="1" collapsed="1"/>
    <col min="65" max="68" width="9" hidden="1" customWidth="1" outlineLevel="1"/>
    <col min="69" max="69" width="9" customWidth="1" collapsed="1"/>
    <col min="70" max="70" width="10.85546875" bestFit="1" customWidth="1"/>
    <col min="71" max="71" width="22" bestFit="1" customWidth="1"/>
    <col min="73" max="76" width="9.140625" customWidth="1"/>
  </cols>
  <sheetData>
    <row r="1" spans="1:69" ht="15" customHeight="1">
      <c r="A1" s="32"/>
      <c r="B1" s="32"/>
      <c r="C1" s="32"/>
      <c r="D1" s="32"/>
      <c r="E1" s="34"/>
      <c r="F1" s="34"/>
      <c r="G1" s="34"/>
      <c r="H1" s="34"/>
      <c r="I1" s="34"/>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c r="AW1" s="34"/>
      <c r="AX1" s="34"/>
      <c r="AY1" s="34"/>
      <c r="AZ1" s="34"/>
      <c r="BA1" s="34"/>
      <c r="BB1" s="34"/>
      <c r="BC1" s="34"/>
      <c r="BD1" s="34"/>
      <c r="BE1" s="34"/>
      <c r="BF1" s="34"/>
      <c r="BG1" s="34"/>
      <c r="BH1" s="34"/>
      <c r="BI1" s="34"/>
      <c r="BJ1" s="34"/>
      <c r="BK1" s="34"/>
      <c r="BL1" s="34"/>
      <c r="BM1" s="34"/>
      <c r="BN1" s="34"/>
      <c r="BO1" s="34"/>
      <c r="BP1" s="34"/>
      <c r="BQ1" s="34"/>
    </row>
    <row r="2" spans="1:69" ht="15" customHeight="1">
      <c r="A2" s="32"/>
      <c r="B2" s="32" t="str">
        <f>Cover!$B$2</f>
        <v>American Electric Power Company</v>
      </c>
      <c r="C2" s="34"/>
      <c r="D2" s="32"/>
      <c r="E2" s="34"/>
      <c r="F2" s="34"/>
      <c r="G2" s="34"/>
      <c r="H2" s="34"/>
      <c r="I2" s="34"/>
      <c r="J2" s="34"/>
      <c r="K2" s="34"/>
      <c r="L2" s="34"/>
      <c r="M2" s="34"/>
      <c r="N2" s="34"/>
      <c r="O2" s="34"/>
      <c r="P2" s="34"/>
      <c r="Q2" s="34"/>
      <c r="R2" s="34"/>
      <c r="S2" s="34"/>
      <c r="T2" s="34"/>
      <c r="U2" s="34"/>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c r="AW2" s="34"/>
      <c r="AX2" s="34"/>
      <c r="AY2" s="34"/>
      <c r="AZ2" s="34"/>
      <c r="BA2" s="34"/>
      <c r="BB2" s="34"/>
      <c r="BC2" s="34"/>
      <c r="BD2" s="34"/>
      <c r="BE2" s="34"/>
      <c r="BF2" s="34"/>
      <c r="BG2" s="34"/>
      <c r="BH2" s="34"/>
      <c r="BI2" s="34"/>
      <c r="BJ2" s="34"/>
      <c r="BK2" s="34"/>
      <c r="BL2" s="34"/>
      <c r="BM2" s="34"/>
      <c r="BN2" s="34"/>
      <c r="BO2" s="34"/>
      <c r="BP2" s="34"/>
      <c r="BQ2" s="34"/>
    </row>
    <row r="3" spans="1:69" ht="15" customHeight="1">
      <c r="A3" s="36"/>
      <c r="B3" s="36" t="s">
        <v>298</v>
      </c>
      <c r="C3" s="34"/>
      <c r="D3" s="36"/>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c r="AW3" s="34"/>
      <c r="AX3" s="34"/>
      <c r="AY3" s="34"/>
      <c r="AZ3" s="34"/>
      <c r="BA3" s="34"/>
      <c r="BB3" s="34"/>
      <c r="BC3" s="34"/>
      <c r="BD3" s="34"/>
      <c r="BE3" s="34"/>
      <c r="BF3" s="34"/>
      <c r="BG3" s="34"/>
      <c r="BH3" s="34"/>
      <c r="BI3" s="34"/>
      <c r="BJ3" s="34"/>
      <c r="BK3" s="34"/>
      <c r="BL3" s="34"/>
      <c r="BM3" s="34"/>
      <c r="BN3" s="34"/>
      <c r="BO3" s="34"/>
      <c r="BP3" s="34"/>
      <c r="BQ3" s="34"/>
    </row>
    <row r="4" spans="1:69">
      <c r="A4" s="39"/>
      <c r="B4" s="39" t="s">
        <v>828</v>
      </c>
      <c r="C4" s="41"/>
      <c r="D4" s="39"/>
      <c r="E4" s="41"/>
      <c r="F4" s="41"/>
      <c r="G4" s="41"/>
      <c r="H4" s="41"/>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c r="BA4" s="41"/>
      <c r="BB4" s="41"/>
      <c r="BC4" s="41"/>
      <c r="BD4" s="41"/>
      <c r="BE4" s="41"/>
      <c r="BF4" s="41"/>
      <c r="BG4" s="41"/>
      <c r="BH4" s="41"/>
      <c r="BI4" s="41"/>
      <c r="BJ4" s="41"/>
      <c r="BK4" s="41"/>
      <c r="BL4" s="41"/>
      <c r="BM4" s="41"/>
      <c r="BN4" s="41"/>
      <c r="BO4" s="41"/>
      <c r="BP4" s="41"/>
      <c r="BQ4" s="41"/>
    </row>
    <row r="5" spans="1:69" s="600" customFormat="1">
      <c r="A5" s="1021"/>
      <c r="B5" s="1021"/>
      <c r="C5" s="1021" t="s">
        <v>859</v>
      </c>
      <c r="D5" s="1023"/>
      <c r="E5" s="1022"/>
      <c r="F5" s="1022"/>
      <c r="G5" s="1022"/>
      <c r="H5" s="1022"/>
      <c r="I5" s="1022">
        <v>2009</v>
      </c>
      <c r="J5" s="1022"/>
      <c r="K5" s="1022"/>
      <c r="L5" s="1022"/>
      <c r="M5" s="1022"/>
      <c r="N5" s="1022">
        <f>I5+1</f>
        <v>2010</v>
      </c>
      <c r="O5" s="1022"/>
      <c r="P5" s="1022"/>
      <c r="Q5" s="1022"/>
      <c r="R5" s="1022"/>
      <c r="S5" s="1022">
        <f>N5+1</f>
        <v>2011</v>
      </c>
      <c r="T5" s="1022"/>
      <c r="U5" s="1022"/>
      <c r="V5" s="1022"/>
      <c r="W5" s="1022"/>
      <c r="X5" s="1022">
        <f>S5+1</f>
        <v>2012</v>
      </c>
      <c r="Y5" s="1019" t="s">
        <v>646</v>
      </c>
      <c r="Z5" s="1019" t="s">
        <v>619</v>
      </c>
      <c r="AA5" s="1019" t="s">
        <v>620</v>
      </c>
      <c r="AB5" s="1019" t="s">
        <v>246</v>
      </c>
      <c r="AC5" s="1020" t="s">
        <v>247</v>
      </c>
      <c r="AD5" s="1019" t="s">
        <v>274</v>
      </c>
      <c r="AE5" s="1019" t="s">
        <v>275</v>
      </c>
      <c r="AF5" s="1019" t="s">
        <v>276</v>
      </c>
      <c r="AG5" s="1019" t="s">
        <v>1060</v>
      </c>
      <c r="AH5" s="1020" t="s">
        <v>1061</v>
      </c>
      <c r="AI5" s="1019" t="s">
        <v>1062</v>
      </c>
      <c r="AJ5" s="1019" t="s">
        <v>1063</v>
      </c>
      <c r="AK5" s="1019" t="s">
        <v>1122</v>
      </c>
      <c r="AL5" s="1019" t="s">
        <v>1123</v>
      </c>
      <c r="AM5" s="1020" t="s">
        <v>1124</v>
      </c>
      <c r="AN5" s="1019" t="s">
        <v>1131</v>
      </c>
      <c r="AO5" s="1019" t="s">
        <v>1137</v>
      </c>
      <c r="AP5" s="1019" t="s">
        <v>1274</v>
      </c>
      <c r="AQ5" s="1019" t="s">
        <v>1291</v>
      </c>
      <c r="AR5" s="1020" t="s">
        <v>1292</v>
      </c>
      <c r="AS5" s="1019" t="s">
        <v>1320</v>
      </c>
      <c r="AT5" s="1019" t="s">
        <v>1324</v>
      </c>
      <c r="AU5" s="1019" t="s">
        <v>1330</v>
      </c>
      <c r="AV5" s="1019" t="s">
        <v>1354</v>
      </c>
      <c r="AW5" s="1020" t="s">
        <v>1353</v>
      </c>
      <c r="AX5" s="1019" t="s">
        <v>69</v>
      </c>
      <c r="AY5" s="1019" t="s">
        <v>70</v>
      </c>
      <c r="AZ5" s="1019" t="s">
        <v>71</v>
      </c>
      <c r="BA5" s="1019" t="s">
        <v>72</v>
      </c>
      <c r="BB5" s="1020">
        <v>2018</v>
      </c>
      <c r="BC5" s="1019" t="s">
        <v>1067</v>
      </c>
      <c r="BD5" s="1019" t="s">
        <v>1068</v>
      </c>
      <c r="BE5" s="1019" t="s">
        <v>1069</v>
      </c>
      <c r="BF5" s="1019" t="s">
        <v>1070</v>
      </c>
      <c r="BG5" s="1020" t="s">
        <v>1065</v>
      </c>
      <c r="BH5" s="1019" t="s">
        <v>1071</v>
      </c>
      <c r="BI5" s="1019" t="s">
        <v>1072</v>
      </c>
      <c r="BJ5" s="1019" t="s">
        <v>1073</v>
      </c>
      <c r="BK5" s="1019" t="s">
        <v>1074</v>
      </c>
      <c r="BL5" s="1020" t="s">
        <v>1066</v>
      </c>
      <c r="BM5" s="1019" t="s">
        <v>1278</v>
      </c>
      <c r="BN5" s="1019" t="s">
        <v>1279</v>
      </c>
      <c r="BO5" s="1019" t="s">
        <v>1280</v>
      </c>
      <c r="BP5" s="1019" t="s">
        <v>1281</v>
      </c>
      <c r="BQ5" s="1020" t="s">
        <v>1282</v>
      </c>
    </row>
    <row r="6" spans="1:69">
      <c r="X6" s="86"/>
      <c r="AC6" s="86"/>
      <c r="AH6" s="86"/>
      <c r="AM6" s="86"/>
      <c r="AR6" s="86"/>
      <c r="AW6" s="86"/>
      <c r="BB6" s="86"/>
      <c r="BG6" s="86"/>
      <c r="BL6" s="86"/>
      <c r="BQ6" s="86"/>
    </row>
    <row r="7" spans="1:69" ht="12.75" customHeight="1">
      <c r="B7" s="46" t="s">
        <v>287</v>
      </c>
      <c r="C7" s="46"/>
      <c r="D7" s="46"/>
      <c r="E7" s="94"/>
      <c r="F7" s="94"/>
      <c r="G7" s="94"/>
      <c r="H7" s="94"/>
    </row>
    <row r="8" spans="1:69">
      <c r="C8" t="s">
        <v>288</v>
      </c>
      <c r="E8" s="95"/>
      <c r="F8" s="95"/>
      <c r="G8" s="95"/>
      <c r="H8" s="95"/>
      <c r="J8" s="95"/>
      <c r="K8" s="95"/>
      <c r="L8" s="95"/>
      <c r="M8" s="95"/>
      <c r="O8" s="95"/>
      <c r="P8" s="95"/>
      <c r="Q8" s="95"/>
      <c r="R8" s="95"/>
      <c r="S8" s="760"/>
      <c r="T8" s="95"/>
      <c r="U8" s="95"/>
      <c r="V8" s="95"/>
      <c r="W8" s="95"/>
      <c r="X8" s="760"/>
      <c r="Y8" s="65"/>
      <c r="Z8" s="755">
        <f>-3%+AC8%</f>
        <v>-0.03</v>
      </c>
      <c r="AA8" s="755">
        <f>(-49/(10000/4))+AC8</f>
        <v>-1.9599999999999999E-2</v>
      </c>
      <c r="AB8" s="755">
        <f>(9/(10000/4))+AC8</f>
        <v>3.5999999999999999E-3</v>
      </c>
      <c r="AC8" s="760"/>
      <c r="AD8" s="755">
        <f>((72-10)/(10000/4))+AH8</f>
        <v>2.4799999999999999E-2</v>
      </c>
      <c r="AE8" s="65">
        <f>+AF8</f>
        <v>0</v>
      </c>
      <c r="AF8" s="65">
        <f>+AG8</f>
        <v>0</v>
      </c>
      <c r="AG8" s="65">
        <f>+AH8</f>
        <v>0</v>
      </c>
      <c r="AH8" s="760"/>
      <c r="AI8" s="1235">
        <f>((-72+68)/(10000/4))+AM8</f>
        <v>3.4000000000000002E-3</v>
      </c>
      <c r="AJ8" s="1235">
        <f>((5)/(11000/4))+AM8</f>
        <v>6.8181818181818187E-3</v>
      </c>
      <c r="AK8" s="65">
        <f>+AL8</f>
        <v>5.0000000000000001E-3</v>
      </c>
      <c r="AL8" s="65">
        <f>+AM8</f>
        <v>5.0000000000000001E-3</v>
      </c>
      <c r="AM8" s="1517">
        <v>5.0000000000000001E-3</v>
      </c>
      <c r="AN8" s="839">
        <f>+AO8</f>
        <v>0</v>
      </c>
      <c r="AO8" s="839">
        <f>+AP8</f>
        <v>0</v>
      </c>
      <c r="AP8" s="839">
        <f>+AQ8</f>
        <v>0</v>
      </c>
      <c r="AQ8" s="839">
        <f>+AR8</f>
        <v>0</v>
      </c>
      <c r="AR8" s="1517">
        <v>0</v>
      </c>
      <c r="AS8" s="839">
        <f>+AT8</f>
        <v>0</v>
      </c>
      <c r="AT8" s="839">
        <f>+AU8</f>
        <v>0</v>
      </c>
      <c r="AU8" s="839">
        <f>+AV8</f>
        <v>0</v>
      </c>
      <c r="AV8" s="839">
        <f>+AW8</f>
        <v>0</v>
      </c>
      <c r="AW8" s="1517">
        <v>0</v>
      </c>
      <c r="AX8" s="839">
        <f>+AY8</f>
        <v>0</v>
      </c>
      <c r="AY8" s="839">
        <f>+AZ8</f>
        <v>0</v>
      </c>
      <c r="AZ8" s="839">
        <f>+BA8</f>
        <v>0</v>
      </c>
      <c r="BA8" s="839">
        <f>+BB8</f>
        <v>0</v>
      </c>
      <c r="BB8" s="1517">
        <v>0</v>
      </c>
      <c r="BC8" s="839">
        <f>+BD8</f>
        <v>0</v>
      </c>
      <c r="BD8" s="839">
        <f>+BE8</f>
        <v>0</v>
      </c>
      <c r="BE8" s="839">
        <f>+BF8</f>
        <v>0</v>
      </c>
      <c r="BF8" s="839">
        <f>+BG8</f>
        <v>0</v>
      </c>
      <c r="BG8" s="1517">
        <v>0</v>
      </c>
      <c r="BH8" s="839">
        <f>+BI8</f>
        <v>0</v>
      </c>
      <c r="BI8" s="839">
        <f>+BJ8</f>
        <v>0</v>
      </c>
      <c r="BJ8" s="839">
        <f>+BK8</f>
        <v>0</v>
      </c>
      <c r="BK8" s="839">
        <f>+BL8</f>
        <v>0</v>
      </c>
      <c r="BL8" s="1517">
        <v>0</v>
      </c>
      <c r="BM8" s="839">
        <f>+BN8</f>
        <v>0</v>
      </c>
      <c r="BN8" s="839">
        <f>+BO8</f>
        <v>0</v>
      </c>
      <c r="BO8" s="839">
        <f>+BP8</f>
        <v>0</v>
      </c>
      <c r="BP8" s="839">
        <f>+BQ8</f>
        <v>0</v>
      </c>
      <c r="BQ8" s="1517">
        <v>0</v>
      </c>
    </row>
    <row r="9" spans="1:69">
      <c r="E9" s="95"/>
      <c r="F9" s="95"/>
      <c r="G9" s="95"/>
      <c r="H9" s="95"/>
      <c r="J9" s="95"/>
      <c r="K9" s="95"/>
      <c r="L9" s="95"/>
      <c r="M9" s="95"/>
      <c r="O9" s="95"/>
      <c r="P9" s="95"/>
      <c r="Q9" s="95"/>
      <c r="R9" s="95"/>
      <c r="T9" s="95"/>
      <c r="U9" s="95"/>
      <c r="V9" s="95"/>
      <c r="W9" s="95"/>
      <c r="Y9" s="95"/>
      <c r="Z9" s="95"/>
      <c r="AA9" s="95"/>
      <c r="AB9" s="95"/>
      <c r="AD9" s="95"/>
      <c r="AE9" s="95"/>
      <c r="AF9" s="95"/>
      <c r="AG9" s="95"/>
      <c r="AI9" s="95"/>
      <c r="AJ9" s="95"/>
      <c r="AK9" s="95"/>
      <c r="AL9" s="95"/>
      <c r="AN9" s="95"/>
      <c r="AO9" s="95"/>
      <c r="AP9" s="95"/>
      <c r="AQ9" s="95"/>
      <c r="AS9" s="95"/>
      <c r="AT9" s="95"/>
      <c r="AU9" s="95"/>
      <c r="AV9" s="95"/>
      <c r="AX9" s="95"/>
      <c r="AY9" s="95"/>
      <c r="AZ9" s="95"/>
      <c r="BA9" s="95"/>
      <c r="BC9" s="95"/>
      <c r="BD9" s="95"/>
      <c r="BE9" s="95"/>
      <c r="BF9" s="95"/>
      <c r="BH9" s="95"/>
      <c r="BI9" s="95"/>
      <c r="BJ9" s="95"/>
      <c r="BK9" s="95"/>
      <c r="BM9" s="95"/>
      <c r="BN9" s="95"/>
      <c r="BO9" s="95"/>
      <c r="BP9" s="95"/>
    </row>
    <row r="10" spans="1:69">
      <c r="C10" t="s">
        <v>289</v>
      </c>
      <c r="E10" s="86"/>
      <c r="F10" s="86"/>
      <c r="G10" s="86"/>
      <c r="H10" s="86"/>
      <c r="J10" s="86"/>
      <c r="K10" s="86"/>
      <c r="L10" s="86"/>
      <c r="M10" s="86"/>
      <c r="O10" s="86"/>
      <c r="P10" s="86"/>
      <c r="Q10" s="86"/>
      <c r="R10" s="86"/>
      <c r="S10" s="760"/>
      <c r="T10" s="95"/>
      <c r="U10" s="95"/>
      <c r="V10" s="95"/>
      <c r="W10" s="95"/>
      <c r="X10" s="760"/>
      <c r="Y10" s="95"/>
      <c r="Z10" s="760">
        <v>0</v>
      </c>
      <c r="AA10" s="65">
        <f>+AB10</f>
        <v>0</v>
      </c>
      <c r="AB10" s="65">
        <f>+AC10</f>
        <v>0</v>
      </c>
      <c r="AC10" s="760"/>
      <c r="AD10" s="65">
        <f>+AE10</f>
        <v>0</v>
      </c>
      <c r="AE10" s="65">
        <f>+AF10</f>
        <v>0</v>
      </c>
      <c r="AF10" s="65">
        <f>+AG10</f>
        <v>0</v>
      </c>
      <c r="AG10" s="65">
        <f>+AH10</f>
        <v>0</v>
      </c>
      <c r="AH10" s="760"/>
      <c r="AI10" s="65">
        <f>+AJ10</f>
        <v>-0.01</v>
      </c>
      <c r="AJ10" s="65">
        <f>+AK10</f>
        <v>-0.01</v>
      </c>
      <c r="AK10" s="65">
        <f>+AL10</f>
        <v>-0.01</v>
      </c>
      <c r="AL10" s="65">
        <f>+AM10</f>
        <v>-0.01</v>
      </c>
      <c r="AM10" s="760">
        <v>-0.01</v>
      </c>
      <c r="AN10" s="65">
        <f>+AO10</f>
        <v>-2.5000000000000001E-2</v>
      </c>
      <c r="AO10" s="65">
        <f>+AP10</f>
        <v>-2.5000000000000001E-2</v>
      </c>
      <c r="AP10" s="65">
        <f>+AQ10</f>
        <v>-2.5000000000000001E-2</v>
      </c>
      <c r="AQ10" s="65">
        <f>+AR10</f>
        <v>-2.5000000000000001E-2</v>
      </c>
      <c r="AR10" s="760">
        <v>-2.5000000000000001E-2</v>
      </c>
      <c r="AS10" s="65">
        <f>+AT10</f>
        <v>0</v>
      </c>
      <c r="AT10" s="65">
        <f>+AU10</f>
        <v>0</v>
      </c>
      <c r="AU10" s="65">
        <f>+AV10</f>
        <v>0</v>
      </c>
      <c r="AV10" s="65">
        <f>+AW10</f>
        <v>0</v>
      </c>
      <c r="AW10" s="760">
        <v>0</v>
      </c>
      <c r="AX10" s="65">
        <f>+AY10</f>
        <v>5.0000000000000001E-3</v>
      </c>
      <c r="AY10" s="65">
        <f>+AZ10</f>
        <v>5.0000000000000001E-3</v>
      </c>
      <c r="AZ10" s="65">
        <f>+BA10</f>
        <v>5.0000000000000001E-3</v>
      </c>
      <c r="BA10" s="65">
        <f>+BB10</f>
        <v>5.0000000000000001E-3</v>
      </c>
      <c r="BB10" s="760">
        <v>5.0000000000000001E-3</v>
      </c>
      <c r="BC10" s="65">
        <f>+BD10</f>
        <v>5.0000000000000001E-3</v>
      </c>
      <c r="BD10" s="65">
        <f>+BE10</f>
        <v>5.0000000000000001E-3</v>
      </c>
      <c r="BE10" s="65">
        <f>+BF10</f>
        <v>5.0000000000000001E-3</v>
      </c>
      <c r="BF10" s="65">
        <f>+BG10</f>
        <v>5.0000000000000001E-3</v>
      </c>
      <c r="BG10" s="760">
        <v>5.0000000000000001E-3</v>
      </c>
      <c r="BH10" s="65">
        <f>+BI10</f>
        <v>5.0000000000000001E-3</v>
      </c>
      <c r="BI10" s="65">
        <f>+BJ10</f>
        <v>5.0000000000000001E-3</v>
      </c>
      <c r="BJ10" s="65">
        <f>+BK10</f>
        <v>5.0000000000000001E-3</v>
      </c>
      <c r="BK10" s="65">
        <f>+BL10</f>
        <v>5.0000000000000001E-3</v>
      </c>
      <c r="BL10" s="760">
        <v>5.0000000000000001E-3</v>
      </c>
      <c r="BM10" s="65">
        <f>+BN10</f>
        <v>5.0000000000000001E-3</v>
      </c>
      <c r="BN10" s="65">
        <f>+BO10</f>
        <v>5.0000000000000001E-3</v>
      </c>
      <c r="BO10" s="65">
        <f>+BP10</f>
        <v>5.0000000000000001E-3</v>
      </c>
      <c r="BP10" s="65">
        <f>+BQ10</f>
        <v>5.0000000000000001E-3</v>
      </c>
      <c r="BQ10" s="760">
        <v>5.0000000000000001E-3</v>
      </c>
    </row>
    <row r="11" spans="1:69">
      <c r="C11" t="s">
        <v>290</v>
      </c>
      <c r="E11" s="86"/>
      <c r="F11" s="86"/>
      <c r="G11" s="86"/>
      <c r="H11" s="86"/>
      <c r="J11" s="86"/>
      <c r="K11" s="86"/>
      <c r="L11" s="86"/>
      <c r="M11" s="86"/>
      <c r="O11" s="86"/>
      <c r="P11" s="86"/>
      <c r="Q11" s="86"/>
      <c r="R11" s="86"/>
      <c r="S11" s="760"/>
      <c r="T11" s="95"/>
      <c r="U11" s="95"/>
      <c r="V11" s="95"/>
      <c r="W11" s="95"/>
      <c r="X11" s="760"/>
      <c r="Y11" s="95"/>
      <c r="Z11" s="95"/>
      <c r="AA11" s="95"/>
      <c r="AB11" s="95"/>
      <c r="AC11" s="760"/>
      <c r="AD11" s="95"/>
      <c r="AE11" s="95"/>
      <c r="AF11" s="95"/>
      <c r="AG11" s="95"/>
      <c r="AH11" s="760"/>
      <c r="AI11" s="95"/>
      <c r="AJ11" s="95"/>
      <c r="AK11" s="95"/>
      <c r="AL11" s="95"/>
      <c r="AM11" s="760">
        <v>0.02</v>
      </c>
      <c r="AN11" s="95"/>
      <c r="AO11" s="95"/>
      <c r="AP11" s="95"/>
      <c r="AQ11" s="95"/>
      <c r="AR11" s="760">
        <v>0.02</v>
      </c>
      <c r="AS11" s="95"/>
      <c r="AT11" s="95"/>
      <c r="AU11" s="95"/>
      <c r="AV11" s="95"/>
      <c r="AW11" s="760">
        <v>0.02</v>
      </c>
      <c r="AX11" s="95"/>
      <c r="AY11" s="95"/>
      <c r="AZ11" s="95"/>
      <c r="BA11" s="95"/>
      <c r="BB11" s="760">
        <v>0.02</v>
      </c>
      <c r="BC11" s="95"/>
      <c r="BD11" s="95"/>
      <c r="BE11" s="95"/>
      <c r="BF11" s="95"/>
      <c r="BG11" s="760">
        <v>0.02</v>
      </c>
      <c r="BH11" s="95"/>
      <c r="BI11" s="95"/>
      <c r="BJ11" s="95"/>
      <c r="BK11" s="95"/>
      <c r="BL11" s="760">
        <v>0.02</v>
      </c>
      <c r="BM11" s="95"/>
      <c r="BN11" s="95"/>
      <c r="BO11" s="95"/>
      <c r="BP11" s="95"/>
      <c r="BQ11" s="760">
        <v>0.02</v>
      </c>
    </row>
    <row r="12" spans="1:69">
      <c r="E12" s="86"/>
      <c r="F12" s="86"/>
      <c r="G12" s="86"/>
      <c r="H12" s="86"/>
      <c r="J12" s="86"/>
      <c r="K12" s="86"/>
      <c r="L12" s="86"/>
      <c r="M12" s="86"/>
      <c r="O12" s="86"/>
      <c r="P12" s="86"/>
      <c r="Q12" s="86"/>
      <c r="R12" s="86"/>
      <c r="T12" s="86"/>
      <c r="U12" s="86"/>
      <c r="V12" s="86"/>
      <c r="W12" s="86"/>
      <c r="Y12" s="86"/>
      <c r="Z12" s="86"/>
      <c r="AA12" s="86"/>
      <c r="AB12" s="86"/>
      <c r="AD12" s="86"/>
      <c r="AE12" s="86"/>
      <c r="AF12" s="86"/>
      <c r="AG12" s="86"/>
      <c r="AI12" s="86"/>
      <c r="AJ12" s="86"/>
      <c r="AK12" s="86"/>
      <c r="AL12" s="86"/>
      <c r="AN12" s="86"/>
      <c r="AO12" s="86"/>
      <c r="AP12" s="86"/>
      <c r="AQ12" s="86"/>
      <c r="AS12" s="86"/>
      <c r="AT12" s="86"/>
      <c r="AU12" s="86"/>
      <c r="AV12" s="86"/>
      <c r="AX12" s="86"/>
      <c r="AY12" s="86"/>
      <c r="AZ12" s="86"/>
      <c r="BA12" s="86"/>
      <c r="BC12" s="86"/>
      <c r="BD12" s="86"/>
      <c r="BE12" s="86"/>
      <c r="BF12" s="86"/>
      <c r="BH12" s="86"/>
      <c r="BI12" s="86"/>
      <c r="BJ12" s="86"/>
      <c r="BK12" s="86"/>
      <c r="BM12" s="86"/>
      <c r="BN12" s="86"/>
      <c r="BO12" s="86"/>
      <c r="BP12" s="86"/>
    </row>
    <row r="13" spans="1:69">
      <c r="C13" t="s">
        <v>291</v>
      </c>
      <c r="E13" s="86"/>
      <c r="F13" s="86"/>
      <c r="G13" s="86"/>
      <c r="H13" s="86"/>
      <c r="J13" s="86"/>
      <c r="K13" s="86"/>
      <c r="L13" s="86"/>
      <c r="M13" s="86"/>
      <c r="O13" s="86"/>
      <c r="P13" s="86"/>
      <c r="Q13" s="86"/>
      <c r="R13" s="86"/>
      <c r="S13" s="760"/>
      <c r="T13" s="86"/>
      <c r="U13" s="86"/>
      <c r="V13" s="86"/>
      <c r="W13" s="86"/>
      <c r="X13" s="760"/>
      <c r="Y13" s="86"/>
      <c r="Z13" s="86"/>
      <c r="AA13" s="86"/>
      <c r="AB13" s="86"/>
      <c r="AC13" s="760"/>
      <c r="AD13" s="86"/>
      <c r="AE13" s="86"/>
      <c r="AF13" s="86"/>
      <c r="AG13" s="86"/>
      <c r="AH13" s="760"/>
      <c r="AI13" s="86"/>
      <c r="AJ13" s="86"/>
      <c r="AK13" s="86"/>
      <c r="AL13" s="86"/>
      <c r="AM13" s="760">
        <v>4.4999999999999998E-2</v>
      </c>
      <c r="AN13" s="86"/>
      <c r="AO13" s="86"/>
      <c r="AP13" s="86"/>
      <c r="AQ13" s="86"/>
      <c r="AR13" s="1790">
        <v>4.5499999999999999E-2</v>
      </c>
      <c r="AS13" s="86"/>
      <c r="AT13" s="86"/>
      <c r="AU13" s="86"/>
      <c r="AV13" s="86"/>
      <c r="AW13" s="1790">
        <v>0.05</v>
      </c>
      <c r="AX13" s="86"/>
      <c r="AY13" s="86"/>
      <c r="AZ13" s="86"/>
      <c r="BA13" s="86"/>
      <c r="BB13" s="760">
        <v>0.05</v>
      </c>
      <c r="BC13" s="86"/>
      <c r="BD13" s="86"/>
      <c r="BE13" s="86"/>
      <c r="BF13" s="86"/>
      <c r="BG13" s="760">
        <v>0.05</v>
      </c>
      <c r="BH13" s="86"/>
      <c r="BI13" s="86"/>
      <c r="BJ13" s="86"/>
      <c r="BK13" s="86"/>
      <c r="BL13" s="760">
        <v>0.05</v>
      </c>
      <c r="BM13" s="86"/>
      <c r="BN13" s="86"/>
      <c r="BO13" s="86"/>
      <c r="BP13" s="86"/>
      <c r="BQ13" s="760">
        <v>0.05</v>
      </c>
    </row>
    <row r="14" spans="1:69">
      <c r="E14" s="86"/>
      <c r="F14" s="86"/>
      <c r="G14" s="86"/>
      <c r="H14" s="86"/>
      <c r="J14" s="86"/>
      <c r="K14" s="86"/>
      <c r="L14" s="86"/>
      <c r="M14" s="86"/>
      <c r="O14" s="86"/>
      <c r="P14" s="86"/>
      <c r="Q14" s="86"/>
      <c r="R14" s="86"/>
      <c r="T14" s="86"/>
      <c r="U14" s="86"/>
      <c r="V14" s="86"/>
      <c r="W14" s="86"/>
      <c r="Y14" s="86"/>
      <c r="Z14" s="86"/>
      <c r="AA14" s="86"/>
      <c r="AB14" s="86"/>
      <c r="AD14" s="86"/>
      <c r="AE14" s="86"/>
      <c r="AF14" s="86"/>
      <c r="AG14" s="86"/>
      <c r="AI14" s="86"/>
      <c r="AJ14" s="86"/>
      <c r="AK14" s="86"/>
      <c r="AL14" s="86"/>
      <c r="AN14" s="86"/>
      <c r="AO14" s="86"/>
      <c r="AP14" s="86"/>
      <c r="AQ14" s="86"/>
      <c r="AS14" s="86"/>
      <c r="AT14" s="86"/>
      <c r="AU14" s="86"/>
      <c r="AV14" s="86"/>
      <c r="AX14" s="86"/>
      <c r="AY14" s="86"/>
      <c r="AZ14" s="86"/>
      <c r="BA14" s="86"/>
      <c r="BC14" s="86"/>
      <c r="BD14" s="86"/>
      <c r="BE14" s="86"/>
      <c r="BF14" s="86"/>
      <c r="BH14" s="86"/>
      <c r="BI14" s="86"/>
      <c r="BJ14" s="86"/>
      <c r="BK14" s="86"/>
      <c r="BM14" s="86"/>
      <c r="BN14" s="86"/>
      <c r="BO14" s="86"/>
      <c r="BP14" s="86"/>
    </row>
    <row r="15" spans="1:69">
      <c r="C15" t="s">
        <v>292</v>
      </c>
      <c r="E15" s="86"/>
      <c r="F15" s="86"/>
      <c r="G15" s="86"/>
      <c r="H15" s="86"/>
      <c r="J15" s="86"/>
      <c r="K15" s="86"/>
      <c r="L15" s="86"/>
      <c r="M15" s="86"/>
      <c r="O15" s="86"/>
      <c r="P15" s="86"/>
      <c r="Q15" s="86"/>
      <c r="R15" s="86"/>
      <c r="S15" s="760"/>
      <c r="T15" s="86"/>
      <c r="U15" s="86"/>
      <c r="V15" s="86"/>
      <c r="W15" s="86"/>
      <c r="X15" s="760"/>
      <c r="Y15" s="86"/>
      <c r="Z15" s="86"/>
      <c r="AA15" s="86"/>
      <c r="AB15" s="86"/>
      <c r="AC15" s="760"/>
      <c r="AD15" s="86"/>
      <c r="AE15" s="86"/>
      <c r="AF15" s="86"/>
      <c r="AG15" s="86"/>
      <c r="AH15" s="760"/>
      <c r="AI15" s="86"/>
      <c r="AJ15" s="86"/>
      <c r="AK15" s="86"/>
      <c r="AL15" s="86"/>
      <c r="AM15" s="760">
        <v>0.38</v>
      </c>
      <c r="AN15" s="86"/>
      <c r="AO15" s="86"/>
      <c r="AP15" s="86"/>
      <c r="AQ15" s="86"/>
      <c r="AR15" s="760">
        <v>0.38</v>
      </c>
      <c r="AS15" s="86"/>
      <c r="AT15" s="86"/>
      <c r="AU15" s="86"/>
      <c r="AV15" s="86"/>
      <c r="AW15" s="760">
        <f>+AR15</f>
        <v>0.38</v>
      </c>
      <c r="AX15" s="86"/>
      <c r="AY15" s="86"/>
      <c r="AZ15" s="86"/>
      <c r="BA15" s="86"/>
      <c r="BB15" s="1916">
        <v>0.24</v>
      </c>
      <c r="BC15" s="86"/>
      <c r="BD15" s="86"/>
      <c r="BE15" s="86"/>
      <c r="BF15" s="86"/>
      <c r="BG15" s="761">
        <f>+BB15</f>
        <v>0.24</v>
      </c>
      <c r="BH15" s="86"/>
      <c r="BI15" s="86"/>
      <c r="BJ15" s="86"/>
      <c r="BK15" s="86"/>
      <c r="BL15" s="761">
        <f>+BG15</f>
        <v>0.24</v>
      </c>
      <c r="BM15" s="86"/>
      <c r="BN15" s="86"/>
      <c r="BO15" s="86"/>
      <c r="BP15" s="86"/>
      <c r="BQ15" s="761">
        <f>+BL15</f>
        <v>0.24</v>
      </c>
    </row>
    <row r="16" spans="1:69">
      <c r="E16" s="86"/>
      <c r="F16" s="86"/>
      <c r="G16" s="86"/>
      <c r="H16" s="86"/>
      <c r="J16" s="86"/>
      <c r="K16" s="86"/>
      <c r="L16" s="86"/>
      <c r="M16" s="86"/>
      <c r="O16" s="86"/>
      <c r="P16" s="86"/>
      <c r="Q16" s="86"/>
      <c r="R16" s="86"/>
      <c r="T16" s="86"/>
      <c r="U16" s="86"/>
      <c r="V16" s="86"/>
      <c r="W16" s="86"/>
      <c r="Y16" s="86"/>
      <c r="Z16" s="86"/>
      <c r="AA16" s="86"/>
      <c r="AB16" s="86"/>
      <c r="AD16" s="86"/>
      <c r="AE16" s="86"/>
      <c r="AF16" s="86"/>
      <c r="AG16" s="86"/>
      <c r="AI16" s="86"/>
      <c r="AJ16" s="86"/>
      <c r="AK16" s="86"/>
      <c r="AL16" s="86"/>
      <c r="AN16" s="86"/>
      <c r="AO16" s="86"/>
      <c r="AP16" s="86"/>
      <c r="AQ16" s="86"/>
      <c r="AS16" s="86"/>
      <c r="AT16" s="86"/>
      <c r="AU16" s="86"/>
      <c r="AV16" s="86"/>
      <c r="AX16" s="86"/>
      <c r="AY16" s="86"/>
      <c r="AZ16" s="86"/>
      <c r="BA16" s="86"/>
      <c r="BC16" s="86"/>
      <c r="BD16" s="86"/>
      <c r="BE16" s="86"/>
      <c r="BF16" s="86"/>
      <c r="BH16" s="86"/>
      <c r="BI16" s="86"/>
      <c r="BJ16" s="86"/>
      <c r="BK16" s="86"/>
      <c r="BM16" s="86"/>
      <c r="BN16" s="86"/>
      <c r="BO16" s="86"/>
      <c r="BP16" s="86"/>
    </row>
    <row r="17" spans="2:72">
      <c r="E17" s="86"/>
      <c r="F17" s="86"/>
      <c r="G17" s="86"/>
      <c r="H17" s="86"/>
      <c r="J17" s="86"/>
      <c r="K17" s="86"/>
      <c r="L17" s="86"/>
      <c r="M17" s="86"/>
      <c r="O17" s="86"/>
      <c r="P17" s="86"/>
      <c r="Q17" s="86"/>
      <c r="R17" s="86"/>
      <c r="T17" s="86"/>
      <c r="U17" s="86"/>
      <c r="V17" s="86"/>
      <c r="W17" s="86"/>
      <c r="Y17" s="86"/>
      <c r="Z17" s="86"/>
      <c r="AA17" s="86"/>
      <c r="AB17" s="86"/>
      <c r="AD17" s="86"/>
      <c r="AE17" s="86"/>
      <c r="AF17" s="86"/>
      <c r="AG17" s="86"/>
      <c r="AI17" s="86"/>
      <c r="AJ17" s="86"/>
      <c r="AK17" s="86"/>
      <c r="AL17" s="86"/>
      <c r="AN17" s="86"/>
      <c r="AO17" s="86"/>
      <c r="AP17" s="86"/>
      <c r="AQ17" s="86"/>
      <c r="AS17" s="86"/>
      <c r="AT17" s="86"/>
      <c r="AU17" s="86"/>
      <c r="AV17" s="86"/>
      <c r="AX17" s="86"/>
      <c r="AY17" s="86"/>
      <c r="AZ17" s="86"/>
      <c r="BA17" s="86"/>
      <c r="BC17" s="86"/>
      <c r="BD17" s="86"/>
      <c r="BE17" s="86"/>
      <c r="BF17" s="86"/>
      <c r="BH17" s="86"/>
      <c r="BI17" s="86"/>
      <c r="BJ17" s="86"/>
      <c r="BK17" s="86"/>
      <c r="BM17" s="86"/>
      <c r="BN17" s="86"/>
      <c r="BO17" s="86"/>
      <c r="BP17" s="86"/>
    </row>
    <row r="18" spans="2:72">
      <c r="B18" s="46" t="s">
        <v>1365</v>
      </c>
      <c r="C18" s="46"/>
      <c r="D18" s="46"/>
      <c r="E18" s="94"/>
      <c r="F18" s="94"/>
      <c r="G18" s="94"/>
      <c r="H18" s="94"/>
      <c r="N18" s="56"/>
      <c r="O18" s="86"/>
      <c r="P18" s="86"/>
      <c r="Q18" s="86"/>
      <c r="R18" s="86"/>
      <c r="S18" s="56"/>
      <c r="T18" s="86"/>
      <c r="U18" s="86"/>
      <c r="V18" s="86"/>
      <c r="W18" s="86"/>
      <c r="X18" s="1308">
        <v>2012</v>
      </c>
      <c r="Y18" s="1309" t="s">
        <v>717</v>
      </c>
      <c r="Z18" s="1309" t="s">
        <v>718</v>
      </c>
      <c r="AA18" s="1309" t="s">
        <v>719</v>
      </c>
      <c r="AB18" s="1309" t="s">
        <v>720</v>
      </c>
      <c r="AC18" s="1309">
        <v>2013</v>
      </c>
      <c r="AD18" s="1309" t="s">
        <v>721</v>
      </c>
      <c r="AE18" s="1309" t="s">
        <v>722</v>
      </c>
      <c r="AF18" s="1309" t="s">
        <v>723</v>
      </c>
      <c r="AG18" s="1309" t="s">
        <v>724</v>
      </c>
      <c r="AH18" s="1309">
        <v>2014</v>
      </c>
      <c r="AI18" s="1309" t="s">
        <v>725</v>
      </c>
      <c r="AJ18" s="1309" t="s">
        <v>726</v>
      </c>
      <c r="AK18" s="1309" t="s">
        <v>727</v>
      </c>
      <c r="AL18" s="1309" t="s">
        <v>728</v>
      </c>
      <c r="AM18" s="1309">
        <v>2015</v>
      </c>
      <c r="AN18" s="1309" t="s">
        <v>729</v>
      </c>
      <c r="AO18" s="1309" t="s">
        <v>730</v>
      </c>
      <c r="AP18" s="1309" t="s">
        <v>731</v>
      </c>
      <c r="AQ18" s="1309" t="s">
        <v>732</v>
      </c>
      <c r="AR18" s="1309">
        <v>2016</v>
      </c>
      <c r="AS18" s="1309" t="s">
        <v>733</v>
      </c>
      <c r="AT18" s="1309" t="s">
        <v>734</v>
      </c>
      <c r="AU18" s="1309" t="s">
        <v>735</v>
      </c>
      <c r="AV18" s="1309" t="s">
        <v>736</v>
      </c>
      <c r="AW18" s="1309">
        <v>2017</v>
      </c>
      <c r="AX18" s="1309" t="s">
        <v>737</v>
      </c>
      <c r="AY18" s="1309" t="s">
        <v>738</v>
      </c>
      <c r="AZ18" s="1309" t="s">
        <v>739</v>
      </c>
      <c r="BA18" s="1309" t="s">
        <v>740</v>
      </c>
      <c r="BB18" s="1309">
        <v>2018</v>
      </c>
      <c r="BC18" s="1309" t="s">
        <v>1067</v>
      </c>
      <c r="BD18" s="1309" t="s">
        <v>1068</v>
      </c>
      <c r="BE18" s="1309" t="s">
        <v>1069</v>
      </c>
      <c r="BF18" s="1309" t="s">
        <v>1070</v>
      </c>
      <c r="BG18" s="1309">
        <v>2019</v>
      </c>
      <c r="BH18" s="1309" t="s">
        <v>1071</v>
      </c>
      <c r="BI18" s="1309" t="s">
        <v>1072</v>
      </c>
      <c r="BJ18" s="1309" t="s">
        <v>1073</v>
      </c>
      <c r="BK18" s="1309" t="s">
        <v>1074</v>
      </c>
      <c r="BL18" s="1309">
        <v>2020</v>
      </c>
      <c r="BM18" s="1309" t="s">
        <v>1278</v>
      </c>
      <c r="BN18" s="1309" t="s">
        <v>1279</v>
      </c>
      <c r="BO18" s="1309" t="s">
        <v>1280</v>
      </c>
      <c r="BP18" s="1309" t="s">
        <v>1281</v>
      </c>
      <c r="BQ18" s="1309">
        <v>2021</v>
      </c>
    </row>
    <row r="19" spans="2:72">
      <c r="B19" t="s">
        <v>960</v>
      </c>
      <c r="C19" t="s">
        <v>354</v>
      </c>
      <c r="E19" s="86"/>
      <c r="F19" s="86"/>
      <c r="G19" s="86"/>
      <c r="H19" s="86"/>
      <c r="J19" s="86"/>
      <c r="K19" s="86"/>
      <c r="L19" s="86"/>
      <c r="M19" s="86"/>
      <c r="N19" s="72"/>
      <c r="O19" s="86"/>
      <c r="P19" s="86"/>
      <c r="Q19" s="86"/>
      <c r="R19" s="86"/>
      <c r="S19" s="72"/>
      <c r="T19" s="86"/>
      <c r="U19" s="86"/>
      <c r="V19" s="86"/>
      <c r="W19" s="86"/>
      <c r="X19" s="1365">
        <f>7813+182</f>
        <v>7995</v>
      </c>
      <c r="AC19" s="1365">
        <f>6972+186</f>
        <v>7158</v>
      </c>
      <c r="AH19" s="1365">
        <f>7127+186</f>
        <v>7313</v>
      </c>
      <c r="AM19" s="1365">
        <v>8002</v>
      </c>
      <c r="AN19" s="1898"/>
      <c r="AO19" s="1898"/>
      <c r="AP19" s="1898"/>
      <c r="AQ19" s="1898"/>
      <c r="AR19" s="1365">
        <v>8220</v>
      </c>
      <c r="AS19" s="1884"/>
      <c r="AT19" s="1884"/>
      <c r="AU19" s="1884"/>
      <c r="AV19" s="1884"/>
      <c r="AW19" s="1365"/>
      <c r="BB19" s="1269"/>
      <c r="BG19" s="1269"/>
      <c r="BL19" s="1269"/>
      <c r="BQ19" s="1269"/>
      <c r="BR19" s="1099"/>
    </row>
    <row r="20" spans="2:72">
      <c r="B20" t="s">
        <v>960</v>
      </c>
      <c r="C20" t="s">
        <v>355</v>
      </c>
      <c r="E20" s="86"/>
      <c r="F20" s="86"/>
      <c r="G20" s="86"/>
      <c r="H20" s="86"/>
      <c r="J20" s="86"/>
      <c r="K20" s="86"/>
      <c r="L20" s="86"/>
      <c r="M20" s="86"/>
      <c r="N20" s="72"/>
      <c r="O20" s="86"/>
      <c r="P20" s="86"/>
      <c r="Q20" s="86"/>
      <c r="R20" s="86"/>
      <c r="S20" s="72"/>
      <c r="T20" s="86"/>
      <c r="U20" s="86"/>
      <c r="V20" s="86"/>
      <c r="W20" s="86"/>
      <c r="X20" s="1365">
        <v>3474</v>
      </c>
      <c r="AC20" s="1365">
        <v>3849</v>
      </c>
      <c r="AH20" s="1365">
        <v>4154</v>
      </c>
      <c r="AM20" s="1365">
        <v>4203</v>
      </c>
      <c r="AN20" s="1898"/>
      <c r="AO20" s="1898"/>
      <c r="AP20" s="1898"/>
      <c r="AQ20" s="1898"/>
      <c r="AR20" s="1365">
        <v>4713</v>
      </c>
      <c r="AS20" s="1884"/>
      <c r="AT20" s="1884"/>
      <c r="AU20" s="1884"/>
      <c r="AV20" s="1884"/>
      <c r="AW20" s="1365"/>
      <c r="BB20" s="1269"/>
      <c r="BG20" s="1269"/>
      <c r="BL20" s="1269"/>
      <c r="BQ20" s="1269"/>
      <c r="BR20" s="1099"/>
    </row>
    <row r="21" spans="2:72">
      <c r="B21" t="s">
        <v>960</v>
      </c>
      <c r="C21" t="s">
        <v>357</v>
      </c>
      <c r="E21" s="86"/>
      <c r="F21" s="86"/>
      <c r="G21" s="86"/>
      <c r="H21" s="86"/>
      <c r="J21" s="86"/>
      <c r="K21" s="86"/>
      <c r="L21" s="86"/>
      <c r="M21" s="86"/>
      <c r="N21" s="72"/>
      <c r="O21" s="86"/>
      <c r="P21" s="86"/>
      <c r="Q21" s="86"/>
      <c r="R21" s="86"/>
      <c r="S21" s="72"/>
      <c r="T21" s="86"/>
      <c r="U21" s="86"/>
      <c r="V21" s="86"/>
      <c r="W21" s="86"/>
      <c r="X21" s="1365">
        <v>4522</v>
      </c>
      <c r="AC21" s="1365">
        <v>4275</v>
      </c>
      <c r="AH21" s="1365">
        <v>4464</v>
      </c>
      <c r="AM21" s="1365">
        <v>4812</v>
      </c>
      <c r="AN21" s="1898"/>
      <c r="AO21" s="1898"/>
      <c r="AP21" s="1898"/>
      <c r="AQ21" s="1898"/>
      <c r="AR21" s="1365">
        <v>4902</v>
      </c>
      <c r="AS21" s="1884"/>
      <c r="AT21" s="1884"/>
      <c r="AU21" s="1884"/>
      <c r="AV21" s="1884"/>
      <c r="AW21" s="1365"/>
      <c r="BB21" s="1269"/>
      <c r="BG21" s="1269"/>
      <c r="BL21" s="1269"/>
      <c r="BQ21" s="1269"/>
      <c r="BR21" s="1099"/>
    </row>
    <row r="22" spans="2:72">
      <c r="B22" t="s">
        <v>960</v>
      </c>
      <c r="C22" t="s">
        <v>637</v>
      </c>
      <c r="E22" s="86"/>
      <c r="F22" s="86"/>
      <c r="G22" s="86"/>
      <c r="H22" s="86"/>
      <c r="J22" s="86"/>
      <c r="K22" s="86"/>
      <c r="L22" s="86"/>
      <c r="M22" s="86"/>
      <c r="N22" s="72"/>
      <c r="O22" s="86"/>
      <c r="P22" s="86"/>
      <c r="Q22" s="86"/>
      <c r="R22" s="86"/>
      <c r="S22" s="72"/>
      <c r="T22" s="86"/>
      <c r="U22" s="86"/>
      <c r="V22" s="86"/>
      <c r="W22" s="86"/>
      <c r="X22" s="1365">
        <v>2552</v>
      </c>
      <c r="AC22" s="1365">
        <v>2200</v>
      </c>
      <c r="AH22" s="1365">
        <v>2424</v>
      </c>
      <c r="AM22" s="1365">
        <v>2563</v>
      </c>
      <c r="AN22" s="1898"/>
      <c r="AO22" s="1898"/>
      <c r="AP22" s="1898"/>
      <c r="AQ22" s="1898"/>
      <c r="AR22" s="1365">
        <v>2840</v>
      </c>
      <c r="AS22" s="1884"/>
      <c r="AT22" s="1884"/>
      <c r="AU22" s="1884"/>
      <c r="AV22" s="1884"/>
      <c r="AW22" s="1365"/>
      <c r="BB22" s="1269"/>
      <c r="BG22" s="1269"/>
      <c r="BL22" s="1269"/>
      <c r="BQ22" s="1269"/>
      <c r="BR22" s="1099"/>
    </row>
    <row r="23" spans="2:72">
      <c r="B23" t="s">
        <v>960</v>
      </c>
      <c r="C23" t="s">
        <v>617</v>
      </c>
      <c r="E23" s="86"/>
      <c r="F23" s="86"/>
      <c r="G23" s="86"/>
      <c r="H23" s="86"/>
      <c r="J23" s="86"/>
      <c r="K23" s="86"/>
      <c r="L23" s="86"/>
      <c r="M23" s="86"/>
      <c r="N23" s="72"/>
      <c r="O23" s="86"/>
      <c r="P23" s="86"/>
      <c r="Q23" s="86"/>
      <c r="R23" s="86"/>
      <c r="S23" s="72"/>
      <c r="T23" s="86"/>
      <c r="U23" s="86"/>
      <c r="V23" s="86"/>
      <c r="W23" s="86"/>
      <c r="X23" s="1365">
        <v>1752</v>
      </c>
      <c r="AC23" s="1365">
        <v>1548</v>
      </c>
      <c r="AH23" s="1365">
        <v>1614</v>
      </c>
      <c r="AM23" s="1365">
        <v>1630</v>
      </c>
      <c r="AN23" s="1898"/>
      <c r="AO23" s="1898"/>
      <c r="AP23" s="1898"/>
      <c r="AQ23" s="1898"/>
      <c r="AR23" s="1365">
        <v>1663</v>
      </c>
      <c r="AS23" s="1884"/>
      <c r="AT23" s="1884"/>
      <c r="AU23" s="1884"/>
      <c r="AV23" s="1884"/>
      <c r="AW23" s="1365"/>
      <c r="BB23" s="1269"/>
      <c r="BG23" s="1269"/>
      <c r="BL23" s="1269"/>
      <c r="BQ23" s="1269"/>
      <c r="BR23" s="1099"/>
    </row>
    <row r="24" spans="2:72">
      <c r="B24" t="s">
        <v>960</v>
      </c>
      <c r="C24" s="1116" t="s">
        <v>1024</v>
      </c>
      <c r="E24" s="86"/>
      <c r="F24" s="86"/>
      <c r="G24" s="86"/>
      <c r="H24" s="86"/>
      <c r="J24" s="86"/>
      <c r="K24" s="86"/>
      <c r="L24" s="86"/>
      <c r="M24" s="86"/>
      <c r="N24" s="72"/>
      <c r="O24" s="86"/>
      <c r="P24" s="86"/>
      <c r="Q24" s="86"/>
      <c r="R24" s="86"/>
      <c r="S24" s="72"/>
      <c r="T24" s="86"/>
      <c r="U24" s="86"/>
      <c r="V24" s="86"/>
      <c r="W24" s="86"/>
      <c r="X24" s="1342">
        <f>315+91</f>
        <v>406</v>
      </c>
      <c r="AC24" s="1342">
        <f>346+98</f>
        <v>444</v>
      </c>
      <c r="AH24" s="1428" t="s">
        <v>303</v>
      </c>
      <c r="AM24" s="1428" t="s">
        <v>303</v>
      </c>
      <c r="AN24" s="1898"/>
      <c r="AO24" s="1898"/>
      <c r="AP24" s="1898"/>
      <c r="AQ24" s="1898"/>
      <c r="AR24" s="1428">
        <v>334</v>
      </c>
      <c r="AS24" s="1884"/>
      <c r="AT24" s="1884"/>
      <c r="AU24" s="1884"/>
      <c r="AV24" s="1884"/>
      <c r="AW24" s="1910">
        <v>393</v>
      </c>
      <c r="BB24" s="1910">
        <v>400</v>
      </c>
      <c r="BG24" s="1910">
        <v>400</v>
      </c>
      <c r="BL24" s="1910">
        <v>457</v>
      </c>
      <c r="BQ24" s="1269"/>
      <c r="BR24" s="1099"/>
      <c r="BS24" s="1267"/>
      <c r="BT24" s="1267"/>
    </row>
    <row r="25" spans="2:72" s="1240" customFormat="1">
      <c r="C25" s="1240" t="s">
        <v>304</v>
      </c>
      <c r="E25" s="221"/>
      <c r="F25" s="221"/>
      <c r="G25" s="221"/>
      <c r="H25" s="221"/>
      <c r="J25" s="221"/>
      <c r="K25" s="221"/>
      <c r="L25" s="221"/>
      <c r="M25" s="221"/>
      <c r="N25" s="112"/>
      <c r="O25" s="221"/>
      <c r="P25" s="221"/>
      <c r="Q25" s="221"/>
      <c r="R25" s="221"/>
      <c r="S25" s="112"/>
      <c r="T25" s="221"/>
      <c r="U25" s="221"/>
      <c r="V25" s="221"/>
      <c r="W25" s="221"/>
      <c r="X25" s="77">
        <f>SUM(X19:X24)</f>
        <v>20701</v>
      </c>
      <c r="Y25"/>
      <c r="Z25"/>
      <c r="AA25"/>
      <c r="AB25"/>
      <c r="AC25" s="77">
        <f>SUM(AC19:AC24)</f>
        <v>19474</v>
      </c>
      <c r="AD25"/>
      <c r="AE25"/>
      <c r="AF25"/>
      <c r="AG25"/>
      <c r="AH25" s="77">
        <f>SUM(AH19:AH24)</f>
        <v>19969</v>
      </c>
      <c r="AI25"/>
      <c r="AJ25"/>
      <c r="AK25"/>
      <c r="AL25"/>
      <c r="AM25" s="77">
        <f>SUM(AM19:AM24)</f>
        <v>21210</v>
      </c>
      <c r="AN25"/>
      <c r="AO25"/>
      <c r="AP25"/>
      <c r="AQ25"/>
      <c r="AR25" s="1789">
        <f>+SUM(AR19:AR24)</f>
        <v>22672</v>
      </c>
      <c r="AS25" s="1884"/>
      <c r="AT25" s="1884"/>
      <c r="AU25" s="1884"/>
      <c r="AV25" s="1884"/>
      <c r="AW25" s="1789">
        <f>'Vertically Integrated Utilities'!AW243+AW24</f>
        <v>23536.9</v>
      </c>
      <c r="AX25" s="1789">
        <f>'Vertically Integrated Utilities'!AX245</f>
        <v>0</v>
      </c>
      <c r="AY25" s="1789">
        <f>'Vertically Integrated Utilities'!AY245</f>
        <v>0</v>
      </c>
      <c r="AZ25" s="1789">
        <f>'Vertically Integrated Utilities'!AZ245</f>
        <v>0</v>
      </c>
      <c r="BA25" s="1789">
        <f>'Vertically Integrated Utilities'!BA245</f>
        <v>0</v>
      </c>
      <c r="BB25" s="1789">
        <f>'Vertically Integrated Utilities'!BB243+BB24</f>
        <v>24451.899111495171</v>
      </c>
      <c r="BC25" s="1789">
        <f>'Vertically Integrated Utilities'!BC245</f>
        <v>0</v>
      </c>
      <c r="BD25" s="1789">
        <f>'Vertically Integrated Utilities'!BD245</f>
        <v>0</v>
      </c>
      <c r="BE25" s="1789">
        <f>'Vertically Integrated Utilities'!BE245</f>
        <v>0</v>
      </c>
      <c r="BF25" s="1789">
        <f>'Vertically Integrated Utilities'!BF245</f>
        <v>0</v>
      </c>
      <c r="BG25" s="1789">
        <f>'Vertically Integrated Utilities'!BG243+BG24</f>
        <v>25638.851568520648</v>
      </c>
      <c r="BH25" s="1789">
        <f>'Vertically Integrated Utilities'!BH245</f>
        <v>0</v>
      </c>
      <c r="BI25" s="1789">
        <f>'Vertically Integrated Utilities'!BI245</f>
        <v>0</v>
      </c>
      <c r="BJ25" s="1789">
        <f>'Vertically Integrated Utilities'!BJ245</f>
        <v>0</v>
      </c>
      <c r="BK25" s="1789">
        <f>'Vertically Integrated Utilities'!BK245</f>
        <v>0</v>
      </c>
      <c r="BL25" s="1789">
        <f>'Vertically Integrated Utilities'!BL243+BL24</f>
        <v>26942.89457818355</v>
      </c>
      <c r="BM25" s="1789">
        <f>'Vertically Integrated Utilities'!BM245</f>
        <v>0</v>
      </c>
      <c r="BN25" s="1789">
        <f>'Vertically Integrated Utilities'!BN245</f>
        <v>0</v>
      </c>
      <c r="BO25" s="1789">
        <f>'Vertically Integrated Utilities'!BO245</f>
        <v>0</v>
      </c>
      <c r="BP25" s="1789">
        <f>'Vertically Integrated Utilities'!BP245</f>
        <v>0</v>
      </c>
      <c r="BQ25" s="1789">
        <f>'Vertically Integrated Utilities'!BQ243</f>
        <v>28802.584819774911</v>
      </c>
      <c r="BR25" s="1099"/>
    </row>
    <row r="26" spans="2:72">
      <c r="E26" s="86"/>
      <c r="F26" s="86"/>
      <c r="G26" s="86"/>
      <c r="H26" s="86"/>
      <c r="J26" s="86"/>
      <c r="K26" s="86"/>
      <c r="L26" s="86"/>
      <c r="M26" s="86"/>
      <c r="N26" s="72"/>
      <c r="O26" s="86"/>
      <c r="P26" s="86"/>
      <c r="Q26" s="86"/>
      <c r="R26" s="86"/>
      <c r="S26" s="72"/>
      <c r="T26" s="86"/>
      <c r="U26" s="86"/>
      <c r="V26" s="86"/>
      <c r="W26" s="86"/>
      <c r="X26" s="1269"/>
      <c r="AC26" s="1269"/>
      <c r="AH26" s="1269"/>
      <c r="AM26" s="1269"/>
      <c r="AR26" s="1269"/>
      <c r="AS26" s="1884"/>
      <c r="AT26" s="1884"/>
      <c r="AU26" s="1884"/>
      <c r="AV26" s="1884"/>
      <c r="AW26" s="1269"/>
      <c r="AX26" s="1269">
        <f t="shared" ref="AX26:BA26" si="0">AX25-AS25</f>
        <v>0</v>
      </c>
      <c r="AY26" s="1269">
        <f t="shared" si="0"/>
        <v>0</v>
      </c>
      <c r="AZ26" s="1269">
        <f t="shared" si="0"/>
        <v>0</v>
      </c>
      <c r="BA26" s="1269">
        <f t="shared" si="0"/>
        <v>0</v>
      </c>
      <c r="BB26" s="1269"/>
      <c r="BG26" s="1269"/>
      <c r="BL26" s="1269"/>
      <c r="BQ26" s="1269"/>
      <c r="BR26" s="1099"/>
      <c r="BS26" s="1267"/>
    </row>
    <row r="27" spans="2:72">
      <c r="B27" t="s">
        <v>961</v>
      </c>
      <c r="C27" t="s">
        <v>962</v>
      </c>
      <c r="E27" s="86"/>
      <c r="F27" s="86"/>
      <c r="G27" s="86"/>
      <c r="H27" s="86"/>
      <c r="J27" s="86"/>
      <c r="K27" s="86"/>
      <c r="L27" s="86"/>
      <c r="M27" s="86"/>
      <c r="N27" s="72"/>
      <c r="O27" s="86"/>
      <c r="P27" s="86"/>
      <c r="Q27" s="86"/>
      <c r="R27" s="86"/>
      <c r="S27" s="72"/>
      <c r="T27" s="86"/>
      <c r="U27" s="86"/>
      <c r="V27" s="86"/>
      <c r="W27" s="86"/>
      <c r="X27" s="1365">
        <v>4403</v>
      </c>
      <c r="AC27" s="1365">
        <v>4111</v>
      </c>
      <c r="AH27" s="1365">
        <v>4152</v>
      </c>
      <c r="AM27" s="1365">
        <v>4227</v>
      </c>
      <c r="AN27" s="1898"/>
      <c r="AO27" s="1898"/>
      <c r="AP27" s="1898"/>
      <c r="AQ27" s="1898"/>
      <c r="AR27" s="1365">
        <v>4569</v>
      </c>
      <c r="AS27" s="1884"/>
      <c r="AT27" s="1884"/>
      <c r="AU27" s="1884"/>
      <c r="AV27" s="1884"/>
      <c r="AW27" s="1365"/>
      <c r="BB27" s="1269"/>
      <c r="BG27" s="1269"/>
      <c r="BL27" s="1269"/>
      <c r="BQ27" s="1269"/>
      <c r="BR27" s="1099"/>
    </row>
    <row r="28" spans="2:72">
      <c r="B28" t="s">
        <v>961</v>
      </c>
      <c r="C28" t="s">
        <v>296</v>
      </c>
      <c r="E28" s="86"/>
      <c r="F28" s="86"/>
      <c r="G28" s="86"/>
      <c r="H28" s="86"/>
      <c r="J28" s="86"/>
      <c r="K28" s="86"/>
      <c r="L28" s="86"/>
      <c r="M28" s="86"/>
      <c r="N28" s="72"/>
      <c r="O28" s="86"/>
      <c r="P28" s="86"/>
      <c r="Q28" s="86"/>
      <c r="R28" s="86"/>
      <c r="S28" s="72"/>
      <c r="T28" s="86"/>
      <c r="U28" s="86"/>
      <c r="V28" s="86"/>
      <c r="W28" s="86"/>
      <c r="X28" s="1365">
        <v>2912</v>
      </c>
      <c r="AC28" s="1365">
        <v>1802</v>
      </c>
      <c r="AD28" s="1267"/>
      <c r="AH28" s="1365">
        <v>2175</v>
      </c>
      <c r="AM28" s="1365">
        <v>2545</v>
      </c>
      <c r="AN28" s="1898"/>
      <c r="AO28" s="1898"/>
      <c r="AP28" s="1898"/>
      <c r="AQ28" s="1898"/>
      <c r="AR28" s="1365">
        <v>2881</v>
      </c>
      <c r="AS28" s="1884"/>
      <c r="AT28" s="1884"/>
      <c r="AU28" s="1884"/>
      <c r="AV28" s="1884"/>
      <c r="AW28" s="1365"/>
      <c r="BB28" s="1269"/>
      <c r="BG28" s="1269"/>
      <c r="BL28" s="1269"/>
      <c r="BQ28" s="1269"/>
      <c r="BR28" s="1099"/>
    </row>
    <row r="29" spans="2:72">
      <c r="B29" t="s">
        <v>961</v>
      </c>
      <c r="C29" t="s">
        <v>297</v>
      </c>
      <c r="E29" s="86"/>
      <c r="F29" s="86"/>
      <c r="G29" s="86"/>
      <c r="H29" s="86"/>
      <c r="J29" s="86"/>
      <c r="K29" s="86"/>
      <c r="L29" s="86"/>
      <c r="M29" s="86"/>
      <c r="N29" s="72"/>
      <c r="O29" s="86"/>
      <c r="P29" s="86"/>
      <c r="Q29" s="86"/>
      <c r="R29" s="86"/>
      <c r="S29" s="72"/>
      <c r="T29" s="86"/>
      <c r="U29" s="86"/>
      <c r="V29" s="86"/>
      <c r="W29" s="86"/>
      <c r="X29" s="1365">
        <v>901</v>
      </c>
      <c r="AC29" s="1365">
        <v>856</v>
      </c>
      <c r="AH29" s="1365">
        <v>922</v>
      </c>
      <c r="AM29" s="1365">
        <v>1030</v>
      </c>
      <c r="AN29" s="1898"/>
      <c r="AO29" s="1898"/>
      <c r="AP29" s="1898"/>
      <c r="AQ29" s="1898"/>
      <c r="AR29" s="1365">
        <v>1168</v>
      </c>
      <c r="AS29" s="1884"/>
      <c r="AT29" s="1884"/>
      <c r="AU29" s="1884"/>
      <c r="AV29" s="1884"/>
      <c r="AW29" s="1365"/>
      <c r="BB29" s="1269"/>
      <c r="BG29" s="1269"/>
      <c r="BL29" s="1269"/>
      <c r="BQ29" s="1269"/>
      <c r="BR29" s="1099"/>
    </row>
    <row r="30" spans="2:72" s="1240" customFormat="1">
      <c r="C30" s="1240" t="s">
        <v>880</v>
      </c>
      <c r="E30" s="221"/>
      <c r="F30" s="221"/>
      <c r="G30" s="221"/>
      <c r="H30" s="221"/>
      <c r="J30" s="221"/>
      <c r="K30" s="221"/>
      <c r="L30" s="221"/>
      <c r="M30" s="221"/>
      <c r="N30" s="112"/>
      <c r="O30" s="221"/>
      <c r="P30" s="221"/>
      <c r="Q30" s="221"/>
      <c r="R30" s="221"/>
      <c r="S30" s="112"/>
      <c r="T30" s="221"/>
      <c r="U30" s="221"/>
      <c r="V30" s="221"/>
      <c r="W30" s="221"/>
      <c r="X30" s="77">
        <f>SUM(X27:X29)</f>
        <v>8216</v>
      </c>
      <c r="Y30"/>
      <c r="Z30"/>
      <c r="AA30"/>
      <c r="AB30"/>
      <c r="AC30" s="77">
        <f>SUM(AC27:AC29)</f>
        <v>6769</v>
      </c>
      <c r="AD30"/>
      <c r="AE30"/>
      <c r="AF30"/>
      <c r="AG30"/>
      <c r="AH30" s="77">
        <f>SUM(AH27:AH29)</f>
        <v>7249</v>
      </c>
      <c r="AI30"/>
      <c r="AJ30"/>
      <c r="AK30"/>
      <c r="AL30"/>
      <c r="AM30" s="77">
        <f>SUM(AM27:AM29)</f>
        <v>7802</v>
      </c>
      <c r="AN30"/>
      <c r="AO30"/>
      <c r="AP30"/>
      <c r="AQ30"/>
      <c r="AR30" s="77">
        <f>+SUM(AR27:AR29)</f>
        <v>8618</v>
      </c>
      <c r="AS30" s="1884"/>
      <c r="AT30" s="1884"/>
      <c r="AU30" s="1884"/>
      <c r="AV30" s="1884"/>
      <c r="AW30" s="77">
        <f>'T&amp;D Utilities'!AW224</f>
        <v>9574.2999999999993</v>
      </c>
      <c r="AX30" s="1789">
        <f>'T&amp;D Utilities'!AX226</f>
        <v>0</v>
      </c>
      <c r="AY30" s="1789">
        <f>'T&amp;D Utilities'!AY226</f>
        <v>0</v>
      </c>
      <c r="AZ30" s="1789">
        <f>'T&amp;D Utilities'!AZ226</f>
        <v>0</v>
      </c>
      <c r="BA30" s="1789">
        <f>'T&amp;D Utilities'!BA226</f>
        <v>0</v>
      </c>
      <c r="BB30" s="1789">
        <f>'T&amp;D Utilities'!BB224</f>
        <v>10438.573958357292</v>
      </c>
      <c r="BC30" s="1789">
        <f>'T&amp;D Utilities'!BC226</f>
        <v>0</v>
      </c>
      <c r="BD30" s="1789">
        <f>'T&amp;D Utilities'!BD226</f>
        <v>0</v>
      </c>
      <c r="BE30" s="1789">
        <f>'T&amp;D Utilities'!BE226</f>
        <v>0</v>
      </c>
      <c r="BF30" s="1789">
        <f>'T&amp;D Utilities'!BF226</f>
        <v>0</v>
      </c>
      <c r="BG30" s="1789">
        <f>'T&amp;D Utilities'!BG224</f>
        <v>11368.706676055288</v>
      </c>
      <c r="BH30" s="1789">
        <f>'T&amp;D Utilities'!BH226</f>
        <v>0</v>
      </c>
      <c r="BI30" s="1789">
        <f>'T&amp;D Utilities'!BI226</f>
        <v>0</v>
      </c>
      <c r="BJ30" s="1789">
        <f>'T&amp;D Utilities'!BJ226</f>
        <v>0</v>
      </c>
      <c r="BK30" s="1789">
        <f>'T&amp;D Utilities'!BK226</f>
        <v>0</v>
      </c>
      <c r="BL30" s="1789">
        <f>'T&amp;D Utilities'!BL224</f>
        <v>12303.012581374849</v>
      </c>
      <c r="BM30" s="1789">
        <f>'T&amp;D Utilities'!BM226</f>
        <v>0</v>
      </c>
      <c r="BN30" s="1789">
        <f>'T&amp;D Utilities'!BN226</f>
        <v>0</v>
      </c>
      <c r="BO30" s="1789">
        <f>'T&amp;D Utilities'!BO226</f>
        <v>0</v>
      </c>
      <c r="BP30" s="1789">
        <f>'T&amp;D Utilities'!BP226</f>
        <v>0</v>
      </c>
      <c r="BQ30" s="1789">
        <f>'T&amp;D Utilities'!BQ226</f>
        <v>12590.794901997931</v>
      </c>
      <c r="BR30" s="1099"/>
      <c r="BS30" s="1617"/>
    </row>
    <row r="31" spans="2:72" s="1240" customFormat="1">
      <c r="E31" s="221"/>
      <c r="F31" s="221"/>
      <c r="G31" s="221"/>
      <c r="H31" s="221"/>
      <c r="J31" s="221"/>
      <c r="K31" s="221"/>
      <c r="L31" s="221"/>
      <c r="M31" s="221"/>
      <c r="N31" s="112"/>
      <c r="O31" s="221"/>
      <c r="P31" s="221"/>
      <c r="Q31" s="221"/>
      <c r="R31" s="221"/>
      <c r="S31" s="112"/>
      <c r="T31" s="221"/>
      <c r="U31" s="221"/>
      <c r="V31" s="221"/>
      <c r="W31" s="221"/>
      <c r="X31" s="77"/>
      <c r="Y31"/>
      <c r="Z31"/>
      <c r="AA31"/>
      <c r="AB31"/>
      <c r="AC31" s="77"/>
      <c r="AD31"/>
      <c r="AE31"/>
      <c r="AF31"/>
      <c r="AG31"/>
      <c r="AH31" s="77"/>
      <c r="AI31"/>
      <c r="AJ31"/>
      <c r="AK31"/>
      <c r="AL31"/>
      <c r="AM31" s="77"/>
      <c r="AN31"/>
      <c r="AO31"/>
      <c r="AP31"/>
      <c r="AQ31"/>
      <c r="AR31" s="77"/>
      <c r="AS31" s="1884"/>
      <c r="AT31" s="1884"/>
      <c r="AU31" s="1884"/>
      <c r="AV31" s="1884"/>
      <c r="AW31" s="77"/>
      <c r="AX31"/>
      <c r="AY31"/>
      <c r="AZ31"/>
      <c r="BA31"/>
      <c r="BB31" s="77"/>
      <c r="BC31"/>
      <c r="BD31"/>
      <c r="BE31"/>
      <c r="BF31"/>
      <c r="BG31" s="77"/>
      <c r="BH31"/>
      <c r="BI31"/>
      <c r="BJ31"/>
      <c r="BK31"/>
      <c r="BL31" s="77"/>
      <c r="BM31"/>
      <c r="BN31"/>
      <c r="BO31"/>
      <c r="BP31"/>
      <c r="BQ31" s="77"/>
      <c r="BR31" s="1099"/>
    </row>
    <row r="32" spans="2:72">
      <c r="C32" t="s">
        <v>627</v>
      </c>
      <c r="E32" s="86"/>
      <c r="F32" s="86"/>
      <c r="G32" s="86"/>
      <c r="H32" s="86"/>
      <c r="J32" s="86"/>
      <c r="K32" s="86"/>
      <c r="L32" s="86"/>
      <c r="M32" s="86"/>
      <c r="N32" s="72"/>
      <c r="O32" s="86"/>
      <c r="P32" s="86"/>
      <c r="Q32" s="86"/>
      <c r="R32" s="86"/>
      <c r="S32" s="72"/>
      <c r="T32" s="86"/>
      <c r="U32" s="86"/>
      <c r="V32" s="86"/>
      <c r="W32" s="86"/>
      <c r="X32" s="1269">
        <f>'Transmission Holdco'!X61</f>
        <v>730</v>
      </c>
      <c r="AC32" s="1269">
        <f>'Transmission Holdco'!AC61</f>
        <v>1464</v>
      </c>
      <c r="AH32" s="1269">
        <f>'Transmission Holdco'!AH61</f>
        <v>2256</v>
      </c>
      <c r="AM32" s="1269">
        <f>'Transmission Holdco'!AM61</f>
        <v>3899.4382044125468</v>
      </c>
      <c r="AR32" s="1269">
        <f>'Transmission Holdco'!AR61</f>
        <v>5252.6</v>
      </c>
      <c r="AS32" s="1884"/>
      <c r="AT32" s="1884"/>
      <c r="AU32" s="1884"/>
      <c r="AV32" s="1884"/>
      <c r="AW32" s="1269">
        <f>'Transmission Holdco'!AW61</f>
        <v>6933.6</v>
      </c>
      <c r="BB32" s="1269">
        <f>'Transmission Holdco'!BB61</f>
        <v>7843.0988706365524</v>
      </c>
      <c r="BG32" s="1269">
        <f>'Transmission Holdco'!BG61</f>
        <v>8760.5664271047281</v>
      </c>
      <c r="BL32" s="1269">
        <f>'Transmission Holdco'!BL61</f>
        <v>9415.0239733059607</v>
      </c>
      <c r="BQ32" s="1269">
        <f>'Transmission Holdco'!BQ61</f>
        <v>10247.993583162224</v>
      </c>
      <c r="BR32" s="1099"/>
      <c r="BS32" s="1267"/>
    </row>
    <row r="33" spans="2:71">
      <c r="C33" s="56" t="s">
        <v>48</v>
      </c>
      <c r="E33" s="86"/>
      <c r="F33" s="86"/>
      <c r="G33" s="86"/>
      <c r="H33" s="86"/>
      <c r="J33" s="86"/>
      <c r="K33" s="86"/>
      <c r="L33" s="86"/>
      <c r="M33" s="86"/>
      <c r="N33" s="120"/>
      <c r="O33" s="86"/>
      <c r="P33" s="86"/>
      <c r="Q33" s="86"/>
      <c r="R33" s="86"/>
      <c r="S33" s="120"/>
      <c r="T33" s="86"/>
      <c r="U33" s="86"/>
      <c r="V33" s="86"/>
      <c r="W33" s="86"/>
      <c r="X33" s="71">
        <f>+X25+X30+X32</f>
        <v>29647</v>
      </c>
      <c r="AC33" s="71">
        <f>+AC25+AC30+AC32</f>
        <v>27707</v>
      </c>
      <c r="AH33" s="71">
        <f>+AH25+AH30+AH32</f>
        <v>29474</v>
      </c>
      <c r="AM33" s="71">
        <f>+AM25+AM30+AM32</f>
        <v>32911.438204412545</v>
      </c>
      <c r="AR33" s="71">
        <f>+AR25+AR30+AR32</f>
        <v>36542.6</v>
      </c>
      <c r="AS33" s="1884"/>
      <c r="AT33" s="1884"/>
      <c r="AU33" s="1884"/>
      <c r="AV33" s="1884"/>
      <c r="AW33" s="71">
        <f>+AW25+AW30+AW32</f>
        <v>40044.799999999996</v>
      </c>
      <c r="BB33" s="71">
        <f>+BB25+BB30+BB32</f>
        <v>42733.571940489019</v>
      </c>
      <c r="BG33" s="71">
        <f>+BG25+BG30+BG32</f>
        <v>45768.124671680664</v>
      </c>
      <c r="BL33" s="71">
        <f>+BL25+BL30+BL32</f>
        <v>48660.931132864353</v>
      </c>
      <c r="BQ33" s="71">
        <f>+BQ25+BQ30+BQ32</f>
        <v>51641.37330493507</v>
      </c>
      <c r="BR33" s="837"/>
      <c r="BS33" s="1116" t="s">
        <v>1138</v>
      </c>
    </row>
    <row r="34" spans="2:71" s="75" customFormat="1">
      <c r="C34" s="75" t="s">
        <v>370</v>
      </c>
      <c r="E34" s="715"/>
      <c r="F34" s="715"/>
      <c r="G34" s="715"/>
      <c r="H34" s="715"/>
      <c r="J34" s="715"/>
      <c r="K34" s="715"/>
      <c r="L34" s="715"/>
      <c r="M34" s="715"/>
      <c r="O34" s="715"/>
      <c r="P34" s="715"/>
      <c r="Q34" s="715"/>
      <c r="R34" s="715"/>
      <c r="S34" s="273"/>
      <c r="T34" s="715"/>
      <c r="U34" s="715"/>
      <c r="V34" s="715"/>
      <c r="W34" s="715"/>
      <c r="X34" s="273"/>
      <c r="Y34"/>
      <c r="Z34"/>
      <c r="AA34"/>
      <c r="AB34"/>
      <c r="AC34" s="273">
        <f>+AC33/X33-1</f>
        <v>-6.5436637771106643E-2</v>
      </c>
      <c r="AD34"/>
      <c r="AE34"/>
      <c r="AF34"/>
      <c r="AG34"/>
      <c r="AH34" s="273">
        <f>+AH33/AC33-1</f>
        <v>6.3774497419424758E-2</v>
      </c>
      <c r="AI34"/>
      <c r="AJ34"/>
      <c r="AK34"/>
      <c r="AL34"/>
      <c r="AM34" s="273">
        <f>+AM33/AH33-1</f>
        <v>0.11662611808416035</v>
      </c>
      <c r="AN34"/>
      <c r="AO34"/>
      <c r="AP34"/>
      <c r="AQ34"/>
      <c r="AR34" s="273">
        <f>+AR33/AM33-1</f>
        <v>0.11033130102167976</v>
      </c>
      <c r="AS34" s="1884"/>
      <c r="AT34" s="1884"/>
      <c r="AU34" s="1884"/>
      <c r="AV34" s="1884"/>
      <c r="AW34" s="273">
        <f>+AW33/AR33-1</f>
        <v>9.5838829202081977E-2</v>
      </c>
      <c r="AX34"/>
      <c r="AY34"/>
      <c r="AZ34"/>
      <c r="BA34"/>
      <c r="BB34" s="273">
        <f>+BB33/AW33-1</f>
        <v>6.7144097123447377E-2</v>
      </c>
      <c r="BC34"/>
      <c r="BD34"/>
      <c r="BE34"/>
      <c r="BF34"/>
      <c r="BG34" s="273">
        <f>+BG33/BB33-1</f>
        <v>7.1010977865776814E-2</v>
      </c>
      <c r="BH34"/>
      <c r="BI34"/>
      <c r="BJ34"/>
      <c r="BK34"/>
      <c r="BL34" s="273">
        <f>+BL33/BG33-1</f>
        <v>6.3205702264083286E-2</v>
      </c>
      <c r="BM34"/>
      <c r="BN34"/>
      <c r="BO34"/>
      <c r="BP34"/>
      <c r="BQ34" s="273">
        <f>+BQ33/BL33-1</f>
        <v>6.1249180866121966E-2</v>
      </c>
      <c r="BS34" s="76">
        <f>RATE(4,0,AR33,-BL33)</f>
        <v>7.4224968830248525E-2</v>
      </c>
    </row>
    <row r="35" spans="2:71">
      <c r="C35" s="56" t="s">
        <v>1139</v>
      </c>
      <c r="E35" s="86"/>
      <c r="F35" s="86"/>
      <c r="G35" s="86"/>
      <c r="H35" s="86"/>
      <c r="J35" s="86"/>
      <c r="K35" s="86"/>
      <c r="L35" s="86"/>
      <c r="M35" s="86"/>
      <c r="O35" s="86"/>
      <c r="P35" s="86"/>
      <c r="Q35" s="86"/>
      <c r="R35" s="86"/>
      <c r="T35" s="86"/>
      <c r="U35" s="86"/>
      <c r="V35" s="86"/>
      <c r="W35" s="86"/>
      <c r="X35" s="1267">
        <f>X33-SUM('Transmission Holdco'!X46,'Transmission Holdco'!X48:X52)</f>
        <v>29497</v>
      </c>
      <c r="Y35" s="1267">
        <f>Y33-SUM('Transmission Holdco'!Y46,'Transmission Holdco'!Y48:Y52)</f>
        <v>-42.440624999999997</v>
      </c>
      <c r="Z35" s="1267">
        <f>Z33-SUM('Transmission Holdco'!Z46,'Transmission Holdco'!Z48:Z52)</f>
        <v>-42.440624999999997</v>
      </c>
      <c r="AA35" s="1267">
        <f>AA33-SUM('Transmission Holdco'!AA46,'Transmission Holdco'!AA48:AA52)</f>
        <v>-42.440624999999997</v>
      </c>
      <c r="AB35" s="1267">
        <f>AB33-SUM('Transmission Holdco'!AB46,'Transmission Holdco'!AB48:AB52)</f>
        <v>-42.440624999999997</v>
      </c>
      <c r="AC35" s="1267">
        <f>X35+(AC33-X33)-SUM('Transmission Holdco'!AC46,'Transmission Holdco'!AC48,'Transmission Holdco'!AC49,'Transmission Holdco'!AC50,'Transmission Holdco'!AC51,'Transmission Holdco'!AC52)</f>
        <v>27387.237499999999</v>
      </c>
      <c r="AD35" s="1267">
        <f>AD33-SUM('Transmission Holdco'!AD46,'Transmission Holdco'!AD48:AD52)</f>
        <v>-59.940624999999997</v>
      </c>
      <c r="AE35" s="1267">
        <f>AE33-SUM('Transmission Holdco'!AE46,'Transmission Holdco'!AE48:AE52)</f>
        <v>-59.940624999999997</v>
      </c>
      <c r="AF35" s="1267">
        <f>AF33-SUM('Transmission Holdco'!AF46,'Transmission Holdco'!AF48:AF52)</f>
        <v>-59.940624999999997</v>
      </c>
      <c r="AG35" s="1267">
        <f>AG33-SUM('Transmission Holdco'!AG46,'Transmission Holdco'!AG48:AG52)</f>
        <v>-59.940624999999997</v>
      </c>
      <c r="AH35" s="1267">
        <f>AC35+(AH33-AC33)-SUM('Transmission Holdco'!AH46,'Transmission Holdco'!AH48,'Transmission Holdco'!AH49,'Transmission Holdco'!AH50,'Transmission Holdco'!AH51,'Transmission Holdco'!AH52)</f>
        <v>28914.474999999999</v>
      </c>
      <c r="AI35" s="1267">
        <f>AI33-SUM('Transmission Holdco'!AI46,'Transmission Holdco'!AI48:AI52)</f>
        <v>-141.28455110313661</v>
      </c>
      <c r="AJ35" s="1267">
        <f>AJ33-SUM('Transmission Holdco'!AJ46,'Transmission Holdco'!AJ48:AJ52)</f>
        <v>-141.28455110313661</v>
      </c>
      <c r="AK35" s="1267">
        <f>AK33-SUM('Transmission Holdco'!AK46,'Transmission Holdco'!AK48:AK52)</f>
        <v>-141.28455110313661</v>
      </c>
      <c r="AL35" s="1267">
        <f>AL33-SUM('Transmission Holdco'!AL46,'Transmission Holdco'!AL48:AL52)</f>
        <v>-141.28455110313661</v>
      </c>
      <c r="AM35" s="1267">
        <f>AH35+(AM33-AH33)-SUM('Transmission Holdco'!AM46,'Transmission Holdco'!AM48,'Transmission Holdco'!AM49,'Transmission Holdco'!AM50,'Transmission Holdco'!AM51,'Transmission Holdco'!AM52)</f>
        <v>31786.774999999998</v>
      </c>
      <c r="AN35" s="1267">
        <f>AN33-SUM('Transmission Holdco'!AN46,'Transmission Holdco'!AN48:AN52)</f>
        <v>-23.068244949494954</v>
      </c>
      <c r="AO35" s="1267">
        <f>AO33-SUM('Transmission Holdco'!AO46,'Transmission Holdco'!AO48:AO52)</f>
        <v>-23.068244949494954</v>
      </c>
      <c r="AP35" s="1267">
        <f>AP33-SUM('Transmission Holdco'!AP46,'Transmission Holdco'!AP48:AP52)</f>
        <v>-23.068244949494954</v>
      </c>
      <c r="AQ35" s="1267">
        <f>AQ33-SUM('Transmission Holdco'!AQ46,'Transmission Holdco'!AQ48:AQ52)</f>
        <v>-23.068244949494954</v>
      </c>
      <c r="AR35" s="1267">
        <f>AM35+(AR33-AM33)-SUM('Transmission Holdco'!AR46,'Transmission Holdco'!AR48,'Transmission Holdco'!AR49,'Transmission Holdco'!AR50,'Transmission Holdco'!AR51,'Transmission Holdco'!AR52)</f>
        <v>35325.66381578947</v>
      </c>
      <c r="AS35" s="1267">
        <f>AS33-SUM('Transmission Holdco'!AS46,'Transmission Holdco'!AS48:AS52)</f>
        <v>-4.3375000000000004</v>
      </c>
      <c r="AT35" s="1267">
        <f>AT33-SUM('Transmission Holdco'!AT46,'Transmission Holdco'!AT48:AT52)</f>
        <v>-4.3375000000000004</v>
      </c>
      <c r="AU35" s="1267">
        <f>AU33-SUM('Transmission Holdco'!AU46,'Transmission Holdco'!AU48:AU52)</f>
        <v>-4.3375000000000004</v>
      </c>
      <c r="AV35" s="1267">
        <f>AV33-SUM('Transmission Holdco'!AV46,'Transmission Holdco'!AV48:AV52)</f>
        <v>-4.3375000000000004</v>
      </c>
      <c r="AW35" s="1267">
        <f>AR35+(AW33-AR33)-SUM('Transmission Holdco'!AW46,'Transmission Holdco'!AW48,'Transmission Holdco'!AW49,'Transmission Holdco'!AW50,'Transmission Holdco'!AW51,'Transmission Holdco'!AW52)</f>
        <v>38810.513815789469</v>
      </c>
      <c r="AX35" s="1267">
        <f>AX33-SUM('Transmission Holdco'!AX46,'Transmission Holdco'!AX48:AX52)</f>
        <v>-21.705835077751196</v>
      </c>
      <c r="AY35" s="1267">
        <f>AY33-SUM('Transmission Holdco'!AY46,'Transmission Holdco'!AY48:AY52)</f>
        <v>-21.705835077751196</v>
      </c>
      <c r="AZ35" s="1267">
        <f>AZ33-SUM('Transmission Holdco'!AZ46,'Transmission Holdco'!AZ48:AZ52)</f>
        <v>-21.705835077751196</v>
      </c>
      <c r="BA35" s="1267">
        <f>BA33-SUM('Transmission Holdco'!BA46,'Transmission Holdco'!BA48:BA52)</f>
        <v>-21.705835077751196</v>
      </c>
      <c r="BB35" s="1267">
        <f>AW35+(BB33-AW33)-SUM('Transmission Holdco'!BB46,'Transmission Holdco'!BB48,'Transmission Holdco'!BB49,'Transmission Holdco'!BB50,'Transmission Holdco'!BB51,'Transmission Holdco'!BB52)</f>
        <v>41412.462415967486</v>
      </c>
      <c r="BC35" s="1267">
        <f>BC33-SUM('Transmission Holdco'!BC46,'Transmission Holdco'!BC48:BC52)</f>
        <v>-29.152362440191389</v>
      </c>
      <c r="BD35" s="1267">
        <f>BD33-SUM('Transmission Holdco'!BD46,'Transmission Holdco'!BD48:BD52)</f>
        <v>-29.152362440191389</v>
      </c>
      <c r="BE35" s="1267">
        <f>BE33-SUM('Transmission Holdco'!BE46,'Transmission Holdco'!BE48:BE52)</f>
        <v>-29.152362440191389</v>
      </c>
      <c r="BF35" s="1267">
        <f>BF33-SUM('Transmission Holdco'!BF46,'Transmission Holdco'!BF48:BF52)</f>
        <v>-29.152362440191389</v>
      </c>
      <c r="BG35" s="1267">
        <f>BB35+(BG33-BB33)-SUM('Transmission Holdco'!BG46,'Transmission Holdco'!BG48,'Transmission Holdco'!BG49,'Transmission Holdco'!BG50,'Transmission Holdco'!BG51,'Transmission Holdco'!BG52)</f>
        <v>44330.405697398368</v>
      </c>
      <c r="BH35" s="1267">
        <f>BH33-SUM('Transmission Holdco'!BH46,'Transmission Holdco'!BH48:BH52)</f>
        <v>-11.882756429425838</v>
      </c>
      <c r="BI35" s="1267">
        <f>BI33-SUM('Transmission Holdco'!BI46,'Transmission Holdco'!BI48:BI52)</f>
        <v>-11.882756429425838</v>
      </c>
      <c r="BJ35" s="1267">
        <f>BJ33-SUM('Transmission Holdco'!BJ46,'Transmission Holdco'!BJ48:BJ52)</f>
        <v>-11.882756429425838</v>
      </c>
      <c r="BK35" s="1267">
        <f>BK33-SUM('Transmission Holdco'!BK46,'Transmission Holdco'!BK48:BK52)</f>
        <v>-11.882756429425838</v>
      </c>
      <c r="BL35" s="1267">
        <f>BG35+(BL33-BG33)-SUM('Transmission Holdco'!BL46,'Transmission Holdco'!BL48,'Transmission Holdco'!BL49,'Transmission Holdco'!BL50,'Transmission Holdco'!BL51,'Transmission Holdco'!BL52)</f>
        <v>47175.681132864353</v>
      </c>
      <c r="BM35" s="1267">
        <f>BM33-SUM('Transmission Holdco'!BM46,'Transmission Holdco'!BM48:BM52)</f>
        <v>-110</v>
      </c>
      <c r="BN35" s="1267">
        <f>BN33-SUM('Transmission Holdco'!BN46,'Transmission Holdco'!BN48:BN52)</f>
        <v>-110</v>
      </c>
      <c r="BO35" s="1267">
        <f>BO33-SUM('Transmission Holdco'!BO46,'Transmission Holdco'!BO48:BO52)</f>
        <v>-110</v>
      </c>
      <c r="BP35" s="1267">
        <f>BP33-SUM('Transmission Holdco'!BP46,'Transmission Holdco'!BP48:BP52)</f>
        <v>-110</v>
      </c>
      <c r="BQ35" s="1267">
        <f>BL35+(BQ33-BL33)-SUM('Transmission Holdco'!BQ46,'Transmission Holdco'!BQ48,'Transmission Holdco'!BQ49,'Transmission Holdco'!BQ50,'Transmission Holdco'!BQ51,'Transmission Holdco'!BQ52)</f>
        <v>49716.12330493507</v>
      </c>
    </row>
    <row r="36" spans="2:71">
      <c r="E36" s="86"/>
      <c r="F36" s="86"/>
      <c r="G36" s="86"/>
      <c r="H36" s="86"/>
      <c r="J36" s="86"/>
      <c r="K36" s="86"/>
      <c r="L36" s="86"/>
      <c r="M36" s="86"/>
      <c r="O36" s="86"/>
      <c r="P36" s="86"/>
      <c r="Q36" s="86"/>
      <c r="R36" s="86"/>
      <c r="T36" s="86"/>
      <c r="U36" s="86"/>
      <c r="V36" s="86"/>
      <c r="W36" s="86"/>
      <c r="X36" s="1116"/>
    </row>
    <row r="37" spans="2:71">
      <c r="B37" s="46" t="s">
        <v>160</v>
      </c>
      <c r="C37" s="46"/>
      <c r="D37" s="46"/>
      <c r="E37" s="94"/>
      <c r="F37" s="94"/>
      <c r="G37" s="94"/>
      <c r="H37" s="94"/>
      <c r="BL37" s="1267"/>
    </row>
    <row r="38" spans="2:71">
      <c r="B38" t="s">
        <v>960</v>
      </c>
      <c r="C38" t="s">
        <v>354</v>
      </c>
      <c r="E38" s="86"/>
      <c r="F38" s="86"/>
      <c r="G38" s="86"/>
      <c r="H38" s="86"/>
      <c r="J38" s="86"/>
      <c r="K38" s="86"/>
      <c r="L38" s="86"/>
      <c r="M38" s="86"/>
      <c r="N38" s="65"/>
      <c r="O38" s="86"/>
      <c r="P38" s="86"/>
      <c r="Q38" s="86"/>
      <c r="R38" s="86"/>
      <c r="S38" s="65"/>
      <c r="T38" s="86"/>
      <c r="U38" s="86"/>
      <c r="V38" s="86"/>
      <c r="W38" s="86"/>
      <c r="X38" s="1343">
        <v>8.7999999999999995E-2</v>
      </c>
      <c r="AC38" s="1343">
        <v>7.2999999999999995E-2</v>
      </c>
      <c r="AH38" s="1343">
        <v>8.5000000000000006E-2</v>
      </c>
      <c r="AM38" s="1343">
        <v>8.8999999999999996E-2</v>
      </c>
      <c r="AR38" s="1343">
        <v>0.10299999999999999</v>
      </c>
      <c r="AW38" s="1343">
        <v>8.8999999999999996E-2</v>
      </c>
      <c r="BB38" s="65"/>
      <c r="BG38" s="65"/>
      <c r="BL38" s="65"/>
      <c r="BQ38" s="65"/>
    </row>
    <row r="39" spans="2:71">
      <c r="B39" t="s">
        <v>960</v>
      </c>
      <c r="C39" t="s">
        <v>355</v>
      </c>
      <c r="E39" s="86"/>
      <c r="F39" s="86"/>
      <c r="G39" s="86"/>
      <c r="H39" s="86"/>
      <c r="J39" s="86"/>
      <c r="K39" s="86"/>
      <c r="L39" s="86"/>
      <c r="M39" s="86"/>
      <c r="N39" s="65"/>
      <c r="O39" s="86"/>
      <c r="P39" s="86"/>
      <c r="Q39" s="86"/>
      <c r="R39" s="86"/>
      <c r="S39" s="65"/>
      <c r="T39" s="86"/>
      <c r="U39" s="86"/>
      <c r="V39" s="86"/>
      <c r="W39" s="86"/>
      <c r="X39" s="1343">
        <v>8.4000000000000005E-2</v>
      </c>
      <c r="AC39" s="1343">
        <v>9.0999999999999998E-2</v>
      </c>
      <c r="AH39" s="1343">
        <v>8.3000000000000004E-2</v>
      </c>
      <c r="AM39" s="1343">
        <v>9.8000000000000004E-2</v>
      </c>
      <c r="AR39" s="1343">
        <v>0.11700000000000001</v>
      </c>
      <c r="AW39" s="1343">
        <v>8.4000000000000005E-2</v>
      </c>
      <c r="BB39" s="65"/>
      <c r="BG39" s="65"/>
      <c r="BL39" s="65"/>
      <c r="BQ39" s="65"/>
    </row>
    <row r="40" spans="2:71">
      <c r="B40" t="s">
        <v>960</v>
      </c>
      <c r="C40" t="s">
        <v>357</v>
      </c>
      <c r="E40" s="86"/>
      <c r="F40" s="86"/>
      <c r="G40" s="86"/>
      <c r="H40" s="86"/>
      <c r="J40" s="86"/>
      <c r="K40" s="86"/>
      <c r="L40" s="86"/>
      <c r="M40" s="86"/>
      <c r="N40" s="65"/>
      <c r="O40" s="86"/>
      <c r="P40" s="86"/>
      <c r="Q40" s="86"/>
      <c r="R40" s="86"/>
      <c r="S40" s="65"/>
      <c r="T40" s="86"/>
      <c r="U40" s="86"/>
      <c r="V40" s="86"/>
      <c r="W40" s="86"/>
      <c r="X40" s="1343">
        <v>7.4999999999999997E-2</v>
      </c>
      <c r="AC40" s="1343">
        <v>7.2999999999999995E-2</v>
      </c>
      <c r="AH40" s="1343">
        <v>9.0999999999999998E-2</v>
      </c>
      <c r="AM40" s="1343">
        <v>9.2999999999999999E-2</v>
      </c>
      <c r="AR40" s="1343">
        <v>7.3999999999999996E-2</v>
      </c>
      <c r="AW40" s="1343">
        <v>6.4000000000000001E-2</v>
      </c>
      <c r="BB40" s="65"/>
      <c r="BG40" s="65"/>
      <c r="BL40" s="65"/>
      <c r="BQ40" s="65"/>
    </row>
    <row r="41" spans="2:71">
      <c r="B41" t="s">
        <v>960</v>
      </c>
      <c r="C41" t="s">
        <v>637</v>
      </c>
      <c r="E41" s="86"/>
      <c r="F41" s="86"/>
      <c r="G41" s="86"/>
      <c r="H41" s="86"/>
      <c r="J41" s="86"/>
      <c r="K41" s="86"/>
      <c r="L41" s="86"/>
      <c r="M41" s="86"/>
      <c r="N41" s="65"/>
      <c r="O41" s="86"/>
      <c r="P41" s="86"/>
      <c r="Q41" s="86"/>
      <c r="R41" s="86"/>
      <c r="S41" s="65"/>
      <c r="T41" s="86"/>
      <c r="U41" s="86"/>
      <c r="V41" s="86"/>
      <c r="W41" s="86"/>
      <c r="X41" s="1343">
        <v>0.111</v>
      </c>
      <c r="AC41" s="1343">
        <v>8.3000000000000004E-2</v>
      </c>
      <c r="AH41" s="1343">
        <v>9.4E-2</v>
      </c>
      <c r="AM41" s="1343">
        <v>9.1999999999999998E-2</v>
      </c>
      <c r="AR41" s="1343">
        <v>8.5000000000000006E-2</v>
      </c>
      <c r="AW41" s="1343">
        <v>6.2E-2</v>
      </c>
      <c r="BB41" s="65"/>
      <c r="BG41" s="65"/>
      <c r="BL41" s="65"/>
      <c r="BQ41" s="65"/>
    </row>
    <row r="42" spans="2:71">
      <c r="B42" t="s">
        <v>960</v>
      </c>
      <c r="C42" t="s">
        <v>617</v>
      </c>
      <c r="E42" s="86"/>
      <c r="F42" s="86"/>
      <c r="G42" s="86"/>
      <c r="H42" s="86"/>
      <c r="J42" s="86"/>
      <c r="K42" s="86"/>
      <c r="L42" s="86"/>
      <c r="M42" s="86"/>
      <c r="N42" s="65"/>
      <c r="O42" s="86"/>
      <c r="P42" s="86"/>
      <c r="Q42" s="86"/>
      <c r="R42" s="86"/>
      <c r="S42" s="65"/>
      <c r="T42" s="86"/>
      <c r="U42" s="86"/>
      <c r="V42" s="86"/>
      <c r="W42" s="86"/>
      <c r="X42" s="1343">
        <v>8.5000000000000006E-2</v>
      </c>
      <c r="AC42" s="1343">
        <v>8.4000000000000005E-2</v>
      </c>
      <c r="AH42" s="1343">
        <v>6.0000000000000001E-3</v>
      </c>
      <c r="AM42" s="1343">
        <v>-1E-3</v>
      </c>
      <c r="AR42" s="1343">
        <v>8.9999999999999993E-3</v>
      </c>
      <c r="AW42" s="1343">
        <v>5.0999999999999997E-2</v>
      </c>
      <c r="BB42" s="65"/>
      <c r="BG42" s="65"/>
      <c r="BL42" s="65"/>
      <c r="BQ42" s="65"/>
    </row>
    <row r="43" spans="2:71" s="1240" customFormat="1">
      <c r="C43" s="1240" t="s">
        <v>304</v>
      </c>
      <c r="E43" s="221"/>
      <c r="F43" s="221"/>
      <c r="G43" s="221"/>
      <c r="H43" s="221"/>
      <c r="J43" s="221"/>
      <c r="K43" s="221"/>
      <c r="L43" s="221"/>
      <c r="M43" s="221"/>
      <c r="N43" s="1341"/>
      <c r="O43" s="221"/>
      <c r="P43" s="221"/>
      <c r="Q43" s="221"/>
      <c r="R43" s="221"/>
      <c r="S43" s="1341"/>
      <c r="T43" s="221"/>
      <c r="U43" s="221"/>
      <c r="V43" s="221"/>
      <c r="W43" s="221"/>
      <c r="X43" s="1341">
        <f>SUMPRODUCT(X19:X23,X38:X42)/SUM(X19:X23)</f>
        <v>8.7051884700665175E-2</v>
      </c>
      <c r="Y43"/>
      <c r="Z43"/>
      <c r="AA43"/>
      <c r="AB43"/>
      <c r="AC43" s="1341">
        <f>SUMPRODUCT(AC19:AC23,AC38:AC42)/SUM(AC19:AC23)</f>
        <v>7.8691539674198618E-2</v>
      </c>
      <c r="AD43"/>
      <c r="AE43"/>
      <c r="AF43"/>
      <c r="AG43"/>
      <c r="AH43" s="1341">
        <f>SUMPRODUCT(AH19:AH23,AH38:AH42)/SUM(AH19:AH23)</f>
        <v>8.0632530422154347E-2</v>
      </c>
      <c r="AI43"/>
      <c r="AJ43"/>
      <c r="AK43"/>
      <c r="AL43"/>
      <c r="AM43" s="1341">
        <f>SUMPRODUCT(AM19:AM23,AM38:AM42)/SUM(AM19:AM23)</f>
        <v>8.5136916548797736E-2</v>
      </c>
      <c r="AN43"/>
      <c r="AO43"/>
      <c r="AP43"/>
      <c r="AQ43"/>
      <c r="AR43" s="1341">
        <f>SUMPRODUCT(AR19:AR23,AR38:AR42)/SUM(AR19:AR23)</f>
        <v>9.0303339600680474E-2</v>
      </c>
      <c r="AS43"/>
      <c r="AT43"/>
      <c r="AU43"/>
      <c r="AV43"/>
      <c r="AW43" s="1341">
        <f>'Vertically Integrated Utilities'!AW255</f>
        <v>7.6884550565440385E-2</v>
      </c>
      <c r="AX43"/>
      <c r="AY43"/>
      <c r="AZ43"/>
      <c r="BA43"/>
      <c r="BB43" s="1341">
        <f>'Vertically Integrated Utilities'!BB255</f>
        <v>8.1087612041091439E-2</v>
      </c>
      <c r="BC43"/>
      <c r="BD43"/>
      <c r="BE43"/>
      <c r="BF43"/>
      <c r="BG43" s="1341">
        <f>'Vertically Integrated Utilities'!BG255</f>
        <v>8.9967570690761223E-2</v>
      </c>
      <c r="BH43"/>
      <c r="BI43"/>
      <c r="BJ43"/>
      <c r="BK43"/>
      <c r="BL43" s="1341">
        <f>'Vertically Integrated Utilities'!BL255</f>
        <v>9.2259144427584053E-2</v>
      </c>
      <c r="BM43"/>
      <c r="BN43"/>
      <c r="BO43"/>
      <c r="BP43"/>
      <c r="BQ43" s="1341">
        <f>'Vertically Integrated Utilities'!BQ255</f>
        <v>9.7488249729958287E-2</v>
      </c>
    </row>
    <row r="44" spans="2:71">
      <c r="E44" s="86"/>
      <c r="F44" s="86"/>
      <c r="G44" s="86"/>
      <c r="H44" s="86"/>
      <c r="J44" s="86"/>
      <c r="K44" s="86"/>
      <c r="L44" s="86"/>
      <c r="M44" s="86"/>
      <c r="N44" s="65"/>
      <c r="O44" s="86"/>
      <c r="P44" s="86"/>
      <c r="Q44" s="86"/>
      <c r="R44" s="86"/>
      <c r="S44" s="65"/>
      <c r="T44" s="86"/>
      <c r="U44" s="86"/>
      <c r="V44" s="86"/>
      <c r="W44" s="86"/>
      <c r="X44" s="65"/>
      <c r="AC44" s="65"/>
      <c r="AH44" s="65"/>
      <c r="AM44" s="65"/>
      <c r="AR44" s="65"/>
      <c r="AW44" s="65"/>
      <c r="BB44" s="65"/>
      <c r="BG44" s="65"/>
      <c r="BL44" s="65"/>
      <c r="BQ44" s="65"/>
    </row>
    <row r="45" spans="2:71">
      <c r="B45" t="s">
        <v>961</v>
      </c>
      <c r="C45" t="s">
        <v>962</v>
      </c>
      <c r="E45" s="86"/>
      <c r="F45" s="86"/>
      <c r="G45" s="86"/>
      <c r="H45" s="86"/>
      <c r="J45" s="86"/>
      <c r="K45" s="86"/>
      <c r="L45" s="86"/>
      <c r="M45" s="86"/>
      <c r="N45" s="65"/>
      <c r="O45" s="86"/>
      <c r="P45" s="86"/>
      <c r="Q45" s="86"/>
      <c r="R45" s="86"/>
      <c r="S45" s="65"/>
      <c r="T45" s="86"/>
      <c r="U45" s="86"/>
      <c r="V45" s="86"/>
      <c r="W45" s="86"/>
      <c r="X45" s="1343">
        <v>0.123</v>
      </c>
      <c r="AC45" s="1343">
        <v>0.126</v>
      </c>
      <c r="AH45" s="1343">
        <v>0.112</v>
      </c>
      <c r="AM45" s="1343">
        <v>0.11799999999999999</v>
      </c>
      <c r="AR45" s="1343">
        <v>0.13900000000000001</v>
      </c>
      <c r="AW45" s="1343">
        <v>0.14199999999999999</v>
      </c>
      <c r="BB45" s="65"/>
      <c r="BG45" s="65"/>
      <c r="BL45" s="65"/>
      <c r="BQ45" s="65"/>
    </row>
    <row r="46" spans="2:71">
      <c r="B46" t="s">
        <v>961</v>
      </c>
      <c r="C46" t="s">
        <v>296</v>
      </c>
      <c r="E46" s="86"/>
      <c r="F46" s="86"/>
      <c r="G46" s="86"/>
      <c r="H46" s="86"/>
      <c r="J46" s="86"/>
      <c r="K46" s="86"/>
      <c r="L46" s="86"/>
      <c r="M46" s="86"/>
      <c r="N46" s="65"/>
      <c r="O46" s="86"/>
      <c r="P46" s="86"/>
      <c r="Q46" s="86"/>
      <c r="R46" s="86"/>
      <c r="S46" s="65"/>
      <c r="T46" s="86"/>
      <c r="U46" s="86"/>
      <c r="V46" s="86"/>
      <c r="W46" s="86"/>
      <c r="X46" s="1343">
        <v>0.14399999999999999</v>
      </c>
      <c r="AC46" s="1343">
        <v>0.13500000000000001</v>
      </c>
      <c r="AH46" s="1343">
        <v>0.11</v>
      </c>
      <c r="AM46" s="1343">
        <v>0.106</v>
      </c>
      <c r="AR46" s="1343">
        <v>0.11700000000000001</v>
      </c>
      <c r="AW46" s="1343">
        <v>0.1</v>
      </c>
      <c r="BB46" s="65"/>
      <c r="BG46" s="65"/>
      <c r="BL46" s="65"/>
      <c r="BQ46" s="65"/>
    </row>
    <row r="47" spans="2:71">
      <c r="B47" t="s">
        <v>961</v>
      </c>
      <c r="C47" t="s">
        <v>297</v>
      </c>
      <c r="E47" s="86"/>
      <c r="F47" s="86"/>
      <c r="G47" s="86"/>
      <c r="H47" s="86"/>
      <c r="J47" s="86"/>
      <c r="K47" s="86"/>
      <c r="L47" s="86"/>
      <c r="M47" s="86"/>
      <c r="N47" s="65"/>
      <c r="O47" s="86"/>
      <c r="P47" s="86"/>
      <c r="Q47" s="86"/>
      <c r="R47" s="86"/>
      <c r="S47" s="65"/>
      <c r="T47" s="86"/>
      <c r="U47" s="86"/>
      <c r="V47" s="86"/>
      <c r="W47" s="86"/>
      <c r="X47" s="1343">
        <v>9.2999999999999999E-2</v>
      </c>
      <c r="AC47" s="1343">
        <v>9.9000000000000005E-2</v>
      </c>
      <c r="AH47" s="1343">
        <v>8.8999999999999996E-2</v>
      </c>
      <c r="AM47" s="1343">
        <v>8.3000000000000004E-2</v>
      </c>
      <c r="AR47" s="1343">
        <v>0.11700000000000001</v>
      </c>
      <c r="AW47" s="1343">
        <v>0.1</v>
      </c>
      <c r="BB47" s="65"/>
      <c r="BG47" s="65"/>
      <c r="BL47" s="65"/>
      <c r="BQ47" s="65"/>
    </row>
    <row r="48" spans="2:71" s="1240" customFormat="1">
      <c r="C48" s="1240" t="s">
        <v>880</v>
      </c>
      <c r="E48" s="221"/>
      <c r="F48" s="221"/>
      <c r="G48" s="221"/>
      <c r="H48" s="221"/>
      <c r="J48" s="221"/>
      <c r="K48" s="221"/>
      <c r="L48" s="221"/>
      <c r="M48" s="221"/>
      <c r="N48" s="1341"/>
      <c r="O48" s="221"/>
      <c r="P48" s="221"/>
      <c r="Q48" s="221"/>
      <c r="R48" s="221"/>
      <c r="S48" s="1341"/>
      <c r="T48" s="221"/>
      <c r="U48" s="221"/>
      <c r="V48" s="221"/>
      <c r="W48" s="221"/>
      <c r="X48" s="1341">
        <f>SUMPRODUCT(X27:X29,X45:X47)/SUM(X27:X29)</f>
        <v>0.1271531158714703</v>
      </c>
      <c r="Y48"/>
      <c r="Z48"/>
      <c r="AA48"/>
      <c r="AB48"/>
      <c r="AC48" s="1341">
        <f>SUMPRODUCT(AC27:AC29,AC45:AC47)/SUM(AC27:AC29)</f>
        <v>0.12498153346136801</v>
      </c>
      <c r="AD48"/>
      <c r="AE48"/>
      <c r="AF48"/>
      <c r="AG48"/>
      <c r="AH48" s="1341">
        <f>SUMPRODUCT(AH27:AH29,AH45:AH47)/SUM(AH27:AH29)</f>
        <v>0.1084745482135467</v>
      </c>
      <c r="AI48"/>
      <c r="AJ48"/>
      <c r="AK48"/>
      <c r="AL48"/>
      <c r="AM48" s="1341">
        <f>SUMPRODUCT(AM27:AM29,AM45:AM47)/SUM(AM27:AM29)</f>
        <v>0.10946500897205845</v>
      </c>
      <c r="AN48"/>
      <c r="AO48"/>
      <c r="AP48"/>
      <c r="AQ48"/>
      <c r="AR48" s="1341">
        <f>SUMPRODUCT(AR27:AR29,AR45:AR47)/SUM(AR27:AR29)</f>
        <v>0.12866372708284984</v>
      </c>
      <c r="AS48"/>
      <c r="AT48"/>
      <c r="AU48"/>
      <c r="AV48"/>
      <c r="AW48" s="1341">
        <f>'T&amp;D Utilities'!AW237</f>
        <v>0.11831880285318139</v>
      </c>
      <c r="AX48"/>
      <c r="AY48"/>
      <c r="AZ48"/>
      <c r="BA48"/>
      <c r="BB48" s="1341">
        <f>'T&amp;D Utilities'!BB237</f>
        <v>0.11977182363814712</v>
      </c>
      <c r="BC48"/>
      <c r="BD48"/>
      <c r="BE48"/>
      <c r="BF48"/>
      <c r="BG48" s="1341">
        <f>'T&amp;D Utilities'!BG237</f>
        <v>0.11714293275200145</v>
      </c>
      <c r="BH48"/>
      <c r="BI48"/>
      <c r="BJ48"/>
      <c r="BK48"/>
      <c r="BL48" s="1341">
        <f>'T&amp;D Utilities'!BL237</f>
        <v>0.11910251519716566</v>
      </c>
      <c r="BM48"/>
      <c r="BN48"/>
      <c r="BO48"/>
      <c r="BP48"/>
      <c r="BQ48" s="1341">
        <f>'T&amp;D Utilities'!BQ237</f>
        <v>0.1218334653576425</v>
      </c>
    </row>
    <row r="49" spans="2:69">
      <c r="B49" s="1240"/>
      <c r="C49" s="1240"/>
      <c r="E49" s="86"/>
      <c r="F49" s="86"/>
      <c r="G49" s="86"/>
      <c r="H49" s="86"/>
      <c r="J49" s="86"/>
      <c r="K49" s="86"/>
      <c r="L49" s="86"/>
      <c r="M49" s="86"/>
      <c r="N49" s="65"/>
      <c r="O49" s="86"/>
      <c r="P49" s="86"/>
      <c r="Q49" s="86"/>
      <c r="R49" s="86"/>
      <c r="S49" s="65"/>
      <c r="T49" s="86"/>
      <c r="U49" s="86"/>
      <c r="V49" s="86"/>
      <c r="W49" s="86"/>
      <c r="X49" s="65"/>
      <c r="AC49" s="65"/>
      <c r="AH49" s="65"/>
      <c r="AM49" s="65"/>
      <c r="AR49" s="65"/>
      <c r="AW49" s="65"/>
      <c r="BB49" s="65"/>
      <c r="BG49" s="65"/>
      <c r="BL49" s="65"/>
      <c r="BQ49" s="65"/>
    </row>
    <row r="50" spans="2:69">
      <c r="C50" t="s">
        <v>627</v>
      </c>
      <c r="E50" s="86"/>
      <c r="F50" s="86"/>
      <c r="G50" s="86"/>
      <c r="H50" s="86"/>
      <c r="J50" s="86"/>
      <c r="K50" s="86"/>
      <c r="L50" s="86"/>
      <c r="M50" s="86"/>
      <c r="N50" s="65"/>
      <c r="O50" s="86"/>
      <c r="P50" s="86"/>
      <c r="Q50" s="86"/>
      <c r="R50" s="86"/>
      <c r="S50" s="65"/>
      <c r="T50" s="86"/>
      <c r="U50" s="86"/>
      <c r="V50" s="86"/>
      <c r="W50" s="86"/>
      <c r="X50" s="1343">
        <f>+AVERAGE(9%,11.9%,10%)</f>
        <v>0.10300000000000002</v>
      </c>
      <c r="AC50" s="1343">
        <f>+AVERAGE(11.6%,9.6%,11.9%,11.3%)</f>
        <v>0.111</v>
      </c>
      <c r="AH50" s="1343">
        <f>AVERAGE(11.5%,11.2%,9%,10.2%)</f>
        <v>0.10474999999999998</v>
      </c>
      <c r="AM50" s="1343">
        <f>AVERAGE(10.8%,13.4%,11.3%,7.8%,10.2%)</f>
        <v>0.10700000000000001</v>
      </c>
      <c r="AR50" s="1343">
        <f>AVERAGE(11.3%,7%,12.1%,9.7%,11%)</f>
        <v>0.1022</v>
      </c>
      <c r="AW50" s="1343">
        <f>AVERAGE(14.3%,11.4%,12.5%,10.2%,10%)</f>
        <v>0.11679999999999999</v>
      </c>
      <c r="BB50" s="65">
        <f>'Transmission Holdco'!BB67</f>
        <v>0.10976211618898919</v>
      </c>
      <c r="BG50" s="65">
        <f>'Transmission Holdco'!BG67</f>
        <v>0.10976211618898919</v>
      </c>
      <c r="BL50" s="65">
        <f>'Transmission Holdco'!BL67</f>
        <v>0.10976211618898919</v>
      </c>
      <c r="BQ50" s="65">
        <f>'Transmission Holdco'!BQ67</f>
        <v>0.10976211618898919</v>
      </c>
    </row>
    <row r="51" spans="2:69" s="56" customFormat="1">
      <c r="C51" s="56" t="s">
        <v>162</v>
      </c>
      <c r="E51" s="221"/>
      <c r="F51" s="221"/>
      <c r="G51" s="221"/>
      <c r="H51" s="221"/>
      <c r="J51" s="221"/>
      <c r="K51" s="221"/>
      <c r="L51" s="221"/>
      <c r="M51" s="221"/>
      <c r="N51" s="883"/>
      <c r="O51" s="556"/>
      <c r="P51" s="556"/>
      <c r="Q51" s="556"/>
      <c r="R51" s="556"/>
      <c r="S51" s="883"/>
      <c r="T51" s="556"/>
      <c r="U51" s="556"/>
      <c r="V51" s="556"/>
      <c r="W51" s="556"/>
      <c r="X51" s="883">
        <f>(X25*X43+X30*X48+X32*X50)/SUM(X25,X30,X32)</f>
        <v>9.8557731480030678E-2</v>
      </c>
      <c r="Y51"/>
      <c r="Z51"/>
      <c r="AA51"/>
      <c r="AB51"/>
      <c r="AC51" s="883">
        <f>(AC25*AC43+AC30*AC48+AC32*AC50)/SUM(AC25,AC30,AC32)</f>
        <v>9.1707620587409097E-2</v>
      </c>
      <c r="AD51"/>
      <c r="AE51"/>
      <c r="AF51"/>
      <c r="AG51"/>
      <c r="AH51" s="883">
        <f>(AH25*AH43+AH30*AH48+AH32*AH50)/SUM(AH25,AH30,AH32)</f>
        <v>8.9326151862658618E-2</v>
      </c>
      <c r="AI51"/>
      <c r="AJ51"/>
      <c r="AK51"/>
      <c r="AL51"/>
      <c r="AM51" s="883">
        <f>(AM25*AM43+AM30*AM48+AM32*AM50)/SUM(AM25,AM30,AM32)</f>
        <v>9.3494543409518752E-2</v>
      </c>
      <c r="AN51"/>
      <c r="AO51"/>
      <c r="AP51"/>
      <c r="AQ51"/>
      <c r="AR51" s="883">
        <f>(AR25*AR43+AR30*AR48+AR32*AR50)/SUM(AR25,AR30,AR32)</f>
        <v>0.10106005143111403</v>
      </c>
      <c r="AS51"/>
      <c r="AT51"/>
      <c r="AU51"/>
      <c r="AV51"/>
      <c r="AW51" s="883">
        <f>(AW25*AW43+AW30*AW48+AW32*AW50)/SUM(AW25,AW30,AW32)</f>
        <v>9.3702257780309259E-2</v>
      </c>
      <c r="AX51"/>
      <c r="AY51"/>
      <c r="AZ51"/>
      <c r="BA51"/>
      <c r="BB51" s="883">
        <f>(BB25*BB43+BB30*BB48+BB32*BB50)/SUM(BB25,BB30,BB32)</f>
        <v>9.5799814797055433E-2</v>
      </c>
      <c r="BC51"/>
      <c r="BD51"/>
      <c r="BE51"/>
      <c r="BF51"/>
      <c r="BG51" s="883">
        <f>(BG25*BG43+BG30*BG48+BG32*BG50)/SUM(BG25,BG30,BG32)</f>
        <v>0.10050678666872936</v>
      </c>
      <c r="BH51"/>
      <c r="BI51"/>
      <c r="BJ51"/>
      <c r="BK51"/>
      <c r="BL51" s="883">
        <f>(BL25*BL43+BL30*BL48+BL32*BL50)/SUM(BL25,BL30,BL32)</f>
        <v>0.10243250559263703</v>
      </c>
      <c r="BM51"/>
      <c r="BN51"/>
      <c r="BO51"/>
      <c r="BP51"/>
      <c r="BQ51" s="883">
        <f>(BQ25*BQ43+BQ30*BQ48+BQ32*BQ50)/SUM(BQ25,BQ30,BQ32)</f>
        <v>0.10585960188151915</v>
      </c>
    </row>
    <row r="52" spans="2:69">
      <c r="E52" s="86"/>
      <c r="F52" s="86"/>
      <c r="G52" s="86"/>
      <c r="H52" s="86"/>
      <c r="J52" s="86"/>
      <c r="K52" s="86"/>
      <c r="L52" s="86"/>
      <c r="M52" s="86"/>
      <c r="O52" s="86"/>
      <c r="P52" s="86"/>
      <c r="Q52" s="86"/>
      <c r="R52" s="86"/>
      <c r="T52" s="86"/>
      <c r="U52" s="86"/>
      <c r="V52" s="86"/>
      <c r="W52" s="86"/>
      <c r="AH52" s="63"/>
      <c r="AM52" s="63"/>
    </row>
    <row r="53" spans="2:69">
      <c r="B53" s="46" t="s">
        <v>161</v>
      </c>
      <c r="C53" s="46"/>
      <c r="D53" s="46"/>
      <c r="E53" s="94"/>
      <c r="F53" s="94"/>
      <c r="G53" s="94"/>
      <c r="H53" s="94"/>
    </row>
    <row r="54" spans="2:69">
      <c r="B54" t="s">
        <v>960</v>
      </c>
      <c r="C54" t="s">
        <v>354</v>
      </c>
      <c r="E54" s="86"/>
      <c r="F54" s="86"/>
      <c r="G54" s="86"/>
      <c r="H54" s="86"/>
      <c r="J54" s="86"/>
      <c r="K54" s="86"/>
      <c r="L54" s="86"/>
      <c r="M54" s="86"/>
      <c r="N54" s="82"/>
      <c r="O54" s="86"/>
      <c r="P54" s="86"/>
      <c r="Q54" s="86"/>
      <c r="R54" s="86"/>
      <c r="S54" s="82"/>
      <c r="T54" s="86"/>
      <c r="U54" s="86"/>
      <c r="V54" s="86"/>
      <c r="W54" s="86"/>
      <c r="X54" s="1344">
        <f>AVERAGE(43%,43%,45%)</f>
        <v>0.4366666666666667</v>
      </c>
      <c r="AC54" s="1344">
        <f>AVERAGE(43%,43%,45%)</f>
        <v>0.4366666666666667</v>
      </c>
      <c r="AH54" s="1344">
        <f>+AVERAGE(43%,47%,45%)</f>
        <v>0.44999999999999996</v>
      </c>
      <c r="AM54" s="1344">
        <f>+AVERAGE(43%,47%,45%)</f>
        <v>0.44999999999999996</v>
      </c>
      <c r="AR54" s="1344">
        <f>+AVERAGE(43%,47%,46%)</f>
        <v>0.45333333333333331</v>
      </c>
      <c r="AW54" s="1344">
        <f>+AVERAGE(43%,47%,46%)</f>
        <v>0.45333333333333331</v>
      </c>
      <c r="BB54" s="82"/>
      <c r="BG54" s="82"/>
      <c r="BL54" s="82"/>
      <c r="BQ54" s="82"/>
    </row>
    <row r="55" spans="2:69">
      <c r="B55" t="s">
        <v>960</v>
      </c>
      <c r="C55" t="s">
        <v>355</v>
      </c>
      <c r="E55" s="86"/>
      <c r="F55" s="86"/>
      <c r="G55" s="86"/>
      <c r="H55" s="86"/>
      <c r="J55" s="86"/>
      <c r="K55" s="86"/>
      <c r="L55" s="86"/>
      <c r="M55" s="86"/>
      <c r="N55" s="82"/>
      <c r="O55" s="86"/>
      <c r="P55" s="86"/>
      <c r="Q55" s="86"/>
      <c r="R55" s="86"/>
      <c r="S55" s="82"/>
      <c r="T55" s="86"/>
      <c r="U55" s="86"/>
      <c r="V55" s="86"/>
      <c r="W55" s="86"/>
      <c r="X55" s="1344">
        <f>AVERAGE(52%,51%,53%)</f>
        <v>0.52</v>
      </c>
      <c r="AC55" s="1344">
        <f>AVERAGE(52%,51%,53%)</f>
        <v>0.52</v>
      </c>
      <c r="AH55" s="1344">
        <f>+AVERAGE(52%,51%,55%)</f>
        <v>0.52666666666666673</v>
      </c>
      <c r="AM55" s="1344">
        <f>+AVERAGE(52%,51%,55%)</f>
        <v>0.52666666666666673</v>
      </c>
      <c r="AR55" s="1344">
        <f>+AVERAGE(52%,51%,56%)</f>
        <v>0.53</v>
      </c>
      <c r="AW55" s="1344">
        <f>+AVERAGE(52%,51%,56%)</f>
        <v>0.53</v>
      </c>
      <c r="BB55" s="82"/>
      <c r="BG55" s="82"/>
      <c r="BL55" s="82"/>
      <c r="BQ55" s="82"/>
    </row>
    <row r="56" spans="2:69">
      <c r="B56" t="s">
        <v>960</v>
      </c>
      <c r="C56" t="s">
        <v>357</v>
      </c>
      <c r="E56" s="86"/>
      <c r="F56" s="86"/>
      <c r="G56" s="86"/>
      <c r="H56" s="86"/>
      <c r="J56" s="86"/>
      <c r="K56" s="86"/>
      <c r="L56" s="86"/>
      <c r="M56" s="86"/>
      <c r="N56" s="82"/>
      <c r="O56" s="86"/>
      <c r="P56" s="86"/>
      <c r="Q56" s="86"/>
      <c r="R56" s="86"/>
      <c r="S56" s="82"/>
      <c r="T56" s="86"/>
      <c r="U56" s="86"/>
      <c r="V56" s="86"/>
      <c r="W56" s="86"/>
      <c r="X56" s="1344">
        <f>AVERAGE(51%,46%,49%,50%)</f>
        <v>0.49</v>
      </c>
      <c r="AC56" s="1344">
        <f>AVERAGE(51%,46%,49%,50%)</f>
        <v>0.49</v>
      </c>
      <c r="AH56" s="1344">
        <f>+AVERAGE(52%,46%,49%,50%)</f>
        <v>0.49249999999999999</v>
      </c>
      <c r="AM56" s="1344">
        <f>+AVERAGE(52%,46%,49%,50%)</f>
        <v>0.49249999999999999</v>
      </c>
      <c r="AR56" s="1344">
        <f>+AVERAGE(52%,46%,49%,50%)</f>
        <v>0.49249999999999999</v>
      </c>
      <c r="AW56" s="1344">
        <f>+AVERAGE(52%,46%,49%,50%)</f>
        <v>0.49249999999999999</v>
      </c>
      <c r="BB56" s="82"/>
      <c r="BG56" s="82"/>
      <c r="BL56" s="82"/>
      <c r="BQ56" s="82"/>
    </row>
    <row r="57" spans="2:69">
      <c r="B57" t="s">
        <v>960</v>
      </c>
      <c r="C57" t="s">
        <v>637</v>
      </c>
      <c r="E57" s="86"/>
      <c r="F57" s="86"/>
      <c r="G57" s="86"/>
      <c r="H57" s="86"/>
      <c r="J57" s="86"/>
      <c r="K57" s="86"/>
      <c r="L57" s="86"/>
      <c r="M57" s="86"/>
      <c r="N57" s="82"/>
      <c r="O57" s="86"/>
      <c r="P57" s="86"/>
      <c r="Q57" s="86"/>
      <c r="R57" s="86"/>
      <c r="S57" s="82"/>
      <c r="T57" s="86"/>
      <c r="U57" s="86"/>
      <c r="V57" s="86"/>
      <c r="W57" s="86"/>
      <c r="X57" s="1344">
        <v>0.46</v>
      </c>
      <c r="AC57" s="1344">
        <v>0.46</v>
      </c>
      <c r="AH57" s="1344">
        <v>0.49</v>
      </c>
      <c r="AM57" s="1344">
        <v>0.49</v>
      </c>
      <c r="AR57" s="1344">
        <v>0.44</v>
      </c>
      <c r="AW57" s="1344">
        <v>0.44</v>
      </c>
      <c r="BB57" s="82"/>
      <c r="BG57" s="82"/>
      <c r="BL57" s="82"/>
      <c r="BQ57" s="82"/>
    </row>
    <row r="58" spans="2:69">
      <c r="B58" t="s">
        <v>960</v>
      </c>
      <c r="C58" t="s">
        <v>617</v>
      </c>
      <c r="E58" s="86"/>
      <c r="F58" s="86"/>
      <c r="G58" s="86"/>
      <c r="H58" s="86"/>
      <c r="J58" s="86"/>
      <c r="K58" s="86"/>
      <c r="L58" s="86"/>
      <c r="M58" s="86"/>
      <c r="N58" s="82"/>
      <c r="O58" s="86"/>
      <c r="P58" s="86"/>
      <c r="Q58" s="86"/>
      <c r="R58" s="86"/>
      <c r="S58" s="82"/>
      <c r="T58" s="86"/>
      <c r="U58" s="86"/>
      <c r="V58" s="86"/>
      <c r="W58" s="86"/>
      <c r="X58" s="1344">
        <v>0.43</v>
      </c>
      <c r="AC58" s="1344">
        <v>0.43</v>
      </c>
      <c r="AH58" s="1344">
        <v>0.44</v>
      </c>
      <c r="AM58" s="1344">
        <v>0.44</v>
      </c>
      <c r="AR58" s="1344">
        <v>0.44</v>
      </c>
      <c r="AW58" s="1344">
        <v>0.42</v>
      </c>
      <c r="BB58" s="82"/>
      <c r="BG58" s="82"/>
      <c r="BL58" s="82"/>
      <c r="BQ58" s="82"/>
    </row>
    <row r="59" spans="2:69" s="1240" customFormat="1">
      <c r="C59" s="1240" t="s">
        <v>304</v>
      </c>
      <c r="E59" s="221"/>
      <c r="F59" s="221"/>
      <c r="G59" s="221"/>
      <c r="H59" s="221"/>
      <c r="J59" s="221"/>
      <c r="K59" s="221"/>
      <c r="L59" s="221"/>
      <c r="M59" s="221"/>
      <c r="N59" s="84"/>
      <c r="O59" s="221"/>
      <c r="P59" s="221"/>
      <c r="Q59" s="221"/>
      <c r="R59" s="221"/>
      <c r="S59" s="84"/>
      <c r="T59" s="221"/>
      <c r="U59" s="221"/>
      <c r="V59" s="221"/>
      <c r="W59" s="221"/>
      <c r="X59" s="84">
        <f>SUMPRODUCT(X19:X23,X54:X58)/SUM(X19:AB23)</f>
        <v>0.46517319536831736</v>
      </c>
      <c r="Y59"/>
      <c r="Z59"/>
      <c r="AA59"/>
      <c r="AB59"/>
      <c r="AC59" s="84">
        <f>SUMPRODUCT(AC19:AC23,AC54:AC58)/SUM(AC19:AG23)</f>
        <v>0.46765790856542294</v>
      </c>
      <c r="AD59"/>
      <c r="AE59"/>
      <c r="AF59"/>
      <c r="AG59"/>
      <c r="AH59" s="84">
        <f>SUMPRODUCT(AH19:AH23,AH54:AH58)/SUM(AH19:AL23)</f>
        <v>0.4794963860650675</v>
      </c>
      <c r="AI59"/>
      <c r="AJ59"/>
      <c r="AK59"/>
      <c r="AL59"/>
      <c r="AM59" s="84">
        <f>SUMPRODUCT(AM19:AM23,AM54:AM58)/SUM(AM19:AQ23)</f>
        <v>0.47889957567185287</v>
      </c>
      <c r="AN59"/>
      <c r="AO59"/>
      <c r="AP59"/>
      <c r="AQ59"/>
      <c r="AR59" s="84">
        <f>SUMPRODUCT(AR19:AR23,AR54:AR58)/SUM(AR19:AV23)</f>
        <v>0.47541610708210219</v>
      </c>
      <c r="AS59"/>
      <c r="AT59"/>
      <c r="AU59"/>
      <c r="AV59"/>
      <c r="AW59" s="84">
        <f>'Vertically Integrated Utilities'!AW251</f>
        <v>0.46073032379267698</v>
      </c>
      <c r="AX59"/>
      <c r="AY59"/>
      <c r="AZ59"/>
      <c r="BA59"/>
      <c r="BB59" s="84">
        <f>'Vertically Integrated Utilities'!BB251</f>
        <v>0.47055465389097378</v>
      </c>
      <c r="BC59"/>
      <c r="BD59"/>
      <c r="BE59"/>
      <c r="BF59"/>
      <c r="BG59" s="84">
        <f>'Vertically Integrated Utilities'!BG251</f>
        <v>0.47281737676264252</v>
      </c>
      <c r="BH59"/>
      <c r="BI59"/>
      <c r="BJ59"/>
      <c r="BK59"/>
      <c r="BL59" s="84">
        <f>'Vertically Integrated Utilities'!BL251</f>
        <v>0.47540047605508484</v>
      </c>
      <c r="BM59"/>
      <c r="BN59"/>
      <c r="BO59"/>
      <c r="BP59"/>
      <c r="BQ59" s="84">
        <f>'Vertically Integrated Utilities'!BQ251</f>
        <v>0.47770523030161577</v>
      </c>
    </row>
    <row r="60" spans="2:69">
      <c r="E60" s="86"/>
      <c r="F60" s="86"/>
      <c r="G60" s="86"/>
      <c r="H60" s="86"/>
      <c r="J60" s="86"/>
      <c r="K60" s="86"/>
      <c r="L60" s="86"/>
      <c r="M60" s="86"/>
      <c r="N60" s="82"/>
      <c r="O60" s="86"/>
      <c r="P60" s="86"/>
      <c r="Q60" s="86"/>
      <c r="R60" s="86"/>
      <c r="S60" s="82"/>
      <c r="T60" s="86"/>
      <c r="U60" s="86"/>
      <c r="V60" s="86"/>
      <c r="W60" s="86"/>
      <c r="X60" s="82"/>
      <c r="AC60" s="82"/>
      <c r="AH60" s="82"/>
      <c r="AM60" s="82"/>
      <c r="AR60" s="82"/>
      <c r="AW60" s="82"/>
      <c r="BB60" s="82"/>
      <c r="BG60" s="82"/>
      <c r="BL60" s="82"/>
      <c r="BQ60" s="82"/>
    </row>
    <row r="61" spans="2:69">
      <c r="B61" t="s">
        <v>961</v>
      </c>
      <c r="C61" t="s">
        <v>962</v>
      </c>
      <c r="E61" s="86"/>
      <c r="F61" s="86"/>
      <c r="G61" s="86"/>
      <c r="H61" s="86"/>
      <c r="J61" s="86"/>
      <c r="K61" s="86"/>
      <c r="L61" s="86"/>
      <c r="M61" s="86"/>
      <c r="N61" s="82"/>
      <c r="O61" s="86"/>
      <c r="P61" s="86"/>
      <c r="Q61" s="86"/>
      <c r="R61" s="86"/>
      <c r="S61" s="82"/>
      <c r="T61" s="86"/>
      <c r="U61" s="86"/>
      <c r="V61" s="86"/>
      <c r="W61" s="86"/>
      <c r="X61" s="1344">
        <f>AVERAGE(53%,55%)</f>
        <v>0.54</v>
      </c>
      <c r="AC61" s="1344">
        <f>AVERAGE(53%,55%)</f>
        <v>0.54</v>
      </c>
      <c r="AH61" s="1344">
        <f>+AVERAGE(48%,49%)</f>
        <v>0.48499999999999999</v>
      </c>
      <c r="AM61" s="1344">
        <f>+AVERAGE(48%,49%)</f>
        <v>0.48499999999999999</v>
      </c>
      <c r="AR61" s="1344">
        <f>+AVERAGE(48%,50%)</f>
        <v>0.49</v>
      </c>
      <c r="AW61" s="1344">
        <f>+AVERAGE(48%,50%)</f>
        <v>0.49</v>
      </c>
      <c r="BB61" s="82"/>
      <c r="BG61" s="82"/>
      <c r="BL61" s="82"/>
      <c r="BQ61" s="82"/>
    </row>
    <row r="62" spans="2:69">
      <c r="B62" t="s">
        <v>961</v>
      </c>
      <c r="C62" t="s">
        <v>296</v>
      </c>
      <c r="E62" s="86"/>
      <c r="F62" s="86"/>
      <c r="G62" s="86"/>
      <c r="H62" s="86"/>
      <c r="J62" s="86"/>
      <c r="K62" s="86"/>
      <c r="L62" s="86"/>
      <c r="M62" s="86"/>
      <c r="N62" s="82"/>
      <c r="O62" s="86"/>
      <c r="P62" s="86"/>
      <c r="Q62" s="86"/>
      <c r="R62" s="86"/>
      <c r="S62" s="82"/>
      <c r="T62" s="86"/>
      <c r="U62" s="86"/>
      <c r="V62" s="86"/>
      <c r="W62" s="86"/>
      <c r="X62" s="1344">
        <v>0.4</v>
      </c>
      <c r="AC62" s="1344">
        <v>0.4</v>
      </c>
      <c r="AH62" s="1344">
        <v>0.4</v>
      </c>
      <c r="AM62" s="1344">
        <v>0.4</v>
      </c>
      <c r="AR62" s="1344">
        <v>0.4</v>
      </c>
      <c r="AW62" s="1344">
        <v>0.4</v>
      </c>
      <c r="BB62" s="82"/>
      <c r="BG62" s="82"/>
      <c r="BL62" s="82"/>
      <c r="BQ62" s="82"/>
    </row>
    <row r="63" spans="2:69">
      <c r="B63" t="s">
        <v>961</v>
      </c>
      <c r="C63" t="s">
        <v>297</v>
      </c>
      <c r="E63" s="86"/>
      <c r="F63" s="86"/>
      <c r="G63" s="86"/>
      <c r="H63" s="86"/>
      <c r="J63" s="86"/>
      <c r="K63" s="86"/>
      <c r="L63" s="86"/>
      <c r="M63" s="86"/>
      <c r="N63" s="82"/>
      <c r="O63" s="86"/>
      <c r="P63" s="86"/>
      <c r="Q63" s="86"/>
      <c r="R63" s="86"/>
      <c r="S63" s="82"/>
      <c r="T63" s="86"/>
      <c r="U63" s="86"/>
      <c r="V63" s="86"/>
      <c r="W63" s="86"/>
      <c r="X63" s="1344">
        <v>0.4</v>
      </c>
      <c r="AC63" s="1344">
        <v>0.4</v>
      </c>
      <c r="AH63" s="1344">
        <v>0.4</v>
      </c>
      <c r="AM63" s="1344">
        <v>0.4</v>
      </c>
      <c r="AR63" s="1344">
        <v>0.4</v>
      </c>
      <c r="AW63" s="1344">
        <v>0.4</v>
      </c>
      <c r="BB63" s="82"/>
      <c r="BG63" s="82"/>
      <c r="BL63" s="82"/>
      <c r="BQ63" s="82"/>
    </row>
    <row r="64" spans="2:69" s="1240" customFormat="1">
      <c r="C64" s="1240" t="s">
        <v>880</v>
      </c>
      <c r="E64" s="221"/>
      <c r="F64" s="221"/>
      <c r="G64" s="221"/>
      <c r="H64" s="221"/>
      <c r="J64" s="221"/>
      <c r="K64" s="221"/>
      <c r="L64" s="221"/>
      <c r="M64" s="221"/>
      <c r="N64" s="84"/>
      <c r="O64" s="221"/>
      <c r="P64" s="221"/>
      <c r="Q64" s="221"/>
      <c r="R64" s="221"/>
      <c r="S64" s="84"/>
      <c r="T64" s="221"/>
      <c r="U64" s="221"/>
      <c r="V64" s="221"/>
      <c r="W64" s="221"/>
      <c r="X64" s="84">
        <f>SUMPRODUCT(X27:X29,X61:X63)/SUM(X27:X29)</f>
        <v>0.47502677702044793</v>
      </c>
      <c r="Y64"/>
      <c r="Z64"/>
      <c r="AA64"/>
      <c r="AB64"/>
      <c r="AC64" s="84">
        <f>SUMPRODUCT(AC27:AC29,AC61:AC63)/SUM(AC27:AC29)</f>
        <v>0.48502585315408486</v>
      </c>
      <c r="AD64"/>
      <c r="AE64"/>
      <c r="AF64"/>
      <c r="AG64"/>
      <c r="AH64" s="84">
        <f>SUMPRODUCT(AH27:AH29,AH61:AH63)/SUM(AH27:AH29)</f>
        <v>0.44868533590840121</v>
      </c>
      <c r="AI64"/>
      <c r="AJ64"/>
      <c r="AK64"/>
      <c r="AL64"/>
      <c r="AM64" s="84">
        <f>SUMPRODUCT(AM27:AM29,AM61:AM63)/SUM(AM27:AM29)</f>
        <v>0.44605165342219943</v>
      </c>
      <c r="AN64"/>
      <c r="AO64"/>
      <c r="AP64"/>
      <c r="AQ64"/>
      <c r="AR64" s="84">
        <f>SUMPRODUCT(AR27:AR29,AR61:AR63)/SUM(AR27:AR29)</f>
        <v>0.44771524715711303</v>
      </c>
      <c r="AS64"/>
      <c r="AT64"/>
      <c r="AU64"/>
      <c r="AV64"/>
      <c r="AW64" s="84">
        <f>'T&amp;D Utilities'!AW232</f>
        <v>0.45087857013465377</v>
      </c>
      <c r="AX64"/>
      <c r="AY64"/>
      <c r="AZ64"/>
      <c r="BA64"/>
      <c r="BB64" s="84">
        <f>'T&amp;D Utilities'!BB232</f>
        <v>0.45115524872240209</v>
      </c>
      <c r="BC64"/>
      <c r="BD64"/>
      <c r="BE64"/>
      <c r="BF64"/>
      <c r="BG64" s="84">
        <f>'T&amp;D Utilities'!BG232</f>
        <v>0.45326569655203491</v>
      </c>
      <c r="BH64"/>
      <c r="BI64"/>
      <c r="BJ64"/>
      <c r="BK64"/>
      <c r="BL64" s="84">
        <f>'T&amp;D Utilities'!BL232</f>
        <v>0.45420358625518292</v>
      </c>
      <c r="BM64"/>
      <c r="BN64"/>
      <c r="BO64"/>
      <c r="BP64"/>
      <c r="BQ64" s="84">
        <f>'T&amp;D Utilities'!BQ232</f>
        <v>0.45267441525629432</v>
      </c>
    </row>
    <row r="65" spans="1:78">
      <c r="B65" s="1240"/>
      <c r="C65" s="1240"/>
      <c r="E65" s="86"/>
      <c r="F65" s="86"/>
      <c r="G65" s="86"/>
      <c r="H65" s="86"/>
      <c r="J65" s="86"/>
      <c r="K65" s="86"/>
      <c r="L65" s="86"/>
      <c r="M65" s="86"/>
      <c r="N65" s="82"/>
      <c r="O65" s="86"/>
      <c r="P65" s="86"/>
      <c r="Q65" s="86"/>
      <c r="R65" s="86"/>
      <c r="S65" s="82"/>
      <c r="T65" s="86"/>
      <c r="U65" s="86"/>
      <c r="V65" s="86"/>
      <c r="W65" s="86"/>
      <c r="X65" s="82"/>
      <c r="AC65" s="82"/>
      <c r="AH65" s="82"/>
      <c r="AM65" s="82"/>
      <c r="AR65" s="82"/>
      <c r="AW65" s="82"/>
      <c r="BB65" s="82"/>
      <c r="BG65" s="82"/>
      <c r="BL65" s="82"/>
      <c r="BQ65" s="82"/>
    </row>
    <row r="66" spans="1:78">
      <c r="C66" t="s">
        <v>627</v>
      </c>
      <c r="E66" s="86"/>
      <c r="F66" s="86"/>
      <c r="G66" s="86"/>
      <c r="H66" s="86"/>
      <c r="J66" s="86"/>
      <c r="K66" s="86"/>
      <c r="L66" s="86"/>
      <c r="M66" s="86"/>
      <c r="N66" s="82"/>
      <c r="O66" s="86"/>
      <c r="P66" s="86"/>
      <c r="Q66" s="86"/>
      <c r="R66" s="86"/>
      <c r="S66" s="82"/>
      <c r="T66" s="86"/>
      <c r="U66" s="86"/>
      <c r="V66" s="86"/>
      <c r="W66" s="86"/>
      <c r="X66" s="1344">
        <v>0.5</v>
      </c>
      <c r="AC66" s="1344">
        <v>0.5</v>
      </c>
      <c r="AH66" s="1344">
        <v>0.49</v>
      </c>
      <c r="AM66" s="1344">
        <v>0.49</v>
      </c>
      <c r="AR66" s="1344">
        <v>0.5</v>
      </c>
      <c r="AW66" s="1344">
        <v>0.5</v>
      </c>
      <c r="BB66" s="82">
        <f>'Transmission Holdco'!BB75</f>
        <v>0.45</v>
      </c>
      <c r="BG66" s="82">
        <f>'Transmission Holdco'!BG75</f>
        <v>0.45</v>
      </c>
      <c r="BL66" s="82">
        <f>'Transmission Holdco'!BL75</f>
        <v>0.48</v>
      </c>
      <c r="BQ66" s="82">
        <f>'Transmission Holdco'!BQ75</f>
        <v>0.48</v>
      </c>
    </row>
    <row r="67" spans="1:78" s="56" customFormat="1">
      <c r="C67" s="56" t="s">
        <v>162</v>
      </c>
      <c r="E67" s="221"/>
      <c r="F67" s="221"/>
      <c r="G67" s="221"/>
      <c r="H67" s="221"/>
      <c r="J67" s="86"/>
      <c r="K67" s="86"/>
      <c r="L67" s="86"/>
      <c r="M67" s="86"/>
      <c r="N67" s="84"/>
      <c r="O67" s="86"/>
      <c r="P67" s="86"/>
      <c r="Q67" s="86"/>
      <c r="R67" s="86"/>
      <c r="S67" s="84"/>
      <c r="T67" s="86"/>
      <c r="U67" s="86"/>
      <c r="V67" s="86"/>
      <c r="W67" s="86"/>
      <c r="X67" s="84">
        <f>(X25*X59+X30*X64+X32*X66)/SUM(X25,X30,X32)</f>
        <v>0.46876143681720028</v>
      </c>
      <c r="Y67"/>
      <c r="Z67"/>
      <c r="AA67"/>
      <c r="AB67"/>
      <c r="AC67" s="84">
        <f>(AC25*AC59+AC30*AC64+AC32*AC66)/SUM(AC25,AC30,AC32)</f>
        <v>0.47360992209200009</v>
      </c>
      <c r="AD67"/>
      <c r="AE67"/>
      <c r="AF67"/>
      <c r="AG67"/>
      <c r="AH67" s="84">
        <f>(AH25*AH59+AH30*AH64+AH32*AH66)/SUM(AH25,AH30,AH32)</f>
        <v>0.47272251249688996</v>
      </c>
      <c r="AI67"/>
      <c r="AJ67"/>
      <c r="AK67"/>
      <c r="AL67"/>
      <c r="AM67" s="84">
        <f>(AM25*AM59+AM30*AM64+AM32*AM66)/SUM(AM25,AM30,AM32)</f>
        <v>0.47242784176103059</v>
      </c>
      <c r="AN67"/>
      <c r="AO67"/>
      <c r="AP67"/>
      <c r="AQ67"/>
      <c r="AR67" s="84">
        <f>(AR25*AR59+AR30*AR64+AR32*AR66)/SUM(AR25,AR30,AR32)</f>
        <v>0.4724169593779704</v>
      </c>
      <c r="AS67"/>
      <c r="AT67"/>
      <c r="AU67"/>
      <c r="AV67"/>
      <c r="AW67" s="84">
        <f>(AW25*AW59+AW30*AW64+AW32*AW66)/SUM(AW25,AW30,AW32)</f>
        <v>0.46517426113043581</v>
      </c>
      <c r="AX67"/>
      <c r="AY67"/>
      <c r="AZ67"/>
      <c r="BA67"/>
      <c r="BB67" s="84">
        <f>(BB25*BB59+BB30*BB64+BB32*BB66)/SUM(BB25,BB30,BB32)</f>
        <v>0.46204344614954262</v>
      </c>
      <c r="BC67"/>
      <c r="BD67"/>
      <c r="BE67"/>
      <c r="BF67"/>
      <c r="BG67" s="84">
        <f>(BG25*BG59+BG30*BG64+BG32*BG66)/SUM(BG25,BG30,BG32)</f>
        <v>0.46359326139439672</v>
      </c>
      <c r="BH67"/>
      <c r="BI67"/>
      <c r="BJ67"/>
      <c r="BK67"/>
      <c r="BL67" s="84">
        <f>(BL25*BL59+BL30*BL64+BL32*BL66)/SUM(BL25,BL30,BL32)</f>
        <v>0.47093116220054265</v>
      </c>
      <c r="BM67"/>
      <c r="BN67"/>
      <c r="BO67"/>
      <c r="BP67"/>
      <c r="BQ67" s="84">
        <f>(BQ25*BQ59+BQ30*BQ64+BQ32*BQ66)/SUM(BQ25,BQ30,BQ32)</f>
        <v>0.47205779967269912</v>
      </c>
      <c r="BR67"/>
      <c r="BS67"/>
      <c r="BT67"/>
      <c r="BU67"/>
      <c r="BV67"/>
      <c r="BW67"/>
      <c r="BX67"/>
      <c r="BY67"/>
      <c r="BZ67"/>
    </row>
    <row r="68" spans="1:78">
      <c r="E68" s="86"/>
      <c r="F68" s="86"/>
      <c r="G68" s="86"/>
      <c r="H68" s="86"/>
      <c r="J68" s="86"/>
      <c r="K68" s="86"/>
      <c r="L68" s="86"/>
      <c r="M68" s="86"/>
      <c r="O68" s="86"/>
      <c r="P68" s="86"/>
      <c r="Q68" s="86"/>
      <c r="R68" s="86"/>
      <c r="T68" s="86"/>
      <c r="U68" s="86"/>
      <c r="V68" s="86"/>
      <c r="W68" s="86"/>
    </row>
    <row r="69" spans="1:78">
      <c r="E69" s="86"/>
      <c r="F69" s="86"/>
      <c r="G69" s="86"/>
      <c r="H69" s="86"/>
      <c r="J69" s="86"/>
      <c r="K69" s="86"/>
      <c r="L69" s="86"/>
      <c r="M69" s="86"/>
      <c r="O69" s="86"/>
      <c r="P69" s="86"/>
      <c r="Q69" s="86"/>
      <c r="R69" s="86"/>
      <c r="T69" s="86"/>
      <c r="U69" s="86"/>
      <c r="V69" s="86"/>
      <c r="W69" s="86"/>
    </row>
    <row r="70" spans="1:78">
      <c r="B70" s="46" t="s">
        <v>244</v>
      </c>
      <c r="C70" s="46"/>
      <c r="D70" s="46"/>
      <c r="E70" s="94"/>
      <c r="F70" s="94"/>
      <c r="G70" s="94"/>
      <c r="H70" s="94"/>
      <c r="J70" s="86"/>
      <c r="K70" s="86"/>
      <c r="L70" s="86"/>
      <c r="M70" s="86"/>
      <c r="O70" s="86"/>
      <c r="P70" s="86"/>
      <c r="Q70" s="86"/>
      <c r="R70" s="86"/>
      <c r="T70" s="86"/>
      <c r="U70" s="86"/>
      <c r="V70" s="86"/>
      <c r="W70" s="86"/>
    </row>
    <row r="71" spans="1:78">
      <c r="A71" s="1116" t="s">
        <v>1133</v>
      </c>
      <c r="B71" t="s">
        <v>960</v>
      </c>
      <c r="C71" t="s">
        <v>354</v>
      </c>
      <c r="E71" s="86"/>
      <c r="F71" s="86"/>
      <c r="G71" s="86"/>
      <c r="H71" s="86"/>
      <c r="I71" s="74"/>
      <c r="J71" s="86"/>
      <c r="K71" s="86"/>
      <c r="L71" s="86"/>
      <c r="M71" s="86"/>
      <c r="N71" s="74"/>
      <c r="O71" s="86"/>
      <c r="P71" s="86"/>
      <c r="Q71" s="86"/>
      <c r="R71" s="86"/>
      <c r="S71" s="74"/>
      <c r="T71" s="86"/>
      <c r="U71" s="86"/>
      <c r="V71" s="86"/>
      <c r="W71" s="86"/>
      <c r="X71" s="1345">
        <f>'Vertically Integrated Utilities'!X147-X73-X74-X75-X76</f>
        <v>586.03</v>
      </c>
      <c r="AC71" s="1345">
        <f>'Vertically Integrated Utilities'!AC147-AC73-AC74-AC75-AC76</f>
        <v>500.35</v>
      </c>
      <c r="AH71" s="1345">
        <f>'Vertically Integrated Utilities'!AH147-AH73-AH74-AH75-AH76</f>
        <v>589.50300000000004</v>
      </c>
      <c r="AM71" s="1345">
        <f>'Vertically Integrated Utilities'!AM147-AM73-AM74-AM75-AM76</f>
        <v>748.60600000000011</v>
      </c>
      <c r="AN71" s="1359"/>
      <c r="AO71" s="1359"/>
      <c r="AP71" s="1359"/>
      <c r="AQ71" s="1359"/>
      <c r="AR71" s="1345">
        <f>'Vertically Integrated Utilities'!AR147-AR73-AR74-AR75-AR76</f>
        <v>763.27199999999993</v>
      </c>
      <c r="AS71" s="1792"/>
      <c r="AT71" s="1359"/>
      <c r="AU71" s="1792"/>
      <c r="AV71" s="1792"/>
      <c r="AW71" s="1345">
        <f>'Vertically Integrated Utilities'!AW147-AW73-AW74-AW75-AW76</f>
        <v>929.34400000000005</v>
      </c>
      <c r="AX71" s="1792"/>
      <c r="AY71" s="1792"/>
      <c r="AZ71" s="1792"/>
      <c r="BA71" s="1792"/>
      <c r="BB71" s="1791">
        <v>724</v>
      </c>
      <c r="BC71" s="1359"/>
      <c r="BD71" s="1359"/>
      <c r="BE71" s="1359"/>
      <c r="BF71" s="1359"/>
      <c r="BG71" s="1358">
        <v>1090</v>
      </c>
      <c r="BL71" s="1358">
        <v>681</v>
      </c>
      <c r="BQ71" s="1268"/>
    </row>
    <row r="72" spans="1:78">
      <c r="A72" s="1116" t="s">
        <v>1133</v>
      </c>
      <c r="B72" t="s">
        <v>960</v>
      </c>
      <c r="C72" s="1116" t="s">
        <v>1026</v>
      </c>
      <c r="E72" s="86"/>
      <c r="F72" s="86"/>
      <c r="G72" s="86"/>
      <c r="H72" s="86"/>
      <c r="I72" s="74"/>
      <c r="J72" s="86"/>
      <c r="K72" s="86"/>
      <c r="L72" s="86"/>
      <c r="M72" s="86"/>
      <c r="N72" s="74"/>
      <c r="O72" s="86"/>
      <c r="P72" s="86"/>
      <c r="Q72" s="86"/>
      <c r="R72" s="86"/>
      <c r="S72" s="74"/>
      <c r="T72" s="86"/>
      <c r="U72" s="86"/>
      <c r="V72" s="86"/>
      <c r="W72" s="86"/>
      <c r="X72" s="1345">
        <v>20</v>
      </c>
      <c r="AC72" s="1345">
        <v>20</v>
      </c>
      <c r="AH72" s="1427">
        <f>+AC72</f>
        <v>20</v>
      </c>
      <c r="AM72" s="1427">
        <f>+AH72</f>
        <v>20</v>
      </c>
      <c r="AN72" s="1359"/>
      <c r="AO72" s="1359"/>
      <c r="AP72" s="1359"/>
      <c r="AQ72" s="1359"/>
      <c r="AR72" s="1427">
        <f>+AM72</f>
        <v>20</v>
      </c>
      <c r="AS72" s="1792"/>
      <c r="AT72" s="1359"/>
      <c r="AU72" s="1792"/>
      <c r="AV72" s="1792"/>
      <c r="AW72" s="1427">
        <f>+AR72</f>
        <v>20</v>
      </c>
      <c r="AX72" s="1792"/>
      <c r="AY72" s="1792"/>
      <c r="AZ72" s="1792"/>
      <c r="BA72" s="1792"/>
      <c r="BB72" s="1791">
        <f>39+20</f>
        <v>59</v>
      </c>
      <c r="BC72" s="1359"/>
      <c r="BD72" s="1359"/>
      <c r="BE72" s="1359"/>
      <c r="BF72" s="1359"/>
      <c r="BG72" s="1358">
        <f>46+17</f>
        <v>63</v>
      </c>
      <c r="BL72" s="1358">
        <f>58+17</f>
        <v>75</v>
      </c>
      <c r="BQ72" s="1268"/>
    </row>
    <row r="73" spans="1:78">
      <c r="A73" s="1116" t="s">
        <v>1133</v>
      </c>
      <c r="B73" t="s">
        <v>960</v>
      </c>
      <c r="C73" t="s">
        <v>355</v>
      </c>
      <c r="E73" s="86"/>
      <c r="F73" s="86"/>
      <c r="G73" s="86"/>
      <c r="H73" s="86"/>
      <c r="I73" s="74"/>
      <c r="J73" s="86"/>
      <c r="K73" s="86"/>
      <c r="L73" s="86"/>
      <c r="M73" s="86"/>
      <c r="N73" s="74"/>
      <c r="O73" s="86"/>
      <c r="P73" s="86"/>
      <c r="Q73" s="86"/>
      <c r="R73" s="86"/>
      <c r="S73" s="74"/>
      <c r="T73" s="86"/>
      <c r="U73" s="86"/>
      <c r="V73" s="86"/>
      <c r="W73" s="86"/>
      <c r="X73" s="1345">
        <v>317.28399999999999</v>
      </c>
      <c r="AC73" s="1345">
        <v>508.85700000000003</v>
      </c>
      <c r="AH73" s="1345">
        <v>484.721</v>
      </c>
      <c r="AM73" s="1525">
        <v>459.8</v>
      </c>
      <c r="AN73" s="1359"/>
      <c r="AO73" s="1359"/>
      <c r="AP73" s="1359"/>
      <c r="AQ73" s="1359"/>
      <c r="AR73" s="1525">
        <v>596.9</v>
      </c>
      <c r="AS73" s="1792"/>
      <c r="AT73" s="1359"/>
      <c r="AU73" s="1792"/>
      <c r="AV73" s="1792"/>
      <c r="AW73" s="1525">
        <v>648.5</v>
      </c>
      <c r="AX73" s="1792"/>
      <c r="AY73" s="1792"/>
      <c r="AZ73" s="1792"/>
      <c r="BA73" s="1792"/>
      <c r="BB73" s="1791">
        <v>567</v>
      </c>
      <c r="BC73" s="1359"/>
      <c r="BD73" s="1359"/>
      <c r="BE73" s="1359"/>
      <c r="BF73" s="1359"/>
      <c r="BG73" s="1358">
        <v>644</v>
      </c>
      <c r="BL73" s="1358">
        <v>544</v>
      </c>
      <c r="BQ73" s="1268"/>
    </row>
    <row r="74" spans="1:78">
      <c r="A74" s="1116" t="s">
        <v>1133</v>
      </c>
      <c r="B74" t="s">
        <v>960</v>
      </c>
      <c r="C74" t="s">
        <v>357</v>
      </c>
      <c r="E74" s="86"/>
      <c r="F74" s="86"/>
      <c r="G74" s="86"/>
      <c r="H74" s="86"/>
      <c r="I74" s="74"/>
      <c r="J74" s="86"/>
      <c r="K74" s="86"/>
      <c r="L74" s="86"/>
      <c r="M74" s="86"/>
      <c r="N74" s="74"/>
      <c r="O74" s="86"/>
      <c r="P74" s="86"/>
      <c r="Q74" s="86"/>
      <c r="R74" s="86"/>
      <c r="S74" s="74"/>
      <c r="T74" s="86"/>
      <c r="U74" s="86"/>
      <c r="V74" s="86"/>
      <c r="W74" s="86"/>
      <c r="X74" s="1345">
        <v>542.42700000000002</v>
      </c>
      <c r="AC74" s="1345">
        <v>411.512</v>
      </c>
      <c r="AH74" s="1345">
        <v>511.38799999999998</v>
      </c>
      <c r="AM74" s="1525">
        <v>540.6</v>
      </c>
      <c r="AN74" s="1359"/>
      <c r="AO74" s="1359"/>
      <c r="AP74" s="1359"/>
      <c r="AQ74" s="1359"/>
      <c r="AR74" s="1525">
        <v>426.3</v>
      </c>
      <c r="AS74" s="1792"/>
      <c r="AT74" s="1359"/>
      <c r="AU74" s="1792"/>
      <c r="AV74" s="1792"/>
      <c r="AW74" s="1525">
        <v>404.1</v>
      </c>
      <c r="AX74" s="1792"/>
      <c r="AY74" s="1792"/>
      <c r="AZ74" s="1792"/>
      <c r="BA74" s="1792"/>
      <c r="BB74" s="1791">
        <f>418+'Vertically Integrated Utilities'!BB148*0.7</f>
        <v>530</v>
      </c>
      <c r="BC74" s="1359"/>
      <c r="BD74" s="1359"/>
      <c r="BE74" s="1359"/>
      <c r="BF74" s="1359"/>
      <c r="BG74" s="1358">
        <f>394+'Vertically Integrated Utilities'!BG148*0.7</f>
        <v>618</v>
      </c>
      <c r="BL74" s="1358">
        <f>435+'Vertically Integrated Utilities'!BL148*0.7</f>
        <v>659</v>
      </c>
      <c r="BQ74" s="1268"/>
    </row>
    <row r="75" spans="1:78">
      <c r="A75" s="1116" t="s">
        <v>1133</v>
      </c>
      <c r="B75" t="s">
        <v>960</v>
      </c>
      <c r="C75" t="s">
        <v>637</v>
      </c>
      <c r="E75" s="86"/>
      <c r="F75" s="86"/>
      <c r="G75" s="86"/>
      <c r="H75" s="86"/>
      <c r="I75" s="74"/>
      <c r="J75" s="86"/>
      <c r="K75" s="86"/>
      <c r="L75" s="86"/>
      <c r="M75" s="86"/>
      <c r="N75" s="74"/>
      <c r="O75" s="86"/>
      <c r="P75" s="86"/>
      <c r="Q75" s="86"/>
      <c r="R75" s="86"/>
      <c r="S75" s="74"/>
      <c r="T75" s="86"/>
      <c r="U75" s="86"/>
      <c r="V75" s="86"/>
      <c r="W75" s="86"/>
      <c r="X75" s="1345">
        <v>224.29499999999999</v>
      </c>
      <c r="AC75" s="1345">
        <v>259.44900000000001</v>
      </c>
      <c r="AH75" s="1345">
        <v>367.49</v>
      </c>
      <c r="AM75" s="1525">
        <v>359.1</v>
      </c>
      <c r="AN75" s="1359"/>
      <c r="AO75" s="1359"/>
      <c r="AP75" s="1359"/>
      <c r="AQ75" s="1359"/>
      <c r="AR75" s="1525">
        <v>351.1</v>
      </c>
      <c r="AS75" s="1792"/>
      <c r="AT75" s="1359"/>
      <c r="AU75" s="1792"/>
      <c r="AV75" s="1792"/>
      <c r="AW75" s="1525">
        <v>266.10000000000002</v>
      </c>
      <c r="AX75" s="1792"/>
      <c r="AY75" s="1792"/>
      <c r="AZ75" s="1792"/>
      <c r="BA75" s="1792"/>
      <c r="BB75" s="1791">
        <f>249+'Vertically Integrated Utilities'!BB148*0.3</f>
        <v>297</v>
      </c>
      <c r="BC75" s="1359"/>
      <c r="BD75" s="1359"/>
      <c r="BE75" s="1359"/>
      <c r="BF75" s="1359"/>
      <c r="BG75" s="1358">
        <f>273+'Vertically Integrated Utilities'!BG148*0.3</f>
        <v>369</v>
      </c>
      <c r="BL75" s="1358">
        <f>377+'Vertically Integrated Utilities'!BL148*0.3</f>
        <v>473</v>
      </c>
      <c r="BQ75" s="1268"/>
    </row>
    <row r="76" spans="1:78">
      <c r="A76" s="1116" t="s">
        <v>1133</v>
      </c>
      <c r="B76" t="s">
        <v>960</v>
      </c>
      <c r="C76" t="s">
        <v>617</v>
      </c>
      <c r="E76" s="86"/>
      <c r="F76" s="86"/>
      <c r="G76" s="86"/>
      <c r="H76" s="86"/>
      <c r="I76" s="74"/>
      <c r="J76" s="86"/>
      <c r="K76" s="86"/>
      <c r="L76" s="86"/>
      <c r="M76" s="86"/>
      <c r="N76" s="74"/>
      <c r="O76" s="86"/>
      <c r="P76" s="86"/>
      <c r="Q76" s="86"/>
      <c r="R76" s="86"/>
      <c r="S76" s="74"/>
      <c r="T76" s="86"/>
      <c r="U76" s="86"/>
      <c r="V76" s="86"/>
      <c r="W76" s="86"/>
      <c r="X76" s="1345">
        <v>130.964</v>
      </c>
      <c r="AC76" s="1345">
        <v>141.83199999999999</v>
      </c>
      <c r="AH76" s="1345">
        <v>101.898</v>
      </c>
      <c r="AM76" s="1525">
        <v>114.194</v>
      </c>
      <c r="AN76" s="1359"/>
      <c r="AO76" s="1359"/>
      <c r="AP76" s="1359"/>
      <c r="AQ76" s="1359"/>
      <c r="AR76" s="1525">
        <v>99.427999999999997</v>
      </c>
      <c r="AS76" s="1792"/>
      <c r="AT76" s="1359"/>
      <c r="AU76" s="1792"/>
      <c r="AV76" s="1792"/>
      <c r="AW76" s="1525">
        <v>95.156000000000006</v>
      </c>
      <c r="AX76" s="1792"/>
      <c r="AY76" s="1792"/>
      <c r="AZ76" s="1792"/>
      <c r="BA76" s="1792"/>
      <c r="BB76" s="1791">
        <v>162</v>
      </c>
      <c r="BC76" s="1359"/>
      <c r="BD76" s="1359"/>
      <c r="BE76" s="1359"/>
      <c r="BF76" s="1359"/>
      <c r="BG76" s="1358">
        <v>168</v>
      </c>
      <c r="BL76" s="1358">
        <v>203</v>
      </c>
      <c r="BQ76" s="1268"/>
    </row>
    <row r="77" spans="1:78">
      <c r="A77" s="1116" t="s">
        <v>1133</v>
      </c>
      <c r="B77" s="1116" t="s">
        <v>960</v>
      </c>
      <c r="C77" s="1116" t="s">
        <v>1024</v>
      </c>
      <c r="E77" s="86"/>
      <c r="F77" s="86"/>
      <c r="G77" s="86"/>
      <c r="H77" s="86"/>
      <c r="I77" s="74"/>
      <c r="J77" s="86"/>
      <c r="K77" s="86"/>
      <c r="L77" s="86"/>
      <c r="M77" s="86"/>
      <c r="N77" s="74"/>
      <c r="O77" s="86"/>
      <c r="P77" s="86"/>
      <c r="Q77" s="86"/>
      <c r="R77" s="86"/>
      <c r="S77" s="74"/>
      <c r="T77" s="86"/>
      <c r="U77" s="86"/>
      <c r="V77" s="86"/>
      <c r="W77" s="86"/>
      <c r="X77" s="1345">
        <v>50</v>
      </c>
      <c r="AC77" s="1345">
        <v>50</v>
      </c>
      <c r="AH77" s="1345">
        <v>61.771000000000001</v>
      </c>
      <c r="AM77" s="1525">
        <v>85.010999999999996</v>
      </c>
      <c r="AN77" s="1359"/>
      <c r="AO77" s="1359"/>
      <c r="AP77" s="1359"/>
      <c r="AQ77" s="1359"/>
      <c r="AR77" s="1525">
        <v>89.631</v>
      </c>
      <c r="AS77" s="1792"/>
      <c r="AT77" s="1359"/>
      <c r="AU77" s="1792"/>
      <c r="AV77" s="1792"/>
      <c r="AW77" s="1525">
        <v>61.459000000000003</v>
      </c>
      <c r="AX77" s="1792"/>
      <c r="AY77" s="1792"/>
      <c r="AZ77" s="1792"/>
      <c r="BA77" s="1792"/>
      <c r="BB77" s="1791">
        <v>29</v>
      </c>
      <c r="BC77" s="1359"/>
      <c r="BD77" s="1359"/>
      <c r="BE77" s="1359"/>
      <c r="BF77" s="1359"/>
      <c r="BG77" s="1358">
        <v>69</v>
      </c>
      <c r="BL77" s="1358">
        <v>40</v>
      </c>
      <c r="BQ77" s="1268"/>
    </row>
    <row r="78" spans="1:78" s="1240" customFormat="1">
      <c r="C78" s="1240" t="s">
        <v>304</v>
      </c>
      <c r="E78" s="221"/>
      <c r="F78" s="221"/>
      <c r="G78" s="221"/>
      <c r="H78" s="221"/>
      <c r="I78" s="111"/>
      <c r="J78" s="221"/>
      <c r="K78" s="221"/>
      <c r="L78" s="221"/>
      <c r="M78" s="221"/>
      <c r="N78" s="111"/>
      <c r="O78" s="221"/>
      <c r="P78" s="221"/>
      <c r="Q78" s="221"/>
      <c r="R78" s="221"/>
      <c r="S78" s="111"/>
      <c r="T78" s="221"/>
      <c r="U78" s="221"/>
      <c r="V78" s="221"/>
      <c r="W78" s="221"/>
      <c r="X78" s="1270">
        <f>SUM(X71:X77)</f>
        <v>1871</v>
      </c>
      <c r="Y78"/>
      <c r="Z78"/>
      <c r="AA78"/>
      <c r="AB78"/>
      <c r="AC78" s="1270">
        <f>SUM(AC71:AC77)</f>
        <v>1892</v>
      </c>
      <c r="AD78"/>
      <c r="AE78"/>
      <c r="AF78"/>
      <c r="AG78"/>
      <c r="AH78" s="1270">
        <f>SUM(AH71:AH77)</f>
        <v>2136.7710000000002</v>
      </c>
      <c r="AI78"/>
      <c r="AJ78"/>
      <c r="AK78"/>
      <c r="AL78"/>
      <c r="AM78" s="1526">
        <f>SUM(AM71:AM77)</f>
        <v>2327.3110000000001</v>
      </c>
      <c r="AN78"/>
      <c r="AO78"/>
      <c r="AP78"/>
      <c r="AQ78"/>
      <c r="AR78" s="1526">
        <f>SUM(AR71:AR77)</f>
        <v>2346.6309999999999</v>
      </c>
      <c r="AS78"/>
      <c r="AT78"/>
      <c r="AU78"/>
      <c r="AV78"/>
      <c r="AW78" s="1526">
        <f>SUM(AW71:AW77)</f>
        <v>2424.6589999999997</v>
      </c>
      <c r="AX78"/>
      <c r="AY78"/>
      <c r="AZ78"/>
      <c r="BA78"/>
      <c r="BB78" s="1270">
        <f>SUM(BB71:BB77)</f>
        <v>2368</v>
      </c>
      <c r="BC78"/>
      <c r="BD78"/>
      <c r="BE78"/>
      <c r="BF78"/>
      <c r="BG78" s="1270">
        <f>SUM(BG71:BG77)</f>
        <v>3021</v>
      </c>
      <c r="BH78"/>
      <c r="BI78"/>
      <c r="BJ78"/>
      <c r="BK78"/>
      <c r="BL78" s="1351">
        <f>SUM(BL71:BL77)</f>
        <v>2675</v>
      </c>
      <c r="BM78"/>
      <c r="BN78"/>
      <c r="BO78"/>
      <c r="BP78"/>
      <c r="BQ78" s="1498">
        <f>BL78-'Vertically Integrated Utilities'!BL148+'Vertically Integrated Utilities'!BQ148</f>
        <v>3805</v>
      </c>
    </row>
    <row r="79" spans="1:78">
      <c r="E79" s="86"/>
      <c r="F79" s="86"/>
      <c r="G79" s="86"/>
      <c r="H79" s="86"/>
      <c r="I79" s="74"/>
      <c r="J79" s="86"/>
      <c r="K79" s="86"/>
      <c r="L79" s="86"/>
      <c r="M79" s="86"/>
      <c r="N79" s="74"/>
      <c r="O79" s="86"/>
      <c r="P79" s="86"/>
      <c r="Q79" s="86"/>
      <c r="R79" s="86"/>
      <c r="S79" s="74"/>
      <c r="T79" s="86"/>
      <c r="U79" s="86"/>
      <c r="V79" s="86"/>
      <c r="W79" s="86"/>
      <c r="X79" s="1268"/>
      <c r="AC79" s="1268"/>
      <c r="AH79" s="1268"/>
      <c r="AM79" s="1268"/>
      <c r="AR79" s="1268"/>
      <c r="AW79" s="1268"/>
      <c r="BB79" s="1268"/>
      <c r="BG79" s="1268"/>
      <c r="BL79" s="1268"/>
      <c r="BQ79" s="1268"/>
    </row>
    <row r="80" spans="1:78">
      <c r="B80" t="s">
        <v>961</v>
      </c>
      <c r="C80" t="s">
        <v>962</v>
      </c>
      <c r="E80" s="86"/>
      <c r="F80" s="86"/>
      <c r="G80" s="86"/>
      <c r="H80" s="86"/>
      <c r="I80" s="74"/>
      <c r="J80" s="86"/>
      <c r="K80" s="86"/>
      <c r="L80" s="86"/>
      <c r="M80" s="86"/>
      <c r="N80" s="74"/>
      <c r="O80" s="86"/>
      <c r="P80" s="86"/>
      <c r="Q80" s="86"/>
      <c r="R80" s="86"/>
      <c r="S80" s="74"/>
      <c r="T80" s="86"/>
      <c r="U80" s="86"/>
      <c r="V80" s="86"/>
      <c r="W80" s="86"/>
      <c r="X80" s="1345">
        <f>'T&amp;D Utilities'!X132-X81-X82</f>
        <v>296.13400000000001</v>
      </c>
      <c r="AC80" s="1345">
        <f>'T&amp;D Utilities'!AC132-AC81-AC82</f>
        <v>396.14400000000001</v>
      </c>
      <c r="AD80" s="1345"/>
      <c r="AE80" s="1345"/>
      <c r="AF80" s="1345"/>
      <c r="AG80" s="1345"/>
      <c r="AH80" s="1345">
        <f>'T&amp;D Utilities'!AH132-AH81-AH82</f>
        <v>452.09199999999998</v>
      </c>
      <c r="AM80" s="1345">
        <f>'T&amp;D Utilities'!AM132-AM81-AM82</f>
        <v>449.57799999999986</v>
      </c>
      <c r="AN80" s="1359"/>
      <c r="AO80" s="1359"/>
      <c r="AP80" s="1359"/>
      <c r="AQ80" s="1359"/>
      <c r="AR80" s="1345">
        <f>'T&amp;D Utilities'!AR132-AR81-AR82</f>
        <v>417.4</v>
      </c>
      <c r="AS80" s="1792"/>
      <c r="AT80" s="1359"/>
      <c r="AU80" s="1792"/>
      <c r="AV80" s="1792"/>
      <c r="AW80" s="1345">
        <f>'T&amp;D Utilities'!AW132-AW81-AW82</f>
        <v>917.50000000000011</v>
      </c>
      <c r="AX80" s="1792"/>
      <c r="AY80" s="1792"/>
      <c r="AZ80" s="1792"/>
      <c r="BA80" s="1792"/>
      <c r="BB80" s="1791">
        <v>598</v>
      </c>
      <c r="BC80" s="1359"/>
      <c r="BD80" s="1359"/>
      <c r="BE80" s="1359"/>
      <c r="BF80" s="1359"/>
      <c r="BG80" s="1358">
        <v>581</v>
      </c>
      <c r="BL80" s="1358">
        <v>497</v>
      </c>
      <c r="BQ80" s="1358"/>
    </row>
    <row r="81" spans="2:77">
      <c r="B81" t="s">
        <v>961</v>
      </c>
      <c r="C81" t="s">
        <v>296</v>
      </c>
      <c r="E81" s="86"/>
      <c r="F81" s="86"/>
      <c r="G81" s="86"/>
      <c r="H81" s="86"/>
      <c r="I81" s="74"/>
      <c r="J81" s="86"/>
      <c r="K81" s="86"/>
      <c r="L81" s="86"/>
      <c r="M81" s="86"/>
      <c r="N81" s="74"/>
      <c r="O81" s="86"/>
      <c r="P81" s="86"/>
      <c r="Q81" s="86"/>
      <c r="R81" s="86"/>
      <c r="S81" s="74"/>
      <c r="T81" s="86"/>
      <c r="U81" s="86"/>
      <c r="V81" s="86"/>
      <c r="W81" s="86"/>
      <c r="X81" s="1345">
        <v>277.964</v>
      </c>
      <c r="AC81" s="1345">
        <v>370.16699999999997</v>
      </c>
      <c r="AD81" s="1345"/>
      <c r="AE81" s="1345"/>
      <c r="AF81" s="1345"/>
      <c r="AG81" s="1345"/>
      <c r="AH81" s="1345">
        <v>464.60399999999998</v>
      </c>
      <c r="AM81" s="1525">
        <v>449.35300000000001</v>
      </c>
      <c r="AN81" s="1359"/>
      <c r="AO81" s="1359"/>
      <c r="AP81" s="1359"/>
      <c r="AQ81" s="1359"/>
      <c r="AR81" s="1525">
        <f>640.9-AR82</f>
        <v>491.53099999999995</v>
      </c>
      <c r="AS81" s="1792"/>
      <c r="AT81" s="1359"/>
      <c r="AU81" s="1792"/>
      <c r="AV81" s="1792"/>
      <c r="AW81" s="1525">
        <f>+AR81</f>
        <v>491.53099999999995</v>
      </c>
      <c r="AX81" s="1792"/>
      <c r="AY81" s="1792"/>
      <c r="AZ81" s="1792"/>
      <c r="BA81" s="1792"/>
      <c r="BB81" s="1791"/>
      <c r="BC81" s="1359"/>
      <c r="BD81" s="1359"/>
      <c r="BE81" s="1359"/>
      <c r="BF81" s="1359"/>
      <c r="BG81" s="1358"/>
      <c r="BL81" s="1358"/>
      <c r="BQ81" s="1358"/>
    </row>
    <row r="82" spans="2:77">
      <c r="B82" t="s">
        <v>961</v>
      </c>
      <c r="C82" t="s">
        <v>297</v>
      </c>
      <c r="E82" s="86"/>
      <c r="F82" s="86"/>
      <c r="G82" s="86"/>
      <c r="H82" s="86"/>
      <c r="I82" s="74"/>
      <c r="J82" s="86"/>
      <c r="K82" s="86"/>
      <c r="L82" s="86"/>
      <c r="M82" s="86"/>
      <c r="N82" s="74"/>
      <c r="O82" s="86"/>
      <c r="P82" s="86"/>
      <c r="Q82" s="86"/>
      <c r="R82" s="86"/>
      <c r="S82" s="74"/>
      <c r="T82" s="86"/>
      <c r="U82" s="86"/>
      <c r="V82" s="86"/>
      <c r="W82" s="86"/>
      <c r="X82" s="1345">
        <v>89.902000000000001</v>
      </c>
      <c r="AC82" s="1345">
        <v>104.68899999999999</v>
      </c>
      <c r="AD82" s="1345"/>
      <c r="AE82" s="1345"/>
      <c r="AF82" s="1345"/>
      <c r="AG82" s="1345"/>
      <c r="AH82" s="1345">
        <v>121.304</v>
      </c>
      <c r="AM82" s="1525">
        <v>149.369</v>
      </c>
      <c r="AN82" s="1359"/>
      <c r="AO82" s="1359"/>
      <c r="AP82" s="1359"/>
      <c r="AQ82" s="1359"/>
      <c r="AR82" s="1525">
        <f>+AM82</f>
        <v>149.369</v>
      </c>
      <c r="AS82" s="1792"/>
      <c r="AT82" s="1359"/>
      <c r="AU82" s="1792"/>
      <c r="AV82" s="1792"/>
      <c r="AW82" s="1525">
        <f>+AR82</f>
        <v>149.369</v>
      </c>
      <c r="AX82" s="1792"/>
      <c r="AY82" s="1792"/>
      <c r="AZ82" s="1792"/>
      <c r="BA82" s="1792"/>
      <c r="BB82" s="1791">
        <v>1187</v>
      </c>
      <c r="BC82" s="1359"/>
      <c r="BD82" s="1359"/>
      <c r="BE82" s="1359"/>
      <c r="BF82" s="1359"/>
      <c r="BG82" s="1358">
        <v>1018</v>
      </c>
      <c r="BL82" s="1358">
        <v>867</v>
      </c>
      <c r="BQ82" s="1358"/>
    </row>
    <row r="83" spans="2:77" s="1240" customFormat="1">
      <c r="C83" s="1240" t="s">
        <v>880</v>
      </c>
      <c r="E83" s="221"/>
      <c r="F83" s="221"/>
      <c r="G83" s="221"/>
      <c r="H83" s="221"/>
      <c r="I83" s="111"/>
      <c r="J83" s="221"/>
      <c r="K83" s="221"/>
      <c r="L83" s="221"/>
      <c r="M83" s="221"/>
      <c r="N83" s="111"/>
      <c r="O83" s="221"/>
      <c r="P83" s="221"/>
      <c r="Q83" s="221"/>
      <c r="R83" s="221"/>
      <c r="S83" s="111"/>
      <c r="T83" s="221"/>
      <c r="U83" s="221"/>
      <c r="V83" s="221"/>
      <c r="W83" s="221"/>
      <c r="X83" s="1270">
        <f>SUM(X80:X82)</f>
        <v>664</v>
      </c>
      <c r="Y83"/>
      <c r="Z83"/>
      <c r="AA83"/>
      <c r="AB83"/>
      <c r="AC83" s="1270">
        <f>SUM(AC80:AC82)</f>
        <v>870.99999999999989</v>
      </c>
      <c r="AD83"/>
      <c r="AE83"/>
      <c r="AF83"/>
      <c r="AG83"/>
      <c r="AH83" s="1270">
        <f>SUM(AH80:AH82)</f>
        <v>1038</v>
      </c>
      <c r="AI83"/>
      <c r="AJ83"/>
      <c r="AK83"/>
      <c r="AL83"/>
      <c r="AM83" s="1526">
        <f>SUM(AM80:AM82)</f>
        <v>1048.2999999999997</v>
      </c>
      <c r="AN83"/>
      <c r="AO83"/>
      <c r="AP83"/>
      <c r="AQ83"/>
      <c r="AR83" s="1526">
        <f>SUM(AR80:AR82)</f>
        <v>1058.3</v>
      </c>
      <c r="AS83" s="1300"/>
      <c r="AT83"/>
      <c r="AU83" s="1300"/>
      <c r="AV83" s="1300"/>
      <c r="AW83" s="1526">
        <f>SUM(AW80:AW82)</f>
        <v>1558.3999999999999</v>
      </c>
      <c r="AX83" s="1300"/>
      <c r="AY83" s="1300"/>
      <c r="AZ83" s="1300"/>
      <c r="BA83" s="1300"/>
      <c r="BB83" s="1351">
        <f>SUM(BB80:BB82)</f>
        <v>1785</v>
      </c>
      <c r="BC83"/>
      <c r="BD83"/>
      <c r="BE83"/>
      <c r="BF83"/>
      <c r="BG83" s="1351">
        <f>SUM(BG80:BG82)</f>
        <v>1599</v>
      </c>
      <c r="BH83"/>
      <c r="BI83"/>
      <c r="BJ83"/>
      <c r="BK83"/>
      <c r="BL83" s="1351">
        <f>SUM(BL80:BL82)</f>
        <v>1364</v>
      </c>
      <c r="BM83"/>
      <c r="BN83"/>
      <c r="BO83"/>
      <c r="BP83"/>
      <c r="BQ83" s="1498">
        <f>BL83</f>
        <v>1364</v>
      </c>
    </row>
    <row r="84" spans="2:77">
      <c r="B84" s="1240"/>
      <c r="C84" s="1240"/>
      <c r="E84" s="86"/>
      <c r="F84" s="86"/>
      <c r="G84" s="86"/>
      <c r="H84" s="86"/>
      <c r="I84" s="74"/>
      <c r="J84" s="86"/>
      <c r="K84" s="86"/>
      <c r="L84" s="86"/>
      <c r="M84" s="86"/>
      <c r="N84" s="74"/>
      <c r="O84" s="86"/>
      <c r="P84" s="86"/>
      <c r="Q84" s="86"/>
      <c r="R84" s="86"/>
      <c r="S84" s="74"/>
      <c r="T84" s="86"/>
      <c r="U84" s="86"/>
      <c r="V84" s="86"/>
      <c r="W84" s="86"/>
      <c r="X84" s="1268"/>
      <c r="AC84" s="1268"/>
      <c r="AH84" s="1268"/>
      <c r="AM84" s="1527"/>
      <c r="AR84" s="1527"/>
      <c r="AS84" s="1300"/>
      <c r="AU84" s="1300"/>
      <c r="AV84" s="1300"/>
      <c r="AW84" s="1527"/>
      <c r="AX84" s="1300"/>
      <c r="AY84" s="1300"/>
      <c r="AZ84" s="1300"/>
      <c r="BA84" s="1300"/>
      <c r="BB84" s="1347"/>
      <c r="BG84" s="1268"/>
      <c r="BL84" s="1268"/>
      <c r="BQ84" s="1268"/>
    </row>
    <row r="85" spans="2:77">
      <c r="C85" t="s">
        <v>627</v>
      </c>
      <c r="E85" s="86"/>
      <c r="F85" s="86"/>
      <c r="G85" s="86"/>
      <c r="H85" s="86"/>
      <c r="I85" s="74"/>
      <c r="J85" s="86"/>
      <c r="K85" s="86"/>
      <c r="L85" s="86"/>
      <c r="M85" s="86"/>
      <c r="N85" s="74"/>
      <c r="O85" s="86"/>
      <c r="P85" s="86"/>
      <c r="Q85" s="86"/>
      <c r="R85" s="86"/>
      <c r="S85" s="74"/>
      <c r="T85" s="86"/>
      <c r="U85" s="86"/>
      <c r="V85" s="86"/>
      <c r="W85" s="86"/>
      <c r="X85" s="1268">
        <f>'Transmission Holdco'!X53</f>
        <v>542</v>
      </c>
      <c r="Y85" s="1300"/>
      <c r="Z85" s="1300"/>
      <c r="AA85" s="1300"/>
      <c r="AB85" s="1300"/>
      <c r="AC85" s="1268">
        <f>'Transmission Holdco'!AC53</f>
        <v>1012.7625</v>
      </c>
      <c r="AH85" s="1268">
        <f>'Transmission Holdco'!AH53</f>
        <v>1187.7625</v>
      </c>
      <c r="AM85" s="1268">
        <f>'Transmission Holdco'!AM53</f>
        <v>1686.4382044125466</v>
      </c>
      <c r="AR85" s="1268">
        <f>'Transmission Holdco'!AR53</f>
        <v>1222</v>
      </c>
      <c r="AS85" s="1300"/>
      <c r="AU85" s="1300"/>
      <c r="AV85" s="1300"/>
      <c r="AW85" s="1268">
        <f>'Transmission Holdco'!AW53</f>
        <v>1578</v>
      </c>
      <c r="AX85" s="1300"/>
      <c r="AY85" s="1300"/>
      <c r="AZ85" s="1300"/>
      <c r="BA85" s="1300"/>
      <c r="BB85" s="1793">
        <f>'Transmission Holdco'!BB53</f>
        <v>1514</v>
      </c>
      <c r="BG85" s="1268">
        <f>'Transmission Holdco'!BG53</f>
        <v>1544</v>
      </c>
      <c r="BL85" s="1268">
        <f>'Transmission Holdco'!BL53</f>
        <v>1301</v>
      </c>
      <c r="BQ85" s="1268">
        <f>'Transmission Holdco'!BQ53</f>
        <v>1500</v>
      </c>
      <c r="BS85" s="1267"/>
    </row>
    <row r="86" spans="2:77">
      <c r="C86" s="1116" t="s">
        <v>1025</v>
      </c>
      <c r="E86" s="86"/>
      <c r="F86" s="86"/>
      <c r="G86" s="86"/>
      <c r="H86" s="86"/>
      <c r="I86" s="74"/>
      <c r="J86" s="86"/>
      <c r="K86" s="86"/>
      <c r="L86" s="86"/>
      <c r="M86" s="86"/>
      <c r="N86" s="74"/>
      <c r="O86" s="86"/>
      <c r="P86" s="86"/>
      <c r="Q86" s="86"/>
      <c r="R86" s="86"/>
      <c r="S86" s="74"/>
      <c r="T86" s="86"/>
      <c r="U86" s="86"/>
      <c r="V86" s="86"/>
      <c r="W86" s="86"/>
      <c r="X86" s="1347">
        <f>'Generation &amp; Marketing'!X222</f>
        <v>0</v>
      </c>
      <c r="Y86" s="1300"/>
      <c r="Z86" s="1300"/>
      <c r="AA86" s="1300"/>
      <c r="AB86" s="1300"/>
      <c r="AC86" s="1347">
        <f>'Generation &amp; Marketing'!AC222</f>
        <v>0</v>
      </c>
      <c r="AH86" s="1347">
        <f>'Generation &amp; Marketing'!AH222</f>
        <v>0</v>
      </c>
      <c r="AM86" s="1347">
        <f>'Generation &amp; Marketing'!AM222</f>
        <v>138.96472509264072</v>
      </c>
      <c r="AN86" s="1359"/>
      <c r="AO86" s="1359"/>
      <c r="AP86" s="1359"/>
      <c r="AQ86" s="1359"/>
      <c r="AR86" s="1347">
        <f>'Generation &amp; Marketing'!AR222</f>
        <v>134.41041047703152</v>
      </c>
      <c r="AS86" s="1792"/>
      <c r="AT86" s="1359"/>
      <c r="AU86" s="1792"/>
      <c r="AV86" s="1792"/>
      <c r="AW86" s="1347">
        <f>'Generation &amp; Marketing'!AW222</f>
        <v>111.75678291133687</v>
      </c>
      <c r="AX86" s="1792"/>
      <c r="AY86" s="1792"/>
      <c r="AZ86" s="1792"/>
      <c r="BA86" s="1792"/>
      <c r="BB86" s="1791">
        <v>416</v>
      </c>
      <c r="BC86" s="1359"/>
      <c r="BD86" s="1359"/>
      <c r="BE86" s="1359"/>
      <c r="BF86" s="1359"/>
      <c r="BG86" s="1358">
        <v>354</v>
      </c>
      <c r="BL86" s="1358">
        <v>469</v>
      </c>
      <c r="BQ86" s="1358">
        <f>+BL86</f>
        <v>469</v>
      </c>
    </row>
    <row r="87" spans="2:77">
      <c r="C87" s="1116" t="s">
        <v>924</v>
      </c>
      <c r="E87" s="86"/>
      <c r="F87" s="86"/>
      <c r="G87" s="86"/>
      <c r="H87" s="86"/>
      <c r="I87" s="74"/>
      <c r="J87" s="86"/>
      <c r="K87" s="86"/>
      <c r="L87" s="86"/>
      <c r="M87" s="86"/>
      <c r="N87" s="74"/>
      <c r="O87" s="86"/>
      <c r="P87" s="86"/>
      <c r="Q87" s="86"/>
      <c r="R87" s="86"/>
      <c r="S87" s="74"/>
      <c r="T87" s="86"/>
      <c r="U87" s="86"/>
      <c r="V87" s="86"/>
      <c r="W87" s="86"/>
      <c r="X87" s="1464" t="s">
        <v>1027</v>
      </c>
      <c r="Y87" s="1465"/>
      <c r="Z87" s="1465"/>
      <c r="AA87" s="1465"/>
      <c r="AB87" s="1465"/>
      <c r="AC87" s="1464" t="s">
        <v>1027</v>
      </c>
      <c r="AD87" s="1466"/>
      <c r="AE87" s="1466"/>
      <c r="AF87" s="1466"/>
      <c r="AG87" s="1466"/>
      <c r="AH87" s="1464" t="s">
        <v>1027</v>
      </c>
      <c r="AM87" s="1528" t="s">
        <v>1027</v>
      </c>
      <c r="AN87" s="1359"/>
      <c r="AO87" s="1359"/>
      <c r="AP87" s="1359"/>
      <c r="AQ87" s="1359"/>
      <c r="AR87" s="1528" t="s">
        <v>1027</v>
      </c>
      <c r="AS87" s="1792"/>
      <c r="AT87" s="1359"/>
      <c r="AU87" s="1792"/>
      <c r="AV87" s="1792"/>
      <c r="AW87" s="1528" t="s">
        <v>1027</v>
      </c>
      <c r="AX87" s="1792"/>
      <c r="AY87" s="1792"/>
      <c r="AZ87" s="1792"/>
      <c r="BA87" s="1792"/>
      <c r="BB87" s="1791">
        <v>36</v>
      </c>
      <c r="BC87" s="1359"/>
      <c r="BD87" s="1359"/>
      <c r="BE87" s="1359"/>
      <c r="BF87" s="1359"/>
      <c r="BG87" s="1358">
        <v>17</v>
      </c>
      <c r="BL87" s="1358">
        <v>36</v>
      </c>
      <c r="BQ87" s="1358">
        <f>+BL87</f>
        <v>36</v>
      </c>
    </row>
    <row r="88" spans="2:77">
      <c r="C88" s="56" t="s">
        <v>48</v>
      </c>
      <c r="E88" s="86"/>
      <c r="F88" s="86"/>
      <c r="G88" s="86"/>
      <c r="H88" s="86"/>
      <c r="I88" s="111"/>
      <c r="J88" s="86"/>
      <c r="K88" s="86"/>
      <c r="L88" s="86"/>
      <c r="M88" s="86"/>
      <c r="N88" s="111"/>
      <c r="O88" s="86"/>
      <c r="P88" s="86"/>
      <c r="Q88" s="86"/>
      <c r="R88" s="86"/>
      <c r="S88" s="111"/>
      <c r="T88" s="86"/>
      <c r="U88" s="86"/>
      <c r="V88" s="86"/>
      <c r="W88" s="86"/>
      <c r="X88" s="1351">
        <f>+X78+X83+X85</f>
        <v>3077</v>
      </c>
      <c r="Y88" s="1300"/>
      <c r="Z88" s="1300"/>
      <c r="AA88" s="1300"/>
      <c r="AB88" s="1300"/>
      <c r="AC88" s="1351">
        <f>+AC78+AC83+AC85</f>
        <v>3775.7624999999998</v>
      </c>
      <c r="AH88" s="1351">
        <f>+AH78+AH83+AH85</f>
        <v>4362.5335000000005</v>
      </c>
      <c r="AM88" s="1529">
        <f>+AM78+AM83+AM85</f>
        <v>5062.0492044125467</v>
      </c>
      <c r="AR88" s="1529">
        <f>+AR78+AR83+AR85</f>
        <v>4626.9309999999996</v>
      </c>
      <c r="AS88" s="1300"/>
      <c r="AU88" s="1300"/>
      <c r="AV88" s="1300"/>
      <c r="AW88" s="1529">
        <f>+AW78+AW83+AW85</f>
        <v>5561.0589999999993</v>
      </c>
      <c r="AX88" s="1300"/>
      <c r="AY88" s="1300"/>
      <c r="AZ88" s="1300"/>
      <c r="BA88" s="1300"/>
      <c r="BB88" s="1351">
        <f>+BB78+BB83+BB85+BB86+BB87</f>
        <v>6119</v>
      </c>
      <c r="BG88" s="1270">
        <f>+BG78+BG83+BG85+BG86+BG87</f>
        <v>6535</v>
      </c>
      <c r="BL88" s="1270">
        <f>+BL78+BL83+BL85+BL86+BL87</f>
        <v>5845</v>
      </c>
      <c r="BQ88" s="1270">
        <f>+BQ78+BQ83+BQ85+BQ86+BQ87</f>
        <v>7174</v>
      </c>
      <c r="BR88" s="111"/>
      <c r="BT88" s="112"/>
      <c r="BU88" s="112"/>
      <c r="BV88" s="112"/>
      <c r="BW88" s="112"/>
      <c r="BX88" s="112"/>
      <c r="BY88" s="112"/>
    </row>
    <row r="89" spans="2:77">
      <c r="E89" s="86"/>
      <c r="F89" s="86"/>
      <c r="G89" s="86"/>
      <c r="H89" s="86"/>
      <c r="J89" s="86"/>
      <c r="K89" s="86"/>
      <c r="L89" s="86"/>
      <c r="M89" s="86"/>
      <c r="O89" s="86"/>
      <c r="P89" s="86"/>
      <c r="Q89" s="86"/>
      <c r="R89" s="86"/>
      <c r="T89" s="86"/>
      <c r="U89" s="86"/>
      <c r="V89" s="86"/>
      <c r="W89" s="86"/>
      <c r="X89" s="1267"/>
      <c r="AC89" s="1267"/>
      <c r="AH89" s="1267"/>
      <c r="AM89" s="1267"/>
      <c r="AR89" s="1794"/>
      <c r="AS89" s="1300"/>
      <c r="AU89" s="1300"/>
      <c r="AV89" s="1300"/>
      <c r="AW89" s="1794"/>
      <c r="AX89" s="1300"/>
      <c r="AY89" s="1300"/>
      <c r="AZ89" s="1300"/>
      <c r="BA89" s="1300"/>
      <c r="BB89" s="1794"/>
      <c r="BG89" s="1267"/>
      <c r="BL89" s="1267"/>
      <c r="BQ89" s="1267"/>
    </row>
    <row r="90" spans="2:77">
      <c r="C90" s="100" t="s">
        <v>245</v>
      </c>
      <c r="E90" s="86"/>
      <c r="F90" s="86"/>
      <c r="G90" s="86"/>
      <c r="H90" s="86"/>
      <c r="J90" s="86"/>
      <c r="K90" s="86"/>
      <c r="L90" s="86"/>
      <c r="M90" s="86"/>
      <c r="N90" s="72"/>
      <c r="O90" s="86"/>
      <c r="P90" s="86"/>
      <c r="Q90" s="86"/>
      <c r="R90" s="86"/>
      <c r="S90" s="72"/>
      <c r="T90" s="86"/>
      <c r="U90" s="86"/>
      <c r="V90" s="86"/>
      <c r="W90" s="86"/>
      <c r="X90" s="1269">
        <f>+AEP!X99</f>
        <v>3025</v>
      </c>
      <c r="AC90" s="1269">
        <f>+AEP!AC99</f>
        <v>3624</v>
      </c>
      <c r="AH90" s="1269">
        <f>+AEP!AH99</f>
        <v>4134</v>
      </c>
      <c r="AM90" s="1269">
        <f>+AEP!AM99</f>
        <v>4508</v>
      </c>
      <c r="AR90" s="1795">
        <f>+AEP!AR99</f>
        <v>4781.1000000000004</v>
      </c>
      <c r="AS90" s="1300"/>
      <c r="AU90" s="1300"/>
      <c r="AV90" s="1300"/>
      <c r="AW90" s="1795">
        <f>+AEP!AW99</f>
        <v>5691.3</v>
      </c>
      <c r="AX90" s="1300"/>
      <c r="AY90" s="1300"/>
      <c r="AZ90" s="1300"/>
      <c r="BA90" s="1300"/>
      <c r="BB90" s="1795">
        <f>+AEP!BB99</f>
        <v>6138.8333333333339</v>
      </c>
      <c r="BG90" s="1269">
        <f>+AEP!BG99</f>
        <v>6589.3333333333339</v>
      </c>
      <c r="BL90" s="1269">
        <f>+AEP!BL99</f>
        <v>5784.3333333333339</v>
      </c>
      <c r="BQ90" s="1269">
        <f>+AEP!BQ99</f>
        <v>6780</v>
      </c>
      <c r="BT90" s="72"/>
      <c r="BU90" s="72"/>
      <c r="BV90" s="72"/>
      <c r="BW90" s="72"/>
      <c r="BX90" s="72"/>
      <c r="BY90" s="72"/>
    </row>
    <row r="91" spans="2:77">
      <c r="C91" s="1116" t="s">
        <v>1115</v>
      </c>
      <c r="E91" s="86"/>
      <c r="F91" s="86"/>
      <c r="G91" s="86"/>
      <c r="H91" s="86"/>
      <c r="J91" s="86"/>
      <c r="K91" s="86"/>
      <c r="L91" s="86"/>
      <c r="M91" s="86"/>
      <c r="O91" s="86"/>
      <c r="P91" s="86"/>
      <c r="Q91" s="86"/>
      <c r="R91" s="86"/>
      <c r="T91" s="86"/>
      <c r="U91" s="86"/>
      <c r="V91" s="86"/>
      <c r="W91" s="86"/>
      <c r="AH91" s="1267">
        <f>AH90-AH85+'Transmission Holdco'!AH47</f>
        <v>3894.2375000000002</v>
      </c>
      <c r="AM91" s="1267">
        <f>AM90-AM85+'Transmission Holdco'!AM47</f>
        <v>3942.8617955874533</v>
      </c>
      <c r="AR91" s="1794">
        <f>AR90-AR85+'Transmission Holdco'!AR47</f>
        <v>4688.8270202020203</v>
      </c>
      <c r="AS91" s="1794"/>
      <c r="AT91" s="1794">
        <f>SUM(AT78,AT83,AT86:AT87,'Transmission Holdco'!AT47)</f>
        <v>390.16250000000002</v>
      </c>
      <c r="AU91" s="1794">
        <f>SUM(AU78,AU83,AU86:AU87,'Transmission Holdco'!AU47)</f>
        <v>390.16250000000002</v>
      </c>
      <c r="AV91" s="1794">
        <f>SUM(AV78,AV83,AV86:AV87,'Transmission Holdco'!AV47)</f>
        <v>390.16250000000002</v>
      </c>
      <c r="AW91" s="1794">
        <f>AW90-AW85+'Transmission Holdco'!AW47</f>
        <v>5673.9500000000007</v>
      </c>
      <c r="AX91" s="1794">
        <f>SUM(AX78,AX83,AX86:AX87,'Transmission Holdco'!AX47)</f>
        <v>356.7941649222488</v>
      </c>
      <c r="AY91" s="1794">
        <f>SUM(AY78,AY83,AY86:AY87,'Transmission Holdco'!AY47)</f>
        <v>356.7941649222488</v>
      </c>
      <c r="AZ91" s="1794">
        <f>SUM(AZ78,AZ83,AZ86:AZ87,'Transmission Holdco'!AZ47)</f>
        <v>356.7941649222488</v>
      </c>
      <c r="BA91" s="1794">
        <f>SUM(BA78,BA83,BA86:BA87,'Transmission Holdco'!BA47)</f>
        <v>356.7941649222488</v>
      </c>
      <c r="BB91" s="1794">
        <f>SUM(BB78,BB83,BB86:BB87,'Transmission Holdco'!BB47)</f>
        <v>6032.1766596889956</v>
      </c>
      <c r="BC91" s="1267">
        <f>SUM(BC78,BC83,BC86:BC87,'Transmission Holdco'!BC47)</f>
        <v>356.84763755980862</v>
      </c>
      <c r="BD91" s="1267">
        <f>SUM(BD78,BD83,BD86:BD87,'Transmission Holdco'!BD47)</f>
        <v>356.84763755980862</v>
      </c>
      <c r="BE91" s="1267">
        <f>SUM(BE78,BE83,BE86:BE87,'Transmission Holdco'!BE47)</f>
        <v>356.84763755980862</v>
      </c>
      <c r="BF91" s="1267">
        <f>SUM(BF78,BF83,BF86:BF87,'Transmission Holdco'!BF47)</f>
        <v>356.84763755980862</v>
      </c>
      <c r="BG91" s="1267">
        <f>SUM(BG78,BG83,BG86:BG87,'Transmission Holdco'!BG47)</f>
        <v>6418.3905502392345</v>
      </c>
      <c r="BH91" s="1267">
        <f>SUM(BH78,BH83,BH86:BH87,'Transmission Holdco'!BH47)</f>
        <v>313.36724357057415</v>
      </c>
      <c r="BI91" s="1267">
        <f>SUM(BI78,BI83,BI86:BI87,'Transmission Holdco'!BI47)</f>
        <v>313.36724357057415</v>
      </c>
      <c r="BJ91" s="1267">
        <f>SUM(BJ78,BJ83,BJ86:BJ87,'Transmission Holdco'!BJ47)</f>
        <v>313.36724357057415</v>
      </c>
      <c r="BK91" s="1267">
        <f>SUM(BK78,BK83,BK86:BK87,'Transmission Holdco'!BK47)</f>
        <v>313.36724357057415</v>
      </c>
      <c r="BL91" s="1267">
        <f>SUM(BL78,BL83,BL86:BL87,'Transmission Holdco'!BL47)</f>
        <v>5797.4689742822966</v>
      </c>
      <c r="BM91" s="1267">
        <f>SUM(BM78,BM83,BM86:BM87,'Transmission Holdco'!BM47)</f>
        <v>265</v>
      </c>
      <c r="BN91" s="1267">
        <f>SUM(BN78,BN83,BN86:BN87,'Transmission Holdco'!BN47)</f>
        <v>265</v>
      </c>
      <c r="BO91" s="1267">
        <f>SUM(BO78,BO83,BO86:BO87,'Transmission Holdco'!BO47)</f>
        <v>265</v>
      </c>
      <c r="BP91" s="1267">
        <f>SUM(BP78,BP83,BP86:BP87,'Transmission Holdco'!BP47)</f>
        <v>265</v>
      </c>
      <c r="BQ91" s="1267">
        <f>SUM(BQ78,BQ83,BQ86:BQ87,'Transmission Holdco'!BQ47)</f>
        <v>6734</v>
      </c>
      <c r="BT91" s="72"/>
      <c r="BU91" s="72"/>
      <c r="BV91" s="72"/>
      <c r="BW91" s="72"/>
      <c r="BX91" s="72"/>
      <c r="BY91" s="72"/>
    </row>
    <row r="92" spans="2:77">
      <c r="E92" s="86"/>
      <c r="F92" s="86"/>
      <c r="G92" s="86"/>
      <c r="H92" s="86"/>
      <c r="J92" s="86"/>
      <c r="K92" s="86"/>
      <c r="L92" s="86"/>
      <c r="M92" s="86"/>
      <c r="O92" s="86"/>
      <c r="P92" s="86"/>
      <c r="Q92" s="86"/>
      <c r="R92" s="86"/>
      <c r="T92" s="86"/>
      <c r="U92" s="86"/>
      <c r="V92" s="86"/>
      <c r="W92" s="86"/>
      <c r="AC92" s="67"/>
      <c r="AM92" s="1267"/>
      <c r="AR92" s="1300"/>
      <c r="AW92" s="1300"/>
      <c r="BT92" s="72"/>
      <c r="BU92" s="72"/>
      <c r="BV92" s="72"/>
      <c r="BW92" s="72"/>
      <c r="BX92" s="72"/>
      <c r="BY92" s="72"/>
    </row>
    <row r="93" spans="2:77">
      <c r="B93" s="46" t="s">
        <v>305</v>
      </c>
      <c r="C93" s="46"/>
      <c r="D93" s="46"/>
      <c r="E93" s="94"/>
      <c r="F93" s="94"/>
      <c r="G93" s="94"/>
      <c r="H93" s="94"/>
      <c r="J93" s="86"/>
      <c r="K93" s="86"/>
      <c r="L93" s="86"/>
      <c r="M93" s="86"/>
      <c r="O93" s="86"/>
      <c r="P93" s="86"/>
      <c r="Q93" s="86"/>
      <c r="R93" s="86"/>
      <c r="T93" s="86"/>
      <c r="U93" s="86"/>
      <c r="V93" s="86"/>
      <c r="W93" s="86"/>
      <c r="Y93" s="86"/>
      <c r="Z93" s="86"/>
      <c r="AA93" s="86"/>
      <c r="AB93" s="86"/>
      <c r="AD93" s="86"/>
      <c r="AE93" s="86"/>
      <c r="AF93" s="86"/>
      <c r="AG93" s="86"/>
      <c r="AI93" s="86"/>
      <c r="AJ93" s="86"/>
      <c r="AK93" s="86"/>
      <c r="AL93" s="86"/>
      <c r="AN93" s="86"/>
      <c r="AO93" s="86"/>
      <c r="AP93" s="86"/>
      <c r="AQ93" s="86"/>
      <c r="AR93" s="1300"/>
      <c r="AS93" s="86"/>
      <c r="AT93" s="86"/>
      <c r="AU93" s="86"/>
      <c r="AV93" s="86"/>
      <c r="AW93" s="1300"/>
      <c r="AX93" s="86"/>
      <c r="AY93" s="86"/>
      <c r="AZ93" s="86"/>
      <c r="BA93" s="86"/>
      <c r="BC93" s="86"/>
      <c r="BD93" s="86"/>
      <c r="BE93" s="86"/>
      <c r="BF93" s="86"/>
      <c r="BH93" s="86"/>
      <c r="BI93" s="86"/>
      <c r="BJ93" s="86"/>
      <c r="BK93" s="86"/>
      <c r="BM93" s="86"/>
      <c r="BN93" s="86"/>
      <c r="BO93" s="86"/>
      <c r="BP93" s="86"/>
    </row>
    <row r="94" spans="2:77">
      <c r="C94" t="s">
        <v>122</v>
      </c>
      <c r="E94" s="86"/>
      <c r="F94" s="86"/>
      <c r="G94" s="86"/>
      <c r="H94" s="86"/>
      <c r="J94" s="86"/>
      <c r="K94" s="86"/>
      <c r="L94" s="86"/>
      <c r="M94" s="86"/>
      <c r="O94" s="86"/>
      <c r="P94" s="86"/>
      <c r="Q94" s="86"/>
      <c r="R94" s="86"/>
      <c r="T94" s="86"/>
      <c r="U94" s="86"/>
      <c r="V94" s="86"/>
      <c r="W94" s="86"/>
      <c r="X94" s="1267">
        <f>'Vertically Integrated Utilities'!X41</f>
        <v>840</v>
      </c>
      <c r="Y94" s="78">
        <f>'Vertically Integrated Utilities'!Y41</f>
        <v>203</v>
      </c>
      <c r="Z94" s="78">
        <f>'Vertically Integrated Utilities'!Z41</f>
        <v>153</v>
      </c>
      <c r="AA94" s="78">
        <f>'Vertically Integrated Utilities'!AA41</f>
        <v>273</v>
      </c>
      <c r="AB94" s="78">
        <f>'Vertically Integrated Utilities'!AB41</f>
        <v>122</v>
      </c>
      <c r="AC94" s="1267">
        <f>'Vertically Integrated Utilities'!AC41</f>
        <v>751</v>
      </c>
      <c r="AD94" s="78">
        <f>'Vertically Integrated Utilities'!AD41</f>
        <v>279</v>
      </c>
      <c r="AE94" s="78">
        <f>'Vertically Integrated Utilities'!AE41</f>
        <v>155</v>
      </c>
      <c r="AF94" s="78">
        <f>'Vertically Integrated Utilities'!AF41</f>
        <v>219</v>
      </c>
      <c r="AG94" s="78">
        <f>'Vertically Integrated Utilities'!AG41</f>
        <v>55</v>
      </c>
      <c r="AH94" s="1267">
        <f>'Vertically Integrated Utilities'!AH41</f>
        <v>708</v>
      </c>
      <c r="AI94" s="78">
        <f>'Vertically Integrated Utilities'!AI41</f>
        <v>299</v>
      </c>
      <c r="AJ94" s="78">
        <f>'Vertically Integrated Utilities'!AJ41</f>
        <v>207</v>
      </c>
      <c r="AK94" s="78">
        <f>'Vertically Integrated Utilities'!AK41</f>
        <v>274</v>
      </c>
      <c r="AL94" s="78">
        <f>'Vertically Integrated Utilities'!AL41</f>
        <v>116.50000000000064</v>
      </c>
      <c r="AM94" s="1267">
        <f>'Vertically Integrated Utilities'!AM41</f>
        <v>896.50000000000057</v>
      </c>
      <c r="AN94" s="78">
        <f>'Vertically Integrated Utilities'!AN41</f>
        <v>277.59999999999968</v>
      </c>
      <c r="AO94" s="78">
        <f>'Vertically Integrated Utilities'!AO41</f>
        <v>209.39999999999995</v>
      </c>
      <c r="AP94" s="78">
        <f>'Vertically Integrated Utilities'!AP41</f>
        <v>349.10000000000014</v>
      </c>
      <c r="AQ94" s="78">
        <f>'Vertically Integrated Utilities'!AQ41</f>
        <v>150.59999999999948</v>
      </c>
      <c r="AR94" s="1794">
        <f>'Vertically Integrated Utilities'!AR41</f>
        <v>986.69999999999925</v>
      </c>
      <c r="AS94" s="78">
        <f>'Vertically Integrated Utilities'!AS41</f>
        <v>219.50000000000011</v>
      </c>
      <c r="AT94" s="78">
        <f>'Vertically Integrated Utilities'!AT41</f>
        <v>120.8</v>
      </c>
      <c r="AU94" s="78">
        <f>'Vertically Integrated Utilities'!AU41</f>
        <v>286.2999999999995</v>
      </c>
      <c r="AV94" s="78">
        <f>'Vertically Integrated Utilities'!AV41</f>
        <v>179.40000000000043</v>
      </c>
      <c r="AW94" s="1794">
        <f>'Vertically Integrated Utilities'!AW41</f>
        <v>806.00000000000011</v>
      </c>
      <c r="AX94" s="78">
        <f>'Vertically Integrated Utilities'!AX41</f>
        <v>260.95435499727137</v>
      </c>
      <c r="AY94" s="78">
        <f>'Vertically Integrated Utilities'!AY41</f>
        <v>136.66704198183734</v>
      </c>
      <c r="AZ94" s="78">
        <f>'Vertically Integrated Utilities'!AZ41</f>
        <v>322.3455209577856</v>
      </c>
      <c r="BA94" s="78">
        <f>'Vertically Integrated Utilities'!BA41</f>
        <v>180.43815315503861</v>
      </c>
      <c r="BB94" s="1267">
        <f>'Vertically Integrated Utilities'!BB41</f>
        <v>900.405071091933</v>
      </c>
      <c r="BC94" s="78">
        <f>'Vertically Integrated Utilities'!BC41</f>
        <v>327.61226654431601</v>
      </c>
      <c r="BD94" s="78">
        <f>'Vertically Integrated Utilities'!BD41</f>
        <v>174.21786438401091</v>
      </c>
      <c r="BE94" s="78">
        <f>'Vertically Integrated Utilities'!BE41</f>
        <v>343.94810755326381</v>
      </c>
      <c r="BF94" s="78">
        <f>'Vertically Integrated Utilities'!BF41</f>
        <v>202.59242508857682</v>
      </c>
      <c r="BG94" s="1267">
        <f>'Vertically Integrated Utilities'!BG41</f>
        <v>1048.3706635701676</v>
      </c>
      <c r="BH94" s="78">
        <f>'Vertically Integrated Utilities'!BH41</f>
        <v>340.45461308222099</v>
      </c>
      <c r="BI94" s="78">
        <f>'Vertically Integrated Utilities'!BI41</f>
        <v>183.35685365686518</v>
      </c>
      <c r="BJ94" s="78">
        <f>'Vertically Integrated Utilities'!BJ41</f>
        <v>379.93468630004043</v>
      </c>
      <c r="BK94" s="78">
        <f>'Vertically Integrated Utilities'!BK41</f>
        <v>230.57859500445517</v>
      </c>
      <c r="BL94" s="1267">
        <f>'Vertically Integrated Utilities'!BL41</f>
        <v>1134.3247480435818</v>
      </c>
      <c r="BM94" s="78">
        <f>'Vertically Integrated Utilities'!BM41</f>
        <v>398.54728094114688</v>
      </c>
      <c r="BN94" s="78">
        <f>'Vertically Integrated Utilities'!BN41</f>
        <v>227.23338654317809</v>
      </c>
      <c r="BO94" s="78">
        <f>'Vertically Integrated Utilities'!BO41</f>
        <v>404.01807617669016</v>
      </c>
      <c r="BP94" s="78">
        <f>'Vertically Integrated Utilities'!BP41</f>
        <v>257.61137910924816</v>
      </c>
      <c r="BQ94" s="1267">
        <f>'Vertically Integrated Utilities'!BQ41</f>
        <v>1287.4101227702633</v>
      </c>
    </row>
    <row r="95" spans="2:77">
      <c r="C95" t="s">
        <v>876</v>
      </c>
      <c r="E95" s="86"/>
      <c r="F95" s="86"/>
      <c r="G95" s="86"/>
      <c r="H95" s="86"/>
      <c r="J95" s="86"/>
      <c r="K95" s="86"/>
      <c r="L95" s="86"/>
      <c r="M95" s="86"/>
      <c r="N95" s="74"/>
      <c r="O95" s="86"/>
      <c r="P95" s="86"/>
      <c r="Q95" s="86"/>
      <c r="R95" s="86"/>
      <c r="S95" s="74"/>
      <c r="T95" s="86"/>
      <c r="U95" s="86"/>
      <c r="V95" s="86"/>
      <c r="W95" s="86"/>
      <c r="X95" s="1268">
        <f>'T&amp;D Utilities'!X38</f>
        <v>389</v>
      </c>
      <c r="Y95" s="78">
        <f>'T&amp;D Utilities'!Y38</f>
        <v>86</v>
      </c>
      <c r="Z95" s="78">
        <f>'T&amp;D Utilities'!Z38</f>
        <v>75</v>
      </c>
      <c r="AA95" s="78">
        <f>'T&amp;D Utilities'!AA38</f>
        <v>119</v>
      </c>
      <c r="AB95" s="78">
        <f>'T&amp;D Utilities'!AB38</f>
        <v>78</v>
      </c>
      <c r="AC95" s="1268">
        <f>'T&amp;D Utilities'!AC38</f>
        <v>358</v>
      </c>
      <c r="AD95" s="78">
        <f>'T&amp;D Utilities'!AD38</f>
        <v>97</v>
      </c>
      <c r="AE95" s="78">
        <f>'T&amp;D Utilities'!AE38</f>
        <v>90</v>
      </c>
      <c r="AF95" s="78">
        <f>'T&amp;D Utilities'!AF38</f>
        <v>92</v>
      </c>
      <c r="AG95" s="78">
        <f>'T&amp;D Utilities'!AG38</f>
        <v>73.200000000000784</v>
      </c>
      <c r="AH95" s="1268">
        <f>'T&amp;D Utilities'!AH38</f>
        <v>352.20000000000078</v>
      </c>
      <c r="AI95" s="78">
        <f>'T&amp;D Utilities'!AI38</f>
        <v>97</v>
      </c>
      <c r="AJ95" s="78">
        <f>'T&amp;D Utilities'!AJ38</f>
        <v>78</v>
      </c>
      <c r="AK95" s="78">
        <f>'T&amp;D Utilities'!AK38</f>
        <v>113</v>
      </c>
      <c r="AL95" s="78">
        <f>'T&amp;D Utilities'!AL38</f>
        <v>64.400000000000091</v>
      </c>
      <c r="AM95" s="1268">
        <f>'T&amp;D Utilities'!AM38</f>
        <v>352.40000000000009</v>
      </c>
      <c r="AN95" s="78">
        <f>'T&amp;D Utilities'!AN38</f>
        <v>107.99999999999996</v>
      </c>
      <c r="AO95" s="78">
        <f>'T&amp;D Utilities'!AO38</f>
        <v>124.59999999999992</v>
      </c>
      <c r="AP95" s="78">
        <f>'T&amp;D Utilities'!AP38</f>
        <v>155.49999999999994</v>
      </c>
      <c r="AQ95" s="78">
        <f>'T&amp;D Utilities'!AQ38</f>
        <v>93.999999999999773</v>
      </c>
      <c r="AR95" s="1347">
        <f>'T&amp;D Utilities'!AR38</f>
        <v>482.09999999999957</v>
      </c>
      <c r="AS95" s="78">
        <f>'T&amp;D Utilities'!AS38</f>
        <v>119.10000000000015</v>
      </c>
      <c r="AT95" s="78">
        <f>'T&amp;D Utilities'!AT38</f>
        <v>111.2</v>
      </c>
      <c r="AU95" s="78">
        <f>'T&amp;D Utilities'!AU38</f>
        <v>143.99999999999997</v>
      </c>
      <c r="AV95" s="78">
        <f>'T&amp;D Utilities'!AV38</f>
        <v>123.89999999999952</v>
      </c>
      <c r="AW95" s="1347">
        <f>'T&amp;D Utilities'!AW38</f>
        <v>498.19999999999965</v>
      </c>
      <c r="AX95" s="78">
        <f>'T&amp;D Utilities'!AX38</f>
        <v>136.6769783162182</v>
      </c>
      <c r="AY95" s="78">
        <f>'T&amp;D Utilities'!AY38</f>
        <v>132.25984908301766</v>
      </c>
      <c r="AZ95" s="78">
        <f>'T&amp;D Utilities'!AZ38</f>
        <v>184.16820080176942</v>
      </c>
      <c r="BA95" s="78">
        <f>'T&amp;D Utilities'!BA38</f>
        <v>119.70595732964239</v>
      </c>
      <c r="BB95" s="1268">
        <f>'T&amp;D Utilities'!BB38</f>
        <v>572.81098553064771</v>
      </c>
      <c r="BC95" s="78">
        <f>'T&amp;D Utilities'!BC38</f>
        <v>148.7667848225696</v>
      </c>
      <c r="BD95" s="78">
        <f>'T&amp;D Utilities'!BD38</f>
        <v>140.85391785999857</v>
      </c>
      <c r="BE95" s="78">
        <f>'T&amp;D Utilities'!BE38</f>
        <v>189.78443233879358</v>
      </c>
      <c r="BF95" s="78">
        <f>'T&amp;D Utilities'!BF38</f>
        <v>128.30483096400263</v>
      </c>
      <c r="BG95" s="1268">
        <f>'T&amp;D Utilities'!BG38</f>
        <v>607.70996598536442</v>
      </c>
      <c r="BH95" s="78">
        <f>'T&amp;D Utilities'!BH38</f>
        <v>159.25624675982976</v>
      </c>
      <c r="BI95" s="78">
        <f>'T&amp;D Utilities'!BI38</f>
        <v>153.01708749585816</v>
      </c>
      <c r="BJ95" s="78">
        <f>'T&amp;D Utilities'!BJ38</f>
        <v>208.88369372194873</v>
      </c>
      <c r="BK95" s="78">
        <f>'T&amp;D Utilities'!BK38</f>
        <v>143.65886150447625</v>
      </c>
      <c r="BL95" s="1268">
        <f>'T&amp;D Utilities'!BL38</f>
        <v>664.81588948211288</v>
      </c>
      <c r="BM95" s="78">
        <f>'T&amp;D Utilities'!BM38</f>
        <v>170.74735173248996</v>
      </c>
      <c r="BN95" s="78">
        <f>'T&amp;D Utilities'!BN38</f>
        <v>167.8782825644692</v>
      </c>
      <c r="BO95" s="78">
        <f>'T&amp;D Utilities'!BO38</f>
        <v>221.14523712926811</v>
      </c>
      <c r="BP95" s="78">
        <f>'T&amp;D Utilities'!BP38</f>
        <v>159.15658927520053</v>
      </c>
      <c r="BQ95" s="1268">
        <f>'T&amp;D Utilities'!BQ38</f>
        <v>718.92746070142778</v>
      </c>
    </row>
    <row r="96" spans="2:77">
      <c r="C96" t="s">
        <v>132</v>
      </c>
      <c r="E96" s="86"/>
      <c r="F96" s="86"/>
      <c r="G96" s="86"/>
      <c r="H96" s="86"/>
      <c r="J96" s="86"/>
      <c r="K96" s="86"/>
      <c r="L96" s="86"/>
      <c r="M96" s="86"/>
      <c r="N96" s="74"/>
      <c r="O96" s="72"/>
      <c r="P96" s="72"/>
      <c r="Q96" s="72"/>
      <c r="R96" s="72"/>
      <c r="S96" s="74"/>
      <c r="T96" s="72"/>
      <c r="U96" s="72"/>
      <c r="V96" s="72"/>
      <c r="W96" s="72"/>
      <c r="X96" s="1268">
        <f>'Transmission Holdco'!X32</f>
        <v>43</v>
      </c>
      <c r="Y96" s="1269">
        <f>'Transmission Holdco'!Y32</f>
        <v>12</v>
      </c>
      <c r="Z96" s="1269">
        <f>'Transmission Holdco'!Z32</f>
        <v>19</v>
      </c>
      <c r="AA96" s="1269">
        <f>'Transmission Holdco'!AA32</f>
        <v>22</v>
      </c>
      <c r="AB96" s="1269">
        <f>'Transmission Holdco'!AB32</f>
        <v>27</v>
      </c>
      <c r="AC96" s="1268">
        <f>'Transmission Holdco'!AC32</f>
        <v>80</v>
      </c>
      <c r="AD96" s="1269">
        <f>'Transmission Holdco'!AD32</f>
        <v>24</v>
      </c>
      <c r="AE96" s="1269">
        <f>'Transmission Holdco'!AE32</f>
        <v>47</v>
      </c>
      <c r="AF96" s="1269">
        <f>'Transmission Holdco'!AF32</f>
        <v>43</v>
      </c>
      <c r="AG96" s="1269">
        <f>'Transmission Holdco'!AG32</f>
        <v>37</v>
      </c>
      <c r="AH96" s="1268">
        <f>'Transmission Holdco'!AH32</f>
        <v>151</v>
      </c>
      <c r="AI96" s="1269">
        <f>'Transmission Holdco'!AI32</f>
        <v>36</v>
      </c>
      <c r="AJ96" s="1269">
        <f>'Transmission Holdco'!AJ32</f>
        <v>65</v>
      </c>
      <c r="AK96" s="1269">
        <f>'Transmission Holdco'!AK32</f>
        <v>46</v>
      </c>
      <c r="AL96" s="1269">
        <f>'Transmission Holdco'!AL32</f>
        <v>44.199999999999989</v>
      </c>
      <c r="AM96" s="1268">
        <f>'Transmission Holdco'!AM32</f>
        <v>191.2</v>
      </c>
      <c r="AN96" s="1269">
        <f>'Transmission Holdco'!AN32</f>
        <v>43.9</v>
      </c>
      <c r="AO96" s="1269">
        <f>'Transmission Holdco'!AO32</f>
        <v>94.6</v>
      </c>
      <c r="AP96" s="1269">
        <f>'Transmission Holdco'!AP32</f>
        <v>69</v>
      </c>
      <c r="AQ96" s="1269">
        <f>'Transmission Holdco'!AQ32</f>
        <v>58.800000000000018</v>
      </c>
      <c r="AR96" s="1347">
        <f>'Transmission Holdco'!AR32</f>
        <v>266.3</v>
      </c>
      <c r="AS96" s="1269">
        <f>'Transmission Holdco'!AS32</f>
        <v>71.8</v>
      </c>
      <c r="AT96" s="1269">
        <f>'Transmission Holdco'!AT32</f>
        <v>128.4</v>
      </c>
      <c r="AU96" s="1269">
        <f>'Transmission Holdco'!AU32</f>
        <v>75.5</v>
      </c>
      <c r="AV96" s="1269">
        <f>'Transmission Holdco'!AV32</f>
        <v>78.500000000000014</v>
      </c>
      <c r="AW96" s="1347">
        <f>'Transmission Holdco'!AW32</f>
        <v>354.20000000000005</v>
      </c>
      <c r="AX96" s="1269">
        <f>'Transmission Holdco'!AX32</f>
        <v>73.975566580172639</v>
      </c>
      <c r="AY96" s="1269">
        <f>'Transmission Holdco'!AY32</f>
        <v>132.29056753334498</v>
      </c>
      <c r="AZ96" s="1269">
        <f>'Transmission Holdco'!AZ32</f>
        <v>77.787677949902985</v>
      </c>
      <c r="BA96" s="1269">
        <f>'Transmission Holdco'!BA32</f>
        <v>80.878579060495184</v>
      </c>
      <c r="BB96" s="1268">
        <f>'Transmission Holdco'!BB32</f>
        <v>364.93239112391586</v>
      </c>
      <c r="BC96" s="1269">
        <f>'Transmission Holdco'!BC32</f>
        <v>83.121782372428555</v>
      </c>
      <c r="BD96" s="1269">
        <f>'Transmission Holdco'!BD32</f>
        <v>148.64675287771348</v>
      </c>
      <c r="BE96" s="1269">
        <f>'Transmission Holdco'!BE32</f>
        <v>87.405216840088528</v>
      </c>
      <c r="BF96" s="1269">
        <f>'Transmission Holdco'!BF32</f>
        <v>90.878271813866903</v>
      </c>
      <c r="BG96" s="1268">
        <f>'Transmission Holdco'!BG32</f>
        <v>410.05202390409744</v>
      </c>
      <c r="BH96" s="1269">
        <f>'Transmission Holdco'!BH32</f>
        <v>97.057282564156878</v>
      </c>
      <c r="BI96" s="1269">
        <f>'Transmission Holdco'!BI32</f>
        <v>173.56761951584602</v>
      </c>
      <c r="BJ96" s="1269">
        <f>'Transmission Holdco'!BJ32</f>
        <v>102.05884169350757</v>
      </c>
      <c r="BK96" s="1269">
        <f>'Transmission Holdco'!BK32</f>
        <v>106.11415990649466</v>
      </c>
      <c r="BL96" s="1268">
        <f>'Transmission Holdco'!BL32</f>
        <v>478.79790368000516</v>
      </c>
      <c r="BM96" s="1269">
        <f>'Transmission Holdco'!BM32</f>
        <v>105.00011328374715</v>
      </c>
      <c r="BN96" s="1269">
        <f>'Transmission Holdco'!BN32</f>
        <v>187.77179032915234</v>
      </c>
      <c r="BO96" s="1269">
        <f>'Transmission Holdco'!BO32</f>
        <v>110.41098263123831</v>
      </c>
      <c r="BP96" s="1269">
        <f>'Transmission Holdco'!BP32</f>
        <v>114.79817399406899</v>
      </c>
      <c r="BQ96" s="1268">
        <f>'Transmission Holdco'!BQ32</f>
        <v>517.98106023820685</v>
      </c>
    </row>
    <row r="97" spans="2:69">
      <c r="C97" t="s">
        <v>124</v>
      </c>
      <c r="E97" s="86"/>
      <c r="F97" s="86"/>
      <c r="G97" s="86"/>
      <c r="H97" s="86"/>
      <c r="J97" s="86"/>
      <c r="K97" s="86"/>
      <c r="L97" s="86"/>
      <c r="M97" s="86"/>
      <c r="N97" s="74"/>
      <c r="O97" s="72"/>
      <c r="P97" s="72"/>
      <c r="Q97" s="72"/>
      <c r="R97" s="72"/>
      <c r="S97" s="74"/>
      <c r="T97" s="72"/>
      <c r="U97" s="72"/>
      <c r="V97" s="72"/>
      <c r="W97" s="72"/>
      <c r="X97" s="1268">
        <f>'Generation &amp; Marketing'!X38</f>
        <v>284</v>
      </c>
      <c r="Y97" s="1269">
        <f>'Generation &amp; Marketing'!Y38</f>
        <v>89</v>
      </c>
      <c r="Z97" s="1269">
        <f>'Generation &amp; Marketing'!Z38</f>
        <v>90</v>
      </c>
      <c r="AA97" s="1269">
        <f>'Generation &amp; Marketing'!AA38</f>
        <v>112</v>
      </c>
      <c r="AB97" s="1269">
        <f>'Generation &amp; Marketing'!AB38</f>
        <v>40</v>
      </c>
      <c r="AC97" s="1268">
        <f>'Generation &amp; Marketing'!AC38</f>
        <v>331</v>
      </c>
      <c r="AD97" s="1269">
        <f>'Generation &amp; Marketing'!AD38</f>
        <v>163</v>
      </c>
      <c r="AE97" s="1269">
        <f>'Generation &amp; Marketing'!AE38</f>
        <v>98</v>
      </c>
      <c r="AF97" s="1269">
        <f>'Generation &amp; Marketing'!AF38</f>
        <v>117</v>
      </c>
      <c r="AG97" s="1269">
        <f>'Generation &amp; Marketing'!AG38</f>
        <v>30</v>
      </c>
      <c r="AH97" s="1268">
        <f>'Generation &amp; Marketing'!AH38</f>
        <v>408</v>
      </c>
      <c r="AI97" s="1269">
        <f>'Generation &amp; Marketing'!AI38</f>
        <v>183</v>
      </c>
      <c r="AJ97" s="1269">
        <f>'Generation &amp; Marketing'!AJ38</f>
        <v>81</v>
      </c>
      <c r="AK97" s="1269">
        <f>'Generation &amp; Marketing'!AK38</f>
        <v>93</v>
      </c>
      <c r="AL97" s="1269">
        <f>'Generation &amp; Marketing'!AL38</f>
        <v>8.9999999999994316</v>
      </c>
      <c r="AM97" s="1268">
        <f>'Generation &amp; Marketing'!AM38</f>
        <v>365.99999999999943</v>
      </c>
      <c r="AN97" s="1269">
        <f>'Generation &amp; Marketing'!AN38</f>
        <v>70.69999999999996</v>
      </c>
      <c r="AO97" s="1269">
        <f>'Generation &amp; Marketing'!AO38</f>
        <v>45.999999999999957</v>
      </c>
      <c r="AP97" s="1269">
        <f>'Generation &amp; Marketing'!AP38</f>
        <v>81.000000000000227</v>
      </c>
      <c r="AQ97" s="1269">
        <f>'Generation &amp; Marketing'!AQ38</f>
        <v>47.499999999999773</v>
      </c>
      <c r="AR97" s="1347">
        <f>'Generation &amp; Marketing'!AR38</f>
        <v>245.19999999999982</v>
      </c>
      <c r="AS97" s="1269">
        <f>'Generation &amp; Marketing'!AS38</f>
        <v>68.3</v>
      </c>
      <c r="AT97" s="1269">
        <f>'Generation &amp; Marketing'!AT38</f>
        <v>21.800000000000068</v>
      </c>
      <c r="AU97" s="1269">
        <f>'Generation &amp; Marketing'!AU38</f>
        <v>32.1</v>
      </c>
      <c r="AV97" s="1269">
        <f>'Generation &amp; Marketing'!AV38</f>
        <v>24.499999999999673</v>
      </c>
      <c r="AW97" s="1347">
        <f>'Generation &amp; Marketing'!AW38</f>
        <v>146.69999999999976</v>
      </c>
      <c r="AX97" s="1269">
        <f>'Generation &amp; Marketing'!AX38</f>
        <v>12.419818903200103</v>
      </c>
      <c r="AY97" s="1269">
        <f>'Generation &amp; Marketing'!AY38</f>
        <v>14.894408024167596</v>
      </c>
      <c r="AZ97" s="1269">
        <f>'Generation &amp; Marketing'!AZ38</f>
        <v>32.474827242863512</v>
      </c>
      <c r="BA97" s="1269">
        <f>'Generation &amp; Marketing'!BA38</f>
        <v>25.715499656388552</v>
      </c>
      <c r="BB97" s="1268">
        <f>'Generation &amp; Marketing'!BB38</f>
        <v>85.504553826619528</v>
      </c>
      <c r="BC97" s="1269">
        <f>'Generation &amp; Marketing'!BC38</f>
        <v>23.793894909976807</v>
      </c>
      <c r="BD97" s="1269">
        <f>'Generation &amp; Marketing'!BD38</f>
        <v>7.9672471900735813</v>
      </c>
      <c r="BE97" s="1269">
        <f>'Generation &amp; Marketing'!BE38</f>
        <v>18.00964817969664</v>
      </c>
      <c r="BF97" s="1269">
        <f>'Generation &amp; Marketing'!BF38</f>
        <v>19.703442502136244</v>
      </c>
      <c r="BG97" s="1268">
        <f>'Generation &amp; Marketing'!BG38</f>
        <v>69.474232781882876</v>
      </c>
      <c r="BH97" s="1269">
        <f>'Generation &amp; Marketing'!BH38</f>
        <v>15.991177773737386</v>
      </c>
      <c r="BI97" s="1269">
        <f>'Generation &amp; Marketing'!BI38</f>
        <v>4.5600276461336193</v>
      </c>
      <c r="BJ97" s="1269">
        <f>'Generation &amp; Marketing'!BJ38</f>
        <v>27.450063790173878</v>
      </c>
      <c r="BK97" s="1269">
        <f>'Generation &amp; Marketing'!BK38</f>
        <v>16.092674982216227</v>
      </c>
      <c r="BL97" s="1268">
        <f>'Generation &amp; Marketing'!BL38</f>
        <v>64.093944192261219</v>
      </c>
      <c r="BM97" s="1269">
        <f>'Generation &amp; Marketing'!BM38</f>
        <v>19.106975095741586</v>
      </c>
      <c r="BN97" s="1269">
        <f>'Generation &amp; Marketing'!BN38</f>
        <v>21.280950562568052</v>
      </c>
      <c r="BO97" s="1269">
        <f>'Generation &amp; Marketing'!BO38</f>
        <v>28.830893673906921</v>
      </c>
      <c r="BP97" s="1269">
        <f>'Generation &amp; Marketing'!BP38</f>
        <v>24.458074850545781</v>
      </c>
      <c r="BQ97" s="1268">
        <f>'Generation &amp; Marketing'!BQ38</f>
        <v>93.676894182762283</v>
      </c>
    </row>
    <row r="98" spans="2:69">
      <c r="C98" t="s">
        <v>653</v>
      </c>
      <c r="E98" s="86"/>
      <c r="F98" s="86"/>
      <c r="G98" s="86"/>
      <c r="H98" s="86"/>
      <c r="J98" s="86"/>
      <c r="K98" s="86"/>
      <c r="L98" s="86"/>
      <c r="M98" s="86"/>
      <c r="N98" s="74"/>
      <c r="O98" s="72"/>
      <c r="P98" s="72"/>
      <c r="Q98" s="72"/>
      <c r="R98" s="72"/>
      <c r="S98" s="74"/>
      <c r="T98" s="72"/>
      <c r="U98" s="72"/>
      <c r="V98" s="72"/>
      <c r="W98" s="72"/>
      <c r="X98" s="1268">
        <f>'AEP River'!X32</f>
        <v>15</v>
      </c>
      <c r="Y98" s="1269">
        <f>'AEP River'!Y32</f>
        <v>-2</v>
      </c>
      <c r="Z98" s="1269">
        <f>'AEP River'!Z32</f>
        <v>-9</v>
      </c>
      <c r="AA98" s="1269">
        <f>'AEP River'!AA32</f>
        <v>-1</v>
      </c>
      <c r="AB98" s="1269">
        <f>'AEP River'!AB32</f>
        <v>24</v>
      </c>
      <c r="AC98" s="1268">
        <f>'AEP River'!AC32</f>
        <v>12</v>
      </c>
      <c r="AD98" s="1269">
        <f>'AEP River'!AD32</f>
        <v>3</v>
      </c>
      <c r="AE98" s="1269">
        <f>'AEP River'!AE32</f>
        <v>3</v>
      </c>
      <c r="AF98" s="1269">
        <f>'AEP River'!AF32</f>
        <v>11</v>
      </c>
      <c r="AG98" s="1269">
        <f>'AEP River'!AG32</f>
        <v>32</v>
      </c>
      <c r="AH98" s="1268">
        <f>'AEP River'!AH32</f>
        <v>49</v>
      </c>
      <c r="AI98" s="1269">
        <f>'AEP River'!AI32</f>
        <v>11</v>
      </c>
      <c r="AJ98" s="1269">
        <f>'AEP River'!AJ32</f>
        <v>1</v>
      </c>
      <c r="AK98" s="1269">
        <f>'AEP River'!AK32</f>
        <v>4</v>
      </c>
      <c r="AL98" s="1269">
        <f>'AEP River'!AL32</f>
        <v>12.600000000000001</v>
      </c>
      <c r="AM98" s="1268">
        <f>'AEP River'!AM32</f>
        <v>28.6</v>
      </c>
      <c r="AN98" s="1269">
        <f>'AEP River'!AN32</f>
        <v>0</v>
      </c>
      <c r="AO98" s="1269">
        <f>'AEP River'!AO32</f>
        <v>0</v>
      </c>
      <c r="AP98" s="1269">
        <f>'AEP River'!AP32</f>
        <v>0</v>
      </c>
      <c r="AQ98" s="1269">
        <f>'AEP River'!AQ32</f>
        <v>0</v>
      </c>
      <c r="AR98" s="1347">
        <f>'AEP River'!AR32</f>
        <v>0</v>
      </c>
      <c r="AS98" s="1269">
        <f>'AEP River'!AS32</f>
        <v>0</v>
      </c>
      <c r="AT98" s="1269">
        <f>'AEP River'!AT32</f>
        <v>0</v>
      </c>
      <c r="AU98" s="1269">
        <f>'AEP River'!AU32</f>
        <v>0</v>
      </c>
      <c r="AV98" s="1269">
        <f>'AEP River'!AV32</f>
        <v>0</v>
      </c>
      <c r="AW98" s="1347">
        <f>'AEP River'!AW32</f>
        <v>0</v>
      </c>
      <c r="AX98" s="1269">
        <f>'AEP River'!AX32</f>
        <v>0</v>
      </c>
      <c r="AY98" s="1269">
        <f>'AEP River'!AY32</f>
        <v>0</v>
      </c>
      <c r="AZ98" s="1269">
        <f>'AEP River'!AZ32</f>
        <v>0</v>
      </c>
      <c r="BA98" s="1269">
        <f>'AEP River'!BA32</f>
        <v>0</v>
      </c>
      <c r="BB98" s="1268">
        <f>'AEP River'!BB32</f>
        <v>0</v>
      </c>
      <c r="BC98" s="1269">
        <f>'AEP River'!BC32</f>
        <v>0</v>
      </c>
      <c r="BD98" s="1269">
        <f>'AEP River'!BD32</f>
        <v>0</v>
      </c>
      <c r="BE98" s="1269">
        <f>'AEP River'!BE32</f>
        <v>0</v>
      </c>
      <c r="BF98" s="1269">
        <f>'AEP River'!BF32</f>
        <v>0</v>
      </c>
      <c r="BG98" s="1268">
        <f>'AEP River'!BG32</f>
        <v>0</v>
      </c>
      <c r="BH98" s="1269">
        <f>'AEP River'!BH32</f>
        <v>0</v>
      </c>
      <c r="BI98" s="1269">
        <f>'AEP River'!BI32</f>
        <v>0</v>
      </c>
      <c r="BJ98" s="1269">
        <f>'AEP River'!BJ32</f>
        <v>0</v>
      </c>
      <c r="BK98" s="1269">
        <f>'AEP River'!BK32</f>
        <v>0</v>
      </c>
      <c r="BL98" s="1268">
        <f>'AEP River'!BL32</f>
        <v>0</v>
      </c>
      <c r="BM98" s="1269">
        <f>'AEP River'!BM32</f>
        <v>0</v>
      </c>
      <c r="BN98" s="1269">
        <f>'AEP River'!BN32</f>
        <v>0</v>
      </c>
      <c r="BO98" s="1269">
        <f>'AEP River'!BO32</f>
        <v>0</v>
      </c>
      <c r="BP98" s="1269">
        <f>'AEP River'!BP32</f>
        <v>0</v>
      </c>
      <c r="BQ98" s="1268">
        <f>'AEP River'!BQ32</f>
        <v>0</v>
      </c>
    </row>
    <row r="99" spans="2:69">
      <c r="C99" t="s">
        <v>851</v>
      </c>
      <c r="E99" s="86"/>
      <c r="F99" s="86"/>
      <c r="G99" s="86"/>
      <c r="H99" s="86"/>
      <c r="J99" s="86"/>
      <c r="K99" s="86"/>
      <c r="L99" s="86"/>
      <c r="M99" s="86"/>
      <c r="N99" s="74"/>
      <c r="O99" s="72"/>
      <c r="P99" s="72"/>
      <c r="Q99" s="72"/>
      <c r="R99" s="72"/>
      <c r="S99" s="74"/>
      <c r="T99" s="72"/>
      <c r="U99" s="72"/>
      <c r="V99" s="72"/>
      <c r="W99" s="72"/>
      <c r="X99" s="1268">
        <f>Parent!X39</f>
        <v>-74</v>
      </c>
      <c r="Y99" s="1269">
        <f>Parent!Y39</f>
        <v>-1</v>
      </c>
      <c r="Z99" s="1269">
        <f>Parent!Z39</f>
        <v>29</v>
      </c>
      <c r="AA99" s="1269">
        <f>Parent!AA39</f>
        <v>8</v>
      </c>
      <c r="AB99" s="1269">
        <f>Parent!AB39</f>
        <v>5</v>
      </c>
      <c r="AC99" s="1268">
        <f>Parent!AC39</f>
        <v>41</v>
      </c>
      <c r="AD99" s="1269">
        <f>Parent!AD39</f>
        <v>-6</v>
      </c>
      <c r="AE99" s="1269">
        <f>Parent!AE39</f>
        <v>-3</v>
      </c>
      <c r="AF99" s="1269">
        <f>Parent!AF39</f>
        <v>11</v>
      </c>
      <c r="AG99" s="1269">
        <f>Parent!AG39</f>
        <v>4.7999999999994891</v>
      </c>
      <c r="AH99" s="1268">
        <f>Parent!AH39</f>
        <v>6.7999999999993435</v>
      </c>
      <c r="AI99" s="1269">
        <f>Parent!AI39</f>
        <v>-1.0000000000000071</v>
      </c>
      <c r="AJ99" s="1269">
        <f>Parent!AJ39</f>
        <v>-2.9999999999999538</v>
      </c>
      <c r="AK99" s="1269">
        <f>Parent!AK39</f>
        <v>-8.9999999999999929</v>
      </c>
      <c r="AL99" s="1269">
        <f>Parent!AL39</f>
        <v>-13.599999999999397</v>
      </c>
      <c r="AM99" s="1268">
        <f>Parent!AM39</f>
        <v>-26.600000000000307</v>
      </c>
      <c r="AN99" s="1269">
        <f>Parent!AN39</f>
        <v>1.0000000000003419</v>
      </c>
      <c r="AO99" s="1269">
        <f>Parent!AO39</f>
        <v>-8.8999999999995261</v>
      </c>
      <c r="AP99" s="1269">
        <f>Parent!AP39</f>
        <v>-14.900000000000844</v>
      </c>
      <c r="AQ99" s="1269">
        <f>Parent!AQ39</f>
        <v>-20.499999999999581</v>
      </c>
      <c r="AR99" s="1347">
        <f>Parent!AR39</f>
        <v>-43.299999999999059</v>
      </c>
      <c r="AS99" s="1269">
        <f>Parent!AS39</f>
        <v>-4.4000000000001407</v>
      </c>
      <c r="AT99" s="1269">
        <f>Parent!AT39</f>
        <v>-11.799999999999949</v>
      </c>
      <c r="AU99" s="1269">
        <f>Parent!AU39</f>
        <v>5.1999999999999389</v>
      </c>
      <c r="AV99" s="1269">
        <f>Parent!AV39</f>
        <v>13.799999999998334</v>
      </c>
      <c r="AW99" s="1347">
        <f>Parent!AW39</f>
        <v>2.7999999999980432</v>
      </c>
      <c r="AX99" s="1269">
        <f>Parent!AX39</f>
        <v>-5.4403812244403831</v>
      </c>
      <c r="AY99" s="1269">
        <f>Parent!AY39</f>
        <v>-22.56927571727805</v>
      </c>
      <c r="AZ99" s="1269">
        <f>Parent!AZ39</f>
        <v>-14.923519609923833</v>
      </c>
      <c r="BA99" s="1269">
        <f>Parent!BA39</f>
        <v>16.796531088220011</v>
      </c>
      <c r="BB99" s="1268">
        <f>Parent!BB39</f>
        <v>-26.136645463422283</v>
      </c>
      <c r="BC99" s="1269">
        <f>Parent!BC39</f>
        <v>-20.832732939435704</v>
      </c>
      <c r="BD99" s="1269">
        <f>Parent!BD39</f>
        <v>-24.739875016804145</v>
      </c>
      <c r="BE99" s="1269">
        <f>Parent!BE39</f>
        <v>-39.595370274381594</v>
      </c>
      <c r="BF99" s="1269">
        <f>Parent!BF39</f>
        <v>-0.60527723344608475</v>
      </c>
      <c r="BG99" s="1268">
        <f>Parent!BG39</f>
        <v>-85.77325546406756</v>
      </c>
      <c r="BH99" s="1269">
        <f>Parent!BH39</f>
        <v>-39.912392763425203</v>
      </c>
      <c r="BI99" s="1269">
        <f>Parent!BI39</f>
        <v>-43.10920708621056</v>
      </c>
      <c r="BJ99" s="1269">
        <f>Parent!BJ39</f>
        <v>-46.906543954501913</v>
      </c>
      <c r="BK99" s="1269">
        <f>Parent!BK39</f>
        <v>-7.3378425516427761</v>
      </c>
      <c r="BL99" s="1268">
        <f>Parent!BL39</f>
        <v>-137.26598635578046</v>
      </c>
      <c r="BM99" s="1269">
        <f>Parent!BM39</f>
        <v>-44.785418297836003</v>
      </c>
      <c r="BN99" s="1269">
        <f>Parent!BN39</f>
        <v>-49.120832951659366</v>
      </c>
      <c r="BO99" s="1269">
        <f>Parent!BO39</f>
        <v>-47.595699546177954</v>
      </c>
      <c r="BP99" s="1269">
        <f>Parent!BP39</f>
        <v>-4.9275209047489561</v>
      </c>
      <c r="BQ99" s="1268">
        <f>Parent!BQ39</f>
        <v>-146.42947170042231</v>
      </c>
    </row>
    <row r="100" spans="2:69" s="1240" customFormat="1">
      <c r="C100" s="56" t="s">
        <v>48</v>
      </c>
      <c r="E100" s="221"/>
      <c r="F100" s="221"/>
      <c r="G100" s="221"/>
      <c r="H100" s="221"/>
      <c r="J100" s="221"/>
      <c r="K100" s="221"/>
      <c r="L100" s="221"/>
      <c r="M100" s="221"/>
      <c r="N100" s="111"/>
      <c r="O100" s="221"/>
      <c r="P100" s="221"/>
      <c r="Q100" s="221"/>
      <c r="R100" s="221"/>
      <c r="S100" s="111"/>
      <c r="T100" s="221"/>
      <c r="U100" s="221"/>
      <c r="V100" s="221"/>
      <c r="W100" s="221"/>
      <c r="X100" s="1270">
        <f>SUM(X94:X99)</f>
        <v>1497</v>
      </c>
      <c r="Y100" s="71">
        <f t="shared" ref="Y100:BB100" si="1">SUM(Y94:Y99)</f>
        <v>387</v>
      </c>
      <c r="Z100" s="71">
        <f t="shared" si="1"/>
        <v>357</v>
      </c>
      <c r="AA100" s="71">
        <f t="shared" si="1"/>
        <v>533</v>
      </c>
      <c r="AB100" s="71">
        <f t="shared" si="1"/>
        <v>296</v>
      </c>
      <c r="AC100" s="1270">
        <f t="shared" si="1"/>
        <v>1573</v>
      </c>
      <c r="AD100" s="71">
        <f t="shared" si="1"/>
        <v>560</v>
      </c>
      <c r="AE100" s="71">
        <f t="shared" si="1"/>
        <v>390</v>
      </c>
      <c r="AF100" s="71">
        <f t="shared" si="1"/>
        <v>493</v>
      </c>
      <c r="AG100" s="71">
        <f t="shared" si="1"/>
        <v>232.00000000000028</v>
      </c>
      <c r="AH100" s="1270">
        <f>SUM(AH94:AH99)</f>
        <v>1675</v>
      </c>
      <c r="AI100" s="71">
        <f t="shared" si="1"/>
        <v>625</v>
      </c>
      <c r="AJ100" s="71">
        <f t="shared" si="1"/>
        <v>429.00000000000006</v>
      </c>
      <c r="AK100" s="71">
        <f t="shared" si="1"/>
        <v>521</v>
      </c>
      <c r="AL100" s="71">
        <f t="shared" si="1"/>
        <v>233.10000000000073</v>
      </c>
      <c r="AM100" s="1270">
        <f t="shared" si="1"/>
        <v>1808.0999999999995</v>
      </c>
      <c r="AN100" s="71">
        <f>SUM(AN94:AN99)</f>
        <v>501.19999999999993</v>
      </c>
      <c r="AO100" s="71">
        <f>SUM(AO94:AO99)</f>
        <v>465.70000000000033</v>
      </c>
      <c r="AP100" s="71">
        <f t="shared" si="1"/>
        <v>639.69999999999948</v>
      </c>
      <c r="AQ100" s="71">
        <f>SUM(AQ94:AQ99)</f>
        <v>330.39999999999947</v>
      </c>
      <c r="AR100" s="1351">
        <f>SUM(AR94:AR99)</f>
        <v>1936.9999999999995</v>
      </c>
      <c r="AS100" s="71">
        <f>SUM(AS94:AS99)</f>
        <v>474.30000000000013</v>
      </c>
      <c r="AT100" s="71">
        <f t="shared" si="1"/>
        <v>370.40000000000009</v>
      </c>
      <c r="AU100" s="71">
        <f t="shared" si="1"/>
        <v>543.09999999999945</v>
      </c>
      <c r="AV100" s="71">
        <f t="shared" si="1"/>
        <v>420.09999999999798</v>
      </c>
      <c r="AW100" s="1351">
        <f>SUM(AW94:AW99)</f>
        <v>1807.8999999999978</v>
      </c>
      <c r="AX100" s="71">
        <f t="shared" si="1"/>
        <v>478.58633757242194</v>
      </c>
      <c r="AY100" s="71">
        <f t="shared" si="1"/>
        <v>393.54259090508953</v>
      </c>
      <c r="AZ100" s="71">
        <f t="shared" si="1"/>
        <v>601.85270734239771</v>
      </c>
      <c r="BA100" s="71">
        <f t="shared" si="1"/>
        <v>423.53472028978473</v>
      </c>
      <c r="BB100" s="1270">
        <f t="shared" si="1"/>
        <v>1897.5163561096936</v>
      </c>
      <c r="BC100" s="71">
        <f t="shared" ref="BC100:BL100" si="2">SUM(BC94:BC99)</f>
        <v>562.46199570985527</v>
      </c>
      <c r="BD100" s="71">
        <f t="shared" si="2"/>
        <v>446.94590729499237</v>
      </c>
      <c r="BE100" s="71">
        <f t="shared" si="2"/>
        <v>599.55203463746102</v>
      </c>
      <c r="BF100" s="71">
        <f t="shared" si="2"/>
        <v>440.87369313513648</v>
      </c>
      <c r="BG100" s="1270">
        <f t="shared" si="2"/>
        <v>2049.8336307774453</v>
      </c>
      <c r="BH100" s="71">
        <f t="shared" si="2"/>
        <v>572.84692741651975</v>
      </c>
      <c r="BI100" s="71">
        <f t="shared" si="2"/>
        <v>471.39238122849241</v>
      </c>
      <c r="BJ100" s="71">
        <f t="shared" si="2"/>
        <v>671.4207415511687</v>
      </c>
      <c r="BK100" s="71">
        <f t="shared" si="2"/>
        <v>489.10644884599952</v>
      </c>
      <c r="BL100" s="1270">
        <f t="shared" si="2"/>
        <v>2204.7664990421804</v>
      </c>
      <c r="BM100" s="71">
        <f>SUM(BM94:BM99)</f>
        <v>648.61630275528967</v>
      </c>
      <c r="BN100" s="71">
        <f>SUM(BN94:BN99)</f>
        <v>555.04357704770825</v>
      </c>
      <c r="BO100" s="71">
        <f>SUM(BO94:BO99)</f>
        <v>716.80949006492551</v>
      </c>
      <c r="BP100" s="71">
        <f>SUM(BP94:BP99)</f>
        <v>551.09669632431462</v>
      </c>
      <c r="BQ100" s="1270">
        <f>SUM(BQ94:BQ99)</f>
        <v>2471.5660661922379</v>
      </c>
    </row>
    <row r="101" spans="2:69">
      <c r="E101" s="86"/>
      <c r="F101" s="86"/>
      <c r="G101" s="86"/>
      <c r="H101" s="86"/>
      <c r="J101" s="86"/>
      <c r="K101" s="86"/>
      <c r="L101" s="86"/>
      <c r="M101" s="86"/>
      <c r="O101" s="86"/>
      <c r="P101" s="86"/>
      <c r="Q101" s="86"/>
      <c r="R101" s="86"/>
      <c r="T101" s="86"/>
      <c r="U101" s="86"/>
      <c r="V101" s="86"/>
      <c r="W101" s="86"/>
      <c r="X101" s="1267"/>
      <c r="Y101" s="86"/>
      <c r="Z101" s="86"/>
      <c r="AA101" s="86"/>
      <c r="AB101" s="86"/>
      <c r="AD101" s="86"/>
      <c r="AE101" s="86"/>
      <c r="AF101" s="86"/>
      <c r="AG101" s="86"/>
      <c r="AI101" s="86"/>
      <c r="AJ101" s="86"/>
      <c r="AK101" s="86"/>
      <c r="AL101" s="86"/>
      <c r="AN101" s="86"/>
      <c r="AO101" s="86"/>
      <c r="AP101" s="86"/>
      <c r="AQ101" s="86"/>
      <c r="AR101" s="1300"/>
      <c r="AS101" s="86"/>
      <c r="AT101" s="86"/>
      <c r="AU101" s="86"/>
      <c r="AV101" s="86"/>
      <c r="AW101" s="1300"/>
      <c r="AX101" s="86"/>
      <c r="AY101" s="86"/>
      <c r="AZ101" s="86"/>
      <c r="BA101" s="86"/>
      <c r="BC101" s="86"/>
      <c r="BD101" s="86"/>
      <c r="BE101" s="86"/>
      <c r="BF101" s="86"/>
      <c r="BH101" s="86"/>
      <c r="BI101" s="86"/>
      <c r="BJ101" s="86"/>
      <c r="BK101" s="86"/>
      <c r="BM101" s="86"/>
      <c r="BN101" s="86"/>
      <c r="BO101" s="86"/>
      <c r="BP101" s="86"/>
    </row>
    <row r="102" spans="2:69">
      <c r="B102" s="46" t="s">
        <v>863</v>
      </c>
      <c r="C102" s="46"/>
      <c r="D102" s="46"/>
      <c r="E102" s="94"/>
      <c r="F102" s="94"/>
      <c r="G102" s="94"/>
      <c r="H102" s="94"/>
      <c r="J102" s="86"/>
      <c r="K102" s="86"/>
      <c r="L102" s="86"/>
      <c r="M102" s="86"/>
      <c r="O102" s="86"/>
      <c r="P102" s="86"/>
      <c r="Q102" s="86"/>
      <c r="R102" s="86"/>
      <c r="T102" s="86"/>
      <c r="U102" s="86"/>
      <c r="V102" s="86"/>
      <c r="W102" s="86"/>
      <c r="Y102" s="86"/>
      <c r="Z102" s="86"/>
      <c r="AA102" s="86"/>
      <c r="AB102" s="86"/>
      <c r="AD102" s="86"/>
      <c r="AE102" s="86"/>
      <c r="AF102" s="86"/>
      <c r="AG102" s="86"/>
      <c r="AI102" s="86"/>
      <c r="AJ102" s="86"/>
      <c r="AK102" s="86"/>
      <c r="AL102" s="86"/>
      <c r="AN102" s="86"/>
      <c r="AO102" s="86"/>
      <c r="AP102" s="86"/>
      <c r="AQ102" s="86"/>
      <c r="AR102" s="1300"/>
      <c r="AS102" s="86"/>
      <c r="AT102" s="86"/>
      <c r="AU102" s="86"/>
      <c r="AV102" s="86"/>
      <c r="AW102" s="1300"/>
      <c r="AX102" s="86"/>
      <c r="AY102" s="86"/>
      <c r="AZ102" s="86"/>
      <c r="BA102" s="86"/>
      <c r="BC102" s="86"/>
      <c r="BD102" s="86"/>
      <c r="BE102" s="86"/>
      <c r="BF102" s="86"/>
      <c r="BH102" s="86"/>
      <c r="BI102" s="86"/>
      <c r="BJ102" s="86"/>
      <c r="BK102" s="86"/>
      <c r="BM102" s="86"/>
      <c r="BN102" s="86"/>
      <c r="BO102" s="86"/>
      <c r="BP102" s="86"/>
    </row>
    <row r="103" spans="2:69">
      <c r="C103" t="s">
        <v>354</v>
      </c>
      <c r="E103" s="86"/>
      <c r="F103" s="86"/>
      <c r="G103" s="86"/>
      <c r="H103" s="86"/>
      <c r="J103" s="86"/>
      <c r="K103" s="86"/>
      <c r="L103" s="86"/>
      <c r="M103" s="86"/>
      <c r="O103" s="86"/>
      <c r="P103" s="86"/>
      <c r="Q103" s="86"/>
      <c r="R103" s="86"/>
      <c r="S103" s="56"/>
      <c r="T103" s="221"/>
      <c r="U103" s="221"/>
      <c r="V103" s="221"/>
      <c r="W103" s="221"/>
      <c r="X103" s="1346">
        <v>3.5760000000000001</v>
      </c>
      <c r="Y103" s="1346">
        <v>1.256</v>
      </c>
      <c r="Z103" s="1346">
        <v>2.7349999999999999</v>
      </c>
      <c r="AA103" s="1346">
        <v>4.13</v>
      </c>
      <c r="AB103" s="561">
        <f t="shared" ref="AB103:AB108" si="3">AC103</f>
        <v>2.7450000000000001</v>
      </c>
      <c r="AC103" s="1346">
        <v>2.7450000000000001</v>
      </c>
      <c r="AD103" s="1346">
        <v>4.758</v>
      </c>
      <c r="AE103" s="1346">
        <v>3.2130000000000001</v>
      </c>
      <c r="AF103" s="1346">
        <v>2.7010000000000001</v>
      </c>
      <c r="AG103" s="561">
        <f t="shared" ref="AG103:AG108" si="4">AH103</f>
        <v>2.613</v>
      </c>
      <c r="AH103" s="1418">
        <v>2.613</v>
      </c>
      <c r="AI103" s="1424">
        <v>3.9020000000000001</v>
      </c>
      <c r="AJ103" s="1424">
        <v>2.5230000000000001</v>
      </c>
      <c r="AK103" s="1424">
        <v>2.411</v>
      </c>
      <c r="AL103" s="561">
        <f t="shared" ref="AL103:AL108" si="5">AM103</f>
        <v>2.8</v>
      </c>
      <c r="AM103" s="1530">
        <v>2.8</v>
      </c>
      <c r="AN103" s="1424">
        <v>6.4</v>
      </c>
      <c r="AO103" s="1424">
        <v>5.4</v>
      </c>
      <c r="AP103" s="1424">
        <v>3.3</v>
      </c>
      <c r="AQ103" s="561">
        <f t="shared" ref="AQ103:AQ108" si="6">AR103</f>
        <v>2.7</v>
      </c>
      <c r="AR103" s="1530">
        <v>2.7</v>
      </c>
      <c r="AS103" s="1530">
        <v>3</v>
      </c>
      <c r="AT103" s="1530">
        <v>2.6</v>
      </c>
      <c r="AU103" s="1530">
        <v>2.9</v>
      </c>
      <c r="AV103" s="561">
        <f t="shared" ref="AV103:AV108" si="7">AW103</f>
        <v>2.9</v>
      </c>
      <c r="AW103" s="1530">
        <v>2.9</v>
      </c>
      <c r="AX103" s="86"/>
      <c r="AY103" s="86"/>
      <c r="AZ103" s="86"/>
      <c r="BA103" s="86"/>
      <c r="BC103" s="86"/>
      <c r="BD103" s="86"/>
      <c r="BE103" s="86"/>
      <c r="BF103" s="86"/>
      <c r="BH103" s="86"/>
      <c r="BI103" s="86"/>
      <c r="BJ103" s="86"/>
      <c r="BK103" s="86"/>
      <c r="BM103" s="86"/>
      <c r="BN103" s="86"/>
      <c r="BO103" s="86"/>
      <c r="BP103" s="86"/>
    </row>
    <row r="104" spans="2:69">
      <c r="C104" t="s">
        <v>617</v>
      </c>
      <c r="E104" s="86"/>
      <c r="F104" s="86"/>
      <c r="G104" s="86"/>
      <c r="H104" s="86"/>
      <c r="J104" s="86"/>
      <c r="K104" s="86"/>
      <c r="L104" s="86"/>
      <c r="M104" s="86"/>
      <c r="O104" s="86"/>
      <c r="P104" s="86"/>
      <c r="Q104" s="86"/>
      <c r="R104" s="86"/>
      <c r="T104" s="86"/>
      <c r="U104" s="86"/>
      <c r="V104" s="86"/>
      <c r="W104" s="86"/>
      <c r="X104" s="1346">
        <v>1.482</v>
      </c>
      <c r="Y104" s="1346">
        <v>0.86199999999999999</v>
      </c>
      <c r="Z104" s="1346">
        <v>1.046</v>
      </c>
      <c r="AA104" s="1346">
        <v>0.84499999999999997</v>
      </c>
      <c r="AB104" s="561">
        <f t="shared" si="3"/>
        <v>0.74299999999999999</v>
      </c>
      <c r="AC104" s="1346">
        <v>0.74299999999999999</v>
      </c>
      <c r="AD104" s="1346">
        <v>1.244</v>
      </c>
      <c r="AE104" s="1346">
        <v>0.82799999999999996</v>
      </c>
      <c r="AF104" s="1346">
        <v>0.65400000000000003</v>
      </c>
      <c r="AG104" s="561">
        <f t="shared" si="4"/>
        <v>0.79500000000000004</v>
      </c>
      <c r="AH104" s="1346">
        <v>0.79500000000000004</v>
      </c>
      <c r="AI104" s="1424">
        <v>0.83499999999999996</v>
      </c>
      <c r="AJ104" s="1424">
        <v>0.51500000000000001</v>
      </c>
      <c r="AK104" s="1424">
        <v>0.54100000000000004</v>
      </c>
      <c r="AL104" s="561">
        <f t="shared" si="5"/>
        <v>0.86699999999999999</v>
      </c>
      <c r="AM104" s="1424">
        <v>0.86699999999999999</v>
      </c>
      <c r="AN104" s="1424">
        <v>1.371</v>
      </c>
      <c r="AO104" s="1530">
        <v>1.0529999999999999</v>
      </c>
      <c r="AP104" s="1530">
        <v>0.91300000000000003</v>
      </c>
      <c r="AQ104" s="561">
        <f t="shared" si="6"/>
        <v>0.85899999999999999</v>
      </c>
      <c r="AR104" s="1530">
        <v>0.85899999999999999</v>
      </c>
      <c r="AS104" s="1530">
        <v>0.81399999999999995</v>
      </c>
      <c r="AT104" s="1530">
        <v>0.748</v>
      </c>
      <c r="AU104" s="1530">
        <v>0.77</v>
      </c>
      <c r="AV104" s="561">
        <f t="shared" si="7"/>
        <v>0.90900000000000003</v>
      </c>
      <c r="AW104" s="1530">
        <v>0.90900000000000003</v>
      </c>
      <c r="AX104" s="86"/>
      <c r="AY104" s="86"/>
      <c r="AZ104" s="86"/>
      <c r="BA104" s="86"/>
      <c r="BC104" s="86"/>
      <c r="BD104" s="86"/>
      <c r="BE104" s="86"/>
      <c r="BF104" s="86"/>
      <c r="BH104" s="86"/>
      <c r="BI104" s="86"/>
      <c r="BJ104" s="86"/>
      <c r="BK104" s="86"/>
      <c r="BM104" s="86"/>
      <c r="BN104" s="86"/>
      <c r="BO104" s="86"/>
      <c r="BP104" s="86"/>
    </row>
    <row r="105" spans="2:69">
      <c r="C105" t="s">
        <v>355</v>
      </c>
      <c r="E105" s="86"/>
      <c r="F105" s="86"/>
      <c r="G105" s="86"/>
      <c r="H105" s="86"/>
      <c r="J105" s="86"/>
      <c r="K105" s="86"/>
      <c r="L105" s="86"/>
      <c r="M105" s="86"/>
      <c r="O105" s="86"/>
      <c r="P105" s="86"/>
      <c r="Q105" s="86"/>
      <c r="R105" s="86"/>
      <c r="S105" s="246"/>
      <c r="T105" s="86"/>
      <c r="U105" s="86"/>
      <c r="V105" s="86"/>
      <c r="W105" s="86"/>
      <c r="X105" s="1346">
        <v>1.5620000000000001</v>
      </c>
      <c r="Y105" s="1346">
        <v>0.57199999999999995</v>
      </c>
      <c r="Z105" s="1346">
        <v>1.014</v>
      </c>
      <c r="AA105" s="1346">
        <v>1.798</v>
      </c>
      <c r="AB105" s="561">
        <f t="shared" si="3"/>
        <v>1.3169999999999999</v>
      </c>
      <c r="AC105" s="1346">
        <v>1.3169999999999999</v>
      </c>
      <c r="AD105" s="1346">
        <v>2.2879999999999998</v>
      </c>
      <c r="AE105" s="1346">
        <v>1.6579999999999999</v>
      </c>
      <c r="AF105" s="1346">
        <v>1.4179999999999999</v>
      </c>
      <c r="AG105" s="561">
        <f t="shared" si="4"/>
        <v>1.02</v>
      </c>
      <c r="AH105" s="1346">
        <v>1.02</v>
      </c>
      <c r="AI105" s="1424">
        <v>1.7709999999999999</v>
      </c>
      <c r="AJ105" s="1424">
        <v>1.3169999999999999</v>
      </c>
      <c r="AK105" s="1424">
        <v>1.264</v>
      </c>
      <c r="AL105" s="561">
        <f t="shared" si="5"/>
        <v>1.1000000000000001</v>
      </c>
      <c r="AM105" s="1424">
        <v>1.1000000000000001</v>
      </c>
      <c r="AN105" s="1424">
        <v>3.3</v>
      </c>
      <c r="AO105" s="1424">
        <v>2.5</v>
      </c>
      <c r="AP105" s="1424">
        <v>1.6</v>
      </c>
      <c r="AQ105" s="561">
        <f t="shared" si="6"/>
        <v>1.2</v>
      </c>
      <c r="AR105" s="1530">
        <v>1.2</v>
      </c>
      <c r="AS105" s="1530">
        <v>1.2</v>
      </c>
      <c r="AT105" s="1530">
        <v>1.1000000000000001</v>
      </c>
      <c r="AU105" s="1530">
        <v>1.3</v>
      </c>
      <c r="AV105" s="561">
        <f t="shared" si="7"/>
        <v>1.3</v>
      </c>
      <c r="AW105" s="1530">
        <v>1.3</v>
      </c>
      <c r="AX105" s="86"/>
      <c r="AY105" s="86"/>
      <c r="AZ105" s="86"/>
      <c r="BA105" s="86"/>
      <c r="BC105" s="86"/>
      <c r="BD105" s="86"/>
      <c r="BE105" s="86"/>
      <c r="BF105" s="86"/>
      <c r="BH105" s="86"/>
      <c r="BI105" s="86"/>
      <c r="BJ105" s="86"/>
      <c r="BK105" s="86"/>
      <c r="BM105" s="86"/>
      <c r="BN105" s="86"/>
      <c r="BO105" s="86"/>
      <c r="BP105" s="86"/>
    </row>
    <row r="106" spans="2:69">
      <c r="C106" t="s">
        <v>357</v>
      </c>
      <c r="E106" s="86"/>
      <c r="F106" s="86"/>
      <c r="G106" s="86"/>
      <c r="H106" s="86"/>
      <c r="J106" s="86"/>
      <c r="K106" s="86"/>
      <c r="L106" s="86"/>
      <c r="M106" s="86"/>
      <c r="O106" s="86"/>
      <c r="P106" s="86"/>
      <c r="Q106" s="86"/>
      <c r="R106" s="86"/>
      <c r="T106" s="86"/>
      <c r="U106" s="86"/>
      <c r="V106" s="86"/>
      <c r="W106" s="86"/>
      <c r="X106" s="1346">
        <v>2.036</v>
      </c>
      <c r="Y106" s="1346">
        <v>7.1429999999999998</v>
      </c>
      <c r="Z106" s="1346">
        <v>11.84</v>
      </c>
      <c r="AA106" s="1346">
        <v>17.651</v>
      </c>
      <c r="AB106" s="561">
        <f t="shared" si="3"/>
        <v>17.241</v>
      </c>
      <c r="AC106" s="1346">
        <v>17.241</v>
      </c>
      <c r="AD106" s="1346">
        <v>17.995000000000001</v>
      </c>
      <c r="AE106" s="1346">
        <v>16.971</v>
      </c>
      <c r="AF106" s="1346">
        <v>23.986000000000001</v>
      </c>
      <c r="AG106" s="561">
        <f t="shared" si="4"/>
        <v>14.356</v>
      </c>
      <c r="AH106" s="1346">
        <v>14.356</v>
      </c>
      <c r="AI106" s="1424">
        <v>7.9749999999999996</v>
      </c>
      <c r="AJ106" s="1424">
        <v>8.0169999999999995</v>
      </c>
      <c r="AK106" s="1424">
        <v>14.257999999999999</v>
      </c>
      <c r="AL106" s="561">
        <f t="shared" si="5"/>
        <v>5.2</v>
      </c>
      <c r="AM106" s="1424">
        <v>5.2</v>
      </c>
      <c r="AN106" s="1424">
        <v>12.3</v>
      </c>
      <c r="AO106" s="1424">
        <v>14</v>
      </c>
      <c r="AP106" s="1424">
        <v>15.2</v>
      </c>
      <c r="AQ106" s="561">
        <f t="shared" si="6"/>
        <v>10.3</v>
      </c>
      <c r="AR106" s="1530">
        <v>10.3</v>
      </c>
      <c r="AS106" s="1530">
        <v>10.3</v>
      </c>
      <c r="AT106" s="1530">
        <v>1.7</v>
      </c>
      <c r="AU106" s="1530">
        <v>2.2000000000000002</v>
      </c>
      <c r="AV106" s="561">
        <f t="shared" si="7"/>
        <v>1.6</v>
      </c>
      <c r="AW106" s="1530">
        <v>1.6</v>
      </c>
      <c r="AX106" s="86"/>
      <c r="AY106" s="86"/>
      <c r="AZ106" s="86"/>
      <c r="BA106" s="86"/>
      <c r="BC106" s="86"/>
      <c r="BD106" s="86"/>
      <c r="BE106" s="86"/>
      <c r="BF106" s="86"/>
      <c r="BH106" s="86"/>
      <c r="BI106" s="86"/>
      <c r="BJ106" s="86"/>
      <c r="BK106" s="86"/>
      <c r="BM106" s="86"/>
      <c r="BN106" s="86"/>
      <c r="BO106" s="86"/>
      <c r="BP106" s="86"/>
    </row>
    <row r="107" spans="2:69">
      <c r="C107" t="s">
        <v>637</v>
      </c>
      <c r="E107" s="86"/>
      <c r="F107" s="86"/>
      <c r="G107" s="86"/>
      <c r="H107" s="86"/>
      <c r="J107" s="86"/>
      <c r="K107" s="86"/>
      <c r="L107" s="86"/>
      <c r="M107" s="86"/>
      <c r="O107" s="86"/>
      <c r="P107" s="86"/>
      <c r="Q107" s="86"/>
      <c r="R107" s="86"/>
      <c r="T107" s="86"/>
      <c r="U107" s="86"/>
      <c r="V107" s="86"/>
      <c r="W107" s="86"/>
      <c r="X107" s="1346">
        <v>1.367</v>
      </c>
      <c r="Y107" s="1346">
        <v>0.47399999999999998</v>
      </c>
      <c r="Z107" s="1346">
        <v>1.042</v>
      </c>
      <c r="AA107" s="1346">
        <v>2</v>
      </c>
      <c r="AB107" s="561">
        <f t="shared" si="3"/>
        <v>1.2769999999999999</v>
      </c>
      <c r="AC107" s="1346">
        <v>1.2769999999999999</v>
      </c>
      <c r="AD107" s="1346">
        <v>1.756</v>
      </c>
      <c r="AE107" s="1346">
        <v>1.627</v>
      </c>
      <c r="AF107" s="1346">
        <v>1.8280000000000001</v>
      </c>
      <c r="AG107" s="561">
        <f t="shared" si="4"/>
        <v>1.3520000000000001</v>
      </c>
      <c r="AH107" s="1346">
        <v>1.3520000000000001</v>
      </c>
      <c r="AI107" s="1424">
        <v>1.4239999999999999</v>
      </c>
      <c r="AJ107" s="1424">
        <v>1.2729999999999999</v>
      </c>
      <c r="AK107" s="1424">
        <v>1.663</v>
      </c>
      <c r="AL107" s="561">
        <f t="shared" si="5"/>
        <v>1.4</v>
      </c>
      <c r="AM107" s="1424">
        <v>1.4</v>
      </c>
      <c r="AN107" s="1424">
        <v>3.2</v>
      </c>
      <c r="AO107" s="1424">
        <v>3.3</v>
      </c>
      <c r="AP107" s="1424">
        <v>2</v>
      </c>
      <c r="AQ107" s="561">
        <f t="shared" si="6"/>
        <v>1.5</v>
      </c>
      <c r="AR107" s="1530">
        <v>1.5</v>
      </c>
      <c r="AS107" s="1530">
        <v>1.3</v>
      </c>
      <c r="AT107" s="1530">
        <v>1.4</v>
      </c>
      <c r="AU107" s="1530">
        <v>2.1</v>
      </c>
      <c r="AV107" s="561">
        <f t="shared" si="7"/>
        <v>1.6</v>
      </c>
      <c r="AW107" s="1530">
        <v>1.6</v>
      </c>
      <c r="AX107" s="86"/>
      <c r="AY107" s="86"/>
      <c r="AZ107" s="86"/>
      <c r="BA107" s="86"/>
      <c r="BC107" s="86"/>
      <c r="BD107" s="86"/>
      <c r="BE107" s="86"/>
      <c r="BF107" s="86"/>
      <c r="BH107" s="86"/>
      <c r="BI107" s="86"/>
      <c r="BJ107" s="86"/>
      <c r="BK107" s="86"/>
      <c r="BM107" s="86"/>
      <c r="BN107" s="86"/>
      <c r="BO107" s="86"/>
      <c r="BP107" s="86"/>
    </row>
    <row r="108" spans="2:69">
      <c r="C108" t="s">
        <v>490</v>
      </c>
      <c r="E108" s="86"/>
      <c r="F108" s="86"/>
      <c r="G108" s="86"/>
      <c r="H108" s="86"/>
      <c r="J108" s="86"/>
      <c r="K108" s="86"/>
      <c r="L108" s="86"/>
      <c r="M108" s="86"/>
      <c r="O108" s="86"/>
      <c r="P108" s="86"/>
      <c r="Q108" s="86"/>
      <c r="R108" s="86"/>
      <c r="T108" s="86"/>
      <c r="U108" s="86"/>
      <c r="V108" s="86"/>
      <c r="W108" s="86"/>
      <c r="X108" s="1346">
        <v>0</v>
      </c>
      <c r="Y108" s="1346">
        <v>0</v>
      </c>
      <c r="Z108" s="1346">
        <v>0</v>
      </c>
      <c r="AA108" s="1346">
        <v>0</v>
      </c>
      <c r="AB108" s="561">
        <f t="shared" si="3"/>
        <v>0</v>
      </c>
      <c r="AC108" s="1346">
        <v>0</v>
      </c>
      <c r="AD108" s="1346">
        <v>0</v>
      </c>
      <c r="AE108" s="1346">
        <v>0</v>
      </c>
      <c r="AF108" s="1346">
        <v>0</v>
      </c>
      <c r="AG108" s="561">
        <f t="shared" si="4"/>
        <v>0</v>
      </c>
      <c r="AH108" s="1346">
        <v>0</v>
      </c>
      <c r="AI108" s="1424">
        <v>0</v>
      </c>
      <c r="AJ108" s="1424">
        <v>0</v>
      </c>
      <c r="AK108" s="1424">
        <v>0</v>
      </c>
      <c r="AL108" s="561">
        <f t="shared" si="5"/>
        <v>0</v>
      </c>
      <c r="AM108" s="1424">
        <v>0</v>
      </c>
      <c r="AN108" s="1424">
        <v>0</v>
      </c>
      <c r="AO108" s="1424">
        <v>0</v>
      </c>
      <c r="AP108" s="1424">
        <v>0</v>
      </c>
      <c r="AQ108" s="561">
        <f t="shared" si="6"/>
        <v>0</v>
      </c>
      <c r="AR108" s="1530">
        <v>0</v>
      </c>
      <c r="AS108" s="1530">
        <v>0</v>
      </c>
      <c r="AT108" s="1530">
        <v>0</v>
      </c>
      <c r="AU108" s="1530">
        <v>0</v>
      </c>
      <c r="AV108" s="561">
        <f t="shared" si="7"/>
        <v>0</v>
      </c>
      <c r="AW108" s="1530">
        <v>0</v>
      </c>
      <c r="AX108" s="86"/>
      <c r="AY108" s="86"/>
      <c r="AZ108" s="86"/>
      <c r="BA108" s="86"/>
      <c r="BC108" s="86"/>
      <c r="BD108" s="86"/>
      <c r="BE108" s="86"/>
      <c r="BF108" s="86"/>
      <c r="BH108" s="86"/>
      <c r="BI108" s="86"/>
      <c r="BJ108" s="86"/>
      <c r="BK108" s="86"/>
      <c r="BM108" s="86"/>
      <c r="BN108" s="86"/>
      <c r="BO108" s="86"/>
      <c r="BP108" s="86"/>
    </row>
    <row r="109" spans="2:69" s="1240" customFormat="1">
      <c r="C109" s="1240" t="s">
        <v>304</v>
      </c>
      <c r="E109" s="221"/>
      <c r="F109" s="221"/>
      <c r="G109" s="221"/>
      <c r="H109" s="221"/>
      <c r="X109" s="112">
        <f>SUM(X103:X108)</f>
        <v>10.023</v>
      </c>
      <c r="Y109" s="112">
        <f t="shared" ref="Y109:AF109" si="8">SUM(Y103:Y108)</f>
        <v>10.307</v>
      </c>
      <c r="Z109" s="112">
        <f t="shared" si="8"/>
        <v>17.677</v>
      </c>
      <c r="AA109" s="112">
        <f t="shared" si="8"/>
        <v>26.423999999999999</v>
      </c>
      <c r="AB109" s="1348">
        <f t="shared" si="8"/>
        <v>23.323</v>
      </c>
      <c r="AC109" s="112">
        <f t="shared" si="8"/>
        <v>23.323</v>
      </c>
      <c r="AD109" s="112">
        <f t="shared" si="8"/>
        <v>28.041</v>
      </c>
      <c r="AE109" s="112">
        <f t="shared" si="8"/>
        <v>24.297000000000001</v>
      </c>
      <c r="AF109" s="112">
        <f t="shared" si="8"/>
        <v>30.587</v>
      </c>
      <c r="AG109" s="1348">
        <f t="shared" ref="AG109:AL109" si="9">SUM(AG103:AG108)</f>
        <v>20.135999999999999</v>
      </c>
      <c r="AH109" s="112">
        <f t="shared" si="9"/>
        <v>20.135999999999999</v>
      </c>
      <c r="AI109" s="1425">
        <f t="shared" si="9"/>
        <v>15.907</v>
      </c>
      <c r="AJ109" s="1425">
        <f t="shared" si="9"/>
        <v>13.645</v>
      </c>
      <c r="AK109" s="1425">
        <f t="shared" si="9"/>
        <v>20.137</v>
      </c>
      <c r="AL109" s="1348">
        <f t="shared" si="9"/>
        <v>11.366999999999999</v>
      </c>
      <c r="AM109" s="1425">
        <f t="shared" ref="AM109:AT109" si="10">SUM(AM103:AM108)</f>
        <v>11.366999999999999</v>
      </c>
      <c r="AN109" s="1425">
        <f t="shared" si="10"/>
        <v>26.571000000000002</v>
      </c>
      <c r="AO109" s="1425">
        <f t="shared" si="10"/>
        <v>26.253</v>
      </c>
      <c r="AP109" s="1425">
        <f t="shared" si="10"/>
        <v>23.012999999999998</v>
      </c>
      <c r="AQ109" s="1425">
        <f t="shared" si="10"/>
        <v>16.559000000000001</v>
      </c>
      <c r="AR109" s="1425">
        <f t="shared" si="10"/>
        <v>16.559000000000001</v>
      </c>
      <c r="AS109" s="1425">
        <f t="shared" si="10"/>
        <v>16.614000000000001</v>
      </c>
      <c r="AT109" s="1425">
        <f t="shared" si="10"/>
        <v>7.548</v>
      </c>
      <c r="AU109" s="1425">
        <f>SUM(AU103:AU108)</f>
        <v>9.27</v>
      </c>
      <c r="AV109" s="1425">
        <f t="shared" ref="AV109:AW109" si="11">SUM(AV103:AV108)</f>
        <v>8.3089999999999993</v>
      </c>
      <c r="AW109" s="1425">
        <f t="shared" si="11"/>
        <v>8.3089999999999993</v>
      </c>
    </row>
    <row r="110" spans="2:69">
      <c r="E110" s="86"/>
      <c r="F110" s="86"/>
      <c r="G110" s="86"/>
      <c r="H110" s="86"/>
      <c r="X110" s="72"/>
      <c r="Y110" s="72"/>
      <c r="Z110" s="72"/>
      <c r="AA110" s="72"/>
      <c r="AB110" s="1349"/>
      <c r="AC110" s="72"/>
      <c r="AD110" s="72"/>
      <c r="AE110" s="72"/>
      <c r="AF110" s="72"/>
      <c r="AG110" s="1349"/>
      <c r="AH110" s="72"/>
      <c r="AI110" s="1426"/>
      <c r="AJ110" s="1426"/>
      <c r="AK110" s="1426"/>
      <c r="AL110" s="1349"/>
      <c r="AM110" s="1426"/>
      <c r="AN110" s="1426"/>
      <c r="AO110" s="1426"/>
      <c r="AP110" s="1426"/>
      <c r="AQ110" s="1349"/>
      <c r="AV110" s="1349"/>
    </row>
    <row r="111" spans="2:69">
      <c r="C111" t="s">
        <v>150</v>
      </c>
      <c r="E111" s="86"/>
      <c r="F111" s="86"/>
      <c r="G111" s="86"/>
      <c r="H111" s="86"/>
      <c r="X111" s="1346">
        <v>3.64</v>
      </c>
      <c r="Y111" s="1346">
        <v>1.0269999999999999</v>
      </c>
      <c r="Z111" s="1346">
        <v>2.5449999999999999</v>
      </c>
      <c r="AA111" s="1346">
        <v>4.3410000000000002</v>
      </c>
      <c r="AB111" s="1349">
        <f>AC111</f>
        <v>3.004</v>
      </c>
      <c r="AC111" s="1346">
        <v>3.004</v>
      </c>
      <c r="AD111" s="1346">
        <v>4.78</v>
      </c>
      <c r="AE111" s="1346">
        <v>4.4749999999999996</v>
      </c>
      <c r="AF111" s="1346">
        <v>3.8889999999999998</v>
      </c>
      <c r="AG111" s="1349">
        <f>AH111</f>
        <v>2.87</v>
      </c>
      <c r="AH111" s="1346">
        <v>2.87</v>
      </c>
      <c r="AI111" s="1424">
        <v>4.3659999999999997</v>
      </c>
      <c r="AJ111" s="1424">
        <v>3.4390000000000001</v>
      </c>
      <c r="AK111" s="1424">
        <v>3.2480000000000002</v>
      </c>
      <c r="AL111" s="1349">
        <f>AM111</f>
        <v>3.1</v>
      </c>
      <c r="AM111" s="1424">
        <v>3.1</v>
      </c>
      <c r="AN111" s="1424">
        <v>9.3000000000000007</v>
      </c>
      <c r="AO111" s="1424">
        <v>6.3</v>
      </c>
      <c r="AP111" s="1424">
        <v>4</v>
      </c>
      <c r="AQ111" s="1349">
        <f>AR111</f>
        <v>3.1</v>
      </c>
      <c r="AR111" s="1530">
        <v>3.1</v>
      </c>
      <c r="AS111" s="1530">
        <v>3</v>
      </c>
      <c r="AT111" s="1530">
        <v>2.2000000000000002</v>
      </c>
      <c r="AU111" s="1530">
        <v>3.1</v>
      </c>
      <c r="AV111" s="1349">
        <f>AW111</f>
        <v>3.1</v>
      </c>
      <c r="AW111" s="1530">
        <v>3.1</v>
      </c>
    </row>
    <row r="112" spans="2:69">
      <c r="C112" t="s">
        <v>296</v>
      </c>
      <c r="E112" s="86"/>
      <c r="F112" s="86"/>
      <c r="G112" s="86"/>
      <c r="H112" s="86"/>
      <c r="X112" s="1346">
        <f>0.1+215.218</f>
        <v>215.31799999999998</v>
      </c>
      <c r="Y112" s="1346">
        <f>0.965+139.164</f>
        <v>140.12899999999999</v>
      </c>
      <c r="Z112" s="1346">
        <f>0.409+174.263</f>
        <v>174.672</v>
      </c>
      <c r="AA112" s="1346">
        <f>0.1+153.222</f>
        <v>153.322</v>
      </c>
      <c r="AB112" s="1349">
        <f>AC112</f>
        <v>197.01300000000001</v>
      </c>
      <c r="AC112" s="1346">
        <f>(196.859+0.154)</f>
        <v>197.01300000000001</v>
      </c>
      <c r="AD112" s="1346">
        <f>(129.227+0.126)</f>
        <v>129.35300000000001</v>
      </c>
      <c r="AE112" s="1346">
        <f>(175.851+0.121)</f>
        <v>175.97200000000001</v>
      </c>
      <c r="AF112" s="1346">
        <f>(158.648+0.1)</f>
        <v>158.74799999999999</v>
      </c>
      <c r="AG112" s="1349">
        <f>AH112</f>
        <v>205.78199999999998</v>
      </c>
      <c r="AH112" s="1346">
        <f>205.682+0.1</f>
        <v>205.78199999999998</v>
      </c>
      <c r="AI112" s="1424">
        <f>0.1+133.774</f>
        <v>133.874</v>
      </c>
      <c r="AJ112" s="1424">
        <f>177.472+0.131</f>
        <v>177.60300000000001</v>
      </c>
      <c r="AK112" s="1424">
        <f>153.111+0.1</f>
        <v>153.21099999999998</v>
      </c>
      <c r="AL112" s="1349">
        <f>AM112</f>
        <v>203.49299999999999</v>
      </c>
      <c r="AM112" s="1424">
        <f>203.393+0.1</f>
        <v>203.49299999999999</v>
      </c>
      <c r="AN112" s="1424">
        <f>93.699+0.1</f>
        <v>93.798999999999992</v>
      </c>
      <c r="AO112" s="1424">
        <f>117.155+0.1</f>
        <v>117.255</v>
      </c>
      <c r="AP112" s="1424">
        <f>110.829+0.1</f>
        <v>110.92899999999999</v>
      </c>
      <c r="AQ112" s="1349">
        <f>AR112</f>
        <v>146.9</v>
      </c>
      <c r="AR112" s="1530">
        <f>0.6+146.3</f>
        <v>146.9</v>
      </c>
      <c r="AS112" s="1530">
        <f>0.1+100.4</f>
        <v>100.5</v>
      </c>
      <c r="AT112" s="1530">
        <f>129.1+0.1</f>
        <v>129.19999999999999</v>
      </c>
      <c r="AU112" s="1530">
        <f>0.1+123</f>
        <v>123.1</v>
      </c>
      <c r="AV112" s="1349">
        <f>AW112</f>
        <v>157.19999999999999</v>
      </c>
      <c r="AW112" s="1530">
        <f>2+155.2</f>
        <v>157.19999999999999</v>
      </c>
    </row>
    <row r="113" spans="2:68">
      <c r="C113" t="s">
        <v>297</v>
      </c>
      <c r="E113" s="86"/>
      <c r="F113" s="86"/>
      <c r="G113" s="86"/>
      <c r="H113" s="86"/>
      <c r="X113" s="1346">
        <v>0</v>
      </c>
      <c r="Y113" s="1346">
        <v>9.6000000000000002E-2</v>
      </c>
      <c r="Z113" s="1346">
        <v>0</v>
      </c>
      <c r="AA113" s="1346">
        <v>0</v>
      </c>
      <c r="AB113" s="1346">
        <f>AC113</f>
        <v>0</v>
      </c>
      <c r="AC113" s="1346">
        <v>0</v>
      </c>
      <c r="AD113" s="1346">
        <v>1E-3</v>
      </c>
      <c r="AE113" s="1346">
        <v>1.6E-2</v>
      </c>
      <c r="AF113" s="1346">
        <v>9.4E-2</v>
      </c>
      <c r="AG113" s="1346">
        <f>AH113</f>
        <v>0</v>
      </c>
      <c r="AH113" s="1346">
        <v>0</v>
      </c>
      <c r="AI113" s="1424">
        <v>0</v>
      </c>
      <c r="AJ113" s="1424">
        <v>0</v>
      </c>
      <c r="AK113" s="1424">
        <v>0</v>
      </c>
      <c r="AL113" s="1346">
        <f>AM113</f>
        <v>0</v>
      </c>
      <c r="AM113" s="1424">
        <v>0</v>
      </c>
      <c r="AN113" s="1424">
        <v>0</v>
      </c>
      <c r="AO113" s="1424">
        <v>0</v>
      </c>
      <c r="AP113" s="1424">
        <v>0</v>
      </c>
      <c r="AQ113" s="1346">
        <f>AR113</f>
        <v>0</v>
      </c>
      <c r="AR113" s="1579">
        <f>+AM113</f>
        <v>0</v>
      </c>
      <c r="AS113" s="1225">
        <v>0</v>
      </c>
      <c r="AT113" s="1225">
        <v>0</v>
      </c>
      <c r="AU113" s="1225">
        <v>0</v>
      </c>
      <c r="AV113" s="1346">
        <f>AW113</f>
        <v>0</v>
      </c>
      <c r="AW113" s="1579">
        <v>0</v>
      </c>
    </row>
    <row r="114" spans="2:68" s="1240" customFormat="1">
      <c r="C114" s="1240" t="s">
        <v>880</v>
      </c>
      <c r="E114" s="221"/>
      <c r="F114" s="221"/>
      <c r="G114" s="221"/>
      <c r="H114" s="221"/>
      <c r="X114" s="112">
        <f>SUM(X111:X113)</f>
        <v>218.95799999999997</v>
      </c>
      <c r="Y114" s="112">
        <f t="shared" ref="Y114:AF114" si="12">SUM(Y111:Y113)</f>
        <v>141.25199999999998</v>
      </c>
      <c r="Z114" s="112">
        <f t="shared" si="12"/>
        <v>177.21699999999998</v>
      </c>
      <c r="AA114" s="112">
        <f t="shared" si="12"/>
        <v>157.66300000000001</v>
      </c>
      <c r="AB114" s="112">
        <f t="shared" si="12"/>
        <v>200.017</v>
      </c>
      <c r="AC114" s="112">
        <f t="shared" si="12"/>
        <v>200.017</v>
      </c>
      <c r="AD114" s="112">
        <f t="shared" si="12"/>
        <v>134.13400000000001</v>
      </c>
      <c r="AE114" s="112">
        <f t="shared" si="12"/>
        <v>180.46299999999999</v>
      </c>
      <c r="AF114" s="112">
        <f t="shared" si="12"/>
        <v>162.73099999999999</v>
      </c>
      <c r="AG114" s="112">
        <f t="shared" ref="AG114:AL114" si="13">SUM(AG111:AG113)</f>
        <v>208.65199999999999</v>
      </c>
      <c r="AH114" s="112">
        <f t="shared" si="13"/>
        <v>208.65199999999999</v>
      </c>
      <c r="AI114" s="1425">
        <f t="shared" si="13"/>
        <v>138.24</v>
      </c>
      <c r="AJ114" s="1425">
        <f t="shared" si="13"/>
        <v>181.042</v>
      </c>
      <c r="AK114" s="1425">
        <f t="shared" si="13"/>
        <v>156.45899999999997</v>
      </c>
      <c r="AL114" s="112">
        <f t="shared" si="13"/>
        <v>206.59299999999999</v>
      </c>
      <c r="AM114" s="1425">
        <f t="shared" ref="AM114:AT114" si="14">SUM(AM111:AM113)</f>
        <v>206.59299999999999</v>
      </c>
      <c r="AN114" s="1425">
        <f t="shared" si="14"/>
        <v>103.09899999999999</v>
      </c>
      <c r="AO114" s="1425">
        <f t="shared" si="14"/>
        <v>123.55499999999999</v>
      </c>
      <c r="AP114" s="1425">
        <f t="shared" si="14"/>
        <v>114.92899999999999</v>
      </c>
      <c r="AQ114" s="1425">
        <f t="shared" si="14"/>
        <v>150</v>
      </c>
      <c r="AR114" s="1425">
        <f t="shared" si="14"/>
        <v>150</v>
      </c>
      <c r="AS114" s="1425">
        <f t="shared" si="14"/>
        <v>103.5</v>
      </c>
      <c r="AT114" s="1425">
        <f t="shared" si="14"/>
        <v>131.39999999999998</v>
      </c>
      <c r="AU114" s="1425">
        <f>SUM(AU111:AU113)</f>
        <v>126.19999999999999</v>
      </c>
      <c r="AV114" s="1425">
        <f t="shared" ref="AV114:AW114" si="15">SUM(AV111:AV113)</f>
        <v>160.29999999999998</v>
      </c>
      <c r="AW114" s="1425">
        <f t="shared" si="15"/>
        <v>160.29999999999998</v>
      </c>
    </row>
    <row r="115" spans="2:68">
      <c r="E115" s="86"/>
      <c r="F115" s="86"/>
      <c r="G115" s="86"/>
      <c r="H115" s="86"/>
      <c r="X115" s="72"/>
      <c r="Y115" s="72"/>
      <c r="Z115" s="72"/>
      <c r="AA115" s="72"/>
      <c r="AB115" s="72"/>
      <c r="AC115" s="72"/>
      <c r="AD115" s="72"/>
      <c r="AE115" s="72"/>
      <c r="AF115" s="72"/>
      <c r="AG115" s="72"/>
      <c r="AH115" s="72"/>
      <c r="AI115" s="1426"/>
      <c r="AJ115" s="1426"/>
      <c r="AK115" s="1426"/>
      <c r="AL115" s="72"/>
      <c r="AM115" s="1426"/>
      <c r="AR115" s="1300"/>
      <c r="AV115" s="1884"/>
      <c r="AW115" s="1300"/>
    </row>
    <row r="116" spans="2:68">
      <c r="B116" s="46" t="s">
        <v>864</v>
      </c>
      <c r="C116" s="46"/>
      <c r="D116" s="46"/>
      <c r="E116" s="94"/>
      <c r="F116" s="94"/>
      <c r="G116" s="94"/>
      <c r="H116" s="94"/>
      <c r="J116" s="86"/>
      <c r="K116" s="86"/>
      <c r="L116" s="86"/>
      <c r="M116" s="86"/>
      <c r="O116" s="86"/>
      <c r="P116" s="86"/>
      <c r="Q116" s="86"/>
      <c r="R116" s="86"/>
      <c r="T116" s="86"/>
      <c r="U116" s="86"/>
      <c r="V116" s="86"/>
      <c r="W116" s="86"/>
      <c r="X116" s="72"/>
      <c r="Y116" s="72"/>
      <c r="Z116" s="72"/>
      <c r="AA116" s="72"/>
      <c r="AB116" s="561"/>
      <c r="AC116" s="72"/>
      <c r="AD116" s="72"/>
      <c r="AE116" s="72"/>
      <c r="AF116" s="72"/>
      <c r="AG116" s="561"/>
      <c r="AH116" s="72"/>
      <c r="AI116" s="1426"/>
      <c r="AJ116" s="1426"/>
      <c r="AK116" s="1426"/>
      <c r="AL116" s="561"/>
      <c r="AM116" s="1426"/>
      <c r="AR116" s="1300"/>
      <c r="AV116" s="1884"/>
      <c r="AW116" s="1300"/>
    </row>
    <row r="117" spans="2:68">
      <c r="C117" t="s">
        <v>354</v>
      </c>
      <c r="E117" s="86"/>
      <c r="F117" s="86"/>
      <c r="G117" s="86"/>
      <c r="H117" s="86"/>
      <c r="X117" s="1346">
        <v>173.965</v>
      </c>
      <c r="Y117" s="1346">
        <v>96.650999999999996</v>
      </c>
      <c r="Z117" s="1346">
        <v>87.783000000000001</v>
      </c>
      <c r="AA117" s="1346">
        <v>276.77600000000001</v>
      </c>
      <c r="AB117" s="561">
        <f t="shared" ref="AB117:AB122" si="16">AC117</f>
        <v>0</v>
      </c>
      <c r="AC117" s="1346">
        <v>0</v>
      </c>
      <c r="AD117" s="1346">
        <v>0</v>
      </c>
      <c r="AE117" s="1346">
        <v>0</v>
      </c>
      <c r="AF117" s="1346">
        <v>0</v>
      </c>
      <c r="AG117" s="561">
        <f t="shared" ref="AG117:AG122" si="17">AH117</f>
        <v>0</v>
      </c>
      <c r="AH117" s="1346">
        <v>0</v>
      </c>
      <c r="AI117" s="1424">
        <v>0</v>
      </c>
      <c r="AJ117" s="1424">
        <v>0</v>
      </c>
      <c r="AK117" s="1424">
        <v>0</v>
      </c>
      <c r="AL117" s="561">
        <f t="shared" ref="AL117:AL122" si="18">AM117</f>
        <v>0</v>
      </c>
      <c r="AM117" s="1424">
        <v>0</v>
      </c>
      <c r="AN117" s="1424">
        <v>0</v>
      </c>
      <c r="AO117" s="1424">
        <v>0</v>
      </c>
      <c r="AP117" s="1424">
        <v>0</v>
      </c>
      <c r="AQ117" s="561">
        <f t="shared" ref="AQ117:AQ122" si="19">AR117</f>
        <v>0</v>
      </c>
      <c r="AR117" s="1530">
        <v>0</v>
      </c>
      <c r="AS117" s="1424">
        <v>182.4</v>
      </c>
      <c r="AT117" s="1424">
        <v>0</v>
      </c>
      <c r="AU117" s="1424">
        <v>69.5</v>
      </c>
      <c r="AV117" s="561">
        <f t="shared" ref="AV117:AV122" si="20">AW117</f>
        <v>186</v>
      </c>
      <c r="AW117" s="1530">
        <f>186</f>
        <v>186</v>
      </c>
    </row>
    <row r="118" spans="2:68">
      <c r="C118" t="s">
        <v>617</v>
      </c>
      <c r="E118" s="86"/>
      <c r="F118" s="86"/>
      <c r="G118" s="86"/>
      <c r="H118" s="86"/>
      <c r="X118" s="1346">
        <v>13.359</v>
      </c>
      <c r="Y118" s="1346">
        <v>11.039</v>
      </c>
      <c r="Z118" s="1346">
        <v>0</v>
      </c>
      <c r="AA118" s="1346">
        <v>0</v>
      </c>
      <c r="AB118" s="561">
        <f t="shared" si="16"/>
        <v>8.5640000000000001</v>
      </c>
      <c r="AC118" s="1346">
        <v>8.5640000000000001</v>
      </c>
      <c r="AD118" s="1346">
        <v>49.404000000000003</v>
      </c>
      <c r="AE118" s="1346">
        <v>0</v>
      </c>
      <c r="AF118" s="1346">
        <v>0</v>
      </c>
      <c r="AG118" s="561">
        <f t="shared" si="17"/>
        <v>45.128</v>
      </c>
      <c r="AH118" s="1346">
        <v>45.128</v>
      </c>
      <c r="AI118" s="1424">
        <v>0.74</v>
      </c>
      <c r="AJ118" s="1424">
        <v>27.175999999999998</v>
      </c>
      <c r="AK118" s="1424">
        <v>7.085</v>
      </c>
      <c r="AL118" s="561">
        <f t="shared" si="18"/>
        <v>18.692</v>
      </c>
      <c r="AM118" s="1424">
        <v>18.692</v>
      </c>
      <c r="AN118" s="1424">
        <v>15.79</v>
      </c>
      <c r="AO118" s="1424">
        <v>16.274000000000001</v>
      </c>
      <c r="AP118" s="1424">
        <f>11.384</f>
        <v>11.384</v>
      </c>
      <c r="AQ118" s="561">
        <f t="shared" si="19"/>
        <v>1.8069999999999999</v>
      </c>
      <c r="AR118" s="1530">
        <v>1.8069999999999999</v>
      </c>
      <c r="AS118" s="1530">
        <v>12.172000000000001</v>
      </c>
      <c r="AT118" s="1530">
        <v>4.5810000000000004</v>
      </c>
      <c r="AU118" s="1530">
        <v>12.209</v>
      </c>
      <c r="AV118" s="561">
        <f t="shared" si="20"/>
        <v>9.641</v>
      </c>
      <c r="AW118" s="1530">
        <v>9.641</v>
      </c>
    </row>
    <row r="119" spans="2:68">
      <c r="C119" t="s">
        <v>355</v>
      </c>
      <c r="E119" s="86"/>
      <c r="F119" s="86"/>
      <c r="G119" s="86"/>
      <c r="H119" s="86"/>
      <c r="X119" s="1346">
        <v>0</v>
      </c>
      <c r="Y119" s="1346">
        <v>0</v>
      </c>
      <c r="Z119" s="1346">
        <v>0</v>
      </c>
      <c r="AA119" s="1346">
        <v>0</v>
      </c>
      <c r="AB119" s="561">
        <f t="shared" si="16"/>
        <v>0</v>
      </c>
      <c r="AC119" s="1346">
        <v>0</v>
      </c>
      <c r="AD119" s="1346">
        <v>0</v>
      </c>
      <c r="AE119" s="1346">
        <v>47.353000000000002</v>
      </c>
      <c r="AF119" s="1346">
        <v>95.899000000000001</v>
      </c>
      <c r="AG119" s="561">
        <f t="shared" si="17"/>
        <v>142.501</v>
      </c>
      <c r="AH119" s="1346">
        <v>142.501</v>
      </c>
      <c r="AI119" s="1424">
        <v>168.15</v>
      </c>
      <c r="AJ119" s="1424">
        <v>140.65799999999999</v>
      </c>
      <c r="AK119" s="1424">
        <v>151.00399999999999</v>
      </c>
      <c r="AL119" s="561">
        <f t="shared" si="18"/>
        <v>294.3</v>
      </c>
      <c r="AM119" s="1424">
        <v>294.3</v>
      </c>
      <c r="AN119" s="1424">
        <v>9.5</v>
      </c>
      <c r="AO119" s="1424">
        <v>11.4</v>
      </c>
      <c r="AP119" s="1424">
        <v>26.3</v>
      </c>
      <c r="AQ119" s="561">
        <f t="shared" si="19"/>
        <v>215.2</v>
      </c>
      <c r="AR119" s="1530">
        <v>215.2</v>
      </c>
      <c r="AS119" s="1530">
        <v>286.8</v>
      </c>
      <c r="AT119" s="1530">
        <v>43.4</v>
      </c>
      <c r="AU119" s="1530">
        <v>177.5</v>
      </c>
      <c r="AV119" s="561">
        <f t="shared" si="20"/>
        <v>211.6</v>
      </c>
      <c r="AW119" s="1530">
        <v>211.6</v>
      </c>
    </row>
    <row r="120" spans="2:68">
      <c r="C120" t="s">
        <v>357</v>
      </c>
      <c r="E120" s="86"/>
      <c r="F120" s="86"/>
      <c r="G120" s="86"/>
      <c r="H120" s="86"/>
      <c r="J120" s="86"/>
      <c r="K120" s="86"/>
      <c r="L120" s="86"/>
      <c r="M120" s="86"/>
      <c r="O120" s="86"/>
      <c r="P120" s="86"/>
      <c r="Q120" s="86"/>
      <c r="R120" s="86"/>
      <c r="T120" s="86"/>
      <c r="U120" s="86"/>
      <c r="V120" s="86"/>
      <c r="W120" s="86"/>
      <c r="X120" s="1346">
        <v>2.6030000000000002</v>
      </c>
      <c r="Y120" s="1346">
        <v>0</v>
      </c>
      <c r="Z120" s="1346">
        <v>0</v>
      </c>
      <c r="AA120" s="1346">
        <v>0</v>
      </c>
      <c r="AB120" s="561">
        <f t="shared" si="16"/>
        <v>9.18</v>
      </c>
      <c r="AC120" s="1346">
        <v>9.18</v>
      </c>
      <c r="AD120" s="1346">
        <v>117.342</v>
      </c>
      <c r="AE120" s="1346">
        <v>79.097999999999999</v>
      </c>
      <c r="AF120" s="1346">
        <v>6.3289999999999997</v>
      </c>
      <c r="AG120" s="561">
        <f t="shared" si="17"/>
        <v>0</v>
      </c>
      <c r="AH120" s="1346">
        <v>0</v>
      </c>
      <c r="AI120" s="1424">
        <v>0</v>
      </c>
      <c r="AJ120" s="1424">
        <v>0</v>
      </c>
      <c r="AK120" s="1424">
        <v>0</v>
      </c>
      <c r="AL120" s="561">
        <f t="shared" si="18"/>
        <v>58.3</v>
      </c>
      <c r="AM120" s="1424">
        <v>58.3</v>
      </c>
      <c r="AN120" s="1424">
        <v>217.8</v>
      </c>
      <c r="AO120" s="1424">
        <v>155.1</v>
      </c>
      <c r="AP120" s="1424">
        <v>0</v>
      </c>
      <c r="AQ120" s="561">
        <f t="shared" si="19"/>
        <v>0</v>
      </c>
      <c r="AR120" s="1530">
        <v>0</v>
      </c>
      <c r="AS120" s="1530">
        <v>167.9</v>
      </c>
      <c r="AT120" s="1530">
        <v>8.6999999999999993</v>
      </c>
      <c r="AU120" s="1530">
        <f>48.3+14.3</f>
        <v>62.599999999999994</v>
      </c>
      <c r="AV120" s="561">
        <f t="shared" si="20"/>
        <v>118.7</v>
      </c>
      <c r="AW120" s="1530">
        <v>118.7</v>
      </c>
      <c r="AX120" s="86"/>
      <c r="AY120" s="86"/>
      <c r="AZ120" s="86"/>
      <c r="BA120" s="86"/>
      <c r="BC120" s="86"/>
      <c r="BD120" s="86"/>
      <c r="BE120" s="86"/>
      <c r="BF120" s="86"/>
      <c r="BH120" s="86"/>
      <c r="BI120" s="86"/>
      <c r="BJ120" s="86"/>
      <c r="BK120" s="86"/>
      <c r="BM120" s="86"/>
      <c r="BN120" s="86"/>
      <c r="BO120" s="86"/>
      <c r="BP120" s="86"/>
    </row>
    <row r="121" spans="2:68">
      <c r="C121" t="s">
        <v>637</v>
      </c>
      <c r="E121" s="86"/>
      <c r="F121" s="86"/>
      <c r="G121" s="86"/>
      <c r="H121" s="86"/>
      <c r="J121" s="86"/>
      <c r="K121" s="86"/>
      <c r="L121" s="86"/>
      <c r="M121" s="86"/>
      <c r="O121" s="86"/>
      <c r="P121" s="86"/>
      <c r="Q121" s="86"/>
      <c r="R121" s="86"/>
      <c r="T121" s="86"/>
      <c r="U121" s="86"/>
      <c r="V121" s="86"/>
      <c r="W121" s="86"/>
      <c r="X121" s="1346">
        <v>0</v>
      </c>
      <c r="Y121" s="1346">
        <v>24.004000000000001</v>
      </c>
      <c r="Z121" s="1346">
        <v>25.276</v>
      </c>
      <c r="AA121" s="1346">
        <v>0</v>
      </c>
      <c r="AB121" s="561">
        <f t="shared" si="16"/>
        <v>36.771999999999998</v>
      </c>
      <c r="AC121" s="1346">
        <v>36.771999999999998</v>
      </c>
      <c r="AD121" s="1346">
        <v>70.119</v>
      </c>
      <c r="AE121" s="1346">
        <v>124.8</v>
      </c>
      <c r="AF121" s="1346">
        <v>100.867</v>
      </c>
      <c r="AG121" s="561">
        <f t="shared" si="17"/>
        <v>154.249</v>
      </c>
      <c r="AH121" s="1346">
        <v>154.249</v>
      </c>
      <c r="AI121" s="1424">
        <v>0</v>
      </c>
      <c r="AJ121" s="1424">
        <v>0</v>
      </c>
      <c r="AK121" s="1424">
        <v>0</v>
      </c>
      <c r="AL121" s="561">
        <f t="shared" si="18"/>
        <v>0</v>
      </c>
      <c r="AM121" s="1424">
        <v>0</v>
      </c>
      <c r="AN121" s="1424">
        <v>0</v>
      </c>
      <c r="AO121" s="1424">
        <v>0</v>
      </c>
      <c r="AP121" s="1424">
        <v>0</v>
      </c>
      <c r="AQ121" s="561">
        <f t="shared" si="19"/>
        <v>52</v>
      </c>
      <c r="AR121" s="1530">
        <v>52</v>
      </c>
      <c r="AS121" s="1530">
        <v>163.69999999999999</v>
      </c>
      <c r="AT121" s="1530">
        <v>0</v>
      </c>
      <c r="AU121" s="1530">
        <v>118</v>
      </c>
      <c r="AV121" s="561">
        <f t="shared" si="20"/>
        <v>171.6</v>
      </c>
      <c r="AW121" s="1530">
        <f>149.6+22</f>
        <v>171.6</v>
      </c>
      <c r="AX121" s="86"/>
      <c r="AY121" s="86"/>
      <c r="AZ121" s="86"/>
      <c r="BA121" s="86"/>
      <c r="BC121" s="86"/>
      <c r="BD121" s="86"/>
      <c r="BE121" s="86"/>
      <c r="BF121" s="86"/>
      <c r="BH121" s="86"/>
      <c r="BI121" s="86"/>
      <c r="BJ121" s="86"/>
      <c r="BK121" s="86"/>
      <c r="BM121" s="86"/>
      <c r="BN121" s="86"/>
      <c r="BO121" s="86"/>
      <c r="BP121" s="86"/>
    </row>
    <row r="122" spans="2:68">
      <c r="C122" t="s">
        <v>490</v>
      </c>
      <c r="E122" s="86"/>
      <c r="F122" s="86"/>
      <c r="G122" s="86"/>
      <c r="H122" s="86"/>
      <c r="J122" s="86"/>
      <c r="K122" s="86"/>
      <c r="L122" s="86"/>
      <c r="M122" s="86"/>
      <c r="O122" s="86"/>
      <c r="P122" s="86"/>
      <c r="Q122" s="86"/>
      <c r="R122" s="86"/>
      <c r="T122" s="86"/>
      <c r="U122" s="86"/>
      <c r="V122" s="86"/>
      <c r="W122" s="86"/>
      <c r="X122" s="1346">
        <v>4.4050000000000002</v>
      </c>
      <c r="Y122" s="1346">
        <v>0</v>
      </c>
      <c r="Z122" s="1346">
        <v>50.231000000000002</v>
      </c>
      <c r="AA122" s="1346">
        <v>14.537000000000001</v>
      </c>
      <c r="AB122" s="561">
        <f t="shared" si="16"/>
        <v>28.584</v>
      </c>
      <c r="AC122" s="1346">
        <v>28.584</v>
      </c>
      <c r="AD122" s="1346">
        <v>3.5</v>
      </c>
      <c r="AE122" s="1346">
        <v>22.064</v>
      </c>
      <c r="AF122" s="1346">
        <v>5.5010000000000003</v>
      </c>
      <c r="AG122" s="561">
        <f t="shared" si="17"/>
        <v>31.161000000000001</v>
      </c>
      <c r="AH122" s="1346">
        <v>31.161000000000001</v>
      </c>
      <c r="AI122" s="1424">
        <v>38.771000000000001</v>
      </c>
      <c r="AJ122" s="1424">
        <v>61.003</v>
      </c>
      <c r="AK122" s="1424">
        <v>53.523000000000003</v>
      </c>
      <c r="AL122" s="561">
        <f t="shared" si="18"/>
        <v>113.908</v>
      </c>
      <c r="AM122" s="1424">
        <v>113.908</v>
      </c>
      <c r="AN122" s="1424">
        <v>94.221000000000004</v>
      </c>
      <c r="AO122" s="1424">
        <v>140.47999999999999</v>
      </c>
      <c r="AP122" s="1424">
        <v>106.47</v>
      </c>
      <c r="AQ122" s="561">
        <f t="shared" si="19"/>
        <v>0</v>
      </c>
      <c r="AR122" s="1530">
        <v>0</v>
      </c>
      <c r="AS122" s="1530">
        <v>0</v>
      </c>
      <c r="AT122" s="1530">
        <v>0</v>
      </c>
      <c r="AU122" s="1530">
        <v>0</v>
      </c>
      <c r="AV122" s="561">
        <f t="shared" si="20"/>
        <v>0</v>
      </c>
      <c r="AW122" s="1530">
        <v>0</v>
      </c>
      <c r="AX122" s="86"/>
      <c r="AY122" s="86"/>
      <c r="AZ122" s="86"/>
      <c r="BA122" s="86"/>
      <c r="BC122" s="86"/>
      <c r="BD122" s="86"/>
      <c r="BE122" s="86"/>
      <c r="BF122" s="86"/>
      <c r="BH122" s="86"/>
      <c r="BI122" s="86"/>
      <c r="BJ122" s="86"/>
      <c r="BK122" s="86"/>
      <c r="BM122" s="86"/>
      <c r="BN122" s="86"/>
      <c r="BO122" s="86"/>
      <c r="BP122" s="86"/>
    </row>
    <row r="123" spans="2:68" s="1240" customFormat="1">
      <c r="C123" s="1240" t="s">
        <v>304</v>
      </c>
      <c r="E123" s="221"/>
      <c r="F123" s="221"/>
      <c r="G123" s="221"/>
      <c r="H123" s="221"/>
      <c r="X123" s="112">
        <f t="shared" ref="X123:AF123" si="21">SUM(X117:X122)</f>
        <v>194.33200000000002</v>
      </c>
      <c r="Y123" s="112">
        <f t="shared" si="21"/>
        <v>131.69399999999999</v>
      </c>
      <c r="Z123" s="112">
        <f t="shared" si="21"/>
        <v>163.29</v>
      </c>
      <c r="AA123" s="112">
        <f t="shared" si="21"/>
        <v>291.31299999999999</v>
      </c>
      <c r="AB123" s="1348">
        <f t="shared" si="21"/>
        <v>83.1</v>
      </c>
      <c r="AC123" s="112">
        <f t="shared" si="21"/>
        <v>83.1</v>
      </c>
      <c r="AD123" s="112">
        <f t="shared" si="21"/>
        <v>240.36500000000001</v>
      </c>
      <c r="AE123" s="112">
        <f t="shared" si="21"/>
        <v>273.315</v>
      </c>
      <c r="AF123" s="112">
        <f t="shared" si="21"/>
        <v>208.596</v>
      </c>
      <c r="AG123" s="1348">
        <f t="shared" ref="AG123:AL123" si="22">SUM(AG117:AG122)</f>
        <v>373.03900000000004</v>
      </c>
      <c r="AH123" s="112">
        <f t="shared" si="22"/>
        <v>373.03900000000004</v>
      </c>
      <c r="AI123" s="1425">
        <f t="shared" si="22"/>
        <v>207.661</v>
      </c>
      <c r="AJ123" s="1425">
        <f t="shared" si="22"/>
        <v>228.83699999999999</v>
      </c>
      <c r="AK123" s="1425">
        <f t="shared" si="22"/>
        <v>211.61199999999999</v>
      </c>
      <c r="AL123" s="1348">
        <f t="shared" si="22"/>
        <v>485.20000000000005</v>
      </c>
      <c r="AM123" s="1425">
        <f t="shared" ref="AM123:AT123" si="23">SUM(AM117:AM122)</f>
        <v>485.20000000000005</v>
      </c>
      <c r="AN123" s="1425">
        <f t="shared" si="23"/>
        <v>337.31100000000004</v>
      </c>
      <c r="AO123" s="1425">
        <f t="shared" si="23"/>
        <v>323.25400000000002</v>
      </c>
      <c r="AP123" s="1425">
        <f t="shared" si="23"/>
        <v>144.154</v>
      </c>
      <c r="AQ123" s="1348">
        <f t="shared" si="23"/>
        <v>269.00699999999995</v>
      </c>
      <c r="AR123" s="1348">
        <f t="shared" si="23"/>
        <v>269.00699999999995</v>
      </c>
      <c r="AS123" s="1348">
        <f t="shared" si="23"/>
        <v>812.97199999999998</v>
      </c>
      <c r="AT123" s="1348">
        <f t="shared" si="23"/>
        <v>56.680999999999997</v>
      </c>
      <c r="AU123" s="1348">
        <f>SUM(AU117:AU122)</f>
        <v>439.80899999999997</v>
      </c>
      <c r="AV123" s="1348">
        <f t="shared" ref="AV123:AW123" si="24">SUM(AV117:AV122)</f>
        <v>697.54100000000005</v>
      </c>
      <c r="AW123" s="1348">
        <f t="shared" si="24"/>
        <v>697.54100000000005</v>
      </c>
    </row>
    <row r="124" spans="2:68">
      <c r="E124" s="86"/>
      <c r="F124" s="86"/>
      <c r="G124" s="86"/>
      <c r="H124" s="86"/>
      <c r="J124" s="86"/>
      <c r="K124" s="86"/>
      <c r="L124" s="86"/>
      <c r="M124" s="86"/>
      <c r="O124" s="86"/>
      <c r="P124" s="86"/>
      <c r="Q124" s="86"/>
      <c r="R124" s="86"/>
      <c r="T124" s="86"/>
      <c r="U124" s="86"/>
      <c r="V124" s="86"/>
      <c r="W124" s="86"/>
      <c r="X124" s="72"/>
      <c r="Y124" s="72"/>
      <c r="Z124" s="72"/>
      <c r="AA124" s="72"/>
      <c r="AB124" s="1349"/>
      <c r="AC124" s="72"/>
      <c r="AD124" s="72"/>
      <c r="AE124" s="72"/>
      <c r="AF124" s="72"/>
      <c r="AG124" s="1349"/>
      <c r="AH124" s="72"/>
      <c r="AI124" s="1426"/>
      <c r="AJ124" s="1426"/>
      <c r="AK124" s="1426"/>
      <c r="AL124" s="1349"/>
      <c r="AM124" s="1426"/>
      <c r="AN124" s="1426"/>
      <c r="AO124" s="1426"/>
      <c r="AP124" s="1426"/>
      <c r="AQ124" s="1349"/>
      <c r="AS124" s="86"/>
      <c r="AT124" s="86"/>
      <c r="AU124" s="86"/>
      <c r="AV124" s="1349"/>
      <c r="AX124" s="86"/>
      <c r="AY124" s="86"/>
      <c r="AZ124" s="86"/>
      <c r="BA124" s="86"/>
      <c r="BC124" s="86"/>
      <c r="BD124" s="86"/>
      <c r="BE124" s="86"/>
      <c r="BF124" s="86"/>
      <c r="BH124" s="86"/>
      <c r="BI124" s="86"/>
      <c r="BJ124" s="86"/>
      <c r="BK124" s="86"/>
      <c r="BM124" s="86"/>
      <c r="BN124" s="86"/>
      <c r="BO124" s="86"/>
      <c r="BP124" s="86"/>
    </row>
    <row r="125" spans="2:68">
      <c r="C125" t="s">
        <v>150</v>
      </c>
      <c r="E125" s="86"/>
      <c r="F125" s="86"/>
      <c r="G125" s="86"/>
      <c r="H125" s="86"/>
      <c r="J125" s="86"/>
      <c r="K125" s="86"/>
      <c r="L125" s="86"/>
      <c r="M125" s="86"/>
      <c r="O125" s="86"/>
      <c r="P125" s="86"/>
      <c r="Q125" s="86"/>
      <c r="R125" s="86"/>
      <c r="T125" s="86"/>
      <c r="U125" s="86"/>
      <c r="V125" s="86"/>
      <c r="W125" s="86"/>
      <c r="X125" s="1346">
        <v>0</v>
      </c>
      <c r="Y125" s="1346">
        <v>172.21100000000001</v>
      </c>
      <c r="Z125" s="1346">
        <v>292.05099999999999</v>
      </c>
      <c r="AA125" s="1346">
        <v>1.0629999999999999</v>
      </c>
      <c r="AB125" s="1349">
        <f>AC125</f>
        <v>0</v>
      </c>
      <c r="AC125" s="1346">
        <v>0</v>
      </c>
      <c r="AD125" s="1346">
        <v>27.108000000000001</v>
      </c>
      <c r="AE125" s="1346">
        <v>34.722999999999999</v>
      </c>
      <c r="AF125" s="1346">
        <v>0</v>
      </c>
      <c r="AG125" s="1349">
        <f>AH125</f>
        <v>0</v>
      </c>
      <c r="AH125" s="1346">
        <v>0</v>
      </c>
      <c r="AI125" s="1424">
        <v>0</v>
      </c>
      <c r="AJ125" s="1424">
        <v>0</v>
      </c>
      <c r="AK125" s="1424">
        <v>0</v>
      </c>
      <c r="AL125" s="1349">
        <f>AM125</f>
        <v>0</v>
      </c>
      <c r="AM125" s="1424">
        <v>0</v>
      </c>
      <c r="AN125" s="1424">
        <v>0</v>
      </c>
      <c r="AO125" s="1424">
        <v>177.1</v>
      </c>
      <c r="AP125" s="1424">
        <v>0</v>
      </c>
      <c r="AQ125" s="1349">
        <f>AR125</f>
        <v>0</v>
      </c>
      <c r="AR125" s="1530">
        <v>0</v>
      </c>
      <c r="AS125" s="1530">
        <v>18.3</v>
      </c>
      <c r="AT125" s="1530">
        <v>0</v>
      </c>
      <c r="AU125" s="1530">
        <v>167.6</v>
      </c>
      <c r="AV125" s="1349">
        <f>AW125</f>
        <v>87.8</v>
      </c>
      <c r="AW125" s="1530">
        <v>87.8</v>
      </c>
      <c r="AX125" s="86"/>
      <c r="AY125" s="86"/>
      <c r="AZ125" s="86"/>
      <c r="BA125" s="86"/>
      <c r="BC125" s="86"/>
      <c r="BD125" s="86"/>
      <c r="BE125" s="86"/>
      <c r="BF125" s="86"/>
      <c r="BH125" s="86"/>
      <c r="BI125" s="86"/>
      <c r="BJ125" s="86"/>
      <c r="BK125" s="86"/>
      <c r="BM125" s="86"/>
      <c r="BN125" s="86"/>
      <c r="BO125" s="86"/>
      <c r="BP125" s="86"/>
    </row>
    <row r="126" spans="2:68">
      <c r="C126" t="s">
        <v>296</v>
      </c>
      <c r="E126" s="86"/>
      <c r="F126" s="86"/>
      <c r="G126" s="86"/>
      <c r="H126" s="86"/>
      <c r="J126" s="86"/>
      <c r="K126" s="86"/>
      <c r="L126" s="86"/>
      <c r="M126" s="86"/>
      <c r="O126" s="86"/>
      <c r="P126" s="86"/>
      <c r="Q126" s="86"/>
      <c r="R126" s="86"/>
      <c r="T126" s="86"/>
      <c r="U126" s="86"/>
      <c r="V126" s="86"/>
      <c r="W126" s="86"/>
      <c r="X126" s="1346">
        <v>103.33499999999999</v>
      </c>
      <c r="Y126" s="1346">
        <v>151.63</v>
      </c>
      <c r="Z126" s="1346">
        <v>80.587000000000003</v>
      </c>
      <c r="AA126" s="1346">
        <v>32.756</v>
      </c>
      <c r="AB126" s="1349">
        <f>AC126</f>
        <v>105.538</v>
      </c>
      <c r="AC126" s="1346">
        <v>105.538</v>
      </c>
      <c r="AD126" s="1346">
        <v>178.86600000000001</v>
      </c>
      <c r="AE126" s="1346">
        <v>61.747</v>
      </c>
      <c r="AF126" s="1346">
        <v>77.953999999999994</v>
      </c>
      <c r="AG126" s="1349">
        <f>AH126</f>
        <v>72.603999999999999</v>
      </c>
      <c r="AH126" s="1346">
        <v>72.603999999999999</v>
      </c>
      <c r="AI126" s="1424">
        <v>53.500999999999998</v>
      </c>
      <c r="AJ126" s="1424">
        <v>79.682000000000002</v>
      </c>
      <c r="AK126" s="1424">
        <v>0</v>
      </c>
      <c r="AL126" s="1349">
        <f>AM126</f>
        <v>0</v>
      </c>
      <c r="AM126" s="1424">
        <v>0</v>
      </c>
      <c r="AN126" s="1424">
        <v>0</v>
      </c>
      <c r="AO126" s="1424">
        <v>47.604999999999997</v>
      </c>
      <c r="AP126" s="1424">
        <v>41.341999999999999</v>
      </c>
      <c r="AQ126" s="1349">
        <f>AR126</f>
        <v>169.5</v>
      </c>
      <c r="AR126" s="1530">
        <v>169.5</v>
      </c>
      <c r="AS126" s="1530">
        <v>126.5</v>
      </c>
      <c r="AT126" s="1530">
        <v>197.7</v>
      </c>
      <c r="AU126" s="1530">
        <v>0</v>
      </c>
      <c r="AV126" s="1349">
        <f>AW126</f>
        <v>0</v>
      </c>
      <c r="AW126" s="1530">
        <v>0</v>
      </c>
      <c r="AX126" s="86"/>
      <c r="AY126" s="86"/>
      <c r="AZ126" s="86"/>
      <c r="BA126" s="86"/>
      <c r="BC126" s="86"/>
      <c r="BD126" s="86"/>
      <c r="BE126" s="86"/>
      <c r="BF126" s="86"/>
      <c r="BH126" s="86"/>
      <c r="BI126" s="86"/>
      <c r="BJ126" s="86"/>
      <c r="BK126" s="86"/>
      <c r="BM126" s="86"/>
      <c r="BN126" s="86"/>
      <c r="BO126" s="86"/>
      <c r="BP126" s="86"/>
    </row>
    <row r="127" spans="2:68">
      <c r="C127" t="s">
        <v>297</v>
      </c>
      <c r="E127" s="86"/>
      <c r="F127" s="86"/>
      <c r="G127" s="86"/>
      <c r="H127" s="86"/>
      <c r="J127" s="86"/>
      <c r="K127" s="86"/>
      <c r="L127" s="86"/>
      <c r="M127" s="86"/>
      <c r="O127" s="86"/>
      <c r="P127" s="86"/>
      <c r="Q127" s="86"/>
      <c r="R127" s="86"/>
      <c r="T127" s="86"/>
      <c r="U127" s="86"/>
      <c r="V127" s="86"/>
      <c r="W127" s="86"/>
      <c r="X127" s="1346">
        <v>50.360999999999997</v>
      </c>
      <c r="Y127" s="1346">
        <v>91.876999999999995</v>
      </c>
      <c r="Z127" s="1346">
        <v>95.853999999999999</v>
      </c>
      <c r="AA127" s="1346">
        <v>19.198</v>
      </c>
      <c r="AB127" s="1349">
        <f>AC127</f>
        <v>23.533000000000001</v>
      </c>
      <c r="AC127" s="1346">
        <v>23.533000000000001</v>
      </c>
      <c r="AD127" s="1346">
        <v>39.905000000000001</v>
      </c>
      <c r="AE127" s="1346">
        <v>51.835000000000001</v>
      </c>
      <c r="AF127" s="1346">
        <v>55.765999999999998</v>
      </c>
      <c r="AG127" s="1349">
        <f>AH127</f>
        <v>72.715000000000003</v>
      </c>
      <c r="AH127" s="1346">
        <v>72.715000000000003</v>
      </c>
      <c r="AI127" s="1424">
        <v>92.775000000000006</v>
      </c>
      <c r="AJ127" s="1424">
        <v>95.745999999999995</v>
      </c>
      <c r="AK127" s="1424">
        <v>17.617000000000001</v>
      </c>
      <c r="AL127" s="1349">
        <f>AM127</f>
        <v>0</v>
      </c>
      <c r="AM127" s="1424">
        <v>0</v>
      </c>
      <c r="AN127" s="1424">
        <v>0</v>
      </c>
      <c r="AO127" s="1424">
        <v>38.826000000000001</v>
      </c>
      <c r="AP127" s="1424">
        <v>46.938000000000002</v>
      </c>
      <c r="AQ127" s="1349">
        <f>AR127</f>
        <v>0</v>
      </c>
      <c r="AR127" s="1579">
        <f>+AM127</f>
        <v>0</v>
      </c>
      <c r="AS127" s="1225">
        <f>AR127</f>
        <v>0</v>
      </c>
      <c r="AT127" s="1225">
        <v>0</v>
      </c>
      <c r="AU127" s="1225">
        <v>0</v>
      </c>
      <c r="AV127" s="1349">
        <f>AW127</f>
        <v>0</v>
      </c>
      <c r="AW127" s="1579">
        <v>0</v>
      </c>
      <c r="AX127" s="86"/>
      <c r="AY127" s="86"/>
      <c r="AZ127" s="86"/>
      <c r="BA127" s="86"/>
      <c r="BC127" s="86"/>
      <c r="BD127" s="86"/>
      <c r="BE127" s="86"/>
      <c r="BF127" s="86"/>
      <c r="BH127" s="86"/>
      <c r="BI127" s="86"/>
      <c r="BJ127" s="86"/>
      <c r="BK127" s="86"/>
      <c r="BM127" s="86"/>
      <c r="BN127" s="86"/>
      <c r="BO127" s="86"/>
      <c r="BP127" s="86"/>
    </row>
    <row r="128" spans="2:68" s="1240" customFormat="1">
      <c r="C128" s="1240" t="s">
        <v>880</v>
      </c>
      <c r="E128" s="221"/>
      <c r="F128" s="221"/>
      <c r="G128" s="221"/>
      <c r="H128" s="221"/>
      <c r="X128" s="112">
        <f t="shared" ref="X128:AF128" si="25">SUM(X125:X127)</f>
        <v>153.696</v>
      </c>
      <c r="Y128" s="112">
        <f t="shared" si="25"/>
        <v>415.71800000000002</v>
      </c>
      <c r="Z128" s="112">
        <f t="shared" si="25"/>
        <v>468.49199999999996</v>
      </c>
      <c r="AA128" s="112">
        <f t="shared" si="25"/>
        <v>53.017000000000003</v>
      </c>
      <c r="AB128" s="1348">
        <f t="shared" si="25"/>
        <v>129.071</v>
      </c>
      <c r="AC128" s="112">
        <f t="shared" si="25"/>
        <v>129.071</v>
      </c>
      <c r="AD128" s="112">
        <f t="shared" si="25"/>
        <v>245.87900000000002</v>
      </c>
      <c r="AE128" s="112">
        <f t="shared" si="25"/>
        <v>148.30500000000001</v>
      </c>
      <c r="AF128" s="112">
        <f t="shared" si="25"/>
        <v>133.72</v>
      </c>
      <c r="AG128" s="1348">
        <f t="shared" ref="AG128:AL128" si="26">SUM(AG125:AG127)</f>
        <v>145.31900000000002</v>
      </c>
      <c r="AH128" s="112">
        <f t="shared" si="26"/>
        <v>145.31900000000002</v>
      </c>
      <c r="AI128" s="1425">
        <f t="shared" si="26"/>
        <v>146.27600000000001</v>
      </c>
      <c r="AJ128" s="1425">
        <f t="shared" si="26"/>
        <v>175.428</v>
      </c>
      <c r="AK128" s="1425">
        <f t="shared" si="26"/>
        <v>17.617000000000001</v>
      </c>
      <c r="AL128" s="1348">
        <f t="shared" si="26"/>
        <v>0</v>
      </c>
      <c r="AM128" s="1425">
        <f t="shared" ref="AM128:AT128" si="27">SUM(AM125:AM127)</f>
        <v>0</v>
      </c>
      <c r="AN128" s="1425">
        <f t="shared" si="27"/>
        <v>0</v>
      </c>
      <c r="AO128" s="1425">
        <f t="shared" si="27"/>
        <v>263.53100000000001</v>
      </c>
      <c r="AP128" s="1425">
        <f t="shared" si="27"/>
        <v>88.28</v>
      </c>
      <c r="AQ128" s="1425">
        <f t="shared" si="27"/>
        <v>169.5</v>
      </c>
      <c r="AR128" s="1425">
        <f t="shared" si="27"/>
        <v>169.5</v>
      </c>
      <c r="AS128" s="1425">
        <f t="shared" si="27"/>
        <v>144.80000000000001</v>
      </c>
      <c r="AT128" s="1425">
        <f t="shared" si="27"/>
        <v>197.7</v>
      </c>
      <c r="AU128" s="1425">
        <f>SUM(AU125:AU127)</f>
        <v>167.6</v>
      </c>
      <c r="AV128" s="1425">
        <f t="shared" ref="AV128:AW128" si="28">SUM(AV125:AV127)</f>
        <v>87.8</v>
      </c>
      <c r="AW128" s="1425">
        <f t="shared" si="28"/>
        <v>87.8</v>
      </c>
    </row>
    <row r="129" spans="2:68">
      <c r="E129" s="86"/>
      <c r="F129" s="86"/>
      <c r="G129" s="86"/>
      <c r="H129" s="86"/>
      <c r="J129" s="86"/>
      <c r="K129" s="86"/>
      <c r="L129" s="86"/>
      <c r="M129" s="86"/>
      <c r="O129" s="86"/>
      <c r="P129" s="86"/>
      <c r="Q129" s="86"/>
      <c r="R129" s="86"/>
      <c r="T129" s="86"/>
      <c r="U129" s="86"/>
      <c r="V129" s="86"/>
      <c r="W129" s="86"/>
      <c r="X129" s="72"/>
      <c r="Y129" s="72"/>
      <c r="Z129" s="72"/>
      <c r="AA129" s="72"/>
      <c r="AB129" s="72"/>
      <c r="AC129" s="72"/>
      <c r="AD129" s="72"/>
      <c r="AE129" s="72"/>
      <c r="AF129" s="72"/>
      <c r="AG129" s="72"/>
      <c r="AH129" s="72"/>
      <c r="AI129" s="1426"/>
      <c r="AJ129" s="1426"/>
      <c r="AK129" s="1426"/>
      <c r="AL129" s="72"/>
      <c r="AM129" s="1426"/>
      <c r="AN129" s="86"/>
      <c r="AO129" s="86"/>
      <c r="AP129" s="86"/>
      <c r="AQ129" s="86"/>
      <c r="AR129" s="1300"/>
      <c r="AS129" s="86"/>
      <c r="AT129" s="86"/>
      <c r="AU129" s="86"/>
      <c r="AV129" s="86"/>
      <c r="AW129" s="1300"/>
      <c r="AX129" s="86"/>
      <c r="AY129" s="86"/>
      <c r="AZ129" s="86"/>
      <c r="BA129" s="86"/>
      <c r="BC129" s="86"/>
      <c r="BD129" s="86"/>
      <c r="BE129" s="86"/>
      <c r="BF129" s="86"/>
      <c r="BH129" s="86"/>
      <c r="BI129" s="86"/>
      <c r="BJ129" s="86"/>
      <c r="BK129" s="86"/>
      <c r="BM129" s="86"/>
      <c r="BN129" s="86"/>
      <c r="BO129" s="86"/>
      <c r="BP129" s="86"/>
    </row>
    <row r="130" spans="2:68">
      <c r="B130" s="46" t="s">
        <v>865</v>
      </c>
      <c r="C130" s="46"/>
      <c r="D130" s="46"/>
      <c r="E130" s="94"/>
      <c r="F130" s="94"/>
      <c r="G130" s="94"/>
      <c r="H130" s="94"/>
      <c r="J130" s="86"/>
      <c r="K130" s="86"/>
      <c r="L130" s="86"/>
      <c r="M130" s="86"/>
      <c r="O130" s="86"/>
      <c r="P130" s="86"/>
      <c r="Q130" s="86"/>
      <c r="R130" s="86"/>
      <c r="T130" s="86"/>
      <c r="U130" s="86"/>
      <c r="V130" s="86"/>
      <c r="W130" s="86"/>
      <c r="X130" s="72"/>
      <c r="Y130" s="72"/>
      <c r="Z130" s="72"/>
      <c r="AA130" s="72"/>
      <c r="AB130" s="72"/>
      <c r="AC130" s="72"/>
      <c r="AD130" s="72"/>
      <c r="AE130" s="72"/>
      <c r="AF130" s="72"/>
      <c r="AG130" s="72"/>
      <c r="AH130" s="72"/>
      <c r="AI130" s="1426"/>
      <c r="AJ130" s="1426"/>
      <c r="AK130" s="1426"/>
      <c r="AL130" s="72"/>
      <c r="AM130" s="1426"/>
      <c r="AN130" s="86"/>
      <c r="AO130" s="86"/>
      <c r="AP130" s="86"/>
      <c r="AQ130" s="86"/>
      <c r="AR130" s="1300"/>
      <c r="AS130" s="86"/>
      <c r="AT130" s="86"/>
      <c r="AU130" s="86"/>
      <c r="AV130" s="86"/>
      <c r="AW130" s="1300"/>
      <c r="AX130" s="86"/>
      <c r="AY130" s="86"/>
      <c r="AZ130" s="86"/>
      <c r="BA130" s="86"/>
      <c r="BC130" s="86"/>
      <c r="BD130" s="86"/>
      <c r="BE130" s="86"/>
      <c r="BF130" s="86"/>
      <c r="BH130" s="86"/>
      <c r="BI130" s="86"/>
      <c r="BJ130" s="86"/>
      <c r="BK130" s="86"/>
      <c r="BM130" s="86"/>
      <c r="BN130" s="86"/>
      <c r="BO130" s="86"/>
      <c r="BP130" s="86"/>
    </row>
    <row r="131" spans="2:68">
      <c r="C131" t="s">
        <v>354</v>
      </c>
      <c r="E131" s="86"/>
      <c r="F131" s="86"/>
      <c r="G131" s="86"/>
      <c r="H131" s="86"/>
      <c r="J131" s="86"/>
      <c r="K131" s="86"/>
      <c r="L131" s="86"/>
      <c r="M131" s="86"/>
      <c r="O131" s="86"/>
      <c r="P131" s="86"/>
      <c r="Q131" s="86"/>
      <c r="R131" s="86"/>
      <c r="T131" s="86"/>
      <c r="U131" s="86"/>
      <c r="V131" s="86"/>
      <c r="W131" s="86"/>
      <c r="X131" s="1346">
        <f xml:space="preserve"> 574.679+3127.763</f>
        <v>3702.442</v>
      </c>
      <c r="Y131" s="1346">
        <f xml:space="preserve"> 574.679+3127.92</f>
        <v>3702.5990000000002</v>
      </c>
      <c r="Z131" s="1346">
        <f>574.681+3128.078</f>
        <v>3702.759</v>
      </c>
      <c r="AA131" s="1346">
        <f>229.682+3198.235</f>
        <v>3427.9169999999999</v>
      </c>
      <c r="AB131" s="561">
        <f t="shared" ref="AB131:AB136" si="29">AC131</f>
        <v>4194.357</v>
      </c>
      <c r="AC131" s="1346">
        <f>342.36+3765.997+86</f>
        <v>4194.357</v>
      </c>
      <c r="AD131" s="1346">
        <f>553.399+3555.117+86</f>
        <v>4194.5160000000005</v>
      </c>
      <c r="AE131" s="1346">
        <f>653.4+86+3253.217</f>
        <v>3992.6170000000002</v>
      </c>
      <c r="AF131" s="1346">
        <f>652.211+86+3241.896</f>
        <v>3980.107</v>
      </c>
      <c r="AG131" s="561">
        <f t="shared" ref="AG131:AG136" si="30">AH131</f>
        <v>3980.2739999999999</v>
      </c>
      <c r="AH131" s="1346">
        <f>552.212+86+3342.062</f>
        <v>3980.2739999999999</v>
      </c>
      <c r="AI131" s="1424">
        <f>552.409+86+3330.966</f>
        <v>3969.375</v>
      </c>
      <c r="AJ131" s="1424">
        <f>3714.237+252.41</f>
        <v>3966.6469999999999</v>
      </c>
      <c r="AK131" s="1424">
        <f>318.02+3637.275</f>
        <v>3955.2950000000001</v>
      </c>
      <c r="AL131" s="561">
        <f t="shared" ref="AL131:AL136" si="31">AM131</f>
        <v>3930.7</v>
      </c>
      <c r="AM131" s="1424">
        <f>318+3612.7</f>
        <v>3930.7</v>
      </c>
      <c r="AN131" s="1424">
        <f>318.3+3601</f>
        <v>3919.3</v>
      </c>
      <c r="AO131" s="1424">
        <f>568.3+3476.2</f>
        <v>4044.5</v>
      </c>
      <c r="AP131" s="1424">
        <f>503.1+3530</f>
        <v>4033.1</v>
      </c>
      <c r="AQ131" s="561">
        <f t="shared" ref="AQ131:AQ136" si="32">AR131</f>
        <v>4033.9</v>
      </c>
      <c r="AR131" s="1530">
        <f>503.1+3530.8</f>
        <v>4033.9</v>
      </c>
      <c r="AS131" s="1530">
        <f>399+3519.8</f>
        <v>3918.8</v>
      </c>
      <c r="AT131" s="1530">
        <f>3841.5+149</f>
        <v>3990.5</v>
      </c>
      <c r="AU131" s="1530">
        <f>149.2+3830.1</f>
        <v>3979.2999999999997</v>
      </c>
      <c r="AV131" s="561">
        <f t="shared" ref="AV131:AV136" si="33">AW131</f>
        <v>3980.1</v>
      </c>
      <c r="AW131" s="1530">
        <f>3730.9+249.2</f>
        <v>3980.1</v>
      </c>
      <c r="AX131" s="86"/>
      <c r="AY131" s="86"/>
      <c r="AZ131" s="86"/>
      <c r="BA131" s="86"/>
      <c r="BC131" s="86"/>
      <c r="BD131" s="86"/>
      <c r="BE131" s="86"/>
      <c r="BF131" s="86"/>
      <c r="BH131" s="86"/>
      <c r="BI131" s="86"/>
      <c r="BJ131" s="86"/>
      <c r="BK131" s="86"/>
      <c r="BM131" s="86"/>
      <c r="BN131" s="86"/>
      <c r="BO131" s="86"/>
      <c r="BP131" s="86"/>
    </row>
    <row r="132" spans="2:68">
      <c r="C132" t="s">
        <v>617</v>
      </c>
      <c r="E132" s="86"/>
      <c r="F132" s="86"/>
      <c r="G132" s="86"/>
      <c r="H132" s="86"/>
      <c r="J132" s="86"/>
      <c r="K132" s="86"/>
      <c r="L132" s="86"/>
      <c r="M132" s="86"/>
      <c r="O132" s="86"/>
      <c r="P132" s="86"/>
      <c r="Q132" s="86"/>
      <c r="R132" s="86"/>
      <c r="T132" s="86"/>
      <c r="U132" s="86"/>
      <c r="V132" s="86"/>
      <c r="W132" s="86"/>
      <c r="X132" s="1346">
        <f>529.222+20</f>
        <v>549.22199999999998</v>
      </c>
      <c r="Y132" s="1346">
        <f>529.264+20</f>
        <v>549.26400000000001</v>
      </c>
      <c r="Z132" s="1346">
        <f>529.305+20</f>
        <v>549.30499999999995</v>
      </c>
      <c r="AA132" s="1346">
        <f>529.347+20</f>
        <v>549.34699999999998</v>
      </c>
      <c r="AB132" s="561">
        <f t="shared" si="29"/>
        <v>749.38900000000001</v>
      </c>
      <c r="AC132" s="1346">
        <f>(729.389+20)</f>
        <v>749.38900000000001</v>
      </c>
      <c r="AD132" s="1346">
        <f>(729.43+20)</f>
        <v>749.43</v>
      </c>
      <c r="AE132" s="1346">
        <f>(265+20+529.472)</f>
        <v>814.47199999999998</v>
      </c>
      <c r="AF132" s="1346">
        <f>(65+20+729.514)</f>
        <v>814.51400000000001</v>
      </c>
      <c r="AG132" s="561">
        <f t="shared" si="30"/>
        <v>819.55499999999995</v>
      </c>
      <c r="AH132" s="1346">
        <f>65+754.555</f>
        <v>819.55499999999995</v>
      </c>
      <c r="AI132" s="1424">
        <f>65+779.597</f>
        <v>844.59699999999998</v>
      </c>
      <c r="AJ132" s="1424">
        <f>779.639+65</f>
        <v>844.63900000000001</v>
      </c>
      <c r="AK132" s="1424">
        <f>779.68+65</f>
        <v>844.68</v>
      </c>
      <c r="AL132" s="561">
        <f t="shared" si="31"/>
        <v>866.45100000000002</v>
      </c>
      <c r="AM132" s="1424">
        <f>65+801.451</f>
        <v>866.45100000000002</v>
      </c>
      <c r="AN132" s="1424">
        <f>65+801.633</f>
        <v>866.63300000000004</v>
      </c>
      <c r="AO132" s="1424">
        <f>65+801.809</f>
        <v>866.80899999999997</v>
      </c>
      <c r="AP132" s="1424">
        <f>390+476.982</f>
        <v>866.98199999999997</v>
      </c>
      <c r="AQ132" s="561">
        <f t="shared" si="32"/>
        <v>867.16399999999999</v>
      </c>
      <c r="AR132" s="1530">
        <f>390+477.164</f>
        <v>867.16399999999999</v>
      </c>
      <c r="AS132" s="1530">
        <f>390+477.345</f>
        <v>867.34500000000003</v>
      </c>
      <c r="AT132" s="1530">
        <f>325+542.951</f>
        <v>867.95100000000002</v>
      </c>
      <c r="AU132" s="1530">
        <v>867.10699999999997</v>
      </c>
      <c r="AV132" s="561">
        <f t="shared" si="33"/>
        <v>867.18799999999999</v>
      </c>
      <c r="AW132" s="1530">
        <f>75+792.188</f>
        <v>867.18799999999999</v>
      </c>
      <c r="AX132" s="86"/>
      <c r="AY132" s="86"/>
      <c r="AZ132" s="86"/>
      <c r="BA132" s="86"/>
      <c r="BC132" s="86"/>
      <c r="BD132" s="86"/>
      <c r="BE132" s="86"/>
      <c r="BF132" s="86"/>
      <c r="BH132" s="86"/>
      <c r="BI132" s="86"/>
      <c r="BJ132" s="86"/>
      <c r="BK132" s="86"/>
      <c r="BM132" s="86"/>
      <c r="BN132" s="86"/>
      <c r="BO132" s="86"/>
      <c r="BP132" s="86"/>
    </row>
    <row r="133" spans="2:68">
      <c r="C133" t="s">
        <v>355</v>
      </c>
      <c r="E133" s="86"/>
      <c r="F133" s="86"/>
      <c r="G133" s="86"/>
      <c r="H133" s="86"/>
      <c r="J133" s="86"/>
      <c r="K133" s="86"/>
      <c r="L133" s="86"/>
      <c r="M133" s="86"/>
      <c r="O133" s="86"/>
      <c r="P133" s="86"/>
      <c r="Q133" s="86"/>
      <c r="R133" s="86"/>
      <c r="T133" s="86"/>
      <c r="U133" s="86"/>
      <c r="V133" s="86"/>
      <c r="W133" s="86"/>
      <c r="X133" s="1346">
        <f>203.953+1853.713</f>
        <v>2057.6660000000002</v>
      </c>
      <c r="Y133" s="1346">
        <f>197.066+2085.514</f>
        <v>2282.58</v>
      </c>
      <c r="Z133" s="1346">
        <f>228.748+2076.444</f>
        <v>2305.192</v>
      </c>
      <c r="AA133" s="1346">
        <f>224.859+2046.754</f>
        <v>2271.6129999999998</v>
      </c>
      <c r="AB133" s="561">
        <f t="shared" si="29"/>
        <v>2039.0160000000001</v>
      </c>
      <c r="AC133" s="1346">
        <f>294.845+1744.171</f>
        <v>2039.0160000000001</v>
      </c>
      <c r="AD133" s="1346">
        <f>287.598+1725.246</f>
        <v>2012.8440000000001</v>
      </c>
      <c r="AE133" s="1346">
        <f>260.728+1718.313</f>
        <v>1979.0410000000002</v>
      </c>
      <c r="AF133" s="1346">
        <f>238.698+1710.233</f>
        <v>1948.931</v>
      </c>
      <c r="AG133" s="561">
        <f t="shared" si="30"/>
        <v>2027.3969999999999</v>
      </c>
      <c r="AH133" s="1346">
        <f>382.187+1645.21</f>
        <v>2027.3969999999999</v>
      </c>
      <c r="AI133" s="1424">
        <f>374.347+1627.262</f>
        <v>2001.6089999999999</v>
      </c>
      <c r="AJ133" s="1424">
        <f>312.37+1776.543</f>
        <v>2088.913</v>
      </c>
      <c r="AK133" s="1424">
        <f>301.148+1759.503</f>
        <v>2060.6509999999998</v>
      </c>
      <c r="AL133" s="561">
        <f t="shared" si="31"/>
        <v>2000</v>
      </c>
      <c r="AM133" s="1424">
        <f>162.9+1837.1</f>
        <v>2000</v>
      </c>
      <c r="AN133" s="1424">
        <f>151.5+2215.1</f>
        <v>2366.6</v>
      </c>
      <c r="AO133" s="1424">
        <f>174.2+2256.1</f>
        <v>2430.2999999999997</v>
      </c>
      <c r="AP133" s="1424">
        <f>176.1+2231.3</f>
        <v>2407.4</v>
      </c>
      <c r="AQ133" s="561">
        <f t="shared" si="32"/>
        <v>2471.4</v>
      </c>
      <c r="AR133" s="1530">
        <f>209.3+2262.1</f>
        <v>2471.4</v>
      </c>
      <c r="AS133" s="1530">
        <f>199.1+2240.4</f>
        <v>2439.5</v>
      </c>
      <c r="AT133" s="1530">
        <f>479.8+2211.6</f>
        <v>2691.4</v>
      </c>
      <c r="AU133" s="1530">
        <f>2196.4+462.1</f>
        <v>2658.5</v>
      </c>
      <c r="AV133" s="561">
        <f t="shared" si="33"/>
        <v>2745.1</v>
      </c>
      <c r="AW133" s="1530">
        <f>474.7+2270.4</f>
        <v>2745.1</v>
      </c>
      <c r="AX133" s="86"/>
      <c r="AY133" s="86"/>
      <c r="AZ133" s="86"/>
      <c r="BA133" s="86"/>
      <c r="BC133" s="86"/>
      <c r="BD133" s="86"/>
      <c r="BE133" s="86"/>
      <c r="BF133" s="86"/>
      <c r="BH133" s="86"/>
      <c r="BI133" s="86"/>
      <c r="BJ133" s="86"/>
      <c r="BK133" s="86"/>
      <c r="BM133" s="86"/>
      <c r="BN133" s="86"/>
      <c r="BO133" s="86"/>
      <c r="BP133" s="86"/>
    </row>
    <row r="134" spans="2:68">
      <c r="C134" t="s">
        <v>357</v>
      </c>
      <c r="E134" s="86"/>
      <c r="F134" s="86"/>
      <c r="G134" s="86"/>
      <c r="H134" s="86"/>
      <c r="J134" s="86"/>
      <c r="K134" s="86"/>
      <c r="L134" s="86"/>
      <c r="M134" s="86"/>
      <c r="O134" s="86"/>
      <c r="P134" s="86"/>
      <c r="Q134" s="86"/>
      <c r="R134" s="86"/>
      <c r="T134" s="86"/>
      <c r="U134" s="86"/>
      <c r="V134" s="86"/>
      <c r="W134" s="86"/>
      <c r="X134" s="1346">
        <f>3.25+2042.978</f>
        <v>2046.2280000000001</v>
      </c>
      <c r="Y134" s="1346">
        <f>3.25+2041.442</f>
        <v>2044.692</v>
      </c>
      <c r="Z134" s="1346">
        <f>3.25+2041.53</f>
        <v>2044.78</v>
      </c>
      <c r="AA134" s="1346">
        <f>3.25+2039.994</f>
        <v>2043.2439999999999</v>
      </c>
      <c r="AB134" s="561">
        <f t="shared" si="29"/>
        <v>2043.3320000000001</v>
      </c>
      <c r="AC134" s="1346">
        <f>(3.25+2040.082)</f>
        <v>2043.3320000000001</v>
      </c>
      <c r="AD134" s="1346">
        <f>(56.75+1985.046)</f>
        <v>2041.796</v>
      </c>
      <c r="AE134" s="1346">
        <f>(156.75+1885.135)</f>
        <v>2041.885</v>
      </c>
      <c r="AF134" s="1346">
        <f>(306.75+1833.598)</f>
        <v>2140.348</v>
      </c>
      <c r="AG134" s="561">
        <f t="shared" si="30"/>
        <v>2140.4369999999999</v>
      </c>
      <c r="AH134" s="1346">
        <f>306.75+1833.687</f>
        <v>2140.4369999999999</v>
      </c>
      <c r="AI134" s="1424">
        <f>253.25+2282.111</f>
        <v>2535.3609999999999</v>
      </c>
      <c r="AJ134" s="1424">
        <f>2282.228+153.25</f>
        <v>2435.4780000000001</v>
      </c>
      <c r="AK134" s="1424">
        <f>3.25+2280.716</f>
        <v>2283.9659999999999</v>
      </c>
      <c r="AL134" s="561">
        <f t="shared" si="31"/>
        <v>2273.5</v>
      </c>
      <c r="AM134" s="1424">
        <f>3.3+2270.2</f>
        <v>2273.5</v>
      </c>
      <c r="AN134" s="1424">
        <f>253.3+2019.1</f>
        <v>2272.4</v>
      </c>
      <c r="AO134" s="1424">
        <f>253.3+2019.5</f>
        <v>2272.8000000000002</v>
      </c>
      <c r="AP134" s="1424">
        <f>354+2320</f>
        <v>2674</v>
      </c>
      <c r="AQ134" s="561">
        <f t="shared" si="32"/>
        <v>2679.1</v>
      </c>
      <c r="AR134" s="1530">
        <f>353.7+2325.4</f>
        <v>2679.1</v>
      </c>
      <c r="AS134" s="1530">
        <f>485.4+1942.3</f>
        <v>2427.6999999999998</v>
      </c>
      <c r="AT134" s="1530">
        <f>385.4+2057.3</f>
        <v>2442.7000000000003</v>
      </c>
      <c r="AU134" s="1530">
        <f>385.4+2056.1</f>
        <v>2441.5</v>
      </c>
      <c r="AV134" s="561">
        <f t="shared" si="33"/>
        <v>2441.8999999999996</v>
      </c>
      <c r="AW134" s="1530">
        <f>3.7+2438.2</f>
        <v>2441.8999999999996</v>
      </c>
      <c r="AX134" s="86"/>
      <c r="AY134" s="86"/>
      <c r="AZ134" s="86"/>
      <c r="BA134" s="86"/>
      <c r="BC134" s="86"/>
      <c r="BD134" s="86"/>
      <c r="BE134" s="86"/>
      <c r="BF134" s="86"/>
      <c r="BH134" s="86"/>
      <c r="BI134" s="86"/>
      <c r="BJ134" s="86"/>
      <c r="BK134" s="86"/>
      <c r="BM134" s="86"/>
      <c r="BN134" s="86"/>
      <c r="BO134" s="86"/>
      <c r="BP134" s="86"/>
    </row>
    <row r="135" spans="2:68">
      <c r="C135" t="s">
        <v>637</v>
      </c>
      <c r="E135" s="86"/>
      <c r="F135" s="86"/>
      <c r="G135" s="86"/>
      <c r="H135" s="86"/>
      <c r="J135" s="86"/>
      <c r="K135" s="86"/>
      <c r="L135" s="86"/>
      <c r="M135" s="86"/>
      <c r="O135" s="86"/>
      <c r="P135" s="86"/>
      <c r="Q135" s="86"/>
      <c r="R135" s="86"/>
      <c r="T135" s="86"/>
      <c r="U135" s="86"/>
      <c r="V135" s="86"/>
      <c r="W135" s="86"/>
      <c r="X135" s="1346">
        <f>949.107+0.764</f>
        <v>949.87099999999998</v>
      </c>
      <c r="Y135" s="1346">
        <f>0.405+949.451</f>
        <v>949.85599999999999</v>
      </c>
      <c r="Z135" s="1346">
        <f>34.108+915.733</f>
        <v>949.84099999999989</v>
      </c>
      <c r="AA135" s="1346">
        <f>34.111+915.715</f>
        <v>949.82600000000002</v>
      </c>
      <c r="AB135" s="561">
        <f t="shared" si="29"/>
        <v>999.81000000000006</v>
      </c>
      <c r="AC135" s="1346">
        <f>(34.115+965.695)</f>
        <v>999.81000000000006</v>
      </c>
      <c r="AD135" s="1346">
        <f>(34.118 +1015.675)</f>
        <v>1049.7929999999999</v>
      </c>
      <c r="AE135" s="1346">
        <f>(0.421+1040.654)</f>
        <v>1041.075</v>
      </c>
      <c r="AF135" s="1346">
        <f>(0.424+1040.632)</f>
        <v>1041.056</v>
      </c>
      <c r="AG135" s="561">
        <f t="shared" si="30"/>
        <v>1041.0359999999998</v>
      </c>
      <c r="AH135" s="1346">
        <f>0.427+1040.609</f>
        <v>1041.0359999999998</v>
      </c>
      <c r="AI135" s="1424">
        <f>0.43+1290.585</f>
        <v>1291.0150000000001</v>
      </c>
      <c r="AJ135" s="1424">
        <f>1290.561+0.434</f>
        <v>1290.9949999999999</v>
      </c>
      <c r="AK135" s="1424">
        <f>150.437+1140.536</f>
        <v>1290.973</v>
      </c>
      <c r="AL135" s="561">
        <f t="shared" si="31"/>
        <v>1286.0999999999999</v>
      </c>
      <c r="AM135" s="1424">
        <f>275.4+1010.7</f>
        <v>1286.0999999999999</v>
      </c>
      <c r="AN135" s="1424">
        <f>275.4+1010.9</f>
        <v>1286.3</v>
      </c>
      <c r="AO135" s="1424">
        <f>125.4+1161</f>
        <v>1286.4000000000001</v>
      </c>
      <c r="AP135" s="1424">
        <f>125.5+1160.7</f>
        <v>1286.2</v>
      </c>
      <c r="AQ135" s="561">
        <f t="shared" si="32"/>
        <v>1286</v>
      </c>
      <c r="AR135" s="1530">
        <f>0.5+1285.5</f>
        <v>1286</v>
      </c>
      <c r="AS135" s="1530">
        <f>0.5+1285.6</f>
        <v>1286.0999999999999</v>
      </c>
      <c r="AT135" s="1530">
        <f>0.5+1285.8</f>
        <v>1286.3</v>
      </c>
      <c r="AU135" s="1530">
        <f>1285.9+0.5</f>
        <v>1286.4000000000001</v>
      </c>
      <c r="AV135" s="561">
        <f t="shared" si="33"/>
        <v>1286.5</v>
      </c>
      <c r="AW135" s="1530">
        <f>1286+0.5</f>
        <v>1286.5</v>
      </c>
      <c r="AX135" s="86"/>
      <c r="AY135" s="86"/>
      <c r="AZ135" s="86"/>
      <c r="BA135" s="86"/>
      <c r="BC135" s="86"/>
      <c r="BD135" s="86"/>
      <c r="BE135" s="86"/>
      <c r="BF135" s="86"/>
      <c r="BH135" s="86"/>
      <c r="BI135" s="86"/>
      <c r="BJ135" s="86"/>
      <c r="BK135" s="86"/>
      <c r="BM135" s="86"/>
      <c r="BN135" s="86"/>
      <c r="BO135" s="86"/>
      <c r="BP135" s="86"/>
    </row>
    <row r="136" spans="2:68">
      <c r="C136" t="s">
        <v>490</v>
      </c>
      <c r="E136" s="86"/>
      <c r="F136" s="86"/>
      <c r="G136" s="86"/>
      <c r="H136" s="86"/>
      <c r="J136" s="86"/>
      <c r="K136" s="86"/>
      <c r="L136" s="86"/>
      <c r="M136" s="86"/>
      <c r="O136" s="86"/>
      <c r="P136" s="86"/>
      <c r="Q136" s="86"/>
      <c r="R136" s="86"/>
      <c r="T136" s="86"/>
      <c r="U136" s="86"/>
      <c r="V136" s="86"/>
      <c r="W136" s="86"/>
      <c r="X136" s="1346">
        <f>174.546+52.273</f>
        <v>226.81899999999999</v>
      </c>
      <c r="Y136" s="1346">
        <f>55.909+170.909</f>
        <v>226.81799999999998</v>
      </c>
      <c r="Z136" s="1346">
        <f>52.273+170.909</f>
        <v>223.18199999999999</v>
      </c>
      <c r="AA136" s="1346">
        <f>52.273+167.273</f>
        <v>219.54599999999999</v>
      </c>
      <c r="AB136" s="561">
        <f t="shared" si="29"/>
        <v>219.54599999999999</v>
      </c>
      <c r="AC136" s="1346">
        <f>(52.273+167.273)</f>
        <v>219.54599999999999</v>
      </c>
      <c r="AD136" s="1346">
        <f>(163.636+52.273)</f>
        <v>215.90899999999999</v>
      </c>
      <c r="AE136" s="1346">
        <f>(163.636+52.273)</f>
        <v>215.90899999999999</v>
      </c>
      <c r="AF136" s="1346">
        <f>(160+52.273)</f>
        <v>212.273</v>
      </c>
      <c r="AG136" s="561">
        <f t="shared" si="30"/>
        <v>212.273</v>
      </c>
      <c r="AH136" s="1346">
        <f>52.273+160</f>
        <v>212.273</v>
      </c>
      <c r="AI136" s="1424">
        <f>52.273+156.364</f>
        <v>208.637</v>
      </c>
      <c r="AJ136" s="1424">
        <f>52.273+156.364</f>
        <v>208.637</v>
      </c>
      <c r="AK136" s="1424">
        <f>52.273+152.727</f>
        <v>205</v>
      </c>
      <c r="AL136" s="561">
        <f t="shared" si="31"/>
        <v>204.30500000000001</v>
      </c>
      <c r="AM136" s="1424">
        <f>52.273+152.032</f>
        <v>204.30500000000001</v>
      </c>
      <c r="AN136" s="1424">
        <f>52.273+148.404</f>
        <v>200.67699999999999</v>
      </c>
      <c r="AO136" s="1424">
        <f>52.273+148.412</f>
        <v>200.685</v>
      </c>
      <c r="AP136" s="1424">
        <v>62.279000000000003</v>
      </c>
      <c r="AQ136" s="561">
        <f t="shared" si="32"/>
        <v>187.06100000000001</v>
      </c>
      <c r="AR136" s="1530">
        <f>62.28+124.781</f>
        <v>187.06100000000001</v>
      </c>
      <c r="AS136" s="1530">
        <f>45+124.813</f>
        <v>169.81299999999999</v>
      </c>
      <c r="AT136" s="1530">
        <f>45+124.738</f>
        <v>169.738</v>
      </c>
      <c r="AU136" s="1530">
        <f>45+124.867</f>
        <v>169.86700000000002</v>
      </c>
      <c r="AV136" s="561">
        <f t="shared" si="33"/>
        <v>169.89099999999999</v>
      </c>
      <c r="AW136" s="1530">
        <v>169.89099999999999</v>
      </c>
      <c r="AX136" s="86"/>
      <c r="AY136" s="86"/>
      <c r="AZ136" s="86"/>
      <c r="BA136" s="86"/>
      <c r="BC136" s="86"/>
      <c r="BD136" s="86"/>
      <c r="BE136" s="86"/>
      <c r="BF136" s="86"/>
      <c r="BH136" s="86"/>
      <c r="BI136" s="86"/>
      <c r="BJ136" s="86"/>
      <c r="BK136" s="86"/>
      <c r="BM136" s="86"/>
      <c r="BN136" s="86"/>
      <c r="BO136" s="86"/>
      <c r="BP136" s="86"/>
    </row>
    <row r="137" spans="2:68" s="1240" customFormat="1">
      <c r="C137" s="1240" t="s">
        <v>304</v>
      </c>
      <c r="E137" s="221"/>
      <c r="F137" s="221"/>
      <c r="G137" s="221"/>
      <c r="H137" s="221"/>
      <c r="X137" s="112">
        <f t="shared" ref="X137:AF137" si="34">SUM(X131:X136)</f>
        <v>9532.2479999999996</v>
      </c>
      <c r="Y137" s="112">
        <f t="shared" si="34"/>
        <v>9755.8089999999993</v>
      </c>
      <c r="Z137" s="112">
        <f t="shared" si="34"/>
        <v>9775.0590000000011</v>
      </c>
      <c r="AA137" s="112">
        <f t="shared" si="34"/>
        <v>9461.4930000000004</v>
      </c>
      <c r="AB137" s="1348">
        <f t="shared" si="34"/>
        <v>10245.450000000001</v>
      </c>
      <c r="AC137" s="112">
        <f t="shared" si="34"/>
        <v>10245.450000000001</v>
      </c>
      <c r="AD137" s="112">
        <f t="shared" si="34"/>
        <v>10264.288</v>
      </c>
      <c r="AE137" s="112">
        <f t="shared" si="34"/>
        <v>10084.999</v>
      </c>
      <c r="AF137" s="112">
        <f t="shared" si="34"/>
        <v>10137.228999999999</v>
      </c>
      <c r="AG137" s="1348">
        <f t="shared" ref="AG137:AL137" si="35">SUM(AG131:AG136)</f>
        <v>10220.972</v>
      </c>
      <c r="AH137" s="112">
        <f t="shared" si="35"/>
        <v>10220.972</v>
      </c>
      <c r="AI137" s="1425">
        <f t="shared" si="35"/>
        <v>10850.593999999999</v>
      </c>
      <c r="AJ137" s="1425">
        <f t="shared" si="35"/>
        <v>10835.308999999999</v>
      </c>
      <c r="AK137" s="1425">
        <f t="shared" si="35"/>
        <v>10640.565000000001</v>
      </c>
      <c r="AL137" s="1348">
        <f t="shared" si="35"/>
        <v>10561.056</v>
      </c>
      <c r="AM137" s="1425">
        <f t="shared" ref="AM137:AT137" si="36">SUM(AM131:AM136)</f>
        <v>10561.056</v>
      </c>
      <c r="AN137" s="1425">
        <f t="shared" si="36"/>
        <v>10911.909999999998</v>
      </c>
      <c r="AO137" s="1425">
        <f t="shared" si="36"/>
        <v>11101.493999999999</v>
      </c>
      <c r="AP137" s="1425">
        <f t="shared" si="36"/>
        <v>11329.961000000001</v>
      </c>
      <c r="AQ137" s="1348">
        <f t="shared" si="36"/>
        <v>11524.625</v>
      </c>
      <c r="AR137" s="1348">
        <f t="shared" si="36"/>
        <v>11524.625</v>
      </c>
      <c r="AS137" s="1348">
        <f t="shared" si="36"/>
        <v>11109.258000000002</v>
      </c>
      <c r="AT137" s="1348">
        <f t="shared" si="36"/>
        <v>11448.589</v>
      </c>
      <c r="AU137" s="1348">
        <f>SUM(AU131:AU136)</f>
        <v>11402.673999999999</v>
      </c>
      <c r="AV137" s="1348">
        <f t="shared" ref="AV137:AW137" si="37">SUM(AV131:AV136)</f>
        <v>11490.678999999998</v>
      </c>
      <c r="AW137" s="1348">
        <f t="shared" si="37"/>
        <v>11490.678999999998</v>
      </c>
    </row>
    <row r="138" spans="2:68">
      <c r="E138" s="86"/>
      <c r="F138" s="86"/>
      <c r="G138" s="86"/>
      <c r="H138" s="86"/>
      <c r="J138" s="86"/>
      <c r="K138" s="86"/>
      <c r="L138" s="86"/>
      <c r="M138" s="86"/>
      <c r="O138" s="86"/>
      <c r="P138" s="86"/>
      <c r="Q138" s="86"/>
      <c r="R138" s="86"/>
      <c r="T138" s="86"/>
      <c r="U138" s="86"/>
      <c r="V138" s="86"/>
      <c r="W138" s="86"/>
      <c r="X138" s="72"/>
      <c r="Y138" s="72"/>
      <c r="Z138" s="72"/>
      <c r="AA138" s="72"/>
      <c r="AB138" s="1349"/>
      <c r="AC138" s="72"/>
      <c r="AD138" s="72"/>
      <c r="AE138" s="72"/>
      <c r="AF138" s="72"/>
      <c r="AG138" s="1349"/>
      <c r="AH138" s="72"/>
      <c r="AI138" s="1426"/>
      <c r="AJ138" s="1426"/>
      <c r="AK138" s="1426"/>
      <c r="AL138" s="1349"/>
      <c r="AM138" s="1426"/>
      <c r="AN138" s="86"/>
      <c r="AO138" s="86"/>
      <c r="AP138" s="86"/>
      <c r="AQ138" s="1349"/>
      <c r="AS138" s="86"/>
      <c r="AT138" s="86"/>
      <c r="AU138" s="86"/>
      <c r="AV138" s="1349"/>
      <c r="AX138" s="86"/>
      <c r="AY138" s="86"/>
      <c r="AZ138" s="86"/>
      <c r="BA138" s="86"/>
      <c r="BC138" s="86"/>
      <c r="BD138" s="86"/>
      <c r="BE138" s="86"/>
      <c r="BF138" s="86"/>
      <c r="BH138" s="86"/>
      <c r="BI138" s="86"/>
      <c r="BJ138" s="86"/>
      <c r="BK138" s="86"/>
      <c r="BM138" s="86"/>
      <c r="BN138" s="86"/>
      <c r="BO138" s="86"/>
      <c r="BP138" s="86"/>
    </row>
    <row r="139" spans="2:68">
      <c r="C139" t="s">
        <v>150</v>
      </c>
      <c r="E139" s="86"/>
      <c r="F139" s="86"/>
      <c r="G139" s="86"/>
      <c r="H139" s="86"/>
      <c r="J139" s="86"/>
      <c r="K139" s="86"/>
      <c r="L139" s="86"/>
      <c r="M139" s="86"/>
      <c r="O139" s="86"/>
      <c r="P139" s="86"/>
      <c r="Q139" s="86"/>
      <c r="R139" s="86"/>
      <c r="T139" s="86"/>
      <c r="U139" s="86"/>
      <c r="V139" s="86"/>
      <c r="W139" s="86"/>
      <c r="X139" s="1346">
        <f>2804.44+200+856</f>
        <v>3860.44</v>
      </c>
      <c r="Y139" s="1346">
        <f>581+400+2579.628</f>
        <v>3560.6280000000002</v>
      </c>
      <c r="Z139" s="1346">
        <f>664.45+2440.344+400</f>
        <v>3504.7939999999999</v>
      </c>
      <c r="AA139" s="1346">
        <f>553.516+2945.058+200</f>
        <v>3698.5740000000001</v>
      </c>
      <c r="AB139" s="1349">
        <f>AC139</f>
        <v>2735.1750000000002</v>
      </c>
      <c r="AC139" s="1346">
        <f>438.595+2296.58</f>
        <v>2735.1750000000002</v>
      </c>
      <c r="AD139" s="1346">
        <f>235.785+2274.5</f>
        <v>2510.2849999999999</v>
      </c>
      <c r="AE139" s="1346">
        <f>182.335+2188.617</f>
        <v>2370.9520000000002</v>
      </c>
      <c r="AF139" s="1346">
        <f>131.496+2165.508</f>
        <v>2297.0039999999999</v>
      </c>
      <c r="AG139" s="1349">
        <f>AH139</f>
        <v>2297.123</v>
      </c>
      <c r="AH139" s="1346">
        <f>131.497+2165.626</f>
        <v>2297.123</v>
      </c>
      <c r="AI139" s="1424">
        <f>132.044+2142.997</f>
        <v>2275.0409999999997</v>
      </c>
      <c r="AJ139" s="1424">
        <f>396.045+1793.114</f>
        <v>2189.1590000000001</v>
      </c>
      <c r="AK139" s="1424">
        <f>395.938+1770.112</f>
        <v>2166.0500000000002</v>
      </c>
      <c r="AL139" s="1349">
        <f>AM139</f>
        <v>2157.6999999999998</v>
      </c>
      <c r="AM139" s="1424">
        <f>395.9+1761.8</f>
        <v>2157.6999999999998</v>
      </c>
      <c r="AN139" s="1424">
        <f>395.6+1739.9</f>
        <v>2135.5</v>
      </c>
      <c r="AO139" s="1424">
        <f>45.6+1740.4</f>
        <v>1786</v>
      </c>
      <c r="AP139" s="1424">
        <f>46.4+1717</f>
        <v>1763.4</v>
      </c>
      <c r="AQ139" s="1349">
        <f>AR139</f>
        <v>1763.9</v>
      </c>
      <c r="AR139" s="1530">
        <f>46.4+1717.5</f>
        <v>1763.9</v>
      </c>
      <c r="AS139" s="1530">
        <f>46.8+1695.2</f>
        <v>1742</v>
      </c>
      <c r="AT139" s="1530">
        <f>1345.7+396.8</f>
        <v>1742.5</v>
      </c>
      <c r="AU139" s="1530">
        <f>1321.9+397</f>
        <v>1718.9</v>
      </c>
      <c r="AV139" s="1349">
        <f>AW139</f>
        <v>1719.3</v>
      </c>
      <c r="AW139" s="1530">
        <f>397+1322.3</f>
        <v>1719.3</v>
      </c>
      <c r="AX139" s="86"/>
      <c r="AY139" s="86"/>
      <c r="AZ139" s="86"/>
      <c r="BA139" s="86"/>
      <c r="BC139" s="86"/>
      <c r="BD139" s="86"/>
      <c r="BE139" s="86"/>
      <c r="BF139" s="86"/>
      <c r="BH139" s="86"/>
      <c r="BI139" s="86"/>
      <c r="BJ139" s="86"/>
      <c r="BK139" s="86"/>
      <c r="BM139" s="86"/>
      <c r="BN139" s="86"/>
      <c r="BO139" s="86"/>
      <c r="BP139" s="86"/>
    </row>
    <row r="140" spans="2:68">
      <c r="C140" t="s">
        <v>296</v>
      </c>
      <c r="E140" s="86"/>
      <c r="F140" s="86"/>
      <c r="G140" s="86"/>
      <c r="H140" s="86"/>
      <c r="J140" s="86"/>
      <c r="K140" s="86"/>
      <c r="L140" s="86"/>
      <c r="M140" s="86"/>
      <c r="O140" s="86"/>
      <c r="P140" s="86"/>
      <c r="Q140" s="86"/>
      <c r="R140" s="86"/>
      <c r="T140" s="86"/>
      <c r="U140" s="86"/>
      <c r="V140" s="86"/>
      <c r="W140" s="86"/>
      <c r="X140" s="1346">
        <f>243.378+2681.188</f>
        <v>2924.5660000000003</v>
      </c>
      <c r="Y140" s="1346">
        <f>250.532+2569.056</f>
        <v>2819.5880000000002</v>
      </c>
      <c r="Z140" s="1346">
        <f>250.62+2663.016</f>
        <v>2913.636</v>
      </c>
      <c r="AA140" s="1346">
        <f>257.668+2651.503</f>
        <v>2909.1710000000003</v>
      </c>
      <c r="AB140" s="1349">
        <f>AC140</f>
        <v>2901.6020000000003</v>
      </c>
      <c r="AC140" s="1346">
        <f>(258.099+2643.503)</f>
        <v>2901.6020000000003</v>
      </c>
      <c r="AD140" s="1346">
        <f>(265.663+2523.797)</f>
        <v>2789.46</v>
      </c>
      <c r="AE140" s="1346">
        <f>(265.983+2697.161)</f>
        <v>2963.1440000000002</v>
      </c>
      <c r="AF140" s="1346">
        <f>(273.486+2603.146)</f>
        <v>2876.6320000000001</v>
      </c>
      <c r="AG140" s="1349">
        <f>AH140</f>
        <v>2943.6840000000002</v>
      </c>
      <c r="AH140" s="1346">
        <f>273.69+2669.994</f>
        <v>2943.6840000000002</v>
      </c>
      <c r="AI140" s="1424">
        <f>281.842+2542.088</f>
        <v>2823.9300000000003</v>
      </c>
      <c r="AJ140" s="1424">
        <f>282.111+2515.185</f>
        <v>2797.2959999999998</v>
      </c>
      <c r="AK140" s="1424">
        <f>253.45+2697.403</f>
        <v>2950.8529999999996</v>
      </c>
      <c r="AL140" s="1349">
        <f>AM140</f>
        <v>2900.5449999999996</v>
      </c>
      <c r="AM140" s="1424">
        <f>353.709+2546.836</f>
        <v>2900.5449999999996</v>
      </c>
      <c r="AN140" s="1424">
        <f>315.702+2457.361</f>
        <v>2773.0630000000001</v>
      </c>
      <c r="AO140" s="1424">
        <f>215.971+2531.02</f>
        <v>2746.991</v>
      </c>
      <c r="AP140" s="1424">
        <f>221.906+2485.161</f>
        <v>2707.067</v>
      </c>
      <c r="AQ140" s="1349">
        <f>AR140</f>
        <v>3217.7</v>
      </c>
      <c r="AR140" s="1530">
        <f>263.1+2954.6</f>
        <v>3217.7</v>
      </c>
      <c r="AS140" s="1530">
        <f>269.7+2859.2</f>
        <v>3128.8999999999996</v>
      </c>
      <c r="AT140" s="1530">
        <f>360.1+2742.3</f>
        <v>3102.4</v>
      </c>
      <c r="AU140" s="1530">
        <f>3416.1+306.4</f>
        <v>3722.5</v>
      </c>
      <c r="AV140" s="1349">
        <f>AW140</f>
        <v>3649.2999999999997</v>
      </c>
      <c r="AW140" s="1530">
        <f>266.1+3383.2</f>
        <v>3649.2999999999997</v>
      </c>
      <c r="AX140" s="86"/>
      <c r="AY140" s="86"/>
      <c r="AZ140" s="86"/>
      <c r="BA140" s="86"/>
      <c r="BC140" s="86"/>
      <c r="BD140" s="86"/>
      <c r="BE140" s="86"/>
      <c r="BF140" s="86"/>
      <c r="BH140" s="86"/>
      <c r="BI140" s="86"/>
      <c r="BJ140" s="86"/>
      <c r="BK140" s="86"/>
      <c r="BM140" s="86"/>
      <c r="BN140" s="86"/>
      <c r="BO140" s="86"/>
      <c r="BP140" s="86"/>
    </row>
    <row r="141" spans="2:68">
      <c r="C141" t="s">
        <v>297</v>
      </c>
      <c r="E141" s="86"/>
      <c r="F141" s="86"/>
      <c r="G141" s="86"/>
      <c r="H141" s="86"/>
      <c r="J141" s="86"/>
      <c r="K141" s="86"/>
      <c r="L141" s="86"/>
      <c r="M141" s="86"/>
      <c r="O141" s="86"/>
      <c r="P141" s="86"/>
      <c r="Q141" s="86"/>
      <c r="R141" s="86"/>
      <c r="T141" s="86"/>
      <c r="U141" s="86"/>
      <c r="V141" s="86"/>
      <c r="W141" s="86"/>
      <c r="X141" s="1346">
        <f>145.293+225.006</f>
        <v>370.29899999999998</v>
      </c>
      <c r="Y141" s="1346">
        <f>0.006+345.291</f>
        <v>345.29699999999997</v>
      </c>
      <c r="Z141" s="1346">
        <f>0.006+345.289</f>
        <v>345.29499999999996</v>
      </c>
      <c r="AA141" s="1346">
        <f>0.007+420.288</f>
        <v>420.29500000000002</v>
      </c>
      <c r="AB141" s="1349">
        <f>AC141</f>
        <v>420.29300000000001</v>
      </c>
      <c r="AC141" s="1346">
        <f>(0.007+420.286)</f>
        <v>420.29300000000001</v>
      </c>
      <c r="AD141" s="1346">
        <f>(420.284+0.007)</f>
        <v>420.291</v>
      </c>
      <c r="AE141" s="1346">
        <f>(420.283+0.007)</f>
        <v>420.29</v>
      </c>
      <c r="AF141" s="1346">
        <f>(420.281+0.007)</f>
        <v>420.28800000000001</v>
      </c>
      <c r="AG141" s="1349">
        <f>AH141</f>
        <v>420.286</v>
      </c>
      <c r="AH141" s="1346">
        <f>0.007+420.279</f>
        <v>420.286</v>
      </c>
      <c r="AI141" s="1346">
        <f>0.007+420.277</f>
        <v>420.28399999999999</v>
      </c>
      <c r="AJ141" s="1424">
        <f>420.276+0.007</f>
        <v>420.28300000000002</v>
      </c>
      <c r="AK141" s="1424">
        <f>75.007+420.274</f>
        <v>495.28100000000001</v>
      </c>
      <c r="AL141" s="1349">
        <f>AM141</f>
        <v>543.16499999999996</v>
      </c>
      <c r="AM141" s="1424">
        <f>75.007+468.158</f>
        <v>543.16499999999996</v>
      </c>
      <c r="AN141" s="1424">
        <f>75.007+468.273</f>
        <v>543.28</v>
      </c>
      <c r="AO141" s="1424">
        <f>0.007+543.325</f>
        <v>543.33199999999999</v>
      </c>
      <c r="AP141" s="1424">
        <f>0.007+543.135</f>
        <v>543.14199999999994</v>
      </c>
      <c r="AQ141" s="1349">
        <f>AR141</f>
        <v>0</v>
      </c>
      <c r="AR141" s="1530">
        <v>0</v>
      </c>
      <c r="AS141" s="1530">
        <v>0</v>
      </c>
      <c r="AT141" s="1530">
        <v>0</v>
      </c>
      <c r="AU141" s="1530">
        <v>0</v>
      </c>
      <c r="AV141" s="1349">
        <f>AW141</f>
        <v>0</v>
      </c>
      <c r="AW141" s="1530">
        <v>0</v>
      </c>
      <c r="AX141" s="86"/>
      <c r="AY141" s="86"/>
      <c r="AZ141" s="86"/>
      <c r="BA141" s="86"/>
      <c r="BC141" s="86"/>
      <c r="BD141" s="86"/>
      <c r="BE141" s="86"/>
      <c r="BF141" s="86"/>
      <c r="BH141" s="86"/>
      <c r="BI141" s="86"/>
      <c r="BJ141" s="86"/>
      <c r="BK141" s="86"/>
      <c r="BM141" s="86"/>
      <c r="BN141" s="86"/>
      <c r="BO141" s="86"/>
      <c r="BP141" s="86"/>
    </row>
    <row r="142" spans="2:68" s="1240" customFormat="1">
      <c r="C142" s="1240" t="s">
        <v>880</v>
      </c>
      <c r="E142" s="221"/>
      <c r="F142" s="221"/>
      <c r="G142" s="221"/>
      <c r="H142" s="221"/>
      <c r="X142" s="112">
        <f t="shared" ref="X142:AF142" si="38">SUM(X139:X141)</f>
        <v>7155.3050000000003</v>
      </c>
      <c r="Y142" s="112">
        <f t="shared" si="38"/>
        <v>6725.5129999999999</v>
      </c>
      <c r="Z142" s="112">
        <f t="shared" si="38"/>
        <v>6763.7250000000004</v>
      </c>
      <c r="AA142" s="112">
        <f t="shared" si="38"/>
        <v>7028.0400000000009</v>
      </c>
      <c r="AB142" s="1348">
        <f t="shared" si="38"/>
        <v>6057.07</v>
      </c>
      <c r="AC142" s="112">
        <f t="shared" si="38"/>
        <v>6057.07</v>
      </c>
      <c r="AD142" s="112">
        <f t="shared" si="38"/>
        <v>5720.0360000000001</v>
      </c>
      <c r="AE142" s="112">
        <f t="shared" si="38"/>
        <v>5754.3860000000004</v>
      </c>
      <c r="AF142" s="112">
        <f t="shared" si="38"/>
        <v>5593.9240000000009</v>
      </c>
      <c r="AG142" s="1348">
        <f t="shared" ref="AG142:AL142" si="39">SUM(AG139:AG141)</f>
        <v>5661.0930000000008</v>
      </c>
      <c r="AH142" s="112">
        <f t="shared" si="39"/>
        <v>5661.0930000000008</v>
      </c>
      <c r="AI142" s="1425">
        <f t="shared" si="39"/>
        <v>5519.2549999999992</v>
      </c>
      <c r="AJ142" s="1425">
        <f t="shared" si="39"/>
        <v>5406.7380000000003</v>
      </c>
      <c r="AK142" s="1425">
        <f t="shared" si="39"/>
        <v>5612.1840000000002</v>
      </c>
      <c r="AL142" s="1348">
        <f t="shared" si="39"/>
        <v>5601.4099999999989</v>
      </c>
      <c r="AM142" s="1425">
        <f t="shared" ref="AM142:AT142" si="40">SUM(AM139:AM141)</f>
        <v>5601.4099999999989</v>
      </c>
      <c r="AN142" s="1425">
        <f t="shared" si="40"/>
        <v>5451.8429999999998</v>
      </c>
      <c r="AO142" s="1425">
        <f t="shared" si="40"/>
        <v>5076.3230000000003</v>
      </c>
      <c r="AP142" s="1425">
        <f t="shared" si="40"/>
        <v>5013.6090000000004</v>
      </c>
      <c r="AQ142" s="1348">
        <f t="shared" si="40"/>
        <v>4981.6000000000004</v>
      </c>
      <c r="AR142" s="1348">
        <f t="shared" si="40"/>
        <v>4981.6000000000004</v>
      </c>
      <c r="AS142" s="1348">
        <f t="shared" si="40"/>
        <v>4870.8999999999996</v>
      </c>
      <c r="AT142" s="1348">
        <f t="shared" si="40"/>
        <v>4844.8999999999996</v>
      </c>
      <c r="AU142" s="1348">
        <f>SUM(AU139:AU141)</f>
        <v>5441.4</v>
      </c>
      <c r="AV142" s="1348">
        <f t="shared" ref="AV142:AW142" si="41">SUM(AV139:AV141)</f>
        <v>5368.5999999999995</v>
      </c>
      <c r="AW142" s="1348">
        <f t="shared" si="41"/>
        <v>5368.5999999999995</v>
      </c>
    </row>
    <row r="143" spans="2:68">
      <c r="E143" s="86"/>
      <c r="F143" s="86"/>
      <c r="G143" s="86"/>
      <c r="H143" s="86"/>
      <c r="J143" s="86"/>
      <c r="K143" s="86"/>
      <c r="L143" s="86"/>
      <c r="M143" s="86"/>
      <c r="O143" s="86"/>
      <c r="P143" s="86"/>
      <c r="Q143" s="86"/>
      <c r="R143" s="86"/>
      <c r="T143" s="86"/>
      <c r="U143" s="86"/>
      <c r="V143" s="86"/>
      <c r="W143" s="86"/>
      <c r="X143" s="72"/>
      <c r="Y143" s="72"/>
      <c r="Z143" s="72"/>
      <c r="AA143" s="72"/>
      <c r="AB143" s="1349"/>
      <c r="AC143" s="72"/>
      <c r="AD143" s="72"/>
      <c r="AE143" s="72"/>
      <c r="AF143" s="72"/>
      <c r="AG143" s="1349"/>
      <c r="AH143" s="72"/>
      <c r="AI143" s="1426"/>
      <c r="AJ143" s="1426"/>
      <c r="AK143" s="1426"/>
      <c r="AL143" s="1349"/>
      <c r="AM143" s="1426"/>
      <c r="AN143" s="1426"/>
      <c r="AO143" s="1426"/>
      <c r="AP143" s="1426"/>
      <c r="AQ143" s="86"/>
      <c r="AR143" s="1300"/>
      <c r="AS143" s="86"/>
      <c r="AT143" s="86"/>
      <c r="AU143" s="86"/>
      <c r="AV143" s="86"/>
      <c r="AW143" s="1300"/>
      <c r="AX143" s="86"/>
      <c r="AY143" s="86"/>
      <c r="AZ143" s="86"/>
      <c r="BA143" s="86"/>
      <c r="BC143" s="86"/>
      <c r="BD143" s="86"/>
      <c r="BE143" s="86"/>
      <c r="BF143" s="86"/>
      <c r="BH143" s="86"/>
      <c r="BI143" s="86"/>
      <c r="BJ143" s="86"/>
      <c r="BK143" s="86"/>
      <c r="BM143" s="86"/>
      <c r="BN143" s="86"/>
      <c r="BO143" s="86"/>
      <c r="BP143" s="86"/>
    </row>
    <row r="144" spans="2:68">
      <c r="B144" s="46" t="s">
        <v>850</v>
      </c>
      <c r="C144" s="46"/>
      <c r="D144" s="46"/>
      <c r="E144" s="94"/>
      <c r="F144" s="94"/>
      <c r="G144" s="94"/>
      <c r="H144" s="94"/>
      <c r="J144" s="86"/>
      <c r="K144" s="86"/>
      <c r="L144" s="86"/>
      <c r="M144" s="86"/>
      <c r="O144" s="86"/>
      <c r="P144" s="86"/>
      <c r="Q144" s="86"/>
      <c r="R144" s="86"/>
      <c r="T144" s="86"/>
      <c r="U144" s="86"/>
      <c r="V144" s="86"/>
      <c r="W144" s="86"/>
      <c r="X144" s="72"/>
      <c r="Y144" s="72"/>
      <c r="Z144" s="72"/>
      <c r="AA144" s="72"/>
      <c r="AB144" s="1349"/>
      <c r="AC144" s="72"/>
      <c r="AD144" s="72"/>
      <c r="AE144" s="72"/>
      <c r="AF144" s="72"/>
      <c r="AG144" s="1349"/>
      <c r="AH144" s="72"/>
      <c r="AI144" s="1426"/>
      <c r="AJ144" s="1426"/>
      <c r="AK144" s="1426"/>
      <c r="AL144" s="1349"/>
      <c r="AM144" s="1426"/>
      <c r="AN144" s="1426"/>
      <c r="AO144" s="1426"/>
      <c r="AP144" s="1426"/>
      <c r="AQ144" s="86"/>
      <c r="AR144" s="1300"/>
      <c r="AS144" s="86"/>
      <c r="AT144" s="86"/>
      <c r="AU144" s="86"/>
      <c r="AV144" s="86"/>
      <c r="AW144" s="1300"/>
      <c r="AX144" s="86"/>
      <c r="AY144" s="86"/>
      <c r="AZ144" s="86"/>
      <c r="BA144" s="86"/>
      <c r="BC144" s="86"/>
      <c r="BD144" s="86"/>
      <c r="BE144" s="86"/>
      <c r="BF144" s="86"/>
      <c r="BH144" s="86"/>
      <c r="BI144" s="86"/>
      <c r="BJ144" s="86"/>
      <c r="BK144" s="86"/>
      <c r="BM144" s="86"/>
      <c r="BN144" s="86"/>
      <c r="BO144" s="86"/>
      <c r="BP144" s="86"/>
    </row>
    <row r="145" spans="2:68">
      <c r="C145" t="s">
        <v>354</v>
      </c>
      <c r="E145" s="86"/>
      <c r="F145" s="86"/>
      <c r="G145" s="86"/>
      <c r="H145" s="86"/>
      <c r="J145" s="86"/>
      <c r="K145" s="86"/>
      <c r="L145" s="86"/>
      <c r="M145" s="86"/>
      <c r="O145" s="86"/>
      <c r="P145" s="86"/>
      <c r="Q145" s="86"/>
      <c r="R145" s="86"/>
      <c r="T145" s="86"/>
      <c r="U145" s="86"/>
      <c r="V145" s="86"/>
      <c r="W145" s="86"/>
      <c r="X145" s="1346">
        <v>3052.5619999999999</v>
      </c>
      <c r="Y145" s="1346">
        <v>3074.7260000000001</v>
      </c>
      <c r="Z145" s="1346">
        <v>3065.0349999999999</v>
      </c>
      <c r="AA145" s="1346">
        <v>3088.0410000000002</v>
      </c>
      <c r="AB145" s="1349">
        <f t="shared" ref="AB145:AB150" si="42">AC145</f>
        <v>3229.4319999999998</v>
      </c>
      <c r="AC145" s="1346">
        <v>3229.4319999999998</v>
      </c>
      <c r="AD145" s="1346">
        <v>3311.1959999999999</v>
      </c>
      <c r="AE145" s="1346">
        <v>3327.2759999999998</v>
      </c>
      <c r="AF145" s="1346">
        <v>3355.8710000000001</v>
      </c>
      <c r="AG145" s="1349">
        <f t="shared" ref="AG145:AG150" si="43">AH145</f>
        <v>3366.9279999999999</v>
      </c>
      <c r="AH145" s="1346">
        <v>3366.9279999999999</v>
      </c>
      <c r="AI145" s="1424">
        <v>3452.1419999999998</v>
      </c>
      <c r="AJ145" s="1424">
        <v>3448.2379999999998</v>
      </c>
      <c r="AK145" s="1424">
        <v>3459.654</v>
      </c>
      <c r="AL145" s="1349">
        <f t="shared" ref="AL145:AL150" si="44">AM145</f>
        <v>3475</v>
      </c>
      <c r="AM145" s="1424">
        <v>3475</v>
      </c>
      <c r="AN145" s="1424">
        <v>3525.8</v>
      </c>
      <c r="AO145" s="1424">
        <v>3523.6</v>
      </c>
      <c r="AP145" s="1424">
        <v>3552.2</v>
      </c>
      <c r="AQ145" s="1349">
        <f t="shared" ref="AQ145:AQ150" si="45">AR145</f>
        <v>3583.5</v>
      </c>
      <c r="AR145" s="1530">
        <v>3583.5</v>
      </c>
      <c r="AS145" s="1530">
        <v>3663.6</v>
      </c>
      <c r="AT145" s="1530">
        <v>3685.2</v>
      </c>
      <c r="AU145" s="1530">
        <v>3740.8</v>
      </c>
      <c r="AV145" s="1349">
        <f t="shared" ref="AV145:AV150" si="46">AW145</f>
        <v>3804.5</v>
      </c>
      <c r="AW145" s="1530">
        <v>3804.5</v>
      </c>
      <c r="AX145" s="86"/>
      <c r="AY145" s="86"/>
      <c r="AZ145" s="86"/>
      <c r="BA145" s="86"/>
      <c r="BC145" s="86"/>
      <c r="BD145" s="86"/>
      <c r="BE145" s="86"/>
      <c r="BF145" s="86"/>
      <c r="BH145" s="86"/>
      <c r="BI145" s="86"/>
      <c r="BJ145" s="86"/>
      <c r="BK145" s="86"/>
      <c r="BM145" s="86"/>
      <c r="BN145" s="86"/>
      <c r="BO145" s="86"/>
      <c r="BP145" s="86"/>
    </row>
    <row r="146" spans="2:68">
      <c r="C146" t="s">
        <v>617</v>
      </c>
      <c r="E146" s="86"/>
      <c r="F146" s="86"/>
      <c r="G146" s="86"/>
      <c r="H146" s="86"/>
      <c r="J146" s="86"/>
      <c r="K146" s="86"/>
      <c r="L146" s="86"/>
      <c r="M146" s="86"/>
      <c r="O146" s="86"/>
      <c r="P146" s="86"/>
      <c r="Q146" s="86"/>
      <c r="R146" s="86"/>
      <c r="T146" s="86"/>
      <c r="U146" s="86"/>
      <c r="V146" s="86"/>
      <c r="W146" s="86"/>
      <c r="X146" s="1346">
        <v>479.61</v>
      </c>
      <c r="Y146" s="1346">
        <v>490.34</v>
      </c>
      <c r="Z146" s="1346">
        <v>490.68</v>
      </c>
      <c r="AA146" s="1346">
        <v>468.41699999999997</v>
      </c>
      <c r="AB146" s="1349">
        <f t="shared" si="42"/>
        <v>839.36900000000003</v>
      </c>
      <c r="AC146" s="1346">
        <v>839.36900000000003</v>
      </c>
      <c r="AD146" s="1346">
        <v>758.548</v>
      </c>
      <c r="AE146" s="1346">
        <v>758.92</v>
      </c>
      <c r="AF146" s="1346">
        <v>700.85400000000004</v>
      </c>
      <c r="AG146" s="1349">
        <f t="shared" si="43"/>
        <v>663.64300000000003</v>
      </c>
      <c r="AH146" s="1346">
        <v>663.64300000000003</v>
      </c>
      <c r="AI146" s="1424">
        <v>668.846</v>
      </c>
      <c r="AJ146" s="1424">
        <v>660.18600000000004</v>
      </c>
      <c r="AK146" s="1424">
        <v>656.21400000000006</v>
      </c>
      <c r="AL146" s="1349">
        <f t="shared" si="44"/>
        <v>663.07399999999996</v>
      </c>
      <c r="AM146" s="1424">
        <v>663.07399999999996</v>
      </c>
      <c r="AN146" s="1424">
        <v>671.89599999999996</v>
      </c>
      <c r="AO146" s="1424">
        <v>669.803</v>
      </c>
      <c r="AP146" s="1424">
        <v>670.30700000000002</v>
      </c>
      <c r="AQ146" s="1349">
        <f t="shared" si="45"/>
        <v>668.40099999999995</v>
      </c>
      <c r="AR146" s="1530">
        <v>668.40099999999995</v>
      </c>
      <c r="AS146" s="1530">
        <v>671.78800000000001</v>
      </c>
      <c r="AT146" s="1530">
        <v>664.43499999999995</v>
      </c>
      <c r="AU146" s="1530">
        <v>662.16399999999999</v>
      </c>
      <c r="AV146" s="1349">
        <f t="shared" si="46"/>
        <v>670.26300000000003</v>
      </c>
      <c r="AW146" s="1530">
        <v>670.26300000000003</v>
      </c>
      <c r="AX146" s="86"/>
      <c r="AY146" s="86"/>
      <c r="AZ146" s="86"/>
      <c r="BA146" s="86"/>
      <c r="BC146" s="86"/>
      <c r="BD146" s="86"/>
      <c r="BE146" s="86"/>
      <c r="BF146" s="86"/>
      <c r="BH146" s="86"/>
      <c r="BI146" s="86"/>
      <c r="BJ146" s="86"/>
      <c r="BK146" s="86"/>
      <c r="BM146" s="86"/>
      <c r="BN146" s="86"/>
      <c r="BO146" s="86"/>
      <c r="BP146" s="86"/>
    </row>
    <row r="147" spans="2:68">
      <c r="C147" t="s">
        <v>355</v>
      </c>
      <c r="E147" s="86"/>
      <c r="F147" s="86"/>
      <c r="G147" s="86"/>
      <c r="H147" s="86"/>
      <c r="J147" s="86"/>
      <c r="K147" s="86"/>
      <c r="L147" s="86"/>
      <c r="M147" s="86"/>
      <c r="O147" s="86"/>
      <c r="P147" s="86"/>
      <c r="Q147" s="86"/>
      <c r="R147" s="86"/>
      <c r="T147" s="86"/>
      <c r="U147" s="86"/>
      <c r="V147" s="86"/>
      <c r="W147" s="86"/>
      <c r="X147" s="1346">
        <v>1803.7750000000001</v>
      </c>
      <c r="Y147" s="1346">
        <v>1838.0309999999999</v>
      </c>
      <c r="Z147" s="1346">
        <v>1866.7809999999999</v>
      </c>
      <c r="AA147" s="1346">
        <v>1902.579</v>
      </c>
      <c r="AB147" s="1349">
        <f t="shared" si="42"/>
        <v>1922.153</v>
      </c>
      <c r="AC147" s="1346">
        <v>1922.153</v>
      </c>
      <c r="AD147" s="1346">
        <v>1984.71</v>
      </c>
      <c r="AE147" s="1346">
        <v>1962.4369999999999</v>
      </c>
      <c r="AF147" s="1346">
        <v>1964.5150000000001</v>
      </c>
      <c r="AG147" s="1349">
        <f t="shared" si="43"/>
        <v>1953.9490000000001</v>
      </c>
      <c r="AH147" s="1346">
        <v>1953.9490000000001</v>
      </c>
      <c r="AI147" s="1424">
        <v>1996.902</v>
      </c>
      <c r="AJ147" s="1424">
        <v>2071.761</v>
      </c>
      <c r="AK147" s="1424">
        <v>2044.691</v>
      </c>
      <c r="AL147" s="1349">
        <f t="shared" si="44"/>
        <v>2036.4</v>
      </c>
      <c r="AM147" s="1424">
        <v>2036.4</v>
      </c>
      <c r="AN147" s="1424">
        <v>2080.1999999999998</v>
      </c>
      <c r="AO147" s="1424">
        <v>2100.6</v>
      </c>
      <c r="AP147" s="1424">
        <v>2145</v>
      </c>
      <c r="AQ147" s="1349">
        <f t="shared" si="45"/>
        <v>2151.8000000000002</v>
      </c>
      <c r="AR147" s="1530">
        <v>2151.8000000000002</v>
      </c>
      <c r="AS147" s="1530">
        <v>2189.1999999999998</v>
      </c>
      <c r="AT147" s="1530">
        <v>2168.9</v>
      </c>
      <c r="AU147" s="1530">
        <v>2202.9</v>
      </c>
      <c r="AV147" s="1349">
        <f t="shared" si="46"/>
        <v>2217.6</v>
      </c>
      <c r="AW147" s="1530">
        <v>2217.6</v>
      </c>
      <c r="AX147" s="86"/>
      <c r="AY147" s="86"/>
      <c r="AZ147" s="86"/>
      <c r="BA147" s="86"/>
      <c r="BC147" s="86"/>
      <c r="BD147" s="86"/>
      <c r="BE147" s="86"/>
      <c r="BF147" s="86"/>
      <c r="BH147" s="86"/>
      <c r="BI147" s="86"/>
      <c r="BJ147" s="86"/>
      <c r="BK147" s="86"/>
      <c r="BM147" s="86"/>
      <c r="BN147" s="86"/>
      <c r="BO147" s="86"/>
      <c r="BP147" s="86"/>
    </row>
    <row r="148" spans="2:68">
      <c r="C148" t="s">
        <v>357</v>
      </c>
      <c r="E148" s="86"/>
      <c r="F148" s="86"/>
      <c r="G148" s="86"/>
      <c r="H148" s="86"/>
      <c r="J148" s="86"/>
      <c r="K148" s="86"/>
      <c r="L148" s="86"/>
      <c r="M148" s="86"/>
      <c r="O148" s="86"/>
      <c r="P148" s="86"/>
      <c r="Q148" s="86"/>
      <c r="R148" s="86"/>
      <c r="T148" s="86"/>
      <c r="U148" s="86"/>
      <c r="V148" s="86"/>
      <c r="W148" s="86"/>
      <c r="X148" s="1346">
        <v>2021.212</v>
      </c>
      <c r="Y148" s="1346">
        <v>2000.953</v>
      </c>
      <c r="Z148" s="1346">
        <v>1999.3</v>
      </c>
      <c r="AA148" s="1346">
        <v>1975.4369999999999</v>
      </c>
      <c r="AB148" s="1349">
        <f t="shared" si="42"/>
        <v>2055.4389999999999</v>
      </c>
      <c r="AC148" s="1346">
        <v>2055.4389999999999</v>
      </c>
      <c r="AD148" s="1346">
        <v>2052.567</v>
      </c>
      <c r="AE148" s="1346">
        <v>2059.596</v>
      </c>
      <c r="AF148" s="1346">
        <v>2108.366</v>
      </c>
      <c r="AG148" s="1349">
        <f t="shared" si="43"/>
        <v>2096.7860000000001</v>
      </c>
      <c r="AH148" s="1346">
        <v>2096.7860000000001</v>
      </c>
      <c r="AI148" s="1424">
        <v>2112.817</v>
      </c>
      <c r="AJ148" s="1424">
        <v>2141.6149999999998</v>
      </c>
      <c r="AK148" s="1424">
        <v>2194.8649999999998</v>
      </c>
      <c r="AL148" s="1349">
        <f t="shared" si="44"/>
        <v>2169.1999999999998</v>
      </c>
      <c r="AM148" s="1424">
        <v>2169.1999999999998</v>
      </c>
      <c r="AN148" s="1424">
        <v>2162.9</v>
      </c>
      <c r="AO148" s="1424">
        <v>2176.3000000000002</v>
      </c>
      <c r="AP148" s="1424">
        <v>2229.9</v>
      </c>
      <c r="AQ148" s="1349">
        <f t="shared" si="45"/>
        <v>2214.8000000000002</v>
      </c>
      <c r="AR148" s="1530">
        <v>2214.8000000000002</v>
      </c>
      <c r="AS148" s="1530">
        <v>2203.9</v>
      </c>
      <c r="AT148" s="1530">
        <v>2201</v>
      </c>
      <c r="AU148" s="1530">
        <v>2246.8000000000002</v>
      </c>
      <c r="AV148" s="1349">
        <f t="shared" si="46"/>
        <v>2234.5</v>
      </c>
      <c r="AW148" s="1530">
        <v>2234.5</v>
      </c>
      <c r="AX148" s="86"/>
      <c r="AY148" s="86"/>
      <c r="AZ148" s="86"/>
      <c r="BA148" s="86"/>
      <c r="BC148" s="86"/>
      <c r="BD148" s="86"/>
      <c r="BE148" s="86"/>
      <c r="BF148" s="86"/>
      <c r="BH148" s="86"/>
      <c r="BI148" s="86"/>
      <c r="BJ148" s="86"/>
      <c r="BK148" s="86"/>
      <c r="BM148" s="86"/>
      <c r="BN148" s="86"/>
      <c r="BO148" s="86"/>
      <c r="BP148" s="86"/>
    </row>
    <row r="149" spans="2:68">
      <c r="C149" t="s">
        <v>637</v>
      </c>
      <c r="E149" s="86"/>
      <c r="F149" s="86"/>
      <c r="G149" s="86"/>
      <c r="H149" s="86"/>
      <c r="J149" s="86"/>
      <c r="K149" s="86"/>
      <c r="L149" s="86"/>
      <c r="M149" s="86"/>
      <c r="O149" s="86"/>
      <c r="P149" s="86"/>
      <c r="Q149" s="86"/>
      <c r="R149" s="86"/>
      <c r="T149" s="86"/>
      <c r="U149" s="86"/>
      <c r="V149" s="86"/>
      <c r="W149" s="86"/>
      <c r="X149" s="1346">
        <v>916.27800000000002</v>
      </c>
      <c r="Y149" s="1346">
        <v>916.05399999999997</v>
      </c>
      <c r="Z149" s="1346">
        <v>930.48199999999997</v>
      </c>
      <c r="AA149" s="1346">
        <v>967.65599999999995</v>
      </c>
      <c r="AB149" s="1349">
        <f t="shared" si="42"/>
        <v>942.101</v>
      </c>
      <c r="AC149" s="1346">
        <v>942.101</v>
      </c>
      <c r="AD149" s="1346">
        <v>950.303</v>
      </c>
      <c r="AE149" s="1346">
        <v>972.56200000000001</v>
      </c>
      <c r="AF149" s="1346">
        <v>1017.458</v>
      </c>
      <c r="AG149" s="1349">
        <f t="shared" si="43"/>
        <v>1028.2149999999999</v>
      </c>
      <c r="AH149" s="1346">
        <v>1028.2149999999999</v>
      </c>
      <c r="AI149" s="1424">
        <v>1041.71</v>
      </c>
      <c r="AJ149" s="1424">
        <v>1068.6179999999999</v>
      </c>
      <c r="AK149" s="1424">
        <v>1113.1679999999999</v>
      </c>
      <c r="AL149" s="1349">
        <f t="shared" si="44"/>
        <v>1119.9000000000001</v>
      </c>
      <c r="AM149" s="1424">
        <v>1119.9000000000001</v>
      </c>
      <c r="AN149" s="1424">
        <v>1135.4000000000001</v>
      </c>
      <c r="AO149" s="1424">
        <v>1164.0999999999999</v>
      </c>
      <c r="AP149" s="1424">
        <v>1216.7</v>
      </c>
      <c r="AQ149" s="1349">
        <f t="shared" si="45"/>
        <v>1214.0999999999999</v>
      </c>
      <c r="AR149" s="1530">
        <v>1214.0999999999999</v>
      </c>
      <c r="AS149" s="1530">
        <v>1201.2</v>
      </c>
      <c r="AT149" s="1530">
        <v>1203.9000000000001</v>
      </c>
      <c r="AU149" s="1530">
        <v>1232.4000000000001</v>
      </c>
      <c r="AV149" s="1349">
        <f t="shared" si="46"/>
        <v>1215.3</v>
      </c>
      <c r="AW149" s="1530">
        <v>1215.3</v>
      </c>
      <c r="AX149" s="86"/>
      <c r="AY149" s="86"/>
      <c r="AZ149" s="86"/>
      <c r="BA149" s="86"/>
      <c r="BC149" s="86"/>
      <c r="BD149" s="86"/>
      <c r="BE149" s="86"/>
      <c r="BF149" s="86"/>
      <c r="BH149" s="86"/>
      <c r="BI149" s="86"/>
      <c r="BJ149" s="86"/>
      <c r="BK149" s="86"/>
      <c r="BM149" s="86"/>
      <c r="BN149" s="86"/>
      <c r="BO149" s="86"/>
      <c r="BP149" s="86"/>
    </row>
    <row r="150" spans="2:68">
      <c r="C150" t="s">
        <v>490</v>
      </c>
      <c r="E150" s="86"/>
      <c r="F150" s="86"/>
      <c r="G150" s="86"/>
      <c r="H150" s="86"/>
      <c r="J150" s="86"/>
      <c r="K150" s="86"/>
      <c r="L150" s="86"/>
      <c r="M150" s="86"/>
      <c r="O150" s="86"/>
      <c r="P150" s="86"/>
      <c r="Q150" s="86"/>
      <c r="R150" s="86"/>
      <c r="T150" s="86"/>
      <c r="U150" s="86"/>
      <c r="V150" s="86"/>
      <c r="W150" s="86"/>
      <c r="X150" s="1346">
        <v>251.65</v>
      </c>
      <c r="Y150" s="1346">
        <v>248.17500000000001</v>
      </c>
      <c r="Z150" s="1346">
        <v>244.988</v>
      </c>
      <c r="AA150" s="1346">
        <v>254.33600000000001</v>
      </c>
      <c r="AB150" s="1349">
        <f t="shared" si="42"/>
        <v>269.01400000000001</v>
      </c>
      <c r="AC150" s="1346">
        <v>269.01400000000001</v>
      </c>
      <c r="AD150" s="1346">
        <v>271.73899999999998</v>
      </c>
      <c r="AE150" s="1346">
        <v>276.74799999999999</v>
      </c>
      <c r="AF150" s="1346">
        <v>278.40499999999997</v>
      </c>
      <c r="AG150" s="1349">
        <f t="shared" si="43"/>
        <v>271.56299999999999</v>
      </c>
      <c r="AH150" s="1346">
        <v>271.56299999999999</v>
      </c>
      <c r="AI150" s="1424">
        <v>267.13600000000002</v>
      </c>
      <c r="AJ150" s="1424">
        <v>265.88099999999997</v>
      </c>
      <c r="AK150" s="1424">
        <v>267.30200000000002</v>
      </c>
      <c r="AL150" s="1349">
        <f t="shared" si="44"/>
        <v>266.476</v>
      </c>
      <c r="AM150" s="1424">
        <v>266.476</v>
      </c>
      <c r="AN150" s="1424">
        <v>293.654</v>
      </c>
      <c r="AO150" s="1424">
        <v>292.07299999999998</v>
      </c>
      <c r="AP150" s="1424">
        <v>301.39100000000002</v>
      </c>
      <c r="AQ150" s="1349">
        <f t="shared" si="45"/>
        <v>309.50400000000002</v>
      </c>
      <c r="AR150" s="1530">
        <v>309.50400000000002</v>
      </c>
      <c r="AS150" s="1530">
        <v>225.203</v>
      </c>
      <c r="AT150" s="1530">
        <v>258.33300000000003</v>
      </c>
      <c r="AU150" s="1530">
        <v>267.02499999999998</v>
      </c>
      <c r="AV150" s="1349">
        <f t="shared" si="46"/>
        <v>270.96199999999999</v>
      </c>
      <c r="AW150" s="1530">
        <v>270.96199999999999</v>
      </c>
      <c r="AX150" s="86"/>
      <c r="AY150" s="86"/>
      <c r="AZ150" s="86"/>
      <c r="BA150" s="86"/>
      <c r="BC150" s="86"/>
      <c r="BD150" s="86"/>
      <c r="BE150" s="86"/>
      <c r="BF150" s="86"/>
      <c r="BH150" s="86"/>
      <c r="BI150" s="86"/>
      <c r="BJ150" s="86"/>
      <c r="BK150" s="86"/>
      <c r="BM150" s="86"/>
      <c r="BN150" s="86"/>
      <c r="BO150" s="86"/>
      <c r="BP150" s="86"/>
    </row>
    <row r="151" spans="2:68" s="1240" customFormat="1">
      <c r="C151" s="1240" t="s">
        <v>304</v>
      </c>
      <c r="E151" s="221"/>
      <c r="F151" s="221"/>
      <c r="G151" s="221"/>
      <c r="H151" s="221"/>
      <c r="X151" s="112">
        <f t="shared" ref="X151:AF151" si="47">SUM(X145:X150)</f>
        <v>8525.0869999999995</v>
      </c>
      <c r="Y151" s="112">
        <f t="shared" si="47"/>
        <v>8568.2789999999986</v>
      </c>
      <c r="Z151" s="112">
        <f t="shared" si="47"/>
        <v>8597.2659999999978</v>
      </c>
      <c r="AA151" s="112">
        <f t="shared" si="47"/>
        <v>8656.4660000000003</v>
      </c>
      <c r="AB151" s="1348">
        <f t="shared" si="47"/>
        <v>9257.5079999999998</v>
      </c>
      <c r="AC151" s="112">
        <f t="shared" si="47"/>
        <v>9257.5079999999998</v>
      </c>
      <c r="AD151" s="112">
        <f t="shared" si="47"/>
        <v>9329.0630000000001</v>
      </c>
      <c r="AE151" s="112">
        <f t="shared" si="47"/>
        <v>9357.5389999999989</v>
      </c>
      <c r="AF151" s="112">
        <f t="shared" si="47"/>
        <v>9425.469000000001</v>
      </c>
      <c r="AG151" s="1348">
        <f t="shared" ref="AG151:AL151" si="48">SUM(AG145:AG150)</f>
        <v>9381.0840000000007</v>
      </c>
      <c r="AH151" s="112">
        <f t="shared" si="48"/>
        <v>9381.0840000000007</v>
      </c>
      <c r="AI151" s="1425">
        <f t="shared" si="48"/>
        <v>9539.5529999999981</v>
      </c>
      <c r="AJ151" s="1425">
        <f t="shared" si="48"/>
        <v>9656.2989999999991</v>
      </c>
      <c r="AK151" s="1425">
        <f t="shared" si="48"/>
        <v>9735.8939999999984</v>
      </c>
      <c r="AL151" s="1348">
        <f t="shared" si="48"/>
        <v>9730.0499999999993</v>
      </c>
      <c r="AM151" s="1425">
        <f t="shared" ref="AM151:AT151" si="49">SUM(AM145:AM150)</f>
        <v>9730.0499999999993</v>
      </c>
      <c r="AN151" s="1425">
        <f t="shared" si="49"/>
        <v>9869.85</v>
      </c>
      <c r="AO151" s="1425">
        <f t="shared" si="49"/>
        <v>9926.4760000000006</v>
      </c>
      <c r="AP151" s="1425">
        <f t="shared" si="49"/>
        <v>10115.498</v>
      </c>
      <c r="AQ151" s="1348">
        <f t="shared" si="49"/>
        <v>10142.105000000001</v>
      </c>
      <c r="AR151" s="1348">
        <f t="shared" si="49"/>
        <v>10142.105000000001</v>
      </c>
      <c r="AS151" s="1348">
        <f t="shared" si="49"/>
        <v>10154.891</v>
      </c>
      <c r="AT151" s="1348">
        <f t="shared" si="49"/>
        <v>10181.768</v>
      </c>
      <c r="AU151" s="1348">
        <f>SUM(AU145:AU150)</f>
        <v>10352.089</v>
      </c>
      <c r="AV151" s="1348">
        <f t="shared" ref="AV151:AW151" si="50">SUM(AV145:AV150)</f>
        <v>10413.124999999998</v>
      </c>
      <c r="AW151" s="1348">
        <f t="shared" si="50"/>
        <v>10413.124999999998</v>
      </c>
    </row>
    <row r="152" spans="2:68">
      <c r="E152" s="86"/>
      <c r="F152" s="86"/>
      <c r="G152" s="86"/>
      <c r="H152" s="86"/>
      <c r="J152" s="86"/>
      <c r="K152" s="86"/>
      <c r="L152" s="86"/>
      <c r="M152" s="86"/>
      <c r="O152" s="86"/>
      <c r="P152" s="86"/>
      <c r="Q152" s="86"/>
      <c r="R152" s="86"/>
      <c r="T152" s="86"/>
      <c r="U152" s="86"/>
      <c r="V152" s="86"/>
      <c r="W152" s="86"/>
      <c r="X152" s="72"/>
      <c r="Y152" s="72"/>
      <c r="Z152" s="72"/>
      <c r="AA152" s="72"/>
      <c r="AB152" s="1349"/>
      <c r="AC152" s="72"/>
      <c r="AD152" s="72"/>
      <c r="AE152" s="72"/>
      <c r="AF152" s="72"/>
      <c r="AG152" s="1349"/>
      <c r="AH152" s="72"/>
      <c r="AI152" s="1426"/>
      <c r="AJ152" s="1426"/>
      <c r="AK152" s="1426"/>
      <c r="AL152" s="1349"/>
      <c r="AM152" s="1426"/>
      <c r="AN152" s="1426"/>
      <c r="AO152" s="1426"/>
      <c r="AP152" s="1426"/>
      <c r="AQ152" s="86"/>
      <c r="AR152" s="1300"/>
      <c r="AS152" s="86"/>
      <c r="AT152" s="86"/>
      <c r="AU152" s="86"/>
      <c r="AV152" s="86"/>
      <c r="AW152" s="1300"/>
      <c r="AX152" s="86"/>
      <c r="AY152" s="86"/>
      <c r="AZ152" s="86"/>
      <c r="BA152" s="86"/>
      <c r="BC152" s="86"/>
      <c r="BD152" s="86"/>
      <c r="BE152" s="86"/>
      <c r="BF152" s="86"/>
      <c r="BH152" s="86"/>
      <c r="BI152" s="86"/>
      <c r="BJ152" s="86"/>
      <c r="BK152" s="86"/>
      <c r="BM152" s="86"/>
      <c r="BN152" s="86"/>
      <c r="BO152" s="86"/>
      <c r="BP152" s="86"/>
    </row>
    <row r="153" spans="2:68">
      <c r="C153" t="s">
        <v>150</v>
      </c>
      <c r="E153" s="86"/>
      <c r="F153" s="86"/>
      <c r="G153" s="86"/>
      <c r="H153" s="86"/>
      <c r="J153" s="86"/>
      <c r="K153" s="86"/>
      <c r="L153" s="86"/>
      <c r="M153" s="86"/>
      <c r="O153" s="86"/>
      <c r="P153" s="86"/>
      <c r="Q153" s="86"/>
      <c r="R153" s="86"/>
      <c r="T153" s="86"/>
      <c r="U153" s="86"/>
      <c r="V153" s="86"/>
      <c r="W153" s="86"/>
      <c r="X153" s="1346">
        <v>4525.7089999999998</v>
      </c>
      <c r="Y153" s="1346">
        <v>4584.8180000000002</v>
      </c>
      <c r="Z153" s="1346">
        <v>4508.5990000000002</v>
      </c>
      <c r="AA153" s="1346">
        <v>4587.1589999999997</v>
      </c>
      <c r="AB153" s="1349">
        <f>AC153</f>
        <v>1625.2650000000001</v>
      </c>
      <c r="AC153" s="1346">
        <v>1625.2650000000001</v>
      </c>
      <c r="AD153" s="1346">
        <v>1660.5909999999999</v>
      </c>
      <c r="AE153" s="1346">
        <v>1706.7829999999999</v>
      </c>
      <c r="AF153" s="1346">
        <v>1760.5</v>
      </c>
      <c r="AG153" s="1349">
        <f>AH153</f>
        <v>1980.21</v>
      </c>
      <c r="AH153" s="1346">
        <v>1980.21</v>
      </c>
      <c r="AI153" s="1424">
        <v>2007.7339999999999</v>
      </c>
      <c r="AJ153" s="1424">
        <v>2005.143</v>
      </c>
      <c r="AK153" s="1424">
        <v>2007.6179999999999</v>
      </c>
      <c r="AL153" s="1349">
        <f>AM153</f>
        <v>1986.6</v>
      </c>
      <c r="AM153" s="1424">
        <v>1986.6</v>
      </c>
      <c r="AN153" s="1424">
        <v>1981.4</v>
      </c>
      <c r="AO153" s="1424">
        <v>1980.6</v>
      </c>
      <c r="AP153" s="1424">
        <v>2080.3000000000002</v>
      </c>
      <c r="AQ153" s="1349">
        <f>AR153</f>
        <v>2117.5</v>
      </c>
      <c r="AR153" s="1530">
        <v>2117.5</v>
      </c>
      <c r="AS153" s="1530">
        <v>2138.5</v>
      </c>
      <c r="AT153" s="1530">
        <v>2135.5</v>
      </c>
      <c r="AU153" s="1530">
        <v>2217.8000000000002</v>
      </c>
      <c r="AV153" s="1349">
        <f>AW153</f>
        <v>2310.3000000000002</v>
      </c>
      <c r="AW153" s="1530">
        <v>2310.3000000000002</v>
      </c>
      <c r="AX153" s="86"/>
      <c r="AY153" s="86"/>
      <c r="AZ153" s="86"/>
      <c r="BA153" s="86"/>
      <c r="BC153" s="86"/>
      <c r="BD153" s="86"/>
      <c r="BE153" s="86"/>
      <c r="BF153" s="86"/>
      <c r="BH153" s="86"/>
      <c r="BI153" s="86"/>
      <c r="BJ153" s="86"/>
      <c r="BK153" s="86"/>
      <c r="BM153" s="86"/>
      <c r="BN153" s="86"/>
      <c r="BO153" s="86"/>
      <c r="BP153" s="86"/>
    </row>
    <row r="154" spans="2:68">
      <c r="C154" t="s">
        <v>296</v>
      </c>
      <c r="E154" s="86"/>
      <c r="F154" s="86"/>
      <c r="G154" s="86"/>
      <c r="H154" s="86"/>
      <c r="J154" s="86"/>
      <c r="K154" s="86"/>
      <c r="L154" s="86"/>
      <c r="M154" s="86"/>
      <c r="O154" s="86"/>
      <c r="P154" s="86"/>
      <c r="Q154" s="86"/>
      <c r="R154" s="86"/>
      <c r="T154" s="86"/>
      <c r="U154" s="86"/>
      <c r="V154" s="86"/>
      <c r="W154" s="86"/>
      <c r="X154" s="1346">
        <v>658.01499999999999</v>
      </c>
      <c r="Y154" s="1346">
        <v>676.89599999999996</v>
      </c>
      <c r="Z154" s="1346">
        <v>702.01800000000003</v>
      </c>
      <c r="AA154" s="1346">
        <v>732.53099999999995</v>
      </c>
      <c r="AB154" s="1349">
        <f>AC154</f>
        <v>758.35900000000004</v>
      </c>
      <c r="AC154" s="1346">
        <v>758.35900000000004</v>
      </c>
      <c r="AD154" s="1346">
        <v>783.54399999999998</v>
      </c>
      <c r="AE154" s="1346">
        <v>808.38199999999995</v>
      </c>
      <c r="AF154" s="1346">
        <v>833.495</v>
      </c>
      <c r="AG154" s="1349">
        <f>AH154</f>
        <v>856.21500000000003</v>
      </c>
      <c r="AH154" s="1346">
        <v>856.21500000000003</v>
      </c>
      <c r="AI154" s="1424">
        <v>952.81299999999999</v>
      </c>
      <c r="AJ154" s="1424">
        <v>1051.557</v>
      </c>
      <c r="AK154" s="1424">
        <v>1078.6980000000001</v>
      </c>
      <c r="AL154" s="1349">
        <f>AM154</f>
        <v>1092.4639999999999</v>
      </c>
      <c r="AM154" s="1424">
        <v>1092.4639999999999</v>
      </c>
      <c r="AN154" s="1424">
        <v>1117.2429999999999</v>
      </c>
      <c r="AO154" s="1424">
        <v>1155.345</v>
      </c>
      <c r="AP154" s="1424">
        <v>1196.8119999999999</v>
      </c>
      <c r="AQ154" s="1349">
        <f>AR154</f>
        <v>1657.1</v>
      </c>
      <c r="AR154" s="1530">
        <v>1657.1</v>
      </c>
      <c r="AS154" s="1530">
        <v>1890.7</v>
      </c>
      <c r="AT154" s="1530">
        <v>1940</v>
      </c>
      <c r="AU154" s="1530">
        <v>2004.6</v>
      </c>
      <c r="AV154" s="1349">
        <f>AW154</f>
        <v>2169.9</v>
      </c>
      <c r="AW154" s="1530">
        <v>2169.9</v>
      </c>
      <c r="AX154" s="86"/>
      <c r="AY154" s="86"/>
      <c r="AZ154" s="86"/>
      <c r="BA154" s="86"/>
      <c r="BC154" s="86"/>
      <c r="BD154" s="86"/>
      <c r="BE154" s="86"/>
      <c r="BF154" s="86"/>
      <c r="BH154" s="86"/>
      <c r="BI154" s="86"/>
      <c r="BJ154" s="86"/>
      <c r="BK154" s="86"/>
      <c r="BM154" s="86"/>
      <c r="BN154" s="86"/>
      <c r="BO154" s="86"/>
      <c r="BP154" s="86"/>
    </row>
    <row r="155" spans="2:68">
      <c r="C155" t="s">
        <v>297</v>
      </c>
      <c r="E155" s="86"/>
      <c r="F155" s="86"/>
      <c r="G155" s="86"/>
      <c r="H155" s="86"/>
      <c r="J155" s="86"/>
      <c r="K155" s="86"/>
      <c r="L155" s="86"/>
      <c r="M155" s="86"/>
      <c r="O155" s="86"/>
      <c r="P155" s="86"/>
      <c r="Q155" s="86"/>
      <c r="R155" s="86"/>
      <c r="T155" s="86"/>
      <c r="U155" s="86"/>
      <c r="V155" s="86"/>
      <c r="W155" s="86"/>
      <c r="X155" s="1346">
        <v>336.24200000000002</v>
      </c>
      <c r="Y155" s="1346">
        <v>343.733</v>
      </c>
      <c r="Z155" s="1346">
        <v>349.96199999999999</v>
      </c>
      <c r="AA155" s="1346">
        <v>358.51799999999997</v>
      </c>
      <c r="AB155" s="1349">
        <f>AC155</f>
        <v>367.95299999999997</v>
      </c>
      <c r="AC155" s="1346">
        <v>367.95299999999997</v>
      </c>
      <c r="AD155" s="1346">
        <v>370.07</v>
      </c>
      <c r="AE155" s="1346">
        <v>369.596</v>
      </c>
      <c r="AF155" s="1346">
        <v>373.57499999999999</v>
      </c>
      <c r="AG155" s="1349">
        <f>AH155</f>
        <v>372.09</v>
      </c>
      <c r="AH155" s="1346">
        <v>372.09</v>
      </c>
      <c r="AI155" s="1424">
        <v>374.90100000000001</v>
      </c>
      <c r="AJ155" s="1424">
        <v>401.68599999999998</v>
      </c>
      <c r="AK155" s="1424">
        <v>405.68599999999998</v>
      </c>
      <c r="AL155" s="1349">
        <f>AM155</f>
        <v>400.673</v>
      </c>
      <c r="AM155" s="1424">
        <v>400.673</v>
      </c>
      <c r="AN155" s="1424">
        <v>405.32499999999999</v>
      </c>
      <c r="AO155" s="1424">
        <v>408.59100000000001</v>
      </c>
      <c r="AP155" s="1424">
        <v>414.27199999999999</v>
      </c>
      <c r="AQ155" s="1349">
        <f>AR155</f>
        <v>0</v>
      </c>
      <c r="AR155" s="1530">
        <v>0</v>
      </c>
      <c r="AS155" s="1530">
        <v>0</v>
      </c>
      <c r="AT155" s="1530">
        <v>0</v>
      </c>
      <c r="AU155" s="1530">
        <v>0</v>
      </c>
      <c r="AV155" s="1349">
        <f>AW155</f>
        <v>0</v>
      </c>
      <c r="AW155" s="1530">
        <v>0</v>
      </c>
      <c r="AX155" s="86"/>
      <c r="AY155" s="86"/>
      <c r="AZ155" s="86"/>
      <c r="BA155" s="86"/>
      <c r="BC155" s="86"/>
      <c r="BD155" s="86"/>
      <c r="BE155" s="86"/>
      <c r="BF155" s="86"/>
      <c r="BH155" s="86"/>
      <c r="BI155" s="86"/>
      <c r="BJ155" s="86"/>
      <c r="BK155" s="86"/>
      <c r="BM155" s="86"/>
      <c r="BN155" s="86"/>
      <c r="BO155" s="86"/>
      <c r="BP155" s="86"/>
    </row>
    <row r="156" spans="2:68" s="1240" customFormat="1">
      <c r="C156" s="1240" t="s">
        <v>880</v>
      </c>
      <c r="E156" s="221"/>
      <c r="F156" s="221"/>
      <c r="G156" s="221"/>
      <c r="H156" s="221"/>
      <c r="X156" s="112">
        <f t="shared" ref="X156:AF156" si="51">SUM(X153:X155)</f>
        <v>5519.9660000000003</v>
      </c>
      <c r="Y156" s="112">
        <f t="shared" si="51"/>
        <v>5605.4470000000001</v>
      </c>
      <c r="Z156" s="112">
        <f t="shared" si="51"/>
        <v>5560.5789999999997</v>
      </c>
      <c r="AA156" s="112">
        <f t="shared" si="51"/>
        <v>5678.2079999999996</v>
      </c>
      <c r="AB156" s="1348">
        <f t="shared" si="51"/>
        <v>2751.5770000000002</v>
      </c>
      <c r="AC156" s="112">
        <f t="shared" si="51"/>
        <v>2751.5770000000002</v>
      </c>
      <c r="AD156" s="112">
        <f t="shared" si="51"/>
        <v>2814.2049999999999</v>
      </c>
      <c r="AE156" s="112">
        <f t="shared" si="51"/>
        <v>2884.761</v>
      </c>
      <c r="AF156" s="112">
        <f t="shared" si="51"/>
        <v>2967.5699999999997</v>
      </c>
      <c r="AG156" s="1348">
        <f t="shared" ref="AG156:AL156" si="52">SUM(AG153:AG155)</f>
        <v>3208.5150000000003</v>
      </c>
      <c r="AH156" s="112">
        <f t="shared" si="52"/>
        <v>3208.5150000000003</v>
      </c>
      <c r="AI156" s="1425">
        <f t="shared" si="52"/>
        <v>3335.4479999999999</v>
      </c>
      <c r="AJ156" s="1425">
        <f t="shared" si="52"/>
        <v>3458.386</v>
      </c>
      <c r="AK156" s="1425">
        <f t="shared" si="52"/>
        <v>3492.002</v>
      </c>
      <c r="AL156" s="1348">
        <f t="shared" si="52"/>
        <v>3479.7370000000001</v>
      </c>
      <c r="AM156" s="1425">
        <f t="shared" ref="AM156:AT156" si="53">SUM(AM153:AM155)</f>
        <v>3479.7370000000001</v>
      </c>
      <c r="AN156" s="1425">
        <f t="shared" si="53"/>
        <v>3503.9679999999998</v>
      </c>
      <c r="AO156" s="1425">
        <f t="shared" si="53"/>
        <v>3544.5359999999996</v>
      </c>
      <c r="AP156" s="1425">
        <f t="shared" si="53"/>
        <v>3691.384</v>
      </c>
      <c r="AQ156" s="1348">
        <f t="shared" si="53"/>
        <v>3774.6</v>
      </c>
      <c r="AR156" s="1348">
        <f t="shared" si="53"/>
        <v>3774.6</v>
      </c>
      <c r="AS156" s="1348">
        <f t="shared" si="53"/>
        <v>4029.2</v>
      </c>
      <c r="AT156" s="1348">
        <f t="shared" si="53"/>
        <v>4075.5</v>
      </c>
      <c r="AU156" s="1348">
        <f>SUM(AU153:AU155)</f>
        <v>4222.3999999999996</v>
      </c>
      <c r="AV156" s="1348">
        <f t="shared" ref="AV156:AW156" si="54">SUM(AV153:AV155)</f>
        <v>4480.2000000000007</v>
      </c>
      <c r="AW156" s="1348">
        <f t="shared" si="54"/>
        <v>4480.2000000000007</v>
      </c>
    </row>
    <row r="157" spans="2:68">
      <c r="E157" s="86"/>
      <c r="F157" s="86"/>
      <c r="G157" s="86"/>
      <c r="H157" s="86"/>
      <c r="J157" s="86"/>
      <c r="K157" s="86"/>
      <c r="L157" s="86"/>
      <c r="M157" s="86"/>
      <c r="O157" s="86"/>
      <c r="P157" s="86"/>
      <c r="Q157" s="86"/>
      <c r="R157" s="86"/>
      <c r="T157" s="86"/>
      <c r="U157" s="86"/>
      <c r="V157" s="86"/>
      <c r="W157" s="86"/>
      <c r="X157" s="72"/>
      <c r="Y157" s="72"/>
      <c r="Z157" s="72"/>
      <c r="AA157" s="72"/>
      <c r="AB157" s="1349"/>
      <c r="AC157" s="72"/>
      <c r="AD157" s="72"/>
      <c r="AE157" s="72"/>
      <c r="AF157" s="72"/>
      <c r="AG157" s="1349"/>
      <c r="AH157" s="72"/>
      <c r="AI157" s="1426"/>
      <c r="AJ157" s="1426"/>
      <c r="AK157" s="1426"/>
      <c r="AL157" s="1349"/>
      <c r="AM157" s="1426"/>
      <c r="AN157" s="1426"/>
      <c r="AO157" s="1426"/>
      <c r="AP157" s="86"/>
      <c r="AQ157" s="86"/>
      <c r="AR157" s="1300"/>
      <c r="AS157" s="86"/>
      <c r="AT157" s="86"/>
      <c r="AU157" s="86"/>
      <c r="AV157" s="86"/>
      <c r="AW157" s="1300"/>
      <c r="AX157" s="86"/>
      <c r="AY157" s="86"/>
      <c r="AZ157" s="86"/>
      <c r="BA157" s="86"/>
      <c r="BC157" s="86"/>
      <c r="BD157" s="86"/>
      <c r="BE157" s="86"/>
      <c r="BF157" s="86"/>
      <c r="BH157" s="86"/>
      <c r="BI157" s="86"/>
      <c r="BJ157" s="86"/>
      <c r="BK157" s="86"/>
      <c r="BM157" s="86"/>
      <c r="BN157" s="86"/>
      <c r="BO157" s="86"/>
      <c r="BP157" s="86"/>
    </row>
    <row r="158" spans="2:68">
      <c r="B158" s="46" t="s">
        <v>881</v>
      </c>
      <c r="C158" s="46"/>
      <c r="D158" s="46"/>
      <c r="E158" s="94"/>
      <c r="F158" s="94"/>
      <c r="G158" s="94"/>
      <c r="H158" s="94"/>
      <c r="J158" s="86"/>
      <c r="K158" s="86"/>
      <c r="L158" s="86"/>
      <c r="M158" s="86"/>
      <c r="O158" s="86"/>
      <c r="P158" s="86"/>
      <c r="Q158" s="86"/>
      <c r="R158" s="86"/>
      <c r="T158" s="86"/>
      <c r="U158" s="86"/>
      <c r="V158" s="86"/>
      <c r="W158" s="86"/>
      <c r="X158" s="72"/>
      <c r="Y158" s="72"/>
      <c r="Z158" s="72"/>
      <c r="AA158" s="72"/>
      <c r="AB158" s="1349"/>
      <c r="AC158" s="72"/>
      <c r="AD158" s="72"/>
      <c r="AE158" s="72"/>
      <c r="AF158" s="72"/>
      <c r="AG158" s="1349"/>
      <c r="AH158" s="72"/>
      <c r="AI158" s="1426"/>
      <c r="AJ158" s="1426"/>
      <c r="AK158" s="1426"/>
      <c r="AL158" s="1349"/>
      <c r="AM158" s="1426"/>
      <c r="AN158" s="1426"/>
      <c r="AO158" s="1426"/>
      <c r="AP158" s="86"/>
      <c r="AQ158" s="86"/>
      <c r="AR158" s="1300"/>
      <c r="AS158" s="86"/>
      <c r="AT158" s="86"/>
      <c r="AU158" s="86"/>
      <c r="AV158" s="86"/>
      <c r="AW158" s="1300"/>
      <c r="AX158" s="86"/>
      <c r="AY158" s="86"/>
      <c r="AZ158" s="86"/>
      <c r="BA158" s="86"/>
      <c r="BC158" s="86"/>
      <c r="BD158" s="86"/>
      <c r="BE158" s="86"/>
      <c r="BF158" s="86"/>
      <c r="BH158" s="86"/>
      <c r="BI158" s="86"/>
      <c r="BJ158" s="86"/>
      <c r="BK158" s="86"/>
      <c r="BM158" s="86"/>
      <c r="BN158" s="86"/>
      <c r="BO158" s="86"/>
      <c r="BP158" s="86"/>
    </row>
    <row r="159" spans="2:68">
      <c r="C159" t="s">
        <v>354</v>
      </c>
      <c r="E159" s="86"/>
      <c r="F159" s="86"/>
      <c r="G159" s="86"/>
      <c r="H159" s="86"/>
      <c r="J159" s="86"/>
      <c r="K159" s="86"/>
      <c r="L159" s="86"/>
      <c r="M159" s="86"/>
      <c r="O159" s="86"/>
      <c r="P159" s="86"/>
      <c r="Q159" s="86"/>
      <c r="R159" s="86"/>
      <c r="T159" s="86"/>
      <c r="U159" s="86"/>
      <c r="V159" s="86"/>
      <c r="W159" s="86"/>
      <c r="X159" s="1346">
        <v>11306.281000000001</v>
      </c>
      <c r="Y159" s="1346">
        <v>11372.599</v>
      </c>
      <c r="Z159" s="1346">
        <v>11403.6</v>
      </c>
      <c r="AA159" s="1346">
        <v>11466.78</v>
      </c>
      <c r="AB159" s="1349">
        <f t="shared" ref="AB159:AB164" si="55">AC159</f>
        <v>12587.2</v>
      </c>
      <c r="AC159" s="1346">
        <v>12587.2</v>
      </c>
      <c r="AD159" s="1346">
        <v>12671.641</v>
      </c>
      <c r="AE159" s="1346">
        <v>12776.620999999999</v>
      </c>
      <c r="AF159" s="1346">
        <v>12876.057000000001</v>
      </c>
      <c r="AG159" s="1349">
        <f t="shared" ref="AG159:AG164" si="56">AH159</f>
        <v>13005.379000000001</v>
      </c>
      <c r="AH159" s="1346">
        <v>13005.379000000001</v>
      </c>
      <c r="AI159" s="1424">
        <v>13133.483</v>
      </c>
      <c r="AJ159" s="1424">
        <v>12624.338</v>
      </c>
      <c r="AK159" s="1424">
        <v>12721.906999999999</v>
      </c>
      <c r="AL159" s="1349">
        <f t="shared" ref="AL159:AL164" si="57">AM159</f>
        <v>12832</v>
      </c>
      <c r="AM159" s="1424">
        <v>12832</v>
      </c>
      <c r="AN159" s="1424">
        <v>12962.8</v>
      </c>
      <c r="AO159" s="1424">
        <v>13106</v>
      </c>
      <c r="AP159" s="1424">
        <v>13244.6</v>
      </c>
      <c r="AQ159" s="1349">
        <f t="shared" ref="AQ159:AQ164" si="58">AR159</f>
        <v>13462.6</v>
      </c>
      <c r="AR159" s="1530">
        <v>13462.6</v>
      </c>
      <c r="AS159" s="1530">
        <v>13576.6</v>
      </c>
      <c r="AT159" s="1530">
        <v>13721.2</v>
      </c>
      <c r="AU159" s="1530">
        <v>13904.9</v>
      </c>
      <c r="AV159" s="1349">
        <f t="shared" ref="AV159:AV164" si="59">AW159</f>
        <v>14141.5</v>
      </c>
      <c r="AW159" s="1530">
        <v>14141.5</v>
      </c>
      <c r="AX159" s="86"/>
      <c r="AY159" s="86"/>
      <c r="AZ159" s="86"/>
      <c r="BA159" s="86"/>
      <c r="BC159" s="86"/>
      <c r="BD159" s="86"/>
      <c r="BE159" s="86"/>
      <c r="BF159" s="86"/>
      <c r="BH159" s="86"/>
      <c r="BI159" s="86"/>
      <c r="BJ159" s="86"/>
      <c r="BK159" s="86"/>
      <c r="BM159" s="86"/>
      <c r="BN159" s="86"/>
      <c r="BO159" s="86"/>
      <c r="BP159" s="86"/>
    </row>
    <row r="160" spans="2:68">
      <c r="C160" t="s">
        <v>617</v>
      </c>
      <c r="E160" s="86"/>
      <c r="F160" s="86"/>
      <c r="G160" s="86"/>
      <c r="H160" s="86"/>
      <c r="J160" s="86"/>
      <c r="K160" s="86"/>
      <c r="L160" s="86"/>
      <c r="M160" s="86"/>
      <c r="O160" s="86"/>
      <c r="P160" s="86"/>
      <c r="Q160" s="86"/>
      <c r="R160" s="86"/>
      <c r="T160" s="86"/>
      <c r="U160" s="86"/>
      <c r="V160" s="86"/>
      <c r="W160" s="86"/>
      <c r="X160" s="1346">
        <v>1809.134</v>
      </c>
      <c r="Y160" s="1346">
        <v>1823.0530000000001</v>
      </c>
      <c r="Z160" s="1346">
        <v>1834.2729999999999</v>
      </c>
      <c r="AA160" s="1346">
        <v>1852.14</v>
      </c>
      <c r="AB160" s="1349">
        <f t="shared" si="55"/>
        <v>2863.44</v>
      </c>
      <c r="AC160" s="1346">
        <v>2863.44</v>
      </c>
      <c r="AD160" s="1346">
        <v>2890.2710000000002</v>
      </c>
      <c r="AE160" s="1346">
        <v>2960.7669999999998</v>
      </c>
      <c r="AF160" s="1346">
        <v>2980.453</v>
      </c>
      <c r="AG160" s="1349">
        <f t="shared" si="56"/>
        <v>3007.2890000000002</v>
      </c>
      <c r="AH160" s="1346">
        <v>3007.2890000000002</v>
      </c>
      <c r="AI160" s="1424">
        <v>3024.4839999999999</v>
      </c>
      <c r="AJ160" s="1424">
        <v>2612.5079999999998</v>
      </c>
      <c r="AK160" s="1424">
        <v>2607.5770000000002</v>
      </c>
      <c r="AL160" s="1349">
        <f t="shared" si="57"/>
        <v>2562.076</v>
      </c>
      <c r="AM160" s="1424">
        <v>2562.076</v>
      </c>
      <c r="AN160" s="1424">
        <v>2588.5479999999998</v>
      </c>
      <c r="AO160" s="1424">
        <v>2609.3110000000001</v>
      </c>
      <c r="AP160" s="1424">
        <v>2615.0149999999999</v>
      </c>
      <c r="AQ160" s="1349">
        <f t="shared" si="58"/>
        <v>2634.826</v>
      </c>
      <c r="AR160" s="1530">
        <v>2634.826</v>
      </c>
      <c r="AS160" s="1530">
        <v>2648.4189999999999</v>
      </c>
      <c r="AT160" s="1530">
        <v>2668.6489999999999</v>
      </c>
      <c r="AU160" s="1530">
        <v>2683.7750000000001</v>
      </c>
      <c r="AV160" s="1349">
        <f t="shared" si="59"/>
        <v>2714.8629999999998</v>
      </c>
      <c r="AW160" s="1530">
        <v>2714.8629999999998</v>
      </c>
      <c r="AX160" s="86"/>
      <c r="AY160" s="86"/>
      <c r="AZ160" s="86"/>
      <c r="BA160" s="86"/>
      <c r="BC160" s="86"/>
      <c r="BD160" s="86"/>
      <c r="BE160" s="86"/>
      <c r="BF160" s="86"/>
      <c r="BH160" s="86"/>
      <c r="BI160" s="86"/>
      <c r="BJ160" s="86"/>
      <c r="BK160" s="86"/>
      <c r="BM160" s="86"/>
      <c r="BN160" s="86"/>
      <c r="BO160" s="86"/>
      <c r="BP160" s="86"/>
    </row>
    <row r="161" spans="2:68">
      <c r="C161" t="s">
        <v>355</v>
      </c>
      <c r="E161" s="86"/>
      <c r="F161" s="86"/>
      <c r="G161" s="86"/>
      <c r="H161" s="86"/>
      <c r="J161" s="86"/>
      <c r="K161" s="86"/>
      <c r="L161" s="86"/>
      <c r="M161" s="86"/>
      <c r="O161" s="86"/>
      <c r="P161" s="86"/>
      <c r="Q161" s="86"/>
      <c r="R161" s="86"/>
      <c r="T161" s="86"/>
      <c r="U161" s="86"/>
      <c r="V161" s="86"/>
      <c r="W161" s="86"/>
      <c r="X161" s="1346">
        <v>7960.7030000000004</v>
      </c>
      <c r="Y161" s="1346">
        <v>8016.5479999999998</v>
      </c>
      <c r="Z161" s="1346">
        <v>8132.2470000000003</v>
      </c>
      <c r="AA161" s="1346">
        <v>8201.7360000000008</v>
      </c>
      <c r="AB161" s="1349">
        <f t="shared" si="55"/>
        <v>8355.7129999999997</v>
      </c>
      <c r="AC161" s="1346">
        <v>8355.7129999999997</v>
      </c>
      <c r="AD161" s="1346">
        <v>8453.06</v>
      </c>
      <c r="AE161" s="1346">
        <v>8566.0439999999999</v>
      </c>
      <c r="AF161" s="1346">
        <v>8668.3220000000001</v>
      </c>
      <c r="AG161" s="1349">
        <f t="shared" si="56"/>
        <v>8826.7160000000003</v>
      </c>
      <c r="AH161" s="1346">
        <v>8826.7160000000003</v>
      </c>
      <c r="AI161" s="1424">
        <v>8893.393</v>
      </c>
      <c r="AJ161" s="1424">
        <v>8225.8909999999996</v>
      </c>
      <c r="AK161" s="1424">
        <v>8323.9120000000003</v>
      </c>
      <c r="AL161" s="1349">
        <f t="shared" si="57"/>
        <v>8221.5</v>
      </c>
      <c r="AM161" s="1424">
        <v>8221.5</v>
      </c>
      <c r="AN161" s="1424">
        <v>8341.2000000000007</v>
      </c>
      <c r="AO161" s="1424">
        <v>8477.2999999999993</v>
      </c>
      <c r="AP161" s="1424">
        <v>8532.4</v>
      </c>
      <c r="AQ161" s="1349">
        <f t="shared" si="58"/>
        <v>8632.6</v>
      </c>
      <c r="AR161" s="1530">
        <v>8632.6</v>
      </c>
      <c r="AS161" s="1530">
        <v>8663.1</v>
      </c>
      <c r="AT161" s="1530">
        <v>8844.7000000000007</v>
      </c>
      <c r="AU161" s="1530">
        <v>8926.2000000000007</v>
      </c>
      <c r="AV161" s="1349">
        <f t="shared" si="59"/>
        <v>9074.6</v>
      </c>
      <c r="AW161" s="1530">
        <v>9074.6</v>
      </c>
      <c r="AX161" s="86"/>
      <c r="AY161" s="86"/>
      <c r="AZ161" s="86"/>
      <c r="BA161" s="86"/>
      <c r="BC161" s="86"/>
      <c r="BD161" s="86"/>
      <c r="BE161" s="86"/>
      <c r="BF161" s="86"/>
      <c r="BH161" s="86"/>
      <c r="BI161" s="86"/>
      <c r="BJ161" s="86"/>
      <c r="BK161" s="86"/>
      <c r="BM161" s="86"/>
      <c r="BN161" s="86"/>
      <c r="BO161" s="86"/>
      <c r="BP161" s="86"/>
    </row>
    <row r="162" spans="2:68">
      <c r="C162" t="s">
        <v>357</v>
      </c>
      <c r="E162" s="86"/>
      <c r="F162" s="86"/>
      <c r="G162" s="86"/>
      <c r="H162" s="86"/>
      <c r="J162" s="86"/>
      <c r="K162" s="86"/>
      <c r="L162" s="86"/>
      <c r="M162" s="86"/>
      <c r="O162" s="86"/>
      <c r="P162" s="86"/>
      <c r="Q162" s="86"/>
      <c r="R162" s="86"/>
      <c r="T162" s="86"/>
      <c r="U162" s="86"/>
      <c r="V162" s="86"/>
      <c r="W162" s="86"/>
      <c r="X162" s="1346">
        <v>7551.05</v>
      </c>
      <c r="Y162" s="1346">
        <v>7625.7939999999999</v>
      </c>
      <c r="Z162" s="1346">
        <v>7704.1210000000001</v>
      </c>
      <c r="AA162" s="1346">
        <v>7686.8729999999996</v>
      </c>
      <c r="AB162" s="1349">
        <f t="shared" si="55"/>
        <v>7924.5870000000004</v>
      </c>
      <c r="AC162" s="1346">
        <v>7924.5870000000004</v>
      </c>
      <c r="AD162" s="1346">
        <v>8014.3959999999997</v>
      </c>
      <c r="AE162" s="1346">
        <v>8128.7849999999999</v>
      </c>
      <c r="AF162" s="1346">
        <v>8269.6149999999998</v>
      </c>
      <c r="AG162" s="1349">
        <f t="shared" si="56"/>
        <v>8410.5769999999993</v>
      </c>
      <c r="AH162" s="1346">
        <v>8410.5769999999993</v>
      </c>
      <c r="AI162" s="1424">
        <v>8532.6380000000008</v>
      </c>
      <c r="AJ162" s="1424">
        <v>8671.009</v>
      </c>
      <c r="AK162" s="1424">
        <v>8814.5049999999992</v>
      </c>
      <c r="AL162" s="1349">
        <f t="shared" si="57"/>
        <v>8923.4</v>
      </c>
      <c r="AM162" s="1424">
        <v>8923.4</v>
      </c>
      <c r="AN162" s="1424">
        <v>9009.5</v>
      </c>
      <c r="AO162" s="1424">
        <v>8915.6</v>
      </c>
      <c r="AP162" s="1424">
        <v>8959.6</v>
      </c>
      <c r="AQ162" s="1349">
        <f t="shared" si="58"/>
        <v>8996.6</v>
      </c>
      <c r="AR162" s="1530">
        <v>8996.6</v>
      </c>
      <c r="AS162" s="1530">
        <v>9053.7000000000007</v>
      </c>
      <c r="AT162" s="1530">
        <v>9143.6</v>
      </c>
      <c r="AU162" s="1530">
        <v>9220.2999999999993</v>
      </c>
      <c r="AV162" s="1349">
        <f t="shared" si="59"/>
        <v>9317.7999999999993</v>
      </c>
      <c r="AW162" s="1530">
        <v>9317.7999999999993</v>
      </c>
      <c r="AX162" s="86"/>
      <c r="AY162" s="86"/>
      <c r="AZ162" s="86"/>
      <c r="BA162" s="86"/>
      <c r="BC162" s="86"/>
      <c r="BD162" s="86"/>
      <c r="BE162" s="86"/>
      <c r="BF162" s="86"/>
      <c r="BH162" s="86"/>
      <c r="BI162" s="86"/>
      <c r="BJ162" s="86"/>
      <c r="BK162" s="86"/>
      <c r="BM162" s="86"/>
      <c r="BN162" s="86"/>
      <c r="BO162" s="86"/>
      <c r="BP162" s="86"/>
    </row>
    <row r="163" spans="2:68">
      <c r="C163" t="s">
        <v>637</v>
      </c>
      <c r="E163" s="86"/>
      <c r="F163" s="86"/>
      <c r="G163" s="86"/>
      <c r="H163" s="86"/>
      <c r="J163" s="86"/>
      <c r="K163" s="86"/>
      <c r="L163" s="86"/>
      <c r="M163" s="86"/>
      <c r="O163" s="86"/>
      <c r="P163" s="86"/>
      <c r="Q163" s="86"/>
      <c r="R163" s="86"/>
      <c r="T163" s="86"/>
      <c r="U163" s="86"/>
      <c r="V163" s="86"/>
      <c r="W163" s="86"/>
      <c r="X163" s="1346">
        <v>4218.723</v>
      </c>
      <c r="Y163" s="1346">
        <v>4260.13</v>
      </c>
      <c r="Z163" s="1346">
        <v>4324.0969999999998</v>
      </c>
      <c r="AA163" s="1346">
        <v>4380.9629999999997</v>
      </c>
      <c r="AB163" s="1349">
        <f t="shared" si="55"/>
        <v>4489.4809999999998</v>
      </c>
      <c r="AC163" s="1346">
        <v>4489.4809999999998</v>
      </c>
      <c r="AD163" s="1346">
        <v>4549.3149999999996</v>
      </c>
      <c r="AE163" s="1346">
        <v>4592.1239999999998</v>
      </c>
      <c r="AF163" s="1346">
        <v>4666.8329999999996</v>
      </c>
      <c r="AG163" s="1349">
        <f t="shared" si="56"/>
        <v>4760.1769999999997</v>
      </c>
      <c r="AH163" s="1346">
        <v>4760.1769999999997</v>
      </c>
      <c r="AI163" s="1424">
        <v>4844.634</v>
      </c>
      <c r="AJ163" s="1424">
        <v>4929.576</v>
      </c>
      <c r="AK163" s="1424">
        <v>4998.4809999999998</v>
      </c>
      <c r="AL163" s="1349">
        <f t="shared" si="57"/>
        <v>5045.7</v>
      </c>
      <c r="AM163" s="1424">
        <v>5045.7</v>
      </c>
      <c r="AN163" s="1424">
        <v>5119.5</v>
      </c>
      <c r="AO163" s="1424">
        <v>4995.8999999999996</v>
      </c>
      <c r="AP163" s="1424">
        <v>5039.5</v>
      </c>
      <c r="AQ163" s="1349">
        <f t="shared" si="58"/>
        <v>5095.8999999999996</v>
      </c>
      <c r="AR163" s="1530">
        <v>5095.8999999999996</v>
      </c>
      <c r="AS163" s="1530">
        <v>5148.5</v>
      </c>
      <c r="AT163" s="1530">
        <v>5203.5</v>
      </c>
      <c r="AU163" s="1530">
        <v>5240.7</v>
      </c>
      <c r="AV163" s="1349">
        <f t="shared" si="59"/>
        <v>5279.8</v>
      </c>
      <c r="AW163" s="1530">
        <v>5279.8</v>
      </c>
      <c r="AX163" s="86"/>
      <c r="AY163" s="86"/>
      <c r="AZ163" s="86"/>
      <c r="BA163" s="86"/>
      <c r="BC163" s="86"/>
      <c r="BD163" s="86"/>
      <c r="BE163" s="86"/>
      <c r="BF163" s="86"/>
      <c r="BH163" s="86"/>
      <c r="BI163" s="86"/>
      <c r="BJ163" s="86"/>
      <c r="BK163" s="86"/>
      <c r="BM163" s="86"/>
      <c r="BN163" s="86"/>
      <c r="BO163" s="86"/>
      <c r="BP163" s="86"/>
    </row>
    <row r="164" spans="2:68">
      <c r="C164" t="s">
        <v>490</v>
      </c>
      <c r="X164" s="1346">
        <v>1569.6859999999999</v>
      </c>
      <c r="Y164" s="1346">
        <v>1581.4159999999999</v>
      </c>
      <c r="Z164" s="1346">
        <v>1585.818</v>
      </c>
      <c r="AA164" s="1346">
        <v>1624.8430000000001</v>
      </c>
      <c r="AB164" s="1349">
        <f t="shared" si="55"/>
        <v>1635.481</v>
      </c>
      <c r="AC164" s="1346">
        <v>1635.481</v>
      </c>
      <c r="AD164" s="1346">
        <v>1650.518</v>
      </c>
      <c r="AE164" s="1346">
        <v>1667.2829999999999</v>
      </c>
      <c r="AF164" s="1346">
        <v>1690.126</v>
      </c>
      <c r="AG164" s="1349">
        <f t="shared" si="56"/>
        <v>1702.9880000000001</v>
      </c>
      <c r="AH164" s="1346">
        <v>1702.9880000000001</v>
      </c>
      <c r="AI164" s="1424">
        <v>1720.471</v>
      </c>
      <c r="AJ164" s="1424">
        <v>1739.752</v>
      </c>
      <c r="AK164" s="1424">
        <v>1761.201</v>
      </c>
      <c r="AL164" s="1349">
        <f t="shared" si="57"/>
        <v>1784.684</v>
      </c>
      <c r="AM164" s="1424">
        <v>1784.684</v>
      </c>
      <c r="AN164" s="1424">
        <v>1816.154</v>
      </c>
      <c r="AO164" s="1424">
        <v>1840.8040000000001</v>
      </c>
      <c r="AP164" s="1424">
        <v>1099.2529999999999</v>
      </c>
      <c r="AQ164" s="1349">
        <f t="shared" si="58"/>
        <v>1113.9659999999999</v>
      </c>
      <c r="AR164" s="1530">
        <v>1113.9659999999999</v>
      </c>
      <c r="AS164" s="1530">
        <v>1135.451</v>
      </c>
      <c r="AT164" s="1530">
        <v>1166.261</v>
      </c>
      <c r="AU164" s="1530">
        <v>1170.3879999999999</v>
      </c>
      <c r="AV164" s="1349">
        <f t="shared" si="59"/>
        <v>1174.5999999999999</v>
      </c>
      <c r="AW164" s="1530">
        <v>1174.5999999999999</v>
      </c>
    </row>
    <row r="165" spans="2:68" s="1240" customFormat="1">
      <c r="C165" s="1240" t="s">
        <v>304</v>
      </c>
      <c r="E165" s="221"/>
      <c r="F165" s="221"/>
      <c r="G165" s="221"/>
      <c r="H165" s="221"/>
      <c r="X165" s="112">
        <f t="shared" ref="X165:AF165" si="60">SUM(X159:X164)</f>
        <v>34415.577000000005</v>
      </c>
      <c r="Y165" s="112">
        <f t="shared" si="60"/>
        <v>34679.539999999994</v>
      </c>
      <c r="Z165" s="112">
        <f t="shared" si="60"/>
        <v>34984.155999999995</v>
      </c>
      <c r="AA165" s="112">
        <f t="shared" si="60"/>
        <v>35213.334999999999</v>
      </c>
      <c r="AB165" s="1348">
        <f t="shared" si="60"/>
        <v>37855.902000000002</v>
      </c>
      <c r="AC165" s="112">
        <f t="shared" si="60"/>
        <v>37855.902000000002</v>
      </c>
      <c r="AD165" s="112">
        <f t="shared" si="60"/>
        <v>38229.201000000001</v>
      </c>
      <c r="AE165" s="112">
        <f t="shared" si="60"/>
        <v>38691.624000000003</v>
      </c>
      <c r="AF165" s="112">
        <f t="shared" si="60"/>
        <v>39151.405999999995</v>
      </c>
      <c r="AG165" s="1348">
        <f t="shared" ref="AG165:AL165" si="61">SUM(AG159:AG164)</f>
        <v>39713.126000000004</v>
      </c>
      <c r="AH165" s="112">
        <f t="shared" si="61"/>
        <v>39713.126000000004</v>
      </c>
      <c r="AI165" s="1425">
        <f t="shared" si="61"/>
        <v>40149.102999999996</v>
      </c>
      <c r="AJ165" s="1425">
        <f t="shared" si="61"/>
        <v>38803.074000000001</v>
      </c>
      <c r="AK165" s="1425">
        <f t="shared" si="61"/>
        <v>39227.582999999999</v>
      </c>
      <c r="AL165" s="1348">
        <f t="shared" si="61"/>
        <v>39369.360000000001</v>
      </c>
      <c r="AM165" s="1425">
        <f t="shared" ref="AM165:AT165" si="62">SUM(AM159:AM164)</f>
        <v>39369.360000000001</v>
      </c>
      <c r="AN165" s="1425">
        <f t="shared" si="62"/>
        <v>39837.701999999997</v>
      </c>
      <c r="AO165" s="1425">
        <f t="shared" si="62"/>
        <v>39944.914999999994</v>
      </c>
      <c r="AP165" s="1425">
        <f t="shared" si="62"/>
        <v>39490.367999999995</v>
      </c>
      <c r="AQ165" s="1348">
        <f t="shared" si="62"/>
        <v>39936.491999999998</v>
      </c>
      <c r="AR165" s="1348">
        <f t="shared" si="62"/>
        <v>39936.491999999998</v>
      </c>
      <c r="AS165" s="1348">
        <f t="shared" si="62"/>
        <v>40225.770000000004</v>
      </c>
      <c r="AT165" s="1348">
        <f t="shared" si="62"/>
        <v>40747.910000000003</v>
      </c>
      <c r="AU165" s="1348">
        <f>SUM(AU159:AU164)</f>
        <v>41146.262999999999</v>
      </c>
      <c r="AV165" s="1348">
        <f t="shared" ref="AV165:AW165" si="63">SUM(AV159:AV164)</f>
        <v>41703.163000000008</v>
      </c>
      <c r="AW165" s="1348">
        <f t="shared" si="63"/>
        <v>41703.163000000008</v>
      </c>
    </row>
    <row r="166" spans="2:68">
      <c r="X166" s="72"/>
      <c r="Y166" s="72"/>
      <c r="Z166" s="72"/>
      <c r="AA166" s="72"/>
      <c r="AB166" s="1349"/>
      <c r="AC166" s="72"/>
      <c r="AD166" s="72"/>
      <c r="AE166" s="72"/>
      <c r="AF166" s="72"/>
      <c r="AG166" s="1349"/>
      <c r="AH166" s="72"/>
      <c r="AI166" s="1426"/>
      <c r="AJ166" s="1426"/>
      <c r="AK166" s="1426"/>
      <c r="AL166" s="1349"/>
      <c r="AM166" s="1426"/>
      <c r="AN166" s="1426"/>
      <c r="AO166" s="1426"/>
      <c r="AP166" s="1426"/>
      <c r="AQ166" s="1349"/>
      <c r="AV166" s="1349"/>
    </row>
    <row r="167" spans="2:68">
      <c r="C167" t="s">
        <v>150</v>
      </c>
      <c r="X167" s="1346">
        <v>15335.429</v>
      </c>
      <c r="Y167" s="1346">
        <v>15411.061</v>
      </c>
      <c r="Z167" s="1346">
        <v>15143.263000000001</v>
      </c>
      <c r="AA167" s="1346">
        <v>15249.433999999999</v>
      </c>
      <c r="AB167" s="1349">
        <f>AC167</f>
        <v>6438.8220000000001</v>
      </c>
      <c r="AC167" s="1346">
        <v>6438.8220000000001</v>
      </c>
      <c r="AD167" s="1346">
        <v>6507.1490000000003</v>
      </c>
      <c r="AE167" s="1346">
        <v>6592.7640000000001</v>
      </c>
      <c r="AF167" s="1346">
        <v>6687.2560000000003</v>
      </c>
      <c r="AG167" s="1349">
        <f>AH167</f>
        <v>6801.7290000000003</v>
      </c>
      <c r="AH167" s="1346">
        <v>6801.7290000000003</v>
      </c>
      <c r="AI167" s="1424">
        <v>6899.7820000000002</v>
      </c>
      <c r="AJ167" s="1424">
        <v>6995.0029999999997</v>
      </c>
      <c r="AK167" s="1424">
        <v>7071.018</v>
      </c>
      <c r="AL167" s="1349">
        <f>AM167</f>
        <v>7103.4</v>
      </c>
      <c r="AM167" s="1424">
        <v>7103.4</v>
      </c>
      <c r="AN167" s="1424">
        <v>7175.2</v>
      </c>
      <c r="AO167" s="1424">
        <v>7250.8</v>
      </c>
      <c r="AP167" s="1424">
        <v>7319.8</v>
      </c>
      <c r="AQ167" s="1349">
        <f>AR167</f>
        <v>7441.6</v>
      </c>
      <c r="AR167" s="1530">
        <v>7441.6</v>
      </c>
      <c r="AS167" s="1530">
        <v>7520.4</v>
      </c>
      <c r="AT167" s="1530">
        <v>7641.2</v>
      </c>
      <c r="AU167" s="1530">
        <v>7763.1</v>
      </c>
      <c r="AV167" s="1349">
        <f>AW167</f>
        <v>7951.6</v>
      </c>
      <c r="AW167" s="1530">
        <v>7951.6</v>
      </c>
    </row>
    <row r="168" spans="2:68">
      <c r="C168" t="s">
        <v>296</v>
      </c>
      <c r="X168" s="1346">
        <v>3683.8530000000001</v>
      </c>
      <c r="Y168" s="1346">
        <v>3752.0360000000001</v>
      </c>
      <c r="Z168" s="1346">
        <v>3813.4079999999999</v>
      </c>
      <c r="AA168" s="1346">
        <v>3908.7649999999999</v>
      </c>
      <c r="AB168" s="1349">
        <f>AC168</f>
        <v>4021.7629999999999</v>
      </c>
      <c r="AC168" s="1346">
        <v>4021.7629999999999</v>
      </c>
      <c r="AD168" s="1346">
        <v>4121.7790000000005</v>
      </c>
      <c r="AE168" s="1346">
        <v>4231.8450000000003</v>
      </c>
      <c r="AF168" s="1346">
        <v>4352.174</v>
      </c>
      <c r="AG168" s="1349">
        <f>AH168</f>
        <v>4446.6540000000005</v>
      </c>
      <c r="AH168" s="1346">
        <v>4446.6540000000005</v>
      </c>
      <c r="AI168" s="1424">
        <v>4538.7290000000003</v>
      </c>
      <c r="AJ168" s="1424">
        <v>4644.2730000000001</v>
      </c>
      <c r="AK168" s="1424">
        <v>4738.9989999999998</v>
      </c>
      <c r="AL168" s="1349">
        <f>AM168</f>
        <v>4808.3059999999996</v>
      </c>
      <c r="AM168" s="1424">
        <v>4808.3059999999996</v>
      </c>
      <c r="AN168" s="1424">
        <v>4889.5320000000002</v>
      </c>
      <c r="AO168" s="1424">
        <v>4975.6670000000004</v>
      </c>
      <c r="AP168" s="1424">
        <v>5070.4960000000001</v>
      </c>
      <c r="AQ168" s="1349">
        <f>AR168</f>
        <v>7322.7</v>
      </c>
      <c r="AR168" s="1530">
        <v>7322.7</v>
      </c>
      <c r="AS168" s="1530">
        <v>7470</v>
      </c>
      <c r="AT168" s="1530">
        <v>7650.9</v>
      </c>
      <c r="AU168" s="1530">
        <v>7932</v>
      </c>
      <c r="AV168" s="1349">
        <f>AW168</f>
        <v>8419.6</v>
      </c>
      <c r="AW168" s="1530">
        <v>8419.6</v>
      </c>
    </row>
    <row r="169" spans="2:68">
      <c r="C169" t="s">
        <v>297</v>
      </c>
      <c r="X169" s="1346">
        <v>1604.3219999999999</v>
      </c>
      <c r="Y169" s="1346">
        <v>1620.039</v>
      </c>
      <c r="Z169" s="1346">
        <v>1638.21</v>
      </c>
      <c r="AA169" s="1346">
        <v>1659.1389999999999</v>
      </c>
      <c r="AB169" s="1349">
        <f>AC169</f>
        <v>1681.83</v>
      </c>
      <c r="AC169" s="1346">
        <v>1681.83</v>
      </c>
      <c r="AD169" s="1346">
        <v>1710.152</v>
      </c>
      <c r="AE169" s="1346">
        <v>1729.816</v>
      </c>
      <c r="AF169" s="1346">
        <v>1753.0440000000001</v>
      </c>
      <c r="AG169" s="1349">
        <f>AH169</f>
        <v>1775.414</v>
      </c>
      <c r="AH169" s="1346">
        <v>1775.414</v>
      </c>
      <c r="AI169" s="1424">
        <v>1812.5940000000001</v>
      </c>
      <c r="AJ169" s="1424">
        <v>1866.6559999999999</v>
      </c>
      <c r="AK169" s="1424">
        <v>1896.6320000000001</v>
      </c>
      <c r="AL169" s="1349">
        <f>AM169</f>
        <v>1928.6780000000001</v>
      </c>
      <c r="AM169" s="1424">
        <v>1928.6780000000001</v>
      </c>
      <c r="AN169" s="1424">
        <v>1964.655</v>
      </c>
      <c r="AO169" s="1424">
        <v>1990.8679999999999</v>
      </c>
      <c r="AP169" s="1424">
        <v>2048.1039999999998</v>
      </c>
      <c r="AQ169" s="1349">
        <f>AR169</f>
        <v>0</v>
      </c>
      <c r="AR169" s="1579"/>
      <c r="AS169" s="1225"/>
      <c r="AT169" s="1225">
        <v>0</v>
      </c>
      <c r="AU169" s="1225">
        <v>0</v>
      </c>
      <c r="AV169" s="1349">
        <f>AW169</f>
        <v>0</v>
      </c>
      <c r="AW169" s="1579"/>
    </row>
    <row r="170" spans="2:68" s="1240" customFormat="1">
      <c r="C170" s="1240" t="s">
        <v>880</v>
      </c>
      <c r="E170" s="221"/>
      <c r="F170" s="221"/>
      <c r="G170" s="221"/>
      <c r="H170" s="221"/>
      <c r="X170" s="112">
        <f t="shared" ref="X170:AF170" si="64">SUM(X167:X169)</f>
        <v>20623.603999999999</v>
      </c>
      <c r="Y170" s="112">
        <f t="shared" si="64"/>
        <v>20783.136000000002</v>
      </c>
      <c r="Z170" s="112">
        <f t="shared" si="64"/>
        <v>20594.881000000001</v>
      </c>
      <c r="AA170" s="112">
        <f t="shared" si="64"/>
        <v>20817.338</v>
      </c>
      <c r="AB170" s="1348">
        <f t="shared" si="64"/>
        <v>12142.414999999999</v>
      </c>
      <c r="AC170" s="112">
        <f t="shared" si="64"/>
        <v>12142.414999999999</v>
      </c>
      <c r="AD170" s="112">
        <f t="shared" si="64"/>
        <v>12339.08</v>
      </c>
      <c r="AE170" s="112">
        <f t="shared" si="64"/>
        <v>12554.425000000001</v>
      </c>
      <c r="AF170" s="112">
        <f t="shared" si="64"/>
        <v>12792.474</v>
      </c>
      <c r="AG170" s="1348">
        <f t="shared" ref="AG170:AL170" si="65">SUM(AG167:AG169)</f>
        <v>13023.797000000002</v>
      </c>
      <c r="AH170" s="112">
        <f t="shared" si="65"/>
        <v>13023.797000000002</v>
      </c>
      <c r="AI170" s="1425">
        <f t="shared" si="65"/>
        <v>13251.105</v>
      </c>
      <c r="AJ170" s="1425">
        <f t="shared" si="65"/>
        <v>13505.932000000001</v>
      </c>
      <c r="AK170" s="1425">
        <f t="shared" si="65"/>
        <v>13706.648999999999</v>
      </c>
      <c r="AL170" s="1348">
        <f t="shared" si="65"/>
        <v>13840.383999999998</v>
      </c>
      <c r="AM170" s="1425">
        <f t="shared" ref="AM170:AT170" si="66">SUM(AM167:AM169)</f>
        <v>13840.383999999998</v>
      </c>
      <c r="AN170" s="1425">
        <f t="shared" si="66"/>
        <v>14029.387000000001</v>
      </c>
      <c r="AO170" s="1425">
        <f t="shared" si="66"/>
        <v>14217.335000000001</v>
      </c>
      <c r="AP170" s="1425">
        <f t="shared" si="66"/>
        <v>14438.4</v>
      </c>
      <c r="AQ170" s="1348">
        <f t="shared" si="66"/>
        <v>14764.3</v>
      </c>
      <c r="AR170" s="1348">
        <f t="shared" si="66"/>
        <v>14764.3</v>
      </c>
      <c r="AS170" s="1348">
        <f t="shared" si="66"/>
        <v>14990.4</v>
      </c>
      <c r="AT170" s="1348">
        <f t="shared" si="66"/>
        <v>15292.099999999999</v>
      </c>
      <c r="AU170" s="1348">
        <f>SUM(AU167:AU169)</f>
        <v>15695.1</v>
      </c>
      <c r="AV170" s="1348">
        <f t="shared" ref="AV170:AW170" si="67">SUM(AV167:AV169)</f>
        <v>16371.2</v>
      </c>
      <c r="AW170" s="1348">
        <f t="shared" si="67"/>
        <v>16371.2</v>
      </c>
    </row>
    <row r="171" spans="2:68">
      <c r="X171" s="72"/>
      <c r="Y171" s="72"/>
      <c r="Z171" s="72"/>
      <c r="AA171" s="72"/>
      <c r="AB171" s="1349"/>
      <c r="AC171" s="72"/>
      <c r="AD171" s="72"/>
      <c r="AE171" s="72"/>
      <c r="AF171" s="72"/>
      <c r="AG171" s="1349"/>
      <c r="AH171" s="72"/>
      <c r="AI171" s="1426"/>
      <c r="AJ171" s="1426"/>
      <c r="AK171" s="1426"/>
      <c r="AL171" s="1349"/>
      <c r="AM171" s="1426"/>
      <c r="AN171" s="1426"/>
      <c r="AO171" s="1426"/>
      <c r="AP171" s="1426"/>
      <c r="AR171" s="1300"/>
      <c r="AV171" s="1884"/>
      <c r="AW171" s="1300"/>
    </row>
    <row r="172" spans="2:68">
      <c r="B172" s="46" t="s">
        <v>108</v>
      </c>
      <c r="C172" s="46"/>
      <c r="D172" s="46"/>
      <c r="E172" s="94"/>
      <c r="F172" s="94"/>
      <c r="G172" s="94"/>
      <c r="H172" s="94"/>
      <c r="J172" s="86"/>
      <c r="K172" s="86"/>
      <c r="L172" s="86"/>
      <c r="M172" s="86"/>
      <c r="O172" s="86"/>
      <c r="P172" s="86"/>
      <c r="Q172" s="86"/>
      <c r="R172" s="86"/>
      <c r="T172" s="86"/>
      <c r="U172" s="86"/>
      <c r="V172" s="86"/>
      <c r="W172" s="86"/>
      <c r="X172" s="72"/>
      <c r="Y172" s="72"/>
      <c r="Z172" s="72"/>
      <c r="AA172" s="72"/>
      <c r="AB172" s="1349"/>
      <c r="AC172" s="72"/>
      <c r="AD172" s="72"/>
      <c r="AE172" s="72"/>
      <c r="AF172" s="72"/>
      <c r="AG172" s="1349"/>
      <c r="AH172" s="72"/>
      <c r="AI172" s="1426"/>
      <c r="AJ172" s="1426"/>
      <c r="AK172" s="1426"/>
      <c r="AL172" s="1349"/>
      <c r="AM172" s="1426"/>
      <c r="AN172" s="1426"/>
      <c r="AO172" s="1426"/>
      <c r="AP172" s="1426"/>
      <c r="AQ172" s="86"/>
      <c r="AR172" s="1300"/>
      <c r="AS172" s="86"/>
      <c r="AT172" s="86"/>
      <c r="AU172" s="86"/>
      <c r="AV172" s="86"/>
      <c r="AW172" s="1300"/>
      <c r="AX172" s="86"/>
      <c r="AY172" s="86"/>
      <c r="AZ172" s="86"/>
      <c r="BA172" s="86"/>
      <c r="BC172" s="86"/>
      <c r="BD172" s="86"/>
      <c r="BE172" s="86"/>
      <c r="BF172" s="86"/>
      <c r="BH172" s="86"/>
      <c r="BI172" s="86"/>
      <c r="BJ172" s="86"/>
      <c r="BK172" s="86"/>
      <c r="BM172" s="86"/>
      <c r="BN172" s="86"/>
      <c r="BO172" s="86"/>
      <c r="BP172" s="86"/>
    </row>
    <row r="173" spans="2:68">
      <c r="C173" t="s">
        <v>354</v>
      </c>
      <c r="X173" s="1346">
        <v>3196.6390000000001</v>
      </c>
      <c r="Y173" s="1346">
        <v>3246.5219999999999</v>
      </c>
      <c r="Z173" s="1346">
        <v>3263.7710000000002</v>
      </c>
      <c r="AA173" s="1346">
        <v>3307.1750000000002</v>
      </c>
      <c r="AB173" s="1349">
        <f t="shared" ref="AB173:AB178" si="68">AC173</f>
        <v>3617.99</v>
      </c>
      <c r="AC173" s="1346">
        <v>3617.99</v>
      </c>
      <c r="AD173" s="1346">
        <v>3679.3939999999998</v>
      </c>
      <c r="AE173" s="1346">
        <v>3739.4110000000001</v>
      </c>
      <c r="AF173" s="1346">
        <v>3797.663</v>
      </c>
      <c r="AG173" s="1349">
        <f t="shared" ref="AG173:AG178" si="69">AH173</f>
        <v>3823.6640000000002</v>
      </c>
      <c r="AH173" s="1346">
        <v>3823.6640000000002</v>
      </c>
      <c r="AI173" s="1424">
        <v>3897.3270000000002</v>
      </c>
      <c r="AJ173" s="1424">
        <v>3396.1579999999999</v>
      </c>
      <c r="AK173" s="1424">
        <v>3426.9609999999998</v>
      </c>
      <c r="AL173" s="1349">
        <f t="shared" ref="AL173:AL178" si="70">AM173</f>
        <v>3407.6</v>
      </c>
      <c r="AM173" s="1424">
        <v>3407.6</v>
      </c>
      <c r="AN173" s="1424">
        <v>3473.5</v>
      </c>
      <c r="AO173" s="1424">
        <v>3527.6</v>
      </c>
      <c r="AP173" s="1424">
        <v>3598.1</v>
      </c>
      <c r="AQ173" s="1349">
        <f t="shared" ref="AQ173:AQ178" si="71">AR173</f>
        <v>3636.8</v>
      </c>
      <c r="AR173" s="1530">
        <v>3636.8</v>
      </c>
      <c r="AS173" s="1530">
        <v>3705.4</v>
      </c>
      <c r="AT173" s="1530">
        <v>3762.8</v>
      </c>
      <c r="AU173" s="1530">
        <v>3836.7</v>
      </c>
      <c r="AV173" s="1349">
        <f t="shared" ref="AV173:AV178" si="72">AW173</f>
        <v>3896.4</v>
      </c>
      <c r="AW173" s="1530">
        <v>3896.4</v>
      </c>
    </row>
    <row r="174" spans="2:68">
      <c r="C174" t="s">
        <v>617</v>
      </c>
      <c r="X174" s="1346">
        <v>603.37300000000005</v>
      </c>
      <c r="Y174" s="1346">
        <v>613.21900000000005</v>
      </c>
      <c r="Z174" s="1346">
        <v>622.02200000000005</v>
      </c>
      <c r="AA174" s="1346">
        <v>633.08600000000001</v>
      </c>
      <c r="AB174" s="1349">
        <f t="shared" si="68"/>
        <v>943.88900000000001</v>
      </c>
      <c r="AC174" s="1346">
        <v>943.88900000000001</v>
      </c>
      <c r="AD174" s="1346">
        <v>962.78499999999997</v>
      </c>
      <c r="AE174" s="1346">
        <v>982.24300000000005</v>
      </c>
      <c r="AF174" s="1346">
        <v>1003.004</v>
      </c>
      <c r="AG174" s="1349">
        <f t="shared" si="69"/>
        <v>1026.2080000000001</v>
      </c>
      <c r="AH174" s="1346">
        <v>1026.2080000000001</v>
      </c>
      <c r="AI174" s="1424">
        <v>1052.114</v>
      </c>
      <c r="AJ174" s="1424">
        <v>877.46500000000003</v>
      </c>
      <c r="AK174" s="1424">
        <v>884.63</v>
      </c>
      <c r="AL174" s="1349">
        <f t="shared" si="70"/>
        <v>847.67499999999995</v>
      </c>
      <c r="AM174" s="1424">
        <v>847.67499999999995</v>
      </c>
      <c r="AN174" s="1424">
        <v>856.54899999999998</v>
      </c>
      <c r="AO174" s="1424">
        <v>865.32600000000002</v>
      </c>
      <c r="AP174" s="1424">
        <v>871.46</v>
      </c>
      <c r="AQ174" s="1349">
        <f t="shared" si="71"/>
        <v>879.25300000000004</v>
      </c>
      <c r="AR174" s="1530">
        <v>879.25300000000004</v>
      </c>
      <c r="AS174" s="1530">
        <v>893.66099999999994</v>
      </c>
      <c r="AT174" s="1530">
        <v>905.274</v>
      </c>
      <c r="AU174" s="1530">
        <v>915.67200000000003</v>
      </c>
      <c r="AV174" s="1349">
        <f t="shared" si="72"/>
        <v>922.49300000000005</v>
      </c>
      <c r="AW174" s="1530">
        <v>922.49300000000005</v>
      </c>
    </row>
    <row r="175" spans="2:68">
      <c r="C175" t="s">
        <v>355</v>
      </c>
      <c r="X175" s="1346">
        <v>3232.1350000000002</v>
      </c>
      <c r="Y175" s="1346">
        <v>3244.6750000000002</v>
      </c>
      <c r="Z175" s="1346">
        <v>3269.5659999999998</v>
      </c>
      <c r="AA175" s="1346">
        <v>3301.1770000000001</v>
      </c>
      <c r="AB175" s="1349">
        <f t="shared" si="68"/>
        <v>3299.3490000000002</v>
      </c>
      <c r="AC175" s="1346">
        <v>3299.3490000000002</v>
      </c>
      <c r="AD175" s="1346">
        <v>3337.4009999999998</v>
      </c>
      <c r="AE175" s="1346">
        <v>3371.3789999999999</v>
      </c>
      <c r="AF175" s="1346">
        <v>3403.54</v>
      </c>
      <c r="AG175" s="1349">
        <f t="shared" si="69"/>
        <v>3410.3409999999999</v>
      </c>
      <c r="AH175" s="1346">
        <v>3410.3409999999999</v>
      </c>
      <c r="AI175" s="1424">
        <v>3440.4</v>
      </c>
      <c r="AJ175" s="1424">
        <v>3049.2429999999999</v>
      </c>
      <c r="AK175" s="1424">
        <v>3084.1880000000001</v>
      </c>
      <c r="AL175" s="1349">
        <f t="shared" si="70"/>
        <v>3018</v>
      </c>
      <c r="AM175" s="1424">
        <v>3018</v>
      </c>
      <c r="AN175" s="1424">
        <v>3048.3</v>
      </c>
      <c r="AO175" s="1424">
        <v>3065.9</v>
      </c>
      <c r="AP175" s="1424">
        <v>3063.9</v>
      </c>
      <c r="AQ175" s="1349">
        <f t="shared" si="71"/>
        <v>3005.1</v>
      </c>
      <c r="AR175" s="1530">
        <v>3005.1</v>
      </c>
      <c r="AS175" s="1530">
        <v>2984.1</v>
      </c>
      <c r="AT175" s="1530">
        <v>3014.1</v>
      </c>
      <c r="AU175" s="1530">
        <v>3022.5</v>
      </c>
      <c r="AV175" s="1349">
        <f t="shared" si="72"/>
        <v>3024.2</v>
      </c>
      <c r="AW175" s="1530">
        <v>3024.2</v>
      </c>
    </row>
    <row r="176" spans="2:68">
      <c r="C176" t="s">
        <v>357</v>
      </c>
      <c r="X176" s="1346">
        <v>2284.2579999999998</v>
      </c>
      <c r="Y176" s="1346">
        <v>2317.0459999999998</v>
      </c>
      <c r="Z176" s="1346">
        <v>2353.5619999999999</v>
      </c>
      <c r="AA176" s="1346">
        <v>2378.2249999999999</v>
      </c>
      <c r="AB176" s="1349">
        <f t="shared" si="68"/>
        <v>2391.652</v>
      </c>
      <c r="AC176" s="1346">
        <v>2391.652</v>
      </c>
      <c r="AD176" s="1346">
        <v>2424.701</v>
      </c>
      <c r="AE176" s="1346">
        <v>2456.0590000000002</v>
      </c>
      <c r="AF176" s="1346">
        <v>2485.2919999999999</v>
      </c>
      <c r="AG176" s="1349">
        <f t="shared" si="69"/>
        <v>2503.29</v>
      </c>
      <c r="AH176" s="1346">
        <v>2503.29</v>
      </c>
      <c r="AI176" s="1424">
        <v>2541.4920000000002</v>
      </c>
      <c r="AJ176" s="1424">
        <v>2579.7579999999998</v>
      </c>
      <c r="AK176" s="1424">
        <v>2611.1289999999999</v>
      </c>
      <c r="AL176" s="1349">
        <f t="shared" si="70"/>
        <v>2602.3000000000002</v>
      </c>
      <c r="AM176" s="1424">
        <v>2602.3000000000002</v>
      </c>
      <c r="AN176" s="1424">
        <v>2620.9</v>
      </c>
      <c r="AO176" s="1424">
        <v>2549</v>
      </c>
      <c r="AP176" s="1424">
        <v>2572.4</v>
      </c>
      <c r="AQ176" s="1349">
        <f t="shared" si="71"/>
        <v>2567.1</v>
      </c>
      <c r="AR176" s="1530">
        <v>2567.1</v>
      </c>
      <c r="AS176" s="1530">
        <v>2608</v>
      </c>
      <c r="AT176" s="1530">
        <v>2634.4</v>
      </c>
      <c r="AU176" s="1530">
        <v>2670.5</v>
      </c>
      <c r="AV176" s="1349">
        <f t="shared" si="72"/>
        <v>2685.8</v>
      </c>
      <c r="AW176" s="1530">
        <v>2685.8</v>
      </c>
    </row>
    <row r="177" spans="2:49">
      <c r="C177" t="s">
        <v>637</v>
      </c>
      <c r="X177" s="1346">
        <v>1278.941</v>
      </c>
      <c r="Y177" s="1346">
        <v>1292.9670000000001</v>
      </c>
      <c r="Z177" s="1346">
        <v>1309.6990000000001</v>
      </c>
      <c r="AA177" s="1346">
        <v>1321.8430000000001</v>
      </c>
      <c r="AB177" s="1349">
        <f t="shared" si="68"/>
        <v>1323.5219999999999</v>
      </c>
      <c r="AC177" s="1346">
        <v>1323.5219999999999</v>
      </c>
      <c r="AD177" s="1346">
        <v>1334.5070000000001</v>
      </c>
      <c r="AE177" s="1346">
        <v>1318.6669999999999</v>
      </c>
      <c r="AF177" s="1346">
        <v>1333.626</v>
      </c>
      <c r="AG177" s="1349">
        <f t="shared" si="69"/>
        <v>1319.5540000000001</v>
      </c>
      <c r="AH177" s="1346">
        <v>1319.5540000000001</v>
      </c>
      <c r="AI177" s="1424">
        <v>1342.4639999999999</v>
      </c>
      <c r="AJ177" s="1424">
        <v>1363.3140000000001</v>
      </c>
      <c r="AK177" s="1424">
        <v>1383.116</v>
      </c>
      <c r="AL177" s="1349">
        <f t="shared" si="70"/>
        <v>1352.5</v>
      </c>
      <c r="AM177" s="1424">
        <v>1352.5</v>
      </c>
      <c r="AN177" s="1424">
        <v>1365.7</v>
      </c>
      <c r="AO177" s="1424">
        <v>1289.0999999999999</v>
      </c>
      <c r="AP177" s="1424">
        <v>1297.4000000000001</v>
      </c>
      <c r="AQ177" s="1349">
        <f t="shared" si="71"/>
        <v>1272.7</v>
      </c>
      <c r="AR177" s="1530">
        <v>1272.7</v>
      </c>
      <c r="AS177" s="1530">
        <v>1338.3</v>
      </c>
      <c r="AT177" s="1530">
        <v>1362.9</v>
      </c>
      <c r="AU177" s="1530">
        <v>1382.8</v>
      </c>
      <c r="AV177" s="1349">
        <f t="shared" si="72"/>
        <v>1393.6</v>
      </c>
      <c r="AW177" s="1530">
        <v>1393.6</v>
      </c>
    </row>
    <row r="178" spans="2:49">
      <c r="C178" t="s">
        <v>490</v>
      </c>
      <c r="X178" s="1346">
        <v>942.53700000000003</v>
      </c>
      <c r="Y178" s="1346">
        <v>950.94799999999998</v>
      </c>
      <c r="Z178" s="1346">
        <v>956.02</v>
      </c>
      <c r="AA178" s="1346">
        <v>972.71199999999999</v>
      </c>
      <c r="AB178" s="1349">
        <f t="shared" si="68"/>
        <v>981.17600000000004</v>
      </c>
      <c r="AC178" s="1346">
        <v>981.17600000000004</v>
      </c>
      <c r="AD178" s="1346">
        <v>990.33600000000001</v>
      </c>
      <c r="AE178" s="1346">
        <v>999.97299999999996</v>
      </c>
      <c r="AF178" s="1346">
        <v>1009.783</v>
      </c>
      <c r="AG178" s="1349">
        <f t="shared" si="69"/>
        <v>1021.688</v>
      </c>
      <c r="AH178" s="1346">
        <v>1021.688</v>
      </c>
      <c r="AI178" s="1424">
        <v>1031.2650000000001</v>
      </c>
      <c r="AJ178" s="1424">
        <v>1039.9549999999999</v>
      </c>
      <c r="AK178" s="1424">
        <v>1049.259</v>
      </c>
      <c r="AL178" s="1349">
        <f t="shared" si="70"/>
        <v>1056.847</v>
      </c>
      <c r="AM178" s="1424">
        <v>1056.847</v>
      </c>
      <c r="AN178" s="1424">
        <v>1066.788</v>
      </c>
      <c r="AO178" s="1424">
        <v>1078.2249999999999</v>
      </c>
      <c r="AP178" s="1424">
        <v>639.32000000000005</v>
      </c>
      <c r="AQ178" s="1349">
        <f t="shared" si="71"/>
        <v>645.16399999999999</v>
      </c>
      <c r="AR178" s="1530">
        <v>645.16399999999999</v>
      </c>
      <c r="AS178" s="1530">
        <v>653.89300000000003</v>
      </c>
      <c r="AT178" s="1530">
        <v>662.75800000000004</v>
      </c>
      <c r="AU178" s="1530">
        <v>668.57100000000003</v>
      </c>
      <c r="AV178" s="1349">
        <f t="shared" si="72"/>
        <v>677.58699999999999</v>
      </c>
      <c r="AW178" s="1530">
        <v>677.58699999999999</v>
      </c>
    </row>
    <row r="179" spans="2:49" s="1240" customFormat="1">
      <c r="C179" s="1240" t="s">
        <v>304</v>
      </c>
      <c r="E179" s="221"/>
      <c r="F179" s="221"/>
      <c r="G179" s="221"/>
      <c r="H179" s="221"/>
      <c r="X179" s="112">
        <f t="shared" ref="X179:AF179" si="73">SUM(X173:X178)</f>
        <v>11537.883000000002</v>
      </c>
      <c r="Y179" s="112">
        <f t="shared" si="73"/>
        <v>11665.377</v>
      </c>
      <c r="Z179" s="112">
        <f t="shared" si="73"/>
        <v>11774.640000000001</v>
      </c>
      <c r="AA179" s="112">
        <f t="shared" si="73"/>
        <v>11914.218000000001</v>
      </c>
      <c r="AB179" s="1348">
        <f t="shared" si="73"/>
        <v>12557.578000000001</v>
      </c>
      <c r="AC179" s="112">
        <f t="shared" si="73"/>
        <v>12557.578000000001</v>
      </c>
      <c r="AD179" s="112">
        <f t="shared" si="73"/>
        <v>12729.123999999998</v>
      </c>
      <c r="AE179" s="112">
        <f t="shared" si="73"/>
        <v>12867.732</v>
      </c>
      <c r="AF179" s="112">
        <f t="shared" si="73"/>
        <v>13032.907999999999</v>
      </c>
      <c r="AG179" s="1348">
        <f t="shared" ref="AG179:AL179" si="74">SUM(AG173:AG178)</f>
        <v>13104.745000000001</v>
      </c>
      <c r="AH179" s="112">
        <f t="shared" si="74"/>
        <v>13104.745000000001</v>
      </c>
      <c r="AI179" s="1425">
        <f t="shared" si="74"/>
        <v>13305.062</v>
      </c>
      <c r="AJ179" s="1425">
        <f t="shared" si="74"/>
        <v>12305.893</v>
      </c>
      <c r="AK179" s="1425">
        <f t="shared" si="74"/>
        <v>12439.282999999999</v>
      </c>
      <c r="AL179" s="1348">
        <f t="shared" si="74"/>
        <v>12284.922</v>
      </c>
      <c r="AM179" s="1425">
        <f t="shared" ref="AM179:AT179" si="75">SUM(AM173:AM178)</f>
        <v>12284.922</v>
      </c>
      <c r="AN179" s="1425">
        <f t="shared" si="75"/>
        <v>12431.737000000001</v>
      </c>
      <c r="AO179" s="1425">
        <f t="shared" si="75"/>
        <v>12375.151</v>
      </c>
      <c r="AP179" s="1425">
        <f t="shared" si="75"/>
        <v>12042.579999999998</v>
      </c>
      <c r="AQ179" s="1348">
        <f t="shared" si="75"/>
        <v>12006.117000000002</v>
      </c>
      <c r="AR179" s="1348">
        <f t="shared" si="75"/>
        <v>12006.117000000002</v>
      </c>
      <c r="AS179" s="1348">
        <f t="shared" si="75"/>
        <v>12183.353999999999</v>
      </c>
      <c r="AT179" s="1348">
        <f t="shared" si="75"/>
        <v>12342.232</v>
      </c>
      <c r="AU179" s="1348">
        <f>SUM(AU173:AU178)</f>
        <v>12496.742999999999</v>
      </c>
      <c r="AV179" s="1348">
        <f t="shared" ref="AV179:AW179" si="76">SUM(AV173:AV178)</f>
        <v>12600.08</v>
      </c>
      <c r="AW179" s="1348">
        <f t="shared" si="76"/>
        <v>12600.08</v>
      </c>
    </row>
    <row r="180" spans="2:49">
      <c r="X180" s="72"/>
      <c r="Y180" s="72"/>
      <c r="Z180" s="72"/>
      <c r="AA180" s="72"/>
      <c r="AB180" s="1349"/>
      <c r="AC180" s="72"/>
      <c r="AD180" s="72"/>
      <c r="AE180" s="72"/>
      <c r="AF180" s="72"/>
      <c r="AG180" s="1349"/>
      <c r="AH180" s="72"/>
      <c r="AI180" s="1426"/>
      <c r="AJ180" s="1426"/>
      <c r="AK180" s="1426"/>
      <c r="AL180" s="1349"/>
      <c r="AM180" s="1426"/>
      <c r="AN180" s="1426"/>
      <c r="AO180" s="1426"/>
      <c r="AP180" s="1426"/>
      <c r="AQ180" s="1349"/>
      <c r="AV180" s="1349"/>
    </row>
    <row r="181" spans="2:49">
      <c r="C181" t="s">
        <v>150</v>
      </c>
      <c r="X181" s="1346">
        <v>5242.8050000000003</v>
      </c>
      <c r="Y181" s="1346">
        <v>5311.018</v>
      </c>
      <c r="Z181" s="1346">
        <v>5154.6909999999998</v>
      </c>
      <c r="AA181" s="1346">
        <v>5220.9790000000003</v>
      </c>
      <c r="AB181" s="1349">
        <f>AC181</f>
        <v>1973.0419999999999</v>
      </c>
      <c r="AC181" s="1346">
        <v>1973.0419999999999</v>
      </c>
      <c r="AD181" s="1346">
        <v>1986.318</v>
      </c>
      <c r="AE181" s="1346">
        <v>1999.165</v>
      </c>
      <c r="AF181" s="1346">
        <v>2011.53</v>
      </c>
      <c r="AG181" s="1349">
        <f>AH181</f>
        <v>2038.12</v>
      </c>
      <c r="AH181" s="1346">
        <v>2038.12</v>
      </c>
      <c r="AI181" s="1424">
        <v>2053.4499999999998</v>
      </c>
      <c r="AJ181" s="1424">
        <v>2070.5830000000001</v>
      </c>
      <c r="AK181" s="1424">
        <v>2086.931</v>
      </c>
      <c r="AL181" s="1349">
        <f>AM181</f>
        <v>2048.6999999999998</v>
      </c>
      <c r="AM181" s="1424">
        <v>2048.6999999999998</v>
      </c>
      <c r="AN181" s="1424">
        <v>2070.4</v>
      </c>
      <c r="AO181" s="1424">
        <v>2089.3000000000002</v>
      </c>
      <c r="AP181" s="1424">
        <v>2107.1</v>
      </c>
      <c r="AQ181" s="1349">
        <f>AR181</f>
        <v>2116</v>
      </c>
      <c r="AR181" s="1530">
        <v>2116</v>
      </c>
      <c r="AS181" s="1530">
        <v>2140</v>
      </c>
      <c r="AT181" s="1530">
        <v>2164.3000000000002</v>
      </c>
      <c r="AU181" s="1530">
        <v>2182.8000000000002</v>
      </c>
      <c r="AV181" s="1349">
        <f>AW181</f>
        <v>2184.8000000000002</v>
      </c>
      <c r="AW181" s="1530">
        <v>2184.8000000000002</v>
      </c>
    </row>
    <row r="182" spans="2:49">
      <c r="C182" t="s">
        <v>296</v>
      </c>
      <c r="X182" s="1346">
        <v>771.85400000000004</v>
      </c>
      <c r="Y182" s="1346">
        <v>786.60599999999999</v>
      </c>
      <c r="Z182" s="1346">
        <v>802.96600000000001</v>
      </c>
      <c r="AA182" s="1346">
        <v>817.90099999999995</v>
      </c>
      <c r="AB182" s="1349">
        <f>AC182</f>
        <v>818.39099999999996</v>
      </c>
      <c r="AC182" s="1346">
        <v>818.39099999999996</v>
      </c>
      <c r="AD182" s="1346">
        <v>835.67399999999998</v>
      </c>
      <c r="AE182" s="1346">
        <v>846.31200000000001</v>
      </c>
      <c r="AF182" s="1346">
        <v>867.50199999999995</v>
      </c>
      <c r="AG182" s="1349">
        <f>AH182</f>
        <v>871.68100000000004</v>
      </c>
      <c r="AH182" s="1346">
        <v>871.68100000000004</v>
      </c>
      <c r="AI182" s="1424">
        <v>886.19600000000003</v>
      </c>
      <c r="AJ182" s="1424">
        <v>903.25</v>
      </c>
      <c r="AK182" s="1424">
        <v>915.96900000000005</v>
      </c>
      <c r="AL182" s="1349">
        <f>AM182</f>
        <v>888.649</v>
      </c>
      <c r="AM182" s="1424">
        <v>888.649</v>
      </c>
      <c r="AN182" s="1424">
        <v>903.19299999999998</v>
      </c>
      <c r="AO182" s="1424">
        <v>914.71500000000003</v>
      </c>
      <c r="AP182" s="1424">
        <v>925.97500000000002</v>
      </c>
      <c r="AQ182" s="1349">
        <f>AR182</f>
        <v>1542</v>
      </c>
      <c r="AR182" s="1530">
        <v>1542</v>
      </c>
      <c r="AS182" s="1530">
        <v>1564.3</v>
      </c>
      <c r="AT182" s="1530">
        <v>1583.6</v>
      </c>
      <c r="AU182" s="1530">
        <v>1592.3</v>
      </c>
      <c r="AV182" s="1349">
        <f>AW182</f>
        <v>1594.5</v>
      </c>
      <c r="AW182" s="1530">
        <v>1594.5</v>
      </c>
    </row>
    <row r="183" spans="2:49">
      <c r="C183" t="s">
        <v>297</v>
      </c>
      <c r="X183" s="1346">
        <v>525.55700000000002</v>
      </c>
      <c r="Y183" s="1346">
        <v>533.90099999999995</v>
      </c>
      <c r="Z183" s="1346">
        <v>541.00900000000001</v>
      </c>
      <c r="AA183" s="1346">
        <v>547.86300000000006</v>
      </c>
      <c r="AB183" s="1349">
        <f>AC183</f>
        <v>550.65700000000004</v>
      </c>
      <c r="AC183" s="1346">
        <v>550.65700000000004</v>
      </c>
      <c r="AD183" s="1346">
        <v>560.33500000000004</v>
      </c>
      <c r="AE183" s="1346">
        <v>561.36400000000003</v>
      </c>
      <c r="AF183" s="1346">
        <v>568.11199999999997</v>
      </c>
      <c r="AG183" s="1349">
        <f>AH183</f>
        <v>570.86599999999999</v>
      </c>
      <c r="AH183" s="1346">
        <v>570.86599999999999</v>
      </c>
      <c r="AI183" s="1424">
        <v>580.77200000000005</v>
      </c>
      <c r="AJ183" s="1424">
        <v>590.67700000000002</v>
      </c>
      <c r="AK183" s="1424">
        <v>599.62199999999996</v>
      </c>
      <c r="AL183" s="1349">
        <f>AM183</f>
        <v>591.91</v>
      </c>
      <c r="AM183" s="1424">
        <v>591.91</v>
      </c>
      <c r="AN183" s="1424">
        <v>599.923</v>
      </c>
      <c r="AO183" s="1424">
        <v>607.33699999999999</v>
      </c>
      <c r="AP183" s="1424">
        <v>614.38199999999995</v>
      </c>
      <c r="AQ183" s="1349">
        <f>AR183</f>
        <v>0</v>
      </c>
      <c r="AR183" s="1579"/>
      <c r="AS183" s="1225"/>
      <c r="AT183" s="1225">
        <v>0</v>
      </c>
      <c r="AU183" s="1225">
        <v>0</v>
      </c>
      <c r="AV183" s="1349">
        <f>AW183</f>
        <v>0</v>
      </c>
      <c r="AW183" s="1579"/>
    </row>
    <row r="184" spans="2:49" s="1240" customFormat="1">
      <c r="C184" s="1240" t="s">
        <v>880</v>
      </c>
      <c r="E184" s="221"/>
      <c r="F184" s="221"/>
      <c r="G184" s="221"/>
      <c r="H184" s="221"/>
      <c r="X184" s="112">
        <f t="shared" ref="X184:AF184" si="77">SUM(X181:X183)</f>
        <v>6540.2160000000003</v>
      </c>
      <c r="Y184" s="112">
        <f t="shared" si="77"/>
        <v>6631.5249999999996</v>
      </c>
      <c r="Z184" s="112">
        <f t="shared" si="77"/>
        <v>6498.6660000000002</v>
      </c>
      <c r="AA184" s="112">
        <f t="shared" si="77"/>
        <v>6586.7430000000004</v>
      </c>
      <c r="AB184" s="1348">
        <f t="shared" si="77"/>
        <v>3342.09</v>
      </c>
      <c r="AC184" s="112">
        <f t="shared" si="77"/>
        <v>3342.09</v>
      </c>
      <c r="AD184" s="112">
        <f t="shared" si="77"/>
        <v>3382.3270000000002</v>
      </c>
      <c r="AE184" s="112">
        <f t="shared" si="77"/>
        <v>3406.8409999999999</v>
      </c>
      <c r="AF184" s="112">
        <f t="shared" si="77"/>
        <v>3447.1440000000002</v>
      </c>
      <c r="AG184" s="1348">
        <f t="shared" ref="AG184:AL184" si="78">SUM(AG181:AG183)</f>
        <v>3480.6669999999999</v>
      </c>
      <c r="AH184" s="112">
        <f t="shared" si="78"/>
        <v>3480.6669999999999</v>
      </c>
      <c r="AI184" s="1425">
        <f t="shared" si="78"/>
        <v>3520.4179999999997</v>
      </c>
      <c r="AJ184" s="1425">
        <f t="shared" si="78"/>
        <v>3564.51</v>
      </c>
      <c r="AK184" s="1425">
        <f t="shared" si="78"/>
        <v>3602.5219999999999</v>
      </c>
      <c r="AL184" s="1348">
        <f t="shared" si="78"/>
        <v>3529.2589999999996</v>
      </c>
      <c r="AM184" s="1425">
        <f t="shared" ref="AM184:AT184" si="79">SUM(AM181:AM183)</f>
        <v>3529.2589999999996</v>
      </c>
      <c r="AN184" s="1425">
        <f t="shared" si="79"/>
        <v>3573.5159999999996</v>
      </c>
      <c r="AO184" s="1425">
        <f t="shared" si="79"/>
        <v>3611.3520000000003</v>
      </c>
      <c r="AP184" s="1425">
        <f t="shared" si="79"/>
        <v>3647.4569999999999</v>
      </c>
      <c r="AQ184" s="1348">
        <f t="shared" si="79"/>
        <v>3658</v>
      </c>
      <c r="AR184" s="1348">
        <f t="shared" si="79"/>
        <v>3658</v>
      </c>
      <c r="AS184" s="1348">
        <f t="shared" si="79"/>
        <v>3704.3</v>
      </c>
      <c r="AT184" s="1348">
        <f t="shared" si="79"/>
        <v>3747.9</v>
      </c>
      <c r="AU184" s="1348">
        <f>SUM(AU181:AU183)</f>
        <v>3775.1000000000004</v>
      </c>
      <c r="AV184" s="1348">
        <f t="shared" ref="AV184:AW184" si="80">SUM(AV181:AV183)</f>
        <v>3779.3</v>
      </c>
      <c r="AW184" s="1348">
        <f t="shared" si="80"/>
        <v>3779.3</v>
      </c>
    </row>
    <row r="185" spans="2:49" s="1240" customFormat="1">
      <c r="E185" s="221"/>
      <c r="F185" s="221"/>
      <c r="G185" s="221"/>
      <c r="H185" s="221"/>
      <c r="X185" s="112"/>
      <c r="Y185" s="112"/>
      <c r="Z185" s="112"/>
      <c r="AA185" s="112"/>
      <c r="AB185" s="1348"/>
      <c r="AC185" s="112"/>
      <c r="AD185" s="112"/>
      <c r="AE185" s="112"/>
      <c r="AF185" s="112"/>
      <c r="AG185" s="1348"/>
      <c r="AH185" s="112"/>
      <c r="AI185" s="1425"/>
      <c r="AJ185" s="1425"/>
      <c r="AK185" s="1425"/>
      <c r="AL185" s="1348"/>
      <c r="AM185" s="1425"/>
      <c r="AN185" s="1425"/>
      <c r="AO185" s="1425"/>
      <c r="AQ185" s="1348"/>
      <c r="AR185"/>
      <c r="AV185" s="1348"/>
      <c r="AW185" s="1896"/>
    </row>
    <row r="186" spans="2:49" s="1240" customFormat="1">
      <c r="B186" s="46" t="s">
        <v>716</v>
      </c>
      <c r="C186" s="46"/>
      <c r="D186" s="46"/>
      <c r="E186" s="94"/>
      <c r="F186" s="94"/>
      <c r="G186" s="94"/>
      <c r="H186" s="94"/>
      <c r="I186"/>
      <c r="J186" s="86"/>
      <c r="K186" s="86"/>
      <c r="L186" s="86"/>
      <c r="M186" s="86"/>
      <c r="N186"/>
      <c r="O186" s="86"/>
      <c r="P186" s="86"/>
      <c r="Q186" s="86"/>
      <c r="R186" s="86"/>
      <c r="S186"/>
      <c r="T186" s="86"/>
      <c r="U186" s="86"/>
      <c r="V186" s="86"/>
      <c r="W186" s="86"/>
      <c r="X186" s="72"/>
      <c r="Y186" s="72"/>
      <c r="Z186" s="72"/>
      <c r="AA186" s="72"/>
      <c r="AB186" s="1349"/>
      <c r="AC186" s="72"/>
      <c r="AD186" s="112"/>
      <c r="AE186" s="112"/>
      <c r="AF186" s="112"/>
      <c r="AG186" s="1349"/>
      <c r="AH186" s="112"/>
      <c r="AI186" s="1425"/>
      <c r="AJ186" s="1425"/>
      <c r="AK186" s="1425"/>
      <c r="AL186" s="1349"/>
      <c r="AM186" s="1425"/>
      <c r="AN186" s="1425"/>
      <c r="AO186" s="1425"/>
      <c r="AQ186" s="1349"/>
      <c r="AR186"/>
      <c r="AV186" s="1349"/>
      <c r="AW186" s="1896"/>
    </row>
    <row r="187" spans="2:49" s="1240" customFormat="1">
      <c r="B187"/>
      <c r="C187" t="s">
        <v>354</v>
      </c>
      <c r="D187"/>
      <c r="E187"/>
      <c r="F187"/>
      <c r="G187"/>
      <c r="H187"/>
      <c r="I187"/>
      <c r="J187"/>
      <c r="K187"/>
      <c r="L187"/>
      <c r="M187"/>
      <c r="N187"/>
      <c r="O187"/>
      <c r="P187"/>
      <c r="Q187"/>
      <c r="R187"/>
      <c r="S187"/>
      <c r="T187"/>
      <c r="U187"/>
      <c r="V187"/>
      <c r="W187"/>
      <c r="X187" s="561">
        <f t="shared" ref="X187:AF187" si="81">X159-X173</f>
        <v>8109.6420000000007</v>
      </c>
      <c r="Y187" s="561">
        <f t="shared" si="81"/>
        <v>8126.0770000000002</v>
      </c>
      <c r="Z187" s="561">
        <f t="shared" si="81"/>
        <v>8139.8289999999997</v>
      </c>
      <c r="AA187" s="561">
        <f t="shared" si="81"/>
        <v>8159.6050000000005</v>
      </c>
      <c r="AB187" s="561">
        <f t="shared" si="81"/>
        <v>8969.2100000000009</v>
      </c>
      <c r="AC187" s="561">
        <f t="shared" si="81"/>
        <v>8969.2100000000009</v>
      </c>
      <c r="AD187" s="561">
        <f t="shared" si="81"/>
        <v>8992.2469999999994</v>
      </c>
      <c r="AE187" s="561">
        <f t="shared" si="81"/>
        <v>9037.2099999999991</v>
      </c>
      <c r="AF187" s="561">
        <f t="shared" si="81"/>
        <v>9078.3940000000002</v>
      </c>
      <c r="AG187" s="561">
        <f t="shared" ref="AG187:AK192" si="82">AG159-AG173</f>
        <v>9181.7150000000001</v>
      </c>
      <c r="AH187" s="561">
        <f t="shared" si="82"/>
        <v>9181.7150000000001</v>
      </c>
      <c r="AI187" s="561">
        <f t="shared" si="82"/>
        <v>9236.155999999999</v>
      </c>
      <c r="AJ187" s="561">
        <f t="shared" si="82"/>
        <v>9228.18</v>
      </c>
      <c r="AK187" s="561">
        <f t="shared" si="82"/>
        <v>9294.9459999999999</v>
      </c>
      <c r="AL187" s="561">
        <f t="shared" ref="AL187:AM192" si="83">AL159-AL173</f>
        <v>9424.4</v>
      </c>
      <c r="AM187" s="1382">
        <f t="shared" si="83"/>
        <v>9424.4</v>
      </c>
      <c r="AN187" s="1382">
        <f t="shared" ref="AN187:AO192" si="84">AN159-AN173</f>
        <v>9489.2999999999993</v>
      </c>
      <c r="AO187" s="561">
        <f t="shared" si="84"/>
        <v>9578.4</v>
      </c>
      <c r="AP187" s="561">
        <f t="shared" ref="AP187:AT192" si="85">AP159-AP173</f>
        <v>9646.5</v>
      </c>
      <c r="AQ187" s="561">
        <f t="shared" si="85"/>
        <v>9825.7999999999993</v>
      </c>
      <c r="AR187" s="1579">
        <f t="shared" si="85"/>
        <v>9825.7999999999993</v>
      </c>
      <c r="AS187" s="1579">
        <f t="shared" si="85"/>
        <v>9871.2000000000007</v>
      </c>
      <c r="AT187" s="1579">
        <f t="shared" si="85"/>
        <v>9958.4000000000015</v>
      </c>
      <c r="AU187" s="1579">
        <f>AU159-AU173</f>
        <v>10068.200000000001</v>
      </c>
      <c r="AV187" s="561">
        <f t="shared" ref="AV187:AW187" si="86">AV159-AV173</f>
        <v>10245.1</v>
      </c>
      <c r="AW187" s="1579">
        <f t="shared" si="86"/>
        <v>10245.1</v>
      </c>
    </row>
    <row r="188" spans="2:49" s="1240" customFormat="1">
      <c r="B188"/>
      <c r="C188" t="s">
        <v>617</v>
      </c>
      <c r="D188"/>
      <c r="E188"/>
      <c r="F188"/>
      <c r="G188"/>
      <c r="H188"/>
      <c r="I188"/>
      <c r="J188"/>
      <c r="K188"/>
      <c r="L188"/>
      <c r="M188"/>
      <c r="N188"/>
      <c r="O188"/>
      <c r="P188"/>
      <c r="Q188"/>
      <c r="R188"/>
      <c r="S188"/>
      <c r="T188"/>
      <c r="U188"/>
      <c r="V188"/>
      <c r="W188"/>
      <c r="X188" s="561">
        <f t="shared" ref="X188:AF188" si="87">X160-X174</f>
        <v>1205.761</v>
      </c>
      <c r="Y188" s="561">
        <f t="shared" si="87"/>
        <v>1209.8340000000001</v>
      </c>
      <c r="Z188" s="561">
        <f t="shared" si="87"/>
        <v>1212.2509999999997</v>
      </c>
      <c r="AA188" s="561">
        <f t="shared" si="87"/>
        <v>1219.0540000000001</v>
      </c>
      <c r="AB188" s="561">
        <f t="shared" si="87"/>
        <v>1919.5509999999999</v>
      </c>
      <c r="AC188" s="561">
        <f t="shared" si="87"/>
        <v>1919.5509999999999</v>
      </c>
      <c r="AD188" s="561">
        <f t="shared" si="87"/>
        <v>1927.4860000000003</v>
      </c>
      <c r="AE188" s="561">
        <f t="shared" si="87"/>
        <v>1978.5239999999999</v>
      </c>
      <c r="AF188" s="561">
        <f t="shared" si="87"/>
        <v>1977.4490000000001</v>
      </c>
      <c r="AG188" s="561">
        <f t="shared" si="82"/>
        <v>1981.0810000000001</v>
      </c>
      <c r="AH188" s="561">
        <f t="shared" si="82"/>
        <v>1981.0810000000001</v>
      </c>
      <c r="AI188" s="561">
        <f t="shared" si="82"/>
        <v>1972.37</v>
      </c>
      <c r="AJ188" s="561">
        <f t="shared" si="82"/>
        <v>1735.0429999999997</v>
      </c>
      <c r="AK188" s="561">
        <f t="shared" si="82"/>
        <v>1722.9470000000001</v>
      </c>
      <c r="AL188" s="561">
        <f t="shared" si="83"/>
        <v>1714.4010000000001</v>
      </c>
      <c r="AM188" s="1382">
        <f t="shared" si="83"/>
        <v>1714.4010000000001</v>
      </c>
      <c r="AN188" s="1382">
        <f>AN160-AN174</f>
        <v>1731.9989999999998</v>
      </c>
      <c r="AO188" s="561">
        <f>AO160-AO174</f>
        <v>1743.9850000000001</v>
      </c>
      <c r="AP188" s="561">
        <f t="shared" si="85"/>
        <v>1743.5549999999998</v>
      </c>
      <c r="AQ188" s="561">
        <f t="shared" si="85"/>
        <v>1755.5729999999999</v>
      </c>
      <c r="AR188" s="1579">
        <f t="shared" si="85"/>
        <v>1755.5729999999999</v>
      </c>
      <c r="AS188" s="1579">
        <f t="shared" si="85"/>
        <v>1754.7579999999998</v>
      </c>
      <c r="AT188" s="1579">
        <f t="shared" ref="AT188:AW193" si="88">AT160-AT174</f>
        <v>1763.375</v>
      </c>
      <c r="AU188" s="1579">
        <f t="shared" si="88"/>
        <v>1768.1030000000001</v>
      </c>
      <c r="AV188" s="561">
        <f t="shared" si="88"/>
        <v>1792.37</v>
      </c>
      <c r="AW188" s="1579">
        <f t="shared" si="88"/>
        <v>1792.37</v>
      </c>
    </row>
    <row r="189" spans="2:49" s="1240" customFormat="1">
      <c r="B189"/>
      <c r="C189" t="s">
        <v>355</v>
      </c>
      <c r="D189"/>
      <c r="E189"/>
      <c r="F189"/>
      <c r="G189"/>
      <c r="H189"/>
      <c r="I189"/>
      <c r="J189"/>
      <c r="K189"/>
      <c r="L189"/>
      <c r="M189"/>
      <c r="N189"/>
      <c r="O189"/>
      <c r="P189"/>
      <c r="Q189"/>
      <c r="R189"/>
      <c r="S189"/>
      <c r="T189"/>
      <c r="U189"/>
      <c r="V189"/>
      <c r="W189"/>
      <c r="X189" s="561">
        <f t="shared" ref="X189:AF189" si="89">X161-X175</f>
        <v>4728.5680000000002</v>
      </c>
      <c r="Y189" s="561">
        <f t="shared" si="89"/>
        <v>4771.8729999999996</v>
      </c>
      <c r="Z189" s="561">
        <f t="shared" si="89"/>
        <v>4862.6810000000005</v>
      </c>
      <c r="AA189" s="561">
        <f t="shared" si="89"/>
        <v>4900.5590000000011</v>
      </c>
      <c r="AB189" s="561">
        <f t="shared" si="89"/>
        <v>5056.3639999999996</v>
      </c>
      <c r="AC189" s="561">
        <f t="shared" si="89"/>
        <v>5056.3639999999996</v>
      </c>
      <c r="AD189" s="561">
        <f t="shared" si="89"/>
        <v>5115.6589999999997</v>
      </c>
      <c r="AE189" s="561">
        <f t="shared" si="89"/>
        <v>5194.665</v>
      </c>
      <c r="AF189" s="561">
        <f t="shared" si="89"/>
        <v>5264.7820000000002</v>
      </c>
      <c r="AG189" s="561">
        <f t="shared" si="82"/>
        <v>5416.375</v>
      </c>
      <c r="AH189" s="561">
        <f t="shared" si="82"/>
        <v>5416.375</v>
      </c>
      <c r="AI189" s="561">
        <f t="shared" si="82"/>
        <v>5452.9930000000004</v>
      </c>
      <c r="AJ189" s="561">
        <f t="shared" si="82"/>
        <v>5176.6479999999992</v>
      </c>
      <c r="AK189" s="561">
        <f t="shared" si="82"/>
        <v>5239.7240000000002</v>
      </c>
      <c r="AL189" s="561">
        <f t="shared" si="83"/>
        <v>5203.5</v>
      </c>
      <c r="AM189" s="1382">
        <f t="shared" si="83"/>
        <v>5203.5</v>
      </c>
      <c r="AN189" s="1382">
        <f t="shared" si="84"/>
        <v>5292.9000000000005</v>
      </c>
      <c r="AO189" s="561">
        <f t="shared" si="84"/>
        <v>5411.4</v>
      </c>
      <c r="AP189" s="561">
        <f t="shared" si="85"/>
        <v>5468.5</v>
      </c>
      <c r="AQ189" s="561">
        <f t="shared" si="85"/>
        <v>5627.5</v>
      </c>
      <c r="AR189" s="1579">
        <f t="shared" si="85"/>
        <v>5627.5</v>
      </c>
      <c r="AS189" s="1579">
        <f t="shared" si="85"/>
        <v>5679</v>
      </c>
      <c r="AT189" s="1579">
        <f t="shared" si="88"/>
        <v>5830.6</v>
      </c>
      <c r="AU189" s="1579">
        <f t="shared" si="88"/>
        <v>5903.7000000000007</v>
      </c>
      <c r="AV189" s="561">
        <f t="shared" si="88"/>
        <v>6050.4000000000005</v>
      </c>
      <c r="AW189" s="1579">
        <f t="shared" si="88"/>
        <v>6050.4000000000005</v>
      </c>
    </row>
    <row r="190" spans="2:49" s="1240" customFormat="1">
      <c r="B190"/>
      <c r="C190" t="s">
        <v>357</v>
      </c>
      <c r="D190"/>
      <c r="E190"/>
      <c r="F190"/>
      <c r="G190"/>
      <c r="H190"/>
      <c r="I190"/>
      <c r="J190"/>
      <c r="K190"/>
      <c r="L190"/>
      <c r="M190"/>
      <c r="N190"/>
      <c r="O190"/>
      <c r="P190"/>
      <c r="Q190"/>
      <c r="R190"/>
      <c r="S190"/>
      <c r="T190"/>
      <c r="U190"/>
      <c r="V190"/>
      <c r="W190"/>
      <c r="X190" s="561">
        <f t="shared" ref="X190:AF190" si="90">X162-X176</f>
        <v>5266.7920000000004</v>
      </c>
      <c r="Y190" s="561">
        <f t="shared" si="90"/>
        <v>5308.7479999999996</v>
      </c>
      <c r="Z190" s="561">
        <f t="shared" si="90"/>
        <v>5350.5590000000002</v>
      </c>
      <c r="AA190" s="561">
        <f t="shared" si="90"/>
        <v>5308.6479999999992</v>
      </c>
      <c r="AB190" s="561">
        <f t="shared" si="90"/>
        <v>5532.9350000000004</v>
      </c>
      <c r="AC190" s="561">
        <f t="shared" si="90"/>
        <v>5532.9350000000004</v>
      </c>
      <c r="AD190" s="561">
        <f t="shared" si="90"/>
        <v>5589.6949999999997</v>
      </c>
      <c r="AE190" s="561">
        <f t="shared" si="90"/>
        <v>5672.7259999999997</v>
      </c>
      <c r="AF190" s="561">
        <f t="shared" si="90"/>
        <v>5784.3230000000003</v>
      </c>
      <c r="AG190" s="561">
        <f t="shared" si="82"/>
        <v>5907.2869999999994</v>
      </c>
      <c r="AH190" s="561">
        <f t="shared" si="82"/>
        <v>5907.2869999999994</v>
      </c>
      <c r="AI190" s="561">
        <f t="shared" si="82"/>
        <v>5991.1460000000006</v>
      </c>
      <c r="AJ190" s="561">
        <f t="shared" si="82"/>
        <v>6091.2510000000002</v>
      </c>
      <c r="AK190" s="561">
        <f t="shared" si="82"/>
        <v>6203.3759999999993</v>
      </c>
      <c r="AL190" s="561">
        <f t="shared" si="83"/>
        <v>6321.0999999999995</v>
      </c>
      <c r="AM190" s="1382">
        <f t="shared" si="83"/>
        <v>6321.0999999999995</v>
      </c>
      <c r="AN190" s="1382">
        <f t="shared" si="84"/>
        <v>6388.6</v>
      </c>
      <c r="AO190" s="561">
        <f t="shared" si="84"/>
        <v>6366.6</v>
      </c>
      <c r="AP190" s="561">
        <f t="shared" si="85"/>
        <v>6387.2000000000007</v>
      </c>
      <c r="AQ190" s="561">
        <f t="shared" si="85"/>
        <v>6429.5</v>
      </c>
      <c r="AR190" s="1579">
        <f t="shared" si="85"/>
        <v>6429.5</v>
      </c>
      <c r="AS190" s="1579">
        <f t="shared" si="85"/>
        <v>6445.7000000000007</v>
      </c>
      <c r="AT190" s="1579">
        <f t="shared" si="88"/>
        <v>6509.2000000000007</v>
      </c>
      <c r="AU190" s="1579">
        <f t="shared" si="88"/>
        <v>6549.7999999999993</v>
      </c>
      <c r="AV190" s="561">
        <f t="shared" si="88"/>
        <v>6631.9999999999991</v>
      </c>
      <c r="AW190" s="1579">
        <f t="shared" si="88"/>
        <v>6631.9999999999991</v>
      </c>
    </row>
    <row r="191" spans="2:49" s="1240" customFormat="1">
      <c r="B191"/>
      <c r="C191" t="s">
        <v>637</v>
      </c>
      <c r="D191"/>
      <c r="E191"/>
      <c r="F191"/>
      <c r="G191"/>
      <c r="H191"/>
      <c r="I191"/>
      <c r="J191"/>
      <c r="K191"/>
      <c r="L191"/>
      <c r="M191"/>
      <c r="N191"/>
      <c r="O191"/>
      <c r="P191"/>
      <c r="Q191"/>
      <c r="R191"/>
      <c r="S191"/>
      <c r="T191"/>
      <c r="U191"/>
      <c r="V191"/>
      <c r="W191"/>
      <c r="X191" s="561">
        <f t="shared" ref="X191:AF191" si="91">X163-X177</f>
        <v>2939.7820000000002</v>
      </c>
      <c r="Y191" s="561">
        <f t="shared" si="91"/>
        <v>2967.163</v>
      </c>
      <c r="Z191" s="561">
        <f t="shared" si="91"/>
        <v>3014.3979999999997</v>
      </c>
      <c r="AA191" s="561">
        <f t="shared" si="91"/>
        <v>3059.12</v>
      </c>
      <c r="AB191" s="561">
        <f t="shared" si="91"/>
        <v>3165.9589999999998</v>
      </c>
      <c r="AC191" s="561">
        <f t="shared" si="91"/>
        <v>3165.9589999999998</v>
      </c>
      <c r="AD191" s="561">
        <f t="shared" si="91"/>
        <v>3214.8079999999995</v>
      </c>
      <c r="AE191" s="561">
        <f t="shared" si="91"/>
        <v>3273.4569999999999</v>
      </c>
      <c r="AF191" s="561">
        <f t="shared" si="91"/>
        <v>3333.2069999999994</v>
      </c>
      <c r="AG191" s="561">
        <f t="shared" si="82"/>
        <v>3440.6229999999996</v>
      </c>
      <c r="AH191" s="561">
        <f t="shared" si="82"/>
        <v>3440.6229999999996</v>
      </c>
      <c r="AI191" s="561">
        <f t="shared" si="82"/>
        <v>3502.17</v>
      </c>
      <c r="AJ191" s="561">
        <f t="shared" si="82"/>
        <v>3566.2619999999997</v>
      </c>
      <c r="AK191" s="561">
        <f t="shared" si="82"/>
        <v>3615.3649999999998</v>
      </c>
      <c r="AL191" s="561">
        <f t="shared" si="83"/>
        <v>3693.2</v>
      </c>
      <c r="AM191" s="1382">
        <f t="shared" si="83"/>
        <v>3693.2</v>
      </c>
      <c r="AN191" s="1382">
        <f t="shared" si="84"/>
        <v>3753.8</v>
      </c>
      <c r="AO191" s="561">
        <f t="shared" si="84"/>
        <v>3706.7999999999997</v>
      </c>
      <c r="AP191" s="561">
        <f t="shared" si="85"/>
        <v>3742.1</v>
      </c>
      <c r="AQ191" s="561">
        <f t="shared" si="85"/>
        <v>3823.2</v>
      </c>
      <c r="AR191" s="1579">
        <f t="shared" si="85"/>
        <v>3823.2</v>
      </c>
      <c r="AS191" s="1579">
        <f t="shared" si="85"/>
        <v>3810.2</v>
      </c>
      <c r="AT191" s="1579">
        <f t="shared" si="88"/>
        <v>3840.6</v>
      </c>
      <c r="AU191" s="1579">
        <f t="shared" si="88"/>
        <v>3857.8999999999996</v>
      </c>
      <c r="AV191" s="561">
        <f t="shared" si="88"/>
        <v>3886.2000000000003</v>
      </c>
      <c r="AW191" s="1579">
        <f t="shared" si="88"/>
        <v>3886.2000000000003</v>
      </c>
    </row>
    <row r="192" spans="2:49" s="1240" customFormat="1">
      <c r="B192"/>
      <c r="C192" t="s">
        <v>490</v>
      </c>
      <c r="D192"/>
      <c r="E192"/>
      <c r="F192"/>
      <c r="G192"/>
      <c r="H192"/>
      <c r="I192"/>
      <c r="J192"/>
      <c r="K192"/>
      <c r="L192"/>
      <c r="M192"/>
      <c r="N192"/>
      <c r="O192"/>
      <c r="P192"/>
      <c r="Q192"/>
      <c r="R192"/>
      <c r="S192"/>
      <c r="T192"/>
      <c r="U192"/>
      <c r="V192"/>
      <c r="W192"/>
      <c r="X192" s="561">
        <f t="shared" ref="X192:AF192" si="92">X164-X178</f>
        <v>627.14899999999989</v>
      </c>
      <c r="Y192" s="561">
        <f t="shared" si="92"/>
        <v>630.46799999999996</v>
      </c>
      <c r="Z192" s="561">
        <f t="shared" si="92"/>
        <v>629.798</v>
      </c>
      <c r="AA192" s="561">
        <f t="shared" si="92"/>
        <v>652.13100000000009</v>
      </c>
      <c r="AB192" s="561">
        <f t="shared" si="92"/>
        <v>654.30499999999995</v>
      </c>
      <c r="AC192" s="561">
        <f t="shared" si="92"/>
        <v>654.30499999999995</v>
      </c>
      <c r="AD192" s="561">
        <f t="shared" si="92"/>
        <v>660.18200000000002</v>
      </c>
      <c r="AE192" s="561">
        <f t="shared" si="92"/>
        <v>667.31</v>
      </c>
      <c r="AF192" s="561">
        <f t="shared" si="92"/>
        <v>680.34299999999996</v>
      </c>
      <c r="AG192" s="561">
        <f t="shared" si="82"/>
        <v>681.30000000000007</v>
      </c>
      <c r="AH192" s="561">
        <f t="shared" si="82"/>
        <v>681.30000000000007</v>
      </c>
      <c r="AI192" s="561">
        <f t="shared" si="82"/>
        <v>689.2059999999999</v>
      </c>
      <c r="AJ192" s="561">
        <f t="shared" si="82"/>
        <v>699.79700000000003</v>
      </c>
      <c r="AK192" s="561">
        <f t="shared" si="82"/>
        <v>711.94200000000001</v>
      </c>
      <c r="AL192" s="561">
        <f t="shared" si="83"/>
        <v>727.83699999999999</v>
      </c>
      <c r="AM192" s="1382">
        <f t="shared" si="83"/>
        <v>727.83699999999999</v>
      </c>
      <c r="AN192" s="1579">
        <f t="shared" si="84"/>
        <v>749.36599999999999</v>
      </c>
      <c r="AO192" s="561">
        <f t="shared" si="84"/>
        <v>762.57900000000018</v>
      </c>
      <c r="AP192" s="561">
        <f t="shared" si="85"/>
        <v>459.93299999999988</v>
      </c>
      <c r="AQ192" s="561">
        <f t="shared" si="85"/>
        <v>468.80199999999991</v>
      </c>
      <c r="AR192" s="1579">
        <f t="shared" si="85"/>
        <v>468.80199999999991</v>
      </c>
      <c r="AS192" s="1579">
        <f t="shared" si="85"/>
        <v>481.55799999999999</v>
      </c>
      <c r="AT192" s="1579">
        <f t="shared" si="88"/>
        <v>503.50299999999993</v>
      </c>
      <c r="AU192" s="1579">
        <f t="shared" si="88"/>
        <v>501.81699999999989</v>
      </c>
      <c r="AV192" s="561">
        <f t="shared" si="88"/>
        <v>497.01299999999992</v>
      </c>
      <c r="AW192" s="1579">
        <f t="shared" si="88"/>
        <v>497.01299999999992</v>
      </c>
    </row>
    <row r="193" spans="2:49" s="1240" customFormat="1">
      <c r="C193" s="1240" t="s">
        <v>304</v>
      </c>
      <c r="E193" s="221"/>
      <c r="F193" s="221"/>
      <c r="G193" s="221"/>
      <c r="H193" s="221"/>
      <c r="X193" s="112">
        <f t="shared" ref="X193:AF193" si="93">SUM(X187:X192)</f>
        <v>22877.694000000003</v>
      </c>
      <c r="Y193" s="112">
        <f t="shared" si="93"/>
        <v>23014.163</v>
      </c>
      <c r="Z193" s="112">
        <f t="shared" si="93"/>
        <v>23209.516</v>
      </c>
      <c r="AA193" s="112">
        <f t="shared" si="93"/>
        <v>23299.117000000002</v>
      </c>
      <c r="AB193" s="1348">
        <f t="shared" si="93"/>
        <v>25298.324000000001</v>
      </c>
      <c r="AC193" s="112">
        <f t="shared" si="93"/>
        <v>25298.324000000001</v>
      </c>
      <c r="AD193" s="112">
        <f t="shared" si="93"/>
        <v>25500.077000000001</v>
      </c>
      <c r="AE193" s="112">
        <f t="shared" si="93"/>
        <v>25823.891999999996</v>
      </c>
      <c r="AF193" s="112">
        <f t="shared" si="93"/>
        <v>26118.498</v>
      </c>
      <c r="AG193" s="1348">
        <f t="shared" ref="AG193:AL193" si="94">SUM(AG187:AG192)</f>
        <v>26608.381000000001</v>
      </c>
      <c r="AH193" s="112">
        <f t="shared" si="94"/>
        <v>26608.381000000001</v>
      </c>
      <c r="AI193" s="112">
        <f t="shared" si="94"/>
        <v>26844.040999999997</v>
      </c>
      <c r="AJ193" s="112">
        <f t="shared" si="94"/>
        <v>26497.180999999997</v>
      </c>
      <c r="AK193" s="112">
        <f t="shared" si="94"/>
        <v>26788.3</v>
      </c>
      <c r="AL193" s="1348">
        <f t="shared" si="94"/>
        <v>27084.437999999998</v>
      </c>
      <c r="AM193" s="1425">
        <f t="shared" ref="AM193:AS193" si="95">SUM(AM187:AM192)</f>
        <v>27084.437999999998</v>
      </c>
      <c r="AN193" s="1425">
        <f t="shared" si="95"/>
        <v>27405.964999999997</v>
      </c>
      <c r="AO193" s="1425">
        <f t="shared" si="95"/>
        <v>27569.764000000003</v>
      </c>
      <c r="AP193" s="1425">
        <f t="shared" si="95"/>
        <v>27447.788</v>
      </c>
      <c r="AQ193" s="1425">
        <f t="shared" si="95"/>
        <v>27930.375</v>
      </c>
      <c r="AR193" s="1425">
        <f t="shared" si="95"/>
        <v>27930.375</v>
      </c>
      <c r="AS193" s="1425">
        <f t="shared" si="95"/>
        <v>28042.416000000001</v>
      </c>
      <c r="AT193" s="1425">
        <f t="shared" si="88"/>
        <v>28405.678000000004</v>
      </c>
      <c r="AU193" s="1425">
        <f t="shared" si="88"/>
        <v>28649.52</v>
      </c>
      <c r="AV193" s="1425">
        <f t="shared" ref="AV193:AW193" si="96">SUM(AV187:AV192)</f>
        <v>29103.083000000002</v>
      </c>
      <c r="AW193" s="1425">
        <f t="shared" si="96"/>
        <v>29103.083000000002</v>
      </c>
    </row>
    <row r="194" spans="2:49" s="1240" customFormat="1">
      <c r="B194"/>
      <c r="C194"/>
      <c r="D194"/>
      <c r="E194"/>
      <c r="F194"/>
      <c r="G194"/>
      <c r="H194"/>
      <c r="I194"/>
      <c r="J194"/>
      <c r="K194"/>
      <c r="L194"/>
      <c r="M194"/>
      <c r="N194"/>
      <c r="O194"/>
      <c r="P194"/>
      <c r="Q194"/>
      <c r="R194"/>
      <c r="S194"/>
      <c r="T194"/>
      <c r="U194"/>
      <c r="V194"/>
      <c r="W194"/>
      <c r="X194" s="72"/>
      <c r="Y194" s="72"/>
      <c r="Z194" s="72"/>
      <c r="AA194" s="72"/>
      <c r="AB194" s="1349"/>
      <c r="AC194" s="72"/>
      <c r="AD194" s="112"/>
      <c r="AE194" s="112"/>
      <c r="AF194" s="112"/>
      <c r="AG194" s="1349"/>
      <c r="AH194" s="112"/>
      <c r="AI194" s="112"/>
      <c r="AJ194" s="112"/>
      <c r="AK194" s="112"/>
      <c r="AL194" s="1349"/>
      <c r="AM194" s="1425"/>
      <c r="AN194" s="1425"/>
      <c r="AO194" s="112"/>
      <c r="AP194" s="112"/>
      <c r="AQ194" s="1349"/>
      <c r="AR194"/>
      <c r="AV194" s="1349"/>
      <c r="AW194" s="1896"/>
    </row>
    <row r="195" spans="2:49" s="1240" customFormat="1">
      <c r="B195"/>
      <c r="C195" t="s">
        <v>150</v>
      </c>
      <c r="D195"/>
      <c r="E195"/>
      <c r="F195"/>
      <c r="G195"/>
      <c r="H195"/>
      <c r="I195"/>
      <c r="J195"/>
      <c r="K195"/>
      <c r="L195"/>
      <c r="M195"/>
      <c r="N195"/>
      <c r="O195"/>
      <c r="P195"/>
      <c r="Q195"/>
      <c r="R195"/>
      <c r="S195"/>
      <c r="T195"/>
      <c r="U195"/>
      <c r="V195"/>
      <c r="W195"/>
      <c r="X195" s="561">
        <f t="shared" ref="X195:AF195" si="97">X167-X181</f>
        <v>10092.624</v>
      </c>
      <c r="Y195" s="561">
        <f t="shared" si="97"/>
        <v>10100.043</v>
      </c>
      <c r="Z195" s="561">
        <f t="shared" si="97"/>
        <v>9988.5720000000001</v>
      </c>
      <c r="AA195" s="561">
        <f t="shared" si="97"/>
        <v>10028.454999999998</v>
      </c>
      <c r="AB195" s="561">
        <f t="shared" si="97"/>
        <v>4465.7800000000007</v>
      </c>
      <c r="AC195" s="561">
        <f t="shared" si="97"/>
        <v>4465.7800000000007</v>
      </c>
      <c r="AD195" s="561">
        <f t="shared" si="97"/>
        <v>4520.8310000000001</v>
      </c>
      <c r="AE195" s="561">
        <f t="shared" si="97"/>
        <v>4593.5990000000002</v>
      </c>
      <c r="AF195" s="561">
        <f t="shared" si="97"/>
        <v>4675.7260000000006</v>
      </c>
      <c r="AG195" s="561">
        <f t="shared" ref="AG195:AK197" si="98">AG167-AG181</f>
        <v>4763.6090000000004</v>
      </c>
      <c r="AH195" s="561">
        <f t="shared" si="98"/>
        <v>4763.6090000000004</v>
      </c>
      <c r="AI195" s="561">
        <f t="shared" si="98"/>
        <v>4846.3320000000003</v>
      </c>
      <c r="AJ195" s="561">
        <f t="shared" si="98"/>
        <v>4924.42</v>
      </c>
      <c r="AK195" s="561">
        <f t="shared" si="98"/>
        <v>4984.0869999999995</v>
      </c>
      <c r="AL195" s="561">
        <f t="shared" ref="AL195:AM197" si="99">AL167-AL181</f>
        <v>5054.7</v>
      </c>
      <c r="AM195" s="1382">
        <f t="shared" si="99"/>
        <v>5054.7</v>
      </c>
      <c r="AN195" s="1382">
        <f t="shared" ref="AN195:AO197" si="100">AN167-AN181</f>
        <v>5104.7999999999993</v>
      </c>
      <c r="AO195" s="561">
        <f t="shared" si="100"/>
        <v>5161.5</v>
      </c>
      <c r="AP195" s="561">
        <f t="shared" ref="AP195:AT197" si="101">AP167-AP181</f>
        <v>5212.7000000000007</v>
      </c>
      <c r="AQ195" s="561">
        <f t="shared" si="101"/>
        <v>5325.6</v>
      </c>
      <c r="AR195" s="1579">
        <f t="shared" si="101"/>
        <v>5325.6</v>
      </c>
      <c r="AS195" s="1579">
        <f t="shared" si="101"/>
        <v>5380.4</v>
      </c>
      <c r="AT195" s="1579">
        <f t="shared" si="101"/>
        <v>5476.9</v>
      </c>
      <c r="AU195" s="1579">
        <f>AU167-AU181</f>
        <v>5580.3</v>
      </c>
      <c r="AV195" s="561">
        <f t="shared" ref="AV195:AW195" si="102">AV167-AV181</f>
        <v>5766.8</v>
      </c>
      <c r="AW195" s="1579">
        <f t="shared" si="102"/>
        <v>5766.8</v>
      </c>
    </row>
    <row r="196" spans="2:49" s="1240" customFormat="1">
      <c r="B196"/>
      <c r="C196" t="s">
        <v>296</v>
      </c>
      <c r="D196"/>
      <c r="E196"/>
      <c r="F196"/>
      <c r="G196"/>
      <c r="H196"/>
      <c r="I196"/>
      <c r="J196"/>
      <c r="K196"/>
      <c r="L196"/>
      <c r="M196"/>
      <c r="N196"/>
      <c r="O196"/>
      <c r="P196"/>
      <c r="Q196"/>
      <c r="R196"/>
      <c r="S196"/>
      <c r="T196"/>
      <c r="U196"/>
      <c r="V196"/>
      <c r="W196"/>
      <c r="X196" s="561">
        <f t="shared" ref="X196:AF196" si="103">X168-X182</f>
        <v>2911.9989999999998</v>
      </c>
      <c r="Y196" s="561">
        <f t="shared" si="103"/>
        <v>2965.4300000000003</v>
      </c>
      <c r="Z196" s="561">
        <f t="shared" si="103"/>
        <v>3010.442</v>
      </c>
      <c r="AA196" s="561">
        <f t="shared" si="103"/>
        <v>3090.864</v>
      </c>
      <c r="AB196" s="561">
        <f t="shared" si="103"/>
        <v>3203.3719999999998</v>
      </c>
      <c r="AC196" s="561">
        <f t="shared" si="103"/>
        <v>3203.3719999999998</v>
      </c>
      <c r="AD196" s="561">
        <f t="shared" si="103"/>
        <v>3286.1050000000005</v>
      </c>
      <c r="AE196" s="561">
        <f t="shared" si="103"/>
        <v>3385.5330000000004</v>
      </c>
      <c r="AF196" s="561">
        <f t="shared" si="103"/>
        <v>3484.672</v>
      </c>
      <c r="AG196" s="561">
        <f t="shared" si="98"/>
        <v>3574.9730000000004</v>
      </c>
      <c r="AH196" s="561">
        <f t="shared" si="98"/>
        <v>3574.9730000000004</v>
      </c>
      <c r="AI196" s="561">
        <f t="shared" si="98"/>
        <v>3652.5330000000004</v>
      </c>
      <c r="AJ196" s="561">
        <f t="shared" si="98"/>
        <v>3741.0230000000001</v>
      </c>
      <c r="AK196" s="561">
        <f t="shared" si="98"/>
        <v>3823.0299999999997</v>
      </c>
      <c r="AL196" s="561">
        <f t="shared" si="99"/>
        <v>3919.6569999999997</v>
      </c>
      <c r="AM196" s="1382">
        <f t="shared" si="99"/>
        <v>3919.6569999999997</v>
      </c>
      <c r="AN196" s="1579">
        <f t="shared" si="100"/>
        <v>3986.3389999999999</v>
      </c>
      <c r="AO196" s="561">
        <f t="shared" si="100"/>
        <v>4060.9520000000002</v>
      </c>
      <c r="AP196" s="561">
        <f t="shared" si="101"/>
        <v>4144.5209999999997</v>
      </c>
      <c r="AQ196" s="561">
        <f t="shared" si="101"/>
        <v>5780.7</v>
      </c>
      <c r="AR196" s="1579">
        <f t="shared" si="101"/>
        <v>5780.7</v>
      </c>
      <c r="AS196" s="1579">
        <f t="shared" si="101"/>
        <v>5905.7</v>
      </c>
      <c r="AT196" s="1579">
        <f>AT168-AT182</f>
        <v>6067.2999999999993</v>
      </c>
      <c r="AU196" s="1579">
        <f>AU168-AU182</f>
        <v>6339.7</v>
      </c>
      <c r="AV196" s="561">
        <f t="shared" ref="AV196:AW196" si="104">AV168-AV182</f>
        <v>6825.1</v>
      </c>
      <c r="AW196" s="1579">
        <f t="shared" si="104"/>
        <v>6825.1</v>
      </c>
    </row>
    <row r="197" spans="2:49" s="1240" customFormat="1">
      <c r="B197"/>
      <c r="C197" t="s">
        <v>297</v>
      </c>
      <c r="D197"/>
      <c r="E197"/>
      <c r="F197"/>
      <c r="G197"/>
      <c r="H197"/>
      <c r="I197"/>
      <c r="J197"/>
      <c r="K197"/>
      <c r="L197"/>
      <c r="M197"/>
      <c r="N197"/>
      <c r="O197"/>
      <c r="P197"/>
      <c r="Q197"/>
      <c r="R197"/>
      <c r="S197"/>
      <c r="T197"/>
      <c r="U197"/>
      <c r="V197"/>
      <c r="W197"/>
      <c r="X197" s="561">
        <f t="shared" ref="X197:AF197" si="105">X169-X183</f>
        <v>1078.7649999999999</v>
      </c>
      <c r="Y197" s="561">
        <f t="shared" si="105"/>
        <v>1086.1379999999999</v>
      </c>
      <c r="Z197" s="561">
        <f t="shared" si="105"/>
        <v>1097.201</v>
      </c>
      <c r="AA197" s="561">
        <f t="shared" si="105"/>
        <v>1111.2759999999998</v>
      </c>
      <c r="AB197" s="561">
        <f t="shared" si="105"/>
        <v>1131.1729999999998</v>
      </c>
      <c r="AC197" s="561">
        <f t="shared" si="105"/>
        <v>1131.1729999999998</v>
      </c>
      <c r="AD197" s="561">
        <f t="shared" si="105"/>
        <v>1149.817</v>
      </c>
      <c r="AE197" s="561">
        <f t="shared" si="105"/>
        <v>1168.452</v>
      </c>
      <c r="AF197" s="561">
        <f t="shared" si="105"/>
        <v>1184.9320000000002</v>
      </c>
      <c r="AG197" s="561">
        <f t="shared" si="98"/>
        <v>1204.548</v>
      </c>
      <c r="AH197" s="561">
        <f t="shared" si="98"/>
        <v>1204.548</v>
      </c>
      <c r="AI197" s="561">
        <f t="shared" si="98"/>
        <v>1231.8220000000001</v>
      </c>
      <c r="AJ197" s="561">
        <f t="shared" si="98"/>
        <v>1275.9789999999998</v>
      </c>
      <c r="AK197" s="561">
        <f t="shared" si="98"/>
        <v>1297.0100000000002</v>
      </c>
      <c r="AL197" s="561">
        <f t="shared" si="99"/>
        <v>1336.768</v>
      </c>
      <c r="AM197" s="1382">
        <f t="shared" si="99"/>
        <v>1336.768</v>
      </c>
      <c r="AN197" s="1579">
        <f t="shared" si="100"/>
        <v>1364.732</v>
      </c>
      <c r="AO197" s="561">
        <f t="shared" si="100"/>
        <v>1383.5309999999999</v>
      </c>
      <c r="AP197" s="561">
        <f t="shared" si="101"/>
        <v>1433.7219999999998</v>
      </c>
      <c r="AQ197" s="561">
        <f t="shared" si="101"/>
        <v>0</v>
      </c>
      <c r="AR197" s="1579">
        <f t="shared" si="101"/>
        <v>0</v>
      </c>
      <c r="AS197" s="1225">
        <f>AR197</f>
        <v>0</v>
      </c>
      <c r="AT197" s="1225">
        <f>AT169-AT183</f>
        <v>0</v>
      </c>
      <c r="AU197" s="1225">
        <f>AU169-AU183</f>
        <v>0</v>
      </c>
      <c r="AV197" s="561">
        <f t="shared" ref="AV197:AW197" si="106">AV169-AV183</f>
        <v>0</v>
      </c>
      <c r="AW197" s="1579">
        <f t="shared" si="106"/>
        <v>0</v>
      </c>
    </row>
    <row r="198" spans="2:49" s="1240" customFormat="1">
      <c r="C198" s="1240" t="s">
        <v>880</v>
      </c>
      <c r="E198" s="221"/>
      <c r="F198" s="221"/>
      <c r="G198" s="221"/>
      <c r="H198" s="221"/>
      <c r="X198" s="112">
        <f t="shared" ref="X198:AF198" si="107">SUM(X195:X197)</f>
        <v>14083.387999999999</v>
      </c>
      <c r="Y198" s="112">
        <f t="shared" si="107"/>
        <v>14151.611000000001</v>
      </c>
      <c r="Z198" s="112">
        <f t="shared" si="107"/>
        <v>14096.215</v>
      </c>
      <c r="AA198" s="112">
        <f t="shared" si="107"/>
        <v>14230.594999999998</v>
      </c>
      <c r="AB198" s="1348">
        <f t="shared" si="107"/>
        <v>8800.3250000000007</v>
      </c>
      <c r="AC198" s="112">
        <f t="shared" si="107"/>
        <v>8800.3250000000007</v>
      </c>
      <c r="AD198" s="112">
        <f t="shared" si="107"/>
        <v>8956.7530000000006</v>
      </c>
      <c r="AE198" s="112">
        <f t="shared" si="107"/>
        <v>9147.5840000000007</v>
      </c>
      <c r="AF198" s="112">
        <f t="shared" si="107"/>
        <v>9345.3300000000017</v>
      </c>
      <c r="AG198" s="1348">
        <f t="shared" ref="AG198:AL198" si="108">SUM(AG195:AG197)</f>
        <v>9543.130000000001</v>
      </c>
      <c r="AH198" s="112">
        <f t="shared" si="108"/>
        <v>9543.130000000001</v>
      </c>
      <c r="AI198" s="112">
        <f t="shared" si="108"/>
        <v>9730.6870000000017</v>
      </c>
      <c r="AJ198" s="112">
        <f t="shared" si="108"/>
        <v>9941.4219999999987</v>
      </c>
      <c r="AK198" s="112">
        <f t="shared" si="108"/>
        <v>10104.126999999999</v>
      </c>
      <c r="AL198" s="1348">
        <f t="shared" si="108"/>
        <v>10311.125</v>
      </c>
      <c r="AM198" s="1425">
        <f t="shared" ref="AM198:AT198" si="109">SUM(AM195:AM197)</f>
        <v>10311.125</v>
      </c>
      <c r="AN198" s="1425">
        <f t="shared" si="109"/>
        <v>10455.870999999999</v>
      </c>
      <c r="AO198" s="112">
        <f t="shared" si="109"/>
        <v>10605.983</v>
      </c>
      <c r="AP198" s="112">
        <f t="shared" si="109"/>
        <v>10790.943000000001</v>
      </c>
      <c r="AQ198" s="1348">
        <f t="shared" si="109"/>
        <v>11106.3</v>
      </c>
      <c r="AR198" s="1348">
        <f t="shared" si="109"/>
        <v>11106.3</v>
      </c>
      <c r="AS198" s="1348">
        <f t="shared" si="109"/>
        <v>11286.099999999999</v>
      </c>
      <c r="AT198" s="1348">
        <f t="shared" si="109"/>
        <v>11544.199999999999</v>
      </c>
      <c r="AU198" s="1348">
        <f>SUM(AU195:AU197)</f>
        <v>11920</v>
      </c>
      <c r="AV198" s="1348">
        <f t="shared" ref="AV198:AW198" si="110">SUM(AV195:AV197)</f>
        <v>12591.900000000001</v>
      </c>
      <c r="AW198" s="1348">
        <f t="shared" si="110"/>
        <v>12591.900000000001</v>
      </c>
    </row>
    <row r="199" spans="2:49" s="1240" customFormat="1">
      <c r="E199" s="221"/>
      <c r="F199" s="221"/>
      <c r="G199" s="221"/>
      <c r="H199" s="221"/>
      <c r="X199" s="112"/>
      <c r="Y199" s="112"/>
      <c r="Z199" s="112"/>
      <c r="AA199" s="112"/>
      <c r="AB199" s="1348"/>
      <c r="AC199" s="112"/>
      <c r="AD199" s="112"/>
      <c r="AE199" s="112"/>
      <c r="AF199" s="112"/>
      <c r="AG199" s="1348"/>
      <c r="AH199" s="112"/>
      <c r="AI199" s="1425"/>
      <c r="AJ199" s="1425"/>
      <c r="AK199" s="1425"/>
      <c r="AL199" s="1348"/>
      <c r="AM199" s="1425"/>
      <c r="AN199" s="1425"/>
      <c r="AO199" s="1425"/>
      <c r="AP199" s="1425"/>
      <c r="AR199"/>
      <c r="AW199" s="1896"/>
    </row>
    <row r="200" spans="2:49">
      <c r="B200" s="46" t="s">
        <v>109</v>
      </c>
      <c r="C200" s="46"/>
      <c r="D200" s="46"/>
      <c r="E200" s="94"/>
      <c r="F200" s="94"/>
      <c r="G200" s="94"/>
      <c r="H200" s="94"/>
      <c r="J200" s="86"/>
      <c r="K200" s="86"/>
      <c r="L200" s="86"/>
      <c r="M200" s="86"/>
      <c r="O200" s="86"/>
      <c r="P200" s="86"/>
      <c r="Q200" s="86"/>
      <c r="R200" s="86"/>
      <c r="T200" s="86"/>
      <c r="U200" s="86"/>
      <c r="V200" s="86"/>
      <c r="W200" s="86"/>
      <c r="X200" s="72"/>
      <c r="Y200" s="72"/>
      <c r="Z200" s="72"/>
      <c r="AA200" s="72"/>
      <c r="AB200" s="1349"/>
      <c r="AC200" s="72"/>
      <c r="AD200" s="72"/>
      <c r="AE200" s="72"/>
      <c r="AF200" s="72"/>
      <c r="AG200" s="1349"/>
      <c r="AH200" s="72"/>
      <c r="AI200" s="1426"/>
      <c r="AJ200" s="1426"/>
      <c r="AK200" s="1426"/>
      <c r="AL200" s="1349"/>
      <c r="AM200" s="1426"/>
      <c r="AN200" s="1426"/>
      <c r="AO200" s="1426"/>
      <c r="AP200" s="1426"/>
      <c r="AR200" s="1300"/>
      <c r="AV200" s="1884"/>
      <c r="AW200" s="1300"/>
    </row>
    <row r="201" spans="2:49">
      <c r="C201" t="s">
        <v>354</v>
      </c>
      <c r="X201" s="1346">
        <v>266.24700000000001</v>
      </c>
      <c r="Y201" s="1346">
        <v>271.32</v>
      </c>
      <c r="Z201" s="1346">
        <v>241.215</v>
      </c>
      <c r="AA201" s="1346">
        <v>250.04</v>
      </c>
      <c r="AB201" s="1349">
        <f t="shared" ref="AB201:AB206" si="111">AC201</f>
        <v>184.70099999999999</v>
      </c>
      <c r="AC201" s="1346">
        <v>184.70099999999999</v>
      </c>
      <c r="AD201" s="1346">
        <v>217.71299999999999</v>
      </c>
      <c r="AE201" s="1346">
        <v>222.12899999999999</v>
      </c>
      <c r="AF201" s="1346">
        <v>253.928</v>
      </c>
      <c r="AG201" s="1349">
        <f t="shared" ref="AG201:AG206" si="112">AH201</f>
        <v>321.495</v>
      </c>
      <c r="AH201" s="1346">
        <v>321.495</v>
      </c>
      <c r="AI201" s="1424">
        <v>381.327</v>
      </c>
      <c r="AJ201" s="1424">
        <v>459.30700000000002</v>
      </c>
      <c r="AK201" s="1424">
        <v>535.11199999999997</v>
      </c>
      <c r="AL201" s="1349">
        <f t="shared" ref="AL201:AL206" si="113">AM201</f>
        <v>475.1</v>
      </c>
      <c r="AM201" s="1424">
        <v>475.1</v>
      </c>
      <c r="AN201" s="1424">
        <v>507</v>
      </c>
      <c r="AO201" s="1424">
        <v>479.5</v>
      </c>
      <c r="AP201" s="1424">
        <v>481.9</v>
      </c>
      <c r="AQ201" s="1349">
        <f t="shared" ref="AQ201:AQ206" si="114">AR201</f>
        <v>390.3</v>
      </c>
      <c r="AR201" s="1530">
        <v>390.3</v>
      </c>
      <c r="AS201" s="1530">
        <v>386.1</v>
      </c>
      <c r="AT201" s="1530">
        <v>397.8</v>
      </c>
      <c r="AU201" s="1530">
        <v>493.5</v>
      </c>
      <c r="AV201" s="1349">
        <f t="shared" ref="AV201:AV206" si="115">AW201</f>
        <v>483</v>
      </c>
      <c r="AW201" s="1530">
        <v>483</v>
      </c>
    </row>
    <row r="202" spans="2:49">
      <c r="C202" t="s">
        <v>617</v>
      </c>
      <c r="X202" s="1346">
        <v>44.280999999999999</v>
      </c>
      <c r="Y202" s="1346">
        <v>43.808</v>
      </c>
      <c r="Z202" s="1346">
        <v>49.072000000000003</v>
      </c>
      <c r="AA202" s="1346">
        <v>57.588000000000001</v>
      </c>
      <c r="AB202" s="1349">
        <f t="shared" si="111"/>
        <v>128.59899999999999</v>
      </c>
      <c r="AC202" s="1346">
        <v>128.59899999999999</v>
      </c>
      <c r="AD202" s="1346">
        <v>139.321</v>
      </c>
      <c r="AE202" s="1346">
        <v>93.022999999999996</v>
      </c>
      <c r="AF202" s="1346">
        <v>80.210999999999999</v>
      </c>
      <c r="AG202" s="1349">
        <f t="shared" si="112"/>
        <v>39.194000000000003</v>
      </c>
      <c r="AH202" s="1346">
        <v>39.194000000000003</v>
      </c>
      <c r="AI202" s="1424">
        <v>45.357999999999997</v>
      </c>
      <c r="AJ202" s="1424">
        <v>63.094999999999999</v>
      </c>
      <c r="AK202" s="1424">
        <v>55.207999999999998</v>
      </c>
      <c r="AL202" s="1349">
        <f t="shared" si="113"/>
        <v>59.350999999999999</v>
      </c>
      <c r="AM202" s="1424">
        <v>59.350999999999999</v>
      </c>
      <c r="AN202" s="1424">
        <v>70.278000000000006</v>
      </c>
      <c r="AO202" s="1424">
        <v>19.251999999999999</v>
      </c>
      <c r="AP202" s="1424">
        <v>19.167999999999999</v>
      </c>
      <c r="AQ202" s="1349">
        <f t="shared" si="114"/>
        <v>27.38</v>
      </c>
      <c r="AR202" s="1530">
        <v>27.38</v>
      </c>
      <c r="AS202" s="1530">
        <v>30.146999999999998</v>
      </c>
      <c r="AT202" s="1530">
        <v>33.372999999999998</v>
      </c>
      <c r="AU202" s="1530">
        <v>39.93</v>
      </c>
      <c r="AV202" s="1349">
        <f t="shared" si="115"/>
        <v>52.142000000000003</v>
      </c>
      <c r="AW202" s="1530">
        <v>52.142000000000003</v>
      </c>
    </row>
    <row r="203" spans="2:49">
      <c r="C203" t="s">
        <v>355</v>
      </c>
      <c r="X203" s="1346">
        <v>341.06299999999999</v>
      </c>
      <c r="Y203" s="1346">
        <v>375.41300000000001</v>
      </c>
      <c r="Z203" s="1346">
        <v>370.38400000000001</v>
      </c>
      <c r="AA203" s="1346">
        <v>388.83499999999998</v>
      </c>
      <c r="AB203" s="1349">
        <f t="shared" si="111"/>
        <v>427.16399999999999</v>
      </c>
      <c r="AC203" s="1346">
        <v>427.16399999999999</v>
      </c>
      <c r="AD203" s="1346">
        <v>476.73399999999998</v>
      </c>
      <c r="AE203" s="1346">
        <v>518.63499999999999</v>
      </c>
      <c r="AF203" s="1346">
        <v>561.44000000000005</v>
      </c>
      <c r="AG203" s="1349">
        <f t="shared" si="112"/>
        <v>537.23699999999997</v>
      </c>
      <c r="AH203" s="1346">
        <v>537.23699999999997</v>
      </c>
      <c r="AI203" s="1424">
        <v>563.97500000000002</v>
      </c>
      <c r="AJ203" s="1424">
        <v>437.07799999999997</v>
      </c>
      <c r="AK203" s="1424">
        <v>470.79399999999998</v>
      </c>
      <c r="AL203" s="1349">
        <f t="shared" si="113"/>
        <v>519.79999999999995</v>
      </c>
      <c r="AM203" s="1424">
        <v>519.79999999999995</v>
      </c>
      <c r="AN203" s="1424">
        <v>547.9</v>
      </c>
      <c r="AO203" s="1424">
        <v>564.1</v>
      </c>
      <c r="AP203" s="1424">
        <v>607.9</v>
      </c>
      <c r="AQ203" s="1349">
        <f t="shared" si="114"/>
        <v>654.20000000000005</v>
      </c>
      <c r="AR203" s="1530">
        <v>654.20000000000005</v>
      </c>
      <c r="AS203" s="1530">
        <v>521</v>
      </c>
      <c r="AT203" s="1530">
        <v>592.4</v>
      </c>
      <c r="AU203" s="1530">
        <v>478.9</v>
      </c>
      <c r="AV203" s="1349">
        <f t="shared" si="115"/>
        <v>460.2</v>
      </c>
      <c r="AW203" s="1530">
        <v>460.2</v>
      </c>
    </row>
    <row r="204" spans="2:49">
      <c r="C204" t="s">
        <v>357</v>
      </c>
      <c r="X204" s="1346">
        <v>99.783000000000001</v>
      </c>
      <c r="Y204" s="1346">
        <v>130.614</v>
      </c>
      <c r="Z204" s="1346">
        <v>153.715</v>
      </c>
      <c r="AA204" s="1346">
        <v>223.86</v>
      </c>
      <c r="AB204" s="1349">
        <f t="shared" si="111"/>
        <v>281.84899999999999</v>
      </c>
      <c r="AC204" s="1346">
        <v>281.84899999999999</v>
      </c>
      <c r="AD204" s="1346">
        <v>309.2</v>
      </c>
      <c r="AE204" s="1346">
        <v>342.71899999999999</v>
      </c>
      <c r="AF204" s="1346">
        <v>395.74</v>
      </c>
      <c r="AG204" s="1349">
        <f t="shared" si="112"/>
        <v>471.98</v>
      </c>
      <c r="AH204" s="1346">
        <v>471.98</v>
      </c>
      <c r="AI204" s="1424">
        <v>519.678</v>
      </c>
      <c r="AJ204" s="1424">
        <v>577.98400000000004</v>
      </c>
      <c r="AK204" s="1424">
        <v>681.99099999999999</v>
      </c>
      <c r="AL204" s="1349">
        <f t="shared" si="113"/>
        <v>751.3</v>
      </c>
      <c r="AM204" s="1424">
        <v>751.3</v>
      </c>
      <c r="AN204" s="1424">
        <v>562.79999999999995</v>
      </c>
      <c r="AO204" s="1424">
        <v>168.4</v>
      </c>
      <c r="AP204" s="1424">
        <v>188.5</v>
      </c>
      <c r="AQ204" s="1349">
        <f t="shared" si="114"/>
        <v>113.8</v>
      </c>
      <c r="AR204" s="1530">
        <v>113.8</v>
      </c>
      <c r="AS204" s="1530">
        <v>125.2</v>
      </c>
      <c r="AT204" s="1530">
        <v>116.1</v>
      </c>
      <c r="AU204" s="1530">
        <v>145.19999999999999</v>
      </c>
      <c r="AV204" s="1349">
        <f t="shared" si="115"/>
        <v>233.2</v>
      </c>
      <c r="AW204" s="1530">
        <v>233.2</v>
      </c>
    </row>
    <row r="205" spans="2:49">
      <c r="C205" t="s">
        <v>637</v>
      </c>
      <c r="X205" s="1346">
        <v>95.17</v>
      </c>
      <c r="Y205" s="1346">
        <v>99.494</v>
      </c>
      <c r="Z205" s="1346">
        <v>101.119</v>
      </c>
      <c r="AA205" s="1346">
        <v>118.879</v>
      </c>
      <c r="AB205" s="1349">
        <f t="shared" si="111"/>
        <v>175.89</v>
      </c>
      <c r="AC205" s="1346">
        <v>175.89</v>
      </c>
      <c r="AD205" s="1346">
        <v>172.94900000000001</v>
      </c>
      <c r="AE205" s="1346">
        <v>129.655</v>
      </c>
      <c r="AF205" s="1346">
        <v>158.71600000000001</v>
      </c>
      <c r="AG205" s="1349">
        <f t="shared" si="112"/>
        <v>204.75299999999999</v>
      </c>
      <c r="AH205" s="1346">
        <v>204.75299999999999</v>
      </c>
      <c r="AI205" s="1424">
        <v>218.24100000000001</v>
      </c>
      <c r="AJ205" s="1424">
        <v>244.404</v>
      </c>
      <c r="AK205" s="1424">
        <v>274.47000000000003</v>
      </c>
      <c r="AL205" s="1349">
        <f t="shared" si="113"/>
        <v>315.3</v>
      </c>
      <c r="AM205" s="1424">
        <v>315.3</v>
      </c>
      <c r="AN205" s="1424">
        <v>145.69999999999999</v>
      </c>
      <c r="AO205" s="1424">
        <v>161.80000000000001</v>
      </c>
      <c r="AP205" s="1424">
        <v>127.9</v>
      </c>
      <c r="AQ205" s="1349">
        <f t="shared" si="114"/>
        <v>148.19999999999999</v>
      </c>
      <c r="AR205" s="1530">
        <v>148.19999999999999</v>
      </c>
      <c r="AS205" s="1530">
        <v>106.3</v>
      </c>
      <c r="AT205" s="1530">
        <v>111.2</v>
      </c>
      <c r="AU205" s="1530">
        <v>114</v>
      </c>
      <c r="AV205" s="1349">
        <f t="shared" si="115"/>
        <v>111.3</v>
      </c>
      <c r="AW205" s="1530">
        <v>111.3</v>
      </c>
    </row>
    <row r="206" spans="2:49">
      <c r="C206" t="s">
        <v>490</v>
      </c>
      <c r="X206" s="1346">
        <v>69.034000000000006</v>
      </c>
      <c r="Y206" s="1346">
        <v>67.087999999999994</v>
      </c>
      <c r="Z206" s="1346">
        <v>45.731999999999999</v>
      </c>
      <c r="AA206" s="1346">
        <v>52.497</v>
      </c>
      <c r="AB206" s="1349">
        <f t="shared" si="111"/>
        <v>57.216000000000001</v>
      </c>
      <c r="AC206" s="1346">
        <v>57.216000000000001</v>
      </c>
      <c r="AD206" s="1346">
        <v>68.265000000000001</v>
      </c>
      <c r="AE206" s="1346">
        <v>84.242000000000004</v>
      </c>
      <c r="AF206" s="1346">
        <v>104.85599999999999</v>
      </c>
      <c r="AG206" s="1349">
        <f t="shared" si="112"/>
        <v>116.69799999999999</v>
      </c>
      <c r="AH206" s="1346">
        <v>116.69799999999999</v>
      </c>
      <c r="AI206" s="1424">
        <v>128.99600000000001</v>
      </c>
      <c r="AJ206" s="1424">
        <v>60.232999999999997</v>
      </c>
      <c r="AK206" s="1424">
        <v>56.31</v>
      </c>
      <c r="AL206" s="1349">
        <f t="shared" si="113"/>
        <v>73.63</v>
      </c>
      <c r="AM206" s="1424">
        <v>73.63</v>
      </c>
      <c r="AN206" s="1424">
        <v>86.793999999999997</v>
      </c>
      <c r="AO206" s="1424">
        <v>93.734999999999999</v>
      </c>
      <c r="AP206" s="1424">
        <v>104.17700000000001</v>
      </c>
      <c r="AQ206" s="1349">
        <f t="shared" si="114"/>
        <v>122.06</v>
      </c>
      <c r="AR206" s="1530">
        <v>122.06</v>
      </c>
      <c r="AS206" s="1530">
        <v>138.72300000000001</v>
      </c>
      <c r="AT206" s="1530">
        <v>159.57300000000001</v>
      </c>
      <c r="AU206" s="1530">
        <v>25.43</v>
      </c>
      <c r="AV206" s="1349">
        <f t="shared" si="115"/>
        <v>27.721</v>
      </c>
      <c r="AW206" s="1530">
        <v>27.721</v>
      </c>
    </row>
    <row r="207" spans="2:49" s="1240" customFormat="1">
      <c r="C207" s="1240" t="s">
        <v>304</v>
      </c>
      <c r="E207" s="221"/>
      <c r="F207" s="221"/>
      <c r="G207" s="221"/>
      <c r="H207" s="221"/>
      <c r="X207" s="112">
        <f t="shared" ref="X207:AF207" si="116">SUM(X201:X206)</f>
        <v>915.57799999999997</v>
      </c>
      <c r="Y207" s="112">
        <f t="shared" si="116"/>
        <v>987.73699999999997</v>
      </c>
      <c r="Z207" s="112">
        <f t="shared" si="116"/>
        <v>961.23700000000008</v>
      </c>
      <c r="AA207" s="112">
        <f t="shared" si="116"/>
        <v>1091.6990000000001</v>
      </c>
      <c r="AB207" s="1348">
        <f t="shared" si="116"/>
        <v>1255.4189999999999</v>
      </c>
      <c r="AC207" s="112">
        <f t="shared" si="116"/>
        <v>1255.4189999999999</v>
      </c>
      <c r="AD207" s="112">
        <f t="shared" si="116"/>
        <v>1384.1820000000002</v>
      </c>
      <c r="AE207" s="112">
        <f t="shared" si="116"/>
        <v>1390.403</v>
      </c>
      <c r="AF207" s="112">
        <f t="shared" si="116"/>
        <v>1554.8909999999998</v>
      </c>
      <c r="AG207" s="1348">
        <f t="shared" ref="AG207:AL207" si="117">SUM(AG201:AG206)</f>
        <v>1691.357</v>
      </c>
      <c r="AH207" s="112">
        <f t="shared" si="117"/>
        <v>1691.357</v>
      </c>
      <c r="AI207" s="1425">
        <f t="shared" si="117"/>
        <v>1857.5750000000003</v>
      </c>
      <c r="AJ207" s="1425">
        <f t="shared" si="117"/>
        <v>1842.1009999999999</v>
      </c>
      <c r="AK207" s="1425">
        <f t="shared" si="117"/>
        <v>2073.8850000000002</v>
      </c>
      <c r="AL207" s="1348">
        <f t="shared" si="117"/>
        <v>2194.4810000000002</v>
      </c>
      <c r="AM207" s="1425">
        <f t="shared" ref="AM207:AT207" si="118">SUM(AM201:AM206)</f>
        <v>2194.4810000000002</v>
      </c>
      <c r="AN207" s="1425">
        <f t="shared" si="118"/>
        <v>1920.472</v>
      </c>
      <c r="AO207" s="1425">
        <f t="shared" si="118"/>
        <v>1486.787</v>
      </c>
      <c r="AP207" s="1425">
        <f t="shared" si="118"/>
        <v>1529.5449999999998</v>
      </c>
      <c r="AQ207" s="1348">
        <f t="shared" si="118"/>
        <v>1455.94</v>
      </c>
      <c r="AR207" s="1348">
        <f t="shared" si="118"/>
        <v>1455.94</v>
      </c>
      <c r="AS207" s="1348">
        <f t="shared" si="118"/>
        <v>1307.47</v>
      </c>
      <c r="AT207" s="1348">
        <f t="shared" si="118"/>
        <v>1410.4460000000001</v>
      </c>
      <c r="AU207" s="1348">
        <f>SUM(AU201:AU206)</f>
        <v>1296.96</v>
      </c>
      <c r="AV207" s="1348">
        <f t="shared" ref="AV207:AW207" si="119">SUM(AV201:AV206)</f>
        <v>1367.5630000000001</v>
      </c>
      <c r="AW207" s="1348">
        <f t="shared" si="119"/>
        <v>1367.5630000000001</v>
      </c>
    </row>
    <row r="208" spans="2:49">
      <c r="X208" s="72"/>
      <c r="Y208" s="72"/>
      <c r="Z208" s="72"/>
      <c r="AA208" s="72"/>
      <c r="AB208" s="1349"/>
      <c r="AC208" s="72"/>
      <c r="AD208" s="72"/>
      <c r="AE208" s="72"/>
      <c r="AF208" s="72"/>
      <c r="AG208" s="1349"/>
      <c r="AH208" s="72"/>
      <c r="AI208" s="1426"/>
      <c r="AJ208" s="1426"/>
      <c r="AK208" s="1426"/>
      <c r="AL208" s="1349"/>
      <c r="AM208" s="1426"/>
      <c r="AN208" s="1426"/>
      <c r="AO208" s="1426"/>
      <c r="AP208" s="1426"/>
      <c r="AQ208" s="1349"/>
      <c r="AV208" s="1349"/>
    </row>
    <row r="209" spans="3:49">
      <c r="C209" t="s">
        <v>150</v>
      </c>
      <c r="X209" s="1346">
        <v>354.49700000000001</v>
      </c>
      <c r="Y209" s="1346">
        <v>348.36599999999999</v>
      </c>
      <c r="Z209" s="1346">
        <v>409.75099999999998</v>
      </c>
      <c r="AA209" s="1346">
        <v>440.19900000000001</v>
      </c>
      <c r="AB209" s="1349">
        <f>AC209</f>
        <v>185.428</v>
      </c>
      <c r="AC209" s="1346">
        <v>185.428</v>
      </c>
      <c r="AD209" s="1346">
        <v>188.636</v>
      </c>
      <c r="AE209" s="1346">
        <v>200.65799999999999</v>
      </c>
      <c r="AF209" s="1346">
        <v>238.19499999999999</v>
      </c>
      <c r="AG209" s="1349">
        <f>AH209</f>
        <v>218.667</v>
      </c>
      <c r="AH209" s="1346">
        <v>218.667</v>
      </c>
      <c r="AI209" s="1424">
        <v>227.76400000000001</v>
      </c>
      <c r="AJ209" s="1424">
        <v>222.94300000000001</v>
      </c>
      <c r="AK209" s="1424">
        <v>212.09299999999999</v>
      </c>
      <c r="AL209" s="1349">
        <f>AM209</f>
        <v>171.9</v>
      </c>
      <c r="AM209" s="1424">
        <v>171.9</v>
      </c>
      <c r="AN209" s="1424">
        <v>160.19999999999999</v>
      </c>
      <c r="AO209" s="1424">
        <v>169.5</v>
      </c>
      <c r="AP209" s="1424">
        <v>194.1</v>
      </c>
      <c r="AQ209" s="1349">
        <f>AR209</f>
        <v>221.5</v>
      </c>
      <c r="AR209" s="1530">
        <v>221.5</v>
      </c>
      <c r="AS209" s="1530">
        <v>243.4</v>
      </c>
      <c r="AT209" s="1530">
        <v>285.10000000000002</v>
      </c>
      <c r="AU209" s="1530">
        <v>350.7</v>
      </c>
      <c r="AV209" s="1349">
        <f>AW209</f>
        <v>410.1</v>
      </c>
      <c r="AW209" s="1530">
        <v>410.1</v>
      </c>
    </row>
    <row r="210" spans="3:49">
      <c r="C210" t="s">
        <v>296</v>
      </c>
      <c r="X210" s="1346">
        <v>104.788</v>
      </c>
      <c r="Y210" s="1346">
        <v>126.70399999999999</v>
      </c>
      <c r="Z210" s="1346">
        <v>130.44200000000001</v>
      </c>
      <c r="AA210" s="1346">
        <v>171.999</v>
      </c>
      <c r="AB210" s="1349">
        <f>AC210</f>
        <v>175.74199999999999</v>
      </c>
      <c r="AC210" s="1346">
        <v>175.74199999999999</v>
      </c>
      <c r="AD210" s="1346">
        <v>228.44499999999999</v>
      </c>
      <c r="AE210" s="1346">
        <v>205.66399999999999</v>
      </c>
      <c r="AF210" s="1346">
        <v>241.77199999999999</v>
      </c>
      <c r="AG210" s="1349">
        <f>AH210</f>
        <v>202.28100000000001</v>
      </c>
      <c r="AH210" s="1346">
        <v>202.28100000000001</v>
      </c>
      <c r="AI210" s="1424">
        <v>238.56200000000001</v>
      </c>
      <c r="AJ210" s="1424">
        <v>217.37299999999999</v>
      </c>
      <c r="AK210" s="1424">
        <v>233.71100000000001</v>
      </c>
      <c r="AL210" s="1349">
        <f>AM210</f>
        <v>211.95099999999999</v>
      </c>
      <c r="AM210" s="1424">
        <v>211.95099999999999</v>
      </c>
      <c r="AN210" s="1424">
        <v>199.68700000000001</v>
      </c>
      <c r="AO210" s="1424">
        <v>201.286</v>
      </c>
      <c r="AP210" s="1424">
        <v>189.83199999999999</v>
      </c>
      <c r="AQ210" s="1349">
        <f>AR210</f>
        <v>385.9</v>
      </c>
      <c r="AR210" s="1530">
        <v>385.9</v>
      </c>
      <c r="AS210" s="1530">
        <v>393</v>
      </c>
      <c r="AT210" s="1530">
        <v>374.4</v>
      </c>
      <c r="AU210" s="1530">
        <v>554.1</v>
      </c>
      <c r="AV210" s="1349">
        <f>AW210</f>
        <v>835.7</v>
      </c>
      <c r="AW210" s="1530">
        <v>835.7</v>
      </c>
    </row>
    <row r="211" spans="3:49">
      <c r="C211" t="s">
        <v>297</v>
      </c>
      <c r="X211" s="1346">
        <v>31.57</v>
      </c>
      <c r="Y211" s="1346">
        <v>36.901000000000003</v>
      </c>
      <c r="Z211" s="1346">
        <v>31.355</v>
      </c>
      <c r="AA211" s="1346">
        <v>39.575000000000003</v>
      </c>
      <c r="AB211" s="1349">
        <f>AC211</f>
        <v>46.356000000000002</v>
      </c>
      <c r="AC211" s="1346">
        <v>46.356000000000002</v>
      </c>
      <c r="AD211" s="1346">
        <v>56.713999999999999</v>
      </c>
      <c r="AE211" s="1346">
        <v>48.069000000000003</v>
      </c>
      <c r="AF211" s="1346">
        <v>50.402000000000001</v>
      </c>
      <c r="AG211" s="1349">
        <f>AH211</f>
        <v>57.58</v>
      </c>
      <c r="AH211" s="1346">
        <v>57.58</v>
      </c>
      <c r="AI211" s="1424">
        <v>73.704999999999998</v>
      </c>
      <c r="AJ211" s="1424">
        <v>77.527000000000001</v>
      </c>
      <c r="AK211" s="1424">
        <v>60.93</v>
      </c>
      <c r="AL211" s="1349">
        <f>AM211</f>
        <v>78.308000000000007</v>
      </c>
      <c r="AM211" s="1424">
        <v>78.308000000000007</v>
      </c>
      <c r="AN211" s="1424">
        <v>71.090999999999994</v>
      </c>
      <c r="AO211" s="1424">
        <v>73.992999999999995</v>
      </c>
      <c r="AP211" s="1424">
        <v>93.759</v>
      </c>
      <c r="AQ211" s="1349">
        <f>AR211</f>
        <v>0</v>
      </c>
      <c r="AR211" s="1579"/>
      <c r="AS211" s="1225"/>
      <c r="AT211" s="1225">
        <v>0</v>
      </c>
      <c r="AU211" s="1225">
        <v>0</v>
      </c>
      <c r="AV211" s="1349">
        <f>AW211</f>
        <v>0</v>
      </c>
      <c r="AW211" s="1579"/>
    </row>
    <row r="212" spans="3:49" s="1240" customFormat="1">
      <c r="C212" s="1240" t="s">
        <v>880</v>
      </c>
      <c r="E212" s="221"/>
      <c r="F212" s="221"/>
      <c r="G212" s="221"/>
      <c r="H212" s="221"/>
      <c r="X212" s="112">
        <f t="shared" ref="X212:AF212" si="120">SUM(X209:X211)</f>
        <v>490.85500000000002</v>
      </c>
      <c r="Y212" s="112">
        <f t="shared" si="120"/>
        <v>511.971</v>
      </c>
      <c r="Z212" s="112">
        <f t="shared" si="120"/>
        <v>571.548</v>
      </c>
      <c r="AA212" s="112">
        <f t="shared" si="120"/>
        <v>651.77300000000002</v>
      </c>
      <c r="AB212" s="1348">
        <f t="shared" si="120"/>
        <v>407.52599999999995</v>
      </c>
      <c r="AC212" s="112">
        <f t="shared" si="120"/>
        <v>407.52599999999995</v>
      </c>
      <c r="AD212" s="112">
        <f t="shared" si="120"/>
        <v>473.79500000000002</v>
      </c>
      <c r="AE212" s="112">
        <f t="shared" si="120"/>
        <v>454.39100000000002</v>
      </c>
      <c r="AF212" s="112">
        <f t="shared" si="120"/>
        <v>530.36900000000003</v>
      </c>
      <c r="AG212" s="1348">
        <f t="shared" ref="AG212:AL212" si="121">SUM(AG209:AG211)</f>
        <v>478.52799999999996</v>
      </c>
      <c r="AH212" s="112">
        <f t="shared" si="121"/>
        <v>478.52799999999996</v>
      </c>
      <c r="AI212" s="1425">
        <f t="shared" si="121"/>
        <v>540.03100000000006</v>
      </c>
      <c r="AJ212" s="1425">
        <f t="shared" si="121"/>
        <v>517.84300000000007</v>
      </c>
      <c r="AK212" s="1425">
        <f t="shared" si="121"/>
        <v>506.73399999999998</v>
      </c>
      <c r="AL212" s="1348">
        <f t="shared" si="121"/>
        <v>462.15899999999999</v>
      </c>
      <c r="AM212" s="1425">
        <f t="shared" ref="AM212:AT212" si="122">SUM(AM209:AM211)</f>
        <v>462.15899999999999</v>
      </c>
      <c r="AN212" s="1425">
        <f t="shared" si="122"/>
        <v>430.97800000000001</v>
      </c>
      <c r="AO212" s="1425">
        <f t="shared" si="122"/>
        <v>444.779</v>
      </c>
      <c r="AP212" s="1425">
        <f t="shared" si="122"/>
        <v>477.69100000000003</v>
      </c>
      <c r="AQ212" s="1348">
        <f t="shared" si="122"/>
        <v>607.4</v>
      </c>
      <c r="AR212" s="1348">
        <f t="shared" si="122"/>
        <v>607.4</v>
      </c>
      <c r="AS212" s="1348">
        <f t="shared" si="122"/>
        <v>636.4</v>
      </c>
      <c r="AT212" s="1348">
        <f t="shared" si="122"/>
        <v>659.5</v>
      </c>
      <c r="AU212" s="1348">
        <f>SUM(AU209:AU211)</f>
        <v>904.8</v>
      </c>
      <c r="AV212" s="1348">
        <f t="shared" ref="AV212:AW212" si="123">SUM(AV209:AV211)</f>
        <v>1245.8000000000002</v>
      </c>
      <c r="AW212" s="1348">
        <f t="shared" si="123"/>
        <v>1245.8000000000002</v>
      </c>
    </row>
    <row r="213" spans="3:49">
      <c r="X213" s="72"/>
      <c r="Y213" s="72"/>
      <c r="Z213" s="72"/>
      <c r="AA213" s="72"/>
      <c r="AB213" s="1349"/>
      <c r="AC213" s="72"/>
      <c r="AD213" s="72"/>
      <c r="AE213" s="72"/>
      <c r="AF213" s="72"/>
      <c r="AR213" s="1300"/>
      <c r="AW213" s="1300"/>
    </row>
    <row r="214" spans="3:49">
      <c r="X214" s="72"/>
      <c r="Y214" s="72"/>
      <c r="Z214" s="72"/>
      <c r="AA214" s="72"/>
      <c r="AB214" s="1349"/>
      <c r="AC214" s="72"/>
      <c r="AD214" s="72"/>
      <c r="AE214" s="72"/>
      <c r="AF214" s="72"/>
      <c r="AR214" s="1300"/>
      <c r="AW214" s="1300"/>
    </row>
    <row r="215" spans="3:49">
      <c r="X215" s="72"/>
      <c r="Y215" s="72"/>
      <c r="Z215" s="72"/>
      <c r="AA215" s="72"/>
      <c r="AB215" s="1349"/>
      <c r="AC215" s="72"/>
      <c r="AD215" s="72"/>
      <c r="AE215" s="72"/>
      <c r="AF215" s="72"/>
      <c r="AR215" s="1300"/>
      <c r="AW215" s="1300"/>
    </row>
    <row r="216" spans="3:49">
      <c r="X216" s="72"/>
      <c r="Y216" s="72"/>
      <c r="Z216" s="72"/>
      <c r="AA216" s="72"/>
      <c r="AB216" s="1349"/>
      <c r="AC216" s="72"/>
      <c r="AD216" s="72"/>
      <c r="AE216" s="72"/>
      <c r="AF216" s="72"/>
      <c r="AR216" s="1300"/>
      <c r="AW216" s="1300"/>
    </row>
    <row r="217" spans="3:49">
      <c r="AB217" s="1350"/>
      <c r="AR217" s="1300"/>
      <c r="AW217" s="1300"/>
    </row>
    <row r="218" spans="3:49">
      <c r="AB218" s="1350"/>
      <c r="AR218" s="1300"/>
      <c r="AW218" s="1300"/>
    </row>
    <row r="219" spans="3:49">
      <c r="AB219" s="1350"/>
    </row>
    <row r="220" spans="3:49">
      <c r="AB220" s="1350"/>
    </row>
    <row r="221" spans="3:49">
      <c r="AB221" s="1350"/>
    </row>
    <row r="222" spans="3:49">
      <c r="AB222" s="1350"/>
    </row>
  </sheetData>
  <phoneticPr fontId="40" type="noConversion"/>
  <pageMargins left="0.75" right="0.75" top="1" bottom="1" header="0.5" footer="0.5"/>
  <pageSetup orientation="portrait"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DD257"/>
  <sheetViews>
    <sheetView zoomScale="80" zoomScaleNormal="80" workbookViewId="0">
      <pane xSplit="4" ySplit="5" topLeftCell="X6" activePane="bottomRight" state="frozen"/>
      <selection activeCell="AR15" sqref="AR15"/>
      <selection pane="topRight" activeCell="AR15" sqref="AR15"/>
      <selection pane="bottomLeft" activeCell="AR15" sqref="AR15"/>
      <selection pane="bottomRight" activeCell="X6" sqref="X6"/>
    </sheetView>
  </sheetViews>
  <sheetFormatPr defaultRowHeight="12.75" outlineLevelCol="1"/>
  <cols>
    <col min="1" max="2" width="2.7109375" customWidth="1"/>
    <col min="3" max="3" width="41.42578125" customWidth="1"/>
    <col min="4" max="4" width="3.5703125" customWidth="1"/>
    <col min="5" max="8" width="9" hidden="1" customWidth="1" outlineLevel="1"/>
    <col min="9" max="9" width="9" hidden="1" customWidth="1" outlineLevel="1" collapsed="1"/>
    <col min="10" max="13" width="9" hidden="1" customWidth="1" outlineLevel="1"/>
    <col min="14" max="14" width="9" hidden="1" customWidth="1" outlineLevel="1" collapsed="1"/>
    <col min="15" max="18" width="9" hidden="1" customWidth="1" outlineLevel="1"/>
    <col min="19" max="19" width="9" hidden="1" customWidth="1" outlineLevel="1" collapsed="1"/>
    <col min="20" max="23" width="9" hidden="1" customWidth="1" outlineLevel="1"/>
    <col min="24" max="24" width="9.5703125" bestFit="1" customWidth="1" collapsed="1"/>
    <col min="25" max="28" width="9" hidden="1" customWidth="1" outlineLevel="1"/>
    <col min="29" max="29" width="9.5703125" bestFit="1" customWidth="1" collapsed="1"/>
    <col min="30" max="33" width="9" hidden="1" customWidth="1" outlineLevel="1"/>
    <col min="34" max="34" width="9.5703125" bestFit="1" customWidth="1" collapsed="1"/>
    <col min="35" max="38" width="9" hidden="1" customWidth="1" outlineLevel="1"/>
    <col min="39" max="39" width="9.5703125" bestFit="1" customWidth="1" collapsed="1"/>
    <col min="40" max="43" width="9" hidden="1" customWidth="1" outlineLevel="1"/>
    <col min="44" max="44" width="9.5703125" customWidth="1" collapsed="1"/>
    <col min="45" max="48" width="9.5703125" hidden="1" customWidth="1" outlineLevel="1"/>
    <col min="49" max="49" width="9.5703125" customWidth="1" collapsed="1"/>
    <col min="50" max="53" width="9.5703125" hidden="1" customWidth="1" outlineLevel="1"/>
    <col min="54" max="54" width="9.5703125" customWidth="1" collapsed="1"/>
    <col min="55" max="58" width="9.5703125" hidden="1" customWidth="1" outlineLevel="1"/>
    <col min="59" max="59" width="9.5703125" customWidth="1" collapsed="1"/>
    <col min="60" max="63" width="9.5703125" hidden="1" customWidth="1" outlineLevel="1"/>
    <col min="64" max="64" width="9.5703125" customWidth="1" collapsed="1"/>
    <col min="65" max="68" width="9" hidden="1" customWidth="1" outlineLevel="1"/>
    <col min="69" max="69" width="9.5703125" bestFit="1" customWidth="1" collapsed="1"/>
    <col min="75" max="75" width="16.7109375" bestFit="1" customWidth="1"/>
    <col min="85" max="87" width="11.42578125" customWidth="1"/>
    <col min="88" max="88" width="11" bestFit="1" customWidth="1"/>
    <col min="89" max="89" width="11.42578125" customWidth="1"/>
    <col min="90" max="91" width="12.42578125" customWidth="1"/>
    <col min="92" max="92" width="11.5703125" customWidth="1"/>
    <col min="93" max="93" width="11.28515625" customWidth="1"/>
    <col min="94" max="94" width="11.5703125" customWidth="1"/>
    <col min="95" max="96" width="11.42578125" customWidth="1"/>
    <col min="97" max="99" width="9.7109375" customWidth="1"/>
    <col min="102" max="102" width="10.5703125" bestFit="1" customWidth="1"/>
    <col min="112" max="112" width="9.7109375" bestFit="1" customWidth="1"/>
  </cols>
  <sheetData>
    <row r="1" spans="1:99" ht="15" customHeight="1">
      <c r="A1" s="32"/>
      <c r="B1" s="32"/>
      <c r="C1" s="32"/>
      <c r="D1" s="33"/>
      <c r="E1" s="34"/>
      <c r="F1" s="34"/>
      <c r="G1" s="34"/>
      <c r="H1" s="34"/>
      <c r="I1" s="34"/>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c r="AW1" s="34"/>
      <c r="AX1" s="34"/>
      <c r="AY1" s="34"/>
      <c r="AZ1" s="34"/>
      <c r="BA1" s="34"/>
      <c r="BB1" s="34"/>
      <c r="BC1" s="34"/>
      <c r="BD1" s="34"/>
      <c r="BE1" s="34"/>
      <c r="BF1" s="34"/>
      <c r="BG1" s="34"/>
      <c r="BH1" s="34"/>
      <c r="BI1" s="34"/>
      <c r="BJ1" s="34"/>
      <c r="BK1" s="34"/>
      <c r="BL1" s="34"/>
      <c r="BM1" s="34"/>
      <c r="BN1" s="34"/>
      <c r="BO1" s="34"/>
      <c r="BP1" s="34"/>
      <c r="BQ1" s="34"/>
      <c r="BR1" s="121"/>
      <c r="BS1" s="121"/>
      <c r="BT1" s="121"/>
      <c r="BU1" s="121"/>
      <c r="BV1" s="121"/>
      <c r="BW1" s="121"/>
      <c r="BX1" s="121"/>
      <c r="BY1" s="121"/>
      <c r="BZ1" s="121"/>
      <c r="CA1" s="121"/>
      <c r="CB1" s="121"/>
      <c r="CC1" s="121"/>
      <c r="CD1" s="121"/>
      <c r="CE1" s="121"/>
      <c r="CF1" s="121"/>
      <c r="CG1" s="121"/>
      <c r="CH1" s="121"/>
      <c r="CI1" s="121"/>
      <c r="CJ1" s="121"/>
      <c r="CK1" s="121"/>
      <c r="CL1" s="121"/>
      <c r="CM1" s="121"/>
      <c r="CN1" s="121"/>
      <c r="CO1" s="121"/>
      <c r="CP1" s="121"/>
      <c r="CQ1" s="121"/>
      <c r="CR1" s="121"/>
      <c r="CS1" s="121"/>
      <c r="CT1" s="121"/>
      <c r="CU1" s="121"/>
    </row>
    <row r="2" spans="1:99" ht="15" customHeight="1">
      <c r="A2" s="32"/>
      <c r="B2" s="32" t="str">
        <f>Cover!$B$2</f>
        <v>American Electric Power Company</v>
      </c>
      <c r="C2" s="32"/>
      <c r="D2" s="33"/>
      <c r="E2" s="34"/>
      <c r="F2" s="34"/>
      <c r="G2" s="34"/>
      <c r="H2" s="34"/>
      <c r="I2" s="34"/>
      <c r="J2" s="34"/>
      <c r="K2" s="34"/>
      <c r="L2" s="34"/>
      <c r="M2" s="34"/>
      <c r="N2" s="34"/>
      <c r="O2" s="34"/>
      <c r="P2" s="34"/>
      <c r="Q2" s="34"/>
      <c r="R2" s="34"/>
      <c r="S2" s="34"/>
      <c r="T2" s="34"/>
      <c r="U2" s="34"/>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c r="AW2" s="34"/>
      <c r="AX2" s="34"/>
      <c r="AY2" s="34"/>
      <c r="AZ2" s="34"/>
      <c r="BA2" s="34"/>
      <c r="BB2" s="34"/>
      <c r="BC2" s="34"/>
      <c r="BD2" s="34"/>
      <c r="BE2" s="34"/>
      <c r="BF2" s="34"/>
      <c r="BG2" s="34"/>
      <c r="BH2" s="34"/>
      <c r="BI2" s="34"/>
      <c r="BJ2" s="34"/>
      <c r="BK2" s="34"/>
      <c r="BL2" s="34"/>
      <c r="BM2" s="34"/>
      <c r="BN2" s="34"/>
      <c r="BO2" s="34"/>
      <c r="BP2" s="34"/>
      <c r="BQ2" s="34"/>
      <c r="BR2" s="121"/>
      <c r="BS2" s="121"/>
      <c r="BT2" s="121"/>
      <c r="BU2" s="121"/>
      <c r="BV2" s="121"/>
      <c r="BW2" s="121"/>
      <c r="BX2" s="121"/>
      <c r="BY2" s="121"/>
      <c r="BZ2" s="121"/>
      <c r="CA2" s="121"/>
      <c r="CB2" s="121"/>
      <c r="CC2" s="121"/>
      <c r="CD2" s="121"/>
      <c r="CE2" s="121"/>
      <c r="CF2" s="121"/>
      <c r="CG2" s="121"/>
      <c r="CH2" s="121"/>
      <c r="CI2" s="121"/>
      <c r="CJ2" s="121"/>
      <c r="CK2" s="121"/>
      <c r="CL2" s="121"/>
      <c r="CM2" s="121"/>
      <c r="CN2" s="121"/>
      <c r="CO2" s="121"/>
      <c r="CP2" s="121"/>
      <c r="CQ2" s="121"/>
      <c r="CR2" s="121"/>
      <c r="CS2" s="121"/>
      <c r="CT2" s="121"/>
      <c r="CU2" s="121"/>
    </row>
    <row r="3" spans="1:99" ht="15" customHeight="1">
      <c r="A3" s="35"/>
      <c r="B3" s="36" t="s">
        <v>122</v>
      </c>
      <c r="C3" s="36"/>
      <c r="D3" s="3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c r="AW3" s="34"/>
      <c r="AX3" s="34"/>
      <c r="AY3" s="34"/>
      <c r="AZ3" s="34"/>
      <c r="BA3" s="34"/>
      <c r="BB3" s="34"/>
      <c r="BC3" s="34"/>
      <c r="BD3" s="34"/>
      <c r="BE3" s="34"/>
      <c r="BF3" s="34"/>
      <c r="BG3" s="34"/>
      <c r="BH3" s="34"/>
      <c r="BI3" s="34"/>
      <c r="BJ3" s="34"/>
      <c r="BK3" s="34"/>
      <c r="BL3" s="34"/>
      <c r="BM3" s="34"/>
      <c r="BN3" s="34"/>
      <c r="BO3" s="34"/>
      <c r="BP3" s="34"/>
      <c r="BQ3" s="34"/>
      <c r="BR3" s="121"/>
      <c r="BS3" s="121"/>
      <c r="BT3" s="121"/>
      <c r="BU3" s="121"/>
      <c r="BV3" s="121"/>
      <c r="BW3" s="121"/>
      <c r="BX3" s="121"/>
      <c r="BY3" s="121"/>
      <c r="BZ3" s="121"/>
      <c r="CA3" s="121"/>
      <c r="CB3" s="121"/>
      <c r="CC3" s="121"/>
      <c r="CD3" s="121"/>
      <c r="CE3" s="121"/>
      <c r="CF3" s="121"/>
      <c r="CG3" s="121"/>
      <c r="CH3" s="121"/>
      <c r="CI3" s="121"/>
      <c r="CJ3" s="121"/>
      <c r="CK3" s="121"/>
      <c r="CL3" s="121"/>
      <c r="CM3" s="121"/>
      <c r="CN3" s="121"/>
      <c r="CO3" s="121"/>
      <c r="CP3" s="121"/>
      <c r="CQ3" s="121"/>
      <c r="CR3" s="121"/>
      <c r="CS3" s="121"/>
      <c r="CT3" s="121"/>
      <c r="CU3" s="121"/>
    </row>
    <row r="4" spans="1:99">
      <c r="A4" s="38"/>
      <c r="B4" s="39" t="s">
        <v>828</v>
      </c>
      <c r="C4" s="39"/>
      <c r="D4" s="280"/>
      <c r="E4" s="41"/>
      <c r="F4" s="41"/>
      <c r="G4" s="41"/>
      <c r="H4" s="41"/>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c r="BA4" s="41"/>
      <c r="BB4" s="41"/>
      <c r="BC4" s="41"/>
      <c r="BD4" s="41"/>
      <c r="BE4" s="41"/>
      <c r="BF4" s="41"/>
      <c r="BG4" s="41"/>
      <c r="BH4" s="41"/>
      <c r="BI4" s="41"/>
      <c r="BJ4" s="41"/>
      <c r="BK4" s="41"/>
      <c r="BL4" s="41"/>
      <c r="BM4" s="41"/>
      <c r="BN4" s="41"/>
      <c r="BO4" s="41"/>
      <c r="BP4" s="41"/>
      <c r="BQ4" s="41"/>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row>
    <row r="5" spans="1:99">
      <c r="B5" s="281" t="s">
        <v>859</v>
      </c>
      <c r="C5" s="281"/>
      <c r="D5" s="282"/>
      <c r="E5" s="131" t="s">
        <v>937</v>
      </c>
      <c r="F5" s="132" t="s">
        <v>938</v>
      </c>
      <c r="G5" s="132" t="s">
        <v>939</v>
      </c>
      <c r="H5" s="133" t="s">
        <v>940</v>
      </c>
      <c r="I5" s="283">
        <v>2009</v>
      </c>
      <c r="J5" s="131" t="s">
        <v>941</v>
      </c>
      <c r="K5" s="132" t="s">
        <v>942</v>
      </c>
      <c r="L5" s="132" t="s">
        <v>943</v>
      </c>
      <c r="M5" s="133" t="s">
        <v>944</v>
      </c>
      <c r="N5" s="283" t="s">
        <v>829</v>
      </c>
      <c r="O5" s="131" t="s">
        <v>945</v>
      </c>
      <c r="P5" s="132" t="s">
        <v>946</v>
      </c>
      <c r="Q5" s="132" t="s">
        <v>353</v>
      </c>
      <c r="R5" s="133" t="s">
        <v>76</v>
      </c>
      <c r="S5" s="283">
        <v>2011</v>
      </c>
      <c r="T5" s="131" t="s">
        <v>91</v>
      </c>
      <c r="U5" s="132" t="s">
        <v>92</v>
      </c>
      <c r="V5" s="132" t="s">
        <v>790</v>
      </c>
      <c r="W5" s="133" t="s">
        <v>644</v>
      </c>
      <c r="X5" s="284" t="s">
        <v>645</v>
      </c>
      <c r="Y5" s="131" t="s">
        <v>646</v>
      </c>
      <c r="Z5" s="132" t="s">
        <v>619</v>
      </c>
      <c r="AA5" s="132" t="s">
        <v>620</v>
      </c>
      <c r="AB5" s="133" t="s">
        <v>246</v>
      </c>
      <c r="AC5" s="284" t="s">
        <v>247</v>
      </c>
      <c r="AD5" s="131" t="s">
        <v>274</v>
      </c>
      <c r="AE5" s="132" t="s">
        <v>275</v>
      </c>
      <c r="AF5" s="132" t="s">
        <v>276</v>
      </c>
      <c r="AG5" s="133" t="s">
        <v>1060</v>
      </c>
      <c r="AH5" s="284" t="s">
        <v>1061</v>
      </c>
      <c r="AI5" s="131" t="s">
        <v>1062</v>
      </c>
      <c r="AJ5" s="132" t="s">
        <v>1063</v>
      </c>
      <c r="AK5" s="132" t="s">
        <v>1122</v>
      </c>
      <c r="AL5" s="133" t="s">
        <v>1123</v>
      </c>
      <c r="AM5" s="284" t="s">
        <v>1124</v>
      </c>
      <c r="AN5" s="131" t="s">
        <v>1131</v>
      </c>
      <c r="AO5" s="132" t="s">
        <v>1137</v>
      </c>
      <c r="AP5" s="132" t="s">
        <v>1274</v>
      </c>
      <c r="AQ5" s="133" t="s">
        <v>1291</v>
      </c>
      <c r="AR5" s="284" t="s">
        <v>1292</v>
      </c>
      <c r="AS5" s="131" t="s">
        <v>1320</v>
      </c>
      <c r="AT5" s="132" t="s">
        <v>1324</v>
      </c>
      <c r="AU5" s="132" t="s">
        <v>1330</v>
      </c>
      <c r="AV5" s="133" t="s">
        <v>1354</v>
      </c>
      <c r="AW5" s="284" t="s">
        <v>1353</v>
      </c>
      <c r="AX5" s="131" t="s">
        <v>69</v>
      </c>
      <c r="AY5" s="132" t="s">
        <v>70</v>
      </c>
      <c r="AZ5" s="132" t="s">
        <v>71</v>
      </c>
      <c r="BA5" s="133" t="s">
        <v>72</v>
      </c>
      <c r="BB5" s="284" t="s">
        <v>73</v>
      </c>
      <c r="BC5" s="126" t="s">
        <v>1067</v>
      </c>
      <c r="BD5" s="127" t="s">
        <v>1068</v>
      </c>
      <c r="BE5" s="127" t="s">
        <v>1069</v>
      </c>
      <c r="BF5" s="128" t="s">
        <v>1070</v>
      </c>
      <c r="BG5" s="130" t="s">
        <v>1065</v>
      </c>
      <c r="BH5" s="126" t="s">
        <v>1071</v>
      </c>
      <c r="BI5" s="127" t="s">
        <v>1072</v>
      </c>
      <c r="BJ5" s="127" t="s">
        <v>1073</v>
      </c>
      <c r="BK5" s="128" t="s">
        <v>1074</v>
      </c>
      <c r="BL5" s="130" t="s">
        <v>1066</v>
      </c>
      <c r="BM5" s="126" t="s">
        <v>1278</v>
      </c>
      <c r="BN5" s="127" t="s">
        <v>1279</v>
      </c>
      <c r="BO5" s="127" t="s">
        <v>1280</v>
      </c>
      <c r="BP5" s="128" t="s">
        <v>1281</v>
      </c>
      <c r="BQ5" s="130" t="s">
        <v>1282</v>
      </c>
      <c r="BR5" s="285"/>
      <c r="BS5" s="285"/>
      <c r="BT5" s="285"/>
      <c r="BU5" s="285"/>
      <c r="BV5" s="285"/>
      <c r="BW5" s="285"/>
      <c r="BX5" s="285"/>
      <c r="BY5" s="285"/>
      <c r="BZ5" s="285"/>
      <c r="CA5" s="285"/>
      <c r="CB5" s="285"/>
      <c r="CC5" s="285"/>
      <c r="CD5" s="285"/>
      <c r="CE5" s="285"/>
      <c r="CF5" s="285"/>
      <c r="CG5" s="285"/>
      <c r="CH5" s="285"/>
      <c r="CI5" s="285"/>
      <c r="CJ5" s="285"/>
      <c r="CK5" s="285"/>
      <c r="CL5" s="285"/>
      <c r="CM5" s="285"/>
      <c r="CN5" s="285"/>
      <c r="CO5" s="285"/>
      <c r="CP5" s="285"/>
      <c r="CQ5" s="285"/>
      <c r="CR5" s="285"/>
      <c r="CS5" s="285"/>
      <c r="CT5" s="285"/>
      <c r="CU5" s="285"/>
    </row>
    <row r="6" spans="1:99">
      <c r="E6" s="148"/>
      <c r="F6" s="163"/>
      <c r="G6" s="163"/>
      <c r="H6" s="147"/>
      <c r="I6" s="72"/>
      <c r="J6" s="148"/>
      <c r="K6" s="163"/>
      <c r="L6" s="163"/>
      <c r="M6" s="147"/>
      <c r="N6" s="72"/>
      <c r="O6" s="148"/>
      <c r="P6" s="163"/>
      <c r="Q6" s="163"/>
      <c r="R6" s="147"/>
      <c r="S6" s="72"/>
      <c r="T6" s="148"/>
      <c r="U6" s="163"/>
      <c r="V6" s="163"/>
      <c r="W6" s="147"/>
      <c r="X6" s="72"/>
      <c r="Y6" s="148"/>
      <c r="Z6" s="163"/>
      <c r="AA6" s="163"/>
      <c r="AB6" s="147"/>
      <c r="AC6" s="72"/>
      <c r="AD6" s="148"/>
      <c r="AE6" s="163"/>
      <c r="AF6" s="163"/>
      <c r="AG6" s="147"/>
      <c r="AH6" s="72"/>
      <c r="AI6" s="148"/>
      <c r="AJ6" s="163"/>
      <c r="AK6" s="163"/>
      <c r="AL6" s="147"/>
      <c r="AM6" s="72"/>
      <c r="AN6" s="148"/>
      <c r="AO6" s="163"/>
      <c r="AP6" s="163"/>
      <c r="AQ6" s="147"/>
      <c r="AR6" s="72"/>
      <c r="AS6" s="148"/>
      <c r="AT6" s="163"/>
      <c r="AU6" s="163"/>
      <c r="AV6" s="147"/>
      <c r="AW6" s="72"/>
      <c r="AX6" s="148"/>
      <c r="AY6" s="163"/>
      <c r="AZ6" s="163"/>
      <c r="BA6" s="147"/>
      <c r="BB6" s="72"/>
      <c r="BC6" s="148"/>
      <c r="BD6" s="163"/>
      <c r="BE6" s="163"/>
      <c r="BF6" s="147"/>
      <c r="BG6" s="72"/>
      <c r="BH6" s="148"/>
      <c r="BI6" s="163"/>
      <c r="BJ6" s="163"/>
      <c r="BK6" s="147"/>
      <c r="BL6" s="72"/>
      <c r="BM6" s="148"/>
      <c r="BN6" s="163"/>
      <c r="BO6" s="163"/>
      <c r="BP6" s="147"/>
      <c r="BQ6" s="72"/>
    </row>
    <row r="7" spans="1:99">
      <c r="B7" s="46" t="s">
        <v>947</v>
      </c>
      <c r="C7" s="46"/>
      <c r="D7" s="47"/>
      <c r="E7" s="148"/>
      <c r="F7" s="163"/>
      <c r="G7" s="163"/>
      <c r="H7" s="147"/>
      <c r="I7" s="72"/>
      <c r="J7" s="148"/>
      <c r="K7" s="163"/>
      <c r="L7" s="163"/>
      <c r="M7" s="147"/>
      <c r="N7" s="72"/>
      <c r="O7" s="148"/>
      <c r="P7" s="163"/>
      <c r="Q7" s="163"/>
      <c r="R7" s="147"/>
      <c r="S7" s="72"/>
      <c r="T7" s="148"/>
      <c r="U7" s="163"/>
      <c r="V7" s="163"/>
      <c r="W7" s="147"/>
      <c r="X7" s="72"/>
      <c r="Y7" s="148"/>
      <c r="Z7" s="163"/>
      <c r="AA7" s="163"/>
      <c r="AB7" s="147"/>
      <c r="AC7" s="72"/>
      <c r="AD7" s="148"/>
      <c r="AE7" s="163"/>
      <c r="AF7" s="163"/>
      <c r="AG7" s="147"/>
      <c r="AH7" s="72"/>
      <c r="AI7" s="148"/>
      <c r="AJ7" s="163"/>
      <c r="AK7" s="163"/>
      <c r="AL7" s="147"/>
      <c r="AM7" s="72"/>
      <c r="AN7" s="148"/>
      <c r="AO7" s="163"/>
      <c r="AP7" s="163"/>
      <c r="AQ7" s="147"/>
      <c r="AR7" s="72"/>
      <c r="AS7" s="148"/>
      <c r="AT7" s="163"/>
      <c r="AU7" s="163"/>
      <c r="AV7" s="147"/>
      <c r="AW7" s="72"/>
      <c r="AX7" s="148"/>
      <c r="AY7" s="163"/>
      <c r="AZ7" s="163"/>
      <c r="BA7" s="147"/>
      <c r="BB7" s="72"/>
      <c r="BC7" s="148"/>
      <c r="BD7" s="163"/>
      <c r="BE7" s="163"/>
      <c r="BF7" s="147"/>
      <c r="BG7" s="72"/>
      <c r="BH7" s="148"/>
      <c r="BI7" s="163"/>
      <c r="BJ7" s="163"/>
      <c r="BK7" s="147"/>
      <c r="BL7" s="72"/>
      <c r="BM7" s="148"/>
      <c r="BN7" s="163"/>
      <c r="BO7" s="163"/>
      <c r="BP7" s="147"/>
      <c r="BQ7" s="72"/>
    </row>
    <row r="8" spans="1:99" s="50" customFormat="1">
      <c r="A8" s="242"/>
      <c r="B8" s="242"/>
      <c r="C8" s="50" t="s">
        <v>948</v>
      </c>
      <c r="D8" s="109"/>
      <c r="E8" s="142"/>
      <c r="F8" s="143"/>
      <c r="G8" s="143"/>
      <c r="H8" s="157"/>
      <c r="I8" s="145"/>
      <c r="J8" s="142"/>
      <c r="K8" s="143"/>
      <c r="L8" s="143"/>
      <c r="M8" s="157"/>
      <c r="N8" s="145"/>
      <c r="O8" s="142"/>
      <c r="P8" s="143"/>
      <c r="Q8" s="143"/>
      <c r="R8" s="157"/>
      <c r="S8" s="145"/>
      <c r="T8" s="142"/>
      <c r="U8" s="143"/>
      <c r="V8" s="143"/>
      <c r="W8" s="157"/>
      <c r="X8" s="145">
        <v>9418</v>
      </c>
      <c r="Y8" s="142">
        <v>2515</v>
      </c>
      <c r="Z8" s="143">
        <v>2302</v>
      </c>
      <c r="AA8" s="143">
        <v>2738</v>
      </c>
      <c r="AB8" s="157">
        <f>AC8-SUM(Y8:AA8)</f>
        <v>2437</v>
      </c>
      <c r="AC8" s="145">
        <v>9992</v>
      </c>
      <c r="AD8" s="142">
        <v>2586</v>
      </c>
      <c r="AE8" s="143">
        <v>2252</v>
      </c>
      <c r="AF8" s="143">
        <v>2450</v>
      </c>
      <c r="AG8" s="157">
        <f>AH8-SUM(AD8:AF8)</f>
        <v>2196</v>
      </c>
      <c r="AH8" s="145">
        <v>9484</v>
      </c>
      <c r="AI8" s="142">
        <v>2505</v>
      </c>
      <c r="AJ8" s="143">
        <v>2183</v>
      </c>
      <c r="AK8" s="143">
        <v>2471</v>
      </c>
      <c r="AL8" s="157">
        <f>AM8-SUM(AI8:AK8)</f>
        <v>2013.2000000000007</v>
      </c>
      <c r="AM8" s="145">
        <v>9172.2000000000007</v>
      </c>
      <c r="AN8" s="142">
        <v>2245.6</v>
      </c>
      <c r="AO8" s="143">
        <v>2125.9</v>
      </c>
      <c r="AP8" s="143">
        <v>2556.3000000000002</v>
      </c>
      <c r="AQ8" s="157">
        <f>AR8-SUM(AN8:AP8)</f>
        <v>2164.0999999999995</v>
      </c>
      <c r="AR8" s="145">
        <v>9091.9</v>
      </c>
      <c r="AS8" s="142">
        <v>2290.4</v>
      </c>
      <c r="AT8" s="143">
        <v>2120.5</v>
      </c>
      <c r="AU8" s="143">
        <v>2482.1999999999998</v>
      </c>
      <c r="AV8" s="157">
        <f>AW8-SUM(AS8:AU8)</f>
        <v>2298.9000000000005</v>
      </c>
      <c r="AW8" s="145">
        <v>9192</v>
      </c>
      <c r="AX8" s="161">
        <f>AX99</f>
        <v>2352.4091446539701</v>
      </c>
      <c r="AY8" s="160">
        <f>AY99</f>
        <v>2126.9382137312946</v>
      </c>
      <c r="AZ8" s="160">
        <f>AZ99</f>
        <v>2523.562842984094</v>
      </c>
      <c r="BA8" s="144">
        <f>BA99</f>
        <v>2264.2927785765701</v>
      </c>
      <c r="BB8" s="109">
        <f>SUM(AX8:BA8)</f>
        <v>9267.2029799459287</v>
      </c>
      <c r="BC8" s="161">
        <f>BC99</f>
        <v>2435.6671446539699</v>
      </c>
      <c r="BD8" s="160">
        <f>BD99</f>
        <v>2177.1595470646275</v>
      </c>
      <c r="BE8" s="160">
        <f>BE99</f>
        <v>2571.3628429840937</v>
      </c>
      <c r="BF8" s="144">
        <f>BF99</f>
        <v>2304.1927785765702</v>
      </c>
      <c r="BG8" s="109">
        <f>SUM(BC8:BF8)</f>
        <v>9488.3823132792604</v>
      </c>
      <c r="BH8" s="161">
        <f>BH99</f>
        <v>2486.6671446539704</v>
      </c>
      <c r="BI8" s="160">
        <f>BI99</f>
        <v>2229.742880397961</v>
      </c>
      <c r="BJ8" s="160">
        <f>BJ99</f>
        <v>2638.9128429840935</v>
      </c>
      <c r="BK8" s="144">
        <f>BK99</f>
        <v>2360.3927785765695</v>
      </c>
      <c r="BL8" s="109">
        <f>SUM(BH8:BK8)</f>
        <v>9715.7156466125944</v>
      </c>
      <c r="BM8" s="161">
        <f>BM99</f>
        <v>2599.153855180286</v>
      </c>
      <c r="BN8" s="160">
        <f>BN99</f>
        <v>2339.6962575909429</v>
      </c>
      <c r="BO8" s="160">
        <f>BO99</f>
        <v>2750.6495535104095</v>
      </c>
      <c r="BP8" s="144">
        <f>BP99</f>
        <v>2463.8294891028854</v>
      </c>
      <c r="BQ8" s="109">
        <f>SUM(BM8:BP8)</f>
        <v>10153.329155384523</v>
      </c>
      <c r="BR8" s="242"/>
      <c r="BS8" s="242"/>
      <c r="BT8"/>
      <c r="BU8"/>
      <c r="BV8" s="242"/>
      <c r="BW8" s="242"/>
      <c r="BX8" s="242"/>
      <c r="BY8" s="242"/>
      <c r="BZ8" s="242"/>
      <c r="CA8" s="242"/>
      <c r="CB8" s="242"/>
      <c r="CC8" s="242"/>
      <c r="CD8" s="242"/>
      <c r="CE8" s="242"/>
      <c r="CF8" s="242"/>
      <c r="CG8" s="242"/>
      <c r="CH8" s="242"/>
      <c r="CI8" s="242"/>
      <c r="CJ8" s="242"/>
      <c r="CK8" s="242"/>
      <c r="CL8" s="242"/>
      <c r="CM8" s="242"/>
      <c r="CN8" s="242"/>
      <c r="CO8" s="242"/>
      <c r="CP8" s="242"/>
      <c r="CQ8" s="242"/>
      <c r="CR8" s="242"/>
      <c r="CS8" s="242"/>
      <c r="CT8" s="242"/>
      <c r="CU8" s="242"/>
    </row>
    <row r="9" spans="1:99">
      <c r="A9" s="111"/>
      <c r="B9" s="111"/>
      <c r="C9" s="50" t="s">
        <v>352</v>
      </c>
      <c r="D9" s="112"/>
      <c r="E9" s="142"/>
      <c r="F9" s="143"/>
      <c r="G9" s="143"/>
      <c r="H9" s="157"/>
      <c r="I9" s="145"/>
      <c r="J9" s="142"/>
      <c r="K9" s="143"/>
      <c r="L9" s="143"/>
      <c r="M9" s="157"/>
      <c r="N9" s="145"/>
      <c r="O9" s="142"/>
      <c r="P9" s="143"/>
      <c r="Q9" s="143"/>
      <c r="R9" s="157"/>
      <c r="S9" s="145"/>
      <c r="T9" s="142"/>
      <c r="U9" s="143"/>
      <c r="V9" s="143"/>
      <c r="W9" s="157"/>
      <c r="X9" s="145">
        <v>4408</v>
      </c>
      <c r="Y9" s="142">
        <v>1201</v>
      </c>
      <c r="Z9" s="143">
        <v>1064</v>
      </c>
      <c r="AA9" s="143">
        <v>1325</v>
      </c>
      <c r="AB9" s="157">
        <f>AC9-SUM(Y9:AA9)</f>
        <v>1180</v>
      </c>
      <c r="AC9" s="145">
        <v>4770</v>
      </c>
      <c r="AD9" s="142">
        <v>1094</v>
      </c>
      <c r="AE9" s="143">
        <v>934</v>
      </c>
      <c r="AF9" s="143">
        <v>1010</v>
      </c>
      <c r="AG9" s="157">
        <f>AH9-SUM(AD9:AF9)</f>
        <v>915</v>
      </c>
      <c r="AH9" s="145">
        <v>3953</v>
      </c>
      <c r="AI9" s="142">
        <v>983</v>
      </c>
      <c r="AJ9" s="143">
        <v>781</v>
      </c>
      <c r="AK9" s="143">
        <v>931</v>
      </c>
      <c r="AL9" s="157">
        <f>AM9-SUM(AI9:AK9)</f>
        <v>718.30000000000018</v>
      </c>
      <c r="AM9" s="145">
        <f>2287+1126.3</f>
        <v>3413.3</v>
      </c>
      <c r="AN9" s="142">
        <v>742</v>
      </c>
      <c r="AO9" s="143">
        <v>699.5</v>
      </c>
      <c r="AP9" s="143">
        <v>858.3</v>
      </c>
      <c r="AQ9" s="157">
        <f>AR9-SUM(AN9:AP9)</f>
        <v>779.5</v>
      </c>
      <c r="AR9" s="145">
        <v>3079.3</v>
      </c>
      <c r="AS9" s="142">
        <v>788.4</v>
      </c>
      <c r="AT9" s="143">
        <v>711.9</v>
      </c>
      <c r="AU9" s="143">
        <v>868.6</v>
      </c>
      <c r="AV9" s="157">
        <f>AW9-SUM(AS9:AU9)</f>
        <v>773.79999999999973</v>
      </c>
      <c r="AW9" s="145">
        <v>3142.7</v>
      </c>
      <c r="AX9" s="161">
        <f>+AX119</f>
        <v>820.98557459185724</v>
      </c>
      <c r="AY9" s="160">
        <f>+AY119</f>
        <v>714.85745307960792</v>
      </c>
      <c r="AZ9" s="160">
        <f>+AZ119</f>
        <v>877.28524519216182</v>
      </c>
      <c r="BA9" s="144">
        <f>+BA119</f>
        <v>759.84971406435636</v>
      </c>
      <c r="BB9" s="109">
        <f>SUM(AX9:BA9)</f>
        <v>3172.9779869279832</v>
      </c>
      <c r="BC9" s="161">
        <f>+BC119</f>
        <v>820.98557459185724</v>
      </c>
      <c r="BD9" s="160">
        <f>+BD119</f>
        <v>714.85745307960792</v>
      </c>
      <c r="BE9" s="160">
        <f>+BE119</f>
        <v>877.28524519216182</v>
      </c>
      <c r="BF9" s="144">
        <f>+BF119</f>
        <v>759.84971406435636</v>
      </c>
      <c r="BG9" s="109">
        <f>SUM(BC9:BF9)</f>
        <v>3172.9779869279832</v>
      </c>
      <c r="BH9" s="161">
        <f>+BH119</f>
        <v>820.98557459185724</v>
      </c>
      <c r="BI9" s="160">
        <f>+BI119</f>
        <v>714.85745307960792</v>
      </c>
      <c r="BJ9" s="160">
        <f>+BJ119</f>
        <v>877.28524519216182</v>
      </c>
      <c r="BK9" s="144">
        <f>+BK119</f>
        <v>759.84971406435636</v>
      </c>
      <c r="BL9" s="109">
        <f>SUM(BH9:BK9)</f>
        <v>3172.9779869279832</v>
      </c>
      <c r="BM9" s="161">
        <f>+BM119</f>
        <v>820.98557459185724</v>
      </c>
      <c r="BN9" s="160">
        <f>+BN119</f>
        <v>714.85745307960792</v>
      </c>
      <c r="BO9" s="160">
        <f>+BO119</f>
        <v>877.28524519216182</v>
      </c>
      <c r="BP9" s="144">
        <f>+BP119</f>
        <v>759.84971406435636</v>
      </c>
      <c r="BQ9" s="109">
        <f>SUM(BM9:BP9)</f>
        <v>3172.9779869279832</v>
      </c>
      <c r="BR9" s="111"/>
      <c r="BS9" s="111"/>
      <c r="BV9" s="111"/>
      <c r="BW9" s="111"/>
      <c r="BX9" s="111"/>
      <c r="BY9" s="111"/>
      <c r="BZ9" s="111"/>
      <c r="CA9" s="111"/>
      <c r="CB9" s="111"/>
      <c r="CC9" s="111"/>
      <c r="CD9" s="111"/>
      <c r="CE9" s="111"/>
      <c r="CF9" s="111"/>
      <c r="CG9" s="111"/>
      <c r="CH9" s="111"/>
      <c r="CI9" s="111"/>
      <c r="CJ9" s="111"/>
      <c r="CK9" s="111"/>
      <c r="CL9" s="111"/>
      <c r="CM9" s="111"/>
      <c r="CN9" s="111"/>
      <c r="CO9" s="111"/>
      <c r="CP9" s="111"/>
      <c r="CQ9" s="111"/>
      <c r="CR9" s="111"/>
      <c r="CS9" s="111"/>
      <c r="CT9" s="111"/>
      <c r="CU9" s="111"/>
    </row>
    <row r="10" spans="1:99">
      <c r="A10" s="111"/>
      <c r="B10" s="111"/>
      <c r="C10" s="56" t="s">
        <v>950</v>
      </c>
      <c r="D10" s="112"/>
      <c r="E10" s="149"/>
      <c r="F10" s="150"/>
      <c r="G10" s="150"/>
      <c r="H10" s="151"/>
      <c r="I10" s="112"/>
      <c r="J10" s="149"/>
      <c r="K10" s="150"/>
      <c r="L10" s="150"/>
      <c r="M10" s="151"/>
      <c r="N10" s="112"/>
      <c r="O10" s="149"/>
      <c r="P10" s="150"/>
      <c r="Q10" s="150"/>
      <c r="R10" s="151"/>
      <c r="S10" s="112"/>
      <c r="T10" s="149"/>
      <c r="U10" s="150"/>
      <c r="V10" s="150"/>
      <c r="W10" s="151"/>
      <c r="X10" s="112">
        <f t="shared" ref="X10:AF10" si="0">+X8-X9</f>
        <v>5010</v>
      </c>
      <c r="Y10" s="149">
        <f t="shared" si="0"/>
        <v>1314</v>
      </c>
      <c r="Z10" s="150">
        <f t="shared" si="0"/>
        <v>1238</v>
      </c>
      <c r="AA10" s="150">
        <f t="shared" si="0"/>
        <v>1413</v>
      </c>
      <c r="AB10" s="151">
        <f t="shared" si="0"/>
        <v>1257</v>
      </c>
      <c r="AC10" s="112">
        <f t="shared" si="0"/>
        <v>5222</v>
      </c>
      <c r="AD10" s="149">
        <f t="shared" si="0"/>
        <v>1492</v>
      </c>
      <c r="AE10" s="150">
        <f t="shared" si="0"/>
        <v>1318</v>
      </c>
      <c r="AF10" s="150">
        <f t="shared" si="0"/>
        <v>1440</v>
      </c>
      <c r="AG10" s="151">
        <f t="shared" ref="AG10:AM10" si="1">+AG8-AG9</f>
        <v>1281</v>
      </c>
      <c r="AH10" s="112">
        <f t="shared" si="1"/>
        <v>5531</v>
      </c>
      <c r="AI10" s="149">
        <f t="shared" si="1"/>
        <v>1522</v>
      </c>
      <c r="AJ10" s="150">
        <f t="shared" si="1"/>
        <v>1402</v>
      </c>
      <c r="AK10" s="150">
        <f t="shared" si="1"/>
        <v>1540</v>
      </c>
      <c r="AL10" s="151">
        <f t="shared" si="1"/>
        <v>1294.9000000000005</v>
      </c>
      <c r="AM10" s="112">
        <f t="shared" si="1"/>
        <v>5758.9000000000005</v>
      </c>
      <c r="AN10" s="149">
        <f t="shared" ref="AN10:AS10" si="2">+AN8-AN9</f>
        <v>1503.6</v>
      </c>
      <c r="AO10" s="150">
        <f t="shared" si="2"/>
        <v>1426.4</v>
      </c>
      <c r="AP10" s="150">
        <f t="shared" si="2"/>
        <v>1698.0000000000002</v>
      </c>
      <c r="AQ10" s="151">
        <f t="shared" si="2"/>
        <v>1384.5999999999995</v>
      </c>
      <c r="AR10" s="112">
        <f t="shared" si="2"/>
        <v>6012.5999999999995</v>
      </c>
      <c r="AS10" s="149">
        <f t="shared" si="2"/>
        <v>1502</v>
      </c>
      <c r="AT10" s="150">
        <f t="shared" ref="AT10:BB10" si="3">+AT8-AT9</f>
        <v>1408.6</v>
      </c>
      <c r="AU10" s="150">
        <f t="shared" si="3"/>
        <v>1613.6</v>
      </c>
      <c r="AV10" s="151">
        <f t="shared" si="3"/>
        <v>1525.1000000000008</v>
      </c>
      <c r="AW10" s="112">
        <f t="shared" si="3"/>
        <v>6049.3</v>
      </c>
      <c r="AX10" s="149">
        <f t="shared" si="3"/>
        <v>1531.423570062113</v>
      </c>
      <c r="AY10" s="150">
        <f t="shared" si="3"/>
        <v>1412.0807606516867</v>
      </c>
      <c r="AZ10" s="150">
        <f t="shared" si="3"/>
        <v>1646.2775977919323</v>
      </c>
      <c r="BA10" s="151">
        <f t="shared" si="3"/>
        <v>1504.4430645122138</v>
      </c>
      <c r="BB10" s="112">
        <f t="shared" si="3"/>
        <v>6094.224993017946</v>
      </c>
      <c r="BC10" s="149">
        <f t="shared" ref="BC10:BL10" si="4">+BC8-BC9</f>
        <v>1614.6815700621128</v>
      </c>
      <c r="BD10" s="150">
        <f t="shared" si="4"/>
        <v>1462.3020939850196</v>
      </c>
      <c r="BE10" s="150">
        <f t="shared" si="4"/>
        <v>1694.077597791932</v>
      </c>
      <c r="BF10" s="151">
        <f t="shared" si="4"/>
        <v>1544.3430645122139</v>
      </c>
      <c r="BG10" s="112">
        <f t="shared" si="4"/>
        <v>6315.4043263512776</v>
      </c>
      <c r="BH10" s="149">
        <f t="shared" si="4"/>
        <v>1665.6815700621132</v>
      </c>
      <c r="BI10" s="150">
        <f t="shared" si="4"/>
        <v>1514.8854273183531</v>
      </c>
      <c r="BJ10" s="150">
        <f t="shared" si="4"/>
        <v>1761.6275977919317</v>
      </c>
      <c r="BK10" s="151">
        <f t="shared" si="4"/>
        <v>1600.5430645122133</v>
      </c>
      <c r="BL10" s="112">
        <f t="shared" si="4"/>
        <v>6542.7376596846116</v>
      </c>
      <c r="BM10" s="149">
        <f>+BM8-BM9</f>
        <v>1778.1682805884288</v>
      </c>
      <c r="BN10" s="150">
        <f>+BN8-BN9</f>
        <v>1624.838804511335</v>
      </c>
      <c r="BO10" s="150">
        <f>+BO8-BO9</f>
        <v>1873.3643083182478</v>
      </c>
      <c r="BP10" s="151">
        <f>+BP8-BP9</f>
        <v>1703.9797750385292</v>
      </c>
      <c r="BQ10" s="112">
        <f>+BQ8-BQ9</f>
        <v>6980.3511684565401</v>
      </c>
      <c r="BR10" s="111"/>
      <c r="BS10" s="111"/>
      <c r="BV10" s="111"/>
      <c r="BW10" s="111"/>
      <c r="BX10" s="111"/>
      <c r="BY10" s="111"/>
      <c r="BZ10" s="111"/>
      <c r="CA10" s="111"/>
      <c r="CB10" s="111"/>
      <c r="CC10" s="111"/>
      <c r="CD10" s="111"/>
      <c r="CE10" s="111"/>
      <c r="CF10" s="111"/>
      <c r="CG10" s="111"/>
      <c r="CH10" s="111"/>
      <c r="CI10" s="111"/>
      <c r="CJ10" s="111"/>
      <c r="CK10" s="111"/>
      <c r="CL10" s="111"/>
      <c r="CM10" s="111"/>
      <c r="CN10" s="111"/>
      <c r="CO10" s="111"/>
      <c r="CP10" s="111"/>
      <c r="CQ10" s="111"/>
      <c r="CR10" s="111"/>
      <c r="CS10" s="111"/>
      <c r="CT10" s="111"/>
      <c r="CU10" s="111"/>
    </row>
    <row r="11" spans="1:99">
      <c r="A11" s="74"/>
      <c r="B11" s="74"/>
      <c r="C11" s="50"/>
      <c r="D11" s="72"/>
      <c r="E11" s="148"/>
      <c r="F11" s="163"/>
      <c r="G11" s="163"/>
      <c r="H11" s="147"/>
      <c r="I11" s="72"/>
      <c r="J11" s="148"/>
      <c r="K11" s="163"/>
      <c r="L11" s="163"/>
      <c r="M11" s="147"/>
      <c r="N11" s="72"/>
      <c r="O11" s="148"/>
      <c r="P11" s="163"/>
      <c r="Q11" s="163"/>
      <c r="R11" s="147"/>
      <c r="S11" s="72"/>
      <c r="T11" s="148"/>
      <c r="U11" s="163"/>
      <c r="V11" s="163"/>
      <c r="W11" s="147"/>
      <c r="X11" s="72"/>
      <c r="Y11" s="148"/>
      <c r="Z11" s="163"/>
      <c r="AA11" s="163"/>
      <c r="AB11" s="147"/>
      <c r="AC11" s="72"/>
      <c r="AD11" s="148"/>
      <c r="AE11" s="163"/>
      <c r="AF11" s="163"/>
      <c r="AG11" s="147"/>
      <c r="AH11" s="72"/>
      <c r="AI11" s="148"/>
      <c r="AJ11" s="163"/>
      <c r="AK11" s="163"/>
      <c r="AL11" s="147"/>
      <c r="AM11" s="72"/>
      <c r="AN11" s="148"/>
      <c r="AO11" s="163"/>
      <c r="AP11" s="163"/>
      <c r="AQ11" s="147"/>
      <c r="AR11" s="72"/>
      <c r="AS11" s="148"/>
      <c r="AT11" s="163"/>
      <c r="AU11" s="163"/>
      <c r="AV11" s="147"/>
      <c r="AW11" s="72"/>
      <c r="AX11" s="148"/>
      <c r="AY11" s="163"/>
      <c r="AZ11" s="163"/>
      <c r="BA11" s="147"/>
      <c r="BB11" s="74"/>
      <c r="BC11" s="148"/>
      <c r="BD11" s="163"/>
      <c r="BE11" s="163"/>
      <c r="BF11" s="147"/>
      <c r="BG11" s="74"/>
      <c r="BH11" s="148"/>
      <c r="BI11" s="163"/>
      <c r="BJ11" s="163"/>
      <c r="BK11" s="147"/>
      <c r="BL11" s="74"/>
      <c r="BM11" s="148"/>
      <c r="BN11" s="163"/>
      <c r="BO11" s="163"/>
      <c r="BP11" s="147"/>
      <c r="BQ11" s="74"/>
      <c r="BR11" s="74"/>
      <c r="BS11" s="74"/>
      <c r="BV11" s="74"/>
      <c r="BW11" s="74"/>
      <c r="BX11" s="74"/>
      <c r="BY11" s="74"/>
      <c r="BZ11" s="74"/>
      <c r="CA11" s="74"/>
      <c r="CB11" s="74"/>
      <c r="CC11" s="74"/>
      <c r="CD11" s="74"/>
      <c r="CE11" s="74"/>
      <c r="CF11" s="74"/>
      <c r="CG11" s="74"/>
      <c r="CH11" s="74"/>
      <c r="CI11" s="74"/>
      <c r="CJ11" s="74"/>
      <c r="CK11" s="74"/>
      <c r="CL11" s="74"/>
      <c r="CM11" s="74"/>
      <c r="CN11" s="74"/>
      <c r="CO11" s="74"/>
      <c r="CP11" s="74"/>
      <c r="CQ11" s="74"/>
      <c r="CR11" s="74"/>
      <c r="CS11" s="74"/>
      <c r="CT11" s="74"/>
      <c r="CU11" s="74"/>
    </row>
    <row r="12" spans="1:99">
      <c r="A12" s="74"/>
      <c r="B12" s="74"/>
      <c r="C12" s="50" t="s">
        <v>1010</v>
      </c>
      <c r="D12" s="72"/>
      <c r="E12" s="142"/>
      <c r="F12" s="143"/>
      <c r="G12" s="143"/>
      <c r="H12" s="157"/>
      <c r="I12" s="145"/>
      <c r="J12" s="142"/>
      <c r="K12" s="143"/>
      <c r="L12" s="143"/>
      <c r="M12" s="157"/>
      <c r="N12" s="145"/>
      <c r="O12" s="142"/>
      <c r="P12" s="143"/>
      <c r="Q12" s="143"/>
      <c r="R12" s="157"/>
      <c r="S12" s="145"/>
      <c r="T12" s="142"/>
      <c r="U12" s="143"/>
      <c r="V12" s="143"/>
      <c r="W12" s="157"/>
      <c r="X12" s="145">
        <v>2219</v>
      </c>
      <c r="Y12" s="142">
        <v>578</v>
      </c>
      <c r="Z12" s="143">
        <v>551</v>
      </c>
      <c r="AA12" s="143">
        <v>524</v>
      </c>
      <c r="AB12" s="157">
        <f>AC12-SUM(Y12:AA12)</f>
        <v>623</v>
      </c>
      <c r="AC12" s="145">
        <v>2276</v>
      </c>
      <c r="AD12" s="142">
        <v>576</v>
      </c>
      <c r="AE12" s="143">
        <v>618</v>
      </c>
      <c r="AF12" s="143">
        <v>615</v>
      </c>
      <c r="AG12" s="157">
        <f>AH12-SUM(AD12:AF12)</f>
        <v>706</v>
      </c>
      <c r="AH12" s="145">
        <v>2515</v>
      </c>
      <c r="AI12" s="142">
        <v>576</v>
      </c>
      <c r="AJ12" s="143">
        <v>615</v>
      </c>
      <c r="AK12" s="143">
        <v>653</v>
      </c>
      <c r="AL12" s="157">
        <f>AM12-SUM(AI12:AK12)</f>
        <v>685.80000000000018</v>
      </c>
      <c r="AM12" s="145">
        <v>2529.8000000000002</v>
      </c>
      <c r="AN12" s="142">
        <v>629.6</v>
      </c>
      <c r="AO12" s="143">
        <v>624.29999999999995</v>
      </c>
      <c r="AP12" s="143">
        <v>673</v>
      </c>
      <c r="AQ12" s="157">
        <f>AR12-SUM(AN12:AP12)</f>
        <v>776</v>
      </c>
      <c r="AR12" s="145">
        <v>2702.9</v>
      </c>
      <c r="AS12" s="142">
        <v>654.20000000000005</v>
      </c>
      <c r="AT12" s="143">
        <v>711.2</v>
      </c>
      <c r="AU12" s="143">
        <v>659.1</v>
      </c>
      <c r="AV12" s="157">
        <f>AW12-SUM(AS12:AU12)</f>
        <v>712.69999999999982</v>
      </c>
      <c r="AW12" s="145">
        <v>2737.2</v>
      </c>
      <c r="AX12" s="148">
        <f>+AX127</f>
        <v>686.91000000000008</v>
      </c>
      <c r="AY12" s="146">
        <f>+AY127</f>
        <v>725.20399999999995</v>
      </c>
      <c r="AZ12" s="146">
        <f>+AZ127</f>
        <v>688.7595</v>
      </c>
      <c r="BA12" s="147">
        <f>+BA127</f>
        <v>741.20799999999986</v>
      </c>
      <c r="BB12" s="72">
        <f>SUM(AX12:BA12)</f>
        <v>2842.0815000000002</v>
      </c>
      <c r="BC12" s="148">
        <f>+BC127</f>
        <v>690.34455000000003</v>
      </c>
      <c r="BD12" s="146">
        <f>+BD127</f>
        <v>728.83001999999988</v>
      </c>
      <c r="BE12" s="146">
        <f>+BE127</f>
        <v>692.20329749999996</v>
      </c>
      <c r="BF12" s="147">
        <f>+BF127</f>
        <v>744.91403999999977</v>
      </c>
      <c r="BG12" s="72">
        <f>SUM(BC12:BF12)</f>
        <v>2856.2919074999995</v>
      </c>
      <c r="BH12" s="148">
        <f>+BH127</f>
        <v>693.79627274999996</v>
      </c>
      <c r="BI12" s="146">
        <f>+BI127</f>
        <v>732.47417009999981</v>
      </c>
      <c r="BJ12" s="146">
        <f>+BJ127</f>
        <v>695.6643139874999</v>
      </c>
      <c r="BK12" s="147">
        <f>+BK127</f>
        <v>748.63861019999968</v>
      </c>
      <c r="BL12" s="72">
        <f>SUM(BH12:BK12)</f>
        <v>2870.5733670374993</v>
      </c>
      <c r="BM12" s="148">
        <f>+BM127</f>
        <v>697.26525411374985</v>
      </c>
      <c r="BN12" s="146">
        <f>+BN127</f>
        <v>736.13654095049969</v>
      </c>
      <c r="BO12" s="146">
        <f>+BO127</f>
        <v>699.1426355574373</v>
      </c>
      <c r="BP12" s="147">
        <f>+BP127</f>
        <v>752.38180325099961</v>
      </c>
      <c r="BQ12" s="72">
        <f>SUM(BM12:BP12)</f>
        <v>2884.9262338726867</v>
      </c>
      <c r="BR12" s="74"/>
      <c r="BS12" s="74"/>
      <c r="BV12" s="74"/>
      <c r="BW12" s="74"/>
      <c r="BX12" s="74"/>
      <c r="BY12" s="74"/>
      <c r="BZ12" s="74"/>
      <c r="CA12" s="74"/>
      <c r="CB12" s="74"/>
      <c r="CC12" s="74"/>
      <c r="CD12" s="74"/>
      <c r="CE12" s="74"/>
      <c r="CF12" s="74"/>
      <c r="CG12" s="74"/>
      <c r="CH12" s="74"/>
      <c r="CI12" s="74"/>
      <c r="CJ12" s="74"/>
      <c r="CK12" s="74"/>
      <c r="CL12" s="74"/>
      <c r="CM12" s="74"/>
      <c r="CN12" s="74"/>
      <c r="CO12" s="74"/>
      <c r="CP12" s="74"/>
      <c r="CQ12" s="74"/>
      <c r="CR12" s="74"/>
      <c r="CS12" s="74"/>
      <c r="CT12" s="74"/>
      <c r="CU12" s="74"/>
    </row>
    <row r="13" spans="1:99">
      <c r="A13" s="74"/>
      <c r="B13" s="74"/>
      <c r="C13" s="50" t="s">
        <v>1016</v>
      </c>
      <c r="D13" s="72"/>
      <c r="E13" s="142"/>
      <c r="F13" s="143"/>
      <c r="G13" s="143"/>
      <c r="H13" s="157"/>
      <c r="I13" s="145"/>
      <c r="J13" s="142"/>
      <c r="K13" s="143"/>
      <c r="L13" s="143"/>
      <c r="M13" s="157"/>
      <c r="N13" s="145"/>
      <c r="O13" s="142"/>
      <c r="P13" s="143"/>
      <c r="Q13" s="143"/>
      <c r="R13" s="157"/>
      <c r="S13" s="145"/>
      <c r="T13" s="142"/>
      <c r="U13" s="143"/>
      <c r="V13" s="143"/>
      <c r="W13" s="157"/>
      <c r="X13" s="145">
        <v>873</v>
      </c>
      <c r="Y13" s="142">
        <v>235</v>
      </c>
      <c r="Z13" s="143">
        <v>234</v>
      </c>
      <c r="AA13" s="143">
        <v>233</v>
      </c>
      <c r="AB13" s="157">
        <f>AC13-SUM(Y13:AA13)</f>
        <v>239</v>
      </c>
      <c r="AC13" s="145">
        <v>941</v>
      </c>
      <c r="AD13" s="142">
        <v>263</v>
      </c>
      <c r="AE13" s="143">
        <v>252</v>
      </c>
      <c r="AF13" s="143">
        <v>257</v>
      </c>
      <c r="AG13" s="157">
        <f>AH13-SUM(AD13:AF13)</f>
        <v>261</v>
      </c>
      <c r="AH13" s="145">
        <v>1033</v>
      </c>
      <c r="AI13" s="142">
        <v>272</v>
      </c>
      <c r="AJ13" s="143">
        <v>266</v>
      </c>
      <c r="AK13" s="143">
        <v>264</v>
      </c>
      <c r="AL13" s="157">
        <f>AM13-SUM(AI13:AK13)</f>
        <v>260.59999999999991</v>
      </c>
      <c r="AM13" s="145">
        <v>1062.5999999999999</v>
      </c>
      <c r="AN13" s="142">
        <v>266.8</v>
      </c>
      <c r="AO13" s="143">
        <v>271</v>
      </c>
      <c r="AP13" s="143">
        <v>277.7</v>
      </c>
      <c r="AQ13" s="157">
        <f>AR13-SUM(AN13:AP13)</f>
        <v>258.29999999999995</v>
      </c>
      <c r="AR13" s="145">
        <v>1073.8</v>
      </c>
      <c r="AS13" s="142">
        <v>278.3</v>
      </c>
      <c r="AT13" s="143">
        <v>278</v>
      </c>
      <c r="AU13" s="143">
        <v>288.8</v>
      </c>
      <c r="AV13" s="157">
        <f>AW13-SUM(AS13:AU13)</f>
        <v>297.40000000000009</v>
      </c>
      <c r="AW13" s="145">
        <v>1142.5</v>
      </c>
      <c r="AX13" s="148">
        <f>AX142</f>
        <v>294.68990000000008</v>
      </c>
      <c r="AY13" s="146">
        <f>AY142</f>
        <v>293.61117668750012</v>
      </c>
      <c r="AZ13" s="146">
        <f>AZ142</f>
        <v>296.78155793519539</v>
      </c>
      <c r="BA13" s="147">
        <f>BA142</f>
        <v>299.91825388213397</v>
      </c>
      <c r="BB13" s="72">
        <f>SUM(AX13:BA13)</f>
        <v>1185.0008885048296</v>
      </c>
      <c r="BC13" s="148">
        <f>BC142</f>
        <v>299.45666217069942</v>
      </c>
      <c r="BD13" s="146">
        <f>BD142</f>
        <v>300.10129221790703</v>
      </c>
      <c r="BE13" s="146">
        <f>BE142</f>
        <v>304.880353649619</v>
      </c>
      <c r="BF13" s="147">
        <f>BF142</f>
        <v>309.60923493629798</v>
      </c>
      <c r="BG13" s="72">
        <f>SUM(BC13:BF13)</f>
        <v>1214.0475429745234</v>
      </c>
      <c r="BH13" s="148">
        <f>BH142</f>
        <v>314.28846296946688</v>
      </c>
      <c r="BI13" s="146">
        <f>BI142</f>
        <v>320.91670910828748</v>
      </c>
      <c r="BJ13" s="146">
        <f>BJ142</f>
        <v>324.56895866265052</v>
      </c>
      <c r="BK13" s="147">
        <f>BK142</f>
        <v>328.18285959669265</v>
      </c>
      <c r="BL13" s="72">
        <f>SUM(BH13:BK13)</f>
        <v>1287.9569903370975</v>
      </c>
      <c r="BM13" s="148">
        <f>BM142</f>
        <v>331.75881457092737</v>
      </c>
      <c r="BN13" s="146">
        <f>BN142</f>
        <v>349.68222201793265</v>
      </c>
      <c r="BO13" s="146">
        <f>BO142</f>
        <v>352.19243368674438</v>
      </c>
      <c r="BP13" s="147">
        <f>BP142</f>
        <v>354.67628813303355</v>
      </c>
      <c r="BQ13" s="72">
        <f>SUM(BM13:BP13)</f>
        <v>1388.3097584086379</v>
      </c>
      <c r="BR13" s="74"/>
      <c r="BS13" s="74"/>
      <c r="BV13" s="74"/>
      <c r="BW13" s="74"/>
      <c r="BX13" s="74"/>
      <c r="BY13" s="74"/>
      <c r="BZ13" s="74"/>
      <c r="CA13" s="74"/>
      <c r="CB13" s="74"/>
      <c r="CC13" s="74"/>
      <c r="CD13" s="74"/>
      <c r="CE13" s="74"/>
      <c r="CF13" s="74"/>
      <c r="CG13" s="74"/>
      <c r="CH13" s="74"/>
      <c r="CI13" s="74"/>
      <c r="CJ13" s="74"/>
      <c r="CK13" s="74"/>
      <c r="CL13" s="74"/>
      <c r="CM13" s="74"/>
      <c r="CN13" s="74"/>
      <c r="CO13" s="74"/>
      <c r="CP13" s="74"/>
      <c r="CQ13" s="74"/>
      <c r="CR13" s="74"/>
      <c r="CS13" s="74"/>
      <c r="CT13" s="74"/>
      <c r="CU13" s="74"/>
    </row>
    <row r="14" spans="1:99">
      <c r="A14" s="74"/>
      <c r="B14" s="74"/>
      <c r="C14" t="s">
        <v>1017</v>
      </c>
      <c r="D14" s="72"/>
      <c r="E14" s="142"/>
      <c r="F14" s="143"/>
      <c r="G14" s="143"/>
      <c r="H14" s="157"/>
      <c r="I14" s="145"/>
      <c r="J14" s="142"/>
      <c r="K14" s="143"/>
      <c r="L14" s="143"/>
      <c r="M14" s="157"/>
      <c r="N14" s="145"/>
      <c r="O14" s="142"/>
      <c r="P14" s="143"/>
      <c r="Q14" s="143"/>
      <c r="R14" s="157"/>
      <c r="S14" s="145"/>
      <c r="T14" s="142"/>
      <c r="U14" s="143"/>
      <c r="V14" s="143"/>
      <c r="W14" s="157"/>
      <c r="X14" s="145">
        <v>344</v>
      </c>
      <c r="Y14" s="142">
        <v>91</v>
      </c>
      <c r="Z14" s="143">
        <v>93</v>
      </c>
      <c r="AA14" s="143">
        <v>93</v>
      </c>
      <c r="AB14" s="157">
        <f>AC14-SUM(Y14:AA14)</f>
        <v>95</v>
      </c>
      <c r="AC14" s="145">
        <v>372</v>
      </c>
      <c r="AD14" s="142">
        <v>96</v>
      </c>
      <c r="AE14" s="143">
        <v>87</v>
      </c>
      <c r="AF14" s="143">
        <v>95</v>
      </c>
      <c r="AG14" s="157">
        <f>AH14-SUM(AD14:AF14)</f>
        <v>92</v>
      </c>
      <c r="AH14" s="145">
        <v>370</v>
      </c>
      <c r="AI14" s="142">
        <v>97</v>
      </c>
      <c r="AJ14" s="143">
        <v>94</v>
      </c>
      <c r="AK14" s="143">
        <v>97</v>
      </c>
      <c r="AL14" s="157">
        <f>AM14-SUM(AI14:AK14)</f>
        <v>95.100000000000023</v>
      </c>
      <c r="AM14" s="145">
        <v>383.1</v>
      </c>
      <c r="AN14" s="142">
        <v>97.9</v>
      </c>
      <c r="AO14" s="143">
        <v>98.1</v>
      </c>
      <c r="AP14" s="143">
        <v>99</v>
      </c>
      <c r="AQ14" s="157">
        <f>AR14-SUM(AN14:AP14)</f>
        <v>95.800000000000011</v>
      </c>
      <c r="AR14" s="145">
        <v>390.8</v>
      </c>
      <c r="AS14" s="142">
        <v>101.1</v>
      </c>
      <c r="AT14" s="143">
        <v>99.4</v>
      </c>
      <c r="AU14" s="143">
        <v>105.7</v>
      </c>
      <c r="AV14" s="157">
        <f>AW14-SUM(AS14:AU14)</f>
        <v>107.10000000000002</v>
      </c>
      <c r="AW14" s="145">
        <v>413.3</v>
      </c>
      <c r="AX14" s="148">
        <f>AX130</f>
        <v>103.122</v>
      </c>
      <c r="AY14" s="146">
        <f>AY130</f>
        <v>101.38800000000001</v>
      </c>
      <c r="AZ14" s="146">
        <f>AZ130</f>
        <v>107.81400000000001</v>
      </c>
      <c r="BA14" s="147">
        <f>BA130</f>
        <v>109.24200000000002</v>
      </c>
      <c r="BB14" s="72">
        <f>SUM(AX14:BA14)</f>
        <v>421.56600000000003</v>
      </c>
      <c r="BC14" s="148">
        <f>BC130</f>
        <v>105.18444</v>
      </c>
      <c r="BD14" s="146">
        <f>BD130</f>
        <v>103.41576000000001</v>
      </c>
      <c r="BE14" s="146">
        <f>BE130</f>
        <v>109.97028</v>
      </c>
      <c r="BF14" s="147">
        <f>BF130</f>
        <v>111.42684000000003</v>
      </c>
      <c r="BG14" s="72">
        <f>SUM(BC14:BF14)</f>
        <v>429.99732</v>
      </c>
      <c r="BH14" s="148">
        <f>BH130</f>
        <v>107.2881288</v>
      </c>
      <c r="BI14" s="146">
        <f>BI130</f>
        <v>105.48407520000001</v>
      </c>
      <c r="BJ14" s="146">
        <f>BJ130</f>
        <v>112.16968560000001</v>
      </c>
      <c r="BK14" s="147">
        <f>BK130</f>
        <v>113.65537680000003</v>
      </c>
      <c r="BL14" s="72">
        <f>SUM(BH14:BK14)</f>
        <v>438.59726639999997</v>
      </c>
      <c r="BM14" s="148">
        <f>BM130</f>
        <v>109.43389137599999</v>
      </c>
      <c r="BN14" s="146">
        <f>BN130</f>
        <v>107.59375670400001</v>
      </c>
      <c r="BO14" s="146">
        <f>BO130</f>
        <v>114.41307931200001</v>
      </c>
      <c r="BP14" s="147">
        <f>BP130</f>
        <v>115.92848433600003</v>
      </c>
      <c r="BQ14" s="72">
        <f>SUM(BM14:BP14)</f>
        <v>447.36921172799998</v>
      </c>
      <c r="BR14" s="74"/>
      <c r="BS14" s="74"/>
      <c r="BV14" s="74"/>
      <c r="BW14" s="74"/>
      <c r="BX14" s="74"/>
      <c r="BY14" s="74"/>
      <c r="BZ14" s="74"/>
      <c r="CA14" s="74"/>
      <c r="CB14" s="74"/>
      <c r="CC14" s="74"/>
      <c r="CD14" s="74"/>
      <c r="CE14" s="74"/>
      <c r="CF14" s="74"/>
      <c r="CG14" s="74"/>
      <c r="CH14" s="74"/>
      <c r="CI14" s="74"/>
      <c r="CJ14" s="74"/>
      <c r="CK14" s="74"/>
      <c r="CL14" s="74"/>
      <c r="CM14" s="74"/>
      <c r="CN14" s="74"/>
      <c r="CO14" s="74"/>
      <c r="CP14" s="74"/>
      <c r="CQ14" s="74"/>
      <c r="CR14" s="74"/>
      <c r="CS14" s="74"/>
      <c r="CT14" s="74"/>
      <c r="CU14" s="74"/>
    </row>
    <row r="15" spans="1:99">
      <c r="A15" s="74"/>
      <c r="B15" s="74"/>
      <c r="C15" s="56" t="s">
        <v>1018</v>
      </c>
      <c r="D15" s="72"/>
      <c r="E15" s="149"/>
      <c r="F15" s="150"/>
      <c r="G15" s="150"/>
      <c r="H15" s="151"/>
      <c r="I15" s="112"/>
      <c r="J15" s="149"/>
      <c r="K15" s="150"/>
      <c r="L15" s="150"/>
      <c r="M15" s="151"/>
      <c r="N15" s="112"/>
      <c r="O15" s="149"/>
      <c r="P15" s="150"/>
      <c r="Q15" s="150"/>
      <c r="R15" s="151"/>
      <c r="S15" s="112"/>
      <c r="T15" s="149"/>
      <c r="U15" s="150"/>
      <c r="V15" s="150"/>
      <c r="W15" s="151"/>
      <c r="X15" s="112">
        <f t="shared" ref="X15:AF15" si="5">SUM(X12:X14,X9)</f>
        <v>7844</v>
      </c>
      <c r="Y15" s="149">
        <f t="shared" si="5"/>
        <v>2105</v>
      </c>
      <c r="Z15" s="150">
        <f t="shared" si="5"/>
        <v>1942</v>
      </c>
      <c r="AA15" s="150">
        <f t="shared" si="5"/>
        <v>2175</v>
      </c>
      <c r="AB15" s="151">
        <f t="shared" si="5"/>
        <v>2137</v>
      </c>
      <c r="AC15" s="112">
        <f t="shared" si="5"/>
        <v>8359</v>
      </c>
      <c r="AD15" s="149">
        <f t="shared" si="5"/>
        <v>2029</v>
      </c>
      <c r="AE15" s="150">
        <f t="shared" si="5"/>
        <v>1891</v>
      </c>
      <c r="AF15" s="150">
        <f t="shared" si="5"/>
        <v>1977</v>
      </c>
      <c r="AG15" s="151">
        <f t="shared" ref="AG15:AM15" si="6">SUM(AG12:AG14,AG9)</f>
        <v>1974</v>
      </c>
      <c r="AH15" s="112">
        <f t="shared" si="6"/>
        <v>7871</v>
      </c>
      <c r="AI15" s="149">
        <f t="shared" si="6"/>
        <v>1928</v>
      </c>
      <c r="AJ15" s="150">
        <f t="shared" si="6"/>
        <v>1756</v>
      </c>
      <c r="AK15" s="150">
        <f t="shared" si="6"/>
        <v>1945</v>
      </c>
      <c r="AL15" s="151">
        <f t="shared" si="6"/>
        <v>1759.8000000000002</v>
      </c>
      <c r="AM15" s="112">
        <f t="shared" si="6"/>
        <v>7388.8</v>
      </c>
      <c r="AN15" s="149">
        <f t="shared" ref="AN15:AS15" si="7">SUM(AN12:AN14,AN9)</f>
        <v>1736.3000000000002</v>
      </c>
      <c r="AO15" s="150">
        <f t="shared" si="7"/>
        <v>1692.9</v>
      </c>
      <c r="AP15" s="150">
        <f t="shared" si="7"/>
        <v>1908</v>
      </c>
      <c r="AQ15" s="151">
        <f t="shared" si="7"/>
        <v>1909.6</v>
      </c>
      <c r="AR15" s="112">
        <f t="shared" si="7"/>
        <v>7246.8</v>
      </c>
      <c r="AS15" s="149">
        <f t="shared" si="7"/>
        <v>1822</v>
      </c>
      <c r="AT15" s="150">
        <f t="shared" ref="AT15:BB15" si="8">SUM(AT12:AT14,AT9)</f>
        <v>1800.5</v>
      </c>
      <c r="AU15" s="150">
        <f t="shared" si="8"/>
        <v>1922.2000000000003</v>
      </c>
      <c r="AV15" s="151">
        <f t="shared" si="8"/>
        <v>1890.9999999999995</v>
      </c>
      <c r="AW15" s="112">
        <f t="shared" si="8"/>
        <v>7435.7</v>
      </c>
      <c r="AX15" s="149">
        <f t="shared" si="8"/>
        <v>1905.7074745918576</v>
      </c>
      <c r="AY15" s="150">
        <f t="shared" si="8"/>
        <v>1835.0606297671079</v>
      </c>
      <c r="AZ15" s="150">
        <f t="shared" si="8"/>
        <v>1970.6403031273571</v>
      </c>
      <c r="BA15" s="151">
        <f t="shared" si="8"/>
        <v>1910.2179679464903</v>
      </c>
      <c r="BB15" s="112">
        <f t="shared" si="8"/>
        <v>7621.6263754328138</v>
      </c>
      <c r="BC15" s="149">
        <f t="shared" ref="BC15:BL15" si="9">SUM(BC12:BC14,BC9)</f>
        <v>1915.9712267625569</v>
      </c>
      <c r="BD15" s="150">
        <f t="shared" si="9"/>
        <v>1847.2045252975149</v>
      </c>
      <c r="BE15" s="150">
        <f t="shared" si="9"/>
        <v>1984.3391763417808</v>
      </c>
      <c r="BF15" s="151">
        <f t="shared" si="9"/>
        <v>1925.799829000654</v>
      </c>
      <c r="BG15" s="112">
        <f t="shared" si="9"/>
        <v>7673.3147574025061</v>
      </c>
      <c r="BH15" s="149">
        <f t="shared" si="9"/>
        <v>1936.3584391113241</v>
      </c>
      <c r="BI15" s="150">
        <f t="shared" si="9"/>
        <v>1873.7324074878952</v>
      </c>
      <c r="BJ15" s="150">
        <f t="shared" si="9"/>
        <v>2009.6882034423124</v>
      </c>
      <c r="BK15" s="151">
        <f t="shared" si="9"/>
        <v>1950.3265606610489</v>
      </c>
      <c r="BL15" s="112">
        <f t="shared" si="9"/>
        <v>7770.1056107025797</v>
      </c>
      <c r="BM15" s="149">
        <f>SUM(BM12:BM14,BM9)</f>
        <v>1959.4435346525347</v>
      </c>
      <c r="BN15" s="150">
        <f>SUM(BN12:BN14,BN9)</f>
        <v>1908.2699727520403</v>
      </c>
      <c r="BO15" s="150">
        <f>SUM(BO12:BO14,BO9)</f>
        <v>2043.0333937483438</v>
      </c>
      <c r="BP15" s="151">
        <f>SUM(BP12:BP14,BP9)</f>
        <v>1982.8362897843895</v>
      </c>
      <c r="BQ15" s="112">
        <f>SUM(BQ12:BQ14,BQ9)</f>
        <v>7893.5831909373082</v>
      </c>
      <c r="BR15" s="74"/>
      <c r="BS15" s="74"/>
      <c r="BV15" s="74"/>
      <c r="BW15" s="74"/>
      <c r="BX15" s="74"/>
      <c r="BY15" s="74"/>
      <c r="BZ15" s="74"/>
      <c r="CA15" s="74"/>
      <c r="CB15" s="74"/>
      <c r="CC15" s="74"/>
      <c r="CD15" s="74"/>
      <c r="CE15" s="74"/>
      <c r="CF15" s="74"/>
      <c r="CG15" s="74"/>
      <c r="CH15" s="74"/>
      <c r="CI15" s="74"/>
      <c r="CJ15" s="74"/>
      <c r="CK15" s="74"/>
      <c r="CL15" s="74"/>
      <c r="CM15" s="74"/>
      <c r="CN15" s="74"/>
      <c r="CO15" s="74"/>
      <c r="CP15" s="74"/>
      <c r="CQ15" s="74"/>
      <c r="CR15" s="74"/>
      <c r="CS15" s="74"/>
      <c r="CT15" s="74"/>
      <c r="CU15" s="74"/>
    </row>
    <row r="16" spans="1:99">
      <c r="A16" s="74"/>
      <c r="B16" s="74"/>
      <c r="C16" s="50"/>
      <c r="D16" s="72"/>
      <c r="E16" s="148"/>
      <c r="F16" s="163"/>
      <c r="G16" s="163"/>
      <c r="H16" s="144"/>
      <c r="I16" s="145"/>
      <c r="J16" s="148"/>
      <c r="K16" s="163"/>
      <c r="L16" s="163"/>
      <c r="M16" s="144"/>
      <c r="N16" s="145"/>
      <c r="O16" s="148"/>
      <c r="P16" s="163"/>
      <c r="Q16" s="163"/>
      <c r="R16" s="144"/>
      <c r="S16" s="145"/>
      <c r="T16" s="148"/>
      <c r="U16" s="163"/>
      <c r="V16" s="163"/>
      <c r="W16" s="144"/>
      <c r="X16" s="145"/>
      <c r="Y16" s="148"/>
      <c r="Z16" s="163"/>
      <c r="AA16" s="163"/>
      <c r="AB16" s="144"/>
      <c r="AC16" s="145"/>
      <c r="AD16" s="148"/>
      <c r="AE16" s="163"/>
      <c r="AF16" s="163"/>
      <c r="AG16" s="144"/>
      <c r="AH16" s="145"/>
      <c r="AI16" s="148"/>
      <c r="AJ16" s="163"/>
      <c r="AK16" s="163"/>
      <c r="AL16" s="144"/>
      <c r="AM16" s="145"/>
      <c r="AN16" s="148"/>
      <c r="AO16" s="163"/>
      <c r="AP16" s="163"/>
      <c r="AQ16" s="144"/>
      <c r="AR16" s="145"/>
      <c r="AS16" s="148"/>
      <c r="AT16" s="163"/>
      <c r="AU16" s="163"/>
      <c r="AV16" s="144"/>
      <c r="AW16" s="145"/>
      <c r="AX16" s="148"/>
      <c r="AY16" s="163"/>
      <c r="AZ16" s="163"/>
      <c r="BA16" s="147"/>
      <c r="BB16" s="74"/>
      <c r="BC16" s="148"/>
      <c r="BD16" s="163"/>
      <c r="BE16" s="163"/>
      <c r="BF16" s="147"/>
      <c r="BG16" s="74"/>
      <c r="BH16" s="148"/>
      <c r="BI16" s="163"/>
      <c r="BJ16" s="163"/>
      <c r="BK16" s="147"/>
      <c r="BL16" s="74"/>
      <c r="BM16" s="148"/>
      <c r="BN16" s="163"/>
      <c r="BO16" s="163"/>
      <c r="BP16" s="147"/>
      <c r="BQ16" s="74"/>
      <c r="BR16" s="74"/>
      <c r="BS16" s="74"/>
      <c r="BV16" s="74"/>
      <c r="BW16" s="74"/>
      <c r="BX16" s="74"/>
      <c r="BY16" s="74"/>
      <c r="BZ16" s="74"/>
      <c r="CA16" s="74"/>
      <c r="CB16" s="74"/>
      <c r="CC16" s="74"/>
      <c r="CD16" s="74"/>
      <c r="CE16" s="74"/>
      <c r="CF16" s="74"/>
      <c r="CG16" s="74"/>
      <c r="CH16" s="74"/>
      <c r="CI16" s="74"/>
      <c r="CJ16" s="74"/>
      <c r="CK16" s="74"/>
      <c r="CL16" s="74"/>
      <c r="CM16" s="74"/>
      <c r="CN16" s="74"/>
      <c r="CO16" s="74"/>
      <c r="CP16" s="74"/>
      <c r="CQ16" s="74"/>
      <c r="CR16" s="74"/>
      <c r="CS16" s="74"/>
      <c r="CT16" s="74"/>
      <c r="CU16" s="74"/>
    </row>
    <row r="17" spans="1:104">
      <c r="A17" s="74"/>
      <c r="B17" s="74"/>
      <c r="C17" s="56" t="s">
        <v>195</v>
      </c>
      <c r="D17" s="72"/>
      <c r="E17" s="149"/>
      <c r="F17" s="150"/>
      <c r="G17" s="150"/>
      <c r="H17" s="151"/>
      <c r="I17" s="112"/>
      <c r="J17" s="149"/>
      <c r="K17" s="150"/>
      <c r="L17" s="150"/>
      <c r="M17" s="151"/>
      <c r="N17" s="112"/>
      <c r="O17" s="149"/>
      <c r="P17" s="150"/>
      <c r="Q17" s="150"/>
      <c r="R17" s="151"/>
      <c r="S17" s="112"/>
      <c r="T17" s="149"/>
      <c r="U17" s="150"/>
      <c r="V17" s="150"/>
      <c r="W17" s="151"/>
      <c r="X17" s="112">
        <f t="shared" ref="X17:AM17" si="10">+X8-X15</f>
        <v>1574</v>
      </c>
      <c r="Y17" s="149">
        <f t="shared" si="10"/>
        <v>410</v>
      </c>
      <c r="Z17" s="150">
        <f t="shared" si="10"/>
        <v>360</v>
      </c>
      <c r="AA17" s="150">
        <f t="shared" si="10"/>
        <v>563</v>
      </c>
      <c r="AB17" s="151">
        <f t="shared" si="10"/>
        <v>300</v>
      </c>
      <c r="AC17" s="112">
        <f t="shared" si="10"/>
        <v>1633</v>
      </c>
      <c r="AD17" s="149">
        <f t="shared" si="10"/>
        <v>557</v>
      </c>
      <c r="AE17" s="150">
        <f t="shared" si="10"/>
        <v>361</v>
      </c>
      <c r="AF17" s="150">
        <f t="shared" si="10"/>
        <v>473</v>
      </c>
      <c r="AG17" s="151">
        <f t="shared" si="10"/>
        <v>222</v>
      </c>
      <c r="AH17" s="112">
        <f t="shared" si="10"/>
        <v>1613</v>
      </c>
      <c r="AI17" s="149">
        <f t="shared" si="10"/>
        <v>577</v>
      </c>
      <c r="AJ17" s="150">
        <f t="shared" si="10"/>
        <v>427</v>
      </c>
      <c r="AK17" s="150">
        <f t="shared" si="10"/>
        <v>526</v>
      </c>
      <c r="AL17" s="151">
        <f t="shared" si="10"/>
        <v>253.40000000000055</v>
      </c>
      <c r="AM17" s="112">
        <f t="shared" si="10"/>
        <v>1783.4000000000005</v>
      </c>
      <c r="AN17" s="149">
        <f>+AN8-AN15</f>
        <v>509.29999999999973</v>
      </c>
      <c r="AO17" s="150">
        <f>+AO8-AO15</f>
        <v>433</v>
      </c>
      <c r="AP17" s="150">
        <f>+AP8-AP15</f>
        <v>648.30000000000018</v>
      </c>
      <c r="AQ17" s="151">
        <f>+AQ8-AQ15</f>
        <v>254.49999999999955</v>
      </c>
      <c r="AR17" s="112">
        <f>+AR8-AR15</f>
        <v>1845.0999999999995</v>
      </c>
      <c r="AS17" s="149">
        <f t="shared" ref="AS17:BB17" si="11">+AS8-AS15</f>
        <v>468.40000000000009</v>
      </c>
      <c r="AT17" s="150">
        <f t="shared" si="11"/>
        <v>320</v>
      </c>
      <c r="AU17" s="150">
        <f t="shared" si="11"/>
        <v>559.99999999999955</v>
      </c>
      <c r="AV17" s="151">
        <f>+AV8-AV15</f>
        <v>407.900000000001</v>
      </c>
      <c r="AW17" s="112">
        <f>+AW8-AW15</f>
        <v>1756.3000000000002</v>
      </c>
      <c r="AX17" s="149">
        <f t="shared" si="11"/>
        <v>446.7016700621125</v>
      </c>
      <c r="AY17" s="150">
        <f t="shared" si="11"/>
        <v>291.87758396418667</v>
      </c>
      <c r="AZ17" s="150">
        <f t="shared" si="11"/>
        <v>552.92253985673688</v>
      </c>
      <c r="BA17" s="151">
        <f t="shared" si="11"/>
        <v>354.07481063007981</v>
      </c>
      <c r="BB17" s="112">
        <f t="shared" si="11"/>
        <v>1645.5766045131149</v>
      </c>
      <c r="BC17" s="149">
        <f t="shared" ref="BC17:BL17" si="12">+BC8-BC15</f>
        <v>519.69591789141305</v>
      </c>
      <c r="BD17" s="150">
        <f t="shared" si="12"/>
        <v>329.95502176711261</v>
      </c>
      <c r="BE17" s="150">
        <f t="shared" si="12"/>
        <v>587.02366664231295</v>
      </c>
      <c r="BF17" s="151">
        <f t="shared" si="12"/>
        <v>378.39294957591619</v>
      </c>
      <c r="BG17" s="112">
        <f t="shared" si="12"/>
        <v>1815.0675558767543</v>
      </c>
      <c r="BH17" s="149">
        <f t="shared" si="12"/>
        <v>550.30870554264629</v>
      </c>
      <c r="BI17" s="150">
        <f t="shared" si="12"/>
        <v>356.0104729100658</v>
      </c>
      <c r="BJ17" s="150">
        <f t="shared" si="12"/>
        <v>629.22463954178102</v>
      </c>
      <c r="BK17" s="151">
        <f t="shared" si="12"/>
        <v>410.06621791552061</v>
      </c>
      <c r="BL17" s="112">
        <f t="shared" si="12"/>
        <v>1945.6100359100146</v>
      </c>
      <c r="BM17" s="149">
        <f>+BM8-BM15</f>
        <v>639.71032052775126</v>
      </c>
      <c r="BN17" s="150">
        <f>+BN8-BN15</f>
        <v>431.42628483890257</v>
      </c>
      <c r="BO17" s="150">
        <f>+BO8-BO15</f>
        <v>707.61615976206576</v>
      </c>
      <c r="BP17" s="151">
        <f>+BP8-BP15</f>
        <v>480.99319931849595</v>
      </c>
      <c r="BQ17" s="112">
        <f>+BQ8-BQ15</f>
        <v>2259.7459644472146</v>
      </c>
      <c r="BR17" s="74"/>
      <c r="BS17" s="74"/>
      <c r="BV17" s="74"/>
      <c r="BW17" s="74"/>
      <c r="BX17" s="74"/>
      <c r="BY17" s="74"/>
      <c r="BZ17" s="74"/>
      <c r="CA17" s="74"/>
      <c r="CB17" s="74"/>
      <c r="CC17" s="74"/>
      <c r="CD17" s="74"/>
      <c r="CE17" s="74"/>
      <c r="CF17" s="74"/>
      <c r="CG17" s="74"/>
      <c r="CH17" s="74"/>
      <c r="CI17" s="74"/>
      <c r="CJ17" s="74"/>
      <c r="CK17" s="74"/>
      <c r="CL17" s="74"/>
      <c r="CM17" s="74"/>
      <c r="CN17" s="74"/>
      <c r="CO17" s="74"/>
      <c r="CP17" s="74"/>
      <c r="CQ17" s="74"/>
      <c r="CR17" s="74"/>
      <c r="CS17" s="74"/>
      <c r="CT17" s="74"/>
      <c r="CU17" s="74"/>
    </row>
    <row r="18" spans="1:104">
      <c r="A18" s="74"/>
      <c r="B18" s="74"/>
      <c r="C18" s="50"/>
      <c r="D18" s="72"/>
      <c r="E18" s="148"/>
      <c r="F18" s="146"/>
      <c r="G18" s="146"/>
      <c r="H18" s="147"/>
      <c r="I18" s="72"/>
      <c r="J18" s="148"/>
      <c r="K18" s="146"/>
      <c r="L18" s="146"/>
      <c r="M18" s="147"/>
      <c r="N18" s="72"/>
      <c r="O18" s="148"/>
      <c r="P18" s="146"/>
      <c r="Q18" s="146"/>
      <c r="R18" s="147"/>
      <c r="S18" s="72"/>
      <c r="T18" s="148"/>
      <c r="U18" s="146"/>
      <c r="V18" s="146"/>
      <c r="W18" s="147"/>
      <c r="X18" s="72"/>
      <c r="Y18" s="148"/>
      <c r="Z18" s="146"/>
      <c r="AA18" s="146"/>
      <c r="AB18" s="147"/>
      <c r="AC18" s="72"/>
      <c r="AD18" s="148"/>
      <c r="AE18" s="146"/>
      <c r="AF18" s="146"/>
      <c r="AG18" s="147"/>
      <c r="AH18" s="72"/>
      <c r="AI18" s="148"/>
      <c r="AJ18" s="146"/>
      <c r="AK18" s="146"/>
      <c r="AL18" s="147"/>
      <c r="AM18" s="72"/>
      <c r="AN18" s="148"/>
      <c r="AO18" s="146"/>
      <c r="AP18" s="146"/>
      <c r="AQ18" s="147"/>
      <c r="AR18" s="72"/>
      <c r="AS18" s="148"/>
      <c r="AT18" s="146"/>
      <c r="AU18" s="146"/>
      <c r="AV18" s="147"/>
      <c r="AW18" s="72"/>
      <c r="AX18" s="148"/>
      <c r="AY18" s="163"/>
      <c r="AZ18" s="163"/>
      <c r="BA18" s="147"/>
      <c r="BB18" s="74"/>
      <c r="BC18" s="148"/>
      <c r="BD18" s="163"/>
      <c r="BE18" s="163"/>
      <c r="BF18" s="147"/>
      <c r="BG18" s="74"/>
      <c r="BH18" s="148"/>
      <c r="BI18" s="163"/>
      <c r="BJ18" s="163"/>
      <c r="BK18" s="147"/>
      <c r="BL18" s="74"/>
      <c r="BM18" s="148"/>
      <c r="BN18" s="163"/>
      <c r="BO18" s="163"/>
      <c r="BP18" s="147"/>
      <c r="BQ18" s="74"/>
      <c r="BR18" s="74"/>
      <c r="BS18" s="74"/>
      <c r="BV18" s="74"/>
      <c r="BW18" s="74"/>
      <c r="BX18" s="74"/>
      <c r="BY18" s="74"/>
      <c r="BZ18" s="74"/>
      <c r="CA18" s="74"/>
      <c r="CB18" s="74"/>
      <c r="CC18" s="74"/>
      <c r="CD18" s="74"/>
      <c r="CE18" s="74"/>
      <c r="CF18" s="74"/>
      <c r="CG18" s="74"/>
      <c r="CH18" s="74"/>
      <c r="CI18" s="74"/>
      <c r="CJ18" s="74"/>
      <c r="CK18" s="74"/>
      <c r="CL18" s="74"/>
      <c r="CM18" s="74"/>
      <c r="CN18" s="74"/>
      <c r="CO18" s="74"/>
      <c r="CP18" s="74"/>
      <c r="CQ18" s="74"/>
      <c r="CR18" s="74"/>
      <c r="CS18" s="74"/>
      <c r="CT18" s="74"/>
      <c r="CU18" s="74"/>
    </row>
    <row r="19" spans="1:104">
      <c r="A19" s="74"/>
      <c r="B19" s="74"/>
      <c r="C19" s="50" t="s">
        <v>1021</v>
      </c>
      <c r="D19" s="72"/>
      <c r="E19" s="142"/>
      <c r="F19" s="143"/>
      <c r="G19" s="143"/>
      <c r="H19" s="147"/>
      <c r="I19" s="145"/>
      <c r="J19" s="142"/>
      <c r="K19" s="143"/>
      <c r="L19" s="143"/>
      <c r="M19" s="147"/>
      <c r="N19" s="145"/>
      <c r="O19" s="142"/>
      <c r="P19" s="143"/>
      <c r="Q19" s="143"/>
      <c r="R19" s="147"/>
      <c r="S19" s="145"/>
      <c r="T19" s="142"/>
      <c r="U19" s="143"/>
      <c r="V19" s="143"/>
      <c r="W19" s="147"/>
      <c r="X19" s="145">
        <v>72</v>
      </c>
      <c r="Y19" s="142">
        <v>9</v>
      </c>
      <c r="Z19" s="143">
        <v>9</v>
      </c>
      <c r="AA19" s="143">
        <v>9</v>
      </c>
      <c r="AB19" s="147">
        <f>+AC19-SUM(Y19:AA19)</f>
        <v>8</v>
      </c>
      <c r="AC19" s="145">
        <v>35</v>
      </c>
      <c r="AD19" s="142">
        <v>10</v>
      </c>
      <c r="AE19" s="143">
        <v>11</v>
      </c>
      <c r="AF19" s="143">
        <v>12</v>
      </c>
      <c r="AG19" s="147">
        <f>+AH19-SUM(AD19:AF19)</f>
        <v>14</v>
      </c>
      <c r="AH19" s="145">
        <v>47</v>
      </c>
      <c r="AI19" s="142">
        <v>14</v>
      </c>
      <c r="AJ19" s="143">
        <v>16</v>
      </c>
      <c r="AK19" s="143">
        <v>16</v>
      </c>
      <c r="AL19" s="147">
        <f>+AM19-SUM(AI19:AK19)</f>
        <v>17.200000000000003</v>
      </c>
      <c r="AM19" s="145">
        <v>63.2</v>
      </c>
      <c r="AN19" s="142">
        <v>14.8</v>
      </c>
      <c r="AO19" s="143">
        <v>10.6</v>
      </c>
      <c r="AP19" s="143">
        <v>10</v>
      </c>
      <c r="AQ19" s="147">
        <f>+AR19-SUM(AN19:AP19)</f>
        <v>10.100000000000001</v>
      </c>
      <c r="AR19" s="145">
        <v>45.5</v>
      </c>
      <c r="AS19" s="142">
        <v>6.2</v>
      </c>
      <c r="AT19" s="143">
        <v>6.3</v>
      </c>
      <c r="AU19" s="143">
        <v>7.5</v>
      </c>
      <c r="AV19" s="147">
        <f>+AW19-SUM(AS19:AU19)</f>
        <v>8</v>
      </c>
      <c r="AW19" s="145">
        <v>28</v>
      </c>
      <c r="AX19" s="148">
        <f>AX153+AX156</f>
        <v>13.604210526315789</v>
      </c>
      <c r="AY19" s="146">
        <f>AY153+AY156</f>
        <v>13.604210526315789</v>
      </c>
      <c r="AZ19" s="146">
        <f>AZ153+AZ156</f>
        <v>13.604210526315789</v>
      </c>
      <c r="BA19" s="147">
        <f>BA153+BA156</f>
        <v>13.604210526315789</v>
      </c>
      <c r="BB19" s="72">
        <f>SUM(AX19:BA19)</f>
        <v>54.416842105263157</v>
      </c>
      <c r="BC19" s="148">
        <f>BC153+BC156</f>
        <v>21.197631578947369</v>
      </c>
      <c r="BD19" s="146">
        <f>BD153+BD156</f>
        <v>21.197631578947369</v>
      </c>
      <c r="BE19" s="146">
        <f>BE153+BE156</f>
        <v>21.197631578947369</v>
      </c>
      <c r="BF19" s="147">
        <f>BF153+BF156</f>
        <v>21.197631578947369</v>
      </c>
      <c r="BG19" s="72">
        <f>SUM(BC19:BF19)</f>
        <v>84.790526315789478</v>
      </c>
      <c r="BH19" s="148">
        <f>BH153+BH156</f>
        <v>24.596052631578949</v>
      </c>
      <c r="BI19" s="146">
        <f>BI153+BI156</f>
        <v>24.596052631578949</v>
      </c>
      <c r="BJ19" s="146">
        <f>BJ153+BJ156</f>
        <v>24.596052631578949</v>
      </c>
      <c r="BK19" s="147">
        <f>BK153+BK156</f>
        <v>24.596052631578949</v>
      </c>
      <c r="BL19" s="72">
        <f>SUM(BH19:BK19)</f>
        <v>98.384210526315798</v>
      </c>
      <c r="BM19" s="148">
        <f>+BM153</f>
        <v>11.775</v>
      </c>
      <c r="BN19" s="146">
        <f>+BN153</f>
        <v>11.775</v>
      </c>
      <c r="BO19" s="146">
        <f>+BO153</f>
        <v>11.775</v>
      </c>
      <c r="BP19" s="147">
        <f>+BP153</f>
        <v>11.775</v>
      </c>
      <c r="BQ19" s="72">
        <f>SUM(BM19:BP19)</f>
        <v>47.1</v>
      </c>
      <c r="BR19" s="74"/>
      <c r="BS19" s="74"/>
      <c r="BV19" s="74"/>
      <c r="BW19" s="74"/>
      <c r="BX19" s="74"/>
      <c r="BY19" s="74"/>
      <c r="BZ19" s="74"/>
      <c r="CA19" s="74"/>
      <c r="CB19" s="74"/>
      <c r="CC19" s="74"/>
      <c r="CD19" s="74"/>
      <c r="CE19" s="74"/>
      <c r="CF19" s="74"/>
      <c r="CG19" s="74"/>
      <c r="CH19" s="74"/>
      <c r="CI19" s="74"/>
      <c r="CJ19" s="74"/>
      <c r="CK19" s="74"/>
      <c r="CL19" s="74"/>
      <c r="CM19" s="74"/>
      <c r="CN19" s="74"/>
      <c r="CO19" s="74"/>
      <c r="CP19" s="74"/>
      <c r="CQ19" s="74"/>
      <c r="CR19" s="74"/>
      <c r="CS19" s="74"/>
      <c r="CT19" s="74"/>
      <c r="CU19" s="74"/>
    </row>
    <row r="20" spans="1:104">
      <c r="A20" s="74"/>
      <c r="B20" s="74"/>
      <c r="C20" s="50" t="s">
        <v>1</v>
      </c>
      <c r="D20" s="72"/>
      <c r="E20" s="142"/>
      <c r="F20" s="143"/>
      <c r="G20" s="143"/>
      <c r="H20" s="144"/>
      <c r="I20" s="145"/>
      <c r="J20" s="142"/>
      <c r="K20" s="143"/>
      <c r="L20" s="143"/>
      <c r="M20" s="144"/>
      <c r="N20" s="145"/>
      <c r="O20" s="142"/>
      <c r="P20" s="143"/>
      <c r="Q20" s="143"/>
      <c r="R20" s="144"/>
      <c r="S20" s="145"/>
      <c r="T20" s="142"/>
      <c r="U20" s="143"/>
      <c r="V20" s="143"/>
      <c r="W20" s="144"/>
      <c r="X20" s="145">
        <f>28-13</f>
        <v>15</v>
      </c>
      <c r="Y20" s="142">
        <v>1</v>
      </c>
      <c r="Z20" s="143">
        <v>4</v>
      </c>
      <c r="AA20" s="143">
        <f>5-144</f>
        <v>-139</v>
      </c>
      <c r="AB20" s="144">
        <f>+AC20-SUM(Y20:AA20)</f>
        <v>76</v>
      </c>
      <c r="AC20" s="145">
        <f>14-72</f>
        <v>-58</v>
      </c>
      <c r="AD20" s="142">
        <v>-1</v>
      </c>
      <c r="AE20" s="143">
        <v>2</v>
      </c>
      <c r="AF20" s="143">
        <v>1</v>
      </c>
      <c r="AG20" s="144">
        <f>+AH20-SUM(AD20:AF20)</f>
        <v>4</v>
      </c>
      <c r="AH20" s="145">
        <v>6</v>
      </c>
      <c r="AI20" s="142">
        <v>2</v>
      </c>
      <c r="AJ20" s="143">
        <v>3</v>
      </c>
      <c r="AK20" s="143">
        <v>4</v>
      </c>
      <c r="AL20" s="144">
        <f>+AM20-SUM(AI20:AK20)</f>
        <v>-9</v>
      </c>
      <c r="AM20" s="145">
        <v>0</v>
      </c>
      <c r="AN20" s="142">
        <v>2.2000000000000002</v>
      </c>
      <c r="AO20" s="143">
        <v>5.0999999999999996</v>
      </c>
      <c r="AP20" s="143">
        <f>0.8-10.5</f>
        <v>-9.6999999999999993</v>
      </c>
      <c r="AQ20" s="144">
        <f>+AR20-SUM(AN20:AP20)</f>
        <v>2.3999999999999995</v>
      </c>
      <c r="AR20" s="145">
        <f>10.5-10.5</f>
        <v>0</v>
      </c>
      <c r="AS20" s="142">
        <v>4.0999999999999996</v>
      </c>
      <c r="AT20" s="143">
        <v>5.0999999999999996</v>
      </c>
      <c r="AU20" s="143">
        <v>2.1</v>
      </c>
      <c r="AV20" s="144">
        <f>+AW20-SUM(AS20:AU20)</f>
        <v>-29.700000000000003</v>
      </c>
      <c r="AW20" s="145">
        <f>-33.6+15.2</f>
        <v>-18.400000000000002</v>
      </c>
      <c r="AX20" s="171">
        <f>AS20</f>
        <v>4.0999999999999996</v>
      </c>
      <c r="AY20" s="243">
        <f>AT20</f>
        <v>5.0999999999999996</v>
      </c>
      <c r="AZ20" s="243">
        <f>AU20</f>
        <v>2.1</v>
      </c>
      <c r="BA20" s="173">
        <f>AV20+33.6</f>
        <v>3.8999999999999986</v>
      </c>
      <c r="BB20" s="109">
        <f>SUM(AX20:BA20)</f>
        <v>15.199999999999998</v>
      </c>
      <c r="BC20" s="171">
        <f>BA20</f>
        <v>3.8999999999999986</v>
      </c>
      <c r="BD20" s="243">
        <f>BC20</f>
        <v>3.8999999999999986</v>
      </c>
      <c r="BE20" s="243">
        <f>BD20</f>
        <v>3.8999999999999986</v>
      </c>
      <c r="BF20" s="173">
        <f>BE20</f>
        <v>3.8999999999999986</v>
      </c>
      <c r="BG20" s="109">
        <f>SUM(BC20:BF20)</f>
        <v>15.599999999999994</v>
      </c>
      <c r="BH20" s="171">
        <f>BF20</f>
        <v>3.8999999999999986</v>
      </c>
      <c r="BI20" s="243">
        <f>BH20</f>
        <v>3.8999999999999986</v>
      </c>
      <c r="BJ20" s="243">
        <f>BI20</f>
        <v>3.8999999999999986</v>
      </c>
      <c r="BK20" s="173">
        <f>BJ20</f>
        <v>3.8999999999999986</v>
      </c>
      <c r="BL20" s="109">
        <f>SUM(BH20:BK20)</f>
        <v>15.599999999999994</v>
      </c>
      <c r="BM20" s="171">
        <f>BK20</f>
        <v>3.8999999999999986</v>
      </c>
      <c r="BN20" s="243">
        <f>BM20</f>
        <v>3.8999999999999986</v>
      </c>
      <c r="BO20" s="243">
        <f>BN20</f>
        <v>3.8999999999999986</v>
      </c>
      <c r="BP20" s="173">
        <f>BO20</f>
        <v>3.8999999999999986</v>
      </c>
      <c r="BQ20" s="109">
        <f>SUM(BM20:BP20)</f>
        <v>15.599999999999994</v>
      </c>
      <c r="BR20" s="74"/>
      <c r="BS20" s="74"/>
      <c r="BV20" s="74"/>
      <c r="BW20" s="74"/>
      <c r="BX20" s="74"/>
      <c r="BY20" s="74"/>
      <c r="BZ20" s="74"/>
      <c r="CA20" s="74"/>
      <c r="CB20" s="74"/>
      <c r="CC20" s="74"/>
      <c r="CD20" s="74"/>
      <c r="CE20" s="74"/>
      <c r="CF20" s="74"/>
      <c r="CG20" s="74"/>
      <c r="CH20" s="74"/>
      <c r="CI20" s="74"/>
      <c r="CJ20" s="74"/>
      <c r="CK20" s="74"/>
      <c r="CL20" s="74"/>
      <c r="CM20" s="74"/>
      <c r="CN20" s="74"/>
      <c r="CO20" s="74"/>
      <c r="CP20" s="74"/>
      <c r="CQ20" s="74"/>
      <c r="CR20" s="74"/>
      <c r="CS20" s="74"/>
      <c r="CT20" s="74"/>
      <c r="CU20" s="74"/>
    </row>
    <row r="21" spans="1:104">
      <c r="A21" s="74"/>
      <c r="B21" s="74"/>
      <c r="C21" s="56" t="s">
        <v>2</v>
      </c>
      <c r="D21" s="109"/>
      <c r="E21" s="152"/>
      <c r="F21" s="155"/>
      <c r="G21" s="155"/>
      <c r="H21" s="153"/>
      <c r="I21" s="154"/>
      <c r="J21" s="152"/>
      <c r="K21" s="155"/>
      <c r="L21" s="155"/>
      <c r="M21" s="153"/>
      <c r="N21" s="154"/>
      <c r="O21" s="152"/>
      <c r="P21" s="155"/>
      <c r="Q21" s="155"/>
      <c r="R21" s="153"/>
      <c r="S21" s="154"/>
      <c r="T21" s="152"/>
      <c r="U21" s="155"/>
      <c r="V21" s="155"/>
      <c r="W21" s="153"/>
      <c r="X21" s="154">
        <f t="shared" ref="X21:AF21" si="13">SUM(X19:X20)</f>
        <v>87</v>
      </c>
      <c r="Y21" s="152">
        <f t="shared" si="13"/>
        <v>10</v>
      </c>
      <c r="Z21" s="155">
        <f t="shared" si="13"/>
        <v>13</v>
      </c>
      <c r="AA21" s="155">
        <f t="shared" si="13"/>
        <v>-130</v>
      </c>
      <c r="AB21" s="153">
        <f t="shared" si="13"/>
        <v>84</v>
      </c>
      <c r="AC21" s="154">
        <f t="shared" si="13"/>
        <v>-23</v>
      </c>
      <c r="AD21" s="152">
        <f t="shared" si="13"/>
        <v>9</v>
      </c>
      <c r="AE21" s="155">
        <f t="shared" si="13"/>
        <v>13</v>
      </c>
      <c r="AF21" s="155">
        <f t="shared" si="13"/>
        <v>13</v>
      </c>
      <c r="AG21" s="153">
        <f t="shared" ref="AG21:AM21" si="14">SUM(AG19:AG20)</f>
        <v>18</v>
      </c>
      <c r="AH21" s="154">
        <f t="shared" si="14"/>
        <v>53</v>
      </c>
      <c r="AI21" s="152">
        <f t="shared" si="14"/>
        <v>16</v>
      </c>
      <c r="AJ21" s="155">
        <f t="shared" si="14"/>
        <v>19</v>
      </c>
      <c r="AK21" s="155">
        <f t="shared" si="14"/>
        <v>20</v>
      </c>
      <c r="AL21" s="153">
        <f t="shared" si="14"/>
        <v>8.2000000000000028</v>
      </c>
      <c r="AM21" s="154">
        <f t="shared" si="14"/>
        <v>63.2</v>
      </c>
      <c r="AN21" s="152">
        <f t="shared" ref="AN21:AS21" si="15">SUM(AN19:AN20)</f>
        <v>17</v>
      </c>
      <c r="AO21" s="155">
        <f t="shared" si="15"/>
        <v>15.7</v>
      </c>
      <c r="AP21" s="155">
        <f t="shared" si="15"/>
        <v>0.30000000000000071</v>
      </c>
      <c r="AQ21" s="153">
        <f t="shared" si="15"/>
        <v>12.5</v>
      </c>
      <c r="AR21" s="154">
        <f t="shared" si="15"/>
        <v>45.5</v>
      </c>
      <c r="AS21" s="152">
        <f t="shared" si="15"/>
        <v>10.3</v>
      </c>
      <c r="AT21" s="155">
        <f t="shared" ref="AT21:BB21" si="16">SUM(AT19:AT20)</f>
        <v>11.399999999999999</v>
      </c>
      <c r="AU21" s="155">
        <f t="shared" si="16"/>
        <v>9.6</v>
      </c>
      <c r="AV21" s="153">
        <f t="shared" si="16"/>
        <v>-21.700000000000003</v>
      </c>
      <c r="AW21" s="154">
        <f t="shared" si="16"/>
        <v>9.5999999999999979</v>
      </c>
      <c r="AX21" s="149">
        <f t="shared" si="16"/>
        <v>17.704210526315791</v>
      </c>
      <c r="AY21" s="150">
        <f t="shared" si="16"/>
        <v>18.704210526315791</v>
      </c>
      <c r="AZ21" s="150">
        <f t="shared" si="16"/>
        <v>15.704210526315789</v>
      </c>
      <c r="BA21" s="151">
        <f t="shared" si="16"/>
        <v>17.504210526315788</v>
      </c>
      <c r="BB21" s="112">
        <f t="shared" si="16"/>
        <v>69.61684210526316</v>
      </c>
      <c r="BC21" s="149">
        <f t="shared" ref="BC21:BL21" si="17">SUM(BC19:BC20)</f>
        <v>25.097631578947368</v>
      </c>
      <c r="BD21" s="150">
        <f t="shared" si="17"/>
        <v>25.097631578947368</v>
      </c>
      <c r="BE21" s="150">
        <f t="shared" si="17"/>
        <v>25.097631578947368</v>
      </c>
      <c r="BF21" s="151">
        <f t="shared" si="17"/>
        <v>25.097631578947368</v>
      </c>
      <c r="BG21" s="112">
        <f t="shared" si="17"/>
        <v>100.39052631578947</v>
      </c>
      <c r="BH21" s="149">
        <f t="shared" si="17"/>
        <v>28.496052631578948</v>
      </c>
      <c r="BI21" s="150">
        <f t="shared" si="17"/>
        <v>28.496052631578948</v>
      </c>
      <c r="BJ21" s="150">
        <f t="shared" si="17"/>
        <v>28.496052631578948</v>
      </c>
      <c r="BK21" s="151">
        <f t="shared" si="17"/>
        <v>28.496052631578948</v>
      </c>
      <c r="BL21" s="112">
        <f t="shared" si="17"/>
        <v>113.98421052631579</v>
      </c>
      <c r="BM21" s="149">
        <f>SUM(BM19:BM20)</f>
        <v>15.674999999999999</v>
      </c>
      <c r="BN21" s="150">
        <f>SUM(BN19:BN20)</f>
        <v>15.674999999999999</v>
      </c>
      <c r="BO21" s="150">
        <f>SUM(BO19:BO20)</f>
        <v>15.674999999999999</v>
      </c>
      <c r="BP21" s="151">
        <f>SUM(BP19:BP20)</f>
        <v>15.674999999999999</v>
      </c>
      <c r="BQ21" s="112">
        <f>SUM(BQ19:BQ20)</f>
        <v>62.699999999999996</v>
      </c>
      <c r="BR21" s="242"/>
      <c r="BS21" s="242"/>
      <c r="BV21" s="242"/>
      <c r="BW21" s="242"/>
      <c r="BX21" s="242"/>
      <c r="BY21" s="242"/>
      <c r="BZ21" s="242"/>
      <c r="CA21" s="242"/>
      <c r="CB21" s="242"/>
      <c r="CC21" s="242"/>
      <c r="CD21" s="242"/>
      <c r="CE21" s="242"/>
      <c r="CF21" s="242"/>
      <c r="CG21" s="242"/>
      <c r="CH21" s="242"/>
      <c r="CI21" s="242"/>
      <c r="CJ21" s="242"/>
      <c r="CK21" s="242"/>
      <c r="CL21" s="242"/>
      <c r="CM21" s="242"/>
      <c r="CN21" s="242"/>
      <c r="CO21" s="242"/>
      <c r="CP21" s="242"/>
      <c r="CQ21" s="242"/>
      <c r="CR21" s="242"/>
      <c r="CS21" s="242"/>
      <c r="CT21" s="242"/>
      <c r="CU21" s="242"/>
    </row>
    <row r="22" spans="1:104">
      <c r="A22" s="74"/>
      <c r="B22" s="74"/>
      <c r="C22" s="50"/>
      <c r="D22" s="72"/>
      <c r="E22" s="171"/>
      <c r="F22" s="163"/>
      <c r="G22" s="163"/>
      <c r="H22" s="173"/>
      <c r="I22" s="64"/>
      <c r="J22" s="171"/>
      <c r="K22" s="163"/>
      <c r="L22" s="163"/>
      <c r="M22" s="173"/>
      <c r="N22" s="64"/>
      <c r="O22" s="171"/>
      <c r="P22" s="163"/>
      <c r="Q22" s="163"/>
      <c r="R22" s="173"/>
      <c r="S22" s="64"/>
      <c r="T22" s="171"/>
      <c r="U22" s="163"/>
      <c r="V22" s="163"/>
      <c r="W22" s="173"/>
      <c r="X22" s="64"/>
      <c r="Y22" s="171"/>
      <c r="Z22" s="163"/>
      <c r="AA22" s="163"/>
      <c r="AB22" s="173"/>
      <c r="AC22" s="64"/>
      <c r="AD22" s="171"/>
      <c r="AE22" s="163"/>
      <c r="AF22" s="163"/>
      <c r="AG22" s="173"/>
      <c r="AH22" s="64"/>
      <c r="AI22" s="171"/>
      <c r="AJ22" s="163"/>
      <c r="AK22" s="163"/>
      <c r="AL22" s="173"/>
      <c r="AM22" s="64"/>
      <c r="AN22" s="171"/>
      <c r="AO22" s="163"/>
      <c r="AP22" s="163"/>
      <c r="AQ22" s="173"/>
      <c r="AR22" s="64"/>
      <c r="AS22" s="171"/>
      <c r="AT22" s="163"/>
      <c r="AU22" s="163"/>
      <c r="AV22" s="173"/>
      <c r="AW22" s="64"/>
      <c r="AX22" s="148"/>
      <c r="AY22" s="163"/>
      <c r="AZ22" s="163"/>
      <c r="BA22" s="147"/>
      <c r="BB22" s="74"/>
      <c r="BC22" s="148"/>
      <c r="BD22" s="163"/>
      <c r="BE22" s="163"/>
      <c r="BF22" s="147"/>
      <c r="BG22" s="74"/>
      <c r="BH22" s="148"/>
      <c r="BI22" s="163"/>
      <c r="BJ22" s="163"/>
      <c r="BK22" s="147"/>
      <c r="BL22" s="74"/>
      <c r="BM22" s="148"/>
      <c r="BN22" s="163"/>
      <c r="BO22" s="163"/>
      <c r="BP22" s="147"/>
      <c r="BQ22" s="74"/>
      <c r="BR22" s="74"/>
      <c r="BS22" s="74"/>
      <c r="BV22" s="74"/>
      <c r="BW22" s="74"/>
      <c r="BX22" s="74"/>
      <c r="BY22" s="74"/>
      <c r="BZ22" s="74"/>
      <c r="CA22" s="74"/>
      <c r="CB22" s="74"/>
      <c r="CC22" s="74"/>
      <c r="CD22" s="74"/>
      <c r="CE22" s="74"/>
      <c r="CF22" s="74"/>
      <c r="CG22" s="74"/>
      <c r="CH22" s="74"/>
      <c r="CI22" s="74"/>
      <c r="CJ22" s="74"/>
      <c r="CK22" s="74"/>
      <c r="CL22" s="74"/>
      <c r="CM22" s="74"/>
      <c r="CN22" s="74"/>
      <c r="CO22" s="74"/>
      <c r="CP22" s="74"/>
      <c r="CQ22" s="74"/>
      <c r="CR22" s="74"/>
      <c r="CS22" s="74"/>
      <c r="CT22" s="74"/>
      <c r="CU22" s="74"/>
    </row>
    <row r="23" spans="1:104">
      <c r="A23" s="74"/>
      <c r="B23" s="74"/>
      <c r="C23" s="56" t="s">
        <v>3</v>
      </c>
      <c r="D23" s="72"/>
      <c r="E23" s="149"/>
      <c r="F23" s="150"/>
      <c r="G23" s="150"/>
      <c r="H23" s="151"/>
      <c r="I23" s="112"/>
      <c r="J23" s="149"/>
      <c r="K23" s="150"/>
      <c r="L23" s="150"/>
      <c r="M23" s="151"/>
      <c r="N23" s="112"/>
      <c r="O23" s="149"/>
      <c r="P23" s="150"/>
      <c r="Q23" s="150"/>
      <c r="R23" s="151"/>
      <c r="S23" s="112"/>
      <c r="T23" s="149"/>
      <c r="U23" s="150"/>
      <c r="V23" s="150"/>
      <c r="W23" s="151"/>
      <c r="X23" s="112">
        <f t="shared" ref="X23:AF23" si="18">X17+X21</f>
        <v>1661</v>
      </c>
      <c r="Y23" s="149">
        <f t="shared" si="18"/>
        <v>420</v>
      </c>
      <c r="Z23" s="150">
        <f t="shared" si="18"/>
        <v>373</v>
      </c>
      <c r="AA23" s="150">
        <f t="shared" si="18"/>
        <v>433</v>
      </c>
      <c r="AB23" s="151">
        <f t="shared" si="18"/>
        <v>384</v>
      </c>
      <c r="AC23" s="112">
        <f t="shared" si="18"/>
        <v>1610</v>
      </c>
      <c r="AD23" s="149">
        <f t="shared" si="18"/>
        <v>566</v>
      </c>
      <c r="AE23" s="150">
        <f t="shared" si="18"/>
        <v>374</v>
      </c>
      <c r="AF23" s="150">
        <f t="shared" si="18"/>
        <v>486</v>
      </c>
      <c r="AG23" s="151">
        <f t="shared" ref="AG23:AM23" si="19">AG17+AG21</f>
        <v>240</v>
      </c>
      <c r="AH23" s="112">
        <f t="shared" si="19"/>
        <v>1666</v>
      </c>
      <c r="AI23" s="149">
        <f t="shared" si="19"/>
        <v>593</v>
      </c>
      <c r="AJ23" s="150">
        <f t="shared" si="19"/>
        <v>446</v>
      </c>
      <c r="AK23" s="150">
        <f t="shared" si="19"/>
        <v>546</v>
      </c>
      <c r="AL23" s="151">
        <f t="shared" si="19"/>
        <v>261.60000000000053</v>
      </c>
      <c r="AM23" s="112">
        <f t="shared" si="19"/>
        <v>1846.6000000000006</v>
      </c>
      <c r="AN23" s="149">
        <f t="shared" ref="AN23:AS23" si="20">AN17+AN21</f>
        <v>526.29999999999973</v>
      </c>
      <c r="AO23" s="150">
        <f t="shared" si="20"/>
        <v>448.7</v>
      </c>
      <c r="AP23" s="150">
        <f t="shared" si="20"/>
        <v>648.60000000000014</v>
      </c>
      <c r="AQ23" s="151">
        <f t="shared" si="20"/>
        <v>266.99999999999955</v>
      </c>
      <c r="AR23" s="112">
        <f t="shared" si="20"/>
        <v>1890.5999999999995</v>
      </c>
      <c r="AS23" s="149">
        <f t="shared" si="20"/>
        <v>478.7000000000001</v>
      </c>
      <c r="AT23" s="150">
        <f t="shared" ref="AT23:BB23" si="21">AT17+AT21</f>
        <v>331.4</v>
      </c>
      <c r="AU23" s="150">
        <f t="shared" si="21"/>
        <v>569.59999999999957</v>
      </c>
      <c r="AV23" s="151">
        <f t="shared" si="21"/>
        <v>386.20000000000101</v>
      </c>
      <c r="AW23" s="112">
        <f t="shared" si="21"/>
        <v>1765.9</v>
      </c>
      <c r="AX23" s="149">
        <f t="shared" si="21"/>
        <v>464.40588058842832</v>
      </c>
      <c r="AY23" s="150">
        <f t="shared" si="21"/>
        <v>310.58179449050249</v>
      </c>
      <c r="AZ23" s="150">
        <f t="shared" si="21"/>
        <v>568.62675038305269</v>
      </c>
      <c r="BA23" s="151">
        <f t="shared" si="21"/>
        <v>371.57902115639558</v>
      </c>
      <c r="BB23" s="112">
        <f t="shared" si="21"/>
        <v>1715.1934466183782</v>
      </c>
      <c r="BC23" s="149">
        <f t="shared" ref="BC23:BL23" si="22">BC17+BC21</f>
        <v>544.7935494703604</v>
      </c>
      <c r="BD23" s="150">
        <f t="shared" si="22"/>
        <v>355.05265334605997</v>
      </c>
      <c r="BE23" s="150">
        <f t="shared" si="22"/>
        <v>612.1212982212603</v>
      </c>
      <c r="BF23" s="151">
        <f t="shared" si="22"/>
        <v>403.49058115486355</v>
      </c>
      <c r="BG23" s="112">
        <f t="shared" si="22"/>
        <v>1915.4580821925438</v>
      </c>
      <c r="BH23" s="149">
        <f t="shared" si="22"/>
        <v>578.8047581742253</v>
      </c>
      <c r="BI23" s="150">
        <f t="shared" si="22"/>
        <v>384.50652554164475</v>
      </c>
      <c r="BJ23" s="150">
        <f t="shared" si="22"/>
        <v>657.72069217336002</v>
      </c>
      <c r="BK23" s="151">
        <f t="shared" si="22"/>
        <v>438.56227054709956</v>
      </c>
      <c r="BL23" s="112">
        <f t="shared" si="22"/>
        <v>2059.5942464363306</v>
      </c>
      <c r="BM23" s="149">
        <f>BM17+BM21</f>
        <v>655.38532052775122</v>
      </c>
      <c r="BN23" s="150">
        <f>BN17+BN21</f>
        <v>447.10128483890259</v>
      </c>
      <c r="BO23" s="150">
        <f>BO17+BO21</f>
        <v>723.29115976206572</v>
      </c>
      <c r="BP23" s="151">
        <f>BP17+BP21</f>
        <v>496.66819931849597</v>
      </c>
      <c r="BQ23" s="112">
        <f>BQ17+BQ21</f>
        <v>2322.4459644472145</v>
      </c>
      <c r="BR23" s="74"/>
      <c r="BS23" s="74"/>
      <c r="BV23" s="74"/>
      <c r="BW23" s="74"/>
      <c r="BX23" s="74"/>
      <c r="BY23" s="74"/>
      <c r="BZ23" s="74"/>
      <c r="CA23" s="74"/>
      <c r="CB23" s="74"/>
      <c r="CC23" s="74"/>
      <c r="CD23" s="74"/>
      <c r="CE23" s="74"/>
      <c r="CF23" s="74"/>
      <c r="CG23" s="74"/>
      <c r="CH23" s="74"/>
      <c r="CI23" s="74"/>
      <c r="CJ23" s="74"/>
      <c r="CK23" s="74"/>
      <c r="CL23" s="74"/>
      <c r="CM23" s="74"/>
      <c r="CN23" s="74"/>
      <c r="CO23" s="74"/>
      <c r="CP23" s="74"/>
      <c r="CQ23" s="74"/>
      <c r="CR23" s="74"/>
      <c r="CS23" s="74"/>
      <c r="CT23" s="74"/>
      <c r="CU23" s="74"/>
    </row>
    <row r="24" spans="1:104">
      <c r="A24" s="74"/>
      <c r="B24" s="74"/>
      <c r="C24" s="56" t="s">
        <v>4</v>
      </c>
      <c r="D24" s="72"/>
      <c r="E24" s="149"/>
      <c r="F24" s="150"/>
      <c r="G24" s="150"/>
      <c r="H24" s="151"/>
      <c r="I24" s="112"/>
      <c r="J24" s="149"/>
      <c r="K24" s="150"/>
      <c r="L24" s="150"/>
      <c r="M24" s="151"/>
      <c r="N24" s="112"/>
      <c r="O24" s="149"/>
      <c r="P24" s="150"/>
      <c r="Q24" s="150"/>
      <c r="R24" s="151"/>
      <c r="S24" s="112"/>
      <c r="T24" s="149"/>
      <c r="U24" s="150"/>
      <c r="V24" s="150"/>
      <c r="W24" s="151"/>
      <c r="X24" s="112">
        <f t="shared" ref="X24:AF24" si="23">+X23+X13</f>
        <v>2534</v>
      </c>
      <c r="Y24" s="149">
        <f t="shared" si="23"/>
        <v>655</v>
      </c>
      <c r="Z24" s="150">
        <f t="shared" si="23"/>
        <v>607</v>
      </c>
      <c r="AA24" s="150">
        <f t="shared" si="23"/>
        <v>666</v>
      </c>
      <c r="AB24" s="151">
        <f t="shared" si="23"/>
        <v>623</v>
      </c>
      <c r="AC24" s="112">
        <f t="shared" si="23"/>
        <v>2551</v>
      </c>
      <c r="AD24" s="149">
        <f t="shared" si="23"/>
        <v>829</v>
      </c>
      <c r="AE24" s="150">
        <f t="shared" si="23"/>
        <v>626</v>
      </c>
      <c r="AF24" s="150">
        <f t="shared" si="23"/>
        <v>743</v>
      </c>
      <c r="AG24" s="151">
        <f t="shared" ref="AG24:AM24" si="24">+AG23+AG13</f>
        <v>501</v>
      </c>
      <c r="AH24" s="112">
        <f t="shared" si="24"/>
        <v>2699</v>
      </c>
      <c r="AI24" s="149">
        <f t="shared" si="24"/>
        <v>865</v>
      </c>
      <c r="AJ24" s="150">
        <f t="shared" si="24"/>
        <v>712</v>
      </c>
      <c r="AK24" s="150">
        <f t="shared" si="24"/>
        <v>810</v>
      </c>
      <c r="AL24" s="151">
        <f t="shared" si="24"/>
        <v>522.2000000000005</v>
      </c>
      <c r="AM24" s="112">
        <f t="shared" si="24"/>
        <v>2909.2000000000007</v>
      </c>
      <c r="AN24" s="149">
        <f t="shared" ref="AN24:AS24" si="25">+AN23+AN13</f>
        <v>793.09999999999968</v>
      </c>
      <c r="AO24" s="150">
        <f t="shared" si="25"/>
        <v>719.7</v>
      </c>
      <c r="AP24" s="150">
        <f t="shared" si="25"/>
        <v>926.30000000000018</v>
      </c>
      <c r="AQ24" s="151">
        <f t="shared" si="25"/>
        <v>525.2999999999995</v>
      </c>
      <c r="AR24" s="112">
        <f t="shared" si="25"/>
        <v>2964.3999999999996</v>
      </c>
      <c r="AS24" s="149">
        <f t="shared" si="25"/>
        <v>757.00000000000011</v>
      </c>
      <c r="AT24" s="150">
        <f t="shared" ref="AT24:BB24" si="26">+AT23+AT13</f>
        <v>609.4</v>
      </c>
      <c r="AU24" s="150">
        <f t="shared" si="26"/>
        <v>858.39999999999964</v>
      </c>
      <c r="AV24" s="151">
        <f t="shared" si="26"/>
        <v>683.60000000000105</v>
      </c>
      <c r="AW24" s="112">
        <f t="shared" si="26"/>
        <v>2908.4</v>
      </c>
      <c r="AX24" s="149">
        <f t="shared" si="26"/>
        <v>759.0957805884284</v>
      </c>
      <c r="AY24" s="150">
        <f t="shared" si="26"/>
        <v>604.19297117800261</v>
      </c>
      <c r="AZ24" s="150">
        <f t="shared" si="26"/>
        <v>865.40830831824815</v>
      </c>
      <c r="BA24" s="151">
        <f t="shared" si="26"/>
        <v>671.49727503852955</v>
      </c>
      <c r="BB24" s="112">
        <f t="shared" si="26"/>
        <v>2900.1943351232076</v>
      </c>
      <c r="BC24" s="149">
        <f t="shared" ref="BC24:BL24" si="27">+BC23+BC13</f>
        <v>844.25021164105988</v>
      </c>
      <c r="BD24" s="150">
        <f t="shared" si="27"/>
        <v>655.153945563967</v>
      </c>
      <c r="BE24" s="150">
        <f t="shared" si="27"/>
        <v>917.0016518708793</v>
      </c>
      <c r="BF24" s="151">
        <f t="shared" si="27"/>
        <v>713.09981609116153</v>
      </c>
      <c r="BG24" s="112">
        <f t="shared" si="27"/>
        <v>3129.5056251670671</v>
      </c>
      <c r="BH24" s="149">
        <f t="shared" si="27"/>
        <v>893.09322114369218</v>
      </c>
      <c r="BI24" s="150">
        <f t="shared" si="27"/>
        <v>705.42323464993228</v>
      </c>
      <c r="BJ24" s="150">
        <f t="shared" si="27"/>
        <v>982.28965083601054</v>
      </c>
      <c r="BK24" s="151">
        <f t="shared" si="27"/>
        <v>766.74513014379227</v>
      </c>
      <c r="BL24" s="112">
        <f t="shared" si="27"/>
        <v>3347.5512367734282</v>
      </c>
      <c r="BM24" s="149">
        <f>+BM23+BM13</f>
        <v>987.14413509867859</v>
      </c>
      <c r="BN24" s="150">
        <f>+BN23+BN13</f>
        <v>796.78350685683517</v>
      </c>
      <c r="BO24" s="150">
        <f>+BO23+BO13</f>
        <v>1075.4835934488101</v>
      </c>
      <c r="BP24" s="151">
        <f>+BP23+BP13</f>
        <v>851.34448745152952</v>
      </c>
      <c r="BQ24" s="112">
        <f>+BQ23+BQ13</f>
        <v>3710.7557228558526</v>
      </c>
      <c r="BR24" s="74"/>
      <c r="BS24" s="74"/>
      <c r="BV24" s="74"/>
      <c r="BW24" s="74"/>
      <c r="BX24" s="74"/>
      <c r="BY24" s="74"/>
      <c r="BZ24" s="74"/>
      <c r="CA24" s="74"/>
      <c r="CB24" s="74"/>
      <c r="CC24" s="74"/>
      <c r="CD24" s="74"/>
      <c r="CE24" s="74"/>
      <c r="CF24" s="74"/>
      <c r="CG24" s="74"/>
      <c r="CH24" s="74"/>
      <c r="CI24" s="74"/>
      <c r="CJ24" s="74"/>
      <c r="CK24" s="74"/>
      <c r="CL24" s="74"/>
      <c r="CM24" s="74"/>
      <c r="CN24" s="74"/>
      <c r="CO24" s="74"/>
      <c r="CP24" s="74"/>
      <c r="CQ24" s="74"/>
      <c r="CR24" s="74"/>
      <c r="CS24" s="74"/>
      <c r="CT24" s="74"/>
      <c r="CU24" s="74"/>
    </row>
    <row r="25" spans="1:104">
      <c r="A25" s="74"/>
      <c r="B25" s="74"/>
      <c r="C25" s="50"/>
      <c r="D25" s="72"/>
      <c r="E25" s="171"/>
      <c r="F25" s="163"/>
      <c r="G25" s="163"/>
      <c r="H25" s="173"/>
      <c r="I25" s="64"/>
      <c r="J25" s="171"/>
      <c r="K25" s="163"/>
      <c r="L25" s="163"/>
      <c r="M25" s="173"/>
      <c r="N25" s="64"/>
      <c r="O25" s="171"/>
      <c r="P25" s="163"/>
      <c r="Q25" s="163"/>
      <c r="R25" s="173"/>
      <c r="S25" s="64"/>
      <c r="T25" s="171"/>
      <c r="U25" s="163"/>
      <c r="V25" s="163"/>
      <c r="W25" s="173"/>
      <c r="X25" s="64"/>
      <c r="Y25" s="171"/>
      <c r="Z25" s="163"/>
      <c r="AA25" s="163"/>
      <c r="AB25" s="173"/>
      <c r="AC25" s="64"/>
      <c r="AD25" s="171"/>
      <c r="AE25" s="163"/>
      <c r="AF25" s="163"/>
      <c r="AG25" s="173"/>
      <c r="AH25" s="64"/>
      <c r="AI25" s="171"/>
      <c r="AJ25" s="163"/>
      <c r="AK25" s="163"/>
      <c r="AL25" s="173"/>
      <c r="AM25" s="64"/>
      <c r="AN25" s="171"/>
      <c r="AO25" s="163"/>
      <c r="AP25" s="163"/>
      <c r="AQ25" s="173"/>
      <c r="AR25" s="64"/>
      <c r="AS25" s="171"/>
      <c r="AT25" s="163"/>
      <c r="AU25" s="163"/>
      <c r="AV25" s="173"/>
      <c r="AW25" s="64"/>
      <c r="AX25" s="148"/>
      <c r="AY25" s="163"/>
      <c r="AZ25" s="163"/>
      <c r="BA25" s="147"/>
      <c r="BB25" s="74"/>
      <c r="BC25" s="148"/>
      <c r="BD25" s="163"/>
      <c r="BE25" s="163"/>
      <c r="BF25" s="147"/>
      <c r="BG25" s="74"/>
      <c r="BH25" s="148"/>
      <c r="BI25" s="163"/>
      <c r="BJ25" s="163"/>
      <c r="BK25" s="147"/>
      <c r="BL25" s="74"/>
      <c r="BM25" s="148"/>
      <c r="BN25" s="163"/>
      <c r="BO25" s="163"/>
      <c r="BP25" s="147"/>
      <c r="BQ25" s="74"/>
      <c r="BR25" s="74"/>
      <c r="BS25" s="74"/>
      <c r="BV25" s="74"/>
      <c r="BW25" s="74"/>
      <c r="BX25" s="74"/>
      <c r="BY25" s="74"/>
      <c r="BZ25" s="74"/>
      <c r="CA25" s="74"/>
      <c r="CB25" s="74"/>
      <c r="CC25" s="74"/>
      <c r="CD25" s="74"/>
      <c r="CE25" s="74"/>
      <c r="CF25" s="74"/>
      <c r="CG25" s="74"/>
      <c r="CH25" s="74"/>
      <c r="CI25" s="74"/>
      <c r="CJ25" s="74"/>
      <c r="CK25" s="74"/>
      <c r="CL25" s="74"/>
      <c r="CM25" s="74"/>
      <c r="CN25" s="74"/>
      <c r="CO25" s="74"/>
      <c r="CP25" s="74"/>
      <c r="CQ25" s="74"/>
      <c r="CR25" s="74"/>
      <c r="CS25" s="74"/>
      <c r="CT25" s="74"/>
      <c r="CU25" s="74"/>
    </row>
    <row r="26" spans="1:104" s="570" customFormat="1">
      <c r="A26" s="568"/>
      <c r="B26" s="568"/>
      <c r="C26" s="569" t="s">
        <v>342</v>
      </c>
      <c r="D26" s="568"/>
      <c r="E26" s="142"/>
      <c r="F26" s="159"/>
      <c r="G26" s="159"/>
      <c r="H26" s="157"/>
      <c r="I26" s="544"/>
      <c r="J26" s="142"/>
      <c r="K26" s="159"/>
      <c r="L26" s="159"/>
      <c r="M26" s="157"/>
      <c r="N26" s="544"/>
      <c r="O26" s="142"/>
      <c r="P26" s="159"/>
      <c r="Q26" s="159"/>
      <c r="R26" s="157"/>
      <c r="S26" s="544"/>
      <c r="T26" s="142"/>
      <c r="U26" s="159"/>
      <c r="V26" s="159"/>
      <c r="W26" s="157"/>
      <c r="X26" s="544">
        <v>5</v>
      </c>
      <c r="Y26" s="142">
        <v>3</v>
      </c>
      <c r="Z26" s="159">
        <v>4</v>
      </c>
      <c r="AA26" s="159">
        <v>0</v>
      </c>
      <c r="AB26" s="157">
        <f>AC26-SUM(Y26:AA26)</f>
        <v>0</v>
      </c>
      <c r="AC26" s="544">
        <v>7</v>
      </c>
      <c r="AD26" s="142">
        <v>1</v>
      </c>
      <c r="AE26" s="159">
        <v>0</v>
      </c>
      <c r="AF26" s="159">
        <v>2</v>
      </c>
      <c r="AG26" s="157">
        <f>AH26-SUM(AD26:AF26)</f>
        <v>1</v>
      </c>
      <c r="AH26" s="544">
        <v>4</v>
      </c>
      <c r="AI26" s="142">
        <v>1</v>
      </c>
      <c r="AJ26" s="159">
        <v>2</v>
      </c>
      <c r="AK26" s="159">
        <v>1</v>
      </c>
      <c r="AL26" s="157">
        <f>AM26-SUM(AI26:AK26)</f>
        <v>12.399999999999999</v>
      </c>
      <c r="AM26" s="544">
        <v>16.399999999999999</v>
      </c>
      <c r="AN26" s="142">
        <v>0.6</v>
      </c>
      <c r="AO26" s="159">
        <v>1</v>
      </c>
      <c r="AP26" s="159">
        <v>0.8</v>
      </c>
      <c r="AQ26" s="157">
        <f>AR26-SUM(AN26:AP26)</f>
        <v>2.3999999999999995</v>
      </c>
      <c r="AR26" s="544">
        <v>4.8</v>
      </c>
      <c r="AS26" s="142">
        <v>3.1</v>
      </c>
      <c r="AT26" s="159">
        <v>1</v>
      </c>
      <c r="AU26" s="159">
        <v>1.3</v>
      </c>
      <c r="AV26" s="157">
        <f>AW26-SUM(AS26:AU26)</f>
        <v>1.4000000000000004</v>
      </c>
      <c r="AW26" s="544">
        <v>6.8</v>
      </c>
      <c r="AX26" s="148">
        <f>+AS26</f>
        <v>3.1</v>
      </c>
      <c r="AY26" s="146">
        <f>+AT26</f>
        <v>1</v>
      </c>
      <c r="AZ26" s="146">
        <f>+AU26</f>
        <v>1.3</v>
      </c>
      <c r="BA26" s="144">
        <f>+AV26</f>
        <v>1.4000000000000004</v>
      </c>
      <c r="BB26" s="72">
        <f>SUM(AX26:BA26)</f>
        <v>6.8</v>
      </c>
      <c r="BC26" s="148">
        <f>+AX26</f>
        <v>3.1</v>
      </c>
      <c r="BD26" s="146">
        <f>+AY26</f>
        <v>1</v>
      </c>
      <c r="BE26" s="146">
        <f>+AZ26</f>
        <v>1.3</v>
      </c>
      <c r="BF26" s="144">
        <f>+BA26</f>
        <v>1.4000000000000004</v>
      </c>
      <c r="BG26" s="72">
        <f>SUM(BC26:BF26)</f>
        <v>6.8</v>
      </c>
      <c r="BH26" s="148">
        <f>+BC26</f>
        <v>3.1</v>
      </c>
      <c r="BI26" s="146">
        <f>+BD26</f>
        <v>1</v>
      </c>
      <c r="BJ26" s="146">
        <f>+BE26</f>
        <v>1.3</v>
      </c>
      <c r="BK26" s="144">
        <f>+BF26</f>
        <v>1.4000000000000004</v>
      </c>
      <c r="BL26" s="72">
        <f>SUM(BH26:BK26)</f>
        <v>6.8</v>
      </c>
      <c r="BM26" s="148">
        <f>+BH26</f>
        <v>3.1</v>
      </c>
      <c r="BN26" s="146">
        <f>+BI26</f>
        <v>1</v>
      </c>
      <c r="BO26" s="146">
        <f>+BJ26</f>
        <v>1.3</v>
      </c>
      <c r="BP26" s="144">
        <f>+BK26</f>
        <v>1.4000000000000004</v>
      </c>
      <c r="BQ26" s="72">
        <f>SUM(BM26:BP26)</f>
        <v>6.8</v>
      </c>
      <c r="BR26" s="568"/>
      <c r="BS26" s="568"/>
      <c r="BT26"/>
      <c r="BU26"/>
      <c r="BV26" s="568"/>
      <c r="BW26" s="568"/>
      <c r="BX26" s="568"/>
      <c r="BY26" s="568"/>
      <c r="BZ26" s="568"/>
      <c r="CA26" s="568"/>
      <c r="CB26" s="568"/>
      <c r="CC26" s="568"/>
      <c r="CD26" s="568"/>
      <c r="CE26" s="568"/>
      <c r="CF26" s="568"/>
      <c r="CG26" s="568"/>
      <c r="CH26" s="568"/>
      <c r="CI26" s="568"/>
      <c r="CJ26" s="568"/>
      <c r="CK26" s="568"/>
      <c r="CL26" s="568"/>
      <c r="CM26" s="568"/>
      <c r="CN26" s="568"/>
      <c r="CO26" s="568"/>
      <c r="CP26" s="568"/>
      <c r="CQ26" s="568"/>
      <c r="CR26" s="568"/>
      <c r="CS26" s="568"/>
      <c r="CT26" s="568"/>
      <c r="CU26" s="568"/>
      <c r="CV26" s="568"/>
      <c r="CW26" s="568"/>
      <c r="CX26" s="568"/>
      <c r="CY26" s="568"/>
      <c r="CZ26" s="568"/>
    </row>
    <row r="27" spans="1:104">
      <c r="A27" s="74"/>
      <c r="B27" s="74"/>
      <c r="C27" s="50" t="s">
        <v>5</v>
      </c>
      <c r="D27" s="72"/>
      <c r="E27" s="142"/>
      <c r="F27" s="143"/>
      <c r="G27" s="143"/>
      <c r="H27" s="157"/>
      <c r="I27" s="145"/>
      <c r="J27" s="142"/>
      <c r="K27" s="143"/>
      <c r="L27" s="143"/>
      <c r="M27" s="157"/>
      <c r="N27" s="145"/>
      <c r="O27" s="142"/>
      <c r="P27" s="143"/>
      <c r="Q27" s="143"/>
      <c r="R27" s="157"/>
      <c r="S27" s="145"/>
      <c r="T27" s="142"/>
      <c r="U27" s="143"/>
      <c r="V27" s="143"/>
      <c r="W27" s="157"/>
      <c r="X27" s="145">
        <v>520</v>
      </c>
      <c r="Y27" s="142">
        <v>136</v>
      </c>
      <c r="Z27" s="143">
        <v>136</v>
      </c>
      <c r="AA27" s="143">
        <v>136</v>
      </c>
      <c r="AB27" s="157">
        <f>AC27-SUM(Y27:AA27)</f>
        <v>132</v>
      </c>
      <c r="AC27" s="145">
        <v>540</v>
      </c>
      <c r="AD27" s="142">
        <v>131</v>
      </c>
      <c r="AE27" s="143">
        <v>132</v>
      </c>
      <c r="AF27" s="143">
        <v>133</v>
      </c>
      <c r="AG27" s="157">
        <f>AH27-SUM(AD27:AF27)</f>
        <v>130</v>
      </c>
      <c r="AH27" s="145">
        <v>526</v>
      </c>
      <c r="AI27" s="142">
        <v>131</v>
      </c>
      <c r="AJ27" s="143">
        <v>131</v>
      </c>
      <c r="AK27" s="143">
        <v>130</v>
      </c>
      <c r="AL27" s="157">
        <f>AM27-SUM(AI27:AK27)</f>
        <v>125.39999999999998</v>
      </c>
      <c r="AM27" s="145">
        <v>517.4</v>
      </c>
      <c r="AN27" s="142">
        <v>127.3</v>
      </c>
      <c r="AO27" s="143">
        <v>135.9</v>
      </c>
      <c r="AP27" s="143">
        <v>136.69999999999999</v>
      </c>
      <c r="AQ27" s="157">
        <f>AR27-SUM(AN27:AP27)</f>
        <v>122.20000000000005</v>
      </c>
      <c r="AR27" s="145">
        <v>522.1</v>
      </c>
      <c r="AS27" s="142">
        <v>134.9</v>
      </c>
      <c r="AT27" s="143">
        <v>136.69999999999999</v>
      </c>
      <c r="AU27" s="143">
        <v>134.9</v>
      </c>
      <c r="AV27" s="157">
        <f>AW27-SUM(AS27:AU27)</f>
        <v>133.5</v>
      </c>
      <c r="AW27" s="145">
        <v>540</v>
      </c>
      <c r="AX27" s="148">
        <f>+AS27+AX165+AX167+AX168-AX157</f>
        <v>130.15147996874998</v>
      </c>
      <c r="AY27" s="146">
        <f>+AT27+AY165+AY167+AY168-AY157</f>
        <v>127.89491099639521</v>
      </c>
      <c r="AZ27" s="146">
        <f>+AU27+AZ165+AZ167+AZ168-AZ157</f>
        <v>150.61028928901345</v>
      </c>
      <c r="BA27" s="147">
        <f>+AV27+BA165+BA167+BA168-BA157</f>
        <v>140.7775176975484</v>
      </c>
      <c r="BB27" s="72">
        <f>SUM(AX27:BA27)</f>
        <v>549.43419795170701</v>
      </c>
      <c r="BC27" s="148">
        <f>+AX27+BC165+BC167+BC168-BC157</f>
        <v>125.22929293698058</v>
      </c>
      <c r="BD27" s="146">
        <f>+AY27+BD165+BD167+BD168-BD157</f>
        <v>125.3547154446606</v>
      </c>
      <c r="BE27" s="146">
        <f>+AZ27+BE165+BE167+BE168-BE157</f>
        <v>168.07830351821235</v>
      </c>
      <c r="BF27" s="147">
        <f>+BA27+BF165+BF167+BF168-BF157</f>
        <v>145.93664232640305</v>
      </c>
      <c r="BG27" s="72">
        <f>SUM(BC27:BF27)</f>
        <v>564.59895422625664</v>
      </c>
      <c r="BH27" s="148">
        <f>+BC27+BH165+BH167+BH168-BH157</f>
        <v>143.41586284443309</v>
      </c>
      <c r="BI27" s="146">
        <f>+BD27+BI165+BI167+BI168-BI157</f>
        <v>143.85678735047867</v>
      </c>
      <c r="BJ27" s="146">
        <f>+BE27+BJ165+BJ167+BJ168-BJ157</f>
        <v>167.40012155696334</v>
      </c>
      <c r="BK27" s="147">
        <f>+BF27+BK165+BK167+BK168-BK157</f>
        <v>145.25760953015873</v>
      </c>
      <c r="BL27" s="72">
        <f>SUM(BH27:BK27)</f>
        <v>599.93038128203375</v>
      </c>
      <c r="BM27" s="148">
        <f>+BH27+BM165+BM167+BM168</f>
        <v>139.50995086834746</v>
      </c>
      <c r="BN27" s="146">
        <f>+BI27+BN165+BN167+BN168</f>
        <v>144.67051307156299</v>
      </c>
      <c r="BO27" s="146">
        <f>+BJ27+BO165+BO167+BO168</f>
        <v>197.23316479273657</v>
      </c>
      <c r="BP27" s="147">
        <f>+BK27+BP165+BP167+BP168</f>
        <v>163.74533206948385</v>
      </c>
      <c r="BQ27" s="72">
        <f>SUM(BM27:BP27)</f>
        <v>645.15896080213088</v>
      </c>
      <c r="BR27" s="568"/>
      <c r="BS27" s="568"/>
      <c r="BV27" s="568"/>
      <c r="BW27" s="568"/>
      <c r="BX27" s="568"/>
      <c r="BY27" s="568"/>
      <c r="BZ27" s="568"/>
      <c r="CA27" s="74"/>
      <c r="CB27" s="74"/>
      <c r="CC27" s="74"/>
      <c r="CD27" s="74"/>
      <c r="CE27" s="74"/>
      <c r="CF27" s="74"/>
      <c r="CG27" s="74"/>
      <c r="CH27" s="74"/>
      <c r="CI27" s="74"/>
      <c r="CJ27" s="74"/>
      <c r="CK27" s="74"/>
      <c r="CL27" s="74"/>
      <c r="CM27" s="74"/>
      <c r="CN27" s="74"/>
      <c r="CO27" s="74"/>
      <c r="CP27" s="74"/>
      <c r="CQ27" s="74"/>
      <c r="CR27" s="74"/>
      <c r="CS27" s="74"/>
      <c r="CT27" s="74"/>
      <c r="CU27" s="74"/>
    </row>
    <row r="28" spans="1:104">
      <c r="A28" s="74"/>
      <c r="B28" s="74"/>
      <c r="C28" s="56" t="s">
        <v>6</v>
      </c>
      <c r="D28" s="72"/>
      <c r="E28" s="149"/>
      <c r="F28" s="150"/>
      <c r="G28" s="150"/>
      <c r="H28" s="151"/>
      <c r="I28" s="112"/>
      <c r="J28" s="149"/>
      <c r="K28" s="150"/>
      <c r="L28" s="150"/>
      <c r="M28" s="151"/>
      <c r="N28" s="112"/>
      <c r="O28" s="149"/>
      <c r="P28" s="150"/>
      <c r="Q28" s="150"/>
      <c r="R28" s="151"/>
      <c r="S28" s="112"/>
      <c r="T28" s="149"/>
      <c r="U28" s="150"/>
      <c r="V28" s="150"/>
      <c r="W28" s="151"/>
      <c r="X28" s="112">
        <f t="shared" ref="X28:AF28" si="28">X27-X26</f>
        <v>515</v>
      </c>
      <c r="Y28" s="149">
        <f t="shared" si="28"/>
        <v>133</v>
      </c>
      <c r="Z28" s="150">
        <f t="shared" si="28"/>
        <v>132</v>
      </c>
      <c r="AA28" s="150">
        <f t="shared" si="28"/>
        <v>136</v>
      </c>
      <c r="AB28" s="151">
        <f t="shared" si="28"/>
        <v>132</v>
      </c>
      <c r="AC28" s="112">
        <f t="shared" si="28"/>
        <v>533</v>
      </c>
      <c r="AD28" s="149">
        <f t="shared" si="28"/>
        <v>130</v>
      </c>
      <c r="AE28" s="150">
        <f t="shared" si="28"/>
        <v>132</v>
      </c>
      <c r="AF28" s="150">
        <f t="shared" si="28"/>
        <v>131</v>
      </c>
      <c r="AG28" s="151">
        <f t="shared" ref="AG28:AM28" si="29">AG27-AG26</f>
        <v>129</v>
      </c>
      <c r="AH28" s="112">
        <f t="shared" si="29"/>
        <v>522</v>
      </c>
      <c r="AI28" s="149">
        <f t="shared" si="29"/>
        <v>130</v>
      </c>
      <c r="AJ28" s="150">
        <f t="shared" si="29"/>
        <v>129</v>
      </c>
      <c r="AK28" s="150">
        <f t="shared" si="29"/>
        <v>129</v>
      </c>
      <c r="AL28" s="151">
        <f t="shared" si="29"/>
        <v>112.99999999999997</v>
      </c>
      <c r="AM28" s="112">
        <f t="shared" si="29"/>
        <v>501</v>
      </c>
      <c r="AN28" s="149">
        <f t="shared" ref="AN28:AS28" si="30">AN27-AN26</f>
        <v>126.7</v>
      </c>
      <c r="AO28" s="150">
        <f t="shared" si="30"/>
        <v>134.9</v>
      </c>
      <c r="AP28" s="150">
        <f t="shared" si="30"/>
        <v>135.89999999999998</v>
      </c>
      <c r="AQ28" s="151">
        <f t="shared" si="30"/>
        <v>119.80000000000004</v>
      </c>
      <c r="AR28" s="112">
        <f t="shared" si="30"/>
        <v>517.30000000000007</v>
      </c>
      <c r="AS28" s="149">
        <f t="shared" si="30"/>
        <v>131.80000000000001</v>
      </c>
      <c r="AT28" s="150">
        <f t="shared" ref="AT28:BB28" si="31">AT27-AT26</f>
        <v>135.69999999999999</v>
      </c>
      <c r="AU28" s="150">
        <f t="shared" si="31"/>
        <v>133.6</v>
      </c>
      <c r="AV28" s="151">
        <f t="shared" si="31"/>
        <v>132.1</v>
      </c>
      <c r="AW28" s="112">
        <f t="shared" si="31"/>
        <v>533.20000000000005</v>
      </c>
      <c r="AX28" s="149">
        <f t="shared" si="31"/>
        <v>127.05147996874999</v>
      </c>
      <c r="AY28" s="150">
        <f t="shared" si="31"/>
        <v>126.89491099639521</v>
      </c>
      <c r="AZ28" s="150">
        <f t="shared" si="31"/>
        <v>149.31028928901344</v>
      </c>
      <c r="BA28" s="151">
        <f t="shared" si="31"/>
        <v>139.3775176975484</v>
      </c>
      <c r="BB28" s="112">
        <f t="shared" si="31"/>
        <v>542.63419795170705</v>
      </c>
      <c r="BC28" s="149">
        <f t="shared" ref="BC28:BL28" si="32">BC27-BC26</f>
        <v>122.12929293698059</v>
      </c>
      <c r="BD28" s="150">
        <f t="shared" si="32"/>
        <v>124.3547154446606</v>
      </c>
      <c r="BE28" s="150">
        <f t="shared" si="32"/>
        <v>166.77830351821234</v>
      </c>
      <c r="BF28" s="151">
        <f t="shared" si="32"/>
        <v>144.53664232640304</v>
      </c>
      <c r="BG28" s="112">
        <f t="shared" si="32"/>
        <v>557.79895422625668</v>
      </c>
      <c r="BH28" s="149">
        <f t="shared" si="32"/>
        <v>140.3158628444331</v>
      </c>
      <c r="BI28" s="150">
        <f t="shared" si="32"/>
        <v>142.85678735047867</v>
      </c>
      <c r="BJ28" s="150">
        <f t="shared" si="32"/>
        <v>166.10012155696333</v>
      </c>
      <c r="BK28" s="151">
        <f t="shared" si="32"/>
        <v>143.85760953015873</v>
      </c>
      <c r="BL28" s="112">
        <f t="shared" si="32"/>
        <v>593.1303812820338</v>
      </c>
      <c r="BM28" s="149">
        <f>BM27-BM26</f>
        <v>136.40995086834747</v>
      </c>
      <c r="BN28" s="150">
        <f>BN27-BN26</f>
        <v>143.67051307156299</v>
      </c>
      <c r="BO28" s="150">
        <f>BO27-BO26</f>
        <v>195.93316479273656</v>
      </c>
      <c r="BP28" s="151">
        <f>BP27-BP26</f>
        <v>162.34533206948385</v>
      </c>
      <c r="BQ28" s="112">
        <f>BQ27-BQ26</f>
        <v>638.35896080213092</v>
      </c>
      <c r="BR28" s="74"/>
      <c r="BS28" s="74"/>
      <c r="BV28" s="74"/>
      <c r="BW28" s="74"/>
      <c r="BX28" s="74"/>
      <c r="BY28" s="74"/>
      <c r="BZ28" s="74"/>
      <c r="CA28" s="74"/>
      <c r="CB28" s="74"/>
      <c r="CC28" s="74"/>
      <c r="CD28" s="74"/>
      <c r="CE28" s="74"/>
      <c r="CF28" s="74"/>
      <c r="CG28" s="74"/>
      <c r="CH28" s="74"/>
      <c r="CI28" s="74"/>
      <c r="CJ28" s="74"/>
      <c r="CK28" s="74"/>
      <c r="CL28" s="74"/>
      <c r="CM28" s="74"/>
      <c r="CN28" s="74"/>
      <c r="CO28" s="74"/>
      <c r="CP28" s="74"/>
      <c r="CQ28" s="74"/>
      <c r="CR28" s="74"/>
      <c r="CS28" s="74"/>
      <c r="CT28" s="74"/>
      <c r="CU28" s="74"/>
    </row>
    <row r="29" spans="1:104">
      <c r="A29" s="74"/>
      <c r="B29" s="74"/>
      <c r="C29" s="50"/>
      <c r="D29" s="72"/>
      <c r="E29" s="171"/>
      <c r="F29" s="163"/>
      <c r="G29" s="163"/>
      <c r="H29" s="173"/>
      <c r="I29" s="64"/>
      <c r="J29" s="171"/>
      <c r="K29" s="163"/>
      <c r="L29" s="163"/>
      <c r="M29" s="173"/>
      <c r="N29" s="64"/>
      <c r="O29" s="171"/>
      <c r="P29" s="163"/>
      <c r="Q29" s="163"/>
      <c r="R29" s="173"/>
      <c r="S29" s="64"/>
      <c r="T29" s="171"/>
      <c r="U29" s="163"/>
      <c r="V29" s="163"/>
      <c r="W29" s="173"/>
      <c r="X29" s="64"/>
      <c r="Y29" s="171"/>
      <c r="Z29" s="163"/>
      <c r="AA29" s="163"/>
      <c r="AB29" s="173"/>
      <c r="AC29" s="64"/>
      <c r="AD29" s="171"/>
      <c r="AE29" s="163"/>
      <c r="AF29" s="163"/>
      <c r="AG29" s="173"/>
      <c r="AH29" s="64"/>
      <c r="AI29" s="171"/>
      <c r="AJ29" s="163"/>
      <c r="AK29" s="163"/>
      <c r="AL29" s="173"/>
      <c r="AM29" s="64"/>
      <c r="AN29" s="171"/>
      <c r="AO29" s="163"/>
      <c r="AP29" s="163"/>
      <c r="AQ29" s="173"/>
      <c r="AR29" s="64"/>
      <c r="AS29" s="171"/>
      <c r="AT29" s="163"/>
      <c r="AU29" s="163"/>
      <c r="AV29" s="173"/>
      <c r="AW29" s="64"/>
      <c r="AX29" s="148"/>
      <c r="AY29" s="163"/>
      <c r="AZ29" s="163"/>
      <c r="BA29" s="147"/>
      <c r="BB29" s="74"/>
      <c r="BC29" s="148"/>
      <c r="BD29" s="163"/>
      <c r="BE29" s="163"/>
      <c r="BF29" s="147"/>
      <c r="BG29" s="74"/>
      <c r="BH29" s="148"/>
      <c r="BI29" s="163"/>
      <c r="BJ29" s="163"/>
      <c r="BK29" s="147"/>
      <c r="BL29" s="74"/>
      <c r="BM29" s="148"/>
      <c r="BN29" s="163"/>
      <c r="BO29" s="163"/>
      <c r="BP29" s="147"/>
      <c r="BQ29" s="74"/>
      <c r="BR29" s="74"/>
      <c r="BS29" s="74"/>
      <c r="BV29" s="74"/>
      <c r="BW29" s="74"/>
      <c r="BX29" s="74"/>
      <c r="BY29" s="74"/>
      <c r="BZ29" s="74"/>
      <c r="CA29" s="74"/>
      <c r="CB29" s="74"/>
      <c r="CC29" s="74"/>
      <c r="CD29" s="74"/>
      <c r="CE29" s="74"/>
      <c r="CF29" s="74"/>
      <c r="CG29" s="74"/>
      <c r="CH29" s="74"/>
      <c r="CI29" s="74"/>
      <c r="CJ29" s="74"/>
      <c r="CK29" s="74"/>
      <c r="CL29" s="74"/>
      <c r="CM29" s="74"/>
      <c r="CN29" s="74"/>
      <c r="CO29" s="74"/>
      <c r="CP29" s="74"/>
      <c r="CQ29" s="74"/>
      <c r="CR29" s="74"/>
      <c r="CS29" s="74"/>
      <c r="CT29" s="74"/>
      <c r="CU29" s="74"/>
    </row>
    <row r="30" spans="1:104">
      <c r="A30" s="74"/>
      <c r="B30" s="74"/>
      <c r="C30" s="56" t="s">
        <v>7</v>
      </c>
      <c r="D30" s="109"/>
      <c r="E30" s="149"/>
      <c r="F30" s="150"/>
      <c r="G30" s="150"/>
      <c r="H30" s="151"/>
      <c r="I30" s="112"/>
      <c r="J30" s="149"/>
      <c r="K30" s="150"/>
      <c r="L30" s="150"/>
      <c r="M30" s="151"/>
      <c r="N30" s="112"/>
      <c r="O30" s="149"/>
      <c r="P30" s="150"/>
      <c r="Q30" s="150"/>
      <c r="R30" s="151"/>
      <c r="S30" s="112"/>
      <c r="T30" s="149"/>
      <c r="U30" s="150"/>
      <c r="V30" s="150"/>
      <c r="W30" s="151"/>
      <c r="X30" s="112">
        <f t="shared" ref="X30:AF30" si="33">+X23-X28</f>
        <v>1146</v>
      </c>
      <c r="Y30" s="149">
        <f t="shared" si="33"/>
        <v>287</v>
      </c>
      <c r="Z30" s="150">
        <f t="shared" si="33"/>
        <v>241</v>
      </c>
      <c r="AA30" s="150">
        <f t="shared" si="33"/>
        <v>297</v>
      </c>
      <c r="AB30" s="151">
        <f t="shared" si="33"/>
        <v>252</v>
      </c>
      <c r="AC30" s="112">
        <f t="shared" si="33"/>
        <v>1077</v>
      </c>
      <c r="AD30" s="149">
        <f t="shared" si="33"/>
        <v>436</v>
      </c>
      <c r="AE30" s="150">
        <f t="shared" si="33"/>
        <v>242</v>
      </c>
      <c r="AF30" s="150">
        <f t="shared" si="33"/>
        <v>355</v>
      </c>
      <c r="AG30" s="151">
        <f t="shared" ref="AG30:AM30" si="34">+AG23-AG28</f>
        <v>111</v>
      </c>
      <c r="AH30" s="112">
        <f t="shared" si="34"/>
        <v>1144</v>
      </c>
      <c r="AI30" s="149">
        <f t="shared" si="34"/>
        <v>463</v>
      </c>
      <c r="AJ30" s="150">
        <f t="shared" si="34"/>
        <v>317</v>
      </c>
      <c r="AK30" s="150">
        <f t="shared" si="34"/>
        <v>417</v>
      </c>
      <c r="AL30" s="151">
        <f t="shared" si="34"/>
        <v>148.60000000000056</v>
      </c>
      <c r="AM30" s="112">
        <f t="shared" si="34"/>
        <v>1345.6000000000006</v>
      </c>
      <c r="AN30" s="149">
        <f t="shared" ref="AN30:AS30" si="35">+AN23-AN28</f>
        <v>399.59999999999974</v>
      </c>
      <c r="AO30" s="150">
        <f t="shared" si="35"/>
        <v>313.79999999999995</v>
      </c>
      <c r="AP30" s="150">
        <f t="shared" si="35"/>
        <v>512.70000000000016</v>
      </c>
      <c r="AQ30" s="151">
        <f t="shared" si="35"/>
        <v>147.19999999999951</v>
      </c>
      <c r="AR30" s="112">
        <f t="shared" si="35"/>
        <v>1373.2999999999993</v>
      </c>
      <c r="AS30" s="149">
        <f t="shared" si="35"/>
        <v>346.90000000000009</v>
      </c>
      <c r="AT30" s="150">
        <f t="shared" ref="AT30:BB30" si="36">+AT23-AT28</f>
        <v>195.7</v>
      </c>
      <c r="AU30" s="150">
        <f t="shared" si="36"/>
        <v>435.99999999999955</v>
      </c>
      <c r="AV30" s="151">
        <f t="shared" si="36"/>
        <v>254.10000000000102</v>
      </c>
      <c r="AW30" s="112">
        <f t="shared" si="36"/>
        <v>1232.7</v>
      </c>
      <c r="AX30" s="149">
        <f t="shared" si="36"/>
        <v>337.35440061967836</v>
      </c>
      <c r="AY30" s="150">
        <f t="shared" si="36"/>
        <v>183.68688349410729</v>
      </c>
      <c r="AZ30" s="150">
        <f t="shared" si="36"/>
        <v>419.31646109403925</v>
      </c>
      <c r="BA30" s="151">
        <f t="shared" si="36"/>
        <v>232.20150345884718</v>
      </c>
      <c r="BB30" s="112">
        <f t="shared" si="36"/>
        <v>1172.559248666671</v>
      </c>
      <c r="BC30" s="149">
        <f t="shared" ref="BC30:BL30" si="37">+BC23-BC28</f>
        <v>422.66425653337978</v>
      </c>
      <c r="BD30" s="150">
        <f t="shared" si="37"/>
        <v>230.69793790139937</v>
      </c>
      <c r="BE30" s="150">
        <f t="shared" si="37"/>
        <v>445.34299470304796</v>
      </c>
      <c r="BF30" s="151">
        <f t="shared" si="37"/>
        <v>258.95393882846054</v>
      </c>
      <c r="BG30" s="112">
        <f t="shared" si="37"/>
        <v>1357.6591279662871</v>
      </c>
      <c r="BH30" s="149">
        <f t="shared" si="37"/>
        <v>438.48889532979217</v>
      </c>
      <c r="BI30" s="150">
        <f t="shared" si="37"/>
        <v>241.64973819116608</v>
      </c>
      <c r="BJ30" s="150">
        <f t="shared" si="37"/>
        <v>491.62057061639666</v>
      </c>
      <c r="BK30" s="151">
        <f t="shared" si="37"/>
        <v>294.7046610169408</v>
      </c>
      <c r="BL30" s="112">
        <f t="shared" si="37"/>
        <v>1466.4638651542969</v>
      </c>
      <c r="BM30" s="149">
        <f>+BM23-BM28</f>
        <v>518.97536965940378</v>
      </c>
      <c r="BN30" s="150">
        <f>+BN23-BN28</f>
        <v>303.43077176733959</v>
      </c>
      <c r="BO30" s="150">
        <f>+BO23-BO28</f>
        <v>527.35799496932918</v>
      </c>
      <c r="BP30" s="151">
        <f>+BP23-BP28</f>
        <v>334.32286724901212</v>
      </c>
      <c r="BQ30" s="112">
        <f>+BQ23-BQ28</f>
        <v>1684.0870036450835</v>
      </c>
      <c r="BR30" s="74"/>
      <c r="BS30" s="74"/>
      <c r="BV30" s="74"/>
      <c r="BW30" s="74"/>
      <c r="BX30" s="74"/>
      <c r="BY30" s="74"/>
      <c r="BZ30" s="74"/>
      <c r="CA30" s="74"/>
      <c r="CB30" s="74"/>
      <c r="CC30" s="74"/>
      <c r="CD30" s="74"/>
      <c r="CE30" s="74"/>
      <c r="CF30" s="74"/>
      <c r="CG30" s="74"/>
      <c r="CH30" s="74"/>
      <c r="CI30" s="74"/>
      <c r="CJ30" s="74"/>
      <c r="CK30" s="74"/>
      <c r="CL30" s="74"/>
      <c r="CM30" s="74"/>
      <c r="CN30" s="74"/>
      <c r="CO30" s="74"/>
      <c r="CP30" s="74"/>
      <c r="CQ30" s="74"/>
      <c r="CR30" s="74"/>
      <c r="CS30" s="74"/>
      <c r="CT30" s="74"/>
      <c r="CU30" s="74"/>
    </row>
    <row r="31" spans="1:104">
      <c r="A31" s="74"/>
      <c r="B31" s="74"/>
      <c r="C31" s="50"/>
      <c r="D31" s="72"/>
      <c r="E31" s="148"/>
      <c r="F31" s="163"/>
      <c r="G31" s="163"/>
      <c r="H31" s="147"/>
      <c r="I31" s="72"/>
      <c r="J31" s="148"/>
      <c r="K31" s="163"/>
      <c r="L31" s="163"/>
      <c r="M31" s="147"/>
      <c r="N31" s="72"/>
      <c r="O31" s="148"/>
      <c r="P31" s="163"/>
      <c r="Q31" s="163"/>
      <c r="R31" s="147"/>
      <c r="S31" s="72"/>
      <c r="T31" s="148"/>
      <c r="U31" s="163"/>
      <c r="V31" s="163"/>
      <c r="W31" s="147"/>
      <c r="X31" s="72"/>
      <c r="Y31" s="148"/>
      <c r="Z31" s="163"/>
      <c r="AA31" s="163"/>
      <c r="AB31" s="147"/>
      <c r="AC31" s="72"/>
      <c r="AD31" s="148"/>
      <c r="AE31" s="163"/>
      <c r="AF31" s="163"/>
      <c r="AG31" s="147"/>
      <c r="AH31" s="72"/>
      <c r="AI31" s="148"/>
      <c r="AJ31" s="163"/>
      <c r="AK31" s="163"/>
      <c r="AL31" s="147"/>
      <c r="AM31" s="72"/>
      <c r="AN31" s="148"/>
      <c r="AO31" s="163"/>
      <c r="AP31" s="163"/>
      <c r="AQ31" s="147"/>
      <c r="AR31" s="72"/>
      <c r="AS31" s="148"/>
      <c r="AT31" s="163"/>
      <c r="AU31" s="163"/>
      <c r="AV31" s="147"/>
      <c r="AW31" s="72"/>
      <c r="AX31" s="148"/>
      <c r="AY31" s="163"/>
      <c r="AZ31" s="163"/>
      <c r="BA31" s="147"/>
      <c r="BB31" s="74"/>
      <c r="BC31" s="148"/>
      <c r="BD31" s="163"/>
      <c r="BE31" s="163"/>
      <c r="BF31" s="147"/>
      <c r="BG31" s="74"/>
      <c r="BH31" s="148"/>
      <c r="BI31" s="163"/>
      <c r="BJ31" s="163"/>
      <c r="BK31" s="147"/>
      <c r="BL31" s="74"/>
      <c r="BM31" s="148"/>
      <c r="BN31" s="163"/>
      <c r="BO31" s="163"/>
      <c r="BP31" s="147"/>
      <c r="BQ31" s="74"/>
      <c r="BR31" s="492"/>
      <c r="BS31" s="492"/>
      <c r="CA31" s="74"/>
      <c r="CB31" s="74"/>
      <c r="CC31" s="74"/>
      <c r="CD31" s="74"/>
      <c r="CE31" s="74"/>
      <c r="CF31" s="74"/>
      <c r="CG31" s="74"/>
      <c r="CH31" s="74"/>
      <c r="CI31" s="74"/>
      <c r="CJ31" s="74"/>
      <c r="CK31" s="74"/>
      <c r="CL31" s="74"/>
      <c r="CM31" s="74"/>
      <c r="CN31" s="74"/>
      <c r="CO31" s="74"/>
      <c r="CP31" s="74"/>
      <c r="CQ31" s="74"/>
      <c r="CR31" s="74"/>
      <c r="CS31" s="74"/>
      <c r="CT31" s="74"/>
      <c r="CU31" s="74"/>
    </row>
    <row r="32" spans="1:104">
      <c r="A32" s="74"/>
      <c r="B32" s="74"/>
      <c r="C32" s="50" t="s">
        <v>8</v>
      </c>
      <c r="D32" s="72"/>
      <c r="E32" s="142"/>
      <c r="F32" s="143"/>
      <c r="G32" s="143"/>
      <c r="H32" s="157"/>
      <c r="I32" s="145"/>
      <c r="J32" s="142"/>
      <c r="K32" s="143"/>
      <c r="L32" s="143"/>
      <c r="M32" s="157"/>
      <c r="N32" s="145"/>
      <c r="O32" s="142"/>
      <c r="P32" s="143"/>
      <c r="Q32" s="143"/>
      <c r="R32" s="157"/>
      <c r="S32" s="145"/>
      <c r="T32" s="142"/>
      <c r="U32" s="143"/>
      <c r="V32" s="143"/>
      <c r="W32" s="157"/>
      <c r="X32" s="145">
        <v>345</v>
      </c>
      <c r="Y32" s="142">
        <v>106</v>
      </c>
      <c r="Z32" s="143">
        <v>89</v>
      </c>
      <c r="AA32" s="143">
        <v>123</v>
      </c>
      <c r="AB32" s="157">
        <f>AC32-SUM(Y32:AA32)</f>
        <v>80</v>
      </c>
      <c r="AC32" s="145">
        <v>398</v>
      </c>
      <c r="AD32" s="142">
        <v>157</v>
      </c>
      <c r="AE32" s="143">
        <v>88</v>
      </c>
      <c r="AF32" s="143">
        <v>135</v>
      </c>
      <c r="AG32" s="157">
        <f>AH32-SUM(AD32:AF32)</f>
        <v>54</v>
      </c>
      <c r="AH32" s="145">
        <v>434</v>
      </c>
      <c r="AI32" s="142">
        <v>164</v>
      </c>
      <c r="AJ32" s="143">
        <v>110</v>
      </c>
      <c r="AK32" s="143">
        <v>142</v>
      </c>
      <c r="AL32" s="157">
        <f>AM32-SUM(AI32:AK32)</f>
        <v>33.300000000000011</v>
      </c>
      <c r="AM32" s="145">
        <v>449.3</v>
      </c>
      <c r="AN32" s="142">
        <v>121.9</v>
      </c>
      <c r="AO32" s="143">
        <v>104.5</v>
      </c>
      <c r="AP32" s="143">
        <v>172</v>
      </c>
      <c r="AQ32" s="157">
        <f>AR32-SUM(AN32:AP32)</f>
        <v>-1.0999999999999659</v>
      </c>
      <c r="AR32" s="145">
        <v>397.3</v>
      </c>
      <c r="AS32" s="142">
        <v>127.7</v>
      </c>
      <c r="AT32" s="143">
        <v>68.099999999999994</v>
      </c>
      <c r="AU32" s="143">
        <v>139.1</v>
      </c>
      <c r="AV32" s="157">
        <f>AW32-SUM(AS32:AU32)</f>
        <v>90.700000000000045</v>
      </c>
      <c r="AW32" s="145">
        <v>425.6</v>
      </c>
      <c r="AX32" s="148">
        <f>AX76*(AX30-AX19)</f>
        <v>77.700045622407018</v>
      </c>
      <c r="AY32" s="146">
        <f>AY76*(AY30-AY19)</f>
        <v>40.81984151226996</v>
      </c>
      <c r="AZ32" s="146">
        <f>AZ76*(AZ30-AZ19)</f>
        <v>97.370940136253623</v>
      </c>
      <c r="BA32" s="147">
        <f>BA76*(BA30-BA19)</f>
        <v>52.46335030380753</v>
      </c>
      <c r="BB32" s="72">
        <f>SUM(AX32:BA32)</f>
        <v>268.35417757473812</v>
      </c>
      <c r="BC32" s="148">
        <f>BC76*(BC30-BC19)</f>
        <v>96.351989989063767</v>
      </c>
      <c r="BD32" s="146">
        <f>BD76*(BD30-BD19)</f>
        <v>50.280073517388473</v>
      </c>
      <c r="BE32" s="146">
        <f>BE76*(BE30-BE19)</f>
        <v>101.79488714978413</v>
      </c>
      <c r="BF32" s="147">
        <f>BF76*(BF30-BF19)</f>
        <v>57.061513739883154</v>
      </c>
      <c r="BG32" s="72">
        <f>SUM(BC32:BF32)</f>
        <v>305.48846439611953</v>
      </c>
      <c r="BH32" s="148">
        <f>BH76*(BH30-BH19)</f>
        <v>99.334282247571167</v>
      </c>
      <c r="BI32" s="146">
        <f>BI76*(BI30-BI19)</f>
        <v>52.092884534300914</v>
      </c>
      <c r="BJ32" s="146">
        <f>BJ76*(BJ30-BJ19)</f>
        <v>112.08588431635624</v>
      </c>
      <c r="BK32" s="147">
        <f>BK76*(BK30-BK19)</f>
        <v>64.826066012486834</v>
      </c>
      <c r="BL32" s="72">
        <f>SUM(BH32:BK32)</f>
        <v>328.33911711071511</v>
      </c>
      <c r="BM32" s="148">
        <f>BM76*(BM30-BM19)</f>
        <v>121.72808871825691</v>
      </c>
      <c r="BN32" s="146">
        <f>BN76*(BN30-BN19)</f>
        <v>69.997385224161505</v>
      </c>
      <c r="BO32" s="146">
        <f>BO76*(BO30-BO19)</f>
        <v>123.739918792639</v>
      </c>
      <c r="BP32" s="147">
        <f>BP76*(BP30-BP19)</f>
        <v>77.411488139762909</v>
      </c>
      <c r="BQ32" s="72">
        <f>SUM(BM32:BP32)</f>
        <v>392.87688087482036</v>
      </c>
      <c r="BR32" s="492"/>
      <c r="BS32" s="492"/>
      <c r="CA32" s="74"/>
      <c r="CB32" s="74"/>
      <c r="CC32" s="74"/>
      <c r="CD32" s="74"/>
      <c r="CE32" s="74"/>
      <c r="CF32" s="74"/>
      <c r="CG32" s="74"/>
      <c r="CH32" s="74"/>
      <c r="CI32" s="74"/>
      <c r="CJ32" s="74"/>
      <c r="CK32" s="74"/>
      <c r="CL32" s="74"/>
      <c r="CM32" s="74"/>
      <c r="CN32" s="74"/>
      <c r="CO32" s="74"/>
      <c r="CP32" s="74"/>
      <c r="CQ32" s="74"/>
      <c r="CR32" s="74"/>
      <c r="CS32" s="74"/>
      <c r="CT32" s="74"/>
      <c r="CU32" s="74"/>
    </row>
    <row r="33" spans="1:99">
      <c r="A33" s="74"/>
      <c r="B33" s="74"/>
      <c r="C33" s="50"/>
      <c r="D33" s="72"/>
      <c r="E33" s="142"/>
      <c r="F33" s="143"/>
      <c r="G33" s="143"/>
      <c r="H33" s="158"/>
      <c r="I33" s="145"/>
      <c r="J33" s="142"/>
      <c r="K33" s="143"/>
      <c r="L33" s="143"/>
      <c r="M33" s="158"/>
      <c r="N33" s="145"/>
      <c r="O33" s="142"/>
      <c r="P33" s="143"/>
      <c r="Q33" s="143"/>
      <c r="R33" s="158"/>
      <c r="S33" s="145"/>
      <c r="T33" s="142"/>
      <c r="U33" s="143"/>
      <c r="V33" s="143"/>
      <c r="W33" s="158"/>
      <c r="X33" s="145"/>
      <c r="Y33" s="142"/>
      <c r="Z33" s="143"/>
      <c r="AA33" s="143"/>
      <c r="AB33" s="158"/>
      <c r="AC33" s="145"/>
      <c r="AD33" s="142"/>
      <c r="AE33" s="143"/>
      <c r="AF33" s="143"/>
      <c r="AG33" s="158"/>
      <c r="AH33" s="145"/>
      <c r="AI33" s="142"/>
      <c r="AJ33" s="143"/>
      <c r="AK33" s="143"/>
      <c r="AL33" s="158"/>
      <c r="AM33" s="145"/>
      <c r="AN33" s="142"/>
      <c r="AO33" s="143"/>
      <c r="AP33" s="143"/>
      <c r="AQ33" s="158"/>
      <c r="AR33" s="145"/>
      <c r="AS33" s="142"/>
      <c r="AT33" s="143"/>
      <c r="AU33" s="143"/>
      <c r="AV33" s="158"/>
      <c r="AW33" s="145"/>
      <c r="AX33" s="148"/>
      <c r="AY33" s="163"/>
      <c r="AZ33" s="163"/>
      <c r="BA33" s="147"/>
      <c r="BB33" s="74"/>
      <c r="BC33" s="148"/>
      <c r="BD33" s="163"/>
      <c r="BE33" s="163"/>
      <c r="BF33" s="147"/>
      <c r="BG33" s="74"/>
      <c r="BH33" s="148"/>
      <c r="BI33" s="163"/>
      <c r="BJ33" s="163"/>
      <c r="BK33" s="147"/>
      <c r="BL33" s="74"/>
      <c r="BM33" s="148"/>
      <c r="BN33" s="163"/>
      <c r="BO33" s="163"/>
      <c r="BP33" s="147"/>
      <c r="BQ33" s="74"/>
      <c r="BR33" s="492"/>
      <c r="BS33" s="492"/>
      <c r="CA33" s="74"/>
      <c r="CB33" s="74"/>
      <c r="CC33" s="74"/>
      <c r="CD33" s="74"/>
      <c r="CE33" s="74"/>
      <c r="CF33" s="74"/>
      <c r="CG33" s="74"/>
      <c r="CH33" s="74"/>
      <c r="CI33" s="74"/>
      <c r="CJ33" s="74"/>
      <c r="CK33" s="74"/>
      <c r="CL33" s="74"/>
      <c r="CM33" s="74"/>
      <c r="CN33" s="74"/>
      <c r="CO33" s="74"/>
      <c r="CP33" s="74"/>
      <c r="CQ33" s="74"/>
      <c r="CR33" s="74"/>
      <c r="CS33" s="74"/>
      <c r="CT33" s="74"/>
      <c r="CU33" s="74"/>
    </row>
    <row r="34" spans="1:99">
      <c r="A34" s="74"/>
      <c r="B34" s="74"/>
      <c r="C34" s="56" t="s">
        <v>10</v>
      </c>
      <c r="D34" s="109"/>
      <c r="E34" s="149"/>
      <c r="F34" s="150"/>
      <c r="G34" s="150"/>
      <c r="H34" s="151"/>
      <c r="I34" s="112"/>
      <c r="J34" s="149"/>
      <c r="K34" s="150"/>
      <c r="L34" s="150"/>
      <c r="M34" s="151"/>
      <c r="N34" s="112"/>
      <c r="O34" s="149"/>
      <c r="P34" s="150"/>
      <c r="Q34" s="150"/>
      <c r="R34" s="151"/>
      <c r="S34" s="112"/>
      <c r="T34" s="149"/>
      <c r="U34" s="150"/>
      <c r="V34" s="150"/>
      <c r="W34" s="151"/>
      <c r="X34" s="112">
        <f>+X30-X32</f>
        <v>801</v>
      </c>
      <c r="Y34" s="149">
        <f>+Y30-Y32</f>
        <v>181</v>
      </c>
      <c r="Z34" s="150">
        <f>+Z30-Z32</f>
        <v>152</v>
      </c>
      <c r="AA34" s="150">
        <f>+AA30-AA32</f>
        <v>174</v>
      </c>
      <c r="AB34" s="151">
        <f>+AC34-SUM(Y34:AA34)</f>
        <v>172</v>
      </c>
      <c r="AC34" s="112">
        <f>+AC30-AC32</f>
        <v>679</v>
      </c>
      <c r="AD34" s="149">
        <f>+AD30-AD32</f>
        <v>279</v>
      </c>
      <c r="AE34" s="150">
        <f>+AE30-AE32</f>
        <v>154</v>
      </c>
      <c r="AF34" s="150">
        <f>+AF30-AF32</f>
        <v>220</v>
      </c>
      <c r="AG34" s="151">
        <f>+AH34-SUM(AD34:AF34)</f>
        <v>57</v>
      </c>
      <c r="AH34" s="112">
        <f>+AH30-AH32</f>
        <v>710</v>
      </c>
      <c r="AI34" s="149">
        <f>+AI30-AI32</f>
        <v>299</v>
      </c>
      <c r="AJ34" s="150">
        <f>+AJ30-AJ32</f>
        <v>207</v>
      </c>
      <c r="AK34" s="150">
        <f>+AK30-AK32</f>
        <v>275</v>
      </c>
      <c r="AL34" s="151">
        <f>+AM34-SUM(AI34:AK34)</f>
        <v>115.30000000000064</v>
      </c>
      <c r="AM34" s="112">
        <f>+AM30-AM32</f>
        <v>896.30000000000064</v>
      </c>
      <c r="AN34" s="149">
        <f>+AN30-AN32</f>
        <v>277.6999999999997</v>
      </c>
      <c r="AO34" s="150">
        <f>+AO30-AO32</f>
        <v>209.29999999999995</v>
      </c>
      <c r="AP34" s="150">
        <f>+AP30-AP32</f>
        <v>340.70000000000016</v>
      </c>
      <c r="AQ34" s="151">
        <f>+AR34-SUM(AN34:AP34)</f>
        <v>148.2999999999995</v>
      </c>
      <c r="AR34" s="112">
        <f>+AR30-AR32</f>
        <v>975.99999999999932</v>
      </c>
      <c r="AS34" s="149">
        <f>+AS30-AS32</f>
        <v>219.2000000000001</v>
      </c>
      <c r="AT34" s="150">
        <f>+AT30-AT32</f>
        <v>127.6</v>
      </c>
      <c r="AU34" s="150">
        <f>+AU30-AU32</f>
        <v>296.89999999999952</v>
      </c>
      <c r="AV34" s="151">
        <f>+AW34-SUM(AS34:AU34)</f>
        <v>163.40000000000043</v>
      </c>
      <c r="AW34" s="112">
        <f>+AW30-AW32</f>
        <v>807.1</v>
      </c>
      <c r="AX34" s="149">
        <f>+AX30-AX32</f>
        <v>259.65435499727135</v>
      </c>
      <c r="AY34" s="150">
        <f>+AY30-AY32</f>
        <v>142.86704198183733</v>
      </c>
      <c r="AZ34" s="150">
        <f>+AZ30-AZ32</f>
        <v>321.94552095778562</v>
      </c>
      <c r="BA34" s="151">
        <f>+BB34-SUM(AX34:AZ34)</f>
        <v>179.73815315503862</v>
      </c>
      <c r="BB34" s="112">
        <f>+BB30-BB32</f>
        <v>904.20507109193295</v>
      </c>
      <c r="BC34" s="149">
        <f>+BC30-BC32</f>
        <v>326.312266544316</v>
      </c>
      <c r="BD34" s="150">
        <f>+BD30-BD32</f>
        <v>180.4178643840109</v>
      </c>
      <c r="BE34" s="150">
        <f>+BE30-BE32</f>
        <v>343.54810755326383</v>
      </c>
      <c r="BF34" s="151">
        <f>+BG34-SUM(BC34:BE34)</f>
        <v>201.89242508857683</v>
      </c>
      <c r="BG34" s="112">
        <f>+BG30-BG32</f>
        <v>1052.1706635701676</v>
      </c>
      <c r="BH34" s="149">
        <f>+BH30-BH32</f>
        <v>339.15461308222098</v>
      </c>
      <c r="BI34" s="150">
        <f>+BI30-BI32</f>
        <v>189.55685365686517</v>
      </c>
      <c r="BJ34" s="150">
        <f>+BJ30-BJ32</f>
        <v>379.53468630004045</v>
      </c>
      <c r="BK34" s="151">
        <f>+BL34-SUM(BH34:BJ34)</f>
        <v>229.87859500445518</v>
      </c>
      <c r="BL34" s="112">
        <f>+BL30-BL32</f>
        <v>1138.1247480435818</v>
      </c>
      <c r="BM34" s="149">
        <f>+BM30-BM32</f>
        <v>397.24728094114687</v>
      </c>
      <c r="BN34" s="150">
        <f>+BN30-BN32</f>
        <v>233.43338654317807</v>
      </c>
      <c r="BO34" s="150">
        <f>+BO30-BO32</f>
        <v>403.61807617669018</v>
      </c>
      <c r="BP34" s="151">
        <f>+BQ34-SUM(BM34:BO34)</f>
        <v>256.91137910924817</v>
      </c>
      <c r="BQ34" s="112">
        <f>+BQ30-BQ32</f>
        <v>1291.2101227702633</v>
      </c>
      <c r="BR34" s="493"/>
      <c r="BS34" s="493"/>
      <c r="CA34" s="286"/>
      <c r="CB34" s="286"/>
      <c r="CC34" s="286"/>
      <c r="CD34" s="286"/>
      <c r="CE34" s="286"/>
      <c r="CF34" s="286"/>
      <c r="CG34" s="286"/>
      <c r="CH34" s="74"/>
      <c r="CI34" s="74"/>
      <c r="CJ34" s="74"/>
      <c r="CK34" s="74"/>
      <c r="CL34" s="74"/>
      <c r="CM34" s="74"/>
      <c r="CN34" s="74"/>
      <c r="CO34" s="74"/>
      <c r="CP34" s="74"/>
      <c r="CQ34" s="74"/>
      <c r="CR34" s="74"/>
      <c r="CS34" s="74"/>
      <c r="CT34" s="74"/>
      <c r="CU34" s="74"/>
    </row>
    <row r="35" spans="1:99">
      <c r="C35" s="50" t="s">
        <v>11</v>
      </c>
      <c r="D35" s="72"/>
      <c r="E35" s="142"/>
      <c r="F35" s="143"/>
      <c r="G35" s="143"/>
      <c r="H35" s="157"/>
      <c r="I35" s="145"/>
      <c r="J35" s="142"/>
      <c r="K35" s="143"/>
      <c r="L35" s="143"/>
      <c r="M35" s="157"/>
      <c r="N35" s="145"/>
      <c r="O35" s="142"/>
      <c r="P35" s="143"/>
      <c r="Q35" s="143"/>
      <c r="R35" s="157"/>
      <c r="S35" s="145"/>
      <c r="T35" s="142"/>
      <c r="U35" s="143"/>
      <c r="V35" s="143"/>
      <c r="W35" s="157"/>
      <c r="X35" s="145">
        <v>0</v>
      </c>
      <c r="Y35" s="142">
        <v>0</v>
      </c>
      <c r="Z35" s="143">
        <v>0</v>
      </c>
      <c r="AA35" s="143">
        <v>0</v>
      </c>
      <c r="AB35" s="157">
        <f>AC35-SUM(Y35:AA35)</f>
        <v>0</v>
      </c>
      <c r="AC35" s="145">
        <v>0</v>
      </c>
      <c r="AD35" s="142">
        <v>0</v>
      </c>
      <c r="AE35" s="143">
        <v>0</v>
      </c>
      <c r="AF35" s="143">
        <v>0</v>
      </c>
      <c r="AG35" s="157">
        <f>AH35-SUM(AD35:AF35)</f>
        <v>0</v>
      </c>
      <c r="AH35" s="145">
        <v>0</v>
      </c>
      <c r="AI35" s="142">
        <v>0</v>
      </c>
      <c r="AJ35" s="143">
        <v>0</v>
      </c>
      <c r="AK35" s="143">
        <v>0</v>
      </c>
      <c r="AL35" s="157">
        <f>AM35-SUM(AI35:AK35)</f>
        <v>0</v>
      </c>
      <c r="AM35" s="145">
        <v>0</v>
      </c>
      <c r="AN35" s="142">
        <v>0</v>
      </c>
      <c r="AO35" s="143">
        <v>0</v>
      </c>
      <c r="AP35" s="143">
        <v>0</v>
      </c>
      <c r="AQ35" s="157">
        <f>AR35-SUM(AN35:AP35)</f>
        <v>0</v>
      </c>
      <c r="AR35" s="145">
        <v>0</v>
      </c>
      <c r="AS35" s="142">
        <v>0</v>
      </c>
      <c r="AT35" s="143">
        <v>0</v>
      </c>
      <c r="AU35" s="143">
        <v>0</v>
      </c>
      <c r="AV35" s="157">
        <f>AW35-SUM(AS35:AU35)</f>
        <v>0</v>
      </c>
      <c r="AW35" s="145">
        <v>0</v>
      </c>
      <c r="AX35" s="148">
        <f t="shared" ref="AX35:BA37" si="38">AS35</f>
        <v>0</v>
      </c>
      <c r="AY35" s="146">
        <f t="shared" si="38"/>
        <v>0</v>
      </c>
      <c r="AZ35" s="146">
        <f t="shared" si="38"/>
        <v>0</v>
      </c>
      <c r="BA35" s="147">
        <f t="shared" si="38"/>
        <v>0</v>
      </c>
      <c r="BB35" s="72">
        <f>SUM(AX35:BA35)</f>
        <v>0</v>
      </c>
      <c r="BC35" s="148">
        <f>AX35</f>
        <v>0</v>
      </c>
      <c r="BD35" s="146">
        <f>AY35</f>
        <v>0</v>
      </c>
      <c r="BE35" s="146">
        <f>AZ35</f>
        <v>0</v>
      </c>
      <c r="BF35" s="147">
        <f>BA35</f>
        <v>0</v>
      </c>
      <c r="BG35" s="72">
        <f>SUM(BC35:BF35)</f>
        <v>0</v>
      </c>
      <c r="BH35" s="148">
        <f>BC35</f>
        <v>0</v>
      </c>
      <c r="BI35" s="146">
        <f>BD35</f>
        <v>0</v>
      </c>
      <c r="BJ35" s="146">
        <f>BE35</f>
        <v>0</v>
      </c>
      <c r="BK35" s="147">
        <f>BF35</f>
        <v>0</v>
      </c>
      <c r="BL35" s="72">
        <f>SUM(BH35:BK35)</f>
        <v>0</v>
      </c>
      <c r="BM35" s="148">
        <f>BH35</f>
        <v>0</v>
      </c>
      <c r="BN35" s="146">
        <f>BI35</f>
        <v>0</v>
      </c>
      <c r="BO35" s="146">
        <f>BJ35</f>
        <v>0</v>
      </c>
      <c r="BP35" s="147">
        <f>BK35</f>
        <v>0</v>
      </c>
      <c r="BQ35" s="72">
        <f>SUM(BM35:BP35)</f>
        <v>0</v>
      </c>
      <c r="BR35" s="491"/>
      <c r="BS35" s="491"/>
    </row>
    <row r="36" spans="1:99">
      <c r="C36" s="50" t="s">
        <v>125</v>
      </c>
      <c r="D36" s="72"/>
      <c r="E36" s="142"/>
      <c r="F36" s="143"/>
      <c r="G36" s="143"/>
      <c r="H36" s="157"/>
      <c r="I36" s="145"/>
      <c r="J36" s="142"/>
      <c r="K36" s="143"/>
      <c r="L36" s="143"/>
      <c r="M36" s="157"/>
      <c r="N36" s="145"/>
      <c r="O36" s="142"/>
      <c r="P36" s="143"/>
      <c r="Q36" s="143"/>
      <c r="R36" s="157"/>
      <c r="S36" s="145"/>
      <c r="T36" s="142"/>
      <c r="U36" s="143"/>
      <c r="V36" s="143"/>
      <c r="W36" s="157"/>
      <c r="X36" s="145">
        <v>0</v>
      </c>
      <c r="Y36" s="142">
        <v>0</v>
      </c>
      <c r="Z36" s="143">
        <v>0</v>
      </c>
      <c r="AA36" s="143">
        <v>1</v>
      </c>
      <c r="AB36" s="157">
        <f>AC36-SUM(Y36:AA36)</f>
        <v>-1</v>
      </c>
      <c r="AC36" s="145">
        <v>0</v>
      </c>
      <c r="AD36" s="142">
        <v>0</v>
      </c>
      <c r="AE36" s="143">
        <v>0</v>
      </c>
      <c r="AF36" s="143">
        <v>1</v>
      </c>
      <c r="AG36" s="157">
        <f>AH36-SUM(AD36:AF36)</f>
        <v>3</v>
      </c>
      <c r="AH36" s="145">
        <v>4</v>
      </c>
      <c r="AI36" s="142">
        <v>1</v>
      </c>
      <c r="AJ36" s="143">
        <v>1</v>
      </c>
      <c r="AK36" s="143">
        <v>1</v>
      </c>
      <c r="AL36" s="157">
        <f>AM36-SUM(AI36:AK36)</f>
        <v>0.70000000000000018</v>
      </c>
      <c r="AM36" s="145">
        <v>3.7</v>
      </c>
      <c r="AN36" s="142">
        <v>1.1000000000000001</v>
      </c>
      <c r="AO36" s="143">
        <v>1.1000000000000001</v>
      </c>
      <c r="AP36" s="143">
        <v>1.1000000000000001</v>
      </c>
      <c r="AQ36" s="157">
        <f>AR36-SUM(AN36:AP36)</f>
        <v>0.79999999999999938</v>
      </c>
      <c r="AR36" s="145">
        <v>4.0999999999999996</v>
      </c>
      <c r="AS36" s="142">
        <v>1</v>
      </c>
      <c r="AT36" s="143">
        <v>0.6</v>
      </c>
      <c r="AU36" s="143">
        <v>11</v>
      </c>
      <c r="AV36" s="157">
        <f>AW36-SUM(AS36:AU36)</f>
        <v>0.20000000000000107</v>
      </c>
      <c r="AW36" s="145">
        <v>12.8</v>
      </c>
      <c r="AX36" s="1306">
        <v>0</v>
      </c>
      <c r="AY36" s="1307">
        <v>0</v>
      </c>
      <c r="AZ36" s="1307">
        <v>0</v>
      </c>
      <c r="BA36" s="1305">
        <v>0</v>
      </c>
      <c r="BB36" s="72">
        <f>SUM(AX36:BA36)</f>
        <v>0</v>
      </c>
      <c r="BC36" s="1306">
        <v>0</v>
      </c>
      <c r="BD36" s="1307">
        <v>0</v>
      </c>
      <c r="BE36" s="1307">
        <v>0</v>
      </c>
      <c r="BF36" s="1305">
        <v>0</v>
      </c>
      <c r="BG36" s="72">
        <f>SUM(BC36:BF36)</f>
        <v>0</v>
      </c>
      <c r="BH36" s="1306">
        <v>0</v>
      </c>
      <c r="BI36" s="1307">
        <v>0</v>
      </c>
      <c r="BJ36" s="1307">
        <v>0</v>
      </c>
      <c r="BK36" s="1305">
        <v>0</v>
      </c>
      <c r="BL36" s="72">
        <f>SUM(BH36:BK36)</f>
        <v>0</v>
      </c>
      <c r="BM36" s="1306">
        <v>0</v>
      </c>
      <c r="BN36" s="1307">
        <v>0</v>
      </c>
      <c r="BO36" s="1307">
        <v>0</v>
      </c>
      <c r="BP36" s="1305">
        <v>0</v>
      </c>
      <c r="BQ36" s="72">
        <f>SUM(BM36:BP36)</f>
        <v>0</v>
      </c>
      <c r="BR36" s="491"/>
      <c r="BS36" s="491"/>
    </row>
    <row r="37" spans="1:99">
      <c r="C37" s="50" t="s">
        <v>0</v>
      </c>
      <c r="D37" s="72"/>
      <c r="E37" s="142"/>
      <c r="F37" s="143"/>
      <c r="G37" s="143"/>
      <c r="H37" s="157"/>
      <c r="I37" s="145"/>
      <c r="J37" s="142"/>
      <c r="K37" s="143"/>
      <c r="L37" s="143"/>
      <c r="M37" s="157"/>
      <c r="N37" s="145"/>
      <c r="O37" s="142"/>
      <c r="P37" s="143"/>
      <c r="Q37" s="143"/>
      <c r="R37" s="157"/>
      <c r="S37" s="145"/>
      <c r="T37" s="142"/>
      <c r="U37" s="143"/>
      <c r="V37" s="143"/>
      <c r="W37" s="157"/>
      <c r="X37" s="145">
        <v>2</v>
      </c>
      <c r="Y37" s="142">
        <v>0</v>
      </c>
      <c r="Z37" s="143">
        <v>1</v>
      </c>
      <c r="AA37" s="143">
        <v>0</v>
      </c>
      <c r="AB37" s="157">
        <f>AC37-SUM(Y37:AA37)</f>
        <v>1</v>
      </c>
      <c r="AC37" s="145">
        <v>2</v>
      </c>
      <c r="AD37" s="142">
        <v>0</v>
      </c>
      <c r="AE37" s="143">
        <v>1</v>
      </c>
      <c r="AF37" s="143">
        <v>0</v>
      </c>
      <c r="AG37" s="157">
        <f>AH37-SUM(AD37:AF37)</f>
        <v>1</v>
      </c>
      <c r="AH37" s="145">
        <v>2</v>
      </c>
      <c r="AI37" s="142">
        <v>1</v>
      </c>
      <c r="AJ37" s="143">
        <v>1</v>
      </c>
      <c r="AK37" s="143">
        <v>0</v>
      </c>
      <c r="AL37" s="157">
        <f>AM37-SUM(AI37:AK37)</f>
        <v>1.9</v>
      </c>
      <c r="AM37" s="145">
        <v>3.9</v>
      </c>
      <c r="AN37" s="142">
        <v>1</v>
      </c>
      <c r="AO37" s="143">
        <v>1.2</v>
      </c>
      <c r="AP37" s="143">
        <v>2.7</v>
      </c>
      <c r="AQ37" s="157">
        <f>AR37-SUM(AN37:AP37)</f>
        <v>3.0999999999999996</v>
      </c>
      <c r="AR37" s="145">
        <v>8</v>
      </c>
      <c r="AS37" s="142">
        <v>1.3</v>
      </c>
      <c r="AT37" s="143">
        <v>-6.2</v>
      </c>
      <c r="AU37" s="143">
        <v>0.4</v>
      </c>
      <c r="AV37" s="157">
        <f>AW37-SUM(AS37:AU37)</f>
        <v>0.70000000000000018</v>
      </c>
      <c r="AW37" s="145">
        <v>-3.8</v>
      </c>
      <c r="AX37" s="148">
        <f t="shared" si="38"/>
        <v>1.3</v>
      </c>
      <c r="AY37" s="146">
        <f t="shared" si="38"/>
        <v>-6.2</v>
      </c>
      <c r="AZ37" s="146">
        <f t="shared" si="38"/>
        <v>0.4</v>
      </c>
      <c r="BA37" s="147">
        <f t="shared" si="38"/>
        <v>0.70000000000000018</v>
      </c>
      <c r="BB37" s="72">
        <f>SUM(AX37:BA37)</f>
        <v>-3.8</v>
      </c>
      <c r="BC37" s="148">
        <f>AX37</f>
        <v>1.3</v>
      </c>
      <c r="BD37" s="146">
        <f>AY37</f>
        <v>-6.2</v>
      </c>
      <c r="BE37" s="146">
        <f>AZ37</f>
        <v>0.4</v>
      </c>
      <c r="BF37" s="147">
        <f>BA37</f>
        <v>0.70000000000000018</v>
      </c>
      <c r="BG37" s="72">
        <f>SUM(BC37:BF37)</f>
        <v>-3.8</v>
      </c>
      <c r="BH37" s="148">
        <f>BC37</f>
        <v>1.3</v>
      </c>
      <c r="BI37" s="146">
        <f>BD37</f>
        <v>-6.2</v>
      </c>
      <c r="BJ37" s="146">
        <f>BE37</f>
        <v>0.4</v>
      </c>
      <c r="BK37" s="147">
        <f>BF37</f>
        <v>0.70000000000000018</v>
      </c>
      <c r="BL37" s="72">
        <f>SUM(BH37:BK37)</f>
        <v>-3.8</v>
      </c>
      <c r="BM37" s="148">
        <f>BH37</f>
        <v>1.3</v>
      </c>
      <c r="BN37" s="146">
        <f>BI37</f>
        <v>-6.2</v>
      </c>
      <c r="BO37" s="146">
        <f>BJ37</f>
        <v>0.4</v>
      </c>
      <c r="BP37" s="147">
        <f>BK37</f>
        <v>0.70000000000000018</v>
      </c>
      <c r="BQ37" s="72">
        <f>SUM(BM37:BP37)</f>
        <v>-3.8</v>
      </c>
      <c r="BR37" s="491"/>
      <c r="BS37" s="491"/>
    </row>
    <row r="38" spans="1:99">
      <c r="A38" s="74"/>
      <c r="B38" s="74"/>
      <c r="C38" s="50"/>
      <c r="D38" s="72"/>
      <c r="E38" s="142"/>
      <c r="F38" s="143"/>
      <c r="G38" s="143"/>
      <c r="H38" s="158"/>
      <c r="I38" s="832"/>
      <c r="J38" s="142"/>
      <c r="K38" s="143"/>
      <c r="L38" s="143"/>
      <c r="M38" s="158"/>
      <c r="N38" s="832"/>
      <c r="O38" s="142"/>
      <c r="P38" s="143"/>
      <c r="Q38" s="143"/>
      <c r="R38" s="158"/>
      <c r="S38" s="832"/>
      <c r="T38" s="142"/>
      <c r="U38" s="143"/>
      <c r="V38" s="143"/>
      <c r="W38" s="158"/>
      <c r="X38" s="832"/>
      <c r="Y38" s="142"/>
      <c r="Z38" s="143"/>
      <c r="AA38" s="143"/>
      <c r="AB38" s="158"/>
      <c r="AC38" s="832"/>
      <c r="AD38" s="142"/>
      <c r="AE38" s="143"/>
      <c r="AF38" s="143"/>
      <c r="AG38" s="158"/>
      <c r="AH38" s="832"/>
      <c r="AI38" s="142"/>
      <c r="AJ38" s="143"/>
      <c r="AK38" s="143"/>
      <c r="AL38" s="158"/>
      <c r="AM38" s="832"/>
      <c r="AN38" s="142"/>
      <c r="AO38" s="143"/>
      <c r="AP38" s="143"/>
      <c r="AQ38" s="158"/>
      <c r="AR38" s="832"/>
      <c r="AS38" s="142"/>
      <c r="AT38" s="143"/>
      <c r="AU38" s="143"/>
      <c r="AV38" s="158"/>
      <c r="AW38" s="832"/>
      <c r="AX38" s="148"/>
      <c r="AY38" s="163"/>
      <c r="AZ38" s="163"/>
      <c r="BA38" s="147"/>
      <c r="BB38" s="74"/>
      <c r="BC38" s="148"/>
      <c r="BD38" s="163"/>
      <c r="BE38" s="163"/>
      <c r="BF38" s="147"/>
      <c r="BG38" s="74"/>
      <c r="BH38" s="148"/>
      <c r="BI38" s="163"/>
      <c r="BJ38" s="163"/>
      <c r="BK38" s="147"/>
      <c r="BL38" s="74"/>
      <c r="BM38" s="148"/>
      <c r="BN38" s="163"/>
      <c r="BO38" s="163"/>
      <c r="BP38" s="147"/>
      <c r="BQ38" s="74"/>
      <c r="BR38" s="492"/>
      <c r="BS38" s="492"/>
      <c r="CA38" s="74"/>
      <c r="CB38" s="74"/>
      <c r="CC38" s="74"/>
      <c r="CD38" s="74"/>
      <c r="CE38" s="74"/>
      <c r="CF38" s="74"/>
      <c r="CG38" s="74"/>
      <c r="CH38" s="74"/>
      <c r="CI38" s="74"/>
      <c r="CJ38" s="74"/>
      <c r="CK38" s="74"/>
      <c r="CL38" s="74"/>
      <c r="CM38" s="74"/>
      <c r="CN38" s="74"/>
      <c r="CO38" s="74"/>
      <c r="CP38" s="74"/>
      <c r="CQ38" s="74"/>
      <c r="CR38" s="74"/>
      <c r="CS38" s="74"/>
      <c r="CT38" s="74"/>
      <c r="CU38" s="74"/>
    </row>
    <row r="39" spans="1:99">
      <c r="A39" s="111"/>
      <c r="B39" s="111"/>
      <c r="C39" s="56" t="s">
        <v>12</v>
      </c>
      <c r="D39" s="112"/>
      <c r="E39" s="149"/>
      <c r="F39" s="150"/>
      <c r="G39" s="150"/>
      <c r="H39" s="151"/>
      <c r="I39" s="112"/>
      <c r="J39" s="149"/>
      <c r="K39" s="150"/>
      <c r="L39" s="150"/>
      <c r="M39" s="151"/>
      <c r="N39" s="112"/>
      <c r="O39" s="149"/>
      <c r="P39" s="150"/>
      <c r="Q39" s="150"/>
      <c r="R39" s="151"/>
      <c r="S39" s="112"/>
      <c r="T39" s="149"/>
      <c r="U39" s="150"/>
      <c r="V39" s="150"/>
      <c r="W39" s="157"/>
      <c r="X39" s="112">
        <f t="shared" ref="X39:AD39" si="39">X34-X35-X36+X37</f>
        <v>803</v>
      </c>
      <c r="Y39" s="149">
        <f t="shared" si="39"/>
        <v>181</v>
      </c>
      <c r="Z39" s="150">
        <f t="shared" si="39"/>
        <v>153</v>
      </c>
      <c r="AA39" s="150">
        <f t="shared" si="39"/>
        <v>173</v>
      </c>
      <c r="AB39" s="151">
        <f t="shared" si="39"/>
        <v>174</v>
      </c>
      <c r="AC39" s="112">
        <f t="shared" si="39"/>
        <v>681</v>
      </c>
      <c r="AD39" s="149">
        <f t="shared" si="39"/>
        <v>279</v>
      </c>
      <c r="AE39" s="150">
        <f t="shared" ref="AE39:AM39" si="40">AE34-AE35-AE36+AE37</f>
        <v>155</v>
      </c>
      <c r="AF39" s="150">
        <f t="shared" si="40"/>
        <v>219</v>
      </c>
      <c r="AG39" s="151">
        <f t="shared" si="40"/>
        <v>55</v>
      </c>
      <c r="AH39" s="112">
        <f t="shared" si="40"/>
        <v>708</v>
      </c>
      <c r="AI39" s="149">
        <f t="shared" si="40"/>
        <v>299</v>
      </c>
      <c r="AJ39" s="150">
        <f t="shared" si="40"/>
        <v>207</v>
      </c>
      <c r="AK39" s="150">
        <f t="shared" si="40"/>
        <v>274</v>
      </c>
      <c r="AL39" s="151">
        <f t="shared" si="40"/>
        <v>116.50000000000064</v>
      </c>
      <c r="AM39" s="112">
        <f t="shared" si="40"/>
        <v>896.50000000000057</v>
      </c>
      <c r="AN39" s="149">
        <f t="shared" ref="AN39:AS39" si="41">AN34-AN35-AN36+AN37</f>
        <v>277.59999999999968</v>
      </c>
      <c r="AO39" s="150">
        <f t="shared" si="41"/>
        <v>209.39999999999995</v>
      </c>
      <c r="AP39" s="150">
        <f t="shared" si="41"/>
        <v>342.30000000000013</v>
      </c>
      <c r="AQ39" s="151">
        <f t="shared" si="41"/>
        <v>150.59999999999948</v>
      </c>
      <c r="AR39" s="112">
        <f t="shared" si="41"/>
        <v>979.8999999999993</v>
      </c>
      <c r="AS39" s="149">
        <f t="shared" si="41"/>
        <v>219.50000000000011</v>
      </c>
      <c r="AT39" s="150">
        <f t="shared" ref="AT39:BB39" si="42">AT34-AT35-AT36+AT37</f>
        <v>120.8</v>
      </c>
      <c r="AU39" s="150">
        <f t="shared" si="42"/>
        <v>286.2999999999995</v>
      </c>
      <c r="AV39" s="151">
        <f t="shared" si="42"/>
        <v>163.90000000000043</v>
      </c>
      <c r="AW39" s="112">
        <f t="shared" si="42"/>
        <v>790.50000000000011</v>
      </c>
      <c r="AX39" s="149">
        <f t="shared" si="42"/>
        <v>260.95435499727137</v>
      </c>
      <c r="AY39" s="150">
        <f t="shared" si="42"/>
        <v>136.66704198183734</v>
      </c>
      <c r="AZ39" s="150">
        <f t="shared" si="42"/>
        <v>322.3455209577856</v>
      </c>
      <c r="BA39" s="151">
        <f t="shared" si="42"/>
        <v>180.43815315503861</v>
      </c>
      <c r="BB39" s="112">
        <f t="shared" si="42"/>
        <v>900.405071091933</v>
      </c>
      <c r="BC39" s="149">
        <f t="shared" ref="BC39:BL39" si="43">BC34-BC35-BC36+BC37</f>
        <v>327.61226654431601</v>
      </c>
      <c r="BD39" s="150">
        <f t="shared" si="43"/>
        <v>174.21786438401091</v>
      </c>
      <c r="BE39" s="150">
        <f t="shared" si="43"/>
        <v>343.94810755326381</v>
      </c>
      <c r="BF39" s="151">
        <f t="shared" si="43"/>
        <v>202.59242508857682</v>
      </c>
      <c r="BG39" s="112">
        <f t="shared" si="43"/>
        <v>1048.3706635701676</v>
      </c>
      <c r="BH39" s="149">
        <f t="shared" si="43"/>
        <v>340.45461308222099</v>
      </c>
      <c r="BI39" s="150">
        <f t="shared" si="43"/>
        <v>183.35685365686518</v>
      </c>
      <c r="BJ39" s="150">
        <f t="shared" si="43"/>
        <v>379.93468630004043</v>
      </c>
      <c r="BK39" s="151">
        <f t="shared" si="43"/>
        <v>230.57859500445517</v>
      </c>
      <c r="BL39" s="112">
        <f t="shared" si="43"/>
        <v>1134.3247480435818</v>
      </c>
      <c r="BM39" s="149">
        <f>BM34-BM35-BM36+BM37</f>
        <v>398.54728094114688</v>
      </c>
      <c r="BN39" s="150">
        <f>BN34-BN35-BN36+BN37</f>
        <v>227.23338654317809</v>
      </c>
      <c r="BO39" s="150">
        <f>BO34-BO35-BO36+BO37</f>
        <v>404.01807617669016</v>
      </c>
      <c r="BP39" s="151">
        <f>BP34-BP35-BP36+BP37</f>
        <v>257.61137910924816</v>
      </c>
      <c r="BQ39" s="112">
        <f>BQ34-BQ35-BQ36+BQ37</f>
        <v>1287.4101227702633</v>
      </c>
      <c r="BR39" s="489"/>
      <c r="BS39" s="489"/>
      <c r="CA39" s="111"/>
      <c r="CB39" s="111"/>
      <c r="CC39" s="111"/>
      <c r="CD39" s="111"/>
      <c r="CE39" s="111"/>
      <c r="CF39" s="111"/>
      <c r="CG39" s="111"/>
      <c r="CH39" s="111"/>
      <c r="CI39" s="111"/>
      <c r="CJ39" s="111"/>
      <c r="CK39" s="111"/>
      <c r="CL39" s="111"/>
      <c r="CM39" s="111"/>
      <c r="CN39" s="111"/>
      <c r="CO39" s="111"/>
      <c r="CP39" s="111"/>
      <c r="CQ39" s="111"/>
      <c r="CR39" s="111"/>
      <c r="CS39" s="111"/>
      <c r="CT39" s="111"/>
      <c r="CU39" s="111"/>
    </row>
    <row r="40" spans="1:99">
      <c r="A40" s="74"/>
      <c r="B40" s="74"/>
      <c r="C40" s="50" t="s">
        <v>13</v>
      </c>
      <c r="D40" s="72"/>
      <c r="E40" s="142"/>
      <c r="F40" s="159"/>
      <c r="G40" s="159"/>
      <c r="H40" s="157"/>
      <c r="I40" s="145"/>
      <c r="J40" s="142"/>
      <c r="K40" s="159"/>
      <c r="L40" s="159"/>
      <c r="M40" s="157"/>
      <c r="N40" s="145"/>
      <c r="O40" s="142"/>
      <c r="P40" s="159"/>
      <c r="Q40" s="159"/>
      <c r="R40" s="157"/>
      <c r="S40" s="145"/>
      <c r="T40" s="142"/>
      <c r="U40" s="159"/>
      <c r="V40" s="159"/>
      <c r="W40" s="157"/>
      <c r="X40" s="145">
        <f>9+28</f>
        <v>37</v>
      </c>
      <c r="Y40" s="142">
        <f>19+3</f>
        <v>22</v>
      </c>
      <c r="Z40" s="143">
        <v>0</v>
      </c>
      <c r="AA40" s="143">
        <f>79+21</f>
        <v>100</v>
      </c>
      <c r="AB40" s="157">
        <f>AC40-SUM(Y40:AA40)</f>
        <v>-52</v>
      </c>
      <c r="AC40" s="145">
        <f>19+5+21+25</f>
        <v>70</v>
      </c>
      <c r="AD40" s="142">
        <v>0</v>
      </c>
      <c r="AE40" s="159">
        <v>0</v>
      </c>
      <c r="AF40" s="159">
        <v>0</v>
      </c>
      <c r="AG40" s="157">
        <f>AH40-SUM(AD40:AF40)</f>
        <v>0</v>
      </c>
      <c r="AH40" s="145">
        <v>0</v>
      </c>
      <c r="AI40" s="142">
        <v>0</v>
      </c>
      <c r="AJ40" s="159">
        <v>0</v>
      </c>
      <c r="AK40" s="159">
        <v>0</v>
      </c>
      <c r="AL40" s="157">
        <f>AM40-SUM(AI40:AK40)</f>
        <v>0</v>
      </c>
      <c r="AM40" s="145">
        <v>0</v>
      </c>
      <c r="AN40" s="142">
        <v>0</v>
      </c>
      <c r="AO40" s="159">
        <v>0</v>
      </c>
      <c r="AP40" s="159">
        <v>6.8</v>
      </c>
      <c r="AQ40" s="157">
        <f>AR40-SUM(AN40:AP40)</f>
        <v>0</v>
      </c>
      <c r="AR40" s="145">
        <v>6.8</v>
      </c>
      <c r="AS40" s="142">
        <v>0</v>
      </c>
      <c r="AT40" s="159">
        <v>0</v>
      </c>
      <c r="AU40" s="159">
        <v>0</v>
      </c>
      <c r="AV40" s="157">
        <f>AW40-SUM(AS40:AU40)</f>
        <v>15.5</v>
      </c>
      <c r="AW40" s="1024">
        <f>4.5+13.5-2.5</f>
        <v>15.5</v>
      </c>
      <c r="AX40" s="171">
        <v>0</v>
      </c>
      <c r="AY40" s="172">
        <v>0</v>
      </c>
      <c r="AZ40" s="172">
        <v>0</v>
      </c>
      <c r="BA40" s="173">
        <v>0</v>
      </c>
      <c r="BB40" s="561">
        <f>SUM(AX40:BA40)</f>
        <v>0</v>
      </c>
      <c r="BC40" s="171">
        <v>0</v>
      </c>
      <c r="BD40" s="172">
        <v>0</v>
      </c>
      <c r="BE40" s="172">
        <v>0</v>
      </c>
      <c r="BF40" s="173">
        <v>0</v>
      </c>
      <c r="BG40" s="561">
        <f>SUM(BC40:BF40)</f>
        <v>0</v>
      </c>
      <c r="BH40" s="171">
        <v>0</v>
      </c>
      <c r="BI40" s="172">
        <v>0</v>
      </c>
      <c r="BJ40" s="172">
        <v>0</v>
      </c>
      <c r="BK40" s="173">
        <v>0</v>
      </c>
      <c r="BL40" s="561">
        <f>SUM(BH40:BK40)</f>
        <v>0</v>
      </c>
      <c r="BM40" s="171">
        <v>0</v>
      </c>
      <c r="BN40" s="172">
        <v>0</v>
      </c>
      <c r="BO40" s="172">
        <v>0</v>
      </c>
      <c r="BP40" s="173">
        <v>0</v>
      </c>
      <c r="BQ40" s="561">
        <f>SUM(BM40:BP40)</f>
        <v>0</v>
      </c>
      <c r="BR40" s="492"/>
      <c r="BS40" s="492"/>
      <c r="BV40" s="492"/>
      <c r="BW40" s="74"/>
      <c r="BX40" s="74"/>
      <c r="BY40" s="74"/>
      <c r="BZ40" s="74"/>
      <c r="CA40" s="74"/>
      <c r="CB40" s="74"/>
      <c r="CC40" s="74"/>
      <c r="CD40" s="74"/>
      <c r="CE40" s="74"/>
      <c r="CF40" s="74"/>
      <c r="CG40" s="74"/>
      <c r="CH40" s="74"/>
      <c r="CI40" s="74"/>
      <c r="CJ40" s="74"/>
      <c r="CK40" s="74"/>
      <c r="CL40" s="74"/>
      <c r="CM40" s="74"/>
      <c r="CN40" s="74"/>
      <c r="CO40" s="74"/>
      <c r="CP40" s="74"/>
      <c r="CQ40" s="74"/>
      <c r="CR40" s="74"/>
      <c r="CS40" s="74"/>
      <c r="CT40" s="74"/>
      <c r="CU40" s="74"/>
    </row>
    <row r="41" spans="1:99">
      <c r="A41" s="74"/>
      <c r="B41" s="74"/>
      <c r="C41" s="56" t="s">
        <v>16</v>
      </c>
      <c r="D41" s="72"/>
      <c r="E41" s="149"/>
      <c r="F41" s="150"/>
      <c r="G41" s="150"/>
      <c r="H41" s="151"/>
      <c r="I41" s="112"/>
      <c r="J41" s="149"/>
      <c r="K41" s="150"/>
      <c r="L41" s="150"/>
      <c r="M41" s="151"/>
      <c r="N41" s="112"/>
      <c r="O41" s="149"/>
      <c r="P41" s="150"/>
      <c r="Q41" s="150"/>
      <c r="R41" s="151"/>
      <c r="S41" s="112"/>
      <c r="T41" s="149"/>
      <c r="U41" s="150"/>
      <c r="V41" s="150"/>
      <c r="W41" s="151"/>
      <c r="X41" s="112">
        <f t="shared" ref="X41:AF41" si="44">X39+X40</f>
        <v>840</v>
      </c>
      <c r="Y41" s="149">
        <f t="shared" si="44"/>
        <v>203</v>
      </c>
      <c r="Z41" s="150">
        <f t="shared" si="44"/>
        <v>153</v>
      </c>
      <c r="AA41" s="150">
        <f t="shared" si="44"/>
        <v>273</v>
      </c>
      <c r="AB41" s="151">
        <f t="shared" si="44"/>
        <v>122</v>
      </c>
      <c r="AC41" s="112">
        <f t="shared" si="44"/>
        <v>751</v>
      </c>
      <c r="AD41" s="149">
        <f t="shared" si="44"/>
        <v>279</v>
      </c>
      <c r="AE41" s="150">
        <f t="shared" si="44"/>
        <v>155</v>
      </c>
      <c r="AF41" s="150">
        <f t="shared" si="44"/>
        <v>219</v>
      </c>
      <c r="AG41" s="151">
        <f t="shared" ref="AG41:AM41" si="45">AG39+AG40</f>
        <v>55</v>
      </c>
      <c r="AH41" s="112">
        <f t="shared" si="45"/>
        <v>708</v>
      </c>
      <c r="AI41" s="149">
        <f t="shared" si="45"/>
        <v>299</v>
      </c>
      <c r="AJ41" s="150">
        <f t="shared" si="45"/>
        <v>207</v>
      </c>
      <c r="AK41" s="150">
        <f t="shared" si="45"/>
        <v>274</v>
      </c>
      <c r="AL41" s="151">
        <f t="shared" si="45"/>
        <v>116.50000000000064</v>
      </c>
      <c r="AM41" s="112">
        <f t="shared" si="45"/>
        <v>896.50000000000057</v>
      </c>
      <c r="AN41" s="149">
        <f t="shared" ref="AN41:AS41" si="46">AN39+AN40</f>
        <v>277.59999999999968</v>
      </c>
      <c r="AO41" s="150">
        <f t="shared" si="46"/>
        <v>209.39999999999995</v>
      </c>
      <c r="AP41" s="150">
        <f t="shared" si="46"/>
        <v>349.10000000000014</v>
      </c>
      <c r="AQ41" s="151">
        <f t="shared" si="46"/>
        <v>150.59999999999948</v>
      </c>
      <c r="AR41" s="112">
        <f t="shared" si="46"/>
        <v>986.69999999999925</v>
      </c>
      <c r="AS41" s="149">
        <f t="shared" si="46"/>
        <v>219.50000000000011</v>
      </c>
      <c r="AT41" s="150">
        <f t="shared" ref="AT41:BB41" si="47">AT39+AT40</f>
        <v>120.8</v>
      </c>
      <c r="AU41" s="150">
        <f t="shared" si="47"/>
        <v>286.2999999999995</v>
      </c>
      <c r="AV41" s="151">
        <f t="shared" si="47"/>
        <v>179.40000000000043</v>
      </c>
      <c r="AW41" s="112">
        <f t="shared" si="47"/>
        <v>806.00000000000011</v>
      </c>
      <c r="AX41" s="149">
        <f t="shared" si="47"/>
        <v>260.95435499727137</v>
      </c>
      <c r="AY41" s="150">
        <f t="shared" si="47"/>
        <v>136.66704198183734</v>
      </c>
      <c r="AZ41" s="150">
        <f t="shared" si="47"/>
        <v>322.3455209577856</v>
      </c>
      <c r="BA41" s="151">
        <f t="shared" si="47"/>
        <v>180.43815315503861</v>
      </c>
      <c r="BB41" s="112">
        <f t="shared" si="47"/>
        <v>900.405071091933</v>
      </c>
      <c r="BC41" s="149">
        <f t="shared" ref="BC41:BL41" si="48">BC39+BC40</f>
        <v>327.61226654431601</v>
      </c>
      <c r="BD41" s="150">
        <f t="shared" si="48"/>
        <v>174.21786438401091</v>
      </c>
      <c r="BE41" s="150">
        <f t="shared" si="48"/>
        <v>343.94810755326381</v>
      </c>
      <c r="BF41" s="151">
        <f t="shared" si="48"/>
        <v>202.59242508857682</v>
      </c>
      <c r="BG41" s="112">
        <f t="shared" si="48"/>
        <v>1048.3706635701676</v>
      </c>
      <c r="BH41" s="149">
        <f t="shared" si="48"/>
        <v>340.45461308222099</v>
      </c>
      <c r="BI41" s="150">
        <f t="shared" si="48"/>
        <v>183.35685365686518</v>
      </c>
      <c r="BJ41" s="150">
        <f t="shared" si="48"/>
        <v>379.93468630004043</v>
      </c>
      <c r="BK41" s="151">
        <f t="shared" si="48"/>
        <v>230.57859500445517</v>
      </c>
      <c r="BL41" s="112">
        <f t="shared" si="48"/>
        <v>1134.3247480435818</v>
      </c>
      <c r="BM41" s="149">
        <f>BM39+BM40</f>
        <v>398.54728094114688</v>
      </c>
      <c r="BN41" s="150">
        <f>BN39+BN40</f>
        <v>227.23338654317809</v>
      </c>
      <c r="BO41" s="150">
        <f>BO39+BO40</f>
        <v>404.01807617669016</v>
      </c>
      <c r="BP41" s="151">
        <f>BP39+BP40</f>
        <v>257.61137910924816</v>
      </c>
      <c r="BQ41" s="112">
        <f>BQ39+BQ40</f>
        <v>1287.4101227702633</v>
      </c>
      <c r="BR41" s="74"/>
      <c r="BS41" s="74"/>
      <c r="CA41" s="74"/>
      <c r="CB41" s="74"/>
      <c r="CC41" s="74"/>
      <c r="CD41" s="74"/>
      <c r="CE41" s="74"/>
      <c r="CF41" s="74"/>
      <c r="CG41" s="74"/>
      <c r="CH41" s="74"/>
      <c r="CI41" s="74"/>
      <c r="CJ41" s="74"/>
      <c r="CK41" s="74"/>
      <c r="CL41" s="74"/>
      <c r="CM41" s="74"/>
      <c r="CN41" s="74"/>
      <c r="CO41" s="74"/>
      <c r="CP41" s="74"/>
      <c r="CQ41" s="74"/>
      <c r="CR41" s="74"/>
      <c r="CS41" s="74"/>
      <c r="CT41" s="74"/>
      <c r="CU41" s="74"/>
    </row>
    <row r="42" spans="1:99">
      <c r="A42" s="74"/>
      <c r="B42" s="74"/>
      <c r="C42" s="50"/>
      <c r="D42" s="72"/>
      <c r="E42" s="148"/>
      <c r="F42" s="163"/>
      <c r="G42" s="163"/>
      <c r="H42" s="147"/>
      <c r="I42" s="72"/>
      <c r="J42" s="148"/>
      <c r="K42" s="163"/>
      <c r="L42" s="163"/>
      <c r="M42" s="147"/>
      <c r="N42" s="72"/>
      <c r="O42" s="148"/>
      <c r="P42" s="163"/>
      <c r="Q42" s="163"/>
      <c r="R42" s="147"/>
      <c r="S42" s="72"/>
      <c r="T42" s="148"/>
      <c r="U42" s="163"/>
      <c r="V42" s="163"/>
      <c r="W42" s="147"/>
      <c r="X42" s="72"/>
      <c r="Y42" s="148"/>
      <c r="Z42" s="163"/>
      <c r="AA42" s="163"/>
      <c r="AB42" s="147"/>
      <c r="AC42" s="72"/>
      <c r="AD42" s="148"/>
      <c r="AE42" s="163"/>
      <c r="AF42" s="163"/>
      <c r="AG42" s="147"/>
      <c r="AH42" s="72"/>
      <c r="AI42" s="148"/>
      <c r="AJ42" s="163"/>
      <c r="AK42" s="163"/>
      <c r="AL42" s="147"/>
      <c r="AM42" s="72"/>
      <c r="AN42" s="148"/>
      <c r="AO42" s="163"/>
      <c r="AP42" s="163"/>
      <c r="AQ42" s="147"/>
      <c r="AR42" s="72"/>
      <c r="AS42" s="148"/>
      <c r="AT42" s="163"/>
      <c r="AU42" s="163"/>
      <c r="AV42" s="147"/>
      <c r="AW42" s="74"/>
      <c r="AX42" s="148"/>
      <c r="AY42" s="163"/>
      <c r="AZ42" s="163"/>
      <c r="BA42" s="147"/>
      <c r="BB42" s="74"/>
      <c r="BC42" s="148"/>
      <c r="BD42" s="163"/>
      <c r="BE42" s="163"/>
      <c r="BF42" s="147"/>
      <c r="BG42" s="74"/>
      <c r="BH42" s="148"/>
      <c r="BI42" s="163"/>
      <c r="BJ42" s="163"/>
      <c r="BK42" s="147"/>
      <c r="BL42" s="74"/>
      <c r="BM42" s="148"/>
      <c r="BN42" s="163"/>
      <c r="BO42" s="163"/>
      <c r="BP42" s="147"/>
      <c r="BQ42" s="74"/>
      <c r="BR42" s="74"/>
      <c r="BS42" s="74"/>
      <c r="BV42" s="74"/>
      <c r="BW42" s="74"/>
      <c r="BX42" s="74"/>
      <c r="BY42" s="74"/>
      <c r="BZ42" s="74"/>
      <c r="CA42" s="74"/>
      <c r="CB42" s="74"/>
      <c r="CC42" s="74"/>
      <c r="CD42" s="74"/>
      <c r="CE42" s="74"/>
      <c r="CF42" s="74"/>
      <c r="CG42" s="74"/>
      <c r="CH42" s="74"/>
      <c r="CI42" s="74"/>
      <c r="CJ42" s="74"/>
      <c r="CK42" s="74"/>
      <c r="CL42" s="74"/>
      <c r="CM42" s="74"/>
      <c r="CN42" s="74"/>
      <c r="CO42" s="74"/>
      <c r="CP42" s="74"/>
      <c r="CQ42" s="74"/>
      <c r="CR42" s="74"/>
      <c r="CS42" s="74"/>
      <c r="CT42" s="74"/>
      <c r="CU42" s="74"/>
    </row>
    <row r="43" spans="1:99">
      <c r="A43" s="74"/>
      <c r="B43" s="74"/>
      <c r="C43" s="50" t="s">
        <v>898</v>
      </c>
      <c r="D43" s="72"/>
      <c r="E43" s="161"/>
      <c r="F43" s="160"/>
      <c r="G43" s="160"/>
      <c r="H43" s="144"/>
      <c r="I43" s="109"/>
      <c r="J43" s="161"/>
      <c r="K43" s="160"/>
      <c r="L43" s="160"/>
      <c r="M43" s="144"/>
      <c r="N43" s="109"/>
      <c r="O43" s="161"/>
      <c r="P43" s="160"/>
      <c r="Q43" s="160"/>
      <c r="R43" s="144"/>
      <c r="S43" s="109"/>
      <c r="T43" s="161"/>
      <c r="U43" s="160"/>
      <c r="V43" s="160"/>
      <c r="W43" s="144"/>
      <c r="X43" s="109">
        <f>+AEP!X51</f>
        <v>484.68246900000003</v>
      </c>
      <c r="Y43" s="161">
        <f>+AEP!Y51</f>
        <v>485.823668</v>
      </c>
      <c r="Z43" s="160">
        <f>+AEP!Z51</f>
        <v>486.293026</v>
      </c>
      <c r="AA43" s="160">
        <f>+AEP!AA51</f>
        <v>486.93274700000001</v>
      </c>
      <c r="AB43" s="144">
        <f>+AEP!AB51</f>
        <v>487</v>
      </c>
      <c r="AC43" s="109">
        <f>+AEP!AC51</f>
        <v>486.61955499999999</v>
      </c>
      <c r="AD43" s="161">
        <f>+AEP!AD51</f>
        <v>487.86708900000002</v>
      </c>
      <c r="AE43" s="160">
        <f>+AEP!AE51</f>
        <v>488.29157600000002</v>
      </c>
      <c r="AF43" s="160">
        <f>+AEP!AF51</f>
        <v>488.912892</v>
      </c>
      <c r="AG43" s="144">
        <f>+AEP!AG51</f>
        <v>489</v>
      </c>
      <c r="AH43" s="109">
        <f>+AEP!AH51</f>
        <v>488.59299700000003</v>
      </c>
      <c r="AI43" s="161">
        <f>+AEP!AI51</f>
        <v>489.59798599999999</v>
      </c>
      <c r="AJ43" s="160">
        <f>+AEP!AJ51</f>
        <v>490.20748200000003</v>
      </c>
      <c r="AK43" s="160">
        <f>+AEP!AK51</f>
        <v>490.64892900000001</v>
      </c>
      <c r="AL43" s="144">
        <f>+AEP!AL51</f>
        <v>491</v>
      </c>
      <c r="AM43" s="109">
        <f>+AEP!AM51</f>
        <v>490.34052200000002</v>
      </c>
      <c r="AN43" s="161">
        <f>+AEP!AN51</f>
        <v>491.10839199999998</v>
      </c>
      <c r="AO43" s="160">
        <f>+AEP!AO51</f>
        <v>491.459541</v>
      </c>
      <c r="AP43" s="160">
        <f>+AEP!AP51</f>
        <v>491.69780900000001</v>
      </c>
      <c r="AQ43" s="144">
        <f>+AEP!AQ51</f>
        <v>492</v>
      </c>
      <c r="AR43" s="109">
        <f>+AEP!AR51</f>
        <v>491.49545799999999</v>
      </c>
      <c r="AS43" s="161">
        <f>+AEP!AS51</f>
        <v>491.712042</v>
      </c>
      <c r="AT43" s="160">
        <f>+AEP!AT51</f>
        <v>491.790752</v>
      </c>
      <c r="AU43" s="160">
        <f>+AEP!AU51</f>
        <v>491.84072200000003</v>
      </c>
      <c r="AV43" s="144">
        <f>+AEP!AV51</f>
        <v>492</v>
      </c>
      <c r="AW43" s="109">
        <f>+AEP!AW51</f>
        <v>491.81465100000003</v>
      </c>
      <c r="AX43" s="161">
        <f>+AEP!AX51</f>
        <v>492.18707302903601</v>
      </c>
      <c r="AY43" s="160">
        <f>+AEP!AY51</f>
        <v>492.550023087108</v>
      </c>
      <c r="AZ43" s="160">
        <f>+AEP!AZ51</f>
        <v>492.91297314517999</v>
      </c>
      <c r="BA43" s="144">
        <f>+AEP!BA51</f>
        <v>493.27592320325198</v>
      </c>
      <c r="BB43" s="109">
        <f>+AEP!BB51</f>
        <v>492.731498116144</v>
      </c>
      <c r="BC43" s="161">
        <f>+AEP!BC51</f>
        <v>493.63887326132397</v>
      </c>
      <c r="BD43" s="160">
        <f>+AEP!BD51</f>
        <v>494.00182331939595</v>
      </c>
      <c r="BE43" s="160">
        <f>+AEP!BE51</f>
        <v>494.36477337746794</v>
      </c>
      <c r="BF43" s="144">
        <f>+AEP!BF51</f>
        <v>494.72772343553993</v>
      </c>
      <c r="BG43" s="109">
        <f>+AEP!BG51</f>
        <v>494.18329834843195</v>
      </c>
      <c r="BH43" s="161">
        <f>+AEP!BH51</f>
        <v>495.81657360975595</v>
      </c>
      <c r="BI43" s="160">
        <f>+AEP!BI51</f>
        <v>497.631323900116</v>
      </c>
      <c r="BJ43" s="160">
        <f>+AEP!BJ51</f>
        <v>499.44607419047605</v>
      </c>
      <c r="BK43" s="144">
        <f>+AEP!BK51</f>
        <v>501.26082448083611</v>
      </c>
      <c r="BL43" s="109">
        <f>+AEP!BL51</f>
        <v>498.53869904529603</v>
      </c>
      <c r="BM43" s="161">
        <f>+AEP!BM51</f>
        <v>503.48389358652719</v>
      </c>
      <c r="BN43" s="160">
        <f>+AEP!BN51</f>
        <v>506.11528150754918</v>
      </c>
      <c r="BO43" s="160">
        <f>+AEP!BO51</f>
        <v>508.74666942857129</v>
      </c>
      <c r="BP43" s="144">
        <f>+AEP!BP51</f>
        <v>511.37805734959335</v>
      </c>
      <c r="BQ43" s="109">
        <f>+AEP!BQ51</f>
        <v>507.43097546806024</v>
      </c>
      <c r="BR43" s="74"/>
      <c r="BS43" s="74"/>
      <c r="BV43" s="74"/>
      <c r="BW43" s="74"/>
      <c r="BX43" s="74"/>
      <c r="BY43" s="74"/>
      <c r="BZ43" s="74"/>
      <c r="CA43" s="74"/>
      <c r="CB43" s="74"/>
      <c r="CC43" s="74"/>
      <c r="CD43" s="74"/>
      <c r="CE43" s="74"/>
      <c r="CF43" s="74"/>
      <c r="CG43" s="74"/>
      <c r="CH43" s="74"/>
      <c r="CI43" s="74"/>
      <c r="CJ43" s="74"/>
      <c r="CK43" s="74"/>
      <c r="CL43" s="74"/>
      <c r="CM43" s="74"/>
      <c r="CN43" s="74"/>
      <c r="CO43" s="74"/>
      <c r="CP43" s="74"/>
      <c r="CQ43" s="74"/>
      <c r="CR43" s="74"/>
      <c r="CS43" s="74"/>
      <c r="CT43" s="74"/>
      <c r="CU43" s="74"/>
    </row>
    <row r="44" spans="1:99">
      <c r="A44" s="74"/>
      <c r="B44" s="74"/>
      <c r="C44" s="50" t="s">
        <v>901</v>
      </c>
      <c r="D44" s="72"/>
      <c r="E44" s="161"/>
      <c r="F44" s="160"/>
      <c r="G44" s="160"/>
      <c r="H44" s="144"/>
      <c r="I44" s="109"/>
      <c r="J44" s="161"/>
      <c r="K44" s="160"/>
      <c r="L44" s="160"/>
      <c r="M44" s="144"/>
      <c r="N44" s="109"/>
      <c r="O44" s="161"/>
      <c r="P44" s="160"/>
      <c r="Q44" s="160"/>
      <c r="R44" s="144"/>
      <c r="S44" s="109"/>
      <c r="T44" s="161"/>
      <c r="U44" s="160"/>
      <c r="V44" s="160"/>
      <c r="W44" s="144"/>
      <c r="X44" s="109">
        <f>+AEP!X52</f>
        <v>485.08469400000001</v>
      </c>
      <c r="Y44" s="161">
        <f>+AEP!Y52</f>
        <v>486.34403600000002</v>
      </c>
      <c r="Z44" s="160">
        <f>+AEP!Z52</f>
        <v>486.86361499999998</v>
      </c>
      <c r="AA44" s="160">
        <f>+AEP!AA52</f>
        <v>487.25890500000003</v>
      </c>
      <c r="AB44" s="144">
        <f>+AEP!AB52</f>
        <v>487</v>
      </c>
      <c r="AC44" s="109">
        <f>+AEP!AC52</f>
        <v>487.04095599999999</v>
      </c>
      <c r="AD44" s="161">
        <f>+AEP!AD52</f>
        <v>488.27116699999999</v>
      </c>
      <c r="AE44" s="160">
        <f>+AEP!AE52</f>
        <v>488.53822700000001</v>
      </c>
      <c r="AF44" s="160">
        <f>+AEP!AF52</f>
        <v>488.97064699999999</v>
      </c>
      <c r="AG44" s="144">
        <f>+AEP!AG52</f>
        <v>489</v>
      </c>
      <c r="AH44" s="109">
        <f>+AEP!AH52</f>
        <v>488.89983999999998</v>
      </c>
      <c r="AI44" s="161">
        <f>+AEP!AI52</f>
        <v>489.93672600000002</v>
      </c>
      <c r="AJ44" s="160">
        <f>+AEP!AJ52</f>
        <v>490.48444999999998</v>
      </c>
      <c r="AK44" s="160">
        <f>+AEP!AK52</f>
        <v>490.80033500000002</v>
      </c>
      <c r="AL44" s="144">
        <f>+AEP!AL52</f>
        <v>491</v>
      </c>
      <c r="AM44" s="109">
        <f>+AEP!AM52</f>
        <v>490.574568</v>
      </c>
      <c r="AN44" s="161">
        <f>+AEP!AN52</f>
        <v>491.33230500000002</v>
      </c>
      <c r="AO44" s="160">
        <f>+AEP!AO52</f>
        <v>491.64139999999998</v>
      </c>
      <c r="AP44" s="160">
        <f>+AEP!AP52</f>
        <v>491.81385799999998</v>
      </c>
      <c r="AQ44" s="144">
        <f>+AEP!AQ52</f>
        <v>492</v>
      </c>
      <c r="AR44" s="109">
        <f>+AEP!AR52</f>
        <v>491.66200700000002</v>
      </c>
      <c r="AS44" s="161">
        <f>+AEP!AS52</f>
        <v>492.03197499999999</v>
      </c>
      <c r="AT44" s="160">
        <f>+AEP!AT52</f>
        <v>492.64210000000003</v>
      </c>
      <c r="AU44" s="160">
        <f>+AEP!AU52</f>
        <v>492.98630700000001</v>
      </c>
      <c r="AV44" s="144">
        <f>+AEP!AV52</f>
        <v>492</v>
      </c>
      <c r="AW44" s="109">
        <f>+AEP!AW52</f>
        <v>492.61106699999999</v>
      </c>
      <c r="AX44" s="161">
        <f>+AEP!AX52</f>
        <v>492.18707302903601</v>
      </c>
      <c r="AY44" s="160">
        <f>+AEP!AY52</f>
        <v>492.550023087108</v>
      </c>
      <c r="AZ44" s="160">
        <f>+AEP!AZ52</f>
        <v>492.91297314517999</v>
      </c>
      <c r="BA44" s="144">
        <f>+AEP!BA52</f>
        <v>493.27592320325198</v>
      </c>
      <c r="BB44" s="109">
        <f>+AEP!BB52</f>
        <v>492.731498116144</v>
      </c>
      <c r="BC44" s="161">
        <f>+AEP!BC52</f>
        <v>493.63887326132397</v>
      </c>
      <c r="BD44" s="160">
        <f>+AEP!BD52</f>
        <v>494.00182331939595</v>
      </c>
      <c r="BE44" s="160">
        <f>+AEP!BE52</f>
        <v>494.36477337746794</v>
      </c>
      <c r="BF44" s="144">
        <f>+AEP!BF52</f>
        <v>494.72772343553993</v>
      </c>
      <c r="BG44" s="109">
        <f>+AEP!BG52</f>
        <v>494.18329834843195</v>
      </c>
      <c r="BH44" s="161">
        <f>+AEP!BH52</f>
        <v>495.81657360975595</v>
      </c>
      <c r="BI44" s="160">
        <f>+AEP!BI52</f>
        <v>497.631323900116</v>
      </c>
      <c r="BJ44" s="160">
        <f>+AEP!BJ52</f>
        <v>499.44607419047605</v>
      </c>
      <c r="BK44" s="144">
        <f>+AEP!BK52</f>
        <v>501.26082448083611</v>
      </c>
      <c r="BL44" s="109">
        <f>+AEP!BL52</f>
        <v>498.53869904529603</v>
      </c>
      <c r="BM44" s="161">
        <f>+AEP!BM52</f>
        <v>503.48389358652719</v>
      </c>
      <c r="BN44" s="160">
        <f>+AEP!BN52</f>
        <v>506.11528150754918</v>
      </c>
      <c r="BO44" s="160">
        <f>+AEP!BO52</f>
        <v>508.74666942857129</v>
      </c>
      <c r="BP44" s="144">
        <f>+AEP!BP52</f>
        <v>511.37805734959335</v>
      </c>
      <c r="BQ44" s="109">
        <f>+AEP!BQ52</f>
        <v>507.43097546806024</v>
      </c>
      <c r="BR44" s="74"/>
      <c r="BS44" s="74"/>
      <c r="BV44" s="74"/>
      <c r="BW44" s="74"/>
      <c r="BX44" s="74"/>
      <c r="BY44" s="74"/>
      <c r="BZ44" s="74"/>
      <c r="CA44" s="74"/>
      <c r="CB44" s="74"/>
      <c r="CC44" s="74"/>
      <c r="CD44" s="74"/>
      <c r="CE44" s="74"/>
      <c r="CF44" s="74"/>
      <c r="CG44" s="74"/>
      <c r="CH44" s="74"/>
      <c r="CI44" s="74"/>
      <c r="CJ44" s="74"/>
      <c r="CK44" s="74"/>
      <c r="CL44" s="74"/>
      <c r="CM44" s="74"/>
      <c r="CN44" s="74"/>
      <c r="CO44" s="74"/>
      <c r="CP44" s="74"/>
      <c r="CQ44" s="74"/>
      <c r="CR44" s="74"/>
      <c r="CS44" s="74"/>
      <c r="CT44" s="74"/>
      <c r="CU44" s="74"/>
    </row>
    <row r="45" spans="1:99">
      <c r="A45" s="74"/>
      <c r="B45" s="74"/>
      <c r="C45" s="112"/>
      <c r="D45" s="72"/>
      <c r="E45" s="148"/>
      <c r="F45" s="163"/>
      <c r="G45" s="163"/>
      <c r="H45" s="147"/>
      <c r="I45" s="72"/>
      <c r="J45" s="148"/>
      <c r="K45" s="163"/>
      <c r="L45" s="163"/>
      <c r="M45" s="147"/>
      <c r="N45" s="72"/>
      <c r="O45" s="148"/>
      <c r="P45" s="163"/>
      <c r="Q45" s="163"/>
      <c r="R45" s="147"/>
      <c r="S45" s="72"/>
      <c r="T45" s="148"/>
      <c r="U45" s="163"/>
      <c r="V45" s="163"/>
      <c r="W45" s="147"/>
      <c r="X45" s="72"/>
      <c r="Y45" s="148"/>
      <c r="Z45" s="163"/>
      <c r="AA45" s="163"/>
      <c r="AB45" s="147"/>
      <c r="AC45" s="72"/>
      <c r="AD45" s="148"/>
      <c r="AE45" s="163"/>
      <c r="AF45" s="163"/>
      <c r="AG45" s="147"/>
      <c r="AH45" s="72"/>
      <c r="AI45" s="148"/>
      <c r="AJ45" s="163"/>
      <c r="AK45" s="163"/>
      <c r="AL45" s="147"/>
      <c r="AM45" s="72"/>
      <c r="AN45" s="148"/>
      <c r="AO45" s="163"/>
      <c r="AP45" s="163"/>
      <c r="AQ45" s="147"/>
      <c r="AR45" s="72"/>
      <c r="AS45" s="148"/>
      <c r="AT45" s="163"/>
      <c r="AU45" s="163"/>
      <c r="AV45" s="147"/>
      <c r="AW45" s="74"/>
      <c r="AX45" s="148"/>
      <c r="AY45" s="163"/>
      <c r="AZ45" s="163"/>
      <c r="BA45" s="147"/>
      <c r="BB45" s="74"/>
      <c r="BC45" s="148"/>
      <c r="BD45" s="163"/>
      <c r="BE45" s="163"/>
      <c r="BF45" s="147"/>
      <c r="BG45" s="74"/>
      <c r="BH45" s="148"/>
      <c r="BI45" s="163"/>
      <c r="BJ45" s="163"/>
      <c r="BK45" s="147"/>
      <c r="BL45" s="74"/>
      <c r="BM45" s="148"/>
      <c r="BN45" s="163"/>
      <c r="BO45" s="163"/>
      <c r="BP45" s="147"/>
      <c r="BQ45" s="74"/>
      <c r="BR45" s="74"/>
      <c r="BS45" s="74"/>
      <c r="BV45" s="74"/>
      <c r="BW45" s="74"/>
      <c r="BX45" s="74"/>
      <c r="BY45" s="74"/>
      <c r="BZ45" s="74"/>
      <c r="CA45" s="74"/>
      <c r="CB45" s="74"/>
      <c r="CC45" s="74"/>
      <c r="CD45" s="74"/>
      <c r="CE45" s="74"/>
      <c r="CF45" s="74"/>
      <c r="CG45" s="74"/>
      <c r="CH45" s="74"/>
      <c r="CI45" s="74"/>
      <c r="CJ45" s="74"/>
      <c r="CK45" s="74"/>
      <c r="CL45" s="74"/>
      <c r="CM45" s="74"/>
      <c r="CN45" s="74"/>
      <c r="CO45" s="74"/>
      <c r="CP45" s="74"/>
      <c r="CQ45" s="74"/>
      <c r="CR45" s="74"/>
      <c r="CS45" s="74"/>
      <c r="CT45" s="74"/>
      <c r="CU45" s="74"/>
    </row>
    <row r="46" spans="1:99">
      <c r="A46" s="50"/>
      <c r="B46" s="50"/>
      <c r="C46" s="50" t="s">
        <v>196</v>
      </c>
      <c r="D46" s="50"/>
      <c r="E46" s="174"/>
      <c r="F46" s="175"/>
      <c r="G46" s="175"/>
      <c r="H46" s="176"/>
      <c r="I46" s="177"/>
      <c r="J46" s="174"/>
      <c r="K46" s="175"/>
      <c r="L46" s="175"/>
      <c r="M46" s="176"/>
      <c r="N46" s="177"/>
      <c r="O46" s="174"/>
      <c r="P46" s="175"/>
      <c r="Q46" s="175"/>
      <c r="R46" s="176"/>
      <c r="S46" s="177"/>
      <c r="T46" s="174"/>
      <c r="U46" s="175"/>
      <c r="V46" s="175"/>
      <c r="W46" s="176"/>
      <c r="X46" s="177">
        <f t="shared" ref="X46:AF46" si="49">+X39/X44</f>
        <v>1.6553810291940483</v>
      </c>
      <c r="Y46" s="174">
        <f t="shared" si="49"/>
        <v>0.37216453087131102</v>
      </c>
      <c r="Z46" s="175">
        <f t="shared" si="49"/>
        <v>0.31425638574367487</v>
      </c>
      <c r="AA46" s="175">
        <f t="shared" si="49"/>
        <v>0.35504738492157467</v>
      </c>
      <c r="AB46" s="176">
        <f t="shared" si="49"/>
        <v>0.35728952772073924</v>
      </c>
      <c r="AC46" s="177">
        <f t="shared" si="49"/>
        <v>1.3982396995787763</v>
      </c>
      <c r="AD46" s="174">
        <f t="shared" si="49"/>
        <v>0.57140379947931674</v>
      </c>
      <c r="AE46" s="175">
        <f t="shared" si="49"/>
        <v>0.31727302273113622</v>
      </c>
      <c r="AF46" s="175">
        <f t="shared" si="49"/>
        <v>0.44787964542174247</v>
      </c>
      <c r="AG46" s="176">
        <f t="shared" ref="AG46:AM46" si="50">+AG39/AG44</f>
        <v>0.11247443762781185</v>
      </c>
      <c r="AH46" s="177">
        <f t="shared" si="50"/>
        <v>1.4481493796357143</v>
      </c>
      <c r="AI46" s="174">
        <f t="shared" si="50"/>
        <v>0.61028288783560181</v>
      </c>
      <c r="AJ46" s="175">
        <f t="shared" si="50"/>
        <v>0.42203172801910438</v>
      </c>
      <c r="AK46" s="175">
        <f t="shared" si="50"/>
        <v>0.55827182758544769</v>
      </c>
      <c r="AL46" s="176">
        <f t="shared" si="50"/>
        <v>0.23727087576374875</v>
      </c>
      <c r="AM46" s="177">
        <f t="shared" si="50"/>
        <v>1.8274489924231061</v>
      </c>
      <c r="AN46" s="174">
        <f t="shared" ref="AN46:AW46" si="51">+AN39/AN44</f>
        <v>0.56499439824132813</v>
      </c>
      <c r="AO46" s="175">
        <f t="shared" si="51"/>
        <v>0.42592019305127671</v>
      </c>
      <c r="AP46" s="175">
        <f t="shared" si="51"/>
        <v>0.69599502826534854</v>
      </c>
      <c r="AQ46" s="176">
        <f t="shared" si="51"/>
        <v>0.3060975609756087</v>
      </c>
      <c r="AR46" s="177">
        <f t="shared" si="51"/>
        <v>1.9930358377274395</v>
      </c>
      <c r="AS46" s="174">
        <f>+AS39/AS44</f>
        <v>0.44610921881652127</v>
      </c>
      <c r="AT46" s="175">
        <f t="shared" si="51"/>
        <v>0.2452084383368778</v>
      </c>
      <c r="AU46" s="175">
        <f t="shared" si="51"/>
        <v>0.5807463532653443</v>
      </c>
      <c r="AV46" s="176">
        <f t="shared" ref="AV46" si="52">+AV39/AV44</f>
        <v>0.3331300813008139</v>
      </c>
      <c r="AW46" s="177">
        <f t="shared" si="51"/>
        <v>1.6047142521871116</v>
      </c>
      <c r="AX46" s="174">
        <f t="shared" ref="AX46:BL46" si="53">+AX39/AX44</f>
        <v>0.53019343517353346</v>
      </c>
      <c r="AY46" s="175">
        <f t="shared" si="53"/>
        <v>0.27746834956023875</v>
      </c>
      <c r="AZ46" s="175">
        <f t="shared" si="53"/>
        <v>0.65396031048029168</v>
      </c>
      <c r="BA46" s="176">
        <f t="shared" si="53"/>
        <v>0.36579558147355579</v>
      </c>
      <c r="BB46" s="177">
        <f t="shared" si="53"/>
        <v>1.8273746950102516</v>
      </c>
      <c r="BC46" s="174">
        <f t="shared" si="53"/>
        <v>0.66366788413538025</v>
      </c>
      <c r="BD46" s="175">
        <f t="shared" si="53"/>
        <v>0.35266644000091207</v>
      </c>
      <c r="BE46" s="175">
        <f t="shared" si="53"/>
        <v>0.69573749198073465</v>
      </c>
      <c r="BF46" s="176">
        <f t="shared" si="53"/>
        <v>0.40950287499902643</v>
      </c>
      <c r="BG46" s="177">
        <f t="shared" si="53"/>
        <v>2.1214206693626396</v>
      </c>
      <c r="BH46" s="174">
        <f t="shared" si="53"/>
        <v>0.68665436212340847</v>
      </c>
      <c r="BI46" s="175">
        <f t="shared" si="53"/>
        <v>0.3684592284501535</v>
      </c>
      <c r="BJ46" s="175">
        <f t="shared" si="53"/>
        <v>0.76071212876356098</v>
      </c>
      <c r="BK46" s="176">
        <f t="shared" si="53"/>
        <v>0.4599972384502003</v>
      </c>
      <c r="BL46" s="177">
        <f t="shared" si="53"/>
        <v>2.2752992901369926</v>
      </c>
      <c r="BM46" s="174">
        <f>+BM39/BM44</f>
        <v>0.79157900782511081</v>
      </c>
      <c r="BN46" s="175">
        <f>+BN39/BN44</f>
        <v>0.44897554933794009</v>
      </c>
      <c r="BO46" s="175">
        <f>+BO39/BO44</f>
        <v>0.79414392359656483</v>
      </c>
      <c r="BP46" s="176">
        <f>+BP39/BP44</f>
        <v>0.50375915705968066</v>
      </c>
      <c r="BQ46" s="177">
        <f>+BQ39/BQ44</f>
        <v>2.537113784949256</v>
      </c>
      <c r="BR46" s="50"/>
      <c r="BS46" s="50"/>
      <c r="BV46" s="50"/>
      <c r="BW46" s="50"/>
      <c r="BX46" s="50"/>
      <c r="BY46" s="50"/>
      <c r="BZ46" s="50"/>
      <c r="CA46" s="50"/>
      <c r="CB46" s="50"/>
      <c r="CC46" s="50"/>
      <c r="CD46" s="50"/>
      <c r="CE46" s="50"/>
      <c r="CF46" s="50"/>
      <c r="CG46" s="50"/>
      <c r="CH46" s="50"/>
      <c r="CI46" s="50"/>
      <c r="CJ46" s="50"/>
      <c r="CK46" s="50"/>
      <c r="CL46" s="50"/>
      <c r="CM46" s="50"/>
      <c r="CN46" s="50"/>
      <c r="CO46" s="50"/>
      <c r="CP46" s="50"/>
      <c r="CQ46" s="50"/>
      <c r="CR46" s="50"/>
      <c r="CS46" s="50"/>
      <c r="CT46" s="50"/>
      <c r="CU46" s="50"/>
    </row>
    <row r="47" spans="1:99">
      <c r="A47" s="50"/>
      <c r="C47" s="178" t="s">
        <v>197</v>
      </c>
      <c r="D47" s="179"/>
      <c r="E47" s="180"/>
      <c r="F47" s="105"/>
      <c r="G47" s="105"/>
      <c r="H47" s="106"/>
      <c r="I47" s="181"/>
      <c r="J47" s="180"/>
      <c r="K47" s="105"/>
      <c r="L47" s="105"/>
      <c r="M47" s="106"/>
      <c r="N47" s="181"/>
      <c r="O47" s="180"/>
      <c r="P47" s="105"/>
      <c r="Q47" s="105"/>
      <c r="R47" s="106"/>
      <c r="S47" s="181"/>
      <c r="T47" s="180"/>
      <c r="U47" s="105"/>
      <c r="V47" s="105"/>
      <c r="W47" s="106"/>
      <c r="X47" s="181">
        <f t="shared" ref="X47:AF47" si="54">+X41/X44</f>
        <v>1.7316563692689919</v>
      </c>
      <c r="Y47" s="180">
        <f t="shared" si="54"/>
        <v>0.41739999871202282</v>
      </c>
      <c r="Z47" s="105">
        <f t="shared" si="54"/>
        <v>0.31425638574367487</v>
      </c>
      <c r="AA47" s="105">
        <f t="shared" si="54"/>
        <v>0.56027708718838087</v>
      </c>
      <c r="AB47" s="106">
        <f t="shared" si="54"/>
        <v>0.25051334702258726</v>
      </c>
      <c r="AC47" s="181">
        <f t="shared" si="54"/>
        <v>1.541964778830633</v>
      </c>
      <c r="AD47" s="180">
        <f t="shared" si="54"/>
        <v>0.57140379947931674</v>
      </c>
      <c r="AE47" s="105">
        <f t="shared" si="54"/>
        <v>0.31727302273113622</v>
      </c>
      <c r="AF47" s="105">
        <f t="shared" si="54"/>
        <v>0.44787964542174247</v>
      </c>
      <c r="AG47" s="106">
        <f t="shared" ref="AG47:AM47" si="55">+AG41/AG44</f>
        <v>0.11247443762781185</v>
      </c>
      <c r="AH47" s="181">
        <f t="shared" si="55"/>
        <v>1.4481493796357143</v>
      </c>
      <c r="AI47" s="180">
        <f t="shared" si="55"/>
        <v>0.61028288783560181</v>
      </c>
      <c r="AJ47" s="105">
        <f t="shared" si="55"/>
        <v>0.42203172801910438</v>
      </c>
      <c r="AK47" s="105">
        <f t="shared" si="55"/>
        <v>0.55827182758544769</v>
      </c>
      <c r="AL47" s="106">
        <f t="shared" si="55"/>
        <v>0.23727087576374875</v>
      </c>
      <c r="AM47" s="181">
        <f t="shared" si="55"/>
        <v>1.8274489924231061</v>
      </c>
      <c r="AN47" s="180">
        <f t="shared" ref="AN47:AW47" si="56">+AN41/AN44</f>
        <v>0.56499439824132813</v>
      </c>
      <c r="AO47" s="105">
        <f t="shared" si="56"/>
        <v>0.42592019305127671</v>
      </c>
      <c r="AP47" s="105">
        <f t="shared" si="56"/>
        <v>0.7098213975092994</v>
      </c>
      <c r="AQ47" s="106">
        <f t="shared" si="56"/>
        <v>0.3060975609756087</v>
      </c>
      <c r="AR47" s="181">
        <f t="shared" si="56"/>
        <v>2.0068664772789719</v>
      </c>
      <c r="AS47" s="180">
        <f>+AS41/AS44</f>
        <v>0.44610921881652127</v>
      </c>
      <c r="AT47" s="105">
        <f t="shared" si="56"/>
        <v>0.2452084383368778</v>
      </c>
      <c r="AU47" s="105">
        <f t="shared" si="56"/>
        <v>0.5807463532653443</v>
      </c>
      <c r="AV47" s="106">
        <f t="shared" ref="AV47" si="57">+AV41/AV44</f>
        <v>0.36463414634146429</v>
      </c>
      <c r="AW47" s="181">
        <f t="shared" si="56"/>
        <v>1.6361792375241138</v>
      </c>
      <c r="AX47" s="180">
        <f t="shared" ref="AX47:BL47" si="58">+AX41/AX44</f>
        <v>0.53019343517353346</v>
      </c>
      <c r="AY47" s="105">
        <f t="shared" si="58"/>
        <v>0.27746834956023875</v>
      </c>
      <c r="AZ47" s="105">
        <f t="shared" si="58"/>
        <v>0.65396031048029168</v>
      </c>
      <c r="BA47" s="106">
        <f t="shared" si="58"/>
        <v>0.36579558147355579</v>
      </c>
      <c r="BB47" s="181">
        <f t="shared" si="58"/>
        <v>1.8273746950102516</v>
      </c>
      <c r="BC47" s="180">
        <f t="shared" si="58"/>
        <v>0.66366788413538025</v>
      </c>
      <c r="BD47" s="105">
        <f t="shared" si="58"/>
        <v>0.35266644000091207</v>
      </c>
      <c r="BE47" s="105">
        <f t="shared" si="58"/>
        <v>0.69573749198073465</v>
      </c>
      <c r="BF47" s="106">
        <f t="shared" si="58"/>
        <v>0.40950287499902643</v>
      </c>
      <c r="BG47" s="181">
        <f t="shared" si="58"/>
        <v>2.1214206693626396</v>
      </c>
      <c r="BH47" s="180">
        <f t="shared" si="58"/>
        <v>0.68665436212340847</v>
      </c>
      <c r="BI47" s="105">
        <f t="shared" si="58"/>
        <v>0.3684592284501535</v>
      </c>
      <c r="BJ47" s="105">
        <f t="shared" si="58"/>
        <v>0.76071212876356098</v>
      </c>
      <c r="BK47" s="106">
        <f t="shared" si="58"/>
        <v>0.4599972384502003</v>
      </c>
      <c r="BL47" s="181">
        <f t="shared" si="58"/>
        <v>2.2752992901369926</v>
      </c>
      <c r="BM47" s="180">
        <f>+BM41/BM44</f>
        <v>0.79157900782511081</v>
      </c>
      <c r="BN47" s="105">
        <f>+BN41/BN44</f>
        <v>0.44897554933794009</v>
      </c>
      <c r="BO47" s="105">
        <f>+BO41/BO44</f>
        <v>0.79414392359656483</v>
      </c>
      <c r="BP47" s="106">
        <f>+BP41/BP44</f>
        <v>0.50375915705968066</v>
      </c>
      <c r="BQ47" s="772">
        <f>+BQ41/BQ44</f>
        <v>2.537113784949256</v>
      </c>
      <c r="BR47" s="50"/>
      <c r="BS47" s="50"/>
      <c r="BV47" s="50"/>
      <c r="BW47" s="50"/>
      <c r="BX47" s="50"/>
      <c r="BY47" s="50"/>
      <c r="BZ47" s="50"/>
      <c r="CA47" s="50"/>
      <c r="CB47" s="50"/>
      <c r="CC47" s="50"/>
      <c r="CD47" s="50"/>
      <c r="CE47" s="50"/>
      <c r="CF47" s="50"/>
      <c r="CG47" s="50"/>
      <c r="CH47" s="50"/>
      <c r="CI47" s="50"/>
      <c r="CJ47" s="50"/>
      <c r="CK47" s="50"/>
      <c r="CL47" s="50"/>
      <c r="CM47" s="50"/>
      <c r="CN47" s="50"/>
      <c r="CO47" s="50"/>
      <c r="CP47" s="50"/>
      <c r="CQ47" s="50"/>
      <c r="CR47" s="50"/>
      <c r="CS47" s="50"/>
      <c r="CT47" s="50"/>
      <c r="CU47" s="50"/>
    </row>
    <row r="48" spans="1:99">
      <c r="A48" s="50"/>
      <c r="B48" s="50"/>
      <c r="C48" s="75" t="s">
        <v>22</v>
      </c>
      <c r="D48" s="50"/>
      <c r="E48" s="274"/>
      <c r="F48" s="275"/>
      <c r="G48" s="275"/>
      <c r="H48" s="276"/>
      <c r="I48" s="288"/>
      <c r="J48" s="274"/>
      <c r="K48" s="275"/>
      <c r="L48" s="275"/>
      <c r="M48" s="276"/>
      <c r="N48" s="288"/>
      <c r="O48" s="274"/>
      <c r="P48" s="275"/>
      <c r="Q48" s="275"/>
      <c r="R48" s="276"/>
      <c r="S48" s="288"/>
      <c r="T48" s="274"/>
      <c r="U48" s="275"/>
      <c r="V48" s="275"/>
      <c r="W48" s="276"/>
      <c r="X48" s="288"/>
      <c r="Y48" s="274"/>
      <c r="Z48" s="275"/>
      <c r="AA48" s="275"/>
      <c r="AB48" s="276"/>
      <c r="AC48" s="288">
        <f t="shared" ref="AC48:AP48" si="59">AC47/X47-1</f>
        <v>-0.10954343702638647</v>
      </c>
      <c r="AD48" s="274">
        <f t="shared" si="59"/>
        <v>0.36895975381529866</v>
      </c>
      <c r="AE48" s="275">
        <f t="shared" si="59"/>
        <v>9.5992862016871516E-3</v>
      </c>
      <c r="AF48" s="275">
        <f t="shared" si="59"/>
        <v>-0.20061045567770508</v>
      </c>
      <c r="AG48" s="276">
        <f t="shared" si="59"/>
        <v>-0.55102417110865265</v>
      </c>
      <c r="AH48" s="288">
        <f t="shared" si="59"/>
        <v>-6.0841466992562987E-2</v>
      </c>
      <c r="AI48" s="274">
        <f t="shared" si="59"/>
        <v>6.8041354278205901E-2</v>
      </c>
      <c r="AJ48" s="275">
        <f t="shared" si="59"/>
        <v>0.33018472351096451</v>
      </c>
      <c r="AK48" s="275">
        <f t="shared" si="59"/>
        <v>0.24647733669556526</v>
      </c>
      <c r="AL48" s="276">
        <f t="shared" si="59"/>
        <v>1.1095537863358755</v>
      </c>
      <c r="AM48" s="288">
        <f t="shared" si="59"/>
        <v>0.26192022599409293</v>
      </c>
      <c r="AN48" s="274">
        <f t="shared" si="59"/>
        <v>-7.4209011094660604E-2</v>
      </c>
      <c r="AO48" s="275">
        <f t="shared" si="59"/>
        <v>9.2136793847790166E-3</v>
      </c>
      <c r="AP48" s="275">
        <f t="shared" si="59"/>
        <v>0.27146196966325675</v>
      </c>
      <c r="AQ48" s="276">
        <f t="shared" ref="AQ48:AW48" si="60">AQ47/AL47-1</f>
        <v>0.2900764157856055</v>
      </c>
      <c r="AR48" s="288">
        <f t="shared" si="60"/>
        <v>9.8179202593210224E-2</v>
      </c>
      <c r="AS48" s="274">
        <f t="shared" si="60"/>
        <v>-0.21041833298677592</v>
      </c>
      <c r="AT48" s="275">
        <f t="shared" si="60"/>
        <v>-0.42428548273277789</v>
      </c>
      <c r="AU48" s="275">
        <f t="shared" si="60"/>
        <v>-0.18184157972254433</v>
      </c>
      <c r="AV48" s="276">
        <f t="shared" si="60"/>
        <v>0.19123505976096311</v>
      </c>
      <c r="AW48" s="288">
        <f t="shared" si="60"/>
        <v>-0.18470946819414602</v>
      </c>
      <c r="AX48" s="274">
        <f t="shared" ref="AX48:BL48" si="61">AX47/AS47-1</f>
        <v>0.18848347626636897</v>
      </c>
      <c r="AY48" s="275">
        <f t="shared" si="61"/>
        <v>0.13156117889809682</v>
      </c>
      <c r="AZ48" s="275">
        <f t="shared" si="61"/>
        <v>0.12606873345530212</v>
      </c>
      <c r="BA48" s="276">
        <f t="shared" si="61"/>
        <v>3.1852067167725817E-3</v>
      </c>
      <c r="BB48" s="288">
        <f t="shared" si="61"/>
        <v>0.11685483662258012</v>
      </c>
      <c r="BC48" s="274">
        <f t="shared" si="61"/>
        <v>0.25174670244296848</v>
      </c>
      <c r="BD48" s="275">
        <f t="shared" si="61"/>
        <v>0.27101502048740067</v>
      </c>
      <c r="BE48" s="275">
        <f t="shared" si="61"/>
        <v>6.3883359327663758E-2</v>
      </c>
      <c r="BF48" s="276">
        <f t="shared" si="61"/>
        <v>0.11948556991695192</v>
      </c>
      <c r="BG48" s="288">
        <f t="shared" si="61"/>
        <v>0.16091170308711011</v>
      </c>
      <c r="BH48" s="274">
        <f t="shared" si="61"/>
        <v>3.4635513541497964E-2</v>
      </c>
      <c r="BI48" s="275">
        <f t="shared" si="61"/>
        <v>4.4781092437376824E-2</v>
      </c>
      <c r="BJ48" s="275">
        <f t="shared" si="61"/>
        <v>9.3389586635393762E-2</v>
      </c>
      <c r="BK48" s="276">
        <f t="shared" si="61"/>
        <v>0.12330649315049103</v>
      </c>
      <c r="BL48" s="288">
        <f t="shared" si="61"/>
        <v>7.2535646982540447E-2</v>
      </c>
      <c r="BM48" s="274">
        <f>BM47/BH47-1</f>
        <v>0.15280562025009736</v>
      </c>
      <c r="BN48" s="275">
        <f>BN47/BI47-1</f>
        <v>0.21852165632127507</v>
      </c>
      <c r="BO48" s="275">
        <f>BO47/BJ47-1</f>
        <v>4.3948023922456558E-2</v>
      </c>
      <c r="BP48" s="276">
        <f>BP47/BK47-1</f>
        <v>9.5135176804366894E-2</v>
      </c>
      <c r="BQ48" s="288">
        <f>BQ47/BL47-1</f>
        <v>0.11506815650458879</v>
      </c>
      <c r="BR48" s="50"/>
      <c r="BS48" s="50"/>
      <c r="BT48" s="50"/>
      <c r="BU48" s="50"/>
      <c r="BV48" s="50"/>
      <c r="BW48" s="50"/>
      <c r="BX48" s="50"/>
      <c r="BY48" s="50"/>
      <c r="BZ48" s="50"/>
      <c r="CA48" s="50"/>
      <c r="CB48" s="50"/>
      <c r="CC48" s="50"/>
      <c r="CD48" s="50"/>
      <c r="CE48" s="50"/>
      <c r="CF48" s="50"/>
      <c r="CG48" s="50"/>
      <c r="CH48" s="50"/>
      <c r="CI48" s="50"/>
      <c r="CJ48" s="50"/>
      <c r="CK48" s="50"/>
      <c r="CL48" s="50"/>
      <c r="CM48" s="50"/>
      <c r="CN48" s="50"/>
      <c r="CO48" s="50"/>
      <c r="CP48" s="50"/>
      <c r="CQ48" s="50"/>
      <c r="CR48" s="50"/>
      <c r="CS48" s="50"/>
      <c r="CT48" s="50"/>
      <c r="CU48" s="50"/>
    </row>
    <row r="49" spans="1:99">
      <c r="C49" s="56"/>
      <c r="E49" s="289"/>
      <c r="F49" s="290"/>
      <c r="G49" s="290"/>
      <c r="H49" s="291"/>
      <c r="I49" s="191"/>
      <c r="J49" s="289"/>
      <c r="K49" s="290"/>
      <c r="L49" s="290"/>
      <c r="M49" s="291"/>
      <c r="N49" s="191"/>
      <c r="O49" s="289"/>
      <c r="P49" s="290"/>
      <c r="Q49" s="290"/>
      <c r="R49" s="291"/>
      <c r="S49" s="85"/>
      <c r="T49" s="289"/>
      <c r="U49" s="290"/>
      <c r="V49" s="290"/>
      <c r="W49" s="291"/>
      <c r="X49" s="191"/>
      <c r="Y49" s="289"/>
      <c r="Z49" s="290"/>
      <c r="AA49" s="290"/>
      <c r="AB49" s="291"/>
      <c r="AC49" s="191"/>
      <c r="AD49" s="289"/>
      <c r="AE49" s="290"/>
      <c r="AF49" s="290"/>
      <c r="AG49" s="291"/>
      <c r="AH49" s="191"/>
      <c r="AI49" s="289"/>
      <c r="AJ49" s="290"/>
      <c r="AK49" s="290"/>
      <c r="AL49" s="291"/>
      <c r="AM49" s="191"/>
      <c r="AN49" s="289"/>
      <c r="AO49" s="290"/>
      <c r="AP49" s="290"/>
      <c r="AQ49" s="291"/>
      <c r="AR49" s="191"/>
      <c r="AS49" s="289"/>
      <c r="AT49" s="290"/>
      <c r="AU49" s="290"/>
      <c r="AV49" s="291"/>
      <c r="AW49" s="191"/>
      <c r="AX49" s="289"/>
      <c r="AY49" s="290"/>
      <c r="AZ49" s="290"/>
      <c r="BA49" s="291"/>
      <c r="BB49" s="191"/>
      <c r="BC49" s="289">
        <v>0.59157022054804198</v>
      </c>
      <c r="BD49" s="290">
        <v>0.36937405717102334</v>
      </c>
      <c r="BE49" s="290">
        <v>0.65762422773196705</v>
      </c>
      <c r="BF49" s="291">
        <v>0.49845691225194988</v>
      </c>
      <c r="BG49" s="191"/>
      <c r="BH49" s="289">
        <v>0.58710954716386921</v>
      </c>
      <c r="BI49" s="290">
        <v>0.35847264570419712</v>
      </c>
      <c r="BJ49" s="290">
        <v>0.6687924457021468</v>
      </c>
      <c r="BK49" s="291">
        <v>0.50297389819600136</v>
      </c>
      <c r="BL49" s="191"/>
      <c r="BM49" s="289">
        <v>0.60363142626798205</v>
      </c>
      <c r="BN49" s="290">
        <v>0.38042717891440042</v>
      </c>
      <c r="BO49" s="290">
        <v>0.66919965377415713</v>
      </c>
      <c r="BP49" s="291">
        <v>0.50906071555420662</v>
      </c>
      <c r="BQ49" s="191"/>
    </row>
    <row r="50" spans="1:99">
      <c r="B50" s="46" t="s">
        <v>198</v>
      </c>
      <c r="C50" s="46"/>
      <c r="D50" s="47"/>
      <c r="E50" s="289"/>
      <c r="F50" s="290"/>
      <c r="G50" s="290"/>
      <c r="H50" s="291"/>
      <c r="I50" s="191"/>
      <c r="J50" s="289"/>
      <c r="K50" s="290"/>
      <c r="L50" s="290"/>
      <c r="M50" s="291"/>
      <c r="N50" s="191"/>
      <c r="O50" s="289"/>
      <c r="P50" s="290"/>
      <c r="Q50" s="290"/>
      <c r="R50" s="291"/>
      <c r="S50" s="191"/>
      <c r="T50" s="289"/>
      <c r="U50" s="290"/>
      <c r="V50" s="290"/>
      <c r="W50" s="291"/>
      <c r="X50" s="191"/>
      <c r="Y50" s="289"/>
      <c r="Z50" s="290"/>
      <c r="AA50" s="290"/>
      <c r="AB50" s="291"/>
      <c r="AC50" s="191"/>
      <c r="AD50" s="289"/>
      <c r="AE50" s="290"/>
      <c r="AF50" s="290"/>
      <c r="AG50" s="291"/>
      <c r="AH50" s="191"/>
      <c r="AI50" s="289"/>
      <c r="AJ50" s="290"/>
      <c r="AK50" s="290"/>
      <c r="AL50" s="291"/>
      <c r="AM50" s="191"/>
      <c r="AN50" s="289"/>
      <c r="AO50" s="290"/>
      <c r="AP50" s="290"/>
      <c r="AQ50" s="291"/>
      <c r="AR50" s="191"/>
      <c r="AS50" s="289"/>
      <c r="AT50" s="290"/>
      <c r="AU50" s="290"/>
      <c r="AV50" s="291"/>
      <c r="AW50" s="191"/>
      <c r="AX50" s="1924"/>
      <c r="AY50" s="290"/>
      <c r="AZ50" s="290"/>
      <c r="BA50" s="291"/>
      <c r="BB50" s="191"/>
      <c r="BC50" s="289"/>
      <c r="BD50" s="290"/>
      <c r="BE50" s="290"/>
      <c r="BF50" s="291"/>
      <c r="BG50" s="191"/>
      <c r="BH50" s="289"/>
      <c r="BI50" s="290"/>
      <c r="BJ50" s="290"/>
      <c r="BK50" s="291"/>
      <c r="BL50" s="191"/>
      <c r="BM50" s="289"/>
      <c r="BN50" s="290"/>
      <c r="BO50" s="290"/>
      <c r="BP50" s="291"/>
      <c r="BQ50" s="191"/>
    </row>
    <row r="51" spans="1:99">
      <c r="C51" s="292" t="s">
        <v>332</v>
      </c>
      <c r="D51" s="293"/>
      <c r="E51" s="294"/>
      <c r="F51" s="295"/>
      <c r="G51" s="295"/>
      <c r="H51" s="296"/>
      <c r="I51" s="297"/>
      <c r="J51" s="585"/>
      <c r="K51" s="586"/>
      <c r="L51" s="586"/>
      <c r="M51" s="587"/>
      <c r="N51" s="301"/>
      <c r="O51" s="298"/>
      <c r="P51" s="299"/>
      <c r="Q51" s="299"/>
      <c r="R51" s="300"/>
      <c r="S51" s="301"/>
      <c r="T51" s="298"/>
      <c r="U51" s="299"/>
      <c r="V51" s="299"/>
      <c r="W51" s="300"/>
      <c r="X51" s="301"/>
      <c r="Y51" s="298"/>
      <c r="Z51" s="299"/>
      <c r="AA51" s="299"/>
      <c r="AB51" s="300"/>
      <c r="AC51" s="301">
        <f t="shared" ref="AC51:AJ51" si="62">+AC112</f>
        <v>-1.4341795341533681E-3</v>
      </c>
      <c r="AD51" s="298">
        <f t="shared" si="62"/>
        <v>5.9851088201603675E-2</v>
      </c>
      <c r="AE51" s="299">
        <f t="shared" si="62"/>
        <v>5.8720695683356361E-3</v>
      </c>
      <c r="AF51" s="299">
        <f t="shared" si="62"/>
        <v>-1.4728651395450432E-2</v>
      </c>
      <c r="AG51" s="300">
        <f t="shared" si="62"/>
        <v>4.3504222468651044E-3</v>
      </c>
      <c r="AH51" s="301">
        <f t="shared" si="62"/>
        <v>1.389063613871766E-2</v>
      </c>
      <c r="AI51" s="298">
        <f t="shared" si="62"/>
        <v>-2.350716022696564E-2</v>
      </c>
      <c r="AJ51" s="299">
        <f t="shared" si="62"/>
        <v>1.7379679144384763E-3</v>
      </c>
      <c r="AK51" s="299">
        <f t="shared" ref="AK51:AQ51" si="63">+AK112</f>
        <v>2.8487388185993945E-2</v>
      </c>
      <c r="AL51" s="300">
        <f t="shared" si="63"/>
        <v>-9.3723458467810383E-2</v>
      </c>
      <c r="AM51" s="301">
        <f t="shared" si="63"/>
        <v>-2.1403534168105587E-2</v>
      </c>
      <c r="AN51" s="298">
        <f t="shared" si="63"/>
        <v>-5.873982132974942E-2</v>
      </c>
      <c r="AO51" s="299">
        <f t="shared" si="63"/>
        <v>-1.7616442012545086E-2</v>
      </c>
      <c r="AP51" s="299">
        <f t="shared" si="63"/>
        <v>1.8648383937316382E-2</v>
      </c>
      <c r="AQ51" s="300">
        <f t="shared" si="63"/>
        <v>4.4187245208753057E-2</v>
      </c>
      <c r="AR51" s="301">
        <f>+'Utility Detail'!AR$8</f>
        <v>0</v>
      </c>
      <c r="AS51" s="298">
        <f>+AS112</f>
        <v>-4.5523265580379668E-2</v>
      </c>
      <c r="AT51" s="299">
        <f>+AT112</f>
        <v>-1.52606077072861E-2</v>
      </c>
      <c r="AU51" s="299">
        <f>+AU112</f>
        <v>-5.269028114303298E-2</v>
      </c>
      <c r="AV51" s="300">
        <f t="shared" ref="AV51" si="64">+AV112</f>
        <v>3.5989947944713663E-2</v>
      </c>
      <c r="AW51" s="301">
        <f>+'Utility Detail'!AW$8</f>
        <v>0</v>
      </c>
      <c r="AX51" s="1923">
        <f>+'Utility Detail'!AX$8-AS110+2.5%</f>
        <v>6.0321837712976133E-2</v>
      </c>
      <c r="AY51" s="1925">
        <f>+'Utility Detail'!AY$8-AT110+0.5%</f>
        <v>1.2088421949009096E-2</v>
      </c>
      <c r="AZ51" s="1925">
        <f>+'Utility Detail'!AZ$8-AU110+1.05%</f>
        <v>1.971408609108425E-2</v>
      </c>
      <c r="BA51" s="1926">
        <f>+'Utility Detail'!BA$8-AV110-0.8%</f>
        <v>-1.6265876353297092E-2</v>
      </c>
      <c r="BB51" s="301">
        <f>+'Utility Detail'!BB$8</f>
        <v>0</v>
      </c>
      <c r="BC51" s="298">
        <f>+'Utility Detail'!BC$8-AX110</f>
        <v>0</v>
      </c>
      <c r="BD51" s="299">
        <f>+'Utility Detail'!BD$8-AY110</f>
        <v>0</v>
      </c>
      <c r="BE51" s="299">
        <f>+'Utility Detail'!BE$8-AZ110</f>
        <v>0</v>
      </c>
      <c r="BF51" s="300">
        <f>+'Utility Detail'!BF$8-BA110</f>
        <v>0</v>
      </c>
      <c r="BG51" s="301">
        <f>+'Utility Detail'!BG$8</f>
        <v>0</v>
      </c>
      <c r="BH51" s="298">
        <f>+'Utility Detail'!BH$8-BC110</f>
        <v>0</v>
      </c>
      <c r="BI51" s="299">
        <f>+'Utility Detail'!BI$8-BD110</f>
        <v>0</v>
      </c>
      <c r="BJ51" s="299">
        <f>+'Utility Detail'!BJ$8-BE110</f>
        <v>0</v>
      </c>
      <c r="BK51" s="300">
        <f>+'Utility Detail'!BK$8-BF110</f>
        <v>0</v>
      </c>
      <c r="BL51" s="301">
        <f>+'Utility Detail'!BL$8</f>
        <v>0</v>
      </c>
      <c r="BM51" s="298">
        <f>+'Utility Detail'!BM$8-BH110</f>
        <v>0</v>
      </c>
      <c r="BN51" s="299">
        <f>+'Utility Detail'!BN$8-BI110</f>
        <v>0</v>
      </c>
      <c r="BO51" s="299">
        <f>+'Utility Detail'!BO$8-BJ110</f>
        <v>0</v>
      </c>
      <c r="BP51" s="300">
        <f>+'Utility Detail'!BP$8-BK110</f>
        <v>0</v>
      </c>
      <c r="BQ51" s="301">
        <f>+'Utility Detail'!BQ$8</f>
        <v>0</v>
      </c>
      <c r="BR51" s="302"/>
    </row>
    <row r="52" spans="1:99">
      <c r="C52" s="287"/>
      <c r="E52" s="289"/>
      <c r="F52" s="290"/>
      <c r="G52" s="290"/>
      <c r="H52" s="291"/>
      <c r="I52" s="191"/>
      <c r="J52" s="229"/>
      <c r="K52" s="230"/>
      <c r="L52" s="230"/>
      <c r="M52" s="231"/>
      <c r="N52" s="114"/>
      <c r="O52" s="229"/>
      <c r="P52" s="230"/>
      <c r="Q52" s="230"/>
      <c r="R52" s="231"/>
      <c r="S52" s="66"/>
      <c r="T52" s="229"/>
      <c r="U52" s="230"/>
      <c r="V52" s="230"/>
      <c r="W52" s="231"/>
      <c r="X52" s="66"/>
      <c r="Y52" s="229"/>
      <c r="Z52" s="230"/>
      <c r="AA52" s="230"/>
      <c r="AB52" s="231"/>
      <c r="AC52" s="66"/>
      <c r="AD52" s="229"/>
      <c r="AE52" s="230"/>
      <c r="AF52" s="230"/>
      <c r="AG52" s="231"/>
      <c r="AH52" s="66"/>
      <c r="AI52" s="229"/>
      <c r="AJ52" s="230"/>
      <c r="AK52" s="230"/>
      <c r="AL52" s="231"/>
      <c r="AM52" s="66"/>
      <c r="AN52" s="229"/>
      <c r="AO52" s="230"/>
      <c r="AP52" s="230"/>
      <c r="AQ52" s="231"/>
      <c r="AR52" s="66"/>
      <c r="AS52" s="229"/>
      <c r="AT52" s="230"/>
      <c r="AU52" s="230"/>
      <c r="AV52" s="231"/>
      <c r="AW52" s="66"/>
      <c r="AX52" s="229"/>
      <c r="AY52" s="230"/>
      <c r="AZ52" s="230"/>
      <c r="BA52" s="231"/>
      <c r="BB52" s="66"/>
      <c r="BC52" s="229"/>
      <c r="BD52" s="230"/>
      <c r="BE52" s="230"/>
      <c r="BF52" s="231"/>
      <c r="BG52" s="66"/>
      <c r="BH52" s="229"/>
      <c r="BI52" s="230"/>
      <c r="BJ52" s="230"/>
      <c r="BK52" s="231"/>
      <c r="BL52" s="66"/>
      <c r="BM52" s="229"/>
      <c r="BN52" s="230"/>
      <c r="BO52" s="230"/>
      <c r="BP52" s="231"/>
      <c r="BQ52" s="66"/>
      <c r="BR52" s="302"/>
    </row>
    <row r="53" spans="1:99">
      <c r="A53" s="303"/>
      <c r="B53" s="303"/>
      <c r="C53" s="1360" t="s">
        <v>358</v>
      </c>
      <c r="D53" s="303"/>
      <c r="E53" s="305"/>
      <c r="F53" s="306"/>
      <c r="G53" s="306"/>
      <c r="H53" s="307"/>
      <c r="I53" s="303"/>
      <c r="J53" s="305"/>
      <c r="K53" s="306"/>
      <c r="L53" s="306"/>
      <c r="M53" s="307"/>
      <c r="N53" s="303"/>
      <c r="O53" s="308"/>
      <c r="P53" s="309"/>
      <c r="Q53" s="309"/>
      <c r="R53" s="310"/>
      <c r="S53" s="311"/>
      <c r="T53" s="308"/>
      <c r="U53" s="309"/>
      <c r="V53" s="309"/>
      <c r="W53" s="310"/>
      <c r="X53" s="311"/>
      <c r="Y53" s="308"/>
      <c r="Z53" s="309"/>
      <c r="AA53" s="309"/>
      <c r="AB53" s="310"/>
      <c r="AC53" s="311"/>
      <c r="AD53" s="308"/>
      <c r="AE53" s="309"/>
      <c r="AF53" s="309"/>
      <c r="AG53" s="310"/>
      <c r="AH53" s="1429"/>
      <c r="AI53" s="308"/>
      <c r="AJ53" s="309"/>
      <c r="AK53" s="309"/>
      <c r="AL53" s="310"/>
      <c r="AM53" s="1429"/>
      <c r="AN53" s="308"/>
      <c r="AO53" s="309"/>
      <c r="AP53" s="309"/>
      <c r="AQ53" s="310"/>
      <c r="AR53" s="1429"/>
      <c r="AS53" s="308"/>
      <c r="AT53" s="309"/>
      <c r="AU53" s="309"/>
      <c r="AV53" s="310"/>
      <c r="AW53" s="1429"/>
      <c r="AX53" s="1542">
        <f>(BB53)*0.27</f>
        <v>1.9710000000000001</v>
      </c>
      <c r="AY53" s="1500">
        <f>BB53*0.23</f>
        <v>1.679</v>
      </c>
      <c r="AZ53" s="1500">
        <f>BB53*0.27</f>
        <v>1.9710000000000001</v>
      </c>
      <c r="BA53" s="1543">
        <f>BB53*0.23</f>
        <v>1.679</v>
      </c>
      <c r="BB53" s="1429">
        <v>7.3</v>
      </c>
      <c r="BC53" s="1542">
        <f>BG53*0.27</f>
        <v>2.7</v>
      </c>
      <c r="BD53" s="1500">
        <f>BG53*0.23</f>
        <v>2.3000000000000003</v>
      </c>
      <c r="BE53" s="1500">
        <f>BG53*0.27</f>
        <v>2.7</v>
      </c>
      <c r="BF53" s="1543">
        <f>BG53*0.23</f>
        <v>2.3000000000000003</v>
      </c>
      <c r="BG53" s="1872">
        <v>10</v>
      </c>
      <c r="BH53" s="1542">
        <f>BL53*0.27</f>
        <v>4.0500000000000007</v>
      </c>
      <c r="BI53" s="1500">
        <f>BL53*0.23</f>
        <v>3.45</v>
      </c>
      <c r="BJ53" s="1500">
        <f>BL53*0.27</f>
        <v>4.0500000000000007</v>
      </c>
      <c r="BK53" s="1543">
        <f>BL53*0.23</f>
        <v>3.45</v>
      </c>
      <c r="BL53" s="1872">
        <v>15</v>
      </c>
      <c r="BM53" s="1542">
        <f>BQ53*0.27</f>
        <v>2.7</v>
      </c>
      <c r="BN53" s="1500">
        <f>BQ53*0.23</f>
        <v>2.3000000000000003</v>
      </c>
      <c r="BO53" s="1500">
        <f>BQ53*0.27</f>
        <v>2.7</v>
      </c>
      <c r="BP53" s="1543">
        <f>BQ53*0.23</f>
        <v>2.3000000000000003</v>
      </c>
      <c r="BQ53" s="1872">
        <v>10</v>
      </c>
      <c r="BR53" s="1017"/>
      <c r="BS53" s="303"/>
      <c r="BT53" s="303"/>
      <c r="BU53" s="303"/>
      <c r="BV53" s="303"/>
      <c r="BW53" s="303"/>
      <c r="BX53" s="303"/>
      <c r="BY53" s="303"/>
      <c r="BZ53" s="303"/>
      <c r="CA53" s="303"/>
      <c r="CB53" s="303"/>
      <c r="CC53" s="303"/>
      <c r="CD53" s="303"/>
      <c r="CE53" s="303"/>
      <c r="CF53" s="303"/>
      <c r="CG53" s="303"/>
      <c r="CH53" s="303"/>
      <c r="CI53" s="303"/>
      <c r="CJ53" s="303"/>
      <c r="CK53" s="303"/>
      <c r="CL53" s="303"/>
      <c r="CM53" s="303"/>
      <c r="CN53" s="303"/>
      <c r="CO53" s="303"/>
      <c r="CP53" s="303"/>
      <c r="CQ53" s="303"/>
      <c r="CR53" s="303"/>
      <c r="CS53" s="303"/>
      <c r="CT53" s="303"/>
      <c r="CU53" s="303"/>
    </row>
    <row r="54" spans="1:99">
      <c r="A54" s="303"/>
      <c r="B54" s="303"/>
      <c r="C54" s="1360" t="s">
        <v>359</v>
      </c>
      <c r="D54" s="303"/>
      <c r="E54" s="305"/>
      <c r="F54" s="306"/>
      <c r="G54" s="306"/>
      <c r="H54" s="307"/>
      <c r="I54" s="303"/>
      <c r="J54" s="305"/>
      <c r="K54" s="306"/>
      <c r="L54" s="306"/>
      <c r="M54" s="307"/>
      <c r="N54" s="303"/>
      <c r="O54" s="308"/>
      <c r="P54" s="309"/>
      <c r="Q54" s="309"/>
      <c r="R54" s="310"/>
      <c r="S54" s="357"/>
      <c r="T54" s="308"/>
      <c r="U54" s="309"/>
      <c r="V54" s="309"/>
      <c r="W54" s="752"/>
      <c r="X54" s="357"/>
      <c r="Y54" s="308"/>
      <c r="Z54" s="309"/>
      <c r="AA54" s="309"/>
      <c r="AB54" s="310"/>
      <c r="AC54" s="311"/>
      <c r="AD54" s="308"/>
      <c r="AE54" s="309"/>
      <c r="AF54" s="309"/>
      <c r="AG54" s="310"/>
      <c r="AH54" s="1429"/>
      <c r="AI54" s="308"/>
      <c r="AJ54" s="309"/>
      <c r="AK54" s="309"/>
      <c r="AL54" s="310"/>
      <c r="AM54" s="1429"/>
      <c r="AN54" s="308"/>
      <c r="AO54" s="309"/>
      <c r="AP54" s="309"/>
      <c r="AQ54" s="310"/>
      <c r="AR54" s="1788"/>
      <c r="AS54" s="308"/>
      <c r="AT54" s="309"/>
      <c r="AU54" s="309"/>
      <c r="AV54" s="310"/>
      <c r="AW54" s="1788"/>
      <c r="AX54" s="1918">
        <f>32*0.27</f>
        <v>8.64</v>
      </c>
      <c r="AY54" s="1919">
        <f>32*0.23</f>
        <v>7.36</v>
      </c>
      <c r="AZ54" s="1500">
        <v>0</v>
      </c>
      <c r="BA54" s="1543">
        <v>0</v>
      </c>
      <c r="BB54" s="1429">
        <f>SUM(AX54:BA54)</f>
        <v>16</v>
      </c>
      <c r="BC54" s="1542">
        <f>BB54/4</f>
        <v>4</v>
      </c>
      <c r="BD54" s="1500">
        <f>BB54*2/12+BG54*1/12</f>
        <v>4.333333333333333</v>
      </c>
      <c r="BE54" s="1500">
        <f>BG54*0.27</f>
        <v>5.4</v>
      </c>
      <c r="BF54" s="1543">
        <f>BG54*0.23</f>
        <v>4.6000000000000005</v>
      </c>
      <c r="BG54" s="1872">
        <v>20</v>
      </c>
      <c r="BH54" s="1542">
        <f>BG54/4</f>
        <v>5</v>
      </c>
      <c r="BI54" s="1500">
        <f>BG54*2/12+BL54*1/12</f>
        <v>5.8333333333333339</v>
      </c>
      <c r="BJ54" s="1500">
        <f>BL54*0.27</f>
        <v>8.1000000000000014</v>
      </c>
      <c r="BK54" s="1543">
        <f>BL54*0.23</f>
        <v>6.9</v>
      </c>
      <c r="BL54" s="1872">
        <v>30</v>
      </c>
      <c r="BM54" s="1542">
        <f>BL54/4</f>
        <v>7.5</v>
      </c>
      <c r="BN54" s="1500">
        <f>BL54*2/12+BQ54*1/12</f>
        <v>6.666666666666667</v>
      </c>
      <c r="BO54" s="1500">
        <f>BQ54*0.27</f>
        <v>5.4</v>
      </c>
      <c r="BP54" s="1543">
        <f>BQ54*0.23</f>
        <v>4.6000000000000005</v>
      </c>
      <c r="BQ54" s="1872">
        <v>20</v>
      </c>
      <c r="BR54" s="1017"/>
      <c r="BS54" s="303"/>
      <c r="BT54" s="303"/>
      <c r="BU54" s="303"/>
      <c r="BV54" s="303"/>
      <c r="BW54" s="303"/>
      <c r="BX54" s="303"/>
      <c r="BY54" s="303"/>
      <c r="BZ54" s="303"/>
      <c r="CA54" s="303"/>
      <c r="CB54" s="303"/>
      <c r="CC54" s="303"/>
      <c r="CD54" s="303"/>
      <c r="CE54" s="303"/>
      <c r="CF54" s="303"/>
      <c r="CG54" s="303"/>
      <c r="CH54" s="303"/>
      <c r="CI54" s="303"/>
      <c r="CJ54" s="303"/>
      <c r="CK54" s="303"/>
      <c r="CL54" s="303"/>
      <c r="CM54" s="303"/>
      <c r="CN54" s="303"/>
      <c r="CO54" s="303"/>
      <c r="CP54" s="303"/>
      <c r="CQ54" s="303"/>
      <c r="CR54" s="303"/>
      <c r="CS54" s="303"/>
      <c r="CT54" s="303"/>
      <c r="CU54" s="303"/>
    </row>
    <row r="55" spans="1:99">
      <c r="A55" s="303"/>
      <c r="B55" s="1211"/>
      <c r="C55" s="1360" t="s">
        <v>583</v>
      </c>
      <c r="D55" s="1211"/>
      <c r="E55" s="1207"/>
      <c r="F55" s="1208"/>
      <c r="G55" s="1208"/>
      <c r="H55" s="1210"/>
      <c r="I55" s="1211"/>
      <c r="J55" s="1207"/>
      <c r="K55" s="1208"/>
      <c r="L55" s="1208"/>
      <c r="M55" s="1210"/>
      <c r="N55" s="1211"/>
      <c r="O55" s="1362"/>
      <c r="P55" s="1363"/>
      <c r="Q55" s="1363"/>
      <c r="R55" s="1364"/>
      <c r="S55" s="311"/>
      <c r="T55" s="1362"/>
      <c r="U55" s="1363"/>
      <c r="V55" s="1363"/>
      <c r="W55" s="1364"/>
      <c r="X55" s="311"/>
      <c r="Y55" s="1362"/>
      <c r="Z55" s="1363"/>
      <c r="AA55" s="1363"/>
      <c r="AB55" s="1364"/>
      <c r="AC55" s="311"/>
      <c r="AD55" s="1362"/>
      <c r="AE55" s="1363"/>
      <c r="AF55" s="1363"/>
      <c r="AG55" s="1364"/>
      <c r="AH55" s="1429"/>
      <c r="AI55" s="1362"/>
      <c r="AJ55" s="1363"/>
      <c r="AK55" s="1363"/>
      <c r="AL55" s="1364"/>
      <c r="AM55" s="1429"/>
      <c r="AN55" s="1362"/>
      <c r="AO55" s="1363"/>
      <c r="AP55" s="1363"/>
      <c r="AQ55" s="1364"/>
      <c r="AR55" s="1429"/>
      <c r="AS55" s="1362"/>
      <c r="AT55" s="1363"/>
      <c r="AU55" s="1363"/>
      <c r="AV55" s="1364"/>
      <c r="AW55" s="1429"/>
      <c r="AX55" s="1542">
        <v>0</v>
      </c>
      <c r="AY55" s="1500">
        <f>BB55*0.16</f>
        <v>7.7760000000000007</v>
      </c>
      <c r="AZ55" s="1500">
        <f>BB55*0.34</f>
        <v>16.524000000000001</v>
      </c>
      <c r="BA55" s="1543">
        <f t="shared" ref="BA55:BA61" si="65">BB55*0.23</f>
        <v>11.178000000000001</v>
      </c>
      <c r="BB55" s="1429">
        <v>48.6</v>
      </c>
      <c r="BC55" s="1542">
        <f>0.27*BB55</f>
        <v>13.122000000000002</v>
      </c>
      <c r="BD55" s="1500">
        <f>BG55*0.24</f>
        <v>2.4</v>
      </c>
      <c r="BE55" s="1500">
        <f>BG55*0.3</f>
        <v>3</v>
      </c>
      <c r="BF55" s="1543">
        <f>BG55*0.23</f>
        <v>2.3000000000000003</v>
      </c>
      <c r="BG55" s="1872">
        <v>10</v>
      </c>
      <c r="BH55" s="1542">
        <f>0.23*BG55</f>
        <v>2.3000000000000003</v>
      </c>
      <c r="BI55" s="1500">
        <f>BL55*0.24</f>
        <v>3.5999999999999996</v>
      </c>
      <c r="BJ55" s="1500">
        <f>BL55*0.3</f>
        <v>4.5</v>
      </c>
      <c r="BK55" s="1543">
        <f>BL55*0.23</f>
        <v>3.45</v>
      </c>
      <c r="BL55" s="1872">
        <v>15</v>
      </c>
      <c r="BM55" s="1542">
        <f>0.23*BL55</f>
        <v>3.45</v>
      </c>
      <c r="BN55" s="1500">
        <f>BQ55*0.24</f>
        <v>2.4</v>
      </c>
      <c r="BO55" s="1500">
        <f>BQ55*0.3</f>
        <v>3</v>
      </c>
      <c r="BP55" s="1543">
        <f>BQ55*0.23</f>
        <v>2.3000000000000003</v>
      </c>
      <c r="BQ55" s="1872">
        <v>10</v>
      </c>
      <c r="BR55" s="1017"/>
      <c r="BS55" s="303"/>
      <c r="BT55" s="303"/>
      <c r="BU55" s="303"/>
      <c r="BV55" s="303"/>
      <c r="BW55" s="303"/>
      <c r="BX55" s="303"/>
      <c r="BY55" s="303"/>
      <c r="BZ55" s="303"/>
      <c r="CA55" s="303"/>
      <c r="CB55" s="303"/>
      <c r="CC55" s="303"/>
      <c r="CD55" s="303"/>
      <c r="CE55" s="303"/>
      <c r="CF55" s="303"/>
      <c r="CG55" s="303"/>
      <c r="CH55" s="303"/>
      <c r="CI55" s="303"/>
      <c r="CJ55" s="303"/>
      <c r="CK55" s="303"/>
      <c r="CL55" s="303"/>
      <c r="CM55" s="303"/>
      <c r="CN55" s="303"/>
      <c r="CO55" s="303"/>
      <c r="CP55" s="303"/>
      <c r="CQ55" s="303"/>
      <c r="CR55" s="303"/>
      <c r="CS55" s="303"/>
      <c r="CT55" s="303"/>
      <c r="CU55" s="303"/>
    </row>
    <row r="56" spans="1:99">
      <c r="A56" s="303"/>
      <c r="B56" s="1211"/>
      <c r="C56" s="1360" t="s">
        <v>584</v>
      </c>
      <c r="D56" s="1211"/>
      <c r="E56" s="1207"/>
      <c r="F56" s="1208"/>
      <c r="G56" s="1208"/>
      <c r="H56" s="1210"/>
      <c r="I56" s="1211"/>
      <c r="J56" s="1207"/>
      <c r="K56" s="1208"/>
      <c r="L56" s="1208"/>
      <c r="M56" s="1210"/>
      <c r="N56" s="1211"/>
      <c r="O56" s="1362"/>
      <c r="P56" s="1363"/>
      <c r="Q56" s="1363"/>
      <c r="R56" s="1364"/>
      <c r="S56" s="311"/>
      <c r="T56" s="1362"/>
      <c r="U56" s="1363"/>
      <c r="V56" s="1363"/>
      <c r="W56" s="1364"/>
      <c r="X56" s="311"/>
      <c r="Y56" s="1362"/>
      <c r="Z56" s="833"/>
      <c r="AA56" s="833"/>
      <c r="AB56" s="752"/>
      <c r="AC56" s="1361"/>
      <c r="AD56" s="602"/>
      <c r="AE56" s="833"/>
      <c r="AF56" s="833"/>
      <c r="AG56" s="752"/>
      <c r="AH56" s="1430"/>
      <c r="AI56" s="602"/>
      <c r="AJ56" s="833"/>
      <c r="AK56" s="833"/>
      <c r="AL56" s="752"/>
      <c r="AM56" s="1429"/>
      <c r="AN56" s="602"/>
      <c r="AO56" s="833"/>
      <c r="AP56" s="833"/>
      <c r="AQ56" s="752"/>
      <c r="AR56" s="1429"/>
      <c r="AS56" s="602"/>
      <c r="AT56" s="833"/>
      <c r="AU56" s="833"/>
      <c r="AV56" s="752"/>
      <c r="AW56" s="1429"/>
      <c r="AX56" s="1542">
        <v>0</v>
      </c>
      <c r="AY56" s="1500">
        <v>0</v>
      </c>
      <c r="AZ56" s="1500">
        <f>BB56*0.34</f>
        <v>32.911999999999999</v>
      </c>
      <c r="BA56" s="1543">
        <f t="shared" si="65"/>
        <v>22.263999999999999</v>
      </c>
      <c r="BB56" s="1429">
        <v>96.8</v>
      </c>
      <c r="BC56" s="1542">
        <f>BB56*0.27</f>
        <v>26.135999999999999</v>
      </c>
      <c r="BD56" s="1500">
        <f>BB56*0.16</f>
        <v>15.488</v>
      </c>
      <c r="BE56" s="1500">
        <f>BG56/4</f>
        <v>5</v>
      </c>
      <c r="BF56" s="1543">
        <f>BG56/4</f>
        <v>5</v>
      </c>
      <c r="BG56" s="1872">
        <v>20</v>
      </c>
      <c r="BH56" s="1542">
        <f>BG56/4</f>
        <v>5</v>
      </c>
      <c r="BI56" s="1500">
        <f>BG56/4</f>
        <v>5</v>
      </c>
      <c r="BJ56" s="1500">
        <f>BL56/4</f>
        <v>7.5</v>
      </c>
      <c r="BK56" s="1543">
        <f>BL56/4</f>
        <v>7.5</v>
      </c>
      <c r="BL56" s="1872">
        <v>30</v>
      </c>
      <c r="BM56" s="1542">
        <f>BL56/4</f>
        <v>7.5</v>
      </c>
      <c r="BN56" s="1500">
        <f>BL56/4</f>
        <v>7.5</v>
      </c>
      <c r="BO56" s="1500">
        <f>BQ56/4</f>
        <v>5</v>
      </c>
      <c r="BP56" s="1543">
        <f>BQ56/4</f>
        <v>5</v>
      </c>
      <c r="BQ56" s="1872">
        <v>20</v>
      </c>
      <c r="BR56" s="1017"/>
      <c r="BS56" s="303"/>
      <c r="BT56" s="303"/>
      <c r="BU56" s="303"/>
      <c r="BV56" s="303"/>
      <c r="BW56" s="303"/>
      <c r="BX56" s="303"/>
      <c r="BY56" s="303"/>
      <c r="BZ56" s="303"/>
      <c r="CA56" s="303"/>
      <c r="CB56" s="303"/>
      <c r="CC56" s="303"/>
      <c r="CD56" s="303"/>
      <c r="CE56" s="303"/>
      <c r="CF56" s="303"/>
      <c r="CG56" s="303"/>
      <c r="CH56" s="303"/>
      <c r="CI56" s="303"/>
      <c r="CJ56" s="303"/>
      <c r="CK56" s="303"/>
      <c r="CL56" s="303"/>
      <c r="CM56" s="303"/>
      <c r="CN56" s="303"/>
      <c r="CO56" s="303"/>
      <c r="CP56" s="303"/>
      <c r="CQ56" s="303"/>
      <c r="CR56" s="303"/>
      <c r="CS56" s="303"/>
      <c r="CT56" s="303"/>
      <c r="CU56" s="303"/>
    </row>
    <row r="57" spans="1:99">
      <c r="A57" s="303"/>
      <c r="B57" s="1211"/>
      <c r="C57" s="1360" t="s">
        <v>1031</v>
      </c>
      <c r="D57" s="1211"/>
      <c r="E57" s="1207"/>
      <c r="F57" s="1208"/>
      <c r="G57" s="1208"/>
      <c r="H57" s="1210"/>
      <c r="I57" s="1211"/>
      <c r="J57" s="1207"/>
      <c r="K57" s="1208"/>
      <c r="L57" s="1208"/>
      <c r="M57" s="1210"/>
      <c r="N57" s="1211"/>
      <c r="O57" s="1362"/>
      <c r="P57" s="1363"/>
      <c r="Q57" s="1363"/>
      <c r="R57" s="1364"/>
      <c r="S57" s="311"/>
      <c r="T57" s="1362"/>
      <c r="U57" s="1363"/>
      <c r="V57" s="1363"/>
      <c r="W57" s="1364"/>
      <c r="X57" s="311"/>
      <c r="Y57" s="1362"/>
      <c r="Z57" s="1363"/>
      <c r="AA57" s="1363"/>
      <c r="AB57" s="1364"/>
      <c r="AC57" s="311"/>
      <c r="AD57" s="1362"/>
      <c r="AE57" s="1363"/>
      <c r="AF57" s="1363"/>
      <c r="AG57" s="1364"/>
      <c r="AH57" s="1429"/>
      <c r="AI57" s="1362"/>
      <c r="AJ57" s="1363"/>
      <c r="AK57" s="1363"/>
      <c r="AL57" s="1364"/>
      <c r="AM57" s="1429"/>
      <c r="AN57" s="1362"/>
      <c r="AO57" s="1363"/>
      <c r="AP57" s="1363"/>
      <c r="AQ57" s="1364"/>
      <c r="AR57" s="1429"/>
      <c r="AS57" s="1362"/>
      <c r="AT57" s="1363"/>
      <c r="AU57" s="1363"/>
      <c r="AV57" s="1364"/>
      <c r="AW57" s="1429"/>
      <c r="AX57" s="1542">
        <f>BB57*0.23</f>
        <v>0</v>
      </c>
      <c r="AY57" s="1500">
        <f>BB57*0.24</f>
        <v>0</v>
      </c>
      <c r="AZ57" s="1500">
        <f>BB57*0.3</f>
        <v>0</v>
      </c>
      <c r="BA57" s="1543">
        <f t="shared" si="65"/>
        <v>0</v>
      </c>
      <c r="BB57" s="1429">
        <v>0</v>
      </c>
      <c r="BC57" s="1542">
        <f>BG57*0.23</f>
        <v>2.3000000000000003</v>
      </c>
      <c r="BD57" s="1500">
        <f>BG57*0.24</f>
        <v>2.4</v>
      </c>
      <c r="BE57" s="1500">
        <f>BG57*0.3</f>
        <v>3</v>
      </c>
      <c r="BF57" s="1543">
        <f>BG57*0.23</f>
        <v>2.3000000000000003</v>
      </c>
      <c r="BG57" s="1872">
        <v>10</v>
      </c>
      <c r="BH57" s="1542">
        <f>BL57*0.23</f>
        <v>3.45</v>
      </c>
      <c r="BI57" s="1500">
        <f>BL57*0.24</f>
        <v>3.5999999999999996</v>
      </c>
      <c r="BJ57" s="1500">
        <f>BL57*0.3</f>
        <v>4.5</v>
      </c>
      <c r="BK57" s="1543">
        <f>BL57*0.23</f>
        <v>3.45</v>
      </c>
      <c r="BL57" s="1872">
        <v>15</v>
      </c>
      <c r="BM57" s="1542">
        <f>BQ57*0.23</f>
        <v>2.3000000000000003</v>
      </c>
      <c r="BN57" s="1500">
        <f>BQ57*0.24</f>
        <v>2.4</v>
      </c>
      <c r="BO57" s="1500">
        <f>BQ57*0.3</f>
        <v>3</v>
      </c>
      <c r="BP57" s="1543">
        <f>BQ57*0.23</f>
        <v>2.3000000000000003</v>
      </c>
      <c r="BQ57" s="1872">
        <v>10</v>
      </c>
      <c r="BR57" s="1017"/>
      <c r="BS57" s="303"/>
      <c r="BT57" s="303"/>
      <c r="BU57" s="303"/>
      <c r="BV57" s="303"/>
      <c r="BW57" s="303"/>
      <c r="BX57" s="303"/>
      <c r="BY57" s="303"/>
      <c r="BZ57" s="303"/>
      <c r="CA57" s="303"/>
      <c r="CB57" s="303"/>
      <c r="CC57" s="303"/>
      <c r="CD57" s="303"/>
      <c r="CE57" s="303"/>
      <c r="CF57" s="303"/>
      <c r="CG57" s="303"/>
      <c r="CH57" s="303"/>
      <c r="CI57" s="303"/>
      <c r="CJ57" s="303"/>
      <c r="CK57" s="303"/>
      <c r="CL57" s="303"/>
      <c r="CM57" s="303"/>
      <c r="CN57" s="303"/>
      <c r="CO57" s="303"/>
      <c r="CP57" s="303"/>
      <c r="CQ57" s="303"/>
      <c r="CR57" s="303"/>
      <c r="CS57" s="303"/>
      <c r="CT57" s="303"/>
      <c r="CU57" s="303"/>
    </row>
    <row r="58" spans="1:99">
      <c r="A58" s="303"/>
      <c r="B58" s="1211"/>
      <c r="C58" s="1360" t="s">
        <v>1032</v>
      </c>
      <c r="D58" s="1211"/>
      <c r="E58" s="1207"/>
      <c r="F58" s="1208"/>
      <c r="G58" s="1208"/>
      <c r="H58" s="1210"/>
      <c r="I58" s="1211"/>
      <c r="J58" s="1207"/>
      <c r="K58" s="1208"/>
      <c r="L58" s="1208"/>
      <c r="M58" s="1210"/>
      <c r="N58" s="1211"/>
      <c r="O58" s="1362"/>
      <c r="P58" s="1363"/>
      <c r="Q58" s="1363"/>
      <c r="R58" s="1364"/>
      <c r="S58" s="311"/>
      <c r="T58" s="1362"/>
      <c r="U58" s="1363"/>
      <c r="V58" s="1363"/>
      <c r="W58" s="1364"/>
      <c r="X58" s="311"/>
      <c r="Y58" s="1362"/>
      <c r="Z58" s="1363"/>
      <c r="AA58" s="1363"/>
      <c r="AB58" s="1364"/>
      <c r="AC58" s="311"/>
      <c r="AD58" s="1362"/>
      <c r="AE58" s="1363"/>
      <c r="AF58" s="1363"/>
      <c r="AG58" s="1364"/>
      <c r="AH58" s="1429"/>
      <c r="AI58" s="1362"/>
      <c r="AJ58" s="1363"/>
      <c r="AK58" s="1363"/>
      <c r="AL58" s="1364"/>
      <c r="AM58" s="1429"/>
      <c r="AN58" s="1362"/>
      <c r="AO58" s="1363"/>
      <c r="AP58" s="1363"/>
      <c r="AQ58" s="1364"/>
      <c r="AR58" s="1429"/>
      <c r="AS58" s="1362"/>
      <c r="AT58" s="1363"/>
      <c r="AU58" s="1363"/>
      <c r="AV58" s="1364"/>
      <c r="AW58" s="1429"/>
      <c r="AX58" s="1542">
        <f>BB58*0.23</f>
        <v>0</v>
      </c>
      <c r="AY58" s="1500">
        <f>BB58*0.24</f>
        <v>0</v>
      </c>
      <c r="AZ58" s="1500">
        <f>BB58*0.3</f>
        <v>0</v>
      </c>
      <c r="BA58" s="1543">
        <f t="shared" si="65"/>
        <v>0</v>
      </c>
      <c r="BB58" s="1429">
        <v>0</v>
      </c>
      <c r="BC58" s="1542">
        <f>BG58*0.23</f>
        <v>4.6000000000000005</v>
      </c>
      <c r="BD58" s="1500">
        <f>BG58*0.24</f>
        <v>4.8</v>
      </c>
      <c r="BE58" s="1500">
        <f>BG58*0.3</f>
        <v>6</v>
      </c>
      <c r="BF58" s="1543">
        <f>BG58*0.23</f>
        <v>4.6000000000000005</v>
      </c>
      <c r="BG58" s="1872">
        <v>20</v>
      </c>
      <c r="BH58" s="1542">
        <f>BL58*0.23</f>
        <v>6.9</v>
      </c>
      <c r="BI58" s="1500">
        <f>BL58*0.24</f>
        <v>7.1999999999999993</v>
      </c>
      <c r="BJ58" s="1500">
        <f>BL58*0.3</f>
        <v>9</v>
      </c>
      <c r="BK58" s="1543">
        <f>BL58*0.23</f>
        <v>6.9</v>
      </c>
      <c r="BL58" s="1872">
        <v>30</v>
      </c>
      <c r="BM58" s="1542">
        <f>BQ58*0.23</f>
        <v>4.6000000000000005</v>
      </c>
      <c r="BN58" s="1500">
        <f>BQ58*0.24</f>
        <v>4.8</v>
      </c>
      <c r="BO58" s="1500">
        <f>BQ58*0.3</f>
        <v>6</v>
      </c>
      <c r="BP58" s="1543">
        <f>BQ58*0.23</f>
        <v>4.6000000000000005</v>
      </c>
      <c r="BQ58" s="1872">
        <v>20</v>
      </c>
      <c r="BR58" s="1017"/>
      <c r="BS58" s="303"/>
      <c r="BT58" s="303"/>
      <c r="BU58" s="303"/>
      <c r="BV58" s="303"/>
      <c r="BW58" s="303"/>
      <c r="BX58" s="303"/>
      <c r="BY58" s="303"/>
      <c r="BZ58" s="303"/>
      <c r="CA58" s="303"/>
      <c r="CB58" s="303"/>
      <c r="CC58" s="303"/>
      <c r="CD58" s="303"/>
      <c r="CE58" s="303"/>
      <c r="CF58" s="303"/>
      <c r="CG58" s="303"/>
      <c r="CH58" s="303"/>
      <c r="CI58" s="303"/>
      <c r="CJ58" s="303"/>
      <c r="CK58" s="303"/>
      <c r="CL58" s="303"/>
      <c r="CM58" s="303"/>
      <c r="CN58" s="303"/>
      <c r="CO58" s="303"/>
      <c r="CP58" s="303"/>
      <c r="CQ58" s="303"/>
      <c r="CR58" s="303"/>
      <c r="CS58" s="303"/>
      <c r="CT58" s="303"/>
      <c r="CU58" s="303"/>
    </row>
    <row r="59" spans="1:99">
      <c r="A59" s="303"/>
      <c r="B59" s="1211"/>
      <c r="C59" s="1360" t="s">
        <v>1029</v>
      </c>
      <c r="D59" s="1211"/>
      <c r="E59" s="1207"/>
      <c r="F59" s="1208"/>
      <c r="G59" s="1208"/>
      <c r="H59" s="1210"/>
      <c r="I59" s="1211"/>
      <c r="J59" s="1207"/>
      <c r="K59" s="1208"/>
      <c r="L59" s="1208"/>
      <c r="M59" s="1210"/>
      <c r="N59" s="1211"/>
      <c r="O59" s="1362"/>
      <c r="P59" s="1363"/>
      <c r="Q59" s="1363"/>
      <c r="R59" s="1364"/>
      <c r="S59" s="311"/>
      <c r="T59" s="1362"/>
      <c r="U59" s="1363"/>
      <c r="V59" s="1363"/>
      <c r="W59" s="1364"/>
      <c r="X59" s="311"/>
      <c r="Y59" s="1362"/>
      <c r="Z59" s="833"/>
      <c r="AA59" s="833"/>
      <c r="AB59" s="752"/>
      <c r="AC59" s="1361"/>
      <c r="AD59" s="602"/>
      <c r="AE59" s="753"/>
      <c r="AF59" s="753"/>
      <c r="AG59" s="752"/>
      <c r="AH59" s="1430"/>
      <c r="AI59" s="602"/>
      <c r="AJ59" s="753"/>
      <c r="AK59" s="753"/>
      <c r="AL59" s="752"/>
      <c r="AM59" s="1429"/>
      <c r="AN59" s="602"/>
      <c r="AO59" s="753"/>
      <c r="AP59" s="753"/>
      <c r="AQ59" s="752"/>
      <c r="AR59" s="1429"/>
      <c r="AS59" s="602"/>
      <c r="AT59" s="753"/>
      <c r="AU59" s="753"/>
      <c r="AV59" s="752"/>
      <c r="AW59" s="1429"/>
      <c r="AX59" s="1542">
        <v>0</v>
      </c>
      <c r="AY59" s="1500">
        <f>0.16*BB59</f>
        <v>8</v>
      </c>
      <c r="AZ59" s="1500">
        <f>BB59*0.34</f>
        <v>17</v>
      </c>
      <c r="BA59" s="1543">
        <f t="shared" si="65"/>
        <v>11.5</v>
      </c>
      <c r="BB59" s="1429">
        <v>50</v>
      </c>
      <c r="BC59" s="1542">
        <f>BB59*0.27</f>
        <v>13.5</v>
      </c>
      <c r="BD59" s="1500">
        <f>0.16*BG59</f>
        <v>1.6</v>
      </c>
      <c r="BE59" s="1500">
        <f>BG59*0.3</f>
        <v>3</v>
      </c>
      <c r="BF59" s="1543">
        <f>BG59*0.23</f>
        <v>2.3000000000000003</v>
      </c>
      <c r="BG59" s="1872">
        <v>10</v>
      </c>
      <c r="BH59" s="1542">
        <f>BG59*0.24</f>
        <v>2.4</v>
      </c>
      <c r="BI59" s="1500">
        <f>0.23*BG59</f>
        <v>2.3000000000000003</v>
      </c>
      <c r="BJ59" s="1500">
        <f>BL59*0.3</f>
        <v>4.5</v>
      </c>
      <c r="BK59" s="1543">
        <f>BL59*0.23</f>
        <v>3.45</v>
      </c>
      <c r="BL59" s="1872">
        <v>15</v>
      </c>
      <c r="BM59" s="1542">
        <f>BL59*0.24</f>
        <v>3.5999999999999996</v>
      </c>
      <c r="BN59" s="1500">
        <f>0.23*BL59</f>
        <v>3.45</v>
      </c>
      <c r="BO59" s="1500">
        <f>BQ59*0.3</f>
        <v>3</v>
      </c>
      <c r="BP59" s="1543">
        <f>BQ59*0.23</f>
        <v>2.3000000000000003</v>
      </c>
      <c r="BQ59" s="1872">
        <v>10</v>
      </c>
      <c r="BR59" s="1017"/>
      <c r="BS59" s="303"/>
      <c r="BT59" s="303"/>
      <c r="BU59" s="303"/>
      <c r="BV59" s="303"/>
      <c r="BW59" s="303"/>
      <c r="BX59" s="303"/>
      <c r="BY59" s="303"/>
      <c r="BZ59" s="303"/>
      <c r="CA59" s="303"/>
      <c r="CB59" s="303"/>
      <c r="CC59" s="303"/>
      <c r="CD59" s="303"/>
      <c r="CE59" s="303"/>
      <c r="CF59" s="303"/>
      <c r="CG59" s="303"/>
      <c r="CH59" s="303"/>
      <c r="CI59" s="303"/>
      <c r="CJ59" s="303"/>
      <c r="CK59" s="303"/>
      <c r="CL59" s="303"/>
      <c r="CM59" s="303"/>
      <c r="CN59" s="303"/>
      <c r="CO59" s="303"/>
      <c r="CP59" s="303"/>
      <c r="CQ59" s="303"/>
      <c r="CR59" s="303"/>
      <c r="CS59" s="303"/>
      <c r="CT59" s="303"/>
      <c r="CU59" s="303"/>
    </row>
    <row r="60" spans="1:99">
      <c r="A60" s="303"/>
      <c r="B60" s="1211"/>
      <c r="C60" s="1360" t="s">
        <v>1033</v>
      </c>
      <c r="D60" s="1211"/>
      <c r="E60" s="1207"/>
      <c r="F60" s="1208"/>
      <c r="G60" s="1208"/>
      <c r="H60" s="1210"/>
      <c r="I60" s="1211"/>
      <c r="J60" s="1207"/>
      <c r="K60" s="1208"/>
      <c r="L60" s="1208"/>
      <c r="M60" s="1210"/>
      <c r="N60" s="1211"/>
      <c r="O60" s="1362"/>
      <c r="P60" s="1363"/>
      <c r="Q60" s="1363"/>
      <c r="R60" s="1364"/>
      <c r="S60" s="311"/>
      <c r="T60" s="1362"/>
      <c r="U60" s="1363"/>
      <c r="V60" s="1363"/>
      <c r="W60" s="1364"/>
      <c r="X60" s="311"/>
      <c r="Y60" s="1362"/>
      <c r="Z60" s="1363"/>
      <c r="AA60" s="1363"/>
      <c r="AB60" s="1364"/>
      <c r="AC60" s="311"/>
      <c r="AD60" s="602"/>
      <c r="AE60" s="833"/>
      <c r="AF60" s="833"/>
      <c r="AG60" s="1364"/>
      <c r="AH60" s="1430"/>
      <c r="AI60" s="602"/>
      <c r="AJ60" s="833"/>
      <c r="AK60" s="833"/>
      <c r="AL60" s="1364"/>
      <c r="AM60" s="1429"/>
      <c r="AN60" s="602"/>
      <c r="AO60" s="833"/>
      <c r="AP60" s="833"/>
      <c r="AQ60" s="1364"/>
      <c r="AR60" s="1788"/>
      <c r="AS60" s="602"/>
      <c r="AT60" s="833"/>
      <c r="AU60" s="833"/>
      <c r="AV60" s="1364"/>
      <c r="AW60" s="1788"/>
      <c r="AX60" s="1542">
        <f>0.27*BB60</f>
        <v>20.385000000000002</v>
      </c>
      <c r="AY60" s="1500">
        <f>BB60*0.16</f>
        <v>12.08</v>
      </c>
      <c r="AZ60" s="1500">
        <f>BB60*0.34</f>
        <v>25.67</v>
      </c>
      <c r="BA60" s="1543">
        <f t="shared" si="65"/>
        <v>17.365000000000002</v>
      </c>
      <c r="BB60" s="1429">
        <v>75.5</v>
      </c>
      <c r="BC60" s="1542">
        <f>0.23*BG60</f>
        <v>4.6000000000000005</v>
      </c>
      <c r="BD60" s="1500">
        <f>0.24*BG60</f>
        <v>4.8</v>
      </c>
      <c r="BE60" s="1500">
        <f>BG60*0.3</f>
        <v>6</v>
      </c>
      <c r="BF60" s="1543">
        <f>BG60*0.23</f>
        <v>4.6000000000000005</v>
      </c>
      <c r="BG60" s="1872">
        <v>20</v>
      </c>
      <c r="BH60" s="1542">
        <f>0.23*BL60</f>
        <v>4.6000000000000005</v>
      </c>
      <c r="BI60" s="1500">
        <f>0.24*BL60</f>
        <v>4.8</v>
      </c>
      <c r="BJ60" s="1500">
        <f>BL60*0.3</f>
        <v>6</v>
      </c>
      <c r="BK60" s="1543">
        <f>BL60*0.23</f>
        <v>4.6000000000000005</v>
      </c>
      <c r="BL60" s="1872">
        <v>20</v>
      </c>
      <c r="BM60" s="1542">
        <f>0.23*BQ60</f>
        <v>4.6000000000000005</v>
      </c>
      <c r="BN60" s="1500">
        <f>0.24*BQ60</f>
        <v>4.8</v>
      </c>
      <c r="BO60" s="1500">
        <f>BQ60*0.3</f>
        <v>6</v>
      </c>
      <c r="BP60" s="1543">
        <f>BQ60*0.23</f>
        <v>4.6000000000000005</v>
      </c>
      <c r="BQ60" s="1872">
        <v>20</v>
      </c>
      <c r="BR60" s="1017"/>
      <c r="BS60" s="303"/>
      <c r="BT60" s="303"/>
      <c r="BU60" s="303"/>
      <c r="BV60" s="303"/>
      <c r="BW60" s="303"/>
      <c r="BX60" s="303"/>
      <c r="BY60" s="303"/>
      <c r="BZ60" s="303"/>
      <c r="CA60" s="303"/>
      <c r="CB60" s="303"/>
      <c r="CC60" s="303"/>
      <c r="CD60" s="303"/>
      <c r="CE60" s="303"/>
      <c r="CF60" s="303"/>
      <c r="CG60" s="303"/>
      <c r="CH60" s="303"/>
      <c r="CI60" s="303"/>
      <c r="CJ60" s="303"/>
      <c r="CK60" s="303"/>
      <c r="CL60" s="303"/>
      <c r="CM60" s="303"/>
      <c r="CN60" s="303"/>
      <c r="CO60" s="303"/>
      <c r="CP60" s="303"/>
      <c r="CQ60" s="303"/>
      <c r="CR60" s="303"/>
      <c r="CS60" s="303"/>
      <c r="CT60" s="303"/>
      <c r="CU60" s="303"/>
    </row>
    <row r="61" spans="1:99">
      <c r="A61" s="303"/>
      <c r="B61" s="1211"/>
      <c r="C61" s="1360" t="s">
        <v>1035</v>
      </c>
      <c r="D61" s="1211"/>
      <c r="E61" s="1207"/>
      <c r="F61" s="1208"/>
      <c r="G61" s="1208"/>
      <c r="H61" s="1210"/>
      <c r="I61" s="1211"/>
      <c r="J61" s="1207"/>
      <c r="K61" s="1208"/>
      <c r="L61" s="1208"/>
      <c r="M61" s="1210"/>
      <c r="N61" s="1211"/>
      <c r="O61" s="1362"/>
      <c r="P61" s="1363"/>
      <c r="Q61" s="1363"/>
      <c r="R61" s="1364"/>
      <c r="S61" s="311"/>
      <c r="T61" s="1362"/>
      <c r="U61" s="1363"/>
      <c r="V61" s="1363"/>
      <c r="W61" s="1364"/>
      <c r="X61" s="311"/>
      <c r="Y61" s="1362"/>
      <c r="Z61" s="1363"/>
      <c r="AA61" s="1363"/>
      <c r="AB61" s="1364"/>
      <c r="AC61" s="311"/>
      <c r="AD61" s="1362"/>
      <c r="AE61" s="1363"/>
      <c r="AF61" s="1363"/>
      <c r="AG61" s="1364"/>
      <c r="AH61" s="1429"/>
      <c r="AI61" s="1362"/>
      <c r="AJ61" s="1363"/>
      <c r="AK61" s="1363"/>
      <c r="AL61" s="1364"/>
      <c r="AM61" s="1540"/>
      <c r="AN61" s="1362"/>
      <c r="AO61" s="1363"/>
      <c r="AP61" s="1363"/>
      <c r="AQ61" s="1364"/>
      <c r="AR61" s="1540"/>
      <c r="AS61" s="1362"/>
      <c r="AT61" s="1363"/>
      <c r="AU61" s="1363"/>
      <c r="AV61" s="1364"/>
      <c r="AW61" s="1540"/>
      <c r="AX61" s="1544">
        <f>BB61*0.27</f>
        <v>3.3480000000000003</v>
      </c>
      <c r="AY61" s="1545">
        <f>BB61*0.16</f>
        <v>1.9840000000000002</v>
      </c>
      <c r="AZ61" s="1500">
        <f>BB61*0.34</f>
        <v>4.2160000000000002</v>
      </c>
      <c r="BA61" s="1543">
        <f t="shared" si="65"/>
        <v>2.8520000000000003</v>
      </c>
      <c r="BB61" s="1429">
        <v>12.4</v>
      </c>
      <c r="BC61" s="1544">
        <f>BG61/4</f>
        <v>5</v>
      </c>
      <c r="BD61" s="1545">
        <f>BG61/4</f>
        <v>5</v>
      </c>
      <c r="BE61" s="1545">
        <f>BG61/4</f>
        <v>5</v>
      </c>
      <c r="BF61" s="1546">
        <f>BG61/4</f>
        <v>5</v>
      </c>
      <c r="BG61" s="1872">
        <v>20</v>
      </c>
      <c r="BH61" s="1544">
        <f>BL61/4</f>
        <v>5</v>
      </c>
      <c r="BI61" s="1545">
        <f>BL61/4</f>
        <v>5</v>
      </c>
      <c r="BJ61" s="1545">
        <f>BL61/4</f>
        <v>5</v>
      </c>
      <c r="BK61" s="1546">
        <f>BL61/4</f>
        <v>5</v>
      </c>
      <c r="BL61" s="1872">
        <v>20</v>
      </c>
      <c r="BM61" s="1544">
        <f>BQ61/4</f>
        <v>5</v>
      </c>
      <c r="BN61" s="1545">
        <f>BQ61/4</f>
        <v>5</v>
      </c>
      <c r="BO61" s="1545">
        <f>BQ61/4</f>
        <v>5</v>
      </c>
      <c r="BP61" s="1546">
        <f>BQ61/4</f>
        <v>5</v>
      </c>
      <c r="BQ61" s="1872">
        <v>20</v>
      </c>
      <c r="BR61" s="1017"/>
      <c r="BS61" s="303"/>
      <c r="BT61" s="303"/>
      <c r="BU61" s="303"/>
      <c r="BV61" s="303"/>
      <c r="BW61" s="303"/>
      <c r="BX61" s="303"/>
      <c r="BY61" s="303"/>
      <c r="BZ61" s="303"/>
      <c r="CA61" s="303"/>
      <c r="CB61" s="303"/>
      <c r="CC61" s="303"/>
      <c r="CD61" s="303"/>
      <c r="CE61" s="303"/>
      <c r="CF61" s="303"/>
      <c r="CG61" s="303"/>
      <c r="CH61" s="303"/>
      <c r="CI61" s="303"/>
      <c r="CJ61" s="303"/>
      <c r="CK61" s="303"/>
      <c r="CL61" s="303"/>
      <c r="CM61" s="303"/>
      <c r="CN61" s="303"/>
      <c r="CO61" s="303"/>
      <c r="CP61" s="303"/>
      <c r="CQ61" s="303"/>
      <c r="CR61" s="303"/>
      <c r="CS61" s="303"/>
      <c r="CT61" s="303"/>
      <c r="CU61" s="303"/>
    </row>
    <row r="62" spans="1:99">
      <c r="A62" s="303"/>
      <c r="B62" s="1211"/>
      <c r="C62" s="1360" t="s">
        <v>1214</v>
      </c>
      <c r="D62" s="1211"/>
      <c r="E62" s="1207"/>
      <c r="F62" s="1208"/>
      <c r="G62" s="1208"/>
      <c r="H62" s="1210"/>
      <c r="I62" s="1211"/>
      <c r="J62" s="1207"/>
      <c r="K62" s="1208"/>
      <c r="L62" s="1208"/>
      <c r="M62" s="1210"/>
      <c r="N62" s="1211"/>
      <c r="O62" s="1362"/>
      <c r="P62" s="1363"/>
      <c r="Q62" s="1363"/>
      <c r="R62" s="1364"/>
      <c r="S62" s="311"/>
      <c r="T62" s="1362"/>
      <c r="U62" s="1363"/>
      <c r="V62" s="1363"/>
      <c r="W62" s="1364"/>
      <c r="X62" s="311"/>
      <c r="Y62" s="1362"/>
      <c r="Z62" s="1363"/>
      <c r="AA62" s="1363"/>
      <c r="AB62" s="1364"/>
      <c r="AC62" s="311"/>
      <c r="AD62" s="1362"/>
      <c r="AE62" s="1363"/>
      <c r="AF62" s="1363"/>
      <c r="AG62" s="1364"/>
      <c r="AH62" s="1429"/>
      <c r="AI62" s="1362"/>
      <c r="AJ62" s="1363"/>
      <c r="AK62" s="1363"/>
      <c r="AL62" s="1364"/>
      <c r="AM62" s="1540"/>
      <c r="AN62" s="1362"/>
      <c r="AO62" s="1363"/>
      <c r="AP62" s="1363"/>
      <c r="AQ62" s="1364"/>
      <c r="AR62" s="1540"/>
      <c r="AS62" s="1362"/>
      <c r="AT62" s="1363"/>
      <c r="AU62" s="1363"/>
      <c r="AV62" s="1364"/>
      <c r="AW62" s="1540"/>
      <c r="AX62" s="1544">
        <f>AZ62/4</f>
        <v>0</v>
      </c>
      <c r="AY62" s="1545">
        <f>BB62/4</f>
        <v>0</v>
      </c>
      <c r="AZ62" s="1545">
        <f>BB62/4</f>
        <v>0</v>
      </c>
      <c r="BA62" s="1546">
        <f>BB62/4</f>
        <v>0</v>
      </c>
      <c r="BB62" s="1540">
        <v>0</v>
      </c>
      <c r="BC62" s="1544">
        <f>BB62/4</f>
        <v>0</v>
      </c>
      <c r="BD62" s="1545">
        <f>BB62/4</f>
        <v>0</v>
      </c>
      <c r="BE62" s="1545">
        <f>BG62/4</f>
        <v>0</v>
      </c>
      <c r="BF62" s="1546">
        <f>BG62/4</f>
        <v>0</v>
      </c>
      <c r="BG62" s="1872">
        <v>0</v>
      </c>
      <c r="BH62" s="1544">
        <f>BG62/4</f>
        <v>0</v>
      </c>
      <c r="BI62" s="1545">
        <f>BG62/4</f>
        <v>0</v>
      </c>
      <c r="BJ62" s="1545">
        <f>BL62/4</f>
        <v>0</v>
      </c>
      <c r="BK62" s="1546">
        <f>BL62/4</f>
        <v>0</v>
      </c>
      <c r="BL62" s="1872">
        <v>0</v>
      </c>
      <c r="BM62" s="1544">
        <f>BL62/4</f>
        <v>0</v>
      </c>
      <c r="BN62" s="1545">
        <f>BL62/4</f>
        <v>0</v>
      </c>
      <c r="BO62" s="1545">
        <f>BQ62/4</f>
        <v>0</v>
      </c>
      <c r="BP62" s="1546">
        <f>BQ62/4</f>
        <v>0</v>
      </c>
      <c r="BQ62" s="1872">
        <v>0</v>
      </c>
      <c r="BR62" s="1017"/>
      <c r="BS62" s="303"/>
      <c r="BT62" s="303"/>
      <c r="BU62" s="303"/>
      <c r="BV62" s="303"/>
      <c r="BW62" s="303"/>
      <c r="BX62" s="303"/>
      <c r="BY62" s="303"/>
      <c r="BZ62" s="303"/>
      <c r="CA62" s="303"/>
      <c r="CB62" s="303"/>
      <c r="CC62" s="303"/>
      <c r="CD62" s="303"/>
      <c r="CE62" s="303"/>
      <c r="CF62" s="303"/>
      <c r="CG62" s="303"/>
      <c r="CH62" s="303"/>
      <c r="CI62" s="303"/>
      <c r="CJ62" s="303"/>
      <c r="CK62" s="303"/>
      <c r="CL62" s="303"/>
      <c r="CM62" s="303"/>
      <c r="CN62" s="303"/>
      <c r="CO62" s="303"/>
      <c r="CP62" s="303"/>
      <c r="CQ62" s="303"/>
      <c r="CR62" s="303"/>
      <c r="CS62" s="303"/>
      <c r="CT62" s="303"/>
      <c r="CU62" s="303"/>
    </row>
    <row r="63" spans="1:99">
      <c r="A63" s="303"/>
      <c r="B63" s="303"/>
      <c r="C63" s="1360" t="s">
        <v>1034</v>
      </c>
      <c r="D63" s="1211"/>
      <c r="E63" s="1207"/>
      <c r="F63" s="1208"/>
      <c r="G63" s="1208"/>
      <c r="H63" s="1210"/>
      <c r="I63" s="1211"/>
      <c r="J63" s="1207"/>
      <c r="K63" s="1208"/>
      <c r="L63" s="1208"/>
      <c r="M63" s="1210"/>
      <c r="N63" s="1211"/>
      <c r="O63" s="1362"/>
      <c r="P63" s="1363"/>
      <c r="Q63" s="1363"/>
      <c r="R63" s="1364"/>
      <c r="S63" s="311"/>
      <c r="T63" s="1362"/>
      <c r="U63" s="1363"/>
      <c r="V63" s="1363"/>
      <c r="W63" s="1364"/>
      <c r="X63" s="311"/>
      <c r="Y63" s="1362"/>
      <c r="Z63" s="1363"/>
      <c r="AA63" s="1363"/>
      <c r="AB63" s="1364"/>
      <c r="AC63" s="311"/>
      <c r="AD63" s="1362"/>
      <c r="AE63" s="1363"/>
      <c r="AF63" s="1363"/>
      <c r="AG63" s="1364"/>
      <c r="AH63" s="1429"/>
      <c r="AI63" s="1362"/>
      <c r="AJ63" s="1363"/>
      <c r="AK63" s="1363"/>
      <c r="AL63" s="1364"/>
      <c r="AM63" s="1429"/>
      <c r="AN63" s="1362"/>
      <c r="AO63" s="1363"/>
      <c r="AP63" s="1363"/>
      <c r="AQ63" s="1364"/>
      <c r="AR63" s="1429"/>
      <c r="AS63" s="1362"/>
      <c r="AT63" s="1363"/>
      <c r="AU63" s="1363"/>
      <c r="AV63" s="1364"/>
      <c r="AW63" s="1429"/>
      <c r="AX63" s="1542">
        <f>BB63*0.23</f>
        <v>0</v>
      </c>
      <c r="AY63" s="1500">
        <f>BB63*0.24</f>
        <v>0</v>
      </c>
      <c r="AZ63" s="1500">
        <f>BB63*0.3</f>
        <v>0</v>
      </c>
      <c r="BA63" s="1543">
        <f>BB63*0.23</f>
        <v>0</v>
      </c>
      <c r="BB63" s="1429">
        <v>0</v>
      </c>
      <c r="BC63" s="1542">
        <f>BG63*0.23</f>
        <v>2.3000000000000003</v>
      </c>
      <c r="BD63" s="1500">
        <f>BG63*0.24</f>
        <v>2.4</v>
      </c>
      <c r="BE63" s="1500">
        <f>BG63*0.3</f>
        <v>3</v>
      </c>
      <c r="BF63" s="1543">
        <f>BG63*0.23</f>
        <v>2.3000000000000003</v>
      </c>
      <c r="BG63" s="1872">
        <v>10</v>
      </c>
      <c r="BH63" s="1542">
        <f>BL63*0.23</f>
        <v>3.45</v>
      </c>
      <c r="BI63" s="1500">
        <f>BL63*0.24</f>
        <v>3.5999999999999996</v>
      </c>
      <c r="BJ63" s="1500">
        <f>BL63*0.3</f>
        <v>4.5</v>
      </c>
      <c r="BK63" s="1543">
        <f>BL63*0.23</f>
        <v>3.45</v>
      </c>
      <c r="BL63" s="1872">
        <v>15</v>
      </c>
      <c r="BM63" s="1542">
        <f>BQ63*0.23</f>
        <v>2.3000000000000003</v>
      </c>
      <c r="BN63" s="1500">
        <f>BQ63*0.24</f>
        <v>2.4</v>
      </c>
      <c r="BO63" s="1500">
        <f>BQ63*0.3</f>
        <v>3</v>
      </c>
      <c r="BP63" s="1543">
        <f>BQ63*0.23</f>
        <v>2.3000000000000003</v>
      </c>
      <c r="BQ63" s="1872">
        <v>10</v>
      </c>
      <c r="BR63" s="1017"/>
      <c r="BS63" s="303"/>
      <c r="BT63" s="303"/>
      <c r="BU63" s="303"/>
      <c r="BV63" s="303"/>
      <c r="BW63" s="303"/>
      <c r="BX63" s="303"/>
      <c r="BY63" s="303"/>
      <c r="BZ63" s="303"/>
      <c r="CA63" s="303"/>
      <c r="CB63" s="303"/>
      <c r="CC63" s="303"/>
      <c r="CD63" s="303"/>
      <c r="CE63" s="303"/>
      <c r="CF63" s="303"/>
      <c r="CG63" s="303"/>
      <c r="CH63" s="303"/>
      <c r="CI63" s="303"/>
      <c r="CJ63" s="303"/>
      <c r="CK63" s="303"/>
      <c r="CL63" s="303"/>
      <c r="CM63" s="303"/>
      <c r="CN63" s="303"/>
      <c r="CO63" s="303"/>
      <c r="CP63" s="303"/>
      <c r="CQ63" s="303"/>
      <c r="CR63" s="303"/>
      <c r="CS63" s="303"/>
      <c r="CT63" s="303"/>
      <c r="CU63" s="303"/>
    </row>
    <row r="64" spans="1:99">
      <c r="A64" s="303"/>
      <c r="B64" s="303"/>
      <c r="C64" s="1360" t="s">
        <v>250</v>
      </c>
      <c r="D64" s="1211"/>
      <c r="E64" s="1207"/>
      <c r="F64" s="1208"/>
      <c r="G64" s="1208"/>
      <c r="H64" s="1210"/>
      <c r="I64" s="1211"/>
      <c r="J64" s="1207"/>
      <c r="K64" s="1208"/>
      <c r="L64" s="1208"/>
      <c r="M64" s="1210"/>
      <c r="N64" s="1211"/>
      <c r="O64" s="1362"/>
      <c r="P64" s="1363"/>
      <c r="Q64" s="1363"/>
      <c r="R64" s="1364"/>
      <c r="S64" s="311"/>
      <c r="T64" s="1362"/>
      <c r="U64" s="1363"/>
      <c r="V64" s="1363"/>
      <c r="W64" s="1364"/>
      <c r="X64" s="311"/>
      <c r="Y64" s="1362"/>
      <c r="Z64" s="1363"/>
      <c r="AA64" s="1363"/>
      <c r="AB64" s="1364"/>
      <c r="AC64" s="311"/>
      <c r="AD64" s="1362"/>
      <c r="AE64" s="1363"/>
      <c r="AF64" s="1363"/>
      <c r="AG64" s="1364"/>
      <c r="AH64" s="1429"/>
      <c r="AI64" s="1362"/>
      <c r="AJ64" s="1363"/>
      <c r="AK64" s="1363"/>
      <c r="AL64" s="1364"/>
      <c r="AM64" s="1429"/>
      <c r="AN64" s="1362"/>
      <c r="AO64" s="1363"/>
      <c r="AP64" s="1363"/>
      <c r="AQ64" s="1364"/>
      <c r="AR64" s="1429"/>
      <c r="AS64" s="1362"/>
      <c r="AT64" s="1363"/>
      <c r="AU64" s="1363"/>
      <c r="AV64" s="1364"/>
      <c r="AW64" s="1429"/>
      <c r="AX64" s="1542">
        <f>BB64*0.23</f>
        <v>0</v>
      </c>
      <c r="AY64" s="1500">
        <f>BB64*0.24</f>
        <v>0</v>
      </c>
      <c r="AZ64" s="1500">
        <f>BB64*0.3</f>
        <v>0</v>
      </c>
      <c r="BA64" s="1543">
        <f>BB64*0.23</f>
        <v>0</v>
      </c>
      <c r="BB64" s="1429">
        <v>0</v>
      </c>
      <c r="BC64" s="1542">
        <f>BG64*0.23</f>
        <v>2.3000000000000003</v>
      </c>
      <c r="BD64" s="1500">
        <f>BG64*0.24</f>
        <v>2.4</v>
      </c>
      <c r="BE64" s="1500">
        <f>BG64*0.3</f>
        <v>3</v>
      </c>
      <c r="BF64" s="1543">
        <f>BG64*0.23</f>
        <v>2.3000000000000003</v>
      </c>
      <c r="BG64" s="1872">
        <v>10</v>
      </c>
      <c r="BH64" s="1542">
        <f>BL64*0.23</f>
        <v>3.45</v>
      </c>
      <c r="BI64" s="1500">
        <f>BL64*0.24</f>
        <v>3.5999999999999996</v>
      </c>
      <c r="BJ64" s="1500">
        <f>BL64*0.3</f>
        <v>4.5</v>
      </c>
      <c r="BK64" s="1543">
        <f>BL64*0.23</f>
        <v>3.45</v>
      </c>
      <c r="BL64" s="1872">
        <v>15</v>
      </c>
      <c r="BM64" s="1542">
        <f>BQ64*0.23</f>
        <v>2.3000000000000003</v>
      </c>
      <c r="BN64" s="1500">
        <f>BQ64*0.24</f>
        <v>2.4</v>
      </c>
      <c r="BO64" s="1500">
        <f>BQ64*0.3</f>
        <v>3</v>
      </c>
      <c r="BP64" s="1543">
        <f>BQ64*0.23</f>
        <v>2.3000000000000003</v>
      </c>
      <c r="BQ64" s="1872">
        <v>10</v>
      </c>
      <c r="BR64" s="1017"/>
      <c r="BS64" s="303"/>
      <c r="BT64" s="303"/>
      <c r="BU64" s="303"/>
      <c r="BV64" s="303"/>
      <c r="BW64" s="303"/>
      <c r="BX64" s="303"/>
      <c r="BY64" s="303"/>
      <c r="BZ64" s="303"/>
      <c r="CA64" s="303"/>
      <c r="CB64" s="303"/>
      <c r="CC64" s="303"/>
      <c r="CD64" s="303"/>
      <c r="CE64" s="303"/>
      <c r="CF64" s="303"/>
      <c r="CG64" s="303"/>
      <c r="CH64" s="303"/>
      <c r="CI64" s="303"/>
      <c r="CJ64" s="303"/>
      <c r="CK64" s="303"/>
      <c r="CL64" s="303"/>
      <c r="CM64" s="303"/>
      <c r="CN64" s="303"/>
      <c r="CO64" s="303"/>
      <c r="CP64" s="303"/>
      <c r="CQ64" s="303"/>
      <c r="CR64" s="303"/>
      <c r="CS64" s="303"/>
      <c r="CT64" s="303"/>
      <c r="CU64" s="303"/>
    </row>
    <row r="65" spans="1:99">
      <c r="A65" s="303"/>
      <c r="B65" s="303"/>
      <c r="C65" s="1360" t="s">
        <v>249</v>
      </c>
      <c r="D65" s="303"/>
      <c r="E65" s="305"/>
      <c r="F65" s="306"/>
      <c r="G65" s="306"/>
      <c r="H65" s="307"/>
      <c r="I65" s="303"/>
      <c r="J65" s="305"/>
      <c r="K65" s="306"/>
      <c r="L65" s="306"/>
      <c r="M65" s="307"/>
      <c r="N65" s="303"/>
      <c r="O65" s="308"/>
      <c r="P65" s="309"/>
      <c r="Q65" s="309"/>
      <c r="R65" s="310"/>
      <c r="S65" s="311"/>
      <c r="T65" s="308"/>
      <c r="U65" s="309"/>
      <c r="V65" s="309"/>
      <c r="W65" s="310"/>
      <c r="X65" s="311"/>
      <c r="Y65" s="308"/>
      <c r="Z65" s="309"/>
      <c r="AA65" s="309"/>
      <c r="AB65" s="310"/>
      <c r="AC65" s="311"/>
      <c r="AD65" s="308"/>
      <c r="AE65" s="309"/>
      <c r="AF65" s="309"/>
      <c r="AG65" s="310"/>
      <c r="AH65" s="1429"/>
      <c r="AI65" s="308"/>
      <c r="AJ65" s="309"/>
      <c r="AK65" s="309"/>
      <c r="AL65" s="310"/>
      <c r="AM65" s="1429"/>
      <c r="AN65" s="308"/>
      <c r="AO65" s="309"/>
      <c r="AP65" s="309"/>
      <c r="AQ65" s="310"/>
      <c r="AR65" s="1429"/>
      <c r="AS65" s="308"/>
      <c r="AT65" s="309"/>
      <c r="AU65" s="309"/>
      <c r="AV65" s="310"/>
      <c r="AW65" s="1429"/>
      <c r="AX65" s="1542">
        <f>BB65*0.27</f>
        <v>0</v>
      </c>
      <c r="AY65" s="1500">
        <f>BB65*0.23</f>
        <v>0</v>
      </c>
      <c r="AZ65" s="1500">
        <f>BB65*0.27</f>
        <v>0</v>
      </c>
      <c r="BA65" s="1543">
        <f>BB65*0.23</f>
        <v>0</v>
      </c>
      <c r="BB65" s="1429">
        <v>0</v>
      </c>
      <c r="BC65" s="1542">
        <f>BG65*0.27</f>
        <v>2.7</v>
      </c>
      <c r="BD65" s="1500">
        <f>BG65*0.23</f>
        <v>2.3000000000000003</v>
      </c>
      <c r="BE65" s="1500">
        <f>BG65*0.27</f>
        <v>2.7</v>
      </c>
      <c r="BF65" s="1543">
        <f>BG65*0.23</f>
        <v>2.3000000000000003</v>
      </c>
      <c r="BG65" s="1872">
        <v>10</v>
      </c>
      <c r="BH65" s="1542">
        <f>BL65*0.27</f>
        <v>5.4</v>
      </c>
      <c r="BI65" s="1500">
        <f>BL65*0.23</f>
        <v>4.6000000000000005</v>
      </c>
      <c r="BJ65" s="1500">
        <f>BL65*0.27</f>
        <v>5.4</v>
      </c>
      <c r="BK65" s="1543">
        <f>BL65*0.23</f>
        <v>4.6000000000000005</v>
      </c>
      <c r="BL65" s="1872">
        <v>20</v>
      </c>
      <c r="BM65" s="1542">
        <f>BQ65*0.27</f>
        <v>5.4</v>
      </c>
      <c r="BN65" s="1500">
        <f>BQ65*0.23</f>
        <v>4.6000000000000005</v>
      </c>
      <c r="BO65" s="1500">
        <f>BQ65*0.27</f>
        <v>5.4</v>
      </c>
      <c r="BP65" s="1543">
        <f>BQ65*0.23</f>
        <v>4.6000000000000005</v>
      </c>
      <c r="BQ65" s="1872">
        <v>20</v>
      </c>
      <c r="BR65" s="1017"/>
      <c r="BS65" s="303"/>
      <c r="BT65" s="303"/>
      <c r="BU65" s="303"/>
      <c r="BV65" s="303"/>
      <c r="BW65" s="303"/>
      <c r="BX65" s="303"/>
      <c r="BY65" s="303"/>
      <c r="BZ65" s="303"/>
      <c r="CA65" s="303"/>
      <c r="CB65" s="303"/>
      <c r="CC65" s="303"/>
      <c r="CD65" s="303"/>
      <c r="CE65" s="303"/>
      <c r="CF65" s="303"/>
      <c r="CG65" s="303"/>
      <c r="CH65" s="303"/>
      <c r="CI65" s="303"/>
      <c r="CJ65" s="303"/>
      <c r="CK65" s="303"/>
      <c r="CL65" s="303"/>
      <c r="CM65" s="303"/>
      <c r="CN65" s="303"/>
      <c r="CO65" s="303"/>
      <c r="CP65" s="303"/>
      <c r="CQ65" s="303"/>
      <c r="CR65" s="303"/>
      <c r="CS65" s="303"/>
      <c r="CT65" s="303"/>
      <c r="CU65" s="303"/>
    </row>
    <row r="66" spans="1:99">
      <c r="A66" s="303"/>
      <c r="B66" s="303"/>
      <c r="C66" s="1360" t="s">
        <v>1036</v>
      </c>
      <c r="D66" s="1211"/>
      <c r="E66" s="1207"/>
      <c r="F66" s="1208"/>
      <c r="G66" s="1208"/>
      <c r="H66" s="1210"/>
      <c r="I66" s="1211"/>
      <c r="J66" s="1207"/>
      <c r="K66" s="1208"/>
      <c r="L66" s="1208"/>
      <c r="M66" s="1210"/>
      <c r="N66" s="1211"/>
      <c r="O66" s="1362"/>
      <c r="P66" s="1363"/>
      <c r="Q66" s="1363"/>
      <c r="R66" s="1364"/>
      <c r="S66" s="311"/>
      <c r="T66" s="1362"/>
      <c r="U66" s="1363"/>
      <c r="V66" s="1363"/>
      <c r="W66" s="1364"/>
      <c r="X66" s="311"/>
      <c r="Y66" s="1362"/>
      <c r="Z66" s="1363"/>
      <c r="AA66" s="1363"/>
      <c r="AB66" s="1364"/>
      <c r="AC66" s="311"/>
      <c r="AD66" s="1362"/>
      <c r="AE66" s="1363"/>
      <c r="AF66" s="1363"/>
      <c r="AG66" s="1364"/>
      <c r="AH66" s="1429"/>
      <c r="AI66" s="1362"/>
      <c r="AJ66" s="1363"/>
      <c r="AK66" s="1363"/>
      <c r="AL66" s="1364"/>
      <c r="AM66" s="1429"/>
      <c r="AN66" s="1362"/>
      <c r="AO66" s="1363"/>
      <c r="AP66" s="1363"/>
      <c r="AQ66" s="1364"/>
      <c r="AR66" s="1429"/>
      <c r="AS66" s="1362"/>
      <c r="AT66" s="1363"/>
      <c r="AU66" s="1363"/>
      <c r="AV66" s="1364"/>
      <c r="AW66" s="1429"/>
      <c r="AX66" s="1542">
        <f>BB66*0.23</f>
        <v>0</v>
      </c>
      <c r="AY66" s="1500">
        <f>BB66*0.24</f>
        <v>0</v>
      </c>
      <c r="AZ66" s="1500">
        <f>BB66*0.3</f>
        <v>0</v>
      </c>
      <c r="BA66" s="1543">
        <f>BB66*0.23</f>
        <v>0</v>
      </c>
      <c r="BB66" s="1429">
        <v>0</v>
      </c>
      <c r="BC66" s="1542">
        <f>BG66*0.23</f>
        <v>0</v>
      </c>
      <c r="BD66" s="1500">
        <f>BG66*0.24</f>
        <v>0</v>
      </c>
      <c r="BE66" s="1500">
        <f>BG66*0.3</f>
        <v>0</v>
      </c>
      <c r="BF66" s="1543">
        <f>BG66*0.23</f>
        <v>0</v>
      </c>
      <c r="BG66" s="1872">
        <v>0</v>
      </c>
      <c r="BH66" s="1542">
        <f>BL66*0.23</f>
        <v>0</v>
      </c>
      <c r="BI66" s="1500">
        <f>BL66*0.24</f>
        <v>0</v>
      </c>
      <c r="BJ66" s="1500">
        <f>BL66*0.3</f>
        <v>0</v>
      </c>
      <c r="BK66" s="1543">
        <f>BL66*0.23</f>
        <v>0</v>
      </c>
      <c r="BL66" s="1872">
        <v>0</v>
      </c>
      <c r="BM66" s="1542">
        <f>BQ66*0.23</f>
        <v>0</v>
      </c>
      <c r="BN66" s="1500">
        <f>BQ66*0.24</f>
        <v>0</v>
      </c>
      <c r="BO66" s="1500">
        <f>BQ66*0.3</f>
        <v>0</v>
      </c>
      <c r="BP66" s="1543">
        <f>BQ66*0.23</f>
        <v>0</v>
      </c>
      <c r="BQ66" s="1872">
        <v>0</v>
      </c>
      <c r="BR66" s="1017"/>
      <c r="BS66" s="303"/>
      <c r="BT66" s="303"/>
      <c r="BU66" s="303"/>
      <c r="BV66" s="303"/>
      <c r="BW66" s="303"/>
      <c r="BX66" s="303"/>
      <c r="BY66" s="303"/>
      <c r="BZ66" s="303"/>
      <c r="CA66" s="303"/>
      <c r="CB66" s="303"/>
      <c r="CC66" s="303"/>
      <c r="CD66" s="303"/>
      <c r="CE66" s="303"/>
      <c r="CF66" s="303"/>
      <c r="CG66" s="303"/>
      <c r="CH66" s="303"/>
      <c r="CI66" s="303"/>
      <c r="CJ66" s="303"/>
      <c r="CK66" s="303"/>
      <c r="CL66" s="303"/>
      <c r="CM66" s="303"/>
      <c r="CN66" s="303"/>
      <c r="CO66" s="303"/>
      <c r="CP66" s="303"/>
      <c r="CQ66" s="303"/>
      <c r="CR66" s="303"/>
      <c r="CS66" s="303"/>
      <c r="CT66" s="303"/>
      <c r="CU66" s="303"/>
    </row>
    <row r="67" spans="1:99">
      <c r="A67" s="303"/>
      <c r="B67" s="303"/>
      <c r="C67" s="304" t="s">
        <v>299</v>
      </c>
      <c r="D67" s="303"/>
      <c r="E67" s="305"/>
      <c r="F67" s="306"/>
      <c r="G67" s="306"/>
      <c r="H67" s="307"/>
      <c r="I67" s="303"/>
      <c r="J67" s="305"/>
      <c r="K67" s="306"/>
      <c r="L67" s="306"/>
      <c r="M67" s="307"/>
      <c r="N67" s="303"/>
      <c r="O67" s="308"/>
      <c r="P67" s="309"/>
      <c r="Q67" s="309"/>
      <c r="R67" s="310"/>
      <c r="S67" s="311"/>
      <c r="T67" s="308"/>
      <c r="U67" s="309"/>
      <c r="V67" s="309"/>
      <c r="W67" s="752"/>
      <c r="X67" s="311"/>
      <c r="Y67" s="602"/>
      <c r="Z67" s="753"/>
      <c r="AA67" s="753"/>
      <c r="AB67" s="752"/>
      <c r="AC67" s="357"/>
      <c r="AD67" s="308"/>
      <c r="AE67" s="309"/>
      <c r="AF67" s="309"/>
      <c r="AG67" s="752"/>
      <c r="AH67" s="1429"/>
      <c r="AI67" s="308"/>
      <c r="AJ67" s="309"/>
      <c r="AK67" s="309"/>
      <c r="AL67" s="752"/>
      <c r="AM67" s="1429"/>
      <c r="AN67" s="308"/>
      <c r="AO67" s="309"/>
      <c r="AP67" s="309"/>
      <c r="AQ67" s="752"/>
      <c r="AR67" s="1429"/>
      <c r="AS67" s="308"/>
      <c r="AT67" s="309"/>
      <c r="AU67" s="309"/>
      <c r="AV67" s="752"/>
      <c r="AW67" s="1429"/>
      <c r="AX67" s="1542">
        <f>BB67*0.27</f>
        <v>0</v>
      </c>
      <c r="AY67" s="1500">
        <f>BB67*0.23</f>
        <v>0</v>
      </c>
      <c r="AZ67" s="1500">
        <f>BB67*0.27</f>
        <v>0</v>
      </c>
      <c r="BA67" s="1543">
        <f>BB67*0.23</f>
        <v>0</v>
      </c>
      <c r="BB67" s="1429">
        <v>0</v>
      </c>
      <c r="BC67" s="1542">
        <f>BG67*0.27</f>
        <v>0</v>
      </c>
      <c r="BD67" s="1500">
        <f>BG67*0.23</f>
        <v>0</v>
      </c>
      <c r="BE67" s="1500">
        <f>BG67*0.27</f>
        <v>0</v>
      </c>
      <c r="BF67" s="1543">
        <f>BG67*0.23</f>
        <v>0</v>
      </c>
      <c r="BG67" s="1872">
        <v>0</v>
      </c>
      <c r="BH67" s="1542">
        <f>BL67*0.27</f>
        <v>0</v>
      </c>
      <c r="BI67" s="1500">
        <f>BL67*0.23</f>
        <v>0</v>
      </c>
      <c r="BJ67" s="1500">
        <f>BL67*0.27</f>
        <v>0</v>
      </c>
      <c r="BK67" s="1543">
        <f>BL67*0.23</f>
        <v>0</v>
      </c>
      <c r="BL67" s="1872">
        <v>0</v>
      </c>
      <c r="BM67" s="1542">
        <f>BQ67*0.27</f>
        <v>0</v>
      </c>
      <c r="BN67" s="1500">
        <f>BQ67*0.23</f>
        <v>0</v>
      </c>
      <c r="BO67" s="1500">
        <f>BQ67*0.27</f>
        <v>0</v>
      </c>
      <c r="BP67" s="1543">
        <f>BQ67*0.23</f>
        <v>0</v>
      </c>
      <c r="BQ67" s="1872">
        <v>0</v>
      </c>
      <c r="BR67" s="1017"/>
      <c r="BS67" s="303"/>
      <c r="BT67" s="303"/>
      <c r="BU67" s="303"/>
      <c r="BV67" s="303"/>
      <c r="BW67" s="303"/>
      <c r="BX67" s="303"/>
      <c r="BY67" s="303"/>
      <c r="BZ67" s="303"/>
      <c r="CA67" s="303"/>
      <c r="CB67" s="303"/>
      <c r="CC67" s="303"/>
      <c r="CD67" s="303"/>
      <c r="CE67" s="303"/>
      <c r="CF67" s="303"/>
      <c r="CG67" s="303"/>
      <c r="CH67" s="303"/>
      <c r="CI67" s="303"/>
      <c r="CJ67" s="303"/>
      <c r="CK67" s="303"/>
      <c r="CL67" s="303"/>
      <c r="CM67" s="303"/>
      <c r="CN67" s="303"/>
      <c r="CO67" s="303"/>
      <c r="CP67" s="303"/>
      <c r="CQ67" s="303"/>
      <c r="CR67" s="303"/>
      <c r="CS67" s="303"/>
      <c r="CT67" s="303"/>
      <c r="CU67" s="303"/>
    </row>
    <row r="68" spans="1:99">
      <c r="C68" s="312" t="s">
        <v>595</v>
      </c>
      <c r="E68" s="289"/>
      <c r="F68" s="290"/>
      <c r="G68" s="290"/>
      <c r="H68" s="291"/>
      <c r="I68" s="191"/>
      <c r="J68" s="289"/>
      <c r="K68" s="290"/>
      <c r="L68" s="290"/>
      <c r="M68" s="291"/>
      <c r="N68" s="191"/>
      <c r="O68" s="289"/>
      <c r="P68" s="290"/>
      <c r="Q68" s="290"/>
      <c r="R68" s="291"/>
      <c r="S68" s="109"/>
      <c r="T68" s="289"/>
      <c r="U68" s="290"/>
      <c r="V68" s="290"/>
      <c r="W68" s="310"/>
      <c r="X68" s="109"/>
      <c r="Y68" s="308"/>
      <c r="Z68" s="309"/>
      <c r="AA68" s="309"/>
      <c r="AB68" s="310"/>
      <c r="AC68" s="109"/>
      <c r="AD68" s="308"/>
      <c r="AE68" s="309"/>
      <c r="AF68" s="309"/>
      <c r="AG68" s="310"/>
      <c r="AH68" s="1429"/>
      <c r="AI68" s="308"/>
      <c r="AJ68" s="309"/>
      <c r="AK68" s="309"/>
      <c r="AL68" s="310"/>
      <c r="AM68" s="1541"/>
      <c r="AN68" s="308"/>
      <c r="AO68" s="309"/>
      <c r="AP68" s="309"/>
      <c r="AQ68" s="310"/>
      <c r="AR68" s="1406"/>
      <c r="AS68" s="308"/>
      <c r="AT68" s="309"/>
      <c r="AU68" s="309"/>
      <c r="AV68" s="310"/>
      <c r="AW68" s="1406"/>
      <c r="AX68" s="1542">
        <f>-AS68</f>
        <v>0</v>
      </c>
      <c r="AY68" s="1500">
        <f>-AT68</f>
        <v>0</v>
      </c>
      <c r="AZ68" s="1500">
        <f>-AU68</f>
        <v>0</v>
      </c>
      <c r="BA68" s="1543">
        <f>-AV68</f>
        <v>0</v>
      </c>
      <c r="BB68" s="1406">
        <v>0</v>
      </c>
      <c r="BC68" s="1542">
        <f>-AX68</f>
        <v>0</v>
      </c>
      <c r="BD68" s="1500">
        <f>-AY68</f>
        <v>0</v>
      </c>
      <c r="BE68" s="1500">
        <f>-AZ68</f>
        <v>0</v>
      </c>
      <c r="BF68" s="1543">
        <f>-BA68</f>
        <v>0</v>
      </c>
      <c r="BG68" s="1361">
        <f>+BB68</f>
        <v>0</v>
      </c>
      <c r="BH68" s="1542">
        <f>-BC68</f>
        <v>0</v>
      </c>
      <c r="BI68" s="1500">
        <f>-BD68</f>
        <v>0</v>
      </c>
      <c r="BJ68" s="1500">
        <f>-BE68</f>
        <v>0</v>
      </c>
      <c r="BK68" s="1543">
        <f>-BF68</f>
        <v>0</v>
      </c>
      <c r="BL68">
        <f>+BG68</f>
        <v>0</v>
      </c>
      <c r="BM68" s="1542">
        <f>-BH68</f>
        <v>0</v>
      </c>
      <c r="BN68" s="1500">
        <f>-BI68</f>
        <v>0</v>
      </c>
      <c r="BO68" s="1500">
        <f>-BJ68</f>
        <v>0</v>
      </c>
      <c r="BP68" s="1543">
        <f>-BK68</f>
        <v>0</v>
      </c>
      <c r="BQ68">
        <f>+BL68</f>
        <v>0</v>
      </c>
      <c r="BR68" s="302"/>
    </row>
    <row r="69" spans="1:99" s="1898" customFormat="1">
      <c r="C69" s="1915" t="s">
        <v>1370</v>
      </c>
      <c r="E69" s="289"/>
      <c r="F69" s="290"/>
      <c r="G69" s="290"/>
      <c r="H69" s="291"/>
      <c r="I69" s="191"/>
      <c r="J69" s="289"/>
      <c r="K69" s="290"/>
      <c r="L69" s="290"/>
      <c r="M69" s="291"/>
      <c r="N69" s="191"/>
      <c r="O69" s="289"/>
      <c r="P69" s="290"/>
      <c r="Q69" s="290"/>
      <c r="R69" s="291"/>
      <c r="S69" s="109"/>
      <c r="T69" s="289"/>
      <c r="U69" s="290"/>
      <c r="V69" s="290"/>
      <c r="W69" s="310"/>
      <c r="X69" s="109"/>
      <c r="Y69" s="308"/>
      <c r="Z69" s="309"/>
      <c r="AA69" s="309"/>
      <c r="AB69" s="310"/>
      <c r="AC69" s="109"/>
      <c r="AD69" s="308"/>
      <c r="AE69" s="309"/>
      <c r="AF69" s="309"/>
      <c r="AG69" s="310"/>
      <c r="AH69" s="1429"/>
      <c r="AI69" s="308"/>
      <c r="AJ69" s="309"/>
      <c r="AK69" s="309"/>
      <c r="AL69" s="310"/>
      <c r="AM69" s="1541"/>
      <c r="AN69" s="308"/>
      <c r="AO69" s="309"/>
      <c r="AP69" s="309"/>
      <c r="AQ69" s="310"/>
      <c r="AR69" s="1406"/>
      <c r="AS69" s="308"/>
      <c r="AT69" s="309"/>
      <c r="AU69" s="309"/>
      <c r="AV69" s="310"/>
      <c r="AW69" s="1406"/>
      <c r="AX69" s="1918">
        <f>0.268*-250</f>
        <v>-67</v>
      </c>
      <c r="AY69" s="1919">
        <f>0.165*-250</f>
        <v>-41.25</v>
      </c>
      <c r="AZ69" s="1919">
        <f>0.327*-250</f>
        <v>-81.75</v>
      </c>
      <c r="BA69" s="1920">
        <f>0.24*-250</f>
        <v>-60</v>
      </c>
      <c r="BB69" s="1406">
        <f>SUM(AX69:BA69)</f>
        <v>-250</v>
      </c>
      <c r="BC69" s="1542">
        <f>BG69/4</f>
        <v>0</v>
      </c>
      <c r="BD69" s="1500">
        <f>BG69/4</f>
        <v>0</v>
      </c>
      <c r="BE69" s="1500">
        <f>BG69/4</f>
        <v>0</v>
      </c>
      <c r="BF69" s="1543">
        <f>BG69/4</f>
        <v>0</v>
      </c>
      <c r="BG69" s="1429">
        <v>0</v>
      </c>
      <c r="BH69" s="1542">
        <f>BL69/4</f>
        <v>0</v>
      </c>
      <c r="BI69" s="1500">
        <f>BL69/4</f>
        <v>0</v>
      </c>
      <c r="BJ69" s="1500">
        <f>BL69/4</f>
        <v>0</v>
      </c>
      <c r="BK69" s="1543">
        <f>BL69/4</f>
        <v>0</v>
      </c>
      <c r="BL69" s="1429">
        <v>0</v>
      </c>
      <c r="BM69" s="1542">
        <f>BQ69/4</f>
        <v>0</v>
      </c>
      <c r="BN69" s="1500">
        <f>BQ69/4</f>
        <v>0</v>
      </c>
      <c r="BO69" s="1500">
        <f>BQ69/4</f>
        <v>0</v>
      </c>
      <c r="BP69" s="1543">
        <f>BQ69/4</f>
        <v>0</v>
      </c>
      <c r="BQ69" s="1429">
        <v>0</v>
      </c>
      <c r="BR69" s="302"/>
    </row>
    <row r="70" spans="1:99">
      <c r="C70" s="1405" t="s">
        <v>1343</v>
      </c>
      <c r="E70" s="289"/>
      <c r="F70" s="290"/>
      <c r="G70" s="290"/>
      <c r="H70" s="291"/>
      <c r="I70" s="191"/>
      <c r="J70" s="289"/>
      <c r="K70" s="290"/>
      <c r="L70" s="290"/>
      <c r="M70" s="291"/>
      <c r="N70" s="191"/>
      <c r="O70" s="289"/>
      <c r="P70" s="290"/>
      <c r="Q70" s="290"/>
      <c r="R70" s="291"/>
      <c r="S70" s="109"/>
      <c r="T70" s="289"/>
      <c r="U70" s="290"/>
      <c r="V70" s="290"/>
      <c r="W70" s="310"/>
      <c r="X70" s="109"/>
      <c r="Y70" s="308"/>
      <c r="Z70" s="309"/>
      <c r="AA70" s="309"/>
      <c r="AB70" s="310"/>
      <c r="AC70" s="109"/>
      <c r="AD70" s="308"/>
      <c r="AE70" s="309"/>
      <c r="AF70" s="309"/>
      <c r="AG70" s="310"/>
      <c r="AH70" s="1429"/>
      <c r="AI70" s="308"/>
      <c r="AJ70" s="309"/>
      <c r="AK70" s="309"/>
      <c r="AL70" s="310"/>
      <c r="AM70" s="1541"/>
      <c r="AN70" s="308"/>
      <c r="AO70" s="309"/>
      <c r="AP70" s="309"/>
      <c r="AQ70" s="310"/>
      <c r="AR70" s="1406"/>
      <c r="AS70" s="308"/>
      <c r="AT70" s="309"/>
      <c r="AU70" s="309"/>
      <c r="AV70" s="310"/>
      <c r="AW70" s="1406"/>
      <c r="AX70" s="1542">
        <f>BB70/4</f>
        <v>0</v>
      </c>
      <c r="AY70" s="1500">
        <f>BB70/4</f>
        <v>0</v>
      </c>
      <c r="AZ70" s="1500">
        <f>BB70/4</f>
        <v>0</v>
      </c>
      <c r="BA70" s="1543">
        <f>BB70/4</f>
        <v>0</v>
      </c>
      <c r="BB70" s="1429">
        <v>0</v>
      </c>
      <c r="BC70" s="1542">
        <f>BG70/4</f>
        <v>0</v>
      </c>
      <c r="BD70" s="1500">
        <f>BG70/4</f>
        <v>0</v>
      </c>
      <c r="BE70" s="1500">
        <f>BG70/4</f>
        <v>0</v>
      </c>
      <c r="BF70" s="1543">
        <f>BG70/4</f>
        <v>0</v>
      </c>
      <c r="BG70" s="1429">
        <v>0</v>
      </c>
      <c r="BH70" s="1542">
        <f>BL70/4</f>
        <v>0</v>
      </c>
      <c r="BI70" s="1500">
        <f>BL70/4</f>
        <v>0</v>
      </c>
      <c r="BJ70" s="1500">
        <f>BL70/4</f>
        <v>0</v>
      </c>
      <c r="BK70" s="1543">
        <f>BL70/4</f>
        <v>0</v>
      </c>
      <c r="BL70" s="1429">
        <v>0</v>
      </c>
      <c r="BM70" s="1542">
        <f>BQ70/4</f>
        <v>61.23671052631579</v>
      </c>
      <c r="BN70" s="1500">
        <f>BQ70/4</f>
        <v>61.23671052631579</v>
      </c>
      <c r="BO70" s="1500">
        <f>BQ70/4</f>
        <v>61.23671052631579</v>
      </c>
      <c r="BP70" s="1543">
        <f>BQ70/4</f>
        <v>61.23671052631579</v>
      </c>
      <c r="BQ70" s="1429">
        <f>SUM(BB148,BG148,BL148,BQ148)*(1-BQ250)*(5%*(1-BQ76))+SUM(BB148,BG148,BL148,BQ148)*BQ250*(BQ254/(1-BQ76))+SUM(BB148,BG148,BL148,BQ148)/40</f>
        <v>244.94684210526316</v>
      </c>
      <c r="BR70" s="302"/>
    </row>
    <row r="71" spans="1:99">
      <c r="C71" s="1405" t="s">
        <v>1117</v>
      </c>
      <c r="E71" s="289"/>
      <c r="F71" s="290"/>
      <c r="G71" s="290"/>
      <c r="H71" s="291"/>
      <c r="I71" s="191"/>
      <c r="J71" s="289"/>
      <c r="K71" s="290"/>
      <c r="L71" s="290"/>
      <c r="M71" s="291"/>
      <c r="N71" s="191"/>
      <c r="O71" s="289"/>
      <c r="P71" s="290"/>
      <c r="Q71" s="290"/>
      <c r="R71" s="291"/>
      <c r="S71" s="109"/>
      <c r="T71" s="289"/>
      <c r="U71" s="290"/>
      <c r="V71" s="290"/>
      <c r="W71" s="310"/>
      <c r="X71" s="109"/>
      <c r="Y71" s="308"/>
      <c r="Z71" s="309"/>
      <c r="AA71" s="309"/>
      <c r="AB71" s="310"/>
      <c r="AC71" s="109"/>
      <c r="AD71" s="308"/>
      <c r="AE71" s="309"/>
      <c r="AF71" s="1410"/>
      <c r="AG71" s="1507"/>
      <c r="AH71" s="1429"/>
      <c r="AI71" s="1499"/>
      <c r="AJ71" s="1500"/>
      <c r="AK71" s="1410"/>
      <c r="AL71" s="1507"/>
      <c r="AM71" s="1541"/>
      <c r="AN71" s="1499"/>
      <c r="AO71" s="1500"/>
      <c r="AP71" s="1410"/>
      <c r="AQ71" s="1507"/>
      <c r="AR71" s="1406"/>
      <c r="AS71" s="1499"/>
      <c r="AT71" s="1500"/>
      <c r="AU71" s="1500"/>
      <c r="AV71" s="1507"/>
      <c r="AW71" s="1406"/>
      <c r="AX71" s="1499">
        <v>0</v>
      </c>
      <c r="AY71" s="1547">
        <v>0</v>
      </c>
      <c r="AZ71" s="1547">
        <v>0</v>
      </c>
      <c r="BA71" s="1507">
        <v>0</v>
      </c>
      <c r="BB71" s="1406">
        <f>SUM(AX71:BA71)</f>
        <v>0</v>
      </c>
      <c r="BC71" s="1499">
        <v>0</v>
      </c>
      <c r="BD71" s="1547">
        <v>0</v>
      </c>
      <c r="BE71" s="1547">
        <v>0</v>
      </c>
      <c r="BF71" s="1507">
        <v>0</v>
      </c>
      <c r="BG71" s="1406">
        <f>SUM(BC71:BF71)</f>
        <v>0</v>
      </c>
      <c r="BH71" s="1499">
        <v>0</v>
      </c>
      <c r="BI71" s="1547">
        <v>0</v>
      </c>
      <c r="BJ71" s="1547">
        <v>0</v>
      </c>
      <c r="BK71" s="1507">
        <v>0</v>
      </c>
      <c r="BL71">
        <f>SUM(BH71:BK71)</f>
        <v>0</v>
      </c>
      <c r="BM71" s="1499">
        <v>0</v>
      </c>
      <c r="BN71" s="1547">
        <v>0</v>
      </c>
      <c r="BO71" s="1547">
        <v>0</v>
      </c>
      <c r="BP71" s="1507">
        <v>0</v>
      </c>
      <c r="BQ71">
        <f>SUM(BM71:BP71)</f>
        <v>0</v>
      </c>
      <c r="BR71" s="302"/>
    </row>
    <row r="72" spans="1:99">
      <c r="C72" s="312"/>
      <c r="E72" s="289"/>
      <c r="F72" s="290"/>
      <c r="G72" s="290"/>
      <c r="H72" s="291"/>
      <c r="I72" s="191"/>
      <c r="J72" s="289"/>
      <c r="K72" s="290"/>
      <c r="L72" s="290"/>
      <c r="M72" s="291"/>
      <c r="N72" s="191"/>
      <c r="O72" s="289"/>
      <c r="P72" s="290"/>
      <c r="Q72" s="290"/>
      <c r="R72" s="291"/>
      <c r="S72" s="191"/>
      <c r="T72" s="289"/>
      <c r="U72" s="290"/>
      <c r="V72" s="290"/>
      <c r="W72" s="291"/>
      <c r="X72" s="191"/>
      <c r="Y72" s="289"/>
      <c r="Z72" s="290"/>
      <c r="AA72" s="290"/>
      <c r="AB72" s="291"/>
      <c r="AC72" s="191"/>
      <c r="AD72" s="289"/>
      <c r="AE72" s="290"/>
      <c r="AF72" s="290"/>
      <c r="AG72" s="291"/>
      <c r="AH72" s="191"/>
      <c r="AI72" s="289"/>
      <c r="AJ72" s="290"/>
      <c r="AK72" s="290"/>
      <c r="AL72" s="291"/>
      <c r="AM72" s="191"/>
      <c r="AN72" s="289"/>
      <c r="AO72" s="290"/>
      <c r="AP72" s="290"/>
      <c r="AQ72" s="291"/>
      <c r="AR72" s="191"/>
      <c r="AS72" s="289"/>
      <c r="AT72" s="290"/>
      <c r="AU72" s="290"/>
      <c r="AV72" s="291"/>
      <c r="AW72" s="191"/>
      <c r="AX72" s="289"/>
      <c r="AY72" s="290"/>
      <c r="AZ72" s="290"/>
      <c r="BA72" s="291"/>
      <c r="BB72" s="191"/>
      <c r="BC72" s="289"/>
      <c r="BD72" s="290"/>
      <c r="BE72" s="290"/>
      <c r="BF72" s="291"/>
      <c r="BG72" s="191"/>
      <c r="BH72" s="289"/>
      <c r="BI72" s="290"/>
      <c r="BJ72" s="290"/>
      <c r="BK72" s="291"/>
      <c r="BL72" s="191"/>
      <c r="BM72" s="289"/>
      <c r="BN72" s="290"/>
      <c r="BO72" s="290"/>
      <c r="BP72" s="291"/>
      <c r="BQ72" s="191"/>
      <c r="BR72" s="302"/>
    </row>
    <row r="73" spans="1:99">
      <c r="C73" s="313" t="s">
        <v>199</v>
      </c>
      <c r="E73" s="289"/>
      <c r="F73" s="290"/>
      <c r="G73" s="290"/>
      <c r="H73" s="291"/>
      <c r="I73" s="114"/>
      <c r="J73" s="229"/>
      <c r="K73" s="230"/>
      <c r="L73" s="230"/>
      <c r="M73" s="231"/>
      <c r="N73" s="114"/>
      <c r="O73" s="229"/>
      <c r="P73" s="230"/>
      <c r="Q73" s="230"/>
      <c r="R73" s="231"/>
      <c r="S73" s="114"/>
      <c r="T73" s="229"/>
      <c r="U73" s="230"/>
      <c r="V73" s="230"/>
      <c r="W73" s="231"/>
      <c r="X73" s="114"/>
      <c r="Y73" s="229"/>
      <c r="Z73" s="230"/>
      <c r="AA73" s="230"/>
      <c r="AB73" s="231"/>
      <c r="AC73" s="763">
        <f t="shared" ref="AC73:AH73" si="66">+AC128</f>
        <v>2.5687246507435813E-2</v>
      </c>
      <c r="AD73" s="229">
        <f t="shared" si="66"/>
        <v>-3.4602076124568004E-3</v>
      </c>
      <c r="AE73" s="230">
        <f t="shared" si="66"/>
        <v>0.12159709618874781</v>
      </c>
      <c r="AF73" s="230">
        <f t="shared" si="66"/>
        <v>0.17366412213740468</v>
      </c>
      <c r="AG73" s="231">
        <f t="shared" si="66"/>
        <v>0.1332263242375602</v>
      </c>
      <c r="AH73" s="763">
        <f t="shared" si="66"/>
        <v>0.10500878734622154</v>
      </c>
      <c r="AI73" s="229">
        <f t="shared" ref="AI73:AN73" si="67">+AI128</f>
        <v>0</v>
      </c>
      <c r="AJ73" s="230">
        <f t="shared" si="67"/>
        <v>-4.8543689320388328E-3</v>
      </c>
      <c r="AK73" s="230">
        <f t="shared" si="67"/>
        <v>6.1788617886178843E-2</v>
      </c>
      <c r="AL73" s="231">
        <f t="shared" si="67"/>
        <v>-2.8611898016996928E-2</v>
      </c>
      <c r="AM73" s="763">
        <f t="shared" si="67"/>
        <v>5.8846918489066091E-3</v>
      </c>
      <c r="AN73" s="229">
        <f t="shared" si="67"/>
        <v>9.3055555555555669E-2</v>
      </c>
      <c r="AO73" s="230">
        <f t="shared" ref="AO73:AT73" si="68">+AO128</f>
        <v>1.5121951219512209E-2</v>
      </c>
      <c r="AP73" s="230">
        <f t="shared" si="68"/>
        <v>3.0627871362940207E-2</v>
      </c>
      <c r="AQ73" s="231">
        <f t="shared" si="68"/>
        <v>0.13152522601341476</v>
      </c>
      <c r="AR73" s="763">
        <f t="shared" si="68"/>
        <v>6.8424381374021515E-2</v>
      </c>
      <c r="AS73" s="229">
        <f t="shared" si="68"/>
        <v>3.9072426937738269E-2</v>
      </c>
      <c r="AT73" s="230">
        <f t="shared" si="68"/>
        <v>0.13919589940733634</v>
      </c>
      <c r="AU73" s="230">
        <f>+AU128</f>
        <v>-2.0653789004457579E-2</v>
      </c>
      <c r="AV73" s="231">
        <f t="shared" ref="AV73:AW73" si="69">+AV128</f>
        <v>-8.1572164948453874E-2</v>
      </c>
      <c r="AW73" s="763">
        <f t="shared" si="69"/>
        <v>1.2690073624625375E-2</v>
      </c>
      <c r="AX73" s="1871">
        <f>BB73+0.5%</f>
        <v>4.9999999999999996E-2</v>
      </c>
      <c r="AY73" s="1930">
        <f>BB73</f>
        <v>4.4999999999999998E-2</v>
      </c>
      <c r="AZ73" s="1930">
        <f>BB73</f>
        <v>4.4999999999999998E-2</v>
      </c>
      <c r="BA73" s="1931">
        <f>BB73-0.5%</f>
        <v>0.04</v>
      </c>
      <c r="BB73" s="1912">
        <v>4.4999999999999998E-2</v>
      </c>
      <c r="BC73" s="229">
        <f>+'Utility Detail'!BC$10</f>
        <v>5.0000000000000001E-3</v>
      </c>
      <c r="BD73" s="230">
        <f>+'Utility Detail'!BD$10</f>
        <v>5.0000000000000001E-3</v>
      </c>
      <c r="BE73" s="230">
        <f>+'Utility Detail'!BE$10</f>
        <v>5.0000000000000001E-3</v>
      </c>
      <c r="BF73" s="231">
        <f>+'Utility Detail'!BF$10</f>
        <v>5.0000000000000001E-3</v>
      </c>
      <c r="BG73" s="763">
        <f>+'Utility Detail'!BG$10</f>
        <v>5.0000000000000001E-3</v>
      </c>
      <c r="BH73" s="229">
        <f>+'Utility Detail'!BH$10</f>
        <v>5.0000000000000001E-3</v>
      </c>
      <c r="BI73" s="230">
        <f>+'Utility Detail'!BI$10</f>
        <v>5.0000000000000001E-3</v>
      </c>
      <c r="BJ73" s="230">
        <f>+'Utility Detail'!BJ$10</f>
        <v>5.0000000000000001E-3</v>
      </c>
      <c r="BK73" s="231">
        <f>+'Utility Detail'!BK$10</f>
        <v>5.0000000000000001E-3</v>
      </c>
      <c r="BL73" s="763">
        <f>+'Utility Detail'!BL$10</f>
        <v>5.0000000000000001E-3</v>
      </c>
      <c r="BM73" s="229">
        <f>+'Utility Detail'!BM$10</f>
        <v>5.0000000000000001E-3</v>
      </c>
      <c r="BN73" s="230">
        <f>+'Utility Detail'!BN$10</f>
        <v>5.0000000000000001E-3</v>
      </c>
      <c r="BO73" s="230">
        <f>+'Utility Detail'!BO$10</f>
        <v>5.0000000000000001E-3</v>
      </c>
      <c r="BP73" s="231">
        <f>+'Utility Detail'!BP$10</f>
        <v>5.0000000000000001E-3</v>
      </c>
      <c r="BQ73" s="763">
        <f>+'Utility Detail'!BQ$10</f>
        <v>5.0000000000000001E-3</v>
      </c>
      <c r="BR73" s="302"/>
    </row>
    <row r="74" spans="1:99">
      <c r="C74" s="313" t="s">
        <v>200</v>
      </c>
      <c r="E74" s="289"/>
      <c r="F74" s="290"/>
      <c r="G74" s="290"/>
      <c r="H74" s="291"/>
      <c r="I74" s="114"/>
      <c r="J74" s="229"/>
      <c r="K74" s="230"/>
      <c r="L74" s="230"/>
      <c r="M74" s="231"/>
      <c r="N74" s="114"/>
      <c r="O74" s="229"/>
      <c r="P74" s="230"/>
      <c r="Q74" s="230"/>
      <c r="R74" s="231"/>
      <c r="S74" s="114"/>
      <c r="T74" s="229"/>
      <c r="U74" s="230"/>
      <c r="V74" s="230"/>
      <c r="W74" s="231"/>
      <c r="X74" s="114"/>
      <c r="Y74" s="229"/>
      <c r="Z74" s="230"/>
      <c r="AA74" s="230"/>
      <c r="AB74" s="231"/>
      <c r="AC74" s="763">
        <f t="shared" ref="AC74:AH74" si="70">+AC131</f>
        <v>8.1395348837209225E-2</v>
      </c>
      <c r="AD74" s="229">
        <f t="shared" si="70"/>
        <v>5.4945054945054972E-2</v>
      </c>
      <c r="AE74" s="230">
        <f t="shared" si="70"/>
        <v>-6.4516129032258118E-2</v>
      </c>
      <c r="AF74" s="230">
        <f t="shared" si="70"/>
        <v>2.1505376344086002E-2</v>
      </c>
      <c r="AG74" s="231">
        <f t="shared" si="70"/>
        <v>-3.157894736842104E-2</v>
      </c>
      <c r="AH74" s="763">
        <f t="shared" si="70"/>
        <v>-5.3763440860215006E-3</v>
      </c>
      <c r="AI74" s="229">
        <f t="shared" ref="AI74:AN74" si="71">+AI131</f>
        <v>1.0416666666666741E-2</v>
      </c>
      <c r="AJ74" s="230">
        <f t="shared" si="71"/>
        <v>8.0459770114942541E-2</v>
      </c>
      <c r="AK74" s="230">
        <f t="shared" si="71"/>
        <v>2.1052631578947434E-2</v>
      </c>
      <c r="AL74" s="231">
        <f t="shared" si="71"/>
        <v>3.3695652173913349E-2</v>
      </c>
      <c r="AM74" s="763">
        <f t="shared" si="71"/>
        <v>3.5405405405405377E-2</v>
      </c>
      <c r="AN74" s="229">
        <f t="shared" si="71"/>
        <v>9.2783505154638846E-3</v>
      </c>
      <c r="AO74" s="230">
        <f t="shared" ref="AO74:AT74" si="72">+AO131</f>
        <v>4.3617021276595613E-2</v>
      </c>
      <c r="AP74" s="230">
        <f t="shared" si="72"/>
        <v>2.0618556701030855E-2</v>
      </c>
      <c r="AQ74" s="231">
        <f t="shared" si="72"/>
        <v>7.3606729758148859E-3</v>
      </c>
      <c r="AR74" s="763">
        <f t="shared" si="72"/>
        <v>2.0099190811798451E-2</v>
      </c>
      <c r="AS74" s="229">
        <f t="shared" si="72"/>
        <v>3.2686414708886558E-2</v>
      </c>
      <c r="AT74" s="230">
        <f t="shared" si="72"/>
        <v>1.3251783893985847E-2</v>
      </c>
      <c r="AU74" s="230">
        <f>+AU131</f>
        <v>6.7676767676767779E-2</v>
      </c>
      <c r="AV74" s="231">
        <f t="shared" ref="AV74:AW74" si="73">+AV131</f>
        <v>0.11795407098121102</v>
      </c>
      <c r="AW74" s="763">
        <f t="shared" si="73"/>
        <v>5.7574206755373503E-2</v>
      </c>
      <c r="AX74" s="229">
        <f>+AY74</f>
        <v>0.02</v>
      </c>
      <c r="AY74" s="230">
        <f>+AZ74</f>
        <v>0.02</v>
      </c>
      <c r="AZ74" s="230">
        <f>+BA74</f>
        <v>0.02</v>
      </c>
      <c r="BA74" s="231">
        <f>+BB74</f>
        <v>0.02</v>
      </c>
      <c r="BB74" s="763">
        <f>+'Utility Detail'!BB$11</f>
        <v>0.02</v>
      </c>
      <c r="BC74" s="229">
        <f>+BD74</f>
        <v>0.02</v>
      </c>
      <c r="BD74" s="230">
        <f>+BE74</f>
        <v>0.02</v>
      </c>
      <c r="BE74" s="230">
        <f>+BF74</f>
        <v>0.02</v>
      </c>
      <c r="BF74" s="231">
        <f>+BG74</f>
        <v>0.02</v>
      </c>
      <c r="BG74" s="763">
        <f>+'Utility Detail'!BG$11</f>
        <v>0.02</v>
      </c>
      <c r="BH74" s="229">
        <f>+BI74</f>
        <v>0.02</v>
      </c>
      <c r="BI74" s="230">
        <f>+BJ74</f>
        <v>0.02</v>
      </c>
      <c r="BJ74" s="230">
        <f>+BK74</f>
        <v>0.02</v>
      </c>
      <c r="BK74" s="231">
        <f>+BL74</f>
        <v>0.02</v>
      </c>
      <c r="BL74" s="763">
        <f>+'Utility Detail'!BL$11</f>
        <v>0.02</v>
      </c>
      <c r="BM74" s="229">
        <f>+BN74</f>
        <v>0.02</v>
      </c>
      <c r="BN74" s="230">
        <f>+BO74</f>
        <v>0.02</v>
      </c>
      <c r="BO74" s="230">
        <f>+BP74</f>
        <v>0.02</v>
      </c>
      <c r="BP74" s="231">
        <f>+BQ74</f>
        <v>0.02</v>
      </c>
      <c r="BQ74" s="763">
        <f>+'Utility Detail'!BQ$11</f>
        <v>0.02</v>
      </c>
      <c r="BR74" s="302"/>
    </row>
    <row r="75" spans="1:99">
      <c r="C75" s="312"/>
      <c r="E75" s="289"/>
      <c r="F75" s="290"/>
      <c r="G75" s="290"/>
      <c r="H75" s="291"/>
      <c r="I75" s="191"/>
      <c r="J75" s="289"/>
      <c r="K75" s="290"/>
      <c r="L75" s="290"/>
      <c r="M75" s="291"/>
      <c r="N75" s="191"/>
      <c r="O75" s="289"/>
      <c r="P75" s="290"/>
      <c r="Q75" s="290"/>
      <c r="R75" s="291"/>
      <c r="S75" s="191"/>
      <c r="T75" s="289"/>
      <c r="U75" s="290"/>
      <c r="V75" s="290"/>
      <c r="W75" s="291"/>
      <c r="X75" s="191"/>
      <c r="Y75" s="289"/>
      <c r="Z75" s="290"/>
      <c r="AA75" s="290"/>
      <c r="AB75" s="291"/>
      <c r="AC75" s="191"/>
      <c r="AD75" s="289"/>
      <c r="AE75" s="290"/>
      <c r="AF75" s="290"/>
      <c r="AG75" s="291"/>
      <c r="AH75" s="191"/>
      <c r="AI75" s="289"/>
      <c r="AJ75" s="290"/>
      <c r="AK75" s="290"/>
      <c r="AL75" s="291"/>
      <c r="AM75" s="191"/>
      <c r="AN75" s="289"/>
      <c r="AO75" s="290"/>
      <c r="AP75" s="290"/>
      <c r="AQ75" s="291"/>
      <c r="AR75" s="191"/>
      <c r="AS75" s="289"/>
      <c r="AT75" s="290"/>
      <c r="AU75" s="290"/>
      <c r="AV75" s="291"/>
      <c r="AW75" s="191"/>
      <c r="AX75" s="289"/>
      <c r="AY75" s="290"/>
      <c r="AZ75" s="290"/>
      <c r="BA75" s="291"/>
      <c r="BB75" s="191"/>
      <c r="BC75" s="289"/>
      <c r="BD75" s="290"/>
      <c r="BE75" s="290"/>
      <c r="BF75" s="291"/>
      <c r="BG75" s="191"/>
      <c r="BH75" s="289"/>
      <c r="BI75" s="290"/>
      <c r="BJ75" s="290"/>
      <c r="BK75" s="291"/>
      <c r="BL75" s="191"/>
      <c r="BM75" s="289"/>
      <c r="BN75" s="290"/>
      <c r="BO75" s="290"/>
      <c r="BP75" s="291"/>
      <c r="BQ75" s="191"/>
      <c r="BR75" s="302"/>
    </row>
    <row r="76" spans="1:99">
      <c r="C76" s="313" t="s">
        <v>44</v>
      </c>
      <c r="E76" s="229"/>
      <c r="F76" s="230"/>
      <c r="G76" s="230"/>
      <c r="H76" s="231"/>
      <c r="I76" s="114"/>
      <c r="J76" s="229"/>
      <c r="K76" s="230"/>
      <c r="L76" s="230"/>
      <c r="M76" s="231"/>
      <c r="N76" s="114"/>
      <c r="O76" s="229"/>
      <c r="P76" s="230"/>
      <c r="Q76" s="230"/>
      <c r="R76" s="231"/>
      <c r="S76" s="114"/>
      <c r="T76" s="229"/>
      <c r="U76" s="230"/>
      <c r="V76" s="230"/>
      <c r="W76" s="231"/>
      <c r="X76" s="114">
        <f t="shared" ref="X76:AF76" si="74">(X32)/(X30-X19)</f>
        <v>0.32122905027932963</v>
      </c>
      <c r="Y76" s="229">
        <f t="shared" si="74"/>
        <v>0.38129496402877699</v>
      </c>
      <c r="Z76" s="230">
        <f t="shared" si="74"/>
        <v>0.38362068965517243</v>
      </c>
      <c r="AA76" s="230">
        <f t="shared" si="74"/>
        <v>0.42708333333333331</v>
      </c>
      <c r="AB76" s="231">
        <f t="shared" si="74"/>
        <v>0.32786885245901637</v>
      </c>
      <c r="AC76" s="763">
        <f t="shared" si="74"/>
        <v>0.38195777351247601</v>
      </c>
      <c r="AD76" s="229">
        <f t="shared" si="74"/>
        <v>0.36854460093896713</v>
      </c>
      <c r="AE76" s="230">
        <f t="shared" si="74"/>
        <v>0.38095238095238093</v>
      </c>
      <c r="AF76" s="230">
        <f t="shared" si="74"/>
        <v>0.39358600583090381</v>
      </c>
      <c r="AG76" s="231">
        <f t="shared" ref="AG76:AM76" si="75">(AG32)/(AG30-AG19)</f>
        <v>0.55670103092783507</v>
      </c>
      <c r="AH76" s="763">
        <f t="shared" si="75"/>
        <v>0.39562443026435734</v>
      </c>
      <c r="AI76" s="229">
        <f t="shared" si="75"/>
        <v>0.36525612472160357</v>
      </c>
      <c r="AJ76" s="230">
        <f t="shared" si="75"/>
        <v>0.36544850498338871</v>
      </c>
      <c r="AK76" s="230">
        <f t="shared" si="75"/>
        <v>0.35411471321695759</v>
      </c>
      <c r="AL76" s="231">
        <f t="shared" si="75"/>
        <v>0.25342465753424559</v>
      </c>
      <c r="AM76" s="763">
        <f t="shared" si="75"/>
        <v>0.3503587024329381</v>
      </c>
      <c r="AN76" s="229">
        <f t="shared" ref="AN76:AS76" si="76">(AN32)/(AN30-AN19)</f>
        <v>0.31678794178794201</v>
      </c>
      <c r="AO76" s="230">
        <f t="shared" si="76"/>
        <v>0.34465699208443279</v>
      </c>
      <c r="AP76" s="230">
        <f t="shared" si="76"/>
        <v>0.34215237716331798</v>
      </c>
      <c r="AQ76" s="231">
        <f t="shared" si="76"/>
        <v>-8.0233406272791387E-3</v>
      </c>
      <c r="AR76" s="763">
        <f t="shared" si="76"/>
        <v>0.29921674951046862</v>
      </c>
      <c r="AS76" s="229">
        <f t="shared" si="76"/>
        <v>0.37481655415321385</v>
      </c>
      <c r="AT76" s="230">
        <f>(AT32)/(AT30-AT19)</f>
        <v>0.35955649419218588</v>
      </c>
      <c r="AU76" s="230">
        <f>(AU32)/(AU30-AU19)</f>
        <v>0.32462077012835505</v>
      </c>
      <c r="AV76" s="231">
        <f t="shared" ref="AV76:AW76" si="77">(AV32)/(AV30-AV19)</f>
        <v>0.36854937017472439</v>
      </c>
      <c r="AW76" s="763">
        <f t="shared" si="77"/>
        <v>0.35328297501452643</v>
      </c>
      <c r="AX76" s="229">
        <f>+AY76</f>
        <v>0.24</v>
      </c>
      <c r="AY76" s="230">
        <f>+AZ76</f>
        <v>0.24</v>
      </c>
      <c r="AZ76" s="230">
        <f>+BA76</f>
        <v>0.24</v>
      </c>
      <c r="BA76" s="231">
        <f>+BB76</f>
        <v>0.24</v>
      </c>
      <c r="BB76" s="763">
        <f>+'Utility Detail'!BB$15</f>
        <v>0.24</v>
      </c>
      <c r="BC76" s="229">
        <f>+BD76</f>
        <v>0.24</v>
      </c>
      <c r="BD76" s="230">
        <f>+BE76</f>
        <v>0.24</v>
      </c>
      <c r="BE76" s="230">
        <f>+BF76</f>
        <v>0.24</v>
      </c>
      <c r="BF76" s="231">
        <f>+BG76</f>
        <v>0.24</v>
      </c>
      <c r="BG76" s="763">
        <f>+'Utility Detail'!BG$15</f>
        <v>0.24</v>
      </c>
      <c r="BH76" s="229">
        <f>+BI76</f>
        <v>0.24</v>
      </c>
      <c r="BI76" s="230">
        <f>+BJ76</f>
        <v>0.24</v>
      </c>
      <c r="BJ76" s="230">
        <f>+BK76</f>
        <v>0.24</v>
      </c>
      <c r="BK76" s="231">
        <f>+BL76</f>
        <v>0.24</v>
      </c>
      <c r="BL76" s="763">
        <f>+'Utility Detail'!BL$15</f>
        <v>0.24</v>
      </c>
      <c r="BM76" s="229">
        <f>+BN76</f>
        <v>0.24</v>
      </c>
      <c r="BN76" s="230">
        <f>+BO76</f>
        <v>0.24</v>
      </c>
      <c r="BO76" s="230">
        <f>+BP76</f>
        <v>0.24</v>
      </c>
      <c r="BP76" s="231">
        <f>+BQ76</f>
        <v>0.24</v>
      </c>
      <c r="BQ76" s="763">
        <f>+'Utility Detail'!BQ$15</f>
        <v>0.24</v>
      </c>
      <c r="BR76" s="302"/>
    </row>
    <row r="77" spans="1:99">
      <c r="C77" s="313" t="s">
        <v>45</v>
      </c>
      <c r="E77" s="229"/>
      <c r="F77" s="230"/>
      <c r="G77" s="230"/>
      <c r="H77" s="231"/>
      <c r="I77" s="114"/>
      <c r="J77" s="229"/>
      <c r="K77" s="230"/>
      <c r="L77" s="230"/>
      <c r="M77" s="231"/>
      <c r="N77" s="114"/>
      <c r="O77" s="229"/>
      <c r="P77" s="230"/>
      <c r="Q77" s="230"/>
      <c r="R77" s="231"/>
      <c r="S77" s="114"/>
      <c r="T77" s="229"/>
      <c r="U77" s="230"/>
      <c r="V77" s="230"/>
      <c r="W77" s="231"/>
      <c r="X77" s="114">
        <f t="shared" ref="X77:BB77" si="78">X32/X30</f>
        <v>0.30104712041884818</v>
      </c>
      <c r="Y77" s="229">
        <f t="shared" si="78"/>
        <v>0.36933797909407667</v>
      </c>
      <c r="Z77" s="230">
        <f t="shared" si="78"/>
        <v>0.36929460580912865</v>
      </c>
      <c r="AA77" s="230">
        <f t="shared" si="78"/>
        <v>0.41414141414141414</v>
      </c>
      <c r="AB77" s="231">
        <f t="shared" si="78"/>
        <v>0.31746031746031744</v>
      </c>
      <c r="AC77" s="114">
        <f t="shared" si="78"/>
        <v>0.36954503249767873</v>
      </c>
      <c r="AD77" s="229">
        <f t="shared" si="78"/>
        <v>0.36009174311926606</v>
      </c>
      <c r="AE77" s="230">
        <f t="shared" si="78"/>
        <v>0.36363636363636365</v>
      </c>
      <c r="AF77" s="230">
        <f t="shared" si="78"/>
        <v>0.38028169014084506</v>
      </c>
      <c r="AG77" s="231">
        <f t="shared" ref="AG77:AM77" si="79">AG32/AG30</f>
        <v>0.48648648648648651</v>
      </c>
      <c r="AH77" s="114">
        <f t="shared" si="79"/>
        <v>0.37937062937062938</v>
      </c>
      <c r="AI77" s="229">
        <f t="shared" si="79"/>
        <v>0.35421166306695462</v>
      </c>
      <c r="AJ77" s="230">
        <f t="shared" si="79"/>
        <v>0.3470031545741325</v>
      </c>
      <c r="AK77" s="230">
        <f t="shared" si="79"/>
        <v>0.34052757793764987</v>
      </c>
      <c r="AL77" s="231">
        <f t="shared" si="79"/>
        <v>0.22409152086137205</v>
      </c>
      <c r="AM77" s="114">
        <f t="shared" si="79"/>
        <v>0.33390309155766928</v>
      </c>
      <c r="AN77" s="229">
        <f t="shared" ref="AN77:AS77" si="80">AN32/AN30</f>
        <v>0.30505505505505526</v>
      </c>
      <c r="AO77" s="230">
        <f t="shared" si="80"/>
        <v>0.33301465901848315</v>
      </c>
      <c r="AP77" s="230">
        <f t="shared" si="80"/>
        <v>0.33547883752681867</v>
      </c>
      <c r="AQ77" s="231">
        <f t="shared" si="80"/>
        <v>-7.4728260869563155E-3</v>
      </c>
      <c r="AR77" s="114">
        <f t="shared" si="80"/>
        <v>0.28930313842569011</v>
      </c>
      <c r="AS77" s="229">
        <f t="shared" si="80"/>
        <v>0.36811761314499847</v>
      </c>
      <c r="AT77" s="230">
        <f>AT32/AT30</f>
        <v>0.34798160449667859</v>
      </c>
      <c r="AU77" s="230">
        <f>AU32/AU30</f>
        <v>0.31903669724770672</v>
      </c>
      <c r="AV77" s="231">
        <f t="shared" ref="AV77:AW77" si="81">AV32/AV30</f>
        <v>0.35694608421881024</v>
      </c>
      <c r="AW77" s="114">
        <f t="shared" si="81"/>
        <v>0.34525837592277114</v>
      </c>
      <c r="AX77" s="229">
        <f t="shared" si="78"/>
        <v>0.2303217194727018</v>
      </c>
      <c r="AY77" s="230">
        <f t="shared" si="78"/>
        <v>0.22222512971961586</v>
      </c>
      <c r="AZ77" s="230">
        <f t="shared" si="78"/>
        <v>0.23221349307919595</v>
      </c>
      <c r="BA77" s="231">
        <f t="shared" si="78"/>
        <v>0.22593889153308411</v>
      </c>
      <c r="BB77" s="114">
        <f t="shared" si="78"/>
        <v>0.22886193416655606</v>
      </c>
      <c r="BC77" s="229">
        <f t="shared" ref="BC77:BL77" si="82">BC32/BC30</f>
        <v>0.22796342132009545</v>
      </c>
      <c r="BD77" s="230">
        <f t="shared" si="82"/>
        <v>0.21794765039849748</v>
      </c>
      <c r="BE77" s="230">
        <f t="shared" si="82"/>
        <v>0.22857637452602203</v>
      </c>
      <c r="BF77" s="231">
        <f t="shared" si="82"/>
        <v>0.2203539131246138</v>
      </c>
      <c r="BG77" s="114">
        <f t="shared" si="82"/>
        <v>0.22501116672321692</v>
      </c>
      <c r="BH77" s="229">
        <f t="shared" si="82"/>
        <v>0.22653773745595265</v>
      </c>
      <c r="BI77" s="230">
        <f t="shared" si="82"/>
        <v>0.21557186415443533</v>
      </c>
      <c r="BJ77" s="230">
        <f t="shared" si="82"/>
        <v>0.22799266551402095</v>
      </c>
      <c r="BK77" s="231">
        <f t="shared" si="82"/>
        <v>0.21996959867818436</v>
      </c>
      <c r="BL77" s="114">
        <f t="shared" si="82"/>
        <v>0.22389853914072971</v>
      </c>
      <c r="BM77" s="229">
        <f>BM32/BM30</f>
        <v>0.23455465487340052</v>
      </c>
      <c r="BN77" s="230">
        <f>BN32/BN30</f>
        <v>0.23068650821556463</v>
      </c>
      <c r="BO77" s="230">
        <f>BO32/BO30</f>
        <v>0.23464121142192154</v>
      </c>
      <c r="BP77" s="231">
        <f>BP32/BP30</f>
        <v>0.23154709331355691</v>
      </c>
      <c r="BQ77" s="114">
        <f>BQ32/BQ30</f>
        <v>0.23328775771350707</v>
      </c>
      <c r="BR77" s="302"/>
    </row>
    <row r="78" spans="1:99">
      <c r="C78" s="312"/>
      <c r="E78" s="289"/>
      <c r="F78" s="290"/>
      <c r="G78" s="290"/>
      <c r="H78" s="291"/>
      <c r="I78" s="191"/>
      <c r="J78" s="289"/>
      <c r="K78" s="290"/>
      <c r="L78" s="290"/>
      <c r="M78" s="291"/>
      <c r="N78" s="191"/>
      <c r="O78" s="289"/>
      <c r="P78" s="290"/>
      <c r="Q78" s="290"/>
      <c r="R78" s="291"/>
      <c r="S78" s="191"/>
      <c r="T78" s="289"/>
      <c r="U78" s="290"/>
      <c r="V78" s="290"/>
      <c r="W78" s="291"/>
      <c r="X78" s="191"/>
      <c r="Y78" s="289"/>
      <c r="Z78" s="290"/>
      <c r="AA78" s="290"/>
      <c r="AB78" s="291"/>
      <c r="AC78" s="191"/>
      <c r="AD78" s="289"/>
      <c r="AE78" s="290"/>
      <c r="AF78" s="290"/>
      <c r="AG78" s="291"/>
      <c r="AH78" s="191"/>
      <c r="AI78" s="289"/>
      <c r="AJ78" s="290"/>
      <c r="AK78" s="290"/>
      <c r="AL78" s="291"/>
      <c r="AM78" s="191"/>
      <c r="AN78" s="289"/>
      <c r="AO78" s="290"/>
      <c r="AP78" s="290"/>
      <c r="AQ78" s="291"/>
      <c r="AR78" s="191"/>
      <c r="AS78" s="289"/>
      <c r="AT78" s="290"/>
      <c r="AU78" s="290"/>
      <c r="AV78" s="291"/>
      <c r="AW78" s="191"/>
      <c r="AX78" s="289"/>
      <c r="AY78" s="290"/>
      <c r="AZ78" s="290"/>
      <c r="BA78" s="291"/>
      <c r="BB78" s="191"/>
      <c r="BC78" s="289"/>
      <c r="BD78" s="290"/>
      <c r="BE78" s="290"/>
      <c r="BF78" s="291"/>
      <c r="BG78" s="191"/>
      <c r="BH78" s="289"/>
      <c r="BI78" s="290"/>
      <c r="BJ78" s="290"/>
      <c r="BK78" s="291"/>
      <c r="BL78" s="191"/>
      <c r="BM78" s="289"/>
      <c r="BN78" s="290"/>
      <c r="BO78" s="290"/>
      <c r="BP78" s="291"/>
      <c r="BQ78" s="191"/>
      <c r="BR78" s="302"/>
    </row>
    <row r="79" spans="1:99">
      <c r="C79" s="312" t="s">
        <v>201</v>
      </c>
      <c r="E79" s="289"/>
      <c r="F79" s="290"/>
      <c r="G79" s="290"/>
      <c r="H79" s="291"/>
      <c r="I79" s="114"/>
      <c r="J79" s="229"/>
      <c r="K79" s="230"/>
      <c r="L79" s="230"/>
      <c r="M79" s="231"/>
      <c r="N79" s="114"/>
      <c r="O79" s="229"/>
      <c r="P79" s="230"/>
      <c r="Q79" s="230"/>
      <c r="R79" s="231"/>
      <c r="S79" s="114"/>
      <c r="T79" s="229"/>
      <c r="U79" s="230"/>
      <c r="V79" s="230"/>
      <c r="W79" s="231"/>
      <c r="X79" s="114">
        <f t="shared" ref="X79:AF79" si="83">+X254</f>
        <v>9.4738461538461535E-2</v>
      </c>
      <c r="Y79" s="229">
        <f t="shared" si="83"/>
        <v>9.4738461538461535E-2</v>
      </c>
      <c r="Z79" s="230">
        <f t="shared" si="83"/>
        <v>9.4738461538461535E-2</v>
      </c>
      <c r="AA79" s="230">
        <f t="shared" si="83"/>
        <v>9.4738461538461535E-2</v>
      </c>
      <c r="AB79" s="231">
        <f t="shared" si="83"/>
        <v>9.4738461538461535E-2</v>
      </c>
      <c r="AC79" s="114">
        <f t="shared" si="83"/>
        <v>9.5892307692307707E-2</v>
      </c>
      <c r="AD79" s="229">
        <f t="shared" si="83"/>
        <v>9.5892307692307707E-2</v>
      </c>
      <c r="AE79" s="230">
        <f t="shared" si="83"/>
        <v>9.5892307692307707E-2</v>
      </c>
      <c r="AF79" s="230">
        <f t="shared" si="83"/>
        <v>9.5892307692307707E-2</v>
      </c>
      <c r="AG79" s="231">
        <f t="shared" ref="AG79:AK80" si="84">+AG254</f>
        <v>9.5892307692307707E-2</v>
      </c>
      <c r="AH79" s="114">
        <f t="shared" si="84"/>
        <v>9.5892307692307707E-2</v>
      </c>
      <c r="AI79" s="229">
        <f t="shared" si="84"/>
        <v>9.5892307692307707E-2</v>
      </c>
      <c r="AJ79" s="230">
        <f t="shared" si="84"/>
        <v>0.10150000000000001</v>
      </c>
      <c r="AK79" s="230">
        <f t="shared" si="84"/>
        <v>0.10150000000000001</v>
      </c>
      <c r="AL79" s="231">
        <f t="shared" ref="AL79:AP80" si="85">+AL254</f>
        <v>0.10150000000000001</v>
      </c>
      <c r="AM79" s="114">
        <f t="shared" si="85"/>
        <v>0.10150000000000001</v>
      </c>
      <c r="AN79" s="229">
        <f t="shared" si="85"/>
        <v>0.10150000000000001</v>
      </c>
      <c r="AO79" s="230">
        <f t="shared" si="85"/>
        <v>0.10150000000000001</v>
      </c>
      <c r="AP79" s="230">
        <f t="shared" si="85"/>
        <v>0.10150000000000001</v>
      </c>
      <c r="AQ79" s="231">
        <f t="shared" ref="AQ79:AT80" si="86">+AQ254</f>
        <v>0.10150000000000001</v>
      </c>
      <c r="AR79" s="114">
        <f t="shared" si="86"/>
        <v>0.10150000000000001</v>
      </c>
      <c r="AS79" s="229">
        <f t="shared" si="86"/>
        <v>0.10150000000000001</v>
      </c>
      <c r="AT79" s="230">
        <f t="shared" si="86"/>
        <v>0.10150000000000001</v>
      </c>
      <c r="AU79" s="230">
        <f>+AU254</f>
        <v>0.10150000000000001</v>
      </c>
      <c r="AV79" s="231">
        <f t="shared" ref="AV79:AW79" si="87">+AV254</f>
        <v>0.10150000000000001</v>
      </c>
      <c r="AW79" s="114">
        <f t="shared" si="87"/>
        <v>0.10150000000000001</v>
      </c>
      <c r="AX79" s="229">
        <f t="shared" ref="AX79:BB81" si="88">+AX254</f>
        <v>0.10150000000000001</v>
      </c>
      <c r="AY79" s="230">
        <f t="shared" si="88"/>
        <v>0.10150000000000001</v>
      </c>
      <c r="AZ79" s="230">
        <f t="shared" si="88"/>
        <v>0.10150000000000001</v>
      </c>
      <c r="BA79" s="231">
        <f t="shared" si="88"/>
        <v>0.10150000000000001</v>
      </c>
      <c r="BB79" s="114">
        <f t="shared" si="88"/>
        <v>0.10150000000000001</v>
      </c>
      <c r="BC79" s="229">
        <f t="shared" ref="BC79:BL79" si="89">+BC254</f>
        <v>0.10150000000000001</v>
      </c>
      <c r="BD79" s="230">
        <f t="shared" si="89"/>
        <v>0.10150000000000001</v>
      </c>
      <c r="BE79" s="230">
        <f t="shared" si="89"/>
        <v>0.10150000000000001</v>
      </c>
      <c r="BF79" s="231">
        <f t="shared" si="89"/>
        <v>0.10150000000000001</v>
      </c>
      <c r="BG79" s="114">
        <f t="shared" si="89"/>
        <v>0.10150000000000001</v>
      </c>
      <c r="BH79" s="229">
        <f t="shared" si="89"/>
        <v>0.10150000000000001</v>
      </c>
      <c r="BI79" s="230">
        <f t="shared" si="89"/>
        <v>0.10150000000000001</v>
      </c>
      <c r="BJ79" s="230">
        <f t="shared" si="89"/>
        <v>0.10150000000000001</v>
      </c>
      <c r="BK79" s="231">
        <f t="shared" si="89"/>
        <v>0.10150000000000001</v>
      </c>
      <c r="BL79" s="114">
        <f t="shared" si="89"/>
        <v>0.10150000000000001</v>
      </c>
      <c r="BM79" s="229">
        <f t="shared" ref="BM79:BQ81" si="90">+BM254</f>
        <v>0.10150000000000001</v>
      </c>
      <c r="BN79" s="230">
        <f t="shared" si="90"/>
        <v>0.10150000000000001</v>
      </c>
      <c r="BO79" s="230">
        <f t="shared" si="90"/>
        <v>0.10150000000000001</v>
      </c>
      <c r="BP79" s="231">
        <f t="shared" si="90"/>
        <v>0.10150000000000001</v>
      </c>
      <c r="BQ79" s="114">
        <f t="shared" si="90"/>
        <v>0.10150000000000001</v>
      </c>
      <c r="BR79" s="302"/>
    </row>
    <row r="80" spans="1:99">
      <c r="C80" s="312" t="s">
        <v>202</v>
      </c>
      <c r="E80" s="289"/>
      <c r="F80" s="290"/>
      <c r="G80" s="290"/>
      <c r="H80" s="291"/>
      <c r="I80" s="114"/>
      <c r="J80" s="229"/>
      <c r="K80" s="230"/>
      <c r="L80" s="230"/>
      <c r="M80" s="231"/>
      <c r="N80" s="114"/>
      <c r="O80" s="229"/>
      <c r="P80" s="230"/>
      <c r="Q80" s="230"/>
      <c r="R80" s="231"/>
      <c r="S80" s="114"/>
      <c r="T80" s="229"/>
      <c r="U80" s="230"/>
      <c r="V80" s="230"/>
      <c r="W80" s="231"/>
      <c r="X80" s="114">
        <f t="shared" ref="X80:AF80" si="91">+X255</f>
        <v>8.687437186091225E-2</v>
      </c>
      <c r="Y80" s="229">
        <f t="shared" si="91"/>
        <v>0</v>
      </c>
      <c r="Z80" s="230">
        <f t="shared" si="91"/>
        <v>0</v>
      </c>
      <c r="AA80" s="230">
        <f t="shared" si="91"/>
        <v>0</v>
      </c>
      <c r="AB80" s="231">
        <f t="shared" si="91"/>
        <v>8.0944840373552679E-2</v>
      </c>
      <c r="AC80" s="114">
        <f t="shared" si="91"/>
        <v>7.9098270461857315E-2</v>
      </c>
      <c r="AD80" s="229">
        <f t="shared" si="91"/>
        <v>9.0010154473190052E-2</v>
      </c>
      <c r="AE80" s="230">
        <f t="shared" si="91"/>
        <v>8.8852392297532889E-2</v>
      </c>
      <c r="AF80" s="230">
        <f t="shared" si="91"/>
        <v>8.2164988242932946E-2</v>
      </c>
      <c r="AG80" s="231">
        <f t="shared" si="84"/>
        <v>7.5723476941809864E-2</v>
      </c>
      <c r="AH80" s="114">
        <f t="shared" si="84"/>
        <v>7.6441489779987409E-2</v>
      </c>
      <c r="AI80" s="229">
        <f t="shared" si="84"/>
        <v>7.8161931449109601E-2</v>
      </c>
      <c r="AJ80" s="230">
        <f t="shared" si="84"/>
        <v>8.2055739134416619E-2</v>
      </c>
      <c r="AK80" s="230">
        <f t="shared" si="84"/>
        <v>8.5351095632865442E-2</v>
      </c>
      <c r="AL80" s="231">
        <f t="shared" si="85"/>
        <v>9.1237415120604862E-2</v>
      </c>
      <c r="AM80" s="114">
        <f t="shared" si="85"/>
        <v>9.1440999049230878E-2</v>
      </c>
      <c r="AN80" s="229">
        <f t="shared" si="85"/>
        <v>8.5273643947032851E-2</v>
      </c>
      <c r="AO80" s="230">
        <f t="shared" si="85"/>
        <v>8.5505153560987923E-2</v>
      </c>
      <c r="AP80" s="230">
        <f t="shared" si="85"/>
        <v>9.1649225458894992E-2</v>
      </c>
      <c r="AQ80" s="231">
        <f t="shared" si="86"/>
        <v>9.5697371953351082E-2</v>
      </c>
      <c r="AR80" s="114">
        <f t="shared" si="86"/>
        <v>9.6426508994759477E-2</v>
      </c>
      <c r="AS80" s="229">
        <f t="shared" si="86"/>
        <v>8.9866962111946433E-2</v>
      </c>
      <c r="AT80" s="230">
        <f t="shared" si="86"/>
        <v>7.8933319796004722E-2</v>
      </c>
      <c r="AU80" s="230">
        <f>+AU255</f>
        <v>7.2876894980750576E-2</v>
      </c>
      <c r="AV80" s="231">
        <f t="shared" ref="AV80:AW80" si="92">+AV255</f>
        <v>7.5888482032876542E-2</v>
      </c>
      <c r="AW80" s="114">
        <f t="shared" si="92"/>
        <v>7.6884550565440385E-2</v>
      </c>
      <c r="AX80" s="229">
        <f t="shared" si="88"/>
        <v>7.8368027727284559E-2</v>
      </c>
      <c r="AY80" s="230">
        <f t="shared" si="88"/>
        <v>7.9301924623930695E-2</v>
      </c>
      <c r="AZ80" s="230">
        <f t="shared" si="88"/>
        <v>8.1028419522540127E-2</v>
      </c>
      <c r="BA80" s="231">
        <f t="shared" si="88"/>
        <v>7.9928098657325072E-2</v>
      </c>
      <c r="BB80" s="114">
        <f t="shared" si="88"/>
        <v>8.1087612041091439E-2</v>
      </c>
      <c r="BC80" s="229">
        <f t="shared" ref="BC80:BL80" si="93">+BC255</f>
        <v>8.433938814082316E-2</v>
      </c>
      <c r="BD80" s="230">
        <f t="shared" si="93"/>
        <v>8.7107102778481327E-2</v>
      </c>
      <c r="BE80" s="230">
        <f t="shared" si="93"/>
        <v>8.9313059407750001E-2</v>
      </c>
      <c r="BF80" s="231">
        <f t="shared" si="93"/>
        <v>8.8360802298743268E-2</v>
      </c>
      <c r="BG80" s="114">
        <f t="shared" si="93"/>
        <v>8.9967570690761223E-2</v>
      </c>
      <c r="BH80" s="229">
        <f t="shared" si="93"/>
        <v>9.0572339203226368E-2</v>
      </c>
      <c r="BI80" s="230">
        <f t="shared" si="93"/>
        <v>8.9385187119181364E-2</v>
      </c>
      <c r="BJ80" s="230">
        <f t="shared" si="93"/>
        <v>9.0128028861804307E-2</v>
      </c>
      <c r="BK80" s="231">
        <f t="shared" si="93"/>
        <v>9.0609894588270026E-2</v>
      </c>
      <c r="BL80" s="114">
        <f t="shared" si="93"/>
        <v>9.2259144427584053E-2</v>
      </c>
      <c r="BM80" s="229">
        <f t="shared" si="90"/>
        <v>9.3837624248267124E-2</v>
      </c>
      <c r="BN80" s="230">
        <f t="shared" si="90"/>
        <v>9.2886241771155245E-2</v>
      </c>
      <c r="BO80" s="230">
        <f t="shared" si="90"/>
        <v>9.373940513350984E-2</v>
      </c>
      <c r="BP80" s="231">
        <f t="shared" si="90"/>
        <v>9.3908427038818409E-2</v>
      </c>
      <c r="BQ80" s="114">
        <f t="shared" si="90"/>
        <v>9.7488249729958287E-2</v>
      </c>
      <c r="BR80" s="302"/>
    </row>
    <row r="81" spans="1:97">
      <c r="C81" s="314" t="s">
        <v>203</v>
      </c>
      <c r="D81" s="315"/>
      <c r="E81" s="316"/>
      <c r="F81" s="317"/>
      <c r="G81" s="317"/>
      <c r="H81" s="318"/>
      <c r="I81" s="319"/>
      <c r="J81" s="320"/>
      <c r="K81" s="321"/>
      <c r="L81" s="321"/>
      <c r="M81" s="322"/>
      <c r="N81" s="319"/>
      <c r="O81" s="320"/>
      <c r="P81" s="321"/>
      <c r="Q81" s="321"/>
      <c r="R81" s="322"/>
      <c r="S81" s="319"/>
      <c r="T81" s="320"/>
      <c r="U81" s="321"/>
      <c r="V81" s="321"/>
      <c r="W81" s="322"/>
      <c r="X81" s="319">
        <f>+X256</f>
        <v>7.9427997129976918E-2</v>
      </c>
      <c r="Y81" s="320"/>
      <c r="Z81" s="321"/>
      <c r="AA81" s="321"/>
      <c r="AB81" s="322"/>
      <c r="AC81" s="319">
        <f>+AC256</f>
        <v>7.5411932956977151E-2</v>
      </c>
      <c r="AD81" s="320"/>
      <c r="AE81" s="321"/>
      <c r="AF81" s="321"/>
      <c r="AG81" s="322"/>
      <c r="AH81" s="319">
        <f>+AH256</f>
        <v>7.1366984102502376E-2</v>
      </c>
      <c r="AI81" s="320"/>
      <c r="AJ81" s="321"/>
      <c r="AK81" s="321"/>
      <c r="AL81" s="322"/>
      <c r="AM81" s="319">
        <f>+AM256</f>
        <v>8.4994740109006234E-2</v>
      </c>
      <c r="AN81" s="320"/>
      <c r="AO81" s="321"/>
      <c r="AP81" s="321"/>
      <c r="AQ81" s="322"/>
      <c r="AR81" s="319">
        <f>+AR256</f>
        <v>9.1979963784197441E-2</v>
      </c>
      <c r="AS81" s="320"/>
      <c r="AT81" s="321"/>
      <c r="AU81" s="321"/>
      <c r="AV81" s="322"/>
      <c r="AW81" s="319">
        <f>+AW256</f>
        <v>7.4213623250511937E-2</v>
      </c>
      <c r="AX81" s="320">
        <f t="shared" si="88"/>
        <v>0</v>
      </c>
      <c r="AY81" s="321">
        <f t="shared" si="88"/>
        <v>0</v>
      </c>
      <c r="AZ81" s="321">
        <f t="shared" si="88"/>
        <v>0</v>
      </c>
      <c r="BA81" s="322">
        <f t="shared" si="88"/>
        <v>0</v>
      </c>
      <c r="BB81" s="319">
        <f t="shared" si="88"/>
        <v>7.618700461139119E-2</v>
      </c>
      <c r="BC81" s="320">
        <f t="shared" ref="BC81:BL81" si="94">+BC256</f>
        <v>0</v>
      </c>
      <c r="BD81" s="321">
        <f t="shared" si="94"/>
        <v>0</v>
      </c>
      <c r="BE81" s="321">
        <f t="shared" si="94"/>
        <v>0</v>
      </c>
      <c r="BF81" s="322">
        <f t="shared" si="94"/>
        <v>0</v>
      </c>
      <c r="BG81" s="319">
        <f t="shared" si="94"/>
        <v>8.2691138856771748E-2</v>
      </c>
      <c r="BH81" s="320">
        <f t="shared" si="94"/>
        <v>0</v>
      </c>
      <c r="BI81" s="321">
        <f t="shared" si="94"/>
        <v>0</v>
      </c>
      <c r="BJ81" s="321">
        <f t="shared" si="94"/>
        <v>0</v>
      </c>
      <c r="BK81" s="322">
        <f t="shared" si="94"/>
        <v>0</v>
      </c>
      <c r="BL81" s="319">
        <f t="shared" si="94"/>
        <v>8.4257165184870336E-2</v>
      </c>
      <c r="BM81" s="320">
        <f t="shared" si="90"/>
        <v>0</v>
      </c>
      <c r="BN81" s="321">
        <f t="shared" si="90"/>
        <v>0</v>
      </c>
      <c r="BO81" s="321">
        <f t="shared" si="90"/>
        <v>0</v>
      </c>
      <c r="BP81" s="322">
        <f t="shared" si="90"/>
        <v>0</v>
      </c>
      <c r="BQ81" s="319">
        <f t="shared" si="90"/>
        <v>9.3921634491295605E-2</v>
      </c>
      <c r="BR81" s="302"/>
    </row>
    <row r="82" spans="1:97">
      <c r="C82" s="56"/>
      <c r="E82" s="289"/>
      <c r="F82" s="290"/>
      <c r="G82" s="290"/>
      <c r="H82" s="291"/>
      <c r="I82" s="191"/>
      <c r="J82" s="289"/>
      <c r="K82" s="290"/>
      <c r="L82" s="290"/>
      <c r="M82" s="291"/>
      <c r="N82" s="191"/>
      <c r="O82" s="289"/>
      <c r="P82" s="290"/>
      <c r="Q82" s="290"/>
      <c r="R82" s="291"/>
      <c r="S82" s="191"/>
      <c r="T82" s="289"/>
      <c r="U82" s="290"/>
      <c r="V82" s="290"/>
      <c r="W82" s="291"/>
      <c r="X82" s="191"/>
      <c r="Y82" s="289"/>
      <c r="Z82" s="290"/>
      <c r="AA82" s="290"/>
      <c r="AB82" s="291"/>
      <c r="AC82" s="191"/>
      <c r="AD82" s="289"/>
      <c r="AE82" s="290"/>
      <c r="AF82" s="290"/>
      <c r="AG82" s="291"/>
      <c r="AH82" s="191"/>
      <c r="AI82" s="289"/>
      <c r="AJ82" s="290"/>
      <c r="AK82" s="290"/>
      <c r="AL82" s="291"/>
      <c r="AM82" s="191"/>
      <c r="AN82" s="289"/>
      <c r="AO82" s="290"/>
      <c r="AP82" s="290"/>
      <c r="AQ82" s="291"/>
      <c r="AR82" s="191"/>
      <c r="AS82" s="289"/>
      <c r="AT82" s="290"/>
      <c r="AU82" s="290"/>
      <c r="AV82" s="291"/>
      <c r="AW82" s="191"/>
      <c r="AX82" s="289"/>
      <c r="AY82" s="290"/>
      <c r="AZ82" s="290"/>
      <c r="BA82" s="291"/>
      <c r="BB82" s="191"/>
      <c r="BC82" s="289"/>
      <c r="BD82" s="290"/>
      <c r="BE82" s="290"/>
      <c r="BF82" s="291"/>
      <c r="BG82" s="191"/>
      <c r="BH82" s="289"/>
      <c r="BI82" s="290"/>
      <c r="BJ82" s="290"/>
      <c r="BK82" s="291"/>
      <c r="BL82" s="191"/>
      <c r="BM82" s="289"/>
      <c r="BN82" s="290"/>
      <c r="BO82" s="290"/>
      <c r="BP82" s="291"/>
      <c r="BQ82" s="191"/>
    </row>
    <row r="83" spans="1:97">
      <c r="C83" s="56"/>
      <c r="E83" s="289"/>
      <c r="F83" s="290"/>
      <c r="G83" s="290"/>
      <c r="H83" s="291"/>
      <c r="I83" s="191"/>
      <c r="J83" s="289"/>
      <c r="K83" s="290"/>
      <c r="L83" s="290"/>
      <c r="M83" s="291"/>
      <c r="N83" s="191"/>
      <c r="O83" s="289"/>
      <c r="P83" s="290"/>
      <c r="Q83" s="290"/>
      <c r="R83" s="291"/>
      <c r="S83" s="191"/>
      <c r="T83" s="289"/>
      <c r="U83" s="290"/>
      <c r="V83" s="290"/>
      <c r="W83" s="291"/>
      <c r="X83" s="191"/>
      <c r="Y83" s="289"/>
      <c r="Z83" s="290"/>
      <c r="AA83" s="290"/>
      <c r="AB83" s="291"/>
      <c r="AC83" s="191"/>
      <c r="AD83" s="289"/>
      <c r="AE83" s="290"/>
      <c r="AF83" s="290"/>
      <c r="AG83" s="291"/>
      <c r="AH83" s="191"/>
      <c r="AI83" s="289"/>
      <c r="AJ83" s="290"/>
      <c r="AK83" s="290"/>
      <c r="AL83" s="291"/>
      <c r="AM83" s="191"/>
      <c r="AN83" s="289"/>
      <c r="AO83" s="290"/>
      <c r="AP83" s="290"/>
      <c r="AQ83" s="291"/>
      <c r="AR83" s="191"/>
      <c r="AS83" s="289"/>
      <c r="AT83" s="290"/>
      <c r="AU83" s="290"/>
      <c r="AV83" s="291"/>
      <c r="AW83" s="191"/>
      <c r="AX83" s="289"/>
      <c r="AY83" s="290"/>
      <c r="AZ83" s="290"/>
      <c r="BA83" s="291"/>
      <c r="BB83" s="191"/>
      <c r="BC83" s="289"/>
      <c r="BD83" s="290"/>
      <c r="BE83" s="290"/>
      <c r="BF83" s="291"/>
      <c r="BG83" s="191"/>
      <c r="BH83" s="289"/>
      <c r="BI83" s="290"/>
      <c r="BJ83" s="290"/>
      <c r="BK83" s="291"/>
      <c r="BL83" s="191"/>
      <c r="BM83" s="289"/>
      <c r="BN83" s="290"/>
      <c r="BO83" s="290"/>
      <c r="BP83" s="291"/>
      <c r="BQ83" s="191"/>
    </row>
    <row r="84" spans="1:97">
      <c r="B84" s="46" t="s">
        <v>204</v>
      </c>
      <c r="C84" s="46"/>
      <c r="D84" s="47"/>
      <c r="E84" s="289"/>
      <c r="F84" s="290"/>
      <c r="G84" s="290"/>
      <c r="H84" s="291"/>
      <c r="I84" s="191"/>
      <c r="J84" s="289"/>
      <c r="K84" s="290"/>
      <c r="L84" s="290"/>
      <c r="M84" s="291"/>
      <c r="N84" s="191"/>
      <c r="O84" s="289"/>
      <c r="P84" s="290"/>
      <c r="Q84" s="290"/>
      <c r="R84" s="291"/>
      <c r="S84" s="191"/>
      <c r="T84" s="289"/>
      <c r="U84" s="290"/>
      <c r="V84" s="290"/>
      <c r="W84" s="291"/>
      <c r="X84" s="191"/>
      <c r="Y84" s="289"/>
      <c r="Z84" s="290"/>
      <c r="AA84" s="290"/>
      <c r="AB84" s="291"/>
      <c r="AC84" s="191"/>
      <c r="AD84" s="289"/>
      <c r="AE84" s="290"/>
      <c r="AF84" s="290"/>
      <c r="AG84" s="291"/>
      <c r="AH84" s="191"/>
      <c r="AI84" s="289"/>
      <c r="AJ84" s="290"/>
      <c r="AK84" s="290"/>
      <c r="AL84" s="291"/>
      <c r="AM84" s="191"/>
      <c r="AN84" s="289"/>
      <c r="AO84" s="290"/>
      <c r="AP84" s="290"/>
      <c r="AQ84" s="291"/>
      <c r="AR84" s="191"/>
      <c r="AS84" s="289"/>
      <c r="AT84" s="290"/>
      <c r="AU84" s="290"/>
      <c r="AV84" s="291"/>
      <c r="AW84" s="191"/>
      <c r="AX84" s="289"/>
      <c r="AY84" s="290"/>
      <c r="AZ84" s="290"/>
      <c r="BA84" s="291"/>
      <c r="BB84" s="191"/>
      <c r="BC84" s="289"/>
      <c r="BD84" s="290"/>
      <c r="BE84" s="290"/>
      <c r="BF84" s="291"/>
      <c r="BG84" s="191"/>
      <c r="BH84" s="289"/>
      <c r="BI84" s="290"/>
      <c r="BJ84" s="290"/>
      <c r="BK84" s="291"/>
      <c r="BL84" s="191"/>
      <c r="BM84" s="289"/>
      <c r="BN84" s="290"/>
      <c r="BO84" s="290"/>
      <c r="BP84" s="291"/>
      <c r="BQ84" s="191"/>
    </row>
    <row r="85" spans="1:97">
      <c r="A85" s="541"/>
      <c r="B85" s="541"/>
      <c r="C85" s="515" t="s">
        <v>327</v>
      </c>
      <c r="D85" s="541"/>
      <c r="E85" s="289"/>
      <c r="F85" s="542"/>
      <c r="G85" s="542"/>
      <c r="H85" s="291"/>
      <c r="I85" s="191"/>
      <c r="J85" s="289"/>
      <c r="K85" s="290"/>
      <c r="L85" s="290"/>
      <c r="M85" s="291"/>
      <c r="N85" s="191"/>
      <c r="O85" s="289"/>
      <c r="P85" s="542"/>
      <c r="Q85" s="542"/>
      <c r="R85" s="291"/>
      <c r="S85" s="543"/>
      <c r="T85" s="289"/>
      <c r="U85" s="542"/>
      <c r="V85" s="542"/>
      <c r="W85" s="291"/>
      <c r="X85" s="543"/>
      <c r="Y85" s="289"/>
      <c r="Z85" s="542"/>
      <c r="AA85" s="542"/>
      <c r="AB85" s="291"/>
      <c r="AC85" s="543"/>
      <c r="AD85" s="289"/>
      <c r="AE85" s="542"/>
      <c r="AF85" s="542"/>
      <c r="AG85" s="291"/>
      <c r="AH85" s="543"/>
      <c r="AI85" s="289"/>
      <c r="AJ85" s="542"/>
      <c r="AK85" s="542"/>
      <c r="AL85" s="291"/>
      <c r="AM85" s="543"/>
      <c r="AN85" s="289"/>
      <c r="AO85" s="542"/>
      <c r="AP85" s="542"/>
      <c r="AQ85" s="291"/>
      <c r="AR85" s="543"/>
      <c r="AS85" s="289"/>
      <c r="AT85" s="542"/>
      <c r="AU85" s="542"/>
      <c r="AV85" s="291"/>
      <c r="AW85" s="543"/>
      <c r="AX85" s="289"/>
      <c r="AY85" s="542"/>
      <c r="AZ85" s="542"/>
      <c r="BA85" s="291"/>
      <c r="BB85" s="543"/>
      <c r="BC85" s="289"/>
      <c r="BD85" s="542"/>
      <c r="BE85" s="542"/>
      <c r="BF85" s="291"/>
      <c r="BG85" s="543"/>
      <c r="BH85" s="289"/>
      <c r="BI85" s="542"/>
      <c r="BJ85" s="542"/>
      <c r="BK85" s="291"/>
      <c r="BL85" s="543"/>
      <c r="BM85" s="289"/>
      <c r="BN85" s="542"/>
      <c r="BO85" s="542"/>
      <c r="BP85" s="291"/>
      <c r="BQ85" s="543"/>
      <c r="BR85" s="541"/>
      <c r="BS85" s="541"/>
      <c r="BT85" s="541"/>
      <c r="BU85" s="541"/>
      <c r="BV85" s="541"/>
      <c r="BW85" s="541"/>
      <c r="BX85" s="541"/>
      <c r="BY85" s="541"/>
      <c r="BZ85" s="541"/>
      <c r="CA85" s="541"/>
      <c r="CB85" s="541"/>
      <c r="CC85" s="541"/>
      <c r="CD85" s="541"/>
      <c r="CE85" s="541"/>
      <c r="CF85" s="541"/>
      <c r="CG85" s="541"/>
      <c r="CH85" s="541"/>
      <c r="CI85" s="541"/>
      <c r="CJ85" s="541"/>
      <c r="CK85" s="541"/>
      <c r="CL85" s="541"/>
      <c r="CM85" s="541"/>
      <c r="CN85" s="541"/>
      <c r="CO85" s="541"/>
      <c r="CP85" s="541"/>
      <c r="CQ85" s="541"/>
      <c r="CR85" s="541"/>
      <c r="CS85" s="541"/>
    </row>
    <row r="86" spans="1:97">
      <c r="A86" s="541"/>
      <c r="B86" s="541"/>
      <c r="C86" s="541" t="s">
        <v>215</v>
      </c>
      <c r="D86" s="541"/>
      <c r="E86" s="161"/>
      <c r="F86" s="162"/>
      <c r="G86" s="162"/>
      <c r="H86" s="144"/>
      <c r="I86" s="544"/>
      <c r="J86" s="161"/>
      <c r="K86" s="162"/>
      <c r="L86" s="162"/>
      <c r="M86" s="144"/>
      <c r="N86" s="544"/>
      <c r="O86" s="161"/>
      <c r="P86" s="162"/>
      <c r="Q86" s="162"/>
      <c r="R86" s="144"/>
      <c r="S86" s="544"/>
      <c r="T86" s="161"/>
      <c r="U86" s="162"/>
      <c r="V86" s="162"/>
      <c r="W86" s="144"/>
      <c r="X86" s="544">
        <v>2993</v>
      </c>
      <c r="Y86" s="161">
        <f>(Y99/AC99)*AC86</f>
        <v>809.47157726180944</v>
      </c>
      <c r="Z86" s="162">
        <f>(Z99/AC99)*AC86</f>
        <v>740.91593274619697</v>
      </c>
      <c r="AA86" s="162">
        <f>(AA99/AC99)*AC86</f>
        <v>881.24579663730981</v>
      </c>
      <c r="AB86" s="144">
        <f>(AB99/AC99)*AC86</f>
        <v>784.36669335468366</v>
      </c>
      <c r="AC86" s="544">
        <v>3216</v>
      </c>
      <c r="AD86" s="161">
        <f>(AD99/AH99)*AH86</f>
        <v>907.71762969211295</v>
      </c>
      <c r="AE86" s="162">
        <f>(AE99/AH99)*AH86</f>
        <v>790.47954449599331</v>
      </c>
      <c r="AF86" s="162">
        <f>(AF99/AH99)*AH86</f>
        <v>859.97996625896246</v>
      </c>
      <c r="AG86" s="144">
        <f>(AG99/AH99)*AH86</f>
        <v>770.82285955293128</v>
      </c>
      <c r="AH86" s="544">
        <v>3329</v>
      </c>
      <c r="AI86" s="161">
        <f>(AI99/AM99)*AM86</f>
        <v>899.99967292470728</v>
      </c>
      <c r="AJ86" s="162">
        <f>(AJ99/AM99)*AM86</f>
        <v>784.3110922134274</v>
      </c>
      <c r="AK86" s="162">
        <f>(AK99/AM99)*AM86</f>
        <v>887.78410850177693</v>
      </c>
      <c r="AL86" s="144">
        <f>(AL99/AM99)*AM86</f>
        <v>723.30512636008825</v>
      </c>
      <c r="AM86" s="544">
        <v>3295.4</v>
      </c>
      <c r="AN86" s="161">
        <f>(AN99/AR99)*AR86</f>
        <v>845.46831355382267</v>
      </c>
      <c r="AO86" s="162">
        <f>(AO99/AR99)*AR86</f>
        <v>800.40126816177042</v>
      </c>
      <c r="AP86" s="162">
        <f>(AP99/AR99)*AR86</f>
        <v>962.44685159317635</v>
      </c>
      <c r="AQ86" s="144">
        <f>(AQ99/AR99)*AR86</f>
        <v>814.78356669123048</v>
      </c>
      <c r="AR86" s="544">
        <v>3423.1</v>
      </c>
      <c r="AS86" s="161">
        <f>(AS99/AW99)*AW86</f>
        <v>847.13902523933859</v>
      </c>
      <c r="AT86" s="162">
        <f>(AT99/AW99)*AW86</f>
        <v>784.29894473455181</v>
      </c>
      <c r="AU86" s="162">
        <f>(AU99/AW99)*AW86</f>
        <v>918.07915143603122</v>
      </c>
      <c r="AV86" s="144">
        <f>(AV99/AW99)*AW86</f>
        <v>850.28287859007844</v>
      </c>
      <c r="AW86" s="544">
        <v>3399.8</v>
      </c>
      <c r="AX86" s="149"/>
      <c r="AY86" s="156"/>
      <c r="AZ86" s="156"/>
      <c r="BA86" s="151"/>
      <c r="BB86" s="543"/>
      <c r="BC86" s="149"/>
      <c r="BD86" s="156"/>
      <c r="BE86" s="156"/>
      <c r="BF86" s="151"/>
      <c r="BG86" s="543"/>
      <c r="BH86" s="149"/>
      <c r="BI86" s="156"/>
      <c r="BJ86" s="156"/>
      <c r="BK86" s="151"/>
      <c r="BL86" s="543"/>
      <c r="BM86" s="149"/>
      <c r="BN86" s="156"/>
      <c r="BO86" s="156"/>
      <c r="BP86" s="151"/>
      <c r="BQ86" s="543"/>
      <c r="BR86" s="1117"/>
      <c r="BS86" s="541"/>
      <c r="BT86" s="541"/>
      <c r="BU86" s="541"/>
      <c r="BV86" s="541"/>
      <c r="BW86" s="541"/>
      <c r="BX86" s="541"/>
      <c r="BY86" s="541"/>
      <c r="BZ86" s="541"/>
      <c r="CA86" s="541"/>
      <c r="CB86" s="541"/>
      <c r="CC86" s="541"/>
      <c r="CD86" s="541"/>
      <c r="CE86" s="541"/>
      <c r="CF86" s="541"/>
      <c r="CG86" s="541"/>
      <c r="CH86" s="541"/>
      <c r="CI86" s="541"/>
      <c r="CJ86" s="541"/>
      <c r="CK86" s="541"/>
      <c r="CL86" s="541"/>
      <c r="CM86" s="541"/>
      <c r="CN86" s="541"/>
      <c r="CO86" s="541"/>
      <c r="CP86" s="541"/>
      <c r="CQ86" s="541"/>
      <c r="CR86" s="541"/>
      <c r="CS86" s="541"/>
    </row>
    <row r="87" spans="1:97">
      <c r="A87" s="541"/>
      <c r="B87" s="541"/>
      <c r="C87" s="541" t="s">
        <v>328</v>
      </c>
      <c r="D87" s="541"/>
      <c r="E87" s="161"/>
      <c r="F87" s="162"/>
      <c r="G87" s="162"/>
      <c r="H87" s="144"/>
      <c r="I87" s="544"/>
      <c r="J87" s="161"/>
      <c r="K87" s="162"/>
      <c r="L87" s="162"/>
      <c r="M87" s="144"/>
      <c r="N87" s="544"/>
      <c r="O87" s="161"/>
      <c r="P87" s="162"/>
      <c r="Q87" s="162"/>
      <c r="R87" s="144"/>
      <c r="S87" s="544"/>
      <c r="T87" s="161"/>
      <c r="U87" s="162"/>
      <c r="V87" s="162"/>
      <c r="W87" s="144"/>
      <c r="X87" s="544">
        <v>1886</v>
      </c>
      <c r="Y87" s="161">
        <f>(Y99/AC99)*AC87</f>
        <v>503.90612489991992</v>
      </c>
      <c r="Z87" s="162">
        <f>(Z99/AC99)*AC87</f>
        <v>461.22938350680545</v>
      </c>
      <c r="AA87" s="162">
        <f>(AA99/AC99)*AC87</f>
        <v>548.58646917534031</v>
      </c>
      <c r="AB87" s="144">
        <f>(AB99/AC99)*AC87</f>
        <v>488.27802241793432</v>
      </c>
      <c r="AC87" s="544">
        <v>2002</v>
      </c>
      <c r="AD87" s="161">
        <f>(AD99/AH99)*AH87</f>
        <v>554.06495149725845</v>
      </c>
      <c r="AE87" s="162">
        <f>(AE99/AH99)*AH87</f>
        <v>482.50358498523832</v>
      </c>
      <c r="AF87" s="162">
        <f>(AF99/AH99)*AH87</f>
        <v>524.92619148038796</v>
      </c>
      <c r="AG87" s="144">
        <f>(AG99/AH99)*AH87</f>
        <v>470.50527203711511</v>
      </c>
      <c r="AH87" s="544">
        <v>2032</v>
      </c>
      <c r="AI87" s="161">
        <f>(AI99/AM99)*AM87</f>
        <v>561.97406292928622</v>
      </c>
      <c r="AJ87" s="162">
        <f>(AJ99/AM99)*AM87</f>
        <v>489.73627919146975</v>
      </c>
      <c r="AK87" s="162">
        <f>(AK99/AM99)*AM87</f>
        <v>554.34647085759127</v>
      </c>
      <c r="AL87" s="144">
        <f>(AL99/AM99)*AM87</f>
        <v>451.64318702165247</v>
      </c>
      <c r="AM87" s="544">
        <v>2057.6999999999998</v>
      </c>
      <c r="AN87" s="161">
        <f>(AN99/AR99)*AR87</f>
        <v>519.2204401720212</v>
      </c>
      <c r="AO87" s="162">
        <f>(AO99/AR99)*AR87</f>
        <v>491.54378952694157</v>
      </c>
      <c r="AP87" s="162">
        <f>(AP99/AR99)*AR87</f>
        <v>591.05949911459652</v>
      </c>
      <c r="AQ87" s="144">
        <f>(AQ99/AR99)*AR87</f>
        <v>500.37627118644053</v>
      </c>
      <c r="AR87" s="544">
        <v>2102.1999999999998</v>
      </c>
      <c r="AS87" s="161">
        <f>(AS99/AW99)*AW87</f>
        <v>535.37352480417746</v>
      </c>
      <c r="AT87" s="162">
        <f>(AT99/AW99)*AW87</f>
        <v>495.65995430809397</v>
      </c>
      <c r="AU87" s="162">
        <f>(AU99/AW99)*AW87</f>
        <v>580.20614882506516</v>
      </c>
      <c r="AV87" s="144">
        <f>(AV99/AW99)*AW87</f>
        <v>537.36037206266326</v>
      </c>
      <c r="AW87" s="544">
        <v>2148.6</v>
      </c>
      <c r="AX87" s="149"/>
      <c r="AY87" s="156"/>
      <c r="AZ87" s="156"/>
      <c r="BA87" s="151"/>
      <c r="BB87" s="543"/>
      <c r="BC87" s="149"/>
      <c r="BD87" s="156"/>
      <c r="BE87" s="156"/>
      <c r="BF87" s="151"/>
      <c r="BG87" s="543"/>
      <c r="BH87" s="149"/>
      <c r="BI87" s="156"/>
      <c r="BJ87" s="156"/>
      <c r="BK87" s="151"/>
      <c r="BL87" s="543"/>
      <c r="BM87" s="149"/>
      <c r="BN87" s="156"/>
      <c r="BO87" s="156"/>
      <c r="BP87" s="151"/>
      <c r="BQ87" s="543"/>
      <c r="BR87" s="1117"/>
      <c r="BS87" s="541"/>
      <c r="BT87" s="541"/>
      <c r="BU87" s="541"/>
      <c r="BV87" s="541"/>
      <c r="BW87" s="541"/>
      <c r="BX87" s="541"/>
      <c r="BY87" s="541"/>
      <c r="BZ87" s="541"/>
      <c r="CA87" s="541"/>
      <c r="CB87" s="541"/>
      <c r="CC87" s="541"/>
      <c r="CD87" s="541"/>
      <c r="CE87" s="541"/>
      <c r="CF87" s="541"/>
      <c r="CG87" s="541"/>
      <c r="CH87" s="541"/>
      <c r="CI87" s="541"/>
      <c r="CJ87" s="541"/>
      <c r="CK87" s="541"/>
      <c r="CL87" s="541"/>
      <c r="CM87" s="541"/>
      <c r="CN87" s="541"/>
      <c r="CO87" s="541"/>
      <c r="CP87" s="541"/>
      <c r="CQ87" s="541"/>
      <c r="CR87" s="541"/>
      <c r="CS87" s="541"/>
    </row>
    <row r="88" spans="1:97">
      <c r="A88" s="541"/>
      <c r="B88" s="541"/>
      <c r="C88" s="541" t="s">
        <v>329</v>
      </c>
      <c r="D88" s="541"/>
      <c r="E88" s="161"/>
      <c r="F88" s="162"/>
      <c r="G88" s="162"/>
      <c r="H88" s="144"/>
      <c r="I88" s="544"/>
      <c r="J88" s="161"/>
      <c r="K88" s="162"/>
      <c r="L88" s="162"/>
      <c r="M88" s="144"/>
      <c r="N88" s="544"/>
      <c r="O88" s="161"/>
      <c r="P88" s="162"/>
      <c r="Q88" s="162"/>
      <c r="R88" s="144"/>
      <c r="S88" s="544"/>
      <c r="T88" s="161"/>
      <c r="U88" s="162"/>
      <c r="V88" s="162"/>
      <c r="W88" s="144"/>
      <c r="X88" s="544">
        <v>1951</v>
      </c>
      <c r="Y88" s="161">
        <f>(Y99/AC99)*AC88</f>
        <v>510.70206164931943</v>
      </c>
      <c r="Z88" s="162">
        <f>(Z99/AC99)*AC88</f>
        <v>467.44975980784625</v>
      </c>
      <c r="AA88" s="162">
        <f>(AA99/AC99)*AC88</f>
        <v>555.98498799039237</v>
      </c>
      <c r="AB88" s="144">
        <f>(AB99/AC99)*AC88</f>
        <v>494.86319055244195</v>
      </c>
      <c r="AC88" s="544">
        <v>2029</v>
      </c>
      <c r="AD88" s="161">
        <f>(AD99/AH99)*AH88</f>
        <v>579.42323913960354</v>
      </c>
      <c r="AE88" s="162">
        <f>(AE99/AH99)*AH88</f>
        <v>504.58667229017294</v>
      </c>
      <c r="AF88" s="162">
        <f>(AF99/AH99)*AH88</f>
        <v>548.95086461408687</v>
      </c>
      <c r="AG88" s="144">
        <f>(AG99/AH99)*AH88</f>
        <v>492.03922395613665</v>
      </c>
      <c r="AH88" s="544">
        <v>2125</v>
      </c>
      <c r="AI88" s="161">
        <f>(AI99/AM99)*AM88</f>
        <v>572.67989141100281</v>
      </c>
      <c r="AJ88" s="162">
        <f>(AJ99/AM99)*AM88</f>
        <v>499.06594928152458</v>
      </c>
      <c r="AK88" s="162">
        <f>(AK99/AM99)*AM88</f>
        <v>564.90699068925665</v>
      </c>
      <c r="AL88" s="144">
        <f>(AL99/AM99)*AM88</f>
        <v>460.24716861821605</v>
      </c>
      <c r="AM88" s="544">
        <v>2096.9</v>
      </c>
      <c r="AN88" s="161">
        <f>(AN99/AR99)*AR88</f>
        <v>506.4758037373926</v>
      </c>
      <c r="AO88" s="162">
        <f>(AO99/AR99)*AR88</f>
        <v>479.47849624390943</v>
      </c>
      <c r="AP88" s="162">
        <f>(AP99/AR99)*AR88</f>
        <v>576.55152168413645</v>
      </c>
      <c r="AQ88" s="144">
        <f>(AQ99/AR99)*AR88</f>
        <v>488.09417833456143</v>
      </c>
      <c r="AR88" s="544">
        <v>2050.6</v>
      </c>
      <c r="AS88" s="161">
        <f>(AS99/AW99)*AW88</f>
        <v>537.44166231505653</v>
      </c>
      <c r="AT88" s="162">
        <f>(AT99/AW99)*AW88</f>
        <v>497.57467906875542</v>
      </c>
      <c r="AU88" s="162">
        <f>(AU99/AW99)*AW88</f>
        <v>582.44747389033932</v>
      </c>
      <c r="AV88" s="144">
        <f>(AV99/AW99)*AW88</f>
        <v>539.43618472584865</v>
      </c>
      <c r="AW88" s="544">
        <v>2156.9</v>
      </c>
      <c r="AX88" s="149"/>
      <c r="AY88" s="156"/>
      <c r="AZ88" s="156"/>
      <c r="BA88" s="151"/>
      <c r="BB88" s="543"/>
      <c r="BC88" s="149"/>
      <c r="BD88" s="156"/>
      <c r="BE88" s="156"/>
      <c r="BF88" s="151"/>
      <c r="BG88" s="543"/>
      <c r="BH88" s="149"/>
      <c r="BI88" s="156"/>
      <c r="BJ88" s="156"/>
      <c r="BK88" s="151"/>
      <c r="BL88" s="543"/>
      <c r="BM88" s="149"/>
      <c r="BN88" s="156"/>
      <c r="BO88" s="156"/>
      <c r="BP88" s="151"/>
      <c r="BQ88" s="543"/>
      <c r="BR88" s="541"/>
      <c r="BS88" s="541"/>
      <c r="BT88" s="541"/>
      <c r="BU88" s="541"/>
      <c r="BV88" s="541"/>
      <c r="BW88" s="541"/>
      <c r="BX88" s="541"/>
      <c r="BY88" s="541"/>
      <c r="BZ88" s="541"/>
      <c r="CA88" s="541"/>
      <c r="CB88" s="541"/>
      <c r="CC88" s="541"/>
      <c r="CD88" s="541"/>
      <c r="CE88" s="541"/>
      <c r="CF88" s="541"/>
      <c r="CG88" s="541"/>
      <c r="CH88" s="541"/>
      <c r="CI88" s="541"/>
      <c r="CJ88" s="541"/>
      <c r="CK88" s="541"/>
      <c r="CL88" s="541"/>
      <c r="CM88" s="541"/>
      <c r="CN88" s="541"/>
      <c r="CO88" s="541"/>
      <c r="CP88" s="541"/>
      <c r="CQ88" s="541"/>
      <c r="CR88" s="541"/>
      <c r="CS88" s="541"/>
    </row>
    <row r="89" spans="1:97" s="50" customFormat="1">
      <c r="A89" s="553"/>
      <c r="B89" s="553"/>
      <c r="C89" s="541" t="s">
        <v>843</v>
      </c>
      <c r="D89" s="553"/>
      <c r="E89" s="161"/>
      <c r="F89" s="162"/>
      <c r="G89" s="162"/>
      <c r="H89" s="144"/>
      <c r="I89" s="544"/>
      <c r="J89" s="161"/>
      <c r="K89" s="162"/>
      <c r="L89" s="162"/>
      <c r="M89" s="144"/>
      <c r="N89" s="544"/>
      <c r="O89" s="161"/>
      <c r="P89" s="162"/>
      <c r="Q89" s="162"/>
      <c r="R89" s="144"/>
      <c r="S89" s="544"/>
      <c r="T89" s="161"/>
      <c r="U89" s="162"/>
      <c r="V89" s="162"/>
      <c r="W89" s="144"/>
      <c r="X89" s="544">
        <v>-25</v>
      </c>
      <c r="Y89" s="161">
        <f>(Y$99/AC$99)*AC89</f>
        <v>2.5170136108887107</v>
      </c>
      <c r="Z89" s="162">
        <f>(Z$99/AC$99)*AC89</f>
        <v>2.3038430744595675</v>
      </c>
      <c r="AA89" s="162">
        <f>(AA$99/AC$99)*AC89</f>
        <v>2.7401921537229783</v>
      </c>
      <c r="AB89" s="144">
        <f>(AB$99/AC$99)*AC89</f>
        <v>2.4389511609287426</v>
      </c>
      <c r="AC89" s="544">
        <v>10</v>
      </c>
      <c r="AD89" s="161">
        <f>(AD$99/AH$99)*AH89</f>
        <v>-16.905525094896667</v>
      </c>
      <c r="AE89" s="162">
        <f>(AE$99/AH$99)*AH89</f>
        <v>-14.722058203289752</v>
      </c>
      <c r="AF89" s="162">
        <f>(AF$99/AH$99)*AH89</f>
        <v>-16.016448755799239</v>
      </c>
      <c r="AG89" s="144">
        <f>(AG$99/AH$99)*AH89</f>
        <v>-14.35596794601434</v>
      </c>
      <c r="AH89" s="544">
        <v>-62</v>
      </c>
      <c r="AI89" s="161">
        <f>(AI$99/AM$99)*AM89</f>
        <v>-0.19117550860208019</v>
      </c>
      <c r="AJ89" s="162">
        <f>(AJ$99/AM$99)*AM89</f>
        <v>-0.16660125160812017</v>
      </c>
      <c r="AK89" s="162">
        <f>(AK$99/AM$99)*AM89</f>
        <v>-0.18858071127973655</v>
      </c>
      <c r="AL89" s="144">
        <f>(AL$99/AM$99)*AM89</f>
        <v>-0.15364252851006305</v>
      </c>
      <c r="AM89" s="544">
        <v>-0.7</v>
      </c>
      <c r="AN89" s="161">
        <f>(AN$99/AR$99)*AR89</f>
        <v>-9.8795631276190898E-2</v>
      </c>
      <c r="AO89" s="162">
        <f>(AO$99/AR$99)*AR89</f>
        <v>-9.3529405294822884E-2</v>
      </c>
      <c r="AP89" s="162">
        <f>(AP$99/AR$99)*AR89</f>
        <v>-0.11246494132139598</v>
      </c>
      <c r="AQ89" s="144">
        <f>(AQ$99/AR$99)*AR89</f>
        <v>-9.5210022107590261E-2</v>
      </c>
      <c r="AR89" s="544">
        <v>-0.4</v>
      </c>
      <c r="AS89" s="161">
        <f>(AS$99/AW$99)*AW89</f>
        <v>-0.27409051348999131</v>
      </c>
      <c r="AT89" s="162">
        <f>(AT$99/AW$99)*AW89</f>
        <v>-0.25375870322019151</v>
      </c>
      <c r="AU89" s="162">
        <f>(AU$99/AW$99)*AW89</f>
        <v>-0.29704308093994775</v>
      </c>
      <c r="AV89" s="144">
        <f>(AV$99/AW$99)*AW89</f>
        <v>-0.27510770234986953</v>
      </c>
      <c r="AW89" s="544">
        <v>-1.1000000000000001</v>
      </c>
      <c r="AX89" s="161"/>
      <c r="AY89" s="162"/>
      <c r="AZ89" s="162"/>
      <c r="BA89" s="144"/>
      <c r="BB89" s="546"/>
      <c r="BC89" s="161"/>
      <c r="BD89" s="162"/>
      <c r="BE89" s="162"/>
      <c r="BF89" s="144"/>
      <c r="BG89" s="546"/>
      <c r="BH89" s="161"/>
      <c r="BI89" s="162"/>
      <c r="BJ89" s="162"/>
      <c r="BK89" s="144"/>
      <c r="BL89" s="546"/>
      <c r="BM89" s="161"/>
      <c r="BN89" s="162"/>
      <c r="BO89" s="162"/>
      <c r="BP89" s="144"/>
      <c r="BQ89" s="546"/>
      <c r="BR89" s="553"/>
      <c r="BS89" s="553"/>
      <c r="BT89" s="553"/>
      <c r="BU89" s="553"/>
      <c r="BV89" s="553"/>
      <c r="BW89" s="553"/>
      <c r="BX89" s="553"/>
      <c r="BY89" s="553"/>
      <c r="BZ89" s="553"/>
      <c r="CA89" s="553"/>
      <c r="CB89" s="553"/>
      <c r="CC89" s="553"/>
      <c r="CD89" s="553"/>
      <c r="CE89" s="553"/>
      <c r="CF89" s="553"/>
      <c r="CG89" s="553"/>
      <c r="CH89" s="553"/>
      <c r="CI89" s="553"/>
      <c r="CJ89" s="553"/>
      <c r="CK89" s="553"/>
      <c r="CL89" s="553"/>
      <c r="CM89" s="553"/>
      <c r="CN89" s="553"/>
      <c r="CO89" s="553"/>
      <c r="CP89" s="553"/>
      <c r="CQ89" s="553"/>
      <c r="CR89" s="553"/>
      <c r="CS89" s="553"/>
    </row>
    <row r="90" spans="1:97" s="50" customFormat="1">
      <c r="A90" s="553"/>
      <c r="B90" s="553"/>
      <c r="C90" s="541" t="s">
        <v>844</v>
      </c>
      <c r="D90" s="553"/>
      <c r="E90" s="161"/>
      <c r="F90" s="162"/>
      <c r="G90" s="162"/>
      <c r="H90" s="144"/>
      <c r="I90" s="544"/>
      <c r="J90" s="161"/>
      <c r="K90" s="162"/>
      <c r="L90" s="162"/>
      <c r="M90" s="144"/>
      <c r="N90" s="544"/>
      <c r="O90" s="161"/>
      <c r="P90" s="162"/>
      <c r="Q90" s="162"/>
      <c r="R90" s="144"/>
      <c r="S90" s="544"/>
      <c r="T90" s="161"/>
      <c r="U90" s="162"/>
      <c r="V90" s="162"/>
      <c r="W90" s="144"/>
      <c r="X90" s="544">
        <v>-3</v>
      </c>
      <c r="Y90" s="161">
        <f>(Y$99/AC$99)*AC90</f>
        <v>-4.0272217774219374</v>
      </c>
      <c r="Z90" s="162">
        <f>(Z$99/AC$99)*AC90</f>
        <v>-3.6861489191353081</v>
      </c>
      <c r="AA90" s="162">
        <f>(AA$99/AC$99)*AC90</f>
        <v>-4.3843074459567655</v>
      </c>
      <c r="AB90" s="144">
        <f>(AB$99/AC$99)*AC90</f>
        <v>-3.9023218574859886</v>
      </c>
      <c r="AC90" s="544">
        <v>-16</v>
      </c>
      <c r="AD90" s="161">
        <f>(AD$99/AH$99)*AH90</f>
        <v>-0.54533951919021506</v>
      </c>
      <c r="AE90" s="162">
        <f>(AE$99/AH$99)*AH90</f>
        <v>-0.47490510333192748</v>
      </c>
      <c r="AF90" s="162">
        <f>(AF$99/AH$99)*AH90</f>
        <v>-0.51665963728384645</v>
      </c>
      <c r="AG90" s="144">
        <f>(AG$99/AH$99)*AH90</f>
        <v>-0.46309574019401095</v>
      </c>
      <c r="AH90" s="544">
        <v>-2</v>
      </c>
      <c r="AI90" s="161">
        <f>(AI$99/AM$99)*AM90</f>
        <v>16.796133970039904</v>
      </c>
      <c r="AJ90" s="162">
        <f>(AJ$99/AM$99)*AM90</f>
        <v>14.637109962713415</v>
      </c>
      <c r="AK90" s="162">
        <f>(AK$99/AM$99)*AM90</f>
        <v>16.568162491005427</v>
      </c>
      <c r="AL90" s="144">
        <f>(AL$99/AM$99)*AM90</f>
        <v>13.498593576241253</v>
      </c>
      <c r="AM90" s="544">
        <v>61.5</v>
      </c>
      <c r="AN90" s="161">
        <f>(AN$99/AR$99)*AR90</f>
        <v>-2.4698907819047724</v>
      </c>
      <c r="AO90" s="162">
        <f>(AO$99/AR$99)*AR90</f>
        <v>-2.3382351323705719</v>
      </c>
      <c r="AP90" s="162">
        <f>(AP$99/AR$99)*AR90</f>
        <v>-2.8116235330348993</v>
      </c>
      <c r="AQ90" s="144">
        <f>(AQ$99/AR$99)*AR90</f>
        <v>-2.3802505526897564</v>
      </c>
      <c r="AR90" s="544">
        <v>-10</v>
      </c>
      <c r="AS90" s="161">
        <f>(AS$99/AW$99)*AW90</f>
        <v>-11.561636205395995</v>
      </c>
      <c r="AT90" s="162">
        <f>(AT$99/AW$99)*AW90</f>
        <v>-10.704003481288076</v>
      </c>
      <c r="AU90" s="162">
        <f>(AU$99/AW$99)*AW90</f>
        <v>-12.529817232375976</v>
      </c>
      <c r="AV90" s="144">
        <f>(AV$99/AW$99)*AW90</f>
        <v>-11.604543080939949</v>
      </c>
      <c r="AW90" s="544">
        <v>-46.4</v>
      </c>
      <c r="AX90" s="161"/>
      <c r="AY90" s="162"/>
      <c r="AZ90" s="162"/>
      <c r="BA90" s="144"/>
      <c r="BB90" s="546"/>
      <c r="BC90" s="161"/>
      <c r="BD90" s="162"/>
      <c r="BE90" s="162"/>
      <c r="BF90" s="144"/>
      <c r="BG90" s="546"/>
      <c r="BH90" s="161"/>
      <c r="BI90" s="162"/>
      <c r="BJ90" s="162"/>
      <c r="BK90" s="144"/>
      <c r="BL90" s="546"/>
      <c r="BM90" s="161"/>
      <c r="BN90" s="162"/>
      <c r="BO90" s="162"/>
      <c r="BP90" s="144"/>
      <c r="BQ90" s="546"/>
      <c r="BR90" s="553"/>
      <c r="BS90" s="553"/>
      <c r="BT90" s="553"/>
      <c r="BU90" s="553"/>
      <c r="BV90" s="553"/>
      <c r="BW90" s="553"/>
      <c r="BX90" s="553"/>
      <c r="BY90" s="553"/>
      <c r="BZ90" s="553"/>
      <c r="CA90" s="553"/>
      <c r="CB90" s="553"/>
      <c r="CC90" s="553"/>
      <c r="CD90" s="553"/>
      <c r="CE90" s="553"/>
      <c r="CF90" s="553"/>
      <c r="CG90" s="553"/>
      <c r="CH90" s="553"/>
      <c r="CI90" s="553"/>
      <c r="CJ90" s="553"/>
      <c r="CK90" s="553"/>
      <c r="CL90" s="553"/>
      <c r="CM90" s="553"/>
      <c r="CN90" s="553"/>
      <c r="CO90" s="553"/>
      <c r="CP90" s="553"/>
      <c r="CQ90" s="553"/>
      <c r="CR90" s="553"/>
      <c r="CS90" s="553"/>
    </row>
    <row r="91" spans="1:97">
      <c r="A91" s="541"/>
      <c r="B91" s="541"/>
      <c r="C91" s="541" t="s">
        <v>924</v>
      </c>
      <c r="D91" s="541"/>
      <c r="E91" s="161"/>
      <c r="F91" s="162"/>
      <c r="G91" s="162"/>
      <c r="H91" s="144"/>
      <c r="I91" s="544"/>
      <c r="J91" s="161"/>
      <c r="K91" s="162"/>
      <c r="L91" s="162"/>
      <c r="M91" s="144"/>
      <c r="N91" s="544"/>
      <c r="O91" s="161"/>
      <c r="P91" s="162"/>
      <c r="Q91" s="162"/>
      <c r="R91" s="144"/>
      <c r="S91" s="544"/>
      <c r="T91" s="161"/>
      <c r="U91" s="162"/>
      <c r="V91" s="162"/>
      <c r="W91" s="144"/>
      <c r="X91" s="544">
        <v>164</v>
      </c>
      <c r="Y91" s="161">
        <f>(Y99/AC99)*AC91</f>
        <v>43.292634107285828</v>
      </c>
      <c r="Z91" s="162">
        <f>(Z99/AC99)*AC91</f>
        <v>39.626100880704563</v>
      </c>
      <c r="AA91" s="162">
        <f>(AA99/AC99)*AC91</f>
        <v>47.13130504403523</v>
      </c>
      <c r="AB91" s="144">
        <f>(AB99/AC99)*AC91</f>
        <v>41.94995996797438</v>
      </c>
      <c r="AC91" s="544">
        <v>172</v>
      </c>
      <c r="AD91" s="161">
        <f>(AD99/AH99)*AH91</f>
        <v>49.625896246309573</v>
      </c>
      <c r="AE91" s="162">
        <f>(AE99/AH99)*AH91</f>
        <v>43.216364403205404</v>
      </c>
      <c r="AF91" s="162">
        <f>(AF99/AH99)*AH91</f>
        <v>47.016026992830028</v>
      </c>
      <c r="AG91" s="144">
        <f>(AG99/AH99)*AH91</f>
        <v>42.141712357654995</v>
      </c>
      <c r="AH91" s="544">
        <v>182</v>
      </c>
      <c r="AI91" s="161">
        <f>(AI99/AM99)*AM91</f>
        <v>48.449336037155753</v>
      </c>
      <c r="AJ91" s="162">
        <f>(AJ99/AM99)*AM91</f>
        <v>42.221517193257881</v>
      </c>
      <c r="AK91" s="162">
        <f>(AK99/AM99)*AM91</f>
        <v>47.791740258607526</v>
      </c>
      <c r="AL91" s="144">
        <f>(AL99/AM99)*AM91</f>
        <v>38.937406510978839</v>
      </c>
      <c r="AM91" s="544">
        <v>177.4</v>
      </c>
      <c r="AN91" s="161">
        <f>(AN99/AR99)*AR91</f>
        <v>42.704411619133516</v>
      </c>
      <c r="AO91" s="162">
        <f>(AO99/AR99)*AR91</f>
        <v>40.428085438687191</v>
      </c>
      <c r="AP91" s="162">
        <f>(AP99/AR99)*AR91</f>
        <v>48.612970886173407</v>
      </c>
      <c r="AQ91" s="144">
        <f>(AQ99/AR99)*AR91</f>
        <v>41.154532056005891</v>
      </c>
      <c r="AR91" s="544">
        <v>172.9</v>
      </c>
      <c r="AS91" s="161">
        <f>(AS99/AW99)*AW91</f>
        <v>45.200017406440381</v>
      </c>
      <c r="AT91" s="162">
        <f>(AT99/AW99)*AW91</f>
        <v>41.847117058311575</v>
      </c>
      <c r="AU91" s="162">
        <f>(AU99/AW99)*AW91</f>
        <v>48.985104438642288</v>
      </c>
      <c r="AV91" s="144">
        <f>(AV99/AW99)*AW91</f>
        <v>45.367761096605754</v>
      </c>
      <c r="AW91" s="544">
        <v>181.4</v>
      </c>
      <c r="AX91" s="149"/>
      <c r="AY91" s="156"/>
      <c r="AZ91" s="156"/>
      <c r="BA91" s="151"/>
      <c r="BB91" s="543"/>
      <c r="BC91" s="149"/>
      <c r="BD91" s="156"/>
      <c r="BE91" s="156"/>
      <c r="BF91" s="151"/>
      <c r="BG91" s="543"/>
      <c r="BH91" s="149"/>
      <c r="BI91" s="156"/>
      <c r="BJ91" s="156"/>
      <c r="BK91" s="151"/>
      <c r="BL91" s="543"/>
      <c r="BM91" s="149"/>
      <c r="BN91" s="156"/>
      <c r="BO91" s="156"/>
      <c r="BP91" s="151"/>
      <c r="BQ91" s="543"/>
      <c r="BR91" s="541"/>
      <c r="BS91" s="541"/>
      <c r="BT91" s="541"/>
      <c r="BU91" s="541"/>
      <c r="BV91" s="541"/>
      <c r="BW91" s="541"/>
      <c r="BX91" s="541"/>
      <c r="BY91" s="541"/>
      <c r="BZ91" s="541"/>
      <c r="CA91" s="541"/>
      <c r="CB91" s="541"/>
      <c r="CC91" s="541"/>
      <c r="CD91" s="541"/>
      <c r="CE91" s="541"/>
      <c r="CF91" s="541"/>
      <c r="CG91" s="541"/>
      <c r="CH91" s="541"/>
      <c r="CI91" s="541"/>
      <c r="CJ91" s="541"/>
      <c r="CK91" s="541"/>
      <c r="CL91" s="541"/>
      <c r="CM91" s="541"/>
      <c r="CN91" s="541"/>
      <c r="CO91" s="541"/>
      <c r="CP91" s="541"/>
      <c r="CQ91" s="541"/>
      <c r="CR91" s="541"/>
      <c r="CS91" s="541"/>
    </row>
    <row r="92" spans="1:97" s="56" customFormat="1">
      <c r="A92" s="545"/>
      <c r="B92" s="545"/>
      <c r="C92" s="545" t="s">
        <v>346</v>
      </c>
      <c r="D92" s="545"/>
      <c r="E92" s="149"/>
      <c r="F92" s="156"/>
      <c r="G92" s="156"/>
      <c r="H92" s="151"/>
      <c r="I92" s="489"/>
      <c r="J92" s="149"/>
      <c r="K92" s="156"/>
      <c r="L92" s="156"/>
      <c r="M92" s="151"/>
      <c r="N92" s="489"/>
      <c r="O92" s="149"/>
      <c r="P92" s="156"/>
      <c r="Q92" s="156"/>
      <c r="R92" s="151"/>
      <c r="S92" s="489"/>
      <c r="T92" s="149"/>
      <c r="U92" s="156"/>
      <c r="V92" s="156"/>
      <c r="W92" s="151"/>
      <c r="X92" s="489">
        <f t="shared" ref="X92:AF92" si="95">SUM(X86:X91)</f>
        <v>6966</v>
      </c>
      <c r="Y92" s="149">
        <f t="shared" si="95"/>
        <v>1865.862189751801</v>
      </c>
      <c r="Z92" s="156">
        <f t="shared" si="95"/>
        <v>1707.8388710968775</v>
      </c>
      <c r="AA92" s="156">
        <f t="shared" si="95"/>
        <v>2031.3044435548441</v>
      </c>
      <c r="AB92" s="151">
        <f t="shared" si="95"/>
        <v>1807.994495596477</v>
      </c>
      <c r="AC92" s="489">
        <f t="shared" si="95"/>
        <v>7413</v>
      </c>
      <c r="AD92" s="149">
        <f t="shared" si="95"/>
        <v>2073.3808519611975</v>
      </c>
      <c r="AE92" s="156">
        <f t="shared" si="95"/>
        <v>1805.5892028679882</v>
      </c>
      <c r="AF92" s="156">
        <f t="shared" si="95"/>
        <v>1964.3399409531844</v>
      </c>
      <c r="AG92" s="151">
        <f t="shared" ref="AG92:AM92" si="96">SUM(AG86:AG91)</f>
        <v>1760.6900042176296</v>
      </c>
      <c r="AH92" s="489">
        <f t="shared" si="96"/>
        <v>7604</v>
      </c>
      <c r="AI92" s="149">
        <f t="shared" si="96"/>
        <v>2099.7079217635901</v>
      </c>
      <c r="AJ92" s="156">
        <f t="shared" si="96"/>
        <v>1829.8053465907847</v>
      </c>
      <c r="AK92" s="156">
        <f t="shared" si="96"/>
        <v>2071.2088920869583</v>
      </c>
      <c r="AL92" s="151">
        <f t="shared" si="96"/>
        <v>1687.477839558667</v>
      </c>
      <c r="AM92" s="489">
        <f t="shared" si="96"/>
        <v>7688.2</v>
      </c>
      <c r="AN92" s="149">
        <f t="shared" ref="AN92:AR92" si="97">SUM(AN86:AN91)</f>
        <v>1911.3002826691891</v>
      </c>
      <c r="AO92" s="156">
        <f t="shared" si="97"/>
        <v>1809.4198748336432</v>
      </c>
      <c r="AP92" s="156">
        <f t="shared" si="97"/>
        <v>2175.7467548037266</v>
      </c>
      <c r="AQ92" s="151">
        <f t="shared" si="97"/>
        <v>1841.9330876934407</v>
      </c>
      <c r="AR92" s="489">
        <f t="shared" si="97"/>
        <v>7738.4</v>
      </c>
      <c r="AS92" s="149">
        <f t="shared" ref="AS92:AV92" si="98">SUM(AS86:AS91)</f>
        <v>1953.3185030461268</v>
      </c>
      <c r="AT92" s="156">
        <f t="shared" si="98"/>
        <v>1808.4229329852044</v>
      </c>
      <c r="AU92" s="156">
        <f t="shared" si="98"/>
        <v>2116.8910182767618</v>
      </c>
      <c r="AV92" s="151">
        <f t="shared" si="98"/>
        <v>1960.5675456919064</v>
      </c>
      <c r="AW92" s="489">
        <f t="shared" ref="AW92" si="99">SUM(AW86:AW91)</f>
        <v>7839.1999999999989</v>
      </c>
      <c r="AX92" s="149"/>
      <c r="AY92" s="156"/>
      <c r="AZ92" s="156"/>
      <c r="BA92" s="151"/>
      <c r="BB92" s="489"/>
      <c r="BC92" s="149"/>
      <c r="BD92" s="156"/>
      <c r="BE92" s="156"/>
      <c r="BF92" s="151"/>
      <c r="BG92" s="489"/>
      <c r="BH92" s="149"/>
      <c r="BI92" s="156"/>
      <c r="BJ92" s="156"/>
      <c r="BK92" s="151"/>
      <c r="BL92" s="489"/>
      <c r="BM92" s="149"/>
      <c r="BN92" s="156"/>
      <c r="BO92" s="156"/>
      <c r="BP92" s="151"/>
      <c r="BQ92" s="489"/>
      <c r="BR92" s="545"/>
      <c r="BS92" s="545"/>
      <c r="BT92" s="545"/>
      <c r="BU92" s="545"/>
      <c r="BV92" s="545"/>
      <c r="BW92" s="545"/>
      <c r="BX92" s="545"/>
      <c r="BY92" s="545"/>
      <c r="BZ92" s="545"/>
      <c r="CA92" s="545"/>
      <c r="CB92" s="545"/>
      <c r="CC92" s="545"/>
      <c r="CD92" s="545"/>
      <c r="CE92" s="545"/>
      <c r="CF92" s="545"/>
      <c r="CG92" s="545"/>
      <c r="CH92" s="545"/>
      <c r="CI92" s="545"/>
      <c r="CJ92" s="545"/>
      <c r="CK92" s="545"/>
      <c r="CL92" s="545"/>
      <c r="CM92" s="545"/>
      <c r="CN92" s="545"/>
      <c r="CO92" s="545"/>
      <c r="CP92" s="545"/>
      <c r="CQ92" s="545"/>
      <c r="CR92" s="545"/>
      <c r="CS92" s="545"/>
    </row>
    <row r="93" spans="1:97" s="50" customFormat="1">
      <c r="A93" s="553"/>
      <c r="B93" s="553"/>
      <c r="C93" s="541" t="s">
        <v>348</v>
      </c>
      <c r="D93" s="553"/>
      <c r="E93" s="161"/>
      <c r="F93" s="162"/>
      <c r="G93" s="162"/>
      <c r="H93" s="144"/>
      <c r="I93" s="544"/>
      <c r="J93" s="161"/>
      <c r="K93" s="162"/>
      <c r="L93" s="162"/>
      <c r="M93" s="144"/>
      <c r="N93" s="544"/>
      <c r="O93" s="161"/>
      <c r="P93" s="162"/>
      <c r="Q93" s="162"/>
      <c r="R93" s="144"/>
      <c r="S93" s="544"/>
      <c r="T93" s="161"/>
      <c r="U93" s="162"/>
      <c r="V93" s="162"/>
      <c r="W93" s="144"/>
      <c r="X93" s="544">
        <v>1583</v>
      </c>
      <c r="Y93" s="161">
        <f>(Y99/AC99)*AC93</f>
        <v>420.59297437950357</v>
      </c>
      <c r="Z93" s="162">
        <f>(Z99/AC99)*AC93</f>
        <v>384.97217774219376</v>
      </c>
      <c r="AA93" s="162">
        <f>(AA99/AC99)*AC93</f>
        <v>457.88610888710969</v>
      </c>
      <c r="AB93" s="144">
        <f>(AB99/AC99)*AC93</f>
        <v>407.54873899119292</v>
      </c>
      <c r="AC93" s="544">
        <v>1671</v>
      </c>
      <c r="AD93" s="161">
        <f>(AD99/AH99)*AH93</f>
        <v>417.18473218051452</v>
      </c>
      <c r="AE93" s="162">
        <f>(AE99/AH99)*AH93</f>
        <v>363.30240404892453</v>
      </c>
      <c r="AF93" s="162">
        <f>(AF99/AH99)*AH93</f>
        <v>395.24462252214255</v>
      </c>
      <c r="AG93" s="144">
        <f>(AG99/AH99)*AH93</f>
        <v>354.26824124841841</v>
      </c>
      <c r="AH93" s="544">
        <v>1530</v>
      </c>
      <c r="AI93" s="161">
        <f>(AI99/AM99)*AM93</f>
        <v>287.09099234643816</v>
      </c>
      <c r="AJ93" s="162">
        <f>(AJ99/AM99)*AM93</f>
        <v>250.18747955779418</v>
      </c>
      <c r="AK93" s="162">
        <f>(AK99/AM99)*AM93</f>
        <v>283.19434813894156</v>
      </c>
      <c r="AL93" s="144">
        <f>(AL99/AM99)*AM93</f>
        <v>230.72717995682612</v>
      </c>
      <c r="AM93" s="544">
        <v>1051.2</v>
      </c>
      <c r="AN93" s="161">
        <f>(AN99/AR99)*AR93</f>
        <v>227.60043555252477</v>
      </c>
      <c r="AO93" s="162">
        <f>(AO99/AR99)*AR93</f>
        <v>215.4683674479482</v>
      </c>
      <c r="AP93" s="162">
        <f>(AP99/AR99)*AR93</f>
        <v>259.09110856916595</v>
      </c>
      <c r="AQ93" s="144">
        <f>(AQ99/AR99)*AR93</f>
        <v>219.34008843036105</v>
      </c>
      <c r="AR93" s="544">
        <v>921.5</v>
      </c>
      <c r="AS93" s="161">
        <f>(AS99/AW99)*AW93</f>
        <v>226.09975630983462</v>
      </c>
      <c r="AT93" s="162">
        <f>(AT99/AW99)*AW93</f>
        <v>209.32786118363794</v>
      </c>
      <c r="AU93" s="162">
        <f>(AU99/AW99)*AW93</f>
        <v>245.03353785900779</v>
      </c>
      <c r="AV93" s="144">
        <f>(AV99/AW99)*AW93</f>
        <v>226.9388446475196</v>
      </c>
      <c r="AW93" s="544">
        <v>907.4</v>
      </c>
      <c r="AX93" s="161"/>
      <c r="AY93" s="162"/>
      <c r="AZ93" s="162"/>
      <c r="BA93" s="144"/>
      <c r="BB93" s="546"/>
      <c r="BC93" s="161"/>
      <c r="BD93" s="162"/>
      <c r="BE93" s="162"/>
      <c r="BF93" s="144"/>
      <c r="BG93" s="546"/>
      <c r="BH93" s="161"/>
      <c r="BI93" s="162"/>
      <c r="BJ93" s="162"/>
      <c r="BK93" s="144"/>
      <c r="BL93" s="546"/>
      <c r="BM93" s="161"/>
      <c r="BN93" s="162"/>
      <c r="BO93" s="162"/>
      <c r="BP93" s="144"/>
      <c r="BQ93" s="546"/>
      <c r="BR93" s="553"/>
      <c r="BS93" s="553"/>
      <c r="BT93" s="553"/>
      <c r="BU93" s="553"/>
      <c r="BV93" s="553"/>
      <c r="BW93" s="553"/>
      <c r="BX93" s="553"/>
      <c r="BY93" s="553"/>
      <c r="BZ93" s="553"/>
      <c r="CA93" s="553"/>
      <c r="CB93" s="553"/>
      <c r="CC93" s="553"/>
      <c r="CD93" s="553"/>
      <c r="CE93" s="553"/>
      <c r="CF93" s="553"/>
      <c r="CG93" s="553"/>
      <c r="CH93" s="553"/>
      <c r="CI93" s="553"/>
      <c r="CJ93" s="553"/>
      <c r="CK93" s="553"/>
      <c r="CL93" s="553"/>
      <c r="CM93" s="553"/>
      <c r="CN93" s="553"/>
      <c r="CO93" s="553"/>
      <c r="CP93" s="553"/>
      <c r="CQ93" s="553"/>
      <c r="CR93" s="553"/>
      <c r="CS93" s="553"/>
    </row>
    <row r="94" spans="1:97" s="50" customFormat="1">
      <c r="A94" s="553"/>
      <c r="B94" s="553"/>
      <c r="C94" s="541" t="s">
        <v>624</v>
      </c>
      <c r="D94" s="553"/>
      <c r="E94" s="161"/>
      <c r="F94" s="162"/>
      <c r="G94" s="162"/>
      <c r="H94" s="144"/>
      <c r="I94" s="544"/>
      <c r="J94" s="161"/>
      <c r="K94" s="162"/>
      <c r="L94" s="162"/>
      <c r="M94" s="144"/>
      <c r="N94" s="544"/>
      <c r="O94" s="161"/>
      <c r="P94" s="162"/>
      <c r="Q94" s="162"/>
      <c r="R94" s="144"/>
      <c r="S94" s="544"/>
      <c r="T94" s="161"/>
      <c r="U94" s="162"/>
      <c r="V94" s="162"/>
      <c r="W94" s="144"/>
      <c r="X94" s="544">
        <v>103</v>
      </c>
      <c r="Y94" s="161">
        <f>(Y99/AC99)*AC94</f>
        <v>33.476281024819855</v>
      </c>
      <c r="Z94" s="162">
        <f>(Z99/AC99)*AC94</f>
        <v>30.641112890312247</v>
      </c>
      <c r="AA94" s="162">
        <f>(AA99/AC99)*AC94</f>
        <v>36.44455564451561</v>
      </c>
      <c r="AB94" s="144">
        <f>(AB99/AC99)*AC94</f>
        <v>32.438050440352278</v>
      </c>
      <c r="AC94" s="544">
        <v>133</v>
      </c>
      <c r="AD94" s="161">
        <f>(AD99/AH99)*AH94</f>
        <v>30.811682834247151</v>
      </c>
      <c r="AE94" s="162">
        <f>(AE99/AH99)*AH94</f>
        <v>26.832138338253902</v>
      </c>
      <c r="AF94" s="162">
        <f>(AF99/AH99)*AH94</f>
        <v>29.191269506537324</v>
      </c>
      <c r="AG94" s="144">
        <f>(AG99/AH99)*AH94</f>
        <v>26.16490932096162</v>
      </c>
      <c r="AH94" s="544">
        <v>113</v>
      </c>
      <c r="AI94" s="161">
        <f>(AI99/AM99)*AM94</f>
        <v>52.491332504742587</v>
      </c>
      <c r="AJ94" s="162">
        <f>(AJ99/AM99)*AM94</f>
        <v>45.743943655829561</v>
      </c>
      <c r="AK94" s="162">
        <f>(AK99/AM99)*AM94</f>
        <v>51.778875297093379</v>
      </c>
      <c r="AL94" s="144">
        <f>(AL99/AM99)*AM94</f>
        <v>42.185848542334455</v>
      </c>
      <c r="AM94" s="544">
        <v>192.2</v>
      </c>
      <c r="AN94" s="161">
        <f>(AN99/AR99)*AR94</f>
        <v>48.953235297352585</v>
      </c>
      <c r="AO94" s="162">
        <f>(AO99/AR99)*AR94</f>
        <v>46.34382032358473</v>
      </c>
      <c r="AP94" s="162">
        <f>(AP99/AR99)*AR94</f>
        <v>55.726378424751701</v>
      </c>
      <c r="AQ94" s="144">
        <f>(AQ99/AR99)*AR94</f>
        <v>47.176565954310966</v>
      </c>
      <c r="AR94" s="544">
        <v>198.2</v>
      </c>
      <c r="AS94" s="161">
        <f>(AS99/AW99)*AW94</f>
        <v>50.382819843342034</v>
      </c>
      <c r="AT94" s="162">
        <f>(AT99/AW99)*AW94</f>
        <v>46.64546344647519</v>
      </c>
      <c r="AU94" s="162">
        <f>(AU99/AW99)*AW94</f>
        <v>54.601919060052204</v>
      </c>
      <c r="AV94" s="144">
        <f>(AV99/AW99)*AW94</f>
        <v>50.569797650130553</v>
      </c>
      <c r="AW94" s="544">
        <v>202.2</v>
      </c>
      <c r="AX94" s="161"/>
      <c r="AY94" s="162"/>
      <c r="AZ94" s="162"/>
      <c r="BA94" s="144"/>
      <c r="BB94" s="109"/>
      <c r="BC94" s="161"/>
      <c r="BD94" s="162"/>
      <c r="BE94" s="162"/>
      <c r="BF94" s="144"/>
      <c r="BG94" s="109"/>
      <c r="BH94" s="161"/>
      <c r="BI94" s="162"/>
      <c r="BJ94" s="162"/>
      <c r="BK94" s="144"/>
      <c r="BL94" s="109"/>
      <c r="BM94" s="161"/>
      <c r="BN94" s="162"/>
      <c r="BO94" s="162"/>
      <c r="BP94" s="144"/>
      <c r="BQ94" s="109"/>
      <c r="BR94" s="553"/>
      <c r="BS94" s="553"/>
      <c r="BT94" s="553"/>
      <c r="BU94" s="553"/>
      <c r="BV94" s="553"/>
      <c r="BW94" s="553"/>
      <c r="BX94" s="553"/>
      <c r="BY94" s="553"/>
      <c r="BZ94" s="553"/>
      <c r="CA94" s="553"/>
      <c r="CB94" s="553"/>
      <c r="CC94" s="553"/>
      <c r="CD94" s="553"/>
      <c r="CE94" s="553"/>
      <c r="CF94" s="553"/>
      <c r="CG94" s="553"/>
      <c r="CH94" s="553"/>
      <c r="CI94" s="553"/>
      <c r="CJ94" s="553"/>
      <c r="CK94" s="553"/>
      <c r="CL94" s="553"/>
      <c r="CM94" s="553"/>
      <c r="CN94" s="553"/>
      <c r="CO94" s="553"/>
      <c r="CP94" s="553"/>
      <c r="CQ94" s="553"/>
      <c r="CR94" s="553"/>
      <c r="CS94" s="553"/>
    </row>
    <row r="95" spans="1:97" s="56" customFormat="1">
      <c r="A95" s="545"/>
      <c r="B95" s="545"/>
      <c r="C95" s="545" t="s">
        <v>634</v>
      </c>
      <c r="D95" s="545"/>
      <c r="E95" s="149"/>
      <c r="F95" s="156"/>
      <c r="G95" s="156"/>
      <c r="H95" s="151"/>
      <c r="I95" s="489"/>
      <c r="J95" s="149"/>
      <c r="K95" s="156"/>
      <c r="L95" s="156"/>
      <c r="M95" s="151"/>
      <c r="N95" s="489"/>
      <c r="O95" s="149"/>
      <c r="P95" s="156"/>
      <c r="Q95" s="156"/>
      <c r="R95" s="151"/>
      <c r="S95" s="489"/>
      <c r="T95" s="149"/>
      <c r="U95" s="156"/>
      <c r="V95" s="156"/>
      <c r="W95" s="151"/>
      <c r="X95" s="489">
        <f t="shared" ref="X95:AF95" si="100">SUM(X92:X94)</f>
        <v>8652</v>
      </c>
      <c r="Y95" s="149">
        <f t="shared" si="100"/>
        <v>2319.9314451561245</v>
      </c>
      <c r="Z95" s="156">
        <f t="shared" si="100"/>
        <v>2123.4521617293835</v>
      </c>
      <c r="AA95" s="156">
        <f t="shared" si="100"/>
        <v>2525.6351080864692</v>
      </c>
      <c r="AB95" s="151">
        <f t="shared" si="100"/>
        <v>2247.9812850280218</v>
      </c>
      <c r="AC95" s="489">
        <f t="shared" si="100"/>
        <v>9217</v>
      </c>
      <c r="AD95" s="149">
        <f t="shared" si="100"/>
        <v>2521.3772669759592</v>
      </c>
      <c r="AE95" s="156">
        <f t="shared" si="100"/>
        <v>2195.7237452551667</v>
      </c>
      <c r="AF95" s="156">
        <f t="shared" si="100"/>
        <v>2388.7758329818644</v>
      </c>
      <c r="AG95" s="151">
        <f t="shared" ref="AG95:AM95" si="101">SUM(AG92:AG94)</f>
        <v>2141.1231547870098</v>
      </c>
      <c r="AH95" s="489">
        <f t="shared" si="101"/>
        <v>9247</v>
      </c>
      <c r="AI95" s="149">
        <f t="shared" si="101"/>
        <v>2439.2902466147711</v>
      </c>
      <c r="AJ95" s="156">
        <f t="shared" si="101"/>
        <v>2125.7367698044086</v>
      </c>
      <c r="AK95" s="156">
        <f t="shared" si="101"/>
        <v>2406.1821155229932</v>
      </c>
      <c r="AL95" s="151">
        <f t="shared" si="101"/>
        <v>1960.3908680578277</v>
      </c>
      <c r="AM95" s="489">
        <f t="shared" si="101"/>
        <v>8931.6</v>
      </c>
      <c r="AN95" s="149">
        <f t="shared" ref="AN95:AR95" si="102">SUM(AN92:AN94)</f>
        <v>2187.8539535190662</v>
      </c>
      <c r="AO95" s="156">
        <f t="shared" si="102"/>
        <v>2071.232062605176</v>
      </c>
      <c r="AP95" s="156">
        <f t="shared" si="102"/>
        <v>2490.5642417976442</v>
      </c>
      <c r="AQ95" s="151">
        <f t="shared" si="102"/>
        <v>2108.4497420781131</v>
      </c>
      <c r="AR95" s="489">
        <f t="shared" si="102"/>
        <v>8858.1</v>
      </c>
      <c r="AS95" s="149">
        <f t="shared" ref="AS95:AV95" si="103">SUM(AS92:AS94)</f>
        <v>2229.8010791993033</v>
      </c>
      <c r="AT95" s="156">
        <f t="shared" si="103"/>
        <v>2064.3962576153176</v>
      </c>
      <c r="AU95" s="156">
        <f t="shared" si="103"/>
        <v>2416.5264751958221</v>
      </c>
      <c r="AV95" s="151">
        <f t="shared" si="103"/>
        <v>2238.0761879895567</v>
      </c>
      <c r="AW95" s="489">
        <f t="shared" ref="AW95" si="104">SUM(AW92:AW94)</f>
        <v>8948.7999999999993</v>
      </c>
      <c r="AX95" s="149"/>
      <c r="AY95" s="156"/>
      <c r="AZ95" s="156"/>
      <c r="BA95" s="151"/>
      <c r="BB95" s="489"/>
      <c r="BC95" s="149"/>
      <c r="BD95" s="156"/>
      <c r="BE95" s="156"/>
      <c r="BF95" s="151"/>
      <c r="BG95" s="489"/>
      <c r="BH95" s="149"/>
      <c r="BI95" s="156"/>
      <c r="BJ95" s="156"/>
      <c r="BK95" s="151"/>
      <c r="BL95" s="489"/>
      <c r="BM95" s="149"/>
      <c r="BN95" s="156"/>
      <c r="BO95" s="156"/>
      <c r="BP95" s="151"/>
      <c r="BQ95" s="489"/>
      <c r="BR95" s="545"/>
      <c r="BS95" s="545"/>
      <c r="BT95" s="545"/>
      <c r="BU95" s="545"/>
      <c r="BV95" s="545"/>
      <c r="BW95" s="545"/>
      <c r="BX95" s="545"/>
      <c r="BY95" s="545"/>
      <c r="BZ95" s="545"/>
      <c r="CA95" s="545"/>
      <c r="CB95" s="545"/>
      <c r="CC95" s="545"/>
      <c r="CD95" s="545"/>
      <c r="CE95" s="545"/>
      <c r="CF95" s="545"/>
      <c r="CG95" s="545"/>
      <c r="CH95" s="545"/>
      <c r="CI95" s="545"/>
      <c r="CJ95" s="545"/>
      <c r="CK95" s="545"/>
      <c r="CL95" s="545"/>
      <c r="CM95" s="545"/>
      <c r="CN95" s="545"/>
      <c r="CO95" s="545"/>
      <c r="CP95" s="545"/>
      <c r="CQ95" s="545"/>
      <c r="CR95" s="545"/>
      <c r="CS95" s="545"/>
    </row>
    <row r="96" spans="1:97" s="50" customFormat="1">
      <c r="A96" s="553"/>
      <c r="B96" s="553"/>
      <c r="C96" s="541" t="s">
        <v>845</v>
      </c>
      <c r="D96" s="553"/>
      <c r="E96" s="161"/>
      <c r="F96" s="162"/>
      <c r="G96" s="162"/>
      <c r="H96" s="144"/>
      <c r="I96" s="544"/>
      <c r="J96" s="161"/>
      <c r="K96" s="162"/>
      <c r="L96" s="162"/>
      <c r="M96" s="144"/>
      <c r="N96" s="544"/>
      <c r="O96" s="161"/>
      <c r="P96" s="162"/>
      <c r="Q96" s="162"/>
      <c r="R96" s="144"/>
      <c r="S96" s="544"/>
      <c r="T96" s="161"/>
      <c r="U96" s="162"/>
      <c r="V96" s="162"/>
      <c r="W96" s="144"/>
      <c r="X96" s="544">
        <v>98</v>
      </c>
      <c r="Y96" s="161">
        <f>(Y$99/AC$99)*AC96</f>
        <v>22.6531224979984</v>
      </c>
      <c r="Z96" s="162">
        <f>(Z$99/AC$99)*AC96</f>
        <v>20.734587670136108</v>
      </c>
      <c r="AA96" s="162">
        <f>(AA$99/AC$99)*AC96</f>
        <v>24.661729383506806</v>
      </c>
      <c r="AB96" s="144">
        <f>(AB$99/AC$99)*AC96</f>
        <v>21.950560448358686</v>
      </c>
      <c r="AC96" s="544">
        <v>90</v>
      </c>
      <c r="AD96" s="161">
        <f>(AD$99/AH$99)*AH96</f>
        <v>34.083719949388438</v>
      </c>
      <c r="AE96" s="162">
        <f>(AE$99/AH$99)*AH96</f>
        <v>29.681568958245467</v>
      </c>
      <c r="AF96" s="162">
        <f>(AF$99/AH$99)*AH96</f>
        <v>32.291227330240403</v>
      </c>
      <c r="AG96" s="144">
        <f>(AG$99/AH$99)*AH96</f>
        <v>28.943483762125684</v>
      </c>
      <c r="AH96" s="544">
        <v>125</v>
      </c>
      <c r="AI96" s="161">
        <f>(AI$99/AM$99)*AM96</f>
        <v>30.151108785242364</v>
      </c>
      <c r="AJ96" s="162">
        <f>(AJ$99/AM$99)*AM96</f>
        <v>26.275397396480667</v>
      </c>
      <c r="AK96" s="162">
        <f>(AK$99/AM$99)*AM96</f>
        <v>29.741872178975598</v>
      </c>
      <c r="AL96" s="144">
        <f>(AL$99/AM$99)*AM96</f>
        <v>24.231621639301373</v>
      </c>
      <c r="AM96" s="544">
        <v>110.4</v>
      </c>
      <c r="AN96" s="161">
        <f>(AN$99/AR$99)*AR96</f>
        <v>28.280249452809645</v>
      </c>
      <c r="AO96" s="162">
        <f>(AO$99/AR$99)*AR96</f>
        <v>26.772792265643048</v>
      </c>
      <c r="AP96" s="162">
        <f>(AP$99/AR$99)*AR96</f>
        <v>32.193089453249598</v>
      </c>
      <c r="AQ96" s="144">
        <f>(AQ$99/AR$99)*AR96</f>
        <v>27.253868828297708</v>
      </c>
      <c r="AR96" s="544">
        <v>114.5</v>
      </c>
      <c r="AS96" s="161">
        <f>(AS$99/AW$99)*AW96</f>
        <v>26.437275892080066</v>
      </c>
      <c r="AT96" s="162">
        <f>(AT$99/AW$99)*AW96</f>
        <v>24.476180374238467</v>
      </c>
      <c r="AU96" s="162">
        <f>(AU$99/AW$99)*AW96</f>
        <v>28.651155352480412</v>
      </c>
      <c r="AV96" s="144">
        <f>(AV$99/AW$99)*AW96</f>
        <v>26.535388381201045</v>
      </c>
      <c r="AW96" s="544">
        <v>106.1</v>
      </c>
      <c r="AX96" s="161"/>
      <c r="AY96" s="162"/>
      <c r="AZ96" s="162"/>
      <c r="BA96" s="144"/>
      <c r="BB96" s="546"/>
      <c r="BC96" s="161"/>
      <c r="BD96" s="162"/>
      <c r="BE96" s="162"/>
      <c r="BF96" s="144"/>
      <c r="BG96" s="546"/>
      <c r="BH96" s="161"/>
      <c r="BI96" s="162"/>
      <c r="BJ96" s="162"/>
      <c r="BK96" s="144"/>
      <c r="BL96" s="546"/>
      <c r="BM96" s="161"/>
      <c r="BN96" s="162"/>
      <c r="BO96" s="162"/>
      <c r="BP96" s="144"/>
      <c r="BQ96" s="546"/>
      <c r="BR96" s="553"/>
      <c r="BS96" s="553"/>
      <c r="BT96" s="553"/>
      <c r="BU96" s="553"/>
      <c r="BV96" s="553"/>
      <c r="BW96" s="553"/>
      <c r="BX96" s="553"/>
      <c r="BY96" s="553"/>
      <c r="BZ96" s="553"/>
      <c r="CA96" s="553"/>
      <c r="CB96" s="553"/>
      <c r="CC96" s="553"/>
      <c r="CD96" s="553"/>
      <c r="CE96" s="553"/>
      <c r="CF96" s="553"/>
      <c r="CG96" s="553"/>
      <c r="CH96" s="553"/>
      <c r="CI96" s="553"/>
      <c r="CJ96" s="553"/>
      <c r="CK96" s="553"/>
      <c r="CL96" s="553"/>
      <c r="CM96" s="553"/>
      <c r="CN96" s="553"/>
      <c r="CO96" s="553"/>
      <c r="CP96" s="553"/>
      <c r="CQ96" s="553"/>
      <c r="CR96" s="553"/>
      <c r="CS96" s="553"/>
    </row>
    <row r="97" spans="1:99" s="50" customFormat="1">
      <c r="A97" s="553"/>
      <c r="B97" s="553"/>
      <c r="C97" s="541" t="s">
        <v>846</v>
      </c>
      <c r="D97" s="553"/>
      <c r="E97" s="161"/>
      <c r="F97" s="162"/>
      <c r="G97" s="162"/>
      <c r="H97" s="144"/>
      <c r="I97" s="544"/>
      <c r="J97" s="161"/>
      <c r="K97" s="162"/>
      <c r="L97" s="162"/>
      <c r="M97" s="144"/>
      <c r="N97" s="544"/>
      <c r="O97" s="161"/>
      <c r="P97" s="162"/>
      <c r="Q97" s="162"/>
      <c r="R97" s="144"/>
      <c r="S97" s="544"/>
      <c r="T97" s="161"/>
      <c r="U97" s="162"/>
      <c r="V97" s="162"/>
      <c r="W97" s="144"/>
      <c r="X97" s="544">
        <v>35</v>
      </c>
      <c r="Y97" s="161">
        <f>(Y$99/AC$99)*AC97</f>
        <v>9.816353082465973</v>
      </c>
      <c r="Z97" s="162">
        <f>(Z$99/AC$99)*AC97</f>
        <v>8.9849879903923142</v>
      </c>
      <c r="AA97" s="162">
        <f>(AA$99/AC$99)*AC97</f>
        <v>10.686749399519616</v>
      </c>
      <c r="AB97" s="144">
        <f>(AB$99/AC$99)*AC97</f>
        <v>9.5119095276220964</v>
      </c>
      <c r="AC97" s="544">
        <v>39</v>
      </c>
      <c r="AD97" s="161">
        <f>(AD$99/AH$99)*AH97</f>
        <v>6.816743989877688</v>
      </c>
      <c r="AE97" s="162">
        <f>(AE$99/AH$99)*AH97</f>
        <v>5.9363137916490931</v>
      </c>
      <c r="AF97" s="162">
        <f>(AF$99/AH$99)*AH97</f>
        <v>6.4582454660480808</v>
      </c>
      <c r="AG97" s="144">
        <f>(AG$99/AH$99)*AH97</f>
        <v>5.7886967524251371</v>
      </c>
      <c r="AH97" s="544">
        <v>25</v>
      </c>
      <c r="AI97" s="161">
        <f>(AI$99/AM$99)*AM97</f>
        <v>7.6197095571400535</v>
      </c>
      <c r="AJ97" s="162">
        <f>(AJ$99/AM$99)*AM97</f>
        <v>6.6402498855236463</v>
      </c>
      <c r="AK97" s="162">
        <f>(AK$99/AM$99)*AM97</f>
        <v>7.5162883495780708</v>
      </c>
      <c r="AL97" s="144">
        <f>(AL$99/AM$99)*AM97</f>
        <v>6.1237522077582272</v>
      </c>
      <c r="AM97" s="544">
        <v>27.9</v>
      </c>
      <c r="AN97" s="161">
        <f>(AN$99/AR$99)*AR97</f>
        <v>9.8548642198000422</v>
      </c>
      <c r="AO97" s="162">
        <f>(AO$99/AR$99)*AR97</f>
        <v>9.3295581781585817</v>
      </c>
      <c r="AP97" s="162">
        <f>(AP$99/AR$99)*AR97</f>
        <v>11.218377896809248</v>
      </c>
      <c r="AQ97" s="144">
        <f>(AQ$99/AR$99)*AR97</f>
        <v>9.4971997052321271</v>
      </c>
      <c r="AR97" s="544">
        <v>39.9</v>
      </c>
      <c r="AS97" s="161">
        <f>(AS$99/AW$99)*AW97</f>
        <v>10.016762402088773</v>
      </c>
      <c r="AT97" s="162">
        <f>(AT$99/AW$99)*AW97</f>
        <v>9.2737271540469983</v>
      </c>
      <c r="AU97" s="162">
        <f>(AU$99/AW$99)*AW97</f>
        <v>10.855574412532636</v>
      </c>
      <c r="AV97" s="144">
        <f>(AV$99/AW$99)*AW97</f>
        <v>10.053936031331595</v>
      </c>
      <c r="AW97" s="544">
        <v>40.200000000000003</v>
      </c>
      <c r="AX97" s="161"/>
      <c r="AY97" s="162"/>
      <c r="AZ97" s="162"/>
      <c r="BA97" s="144"/>
      <c r="BB97" s="546"/>
      <c r="BC97" s="161"/>
      <c r="BD97" s="162"/>
      <c r="BE97" s="162"/>
      <c r="BF97" s="144"/>
      <c r="BG97" s="546"/>
      <c r="BH97" s="161"/>
      <c r="BI97" s="162"/>
      <c r="BJ97" s="162"/>
      <c r="BK97" s="144"/>
      <c r="BL97" s="546"/>
      <c r="BM97" s="161"/>
      <c r="BN97" s="162"/>
      <c r="BO97" s="162"/>
      <c r="BP97" s="144"/>
      <c r="BQ97" s="546"/>
      <c r="BR97" s="553"/>
      <c r="BS97" s="553"/>
      <c r="BT97" s="553"/>
      <c r="BU97" s="553"/>
      <c r="BV97" s="553"/>
      <c r="BW97" s="553"/>
      <c r="BX97" s="553"/>
      <c r="BY97" s="553"/>
      <c r="BZ97" s="553"/>
      <c r="CA97" s="553"/>
      <c r="CB97" s="553"/>
      <c r="CC97" s="553"/>
      <c r="CD97" s="553"/>
      <c r="CE97" s="553"/>
      <c r="CF97" s="553"/>
      <c r="CG97" s="553"/>
      <c r="CH97" s="553"/>
      <c r="CI97" s="553"/>
      <c r="CJ97" s="553"/>
      <c r="CK97" s="553"/>
      <c r="CL97" s="553"/>
      <c r="CM97" s="553"/>
      <c r="CN97" s="553"/>
      <c r="CO97" s="553"/>
      <c r="CP97" s="553"/>
      <c r="CQ97" s="553"/>
      <c r="CR97" s="553"/>
      <c r="CS97" s="553"/>
    </row>
    <row r="98" spans="1:99" s="50" customFormat="1">
      <c r="A98" s="553"/>
      <c r="B98" s="553"/>
      <c r="C98" s="541" t="s">
        <v>847</v>
      </c>
      <c r="D98" s="553"/>
      <c r="E98" s="161"/>
      <c r="F98" s="162"/>
      <c r="G98" s="162"/>
      <c r="H98" s="144"/>
      <c r="I98" s="544"/>
      <c r="J98" s="161"/>
      <c r="K98" s="162"/>
      <c r="L98" s="162"/>
      <c r="M98" s="144"/>
      <c r="N98" s="544"/>
      <c r="O98" s="161"/>
      <c r="P98" s="162"/>
      <c r="Q98" s="162"/>
      <c r="R98" s="144"/>
      <c r="S98" s="544"/>
      <c r="T98" s="161"/>
      <c r="U98" s="162"/>
      <c r="V98" s="162"/>
      <c r="W98" s="144"/>
      <c r="X98" s="1216">
        <f>+X99-SUM(X95:X97)</f>
        <v>633</v>
      </c>
      <c r="Y98" s="161">
        <f>(Y$99/AC$99)*AC98</f>
        <v>162.59907926341072</v>
      </c>
      <c r="Z98" s="162">
        <f>(Z$99/AC$99)*AC98</f>
        <v>148.82826261008807</v>
      </c>
      <c r="AA98" s="162">
        <f>(AA$99/AC$99)*AC98</f>
        <v>177.01641313050442</v>
      </c>
      <c r="AB98" s="144">
        <f>(AB$99/AC$99)*AC98</f>
        <v>157.55624499599679</v>
      </c>
      <c r="AC98" s="1216">
        <f>+AC99-SUM(AC95:AC97)</f>
        <v>646</v>
      </c>
      <c r="AD98" s="161">
        <f>(AD$99/AH$99)*AH98</f>
        <v>23.722269084774354</v>
      </c>
      <c r="AE98" s="162">
        <f>(AE$99/AH$99)*AH98</f>
        <v>20.658371994938847</v>
      </c>
      <c r="AF98" s="162">
        <f>(AF$99/AH$99)*AH98</f>
        <v>22.474694221847322</v>
      </c>
      <c r="AG98" s="144">
        <f>(AG$99/AH$99)*AH98</f>
        <v>20.144664698439477</v>
      </c>
      <c r="AH98" s="1216">
        <f>+AH99-SUM(AH95:AH97)</f>
        <v>87</v>
      </c>
      <c r="AI98" s="161">
        <f>(AI$99/AM$99)*AM98</f>
        <v>27.938935042847159</v>
      </c>
      <c r="AJ98" s="162">
        <f>(AJ$99/AM$99)*AM98</f>
        <v>24.347582913586965</v>
      </c>
      <c r="AK98" s="162">
        <f>(AK$99/AM$99)*AM98</f>
        <v>27.559723948453222</v>
      </c>
      <c r="AL98" s="144">
        <f>(AL$99/AM$99)*AM98</f>
        <v>22.453758095113741</v>
      </c>
      <c r="AM98" s="1216">
        <f>+AM99-SUM(AM95:AM97)</f>
        <v>102.30000000000109</v>
      </c>
      <c r="AN98" s="161">
        <f>(AN$99/AR$99)*AR98</f>
        <v>19.610932808323803</v>
      </c>
      <c r="AO98" s="162">
        <f>(AO$99/AR$99)*AR98</f>
        <v>18.565586951022254</v>
      </c>
      <c r="AP98" s="162">
        <f>(AP$99/AR$99)*AR98</f>
        <v>22.324290852296997</v>
      </c>
      <c r="AQ98" s="144">
        <f>(AQ$99/AR$99)*AR98</f>
        <v>18.899189388356579</v>
      </c>
      <c r="AR98" s="1216">
        <f>+AR99-SUM(AR95:AR97)</f>
        <v>79.399999999999636</v>
      </c>
      <c r="AS98" s="161">
        <f>(AS$99/AW$99)*AW98</f>
        <v>24.144882506527324</v>
      </c>
      <c r="AT98" s="162">
        <f>(AT$99/AW$99)*AW98</f>
        <v>22.35383485639678</v>
      </c>
      <c r="AU98" s="162">
        <f>(AU$99/AW$99)*AW98</f>
        <v>26.166795039164388</v>
      </c>
      <c r="AV98" s="144">
        <f>(AV$99/AW$99)*AW98</f>
        <v>24.234487597911141</v>
      </c>
      <c r="AW98" s="1216">
        <f>+AW99-SUM(AW95:AW97)</f>
        <v>96.899999999999636</v>
      </c>
      <c r="AX98" s="161"/>
      <c r="AY98" s="162"/>
      <c r="AZ98" s="162"/>
      <c r="BA98" s="144"/>
      <c r="BB98" s="546"/>
      <c r="BC98" s="161"/>
      <c r="BD98" s="162"/>
      <c r="BE98" s="162"/>
      <c r="BF98" s="144"/>
      <c r="BG98" s="546"/>
      <c r="BH98" s="161"/>
      <c r="BI98" s="162"/>
      <c r="BJ98" s="162"/>
      <c r="BK98" s="144"/>
      <c r="BL98" s="546"/>
      <c r="BM98" s="161"/>
      <c r="BN98" s="162"/>
      <c r="BO98" s="162"/>
      <c r="BP98" s="144"/>
      <c r="BQ98" s="546"/>
      <c r="BR98" s="553"/>
      <c r="BS98" s="553"/>
      <c r="BT98" s="553"/>
      <c r="BU98" s="553"/>
      <c r="BV98" s="553"/>
      <c r="BW98" s="553"/>
      <c r="BX98" s="553"/>
      <c r="BY98" s="553"/>
      <c r="BZ98" s="553"/>
      <c r="CA98" s="553"/>
      <c r="CB98" s="553"/>
      <c r="CC98" s="553"/>
      <c r="CD98" s="553"/>
      <c r="CE98" s="553"/>
      <c r="CF98" s="553"/>
      <c r="CG98" s="553"/>
      <c r="CH98" s="553"/>
      <c r="CI98" s="553"/>
      <c r="CJ98" s="553"/>
      <c r="CK98" s="553"/>
      <c r="CL98" s="553"/>
      <c r="CM98" s="553"/>
      <c r="CN98" s="553"/>
      <c r="CO98" s="553"/>
      <c r="CP98" s="553"/>
      <c r="CQ98" s="553"/>
      <c r="CR98" s="553"/>
      <c r="CS98" s="553"/>
    </row>
    <row r="99" spans="1:99" s="56" customFormat="1">
      <c r="A99" s="545"/>
      <c r="B99" s="545"/>
      <c r="C99" s="545" t="s">
        <v>635</v>
      </c>
      <c r="D99" s="545"/>
      <c r="E99" s="149"/>
      <c r="F99" s="156"/>
      <c r="G99" s="156"/>
      <c r="H99" s="151"/>
      <c r="I99" s="489"/>
      <c r="J99" s="149"/>
      <c r="K99" s="156"/>
      <c r="L99" s="156"/>
      <c r="M99" s="151"/>
      <c r="N99" s="489"/>
      <c r="O99" s="149"/>
      <c r="P99" s="156"/>
      <c r="Q99" s="156"/>
      <c r="R99" s="151"/>
      <c r="S99" s="489"/>
      <c r="T99" s="149"/>
      <c r="U99" s="156"/>
      <c r="V99" s="156"/>
      <c r="W99" s="151"/>
      <c r="X99" s="489">
        <f t="shared" ref="X99:AF99" si="105">X8</f>
        <v>9418</v>
      </c>
      <c r="Y99" s="149">
        <f t="shared" si="105"/>
        <v>2515</v>
      </c>
      <c r="Z99" s="156">
        <f t="shared" si="105"/>
        <v>2302</v>
      </c>
      <c r="AA99" s="156">
        <f t="shared" si="105"/>
        <v>2738</v>
      </c>
      <c r="AB99" s="151">
        <f t="shared" si="105"/>
        <v>2437</v>
      </c>
      <c r="AC99" s="489">
        <f t="shared" si="105"/>
        <v>9992</v>
      </c>
      <c r="AD99" s="149">
        <f t="shared" si="105"/>
        <v>2586</v>
      </c>
      <c r="AE99" s="156">
        <f t="shared" si="105"/>
        <v>2252</v>
      </c>
      <c r="AF99" s="156">
        <f t="shared" si="105"/>
        <v>2450</v>
      </c>
      <c r="AG99" s="151">
        <f t="shared" ref="AG99:AM99" si="106">AG8</f>
        <v>2196</v>
      </c>
      <c r="AH99" s="489">
        <f t="shared" si="106"/>
        <v>9484</v>
      </c>
      <c r="AI99" s="149">
        <f t="shared" si="106"/>
        <v>2505</v>
      </c>
      <c r="AJ99" s="156">
        <f t="shared" si="106"/>
        <v>2183</v>
      </c>
      <c r="AK99" s="156">
        <f t="shared" si="106"/>
        <v>2471</v>
      </c>
      <c r="AL99" s="151">
        <f t="shared" si="106"/>
        <v>2013.2000000000007</v>
      </c>
      <c r="AM99" s="489">
        <f t="shared" si="106"/>
        <v>9172.2000000000007</v>
      </c>
      <c r="AN99" s="149">
        <f t="shared" ref="AN99:AR99" si="107">AN8</f>
        <v>2245.6</v>
      </c>
      <c r="AO99" s="156">
        <f t="shared" si="107"/>
        <v>2125.9</v>
      </c>
      <c r="AP99" s="156">
        <f t="shared" si="107"/>
        <v>2556.3000000000002</v>
      </c>
      <c r="AQ99" s="151">
        <f t="shared" si="107"/>
        <v>2164.0999999999995</v>
      </c>
      <c r="AR99" s="489">
        <f t="shared" si="107"/>
        <v>9091.9</v>
      </c>
      <c r="AS99" s="149">
        <f t="shared" ref="AS99:AV99" si="108">AS8</f>
        <v>2290.4</v>
      </c>
      <c r="AT99" s="156">
        <f t="shared" si="108"/>
        <v>2120.5</v>
      </c>
      <c r="AU99" s="156">
        <f t="shared" si="108"/>
        <v>2482.1999999999998</v>
      </c>
      <c r="AV99" s="151">
        <f t="shared" si="108"/>
        <v>2298.9000000000005</v>
      </c>
      <c r="AW99" s="489">
        <f t="shared" ref="AW99" si="109">AW8</f>
        <v>9192</v>
      </c>
      <c r="AX99" s="149">
        <f>+AX108*AX114/1000</f>
        <v>2352.4091446539701</v>
      </c>
      <c r="AY99" s="156">
        <f>+AY108*AY114/1000</f>
        <v>2126.9382137312946</v>
      </c>
      <c r="AZ99" s="156">
        <f>+AZ108*AZ114/1000</f>
        <v>2523.562842984094</v>
      </c>
      <c r="BA99" s="151">
        <f>+BA108*BA114/1000</f>
        <v>2264.2927785765701</v>
      </c>
      <c r="BB99" s="489">
        <f>SUM(AX99:BA99)</f>
        <v>9267.2029799459287</v>
      </c>
      <c r="BC99" s="149">
        <f>+BC108*BC114/1000</f>
        <v>2435.6671446539699</v>
      </c>
      <c r="BD99" s="156">
        <f>+BD108*BD114/1000</f>
        <v>2177.1595470646275</v>
      </c>
      <c r="BE99" s="156">
        <f>+BE108*BE114/1000</f>
        <v>2571.3628429840937</v>
      </c>
      <c r="BF99" s="151">
        <f>+BF108*BF114/1000</f>
        <v>2304.1927785765702</v>
      </c>
      <c r="BG99" s="489">
        <f>SUM(BC99:BF99)</f>
        <v>9488.3823132792604</v>
      </c>
      <c r="BH99" s="149">
        <f>+BH108*BH114/1000</f>
        <v>2486.6671446539704</v>
      </c>
      <c r="BI99" s="156">
        <f>+BI108*BI114/1000</f>
        <v>2229.742880397961</v>
      </c>
      <c r="BJ99" s="156">
        <f>+BJ108*BJ114/1000</f>
        <v>2638.9128429840935</v>
      </c>
      <c r="BK99" s="151">
        <f>+BK108*BK114/1000</f>
        <v>2360.3927785765695</v>
      </c>
      <c r="BL99" s="489">
        <f>SUM(BH99:BK99)</f>
        <v>9715.7156466125944</v>
      </c>
      <c r="BM99" s="149">
        <f>+BM108*BM114/1000</f>
        <v>2599.153855180286</v>
      </c>
      <c r="BN99" s="156">
        <f>+BN108*BN114/1000</f>
        <v>2339.6962575909429</v>
      </c>
      <c r="BO99" s="156">
        <f>+BO108*BO114/1000</f>
        <v>2750.6495535104095</v>
      </c>
      <c r="BP99" s="151">
        <f>+BP108*BP114/1000</f>
        <v>2463.8294891028854</v>
      </c>
      <c r="BQ99" s="489">
        <f>SUM(BM99:BP99)</f>
        <v>10153.329155384523</v>
      </c>
      <c r="BR99" s="545"/>
      <c r="BS99" s="545"/>
      <c r="BT99" s="545"/>
      <c r="BU99" s="545"/>
      <c r="BV99" s="545"/>
      <c r="BW99" s="545"/>
      <c r="BX99" s="545"/>
      <c r="BY99" s="545"/>
      <c r="BZ99" s="545"/>
      <c r="CA99" s="545"/>
      <c r="CB99" s="545"/>
      <c r="CC99" s="545"/>
      <c r="CD99" s="545"/>
      <c r="CE99" s="545"/>
      <c r="CF99" s="545"/>
      <c r="CG99" s="545"/>
      <c r="CH99" s="545"/>
      <c r="CI99" s="545"/>
      <c r="CJ99" s="545"/>
      <c r="CK99" s="545"/>
      <c r="CL99" s="545"/>
      <c r="CM99" s="545"/>
      <c r="CN99" s="545"/>
      <c r="CO99" s="545"/>
      <c r="CP99" s="545"/>
      <c r="CQ99" s="545"/>
      <c r="CR99" s="545"/>
      <c r="CS99" s="545"/>
    </row>
    <row r="100" spans="1:99">
      <c r="A100" s="541"/>
      <c r="B100" s="541"/>
      <c r="C100" s="541"/>
      <c r="D100" s="541"/>
      <c r="E100" s="161"/>
      <c r="F100" s="162"/>
      <c r="G100" s="162"/>
      <c r="H100" s="144"/>
      <c r="I100" s="546"/>
      <c r="J100" s="161"/>
      <c r="K100" s="162"/>
      <c r="L100" s="162"/>
      <c r="M100" s="144"/>
      <c r="N100" s="546"/>
      <c r="O100" s="161"/>
      <c r="P100" s="162"/>
      <c r="Q100" s="162"/>
      <c r="R100" s="144"/>
      <c r="S100" s="546"/>
      <c r="T100" s="161"/>
      <c r="U100" s="162"/>
      <c r="V100" s="162"/>
      <c r="W100" s="144"/>
      <c r="X100" s="546"/>
      <c r="Y100" s="161"/>
      <c r="Z100" s="162"/>
      <c r="AA100" s="162"/>
      <c r="AB100" s="144"/>
      <c r="AC100" s="546"/>
      <c r="AD100" s="161"/>
      <c r="AE100" s="162"/>
      <c r="AF100" s="162"/>
      <c r="AG100" s="144"/>
      <c r="AH100" s="546"/>
      <c r="AI100" s="161"/>
      <c r="AJ100" s="162"/>
      <c r="AK100" s="162"/>
      <c r="AL100" s="144"/>
      <c r="AM100" s="546"/>
      <c r="AN100" s="161"/>
      <c r="AO100" s="162"/>
      <c r="AP100" s="162"/>
      <c r="AQ100" s="144"/>
      <c r="AR100" s="546"/>
      <c r="AS100" s="161"/>
      <c r="AT100" s="162"/>
      <c r="AU100" s="162"/>
      <c r="AV100" s="144"/>
      <c r="AW100" s="546"/>
      <c r="AX100" s="161"/>
      <c r="AY100" s="162"/>
      <c r="AZ100" s="162"/>
      <c r="BA100" s="144"/>
      <c r="BB100" s="546"/>
      <c r="BC100" s="161"/>
      <c r="BD100" s="162"/>
      <c r="BE100" s="162"/>
      <c r="BF100" s="144"/>
      <c r="BG100" s="546"/>
      <c r="BH100" s="161"/>
      <c r="BI100" s="162"/>
      <c r="BJ100" s="162"/>
      <c r="BK100" s="144"/>
      <c r="BL100" s="546"/>
      <c r="BM100" s="161"/>
      <c r="BN100" s="162"/>
      <c r="BO100" s="162"/>
      <c r="BP100" s="144"/>
      <c r="BQ100" s="546"/>
      <c r="BR100" s="541"/>
      <c r="BS100" s="541"/>
      <c r="BT100" s="541"/>
      <c r="BU100" s="541"/>
      <c r="BV100" s="541"/>
      <c r="BW100" s="541"/>
      <c r="BX100" s="541"/>
      <c r="BY100" s="541"/>
      <c r="BZ100" s="541"/>
      <c r="CA100" s="541"/>
      <c r="CB100" s="541"/>
      <c r="CC100" s="541"/>
      <c r="CD100" s="541"/>
      <c r="CE100" s="541"/>
      <c r="CF100" s="541"/>
      <c r="CG100" s="541"/>
      <c r="CH100" s="541"/>
      <c r="CI100" s="541"/>
      <c r="CJ100" s="541"/>
      <c r="CK100" s="541"/>
      <c r="CL100" s="541"/>
      <c r="CM100" s="541"/>
      <c r="CN100" s="541"/>
      <c r="CO100" s="541"/>
      <c r="CP100" s="541"/>
      <c r="CQ100" s="541"/>
      <c r="CR100" s="541"/>
      <c r="CS100" s="541"/>
    </row>
    <row r="101" spans="1:99">
      <c r="A101" s="74"/>
      <c r="B101" s="74"/>
      <c r="C101" s="515" t="s">
        <v>205</v>
      </c>
      <c r="D101" s="72"/>
      <c r="E101" s="149"/>
      <c r="F101" s="156"/>
      <c r="G101" s="156"/>
      <c r="H101" s="151"/>
      <c r="I101" s="546"/>
      <c r="J101" s="161"/>
      <c r="K101" s="162"/>
      <c r="L101" s="162"/>
      <c r="M101" s="144"/>
      <c r="N101" s="546"/>
      <c r="O101" s="161"/>
      <c r="P101" s="162"/>
      <c r="Q101" s="162"/>
      <c r="R101" s="151"/>
      <c r="S101" s="112"/>
      <c r="T101" s="161"/>
      <c r="U101" s="162"/>
      <c r="V101" s="162"/>
      <c r="W101" s="151"/>
      <c r="X101" s="112"/>
      <c r="Y101" s="161"/>
      <c r="Z101" s="156"/>
      <c r="AA101" s="156"/>
      <c r="AB101" s="151"/>
      <c r="AC101" s="112"/>
      <c r="AD101" s="149"/>
      <c r="AE101" s="156"/>
      <c r="AF101" s="156"/>
      <c r="AG101" s="151"/>
      <c r="AH101" s="112"/>
      <c r="AI101" s="149"/>
      <c r="AJ101" s="156"/>
      <c r="AK101" s="156"/>
      <c r="AL101" s="151"/>
      <c r="AM101" s="112"/>
      <c r="AN101" s="149"/>
      <c r="AO101" s="156"/>
      <c r="AP101" s="156"/>
      <c r="AQ101" s="151"/>
      <c r="AR101" s="112"/>
      <c r="AS101" s="149"/>
      <c r="AT101" s="156"/>
      <c r="AU101" s="156"/>
      <c r="AV101" s="151"/>
      <c r="AW101" s="112"/>
      <c r="AX101" s="149"/>
      <c r="AY101" s="156"/>
      <c r="AZ101" s="156"/>
      <c r="BA101" s="151"/>
      <c r="BB101" s="112"/>
      <c r="BC101" s="149"/>
      <c r="BD101" s="156"/>
      <c r="BE101" s="156"/>
      <c r="BF101" s="151"/>
      <c r="BG101" s="112"/>
      <c r="BH101" s="149"/>
      <c r="BI101" s="156"/>
      <c r="BJ101" s="156"/>
      <c r="BK101" s="151"/>
      <c r="BL101" s="112"/>
      <c r="BM101" s="149"/>
      <c r="BN101" s="156"/>
      <c r="BO101" s="156"/>
      <c r="BP101" s="151"/>
      <c r="BQ101" s="112"/>
      <c r="BR101" s="74"/>
      <c r="BS101" s="74"/>
      <c r="BT101" s="74"/>
      <c r="BU101" s="74"/>
      <c r="BV101" s="74"/>
      <c r="BW101" s="74"/>
      <c r="BX101" s="74"/>
      <c r="BY101" s="74"/>
      <c r="BZ101" s="74"/>
      <c r="CA101" s="74"/>
      <c r="CB101" s="74"/>
      <c r="CC101" s="74"/>
      <c r="CD101" s="74"/>
      <c r="CE101" s="74"/>
      <c r="CF101" s="74"/>
      <c r="CG101" s="74"/>
      <c r="CH101" s="74"/>
      <c r="CI101" s="74"/>
      <c r="CJ101" s="74"/>
      <c r="CK101" s="74"/>
      <c r="CL101" s="74"/>
      <c r="CM101" s="74"/>
      <c r="CN101" s="74"/>
      <c r="CO101" s="74"/>
      <c r="CP101" s="74"/>
      <c r="CQ101" s="74"/>
      <c r="CR101" s="74"/>
      <c r="CS101" s="74"/>
      <c r="CT101" s="74"/>
      <c r="CU101" s="74"/>
    </row>
    <row r="102" spans="1:99">
      <c r="A102" s="74"/>
      <c r="B102" s="74"/>
      <c r="C102" s="50" t="s">
        <v>206</v>
      </c>
      <c r="D102" s="72"/>
      <c r="E102" s="323"/>
      <c r="F102" s="324"/>
      <c r="G102" s="324"/>
      <c r="H102" s="325"/>
      <c r="I102" s="326"/>
      <c r="J102" s="323"/>
      <c r="K102" s="324"/>
      <c r="L102" s="324"/>
      <c r="M102" s="325"/>
      <c r="N102" s="326"/>
      <c r="O102" s="323"/>
      <c r="P102" s="324"/>
      <c r="Q102" s="324"/>
      <c r="R102" s="325"/>
      <c r="S102" s="326"/>
      <c r="T102" s="323"/>
      <c r="U102" s="324"/>
      <c r="V102" s="324"/>
      <c r="W102" s="325"/>
      <c r="X102" s="326">
        <v>33199</v>
      </c>
      <c r="Y102" s="323">
        <v>9789</v>
      </c>
      <c r="Z102" s="324">
        <v>6878</v>
      </c>
      <c r="AA102" s="324">
        <v>9043</v>
      </c>
      <c r="AB102" s="325">
        <f>AC102-SUM(Y102:AA102)</f>
        <v>8141</v>
      </c>
      <c r="AC102" s="326">
        <v>33851</v>
      </c>
      <c r="AD102" s="323">
        <v>10905</v>
      </c>
      <c r="AE102" s="324">
        <v>6716</v>
      </c>
      <c r="AF102" s="324">
        <v>8505</v>
      </c>
      <c r="AG102" s="325">
        <f>AH102-SUM(AD102:AF102)</f>
        <v>7947</v>
      </c>
      <c r="AH102" s="326">
        <v>34073</v>
      </c>
      <c r="AI102" s="323">
        <v>10379</v>
      </c>
      <c r="AJ102" s="324">
        <v>6672</v>
      </c>
      <c r="AK102" s="324">
        <v>9019</v>
      </c>
      <c r="AL102" s="325">
        <f>AM102-SUM(AI102:AK102)</f>
        <v>6650</v>
      </c>
      <c r="AM102" s="326">
        <v>32720</v>
      </c>
      <c r="AN102" s="323">
        <v>9124</v>
      </c>
      <c r="AO102" s="324">
        <v>6674</v>
      </c>
      <c r="AP102" s="324">
        <v>9575</v>
      </c>
      <c r="AQ102" s="325">
        <f>AR102-SUM(AN102:AP102)</f>
        <v>7233</v>
      </c>
      <c r="AR102" s="326">
        <v>32606</v>
      </c>
      <c r="AS102" s="323">
        <v>8239</v>
      </c>
      <c r="AT102" s="324">
        <v>6499</v>
      </c>
      <c r="AU102" s="324">
        <v>8488</v>
      </c>
      <c r="AV102" s="325">
        <f>AW102-SUM(AS102:AU102)</f>
        <v>7591</v>
      </c>
      <c r="AW102" s="326">
        <v>30817</v>
      </c>
      <c r="AX102" s="149"/>
      <c r="AY102" s="156"/>
      <c r="AZ102" s="156"/>
      <c r="BA102" s="151"/>
      <c r="BB102" s="112"/>
      <c r="BC102" s="149"/>
      <c r="BD102" s="156"/>
      <c r="BE102" s="156"/>
      <c r="BF102" s="151"/>
      <c r="BG102" s="112"/>
      <c r="BH102" s="149"/>
      <c r="BI102" s="156"/>
      <c r="BJ102" s="156"/>
      <c r="BK102" s="151"/>
      <c r="BL102" s="112"/>
      <c r="BM102" s="149"/>
      <c r="BN102" s="156"/>
      <c r="BO102" s="156"/>
      <c r="BP102" s="151"/>
      <c r="BQ102" s="112"/>
      <c r="BR102" s="74"/>
      <c r="BS102" s="74"/>
      <c r="BT102" s="74"/>
      <c r="BU102" s="74"/>
      <c r="BV102" s="74"/>
      <c r="BW102" s="74"/>
      <c r="BX102" s="74"/>
      <c r="BY102" s="74"/>
      <c r="BZ102" s="74"/>
      <c r="CA102" s="74"/>
      <c r="CB102" s="74"/>
      <c r="CC102" s="74"/>
      <c r="CD102" s="74"/>
      <c r="CE102" s="74"/>
      <c r="CF102" s="74"/>
      <c r="CG102" s="74"/>
      <c r="CH102" s="74"/>
      <c r="CI102" s="74"/>
      <c r="CJ102" s="74"/>
      <c r="CK102" s="74"/>
      <c r="CL102" s="74"/>
      <c r="CM102" s="74"/>
      <c r="CN102" s="74"/>
      <c r="CO102" s="74"/>
      <c r="CP102" s="74"/>
      <c r="CQ102" s="74"/>
      <c r="CR102" s="74"/>
      <c r="CS102" s="74"/>
      <c r="CT102" s="74"/>
      <c r="CU102" s="74"/>
    </row>
    <row r="103" spans="1:99">
      <c r="A103" s="74"/>
      <c r="B103" s="74"/>
      <c r="C103" s="50" t="s">
        <v>328</v>
      </c>
      <c r="D103" s="72"/>
      <c r="E103" s="323"/>
      <c r="F103" s="324"/>
      <c r="G103" s="324"/>
      <c r="H103" s="325"/>
      <c r="I103" s="326"/>
      <c r="J103" s="323"/>
      <c r="K103" s="324"/>
      <c r="L103" s="324"/>
      <c r="M103" s="325"/>
      <c r="N103" s="326"/>
      <c r="O103" s="323"/>
      <c r="P103" s="324"/>
      <c r="Q103" s="324"/>
      <c r="R103" s="325"/>
      <c r="S103" s="326"/>
      <c r="T103" s="323"/>
      <c r="U103" s="324"/>
      <c r="V103" s="324"/>
      <c r="W103" s="325"/>
      <c r="X103" s="326">
        <v>25278</v>
      </c>
      <c r="Y103" s="323">
        <v>5845</v>
      </c>
      <c r="Z103" s="324">
        <v>6158</v>
      </c>
      <c r="AA103" s="324">
        <v>6910</v>
      </c>
      <c r="AB103" s="325">
        <f>AC103-SUM(Y103:AA103)</f>
        <v>6124</v>
      </c>
      <c r="AC103" s="326">
        <v>25037</v>
      </c>
      <c r="AD103" s="323">
        <v>6115</v>
      </c>
      <c r="AE103" s="324">
        <v>6122</v>
      </c>
      <c r="AF103" s="324">
        <v>6743</v>
      </c>
      <c r="AG103" s="325">
        <f>AH103-SUM(AD103:AF103)</f>
        <v>6068</v>
      </c>
      <c r="AH103" s="326">
        <v>25048</v>
      </c>
      <c r="AI103" s="323">
        <v>6011</v>
      </c>
      <c r="AJ103" s="324">
        <v>6296</v>
      </c>
      <c r="AK103" s="324">
        <v>7008</v>
      </c>
      <c r="AL103" s="325">
        <f>AM103-SUM(AI103:AK103)</f>
        <v>5691</v>
      </c>
      <c r="AM103" s="326">
        <v>25006</v>
      </c>
      <c r="AN103" s="323">
        <v>5880</v>
      </c>
      <c r="AO103" s="324">
        <v>6190</v>
      </c>
      <c r="AP103" s="324">
        <v>7137</v>
      </c>
      <c r="AQ103" s="325">
        <f>AR103-SUM(AN103:AP103)</f>
        <v>6022</v>
      </c>
      <c r="AR103" s="326">
        <v>25229</v>
      </c>
      <c r="AS103" s="323">
        <v>5689</v>
      </c>
      <c r="AT103" s="324">
        <v>5996</v>
      </c>
      <c r="AU103" s="324">
        <v>6701</v>
      </c>
      <c r="AV103" s="325">
        <f>AW103-SUM(AS103:AU103)</f>
        <v>6037</v>
      </c>
      <c r="AW103" s="326">
        <v>24423</v>
      </c>
      <c r="AX103" s="149"/>
      <c r="AY103" s="156"/>
      <c r="AZ103" s="156"/>
      <c r="BA103" s="151"/>
      <c r="BB103" s="112"/>
      <c r="BC103" s="149"/>
      <c r="BD103" s="156"/>
      <c r="BE103" s="156"/>
      <c r="BF103" s="151"/>
      <c r="BG103" s="112"/>
      <c r="BH103" s="149"/>
      <c r="BI103" s="156"/>
      <c r="BJ103" s="156"/>
      <c r="BK103" s="151"/>
      <c r="BL103" s="112"/>
      <c r="BM103" s="149"/>
      <c r="BN103" s="156"/>
      <c r="BO103" s="156"/>
      <c r="BP103" s="151"/>
      <c r="BQ103" s="112"/>
      <c r="BR103" s="74"/>
      <c r="BS103" s="74"/>
      <c r="BT103" s="74"/>
      <c r="BU103" s="74"/>
      <c r="BV103" s="74"/>
      <c r="BW103" s="74"/>
      <c r="BX103" s="74"/>
      <c r="BY103" s="74"/>
      <c r="BZ103" s="74"/>
      <c r="CA103" s="74"/>
      <c r="CB103" s="74"/>
      <c r="CC103" s="74"/>
      <c r="CD103" s="74"/>
      <c r="CE103" s="74"/>
      <c r="CF103" s="74"/>
      <c r="CG103" s="74"/>
      <c r="CH103" s="74"/>
      <c r="CI103" s="74"/>
      <c r="CJ103" s="74"/>
      <c r="CK103" s="74"/>
      <c r="CL103" s="74"/>
      <c r="CM103" s="74"/>
      <c r="CN103" s="74"/>
      <c r="CO103" s="74"/>
      <c r="CP103" s="74"/>
      <c r="CQ103" s="74"/>
      <c r="CR103" s="74"/>
      <c r="CS103" s="74"/>
      <c r="CT103" s="74"/>
      <c r="CU103" s="74"/>
    </row>
    <row r="104" spans="1:99">
      <c r="A104" s="74"/>
      <c r="B104" s="74"/>
      <c r="C104" s="50" t="s">
        <v>329</v>
      </c>
      <c r="D104" s="72"/>
      <c r="E104" s="323"/>
      <c r="F104" s="324"/>
      <c r="G104" s="324"/>
      <c r="H104" s="325"/>
      <c r="I104" s="326"/>
      <c r="J104" s="323"/>
      <c r="K104" s="324"/>
      <c r="L104" s="324"/>
      <c r="M104" s="325"/>
      <c r="N104" s="326"/>
      <c r="O104" s="323"/>
      <c r="P104" s="324"/>
      <c r="Q104" s="324"/>
      <c r="R104" s="325"/>
      <c r="S104" s="326"/>
      <c r="T104" s="323"/>
      <c r="U104" s="324"/>
      <c r="V104" s="324"/>
      <c r="W104" s="325"/>
      <c r="X104" s="326">
        <v>34692</v>
      </c>
      <c r="Y104" s="323">
        <v>8261</v>
      </c>
      <c r="Z104" s="324">
        <v>8707</v>
      </c>
      <c r="AA104" s="324">
        <v>8634</v>
      </c>
      <c r="AB104" s="325">
        <f>AC104-SUM(Y104:AA104)</f>
        <v>8614</v>
      </c>
      <c r="AC104" s="326">
        <v>34216</v>
      </c>
      <c r="AD104" s="323">
        <v>8332</v>
      </c>
      <c r="AE104" s="324">
        <v>9025</v>
      </c>
      <c r="AF104" s="324">
        <v>8962</v>
      </c>
      <c r="AG104" s="325">
        <f>AH104-SUM(AD104:AF104)</f>
        <v>8962</v>
      </c>
      <c r="AH104" s="326">
        <v>35281</v>
      </c>
      <c r="AI104" s="323">
        <v>8360</v>
      </c>
      <c r="AJ104" s="324">
        <v>8937</v>
      </c>
      <c r="AK104" s="324">
        <v>8882</v>
      </c>
      <c r="AL104" s="325">
        <f>AM104-SUM(AI104:AK104)</f>
        <v>8459</v>
      </c>
      <c r="AM104" s="326">
        <v>34638</v>
      </c>
      <c r="AN104" s="323">
        <v>8267</v>
      </c>
      <c r="AO104" s="324">
        <v>8654</v>
      </c>
      <c r="AP104" s="324">
        <v>8655</v>
      </c>
      <c r="AQ104" s="325">
        <f>AR104-SUM(AN104:AP104)</f>
        <v>8453</v>
      </c>
      <c r="AR104" s="326">
        <v>34029</v>
      </c>
      <c r="AS104" s="323">
        <v>8264</v>
      </c>
      <c r="AT104" s="324">
        <v>8689</v>
      </c>
      <c r="AU104" s="324">
        <v>8839</v>
      </c>
      <c r="AV104" s="325">
        <f>AW104-SUM(AS104:AU104)</f>
        <v>8884</v>
      </c>
      <c r="AW104" s="326">
        <v>34676</v>
      </c>
      <c r="AX104" s="149"/>
      <c r="AY104" s="156"/>
      <c r="AZ104" s="156"/>
      <c r="BA104" s="151"/>
      <c r="BB104" s="112"/>
      <c r="BC104" s="149"/>
      <c r="BD104" s="156"/>
      <c r="BE104" s="156"/>
      <c r="BF104" s="151"/>
      <c r="BG104" s="112"/>
      <c r="BH104" s="149"/>
      <c r="BI104" s="156"/>
      <c r="BJ104" s="156"/>
      <c r="BK104" s="151"/>
      <c r="BL104" s="112"/>
      <c r="BM104" s="149"/>
      <c r="BN104" s="156"/>
      <c r="BO104" s="156"/>
      <c r="BP104" s="151"/>
      <c r="BQ104" s="112"/>
      <c r="BR104" s="74"/>
      <c r="BS104" s="74"/>
      <c r="BT104" s="74"/>
      <c r="BU104" s="74"/>
      <c r="BV104" s="74"/>
      <c r="BW104" s="74"/>
      <c r="BX104" s="74"/>
      <c r="BY104" s="74"/>
      <c r="BZ104" s="74"/>
      <c r="CA104" s="74"/>
      <c r="CB104" s="74"/>
      <c r="CC104" s="74"/>
      <c r="CD104" s="74"/>
      <c r="CE104" s="74"/>
      <c r="CF104" s="74"/>
      <c r="CG104" s="74"/>
      <c r="CH104" s="74"/>
      <c r="CI104" s="74"/>
      <c r="CJ104" s="74"/>
      <c r="CK104" s="74"/>
      <c r="CL104" s="74"/>
      <c r="CM104" s="74"/>
      <c r="CN104" s="74"/>
      <c r="CO104" s="74"/>
      <c r="CP104" s="74"/>
      <c r="CQ104" s="74"/>
      <c r="CR104" s="74"/>
      <c r="CS104" s="74"/>
      <c r="CT104" s="74"/>
      <c r="CU104" s="74"/>
    </row>
    <row r="105" spans="1:99">
      <c r="A105" s="74"/>
      <c r="B105" s="74"/>
      <c r="C105" s="541" t="s">
        <v>924</v>
      </c>
      <c r="D105" s="72"/>
      <c r="E105" s="323"/>
      <c r="F105" s="324"/>
      <c r="G105" s="324"/>
      <c r="H105" s="325"/>
      <c r="I105" s="326"/>
      <c r="J105" s="323"/>
      <c r="K105" s="324"/>
      <c r="L105" s="324"/>
      <c r="M105" s="325"/>
      <c r="N105" s="326"/>
      <c r="O105" s="323"/>
      <c r="P105" s="324"/>
      <c r="Q105" s="324"/>
      <c r="R105" s="325"/>
      <c r="S105" s="326"/>
      <c r="T105" s="323"/>
      <c r="U105" s="324"/>
      <c r="V105" s="324"/>
      <c r="W105" s="325"/>
      <c r="X105" s="326">
        <v>2356</v>
      </c>
      <c r="Y105" s="323">
        <v>549</v>
      </c>
      <c r="Z105" s="324">
        <v>566</v>
      </c>
      <c r="AA105" s="324">
        <v>602</v>
      </c>
      <c r="AB105" s="325">
        <f>AC105-SUM(Y105:AA105)</f>
        <v>567</v>
      </c>
      <c r="AC105" s="326">
        <v>2284</v>
      </c>
      <c r="AD105" s="323">
        <v>555</v>
      </c>
      <c r="AE105" s="324">
        <v>577</v>
      </c>
      <c r="AF105" s="324">
        <v>608</v>
      </c>
      <c r="AG105" s="325">
        <f>AH105-SUM(AD105:AF105)</f>
        <v>571</v>
      </c>
      <c r="AH105" s="326">
        <v>2311</v>
      </c>
      <c r="AI105" s="323">
        <v>548</v>
      </c>
      <c r="AJ105" s="324">
        <v>574</v>
      </c>
      <c r="AK105" s="324">
        <v>616</v>
      </c>
      <c r="AL105" s="325">
        <f>AM105-SUM(AI105:AK105)</f>
        <v>541</v>
      </c>
      <c r="AM105" s="326">
        <v>2279</v>
      </c>
      <c r="AN105" s="323">
        <v>541</v>
      </c>
      <c r="AO105" s="324">
        <v>565</v>
      </c>
      <c r="AP105" s="324">
        <v>634</v>
      </c>
      <c r="AQ105" s="325">
        <f>AR105-SUM(AN105:AP105)</f>
        <v>576</v>
      </c>
      <c r="AR105" s="326">
        <v>2316</v>
      </c>
      <c r="AS105" s="323">
        <v>536</v>
      </c>
      <c r="AT105" s="324">
        <v>562</v>
      </c>
      <c r="AU105" s="324">
        <v>603</v>
      </c>
      <c r="AV105" s="325">
        <f>AW105-SUM(AS105:AU105)</f>
        <v>574</v>
      </c>
      <c r="AW105" s="326">
        <v>2275</v>
      </c>
      <c r="AX105" s="149"/>
      <c r="AY105" s="156"/>
      <c r="AZ105" s="156"/>
      <c r="BA105" s="151"/>
      <c r="BB105" s="112"/>
      <c r="BC105" s="149"/>
      <c r="BD105" s="156"/>
      <c r="BE105" s="156"/>
      <c r="BF105" s="151"/>
      <c r="BG105" s="112"/>
      <c r="BH105" s="149"/>
      <c r="BI105" s="156"/>
      <c r="BJ105" s="156"/>
      <c r="BK105" s="151"/>
      <c r="BL105" s="112"/>
      <c r="BM105" s="149"/>
      <c r="BN105" s="156"/>
      <c r="BO105" s="156"/>
      <c r="BP105" s="151"/>
      <c r="BQ105" s="112"/>
      <c r="BR105" s="74"/>
      <c r="BS105" s="74"/>
      <c r="BT105" s="74"/>
      <c r="BU105" s="74"/>
      <c r="BV105" s="74"/>
      <c r="BW105" s="74"/>
      <c r="BX105" s="74"/>
      <c r="BY105" s="74"/>
      <c r="BZ105" s="74"/>
      <c r="CA105" s="74"/>
      <c r="CB105" s="74"/>
      <c r="CC105" s="74"/>
      <c r="CD105" s="74"/>
      <c r="CE105" s="74"/>
      <c r="CF105" s="74"/>
      <c r="CG105" s="74"/>
      <c r="CH105" s="74"/>
      <c r="CI105" s="74"/>
      <c r="CJ105" s="74"/>
      <c r="CK105" s="74"/>
      <c r="CL105" s="74"/>
      <c r="CM105" s="74"/>
      <c r="CN105" s="74"/>
      <c r="CO105" s="74"/>
      <c r="CP105" s="74"/>
      <c r="CQ105" s="74"/>
      <c r="CR105" s="74"/>
      <c r="CS105" s="74"/>
      <c r="CT105" s="74"/>
      <c r="CU105" s="74"/>
    </row>
    <row r="106" spans="1:99" s="508" customFormat="1">
      <c r="A106" s="496"/>
      <c r="B106" s="496"/>
      <c r="C106" s="497" t="s">
        <v>207</v>
      </c>
      <c r="D106" s="498"/>
      <c r="E106" s="499"/>
      <c r="F106" s="500"/>
      <c r="G106" s="500"/>
      <c r="H106" s="501"/>
      <c r="I106" s="502"/>
      <c r="J106" s="499"/>
      <c r="K106" s="500"/>
      <c r="L106" s="500"/>
      <c r="M106" s="501"/>
      <c r="N106" s="502"/>
      <c r="O106" s="499"/>
      <c r="P106" s="500"/>
      <c r="Q106" s="500"/>
      <c r="R106" s="501"/>
      <c r="S106" s="502"/>
      <c r="T106" s="499"/>
      <c r="U106" s="500"/>
      <c r="V106" s="500"/>
      <c r="W106" s="501"/>
      <c r="X106" s="502">
        <f t="shared" ref="X106:AF106" si="110">SUM(X102:X105)</f>
        <v>95525</v>
      </c>
      <c r="Y106" s="499">
        <f t="shared" si="110"/>
        <v>24444</v>
      </c>
      <c r="Z106" s="500">
        <f t="shared" si="110"/>
        <v>22309</v>
      </c>
      <c r="AA106" s="500">
        <f t="shared" si="110"/>
        <v>25189</v>
      </c>
      <c r="AB106" s="501">
        <f t="shared" si="110"/>
        <v>23446</v>
      </c>
      <c r="AC106" s="502">
        <f t="shared" si="110"/>
        <v>95388</v>
      </c>
      <c r="AD106" s="499">
        <f t="shared" si="110"/>
        <v>25907</v>
      </c>
      <c r="AE106" s="500">
        <f t="shared" si="110"/>
        <v>22440</v>
      </c>
      <c r="AF106" s="500">
        <f t="shared" si="110"/>
        <v>24818</v>
      </c>
      <c r="AG106" s="501">
        <f t="shared" ref="AG106:AM106" si="111">SUM(AG102:AG105)</f>
        <v>23548</v>
      </c>
      <c r="AH106" s="502">
        <f t="shared" si="111"/>
        <v>96713</v>
      </c>
      <c r="AI106" s="499">
        <f t="shared" si="111"/>
        <v>25298</v>
      </c>
      <c r="AJ106" s="500">
        <f t="shared" si="111"/>
        <v>22479</v>
      </c>
      <c r="AK106" s="500">
        <f t="shared" si="111"/>
        <v>25525</v>
      </c>
      <c r="AL106" s="501">
        <f t="shared" si="111"/>
        <v>21341</v>
      </c>
      <c r="AM106" s="502">
        <f t="shared" si="111"/>
        <v>94643</v>
      </c>
      <c r="AN106" s="499">
        <f t="shared" ref="AN106:AU106" si="112">SUM(AN102:AN105)</f>
        <v>23812</v>
      </c>
      <c r="AO106" s="500">
        <f t="shared" si="112"/>
        <v>22083</v>
      </c>
      <c r="AP106" s="500">
        <f t="shared" si="112"/>
        <v>26001</v>
      </c>
      <c r="AQ106" s="501">
        <f t="shared" si="112"/>
        <v>22284</v>
      </c>
      <c r="AR106" s="502">
        <f t="shared" si="112"/>
        <v>94180</v>
      </c>
      <c r="AS106" s="499">
        <f t="shared" si="112"/>
        <v>22728</v>
      </c>
      <c r="AT106" s="500">
        <f t="shared" si="112"/>
        <v>21746</v>
      </c>
      <c r="AU106" s="500">
        <f t="shared" si="112"/>
        <v>24631</v>
      </c>
      <c r="AV106" s="501">
        <f t="shared" ref="AV106:AW106" si="113">SUM(AV102:AV105)</f>
        <v>23086</v>
      </c>
      <c r="AW106" s="502">
        <f t="shared" si="113"/>
        <v>92191</v>
      </c>
      <c r="AX106" s="506">
        <f>AS106*(1+AX51)</f>
        <v>24098.994727540521</v>
      </c>
      <c r="AY106" s="503">
        <f>AT106*(1+AY51)</f>
        <v>22008.874823703154</v>
      </c>
      <c r="AZ106" s="503">
        <f>AU106*(1+AZ51)</f>
        <v>25116.577654509496</v>
      </c>
      <c r="BA106" s="504">
        <f>AV106*(1+BA51)</f>
        <v>22710.485978507782</v>
      </c>
      <c r="BB106" s="505">
        <f>SUM(AX106:BA106)</f>
        <v>93934.933184260954</v>
      </c>
      <c r="BC106" s="506">
        <f>(AX106/(1+AX110))*(1+BC51)</f>
        <v>24098.994727540521</v>
      </c>
      <c r="BD106" s="503">
        <f>(AY106/(1+AY110))*(1+BD51)</f>
        <v>22008.874823703154</v>
      </c>
      <c r="BE106" s="503">
        <f>(AZ106/(1+AZ110))*(1+BE51)</f>
        <v>25116.577654509496</v>
      </c>
      <c r="BF106" s="504">
        <f>(BA106/(1+BA110))*(1+BF51)</f>
        <v>22710.485978507782</v>
      </c>
      <c r="BG106" s="505">
        <f>SUM(BC106:BF106)</f>
        <v>93934.933184260954</v>
      </c>
      <c r="BH106" s="506">
        <f>(BC106/(1+BC110))*(1+BH51)</f>
        <v>24098.994727540521</v>
      </c>
      <c r="BI106" s="503">
        <f>(BD106/(1+BD110))*(1+BI51)</f>
        <v>22008.874823703154</v>
      </c>
      <c r="BJ106" s="503">
        <f>(BE106/(1+BE110))*(1+BJ51)</f>
        <v>25116.577654509496</v>
      </c>
      <c r="BK106" s="504">
        <f>(BF106/(1+BF110))*(1+BK51)</f>
        <v>22710.485978507782</v>
      </c>
      <c r="BL106" s="505">
        <f>SUM(BH106:BK106)</f>
        <v>93934.933184260954</v>
      </c>
      <c r="BM106" s="506">
        <f>(BH106/(1+BH110))*(1+BM51)</f>
        <v>24098.994727540521</v>
      </c>
      <c r="BN106" s="503">
        <f>(BI106/(1+BI110))*(1+BN51)</f>
        <v>22008.874823703154</v>
      </c>
      <c r="BO106" s="503">
        <f>(BJ106/(1+BJ110))*(1+BO51)</f>
        <v>25116.577654509496</v>
      </c>
      <c r="BP106" s="504">
        <f>(BK106/(1+BK110))*(1+BP51)</f>
        <v>22710.485978507782</v>
      </c>
      <c r="BQ106" s="505">
        <f>SUM(BM106:BP106)</f>
        <v>93934.933184260954</v>
      </c>
      <c r="BR106" s="507"/>
      <c r="BS106" s="507"/>
      <c r="BT106" s="507"/>
      <c r="BU106" s="507"/>
      <c r="BV106" s="507"/>
      <c r="BW106" s="507"/>
      <c r="BX106" s="507"/>
      <c r="BY106" s="507"/>
      <c r="BZ106" s="507"/>
      <c r="CA106" s="507"/>
      <c r="CB106" s="507"/>
      <c r="CC106" s="507"/>
      <c r="CD106" s="507"/>
      <c r="CE106" s="507"/>
      <c r="CF106" s="507"/>
      <c r="CG106" s="507"/>
      <c r="CH106" s="507"/>
      <c r="CI106" s="507"/>
      <c r="CJ106" s="507"/>
      <c r="CK106" s="507"/>
      <c r="CL106" s="507"/>
      <c r="CM106" s="507"/>
      <c r="CN106" s="507"/>
      <c r="CO106" s="507"/>
      <c r="CP106" s="507"/>
      <c r="CQ106" s="507"/>
      <c r="CR106" s="507"/>
      <c r="CS106" s="507"/>
      <c r="CT106" s="507"/>
      <c r="CU106" s="507"/>
    </row>
    <row r="107" spans="1:99" s="50" customFormat="1">
      <c r="A107" s="242"/>
      <c r="B107" s="242"/>
      <c r="C107" s="50" t="s">
        <v>347</v>
      </c>
      <c r="D107" s="109"/>
      <c r="E107" s="323"/>
      <c r="F107" s="324"/>
      <c r="G107" s="324"/>
      <c r="H107" s="325"/>
      <c r="I107" s="326"/>
      <c r="J107" s="323"/>
      <c r="K107" s="764"/>
      <c r="L107" s="764"/>
      <c r="M107" s="325"/>
      <c r="N107" s="326"/>
      <c r="O107" s="323"/>
      <c r="P107" s="764"/>
      <c r="Q107" s="764"/>
      <c r="R107" s="325"/>
      <c r="S107" s="326"/>
      <c r="T107" s="323"/>
      <c r="U107" s="764"/>
      <c r="V107" s="764"/>
      <c r="W107" s="325"/>
      <c r="X107" s="326">
        <v>28671</v>
      </c>
      <c r="Y107" s="1289">
        <f>+AC107/4</f>
        <v>7979.75</v>
      </c>
      <c r="Z107" s="1290">
        <f>+Y107</f>
        <v>7979.75</v>
      </c>
      <c r="AA107" s="1290">
        <f>+Z107</f>
        <v>7979.75</v>
      </c>
      <c r="AB107" s="325">
        <f>+AA107</f>
        <v>7979.75</v>
      </c>
      <c r="AC107" s="326">
        <v>31919</v>
      </c>
      <c r="AD107" s="323">
        <v>10184</v>
      </c>
      <c r="AE107" s="764">
        <v>8602</v>
      </c>
      <c r="AF107" s="764">
        <v>8632</v>
      </c>
      <c r="AG107" s="325">
        <f>AH107-SUM(AD107:AF107)</f>
        <v>6823</v>
      </c>
      <c r="AH107" s="326">
        <v>34241</v>
      </c>
      <c r="AI107" s="323">
        <v>8268</v>
      </c>
      <c r="AJ107" s="764">
        <v>5903</v>
      </c>
      <c r="AK107" s="764">
        <v>6577</v>
      </c>
      <c r="AL107" s="325">
        <f>AM107-SUM(AI107:AK107)</f>
        <v>4605</v>
      </c>
      <c r="AM107" s="326">
        <v>25353</v>
      </c>
      <c r="AN107" s="323">
        <v>4792</v>
      </c>
      <c r="AO107" s="764">
        <v>5696</v>
      </c>
      <c r="AP107" s="764">
        <v>6765</v>
      </c>
      <c r="AQ107" s="325">
        <f>AR107-SUM(AN107:AP107)</f>
        <v>5828</v>
      </c>
      <c r="AR107" s="326">
        <v>23081</v>
      </c>
      <c r="AS107" s="323">
        <v>6507</v>
      </c>
      <c r="AT107" s="764">
        <v>5918</v>
      </c>
      <c r="AU107" s="764">
        <v>6837</v>
      </c>
      <c r="AV107" s="325">
        <f>AW107-SUM(AS107:AU107)</f>
        <v>5836</v>
      </c>
      <c r="AW107" s="326">
        <v>25098</v>
      </c>
      <c r="AX107" s="1906">
        <f>+AS107*0.975</f>
        <v>6344.3249999999998</v>
      </c>
      <c r="AY107" s="1907">
        <f>+AT107*0.975</f>
        <v>5770.05</v>
      </c>
      <c r="AZ107" s="1907">
        <f>+AU107*0.975</f>
        <v>6666.0749999999998</v>
      </c>
      <c r="BA107" s="1905">
        <f>+AV107*0.975</f>
        <v>5690.0999999999995</v>
      </c>
      <c r="BB107" s="109">
        <f>SUM(AX107:BA107)</f>
        <v>24470.55</v>
      </c>
      <c r="BC107" s="161">
        <f>+AX107</f>
        <v>6344.3249999999998</v>
      </c>
      <c r="BD107" s="162">
        <f>+AY107</f>
        <v>5770.05</v>
      </c>
      <c r="BE107" s="162">
        <f>+AZ107</f>
        <v>6666.0749999999998</v>
      </c>
      <c r="BF107" s="144">
        <f>+BA107</f>
        <v>5690.0999999999995</v>
      </c>
      <c r="BG107" s="109">
        <f>SUM(BC107:BF107)</f>
        <v>24470.55</v>
      </c>
      <c r="BH107" s="161">
        <f>+BC107</f>
        <v>6344.3249999999998</v>
      </c>
      <c r="BI107" s="162">
        <f>+BD107</f>
        <v>5770.05</v>
      </c>
      <c r="BJ107" s="162">
        <f>+BE107</f>
        <v>6666.0749999999998</v>
      </c>
      <c r="BK107" s="144">
        <f>+BF107</f>
        <v>5690.0999999999995</v>
      </c>
      <c r="BL107" s="109">
        <f>SUM(BH107:BK107)</f>
        <v>24470.55</v>
      </c>
      <c r="BM107" s="161">
        <f>+BH107</f>
        <v>6344.3249999999998</v>
      </c>
      <c r="BN107" s="162">
        <f>+BI107</f>
        <v>5770.05</v>
      </c>
      <c r="BO107" s="162">
        <f>+BJ107</f>
        <v>6666.0749999999998</v>
      </c>
      <c r="BP107" s="144">
        <f>+BK107</f>
        <v>5690.0999999999995</v>
      </c>
      <c r="BQ107" s="109">
        <f>SUM(BM107:BP107)</f>
        <v>24470.55</v>
      </c>
      <c r="BR107" s="242"/>
      <c r="BS107" s="242"/>
      <c r="BT107" s="242"/>
      <c r="BU107" s="242"/>
      <c r="BV107" s="242"/>
      <c r="BW107" s="242"/>
      <c r="BX107" s="242"/>
      <c r="BY107" s="242"/>
      <c r="BZ107" s="242"/>
      <c r="CA107" s="242"/>
      <c r="CB107" s="242"/>
      <c r="CC107" s="242"/>
      <c r="CD107" s="242"/>
      <c r="CE107" s="242"/>
      <c r="CF107" s="242"/>
      <c r="CG107" s="242"/>
      <c r="CH107" s="242"/>
      <c r="CI107" s="242"/>
      <c r="CJ107" s="242"/>
      <c r="CK107" s="242"/>
      <c r="CL107" s="242"/>
      <c r="CM107" s="242"/>
      <c r="CN107" s="242"/>
      <c r="CO107" s="242"/>
      <c r="CP107" s="242"/>
      <c r="CQ107" s="242"/>
      <c r="CR107" s="242"/>
      <c r="CS107" s="242"/>
      <c r="CT107" s="242"/>
      <c r="CU107" s="242"/>
    </row>
    <row r="108" spans="1:99">
      <c r="A108" s="74"/>
      <c r="B108" s="74"/>
      <c r="C108" s="56" t="s">
        <v>208</v>
      </c>
      <c r="D108" s="72"/>
      <c r="E108" s="149"/>
      <c r="F108" s="150"/>
      <c r="G108" s="150"/>
      <c r="H108" s="151"/>
      <c r="I108" s="112"/>
      <c r="J108" s="149"/>
      <c r="K108" s="150"/>
      <c r="L108" s="150"/>
      <c r="M108" s="153"/>
      <c r="N108" s="112"/>
      <c r="O108" s="149"/>
      <c r="P108" s="150"/>
      <c r="Q108" s="150"/>
      <c r="R108" s="153"/>
      <c r="S108" s="112"/>
      <c r="T108" s="149"/>
      <c r="U108" s="150"/>
      <c r="V108" s="150"/>
      <c r="W108" s="153"/>
      <c r="X108" s="112">
        <f t="shared" ref="X108:AF108" si="114">SUM(X106:X107)</f>
        <v>124196</v>
      </c>
      <c r="Y108" s="149">
        <f t="shared" si="114"/>
        <v>32423.75</v>
      </c>
      <c r="Z108" s="150">
        <f t="shared" si="114"/>
        <v>30288.75</v>
      </c>
      <c r="AA108" s="150">
        <f t="shared" si="114"/>
        <v>33168.75</v>
      </c>
      <c r="AB108" s="153">
        <f t="shared" si="114"/>
        <v>31425.75</v>
      </c>
      <c r="AC108" s="112">
        <f t="shared" si="114"/>
        <v>127307</v>
      </c>
      <c r="AD108" s="149">
        <f t="shared" si="114"/>
        <v>36091</v>
      </c>
      <c r="AE108" s="150">
        <f t="shared" si="114"/>
        <v>31042</v>
      </c>
      <c r="AF108" s="150">
        <f t="shared" si="114"/>
        <v>33450</v>
      </c>
      <c r="AG108" s="153">
        <f t="shared" ref="AG108:AM108" si="115">SUM(AG106:AG107)</f>
        <v>30371</v>
      </c>
      <c r="AH108" s="112">
        <f t="shared" si="115"/>
        <v>130954</v>
      </c>
      <c r="AI108" s="149">
        <f t="shared" si="115"/>
        <v>33566</v>
      </c>
      <c r="AJ108" s="150">
        <f t="shared" si="115"/>
        <v>28382</v>
      </c>
      <c r="AK108" s="150">
        <f t="shared" si="115"/>
        <v>32102</v>
      </c>
      <c r="AL108" s="153">
        <f t="shared" si="115"/>
        <v>25946</v>
      </c>
      <c r="AM108" s="112">
        <f t="shared" si="115"/>
        <v>119996</v>
      </c>
      <c r="AN108" s="149">
        <f t="shared" ref="AN108:AU108" si="116">SUM(AN106:AN107)</f>
        <v>28604</v>
      </c>
      <c r="AO108" s="150">
        <f t="shared" si="116"/>
        <v>27779</v>
      </c>
      <c r="AP108" s="150">
        <f t="shared" si="116"/>
        <v>32766</v>
      </c>
      <c r="AQ108" s="153">
        <f t="shared" si="116"/>
        <v>28112</v>
      </c>
      <c r="AR108" s="112">
        <f t="shared" si="116"/>
        <v>117261</v>
      </c>
      <c r="AS108" s="149">
        <f>SUM(AS106:AS107)</f>
        <v>29235</v>
      </c>
      <c r="AT108" s="150">
        <f t="shared" si="116"/>
        <v>27664</v>
      </c>
      <c r="AU108" s="150">
        <f t="shared" si="116"/>
        <v>31468</v>
      </c>
      <c r="AV108" s="153">
        <f t="shared" ref="AV108:AW108" si="117">SUM(AV106:AV107)</f>
        <v>28922</v>
      </c>
      <c r="AW108" s="112">
        <f t="shared" si="117"/>
        <v>117289</v>
      </c>
      <c r="AX108" s="149">
        <f t="shared" ref="AX108:BL108" si="118">SUM(AX106:AX107)</f>
        <v>30443.319727540522</v>
      </c>
      <c r="AY108" s="150">
        <f t="shared" si="118"/>
        <v>27778.924823703153</v>
      </c>
      <c r="AZ108" s="150">
        <f t="shared" si="118"/>
        <v>31782.652654509497</v>
      </c>
      <c r="BA108" s="151">
        <f t="shared" si="118"/>
        <v>28400.585978507781</v>
      </c>
      <c r="BB108" s="112">
        <f t="shared" si="118"/>
        <v>118405.48318426096</v>
      </c>
      <c r="BC108" s="149">
        <f t="shared" si="118"/>
        <v>30443.319727540522</v>
      </c>
      <c r="BD108" s="150">
        <f t="shared" si="118"/>
        <v>27778.924823703153</v>
      </c>
      <c r="BE108" s="150">
        <f t="shared" si="118"/>
        <v>31782.652654509497</v>
      </c>
      <c r="BF108" s="151">
        <f t="shared" si="118"/>
        <v>28400.585978507781</v>
      </c>
      <c r="BG108" s="112">
        <f t="shared" si="118"/>
        <v>118405.48318426096</v>
      </c>
      <c r="BH108" s="149">
        <f t="shared" si="118"/>
        <v>30443.319727540522</v>
      </c>
      <c r="BI108" s="150">
        <f t="shared" si="118"/>
        <v>27778.924823703153</v>
      </c>
      <c r="BJ108" s="150">
        <f t="shared" si="118"/>
        <v>31782.652654509497</v>
      </c>
      <c r="BK108" s="151">
        <f t="shared" si="118"/>
        <v>28400.585978507781</v>
      </c>
      <c r="BL108" s="112">
        <f t="shared" si="118"/>
        <v>118405.48318426096</v>
      </c>
      <c r="BM108" s="149">
        <f>SUM(BM106:BM107)</f>
        <v>30443.319727540522</v>
      </c>
      <c r="BN108" s="150">
        <f>SUM(BN106:BN107)</f>
        <v>27778.924823703153</v>
      </c>
      <c r="BO108" s="150">
        <f>SUM(BO106:BO107)</f>
        <v>31782.652654509497</v>
      </c>
      <c r="BP108" s="151">
        <f>SUM(BP106:BP107)</f>
        <v>28400.585978507781</v>
      </c>
      <c r="BQ108" s="112">
        <f>SUM(BQ106:BQ107)</f>
        <v>118405.48318426096</v>
      </c>
      <c r="BR108" s="74"/>
      <c r="BS108" s="74"/>
      <c r="BT108" s="74"/>
      <c r="BU108" s="74"/>
      <c r="BV108" s="74"/>
      <c r="BW108" s="74"/>
      <c r="BX108" s="74"/>
      <c r="BY108" s="74"/>
      <c r="BZ108" s="74"/>
      <c r="CA108" s="74"/>
      <c r="CB108" s="74"/>
      <c r="CC108" s="74"/>
      <c r="CD108" s="74"/>
      <c r="CE108" s="74"/>
      <c r="CF108" s="74"/>
      <c r="CG108" s="74"/>
      <c r="CH108" s="74"/>
      <c r="CI108" s="74"/>
      <c r="CJ108" s="74"/>
      <c r="CK108" s="74"/>
      <c r="CL108" s="74"/>
      <c r="CM108" s="74"/>
      <c r="CN108" s="74"/>
      <c r="CO108" s="74"/>
      <c r="CP108" s="74"/>
      <c r="CQ108" s="74"/>
      <c r="CR108" s="74"/>
      <c r="CS108" s="74"/>
      <c r="CT108" s="74"/>
      <c r="CU108" s="74"/>
    </row>
    <row r="109" spans="1:99">
      <c r="A109" s="74"/>
      <c r="B109" s="74"/>
      <c r="C109" s="56"/>
      <c r="D109" s="72"/>
      <c r="E109" s="149"/>
      <c r="F109" s="150"/>
      <c r="G109" s="150"/>
      <c r="H109" s="151"/>
      <c r="I109" s="112"/>
      <c r="J109" s="149"/>
      <c r="K109" s="150"/>
      <c r="L109" s="150"/>
      <c r="M109" s="153"/>
      <c r="N109" s="112"/>
      <c r="O109" s="149"/>
      <c r="P109" s="150"/>
      <c r="Q109" s="150"/>
      <c r="R109" s="153"/>
      <c r="S109" s="112"/>
      <c r="T109" s="149"/>
      <c r="U109" s="150"/>
      <c r="V109" s="150"/>
      <c r="W109" s="153"/>
      <c r="X109" s="112"/>
      <c r="Y109" s="149"/>
      <c r="Z109" s="150"/>
      <c r="AA109" s="150"/>
      <c r="AB109" s="153"/>
      <c r="AC109" s="112"/>
      <c r="AD109" s="149"/>
      <c r="AE109" s="150"/>
      <c r="AF109" s="150"/>
      <c r="AG109" s="153"/>
      <c r="AH109" s="112"/>
      <c r="AI109" s="149"/>
      <c r="AJ109" s="150"/>
      <c r="AK109" s="150"/>
      <c r="AL109" s="151"/>
      <c r="AM109" s="112"/>
      <c r="AN109" s="149"/>
      <c r="AO109" s="150"/>
      <c r="AP109" s="150"/>
      <c r="AQ109" s="151"/>
      <c r="AR109" s="112"/>
      <c r="AS109" s="149"/>
      <c r="AT109" s="150"/>
      <c r="AU109" s="150"/>
      <c r="AV109" s="151"/>
      <c r="AW109" s="112"/>
      <c r="AX109" s="149"/>
      <c r="AY109" s="150"/>
      <c r="AZ109" s="150"/>
      <c r="BA109" s="151"/>
      <c r="BB109" s="112"/>
      <c r="BC109" s="149"/>
      <c r="BD109" s="150"/>
      <c r="BE109" s="150"/>
      <c r="BF109" s="151"/>
      <c r="BG109" s="112"/>
      <c r="BH109" s="149"/>
      <c r="BI109" s="150"/>
      <c r="BJ109" s="150"/>
      <c r="BK109" s="151"/>
      <c r="BL109" s="112"/>
      <c r="BM109" s="149"/>
      <c r="BN109" s="150"/>
      <c r="BO109" s="150"/>
      <c r="BP109" s="151"/>
      <c r="BQ109" s="112"/>
      <c r="BR109" s="74"/>
      <c r="BS109" s="74"/>
      <c r="BT109" s="74"/>
      <c r="BU109" s="74"/>
      <c r="BV109" s="74"/>
      <c r="BW109" s="74"/>
      <c r="BX109" s="74"/>
      <c r="BY109" s="74"/>
      <c r="BZ109" s="74"/>
      <c r="CA109" s="74"/>
      <c r="CB109" s="74"/>
      <c r="CC109" s="74"/>
      <c r="CD109" s="74"/>
      <c r="CE109" s="74"/>
      <c r="CF109" s="74"/>
      <c r="CG109" s="74"/>
      <c r="CH109" s="74"/>
      <c r="CI109" s="74"/>
      <c r="CJ109" s="74"/>
      <c r="CK109" s="74"/>
      <c r="CL109" s="74"/>
      <c r="CM109" s="74"/>
      <c r="CN109" s="74"/>
      <c r="CO109" s="74"/>
      <c r="CP109" s="74"/>
      <c r="CQ109" s="74"/>
      <c r="CR109" s="74"/>
      <c r="CS109" s="74"/>
      <c r="CT109" s="74"/>
      <c r="CU109" s="74"/>
    </row>
    <row r="110" spans="1:99">
      <c r="A110" s="74"/>
      <c r="B110" s="74"/>
      <c r="C110" s="1272" t="s">
        <v>1112</v>
      </c>
      <c r="D110" s="72"/>
      <c r="E110" s="149"/>
      <c r="F110" s="150"/>
      <c r="G110" s="150"/>
      <c r="H110" s="151"/>
      <c r="I110" s="112"/>
      <c r="J110" s="149"/>
      <c r="K110" s="150"/>
      <c r="L110" s="150"/>
      <c r="M110" s="153"/>
      <c r="N110" s="112"/>
      <c r="O110" s="149"/>
      <c r="P110" s="150"/>
      <c r="Q110" s="150"/>
      <c r="R110" s="153"/>
      <c r="S110" s="112"/>
      <c r="T110" s="149"/>
      <c r="U110" s="150"/>
      <c r="V110" s="150"/>
      <c r="W110" s="153"/>
      <c r="X110" s="112"/>
      <c r="Y110" s="149"/>
      <c r="Z110" s="150"/>
      <c r="AA110" s="150"/>
      <c r="AB110" s="153"/>
      <c r="AC110" s="112"/>
      <c r="AD110" s="149"/>
      <c r="AE110" s="150"/>
      <c r="AF110" s="1512">
        <v>-2.5000000000000001E-2</v>
      </c>
      <c r="AG110" s="1513">
        <v>7.4999999999999997E-3</v>
      </c>
      <c r="AH110" s="1514"/>
      <c r="AI110" s="1515">
        <f>62/(AD99*(1-AD110))</f>
        <v>2.3975251353441609E-2</v>
      </c>
      <c r="AJ110" s="1516">
        <f>8/(AE99*(1-AE110))</f>
        <v>3.552397868561279E-3</v>
      </c>
      <c r="AK110" s="1512">
        <f>5/(AF99*(1-AF110))</f>
        <v>1.9910403185664509E-3</v>
      </c>
      <c r="AL110" s="1513">
        <f>-72/(AG99*(1-AG110))</f>
        <v>-3.3034645084031873E-2</v>
      </c>
      <c r="AM110" s="1511"/>
      <c r="AN110" s="1515">
        <f>-21/(AI99*(1-AI110))</f>
        <v>-8.5891608225703905E-3</v>
      </c>
      <c r="AO110" s="1516">
        <f>10/(AJ99*(1-AJ110))</f>
        <v>4.5971830617892433E-3</v>
      </c>
      <c r="AP110" s="1512">
        <f>58/(AK99*(1-AK110))</f>
        <v>2.3519105917924735E-2</v>
      </c>
      <c r="AQ110" s="1513">
        <f>-13/(AL99*(1-AL110))</f>
        <v>-6.2508854995888671E-3</v>
      </c>
      <c r="AR110" s="1511"/>
      <c r="AS110" s="1515">
        <f>-80/(AN99*(1-AN110))</f>
        <v>-3.5321837712976131E-2</v>
      </c>
      <c r="AT110" s="1516">
        <f>-15/(AO99*(1-AO110))</f>
        <v>-7.0884219490090945E-3</v>
      </c>
      <c r="AU110" s="1516">
        <f>-23/(AP99*(1-AP110))</f>
        <v>-9.2140860910842476E-3</v>
      </c>
      <c r="AV110" s="1513">
        <f>18/(AQ99*(1-AQ110))</f>
        <v>8.2658763532970914E-3</v>
      </c>
      <c r="AW110" s="1511"/>
      <c r="AX110" s="1407"/>
      <c r="AY110" s="1408"/>
      <c r="AZ110" s="1408"/>
      <c r="BA110" s="1409"/>
      <c r="BB110" s="1511"/>
      <c r="BC110" s="1407"/>
      <c r="BD110" s="1408"/>
      <c r="BE110" s="1408"/>
      <c r="BF110" s="1409"/>
      <c r="BG110" s="1511"/>
      <c r="BH110" s="1407"/>
      <c r="BI110" s="1408"/>
      <c r="BJ110" s="1408"/>
      <c r="BK110" s="1409"/>
      <c r="BL110" s="1511"/>
      <c r="BM110" s="1407"/>
      <c r="BN110" s="1408"/>
      <c r="BO110" s="1408"/>
      <c r="BP110" s="1409"/>
      <c r="BQ110" s="1511"/>
      <c r="BR110" s="74"/>
      <c r="BS110" s="74"/>
      <c r="BT110" s="74"/>
      <c r="BU110" s="74"/>
      <c r="BV110" s="74"/>
      <c r="BW110" s="74"/>
      <c r="BX110" s="74"/>
      <c r="BY110" s="74"/>
      <c r="BZ110" s="74"/>
      <c r="CA110" s="74"/>
      <c r="CB110" s="74"/>
      <c r="CC110" s="74"/>
      <c r="CD110" s="74"/>
      <c r="CE110" s="74"/>
      <c r="CF110" s="74"/>
      <c r="CG110" s="74"/>
      <c r="CH110" s="74"/>
      <c r="CI110" s="74"/>
      <c r="CJ110" s="74"/>
      <c r="CK110" s="74"/>
      <c r="CL110" s="74"/>
      <c r="CM110" s="74"/>
      <c r="CN110" s="74"/>
      <c r="CO110" s="74"/>
      <c r="CP110" s="74"/>
      <c r="CQ110" s="74"/>
      <c r="CR110" s="74"/>
      <c r="CS110" s="74"/>
      <c r="CT110" s="74"/>
      <c r="CU110" s="74"/>
    </row>
    <row r="111" spans="1:99">
      <c r="A111" s="74"/>
      <c r="B111" s="74"/>
      <c r="C111" s="56"/>
      <c r="D111" s="72"/>
      <c r="E111" s="149"/>
      <c r="F111" s="150"/>
      <c r="G111" s="150"/>
      <c r="H111" s="151"/>
      <c r="I111" s="112"/>
      <c r="J111" s="149"/>
      <c r="K111" s="150"/>
      <c r="L111" s="150"/>
      <c r="M111" s="151"/>
      <c r="N111" s="112"/>
      <c r="O111" s="149"/>
      <c r="P111" s="150"/>
      <c r="Q111" s="150"/>
      <c r="R111" s="151"/>
      <c r="S111" s="112"/>
      <c r="T111" s="149"/>
      <c r="U111" s="150"/>
      <c r="V111" s="150"/>
      <c r="W111" s="151"/>
      <c r="X111" s="112"/>
      <c r="Y111" s="149"/>
      <c r="Z111" s="150"/>
      <c r="AA111" s="150"/>
      <c r="AB111" s="151"/>
      <c r="AC111" s="112"/>
      <c r="AD111" s="149"/>
      <c r="AE111" s="150"/>
      <c r="AF111" s="150"/>
      <c r="AG111" s="151"/>
      <c r="AH111" s="112"/>
      <c r="AI111" s="149"/>
      <c r="AJ111" s="150"/>
      <c r="AK111" s="150"/>
      <c r="AL111" s="151"/>
      <c r="AM111" s="112"/>
      <c r="AN111" s="149"/>
      <c r="AO111" s="150"/>
      <c r="AP111" s="150"/>
      <c r="AQ111" s="151"/>
      <c r="AR111" s="112"/>
      <c r="AS111" s="149"/>
      <c r="AT111" s="150"/>
      <c r="AU111" s="150"/>
      <c r="AV111" s="151"/>
      <c r="AW111" s="112"/>
      <c r="AX111" s="149"/>
      <c r="AY111" s="150"/>
      <c r="AZ111" s="150"/>
      <c r="BA111" s="151"/>
      <c r="BB111" s="112"/>
      <c r="BC111" s="149"/>
      <c r="BD111" s="150"/>
      <c r="BE111" s="150"/>
      <c r="BF111" s="151"/>
      <c r="BG111" s="112"/>
      <c r="BH111" s="149"/>
      <c r="BI111" s="150"/>
      <c r="BJ111" s="150"/>
      <c r="BK111" s="151"/>
      <c r="BL111" s="112"/>
      <c r="BM111" s="149"/>
      <c r="BN111" s="150"/>
      <c r="BO111" s="150"/>
      <c r="BP111" s="151"/>
      <c r="BQ111" s="112"/>
      <c r="BR111" s="74"/>
      <c r="BS111" s="74"/>
      <c r="BT111" s="74"/>
      <c r="BU111" s="74"/>
      <c r="BV111" s="74"/>
      <c r="BW111" s="74"/>
      <c r="BX111" s="74"/>
      <c r="BY111" s="74"/>
      <c r="BZ111" s="74"/>
      <c r="CA111" s="74"/>
      <c r="CB111" s="74"/>
      <c r="CC111" s="74"/>
      <c r="CD111" s="74"/>
      <c r="CE111" s="74"/>
      <c r="CF111" s="74"/>
      <c r="CG111" s="74"/>
      <c r="CH111" s="74"/>
      <c r="CI111" s="74"/>
      <c r="CJ111" s="74"/>
      <c r="CK111" s="74"/>
      <c r="CL111" s="74"/>
      <c r="CM111" s="74"/>
      <c r="CN111" s="74"/>
      <c r="CO111" s="74"/>
      <c r="CP111" s="74"/>
      <c r="CQ111" s="74"/>
      <c r="CR111" s="74"/>
      <c r="CS111" s="74"/>
      <c r="CT111" s="74"/>
      <c r="CU111" s="74"/>
    </row>
    <row r="112" spans="1:99">
      <c r="A112" s="50"/>
      <c r="B112" s="50"/>
      <c r="C112" s="50" t="s">
        <v>209</v>
      </c>
      <c r="D112" s="50"/>
      <c r="E112" s="225"/>
      <c r="F112" s="226"/>
      <c r="G112" s="226"/>
      <c r="H112" s="227"/>
      <c r="I112" s="228"/>
      <c r="J112" s="229"/>
      <c r="K112" s="230"/>
      <c r="L112" s="230"/>
      <c r="M112" s="231"/>
      <c r="N112" s="114"/>
      <c r="O112" s="229"/>
      <c r="P112" s="230"/>
      <c r="Q112" s="230"/>
      <c r="R112" s="231"/>
      <c r="S112" s="114"/>
      <c r="T112" s="229"/>
      <c r="U112" s="230"/>
      <c r="V112" s="230"/>
      <c r="W112" s="231"/>
      <c r="X112" s="114"/>
      <c r="Y112" s="229"/>
      <c r="Z112" s="230"/>
      <c r="AA112" s="230"/>
      <c r="AB112" s="231"/>
      <c r="AC112" s="114">
        <f t="shared" ref="AC112:AH112" si="119">+AC106/X106-1</f>
        <v>-1.4341795341533681E-3</v>
      </c>
      <c r="AD112" s="229">
        <f t="shared" si="119"/>
        <v>5.9851088201603675E-2</v>
      </c>
      <c r="AE112" s="230">
        <f t="shared" si="119"/>
        <v>5.8720695683356361E-3</v>
      </c>
      <c r="AF112" s="230">
        <f t="shared" si="119"/>
        <v>-1.4728651395450432E-2</v>
      </c>
      <c r="AG112" s="231">
        <f t="shared" si="119"/>
        <v>4.3504222468651044E-3</v>
      </c>
      <c r="AH112" s="114">
        <f t="shared" si="119"/>
        <v>1.389063613871766E-2</v>
      </c>
      <c r="AI112" s="229">
        <f t="shared" ref="AI112:AP112" si="120">+AI106/AD106-1</f>
        <v>-2.350716022696564E-2</v>
      </c>
      <c r="AJ112" s="230">
        <f t="shared" si="120"/>
        <v>1.7379679144384763E-3</v>
      </c>
      <c r="AK112" s="230">
        <f t="shared" si="120"/>
        <v>2.8487388185993945E-2</v>
      </c>
      <c r="AL112" s="231">
        <f t="shared" si="120"/>
        <v>-9.3723458467810383E-2</v>
      </c>
      <c r="AM112" s="114">
        <f t="shared" si="120"/>
        <v>-2.1403534168105587E-2</v>
      </c>
      <c r="AN112" s="229">
        <f t="shared" si="120"/>
        <v>-5.873982132974942E-2</v>
      </c>
      <c r="AO112" s="230">
        <f t="shared" si="120"/>
        <v>-1.7616442012545086E-2</v>
      </c>
      <c r="AP112" s="230">
        <f t="shared" si="120"/>
        <v>1.8648383937316382E-2</v>
      </c>
      <c r="AQ112" s="231">
        <f t="shared" ref="AQ112:AU112" si="121">+AQ106/AL106-1</f>
        <v>4.4187245208753057E-2</v>
      </c>
      <c r="AR112" s="114">
        <f t="shared" si="121"/>
        <v>-4.8920680874443567E-3</v>
      </c>
      <c r="AS112" s="229">
        <f t="shared" si="121"/>
        <v>-4.5523265580379668E-2</v>
      </c>
      <c r="AT112" s="230">
        <f t="shared" si="121"/>
        <v>-1.52606077072861E-2</v>
      </c>
      <c r="AU112" s="230">
        <f t="shared" si="121"/>
        <v>-5.269028114303298E-2</v>
      </c>
      <c r="AV112" s="231">
        <f t="shared" ref="AV112" si="122">+AV106/AQ106-1</f>
        <v>3.5989947944713663E-2</v>
      </c>
      <c r="AW112" s="114">
        <f t="shared" ref="AW112" si="123">+AW106/AR106-1</f>
        <v>-2.1119133574007187E-2</v>
      </c>
      <c r="AX112" s="229">
        <f t="shared" ref="AX112:BL112" si="124">+AX106/AS106-1</f>
        <v>6.0321837712976167E-2</v>
      </c>
      <c r="AY112" s="230">
        <f t="shared" si="124"/>
        <v>1.2088421949009165E-2</v>
      </c>
      <c r="AZ112" s="230">
        <f t="shared" si="124"/>
        <v>1.9714086091084271E-2</v>
      </c>
      <c r="BA112" s="231">
        <f t="shared" si="124"/>
        <v>-1.6265876353297126E-2</v>
      </c>
      <c r="BB112" s="114">
        <f t="shared" si="124"/>
        <v>1.8916523134155705E-2</v>
      </c>
      <c r="BC112" s="229">
        <f t="shared" si="124"/>
        <v>0</v>
      </c>
      <c r="BD112" s="230">
        <f t="shared" si="124"/>
        <v>0</v>
      </c>
      <c r="BE112" s="230">
        <f t="shared" si="124"/>
        <v>0</v>
      </c>
      <c r="BF112" s="231">
        <f t="shared" si="124"/>
        <v>0</v>
      </c>
      <c r="BG112" s="114">
        <f t="shared" si="124"/>
        <v>0</v>
      </c>
      <c r="BH112" s="229">
        <f t="shared" si="124"/>
        <v>0</v>
      </c>
      <c r="BI112" s="230">
        <f t="shared" si="124"/>
        <v>0</v>
      </c>
      <c r="BJ112" s="230">
        <f t="shared" si="124"/>
        <v>0</v>
      </c>
      <c r="BK112" s="231">
        <f t="shared" si="124"/>
        <v>0</v>
      </c>
      <c r="BL112" s="114">
        <f t="shared" si="124"/>
        <v>0</v>
      </c>
      <c r="BM112" s="229">
        <f>+BM106/BH106-1</f>
        <v>0</v>
      </c>
      <c r="BN112" s="230">
        <f>+BN106/BI106-1</f>
        <v>0</v>
      </c>
      <c r="BO112" s="230">
        <f>+BO106/BJ106-1</f>
        <v>0</v>
      </c>
      <c r="BP112" s="231">
        <f>+BP106/BK106-1</f>
        <v>0</v>
      </c>
      <c r="BQ112" s="114">
        <f>+BQ106/BL106-1</f>
        <v>0</v>
      </c>
      <c r="BR112" s="50"/>
      <c r="BS112" s="50"/>
      <c r="BT112" s="50"/>
      <c r="BU112" s="50"/>
      <c r="BV112" s="50"/>
      <c r="BW112" s="50"/>
      <c r="BX112" s="50"/>
      <c r="BY112" s="50"/>
      <c r="BZ112" s="50"/>
      <c r="CA112" s="50"/>
      <c r="CB112" s="50"/>
      <c r="CC112" s="50"/>
      <c r="CD112" s="50"/>
      <c r="CE112" s="50"/>
      <c r="CF112" s="50"/>
      <c r="CG112" s="50"/>
      <c r="CH112" s="50"/>
      <c r="CI112" s="50"/>
      <c r="CJ112" s="50"/>
      <c r="CK112" s="50"/>
      <c r="CL112" s="50"/>
      <c r="CM112" s="50"/>
      <c r="CN112" s="50"/>
      <c r="CO112" s="50"/>
      <c r="CP112" s="50"/>
      <c r="CQ112" s="50"/>
      <c r="CR112" s="50"/>
      <c r="CS112" s="50"/>
      <c r="CT112" s="50"/>
      <c r="CU112" s="50"/>
    </row>
    <row r="113" spans="1:99">
      <c r="C113" s="328"/>
      <c r="E113" s="289"/>
      <c r="F113" s="290"/>
      <c r="G113" s="290"/>
      <c r="H113" s="291"/>
      <c r="I113" s="191"/>
      <c r="J113" s="289"/>
      <c r="K113" s="290"/>
      <c r="L113" s="290"/>
      <c r="M113" s="291"/>
      <c r="N113" s="191"/>
      <c r="O113" s="289"/>
      <c r="P113" s="290"/>
      <c r="Q113" s="290"/>
      <c r="R113" s="291"/>
      <c r="S113" s="191"/>
      <c r="T113" s="289"/>
      <c r="U113" s="290"/>
      <c r="V113" s="290"/>
      <c r="W113" s="291"/>
      <c r="X113" s="191"/>
      <c r="Y113" s="289"/>
      <c r="Z113" s="290"/>
      <c r="AA113" s="290"/>
      <c r="AB113" s="291"/>
      <c r="AC113" s="191"/>
      <c r="AD113" s="289"/>
      <c r="AE113" s="290"/>
      <c r="AF113" s="290"/>
      <c r="AG113" s="291"/>
      <c r="AH113" s="191"/>
      <c r="AI113" s="289"/>
      <c r="AJ113" s="290"/>
      <c r="AK113" s="290"/>
      <c r="AL113" s="291"/>
      <c r="AM113" s="191"/>
      <c r="AN113" s="289"/>
      <c r="AO113" s="290"/>
      <c r="AP113" s="290"/>
      <c r="AQ113" s="291"/>
      <c r="AR113" s="191"/>
      <c r="AS113" s="289"/>
      <c r="AT113" s="290"/>
      <c r="AU113" s="290"/>
      <c r="AV113" s="291"/>
      <c r="AW113" s="191"/>
      <c r="AX113" s="289"/>
      <c r="AY113" s="290"/>
      <c r="AZ113" s="290"/>
      <c r="BA113" s="291"/>
      <c r="BB113" s="191"/>
      <c r="BC113" s="289"/>
      <c r="BD113" s="290"/>
      <c r="BE113" s="290"/>
      <c r="BF113" s="291"/>
      <c r="BG113" s="191"/>
      <c r="BH113" s="289"/>
      <c r="BI113" s="290"/>
      <c r="BJ113" s="290"/>
      <c r="BK113" s="291"/>
      <c r="BL113" s="191"/>
      <c r="BM113" s="289"/>
      <c r="BN113" s="290"/>
      <c r="BO113" s="290"/>
      <c r="BP113" s="291"/>
      <c r="BQ113" s="191"/>
    </row>
    <row r="114" spans="1:99">
      <c r="C114" s="56" t="s">
        <v>1003</v>
      </c>
      <c r="E114" s="588"/>
      <c r="F114" s="589"/>
      <c r="G114" s="589"/>
      <c r="H114" s="590"/>
      <c r="I114" s="332"/>
      <c r="J114" s="329"/>
      <c r="K114" s="330"/>
      <c r="L114" s="330"/>
      <c r="M114" s="331"/>
      <c r="N114" s="332"/>
      <c r="O114" s="329"/>
      <c r="P114" s="330"/>
      <c r="Q114" s="330"/>
      <c r="R114" s="331"/>
      <c r="S114" s="332"/>
      <c r="T114" s="329"/>
      <c r="U114" s="330"/>
      <c r="V114" s="330"/>
      <c r="W114" s="331"/>
      <c r="X114" s="332">
        <f>X99/X108*1000</f>
        <v>75.831749814808845</v>
      </c>
      <c r="Y114" s="329">
        <f t="shared" ref="Y114:AH114" si="125">Y99/Y108*1000</f>
        <v>77.566598558155675</v>
      </c>
      <c r="Z114" s="330">
        <f t="shared" si="125"/>
        <v>76.001815855722</v>
      </c>
      <c r="AA114" s="330">
        <f t="shared" si="125"/>
        <v>82.547578669681556</v>
      </c>
      <c r="AB114" s="331">
        <f t="shared" si="125"/>
        <v>77.547870774762728</v>
      </c>
      <c r="AC114" s="332">
        <f t="shared" si="125"/>
        <v>78.487435883337128</v>
      </c>
      <c r="AD114" s="329">
        <f t="shared" si="125"/>
        <v>71.652212462940895</v>
      </c>
      <c r="AE114" s="330">
        <f t="shared" si="125"/>
        <v>72.546871979898199</v>
      </c>
      <c r="AF114" s="330">
        <f t="shared" si="125"/>
        <v>73.243647234678619</v>
      </c>
      <c r="AG114" s="331">
        <f t="shared" si="125"/>
        <v>72.305818050113601</v>
      </c>
      <c r="AH114" s="332">
        <f t="shared" si="125"/>
        <v>72.422377323334914</v>
      </c>
      <c r="AI114" s="329">
        <f t="shared" ref="AI114:AN114" si="126">AI99/AI108*1000</f>
        <v>74.629088959065726</v>
      </c>
      <c r="AJ114" s="330">
        <f t="shared" si="126"/>
        <v>76.914946092593908</v>
      </c>
      <c r="AK114" s="330">
        <f t="shared" si="126"/>
        <v>76.973397296118634</v>
      </c>
      <c r="AL114" s="331">
        <f t="shared" si="126"/>
        <v>77.591921683496523</v>
      </c>
      <c r="AM114" s="332">
        <f t="shared" si="126"/>
        <v>76.437547918263945</v>
      </c>
      <c r="AN114" s="329">
        <f t="shared" si="126"/>
        <v>78.506502587050761</v>
      </c>
      <c r="AO114" s="330">
        <f t="shared" ref="AO114:AU114" si="127">AO99/AO108*1000</f>
        <v>76.529032722560217</v>
      </c>
      <c r="AP114" s="330">
        <f t="shared" si="127"/>
        <v>78.016846731367878</v>
      </c>
      <c r="AQ114" s="331">
        <f t="shared" si="127"/>
        <v>76.981360273192919</v>
      </c>
      <c r="AR114" s="332">
        <f t="shared" si="127"/>
        <v>77.535583015665907</v>
      </c>
      <c r="AS114" s="329">
        <f t="shared" si="127"/>
        <v>78.344450145373699</v>
      </c>
      <c r="AT114" s="330">
        <f t="shared" si="127"/>
        <v>76.651966454598025</v>
      </c>
      <c r="AU114" s="330">
        <f t="shared" si="127"/>
        <v>78.880132197788228</v>
      </c>
      <c r="AV114" s="331">
        <f t="shared" ref="AV114:AW114" si="128">AV99/AV108*1000</f>
        <v>79.486204273563402</v>
      </c>
      <c r="AW114" s="332">
        <f t="shared" si="128"/>
        <v>78.370520679688639</v>
      </c>
      <c r="AX114" s="329">
        <f>AS114+(AX116/AX108*1000)</f>
        <v>77.271768181242905</v>
      </c>
      <c r="AY114" s="330">
        <f>AT114+(AY116/AY108*1000)</f>
        <v>76.566613979113555</v>
      </c>
      <c r="AZ114" s="330">
        <f>AU114+(AZ116/AZ108*1000)</f>
        <v>79.400636265835317</v>
      </c>
      <c r="BA114" s="331">
        <f>AV114+(BA116/BA108*1000)</f>
        <v>79.726973953638833</v>
      </c>
      <c r="BB114" s="332">
        <f>BB99/BB108*1000</f>
        <v>78.266670856149773</v>
      </c>
      <c r="BC114" s="329">
        <f>AX114+(BC116/BC108*1000)</f>
        <v>80.006621040429636</v>
      </c>
      <c r="BD114" s="330">
        <f>AY114+(BD116/BD108*1000)</f>
        <v>78.374507324592514</v>
      </c>
      <c r="BE114" s="330">
        <f>AZ114+(BE116/BE108*1000)</f>
        <v>80.904601353948181</v>
      </c>
      <c r="BF114" s="331">
        <f>BA114+(BF116/BF108*1000)</f>
        <v>81.131874543725047</v>
      </c>
      <c r="BG114" s="332">
        <f>BG99/BG108*1000</f>
        <v>80.134653042322142</v>
      </c>
      <c r="BH114" s="329">
        <f>BC114+(BH116/BH108*1000)</f>
        <v>81.681865411163059</v>
      </c>
      <c r="BI114" s="330">
        <f>BD114+(BI116/BI108*1000)</f>
        <v>80.267429158934533</v>
      </c>
      <c r="BJ114" s="330">
        <f>BE114+(BJ116/BJ108*1000)</f>
        <v>83.029974611312696</v>
      </c>
      <c r="BK114" s="331">
        <f>BF114+(BK116/BK108*1000)</f>
        <v>83.11070695382142</v>
      </c>
      <c r="BL114" s="332">
        <f>BL99/BL108*1000</f>
        <v>82.054609172897287</v>
      </c>
      <c r="BM114" s="329">
        <f>BH114+(BM116/BM108*1000)</f>
        <v>85.376820873742091</v>
      </c>
      <c r="BN114" s="330">
        <f>BI114+(BN116/BN108*1000)</f>
        <v>84.22558729107223</v>
      </c>
      <c r="BO114" s="330">
        <f>BJ114+(BO116/BO108*1000)</f>
        <v>86.545625483533456</v>
      </c>
      <c r="BP114" s="331">
        <f>BK114+(BP116/BP108*1000)</f>
        <v>86.752769501565751</v>
      </c>
      <c r="BQ114" s="332">
        <f>BQ99/BQ108*1000</f>
        <v>85.750498054081277</v>
      </c>
    </row>
    <row r="115" spans="1:99">
      <c r="C115" s="100"/>
      <c r="E115" s="289"/>
      <c r="F115" s="290"/>
      <c r="G115" s="290"/>
      <c r="H115" s="291"/>
      <c r="I115" s="191"/>
      <c r="J115" s="289"/>
      <c r="K115" s="290"/>
      <c r="L115" s="290"/>
      <c r="M115" s="291"/>
      <c r="N115" s="191"/>
      <c r="O115" s="289"/>
      <c r="P115" s="290"/>
      <c r="Q115" s="290"/>
      <c r="R115" s="291"/>
      <c r="S115" s="191"/>
      <c r="T115" s="289"/>
      <c r="U115" s="290"/>
      <c r="V115" s="290"/>
      <c r="W115" s="291"/>
      <c r="X115" s="191"/>
      <c r="Y115" s="289"/>
      <c r="Z115" s="290"/>
      <c r="AA115" s="290"/>
      <c r="AB115" s="291"/>
      <c r="AC115" s="191"/>
      <c r="AD115" s="289"/>
      <c r="AE115" s="290"/>
      <c r="AF115" s="290"/>
      <c r="AG115" s="291"/>
      <c r="AH115" s="191"/>
      <c r="AI115" s="289"/>
      <c r="AJ115" s="290"/>
      <c r="AK115" s="290"/>
      <c r="AL115" s="291"/>
      <c r="AM115" s="191"/>
      <c r="AN115" s="289"/>
      <c r="AO115" s="290"/>
      <c r="AP115" s="290"/>
      <c r="AQ115" s="291"/>
      <c r="AR115" s="191"/>
      <c r="AS115" s="289"/>
      <c r="AT115" s="290"/>
      <c r="AU115" s="290"/>
      <c r="AV115" s="291"/>
      <c r="AW115" s="191"/>
      <c r="AX115" s="289"/>
      <c r="AY115" s="290"/>
      <c r="AZ115" s="290"/>
      <c r="BA115" s="291"/>
      <c r="BB115" s="191"/>
      <c r="BC115" s="289"/>
      <c r="BD115" s="290"/>
      <c r="BE115" s="290"/>
      <c r="BF115" s="291"/>
      <c r="BG115" s="191"/>
      <c r="BH115" s="289"/>
      <c r="BI115" s="290"/>
      <c r="BJ115" s="290"/>
      <c r="BK115" s="291"/>
      <c r="BL115" s="191"/>
      <c r="BM115" s="289"/>
      <c r="BN115" s="290"/>
      <c r="BO115" s="290"/>
      <c r="BP115" s="291"/>
      <c r="BQ115" s="191"/>
    </row>
    <row r="116" spans="1:99">
      <c r="C116" s="50" t="s">
        <v>210</v>
      </c>
      <c r="E116" s="182"/>
      <c r="F116" s="186"/>
      <c r="G116" s="186"/>
      <c r="H116" s="184"/>
      <c r="I116" s="490"/>
      <c r="J116" s="182"/>
      <c r="K116" s="186"/>
      <c r="L116" s="186"/>
      <c r="M116" s="184"/>
      <c r="N116" s="490"/>
      <c r="O116" s="182"/>
      <c r="P116" s="186"/>
      <c r="Q116" s="160"/>
      <c r="R116" s="144"/>
      <c r="S116" s="109"/>
      <c r="T116" s="182"/>
      <c r="U116" s="186"/>
      <c r="V116" s="186"/>
      <c r="W116" s="144"/>
      <c r="X116" s="109"/>
      <c r="Y116" s="182"/>
      <c r="Z116" s="186"/>
      <c r="AA116" s="186"/>
      <c r="AB116" s="144"/>
      <c r="AC116" s="109"/>
      <c r="AD116" s="161"/>
      <c r="AE116" s="160"/>
      <c r="AF116" s="160"/>
      <c r="AG116" s="1487"/>
      <c r="AH116" s="1382"/>
      <c r="AI116" s="161"/>
      <c r="AJ116" s="160"/>
      <c r="AK116" s="160"/>
      <c r="AL116" s="1487"/>
      <c r="AM116" s="1382"/>
      <c r="AN116" s="161"/>
      <c r="AO116" s="160"/>
      <c r="AP116" s="160"/>
      <c r="AQ116" s="1487"/>
      <c r="AR116" s="1382"/>
      <c r="AS116" s="161"/>
      <c r="AT116" s="160"/>
      <c r="AU116" s="160"/>
      <c r="AV116" s="1487"/>
      <c r="AW116" s="1382"/>
      <c r="AX116" s="161">
        <f>SUM(AX53:AX71)-AS71</f>
        <v>-32.655999999999999</v>
      </c>
      <c r="AY116" s="160">
        <f>SUM(AY53:AY71)-AT71</f>
        <v>-2.3709999999999951</v>
      </c>
      <c r="AZ116" s="160">
        <f>SUM(AZ53:AZ71)-AU71</f>
        <v>16.542999999999992</v>
      </c>
      <c r="BA116" s="144">
        <f>SUM(BA53:BA71)-AV71</f>
        <v>6.8380000000000081</v>
      </c>
      <c r="BB116" s="109">
        <f>SUM(AX116:BA116)</f>
        <v>-11.645999999999994</v>
      </c>
      <c r="BC116" s="161">
        <f>SUM(BC53:BC71)-AX71</f>
        <v>83.257999999999996</v>
      </c>
      <c r="BD116" s="160">
        <f>SUM(BD53:BD71)-AY71</f>
        <v>50.22133333333332</v>
      </c>
      <c r="BE116" s="160">
        <f>SUM(BE53:BE71)-AZ71</f>
        <v>47.800000000000004</v>
      </c>
      <c r="BF116" s="144">
        <f>SUM(BF53:BF71)-BA71</f>
        <v>39.899999999999991</v>
      </c>
      <c r="BG116" s="109">
        <f>SUM(BC116:BF116)</f>
        <v>221.17933333333332</v>
      </c>
      <c r="BH116" s="161">
        <f>SUM(BH53:BH71)-BC71</f>
        <v>51.000000000000007</v>
      </c>
      <c r="BI116" s="160">
        <f>SUM(BI53:BI71)-BD71</f>
        <v>52.583333333333336</v>
      </c>
      <c r="BJ116" s="160">
        <f>SUM(BJ53:BJ71)-BE71</f>
        <v>67.550000000000011</v>
      </c>
      <c r="BK116" s="144">
        <f>SUM(BK53:BK71)-BF71</f>
        <v>56.20000000000001</v>
      </c>
      <c r="BL116" s="109">
        <f>SUM(BH116:BK116)</f>
        <v>227.33333333333337</v>
      </c>
      <c r="BM116" s="161">
        <f>SUM(BM53:BM71)-BH71</f>
        <v>112.48671052631579</v>
      </c>
      <c r="BN116" s="160">
        <f>SUM(BN53:BN71)-BI71</f>
        <v>109.95337719298246</v>
      </c>
      <c r="BO116" s="160">
        <f>SUM(BO53:BO71)-BJ71</f>
        <v>111.73671052631579</v>
      </c>
      <c r="BP116" s="144">
        <f>SUM(BP53:BP71)-BK71</f>
        <v>103.43671052631578</v>
      </c>
      <c r="BQ116" s="109">
        <f>SUM(BM116:BP116)</f>
        <v>437.61350877192979</v>
      </c>
    </row>
    <row r="117" spans="1:99">
      <c r="C117" s="56"/>
      <c r="E117" s="289"/>
      <c r="F117" s="290"/>
      <c r="G117" s="290"/>
      <c r="H117" s="291"/>
      <c r="I117" s="333"/>
      <c r="J117" s="289"/>
      <c r="K117" s="290"/>
      <c r="L117" s="290"/>
      <c r="M117" s="291"/>
      <c r="N117" s="333"/>
      <c r="O117" s="289"/>
      <c r="P117" s="290"/>
      <c r="Q117" s="290"/>
      <c r="R117" s="291"/>
      <c r="S117" s="191"/>
      <c r="T117" s="289"/>
      <c r="U117" s="290"/>
      <c r="V117" s="290"/>
      <c r="W117" s="291"/>
      <c r="X117" s="191"/>
      <c r="Y117" s="289"/>
      <c r="Z117" s="290"/>
      <c r="AA117" s="290"/>
      <c r="AB117" s="291"/>
      <c r="AC117" s="191"/>
      <c r="AD117" s="289"/>
      <c r="AE117" s="290"/>
      <c r="AF117" s="290"/>
      <c r="AG117" s="291"/>
      <c r="AH117" s="191"/>
      <c r="AI117" s="289"/>
      <c r="AJ117" s="290"/>
      <c r="AK117" s="290"/>
      <c r="AL117" s="291"/>
      <c r="AM117" s="191"/>
      <c r="AN117" s="289"/>
      <c r="AO117" s="290"/>
      <c r="AP117" s="290"/>
      <c r="AQ117" s="291"/>
      <c r="AR117" s="191"/>
      <c r="AS117" s="289"/>
      <c r="AT117" s="290"/>
      <c r="AU117" s="290"/>
      <c r="AV117" s="291"/>
      <c r="AW117" s="191"/>
      <c r="AX117" s="289"/>
      <c r="AY117" s="290"/>
      <c r="AZ117" s="290"/>
      <c r="BA117" s="291"/>
      <c r="BB117" s="191"/>
      <c r="BC117" s="289"/>
      <c r="BD117" s="290"/>
      <c r="BE117" s="290"/>
      <c r="BF117" s="291"/>
      <c r="BG117" s="191"/>
      <c r="BH117" s="289"/>
      <c r="BI117" s="290"/>
      <c r="BJ117" s="290"/>
      <c r="BK117" s="291"/>
      <c r="BL117" s="191"/>
      <c r="BM117" s="289"/>
      <c r="BN117" s="290"/>
      <c r="BO117" s="290"/>
      <c r="BP117" s="291"/>
      <c r="BQ117" s="191"/>
    </row>
    <row r="118" spans="1:99">
      <c r="C118" s="56" t="s">
        <v>211</v>
      </c>
      <c r="E118" s="289"/>
      <c r="F118" s="290"/>
      <c r="G118" s="290"/>
      <c r="H118" s="291"/>
      <c r="I118" s="191"/>
      <c r="J118" s="289"/>
      <c r="K118" s="290"/>
      <c r="L118" s="290"/>
      <c r="M118" s="291"/>
      <c r="N118" s="191"/>
      <c r="O118" s="289"/>
      <c r="P118" s="290"/>
      <c r="Q118" s="290"/>
      <c r="R118" s="291"/>
      <c r="S118" s="191"/>
      <c r="T118" s="289"/>
      <c r="U118" s="290"/>
      <c r="V118" s="290"/>
      <c r="W118" s="291"/>
      <c r="X118" s="191"/>
      <c r="Y118" s="289"/>
      <c r="Z118" s="290"/>
      <c r="AA118" s="290"/>
      <c r="AB118" s="291"/>
      <c r="AC118" s="191"/>
      <c r="AD118" s="289"/>
      <c r="AE118" s="290"/>
      <c r="AF118" s="290"/>
      <c r="AG118" s="291"/>
      <c r="AH118" s="191"/>
      <c r="AI118" s="289"/>
      <c r="AJ118" s="290"/>
      <c r="AK118" s="290"/>
      <c r="AL118" s="291"/>
      <c r="AM118" s="191"/>
      <c r="AN118" s="289"/>
      <c r="AO118" s="290"/>
      <c r="AP118" s="290"/>
      <c r="AQ118" s="291"/>
      <c r="AR118" s="191"/>
      <c r="AS118" s="289"/>
      <c r="AT118" s="290"/>
      <c r="AU118" s="290"/>
      <c r="AV118" s="291"/>
      <c r="AW118" s="191"/>
      <c r="AX118" s="289"/>
      <c r="AY118" s="290"/>
      <c r="AZ118" s="290"/>
      <c r="BA118" s="291"/>
      <c r="BB118" s="191"/>
      <c r="BC118" s="289"/>
      <c r="BD118" s="290"/>
      <c r="BE118" s="290"/>
      <c r="BF118" s="291"/>
      <c r="BG118" s="191"/>
      <c r="BH118" s="289"/>
      <c r="BI118" s="290"/>
      <c r="BJ118" s="290"/>
      <c r="BK118" s="291"/>
      <c r="BL118" s="191"/>
      <c r="BM118" s="289"/>
      <c r="BN118" s="290"/>
      <c r="BO118" s="290"/>
      <c r="BP118" s="291"/>
      <c r="BQ118" s="191"/>
    </row>
    <row r="119" spans="1:99" s="50" customFormat="1">
      <c r="A119" s="242"/>
      <c r="B119" s="242"/>
      <c r="C119" s="50" t="s">
        <v>351</v>
      </c>
      <c r="D119" s="109"/>
      <c r="E119" s="161"/>
      <c r="F119" s="160"/>
      <c r="G119" s="160"/>
      <c r="H119" s="144"/>
      <c r="I119" s="109"/>
      <c r="J119" s="161"/>
      <c r="K119" s="160"/>
      <c r="L119" s="160"/>
      <c r="M119" s="144"/>
      <c r="N119" s="109"/>
      <c r="O119" s="161"/>
      <c r="P119" s="160"/>
      <c r="Q119" s="160"/>
      <c r="R119" s="144"/>
      <c r="S119" s="109"/>
      <c r="T119" s="161"/>
      <c r="U119" s="160"/>
      <c r="V119" s="160"/>
      <c r="W119" s="144"/>
      <c r="X119" s="109">
        <f t="shared" ref="X119:AE119" si="129">X9</f>
        <v>4408</v>
      </c>
      <c r="Y119" s="161">
        <f t="shared" si="129"/>
        <v>1201</v>
      </c>
      <c r="Z119" s="160">
        <f t="shared" si="129"/>
        <v>1064</v>
      </c>
      <c r="AA119" s="160">
        <f t="shared" si="129"/>
        <v>1325</v>
      </c>
      <c r="AB119" s="144">
        <f t="shared" si="129"/>
        <v>1180</v>
      </c>
      <c r="AC119" s="109">
        <f t="shared" si="129"/>
        <v>4770</v>
      </c>
      <c r="AD119" s="161">
        <f t="shared" si="129"/>
        <v>1094</v>
      </c>
      <c r="AE119" s="160">
        <f t="shared" si="129"/>
        <v>934</v>
      </c>
      <c r="AF119" s="160">
        <f t="shared" ref="AF119:AM119" si="130">AF9</f>
        <v>1010</v>
      </c>
      <c r="AG119" s="144">
        <f t="shared" si="130"/>
        <v>915</v>
      </c>
      <c r="AH119" s="109">
        <f t="shared" si="130"/>
        <v>3953</v>
      </c>
      <c r="AI119" s="161">
        <f t="shared" si="130"/>
        <v>983</v>
      </c>
      <c r="AJ119" s="160">
        <f t="shared" si="130"/>
        <v>781</v>
      </c>
      <c r="AK119" s="160">
        <f t="shared" si="130"/>
        <v>931</v>
      </c>
      <c r="AL119" s="144">
        <f t="shared" si="130"/>
        <v>718.30000000000018</v>
      </c>
      <c r="AM119" s="109">
        <f t="shared" si="130"/>
        <v>3413.3</v>
      </c>
      <c r="AN119" s="161">
        <f t="shared" ref="AN119:AS119" si="131">AN9</f>
        <v>742</v>
      </c>
      <c r="AO119" s="160">
        <f t="shared" si="131"/>
        <v>699.5</v>
      </c>
      <c r="AP119" s="160">
        <f t="shared" si="131"/>
        <v>858.3</v>
      </c>
      <c r="AQ119" s="144">
        <f t="shared" si="131"/>
        <v>779.5</v>
      </c>
      <c r="AR119" s="109">
        <f t="shared" si="131"/>
        <v>3079.3</v>
      </c>
      <c r="AS119" s="161">
        <f t="shared" si="131"/>
        <v>788.4</v>
      </c>
      <c r="AT119" s="160">
        <f>AT9</f>
        <v>711.9</v>
      </c>
      <c r="AU119" s="160">
        <f>AU9</f>
        <v>868.6</v>
      </c>
      <c r="AV119" s="144">
        <f t="shared" ref="AV119:AW119" si="132">AV9</f>
        <v>773.79999999999973</v>
      </c>
      <c r="AW119" s="109">
        <f t="shared" si="132"/>
        <v>3142.7</v>
      </c>
      <c r="AX119" s="161">
        <f>+AX120*AX108/1000</f>
        <v>820.98557459185724</v>
      </c>
      <c r="AY119" s="160">
        <f>+AY120*AY108/1000</f>
        <v>714.85745307960792</v>
      </c>
      <c r="AZ119" s="160">
        <f>+AZ120*AZ108/1000</f>
        <v>877.28524519216182</v>
      </c>
      <c r="BA119" s="144">
        <f>+BA120*BA108/1000</f>
        <v>759.84971406435636</v>
      </c>
      <c r="BB119" s="109">
        <f>SUM(AX119:BA119)</f>
        <v>3172.9779869279832</v>
      </c>
      <c r="BC119" s="161">
        <f>+BC120*BC108/1000</f>
        <v>820.98557459185724</v>
      </c>
      <c r="BD119" s="160">
        <f>+BD120*BD108/1000</f>
        <v>714.85745307960792</v>
      </c>
      <c r="BE119" s="160">
        <f>+BE120*BE108/1000</f>
        <v>877.28524519216182</v>
      </c>
      <c r="BF119" s="144">
        <f>+BF120*BF108/1000</f>
        <v>759.84971406435636</v>
      </c>
      <c r="BG119" s="109">
        <f>SUM(BC119:BF119)</f>
        <v>3172.9779869279832</v>
      </c>
      <c r="BH119" s="161">
        <f>+BH120*BH108/1000</f>
        <v>820.98557459185724</v>
      </c>
      <c r="BI119" s="160">
        <f>+BI120*BI108/1000</f>
        <v>714.85745307960792</v>
      </c>
      <c r="BJ119" s="160">
        <f>+BJ120*BJ108/1000</f>
        <v>877.28524519216182</v>
      </c>
      <c r="BK119" s="144">
        <f>+BK120*BK108/1000</f>
        <v>759.84971406435636</v>
      </c>
      <c r="BL119" s="109">
        <f>SUM(BH119:BK119)</f>
        <v>3172.9779869279832</v>
      </c>
      <c r="BM119" s="161">
        <f>+BM120*BM108/1000</f>
        <v>820.98557459185724</v>
      </c>
      <c r="BN119" s="160">
        <f>+BN120*BN108/1000</f>
        <v>714.85745307960792</v>
      </c>
      <c r="BO119" s="160">
        <f>+BO120*BO108/1000</f>
        <v>877.28524519216182</v>
      </c>
      <c r="BP119" s="144">
        <f>+BP120*BP108/1000</f>
        <v>759.84971406435636</v>
      </c>
      <c r="BQ119" s="109">
        <f>SUM(BM119:BP119)</f>
        <v>3172.9779869279832</v>
      </c>
      <c r="BR119" s="242"/>
      <c r="BS119" s="242"/>
      <c r="BT119" s="242"/>
      <c r="BU119" s="242"/>
      <c r="BV119" s="242"/>
      <c r="BW119" s="242"/>
      <c r="BX119" s="242"/>
      <c r="BY119" s="242"/>
      <c r="BZ119" s="242"/>
      <c r="CA119" s="242"/>
      <c r="CB119" s="242"/>
      <c r="CC119" s="242"/>
      <c r="CD119" s="242"/>
      <c r="CE119" s="242"/>
      <c r="CF119" s="242"/>
      <c r="CG119" s="242"/>
      <c r="CH119" s="242"/>
      <c r="CI119" s="242"/>
      <c r="CJ119" s="242"/>
      <c r="CK119" s="242"/>
      <c r="CL119" s="242"/>
      <c r="CM119" s="242"/>
      <c r="CN119" s="242"/>
      <c r="CO119" s="242"/>
      <c r="CP119" s="242"/>
      <c r="CQ119" s="242"/>
      <c r="CR119" s="242"/>
      <c r="CS119" s="242"/>
      <c r="CT119" s="242"/>
      <c r="CU119" s="242"/>
    </row>
    <row r="120" spans="1:99">
      <c r="C120" s="50" t="s">
        <v>212</v>
      </c>
      <c r="E120" s="591"/>
      <c r="F120" s="592"/>
      <c r="G120" s="592"/>
      <c r="H120" s="593"/>
      <c r="I120" s="337"/>
      <c r="J120" s="334"/>
      <c r="K120" s="335"/>
      <c r="L120" s="335"/>
      <c r="M120" s="336"/>
      <c r="N120" s="337"/>
      <c r="O120" s="334"/>
      <c r="P120" s="335"/>
      <c r="Q120" s="335"/>
      <c r="R120" s="336"/>
      <c r="S120" s="337"/>
      <c r="T120" s="334"/>
      <c r="U120" s="335"/>
      <c r="V120" s="335"/>
      <c r="W120" s="336"/>
      <c r="X120" s="337">
        <f t="shared" ref="X120:AE120" si="133">+X119/X108*1000</f>
        <v>35.492286386034976</v>
      </c>
      <c r="Y120" s="334">
        <f t="shared" si="133"/>
        <v>37.040749450634181</v>
      </c>
      <c r="Z120" s="335">
        <f t="shared" si="133"/>
        <v>35.128554331228592</v>
      </c>
      <c r="AA120" s="335">
        <f t="shared" si="133"/>
        <v>39.947239495006592</v>
      </c>
      <c r="AB120" s="336">
        <f t="shared" si="133"/>
        <v>37.548825405917121</v>
      </c>
      <c r="AC120" s="337">
        <f t="shared" si="133"/>
        <v>37.468481701713181</v>
      </c>
      <c r="AD120" s="334">
        <f t="shared" si="133"/>
        <v>30.312266215954118</v>
      </c>
      <c r="AE120" s="335">
        <f t="shared" si="133"/>
        <v>30.088267508536823</v>
      </c>
      <c r="AF120" s="335">
        <f t="shared" ref="AF120:AM120" si="134">+AF119/AF108*1000</f>
        <v>30.194319880418533</v>
      </c>
      <c r="AG120" s="336">
        <f t="shared" si="134"/>
        <v>30.12742418754733</v>
      </c>
      <c r="AH120" s="337">
        <f t="shared" si="134"/>
        <v>30.18617224368862</v>
      </c>
      <c r="AI120" s="334">
        <f t="shared" si="134"/>
        <v>29.285586605493656</v>
      </c>
      <c r="AJ120" s="335">
        <f t="shared" si="134"/>
        <v>27.517440631386091</v>
      </c>
      <c r="AK120" s="335">
        <f t="shared" si="134"/>
        <v>29.001308329699086</v>
      </c>
      <c r="AL120" s="336">
        <f t="shared" si="134"/>
        <v>27.684421490788566</v>
      </c>
      <c r="AM120" s="337">
        <f t="shared" si="134"/>
        <v>28.445114837161242</v>
      </c>
      <c r="AN120" s="334">
        <f t="shared" ref="AN120:AS120" si="135">+AN119/AN108*1000</f>
        <v>25.940427912180116</v>
      </c>
      <c r="AO120" s="335">
        <f t="shared" si="135"/>
        <v>25.180892040750209</v>
      </c>
      <c r="AP120" s="335">
        <f t="shared" si="135"/>
        <v>26.194836110602452</v>
      </c>
      <c r="AQ120" s="336">
        <f t="shared" si="135"/>
        <v>27.728372225384177</v>
      </c>
      <c r="AR120" s="337">
        <f t="shared" si="135"/>
        <v>26.260222921516959</v>
      </c>
      <c r="AS120" s="334">
        <f t="shared" si="135"/>
        <v>26.967675731144176</v>
      </c>
      <c r="AT120" s="335">
        <f>+AT119/AT108*1000</f>
        <v>25.733805668016192</v>
      </c>
      <c r="AU120" s="335">
        <f>+AU119/AU108*1000</f>
        <v>27.602643955764588</v>
      </c>
      <c r="AV120" s="336">
        <f t="shared" ref="AV120:AW120" si="136">+AV119/AV108*1000</f>
        <v>26.754719590623047</v>
      </c>
      <c r="AW120" s="337">
        <f t="shared" si="136"/>
        <v>26.794499057882664</v>
      </c>
      <c r="AX120" s="334">
        <f>+AS120</f>
        <v>26.967675731144176</v>
      </c>
      <c r="AY120" s="335">
        <f>+AT120</f>
        <v>25.733805668016192</v>
      </c>
      <c r="AZ120" s="335">
        <f>+AU120</f>
        <v>27.602643955764588</v>
      </c>
      <c r="BA120" s="336">
        <f>+AV120</f>
        <v>26.754719590623047</v>
      </c>
      <c r="BB120" s="337">
        <f>+BB119/BB108*1000</f>
        <v>26.797559552121751</v>
      </c>
      <c r="BC120" s="334">
        <f>+AX120</f>
        <v>26.967675731144176</v>
      </c>
      <c r="BD120" s="335">
        <f>+AY120</f>
        <v>25.733805668016192</v>
      </c>
      <c r="BE120" s="335">
        <f>+AZ120</f>
        <v>27.602643955764588</v>
      </c>
      <c r="BF120" s="336">
        <f>+BA120</f>
        <v>26.754719590623047</v>
      </c>
      <c r="BG120" s="337">
        <f>+BG119/BG108*1000</f>
        <v>26.797559552121751</v>
      </c>
      <c r="BH120" s="334">
        <f>+BC120</f>
        <v>26.967675731144176</v>
      </c>
      <c r="BI120" s="335">
        <f>+BD120</f>
        <v>25.733805668016192</v>
      </c>
      <c r="BJ120" s="335">
        <f>+BE120</f>
        <v>27.602643955764588</v>
      </c>
      <c r="BK120" s="336">
        <f>+BF120</f>
        <v>26.754719590623047</v>
      </c>
      <c r="BL120" s="337">
        <f>+BL119/BL108*1000</f>
        <v>26.797559552121751</v>
      </c>
      <c r="BM120" s="334">
        <f>+BH120</f>
        <v>26.967675731144176</v>
      </c>
      <c r="BN120" s="335">
        <f>+BI120</f>
        <v>25.733805668016192</v>
      </c>
      <c r="BO120" s="335">
        <f>+BJ120</f>
        <v>27.602643955764588</v>
      </c>
      <c r="BP120" s="336">
        <f>+BK120</f>
        <v>26.754719590623047</v>
      </c>
      <c r="BQ120" s="337">
        <f>+BQ119/BQ108*1000</f>
        <v>26.797559552121751</v>
      </c>
    </row>
    <row r="121" spans="1:99">
      <c r="C121" s="56"/>
      <c r="E121" s="289"/>
      <c r="F121" s="290"/>
      <c r="G121" s="290"/>
      <c r="H121" s="291"/>
      <c r="I121" s="191"/>
      <c r="J121" s="289"/>
      <c r="K121" s="290"/>
      <c r="L121" s="290"/>
      <c r="M121" s="291"/>
      <c r="N121" s="191"/>
      <c r="O121" s="289"/>
      <c r="P121" s="290"/>
      <c r="Q121" s="290"/>
      <c r="R121" s="291"/>
      <c r="S121" s="191"/>
      <c r="T121" s="289"/>
      <c r="U121" s="290"/>
      <c r="V121" s="290"/>
      <c r="W121" s="291"/>
      <c r="X121" s="191"/>
      <c r="Y121" s="289"/>
      <c r="Z121" s="290"/>
      <c r="AA121" s="290"/>
      <c r="AB121" s="291"/>
      <c r="AC121" s="191"/>
      <c r="AD121" s="289"/>
      <c r="AE121" s="290"/>
      <c r="AF121" s="290"/>
      <c r="AG121" s="291"/>
      <c r="AH121" s="191"/>
      <c r="AI121" s="289"/>
      <c r="AJ121" s="290"/>
      <c r="AK121" s="290"/>
      <c r="AL121" s="291"/>
      <c r="AM121" s="191"/>
      <c r="AN121" s="289"/>
      <c r="AO121" s="290"/>
      <c r="AP121" s="290"/>
      <c r="AQ121" s="291"/>
      <c r="AR121" s="191"/>
      <c r="AS121" s="289"/>
      <c r="AT121" s="290"/>
      <c r="AU121" s="290"/>
      <c r="AV121" s="291"/>
      <c r="AW121" s="191"/>
      <c r="AX121" s="289"/>
      <c r="AY121" s="290"/>
      <c r="AZ121" s="290"/>
      <c r="BA121" s="291"/>
      <c r="BB121" s="191"/>
      <c r="BC121" s="289"/>
      <c r="BD121" s="290"/>
      <c r="BE121" s="290"/>
      <c r="BF121" s="291"/>
      <c r="BG121" s="191"/>
      <c r="BH121" s="289"/>
      <c r="BI121" s="290"/>
      <c r="BJ121" s="290"/>
      <c r="BK121" s="291"/>
      <c r="BL121" s="191"/>
      <c r="BM121" s="289"/>
      <c r="BN121" s="290"/>
      <c r="BO121" s="290"/>
      <c r="BP121" s="291"/>
      <c r="BQ121" s="191"/>
    </row>
    <row r="122" spans="1:99">
      <c r="C122" s="56" t="s">
        <v>213</v>
      </c>
      <c r="E122" s="149"/>
      <c r="F122" s="150"/>
      <c r="G122" s="150"/>
      <c r="H122" s="151"/>
      <c r="I122" s="112"/>
      <c r="J122" s="149"/>
      <c r="K122" s="150"/>
      <c r="L122" s="150"/>
      <c r="M122" s="151"/>
      <c r="N122" s="112"/>
      <c r="O122" s="338"/>
      <c r="P122" s="339"/>
      <c r="Q122" s="339"/>
      <c r="R122" s="151"/>
      <c r="S122" s="112"/>
      <c r="T122" s="338"/>
      <c r="U122" s="339"/>
      <c r="V122" s="339"/>
      <c r="W122" s="151"/>
      <c r="X122" s="112">
        <f t="shared" ref="X122:AH122" si="137">+X99-X119</f>
        <v>5010</v>
      </c>
      <c r="Y122" s="338">
        <f t="shared" si="137"/>
        <v>1314</v>
      </c>
      <c r="Z122" s="339">
        <f t="shared" si="137"/>
        <v>1238</v>
      </c>
      <c r="AA122" s="339">
        <f t="shared" si="137"/>
        <v>1413</v>
      </c>
      <c r="AB122" s="327">
        <f t="shared" si="137"/>
        <v>1257</v>
      </c>
      <c r="AC122" s="120">
        <f t="shared" si="137"/>
        <v>5222</v>
      </c>
      <c r="AD122" s="338">
        <f t="shared" si="137"/>
        <v>1492</v>
      </c>
      <c r="AE122" s="339">
        <f t="shared" si="137"/>
        <v>1318</v>
      </c>
      <c r="AF122" s="339">
        <f t="shared" si="137"/>
        <v>1440</v>
      </c>
      <c r="AG122" s="327">
        <f t="shared" si="137"/>
        <v>1281</v>
      </c>
      <c r="AH122" s="120">
        <f t="shared" si="137"/>
        <v>5531</v>
      </c>
      <c r="AI122" s="338">
        <f t="shared" ref="AI122:AN122" si="138">+AI99-AI119</f>
        <v>1522</v>
      </c>
      <c r="AJ122" s="339">
        <f t="shared" si="138"/>
        <v>1402</v>
      </c>
      <c r="AK122" s="339">
        <f t="shared" si="138"/>
        <v>1540</v>
      </c>
      <c r="AL122" s="327">
        <f t="shared" si="138"/>
        <v>1294.9000000000005</v>
      </c>
      <c r="AM122" s="120">
        <f t="shared" si="138"/>
        <v>5758.9000000000005</v>
      </c>
      <c r="AN122" s="338">
        <f t="shared" si="138"/>
        <v>1503.6</v>
      </c>
      <c r="AO122" s="339">
        <f t="shared" ref="AO122:AT122" si="139">+AO99-AO119</f>
        <v>1426.4</v>
      </c>
      <c r="AP122" s="339">
        <f t="shared" si="139"/>
        <v>1698.0000000000002</v>
      </c>
      <c r="AQ122" s="327">
        <f t="shared" si="139"/>
        <v>1384.5999999999995</v>
      </c>
      <c r="AR122" s="120">
        <f t="shared" si="139"/>
        <v>6012.5999999999995</v>
      </c>
      <c r="AS122" s="338">
        <f t="shared" si="139"/>
        <v>1502</v>
      </c>
      <c r="AT122" s="339">
        <f t="shared" si="139"/>
        <v>1408.6</v>
      </c>
      <c r="AU122" s="339">
        <f>+AU99-AU119</f>
        <v>1613.6</v>
      </c>
      <c r="AV122" s="327">
        <f t="shared" ref="AV122:AW122" si="140">+AV99-AV119</f>
        <v>1525.1000000000008</v>
      </c>
      <c r="AW122" s="120">
        <f t="shared" si="140"/>
        <v>6049.3</v>
      </c>
      <c r="AX122" s="338">
        <f t="shared" ref="AX122:BL122" si="141">+AX99-AX119</f>
        <v>1531.423570062113</v>
      </c>
      <c r="AY122" s="339">
        <f t="shared" si="141"/>
        <v>1412.0807606516867</v>
      </c>
      <c r="AZ122" s="339">
        <f t="shared" si="141"/>
        <v>1646.2775977919323</v>
      </c>
      <c r="BA122" s="327">
        <f t="shared" si="141"/>
        <v>1504.4430645122138</v>
      </c>
      <c r="BB122" s="120">
        <f t="shared" si="141"/>
        <v>6094.224993017946</v>
      </c>
      <c r="BC122" s="338">
        <f t="shared" si="141"/>
        <v>1614.6815700621128</v>
      </c>
      <c r="BD122" s="339">
        <f t="shared" si="141"/>
        <v>1462.3020939850196</v>
      </c>
      <c r="BE122" s="339">
        <f t="shared" si="141"/>
        <v>1694.077597791932</v>
      </c>
      <c r="BF122" s="327">
        <f t="shared" si="141"/>
        <v>1544.3430645122139</v>
      </c>
      <c r="BG122" s="120">
        <f t="shared" si="141"/>
        <v>6315.4043263512776</v>
      </c>
      <c r="BH122" s="338">
        <f t="shared" si="141"/>
        <v>1665.6815700621132</v>
      </c>
      <c r="BI122" s="339">
        <f t="shared" si="141"/>
        <v>1514.8854273183531</v>
      </c>
      <c r="BJ122" s="339">
        <f t="shared" si="141"/>
        <v>1761.6275977919317</v>
      </c>
      <c r="BK122" s="327">
        <f t="shared" si="141"/>
        <v>1600.5430645122133</v>
      </c>
      <c r="BL122" s="120">
        <f t="shared" si="141"/>
        <v>6542.7376596846116</v>
      </c>
      <c r="BM122" s="338">
        <f>+BM99-BM119</f>
        <v>1778.1682805884288</v>
      </c>
      <c r="BN122" s="339">
        <f>+BN99-BN119</f>
        <v>1624.838804511335</v>
      </c>
      <c r="BO122" s="339">
        <f>+BO99-BO119</f>
        <v>1873.3643083182478</v>
      </c>
      <c r="BP122" s="327">
        <f>+BP99-BP119</f>
        <v>1703.9797750385292</v>
      </c>
      <c r="BQ122" s="120">
        <f>+BQ99-BQ119</f>
        <v>6980.3511684565401</v>
      </c>
    </row>
    <row r="123" spans="1:99">
      <c r="A123" s="75"/>
      <c r="B123" s="75"/>
      <c r="C123" s="75" t="s">
        <v>214</v>
      </c>
      <c r="D123" s="75"/>
      <c r="E123" s="340"/>
      <c r="F123" s="341"/>
      <c r="G123" s="341"/>
      <c r="H123" s="342"/>
      <c r="I123" s="343"/>
      <c r="J123" s="344"/>
      <c r="K123" s="345"/>
      <c r="L123" s="345"/>
      <c r="M123" s="346"/>
      <c r="N123" s="76"/>
      <c r="O123" s="344"/>
      <c r="P123" s="345"/>
      <c r="Q123" s="345"/>
      <c r="R123" s="346"/>
      <c r="S123" s="76"/>
      <c r="T123" s="344"/>
      <c r="U123" s="345"/>
      <c r="V123" s="345"/>
      <c r="W123" s="346"/>
      <c r="X123" s="76"/>
      <c r="Y123" s="344"/>
      <c r="Z123" s="345"/>
      <c r="AA123" s="345"/>
      <c r="AB123" s="346"/>
      <c r="AC123" s="76">
        <f t="shared" ref="AC123:AH123" si="142">+AC122/X122-1</f>
        <v>4.2315369261477054E-2</v>
      </c>
      <c r="AD123" s="344">
        <f t="shared" si="142"/>
        <v>0.13546423135464236</v>
      </c>
      <c r="AE123" s="345">
        <f t="shared" si="142"/>
        <v>6.4620355411954655E-2</v>
      </c>
      <c r="AF123" s="345">
        <f t="shared" si="142"/>
        <v>1.9108280254777066E-2</v>
      </c>
      <c r="AG123" s="346">
        <f t="shared" si="142"/>
        <v>1.9093078758949833E-2</v>
      </c>
      <c r="AH123" s="76">
        <f t="shared" si="142"/>
        <v>5.9172730754500247E-2</v>
      </c>
      <c r="AI123" s="344">
        <f t="shared" ref="AI123:AP123" si="143">+AI122/AD122-1</f>
        <v>2.0107238605898026E-2</v>
      </c>
      <c r="AJ123" s="345">
        <f t="shared" si="143"/>
        <v>6.3732928679817835E-2</v>
      </c>
      <c r="AK123" s="345">
        <f t="shared" si="143"/>
        <v>6.944444444444442E-2</v>
      </c>
      <c r="AL123" s="346">
        <f t="shared" si="143"/>
        <v>1.0850897736144116E-2</v>
      </c>
      <c r="AM123" s="76">
        <f t="shared" si="143"/>
        <v>4.1204122220213524E-2</v>
      </c>
      <c r="AN123" s="344">
        <f t="shared" si="143"/>
        <v>-1.2089356110381089E-2</v>
      </c>
      <c r="AO123" s="345">
        <f t="shared" si="143"/>
        <v>1.7403708987161259E-2</v>
      </c>
      <c r="AP123" s="345">
        <f t="shared" si="143"/>
        <v>0.1025974025974028</v>
      </c>
      <c r="AQ123" s="346">
        <f t="shared" ref="AQ123:AU123" si="144">+AQ122/AL122-1</f>
        <v>6.9271758436943998E-2</v>
      </c>
      <c r="AR123" s="76">
        <f t="shared" si="144"/>
        <v>4.4053551893590503E-2</v>
      </c>
      <c r="AS123" s="344">
        <f t="shared" si="144"/>
        <v>-1.0641127959563068E-3</v>
      </c>
      <c r="AT123" s="345">
        <f t="shared" si="144"/>
        <v>-1.2478968031407911E-2</v>
      </c>
      <c r="AU123" s="345">
        <f t="shared" si="144"/>
        <v>-4.970553592461735E-2</v>
      </c>
      <c r="AV123" s="346">
        <f t="shared" ref="AV123" si="145">+AV122/AQ122-1</f>
        <v>0.10147334970388666</v>
      </c>
      <c r="AW123" s="76">
        <f t="shared" ref="AW123" si="146">+AW122/AR122-1</f>
        <v>6.1038485846389712E-3</v>
      </c>
      <c r="AX123" s="344">
        <f t="shared" ref="AX123:BL123" si="147">+AX122/AS122-1</f>
        <v>1.9589593916186976E-2</v>
      </c>
      <c r="AY123" s="345">
        <f t="shared" si="147"/>
        <v>2.471078128416071E-3</v>
      </c>
      <c r="AZ123" s="345">
        <f t="shared" si="147"/>
        <v>2.02513620425957E-2</v>
      </c>
      <c r="BA123" s="346">
        <f t="shared" si="147"/>
        <v>-1.3544643294070569E-2</v>
      </c>
      <c r="BB123" s="76">
        <f t="shared" si="147"/>
        <v>7.4264779425630145E-3</v>
      </c>
      <c r="BC123" s="344">
        <f t="shared" si="147"/>
        <v>5.4366408894061191E-2</v>
      </c>
      <c r="BD123" s="345">
        <f t="shared" si="147"/>
        <v>3.5565482324223074E-2</v>
      </c>
      <c r="BE123" s="345">
        <f t="shared" si="147"/>
        <v>2.9035200420701512E-2</v>
      </c>
      <c r="BF123" s="346">
        <f t="shared" si="147"/>
        <v>2.6521442347129831E-2</v>
      </c>
      <c r="BG123" s="76">
        <f t="shared" si="147"/>
        <v>3.6293266754465536E-2</v>
      </c>
      <c r="BH123" s="344">
        <f t="shared" si="147"/>
        <v>3.158517502496716E-2</v>
      </c>
      <c r="BI123" s="345">
        <f t="shared" si="147"/>
        <v>3.5959281977115287E-2</v>
      </c>
      <c r="BJ123" s="345">
        <f t="shared" si="147"/>
        <v>3.9874206522797273E-2</v>
      </c>
      <c r="BK123" s="346">
        <f t="shared" si="147"/>
        <v>3.6390877967098723E-2</v>
      </c>
      <c r="BL123" s="76">
        <f t="shared" si="147"/>
        <v>3.5996639579318312E-2</v>
      </c>
      <c r="BM123" s="344">
        <f>+BM122/BH122-1</f>
        <v>6.753194160761522E-2</v>
      </c>
      <c r="BN123" s="345">
        <f>+BN122/BI122-1</f>
        <v>7.2581975646581531E-2</v>
      </c>
      <c r="BO123" s="345">
        <f>+BO122/BJ122-1</f>
        <v>6.342811083702915E-2</v>
      </c>
      <c r="BP123" s="346">
        <f>+BP122/BK122-1</f>
        <v>6.4626009021406583E-2</v>
      </c>
      <c r="BQ123" s="76">
        <f>+BQ122/BL122-1</f>
        <v>6.6885382164783902E-2</v>
      </c>
      <c r="BR123" s="75"/>
      <c r="BS123" s="75"/>
      <c r="BT123" s="75"/>
      <c r="BU123" s="75"/>
      <c r="BV123" s="75"/>
      <c r="BW123" s="75"/>
      <c r="BX123" s="75"/>
      <c r="BY123" s="75"/>
      <c r="BZ123" s="75"/>
      <c r="CA123" s="75"/>
      <c r="CB123" s="75"/>
      <c r="CC123" s="75"/>
      <c r="CD123" s="75"/>
      <c r="CE123" s="75"/>
      <c r="CF123" s="75"/>
      <c r="CG123" s="75"/>
      <c r="CH123" s="75"/>
      <c r="CI123" s="75"/>
      <c r="CJ123" s="75"/>
      <c r="CK123" s="75"/>
      <c r="CL123" s="75"/>
      <c r="CM123" s="75"/>
      <c r="CN123" s="75"/>
      <c r="CO123" s="75"/>
      <c r="CP123" s="75"/>
      <c r="CQ123" s="75"/>
      <c r="CR123" s="75"/>
      <c r="CS123" s="75"/>
      <c r="CT123" s="75"/>
      <c r="CU123" s="75"/>
    </row>
    <row r="124" spans="1:99">
      <c r="C124" s="767"/>
      <c r="E124" s="289"/>
      <c r="F124" s="290"/>
      <c r="G124" s="290"/>
      <c r="H124" s="291"/>
      <c r="I124" s="191"/>
      <c r="J124" s="289"/>
      <c r="K124" s="290"/>
      <c r="L124" s="290"/>
      <c r="M124" s="291"/>
      <c r="N124" s="191"/>
      <c r="O124" s="289"/>
      <c r="P124" s="290"/>
      <c r="Q124" s="290"/>
      <c r="R124" s="291"/>
      <c r="S124" s="191"/>
      <c r="T124" s="289"/>
      <c r="U124" s="290"/>
      <c r="V124" s="290"/>
      <c r="W124" s="291"/>
      <c r="X124" s="191"/>
      <c r="Y124" s="289"/>
      <c r="Z124" s="290"/>
      <c r="AA124" s="290"/>
      <c r="AB124" s="291"/>
      <c r="AC124" s="191"/>
      <c r="AD124" s="289"/>
      <c r="AE124" s="290"/>
      <c r="AF124" s="290"/>
      <c r="AG124" s="291"/>
      <c r="AH124" s="191"/>
      <c r="AI124" s="289"/>
      <c r="AJ124" s="290"/>
      <c r="AK124" s="290"/>
      <c r="AL124" s="291"/>
      <c r="AM124" s="191"/>
      <c r="AN124" s="289"/>
      <c r="AO124" s="290"/>
      <c r="AP124" s="290"/>
      <c r="AQ124" s="291"/>
      <c r="AR124" s="191"/>
      <c r="AS124" s="289"/>
      <c r="AT124" s="290"/>
      <c r="AU124" s="290"/>
      <c r="AV124" s="291"/>
      <c r="AW124" s="191"/>
      <c r="AX124" s="289"/>
      <c r="AY124" s="290"/>
      <c r="AZ124" s="290"/>
      <c r="BA124" s="291"/>
      <c r="BB124" s="191"/>
      <c r="BC124" s="289"/>
      <c r="BD124" s="290"/>
      <c r="BE124" s="290"/>
      <c r="BF124" s="291"/>
      <c r="BG124" s="191"/>
      <c r="BH124" s="289"/>
      <c r="BI124" s="290"/>
      <c r="BJ124" s="290"/>
      <c r="BK124" s="291"/>
      <c r="BL124" s="191"/>
      <c r="BM124" s="289"/>
      <c r="BN124" s="290"/>
      <c r="BO124" s="290"/>
      <c r="BP124" s="291"/>
      <c r="BQ124" s="191"/>
    </row>
    <row r="125" spans="1:99">
      <c r="C125" s="553"/>
      <c r="E125" s="182"/>
      <c r="F125" s="186"/>
      <c r="G125" s="186"/>
      <c r="H125" s="184"/>
      <c r="I125" s="490"/>
      <c r="J125" s="182"/>
      <c r="K125" s="186"/>
      <c r="L125" s="186"/>
      <c r="M125" s="184"/>
      <c r="N125" s="490"/>
      <c r="O125" s="182"/>
      <c r="P125" s="186"/>
      <c r="Q125" s="160"/>
      <c r="R125" s="144"/>
      <c r="S125" s="109"/>
      <c r="T125" s="182"/>
      <c r="U125" s="186"/>
      <c r="V125" s="186"/>
      <c r="W125" s="791"/>
      <c r="X125" s="775"/>
      <c r="Y125" s="182"/>
      <c r="Z125" s="790"/>
      <c r="AA125" s="790"/>
      <c r="AB125" s="791"/>
      <c r="AC125" s="775"/>
      <c r="AD125" s="789"/>
      <c r="AE125" s="790"/>
      <c r="AF125" s="790"/>
      <c r="AG125" s="791"/>
      <c r="AH125" s="775"/>
      <c r="AI125" s="789"/>
      <c r="AJ125" s="160"/>
      <c r="AK125" s="160"/>
      <c r="AL125" s="144"/>
      <c r="AM125" s="109"/>
      <c r="AN125" s="161"/>
      <c r="AO125" s="160"/>
      <c r="AP125" s="160"/>
      <c r="AQ125" s="144"/>
      <c r="AR125" s="109"/>
      <c r="AS125" s="161"/>
      <c r="AT125" s="160"/>
      <c r="AU125" s="160"/>
      <c r="AV125" s="144"/>
      <c r="AW125" s="109"/>
      <c r="AX125" s="161"/>
      <c r="AY125" s="160"/>
      <c r="AZ125" s="160"/>
      <c r="BA125" s="144"/>
      <c r="BB125" s="109"/>
      <c r="BC125" s="161"/>
      <c r="BD125" s="160"/>
      <c r="BE125" s="160"/>
      <c r="BF125" s="144"/>
      <c r="BG125" s="109"/>
      <c r="BH125" s="161"/>
      <c r="BI125" s="160"/>
      <c r="BJ125" s="160"/>
      <c r="BK125" s="144"/>
      <c r="BL125" s="109"/>
      <c r="BM125" s="161"/>
      <c r="BN125" s="160"/>
      <c r="BO125" s="160"/>
      <c r="BP125" s="144"/>
      <c r="BQ125" s="109"/>
    </row>
    <row r="126" spans="1:99">
      <c r="B126" s="46" t="s">
        <v>216</v>
      </c>
      <c r="C126" s="46"/>
      <c r="D126" s="47"/>
      <c r="E126" s="289"/>
      <c r="F126" s="290"/>
      <c r="G126" s="290"/>
      <c r="H126" s="291"/>
      <c r="I126" s="191"/>
      <c r="J126" s="289"/>
      <c r="K126" s="290"/>
      <c r="L126" s="290"/>
      <c r="M126" s="291"/>
      <c r="N126" s="191"/>
      <c r="O126" s="289"/>
      <c r="P126" s="290"/>
      <c r="Q126" s="290"/>
      <c r="R126" s="291"/>
      <c r="S126" s="191"/>
      <c r="T126" s="289"/>
      <c r="U126" s="290"/>
      <c r="V126" s="290"/>
      <c r="W126" s="291"/>
      <c r="X126" s="191"/>
      <c r="Y126" s="289"/>
      <c r="Z126" s="290"/>
      <c r="AA126" s="290"/>
      <c r="AB126" s="291"/>
      <c r="AC126" s="191"/>
      <c r="AD126" s="289"/>
      <c r="AE126" s="290"/>
      <c r="AF126" s="290"/>
      <c r="AG126" s="291"/>
      <c r="AH126" s="191"/>
      <c r="AI126" s="289"/>
      <c r="AJ126" s="290"/>
      <c r="AK126" s="290"/>
      <c r="AL126" s="291"/>
      <c r="AM126" s="191"/>
      <c r="AN126" s="289"/>
      <c r="AO126" s="290"/>
      <c r="AP126" s="290"/>
      <c r="AQ126" s="291"/>
      <c r="AR126" s="191"/>
      <c r="AS126" s="289"/>
      <c r="AT126" s="290"/>
      <c r="AU126" s="290"/>
      <c r="AV126" s="291"/>
      <c r="AW126" s="191"/>
      <c r="AX126" s="289"/>
      <c r="AY126" s="290"/>
      <c r="AZ126" s="290"/>
      <c r="BA126" s="291"/>
      <c r="BB126" s="191"/>
      <c r="BC126" s="289"/>
      <c r="BD126" s="290"/>
      <c r="BE126" s="290"/>
      <c r="BF126" s="291"/>
      <c r="BG126" s="191"/>
      <c r="BH126" s="289"/>
      <c r="BI126" s="290"/>
      <c r="BJ126" s="290"/>
      <c r="BK126" s="291"/>
      <c r="BL126" s="191"/>
      <c r="BM126" s="289"/>
      <c r="BN126" s="290"/>
      <c r="BO126" s="290"/>
      <c r="BP126" s="291"/>
      <c r="BQ126" s="191"/>
    </row>
    <row r="127" spans="1:99" s="50" customFormat="1">
      <c r="A127" s="242"/>
      <c r="B127" s="242"/>
      <c r="C127" s="303" t="s">
        <v>217</v>
      </c>
      <c r="D127" s="109"/>
      <c r="E127" s="161"/>
      <c r="F127" s="160"/>
      <c r="G127" s="160"/>
      <c r="H127" s="144"/>
      <c r="I127" s="109"/>
      <c r="J127" s="161"/>
      <c r="K127" s="160"/>
      <c r="L127" s="160"/>
      <c r="M127" s="144"/>
      <c r="N127" s="109"/>
      <c r="O127" s="161"/>
      <c r="P127" s="160"/>
      <c r="Q127" s="160"/>
      <c r="R127" s="144"/>
      <c r="S127" s="109"/>
      <c r="T127" s="161"/>
      <c r="U127" s="160"/>
      <c r="V127" s="160"/>
      <c r="W127" s="144"/>
      <c r="X127" s="109">
        <f t="shared" ref="X127:AG127" si="148">+X12</f>
        <v>2219</v>
      </c>
      <c r="Y127" s="161">
        <f t="shared" si="148"/>
        <v>578</v>
      </c>
      <c r="Z127" s="160">
        <f t="shared" si="148"/>
        <v>551</v>
      </c>
      <c r="AA127" s="160">
        <f t="shared" si="148"/>
        <v>524</v>
      </c>
      <c r="AB127" s="144">
        <f t="shared" si="148"/>
        <v>623</v>
      </c>
      <c r="AC127" s="109">
        <f t="shared" si="148"/>
        <v>2276</v>
      </c>
      <c r="AD127" s="161">
        <f t="shared" si="148"/>
        <v>576</v>
      </c>
      <c r="AE127" s="160">
        <f t="shared" si="148"/>
        <v>618</v>
      </c>
      <c r="AF127" s="160">
        <f t="shared" si="148"/>
        <v>615</v>
      </c>
      <c r="AG127" s="144">
        <f t="shared" si="148"/>
        <v>706</v>
      </c>
      <c r="AH127" s="109">
        <f>+SUM(AD127:AG127)</f>
        <v>2515</v>
      </c>
      <c r="AI127" s="161">
        <f>+AI12</f>
        <v>576</v>
      </c>
      <c r="AJ127" s="160">
        <f>+AJ12</f>
        <v>615</v>
      </c>
      <c r="AK127" s="160">
        <f>+AK12</f>
        <v>653</v>
      </c>
      <c r="AL127" s="144">
        <f>+AL12</f>
        <v>685.80000000000018</v>
      </c>
      <c r="AM127" s="109">
        <f>+SUM(AI127:AL127)</f>
        <v>2529.8000000000002</v>
      </c>
      <c r="AN127" s="161">
        <f>+AN12</f>
        <v>629.6</v>
      </c>
      <c r="AO127" s="160">
        <f>+AO12</f>
        <v>624.29999999999995</v>
      </c>
      <c r="AP127" s="160">
        <f>+AP12</f>
        <v>673</v>
      </c>
      <c r="AQ127" s="144">
        <f>+AQ12</f>
        <v>776</v>
      </c>
      <c r="AR127" s="109">
        <f>+SUM(AN127:AQ127)</f>
        <v>2702.9</v>
      </c>
      <c r="AS127" s="161">
        <f>+AS12</f>
        <v>654.20000000000005</v>
      </c>
      <c r="AT127" s="160">
        <f>+AT12</f>
        <v>711.2</v>
      </c>
      <c r="AU127" s="160">
        <f>+AU12</f>
        <v>659.1</v>
      </c>
      <c r="AV127" s="144">
        <f>+AV12</f>
        <v>712.69999999999982</v>
      </c>
      <c r="AW127" s="109">
        <f>+SUM(AS127:AV127)</f>
        <v>2737.2</v>
      </c>
      <c r="AX127" s="161">
        <f>AS127*(1+AX128)</f>
        <v>686.91000000000008</v>
      </c>
      <c r="AY127" s="160">
        <f>AT127*(1+AY128)-18</f>
        <v>725.20399999999995</v>
      </c>
      <c r="AZ127" s="160">
        <f>AU127*(1+AZ128)</f>
        <v>688.7595</v>
      </c>
      <c r="BA127" s="144">
        <f>AV127*(1+BA128)</f>
        <v>741.20799999999986</v>
      </c>
      <c r="BB127" s="109">
        <f>+SUM(AX127:BA127)</f>
        <v>2842.0815000000002</v>
      </c>
      <c r="BC127" s="161">
        <f>AX127*(1+BC128)</f>
        <v>690.34455000000003</v>
      </c>
      <c r="BD127" s="160">
        <f>AY127*(1+BD128)</f>
        <v>728.83001999999988</v>
      </c>
      <c r="BE127" s="160">
        <f>AZ127*(1+BE128)</f>
        <v>692.20329749999996</v>
      </c>
      <c r="BF127" s="144">
        <f>BA127*(1+BF128)</f>
        <v>744.91403999999977</v>
      </c>
      <c r="BG127" s="109">
        <f>+SUM(BC127:BF127)</f>
        <v>2856.2919074999995</v>
      </c>
      <c r="BH127" s="161">
        <f>BC127*(1+BH128)</f>
        <v>693.79627274999996</v>
      </c>
      <c r="BI127" s="160">
        <f>BD127*(1+BI128)</f>
        <v>732.47417009999981</v>
      </c>
      <c r="BJ127" s="160">
        <f>BE127*(1+BJ128)</f>
        <v>695.6643139874999</v>
      </c>
      <c r="BK127" s="144">
        <f>BF127*(1+BK128)</f>
        <v>748.63861019999968</v>
      </c>
      <c r="BL127" s="109">
        <f>+SUM(BH127:BK127)</f>
        <v>2870.5733670374993</v>
      </c>
      <c r="BM127" s="161">
        <f>BH127*(1+BM128)</f>
        <v>697.26525411374985</v>
      </c>
      <c r="BN127" s="160">
        <f>BI127*(1+BN128)</f>
        <v>736.13654095049969</v>
      </c>
      <c r="BO127" s="160">
        <f>BJ127*(1+BO128)</f>
        <v>699.1426355574373</v>
      </c>
      <c r="BP127" s="144">
        <f>BK127*(1+BP128)</f>
        <v>752.38180325099961</v>
      </c>
      <c r="BQ127" s="109">
        <f>+SUM(BM127:BP127)</f>
        <v>2884.9262338726867</v>
      </c>
      <c r="BR127" s="242"/>
      <c r="BS127" s="242"/>
      <c r="BT127" s="242"/>
      <c r="BU127" s="242"/>
      <c r="BV127" s="242"/>
      <c r="BW127" s="242"/>
      <c r="BX127" s="242"/>
      <c r="BY127" s="242"/>
      <c r="BZ127" s="242"/>
      <c r="CA127" s="242"/>
      <c r="CB127" s="242"/>
      <c r="CC127" s="242"/>
      <c r="CD127" s="242"/>
      <c r="CE127" s="242"/>
      <c r="CF127" s="242"/>
      <c r="CG127" s="242"/>
      <c r="CH127" s="242"/>
      <c r="CI127" s="242"/>
      <c r="CJ127" s="242"/>
      <c r="CK127" s="242"/>
      <c r="CL127" s="242"/>
      <c r="CM127" s="242"/>
      <c r="CN127" s="242"/>
      <c r="CO127" s="242"/>
      <c r="CP127" s="242"/>
      <c r="CQ127" s="242"/>
      <c r="CR127" s="242"/>
      <c r="CS127" s="242"/>
      <c r="CT127" s="242"/>
      <c r="CU127" s="242"/>
    </row>
    <row r="128" spans="1:99">
      <c r="A128" s="75"/>
      <c r="B128" s="75"/>
      <c r="C128" s="349" t="s">
        <v>218</v>
      </c>
      <c r="D128" s="75"/>
      <c r="E128" s="350"/>
      <c r="F128" s="351"/>
      <c r="G128" s="351"/>
      <c r="H128" s="352"/>
      <c r="I128" s="273"/>
      <c r="J128" s="270"/>
      <c r="K128" s="271"/>
      <c r="L128" s="271"/>
      <c r="M128" s="272"/>
      <c r="N128" s="273"/>
      <c r="O128" s="270"/>
      <c r="P128" s="271"/>
      <c r="Q128" s="271"/>
      <c r="R128" s="272"/>
      <c r="S128" s="273"/>
      <c r="T128" s="270"/>
      <c r="U128" s="271"/>
      <c r="V128" s="271"/>
      <c r="W128" s="272"/>
      <c r="X128" s="273"/>
      <c r="Y128" s="270"/>
      <c r="Z128" s="271"/>
      <c r="AA128" s="271"/>
      <c r="AB128" s="272"/>
      <c r="AC128" s="273">
        <f t="shared" ref="AC128:AH128" si="149">+AC127/X127-1</f>
        <v>2.5687246507435813E-2</v>
      </c>
      <c r="AD128" s="270">
        <f t="shared" si="149"/>
        <v>-3.4602076124568004E-3</v>
      </c>
      <c r="AE128" s="271">
        <f t="shared" si="149"/>
        <v>0.12159709618874781</v>
      </c>
      <c r="AF128" s="271">
        <f t="shared" si="149"/>
        <v>0.17366412213740468</v>
      </c>
      <c r="AG128" s="272">
        <f t="shared" si="149"/>
        <v>0.1332263242375602</v>
      </c>
      <c r="AH128" s="273">
        <f t="shared" si="149"/>
        <v>0.10500878734622154</v>
      </c>
      <c r="AI128" s="270">
        <f t="shared" ref="AI128:AP128" si="150">+AI127/AD127-1</f>
        <v>0</v>
      </c>
      <c r="AJ128" s="271">
        <f t="shared" si="150"/>
        <v>-4.8543689320388328E-3</v>
      </c>
      <c r="AK128" s="271">
        <f t="shared" si="150"/>
        <v>6.1788617886178843E-2</v>
      </c>
      <c r="AL128" s="272">
        <f t="shared" si="150"/>
        <v>-2.8611898016996928E-2</v>
      </c>
      <c r="AM128" s="273">
        <f t="shared" si="150"/>
        <v>5.8846918489066091E-3</v>
      </c>
      <c r="AN128" s="270">
        <f t="shared" si="150"/>
        <v>9.3055555555555669E-2</v>
      </c>
      <c r="AO128" s="271">
        <f t="shared" si="150"/>
        <v>1.5121951219512209E-2</v>
      </c>
      <c r="AP128" s="271">
        <f t="shared" si="150"/>
        <v>3.0627871362940207E-2</v>
      </c>
      <c r="AQ128" s="272">
        <f t="shared" ref="AQ128:AW128" si="151">+AQ127/AL127-1</f>
        <v>0.13152522601341476</v>
      </c>
      <c r="AR128" s="273">
        <f t="shared" si="151"/>
        <v>6.8424381374021515E-2</v>
      </c>
      <c r="AS128" s="270">
        <f t="shared" si="151"/>
        <v>3.9072426937738269E-2</v>
      </c>
      <c r="AT128" s="271">
        <f t="shared" si="151"/>
        <v>0.13919589940733634</v>
      </c>
      <c r="AU128" s="271">
        <f t="shared" si="151"/>
        <v>-2.0653789004457579E-2</v>
      </c>
      <c r="AV128" s="272">
        <f t="shared" si="151"/>
        <v>-8.1572164948453874E-2</v>
      </c>
      <c r="AW128" s="273">
        <f t="shared" si="151"/>
        <v>1.2690073624625375E-2</v>
      </c>
      <c r="AX128" s="270">
        <f>+AX73</f>
        <v>4.9999999999999996E-2</v>
      </c>
      <c r="AY128" s="271">
        <f>+AY73</f>
        <v>4.4999999999999998E-2</v>
      </c>
      <c r="AZ128" s="271">
        <f>+AZ73</f>
        <v>4.4999999999999998E-2</v>
      </c>
      <c r="BA128" s="272">
        <f>+BA73</f>
        <v>0.04</v>
      </c>
      <c r="BB128" s="273">
        <f>+BB127/AW127-1</f>
        <v>3.8317075843928183E-2</v>
      </c>
      <c r="BC128" s="270">
        <f>+BC73</f>
        <v>5.0000000000000001E-3</v>
      </c>
      <c r="BD128" s="271">
        <f>+BD73</f>
        <v>5.0000000000000001E-3</v>
      </c>
      <c r="BE128" s="271">
        <f>+BE73</f>
        <v>5.0000000000000001E-3</v>
      </c>
      <c r="BF128" s="272">
        <f>+BF73</f>
        <v>5.0000000000000001E-3</v>
      </c>
      <c r="BG128" s="273">
        <f>+BG127/BB127-1</f>
        <v>4.9999999999996714E-3</v>
      </c>
      <c r="BH128" s="270">
        <f>+BH73</f>
        <v>5.0000000000000001E-3</v>
      </c>
      <c r="BI128" s="271">
        <f>+BI73</f>
        <v>5.0000000000000001E-3</v>
      </c>
      <c r="BJ128" s="271">
        <f>+BJ73</f>
        <v>5.0000000000000001E-3</v>
      </c>
      <c r="BK128" s="272">
        <f>+BK73</f>
        <v>5.0000000000000001E-3</v>
      </c>
      <c r="BL128" s="273">
        <f>+BL127/BG127-1</f>
        <v>4.9999999999998934E-3</v>
      </c>
      <c r="BM128" s="270">
        <f>+BM73</f>
        <v>5.0000000000000001E-3</v>
      </c>
      <c r="BN128" s="271">
        <f>+BN73</f>
        <v>5.0000000000000001E-3</v>
      </c>
      <c r="BO128" s="271">
        <f>+BO73</f>
        <v>5.0000000000000001E-3</v>
      </c>
      <c r="BP128" s="272">
        <f>+BP73</f>
        <v>5.0000000000000001E-3</v>
      </c>
      <c r="BQ128" s="273">
        <f>+BQ127/BL127-1</f>
        <v>4.9999999999998934E-3</v>
      </c>
      <c r="BR128" s="75"/>
      <c r="BS128" s="75"/>
      <c r="BT128" s="75"/>
      <c r="BU128" s="75"/>
      <c r="BV128" s="75"/>
      <c r="BW128" s="75"/>
      <c r="BX128" s="75"/>
      <c r="BY128" s="75"/>
      <c r="BZ128" s="75"/>
      <c r="CA128" s="75"/>
      <c r="CB128" s="75"/>
      <c r="CC128" s="75"/>
      <c r="CD128" s="75"/>
      <c r="CE128" s="75"/>
      <c r="CF128" s="75"/>
      <c r="CG128" s="75"/>
      <c r="CH128" s="75"/>
      <c r="CI128" s="75"/>
      <c r="CJ128" s="75"/>
      <c r="CK128" s="75"/>
      <c r="CL128" s="75"/>
      <c r="CM128" s="75"/>
      <c r="CN128" s="75"/>
      <c r="CO128" s="75"/>
      <c r="CP128" s="75"/>
      <c r="CQ128" s="75"/>
      <c r="CR128" s="75"/>
      <c r="CS128" s="75"/>
      <c r="CT128" s="75"/>
      <c r="CU128" s="75"/>
    </row>
    <row r="129" spans="1:99">
      <c r="A129" s="50"/>
      <c r="B129" s="50"/>
      <c r="C129" s="303"/>
      <c r="D129" s="50"/>
      <c r="E129" s="225"/>
      <c r="F129" s="226"/>
      <c r="G129" s="226"/>
      <c r="H129" s="227"/>
      <c r="I129" s="228"/>
      <c r="J129" s="225"/>
      <c r="K129" s="226"/>
      <c r="L129" s="226"/>
      <c r="M129" s="227"/>
      <c r="N129" s="228"/>
      <c r="O129" s="225"/>
      <c r="P129" s="226"/>
      <c r="Q129" s="226"/>
      <c r="R129" s="227"/>
      <c r="S129" s="228"/>
      <c r="T129" s="225"/>
      <c r="U129" s="226"/>
      <c r="V129" s="226"/>
      <c r="W129" s="227"/>
      <c r="X129" s="228"/>
      <c r="Y129" s="225"/>
      <c r="Z129" s="226"/>
      <c r="AA129" s="226"/>
      <c r="AB129" s="227"/>
      <c r="AC129" s="228"/>
      <c r="AD129" s="225"/>
      <c r="AE129" s="226"/>
      <c r="AF129" s="226"/>
      <c r="AG129" s="227"/>
      <c r="AH129" s="228"/>
      <c r="AI129" s="225"/>
      <c r="AJ129" s="226"/>
      <c r="AK129" s="226"/>
      <c r="AL129" s="227"/>
      <c r="AM129" s="228"/>
      <c r="AN129" s="225"/>
      <c r="AO129" s="226"/>
      <c r="AP129" s="226"/>
      <c r="AQ129" s="227"/>
      <c r="AR129" s="228"/>
      <c r="AS129" s="225"/>
      <c r="AT129" s="226"/>
      <c r="AU129" s="226"/>
      <c r="AV129" s="227"/>
      <c r="AW129" s="228"/>
      <c r="AX129" s="225"/>
      <c r="AY129" s="226"/>
      <c r="AZ129" s="226"/>
      <c r="BA129" s="227"/>
      <c r="BB129" s="228"/>
      <c r="BC129" s="225"/>
      <c r="BD129" s="226"/>
      <c r="BE129" s="226"/>
      <c r="BF129" s="227"/>
      <c r="BG129" s="228"/>
      <c r="BH129" s="225"/>
      <c r="BI129" s="226"/>
      <c r="BJ129" s="226"/>
      <c r="BK129" s="227"/>
      <c r="BL129" s="228"/>
      <c r="BM129" s="225"/>
      <c r="BN129" s="226"/>
      <c r="BO129" s="226"/>
      <c r="BP129" s="227"/>
      <c r="BQ129" s="228"/>
      <c r="BR129" s="50"/>
      <c r="BS129" s="50"/>
      <c r="BT129" s="50"/>
      <c r="BU129" s="50"/>
      <c r="BV129" s="50"/>
      <c r="BW129" s="50"/>
      <c r="BX129" s="50"/>
      <c r="BY129" s="50"/>
      <c r="BZ129" s="50"/>
      <c r="CA129" s="50"/>
      <c r="CB129" s="50"/>
      <c r="CC129" s="50"/>
      <c r="CD129" s="50"/>
      <c r="CE129" s="50"/>
      <c r="CF129" s="50"/>
      <c r="CG129" s="50"/>
      <c r="CH129" s="50"/>
      <c r="CI129" s="50"/>
      <c r="CJ129" s="50"/>
      <c r="CK129" s="50"/>
      <c r="CL129" s="50"/>
      <c r="CM129" s="50"/>
      <c r="CN129" s="50"/>
      <c r="CO129" s="50"/>
      <c r="CP129" s="50"/>
      <c r="CQ129" s="50"/>
      <c r="CR129" s="50"/>
      <c r="CS129" s="50"/>
      <c r="CT129" s="50"/>
      <c r="CU129" s="50"/>
    </row>
    <row r="130" spans="1:99">
      <c r="A130" s="242"/>
      <c r="B130" s="242"/>
      <c r="C130" s="303" t="s">
        <v>1017</v>
      </c>
      <c r="D130" s="109"/>
      <c r="E130" s="161"/>
      <c r="F130" s="160"/>
      <c r="G130" s="160"/>
      <c r="H130" s="144"/>
      <c r="I130" s="109"/>
      <c r="J130" s="161"/>
      <c r="K130" s="160"/>
      <c r="L130" s="160"/>
      <c r="M130" s="144"/>
      <c r="N130" s="109"/>
      <c r="O130" s="161"/>
      <c r="P130" s="160"/>
      <c r="Q130" s="160"/>
      <c r="R130" s="144"/>
      <c r="S130" s="109"/>
      <c r="T130" s="161"/>
      <c r="U130" s="160"/>
      <c r="V130" s="160"/>
      <c r="W130" s="144"/>
      <c r="X130" s="109">
        <f t="shared" ref="X130:AG130" si="152">+X14</f>
        <v>344</v>
      </c>
      <c r="Y130" s="161">
        <f t="shared" si="152"/>
        <v>91</v>
      </c>
      <c r="Z130" s="160">
        <f t="shared" si="152"/>
        <v>93</v>
      </c>
      <c r="AA130" s="160">
        <f t="shared" si="152"/>
        <v>93</v>
      </c>
      <c r="AB130" s="144">
        <f t="shared" si="152"/>
        <v>95</v>
      </c>
      <c r="AC130" s="109">
        <f t="shared" si="152"/>
        <v>372</v>
      </c>
      <c r="AD130" s="161">
        <f t="shared" si="152"/>
        <v>96</v>
      </c>
      <c r="AE130" s="160">
        <f t="shared" si="152"/>
        <v>87</v>
      </c>
      <c r="AF130" s="160">
        <f t="shared" si="152"/>
        <v>95</v>
      </c>
      <c r="AG130" s="144">
        <f t="shared" si="152"/>
        <v>92</v>
      </c>
      <c r="AH130" s="109">
        <f>+SUM(AD130:AG130)</f>
        <v>370</v>
      </c>
      <c r="AI130" s="161">
        <f>+AI14</f>
        <v>97</v>
      </c>
      <c r="AJ130" s="160">
        <f>+AJ14</f>
        <v>94</v>
      </c>
      <c r="AK130" s="160">
        <f>+AK14</f>
        <v>97</v>
      </c>
      <c r="AL130" s="144">
        <f>+AL14</f>
        <v>95.100000000000023</v>
      </c>
      <c r="AM130" s="109">
        <f>+SUM(AI130:AL130)</f>
        <v>383.1</v>
      </c>
      <c r="AN130" s="161">
        <f>+AN14</f>
        <v>97.9</v>
      </c>
      <c r="AO130" s="160">
        <f>+AO14</f>
        <v>98.1</v>
      </c>
      <c r="AP130" s="160">
        <f>+AP14</f>
        <v>99</v>
      </c>
      <c r="AQ130" s="144">
        <f>+AQ14</f>
        <v>95.800000000000011</v>
      </c>
      <c r="AR130" s="109">
        <f>+SUM(AN130:AQ130)</f>
        <v>390.8</v>
      </c>
      <c r="AS130" s="161">
        <f>+AS14</f>
        <v>101.1</v>
      </c>
      <c r="AT130" s="160">
        <f>+AT14</f>
        <v>99.4</v>
      </c>
      <c r="AU130" s="160">
        <f>+AU14</f>
        <v>105.7</v>
      </c>
      <c r="AV130" s="144">
        <f>+AV14</f>
        <v>107.10000000000002</v>
      </c>
      <c r="AW130" s="109">
        <f>+SUM(AS130:AV130)</f>
        <v>413.3</v>
      </c>
      <c r="AX130" s="161">
        <f>AS130*(1+AX131)</f>
        <v>103.122</v>
      </c>
      <c r="AY130" s="160">
        <f>AT130*(1+AY131)</f>
        <v>101.38800000000001</v>
      </c>
      <c r="AZ130" s="160">
        <f>AU130*(1+AZ131)</f>
        <v>107.81400000000001</v>
      </c>
      <c r="BA130" s="144">
        <f>AV130*(1+BA131)</f>
        <v>109.24200000000002</v>
      </c>
      <c r="BB130" s="109">
        <f>+SUM(AX130:BA130)</f>
        <v>421.56600000000003</v>
      </c>
      <c r="BC130" s="161">
        <f>AX130*(1+BC131)</f>
        <v>105.18444</v>
      </c>
      <c r="BD130" s="160">
        <f>AY130*(1+BD131)</f>
        <v>103.41576000000001</v>
      </c>
      <c r="BE130" s="160">
        <f>AZ130*(1+BE131)</f>
        <v>109.97028</v>
      </c>
      <c r="BF130" s="144">
        <f>BA130*(1+BF131)</f>
        <v>111.42684000000003</v>
      </c>
      <c r="BG130" s="109">
        <f>+SUM(BC130:BF130)</f>
        <v>429.99732</v>
      </c>
      <c r="BH130" s="161">
        <f>BC130*(1+BH131)</f>
        <v>107.2881288</v>
      </c>
      <c r="BI130" s="160">
        <f>BD130*(1+BI131)</f>
        <v>105.48407520000001</v>
      </c>
      <c r="BJ130" s="160">
        <f>BE130*(1+BJ131)</f>
        <v>112.16968560000001</v>
      </c>
      <c r="BK130" s="144">
        <f>BF130*(1+BK131)</f>
        <v>113.65537680000003</v>
      </c>
      <c r="BL130" s="109">
        <f>+SUM(BH130:BK130)</f>
        <v>438.59726639999997</v>
      </c>
      <c r="BM130" s="161">
        <f>BH130*(1+BM131)</f>
        <v>109.43389137599999</v>
      </c>
      <c r="BN130" s="160">
        <f>BI130*(1+BN131)</f>
        <v>107.59375670400001</v>
      </c>
      <c r="BO130" s="160">
        <f>BJ130*(1+BO131)</f>
        <v>114.41307931200001</v>
      </c>
      <c r="BP130" s="144">
        <f>BK130*(1+BP131)</f>
        <v>115.92848433600003</v>
      </c>
      <c r="BQ130" s="109">
        <f>+SUM(BM130:BP130)</f>
        <v>447.36921172799998</v>
      </c>
      <c r="BR130" s="242"/>
      <c r="BS130" s="242"/>
      <c r="BT130" s="242"/>
      <c r="BU130" s="242"/>
      <c r="BV130" s="242"/>
      <c r="BW130" s="242"/>
      <c r="BX130" s="242"/>
      <c r="BY130" s="242"/>
      <c r="BZ130" s="242"/>
      <c r="CA130" s="242"/>
      <c r="CB130" s="242"/>
      <c r="CC130" s="242"/>
      <c r="CD130" s="242"/>
      <c r="CE130" s="242"/>
      <c r="CF130" s="242"/>
      <c r="CG130" s="242"/>
      <c r="CH130" s="242"/>
      <c r="CI130" s="242"/>
      <c r="CJ130" s="242"/>
      <c r="CK130" s="242"/>
      <c r="CL130" s="242"/>
      <c r="CM130" s="242"/>
      <c r="CN130" s="242"/>
      <c r="CO130" s="242"/>
      <c r="CP130" s="242"/>
      <c r="CQ130" s="242"/>
      <c r="CR130" s="242"/>
      <c r="CS130" s="242"/>
      <c r="CT130" s="242"/>
      <c r="CU130" s="242"/>
    </row>
    <row r="131" spans="1:99">
      <c r="A131" s="75"/>
      <c r="B131" s="75"/>
      <c r="C131" s="349" t="s">
        <v>218</v>
      </c>
      <c r="D131" s="75"/>
      <c r="E131" s="350"/>
      <c r="F131" s="351"/>
      <c r="G131" s="351"/>
      <c r="H131" s="352"/>
      <c r="I131" s="273"/>
      <c r="J131" s="270"/>
      <c r="K131" s="271"/>
      <c r="L131" s="271"/>
      <c r="M131" s="272"/>
      <c r="N131" s="273"/>
      <c r="O131" s="270"/>
      <c r="P131" s="271"/>
      <c r="Q131" s="271"/>
      <c r="R131" s="272"/>
      <c r="S131" s="273"/>
      <c r="T131" s="270"/>
      <c r="U131" s="271"/>
      <c r="V131" s="271"/>
      <c r="W131" s="272"/>
      <c r="X131" s="273"/>
      <c r="Y131" s="270"/>
      <c r="Z131" s="271"/>
      <c r="AA131" s="271"/>
      <c r="AB131" s="272"/>
      <c r="AC131" s="273">
        <f t="shared" ref="AC131:AH131" si="153">+AC130/X130-1</f>
        <v>8.1395348837209225E-2</v>
      </c>
      <c r="AD131" s="270">
        <f t="shared" si="153"/>
        <v>5.4945054945054972E-2</v>
      </c>
      <c r="AE131" s="271">
        <f t="shared" si="153"/>
        <v>-6.4516129032258118E-2</v>
      </c>
      <c r="AF131" s="271">
        <f t="shared" si="153"/>
        <v>2.1505376344086002E-2</v>
      </c>
      <c r="AG131" s="272">
        <f t="shared" si="153"/>
        <v>-3.157894736842104E-2</v>
      </c>
      <c r="AH131" s="273">
        <f t="shared" si="153"/>
        <v>-5.3763440860215006E-3</v>
      </c>
      <c r="AI131" s="270">
        <f t="shared" ref="AI131:AP131" si="154">+AI130/AD130-1</f>
        <v>1.0416666666666741E-2</v>
      </c>
      <c r="AJ131" s="271">
        <f t="shared" si="154"/>
        <v>8.0459770114942541E-2</v>
      </c>
      <c r="AK131" s="271">
        <f t="shared" si="154"/>
        <v>2.1052631578947434E-2</v>
      </c>
      <c r="AL131" s="272">
        <f t="shared" si="154"/>
        <v>3.3695652173913349E-2</v>
      </c>
      <c r="AM131" s="273">
        <f t="shared" si="154"/>
        <v>3.5405405405405377E-2</v>
      </c>
      <c r="AN131" s="270">
        <f t="shared" si="154"/>
        <v>9.2783505154638846E-3</v>
      </c>
      <c r="AO131" s="271">
        <f t="shared" si="154"/>
        <v>4.3617021276595613E-2</v>
      </c>
      <c r="AP131" s="271">
        <f t="shared" si="154"/>
        <v>2.0618556701030855E-2</v>
      </c>
      <c r="AQ131" s="272">
        <f t="shared" ref="AQ131:AW131" si="155">+AQ130/AL130-1</f>
        <v>7.3606729758148859E-3</v>
      </c>
      <c r="AR131" s="273">
        <f t="shared" si="155"/>
        <v>2.0099190811798451E-2</v>
      </c>
      <c r="AS131" s="270">
        <f t="shared" si="155"/>
        <v>3.2686414708886558E-2</v>
      </c>
      <c r="AT131" s="271">
        <f t="shared" si="155"/>
        <v>1.3251783893985847E-2</v>
      </c>
      <c r="AU131" s="271">
        <f t="shared" si="155"/>
        <v>6.7676767676767779E-2</v>
      </c>
      <c r="AV131" s="272">
        <f t="shared" si="155"/>
        <v>0.11795407098121102</v>
      </c>
      <c r="AW131" s="273">
        <f t="shared" si="155"/>
        <v>5.7574206755373503E-2</v>
      </c>
      <c r="AX131" s="270">
        <f>+AX74</f>
        <v>0.02</v>
      </c>
      <c r="AY131" s="271">
        <f>+AY74</f>
        <v>0.02</v>
      </c>
      <c r="AZ131" s="271">
        <f>+AZ74</f>
        <v>0.02</v>
      </c>
      <c r="BA131" s="272">
        <f>+BA74</f>
        <v>0.02</v>
      </c>
      <c r="BB131" s="273">
        <f>+BB130/AW130-1</f>
        <v>2.0000000000000018E-2</v>
      </c>
      <c r="BC131" s="270">
        <f>+BC74</f>
        <v>0.02</v>
      </c>
      <c r="BD131" s="271">
        <f>+BD74</f>
        <v>0.02</v>
      </c>
      <c r="BE131" s="271">
        <f>+BE74</f>
        <v>0.02</v>
      </c>
      <c r="BF131" s="272">
        <f>+BF74</f>
        <v>0.02</v>
      </c>
      <c r="BG131" s="273">
        <f>+BG130/BB130-1</f>
        <v>2.0000000000000018E-2</v>
      </c>
      <c r="BH131" s="270">
        <f>+BH74</f>
        <v>0.02</v>
      </c>
      <c r="BI131" s="271">
        <f>+BI74</f>
        <v>0.02</v>
      </c>
      <c r="BJ131" s="271">
        <f>+BJ74</f>
        <v>0.02</v>
      </c>
      <c r="BK131" s="272">
        <f>+BK74</f>
        <v>0.02</v>
      </c>
      <c r="BL131" s="273">
        <f>+BL130/BG130-1</f>
        <v>2.0000000000000018E-2</v>
      </c>
      <c r="BM131" s="270">
        <f>+BM74</f>
        <v>0.02</v>
      </c>
      <c r="BN131" s="271">
        <f>+BN74</f>
        <v>0.02</v>
      </c>
      <c r="BO131" s="271">
        <f>+BO74</f>
        <v>0.02</v>
      </c>
      <c r="BP131" s="272">
        <f>+BP74</f>
        <v>0.02</v>
      </c>
      <c r="BQ131" s="273">
        <f>+BQ130/BL130-1</f>
        <v>2.0000000000000018E-2</v>
      </c>
      <c r="BR131" s="75"/>
      <c r="BS131" s="75"/>
      <c r="BT131" s="75"/>
      <c r="BU131" s="75"/>
      <c r="BV131" s="75"/>
      <c r="BW131" s="75"/>
      <c r="BX131" s="75"/>
      <c r="BY131" s="75"/>
      <c r="BZ131" s="75"/>
      <c r="CA131" s="75"/>
      <c r="CB131" s="75"/>
      <c r="CC131" s="75"/>
      <c r="CD131" s="75"/>
      <c r="CE131" s="75"/>
      <c r="CF131" s="75"/>
      <c r="CG131" s="75"/>
      <c r="CH131" s="75"/>
      <c r="CI131" s="75"/>
      <c r="CJ131" s="75"/>
      <c r="CK131" s="75"/>
      <c r="CL131" s="75"/>
      <c r="CM131" s="75"/>
      <c r="CN131" s="75"/>
      <c r="CO131" s="75"/>
      <c r="CP131" s="75"/>
      <c r="CQ131" s="75"/>
      <c r="CR131" s="75"/>
      <c r="CS131" s="75"/>
      <c r="CT131" s="75"/>
      <c r="CU131" s="75"/>
    </row>
    <row r="132" spans="1:99">
      <c r="A132" s="50"/>
      <c r="B132" s="50"/>
      <c r="C132" s="50"/>
      <c r="D132" s="50"/>
      <c r="E132" s="225"/>
      <c r="F132" s="226"/>
      <c r="G132" s="226"/>
      <c r="H132" s="227"/>
      <c r="I132" s="228"/>
      <c r="J132" s="225"/>
      <c r="K132" s="226"/>
      <c r="L132" s="226"/>
      <c r="M132" s="227"/>
      <c r="N132" s="228"/>
      <c r="O132" s="225"/>
      <c r="P132" s="226"/>
      <c r="Q132" s="226"/>
      <c r="R132" s="227"/>
      <c r="S132" s="228"/>
      <c r="T132" s="225"/>
      <c r="U132" s="226"/>
      <c r="V132" s="226"/>
      <c r="W132" s="227"/>
      <c r="X132" s="228"/>
      <c r="Y132" s="225"/>
      <c r="Z132" s="226"/>
      <c r="AA132" s="226"/>
      <c r="AB132" s="227"/>
      <c r="AC132" s="228"/>
      <c r="AD132" s="225"/>
      <c r="AE132" s="226"/>
      <c r="AF132" s="226"/>
      <c r="AG132" s="227"/>
      <c r="AH132" s="228"/>
      <c r="AI132" s="225"/>
      <c r="AJ132" s="226"/>
      <c r="AK132" s="226"/>
      <c r="AL132" s="227"/>
      <c r="AM132" s="228"/>
      <c r="AN132" s="225"/>
      <c r="AO132" s="226"/>
      <c r="AP132" s="226"/>
      <c r="AQ132" s="227"/>
      <c r="AR132" s="228"/>
      <c r="AS132" s="225"/>
      <c r="AT132" s="226"/>
      <c r="AU132" s="226"/>
      <c r="AV132" s="227"/>
      <c r="AW132" s="228"/>
      <c r="AX132" s="225"/>
      <c r="AY132" s="226"/>
      <c r="AZ132" s="226"/>
      <c r="BA132" s="227"/>
      <c r="BB132" s="228"/>
      <c r="BC132" s="225"/>
      <c r="BD132" s="226"/>
      <c r="BE132" s="226"/>
      <c r="BF132" s="227"/>
      <c r="BG132" s="228"/>
      <c r="BH132" s="225"/>
      <c r="BI132" s="226"/>
      <c r="BJ132" s="226"/>
      <c r="BK132" s="227"/>
      <c r="BL132" s="228"/>
      <c r="BM132" s="225"/>
      <c r="BN132" s="226"/>
      <c r="BO132" s="226"/>
      <c r="BP132" s="227"/>
      <c r="BQ132" s="228"/>
      <c r="BR132" s="50"/>
      <c r="BS132" s="50"/>
      <c r="BT132" s="50"/>
      <c r="BU132" s="50"/>
      <c r="BV132" s="50"/>
      <c r="BW132" s="50"/>
      <c r="BX132" s="50"/>
      <c r="BY132" s="50"/>
      <c r="BZ132" s="50"/>
      <c r="CA132" s="50"/>
      <c r="CB132" s="50"/>
      <c r="CC132" s="50"/>
      <c r="CD132" s="50"/>
      <c r="CE132" s="50"/>
      <c r="CF132" s="50"/>
      <c r="CG132" s="50"/>
      <c r="CH132" s="50"/>
      <c r="CI132" s="50"/>
      <c r="CJ132" s="50"/>
      <c r="CK132" s="50"/>
      <c r="CL132" s="50"/>
      <c r="CM132" s="50"/>
      <c r="CN132" s="50"/>
      <c r="CO132" s="50"/>
      <c r="CP132" s="50"/>
      <c r="CQ132" s="50"/>
      <c r="CR132" s="50"/>
      <c r="CS132" s="50"/>
      <c r="CT132" s="50"/>
      <c r="CU132" s="50"/>
    </row>
    <row r="133" spans="1:99">
      <c r="A133" s="50"/>
      <c r="B133" s="50"/>
      <c r="C133" s="50"/>
      <c r="D133" s="50"/>
      <c r="E133" s="225"/>
      <c r="F133" s="226"/>
      <c r="G133" s="226"/>
      <c r="H133" s="227"/>
      <c r="I133" s="228"/>
      <c r="J133" s="225"/>
      <c r="K133" s="226"/>
      <c r="L133" s="226"/>
      <c r="M133" s="227"/>
      <c r="N133" s="228"/>
      <c r="O133" s="225"/>
      <c r="P133" s="226"/>
      <c r="Q133" s="226"/>
      <c r="R133" s="227"/>
      <c r="S133" s="228"/>
      <c r="T133" s="225"/>
      <c r="U133" s="226"/>
      <c r="V133" s="226"/>
      <c r="W133" s="227"/>
      <c r="X133" s="228"/>
      <c r="Y133" s="225"/>
      <c r="Z133" s="226"/>
      <c r="AA133" s="226"/>
      <c r="AB133" s="227"/>
      <c r="AC133" s="228"/>
      <c r="AD133" s="225"/>
      <c r="AE133" s="226"/>
      <c r="AF133" s="226"/>
      <c r="AG133" s="227"/>
      <c r="AH133" s="228"/>
      <c r="AI133" s="225"/>
      <c r="AJ133" s="226"/>
      <c r="AK133" s="226"/>
      <c r="AL133" s="227"/>
      <c r="AM133" s="228"/>
      <c r="AN133" s="225"/>
      <c r="AO133" s="226"/>
      <c r="AP133" s="226"/>
      <c r="AQ133" s="227"/>
      <c r="AR133" s="228"/>
      <c r="AS133" s="225"/>
      <c r="AT133" s="226"/>
      <c r="AU133" s="226"/>
      <c r="AV133" s="227"/>
      <c r="AW133" s="228"/>
      <c r="AX133" s="225"/>
      <c r="AY133" s="226"/>
      <c r="AZ133" s="226"/>
      <c r="BA133" s="227"/>
      <c r="BB133" s="228"/>
      <c r="BC133" s="225"/>
      <c r="BD133" s="226"/>
      <c r="BE133" s="226"/>
      <c r="BF133" s="227"/>
      <c r="BG133" s="228"/>
      <c r="BH133" s="225"/>
      <c r="BI133" s="226"/>
      <c r="BJ133" s="226"/>
      <c r="BK133" s="227"/>
      <c r="BL133" s="228"/>
      <c r="BM133" s="225"/>
      <c r="BN133" s="226"/>
      <c r="BO133" s="226"/>
      <c r="BP133" s="227"/>
      <c r="BQ133" s="228"/>
      <c r="BR133" s="50"/>
      <c r="BS133" s="50"/>
      <c r="BT133" s="50"/>
      <c r="BU133" s="50"/>
      <c r="BV133" s="50"/>
      <c r="BW133" s="50"/>
      <c r="BX133" s="50"/>
      <c r="BY133" s="50"/>
      <c r="BZ133" s="50"/>
      <c r="CA133" s="50"/>
      <c r="CB133" s="50"/>
      <c r="CC133" s="50"/>
      <c r="CD133" s="50"/>
      <c r="CE133" s="50"/>
      <c r="CF133" s="50"/>
      <c r="CG133" s="50"/>
      <c r="CH133" s="50"/>
      <c r="CI133" s="50"/>
      <c r="CJ133" s="50"/>
      <c r="CK133" s="50"/>
      <c r="CL133" s="50"/>
      <c r="CM133" s="50"/>
      <c r="CN133" s="50"/>
      <c r="CO133" s="50"/>
      <c r="CP133" s="50"/>
      <c r="CQ133" s="50"/>
      <c r="CR133" s="50"/>
      <c r="CS133" s="50"/>
      <c r="CT133" s="50"/>
      <c r="CU133" s="50"/>
    </row>
    <row r="134" spans="1:99">
      <c r="A134" s="50"/>
      <c r="B134" s="46" t="s">
        <v>219</v>
      </c>
      <c r="C134" s="46"/>
      <c r="D134" s="47"/>
      <c r="E134" s="225"/>
      <c r="F134" s="226"/>
      <c r="G134" s="226"/>
      <c r="H134" s="227"/>
      <c r="I134" s="228"/>
      <c r="J134" s="225"/>
      <c r="K134" s="226"/>
      <c r="L134" s="226"/>
      <c r="M134" s="227"/>
      <c r="N134" s="228"/>
      <c r="O134" s="225"/>
      <c r="P134" s="226"/>
      <c r="Q134" s="226"/>
      <c r="R134" s="227"/>
      <c r="S134" s="228"/>
      <c r="T134" s="225"/>
      <c r="U134" s="226"/>
      <c r="V134" s="226"/>
      <c r="W134" s="227"/>
      <c r="X134" s="228"/>
      <c r="Y134" s="225"/>
      <c r="Z134" s="226"/>
      <c r="AA134" s="226"/>
      <c r="AB134" s="227"/>
      <c r="AC134" s="228"/>
      <c r="AD134" s="225"/>
      <c r="AE134" s="226"/>
      <c r="AF134" s="226"/>
      <c r="AG134" s="227"/>
      <c r="AH134" s="228"/>
      <c r="AI134" s="225"/>
      <c r="AJ134" s="226"/>
      <c r="AK134" s="226"/>
      <c r="AL134" s="227"/>
      <c r="AM134" s="228"/>
      <c r="AN134" s="225"/>
      <c r="AO134" s="226"/>
      <c r="AP134" s="226"/>
      <c r="AQ134" s="227"/>
      <c r="AR134" s="228"/>
      <c r="AS134" s="225"/>
      <c r="AT134" s="226"/>
      <c r="AU134" s="226"/>
      <c r="AV134" s="227"/>
      <c r="AW134" s="228"/>
      <c r="AX134" s="225"/>
      <c r="AY134" s="226"/>
      <c r="AZ134" s="226"/>
      <c r="BA134" s="227"/>
      <c r="BB134" s="228"/>
      <c r="BC134" s="225"/>
      <c r="BD134" s="226"/>
      <c r="BE134" s="226"/>
      <c r="BF134" s="227"/>
      <c r="BG134" s="228"/>
      <c r="BH134" s="225"/>
      <c r="BI134" s="226"/>
      <c r="BJ134" s="226"/>
      <c r="BK134" s="227"/>
      <c r="BL134" s="228"/>
      <c r="BM134" s="225"/>
      <c r="BN134" s="226"/>
      <c r="BO134" s="226"/>
      <c r="BP134" s="227"/>
      <c r="BQ134" s="228"/>
      <c r="BR134" s="50"/>
      <c r="BS134" s="50"/>
      <c r="BT134" s="50"/>
      <c r="BU134" s="50"/>
      <c r="BV134" s="50"/>
      <c r="BW134" s="50"/>
      <c r="BX134" s="50"/>
      <c r="BY134" s="50"/>
      <c r="BZ134" s="50"/>
      <c r="CA134" s="50"/>
      <c r="CB134" s="50"/>
      <c r="CC134" s="50"/>
      <c r="CD134" s="50"/>
      <c r="CE134" s="50"/>
      <c r="CF134" s="50"/>
      <c r="CG134" s="50"/>
      <c r="CH134" s="50"/>
      <c r="CI134" s="50"/>
      <c r="CJ134" s="50"/>
      <c r="CK134" s="50"/>
      <c r="CL134" s="50"/>
      <c r="CM134" s="50"/>
      <c r="CN134" s="50"/>
      <c r="CO134" s="50"/>
      <c r="CP134" s="50"/>
      <c r="CQ134" s="50"/>
      <c r="CR134" s="50"/>
      <c r="CS134" s="50"/>
      <c r="CT134" s="50"/>
      <c r="CU134" s="50"/>
    </row>
    <row r="135" spans="1:99">
      <c r="A135" s="50"/>
      <c r="B135" s="50"/>
      <c r="C135" s="50"/>
      <c r="D135" s="50"/>
      <c r="E135" s="225"/>
      <c r="F135" s="226"/>
      <c r="G135" s="226"/>
      <c r="H135" s="227"/>
      <c r="I135" s="228"/>
      <c r="J135" s="225"/>
      <c r="K135" s="226"/>
      <c r="L135" s="226"/>
      <c r="M135" s="227"/>
      <c r="N135" s="228"/>
      <c r="O135" s="225"/>
      <c r="P135" s="226"/>
      <c r="Q135" s="226"/>
      <c r="R135" s="227"/>
      <c r="S135" s="228"/>
      <c r="T135" s="225"/>
      <c r="U135" s="226"/>
      <c r="V135" s="226"/>
      <c r="W135" s="227"/>
      <c r="X135" s="228"/>
      <c r="Y135" s="225"/>
      <c r="Z135" s="226"/>
      <c r="AA135" s="226"/>
      <c r="AB135" s="227"/>
      <c r="AC135" s="228"/>
      <c r="AD135" s="225"/>
      <c r="AE135" s="226"/>
      <c r="AF135" s="226"/>
      <c r="AG135" s="227"/>
      <c r="AH135" s="228"/>
      <c r="AI135" s="225"/>
      <c r="AJ135" s="226"/>
      <c r="AK135" s="226"/>
      <c r="AL135" s="227"/>
      <c r="AM135" s="228"/>
      <c r="AN135" s="225"/>
      <c r="AO135" s="226"/>
      <c r="AP135" s="226"/>
      <c r="AQ135" s="227"/>
      <c r="AR135" s="228"/>
      <c r="AS135" s="225"/>
      <c r="AT135" s="226"/>
      <c r="AU135" s="226"/>
      <c r="AV135" s="227"/>
      <c r="AW135" s="228"/>
      <c r="AX135" s="225"/>
      <c r="AY135" s="226"/>
      <c r="AZ135" s="226"/>
      <c r="BA135" s="227"/>
      <c r="BB135" s="228"/>
      <c r="BC135" s="225"/>
      <c r="BD135" s="226"/>
      <c r="BE135" s="226"/>
      <c r="BF135" s="227"/>
      <c r="BG135" s="228"/>
      <c r="BH135" s="225"/>
      <c r="BI135" s="226"/>
      <c r="BJ135" s="226"/>
      <c r="BK135" s="227"/>
      <c r="BL135" s="228"/>
      <c r="BM135" s="225"/>
      <c r="BN135" s="226"/>
      <c r="BO135" s="226"/>
      <c r="BP135" s="227"/>
      <c r="BQ135" s="228"/>
      <c r="BR135" s="50"/>
      <c r="BS135" s="50"/>
      <c r="BT135" s="50"/>
      <c r="BU135" s="50"/>
      <c r="BV135" s="50"/>
      <c r="BW135" s="50"/>
      <c r="BX135" s="50"/>
      <c r="BY135" s="50"/>
      <c r="BZ135" s="50"/>
      <c r="CA135" s="50"/>
      <c r="CB135" s="50"/>
      <c r="CC135" s="50"/>
      <c r="CD135" s="50"/>
      <c r="CE135" s="50"/>
      <c r="CF135" s="50"/>
      <c r="CG135" s="50"/>
      <c r="CH135" s="50"/>
      <c r="CI135" s="50"/>
      <c r="CJ135" s="50"/>
      <c r="CK135" s="50"/>
      <c r="CL135" s="50"/>
      <c r="CM135" s="50"/>
      <c r="CN135" s="50"/>
      <c r="CO135" s="50"/>
      <c r="CP135" s="50"/>
      <c r="CQ135" s="50"/>
      <c r="CR135" s="50"/>
      <c r="CS135" s="50"/>
      <c r="CT135" s="50"/>
      <c r="CU135" s="50"/>
    </row>
    <row r="136" spans="1:99">
      <c r="A136" s="242"/>
      <c r="B136" s="242"/>
      <c r="C136" s="303" t="s">
        <v>220</v>
      </c>
      <c r="D136" s="109"/>
      <c r="E136" s="142"/>
      <c r="F136" s="143"/>
      <c r="G136" s="143"/>
      <c r="H136" s="144"/>
      <c r="I136" s="145"/>
      <c r="J136" s="142"/>
      <c r="K136" s="143"/>
      <c r="L136" s="143"/>
      <c r="M136" s="144"/>
      <c r="N136" s="145"/>
      <c r="O136" s="142"/>
      <c r="P136" s="143"/>
      <c r="Q136" s="143"/>
      <c r="R136" s="144"/>
      <c r="S136" s="145"/>
      <c r="T136" s="142"/>
      <c r="U136" s="143"/>
      <c r="V136" s="143"/>
      <c r="W136" s="144"/>
      <c r="X136" s="1206">
        <f>'Utility Detail'!X165-X140</f>
        <v>33499.999000000003</v>
      </c>
      <c r="Y136" s="1202">
        <f>'Utility Detail'!Y165-Y140</f>
        <v>33691.802999999993</v>
      </c>
      <c r="Z136" s="1204">
        <f>'Utility Detail'!Z165-Z140</f>
        <v>34022.918999999994</v>
      </c>
      <c r="AA136" s="1204">
        <f>'Utility Detail'!AA165-AA140</f>
        <v>34121.635999999999</v>
      </c>
      <c r="AB136" s="1205">
        <f>'Utility Detail'!AB165-AB140</f>
        <v>36600.483</v>
      </c>
      <c r="AC136" s="1206">
        <f>'Utility Detail'!AC165-AC140</f>
        <v>36600.483</v>
      </c>
      <c r="AD136" s="1202">
        <f>'Utility Detail'!AD165-AD140</f>
        <v>36845.019</v>
      </c>
      <c r="AE136" s="1204">
        <f>'Utility Detail'!AE165-AE140</f>
        <v>37301.221000000005</v>
      </c>
      <c r="AF136" s="1204">
        <f>'Utility Detail'!AF165-AF140</f>
        <v>37596.514999999992</v>
      </c>
      <c r="AG136" s="1205">
        <f>'Utility Detail'!AG165-AG140</f>
        <v>38021.769</v>
      </c>
      <c r="AH136" s="1206">
        <f>'Utility Detail'!AH165-AH140</f>
        <v>38021.769</v>
      </c>
      <c r="AI136" s="1202">
        <f>'Utility Detail'!AI165-AI140</f>
        <v>38291.527999999998</v>
      </c>
      <c r="AJ136" s="1204">
        <f>'Utility Detail'!AJ165-AJ140</f>
        <v>36960.972999999998</v>
      </c>
      <c r="AK136" s="1204">
        <f>'Utility Detail'!AK165-AK140</f>
        <v>37153.697999999997</v>
      </c>
      <c r="AL136" s="1205">
        <f>'Utility Detail'!AL165-AL140</f>
        <v>37174.879000000001</v>
      </c>
      <c r="AM136" s="1206">
        <f>'Utility Detail'!AM165-AM140</f>
        <v>37174.879000000001</v>
      </c>
      <c r="AN136" s="1202">
        <f>'Utility Detail'!AN165-AN140</f>
        <v>37917.229999999996</v>
      </c>
      <c r="AO136" s="1204">
        <f>'Utility Detail'!AO165-AO140</f>
        <v>38458.127999999997</v>
      </c>
      <c r="AP136" s="1204">
        <f>'Utility Detail'!AP165-AP140</f>
        <v>37960.822999999997</v>
      </c>
      <c r="AQ136" s="1205">
        <f>'Utility Detail'!AQ165-AQ140</f>
        <v>38480.551999999996</v>
      </c>
      <c r="AR136" s="1206">
        <f>'Utility Detail'!AR165-AR140</f>
        <v>38480.551999999996</v>
      </c>
      <c r="AS136" s="1202">
        <f>'Utility Detail'!AS165-AS140</f>
        <v>38918.300000000003</v>
      </c>
      <c r="AT136" s="1204">
        <f>'Utility Detail'!AT165-AT140</f>
        <v>39337.464</v>
      </c>
      <c r="AU136" s="1204">
        <f>'Utility Detail'!AU165-AU140</f>
        <v>39849.303</v>
      </c>
      <c r="AV136" s="1205">
        <f>'Utility Detail'!AV165-AV140</f>
        <v>40335.600000000006</v>
      </c>
      <c r="AW136" s="1206">
        <f>'Utility Detail'!AW165-AW140</f>
        <v>40335.600000000006</v>
      </c>
      <c r="AX136" s="161">
        <f>AW136+AX149-(AX140-AW140)</f>
        <v>40528.763000000006</v>
      </c>
      <c r="AY136" s="160">
        <f>AX136+AY149-(AY140-AX140)</f>
        <v>41120.763000000006</v>
      </c>
      <c r="AZ136" s="160">
        <f>AY136+AZ149-(AZ140-AY140)</f>
        <v>41712.763000000006</v>
      </c>
      <c r="BA136" s="144">
        <f>AZ136+BA149-(BA140-AZ140)</f>
        <v>42304.763000000006</v>
      </c>
      <c r="BB136" s="109">
        <f>BA136</f>
        <v>42304.763000000006</v>
      </c>
      <c r="BC136" s="161">
        <f>BB136+BC149-(BC140-BB140)</f>
        <v>42665.613000000005</v>
      </c>
      <c r="BD136" s="160">
        <f>BC136+BD149-(BD140-BC140)</f>
        <v>43420.863000000005</v>
      </c>
      <c r="BE136" s="160">
        <f>BD136+BE149-(BE140-BD140)</f>
        <v>44176.113000000005</v>
      </c>
      <c r="BF136" s="144">
        <f>BE136+BF149-(BF140-BE140)</f>
        <v>44931.363000000005</v>
      </c>
      <c r="BG136" s="109">
        <f>BF136</f>
        <v>44931.363000000005</v>
      </c>
      <c r="BH136" s="161">
        <f>BG136+BH149-(BH140-BG140)</f>
        <v>45876.913000000008</v>
      </c>
      <c r="BI136" s="160">
        <f>BH136+BI149-(BI140-BH140)</f>
        <v>46545.663000000008</v>
      </c>
      <c r="BJ136" s="160">
        <f>BI136+BJ149-(BJ140-BI140)</f>
        <v>47214.413000000008</v>
      </c>
      <c r="BK136" s="144">
        <f>BJ136+BK149-(BK140-BJ140)</f>
        <v>47883.163000000008</v>
      </c>
      <c r="BL136" s="109">
        <f>BK136</f>
        <v>47883.163000000008</v>
      </c>
      <c r="BM136" s="161">
        <f>BL136+BM149-(BM140-BL140)</f>
        <v>49921.913000000008</v>
      </c>
      <c r="BN136" s="160">
        <f>BM136+BN149-(BN140-BM140)</f>
        <v>50510.663000000008</v>
      </c>
      <c r="BO136" s="160">
        <f>BN136+BO149-(BO140-BN140)</f>
        <v>51099.413000000008</v>
      </c>
      <c r="BP136" s="144">
        <f>BO136+BP149-(BP140-BO140)</f>
        <v>51688.163000000008</v>
      </c>
      <c r="BQ136" s="109">
        <f>BP136</f>
        <v>51688.163000000008</v>
      </c>
      <c r="BR136" s="242"/>
      <c r="BS136" s="242"/>
      <c r="BT136" s="242"/>
      <c r="BU136" s="242"/>
      <c r="BV136" s="242"/>
      <c r="BW136" s="242"/>
      <c r="BX136" s="242"/>
      <c r="BY136" s="242"/>
      <c r="BZ136" s="242"/>
      <c r="CA136" s="242"/>
      <c r="CB136" s="242"/>
      <c r="CC136" s="242"/>
      <c r="CD136" s="242"/>
      <c r="CE136" s="242"/>
      <c r="CF136" s="242"/>
      <c r="CG136" s="242"/>
      <c r="CH136" s="242"/>
      <c r="CI136" s="242"/>
      <c r="CJ136" s="242"/>
      <c r="CK136" s="242"/>
      <c r="CL136" s="242"/>
      <c r="CM136" s="242"/>
      <c r="CN136" s="242"/>
      <c r="CO136" s="242"/>
      <c r="CP136" s="242"/>
      <c r="CQ136" s="242"/>
      <c r="CR136" s="242"/>
      <c r="CS136" s="242"/>
      <c r="CT136" s="242"/>
      <c r="CU136" s="242"/>
    </row>
    <row r="137" spans="1:99">
      <c r="A137" s="242"/>
      <c r="B137" s="242"/>
      <c r="C137" s="303" t="s">
        <v>108</v>
      </c>
      <c r="D137" s="109"/>
      <c r="E137" s="142"/>
      <c r="F137" s="143"/>
      <c r="G137" s="143"/>
      <c r="H137" s="144"/>
      <c r="I137" s="145"/>
      <c r="J137" s="142"/>
      <c r="K137" s="143"/>
      <c r="L137" s="143"/>
      <c r="M137" s="144"/>
      <c r="N137" s="145"/>
      <c r="O137" s="142"/>
      <c r="P137" s="143"/>
      <c r="Q137" s="143"/>
      <c r="R137" s="144"/>
      <c r="S137" s="145"/>
      <c r="T137" s="142"/>
      <c r="U137" s="143"/>
      <c r="V137" s="143"/>
      <c r="W137" s="144"/>
      <c r="X137" s="1206">
        <f>'Utility Detail'!X179</f>
        <v>11537.883000000002</v>
      </c>
      <c r="Y137" s="1202">
        <f>'Utility Detail'!Y179</f>
        <v>11665.377</v>
      </c>
      <c r="Z137" s="1204">
        <f>'Utility Detail'!Z179</f>
        <v>11774.640000000001</v>
      </c>
      <c r="AA137" s="1204">
        <f>'Utility Detail'!AA179</f>
        <v>11914.218000000001</v>
      </c>
      <c r="AB137" s="1205">
        <f>'Utility Detail'!AB179</f>
        <v>12557.578000000001</v>
      </c>
      <c r="AC137" s="1206">
        <f>'Utility Detail'!AC179</f>
        <v>12557.578000000001</v>
      </c>
      <c r="AD137" s="1202">
        <f>'Utility Detail'!AD179</f>
        <v>12729.123999999998</v>
      </c>
      <c r="AE137" s="1204">
        <f>'Utility Detail'!AE179</f>
        <v>12867.732</v>
      </c>
      <c r="AF137" s="1204">
        <f>'Utility Detail'!AF179</f>
        <v>13032.907999999999</v>
      </c>
      <c r="AG137" s="1205">
        <f>'Utility Detail'!AG179</f>
        <v>13104.745000000001</v>
      </c>
      <c r="AH137" s="1206">
        <f>'Utility Detail'!AH179</f>
        <v>13104.745000000001</v>
      </c>
      <c r="AI137" s="1202">
        <f>'Utility Detail'!AI179</f>
        <v>13305.062</v>
      </c>
      <c r="AJ137" s="1204">
        <f>'Utility Detail'!AJ179</f>
        <v>12305.893</v>
      </c>
      <c r="AK137" s="1204">
        <f>'Utility Detail'!AK179</f>
        <v>12439.282999999999</v>
      </c>
      <c r="AL137" s="1205">
        <f>'Utility Detail'!AL179</f>
        <v>12284.922</v>
      </c>
      <c r="AM137" s="1206">
        <f>'Utility Detail'!AM179</f>
        <v>12284.922</v>
      </c>
      <c r="AN137" s="1202">
        <f>'Utility Detail'!AN179</f>
        <v>12431.737000000001</v>
      </c>
      <c r="AO137" s="1204">
        <f>'Utility Detail'!AO179</f>
        <v>12375.151</v>
      </c>
      <c r="AP137" s="1204">
        <f>'Utility Detail'!AP179</f>
        <v>12042.579999999998</v>
      </c>
      <c r="AQ137" s="1205">
        <f>'Utility Detail'!AQ179</f>
        <v>12006.117000000002</v>
      </c>
      <c r="AR137" s="1206">
        <f>'Utility Detail'!AR179</f>
        <v>12006.117000000002</v>
      </c>
      <c r="AS137" s="1202">
        <f>'Utility Detail'!AS179</f>
        <v>12183.353999999999</v>
      </c>
      <c r="AT137" s="1204">
        <f>'Utility Detail'!AT179</f>
        <v>12342.232</v>
      </c>
      <c r="AU137" s="1204">
        <f>'Utility Detail'!AU179</f>
        <v>12496.742999999999</v>
      </c>
      <c r="AV137" s="1205">
        <f>'Utility Detail'!AV179</f>
        <v>12600.08</v>
      </c>
      <c r="AW137" s="1206">
        <f>'Utility Detail'!AW179</f>
        <v>12600.08</v>
      </c>
      <c r="AX137" s="1202">
        <f>+AW137+AX142</f>
        <v>12894.769899999999</v>
      </c>
      <c r="AY137" s="1204">
        <f>+AX137+AY142</f>
        <v>13188.381076687499</v>
      </c>
      <c r="AZ137" s="1204">
        <f>+AY137+AZ142</f>
        <v>13485.162634622695</v>
      </c>
      <c r="BA137" s="1205">
        <f>+AZ137+BA142</f>
        <v>13785.080888504828</v>
      </c>
      <c r="BB137" s="1206">
        <f>+BA137</f>
        <v>13785.080888504828</v>
      </c>
      <c r="BC137" s="1202">
        <f>+BB137+BC142</f>
        <v>14084.537550675528</v>
      </c>
      <c r="BD137" s="1204">
        <f>+BC137+BD142</f>
        <v>14384.638842893435</v>
      </c>
      <c r="BE137" s="1204">
        <f>+BD137+BE142</f>
        <v>14689.519196543055</v>
      </c>
      <c r="BF137" s="1205">
        <f>+BE137+BF142</f>
        <v>14999.128431479352</v>
      </c>
      <c r="BG137" s="1206">
        <f>+BF137</f>
        <v>14999.128431479352</v>
      </c>
      <c r="BH137" s="1202">
        <f>+BG137+BH142</f>
        <v>15313.416894448819</v>
      </c>
      <c r="BI137" s="1204">
        <f>+BH137+BI142</f>
        <v>15634.333603557106</v>
      </c>
      <c r="BJ137" s="1204">
        <f>+BI137+BJ142</f>
        <v>15958.902562219757</v>
      </c>
      <c r="BK137" s="1205">
        <f>+BJ137+BK142</f>
        <v>16287.08542181645</v>
      </c>
      <c r="BL137" s="1206">
        <f>+BK137</f>
        <v>16287.08542181645</v>
      </c>
      <c r="BM137" s="1202">
        <f>+BL137+BM142</f>
        <v>16618.844236387376</v>
      </c>
      <c r="BN137" s="1204">
        <f>+BM137+BN142</f>
        <v>16968.526458405307</v>
      </c>
      <c r="BO137" s="1204">
        <f>+BN137+BO142</f>
        <v>17320.718892092053</v>
      </c>
      <c r="BP137" s="1205">
        <f>+BO137+BP142</f>
        <v>17675.395180225085</v>
      </c>
      <c r="BQ137" s="1206">
        <f>+BP137</f>
        <v>17675.395180225085</v>
      </c>
      <c r="BR137" s="242"/>
      <c r="BS137" s="242"/>
      <c r="BT137" s="242"/>
      <c r="BU137" s="242"/>
      <c r="BV137" s="242"/>
      <c r="BW137" s="242"/>
      <c r="BX137" s="242"/>
      <c r="BY137" s="242"/>
      <c r="BZ137" s="242"/>
      <c r="CA137" s="242"/>
      <c r="CB137" s="242"/>
      <c r="CC137" s="242"/>
      <c r="CD137" s="242"/>
      <c r="CE137" s="242"/>
      <c r="CF137" s="242"/>
      <c r="CG137" s="242"/>
      <c r="CH137" s="242"/>
      <c r="CI137" s="242"/>
      <c r="CJ137" s="242"/>
      <c r="CK137" s="242"/>
      <c r="CL137" s="242"/>
      <c r="CM137" s="242"/>
      <c r="CN137" s="242"/>
      <c r="CO137" s="242"/>
      <c r="CP137" s="242"/>
      <c r="CQ137" s="242"/>
      <c r="CR137" s="242"/>
      <c r="CS137" s="242"/>
      <c r="CT137" s="242"/>
      <c r="CU137" s="242"/>
    </row>
    <row r="138" spans="1:99">
      <c r="A138" s="242"/>
      <c r="B138" s="242"/>
      <c r="C138" s="347" t="s">
        <v>110</v>
      </c>
      <c r="D138" s="109"/>
      <c r="E138" s="149"/>
      <c r="F138" s="150"/>
      <c r="G138" s="150"/>
      <c r="H138" s="151"/>
      <c r="I138" s="112"/>
      <c r="J138" s="149"/>
      <c r="K138" s="150"/>
      <c r="L138" s="150"/>
      <c r="M138" s="151"/>
      <c r="N138" s="112"/>
      <c r="O138" s="149"/>
      <c r="P138" s="150"/>
      <c r="Q138" s="150"/>
      <c r="R138" s="151"/>
      <c r="S138" s="112"/>
      <c r="T138" s="149"/>
      <c r="U138" s="150"/>
      <c r="V138" s="150"/>
      <c r="W138" s="151"/>
      <c r="X138" s="112">
        <f>X136-X137</f>
        <v>21962.116000000002</v>
      </c>
      <c r="Y138" s="149">
        <f t="shared" ref="Y138:AF138" si="156">Y136-Y137</f>
        <v>22026.425999999992</v>
      </c>
      <c r="Z138" s="150">
        <f t="shared" si="156"/>
        <v>22248.278999999995</v>
      </c>
      <c r="AA138" s="150">
        <f t="shared" si="156"/>
        <v>22207.417999999998</v>
      </c>
      <c r="AB138" s="151">
        <f t="shared" si="156"/>
        <v>24042.904999999999</v>
      </c>
      <c r="AC138" s="112">
        <f t="shared" si="156"/>
        <v>24042.904999999999</v>
      </c>
      <c r="AD138" s="149">
        <f t="shared" si="156"/>
        <v>24115.895000000004</v>
      </c>
      <c r="AE138" s="150">
        <f t="shared" si="156"/>
        <v>24433.489000000005</v>
      </c>
      <c r="AF138" s="150">
        <f t="shared" si="156"/>
        <v>24563.606999999993</v>
      </c>
      <c r="AG138" s="151">
        <f t="shared" ref="AG138:AM138" si="157">AG136-AG137</f>
        <v>24917.023999999998</v>
      </c>
      <c r="AH138" s="112">
        <f t="shared" si="157"/>
        <v>24917.023999999998</v>
      </c>
      <c r="AI138" s="149">
        <f t="shared" si="157"/>
        <v>24986.466</v>
      </c>
      <c r="AJ138" s="150">
        <f t="shared" si="157"/>
        <v>24655.079999999998</v>
      </c>
      <c r="AK138" s="150">
        <f t="shared" si="157"/>
        <v>24714.414999999997</v>
      </c>
      <c r="AL138" s="151">
        <f t="shared" si="157"/>
        <v>24889.957000000002</v>
      </c>
      <c r="AM138" s="112">
        <f t="shared" si="157"/>
        <v>24889.957000000002</v>
      </c>
      <c r="AN138" s="149">
        <f t="shared" ref="AN138:AR138" si="158">AN136-AN137</f>
        <v>25485.492999999995</v>
      </c>
      <c r="AO138" s="150">
        <f t="shared" si="158"/>
        <v>26082.976999999999</v>
      </c>
      <c r="AP138" s="150">
        <f t="shared" si="158"/>
        <v>25918.242999999999</v>
      </c>
      <c r="AQ138" s="151">
        <f t="shared" si="158"/>
        <v>26474.434999999994</v>
      </c>
      <c r="AR138" s="112">
        <f t="shared" si="158"/>
        <v>26474.434999999994</v>
      </c>
      <c r="AS138" s="149">
        <f t="shared" ref="AS138:AW138" si="159">AS136-AS137</f>
        <v>26734.946000000004</v>
      </c>
      <c r="AT138" s="150">
        <f t="shared" si="159"/>
        <v>26995.232</v>
      </c>
      <c r="AU138" s="150">
        <f t="shared" si="159"/>
        <v>27352.560000000001</v>
      </c>
      <c r="AV138" s="151">
        <f t="shared" si="159"/>
        <v>27735.520000000004</v>
      </c>
      <c r="AW138" s="112">
        <f t="shared" si="159"/>
        <v>27735.520000000004</v>
      </c>
      <c r="AX138" s="149">
        <f t="shared" ref="AX138:BL138" si="160">AX136-AX137</f>
        <v>27633.993100000007</v>
      </c>
      <c r="AY138" s="150">
        <f t="shared" si="160"/>
        <v>27932.381923312507</v>
      </c>
      <c r="AZ138" s="150">
        <f t="shared" si="160"/>
        <v>28227.600365377311</v>
      </c>
      <c r="BA138" s="151">
        <f t="shared" si="160"/>
        <v>28519.682111495178</v>
      </c>
      <c r="BB138" s="112">
        <f t="shared" si="160"/>
        <v>28519.682111495178</v>
      </c>
      <c r="BC138" s="149">
        <f t="shared" si="160"/>
        <v>28581.075449324475</v>
      </c>
      <c r="BD138" s="150">
        <f t="shared" si="160"/>
        <v>29036.224157106568</v>
      </c>
      <c r="BE138" s="150">
        <f t="shared" si="160"/>
        <v>29486.593803456948</v>
      </c>
      <c r="BF138" s="151">
        <f t="shared" si="160"/>
        <v>29932.234568520653</v>
      </c>
      <c r="BG138" s="112">
        <f t="shared" si="160"/>
        <v>29932.234568520653</v>
      </c>
      <c r="BH138" s="149">
        <f t="shared" si="160"/>
        <v>30563.496105551189</v>
      </c>
      <c r="BI138" s="150">
        <f t="shared" si="160"/>
        <v>30911.329396442903</v>
      </c>
      <c r="BJ138" s="150">
        <f t="shared" si="160"/>
        <v>31255.510437780249</v>
      </c>
      <c r="BK138" s="151">
        <f t="shared" si="160"/>
        <v>31596.077578183558</v>
      </c>
      <c r="BL138" s="112">
        <f t="shared" si="160"/>
        <v>31596.077578183558</v>
      </c>
      <c r="BM138" s="149">
        <f>BM136-BM137</f>
        <v>33303.068763612631</v>
      </c>
      <c r="BN138" s="150">
        <f>BN136-BN137</f>
        <v>33542.1365415947</v>
      </c>
      <c r="BO138" s="150">
        <f>BO136-BO137</f>
        <v>33778.694107907955</v>
      </c>
      <c r="BP138" s="151">
        <f>BP136-BP137</f>
        <v>34012.767819774919</v>
      </c>
      <c r="BQ138" s="112">
        <f>BQ136-BQ137</f>
        <v>34012.767819774919</v>
      </c>
      <c r="BR138" s="242"/>
      <c r="BS138" s="242"/>
      <c r="BT138" s="242"/>
      <c r="BU138" s="242"/>
      <c r="BV138" s="242"/>
      <c r="BW138" s="242"/>
      <c r="BX138" s="242"/>
      <c r="BY138" s="242"/>
      <c r="BZ138" s="242"/>
      <c r="CA138" s="242"/>
      <c r="CB138" s="242"/>
      <c r="CC138" s="242"/>
      <c r="CD138" s="242"/>
      <c r="CE138" s="242"/>
      <c r="CF138" s="242"/>
      <c r="CG138" s="242"/>
      <c r="CH138" s="242"/>
      <c r="CI138" s="242"/>
      <c r="CJ138" s="242"/>
      <c r="CK138" s="242"/>
      <c r="CL138" s="242"/>
      <c r="CM138" s="242"/>
      <c r="CN138" s="242"/>
      <c r="CO138" s="242"/>
      <c r="CP138" s="242"/>
      <c r="CQ138" s="242"/>
      <c r="CR138" s="242"/>
      <c r="CS138" s="242"/>
      <c r="CT138" s="242"/>
      <c r="CU138" s="242"/>
    </row>
    <row r="139" spans="1:99">
      <c r="A139" s="242"/>
      <c r="B139" s="242"/>
      <c r="C139" s="303"/>
      <c r="D139" s="109"/>
      <c r="E139" s="639"/>
      <c r="F139" s="642"/>
      <c r="G139" s="642"/>
      <c r="H139" s="144"/>
      <c r="I139" s="109"/>
      <c r="J139" s="639"/>
      <c r="K139" s="642"/>
      <c r="L139" s="642"/>
      <c r="M139" s="144"/>
      <c r="N139" s="109"/>
      <c r="O139" s="639"/>
      <c r="P139" s="642"/>
      <c r="Q139" s="642"/>
      <c r="R139" s="144"/>
      <c r="S139" s="109"/>
      <c r="T139" s="639"/>
      <c r="U139" s="642"/>
      <c r="V139" s="642"/>
      <c r="W139" s="144"/>
      <c r="X139" s="498"/>
      <c r="Y139" s="1241"/>
      <c r="Z139" s="1242"/>
      <c r="AA139" s="1242"/>
      <c r="AB139" s="1221"/>
      <c r="AC139" s="498"/>
      <c r="AD139" s="1241"/>
      <c r="AE139" s="1237"/>
      <c r="AF139" s="1242"/>
      <c r="AG139" s="1221"/>
      <c r="AH139" s="498"/>
      <c r="AI139" s="1241"/>
      <c r="AJ139" s="1237"/>
      <c r="AK139" s="1242"/>
      <c r="AL139" s="1221"/>
      <c r="AM139" s="498"/>
      <c r="AN139" s="1241"/>
      <c r="AO139" s="1237"/>
      <c r="AP139" s="1242"/>
      <c r="AQ139" s="1221"/>
      <c r="AR139" s="498"/>
      <c r="AS139" s="1241"/>
      <c r="AT139" s="1237"/>
      <c r="AU139" s="1237"/>
      <c r="AV139" s="144"/>
      <c r="AW139" s="242"/>
      <c r="AX139" s="161"/>
      <c r="AY139" s="162"/>
      <c r="AZ139" s="162"/>
      <c r="BA139" s="144"/>
      <c r="BB139" s="242"/>
      <c r="BC139" s="161"/>
      <c r="BD139" s="162"/>
      <c r="BE139" s="162"/>
      <c r="BF139" s="144"/>
      <c r="BG139" s="242"/>
      <c r="BH139" s="161"/>
      <c r="BI139" s="162"/>
      <c r="BJ139" s="162"/>
      <c r="BK139" s="144"/>
      <c r="BL139" s="242"/>
      <c r="BM139" s="161"/>
      <c r="BN139" s="162"/>
      <c r="BO139" s="162"/>
      <c r="BP139" s="144"/>
      <c r="BQ139" s="242"/>
      <c r="BR139" s="242"/>
      <c r="BS139" s="242"/>
      <c r="BT139" s="242"/>
      <c r="BU139" s="242"/>
      <c r="BV139" s="242"/>
      <c r="BW139" s="242"/>
      <c r="BX139" s="242"/>
      <c r="BY139" s="242"/>
      <c r="BZ139" s="242"/>
      <c r="CA139" s="242"/>
      <c r="CB139" s="242"/>
      <c r="CC139" s="242"/>
      <c r="CD139" s="242"/>
      <c r="CE139" s="242"/>
      <c r="CF139" s="242"/>
      <c r="CG139" s="242"/>
      <c r="CH139" s="242"/>
      <c r="CI139" s="242"/>
      <c r="CJ139" s="242"/>
      <c r="CK139" s="242"/>
      <c r="CL139" s="242"/>
      <c r="CM139" s="242"/>
      <c r="CN139" s="242"/>
      <c r="CO139" s="242"/>
      <c r="CP139" s="242"/>
      <c r="CQ139" s="242"/>
      <c r="CR139" s="242"/>
      <c r="CS139" s="242"/>
      <c r="CT139" s="242"/>
      <c r="CU139" s="242"/>
    </row>
    <row r="140" spans="1:99">
      <c r="A140" s="111"/>
      <c r="B140" s="111"/>
      <c r="C140" s="347" t="s">
        <v>109</v>
      </c>
      <c r="D140" s="112"/>
      <c r="E140" s="256"/>
      <c r="F140" s="257"/>
      <c r="G140" s="257"/>
      <c r="H140" s="153"/>
      <c r="I140" s="258"/>
      <c r="J140" s="256"/>
      <c r="K140" s="257"/>
      <c r="L140" s="257"/>
      <c r="M140" s="153"/>
      <c r="N140" s="258"/>
      <c r="O140" s="256"/>
      <c r="P140" s="257"/>
      <c r="Q140" s="257"/>
      <c r="R140" s="153"/>
      <c r="S140" s="258"/>
      <c r="T140" s="256"/>
      <c r="U140" s="257"/>
      <c r="V140" s="257"/>
      <c r="W140" s="153"/>
      <c r="X140" s="112">
        <f>'Utility Detail'!X207</f>
        <v>915.57799999999997</v>
      </c>
      <c r="Y140" s="149">
        <f>'Utility Detail'!Y207</f>
        <v>987.73699999999997</v>
      </c>
      <c r="Z140" s="150">
        <f>'Utility Detail'!Z207</f>
        <v>961.23700000000008</v>
      </c>
      <c r="AA140" s="150">
        <f>'Utility Detail'!AA207</f>
        <v>1091.6990000000001</v>
      </c>
      <c r="AB140" s="151">
        <f>'Utility Detail'!AB207</f>
        <v>1255.4189999999999</v>
      </c>
      <c r="AC140" s="112">
        <f>'Utility Detail'!AC207</f>
        <v>1255.4189999999999</v>
      </c>
      <c r="AD140" s="149">
        <f>'Utility Detail'!AD207</f>
        <v>1384.1820000000002</v>
      </c>
      <c r="AE140" s="150">
        <f>'Utility Detail'!AE207</f>
        <v>1390.403</v>
      </c>
      <c r="AF140" s="150">
        <f>'Utility Detail'!AF207</f>
        <v>1554.8909999999998</v>
      </c>
      <c r="AG140" s="151">
        <f>'Utility Detail'!AG207</f>
        <v>1691.357</v>
      </c>
      <c r="AH140" s="112">
        <f>'Utility Detail'!AH207</f>
        <v>1691.357</v>
      </c>
      <c r="AI140" s="149">
        <f>'Utility Detail'!AI207</f>
        <v>1857.5750000000003</v>
      </c>
      <c r="AJ140" s="150">
        <f>'Utility Detail'!AJ207</f>
        <v>1842.1009999999999</v>
      </c>
      <c r="AK140" s="150">
        <f>'Utility Detail'!AK207</f>
        <v>2073.8850000000002</v>
      </c>
      <c r="AL140" s="151">
        <f>'Utility Detail'!AL207</f>
        <v>2194.4810000000002</v>
      </c>
      <c r="AM140" s="112">
        <f>'Utility Detail'!AM207</f>
        <v>2194.4810000000002</v>
      </c>
      <c r="AN140" s="149">
        <f>'Utility Detail'!AN207</f>
        <v>1920.472</v>
      </c>
      <c r="AO140" s="150">
        <f>'Utility Detail'!AO207</f>
        <v>1486.787</v>
      </c>
      <c r="AP140" s="150">
        <f>'Utility Detail'!AP207</f>
        <v>1529.5449999999998</v>
      </c>
      <c r="AQ140" s="151">
        <f>'Utility Detail'!AQ207</f>
        <v>1455.94</v>
      </c>
      <c r="AR140" s="112">
        <f>'Utility Detail'!AR207</f>
        <v>1455.94</v>
      </c>
      <c r="AS140" s="149">
        <f>'Utility Detail'!AS207</f>
        <v>1307.47</v>
      </c>
      <c r="AT140" s="150">
        <f>'Utility Detail'!AT207</f>
        <v>1410.4460000000001</v>
      </c>
      <c r="AU140" s="150">
        <f>'Utility Detail'!AU207</f>
        <v>1296.96</v>
      </c>
      <c r="AV140" s="151">
        <f>'Utility Detail'!AV207</f>
        <v>1367.5630000000001</v>
      </c>
      <c r="AW140" s="112">
        <f>'Utility Detail'!AW207</f>
        <v>1367.5630000000001</v>
      </c>
      <c r="AX140" s="152">
        <f>AX145*BB147</f>
        <v>1766.4</v>
      </c>
      <c r="AY140" s="155">
        <f>AY145*BB147</f>
        <v>1766.4</v>
      </c>
      <c r="AZ140" s="155">
        <f>AZ145*BB147</f>
        <v>1766.4</v>
      </c>
      <c r="BA140" s="153">
        <f>BA145*BB147</f>
        <v>1766.4</v>
      </c>
      <c r="BB140" s="154">
        <f>BA140</f>
        <v>1766.4</v>
      </c>
      <c r="BC140" s="152">
        <f>BC145*BG147</f>
        <v>2160.8000000000002</v>
      </c>
      <c r="BD140" s="155">
        <f>BD145*BG147</f>
        <v>2160.8000000000002</v>
      </c>
      <c r="BE140" s="155">
        <f>BE145*BG147</f>
        <v>2160.8000000000002</v>
      </c>
      <c r="BF140" s="153">
        <f>BF145*BG147</f>
        <v>2160.8000000000002</v>
      </c>
      <c r="BG140" s="154">
        <f>BF140</f>
        <v>2160.8000000000002</v>
      </c>
      <c r="BH140" s="152">
        <f>BH145*BL147</f>
        <v>1884</v>
      </c>
      <c r="BI140" s="155">
        <f>BI145*BL147</f>
        <v>1884</v>
      </c>
      <c r="BJ140" s="155">
        <f>BJ145*BL147</f>
        <v>1884</v>
      </c>
      <c r="BK140" s="153">
        <f>BK145*BL147</f>
        <v>1884</v>
      </c>
      <c r="BL140" s="154">
        <f>BK140</f>
        <v>1884</v>
      </c>
      <c r="BM140" s="152">
        <f>BM145*BQ147</f>
        <v>1884</v>
      </c>
      <c r="BN140" s="155">
        <f>BN145*BQ147</f>
        <v>1884</v>
      </c>
      <c r="BO140" s="155">
        <f>BO145*BQ147</f>
        <v>1884</v>
      </c>
      <c r="BP140" s="153">
        <f>+BP145*BQ147</f>
        <v>1884</v>
      </c>
      <c r="BQ140" s="154">
        <f>BP140</f>
        <v>1884</v>
      </c>
      <c r="BR140" s="111"/>
      <c r="BS140" s="111"/>
      <c r="BT140" s="111"/>
      <c r="BU140" s="111"/>
      <c r="BV140" s="111"/>
      <c r="BW140" s="111"/>
      <c r="BX140" s="111"/>
      <c r="BY140" s="111"/>
      <c r="BZ140" s="111"/>
      <c r="CA140" s="111"/>
      <c r="CB140" s="111"/>
      <c r="CC140" s="111"/>
      <c r="CD140" s="111"/>
      <c r="CE140" s="111"/>
      <c r="CF140" s="111"/>
      <c r="CG140" s="111"/>
      <c r="CH140" s="111"/>
      <c r="CI140" s="111"/>
      <c r="CJ140" s="111"/>
      <c r="CK140" s="111"/>
      <c r="CL140" s="111"/>
      <c r="CM140" s="111"/>
      <c r="CN140" s="111"/>
      <c r="CO140" s="111"/>
      <c r="CP140" s="111"/>
      <c r="CQ140" s="111"/>
      <c r="CR140" s="111"/>
      <c r="CS140" s="111"/>
      <c r="CT140" s="111"/>
      <c r="CU140" s="111"/>
    </row>
    <row r="141" spans="1:99" ht="13.5" thickBot="1">
      <c r="A141" s="242"/>
      <c r="B141" s="242"/>
      <c r="C141" s="303"/>
      <c r="D141" s="109"/>
      <c r="E141" s="161"/>
      <c r="F141" s="162"/>
      <c r="G141" s="162"/>
      <c r="H141" s="144"/>
      <c r="I141" s="109"/>
      <c r="J141" s="161"/>
      <c r="K141" s="162"/>
      <c r="L141" s="162"/>
      <c r="M141" s="144"/>
      <c r="N141" s="109"/>
      <c r="O141" s="161"/>
      <c r="P141" s="162"/>
      <c r="Q141" s="162"/>
      <c r="R141" s="144"/>
      <c r="S141" s="109"/>
      <c r="T141" s="161"/>
      <c r="U141" s="162"/>
      <c r="V141" s="162"/>
      <c r="W141" s="144"/>
      <c r="X141" s="109"/>
      <c r="Y141" s="161"/>
      <c r="Z141" s="162"/>
      <c r="AA141" s="162"/>
      <c r="AB141" s="144"/>
      <c r="AC141" s="109"/>
      <c r="AD141" s="161"/>
      <c r="AE141" s="162"/>
      <c r="AF141" s="162"/>
      <c r="AG141" s="144"/>
      <c r="AH141" s="109"/>
      <c r="AI141" s="161"/>
      <c r="AJ141" s="162"/>
      <c r="AK141" s="162"/>
      <c r="AL141" s="144"/>
      <c r="AM141" s="109"/>
      <c r="AN141" s="161"/>
      <c r="AO141" s="162"/>
      <c r="AP141" s="162"/>
      <c r="AQ141" s="144"/>
      <c r="AR141" s="109"/>
      <c r="AS141" s="161"/>
      <c r="AT141" s="162"/>
      <c r="AU141" s="162"/>
      <c r="AV141" s="144"/>
      <c r="AW141" s="109"/>
      <c r="AX141" s="161"/>
      <c r="AY141" s="162"/>
      <c r="AZ141" s="162"/>
      <c r="BA141" s="144"/>
      <c r="BB141" s="242"/>
      <c r="BC141" s="161"/>
      <c r="BD141" s="162"/>
      <c r="BE141" s="162"/>
      <c r="BF141" s="144"/>
      <c r="BG141" s="242"/>
      <c r="BH141" s="161"/>
      <c r="BI141" s="162"/>
      <c r="BJ141" s="162"/>
      <c r="BK141" s="144"/>
      <c r="BL141" s="242"/>
      <c r="BM141" s="161"/>
      <c r="BN141" s="162"/>
      <c r="BO141" s="162"/>
      <c r="BP141" s="144"/>
      <c r="BQ141" s="242"/>
      <c r="BR141" s="242"/>
      <c r="BS141" s="242"/>
      <c r="BT141" s="242"/>
      <c r="BU141" s="242"/>
      <c r="BV141" s="242"/>
      <c r="BW141" s="242"/>
      <c r="BX141" s="242"/>
      <c r="BY141" s="242"/>
      <c r="BZ141" s="242"/>
      <c r="CA141" s="242"/>
      <c r="CB141" s="242"/>
      <c r="CC141" s="242"/>
      <c r="CD141" s="242"/>
      <c r="CE141" s="242"/>
      <c r="CF141" s="242"/>
      <c r="CG141" s="242"/>
      <c r="CH141" s="242"/>
      <c r="CI141" s="242"/>
      <c r="CJ141" s="242"/>
      <c r="CK141" s="242"/>
      <c r="CL141" s="242"/>
      <c r="CM141" s="242"/>
      <c r="CN141" s="242"/>
      <c r="CO141" s="242"/>
      <c r="CP141" s="242"/>
      <c r="CQ141" s="242"/>
      <c r="CR141" s="242"/>
      <c r="CS141" s="242"/>
      <c r="CT141" s="242"/>
      <c r="CU141" s="242"/>
    </row>
    <row r="142" spans="1:99">
      <c r="A142" s="111"/>
      <c r="B142" s="111"/>
      <c r="C142" s="347" t="s">
        <v>79</v>
      </c>
      <c r="D142" s="112"/>
      <c r="E142" s="149"/>
      <c r="F142" s="150"/>
      <c r="G142" s="150"/>
      <c r="H142" s="151"/>
      <c r="I142" s="112"/>
      <c r="J142" s="149"/>
      <c r="K142" s="150"/>
      <c r="L142" s="150"/>
      <c r="M142" s="151"/>
      <c r="N142" s="112"/>
      <c r="O142" s="149"/>
      <c r="P142" s="150"/>
      <c r="Q142" s="150"/>
      <c r="R142" s="151"/>
      <c r="S142" s="112"/>
      <c r="T142" s="149"/>
      <c r="U142" s="150"/>
      <c r="V142" s="150"/>
      <c r="W142" s="151"/>
      <c r="X142" s="112">
        <f t="shared" ref="X142:AF142" si="161">X13</f>
        <v>873</v>
      </c>
      <c r="Y142" s="149">
        <f t="shared" si="161"/>
        <v>235</v>
      </c>
      <c r="Z142" s="150">
        <f t="shared" si="161"/>
        <v>234</v>
      </c>
      <c r="AA142" s="150">
        <f t="shared" si="161"/>
        <v>233</v>
      </c>
      <c r="AB142" s="151">
        <f t="shared" si="161"/>
        <v>239</v>
      </c>
      <c r="AC142" s="112">
        <f t="shared" si="161"/>
        <v>941</v>
      </c>
      <c r="AD142" s="149">
        <f t="shared" si="161"/>
        <v>263</v>
      </c>
      <c r="AE142" s="150">
        <f t="shared" si="161"/>
        <v>252</v>
      </c>
      <c r="AF142" s="150">
        <f t="shared" si="161"/>
        <v>257</v>
      </c>
      <c r="AG142" s="151">
        <f t="shared" ref="AG142:AM142" si="162">AG13</f>
        <v>261</v>
      </c>
      <c r="AH142" s="112">
        <f t="shared" si="162"/>
        <v>1033</v>
      </c>
      <c r="AI142" s="149">
        <f t="shared" si="162"/>
        <v>272</v>
      </c>
      <c r="AJ142" s="150">
        <f t="shared" si="162"/>
        <v>266</v>
      </c>
      <c r="AK142" s="150">
        <f t="shared" si="162"/>
        <v>264</v>
      </c>
      <c r="AL142" s="151">
        <f t="shared" si="162"/>
        <v>260.59999999999991</v>
      </c>
      <c r="AM142" s="112">
        <f t="shared" si="162"/>
        <v>1062.5999999999999</v>
      </c>
      <c r="AN142" s="149">
        <f t="shared" ref="AN142:AR142" si="163">AN13</f>
        <v>266.8</v>
      </c>
      <c r="AO142" s="150">
        <f t="shared" si="163"/>
        <v>271</v>
      </c>
      <c r="AP142" s="150">
        <f t="shared" si="163"/>
        <v>277.7</v>
      </c>
      <c r="AQ142" s="151">
        <f t="shared" si="163"/>
        <v>258.29999999999995</v>
      </c>
      <c r="AR142" s="112">
        <f t="shared" si="163"/>
        <v>1073.8</v>
      </c>
      <c r="AS142" s="149">
        <f t="shared" ref="AS142:AW142" si="164">AS13</f>
        <v>278.3</v>
      </c>
      <c r="AT142" s="150">
        <f t="shared" si="164"/>
        <v>278</v>
      </c>
      <c r="AU142" s="150">
        <f t="shared" si="164"/>
        <v>288.8</v>
      </c>
      <c r="AV142" s="151">
        <f t="shared" si="164"/>
        <v>297.40000000000009</v>
      </c>
      <c r="AW142" s="112">
        <f t="shared" si="164"/>
        <v>1142.5</v>
      </c>
      <c r="AX142" s="149">
        <f>+AX144*AVERAGE(AW138)/4</f>
        <v>294.68990000000008</v>
      </c>
      <c r="AY142" s="150">
        <f>+AY144*AVERAGE(AX138)/4</f>
        <v>293.61117668750012</v>
      </c>
      <c r="AZ142" s="150">
        <f>+AZ144*AVERAGE(AY138)/4</f>
        <v>296.78155793519539</v>
      </c>
      <c r="BA142" s="151">
        <f>+BA144*AVERAGE(AZ138)/4</f>
        <v>299.91825388213397</v>
      </c>
      <c r="BB142" s="112">
        <f>SUM(AX142:BA142)</f>
        <v>1185.0008885048296</v>
      </c>
      <c r="BC142" s="149">
        <f>+BC144*AVERAGE(BB138)/4</f>
        <v>299.45666217069942</v>
      </c>
      <c r="BD142" s="150">
        <f>+BD144*AVERAGE(BC138)/4</f>
        <v>300.10129221790703</v>
      </c>
      <c r="BE142" s="150">
        <f>+BE144*AVERAGE(BD138)/4</f>
        <v>304.880353649619</v>
      </c>
      <c r="BF142" s="151">
        <f>+BF144*AVERAGE(BE138)/4</f>
        <v>309.60923493629798</v>
      </c>
      <c r="BG142" s="112">
        <f>SUM(BC142:BF142)</f>
        <v>1214.0475429745234</v>
      </c>
      <c r="BH142" s="149">
        <f>+BH144*AVERAGE(BG138)/4</f>
        <v>314.28846296946688</v>
      </c>
      <c r="BI142" s="150">
        <f>+BI144*AVERAGE(BH138)/4</f>
        <v>320.91670910828748</v>
      </c>
      <c r="BJ142" s="150">
        <f>+BJ144*AVERAGE(BI138)/4</f>
        <v>324.56895866265052</v>
      </c>
      <c r="BK142" s="151">
        <f>+BK144*AVERAGE(BJ138)/4</f>
        <v>328.18285959669265</v>
      </c>
      <c r="BL142" s="112">
        <f>SUM(BH142:BK142)</f>
        <v>1287.9569903370975</v>
      </c>
      <c r="BM142" s="149">
        <f>+BM144*AVERAGE(BL138)/4</f>
        <v>331.75881457092737</v>
      </c>
      <c r="BN142" s="150">
        <f>+BN144*AVERAGE(BM138)/4</f>
        <v>349.68222201793265</v>
      </c>
      <c r="BO142" s="150">
        <f>+BO144*AVERAGE(BN138)/4</f>
        <v>352.19243368674438</v>
      </c>
      <c r="BP142" s="151">
        <f>+BP144*AVERAGE(BO138)/4</f>
        <v>354.67628813303355</v>
      </c>
      <c r="BQ142" s="112">
        <f>SUM(BM142:BP142)</f>
        <v>1388.3097584086379</v>
      </c>
      <c r="BR142" s="111"/>
      <c r="BS142" s="111"/>
      <c r="BT142" s="111"/>
      <c r="BU142" s="111"/>
      <c r="BV142" s="111"/>
      <c r="BW142" s="1932" t="s">
        <v>1344</v>
      </c>
      <c r="BX142" s="1933"/>
      <c r="BY142" s="1933"/>
      <c r="BZ142" s="1933"/>
      <c r="CA142" s="1933"/>
      <c r="CB142" s="1934"/>
      <c r="CC142" s="111"/>
      <c r="CD142" s="111"/>
      <c r="CE142" s="111"/>
      <c r="CF142" s="111"/>
      <c r="CG142" s="111"/>
      <c r="CH142" s="111"/>
      <c r="CI142" s="111"/>
      <c r="CJ142" s="111"/>
      <c r="CK142" s="111"/>
      <c r="CL142" s="111"/>
      <c r="CM142" s="111"/>
      <c r="CN142" s="111"/>
      <c r="CO142" s="111"/>
      <c r="CP142" s="111"/>
      <c r="CQ142" s="111"/>
      <c r="CR142" s="111"/>
      <c r="CS142" s="111"/>
      <c r="CT142" s="111"/>
      <c r="CU142" s="111"/>
    </row>
    <row r="143" spans="1:99">
      <c r="A143" s="242"/>
      <c r="B143" s="242"/>
      <c r="C143" s="303"/>
      <c r="D143" s="109"/>
      <c r="E143" s="161"/>
      <c r="F143" s="162"/>
      <c r="G143" s="162"/>
      <c r="H143" s="144"/>
      <c r="I143" s="109"/>
      <c r="J143" s="161"/>
      <c r="K143" s="162"/>
      <c r="L143" s="162"/>
      <c r="M143" s="144"/>
      <c r="N143" s="109"/>
      <c r="O143" s="161"/>
      <c r="P143" s="162"/>
      <c r="Q143" s="162"/>
      <c r="R143" s="144"/>
      <c r="S143" s="109"/>
      <c r="T143" s="161"/>
      <c r="U143" s="162"/>
      <c r="V143" s="162"/>
      <c r="W143" s="144"/>
      <c r="X143" s="109"/>
      <c r="Y143" s="161"/>
      <c r="Z143" s="162"/>
      <c r="AA143" s="162"/>
      <c r="AB143" s="144"/>
      <c r="AC143" s="109"/>
      <c r="AD143" s="161"/>
      <c r="AE143" s="162"/>
      <c r="AF143" s="162"/>
      <c r="AG143" s="144"/>
      <c r="AH143" s="109"/>
      <c r="AI143" s="161"/>
      <c r="AJ143" s="162"/>
      <c r="AK143" s="162"/>
      <c r="AL143" s="144"/>
      <c r="AM143" s="109"/>
      <c r="AN143" s="161"/>
      <c r="AO143" s="162"/>
      <c r="AP143" s="162"/>
      <c r="AQ143" s="144"/>
      <c r="AR143" s="109"/>
      <c r="AS143" s="161"/>
      <c r="AT143" s="162"/>
      <c r="AU143" s="162"/>
      <c r="AV143" s="144"/>
      <c r="AW143" s="109"/>
      <c r="AX143" s="161"/>
      <c r="AY143" s="162"/>
      <c r="AZ143" s="162"/>
      <c r="BA143" s="144"/>
      <c r="BB143" s="242"/>
      <c r="BC143" s="161"/>
      <c r="BD143" s="162"/>
      <c r="BE143" s="162"/>
      <c r="BF143" s="144"/>
      <c r="BG143" s="242"/>
      <c r="BH143" s="161"/>
      <c r="BI143" s="162"/>
      <c r="BJ143" s="162"/>
      <c r="BK143" s="144"/>
      <c r="BL143" s="242"/>
      <c r="BM143" s="161"/>
      <c r="BN143" s="162"/>
      <c r="BO143" s="162"/>
      <c r="BP143" s="144"/>
      <c r="BQ143" s="242"/>
      <c r="BR143" s="242"/>
      <c r="BS143" s="242"/>
      <c r="BT143" s="242"/>
      <c r="BU143" s="242"/>
      <c r="BV143" s="242"/>
      <c r="BW143" s="1874"/>
      <c r="BX143" s="130">
        <v>2018</v>
      </c>
      <c r="BY143" s="130">
        <v>2019</v>
      </c>
      <c r="BZ143" s="130">
        <v>2020</v>
      </c>
      <c r="CA143" s="130">
        <v>2021</v>
      </c>
      <c r="CB143" s="1875" t="s">
        <v>48</v>
      </c>
      <c r="CC143" s="242"/>
      <c r="CD143" s="242"/>
      <c r="CE143" s="242"/>
      <c r="CF143" s="242"/>
      <c r="CG143" s="242"/>
      <c r="CH143" s="242"/>
      <c r="CI143" s="242"/>
      <c r="CJ143" s="242"/>
      <c r="CK143" s="242"/>
      <c r="CL143" s="242"/>
      <c r="CM143" s="242"/>
      <c r="CN143" s="242"/>
      <c r="CO143" s="242"/>
      <c r="CP143" s="242"/>
      <c r="CQ143" s="242"/>
      <c r="CR143" s="242"/>
      <c r="CS143" s="242"/>
      <c r="CT143" s="242"/>
      <c r="CU143" s="242"/>
    </row>
    <row r="144" spans="1:99">
      <c r="A144" s="50"/>
      <c r="B144" s="50"/>
      <c r="C144" s="303" t="s">
        <v>221</v>
      </c>
      <c r="D144" s="50"/>
      <c r="E144" s="229"/>
      <c r="F144" s="230"/>
      <c r="G144" s="230"/>
      <c r="H144" s="231"/>
      <c r="I144" s="114"/>
      <c r="J144" s="229"/>
      <c r="K144" s="230"/>
      <c r="L144" s="230"/>
      <c r="M144" s="231"/>
      <c r="N144" s="114"/>
      <c r="O144" s="229"/>
      <c r="P144" s="230"/>
      <c r="Q144" s="230"/>
      <c r="R144" s="231"/>
      <c r="S144" s="114"/>
      <c r="T144" s="229"/>
      <c r="U144" s="230"/>
      <c r="V144" s="230"/>
      <c r="W144" s="231"/>
      <c r="X144" s="114"/>
      <c r="Y144" s="229">
        <f>Y142/AVERAGE(X138:Y138)*4</f>
        <v>4.273840219573543E-2</v>
      </c>
      <c r="Z144" s="230">
        <f>Z142/AVERAGE(Y138:Z138)*4</f>
        <v>4.2281478781168627E-2</v>
      </c>
      <c r="AA144" s="230">
        <f>AA142/AVERAGE(Z138:AA138)*4</f>
        <v>4.192938421368133E-2</v>
      </c>
      <c r="AB144" s="231">
        <f>AB142/AVERAGE(AA138:AB138)*4</f>
        <v>4.13402518291602E-2</v>
      </c>
      <c r="AC144" s="114">
        <f>AC142/AVERAGE(X138,AC138)</f>
        <v>4.0908578218016682E-2</v>
      </c>
      <c r="AD144" s="229">
        <f>AD142/AVERAGE(AC138:AD138)*4</f>
        <v>4.3688796232464258E-2</v>
      </c>
      <c r="AE144" s="230">
        <f>AE142/AVERAGE(AD138:AE138)*4</f>
        <v>4.1524728717464258E-2</v>
      </c>
      <c r="AF144" s="230">
        <f>AF142/AVERAGE(AE138:AF138)*4</f>
        <v>4.196167054471963E-2</v>
      </c>
      <c r="AG144" s="231">
        <f>AG142/AVERAGE(AF138:AG138)*4</f>
        <v>4.219833009001038E-2</v>
      </c>
      <c r="AH144" s="114">
        <f>AH142/AVERAGE(AC138,AH138)</f>
        <v>4.2197773611967457E-2</v>
      </c>
      <c r="AI144" s="229">
        <f>AI142/AVERAGE(AH138:AI138)*4</f>
        <v>4.3604164758817468E-2</v>
      </c>
      <c r="AJ144" s="230">
        <f>AJ142/AVERAGE(AI138:AJ138)*4</f>
        <v>4.2867319241024444E-2</v>
      </c>
      <c r="AK144" s="230">
        <f>AK142/AVERAGE(AJ138:AK138)*4</f>
        <v>4.2779453182577629E-2</v>
      </c>
      <c r="AL144" s="231">
        <f>AL142/AVERAGE(AK138:AL138)*4</f>
        <v>4.2028553450893381E-2</v>
      </c>
      <c r="AM144" s="114">
        <f>AM142/AVERAGE(AH138,AM138)</f>
        <v>4.2668717463521827E-2</v>
      </c>
      <c r="AN144" s="229">
        <f>AN142/AVERAGE(AM138:AN138)*4</f>
        <v>4.2369844835132987E-2</v>
      </c>
      <c r="AO144" s="230">
        <f>AO142/AVERAGE(AN138:AO138)*4</f>
        <v>4.2041193000296503E-2</v>
      </c>
      <c r="AP144" s="230">
        <f>AP142/AVERAGE(AO138:AP138)*4</f>
        <v>4.2722074597480592E-2</v>
      </c>
      <c r="AQ144" s="231">
        <f>AQ142/AVERAGE(AP138:AQ138)*4</f>
        <v>3.9440625653836589E-2</v>
      </c>
      <c r="AR144" s="114">
        <f>AR142/AVERAGE(AM138,AR138)</f>
        <v>4.181106631224215E-2</v>
      </c>
      <c r="AS144" s="229">
        <f>AS142/AVERAGE(AR138:AS138)*4</f>
        <v>4.1842245825036012E-2</v>
      </c>
      <c r="AT144" s="230">
        <f>AT142/AVERAGE(AS138:AT138)*4</f>
        <v>4.139200878880394E-2</v>
      </c>
      <c r="AU144" s="230">
        <f>AU142/AVERAGE(AT138:AU138)*4</f>
        <v>4.2511386663141713E-2</v>
      </c>
      <c r="AV144" s="231">
        <f>AV142/AVERAGE(AU138:AV138)*4</f>
        <v>4.3189016571280041E-2</v>
      </c>
      <c r="AW144" s="114">
        <f>AW142/AVERAGE(AR138,AW138)</f>
        <v>4.2150929658583927E-2</v>
      </c>
      <c r="AX144" s="1871">
        <v>4.2500000000000003E-2</v>
      </c>
      <c r="AY144" s="230">
        <f>AX144</f>
        <v>4.2500000000000003E-2</v>
      </c>
      <c r="AZ144" s="353">
        <f>AY144</f>
        <v>4.2500000000000003E-2</v>
      </c>
      <c r="BA144" s="354">
        <f>AZ144</f>
        <v>4.2500000000000003E-2</v>
      </c>
      <c r="BB144" s="114">
        <f>BB142/AVERAGE(AW138,BB138)</f>
        <v>4.2129468707843704E-2</v>
      </c>
      <c r="BC144" s="229">
        <v>4.2000000000000003E-2</v>
      </c>
      <c r="BD144" s="230">
        <f>BC144</f>
        <v>4.2000000000000003E-2</v>
      </c>
      <c r="BE144" s="353">
        <f>BD144</f>
        <v>4.2000000000000003E-2</v>
      </c>
      <c r="BF144" s="354">
        <f>BE144</f>
        <v>4.2000000000000003E-2</v>
      </c>
      <c r="BG144" s="114">
        <f>BG142/AVERAGE(BB138,BG138)</f>
        <v>4.1540042206677376E-2</v>
      </c>
      <c r="BH144" s="229">
        <f>+BF144</f>
        <v>4.2000000000000003E-2</v>
      </c>
      <c r="BI144" s="230">
        <f>BH144</f>
        <v>4.2000000000000003E-2</v>
      </c>
      <c r="BJ144" s="353">
        <f>BI144</f>
        <v>4.2000000000000003E-2</v>
      </c>
      <c r="BK144" s="354">
        <f>BJ144</f>
        <v>4.2000000000000003E-2</v>
      </c>
      <c r="BL144" s="114">
        <f>BL142/AVERAGE(BG138,BL138)</f>
        <v>4.1865506964214282E-2</v>
      </c>
      <c r="BM144" s="229">
        <f>+BK144</f>
        <v>4.2000000000000003E-2</v>
      </c>
      <c r="BN144" s="230">
        <f>BM144</f>
        <v>4.2000000000000003E-2</v>
      </c>
      <c r="BO144" s="353">
        <f>BN144</f>
        <v>4.2000000000000003E-2</v>
      </c>
      <c r="BP144" s="354">
        <f>BO144</f>
        <v>4.2000000000000003E-2</v>
      </c>
      <c r="BQ144" s="114">
        <f>BQ142/AVERAGE(BL138,BQ138)</f>
        <v>4.232081055496939E-2</v>
      </c>
      <c r="BR144" s="50"/>
      <c r="BS144" s="50"/>
      <c r="BT144" s="50"/>
      <c r="BU144" s="50"/>
      <c r="BV144" s="50"/>
      <c r="BW144" s="1874" t="s">
        <v>1345</v>
      </c>
      <c r="BX144" s="1876">
        <v>0.2</v>
      </c>
      <c r="BY144" s="1876">
        <v>0.4</v>
      </c>
      <c r="BZ144" s="1876">
        <v>0.4</v>
      </c>
      <c r="CA144" s="1876">
        <v>0</v>
      </c>
      <c r="CB144" s="1881">
        <f>SUM(BX144:CA144)</f>
        <v>1</v>
      </c>
      <c r="CC144" s="50"/>
      <c r="CD144" s="50"/>
      <c r="CE144" s="50"/>
      <c r="CF144" s="50"/>
      <c r="CG144" s="50"/>
      <c r="CH144" s="50"/>
      <c r="CI144" s="50"/>
      <c r="CJ144" s="50"/>
      <c r="CK144" s="50"/>
      <c r="CL144" s="50"/>
      <c r="CM144" s="50"/>
      <c r="CN144" s="50"/>
      <c r="CO144" s="50"/>
      <c r="CP144" s="50"/>
      <c r="CQ144" s="50"/>
      <c r="CR144" s="50"/>
      <c r="CS144" s="50"/>
      <c r="CT144" s="50"/>
      <c r="CU144" s="50"/>
    </row>
    <row r="145" spans="1:99">
      <c r="A145" s="303"/>
      <c r="B145" s="303"/>
      <c r="C145" s="303" t="s">
        <v>330</v>
      </c>
      <c r="D145" s="303"/>
      <c r="E145" s="274"/>
      <c r="F145" s="275"/>
      <c r="G145" s="275"/>
      <c r="H145" s="276"/>
      <c r="I145" s="107"/>
      <c r="J145" s="274"/>
      <c r="K145" s="275"/>
      <c r="L145" s="275"/>
      <c r="M145" s="276"/>
      <c r="N145" s="107"/>
      <c r="O145" s="274"/>
      <c r="P145" s="275"/>
      <c r="Q145" s="275"/>
      <c r="R145" s="276"/>
      <c r="S145" s="107"/>
      <c r="T145" s="274"/>
      <c r="U145" s="275"/>
      <c r="V145" s="275"/>
      <c r="W145" s="276"/>
      <c r="X145" s="107">
        <f>X140/X147</f>
        <v>0.50837201554691835</v>
      </c>
      <c r="Y145" s="274">
        <f>Y140/AC147</f>
        <v>0.54211690450054884</v>
      </c>
      <c r="Z145" s="275">
        <f>Z140/AC147</f>
        <v>0.52757244785949509</v>
      </c>
      <c r="AA145" s="275">
        <f>AA140/AC147</f>
        <v>0.59917618002195394</v>
      </c>
      <c r="AB145" s="276">
        <f>AB140/AC147</f>
        <v>0.68903347969264539</v>
      </c>
      <c r="AC145" s="107">
        <f>AC140/AC147</f>
        <v>0.68903347969264539</v>
      </c>
      <c r="AD145" s="274">
        <f>AD140/AH147</f>
        <v>0.67356788321167893</v>
      </c>
      <c r="AE145" s="275">
        <f>AE140/AH147</f>
        <v>0.6765951338199514</v>
      </c>
      <c r="AF145" s="275">
        <f>AF140/AH147</f>
        <v>0.75663795620437946</v>
      </c>
      <c r="AG145" s="276">
        <f>AG140/AH147</f>
        <v>0.82304476885644773</v>
      </c>
      <c r="AH145" s="107">
        <f>AH140/AH147</f>
        <v>0.82304476885644773</v>
      </c>
      <c r="AI145" s="274">
        <f>AI140/AM147</f>
        <v>0.83587949421770247</v>
      </c>
      <c r="AJ145" s="275">
        <f>AJ140/AM147</f>
        <v>0.82891643792467251</v>
      </c>
      <c r="AK145" s="275">
        <f>AK140/AM147</f>
        <v>0.93321558745443911</v>
      </c>
      <c r="AL145" s="276">
        <f>AL140/AM147</f>
        <v>0.98748188813391535</v>
      </c>
      <c r="AM145" s="107">
        <f>AM140/AM147</f>
        <v>0.98748188813391535</v>
      </c>
      <c r="AN145" s="274">
        <f>AN140/AR147</f>
        <v>0.85850335270451494</v>
      </c>
      <c r="AO145" s="275">
        <f>AO140/AR147</f>
        <v>0.66463433169423336</v>
      </c>
      <c r="AP145" s="275">
        <f>AP140/AR147</f>
        <v>0.68374832364774241</v>
      </c>
      <c r="AQ145" s="276">
        <f>AQ140/AR147</f>
        <v>0.65084488153777387</v>
      </c>
      <c r="AR145" s="107">
        <f>AR140/AR147</f>
        <v>0.65084488153777387</v>
      </c>
      <c r="AS145" s="274">
        <f>AS140/AW147</f>
        <v>0.55798480710139986</v>
      </c>
      <c r="AT145" s="275">
        <f>AT140/AW147</f>
        <v>0.60193154660293624</v>
      </c>
      <c r="AU145" s="275">
        <f>AU140/AW147</f>
        <v>0.5534994878798225</v>
      </c>
      <c r="AV145" s="276">
        <f>AV140/AW147</f>
        <v>0.58363050529190863</v>
      </c>
      <c r="AW145" s="107">
        <f>AW140/AW147</f>
        <v>0.58363050529190863</v>
      </c>
      <c r="AX145" s="274">
        <v>0.8</v>
      </c>
      <c r="AY145" s="275">
        <f t="shared" ref="AY145:BB145" si="165">+AX145</f>
        <v>0.8</v>
      </c>
      <c r="AZ145" s="275">
        <f t="shared" si="165"/>
        <v>0.8</v>
      </c>
      <c r="BA145" s="276">
        <f t="shared" si="165"/>
        <v>0.8</v>
      </c>
      <c r="BB145" s="107">
        <f t="shared" si="165"/>
        <v>0.8</v>
      </c>
      <c r="BC145" s="274">
        <f t="shared" ref="BC145:BL145" si="166">+BB145</f>
        <v>0.8</v>
      </c>
      <c r="BD145" s="275">
        <f t="shared" si="166"/>
        <v>0.8</v>
      </c>
      <c r="BE145" s="275">
        <f t="shared" si="166"/>
        <v>0.8</v>
      </c>
      <c r="BF145" s="276">
        <f t="shared" si="166"/>
        <v>0.8</v>
      </c>
      <c r="BG145" s="107">
        <f t="shared" si="166"/>
        <v>0.8</v>
      </c>
      <c r="BH145" s="274">
        <f t="shared" si="166"/>
        <v>0.8</v>
      </c>
      <c r="BI145" s="275">
        <f t="shared" si="166"/>
        <v>0.8</v>
      </c>
      <c r="BJ145" s="275">
        <f t="shared" si="166"/>
        <v>0.8</v>
      </c>
      <c r="BK145" s="276">
        <f t="shared" si="166"/>
        <v>0.8</v>
      </c>
      <c r="BL145" s="107">
        <f t="shared" si="166"/>
        <v>0.8</v>
      </c>
      <c r="BM145" s="274">
        <f>+BL145</f>
        <v>0.8</v>
      </c>
      <c r="BN145" s="275">
        <f>+BM145</f>
        <v>0.8</v>
      </c>
      <c r="BO145" s="275">
        <f>+BN145</f>
        <v>0.8</v>
      </c>
      <c r="BP145" s="276">
        <f>+BO145</f>
        <v>0.8</v>
      </c>
      <c r="BQ145" s="107">
        <f>+BP145</f>
        <v>0.8</v>
      </c>
      <c r="BR145" s="303"/>
      <c r="BS145" s="303"/>
      <c r="BT145" s="303"/>
      <c r="BU145" s="303"/>
      <c r="BV145" s="303"/>
      <c r="BW145" s="1874" t="s">
        <v>1346</v>
      </c>
      <c r="BX145" s="74">
        <f>BX144*$CB$145*$BX$148</f>
        <v>160</v>
      </c>
      <c r="BY145" s="74">
        <f>BY144*$CB$145*$BX$148</f>
        <v>320</v>
      </c>
      <c r="BZ145" s="74">
        <f>BZ144*$CB$145*$BX$148</f>
        <v>320</v>
      </c>
      <c r="CA145" s="74">
        <f>CA144*$CB$145*$BX$148</f>
        <v>0</v>
      </c>
      <c r="CB145" s="1882">
        <v>1600</v>
      </c>
      <c r="CC145" s="303"/>
      <c r="CD145" s="303"/>
      <c r="CE145" s="303"/>
      <c r="CF145" s="303"/>
      <c r="CG145" s="303"/>
      <c r="CH145" s="303"/>
      <c r="CI145" s="303"/>
      <c r="CJ145" s="303"/>
      <c r="CK145" s="303"/>
      <c r="CL145" s="303"/>
      <c r="CM145" s="303"/>
      <c r="CN145" s="303"/>
      <c r="CO145" s="303"/>
      <c r="CP145" s="303"/>
      <c r="CQ145" s="303"/>
      <c r="CR145" s="303"/>
      <c r="CS145" s="303"/>
      <c r="CT145" s="303"/>
      <c r="CU145" s="303"/>
    </row>
    <row r="146" spans="1:99">
      <c r="A146" s="303"/>
      <c r="B146" s="303"/>
      <c r="C146" s="303"/>
      <c r="D146" s="303"/>
      <c r="E146" s="305"/>
      <c r="F146" s="306"/>
      <c r="G146" s="306"/>
      <c r="H146" s="307"/>
      <c r="I146" s="303"/>
      <c r="J146" s="305"/>
      <c r="K146" s="306"/>
      <c r="L146" s="306"/>
      <c r="M146" s="307"/>
      <c r="N146" s="303"/>
      <c r="O146" s="305"/>
      <c r="P146" s="306"/>
      <c r="Q146" s="306"/>
      <c r="R146" s="307"/>
      <c r="S146" s="303"/>
      <c r="T146" s="305"/>
      <c r="U146" s="306"/>
      <c r="V146" s="306"/>
      <c r="W146" s="307"/>
      <c r="X146" s="303"/>
      <c r="Y146" s="305"/>
      <c r="Z146" s="306"/>
      <c r="AA146" s="306"/>
      <c r="AB146" s="307"/>
      <c r="AC146" s="303"/>
      <c r="AD146" s="305"/>
      <c r="AE146" s="306"/>
      <c r="AF146" s="306"/>
      <c r="AG146" s="307"/>
      <c r="AH146" s="303"/>
      <c r="AI146" s="305"/>
      <c r="AJ146" s="306"/>
      <c r="AK146" s="306"/>
      <c r="AL146" s="307"/>
      <c r="AM146" s="303"/>
      <c r="AN146" s="305"/>
      <c r="AO146" s="306"/>
      <c r="AP146" s="306"/>
      <c r="AQ146" s="307"/>
      <c r="AR146" s="303"/>
      <c r="AS146" s="305"/>
      <c r="AT146" s="306"/>
      <c r="AU146" s="306"/>
      <c r="AV146" s="307"/>
      <c r="AW146" s="303"/>
      <c r="AX146" s="305"/>
      <c r="AY146" s="306"/>
      <c r="AZ146" s="306"/>
      <c r="BA146" s="307"/>
      <c r="BB146" s="303"/>
      <c r="BC146" s="305"/>
      <c r="BD146" s="306"/>
      <c r="BE146" s="306"/>
      <c r="BF146" s="307"/>
      <c r="BG146" s="303"/>
      <c r="BH146" s="305"/>
      <c r="BI146" s="306"/>
      <c r="BJ146" s="306"/>
      <c r="BK146" s="307"/>
      <c r="BL146" s="303"/>
      <c r="BM146" s="305"/>
      <c r="BN146" s="306"/>
      <c r="BO146" s="306"/>
      <c r="BP146" s="307"/>
      <c r="BQ146" s="303"/>
      <c r="BR146" s="303"/>
      <c r="BS146" s="303"/>
      <c r="BT146" s="303"/>
      <c r="BU146" s="303"/>
      <c r="BV146" s="303"/>
      <c r="BW146" s="1874" t="s">
        <v>1349</v>
      </c>
      <c r="BX146" s="1877">
        <v>0</v>
      </c>
      <c r="BY146" s="1877">
        <v>0</v>
      </c>
      <c r="BZ146" s="1877">
        <v>0</v>
      </c>
      <c r="CA146" s="1877">
        <v>1</v>
      </c>
      <c r="CB146" s="1881">
        <f>SUM(BX146:CA146)</f>
        <v>1</v>
      </c>
      <c r="CC146" s="303"/>
      <c r="CD146" s="303"/>
      <c r="CE146" s="303"/>
      <c r="CF146" s="303"/>
      <c r="CG146" s="303"/>
      <c r="CH146" s="303"/>
      <c r="CI146" s="303"/>
      <c r="CJ146" s="303"/>
      <c r="CK146" s="303"/>
      <c r="CL146" s="303"/>
      <c r="CM146" s="303"/>
      <c r="CN146" s="303"/>
      <c r="CO146" s="303"/>
      <c r="CP146" s="303"/>
      <c r="CQ146" s="303"/>
      <c r="CR146" s="303"/>
      <c r="CS146" s="303"/>
      <c r="CT146" s="303"/>
      <c r="CU146" s="303"/>
    </row>
    <row r="147" spans="1:99">
      <c r="A147" s="111"/>
      <c r="B147" s="111"/>
      <c r="C147" s="347" t="s">
        <v>222</v>
      </c>
      <c r="D147" s="112"/>
      <c r="E147" s="152"/>
      <c r="F147" s="155"/>
      <c r="G147" s="155"/>
      <c r="H147" s="153"/>
      <c r="I147" s="154"/>
      <c r="J147" s="152"/>
      <c r="K147" s="155"/>
      <c r="L147" s="155"/>
      <c r="M147" s="153"/>
      <c r="N147" s="154"/>
      <c r="O147" s="152"/>
      <c r="P147" s="155"/>
      <c r="Q147" s="155"/>
      <c r="R147" s="153"/>
      <c r="S147" s="154"/>
      <c r="T147" s="152"/>
      <c r="U147" s="155"/>
      <c r="V147" s="155"/>
      <c r="W147" s="153"/>
      <c r="X147" s="258">
        <v>1801</v>
      </c>
      <c r="Y147" s="152">
        <f>AC147/4</f>
        <v>455.5</v>
      </c>
      <c r="Z147" s="155">
        <f>AC147/4</f>
        <v>455.5</v>
      </c>
      <c r="AA147" s="155">
        <f>AC147/4</f>
        <v>455.5</v>
      </c>
      <c r="AB147" s="153">
        <f>AC147/4</f>
        <v>455.5</v>
      </c>
      <c r="AC147" s="258">
        <v>1822</v>
      </c>
      <c r="AD147" s="152">
        <f>AH147/4</f>
        <v>513.75</v>
      </c>
      <c r="AE147" s="155">
        <f>AH147/4</f>
        <v>513.75</v>
      </c>
      <c r="AF147" s="155">
        <f>AH147/4</f>
        <v>513.75</v>
      </c>
      <c r="AG147" s="153">
        <f>AH147/4</f>
        <v>513.75</v>
      </c>
      <c r="AH147" s="258">
        <v>2055</v>
      </c>
      <c r="AI147" s="152">
        <f>AM147/4</f>
        <v>555.57500000000005</v>
      </c>
      <c r="AJ147" s="155">
        <f>AM147/4</f>
        <v>555.57500000000005</v>
      </c>
      <c r="AK147" s="155">
        <f>AM147/4</f>
        <v>555.57500000000005</v>
      </c>
      <c r="AL147" s="153">
        <f>AM147/4</f>
        <v>555.57500000000005</v>
      </c>
      <c r="AM147" s="258">
        <v>2222.3000000000002</v>
      </c>
      <c r="AN147" s="152">
        <f>AR147/4</f>
        <v>559.25</v>
      </c>
      <c r="AO147" s="155">
        <f>AR147/4</f>
        <v>559.25</v>
      </c>
      <c r="AP147" s="155">
        <f>AR147/4</f>
        <v>559.25</v>
      </c>
      <c r="AQ147" s="153">
        <f>AR147/4</f>
        <v>559.25</v>
      </c>
      <c r="AR147" s="258">
        <v>2237</v>
      </c>
      <c r="AS147" s="152">
        <f>AW147/4</f>
        <v>585.79999999999995</v>
      </c>
      <c r="AT147" s="155">
        <f>AW147/4</f>
        <v>585.79999999999995</v>
      </c>
      <c r="AU147" s="155">
        <f>AW147/4</f>
        <v>585.79999999999995</v>
      </c>
      <c r="AV147" s="151">
        <f>(AW147-SUM(AS147:AU147))/1</f>
        <v>585.79999999999995</v>
      </c>
      <c r="AW147" s="258">
        <v>2343.1999999999998</v>
      </c>
      <c r="AX147" s="149">
        <f>+BB147/4</f>
        <v>552</v>
      </c>
      <c r="AY147" s="150">
        <f>(BB147-SUM(AX147:AX147))/3</f>
        <v>552</v>
      </c>
      <c r="AZ147" s="150">
        <f>(BB147-SUM(AX147:AY147))/2</f>
        <v>552</v>
      </c>
      <c r="BA147" s="151">
        <f>(BB147-SUM(AX147:AZ147))/1</f>
        <v>552</v>
      </c>
      <c r="BB147" s="112">
        <f>'Utility Detail'!BB78-BB148</f>
        <v>2208</v>
      </c>
      <c r="BC147" s="149">
        <f>+BG147/4</f>
        <v>675.25</v>
      </c>
      <c r="BD147" s="150">
        <f>(BG147-SUM(BC147:BC147))/3</f>
        <v>675.25</v>
      </c>
      <c r="BE147" s="150">
        <f>(BG147-SUM(BC147:BD147))/2</f>
        <v>675.25</v>
      </c>
      <c r="BF147" s="151">
        <f>(BG147-SUM(BC147:BE147))/1</f>
        <v>675.25</v>
      </c>
      <c r="BG147" s="112">
        <f>'Utility Detail'!BG78-BG148</f>
        <v>2701</v>
      </c>
      <c r="BH147" s="149">
        <f>+BL147/4</f>
        <v>588.75</v>
      </c>
      <c r="BI147" s="150">
        <f>(BL147-SUM(BH147:BH147))/3</f>
        <v>588.75</v>
      </c>
      <c r="BJ147" s="150">
        <f>(BL147-SUM(BH147:BI147))/2</f>
        <v>588.75</v>
      </c>
      <c r="BK147" s="151">
        <f>(BL147-SUM(BH147:BJ147))/1</f>
        <v>588.75</v>
      </c>
      <c r="BL147" s="112">
        <f>'Utility Detail'!BL78-BL148</f>
        <v>2355</v>
      </c>
      <c r="BM147" s="149">
        <f>+BQ147/4</f>
        <v>588.75</v>
      </c>
      <c r="BN147" s="150">
        <f>(BQ147-SUM(BM147:BM147))/3</f>
        <v>588.75</v>
      </c>
      <c r="BO147" s="150">
        <f>(BQ147-SUM(BM147:BN147))/2</f>
        <v>588.75</v>
      </c>
      <c r="BP147" s="151">
        <f>(BQ147-SUM(BM147:BO147))/1</f>
        <v>588.75</v>
      </c>
      <c r="BQ147" s="112">
        <f>'Utility Detail'!BQ78-BQ148</f>
        <v>2355</v>
      </c>
      <c r="BR147" s="111"/>
      <c r="BS147" s="111"/>
      <c r="BT147" s="111"/>
      <c r="BU147" s="111"/>
      <c r="BV147" s="111"/>
      <c r="BW147" s="1874" t="s">
        <v>1348</v>
      </c>
      <c r="BX147" s="74">
        <f>BX146*$CB$147*$BX$148</f>
        <v>0</v>
      </c>
      <c r="BY147" s="74">
        <f>BY146*$CB$147*$BX$148</f>
        <v>0</v>
      </c>
      <c r="BZ147" s="74">
        <f>BZ146*$CB$147*$BX$148</f>
        <v>0</v>
      </c>
      <c r="CA147" s="74">
        <f>CA146*$CB$147*$BX$148</f>
        <v>1450</v>
      </c>
      <c r="CB147" s="1882">
        <v>2900</v>
      </c>
      <c r="CC147" s="111"/>
      <c r="CD147" s="111"/>
      <c r="CE147" s="111"/>
      <c r="CF147" s="111"/>
      <c r="CG147" s="111"/>
      <c r="CH147" s="111"/>
      <c r="CI147" s="111"/>
      <c r="CJ147" s="111"/>
      <c r="CK147" s="111"/>
      <c r="CL147" s="111"/>
      <c r="CM147" s="111"/>
      <c r="CN147" s="111"/>
      <c r="CO147" s="111"/>
      <c r="CP147" s="111"/>
      <c r="CQ147" s="111"/>
      <c r="CR147" s="111"/>
      <c r="CS147" s="111"/>
      <c r="CT147" s="111"/>
      <c r="CU147" s="111"/>
    </row>
    <row r="148" spans="1:99" ht="13.5" thickBot="1">
      <c r="A148" s="111"/>
      <c r="B148" s="111"/>
      <c r="C148" s="349" t="s">
        <v>1342</v>
      </c>
      <c r="D148" s="112"/>
      <c r="E148" s="152"/>
      <c r="F148" s="155"/>
      <c r="G148" s="155"/>
      <c r="H148" s="153"/>
      <c r="I148" s="154"/>
      <c r="J148" s="152"/>
      <c r="K148" s="155"/>
      <c r="L148" s="155"/>
      <c r="M148" s="153"/>
      <c r="N148" s="154"/>
      <c r="O148" s="152"/>
      <c r="P148" s="155"/>
      <c r="Q148" s="155"/>
      <c r="R148" s="153"/>
      <c r="S148" s="154"/>
      <c r="T148" s="152"/>
      <c r="U148" s="155"/>
      <c r="V148" s="155"/>
      <c r="W148" s="153"/>
      <c r="X148" s="258"/>
      <c r="Y148" s="152"/>
      <c r="Z148" s="155"/>
      <c r="AA148" s="155"/>
      <c r="AB148" s="153"/>
      <c r="AC148" s="258"/>
      <c r="AD148" s="152"/>
      <c r="AE148" s="155"/>
      <c r="AF148" s="155"/>
      <c r="AG148" s="153"/>
      <c r="AH148" s="258"/>
      <c r="AI148" s="152"/>
      <c r="AJ148" s="155"/>
      <c r="AK148" s="155"/>
      <c r="AL148" s="153"/>
      <c r="AM148" s="258"/>
      <c r="AN148" s="152"/>
      <c r="AO148" s="155"/>
      <c r="AP148" s="155"/>
      <c r="AQ148" s="153"/>
      <c r="AR148" s="258"/>
      <c r="AS148" s="152"/>
      <c r="AT148" s="155"/>
      <c r="AU148" s="155"/>
      <c r="AV148" s="151"/>
      <c r="AW148" s="112"/>
      <c r="AX148" s="1202">
        <f>BB148/4</f>
        <v>40</v>
      </c>
      <c r="AY148" s="1204">
        <f>BB148/4</f>
        <v>40</v>
      </c>
      <c r="AZ148" s="1204">
        <f>BB148/4</f>
        <v>40</v>
      </c>
      <c r="BA148" s="1205">
        <f>BB148/4</f>
        <v>40</v>
      </c>
      <c r="BB148" s="1872">
        <f>SUM(BX145,BX147)</f>
        <v>160</v>
      </c>
      <c r="BC148" s="1202">
        <f>BG148/4</f>
        <v>80</v>
      </c>
      <c r="BD148" s="1204">
        <f>BG148/4</f>
        <v>80</v>
      </c>
      <c r="BE148" s="1204">
        <f>BG148/4</f>
        <v>80</v>
      </c>
      <c r="BF148" s="1205">
        <f>BG148/4</f>
        <v>80</v>
      </c>
      <c r="BG148" s="1872">
        <f>SUM(BY145,BY147)</f>
        <v>320</v>
      </c>
      <c r="BH148" s="161">
        <f>BL148/4</f>
        <v>80</v>
      </c>
      <c r="BI148" s="160">
        <f>BL148/4</f>
        <v>80</v>
      </c>
      <c r="BJ148" s="160">
        <f>BL148/4</f>
        <v>80</v>
      </c>
      <c r="BK148" s="144">
        <f>BL148/4</f>
        <v>80</v>
      </c>
      <c r="BL148" s="1872">
        <f>SUM(BZ145,BZ147)</f>
        <v>320</v>
      </c>
      <c r="BM148" s="1202">
        <f>SUM(CA145,CA147)</f>
        <v>1450</v>
      </c>
      <c r="BN148" s="1204">
        <v>0</v>
      </c>
      <c r="BO148" s="1204">
        <v>0</v>
      </c>
      <c r="BP148" s="1205">
        <v>0</v>
      </c>
      <c r="BQ148" s="1872">
        <f>SUM(BM148:BP148)</f>
        <v>1450</v>
      </c>
      <c r="BR148" s="111"/>
      <c r="BS148" s="111"/>
      <c r="BT148" s="111"/>
      <c r="BU148" s="111"/>
      <c r="BV148" s="111"/>
      <c r="BW148" s="1878" t="s">
        <v>1347</v>
      </c>
      <c r="BX148" s="1879">
        <v>0.5</v>
      </c>
      <c r="BY148" s="1796"/>
      <c r="BZ148" s="1796"/>
      <c r="CA148" s="1796"/>
      <c r="CB148" s="1880"/>
      <c r="CC148" s="111"/>
      <c r="CD148" s="111"/>
      <c r="CE148" s="111"/>
      <c r="CF148" s="111"/>
      <c r="CG148" s="111"/>
      <c r="CH148" s="111"/>
      <c r="CI148" s="111"/>
      <c r="CJ148" s="111"/>
      <c r="CK148" s="111"/>
      <c r="CL148" s="111"/>
      <c r="CM148" s="111"/>
      <c r="CN148" s="111"/>
      <c r="CO148" s="111"/>
      <c r="CP148" s="111"/>
      <c r="CQ148" s="111"/>
      <c r="CR148" s="111"/>
      <c r="CS148" s="111"/>
      <c r="CT148" s="111"/>
      <c r="CU148" s="111"/>
    </row>
    <row r="149" spans="1:99">
      <c r="A149" s="111"/>
      <c r="B149" s="111"/>
      <c r="C149" s="347" t="s">
        <v>746</v>
      </c>
      <c r="D149" s="112"/>
      <c r="E149" s="152"/>
      <c r="F149" s="155"/>
      <c r="G149" s="155"/>
      <c r="H149" s="153"/>
      <c r="I149" s="154"/>
      <c r="J149" s="152"/>
      <c r="K149" s="155"/>
      <c r="L149" s="155"/>
      <c r="M149" s="153"/>
      <c r="N149" s="154"/>
      <c r="O149" s="152"/>
      <c r="P149" s="155"/>
      <c r="Q149" s="155"/>
      <c r="R149" s="153"/>
      <c r="S149" s="154"/>
      <c r="T149" s="152"/>
      <c r="U149" s="155"/>
      <c r="V149" s="155"/>
      <c r="W149" s="153"/>
      <c r="X149" s="258"/>
      <c r="Y149" s="152"/>
      <c r="Z149" s="155"/>
      <c r="AA149" s="155"/>
      <c r="AB149" s="153"/>
      <c r="AC149" s="258"/>
      <c r="AD149" s="152"/>
      <c r="AE149" s="155"/>
      <c r="AF149" s="155"/>
      <c r="AG149" s="153"/>
      <c r="AH149" s="258"/>
      <c r="AI149" s="152"/>
      <c r="AJ149" s="155"/>
      <c r="AK149" s="155"/>
      <c r="AL149" s="153"/>
      <c r="AM149" s="258"/>
      <c r="AN149" s="152"/>
      <c r="AO149" s="155"/>
      <c r="AP149" s="155"/>
      <c r="AQ149" s="153"/>
      <c r="AR149" s="258"/>
      <c r="AS149" s="152"/>
      <c r="AT149" s="155"/>
      <c r="AU149" s="155"/>
      <c r="AV149" s="151"/>
      <c r="AW149" s="112"/>
      <c r="AX149" s="149">
        <f>SUM(AX147:AX148)</f>
        <v>592</v>
      </c>
      <c r="AY149" s="150">
        <f>SUM(AY147:AY148)</f>
        <v>592</v>
      </c>
      <c r="AZ149" s="150">
        <f>SUM(AZ147:AZ148)</f>
        <v>592</v>
      </c>
      <c r="BA149" s="151">
        <f>SUM(BA147:BA148)</f>
        <v>592</v>
      </c>
      <c r="BB149" s="112">
        <f>SUM(AX149:BA149)</f>
        <v>2368</v>
      </c>
      <c r="BC149" s="149">
        <f>SUM(BC147:BC148)</f>
        <v>755.25</v>
      </c>
      <c r="BD149" s="150">
        <f>SUM(BD147:BD148)</f>
        <v>755.25</v>
      </c>
      <c r="BE149" s="150">
        <f>SUM(BE147:BE148)</f>
        <v>755.25</v>
      </c>
      <c r="BF149" s="151">
        <f>SUM(BF147:BF148)</f>
        <v>755.25</v>
      </c>
      <c r="BG149" s="112">
        <f>SUM(BC149:BF149)</f>
        <v>3021</v>
      </c>
      <c r="BH149" s="149">
        <f>SUM(BH147:BH148)</f>
        <v>668.75</v>
      </c>
      <c r="BI149" s="150">
        <f>SUM(BI147:BI148)</f>
        <v>668.75</v>
      </c>
      <c r="BJ149" s="150">
        <f>SUM(BJ147:BJ148)</f>
        <v>668.75</v>
      </c>
      <c r="BK149" s="151">
        <f>SUM(BK147:BK148)</f>
        <v>668.75</v>
      </c>
      <c r="BL149" s="112">
        <f>SUM(BH149:BK149)</f>
        <v>2675</v>
      </c>
      <c r="BM149" s="149">
        <f>SUM(BM147:BM148)</f>
        <v>2038.75</v>
      </c>
      <c r="BN149" s="150">
        <f>SUM(BN147:BN148)</f>
        <v>588.75</v>
      </c>
      <c r="BO149" s="150">
        <f>SUM(BO147:BO148)</f>
        <v>588.75</v>
      </c>
      <c r="BP149" s="151">
        <f>SUM(BP147:BP148)</f>
        <v>588.75</v>
      </c>
      <c r="BQ149" s="112">
        <f>SUM(BM149:BP149)</f>
        <v>3805</v>
      </c>
      <c r="BR149" s="111"/>
      <c r="BS149" s="111"/>
      <c r="BT149" s="111"/>
      <c r="BU149" s="111"/>
      <c r="BV149" s="111"/>
      <c r="BW149" s="111"/>
      <c r="BX149" s="111"/>
      <c r="BY149" s="111"/>
      <c r="BZ149" s="111"/>
      <c r="CA149" s="111"/>
      <c r="CB149" s="111"/>
      <c r="CC149" s="111"/>
      <c r="CD149" s="111"/>
      <c r="CE149" s="111"/>
      <c r="CF149" s="111"/>
      <c r="CG149" s="111"/>
      <c r="CH149" s="111"/>
      <c r="CI149" s="111"/>
      <c r="CJ149" s="111"/>
      <c r="CK149" s="111"/>
      <c r="CL149" s="111"/>
      <c r="CM149" s="111"/>
      <c r="CN149" s="111"/>
      <c r="CO149" s="111"/>
      <c r="CP149" s="111"/>
      <c r="CQ149" s="111"/>
      <c r="CR149" s="111"/>
      <c r="CS149" s="111"/>
      <c r="CT149" s="111"/>
      <c r="CU149" s="111"/>
    </row>
    <row r="150" spans="1:99">
      <c r="A150" s="303"/>
      <c r="B150" s="303"/>
      <c r="C150" s="303"/>
      <c r="D150" s="303"/>
      <c r="E150" s="308"/>
      <c r="F150" s="356"/>
      <c r="G150" s="356"/>
      <c r="H150" s="310"/>
      <c r="I150" s="357"/>
      <c r="J150" s="308"/>
      <c r="K150" s="356"/>
      <c r="L150" s="356"/>
      <c r="M150" s="310"/>
      <c r="N150" s="357"/>
      <c r="O150" s="305"/>
      <c r="P150" s="306"/>
      <c r="Q150" s="306"/>
      <c r="R150" s="307"/>
      <c r="S150" s="303"/>
      <c r="T150" s="305"/>
      <c r="U150" s="306"/>
      <c r="V150" s="306"/>
      <c r="W150" s="307"/>
      <c r="X150" s="303"/>
      <c r="Y150" s="305"/>
      <c r="Z150" s="306"/>
      <c r="AA150" s="306"/>
      <c r="AB150" s="307"/>
      <c r="AC150" s="303"/>
      <c r="AD150" s="305"/>
      <c r="AE150" s="306"/>
      <c r="AF150" s="306"/>
      <c r="AG150" s="307"/>
      <c r="AH150" s="303"/>
      <c r="AI150" s="305"/>
      <c r="AJ150" s="306"/>
      <c r="AK150" s="306"/>
      <c r="AL150" s="1522"/>
      <c r="AM150" s="1523"/>
      <c r="AN150" s="305"/>
      <c r="AO150" s="306"/>
      <c r="AP150" s="306"/>
      <c r="AQ150" s="1522"/>
      <c r="AR150" s="1523"/>
      <c r="AS150" s="305"/>
      <c r="AT150" s="306"/>
      <c r="AU150" s="306"/>
      <c r="AV150" s="307"/>
      <c r="AW150" s="303"/>
      <c r="AX150" s="305"/>
      <c r="AY150" s="306"/>
      <c r="AZ150" s="306"/>
      <c r="BA150" s="307"/>
      <c r="BB150" s="303"/>
      <c r="BC150" s="305"/>
      <c r="BD150" s="306"/>
      <c r="BE150" s="306"/>
      <c r="BF150" s="307"/>
      <c r="BG150" s="303"/>
      <c r="BH150" s="305"/>
      <c r="BI150" s="306"/>
      <c r="BJ150" s="306"/>
      <c r="BK150" s="307"/>
      <c r="BL150" s="303"/>
      <c r="BM150" s="305"/>
      <c r="BN150" s="306"/>
      <c r="BO150" s="306"/>
      <c r="BP150" s="307"/>
      <c r="BQ150" s="303"/>
      <c r="BR150" s="303"/>
      <c r="BS150" s="303"/>
      <c r="BT150" s="303"/>
      <c r="BU150" s="303"/>
      <c r="BV150" s="303"/>
      <c r="BW150" s="303"/>
      <c r="BX150" s="303"/>
      <c r="BY150" s="303"/>
      <c r="BZ150" s="303"/>
      <c r="CA150" s="303"/>
      <c r="CB150" s="303"/>
      <c r="CC150" s="303"/>
      <c r="CD150" s="303"/>
      <c r="CE150" s="303"/>
      <c r="CF150" s="303"/>
      <c r="CG150" s="303"/>
      <c r="CH150" s="303"/>
      <c r="CI150" s="303"/>
      <c r="CJ150" s="303"/>
      <c r="CK150" s="303"/>
      <c r="CL150" s="303"/>
      <c r="CM150" s="303"/>
      <c r="CN150" s="303"/>
      <c r="CO150" s="303"/>
      <c r="CP150" s="303"/>
      <c r="CQ150" s="303"/>
      <c r="CR150" s="303"/>
      <c r="CS150" s="303"/>
      <c r="CT150" s="303"/>
      <c r="CU150" s="303"/>
    </row>
    <row r="151" spans="1:99">
      <c r="A151" s="303"/>
      <c r="B151" s="303"/>
      <c r="C151" s="303"/>
      <c r="D151" s="303"/>
      <c r="E151" s="305"/>
      <c r="F151" s="306"/>
      <c r="G151" s="306"/>
      <c r="H151" s="307"/>
      <c r="I151" s="303"/>
      <c r="J151" s="305"/>
      <c r="K151" s="306"/>
      <c r="L151" s="306"/>
      <c r="M151" s="307"/>
      <c r="N151" s="303"/>
      <c r="O151" s="305"/>
      <c r="P151" s="306"/>
      <c r="Q151" s="306"/>
      <c r="R151" s="307"/>
      <c r="S151" s="303"/>
      <c r="T151" s="305"/>
      <c r="U151" s="306"/>
      <c r="V151" s="306"/>
      <c r="W151" s="307"/>
      <c r="X151" s="303"/>
      <c r="Y151" s="305"/>
      <c r="Z151" s="306"/>
      <c r="AA151" s="306"/>
      <c r="AB151" s="307"/>
      <c r="AC151" s="303"/>
      <c r="AD151" s="305"/>
      <c r="AE151" s="306"/>
      <c r="AF151" s="306"/>
      <c r="AG151" s="307"/>
      <c r="AH151" s="303"/>
      <c r="AI151" s="305"/>
      <c r="AJ151" s="306"/>
      <c r="AK151" s="306"/>
      <c r="AL151" s="1522"/>
      <c r="AM151" s="1523"/>
      <c r="AN151" s="305"/>
      <c r="AO151" s="306"/>
      <c r="AP151" s="306"/>
      <c r="AQ151" s="1522"/>
      <c r="AR151" s="1523"/>
      <c r="AS151" s="305"/>
      <c r="AT151" s="306"/>
      <c r="AU151" s="306"/>
      <c r="AV151" s="307"/>
      <c r="AW151" s="303"/>
      <c r="AX151" s="305"/>
      <c r="AY151" s="306"/>
      <c r="AZ151" s="306"/>
      <c r="BA151" s="307"/>
      <c r="BB151" s="303"/>
      <c r="BC151" s="305"/>
      <c r="BD151" s="306"/>
      <c r="BE151" s="306"/>
      <c r="BF151" s="307"/>
      <c r="BG151" s="303"/>
      <c r="BH151" s="305"/>
      <c r="BI151" s="306"/>
      <c r="BJ151" s="306"/>
      <c r="BK151" s="307"/>
      <c r="BL151" s="303"/>
      <c r="BM151" s="305"/>
      <c r="BN151" s="306"/>
      <c r="BO151" s="306"/>
      <c r="BP151" s="307"/>
      <c r="BQ151" s="303"/>
      <c r="BR151" s="303"/>
      <c r="BS151" s="303"/>
      <c r="BT151" s="303"/>
      <c r="BU151" s="303"/>
      <c r="BV151" s="303"/>
      <c r="BW151" s="303"/>
      <c r="BX151" s="303"/>
      <c r="BY151" s="303"/>
      <c r="BZ151" s="303"/>
      <c r="CA151" s="303"/>
      <c r="CB151" s="303"/>
      <c r="CC151" s="303"/>
      <c r="CD151" s="303"/>
      <c r="CE151" s="303"/>
      <c r="CF151" s="303"/>
      <c r="CG151" s="303"/>
      <c r="CH151" s="303"/>
      <c r="CI151" s="303"/>
      <c r="CJ151" s="303"/>
      <c r="CK151" s="303"/>
      <c r="CL151" s="303"/>
      <c r="CM151" s="303"/>
      <c r="CN151" s="303"/>
      <c r="CO151" s="303"/>
      <c r="CP151" s="303"/>
      <c r="CQ151" s="303"/>
      <c r="CR151" s="303"/>
      <c r="CS151" s="303"/>
      <c r="CT151" s="303"/>
      <c r="CU151" s="303"/>
    </row>
    <row r="152" spans="1:99">
      <c r="A152" s="303"/>
      <c r="B152" s="358" t="s">
        <v>223</v>
      </c>
      <c r="C152" s="358"/>
      <c r="D152" s="359"/>
      <c r="E152" s="305"/>
      <c r="F152" s="306"/>
      <c r="G152" s="306"/>
      <c r="H152" s="307"/>
      <c r="I152" s="303"/>
      <c r="J152" s="305"/>
      <c r="K152" s="306"/>
      <c r="L152" s="306"/>
      <c r="M152" s="307"/>
      <c r="N152" s="303"/>
      <c r="O152" s="305"/>
      <c r="P152" s="306"/>
      <c r="Q152" s="306"/>
      <c r="R152" s="307"/>
      <c r="S152" s="303"/>
      <c r="T152" s="305"/>
      <c r="U152" s="306"/>
      <c r="V152" s="306"/>
      <c r="W152" s="307"/>
      <c r="X152" s="303"/>
      <c r="Y152" s="305"/>
      <c r="Z152" s="306"/>
      <c r="AA152" s="306"/>
      <c r="AB152" s="307"/>
      <c r="AC152" s="303"/>
      <c r="AD152" s="305"/>
      <c r="AE152" s="306"/>
      <c r="AF152" s="306"/>
      <c r="AG152" s="307"/>
      <c r="AH152" s="303"/>
      <c r="AI152" s="305"/>
      <c r="AJ152" s="306"/>
      <c r="AK152" s="306"/>
      <c r="AL152" s="1522"/>
      <c r="AM152" s="1523"/>
      <c r="AN152" s="305"/>
      <c r="AO152" s="306"/>
      <c r="AP152" s="306"/>
      <c r="AQ152" s="1522"/>
      <c r="AR152" s="1523"/>
      <c r="AS152" s="305"/>
      <c r="AT152" s="306"/>
      <c r="AU152" s="306"/>
      <c r="AV152" s="307"/>
      <c r="AW152" s="303"/>
      <c r="AX152" s="305"/>
      <c r="AY152" s="306"/>
      <c r="AZ152" s="306"/>
      <c r="BA152" s="307"/>
      <c r="BB152" s="303"/>
      <c r="BC152" s="305"/>
      <c r="BD152" s="306"/>
      <c r="BE152" s="306"/>
      <c r="BF152" s="307"/>
      <c r="BG152" s="303"/>
      <c r="BH152" s="305"/>
      <c r="BI152" s="306"/>
      <c r="BJ152" s="306"/>
      <c r="BK152" s="307"/>
      <c r="BL152" s="303"/>
      <c r="BM152" s="305"/>
      <c r="BN152" s="306"/>
      <c r="BO152" s="306"/>
      <c r="BP152" s="307"/>
      <c r="BQ152" s="303"/>
      <c r="BR152" s="303"/>
      <c r="BS152" s="303"/>
      <c r="BT152" s="303"/>
      <c r="BU152" s="303"/>
      <c r="BV152" s="303"/>
      <c r="BW152" s="303"/>
      <c r="BX152" s="303"/>
      <c r="BY152" s="303"/>
      <c r="BZ152" s="303"/>
      <c r="CA152" s="303"/>
      <c r="CB152" s="303"/>
      <c r="CC152" s="303"/>
      <c r="CD152" s="303"/>
      <c r="CE152" s="303"/>
      <c r="CF152" s="303"/>
      <c r="CG152" s="303"/>
      <c r="CH152" s="303"/>
      <c r="CI152" s="303"/>
      <c r="CJ152" s="303"/>
      <c r="CK152" s="303"/>
      <c r="CL152" s="303"/>
      <c r="CM152" s="303"/>
      <c r="CN152" s="303"/>
      <c r="CO152" s="303"/>
      <c r="CP152" s="303"/>
      <c r="CQ152" s="303"/>
      <c r="CR152" s="303"/>
      <c r="CS152" s="303"/>
      <c r="CT152" s="303"/>
      <c r="CU152" s="303"/>
    </row>
    <row r="153" spans="1:99">
      <c r="A153" s="242"/>
      <c r="B153" s="242"/>
      <c r="C153" s="50" t="s">
        <v>1021</v>
      </c>
      <c r="D153" s="109"/>
      <c r="E153" s="161"/>
      <c r="F153" s="160"/>
      <c r="G153" s="160"/>
      <c r="H153" s="144"/>
      <c r="I153" s="109"/>
      <c r="J153" s="161"/>
      <c r="K153" s="160"/>
      <c r="L153" s="160"/>
      <c r="M153" s="144"/>
      <c r="N153" s="109"/>
      <c r="O153" s="161"/>
      <c r="P153" s="160"/>
      <c r="Q153" s="160"/>
      <c r="R153" s="144"/>
      <c r="S153" s="109"/>
      <c r="T153" s="161"/>
      <c r="U153" s="160"/>
      <c r="V153" s="160"/>
      <c r="W153" s="144"/>
      <c r="X153" s="109">
        <f t="shared" ref="X153:AF153" si="167">+X19</f>
        <v>72</v>
      </c>
      <c r="Y153" s="161">
        <f t="shared" si="167"/>
        <v>9</v>
      </c>
      <c r="Z153" s="160">
        <f t="shared" si="167"/>
        <v>9</v>
      </c>
      <c r="AA153" s="160">
        <f t="shared" si="167"/>
        <v>9</v>
      </c>
      <c r="AB153" s="144">
        <f t="shared" si="167"/>
        <v>8</v>
      </c>
      <c r="AC153" s="109">
        <f t="shared" si="167"/>
        <v>35</v>
      </c>
      <c r="AD153" s="161">
        <f t="shared" si="167"/>
        <v>10</v>
      </c>
      <c r="AE153" s="160">
        <f t="shared" si="167"/>
        <v>11</v>
      </c>
      <c r="AF153" s="160">
        <f t="shared" si="167"/>
        <v>12</v>
      </c>
      <c r="AG153" s="144">
        <f t="shared" ref="AG153:AM153" si="168">+AG19</f>
        <v>14</v>
      </c>
      <c r="AH153" s="109">
        <f t="shared" si="168"/>
        <v>47</v>
      </c>
      <c r="AI153" s="161">
        <f t="shared" si="168"/>
        <v>14</v>
      </c>
      <c r="AJ153" s="160">
        <f t="shared" si="168"/>
        <v>16</v>
      </c>
      <c r="AK153" s="160">
        <f t="shared" si="168"/>
        <v>16</v>
      </c>
      <c r="AL153" s="144">
        <f t="shared" si="168"/>
        <v>17.200000000000003</v>
      </c>
      <c r="AM153" s="109">
        <f t="shared" si="168"/>
        <v>63.2</v>
      </c>
      <c r="AN153" s="161">
        <f t="shared" ref="AN153:AR153" si="169">+AN19</f>
        <v>14.8</v>
      </c>
      <c r="AO153" s="160">
        <f t="shared" si="169"/>
        <v>10.6</v>
      </c>
      <c r="AP153" s="160">
        <f t="shared" si="169"/>
        <v>10</v>
      </c>
      <c r="AQ153" s="144">
        <f t="shared" si="169"/>
        <v>10.100000000000001</v>
      </c>
      <c r="AR153" s="109">
        <f t="shared" si="169"/>
        <v>45.5</v>
      </c>
      <c r="AS153" s="161">
        <f t="shared" ref="AS153:AW153" si="170">+AS19</f>
        <v>6.2</v>
      </c>
      <c r="AT153" s="160">
        <f t="shared" si="170"/>
        <v>6.3</v>
      </c>
      <c r="AU153" s="160">
        <f t="shared" si="170"/>
        <v>7.5</v>
      </c>
      <c r="AV153" s="144">
        <f t="shared" si="170"/>
        <v>8</v>
      </c>
      <c r="AW153" s="109">
        <f t="shared" si="170"/>
        <v>28</v>
      </c>
      <c r="AX153" s="161">
        <f>+AX140*AX154/4</f>
        <v>11.040000000000001</v>
      </c>
      <c r="AY153" s="160">
        <f>+AY140*AY154/4</f>
        <v>11.040000000000001</v>
      </c>
      <c r="AZ153" s="160">
        <f>+AZ140*AZ154/4</f>
        <v>11.040000000000001</v>
      </c>
      <c r="BA153" s="144">
        <f>+BA140*BA154/4</f>
        <v>11.040000000000001</v>
      </c>
      <c r="BB153" s="109">
        <f>SUM(AX153:BA153)</f>
        <v>44.160000000000004</v>
      </c>
      <c r="BC153" s="161">
        <f>+BC140*BC154/4</f>
        <v>13.505000000000003</v>
      </c>
      <c r="BD153" s="160">
        <f>+BD140*BD154/4</f>
        <v>13.505000000000003</v>
      </c>
      <c r="BE153" s="160">
        <f>+BE140*BE154/4</f>
        <v>13.505000000000003</v>
      </c>
      <c r="BF153" s="144">
        <f>+BF140*BF154/4</f>
        <v>13.505000000000003</v>
      </c>
      <c r="BG153" s="109">
        <f>SUM(BC153:BF153)</f>
        <v>54.02000000000001</v>
      </c>
      <c r="BH153" s="161">
        <f>+BH140*BH154/4</f>
        <v>11.775</v>
      </c>
      <c r="BI153" s="160">
        <f>+BI140*BI154/4</f>
        <v>11.775</v>
      </c>
      <c r="BJ153" s="160">
        <f>+BJ140*BJ154/4</f>
        <v>11.775</v>
      </c>
      <c r="BK153" s="144">
        <f>+BK140*BK154/4</f>
        <v>11.775</v>
      </c>
      <c r="BL153" s="109">
        <f>SUM(BH153:BK153)</f>
        <v>47.1</v>
      </c>
      <c r="BM153" s="161">
        <f>+BM140*BM154/4</f>
        <v>11.775</v>
      </c>
      <c r="BN153" s="160">
        <f>+BN140*BN154/4</f>
        <v>11.775</v>
      </c>
      <c r="BO153" s="160">
        <f>+BO140*BO154/4</f>
        <v>11.775</v>
      </c>
      <c r="BP153" s="144">
        <f>+BP140*BP154/4</f>
        <v>11.775</v>
      </c>
      <c r="BQ153" s="109">
        <f>SUM(BM153:BP153)</f>
        <v>47.1</v>
      </c>
      <c r="BR153" s="242"/>
      <c r="BS153" s="242"/>
      <c r="BT153" s="242"/>
      <c r="BU153" s="242"/>
      <c r="BV153" s="242"/>
      <c r="BW153" s="242"/>
      <c r="BX153" s="242"/>
      <c r="BY153" s="242"/>
      <c r="BZ153" s="242"/>
      <c r="CA153" s="242"/>
      <c r="CB153" s="242"/>
      <c r="CC153" s="242"/>
      <c r="CD153" s="242"/>
      <c r="CE153" s="242"/>
      <c r="CF153" s="242"/>
      <c r="CG153" s="242"/>
      <c r="CH153" s="242"/>
      <c r="CI153" s="242"/>
      <c r="CJ153" s="242"/>
      <c r="CK153" s="242"/>
      <c r="CL153" s="242"/>
      <c r="CM153" s="242"/>
      <c r="CN153" s="242"/>
      <c r="CO153" s="242"/>
      <c r="CP153" s="242"/>
      <c r="CQ153" s="242"/>
      <c r="CR153" s="242"/>
      <c r="CS153" s="242"/>
      <c r="CT153" s="242"/>
      <c r="CU153" s="242"/>
    </row>
    <row r="154" spans="1:99">
      <c r="A154" s="50"/>
      <c r="B154" s="50"/>
      <c r="C154" s="50" t="s">
        <v>224</v>
      </c>
      <c r="D154" s="50"/>
      <c r="E154" s="229"/>
      <c r="F154" s="230"/>
      <c r="G154" s="230"/>
      <c r="H154" s="231"/>
      <c r="I154" s="114"/>
      <c r="J154" s="229"/>
      <c r="K154" s="230"/>
      <c r="L154" s="230"/>
      <c r="M154" s="231"/>
      <c r="N154" s="114"/>
      <c r="O154" s="229"/>
      <c r="P154" s="230"/>
      <c r="Q154" s="230"/>
      <c r="R154" s="231"/>
      <c r="S154" s="114"/>
      <c r="T154" s="229"/>
      <c r="U154" s="230"/>
      <c r="V154" s="230"/>
      <c r="W154" s="231"/>
      <c r="X154" s="114">
        <f>+X153/X140</f>
        <v>7.8638848902005079E-2</v>
      </c>
      <c r="Y154" s="229">
        <f>+Y153/Y140*4</f>
        <v>3.6446948934787296E-2</v>
      </c>
      <c r="Z154" s="230">
        <f>+Z153/Z140*4</f>
        <v>3.7451741870111112E-2</v>
      </c>
      <c r="AA154" s="230">
        <f>+AA153/AA140*4</f>
        <v>3.2976122539271353E-2</v>
      </c>
      <c r="AB154" s="231">
        <f>+AB153/AB140*4</f>
        <v>2.5489497928580022E-2</v>
      </c>
      <c r="AC154" s="114">
        <f>+AC153/AC140</f>
        <v>2.7879138359384398E-2</v>
      </c>
      <c r="AD154" s="229">
        <f>+AD153/AD140*4</f>
        <v>2.8897933942212798E-2</v>
      </c>
      <c r="AE154" s="230">
        <f>+AE153/AE140*4</f>
        <v>3.1645501340258904E-2</v>
      </c>
      <c r="AF154" s="230">
        <f>+AF153/AF140*4</f>
        <v>3.0870331103595047E-2</v>
      </c>
      <c r="AG154" s="231">
        <f>+AG153/AG140*4</f>
        <v>3.3109509110140559E-2</v>
      </c>
      <c r="AH154" s="114">
        <f>+AH153/AH140</f>
        <v>2.7788338003153681E-2</v>
      </c>
      <c r="AI154" s="229">
        <f>+AI153/AI140*4</f>
        <v>3.0146831218120396E-2</v>
      </c>
      <c r="AJ154" s="230">
        <f>+AJ153/AJ140*4</f>
        <v>3.4742937547941187E-2</v>
      </c>
      <c r="AK154" s="230">
        <f>+AK153/AK140*4</f>
        <v>3.0859956072781275E-2</v>
      </c>
      <c r="AL154" s="231">
        <f>+AL153/AL140*4</f>
        <v>3.1351376475804535E-2</v>
      </c>
      <c r="AM154" s="114">
        <f>+AM153/AM140</f>
        <v>2.8799520251029741E-2</v>
      </c>
      <c r="AN154" s="229">
        <f>+AN153/AN140*4</f>
        <v>3.0825755335146778E-2</v>
      </c>
      <c r="AO154" s="230">
        <f>+AO153/AO140*4</f>
        <v>2.851787108711604E-2</v>
      </c>
      <c r="AP154" s="230">
        <f>+AP153/AP140*4</f>
        <v>2.61515679499459E-2</v>
      </c>
      <c r="AQ154" s="231">
        <f>+AQ153/AQ140*4</f>
        <v>2.7748396225119171E-2</v>
      </c>
      <c r="AR154" s="114">
        <f>+AR153/AR140</f>
        <v>3.1251287827795099E-2</v>
      </c>
      <c r="AS154" s="229">
        <f>+AS153/AS140*4</f>
        <v>1.896793043052613E-2</v>
      </c>
      <c r="AT154" s="230">
        <f>+AT153/AT140*4</f>
        <v>1.78666889763947E-2</v>
      </c>
      <c r="AU154" s="230">
        <f>+AU153/AU140*4</f>
        <v>2.3131014063656551E-2</v>
      </c>
      <c r="AV154" s="231">
        <f>+AV153/AV140*4</f>
        <v>2.3399287637936972E-2</v>
      </c>
      <c r="AW154" s="114">
        <f>+AW153/AW140</f>
        <v>2.047437668319485E-2</v>
      </c>
      <c r="AX154" s="1871">
        <v>2.5000000000000001E-2</v>
      </c>
      <c r="AY154" s="230">
        <f>+AX154</f>
        <v>2.5000000000000001E-2</v>
      </c>
      <c r="AZ154" s="230">
        <f>+AY154</f>
        <v>2.5000000000000001E-2</v>
      </c>
      <c r="BA154" s="231">
        <f>+AZ154</f>
        <v>2.5000000000000001E-2</v>
      </c>
      <c r="BB154" s="114">
        <f>+BB153/BB140</f>
        <v>2.5000000000000001E-2</v>
      </c>
      <c r="BC154" s="229">
        <f>+BA154</f>
        <v>2.5000000000000001E-2</v>
      </c>
      <c r="BD154" s="230">
        <f>+BC154</f>
        <v>2.5000000000000001E-2</v>
      </c>
      <c r="BE154" s="230">
        <f>+BD154</f>
        <v>2.5000000000000001E-2</v>
      </c>
      <c r="BF154" s="231">
        <f>+BE154</f>
        <v>2.5000000000000001E-2</v>
      </c>
      <c r="BG154" s="114">
        <f>+BG153/BG140</f>
        <v>2.5000000000000001E-2</v>
      </c>
      <c r="BH154" s="229">
        <f>+BF154</f>
        <v>2.5000000000000001E-2</v>
      </c>
      <c r="BI154" s="230">
        <f>+BH154</f>
        <v>2.5000000000000001E-2</v>
      </c>
      <c r="BJ154" s="230">
        <f>+BI154</f>
        <v>2.5000000000000001E-2</v>
      </c>
      <c r="BK154" s="231">
        <f>+BJ154</f>
        <v>2.5000000000000001E-2</v>
      </c>
      <c r="BL154" s="114">
        <f>+BL153/BL140</f>
        <v>2.5000000000000001E-2</v>
      </c>
      <c r="BM154" s="229">
        <f>+BK154</f>
        <v>2.5000000000000001E-2</v>
      </c>
      <c r="BN154" s="230">
        <f>+BM154</f>
        <v>2.5000000000000001E-2</v>
      </c>
      <c r="BO154" s="230">
        <f>+BN154</f>
        <v>2.5000000000000001E-2</v>
      </c>
      <c r="BP154" s="231">
        <f>+BO154</f>
        <v>2.5000000000000001E-2</v>
      </c>
      <c r="BQ154" s="114">
        <f>+BQ153/BQ140</f>
        <v>2.5000000000000001E-2</v>
      </c>
      <c r="BR154" s="50"/>
      <c r="BS154" s="50"/>
      <c r="BT154" s="50"/>
      <c r="BU154" s="50"/>
      <c r="BV154" s="50"/>
      <c r="BW154" s="50"/>
      <c r="BX154" s="50"/>
      <c r="BY154" s="50"/>
      <c r="BZ154" s="50"/>
      <c r="CA154" s="50"/>
      <c r="CB154" s="50"/>
      <c r="CC154" s="50"/>
      <c r="CD154" s="50"/>
      <c r="CE154" s="50"/>
      <c r="CF154" s="50"/>
      <c r="CG154" s="50"/>
      <c r="CH154" s="50"/>
      <c r="CI154" s="50"/>
      <c r="CJ154" s="50"/>
      <c r="CK154" s="50"/>
      <c r="CL154" s="50"/>
      <c r="CM154" s="50"/>
      <c r="CN154" s="50"/>
      <c r="CO154" s="50"/>
      <c r="CP154" s="50"/>
      <c r="CQ154" s="50"/>
      <c r="CR154" s="50"/>
      <c r="CS154" s="50"/>
      <c r="CT154" s="50"/>
      <c r="CU154" s="50"/>
    </row>
    <row r="155" spans="1:99">
      <c r="A155" s="303"/>
      <c r="B155" s="303"/>
      <c r="C155" s="303"/>
      <c r="D155" s="303"/>
      <c r="E155" s="305"/>
      <c r="F155" s="306"/>
      <c r="G155" s="306"/>
      <c r="H155" s="307"/>
      <c r="I155" s="303"/>
      <c r="J155" s="305"/>
      <c r="K155" s="306"/>
      <c r="L155" s="306"/>
      <c r="M155" s="307"/>
      <c r="N155" s="303"/>
      <c r="O155" s="305"/>
      <c r="P155" s="306"/>
      <c r="Q155" s="306"/>
      <c r="R155" s="307"/>
      <c r="S155" s="303"/>
      <c r="T155" s="305"/>
      <c r="U155" s="306"/>
      <c r="V155" s="306"/>
      <c r="W155" s="307"/>
      <c r="X155" s="303"/>
      <c r="Y155" s="305"/>
      <c r="Z155" s="306"/>
      <c r="AA155" s="306"/>
      <c r="AB155" s="307"/>
      <c r="AC155" s="303"/>
      <c r="AD155" s="305"/>
      <c r="AE155" s="306"/>
      <c r="AF155" s="306"/>
      <c r="AG155" s="307"/>
      <c r="AH155" s="303"/>
      <c r="AI155" s="305"/>
      <c r="AJ155" s="306"/>
      <c r="AK155" s="306"/>
      <c r="AL155" s="307"/>
      <c r="AM155" s="303"/>
      <c r="AN155" s="305"/>
      <c r="AO155" s="306"/>
      <c r="AP155" s="306"/>
      <c r="AQ155" s="307"/>
      <c r="AR155" s="303"/>
      <c r="AS155" s="305"/>
      <c r="AT155" s="306"/>
      <c r="AU155" s="306"/>
      <c r="AV155" s="307"/>
      <c r="AW155" s="303"/>
      <c r="AX155" s="305"/>
      <c r="AY155" s="306"/>
      <c r="AZ155" s="306"/>
      <c r="BA155" s="307"/>
      <c r="BB155" s="303"/>
      <c r="BC155" s="305"/>
      <c r="BD155" s="306"/>
      <c r="BE155" s="306"/>
      <c r="BF155" s="307"/>
      <c r="BG155" s="303"/>
      <c r="BH155" s="305"/>
      <c r="BI155" s="306"/>
      <c r="BJ155" s="306"/>
      <c r="BK155" s="307"/>
      <c r="BL155" s="303"/>
      <c r="BM155" s="305"/>
      <c r="BN155" s="306"/>
      <c r="BO155" s="306"/>
      <c r="BP155" s="307"/>
      <c r="BQ155" s="303"/>
      <c r="BR155" s="303"/>
      <c r="BS155" s="303"/>
      <c r="BT155" s="303"/>
      <c r="BU155" s="303"/>
      <c r="BV155" s="303"/>
      <c r="BW155" s="303"/>
      <c r="BX155" s="303"/>
      <c r="BY155" s="303"/>
      <c r="BZ155" s="303"/>
      <c r="CA155" s="303"/>
      <c r="CB155" s="303"/>
      <c r="CC155" s="303"/>
      <c r="CD155" s="303"/>
      <c r="CE155" s="303"/>
      <c r="CF155" s="303"/>
      <c r="CG155" s="303"/>
      <c r="CH155" s="303"/>
      <c r="CI155" s="303"/>
      <c r="CJ155" s="303"/>
      <c r="CK155" s="303"/>
      <c r="CL155" s="303"/>
      <c r="CM155" s="303"/>
      <c r="CN155" s="303"/>
      <c r="CO155" s="303"/>
      <c r="CP155" s="303"/>
      <c r="CQ155" s="303"/>
      <c r="CR155" s="303"/>
      <c r="CS155" s="303"/>
      <c r="CT155" s="303"/>
      <c r="CU155" s="303"/>
    </row>
    <row r="156" spans="1:99">
      <c r="A156" s="303"/>
      <c r="B156" s="303"/>
      <c r="C156" s="1211" t="s">
        <v>1350</v>
      </c>
      <c r="D156" s="303"/>
      <c r="E156" s="305"/>
      <c r="F156" s="306"/>
      <c r="G156" s="306"/>
      <c r="H156" s="307"/>
      <c r="I156" s="303"/>
      <c r="J156" s="305"/>
      <c r="K156" s="306"/>
      <c r="L156" s="306"/>
      <c r="M156" s="307"/>
      <c r="N156" s="303"/>
      <c r="O156" s="305"/>
      <c r="P156" s="306"/>
      <c r="Q156" s="306"/>
      <c r="R156" s="307"/>
      <c r="S156" s="303"/>
      <c r="T156" s="305"/>
      <c r="U156" s="306"/>
      <c r="V156" s="306"/>
      <c r="W156" s="307"/>
      <c r="X156" s="303"/>
      <c r="Y156" s="305"/>
      <c r="Z156" s="306"/>
      <c r="AA156" s="306"/>
      <c r="AB156" s="307"/>
      <c r="AC156" s="303"/>
      <c r="AD156" s="305"/>
      <c r="AE156" s="306"/>
      <c r="AF156" s="306"/>
      <c r="AG156" s="307"/>
      <c r="AH156" s="303"/>
      <c r="AI156" s="305"/>
      <c r="AJ156" s="306"/>
      <c r="AK156" s="306"/>
      <c r="AL156" s="307"/>
      <c r="AM156" s="303"/>
      <c r="AN156" s="305"/>
      <c r="AO156" s="306"/>
      <c r="AP156" s="306"/>
      <c r="AQ156" s="307"/>
      <c r="AR156" s="303"/>
      <c r="AS156" s="305"/>
      <c r="AT156" s="306"/>
      <c r="AU156" s="306"/>
      <c r="AV156" s="307"/>
      <c r="AW156" s="303"/>
      <c r="AX156" s="305">
        <f>AX148*AX250*(AX254/(1-AX76))</f>
        <v>2.5642105263157893</v>
      </c>
      <c r="AY156" s="306">
        <f>AY148*AY250*(AY254/(1-AY76))</f>
        <v>2.5642105263157893</v>
      </c>
      <c r="AZ156" s="306">
        <f>AZ148*AZ250*(AZ254/(1-AZ76))</f>
        <v>2.5642105263157893</v>
      </c>
      <c r="BA156" s="307">
        <f>BA148*BA250*(BA254/(1-BA76))</f>
        <v>2.5642105263157893</v>
      </c>
      <c r="BB156" s="303">
        <f>SUM(AX156:BA156)</f>
        <v>10.256842105263157</v>
      </c>
      <c r="BC156" s="305">
        <f>BC148*BC250*(BC254/(1-BC76))+AX156</f>
        <v>7.6926315789473678</v>
      </c>
      <c r="BD156" s="306">
        <f>BD148*BD250*(BD254/(1-BD76))+AY156</f>
        <v>7.6926315789473678</v>
      </c>
      <c r="BE156" s="306">
        <f>BE148*BE250*(BE254/(1-BE76))+AZ156</f>
        <v>7.6926315789473678</v>
      </c>
      <c r="BF156" s="307">
        <f>BF148*BF250*(BF254/(1-BF76))+BA156</f>
        <v>7.6926315789473678</v>
      </c>
      <c r="BG156" s="303">
        <f>SUM(BC156:BF156)</f>
        <v>30.770526315789471</v>
      </c>
      <c r="BH156" s="305">
        <f>BH148*BH250*(BH254/(1-BH76))+BC156</f>
        <v>12.821052631578947</v>
      </c>
      <c r="BI156" s="306">
        <f>BI148*BI250*(BI254/(1-BI76))+BD156</f>
        <v>12.821052631578947</v>
      </c>
      <c r="BJ156" s="306">
        <f>BJ148*BJ250*(BJ254/(1-BJ76))+BE156</f>
        <v>12.821052631578947</v>
      </c>
      <c r="BK156" s="307">
        <f>BK148*BK250*(BK254/(1-BK76))+BF156</f>
        <v>12.821052631578947</v>
      </c>
      <c r="BL156" s="303">
        <f>SUM(BH156:BK156)</f>
        <v>51.284210526315789</v>
      </c>
      <c r="BM156" s="305"/>
      <c r="BN156" s="306"/>
      <c r="BO156" s="306"/>
      <c r="BP156" s="307"/>
      <c r="BQ156" s="303"/>
      <c r="BR156" s="303"/>
      <c r="BS156" s="303"/>
      <c r="BT156" s="303"/>
      <c r="BU156" s="303"/>
      <c r="BV156" s="303"/>
      <c r="BW156" s="303"/>
      <c r="BX156" s="303"/>
      <c r="BY156" s="303"/>
      <c r="BZ156" s="303"/>
      <c r="CA156" s="303"/>
      <c r="CB156" s="303"/>
      <c r="CC156" s="303"/>
      <c r="CD156" s="303"/>
      <c r="CE156" s="303"/>
      <c r="CF156" s="303"/>
      <c r="CG156" s="303"/>
      <c r="CH156" s="303"/>
      <c r="CI156" s="303"/>
      <c r="CJ156" s="303"/>
      <c r="CK156" s="303"/>
      <c r="CL156" s="303"/>
      <c r="CM156" s="303"/>
      <c r="CN156" s="303"/>
      <c r="CO156" s="303"/>
      <c r="CP156" s="303"/>
      <c r="CQ156" s="303"/>
      <c r="CR156" s="303"/>
      <c r="CS156" s="303"/>
      <c r="CT156" s="303"/>
      <c r="CU156" s="303"/>
    </row>
    <row r="157" spans="1:99">
      <c r="A157" s="303"/>
      <c r="B157" s="303"/>
      <c r="C157" s="1211" t="s">
        <v>1351</v>
      </c>
      <c r="D157" s="303"/>
      <c r="E157" s="305"/>
      <c r="F157" s="306"/>
      <c r="G157" s="306"/>
      <c r="H157" s="307"/>
      <c r="I157" s="303"/>
      <c r="J157" s="305"/>
      <c r="K157" s="306"/>
      <c r="L157" s="306"/>
      <c r="M157" s="307"/>
      <c r="N157" s="303"/>
      <c r="O157" s="305"/>
      <c r="P157" s="306"/>
      <c r="Q157" s="306"/>
      <c r="R157" s="307"/>
      <c r="S157" s="303"/>
      <c r="T157" s="305"/>
      <c r="U157" s="306"/>
      <c r="V157" s="306"/>
      <c r="W157" s="307"/>
      <c r="X157" s="303"/>
      <c r="Y157" s="305"/>
      <c r="Z157" s="306"/>
      <c r="AA157" s="306"/>
      <c r="AB157" s="307"/>
      <c r="AC157" s="303"/>
      <c r="AD157" s="305"/>
      <c r="AE157" s="306"/>
      <c r="AF157" s="306"/>
      <c r="AG157" s="307"/>
      <c r="AH157" s="303"/>
      <c r="AI157" s="305"/>
      <c r="AJ157" s="306"/>
      <c r="AK157" s="306"/>
      <c r="AL157" s="307"/>
      <c r="AM157" s="303"/>
      <c r="AN157" s="305"/>
      <c r="AO157" s="306"/>
      <c r="AP157" s="306"/>
      <c r="AQ157" s="307"/>
      <c r="AR157" s="303"/>
      <c r="AS157" s="305"/>
      <c r="AT157" s="306"/>
      <c r="AU157" s="306"/>
      <c r="AV157" s="307"/>
      <c r="AW157" s="303"/>
      <c r="AX157" s="305">
        <f>AX148*5%*(1-AX76)</f>
        <v>1.52</v>
      </c>
      <c r="AY157" s="306">
        <f>AY148*5%*(1-AY76)</f>
        <v>1.52</v>
      </c>
      <c r="AZ157" s="306">
        <f>AZ148*5%*(1-AZ76)</f>
        <v>1.52</v>
      </c>
      <c r="BA157" s="307">
        <f>BA148*5%*(1-BA76)</f>
        <v>1.52</v>
      </c>
      <c r="BB157" s="303">
        <f>SUM(AX157:BA157)</f>
        <v>6.08</v>
      </c>
      <c r="BC157" s="305">
        <f>BC148*5%*(1-BC76)+AX157</f>
        <v>4.5600000000000005</v>
      </c>
      <c r="BD157" s="306">
        <f>BD148*5%*(1-BD76)+AY157</f>
        <v>4.5600000000000005</v>
      </c>
      <c r="BE157" s="306">
        <f>BE148*5%*(1-BE76)+AZ157</f>
        <v>4.5600000000000005</v>
      </c>
      <c r="BF157" s="307">
        <f>BF148*5%*(1-BF76)+BA157</f>
        <v>4.5600000000000005</v>
      </c>
      <c r="BG157" s="303">
        <f>SUM(BC157:BF157)</f>
        <v>18.240000000000002</v>
      </c>
      <c r="BH157" s="305">
        <f>BH148*5%*(1-BH76)+BC157</f>
        <v>7.6000000000000005</v>
      </c>
      <c r="BI157" s="306">
        <f>BI148*5%*(1-BI76)+BD157</f>
        <v>7.6000000000000005</v>
      </c>
      <c r="BJ157" s="306">
        <f>BJ148*5%*(1-BJ76)+BE157</f>
        <v>7.6000000000000005</v>
      </c>
      <c r="BK157" s="307">
        <f>BK148*5%*(1-BK76)+BF157</f>
        <v>7.6000000000000005</v>
      </c>
      <c r="BL157" s="303">
        <f>SUM(BH157:BK157)</f>
        <v>30.400000000000002</v>
      </c>
      <c r="BM157" s="305"/>
      <c r="BN157" s="306"/>
      <c r="BO157" s="306"/>
      <c r="BP157" s="307"/>
      <c r="BQ157" s="303"/>
      <c r="BR157" s="303"/>
      <c r="BS157" s="303"/>
      <c r="BT157" s="303"/>
      <c r="BU157" s="303"/>
      <c r="BV157" s="303"/>
      <c r="BW157" s="303"/>
      <c r="BX157" s="303"/>
      <c r="BY157" s="303"/>
      <c r="BZ157" s="303"/>
      <c r="CA157" s="303"/>
      <c r="CB157" s="303"/>
      <c r="CC157" s="303"/>
      <c r="CD157" s="303"/>
      <c r="CE157" s="303"/>
      <c r="CF157" s="303"/>
      <c r="CG157" s="303"/>
      <c r="CH157" s="303"/>
      <c r="CI157" s="303"/>
      <c r="CJ157" s="303"/>
      <c r="CK157" s="303"/>
      <c r="CL157" s="303"/>
      <c r="CM157" s="303"/>
      <c r="CN157" s="303"/>
      <c r="CO157" s="303"/>
      <c r="CP157" s="303"/>
      <c r="CQ157" s="303"/>
      <c r="CR157" s="303"/>
      <c r="CS157" s="303"/>
      <c r="CT157" s="303"/>
      <c r="CU157" s="303"/>
    </row>
    <row r="158" spans="1:99">
      <c r="A158" s="303"/>
      <c r="B158" s="303"/>
      <c r="C158" s="303"/>
      <c r="D158" s="303"/>
      <c r="E158" s="305"/>
      <c r="F158" s="306"/>
      <c r="G158" s="306"/>
      <c r="H158" s="307"/>
      <c r="I158" s="303"/>
      <c r="J158" s="305"/>
      <c r="K158" s="306"/>
      <c r="L158" s="306"/>
      <c r="M158" s="307"/>
      <c r="N158" s="303"/>
      <c r="O158" s="305"/>
      <c r="P158" s="306"/>
      <c r="Q158" s="306"/>
      <c r="R158" s="307"/>
      <c r="S158" s="303"/>
      <c r="T158" s="305"/>
      <c r="U158" s="306"/>
      <c r="V158" s="306"/>
      <c r="W158" s="307"/>
      <c r="X158" s="303"/>
      <c r="Y158" s="305"/>
      <c r="Z158" s="306"/>
      <c r="AA158" s="306"/>
      <c r="AB158" s="307"/>
      <c r="AC158" s="303"/>
      <c r="AD158" s="305"/>
      <c r="AE158" s="306"/>
      <c r="AF158" s="306"/>
      <c r="AG158" s="307"/>
      <c r="AH158" s="303"/>
      <c r="AI158" s="305"/>
      <c r="AJ158" s="306"/>
      <c r="AK158" s="306"/>
      <c r="AL158" s="307"/>
      <c r="AM158" s="303"/>
      <c r="AN158" s="305"/>
      <c r="AO158" s="306"/>
      <c r="AP158" s="306"/>
      <c r="AQ158" s="307"/>
      <c r="AR158" s="303"/>
      <c r="AS158" s="305"/>
      <c r="AT158" s="306"/>
      <c r="AU158" s="306"/>
      <c r="AV158" s="307"/>
      <c r="AW158" s="303"/>
      <c r="AX158" s="305"/>
      <c r="AY158" s="306"/>
      <c r="AZ158" s="306"/>
      <c r="BA158" s="307"/>
      <c r="BB158" s="303"/>
      <c r="BC158" s="305"/>
      <c r="BD158" s="306"/>
      <c r="BE158" s="306"/>
      <c r="BF158" s="307"/>
      <c r="BG158" s="303"/>
      <c r="BH158" s="305"/>
      <c r="BI158" s="306"/>
      <c r="BJ158" s="306"/>
      <c r="BK158" s="307"/>
      <c r="BL158" s="303"/>
      <c r="BM158" s="305"/>
      <c r="BN158" s="306"/>
      <c r="BO158" s="306"/>
      <c r="BP158" s="307"/>
      <c r="BQ158" s="303"/>
      <c r="BR158" s="303"/>
      <c r="BS158" s="303"/>
      <c r="BT158" s="303"/>
      <c r="BU158" s="303"/>
      <c r="BV158" s="303"/>
      <c r="BW158" s="303"/>
      <c r="BX158" s="303"/>
      <c r="BY158" s="303"/>
      <c r="BZ158" s="303"/>
      <c r="CA158" s="303"/>
      <c r="CB158" s="303"/>
      <c r="CC158" s="303"/>
      <c r="CD158" s="303"/>
      <c r="CE158" s="303"/>
      <c r="CF158" s="303"/>
      <c r="CG158" s="303"/>
      <c r="CH158" s="303"/>
      <c r="CI158" s="303"/>
      <c r="CJ158" s="303"/>
      <c r="CK158" s="303"/>
      <c r="CL158" s="303"/>
      <c r="CM158" s="303"/>
      <c r="CN158" s="303"/>
      <c r="CO158" s="303"/>
      <c r="CP158" s="303"/>
      <c r="CQ158" s="303"/>
      <c r="CR158" s="303"/>
      <c r="CS158" s="303"/>
      <c r="CT158" s="303"/>
      <c r="CU158" s="303"/>
    </row>
    <row r="159" spans="1:99">
      <c r="A159" s="303"/>
      <c r="B159" s="358" t="s">
        <v>225</v>
      </c>
      <c r="C159" s="358"/>
      <c r="D159" s="359"/>
      <c r="E159" s="305"/>
      <c r="F159" s="306"/>
      <c r="G159" s="306"/>
      <c r="H159" s="307"/>
      <c r="I159" s="303"/>
      <c r="J159" s="305"/>
      <c r="K159" s="306"/>
      <c r="L159" s="306"/>
      <c r="M159" s="307"/>
      <c r="N159" s="303"/>
      <c r="O159" s="305"/>
      <c r="P159" s="306"/>
      <c r="Q159" s="306"/>
      <c r="R159" s="307"/>
      <c r="S159" s="303"/>
      <c r="T159" s="305"/>
      <c r="U159" s="306"/>
      <c r="V159" s="306"/>
      <c r="W159" s="307"/>
      <c r="X159" s="303"/>
      <c r="Y159" s="305"/>
      <c r="Z159" s="306"/>
      <c r="AA159" s="306"/>
      <c r="AB159" s="307"/>
      <c r="AC159" s="303"/>
      <c r="AD159" s="305"/>
      <c r="AE159" s="306"/>
      <c r="AF159" s="306"/>
      <c r="AG159" s="307"/>
      <c r="AH159" s="303"/>
      <c r="AI159" s="305"/>
      <c r="AJ159" s="306"/>
      <c r="AK159" s="306"/>
      <c r="AL159" s="307"/>
      <c r="AM159" s="303"/>
      <c r="AN159" s="305"/>
      <c r="AO159" s="306"/>
      <c r="AP159" s="306"/>
      <c r="AQ159" s="307"/>
      <c r="AR159" s="303"/>
      <c r="AS159" s="305"/>
      <c r="AT159" s="306"/>
      <c r="AU159" s="306"/>
      <c r="AV159" s="307"/>
      <c r="AW159" s="303"/>
      <c r="AX159" s="305"/>
      <c r="AY159" s="306"/>
      <c r="AZ159" s="306"/>
      <c r="BA159" s="307"/>
      <c r="BB159" s="303"/>
      <c r="BC159" s="305"/>
      <c r="BD159" s="306"/>
      <c r="BE159" s="306"/>
      <c r="BF159" s="307"/>
      <c r="BG159" s="303"/>
      <c r="BH159" s="305"/>
      <c r="BI159" s="306"/>
      <c r="BJ159" s="306"/>
      <c r="BK159" s="307"/>
      <c r="BL159" s="303"/>
      <c r="BM159" s="305"/>
      <c r="BN159" s="306"/>
      <c r="BO159" s="306"/>
      <c r="BP159" s="307"/>
      <c r="BQ159" s="303"/>
      <c r="BR159" s="303"/>
      <c r="BS159" s="303"/>
      <c r="BT159" s="303"/>
      <c r="BU159" s="303"/>
      <c r="BV159" s="303"/>
      <c r="BW159" s="303"/>
      <c r="BX159" s="303"/>
      <c r="BY159" s="303"/>
      <c r="BZ159" s="303"/>
      <c r="CA159" s="303"/>
      <c r="CB159" s="303"/>
      <c r="CC159" s="303"/>
      <c r="CD159" s="303"/>
      <c r="CE159" s="303"/>
      <c r="CF159" s="303"/>
      <c r="CG159" s="303"/>
      <c r="CH159" s="303"/>
      <c r="CI159" s="303"/>
      <c r="CJ159" s="303"/>
      <c r="CK159" s="303"/>
      <c r="CL159" s="303"/>
      <c r="CM159" s="303"/>
      <c r="CN159" s="303"/>
      <c r="CO159" s="303"/>
      <c r="CP159" s="303"/>
      <c r="CQ159" s="303"/>
      <c r="CR159" s="303"/>
      <c r="CS159" s="303"/>
      <c r="CT159" s="303"/>
      <c r="CU159" s="303"/>
    </row>
    <row r="160" spans="1:99">
      <c r="A160" s="303"/>
      <c r="B160" s="303"/>
      <c r="C160" s="164" t="s">
        <v>35</v>
      </c>
      <c r="D160" s="303"/>
      <c r="E160" s="305"/>
      <c r="F160" s="306"/>
      <c r="G160" s="306"/>
      <c r="H160" s="307"/>
      <c r="I160" s="303"/>
      <c r="J160" s="305"/>
      <c r="K160" s="306"/>
      <c r="L160" s="306"/>
      <c r="M160" s="307"/>
      <c r="N160" s="303"/>
      <c r="O160" s="305"/>
      <c r="P160" s="306"/>
      <c r="Q160" s="306"/>
      <c r="R160" s="307"/>
      <c r="S160" s="303"/>
      <c r="T160" s="305"/>
      <c r="U160" s="306"/>
      <c r="V160" s="306"/>
      <c r="W160" s="307"/>
      <c r="X160" s="303"/>
      <c r="Y160" s="305"/>
      <c r="Z160" s="306"/>
      <c r="AA160" s="306"/>
      <c r="AB160" s="307"/>
      <c r="AC160" s="303"/>
      <c r="AD160" s="305"/>
      <c r="AE160" s="306"/>
      <c r="AF160" s="306"/>
      <c r="AG160" s="307"/>
      <c r="AH160" s="303"/>
      <c r="AI160" s="305"/>
      <c r="AJ160" s="306"/>
      <c r="AK160" s="306"/>
      <c r="AL160" s="307"/>
      <c r="AM160" s="303"/>
      <c r="AN160" s="305"/>
      <c r="AO160" s="306"/>
      <c r="AP160" s="306"/>
      <c r="AQ160" s="307"/>
      <c r="AR160" s="303"/>
      <c r="AS160" s="305"/>
      <c r="AT160" s="306"/>
      <c r="AU160" s="306"/>
      <c r="AV160" s="307"/>
      <c r="AW160" s="303"/>
      <c r="AX160" s="305"/>
      <c r="AY160" s="306"/>
      <c r="AZ160" s="306"/>
      <c r="BA160" s="307"/>
      <c r="BB160" s="303"/>
      <c r="BC160" s="305"/>
      <c r="BD160" s="306"/>
      <c r="BE160" s="306"/>
      <c r="BF160" s="307"/>
      <c r="BG160" s="303"/>
      <c r="BH160" s="305"/>
      <c r="BI160" s="306"/>
      <c r="BJ160" s="306"/>
      <c r="BK160" s="307"/>
      <c r="BL160" s="303"/>
      <c r="BM160" s="305"/>
      <c r="BN160" s="306"/>
      <c r="BO160" s="306"/>
      <c r="BP160" s="307"/>
      <c r="BQ160" s="303"/>
      <c r="BR160" s="303"/>
      <c r="BS160" s="303"/>
      <c r="BT160" s="303"/>
      <c r="BU160" s="303"/>
      <c r="BV160" s="303"/>
      <c r="BW160" s="303"/>
      <c r="BX160" s="303"/>
      <c r="BY160" s="303"/>
      <c r="BZ160" s="303"/>
      <c r="CA160" s="303"/>
      <c r="CB160" s="303"/>
      <c r="CC160" s="303"/>
      <c r="CD160" s="303"/>
      <c r="CE160" s="303"/>
      <c r="CF160" s="303"/>
      <c r="CG160" s="303"/>
      <c r="CH160" s="303"/>
      <c r="CI160" s="303"/>
      <c r="CJ160" s="303"/>
      <c r="CK160" s="303"/>
      <c r="CL160" s="303"/>
      <c r="CM160" s="303"/>
      <c r="CN160" s="303"/>
      <c r="CO160" s="303"/>
      <c r="CP160" s="303"/>
      <c r="CQ160" s="303"/>
      <c r="CR160" s="303"/>
      <c r="CS160" s="303"/>
      <c r="CT160" s="303"/>
      <c r="CU160" s="303"/>
    </row>
    <row r="161" spans="1:99">
      <c r="A161" s="242"/>
      <c r="B161" s="242"/>
      <c r="C161" s="100" t="s">
        <v>36</v>
      </c>
      <c r="D161" s="109"/>
      <c r="E161" s="161"/>
      <c r="F161" s="160"/>
      <c r="G161" s="160"/>
      <c r="H161" s="144"/>
      <c r="I161" s="109"/>
      <c r="J161" s="161"/>
      <c r="K161" s="160"/>
      <c r="L161" s="160"/>
      <c r="M161" s="144"/>
      <c r="N161" s="109"/>
      <c r="O161" s="161"/>
      <c r="P161" s="160"/>
      <c r="Q161" s="160"/>
      <c r="R161" s="144"/>
      <c r="S161" s="109"/>
      <c r="T161" s="161"/>
      <c r="U161" s="160"/>
      <c r="V161" s="160"/>
      <c r="W161" s="144"/>
      <c r="X161" s="109">
        <f>Debt!V213</f>
        <v>0</v>
      </c>
      <c r="Y161" s="161">
        <f>Debt!W213</f>
        <v>0</v>
      </c>
      <c r="Z161" s="160">
        <f>Debt!X213</f>
        <v>0</v>
      </c>
      <c r="AA161" s="1204">
        <f>Debt!Y213</f>
        <v>0</v>
      </c>
      <c r="AB161" s="1205">
        <f>Debt!Z213</f>
        <v>0</v>
      </c>
      <c r="AC161" s="1206">
        <f>Debt!AA213</f>
        <v>0</v>
      </c>
      <c r="AD161" s="1202">
        <f>Debt!AB213</f>
        <v>0</v>
      </c>
      <c r="AE161" s="1204">
        <f>Debt!AC213</f>
        <v>0</v>
      </c>
      <c r="AF161" s="1204">
        <f>Debt!AD213</f>
        <v>0</v>
      </c>
      <c r="AG161" s="1205">
        <f>Debt!AE213</f>
        <v>0</v>
      </c>
      <c r="AH161" s="1206">
        <f>SUM(AD161:AG161)</f>
        <v>0</v>
      </c>
      <c r="AI161" s="1202">
        <f>Debt!AG213</f>
        <v>0</v>
      </c>
      <c r="AJ161" s="1204">
        <f>Debt!AH213</f>
        <v>0</v>
      </c>
      <c r="AK161" s="1204">
        <f>Debt!AI213</f>
        <v>0</v>
      </c>
      <c r="AL161" s="1205">
        <f>Debt!AJ213</f>
        <v>0</v>
      </c>
      <c r="AM161" s="1206">
        <f>SUM(AI161:AL161)</f>
        <v>0</v>
      </c>
      <c r="AN161" s="1202">
        <f>Debt!AL213</f>
        <v>0</v>
      </c>
      <c r="AO161" s="1204">
        <f>Debt!AM213</f>
        <v>0</v>
      </c>
      <c r="AP161" s="1204">
        <f>Debt!AN213</f>
        <v>0</v>
      </c>
      <c r="AQ161" s="1205">
        <f>Debt!AO213</f>
        <v>0</v>
      </c>
      <c r="AR161" s="1206">
        <f>SUM(AN161:AQ161)</f>
        <v>0</v>
      </c>
      <c r="AS161" s="1202">
        <f>Debt!AQ213</f>
        <v>77</v>
      </c>
      <c r="AT161" s="1204">
        <f>Debt!AR213</f>
        <v>845</v>
      </c>
      <c r="AU161" s="1204">
        <f>Debt!AS213</f>
        <v>325</v>
      </c>
      <c r="AV161" s="1205">
        <f>Debt!AT213</f>
        <v>0</v>
      </c>
      <c r="AW161" s="1206">
        <f>SUM(AS161:AV161)</f>
        <v>1247</v>
      </c>
      <c r="AX161" s="161">
        <f>Debt!AV213</f>
        <v>0</v>
      </c>
      <c r="AY161" s="160">
        <f>Debt!AW213</f>
        <v>0</v>
      </c>
      <c r="AZ161" s="160">
        <f>Debt!AX213</f>
        <v>1660</v>
      </c>
      <c r="BA161" s="144">
        <f>Debt!AY213</f>
        <v>0</v>
      </c>
      <c r="BB161" s="64">
        <f>100+750+75+500+75+BB148</f>
        <v>1660</v>
      </c>
      <c r="BC161" s="161">
        <f>Debt!BA213</f>
        <v>0</v>
      </c>
      <c r="BD161" s="160">
        <f>Debt!BB213</f>
        <v>0</v>
      </c>
      <c r="BE161" s="160">
        <f>Debt!BC213</f>
        <v>2420</v>
      </c>
      <c r="BF161" s="144">
        <f>Debt!BD213</f>
        <v>0</v>
      </c>
      <c r="BG161" s="64">
        <f>2100+BG148</f>
        <v>2420</v>
      </c>
      <c r="BH161" s="161">
        <f>Debt!BF213</f>
        <v>1020</v>
      </c>
      <c r="BI161" s="160">
        <f>Debt!BG213</f>
        <v>0</v>
      </c>
      <c r="BJ161" s="160">
        <f>Debt!BH213</f>
        <v>0</v>
      </c>
      <c r="BK161" s="144">
        <f>Debt!BI213</f>
        <v>0</v>
      </c>
      <c r="BL161" s="64">
        <f>700+BL148</f>
        <v>1020</v>
      </c>
      <c r="BM161" s="161">
        <f>Debt!BK213</f>
        <v>0</v>
      </c>
      <c r="BN161" s="160">
        <f>Debt!BL213</f>
        <v>0</v>
      </c>
      <c r="BO161" s="160">
        <f>Debt!BM213</f>
        <v>2325</v>
      </c>
      <c r="BP161" s="144">
        <f>Debt!BN213</f>
        <v>0</v>
      </c>
      <c r="BQ161" s="64">
        <f>1600+BQ148*0.5</f>
        <v>2325</v>
      </c>
      <c r="BR161" s="242"/>
      <c r="BS161" s="242"/>
      <c r="BT161" s="242"/>
      <c r="BU161" s="242"/>
      <c r="BV161" s="242"/>
      <c r="BW161" s="242"/>
      <c r="BX161" s="242"/>
      <c r="BY161" s="242"/>
      <c r="BZ161" s="242"/>
      <c r="CA161" s="242"/>
      <c r="CB161" s="242"/>
      <c r="CC161" s="242"/>
      <c r="CD161" s="242"/>
      <c r="CE161" s="242"/>
      <c r="CF161" s="242"/>
      <c r="CG161" s="242"/>
      <c r="CH161" s="242"/>
      <c r="CI161" s="242"/>
      <c r="CJ161" s="242"/>
      <c r="CK161" s="242"/>
      <c r="CL161" s="242"/>
      <c r="CM161" s="242"/>
      <c r="CN161" s="242"/>
      <c r="CO161" s="242"/>
      <c r="CP161" s="242"/>
      <c r="CQ161" s="242"/>
      <c r="CR161" s="242"/>
      <c r="CS161" s="242"/>
      <c r="CT161" s="242"/>
      <c r="CU161" s="242"/>
    </row>
    <row r="162" spans="1:99">
      <c r="A162" s="242"/>
      <c r="B162" s="242"/>
      <c r="C162" s="100" t="s">
        <v>37</v>
      </c>
      <c r="D162" s="109"/>
      <c r="E162" s="161"/>
      <c r="F162" s="160"/>
      <c r="G162" s="160"/>
      <c r="H162" s="144"/>
      <c r="I162" s="109"/>
      <c r="J162" s="161"/>
      <c r="K162" s="160"/>
      <c r="L162" s="160"/>
      <c r="M162" s="144"/>
      <c r="N162" s="109"/>
      <c r="O162" s="161"/>
      <c r="P162" s="160"/>
      <c r="Q162" s="160"/>
      <c r="R162" s="144"/>
      <c r="S162" s="109"/>
      <c r="T162" s="161"/>
      <c r="U162" s="160"/>
      <c r="V162" s="160"/>
      <c r="W162" s="144"/>
      <c r="X162" s="109">
        <f>Debt!V194</f>
        <v>0</v>
      </c>
      <c r="Y162" s="161">
        <f>Debt!W194</f>
        <v>0</v>
      </c>
      <c r="Z162" s="160">
        <f>Debt!X194</f>
        <v>0</v>
      </c>
      <c r="AA162" s="1204">
        <f>Debt!Y194</f>
        <v>0</v>
      </c>
      <c r="AB162" s="1205">
        <f>Debt!Z194</f>
        <v>0</v>
      </c>
      <c r="AC162" s="1206">
        <f>Debt!AA194</f>
        <v>0</v>
      </c>
      <c r="AD162" s="1202">
        <f>Debt!AB194</f>
        <v>0</v>
      </c>
      <c r="AE162" s="1204">
        <f>Debt!AC194</f>
        <v>0</v>
      </c>
      <c r="AF162" s="1204">
        <f>Debt!AD194</f>
        <v>0</v>
      </c>
      <c r="AG162" s="1205">
        <f>Debt!AE194</f>
        <v>0</v>
      </c>
      <c r="AH162" s="1206">
        <f>SUM(AD162:AG162)</f>
        <v>0</v>
      </c>
      <c r="AI162" s="1202">
        <f>Debt!AG194</f>
        <v>0</v>
      </c>
      <c r="AJ162" s="1204">
        <f>Debt!AH194</f>
        <v>0</v>
      </c>
      <c r="AK162" s="1204">
        <f>Debt!AI194</f>
        <v>0</v>
      </c>
      <c r="AL162" s="1205">
        <f>Debt!AJ194</f>
        <v>0</v>
      </c>
      <c r="AM162" s="1206">
        <f>SUM(AI162:AL162)</f>
        <v>0</v>
      </c>
      <c r="AN162" s="1202">
        <f>Debt!AL194</f>
        <v>0</v>
      </c>
      <c r="AO162" s="1204">
        <f>Debt!AM194</f>
        <v>0</v>
      </c>
      <c r="AP162" s="1204">
        <f>Debt!AN194</f>
        <v>0</v>
      </c>
      <c r="AQ162" s="1205">
        <f>Debt!AO194</f>
        <v>0</v>
      </c>
      <c r="AR162" s="1206">
        <f>SUM(AN162:AQ162)</f>
        <v>0</v>
      </c>
      <c r="AS162" s="1202">
        <f>Debt!AQ194</f>
        <v>-444.57499999999999</v>
      </c>
      <c r="AT162" s="1204">
        <f>Debt!AR194</f>
        <v>-540</v>
      </c>
      <c r="AU162" s="1204">
        <f>Debt!AS194</f>
        <v>-325</v>
      </c>
      <c r="AV162" s="1205">
        <f>Debt!AT194</f>
        <v>-4.1312249999999997</v>
      </c>
      <c r="AW162" s="1206">
        <f>SUM(AS162:AV162)</f>
        <v>-1313.7062250000001</v>
      </c>
      <c r="AX162" s="161">
        <f>Debt!AV194</f>
        <v>-381.7</v>
      </c>
      <c r="AY162" s="160">
        <f>Debt!AW194</f>
        <v>-200</v>
      </c>
      <c r="AZ162" s="160">
        <f>Debt!AX194</f>
        <v>0</v>
      </c>
      <c r="BA162" s="144">
        <f>Debt!AY194</f>
        <v>-75</v>
      </c>
      <c r="BB162" s="109">
        <f>Debt!AZ194</f>
        <v>-656.7</v>
      </c>
      <c r="BC162" s="161">
        <f>Debt!BA194</f>
        <v>-928.5</v>
      </c>
      <c r="BD162" s="160">
        <f>Debt!BB194</f>
        <v>-102.55974000000001</v>
      </c>
      <c r="BE162" s="160">
        <f>Debt!BC194</f>
        <v>0</v>
      </c>
      <c r="BF162" s="144">
        <f>Debt!BD194</f>
        <v>-391.29063500000001</v>
      </c>
      <c r="BG162" s="109">
        <f>Debt!BE194</f>
        <v>-1422.350375</v>
      </c>
      <c r="BH162" s="161">
        <f>Debt!BF194</f>
        <v>0</v>
      </c>
      <c r="BI162" s="160">
        <f>Debt!BG194</f>
        <v>-127.66</v>
      </c>
      <c r="BJ162" s="160">
        <f>Debt!BH194</f>
        <v>0</v>
      </c>
      <c r="BK162" s="144">
        <f>Debt!BI194</f>
        <v>-42.767795999999997</v>
      </c>
      <c r="BL162" s="109">
        <f>Debt!BJ194</f>
        <v>-170.427796</v>
      </c>
      <c r="BM162" s="161">
        <f>Debt!BK194</f>
        <v>-652</v>
      </c>
      <c r="BN162" s="160">
        <f>Debt!BL194</f>
        <v>-133.81298200000001</v>
      </c>
      <c r="BO162" s="160">
        <f>Debt!BM194</f>
        <v>0</v>
      </c>
      <c r="BP162" s="144">
        <f>Debt!BN194</f>
        <v>-17.5</v>
      </c>
      <c r="BQ162" s="109">
        <f>Debt!BO194</f>
        <v>-803.31298200000003</v>
      </c>
      <c r="BR162" s="242"/>
      <c r="BS162" s="242"/>
      <c r="BT162" s="242"/>
      <c r="BU162" s="242"/>
      <c r="BV162" s="242"/>
      <c r="BW162" s="242"/>
      <c r="BX162" s="242"/>
      <c r="BY162" s="242"/>
      <c r="BZ162" s="242"/>
      <c r="CA162" s="242"/>
      <c r="CB162" s="242"/>
      <c r="CC162" s="242"/>
      <c r="CD162" s="242"/>
      <c r="CE162" s="242"/>
      <c r="CF162" s="242"/>
      <c r="CG162" s="242"/>
      <c r="CH162" s="242"/>
      <c r="CI162" s="242"/>
      <c r="CJ162" s="242"/>
      <c r="CK162" s="242"/>
      <c r="CL162" s="242"/>
      <c r="CM162" s="242"/>
      <c r="CN162" s="242"/>
      <c r="CO162" s="242"/>
      <c r="CP162" s="242"/>
      <c r="CQ162" s="242"/>
      <c r="CR162" s="242"/>
      <c r="CS162" s="242"/>
      <c r="CT162" s="242"/>
      <c r="CU162" s="242"/>
    </row>
    <row r="163" spans="1:99">
      <c r="A163" s="303"/>
      <c r="B163" s="303"/>
      <c r="C163" s="100"/>
      <c r="D163" s="303"/>
      <c r="E163" s="305"/>
      <c r="F163" s="306"/>
      <c r="G163" s="306"/>
      <c r="H163" s="307"/>
      <c r="I163" s="303"/>
      <c r="J163" s="305"/>
      <c r="K163" s="306"/>
      <c r="L163" s="306"/>
      <c r="M163" s="307"/>
      <c r="N163" s="303"/>
      <c r="O163" s="305"/>
      <c r="P163" s="306"/>
      <c r="Q163" s="160"/>
      <c r="R163" s="144"/>
      <c r="S163" s="109"/>
      <c r="T163" s="305"/>
      <c r="U163" s="306"/>
      <c r="V163" s="306"/>
      <c r="W163" s="144"/>
      <c r="X163" s="109"/>
      <c r="Y163" s="305"/>
      <c r="Z163" s="162"/>
      <c r="AA163" s="1203"/>
      <c r="AB163" s="1205"/>
      <c r="AC163" s="1206"/>
      <c r="AD163" s="1202"/>
      <c r="AE163" s="1203"/>
      <c r="AF163" s="1203"/>
      <c r="AG163" s="1205"/>
      <c r="AH163" s="1206"/>
      <c r="AI163" s="161"/>
      <c r="AJ163" s="162"/>
      <c r="AK163" s="162"/>
      <c r="AL163" s="144"/>
      <c r="AM163" s="109"/>
      <c r="AN163" s="161"/>
      <c r="AO163" s="162"/>
      <c r="AP163" s="162"/>
      <c r="AQ163" s="144"/>
      <c r="AR163" s="109"/>
      <c r="AS163" s="161"/>
      <c r="AT163" s="162"/>
      <c r="AU163" s="162"/>
      <c r="AV163" s="144"/>
      <c r="AW163" s="109"/>
      <c r="AX163" s="161"/>
      <c r="AY163" s="162"/>
      <c r="AZ163" s="162"/>
      <c r="BA163" s="144"/>
      <c r="BB163" s="109"/>
      <c r="BC163" s="161"/>
      <c r="BD163" s="162"/>
      <c r="BE163" s="162"/>
      <c r="BF163" s="144"/>
      <c r="BG163" s="109"/>
      <c r="BH163" s="161"/>
      <c r="BI163" s="162"/>
      <c r="BJ163" s="162"/>
      <c r="BK163" s="144"/>
      <c r="BL163" s="109"/>
      <c r="BM163" s="161"/>
      <c r="BN163" s="162"/>
      <c r="BO163" s="162"/>
      <c r="BP163" s="144"/>
      <c r="BQ163" s="109"/>
      <c r="BR163" s="303"/>
      <c r="BS163" s="303"/>
      <c r="BT163" s="303"/>
      <c r="BU163" s="303"/>
      <c r="BV163" s="303"/>
      <c r="BW163" s="303"/>
      <c r="BX163" s="303"/>
      <c r="BY163" s="303"/>
      <c r="BZ163" s="303"/>
      <c r="CA163" s="303"/>
      <c r="CB163" s="303"/>
      <c r="CC163" s="303"/>
      <c r="CD163" s="303"/>
      <c r="CE163" s="303"/>
      <c r="CF163" s="303"/>
      <c r="CG163" s="303"/>
      <c r="CH163" s="303"/>
      <c r="CI163" s="303"/>
      <c r="CJ163" s="303"/>
      <c r="CK163" s="303"/>
      <c r="CL163" s="303"/>
      <c r="CM163" s="303"/>
      <c r="CN163" s="303"/>
      <c r="CO163" s="303"/>
      <c r="CP163" s="303"/>
      <c r="CQ163" s="303"/>
      <c r="CR163" s="303"/>
      <c r="CS163" s="303"/>
      <c r="CT163" s="303"/>
      <c r="CU163" s="303"/>
    </row>
    <row r="164" spans="1:99">
      <c r="A164" s="303"/>
      <c r="B164" s="303"/>
      <c r="C164" s="164" t="s">
        <v>5</v>
      </c>
      <c r="D164" s="303"/>
      <c r="E164" s="305"/>
      <c r="F164" s="306"/>
      <c r="G164" s="306"/>
      <c r="H164" s="307"/>
      <c r="I164" s="303"/>
      <c r="J164" s="305"/>
      <c r="K164" s="306"/>
      <c r="L164" s="306"/>
      <c r="M164" s="307"/>
      <c r="N164" s="303"/>
      <c r="O164" s="305"/>
      <c r="P164" s="306"/>
      <c r="Q164" s="160"/>
      <c r="R164" s="144"/>
      <c r="S164" s="109"/>
      <c r="T164" s="305"/>
      <c r="U164" s="306"/>
      <c r="V164" s="306"/>
      <c r="W164" s="144"/>
      <c r="X164" s="109"/>
      <c r="Y164" s="305"/>
      <c r="Z164" s="160"/>
      <c r="AA164" s="1204"/>
      <c r="AB164" s="1205"/>
      <c r="AC164" s="1206"/>
      <c r="AD164" s="1202"/>
      <c r="AE164" s="1204"/>
      <c r="AF164" s="1204"/>
      <c r="AG164" s="1205"/>
      <c r="AH164" s="1206"/>
      <c r="AI164" s="161"/>
      <c r="AJ164" s="160"/>
      <c r="AK164" s="160"/>
      <c r="AL164" s="144"/>
      <c r="AM164" s="109"/>
      <c r="AN164" s="161"/>
      <c r="AO164" s="160"/>
      <c r="AP164" s="160"/>
      <c r="AQ164" s="144"/>
      <c r="AR164" s="109"/>
      <c r="AS164" s="161"/>
      <c r="AT164" s="160"/>
      <c r="AU164" s="160"/>
      <c r="AV164" s="144"/>
      <c r="AW164" s="109"/>
      <c r="AX164" s="161"/>
      <c r="AY164" s="160"/>
      <c r="AZ164" s="160"/>
      <c r="BA164" s="144"/>
      <c r="BB164" s="109"/>
      <c r="BC164" s="161"/>
      <c r="BD164" s="160"/>
      <c r="BE164" s="160"/>
      <c r="BF164" s="144"/>
      <c r="BG164" s="109"/>
      <c r="BH164" s="161"/>
      <c r="BI164" s="160"/>
      <c r="BJ164" s="160"/>
      <c r="BK164" s="144"/>
      <c r="BL164" s="109"/>
      <c r="BM164" s="161"/>
      <c r="BN164" s="160"/>
      <c r="BO164" s="160"/>
      <c r="BP164" s="144"/>
      <c r="BQ164" s="109"/>
      <c r="BR164" s="303"/>
      <c r="BS164" s="303"/>
      <c r="BT164" s="303"/>
      <c r="BU164" s="303"/>
      <c r="BV164" s="303"/>
      <c r="BW164" s="303"/>
      <c r="BX164" s="303"/>
      <c r="BY164" s="303"/>
      <c r="BZ164" s="303"/>
      <c r="CA164" s="303"/>
      <c r="CB164" s="303"/>
      <c r="CC164" s="303"/>
      <c r="CD164" s="303"/>
      <c r="CE164" s="303"/>
      <c r="CF164" s="303"/>
      <c r="CG164" s="303"/>
      <c r="CH164" s="303"/>
      <c r="CI164" s="303"/>
      <c r="CJ164" s="303"/>
      <c r="CK164" s="303"/>
      <c r="CL164" s="303"/>
      <c r="CM164" s="303"/>
      <c r="CN164" s="303"/>
      <c r="CO164" s="303"/>
      <c r="CP164" s="303"/>
      <c r="CQ164" s="303"/>
      <c r="CR164" s="303"/>
      <c r="CS164" s="303"/>
      <c r="CT164" s="303"/>
      <c r="CU164" s="303"/>
    </row>
    <row r="165" spans="1:99">
      <c r="A165" s="242"/>
      <c r="B165" s="242"/>
      <c r="C165" s="100" t="s">
        <v>38</v>
      </c>
      <c r="D165" s="109"/>
      <c r="E165" s="161"/>
      <c r="F165" s="162"/>
      <c r="G165" s="162"/>
      <c r="H165" s="144"/>
      <c r="I165" s="109"/>
      <c r="J165" s="161"/>
      <c r="K165" s="162"/>
      <c r="L165" s="162"/>
      <c r="M165" s="144"/>
      <c r="N165" s="109"/>
      <c r="O165" s="161"/>
      <c r="P165" s="160"/>
      <c r="Q165" s="160"/>
      <c r="R165" s="144"/>
      <c r="S165" s="109"/>
      <c r="T165" s="161"/>
      <c r="U165" s="160"/>
      <c r="V165" s="160"/>
      <c r="W165" s="144"/>
      <c r="X165" s="109"/>
      <c r="Y165" s="161"/>
      <c r="Z165" s="160"/>
      <c r="AA165" s="1204"/>
      <c r="AB165" s="1205"/>
      <c r="AC165" s="1206"/>
      <c r="AD165" s="1202"/>
      <c r="AE165" s="1204"/>
      <c r="AF165" s="1204"/>
      <c r="AG165" s="1205"/>
      <c r="AH165" s="1206"/>
      <c r="AI165" s="161"/>
      <c r="AJ165" s="160"/>
      <c r="AK165" s="160"/>
      <c r="AL165" s="144"/>
      <c r="AM165" s="109"/>
      <c r="AN165" s="161"/>
      <c r="AO165" s="160"/>
      <c r="AP165" s="160"/>
      <c r="AQ165" s="144"/>
      <c r="AR165" s="109"/>
      <c r="AS165" s="161"/>
      <c r="AT165" s="160"/>
      <c r="AU165" s="160"/>
      <c r="AV165" s="144"/>
      <c r="AW165" s="109"/>
      <c r="AX165" s="161"/>
      <c r="AY165" s="160">
        <f>(((AX204-AT204)*AY170)/4)-((AX202-AT202)*(AY170-1%)/4)</f>
        <v>5.4649247776452228</v>
      </c>
      <c r="AZ165" s="160">
        <f>(((AY204-AU204)*AZ170)/4)-((AY202-AU202)*(AZ170-1%)/4)</f>
        <v>5.5552197369301162</v>
      </c>
      <c r="BA165" s="144">
        <f>(((AZ204-AV204)*BA170)/4)-((AZ202-AV202)*(BA170-1%)/4)</f>
        <v>-3.7226948024516053</v>
      </c>
      <c r="BB165" s="109">
        <f>+SUM(AX165:BA165)</f>
        <v>7.2974497121237336</v>
      </c>
      <c r="BC165" s="161">
        <f>(((BB204-AX204)*BC170)/4)-((BB202-AX202)*(BC170-1%)/4)</f>
        <v>-5.114745365102717</v>
      </c>
      <c r="BD165" s="160">
        <f>(((BC204-AY204)*BD170)/4)-((BC202-AY202)*(BD170-1%)/4)</f>
        <v>-1.6019818100679493</v>
      </c>
      <c r="BE165" s="160">
        <f>(((BD204-AZ204)*BE170)/4)-((BD202-AZ202)*(BE170-1%)/4)</f>
        <v>8.5333113041989197</v>
      </c>
      <c r="BF165" s="144">
        <f>(((BE204-BA204)*BF170)/4)-((BE202-BA202)*(BF170-1%)/4)</f>
        <v>-2.1443919857286877</v>
      </c>
      <c r="BG165" s="109">
        <f>+SUM(BC165:BF165)</f>
        <v>-0.32780785670043411</v>
      </c>
      <c r="BH165" s="161">
        <f>(((BG204-BC204)*BH170)/4)-((BG202-BC202)*(BH170-1%)/4)</f>
        <v>-5.7857800404641679</v>
      </c>
      <c r="BI165" s="160">
        <f>(((BH204-BD204)*BI170)/4)-((BH202-BD202)*(BI170-1%)/4)</f>
        <v>-10.371877617098587</v>
      </c>
      <c r="BJ165" s="160">
        <f>(((BI204-BE204)*BJ170)/4)-((BI202-BE202)*(BJ170-1%)/4)</f>
        <v>0.41468018250097405</v>
      </c>
      <c r="BK165" s="144">
        <f>(((BJ204-BF204)*BK170)/4)-((BJ202-BF202)*(BK170-1%)/4)</f>
        <v>-1.2987192579109867</v>
      </c>
      <c r="BL165" s="109">
        <f>+SUM(BH165:BK165)</f>
        <v>-17.041696732972767</v>
      </c>
      <c r="BM165" s="161">
        <f>(((BL204-BH204)*BM170)/4)-((BL202-BH202)*(BM170-1%)/4)</f>
        <v>1.7698182289143625</v>
      </c>
      <c r="BN165" s="160">
        <f>(((BM204-BI204)*BN170)/4)-((BM202-BI202)*(BN170-1%)/4)</f>
        <v>10.045821140251013</v>
      </c>
      <c r="BO165" s="160">
        <f>(((BN204-BJ204)*BO170)/4)-((BN202-BJ202)*(BO170-1%)/4)</f>
        <v>10.39207698827324</v>
      </c>
      <c r="BP165" s="144">
        <f>(((BO204-BK204)*BP170)/4)-((BO202-BK202)*(BP170-1%)/4)</f>
        <v>-1.2994855798415506</v>
      </c>
      <c r="BQ165" s="109">
        <f>+SUM(BM165:BP165)</f>
        <v>20.908230777597062</v>
      </c>
      <c r="BR165" s="303"/>
      <c r="BS165" s="303"/>
      <c r="BT165" s="303"/>
      <c r="BU165" s="303"/>
      <c r="BV165" s="303"/>
      <c r="BW165" s="303"/>
      <c r="BX165" s="303"/>
      <c r="BY165" s="303"/>
      <c r="BZ165" s="303"/>
      <c r="CA165" s="242"/>
      <c r="CB165" s="242"/>
      <c r="CC165" s="242"/>
      <c r="CD165" s="242"/>
      <c r="CE165" s="242"/>
      <c r="CF165" s="242"/>
      <c r="CG165" s="242"/>
      <c r="CH165" s="242"/>
      <c r="CI165" s="242"/>
      <c r="CJ165" s="242"/>
      <c r="CK165" s="242"/>
      <c r="CL165" s="242"/>
      <c r="CM165" s="242"/>
      <c r="CN165" s="242"/>
      <c r="CO165" s="242"/>
      <c r="CP165" s="242"/>
      <c r="CQ165" s="242"/>
      <c r="CR165" s="242"/>
      <c r="CS165" s="242"/>
      <c r="CT165" s="242"/>
      <c r="CU165" s="242"/>
    </row>
    <row r="166" spans="1:99">
      <c r="A166" s="242"/>
      <c r="B166" s="242"/>
      <c r="C166" s="100"/>
      <c r="D166" s="109"/>
      <c r="E166" s="161"/>
      <c r="F166" s="162"/>
      <c r="G166" s="162"/>
      <c r="H166" s="144"/>
      <c r="I166" s="109"/>
      <c r="J166" s="161"/>
      <c r="K166" s="162"/>
      <c r="L166" s="162"/>
      <c r="M166" s="144"/>
      <c r="N166" s="109"/>
      <c r="O166" s="161"/>
      <c r="P166" s="162"/>
      <c r="Q166" s="162"/>
      <c r="R166" s="144"/>
      <c r="S166" s="109"/>
      <c r="T166" s="161"/>
      <c r="U166" s="162"/>
      <c r="V166" s="162"/>
      <c r="W166" s="144"/>
      <c r="X166" s="109"/>
      <c r="Y166" s="161"/>
      <c r="Z166" s="162"/>
      <c r="AA166" s="1203"/>
      <c r="AB166" s="1205"/>
      <c r="AC166" s="1206"/>
      <c r="AD166" s="1202"/>
      <c r="AE166" s="1203"/>
      <c r="AF166" s="1203"/>
      <c r="AG166" s="1205"/>
      <c r="AH166" s="1206"/>
      <c r="AI166" s="161"/>
      <c r="AJ166" s="162"/>
      <c r="AK166" s="162"/>
      <c r="AL166" s="144"/>
      <c r="AM166" s="242"/>
      <c r="AN166" s="161"/>
      <c r="AO166" s="162"/>
      <c r="AP166" s="162"/>
      <c r="AQ166" s="144"/>
      <c r="AR166" s="242"/>
      <c r="AS166" s="161"/>
      <c r="AT166" s="162"/>
      <c r="AU166" s="162"/>
      <c r="AV166" s="144"/>
      <c r="AW166" s="242"/>
      <c r="AX166" s="161"/>
      <c r="AY166" s="162"/>
      <c r="AZ166" s="162"/>
      <c r="BA166" s="144"/>
      <c r="BB166" s="242"/>
      <c r="BC166" s="161"/>
      <c r="BD166" s="162"/>
      <c r="BE166" s="162"/>
      <c r="BF166" s="144"/>
      <c r="BG166" s="242"/>
      <c r="BH166" s="161"/>
      <c r="BI166" s="162"/>
      <c r="BJ166" s="162"/>
      <c r="BK166" s="144"/>
      <c r="BL166" s="242"/>
      <c r="BM166" s="161"/>
      <c r="BN166" s="162"/>
      <c r="BO166" s="162"/>
      <c r="BP166" s="144"/>
      <c r="BQ166" s="242"/>
      <c r="BR166" s="242"/>
      <c r="BS166" s="242"/>
      <c r="BT166" s="242"/>
      <c r="BU166" s="242"/>
      <c r="BV166" s="242"/>
      <c r="BW166" s="242"/>
      <c r="BX166" s="242"/>
      <c r="BY166" s="242"/>
      <c r="BZ166" s="242"/>
      <c r="CA166" s="242"/>
      <c r="CB166" s="242"/>
      <c r="CC166" s="242"/>
      <c r="CD166" s="242"/>
      <c r="CE166" s="242"/>
      <c r="CF166" s="242"/>
      <c r="CG166" s="242"/>
      <c r="CH166" s="242"/>
      <c r="CI166" s="242"/>
      <c r="CJ166" s="242"/>
      <c r="CK166" s="242"/>
      <c r="CL166" s="242"/>
      <c r="CM166" s="242"/>
      <c r="CN166" s="242"/>
      <c r="CO166" s="242"/>
      <c r="CP166" s="242"/>
      <c r="CQ166" s="242"/>
      <c r="CR166" s="242"/>
      <c r="CS166" s="242"/>
      <c r="CT166" s="242"/>
      <c r="CU166" s="242"/>
    </row>
    <row r="167" spans="1:99">
      <c r="A167" s="242"/>
      <c r="B167" s="242"/>
      <c r="C167" s="100" t="s">
        <v>39</v>
      </c>
      <c r="D167" s="109"/>
      <c r="E167" s="161"/>
      <c r="F167" s="162"/>
      <c r="G167" s="162"/>
      <c r="H167" s="144"/>
      <c r="I167" s="109"/>
      <c r="J167" s="161"/>
      <c r="K167" s="162"/>
      <c r="L167" s="162"/>
      <c r="M167" s="144"/>
      <c r="N167" s="109"/>
      <c r="O167" s="161"/>
      <c r="P167" s="160"/>
      <c r="Q167" s="160"/>
      <c r="R167" s="144"/>
      <c r="S167" s="109"/>
      <c r="T167" s="161"/>
      <c r="U167" s="160"/>
      <c r="V167" s="160"/>
      <c r="W167" s="144"/>
      <c r="X167" s="109"/>
      <c r="Y167" s="161"/>
      <c r="Z167" s="160"/>
      <c r="AA167" s="1204"/>
      <c r="AB167" s="1205"/>
      <c r="AC167" s="1206"/>
      <c r="AD167" s="1202"/>
      <c r="AE167" s="1204"/>
      <c r="AF167" s="1204"/>
      <c r="AG167" s="1205"/>
      <c r="AH167" s="1206"/>
      <c r="AI167" s="161"/>
      <c r="AJ167" s="160"/>
      <c r="AK167" s="160"/>
      <c r="AL167" s="144"/>
      <c r="AM167" s="109"/>
      <c r="AN167" s="161"/>
      <c r="AO167" s="160"/>
      <c r="AP167" s="160"/>
      <c r="AQ167" s="144"/>
      <c r="AR167" s="109"/>
      <c r="AS167" s="161"/>
      <c r="AT167" s="160"/>
      <c r="AU167" s="160"/>
      <c r="AV167" s="144"/>
      <c r="AW167" s="109"/>
      <c r="AX167" s="161">
        <f>Debt!DA213</f>
        <v>10.395750000000001</v>
      </c>
      <c r="AY167" s="160">
        <f>Debt!DB213</f>
        <v>2.83325</v>
      </c>
      <c r="AZ167" s="160">
        <f>Debt!DC213</f>
        <v>22.638833333333334</v>
      </c>
      <c r="BA167" s="144">
        <f>Debt!DD213</f>
        <v>20.75</v>
      </c>
      <c r="BB167" s="109">
        <f>Debt!DE213</f>
        <v>56.617833333333337</v>
      </c>
      <c r="BC167" s="161">
        <f>Debt!DF213</f>
        <v>20.75</v>
      </c>
      <c r="BD167" s="160">
        <f>Debt!DG213</f>
        <v>20.75</v>
      </c>
      <c r="BE167" s="160">
        <f>Debt!DH213</f>
        <v>30.25</v>
      </c>
      <c r="BF167" s="144">
        <f>Debt!DI213</f>
        <v>30.25</v>
      </c>
      <c r="BG167" s="109">
        <f>Debt!DJ213</f>
        <v>102</v>
      </c>
      <c r="BH167" s="161">
        <f>Debt!DK213</f>
        <v>43</v>
      </c>
      <c r="BI167" s="160">
        <f>Debt!DL213</f>
        <v>43</v>
      </c>
      <c r="BJ167" s="160">
        <f>Debt!DM213</f>
        <v>12.75</v>
      </c>
      <c r="BK167" s="144">
        <f>Debt!DN213</f>
        <v>12.75</v>
      </c>
      <c r="BL167" s="109">
        <f>Debt!DO213</f>
        <v>111.5</v>
      </c>
      <c r="BM167" s="161">
        <f>Debt!DP213</f>
        <v>0</v>
      </c>
      <c r="BN167" s="160">
        <f>Debt!DQ213</f>
        <v>0</v>
      </c>
      <c r="BO167" s="160">
        <f>Debt!DR213</f>
        <v>29.0625</v>
      </c>
      <c r="BP167" s="144">
        <f>Debt!DS213</f>
        <v>29.0625</v>
      </c>
      <c r="BQ167" s="109">
        <f>Debt!DT213</f>
        <v>58.125</v>
      </c>
      <c r="BR167" s="242"/>
      <c r="BS167" s="242"/>
      <c r="BT167" s="242"/>
      <c r="BU167" s="242"/>
      <c r="BV167" s="242"/>
      <c r="BW167" s="242"/>
      <c r="BX167" s="242"/>
      <c r="BY167" s="242"/>
      <c r="BZ167" s="242"/>
      <c r="CA167" s="242"/>
      <c r="CB167" s="242"/>
      <c r="CC167" s="242"/>
      <c r="CD167" s="242"/>
      <c r="CE167" s="242"/>
      <c r="CF167" s="242"/>
      <c r="CG167" s="242"/>
      <c r="CH167" s="242"/>
      <c r="CI167" s="242"/>
      <c r="CJ167" s="242"/>
      <c r="CK167" s="242"/>
      <c r="CL167" s="242"/>
      <c r="CM167" s="242"/>
      <c r="CN167" s="242"/>
      <c r="CO167" s="242"/>
      <c r="CP167" s="242"/>
      <c r="CQ167" s="242"/>
      <c r="CR167" s="242"/>
      <c r="CS167" s="242"/>
      <c r="CT167" s="242"/>
      <c r="CU167" s="242"/>
    </row>
    <row r="168" spans="1:99">
      <c r="A168" s="242"/>
      <c r="B168" s="242"/>
      <c r="C168" s="100" t="s">
        <v>40</v>
      </c>
      <c r="D168" s="109"/>
      <c r="E168" s="161"/>
      <c r="F168" s="162"/>
      <c r="G168" s="162"/>
      <c r="H168" s="144"/>
      <c r="I168" s="109"/>
      <c r="J168" s="161"/>
      <c r="K168" s="162"/>
      <c r="L168" s="162"/>
      <c r="M168" s="144"/>
      <c r="N168" s="109"/>
      <c r="O168" s="161"/>
      <c r="P168" s="160"/>
      <c r="Q168" s="160"/>
      <c r="R168" s="144"/>
      <c r="S168" s="109"/>
      <c r="T168" s="161"/>
      <c r="U168" s="160"/>
      <c r="V168" s="160"/>
      <c r="W168" s="144"/>
      <c r="X168" s="109"/>
      <c r="Y168" s="161"/>
      <c r="Z168" s="160"/>
      <c r="AA168" s="1204"/>
      <c r="AB168" s="1205"/>
      <c r="AC168" s="1206"/>
      <c r="AD168" s="1202"/>
      <c r="AE168" s="1204"/>
      <c r="AF168" s="1204"/>
      <c r="AG168" s="1205"/>
      <c r="AH168" s="1206"/>
      <c r="AI168" s="161"/>
      <c r="AJ168" s="160"/>
      <c r="AK168" s="160"/>
      <c r="AL168" s="144"/>
      <c r="AM168" s="109"/>
      <c r="AN168" s="161"/>
      <c r="AO168" s="160"/>
      <c r="AP168" s="160"/>
      <c r="AQ168" s="144"/>
      <c r="AR168" s="109"/>
      <c r="AS168" s="161"/>
      <c r="AT168" s="160"/>
      <c r="AU168" s="160"/>
      <c r="AV168" s="144"/>
      <c r="AW168" s="109"/>
      <c r="AX168" s="161">
        <f>Debt!DA194</f>
        <v>-13.624270031250001</v>
      </c>
      <c r="AY168" s="160">
        <f>Debt!DB194</f>
        <v>-15.58326378125</v>
      </c>
      <c r="AZ168" s="160">
        <f>Debt!DC194</f>
        <v>-10.96376378125</v>
      </c>
      <c r="BA168" s="144">
        <f>Debt!DD194</f>
        <v>-8.2297875000000005</v>
      </c>
      <c r="BB168" s="109">
        <f>Debt!DE194</f>
        <v>-48.401085093750005</v>
      </c>
      <c r="BC168" s="161">
        <f>Debt!DF194</f>
        <v>-15.997441666666667</v>
      </c>
      <c r="BD168" s="160">
        <f>Debt!DG194</f>
        <v>-17.128213741666666</v>
      </c>
      <c r="BE168" s="160">
        <f>Debt!DH194</f>
        <v>-16.755297075000001</v>
      </c>
      <c r="BF168" s="144">
        <f>Debt!DI194</f>
        <v>-18.386483385416668</v>
      </c>
      <c r="BG168" s="109">
        <f>Debt!DJ194</f>
        <v>-68.267435868749999</v>
      </c>
      <c r="BH168" s="161">
        <f>Debt!DK194</f>
        <v>-11.427650052083333</v>
      </c>
      <c r="BI168" s="160">
        <f>Debt!DL194</f>
        <v>-6.5260504770833334</v>
      </c>
      <c r="BJ168" s="160">
        <f>Debt!DM194</f>
        <v>-6.24286214375</v>
      </c>
      <c r="BK168" s="144">
        <f>Debt!DN194</f>
        <v>-4.5303135383333331</v>
      </c>
      <c r="BL168" s="109">
        <f>Debt!DO194</f>
        <v>-28.726876211250001</v>
      </c>
      <c r="BM168" s="161">
        <f>Debt!DP194</f>
        <v>-5.6757302049999998</v>
      </c>
      <c r="BN168" s="160">
        <f>Debt!DQ194</f>
        <v>-9.2320954191666686</v>
      </c>
      <c r="BO168" s="160">
        <f>Debt!DR194</f>
        <v>-9.6215337525000013</v>
      </c>
      <c r="BP168" s="144">
        <f>Debt!DS194</f>
        <v>-9.2752918808333344</v>
      </c>
      <c r="BQ168" s="109">
        <f>Debt!DT194</f>
        <v>-33.804651257500005</v>
      </c>
      <c r="BR168" s="242"/>
      <c r="BS168" s="242"/>
      <c r="BT168" s="242"/>
      <c r="BU168" s="242"/>
      <c r="BV168" s="242"/>
      <c r="BW168" s="242"/>
      <c r="BX168" s="242"/>
      <c r="BY168" s="242"/>
      <c r="BZ168" s="242"/>
      <c r="CA168" s="242"/>
      <c r="CB168" s="242"/>
      <c r="CC168" s="242"/>
      <c r="CD168" s="242"/>
      <c r="CE168" s="242"/>
      <c r="CF168" s="242"/>
      <c r="CG168" s="242"/>
      <c r="CH168" s="242"/>
      <c r="CI168" s="242"/>
      <c r="CJ168" s="242"/>
      <c r="CK168" s="242"/>
      <c r="CL168" s="242"/>
      <c r="CM168" s="242"/>
      <c r="CN168" s="242"/>
      <c r="CO168" s="242"/>
      <c r="CP168" s="242"/>
      <c r="CQ168" s="242"/>
      <c r="CR168" s="242"/>
      <c r="CS168" s="242"/>
      <c r="CT168" s="242"/>
      <c r="CU168" s="242"/>
    </row>
    <row r="169" spans="1:99">
      <c r="A169" s="303"/>
      <c r="B169" s="303"/>
      <c r="C169" s="50"/>
      <c r="D169" s="303"/>
      <c r="E169" s="305"/>
      <c r="F169" s="306"/>
      <c r="G169" s="306"/>
      <c r="H169" s="307"/>
      <c r="I169" s="303"/>
      <c r="J169" s="305"/>
      <c r="K169" s="306"/>
      <c r="L169" s="306"/>
      <c r="M169" s="307"/>
      <c r="N169" s="303"/>
      <c r="O169" s="305"/>
      <c r="P169" s="306"/>
      <c r="Q169" s="306"/>
      <c r="R169" s="307"/>
      <c r="S169" s="303"/>
      <c r="T169" s="305"/>
      <c r="U169" s="306"/>
      <c r="V169" s="306"/>
      <c r="W169" s="307"/>
      <c r="X169" s="303"/>
      <c r="Y169" s="305"/>
      <c r="Z169" s="306"/>
      <c r="AA169" s="1208"/>
      <c r="AB169" s="1210"/>
      <c r="AC169" s="1211"/>
      <c r="AD169" s="1207"/>
      <c r="AE169" s="1208"/>
      <c r="AF169" s="1208"/>
      <c r="AG169" s="1210"/>
      <c r="AH169" s="1211"/>
      <c r="AI169" s="305"/>
      <c r="AJ169" s="306"/>
      <c r="AK169" s="306"/>
      <c r="AL169" s="307"/>
      <c r="AM169" s="303"/>
      <c r="AN169" s="305"/>
      <c r="AO169" s="306"/>
      <c r="AP169" s="306"/>
      <c r="AQ169" s="307"/>
      <c r="AR169" s="303"/>
      <c r="AS169" s="305"/>
      <c r="AT169" s="306"/>
      <c r="AU169" s="306"/>
      <c r="AV169" s="307"/>
      <c r="AW169" s="303"/>
      <c r="AX169" s="305"/>
      <c r="AY169" s="306"/>
      <c r="AZ169" s="306"/>
      <c r="BA169" s="307"/>
      <c r="BB169" s="303"/>
      <c r="BC169" s="305"/>
      <c r="BD169" s="306"/>
      <c r="BE169" s="306"/>
      <c r="BF169" s="307"/>
      <c r="BG169" s="303"/>
      <c r="BH169" s="305"/>
      <c r="BI169" s="306"/>
      <c r="BJ169" s="306"/>
      <c r="BK169" s="307"/>
      <c r="BL169" s="303"/>
      <c r="BM169" s="305"/>
      <c r="BN169" s="306"/>
      <c r="BO169" s="306"/>
      <c r="BP169" s="307"/>
      <c r="BQ169" s="303"/>
      <c r="BR169" s="303"/>
      <c r="BS169" s="303"/>
      <c r="BT169" s="303"/>
      <c r="BU169" s="303"/>
      <c r="BV169" s="303"/>
      <c r="BW169" s="303"/>
      <c r="BX169" s="303"/>
      <c r="BY169" s="303"/>
      <c r="BZ169" s="303"/>
      <c r="CA169" s="303"/>
      <c r="CB169" s="303"/>
      <c r="CC169" s="303"/>
      <c r="CD169" s="303"/>
      <c r="CE169" s="303"/>
      <c r="CF169" s="303"/>
      <c r="CG169" s="303"/>
      <c r="CH169" s="303"/>
      <c r="CI169" s="303"/>
      <c r="CJ169" s="303"/>
      <c r="CK169" s="303"/>
      <c r="CL169" s="303"/>
      <c r="CM169" s="303"/>
      <c r="CN169" s="303"/>
      <c r="CO169" s="303"/>
      <c r="CP169" s="303"/>
      <c r="CQ169" s="303"/>
      <c r="CR169" s="303"/>
      <c r="CS169" s="303"/>
      <c r="CT169" s="303"/>
      <c r="CU169" s="303"/>
    </row>
    <row r="170" spans="1:99">
      <c r="A170" s="303"/>
      <c r="B170" s="303"/>
      <c r="C170" s="100" t="s">
        <v>42</v>
      </c>
      <c r="D170" s="303"/>
      <c r="E170" s="305"/>
      <c r="F170" s="306"/>
      <c r="G170" s="306"/>
      <c r="H170" s="307"/>
      <c r="I170" s="303"/>
      <c r="J170" s="305"/>
      <c r="K170" s="306"/>
      <c r="L170" s="306"/>
      <c r="M170" s="307"/>
      <c r="N170" s="303"/>
      <c r="O170" s="305"/>
      <c r="P170" s="306"/>
      <c r="Q170" s="230"/>
      <c r="R170" s="231"/>
      <c r="S170" s="114"/>
      <c r="T170" s="305"/>
      <c r="U170" s="306"/>
      <c r="V170" s="306"/>
      <c r="W170" s="231"/>
      <c r="X170" s="114"/>
      <c r="Y170" s="305"/>
      <c r="Z170" s="230"/>
      <c r="AA170" s="1212"/>
      <c r="AB170" s="1213"/>
      <c r="AC170" s="1214"/>
      <c r="AD170" s="1215"/>
      <c r="AE170" s="1212"/>
      <c r="AF170" s="1212"/>
      <c r="AG170" s="1213"/>
      <c r="AH170" s="1214"/>
      <c r="AI170" s="229"/>
      <c r="AJ170" s="230"/>
      <c r="AK170" s="230"/>
      <c r="AL170" s="231"/>
      <c r="AM170" s="114"/>
      <c r="AN170" s="229"/>
      <c r="AO170" s="230"/>
      <c r="AP170" s="230"/>
      <c r="AQ170" s="231"/>
      <c r="AR170" s="114"/>
      <c r="AS170" s="229"/>
      <c r="AT170" s="230"/>
      <c r="AU170" s="230"/>
      <c r="AV170" s="231"/>
      <c r="AW170" s="114"/>
      <c r="AX170" s="1871">
        <v>0.02</v>
      </c>
      <c r="AY170" s="230">
        <v>0.02</v>
      </c>
      <c r="AZ170" s="230">
        <v>0.02</v>
      </c>
      <c r="BA170" s="231">
        <v>0.02</v>
      </c>
      <c r="BB170" s="1864">
        <v>0.02</v>
      </c>
      <c r="BC170" s="229">
        <f t="shared" ref="BC170:BK170" si="171">+AX170</f>
        <v>0.02</v>
      </c>
      <c r="BD170" s="230">
        <f t="shared" si="171"/>
        <v>0.02</v>
      </c>
      <c r="BE170" s="230">
        <f t="shared" si="171"/>
        <v>0.02</v>
      </c>
      <c r="BF170" s="231">
        <f t="shared" si="171"/>
        <v>0.02</v>
      </c>
      <c r="BG170" s="1864">
        <v>0.02</v>
      </c>
      <c r="BH170" s="229">
        <f t="shared" si="171"/>
        <v>0.02</v>
      </c>
      <c r="BI170" s="230">
        <f t="shared" si="171"/>
        <v>0.02</v>
      </c>
      <c r="BJ170" s="230">
        <f t="shared" si="171"/>
        <v>0.02</v>
      </c>
      <c r="BK170" s="231">
        <f t="shared" si="171"/>
        <v>0.02</v>
      </c>
      <c r="BL170" s="1864">
        <v>0.02</v>
      </c>
      <c r="BM170" s="229">
        <f>+BH170</f>
        <v>0.02</v>
      </c>
      <c r="BN170" s="230">
        <f>+BI170</f>
        <v>0.02</v>
      </c>
      <c r="BO170" s="230">
        <f>+BJ170</f>
        <v>0.02</v>
      </c>
      <c r="BP170" s="231">
        <f>+BK170</f>
        <v>0.02</v>
      </c>
      <c r="BQ170" s="1864">
        <v>0.02</v>
      </c>
      <c r="BR170" s="303"/>
      <c r="BS170" s="303"/>
      <c r="BT170" s="303"/>
      <c r="BU170" s="303"/>
      <c r="BV170" s="303"/>
      <c r="BW170" s="303"/>
      <c r="BX170" s="303"/>
      <c r="BY170" s="303"/>
      <c r="BZ170" s="303"/>
      <c r="CA170" s="303"/>
      <c r="CB170" s="303"/>
      <c r="CC170" s="303"/>
      <c r="CD170" s="303"/>
      <c r="CE170" s="303"/>
      <c r="CF170" s="303"/>
      <c r="CG170" s="303"/>
      <c r="CH170" s="303"/>
      <c r="CI170" s="303"/>
      <c r="CJ170" s="303"/>
      <c r="CK170" s="303"/>
      <c r="CL170" s="303"/>
      <c r="CM170" s="303"/>
      <c r="CN170" s="303"/>
      <c r="CO170" s="303"/>
      <c r="CP170" s="303"/>
      <c r="CQ170" s="303"/>
      <c r="CR170" s="303"/>
      <c r="CS170" s="303"/>
      <c r="CT170" s="303"/>
      <c r="CU170" s="303"/>
    </row>
    <row r="171" spans="1:99">
      <c r="A171" s="303"/>
      <c r="B171" s="303"/>
      <c r="C171" s="303"/>
      <c r="D171" s="303"/>
      <c r="E171" s="305"/>
      <c r="F171" s="306"/>
      <c r="G171" s="306"/>
      <c r="H171" s="307"/>
      <c r="I171" s="303"/>
      <c r="J171" s="305"/>
      <c r="K171" s="306"/>
      <c r="L171" s="306"/>
      <c r="M171" s="307"/>
      <c r="N171" s="303"/>
      <c r="O171" s="305"/>
      <c r="P171" s="306"/>
      <c r="Q171" s="306"/>
      <c r="R171" s="307"/>
      <c r="S171" s="303"/>
      <c r="T171" s="305"/>
      <c r="U171" s="306"/>
      <c r="V171" s="306"/>
      <c r="W171" s="307"/>
      <c r="X171" s="303"/>
      <c r="Y171" s="305"/>
      <c r="Z171" s="306"/>
      <c r="AA171" s="306"/>
      <c r="AB171" s="307"/>
      <c r="AC171" s="303"/>
      <c r="AD171" s="305"/>
      <c r="AE171" s="306"/>
      <c r="AF171" s="306"/>
      <c r="AG171" s="307"/>
      <c r="AH171" s="303"/>
      <c r="AI171" s="305"/>
      <c r="AJ171" s="306"/>
      <c r="AK171" s="306"/>
      <c r="AL171" s="307"/>
      <c r="AM171" s="303"/>
      <c r="AN171" s="305"/>
      <c r="AO171" s="306"/>
      <c r="AP171" s="306"/>
      <c r="AQ171" s="307"/>
      <c r="AR171" s="303"/>
      <c r="AS171" s="305"/>
      <c r="AT171" s="306"/>
      <c r="AU171" s="306"/>
      <c r="AV171" s="307"/>
      <c r="AW171" s="303"/>
      <c r="AX171" s="305"/>
      <c r="AY171" s="306"/>
      <c r="AZ171" s="306"/>
      <c r="BA171" s="307"/>
      <c r="BB171" s="303"/>
      <c r="BC171" s="305"/>
      <c r="BD171" s="306"/>
      <c r="BE171" s="306"/>
      <c r="BF171" s="307"/>
      <c r="BG171" s="303"/>
      <c r="BH171" s="305"/>
      <c r="BI171" s="306"/>
      <c r="BJ171" s="306"/>
      <c r="BK171" s="307"/>
      <c r="BL171" s="303"/>
      <c r="BM171" s="305"/>
      <c r="BN171" s="306"/>
      <c r="BO171" s="306"/>
      <c r="BP171" s="307"/>
      <c r="BQ171" s="303"/>
      <c r="BR171" s="303"/>
      <c r="BS171" s="303"/>
      <c r="BT171" s="303"/>
      <c r="BU171" s="303"/>
      <c r="BV171" s="303"/>
      <c r="BW171" s="303"/>
      <c r="BX171" s="303"/>
      <c r="BY171" s="303"/>
      <c r="BZ171" s="303"/>
      <c r="CA171" s="303"/>
      <c r="CB171" s="303"/>
      <c r="CC171" s="303"/>
      <c r="CD171" s="303"/>
      <c r="CE171" s="303"/>
      <c r="CF171" s="303"/>
      <c r="CG171" s="360"/>
      <c r="CH171" s="360"/>
      <c r="CI171" s="360"/>
      <c r="CJ171" s="357"/>
      <c r="CK171" s="360"/>
      <c r="CL171" s="360"/>
      <c r="CM171" s="360"/>
      <c r="CN171" s="360"/>
      <c r="CO171" s="357"/>
      <c r="CP171" s="360"/>
      <c r="CQ171" s="360"/>
      <c r="CR171" s="360"/>
      <c r="CS171" s="360"/>
      <c r="CT171" s="357"/>
      <c r="CU171" s="303"/>
    </row>
    <row r="172" spans="1:99">
      <c r="A172" s="303"/>
      <c r="B172" s="303"/>
      <c r="C172" s="303"/>
      <c r="D172" s="303"/>
      <c r="E172" s="305"/>
      <c r="F172" s="306"/>
      <c r="G172" s="306"/>
      <c r="H172" s="307"/>
      <c r="I172" s="303"/>
      <c r="J172" s="305"/>
      <c r="K172" s="306"/>
      <c r="L172" s="306"/>
      <c r="M172" s="307"/>
      <c r="N172" s="303"/>
      <c r="O172" s="305"/>
      <c r="P172" s="306"/>
      <c r="Q172" s="306"/>
      <c r="R172" s="307"/>
      <c r="S172" s="303"/>
      <c r="T172" s="305"/>
      <c r="U172" s="306"/>
      <c r="V172" s="306"/>
      <c r="W172" s="307"/>
      <c r="X172" s="303"/>
      <c r="Y172" s="305"/>
      <c r="Z172" s="306"/>
      <c r="AA172" s="306"/>
      <c r="AB172" s="307"/>
      <c r="AC172" s="303"/>
      <c r="AD172" s="305"/>
      <c r="AE172" s="306"/>
      <c r="AF172" s="306"/>
      <c r="AG172" s="307"/>
      <c r="AH172" s="303"/>
      <c r="AI172" s="305"/>
      <c r="AJ172" s="306"/>
      <c r="AK172" s="306"/>
      <c r="AL172" s="307"/>
      <c r="AM172" s="303"/>
      <c r="AN172" s="305"/>
      <c r="AO172" s="306"/>
      <c r="AP172" s="306"/>
      <c r="AQ172" s="307"/>
      <c r="AR172" s="303"/>
      <c r="AS172" s="305"/>
      <c r="AT172" s="306"/>
      <c r="AU172" s="306"/>
      <c r="AV172" s="307"/>
      <c r="AW172" s="303"/>
      <c r="AX172" s="305"/>
      <c r="AY172" s="306"/>
      <c r="AZ172" s="306"/>
      <c r="BA172" s="307"/>
      <c r="BB172" s="303"/>
      <c r="BC172" s="305"/>
      <c r="BD172" s="306"/>
      <c r="BE172" s="306"/>
      <c r="BF172" s="307"/>
      <c r="BG172" s="303"/>
      <c r="BH172" s="305"/>
      <c r="BI172" s="306"/>
      <c r="BJ172" s="306"/>
      <c r="BK172" s="307"/>
      <c r="BL172" s="303"/>
      <c r="BM172" s="305"/>
      <c r="BN172" s="306"/>
      <c r="BO172" s="306"/>
      <c r="BP172" s="307"/>
      <c r="BQ172" s="303"/>
      <c r="BR172" s="303"/>
      <c r="BS172" s="303"/>
      <c r="BT172" s="303"/>
      <c r="BU172" s="303"/>
      <c r="BV172" s="303"/>
      <c r="BW172" s="303"/>
      <c r="BX172" s="303"/>
      <c r="BY172" s="303"/>
      <c r="BZ172" s="303"/>
      <c r="CA172" s="303"/>
      <c r="CB172" s="303"/>
      <c r="CC172" s="303"/>
      <c r="CD172" s="303"/>
      <c r="CE172" s="303"/>
      <c r="CF172" s="303"/>
    </row>
    <row r="173" spans="1:99">
      <c r="A173" s="303"/>
      <c r="B173" s="358" t="s">
        <v>226</v>
      </c>
      <c r="C173" s="358"/>
      <c r="D173" s="359"/>
      <c r="E173" s="305"/>
      <c r="F173" s="306"/>
      <c r="G173" s="306"/>
      <c r="H173" s="307"/>
      <c r="I173" s="303"/>
      <c r="J173" s="305"/>
      <c r="K173" s="306"/>
      <c r="L173" s="306"/>
      <c r="M173" s="307"/>
      <c r="N173" s="303"/>
      <c r="O173" s="305"/>
      <c r="P173" s="306"/>
      <c r="Q173" s="306"/>
      <c r="R173" s="307"/>
      <c r="S173" s="303"/>
      <c r="T173" s="305"/>
      <c r="U173" s="306"/>
      <c r="V173" s="306"/>
      <c r="W173" s="307"/>
      <c r="X173" s="303"/>
      <c r="Y173" s="305"/>
      <c r="Z173" s="306"/>
      <c r="AA173" s="306"/>
      <c r="AB173" s="307"/>
      <c r="AC173" s="303"/>
      <c r="AD173" s="305"/>
      <c r="AE173" s="306"/>
      <c r="AF173" s="306"/>
      <c r="AG173" s="307"/>
      <c r="AH173" s="303"/>
      <c r="AI173" s="305"/>
      <c r="AJ173" s="306"/>
      <c r="AK173" s="306"/>
      <c r="AL173" s="307"/>
      <c r="AM173" s="303"/>
      <c r="AN173" s="305"/>
      <c r="AO173" s="306"/>
      <c r="AP173" s="306"/>
      <c r="AQ173" s="307"/>
      <c r="AR173" s="303"/>
      <c r="AS173" s="305"/>
      <c r="AT173" s="306"/>
      <c r="AU173" s="306"/>
      <c r="AV173" s="307"/>
      <c r="AW173" s="303"/>
      <c r="AX173" s="305"/>
      <c r="AY173" s="306"/>
      <c r="AZ173" s="306"/>
      <c r="BA173" s="307"/>
      <c r="BB173" s="303"/>
      <c r="BC173" s="305"/>
      <c r="BD173" s="306"/>
      <c r="BE173" s="306"/>
      <c r="BF173" s="307"/>
      <c r="BG173" s="303"/>
      <c r="BH173" s="305"/>
      <c r="BI173" s="306"/>
      <c r="BJ173" s="306"/>
      <c r="BK173" s="307"/>
      <c r="BL173" s="303"/>
      <c r="BM173" s="305"/>
      <c r="BN173" s="306"/>
      <c r="BO173" s="306"/>
      <c r="BP173" s="307"/>
      <c r="BQ173" s="303"/>
      <c r="BR173" s="303"/>
      <c r="BS173" s="303"/>
      <c r="BT173" s="303"/>
      <c r="BU173" s="303"/>
      <c r="BV173" s="303"/>
      <c r="BW173" s="303"/>
      <c r="BX173" s="303"/>
      <c r="BY173" s="303"/>
      <c r="BZ173" s="303"/>
      <c r="CA173" s="303"/>
      <c r="CB173" s="303"/>
      <c r="CC173" s="303"/>
      <c r="CD173" s="303"/>
      <c r="CE173" s="303"/>
      <c r="CF173" s="303"/>
    </row>
    <row r="174" spans="1:99">
      <c r="A174" s="242"/>
      <c r="B174" s="242"/>
      <c r="C174" s="100" t="s">
        <v>78</v>
      </c>
      <c r="D174" s="109"/>
      <c r="E174" s="161"/>
      <c r="F174" s="160"/>
      <c r="G174" s="160"/>
      <c r="H174" s="144"/>
      <c r="I174" s="245"/>
      <c r="J174" s="161"/>
      <c r="K174" s="160"/>
      <c r="L174" s="160"/>
      <c r="M174" s="144"/>
      <c r="N174" s="245"/>
      <c r="O174" s="161"/>
      <c r="P174" s="160"/>
      <c r="Q174" s="160"/>
      <c r="R174" s="144"/>
      <c r="S174" s="245"/>
      <c r="T174" s="161"/>
      <c r="U174" s="160"/>
      <c r="V174" s="160"/>
      <c r="W174" s="144"/>
      <c r="X174" s="245">
        <f>X39</f>
        <v>803</v>
      </c>
      <c r="Y174" s="161">
        <f>Y39</f>
        <v>181</v>
      </c>
      <c r="Z174" s="160">
        <f>Z39</f>
        <v>153</v>
      </c>
      <c r="AA174" s="160">
        <f>AA39</f>
        <v>173</v>
      </c>
      <c r="AB174" s="144">
        <f>AB39</f>
        <v>174</v>
      </c>
      <c r="AC174" s="245">
        <f>SUM(Y174:AB174)</f>
        <v>681</v>
      </c>
      <c r="AD174" s="161">
        <f>AD39</f>
        <v>279</v>
      </c>
      <c r="AE174" s="160">
        <f>AE39</f>
        <v>155</v>
      </c>
      <c r="AF174" s="160">
        <f>AF39</f>
        <v>219</v>
      </c>
      <c r="AG174" s="144">
        <f>AG39</f>
        <v>55</v>
      </c>
      <c r="AH174" s="245">
        <f>SUM(AD174:AG174)</f>
        <v>708</v>
      </c>
      <c r="AI174" s="161">
        <f>AI39</f>
        <v>299</v>
      </c>
      <c r="AJ174" s="160">
        <f>AJ39</f>
        <v>207</v>
      </c>
      <c r="AK174" s="160">
        <f>AK39</f>
        <v>274</v>
      </c>
      <c r="AL174" s="144">
        <f>AL39</f>
        <v>116.50000000000064</v>
      </c>
      <c r="AM174" s="245">
        <f>SUM(AI174:AL174)</f>
        <v>896.50000000000068</v>
      </c>
      <c r="AN174" s="161">
        <f>AN39</f>
        <v>277.59999999999968</v>
      </c>
      <c r="AO174" s="160">
        <f>AO39</f>
        <v>209.39999999999995</v>
      </c>
      <c r="AP174" s="160">
        <f>AP39</f>
        <v>342.30000000000013</v>
      </c>
      <c r="AQ174" s="144">
        <f>AQ39</f>
        <v>150.59999999999948</v>
      </c>
      <c r="AR174" s="245">
        <f>SUM(AN174:AQ174)</f>
        <v>979.89999999999918</v>
      </c>
      <c r="AS174" s="161">
        <f>AS39</f>
        <v>219.50000000000011</v>
      </c>
      <c r="AT174" s="160">
        <f>AT39</f>
        <v>120.8</v>
      </c>
      <c r="AU174" s="160">
        <f>AU39</f>
        <v>286.2999999999995</v>
      </c>
      <c r="AV174" s="144">
        <f>AV39</f>
        <v>163.90000000000043</v>
      </c>
      <c r="AW174" s="245">
        <f>SUM(AS174:AV174)</f>
        <v>790.50000000000011</v>
      </c>
      <c r="AX174" s="161">
        <f>AX39</f>
        <v>260.95435499727137</v>
      </c>
      <c r="AY174" s="160">
        <f>AY39</f>
        <v>136.66704198183734</v>
      </c>
      <c r="AZ174" s="160">
        <f>AZ39</f>
        <v>322.3455209577856</v>
      </c>
      <c r="BA174" s="144">
        <f>BA39</f>
        <v>180.43815315503861</v>
      </c>
      <c r="BB174" s="245">
        <f>SUM(AX174:BA174)</f>
        <v>900.405071091933</v>
      </c>
      <c r="BC174" s="161">
        <f>BC39</f>
        <v>327.61226654431601</v>
      </c>
      <c r="BD174" s="160">
        <f>BD39</f>
        <v>174.21786438401091</v>
      </c>
      <c r="BE174" s="160">
        <f>BE39</f>
        <v>343.94810755326381</v>
      </c>
      <c r="BF174" s="144">
        <f>BF39</f>
        <v>202.59242508857682</v>
      </c>
      <c r="BG174" s="245">
        <f>SUM(BC174:BF174)</f>
        <v>1048.3706635701676</v>
      </c>
      <c r="BH174" s="161">
        <f>BH39</f>
        <v>340.45461308222099</v>
      </c>
      <c r="BI174" s="160">
        <f>BI39</f>
        <v>183.35685365686518</v>
      </c>
      <c r="BJ174" s="160">
        <f>BJ39</f>
        <v>379.93468630004043</v>
      </c>
      <c r="BK174" s="144">
        <f>BK39</f>
        <v>230.57859500445517</v>
      </c>
      <c r="BL174" s="245">
        <f>SUM(BH174:BK174)</f>
        <v>1134.3247480435818</v>
      </c>
      <c r="BM174" s="161">
        <f>BM39</f>
        <v>398.54728094114688</v>
      </c>
      <c r="BN174" s="160">
        <f>BN39</f>
        <v>227.23338654317809</v>
      </c>
      <c r="BO174" s="160">
        <f>BO39</f>
        <v>404.01807617669016</v>
      </c>
      <c r="BP174" s="144">
        <f>BP39</f>
        <v>257.61137910924816</v>
      </c>
      <c r="BQ174" s="245">
        <f>SUM(BM174:BP174)</f>
        <v>1287.4101227702633</v>
      </c>
      <c r="BR174" s="242"/>
      <c r="BS174" s="242"/>
      <c r="BT174" s="242"/>
      <c r="BU174" s="242"/>
      <c r="BV174" s="242"/>
      <c r="BW174" s="242"/>
      <c r="BX174" s="242"/>
      <c r="BY174" s="242"/>
      <c r="BZ174" s="242"/>
      <c r="CA174" s="242"/>
      <c r="CB174" s="242"/>
      <c r="CC174" s="242"/>
      <c r="CD174" s="242"/>
      <c r="CE174" s="242"/>
      <c r="CF174" s="242"/>
    </row>
    <row r="175" spans="1:99">
      <c r="A175" s="242"/>
      <c r="B175" s="242"/>
      <c r="C175" s="100" t="s">
        <v>79</v>
      </c>
      <c r="D175" s="109"/>
      <c r="E175" s="161"/>
      <c r="F175" s="160"/>
      <c r="G175" s="160"/>
      <c r="H175" s="144"/>
      <c r="I175" s="245"/>
      <c r="J175" s="161"/>
      <c r="K175" s="160"/>
      <c r="L175" s="160"/>
      <c r="M175" s="144"/>
      <c r="N175" s="245"/>
      <c r="O175" s="161"/>
      <c r="P175" s="160"/>
      <c r="Q175" s="160"/>
      <c r="R175" s="144"/>
      <c r="S175" s="245"/>
      <c r="T175" s="161"/>
      <c r="U175" s="160"/>
      <c r="V175" s="160"/>
      <c r="W175" s="144"/>
      <c r="X175" s="245">
        <f>X13</f>
        <v>873</v>
      </c>
      <c r="Y175" s="161">
        <f>Y13</f>
        <v>235</v>
      </c>
      <c r="Z175" s="160">
        <f>Z13</f>
        <v>234</v>
      </c>
      <c r="AA175" s="160">
        <f>AA13</f>
        <v>233</v>
      </c>
      <c r="AB175" s="144">
        <f>AB13</f>
        <v>239</v>
      </c>
      <c r="AC175" s="245">
        <f>SUM(Y175:AB175)</f>
        <v>941</v>
      </c>
      <c r="AD175" s="161">
        <f>AD13</f>
        <v>263</v>
      </c>
      <c r="AE175" s="160">
        <f>AE13</f>
        <v>252</v>
      </c>
      <c r="AF175" s="160">
        <f>AF13</f>
        <v>257</v>
      </c>
      <c r="AG175" s="144">
        <f>AG13</f>
        <v>261</v>
      </c>
      <c r="AH175" s="245">
        <f>SUM(AD175:AG175)</f>
        <v>1033</v>
      </c>
      <c r="AI175" s="161">
        <f>AI13</f>
        <v>272</v>
      </c>
      <c r="AJ175" s="160">
        <f>AJ13</f>
        <v>266</v>
      </c>
      <c r="AK175" s="160">
        <f>AK13</f>
        <v>264</v>
      </c>
      <c r="AL175" s="144">
        <f>AL13</f>
        <v>260.59999999999991</v>
      </c>
      <c r="AM175" s="245">
        <f>SUM(AI175:AL175)</f>
        <v>1062.5999999999999</v>
      </c>
      <c r="AN175" s="161">
        <f>AN13</f>
        <v>266.8</v>
      </c>
      <c r="AO175" s="160">
        <f>AO13</f>
        <v>271</v>
      </c>
      <c r="AP175" s="160">
        <f>AP13</f>
        <v>277.7</v>
      </c>
      <c r="AQ175" s="144">
        <f>AQ13</f>
        <v>258.29999999999995</v>
      </c>
      <c r="AR175" s="245">
        <f>SUM(AN175:AQ175)</f>
        <v>1073.8</v>
      </c>
      <c r="AS175" s="161">
        <f>AS13</f>
        <v>278.3</v>
      </c>
      <c r="AT175" s="160">
        <f>AT13</f>
        <v>278</v>
      </c>
      <c r="AU175" s="160">
        <f>AU13</f>
        <v>288.8</v>
      </c>
      <c r="AV175" s="144">
        <f>AV13</f>
        <v>297.40000000000009</v>
      </c>
      <c r="AW175" s="245">
        <f>SUM(AS175:AV175)</f>
        <v>1142.5</v>
      </c>
      <c r="AX175" s="161">
        <f>AX13</f>
        <v>294.68990000000008</v>
      </c>
      <c r="AY175" s="160">
        <f>AY13</f>
        <v>293.61117668750012</v>
      </c>
      <c r="AZ175" s="160">
        <f>AZ13</f>
        <v>296.78155793519539</v>
      </c>
      <c r="BA175" s="144">
        <f>BA13</f>
        <v>299.91825388213397</v>
      </c>
      <c r="BB175" s="245">
        <f>SUM(AX175:BA175)</f>
        <v>1185.0008885048296</v>
      </c>
      <c r="BC175" s="161">
        <f>BC13</f>
        <v>299.45666217069942</v>
      </c>
      <c r="BD175" s="160">
        <f>BD13</f>
        <v>300.10129221790703</v>
      </c>
      <c r="BE175" s="160">
        <f>BE13</f>
        <v>304.880353649619</v>
      </c>
      <c r="BF175" s="144">
        <f>BF13</f>
        <v>309.60923493629798</v>
      </c>
      <c r="BG175" s="245">
        <f>SUM(BC175:BF175)</f>
        <v>1214.0475429745234</v>
      </c>
      <c r="BH175" s="161">
        <f>BH13</f>
        <v>314.28846296946688</v>
      </c>
      <c r="BI175" s="160">
        <f>BI13</f>
        <v>320.91670910828748</v>
      </c>
      <c r="BJ175" s="160">
        <f>BJ13</f>
        <v>324.56895866265052</v>
      </c>
      <c r="BK175" s="144">
        <f>BK13</f>
        <v>328.18285959669265</v>
      </c>
      <c r="BL175" s="245">
        <f>SUM(BH175:BK175)</f>
        <v>1287.9569903370975</v>
      </c>
      <c r="BM175" s="161">
        <f>BM13</f>
        <v>331.75881457092737</v>
      </c>
      <c r="BN175" s="160">
        <f>BN13</f>
        <v>349.68222201793265</v>
      </c>
      <c r="BO175" s="160">
        <f>BO13</f>
        <v>352.19243368674438</v>
      </c>
      <c r="BP175" s="144">
        <f>BP13</f>
        <v>354.67628813303355</v>
      </c>
      <c r="BQ175" s="245">
        <f>SUM(BM175:BP175)</f>
        <v>1388.3097584086379</v>
      </c>
      <c r="BR175" s="242"/>
      <c r="BS175" s="242"/>
      <c r="BT175" s="242"/>
      <c r="BU175" s="242"/>
      <c r="BV175" s="242"/>
      <c r="BW175" s="242"/>
      <c r="BX175" s="242"/>
      <c r="BY175" s="242"/>
      <c r="BZ175" s="242"/>
      <c r="CA175" s="242"/>
      <c r="CB175" s="242"/>
      <c r="CC175" s="242"/>
      <c r="CD175" s="242"/>
      <c r="CE175" s="242"/>
      <c r="CF175" s="242"/>
    </row>
    <row r="176" spans="1:99">
      <c r="A176" s="242"/>
      <c r="B176" s="242"/>
      <c r="C176" s="100" t="s">
        <v>80</v>
      </c>
      <c r="D176" s="109"/>
      <c r="E176" s="161"/>
      <c r="F176" s="160"/>
      <c r="G176" s="160"/>
      <c r="H176" s="144"/>
      <c r="I176" s="245"/>
      <c r="J176" s="161"/>
      <c r="K176" s="160"/>
      <c r="L176" s="160"/>
      <c r="M176" s="144"/>
      <c r="N176" s="245"/>
      <c r="O176" s="161"/>
      <c r="P176" s="160"/>
      <c r="Q176" s="160"/>
      <c r="R176" s="144"/>
      <c r="S176" s="245"/>
      <c r="T176" s="161"/>
      <c r="U176" s="160"/>
      <c r="V176" s="160"/>
      <c r="W176" s="144"/>
      <c r="X176" s="245">
        <f>-X19</f>
        <v>-72</v>
      </c>
      <c r="Y176" s="161">
        <f>-Y19</f>
        <v>-9</v>
      </c>
      <c r="Z176" s="160">
        <f>-Z19</f>
        <v>-9</v>
      </c>
      <c r="AA176" s="160">
        <f>-AA19</f>
        <v>-9</v>
      </c>
      <c r="AB176" s="144">
        <f>-AB19</f>
        <v>-8</v>
      </c>
      <c r="AC176" s="245">
        <f>SUM(Y176:AB176)</f>
        <v>-35</v>
      </c>
      <c r="AD176" s="161">
        <f>-AD19</f>
        <v>-10</v>
      </c>
      <c r="AE176" s="160">
        <f>-AE19</f>
        <v>-11</v>
      </c>
      <c r="AF176" s="160">
        <f>-AF19</f>
        <v>-12</v>
      </c>
      <c r="AG176" s="144">
        <f>-AG19</f>
        <v>-14</v>
      </c>
      <c r="AH176" s="245">
        <f>SUM(AD176:AG176)</f>
        <v>-47</v>
      </c>
      <c r="AI176" s="161">
        <f>-AI19</f>
        <v>-14</v>
      </c>
      <c r="AJ176" s="160">
        <f>-AJ19</f>
        <v>-16</v>
      </c>
      <c r="AK176" s="160">
        <f>-AK19</f>
        <v>-16</v>
      </c>
      <c r="AL176" s="144">
        <f>-AL19</f>
        <v>-17.200000000000003</v>
      </c>
      <c r="AM176" s="245">
        <f>SUM(AI176:AL176)</f>
        <v>-63.2</v>
      </c>
      <c r="AN176" s="161">
        <f>-AN19</f>
        <v>-14.8</v>
      </c>
      <c r="AO176" s="160">
        <f>-AO19</f>
        <v>-10.6</v>
      </c>
      <c r="AP176" s="160">
        <f>-AP19</f>
        <v>-10</v>
      </c>
      <c r="AQ176" s="144">
        <f>-AQ19</f>
        <v>-10.100000000000001</v>
      </c>
      <c r="AR176" s="245">
        <f>SUM(AN176:AQ176)</f>
        <v>-45.5</v>
      </c>
      <c r="AS176" s="161">
        <f>-AS19</f>
        <v>-6.2</v>
      </c>
      <c r="AT176" s="160">
        <f>-AT19</f>
        <v>-6.3</v>
      </c>
      <c r="AU176" s="160">
        <f>-AU19</f>
        <v>-7.5</v>
      </c>
      <c r="AV176" s="144">
        <f>-AV19</f>
        <v>-8</v>
      </c>
      <c r="AW176" s="245">
        <f>SUM(AS176:AV176)</f>
        <v>-28</v>
      </c>
      <c r="AX176" s="161">
        <f>-AX19</f>
        <v>-13.604210526315789</v>
      </c>
      <c r="AY176" s="160">
        <f>-AY19</f>
        <v>-13.604210526315789</v>
      </c>
      <c r="AZ176" s="160">
        <f>-AZ19</f>
        <v>-13.604210526315789</v>
      </c>
      <c r="BA176" s="144">
        <f>-BA19</f>
        <v>-13.604210526315789</v>
      </c>
      <c r="BB176" s="245">
        <f>SUM(AX176:BA176)</f>
        <v>-54.416842105263157</v>
      </c>
      <c r="BC176" s="161">
        <f>-BC19</f>
        <v>-21.197631578947369</v>
      </c>
      <c r="BD176" s="160">
        <f>-BD19</f>
        <v>-21.197631578947369</v>
      </c>
      <c r="BE176" s="160">
        <f>-BE19</f>
        <v>-21.197631578947369</v>
      </c>
      <c r="BF176" s="144">
        <f>-BF19</f>
        <v>-21.197631578947369</v>
      </c>
      <c r="BG176" s="245">
        <f>SUM(BC176:BF176)</f>
        <v>-84.790526315789478</v>
      </c>
      <c r="BH176" s="161">
        <f>-BH19</f>
        <v>-24.596052631578949</v>
      </c>
      <c r="BI176" s="160">
        <f>-BI19</f>
        <v>-24.596052631578949</v>
      </c>
      <c r="BJ176" s="160">
        <f>-BJ19</f>
        <v>-24.596052631578949</v>
      </c>
      <c r="BK176" s="144">
        <f>-BK19</f>
        <v>-24.596052631578949</v>
      </c>
      <c r="BL176" s="245">
        <f>SUM(BH176:BK176)</f>
        <v>-98.384210526315798</v>
      </c>
      <c r="BM176" s="161">
        <f>-BM19</f>
        <v>-11.775</v>
      </c>
      <c r="BN176" s="160">
        <f>-BN19</f>
        <v>-11.775</v>
      </c>
      <c r="BO176" s="160">
        <f>-BO19</f>
        <v>-11.775</v>
      </c>
      <c r="BP176" s="144">
        <f>-BP19</f>
        <v>-11.775</v>
      </c>
      <c r="BQ176" s="245">
        <f>SUM(BM176:BP176)</f>
        <v>-47.1</v>
      </c>
      <c r="BR176" s="242"/>
      <c r="BS176" s="242"/>
      <c r="BT176" s="242"/>
      <c r="BU176" s="242"/>
      <c r="BV176" s="242"/>
      <c r="BW176" s="242"/>
      <c r="BX176" s="242"/>
      <c r="BY176" s="242"/>
      <c r="BZ176" s="242"/>
      <c r="CA176" s="242"/>
      <c r="CB176" s="242"/>
      <c r="CC176" s="242"/>
      <c r="CD176" s="242"/>
      <c r="CE176" s="242"/>
      <c r="CF176" s="242"/>
    </row>
    <row r="177" spans="1:84">
      <c r="A177" s="242"/>
      <c r="B177" s="242"/>
      <c r="C177" s="100" t="s">
        <v>81</v>
      </c>
      <c r="D177" s="109"/>
      <c r="E177" s="161"/>
      <c r="F177" s="160"/>
      <c r="G177" s="160"/>
      <c r="H177" s="144"/>
      <c r="I177" s="245"/>
      <c r="J177" s="161"/>
      <c r="K177" s="160"/>
      <c r="L177" s="160"/>
      <c r="M177" s="144"/>
      <c r="N177" s="245"/>
      <c r="O177" s="161"/>
      <c r="P177" s="160"/>
      <c r="Q177" s="160"/>
      <c r="R177" s="144"/>
      <c r="S177" s="245"/>
      <c r="T177" s="161"/>
      <c r="U177" s="160"/>
      <c r="V177" s="160"/>
      <c r="W177" s="144"/>
      <c r="X177" s="64">
        <v>0</v>
      </c>
      <c r="Y177" s="1202">
        <f>AC177/4</f>
        <v>0</v>
      </c>
      <c r="Z177" s="1204">
        <f>AC177/4</f>
        <v>0</v>
      </c>
      <c r="AA177" s="1204">
        <f>AC177/4</f>
        <v>0</v>
      </c>
      <c r="AB177" s="1205">
        <f>AC177/4</f>
        <v>0</v>
      </c>
      <c r="AC177" s="64">
        <v>0</v>
      </c>
      <c r="AD177" s="1202">
        <f>AH177/4</f>
        <v>0</v>
      </c>
      <c r="AE177" s="1204">
        <f>AH177/4</f>
        <v>0</v>
      </c>
      <c r="AF177" s="1204">
        <f>AH177/4</f>
        <v>0</v>
      </c>
      <c r="AG177" s="1205">
        <f>AH177/4</f>
        <v>0</v>
      </c>
      <c r="AH177" s="64">
        <v>0</v>
      </c>
      <c r="AI177" s="1202">
        <v>0</v>
      </c>
      <c r="AJ177" s="1204">
        <v>0</v>
      </c>
      <c r="AK177" s="1204">
        <v>0</v>
      </c>
      <c r="AL177" s="1205">
        <v>0</v>
      </c>
      <c r="AM177" s="245">
        <f>SUM(AI177:AL177)</f>
        <v>0</v>
      </c>
      <c r="AN177" s="1202">
        <v>0</v>
      </c>
      <c r="AO177" s="1204">
        <v>0</v>
      </c>
      <c r="AP177" s="1204">
        <v>0</v>
      </c>
      <c r="AQ177" s="1205">
        <v>0</v>
      </c>
      <c r="AR177" s="245">
        <f>SUM(AN177:AQ177)</f>
        <v>0</v>
      </c>
      <c r="AS177" s="1202">
        <v>0</v>
      </c>
      <c r="AT177" s="1204">
        <v>0</v>
      </c>
      <c r="AU177" s="1204">
        <v>0</v>
      </c>
      <c r="AV177" s="1205">
        <v>0</v>
      </c>
      <c r="AW177" s="245">
        <f>SUM(AS177:AV177)</f>
        <v>0</v>
      </c>
      <c r="AX177" s="1202">
        <f>BB177/4</f>
        <v>0</v>
      </c>
      <c r="AY177" s="1204">
        <f>BB177/4</f>
        <v>0</v>
      </c>
      <c r="AZ177" s="1204">
        <f>BB177/4</f>
        <v>0</v>
      </c>
      <c r="BA177" s="1205">
        <f>BB177/4</f>
        <v>0</v>
      </c>
      <c r="BB177" s="64">
        <v>0</v>
      </c>
      <c r="BC177" s="1202">
        <f>BG177/4</f>
        <v>0</v>
      </c>
      <c r="BD177" s="1204">
        <f>BG177/4</f>
        <v>0</v>
      </c>
      <c r="BE177" s="1204">
        <f>BG177/4</f>
        <v>0</v>
      </c>
      <c r="BF177" s="1205">
        <f>BG177/4</f>
        <v>0</v>
      </c>
      <c r="BG177" s="64">
        <v>0</v>
      </c>
      <c r="BH177" s="1202">
        <f>BL177/4</f>
        <v>0</v>
      </c>
      <c r="BI177" s="1204">
        <f>BL177/4</f>
        <v>0</v>
      </c>
      <c r="BJ177" s="1204">
        <f>BL177/4</f>
        <v>0</v>
      </c>
      <c r="BK177" s="1205">
        <f>BL177/4</f>
        <v>0</v>
      </c>
      <c r="BL177" s="64">
        <v>0</v>
      </c>
      <c r="BM177" s="1202">
        <f>BQ177/4</f>
        <v>0</v>
      </c>
      <c r="BN177" s="1204">
        <f>BQ177/4</f>
        <v>0</v>
      </c>
      <c r="BO177" s="1204">
        <f>BQ177/4</f>
        <v>0</v>
      </c>
      <c r="BP177" s="1205">
        <f>BQ177/4</f>
        <v>0</v>
      </c>
      <c r="BQ177" s="64">
        <v>0</v>
      </c>
      <c r="BR177" s="242"/>
      <c r="BS177" s="242"/>
      <c r="BT177" s="242"/>
      <c r="BU177" s="242"/>
      <c r="BV177" s="242"/>
      <c r="BW177" s="242"/>
      <c r="BX177" s="242"/>
      <c r="BY177" s="242"/>
      <c r="BZ177" s="242"/>
      <c r="CA177" s="242"/>
      <c r="CB177" s="242"/>
      <c r="CC177" s="242"/>
      <c r="CD177" s="242"/>
      <c r="CE177" s="242"/>
      <c r="CF177" s="242"/>
    </row>
    <row r="178" spans="1:84">
      <c r="A178" s="242"/>
      <c r="B178" s="242"/>
      <c r="C178" s="100" t="s">
        <v>924</v>
      </c>
      <c r="D178" s="109"/>
      <c r="E178" s="161"/>
      <c r="F178" s="160"/>
      <c r="G178" s="160"/>
      <c r="H178" s="144"/>
      <c r="I178" s="245"/>
      <c r="J178" s="161"/>
      <c r="K178" s="160"/>
      <c r="L178" s="160"/>
      <c r="M178" s="144"/>
      <c r="N178" s="245"/>
      <c r="O178" s="161"/>
      <c r="P178" s="160"/>
      <c r="Q178" s="160"/>
      <c r="R178" s="144"/>
      <c r="S178" s="245"/>
      <c r="T178" s="161"/>
      <c r="U178" s="160"/>
      <c r="V178" s="160"/>
      <c r="W178" s="144"/>
      <c r="X178" s="64">
        <v>0</v>
      </c>
      <c r="Y178" s="1202">
        <f>AC178/4</f>
        <v>0</v>
      </c>
      <c r="Z178" s="1204">
        <f>AC178/4</f>
        <v>0</v>
      </c>
      <c r="AA178" s="1204">
        <f>AC178/4</f>
        <v>0</v>
      </c>
      <c r="AB178" s="1205">
        <f>AC178/4</f>
        <v>0</v>
      </c>
      <c r="AC178" s="64">
        <v>0</v>
      </c>
      <c r="AD178" s="1202">
        <f>AH178/4</f>
        <v>0</v>
      </c>
      <c r="AE178" s="1204">
        <f>AH178/4</f>
        <v>0</v>
      </c>
      <c r="AF178" s="1204">
        <f>AH178/4</f>
        <v>0</v>
      </c>
      <c r="AG178" s="1205">
        <f>AH178/4</f>
        <v>0</v>
      </c>
      <c r="AH178" s="64">
        <v>0</v>
      </c>
      <c r="AI178" s="1202">
        <f>AM178/4</f>
        <v>0</v>
      </c>
      <c r="AJ178" s="1204">
        <f>AM178/4</f>
        <v>0</v>
      </c>
      <c r="AK178" s="1204">
        <f>AM178/4</f>
        <v>0</v>
      </c>
      <c r="AL178" s="1205">
        <f>AM178/4</f>
        <v>0</v>
      </c>
      <c r="AM178" s="64">
        <v>0</v>
      </c>
      <c r="AN178" s="1202">
        <f>AR178/4</f>
        <v>0</v>
      </c>
      <c r="AO178" s="1204">
        <f>AR178/4</f>
        <v>0</v>
      </c>
      <c r="AP178" s="1204">
        <f>AR178/4</f>
        <v>0</v>
      </c>
      <c r="AQ178" s="1205">
        <f>AR178/4</f>
        <v>0</v>
      </c>
      <c r="AR178" s="64">
        <v>0</v>
      </c>
      <c r="AS178" s="1202">
        <f>AW178/4</f>
        <v>0</v>
      </c>
      <c r="AT178" s="1204">
        <f>AW178/4</f>
        <v>0</v>
      </c>
      <c r="AU178" s="1204">
        <f>AW178/4</f>
        <v>0</v>
      </c>
      <c r="AV178" s="1205">
        <f>AW178/4</f>
        <v>0</v>
      </c>
      <c r="AW178" s="64">
        <v>0</v>
      </c>
      <c r="AX178" s="1202">
        <f>BB178/4</f>
        <v>0</v>
      </c>
      <c r="AY178" s="1204">
        <f>BB178/4</f>
        <v>0</v>
      </c>
      <c r="AZ178" s="1204">
        <f>BB178/4</f>
        <v>0</v>
      </c>
      <c r="BA178" s="1205">
        <f>BB178/4</f>
        <v>0</v>
      </c>
      <c r="BB178" s="64">
        <v>0</v>
      </c>
      <c r="BC178" s="1202">
        <f>BG178/4</f>
        <v>0</v>
      </c>
      <c r="BD178" s="1204">
        <f>BG178/4</f>
        <v>0</v>
      </c>
      <c r="BE178" s="1204">
        <f>BG178/4</f>
        <v>0</v>
      </c>
      <c r="BF178" s="1205">
        <f>BG178/4</f>
        <v>0</v>
      </c>
      <c r="BG178" s="64">
        <v>0</v>
      </c>
      <c r="BH178" s="1202">
        <f>BL178/4</f>
        <v>0</v>
      </c>
      <c r="BI178" s="1204">
        <f>BL178/4</f>
        <v>0</v>
      </c>
      <c r="BJ178" s="1204">
        <f>BL178/4</f>
        <v>0</v>
      </c>
      <c r="BK178" s="1205">
        <f>BL178/4</f>
        <v>0</v>
      </c>
      <c r="BL178" s="64">
        <v>0</v>
      </c>
      <c r="BM178" s="1202">
        <f>BQ178/4</f>
        <v>0</v>
      </c>
      <c r="BN178" s="1204">
        <f>BQ178/4</f>
        <v>0</v>
      </c>
      <c r="BO178" s="1204">
        <f>BQ178/4</f>
        <v>0</v>
      </c>
      <c r="BP178" s="1205">
        <f>BQ178/4</f>
        <v>0</v>
      </c>
      <c r="BQ178" s="64">
        <v>0</v>
      </c>
      <c r="BR178" s="242"/>
      <c r="BS178" s="242"/>
      <c r="BT178" s="242"/>
      <c r="BU178" s="242"/>
      <c r="BV178" s="242"/>
      <c r="BW178" s="242"/>
      <c r="BX178" s="242"/>
      <c r="BY178" s="242"/>
      <c r="BZ178" s="242"/>
      <c r="CA178" s="242"/>
      <c r="CB178" s="242"/>
      <c r="CC178" s="242"/>
      <c r="CD178" s="242"/>
      <c r="CE178" s="242"/>
      <c r="CF178" s="242"/>
    </row>
    <row r="179" spans="1:84">
      <c r="A179" s="242"/>
      <c r="B179" s="242"/>
      <c r="C179" s="100" t="s">
        <v>82</v>
      </c>
      <c r="D179" s="109"/>
      <c r="E179" s="161"/>
      <c r="F179" s="160"/>
      <c r="G179" s="160"/>
      <c r="H179" s="144"/>
      <c r="I179" s="245"/>
      <c r="J179" s="161"/>
      <c r="K179" s="160"/>
      <c r="L179" s="160"/>
      <c r="M179" s="144"/>
      <c r="N179" s="245"/>
      <c r="O179" s="161"/>
      <c r="P179" s="160"/>
      <c r="Q179" s="160"/>
      <c r="R179" s="144"/>
      <c r="S179" s="245"/>
      <c r="T179" s="161"/>
      <c r="U179" s="160"/>
      <c r="V179" s="160"/>
      <c r="W179" s="144"/>
      <c r="X179" s="64">
        <v>0</v>
      </c>
      <c r="Y179" s="1202">
        <f>AC179/4</f>
        <v>0</v>
      </c>
      <c r="Z179" s="1204">
        <f>AC179/4</f>
        <v>0</v>
      </c>
      <c r="AA179" s="1204">
        <f>AC179/4</f>
        <v>0</v>
      </c>
      <c r="AB179" s="1205">
        <f>AC179/4</f>
        <v>0</v>
      </c>
      <c r="AC179" s="64">
        <v>0</v>
      </c>
      <c r="AD179" s="1202">
        <f>AH179/4</f>
        <v>0</v>
      </c>
      <c r="AE179" s="1204">
        <f>AH179/4</f>
        <v>0</v>
      </c>
      <c r="AF179" s="1204">
        <f>AH179/4</f>
        <v>0</v>
      </c>
      <c r="AG179" s="1205">
        <f>AH179/4</f>
        <v>0</v>
      </c>
      <c r="AH179" s="64">
        <v>0</v>
      </c>
      <c r="AI179" s="1202">
        <f>AM179/4</f>
        <v>0</v>
      </c>
      <c r="AJ179" s="1204">
        <f>AM179/4</f>
        <v>0</v>
      </c>
      <c r="AK179" s="1204">
        <f>AM179/4</f>
        <v>0</v>
      </c>
      <c r="AL179" s="1205">
        <f>AM179/4</f>
        <v>0</v>
      </c>
      <c r="AM179" s="64">
        <v>0</v>
      </c>
      <c r="AN179" s="1202">
        <f>AR179/4</f>
        <v>0</v>
      </c>
      <c r="AO179" s="1204">
        <f>AR179/4</f>
        <v>0</v>
      </c>
      <c r="AP179" s="1204">
        <f>AR179/4</f>
        <v>0</v>
      </c>
      <c r="AQ179" s="1205">
        <f>AR179/4</f>
        <v>0</v>
      </c>
      <c r="AR179" s="64">
        <v>0</v>
      </c>
      <c r="AS179" s="1202">
        <f>AW179/4</f>
        <v>0</v>
      </c>
      <c r="AT179" s="1204">
        <f>AW179/4</f>
        <v>0</v>
      </c>
      <c r="AU179" s="1204">
        <f>AW179/4</f>
        <v>0</v>
      </c>
      <c r="AV179" s="1205">
        <f>AW179/4</f>
        <v>0</v>
      </c>
      <c r="AW179" s="64">
        <v>0</v>
      </c>
      <c r="AX179" s="1202">
        <f>BB179/4</f>
        <v>0</v>
      </c>
      <c r="AY179" s="1204">
        <f>BB179/4</f>
        <v>0</v>
      </c>
      <c r="AZ179" s="1204">
        <f>BB179/4</f>
        <v>0</v>
      </c>
      <c r="BA179" s="1205">
        <f>BB179/4</f>
        <v>0</v>
      </c>
      <c r="BB179" s="64">
        <v>0</v>
      </c>
      <c r="BC179" s="1202">
        <f>BG179/4</f>
        <v>0</v>
      </c>
      <c r="BD179" s="1204">
        <f>BG179/4</f>
        <v>0</v>
      </c>
      <c r="BE179" s="1204">
        <f>BG179/4</f>
        <v>0</v>
      </c>
      <c r="BF179" s="1205">
        <f>BG179/4</f>
        <v>0</v>
      </c>
      <c r="BG179" s="64">
        <v>0</v>
      </c>
      <c r="BH179" s="1202">
        <f>BL179/4</f>
        <v>0</v>
      </c>
      <c r="BI179" s="1204">
        <f>BL179/4</f>
        <v>0</v>
      </c>
      <c r="BJ179" s="1204">
        <f>BL179/4</f>
        <v>0</v>
      </c>
      <c r="BK179" s="1205">
        <f>BL179/4</f>
        <v>0</v>
      </c>
      <c r="BL179" s="64">
        <v>0</v>
      </c>
      <c r="BM179" s="1202">
        <f>BQ179/4</f>
        <v>0</v>
      </c>
      <c r="BN179" s="1204">
        <f>BQ179/4</f>
        <v>0</v>
      </c>
      <c r="BO179" s="1204">
        <f>BQ179/4</f>
        <v>0</v>
      </c>
      <c r="BP179" s="1205">
        <f>BQ179/4</f>
        <v>0</v>
      </c>
      <c r="BQ179" s="64">
        <v>0</v>
      </c>
      <c r="BR179" s="242"/>
      <c r="BS179" s="242"/>
      <c r="BT179" s="242"/>
      <c r="BU179" s="242"/>
      <c r="BV179" s="242"/>
      <c r="BW179" s="242"/>
      <c r="BX179" s="242"/>
      <c r="BY179" s="242"/>
      <c r="BZ179" s="242"/>
      <c r="CA179" s="242"/>
      <c r="CB179" s="242"/>
      <c r="CC179" s="242"/>
      <c r="CD179" s="242"/>
      <c r="CE179" s="242"/>
      <c r="CF179" s="242"/>
    </row>
    <row r="180" spans="1:84">
      <c r="A180" s="242"/>
      <c r="B180" s="242"/>
      <c r="C180" s="164" t="s">
        <v>83</v>
      </c>
      <c r="D180" s="109"/>
      <c r="E180" s="149"/>
      <c r="F180" s="150"/>
      <c r="G180" s="150"/>
      <c r="H180" s="151"/>
      <c r="I180" s="154"/>
      <c r="J180" s="149"/>
      <c r="K180" s="150"/>
      <c r="L180" s="150"/>
      <c r="M180" s="151"/>
      <c r="N180" s="154"/>
      <c r="O180" s="149"/>
      <c r="P180" s="150"/>
      <c r="Q180" s="150"/>
      <c r="R180" s="151"/>
      <c r="S180" s="154"/>
      <c r="T180" s="149"/>
      <c r="U180" s="150"/>
      <c r="V180" s="150"/>
      <c r="W180" s="151"/>
      <c r="X180" s="154">
        <f t="shared" ref="X180:AC180" si="172">SUM(X174:X179)</f>
        <v>1604</v>
      </c>
      <c r="Y180" s="149">
        <f t="shared" si="172"/>
        <v>407</v>
      </c>
      <c r="Z180" s="150">
        <f t="shared" si="172"/>
        <v>378</v>
      </c>
      <c r="AA180" s="150">
        <f t="shared" si="172"/>
        <v>397</v>
      </c>
      <c r="AB180" s="151">
        <f t="shared" si="172"/>
        <v>405</v>
      </c>
      <c r="AC180" s="154">
        <f t="shared" si="172"/>
        <v>1587</v>
      </c>
      <c r="AD180" s="149">
        <f t="shared" ref="AD180:BB180" si="173">SUM(AD174:AD179)</f>
        <v>532</v>
      </c>
      <c r="AE180" s="150">
        <f t="shared" si="173"/>
        <v>396</v>
      </c>
      <c r="AF180" s="150">
        <f t="shared" si="173"/>
        <v>464</v>
      </c>
      <c r="AG180" s="151">
        <f t="shared" si="173"/>
        <v>302</v>
      </c>
      <c r="AH180" s="154">
        <f t="shared" si="173"/>
        <v>1694</v>
      </c>
      <c r="AI180" s="149">
        <f t="shared" ref="AI180:AN180" si="174">SUM(AI174:AI179)</f>
        <v>557</v>
      </c>
      <c r="AJ180" s="150">
        <f t="shared" si="174"/>
        <v>457</v>
      </c>
      <c r="AK180" s="150">
        <f t="shared" si="174"/>
        <v>522</v>
      </c>
      <c r="AL180" s="151">
        <f t="shared" si="174"/>
        <v>359.90000000000055</v>
      </c>
      <c r="AM180" s="154">
        <f t="shared" si="174"/>
        <v>1895.9000000000005</v>
      </c>
      <c r="AN180" s="149">
        <f t="shared" si="174"/>
        <v>529.59999999999968</v>
      </c>
      <c r="AO180" s="150">
        <f t="shared" ref="AO180:AS180" si="175">SUM(AO174:AO179)</f>
        <v>469.79999999999995</v>
      </c>
      <c r="AP180" s="150">
        <f t="shared" si="175"/>
        <v>610.00000000000011</v>
      </c>
      <c r="AQ180" s="151">
        <f t="shared" si="175"/>
        <v>398.79999999999939</v>
      </c>
      <c r="AR180" s="154">
        <f t="shared" si="175"/>
        <v>2008.1999999999989</v>
      </c>
      <c r="AS180" s="149">
        <f t="shared" si="175"/>
        <v>491.60000000000014</v>
      </c>
      <c r="AT180" s="150">
        <f t="shared" ref="AT180:AW180" si="176">SUM(AT174:AT179)</f>
        <v>392.5</v>
      </c>
      <c r="AU180" s="150">
        <f t="shared" si="176"/>
        <v>567.59999999999945</v>
      </c>
      <c r="AV180" s="151">
        <f t="shared" si="176"/>
        <v>453.30000000000052</v>
      </c>
      <c r="AW180" s="154">
        <f t="shared" si="176"/>
        <v>1905</v>
      </c>
      <c r="AX180" s="149">
        <f t="shared" si="173"/>
        <v>542.04004447095565</v>
      </c>
      <c r="AY180" s="150">
        <f t="shared" si="173"/>
        <v>416.67400814302164</v>
      </c>
      <c r="AZ180" s="150">
        <f t="shared" si="173"/>
        <v>605.52286836666519</v>
      </c>
      <c r="BA180" s="151">
        <f t="shared" si="173"/>
        <v>466.75219651085678</v>
      </c>
      <c r="BB180" s="154">
        <f t="shared" si="173"/>
        <v>2030.9891174914997</v>
      </c>
      <c r="BC180" s="149">
        <f t="shared" ref="BC180:BL180" si="177">SUM(BC174:BC179)</f>
        <v>605.87129713606805</v>
      </c>
      <c r="BD180" s="150">
        <f t="shared" si="177"/>
        <v>453.12152502297056</v>
      </c>
      <c r="BE180" s="150">
        <f t="shared" si="177"/>
        <v>627.63082962393548</v>
      </c>
      <c r="BF180" s="151">
        <f t="shared" si="177"/>
        <v>491.00402844592747</v>
      </c>
      <c r="BG180" s="154">
        <f t="shared" si="177"/>
        <v>2177.6276802289017</v>
      </c>
      <c r="BH180" s="149">
        <f t="shared" si="177"/>
        <v>630.14702342010901</v>
      </c>
      <c r="BI180" s="150">
        <f t="shared" si="177"/>
        <v>479.67751013357366</v>
      </c>
      <c r="BJ180" s="150">
        <f t="shared" si="177"/>
        <v>679.90759233111203</v>
      </c>
      <c r="BK180" s="151">
        <f t="shared" si="177"/>
        <v>534.16540196956885</v>
      </c>
      <c r="BL180" s="154">
        <f t="shared" si="177"/>
        <v>2323.8975278543639</v>
      </c>
      <c r="BM180" s="149">
        <f>SUM(BM174:BM179)</f>
        <v>718.53109551207433</v>
      </c>
      <c r="BN180" s="150">
        <f>SUM(BN174:BN179)</f>
        <v>565.14060856111075</v>
      </c>
      <c r="BO180" s="150">
        <f>SUM(BO174:BO179)</f>
        <v>744.4355098634345</v>
      </c>
      <c r="BP180" s="151">
        <f>SUM(BP174:BP179)</f>
        <v>600.51266724228174</v>
      </c>
      <c r="BQ180" s="154">
        <f>SUM(BQ174:BQ179)</f>
        <v>2628.6198811789013</v>
      </c>
      <c r="BR180" s="242"/>
      <c r="BS180" s="242"/>
      <c r="BT180" s="242"/>
      <c r="BU180" s="242"/>
      <c r="BV180" s="242"/>
      <c r="BW180" s="242"/>
      <c r="BX180" s="242"/>
      <c r="BY180" s="242"/>
      <c r="BZ180" s="242"/>
      <c r="CA180" s="242"/>
      <c r="CB180" s="242"/>
      <c r="CC180" s="242"/>
      <c r="CD180" s="242"/>
      <c r="CE180" s="242"/>
      <c r="CF180" s="242"/>
    </row>
    <row r="181" spans="1:84">
      <c r="A181" s="242"/>
      <c r="B181" s="242"/>
      <c r="C181" s="100"/>
      <c r="D181" s="109"/>
      <c r="E181" s="161"/>
      <c r="F181" s="162"/>
      <c r="G181" s="162"/>
      <c r="H181" s="144"/>
      <c r="I181" s="245"/>
      <c r="J181" s="161"/>
      <c r="K181" s="162"/>
      <c r="L181" s="162"/>
      <c r="M181" s="144"/>
      <c r="N181" s="245"/>
      <c r="O181" s="161"/>
      <c r="P181" s="162"/>
      <c r="Q181" s="162"/>
      <c r="R181" s="144"/>
      <c r="S181" s="245"/>
      <c r="T181" s="161"/>
      <c r="U181" s="162"/>
      <c r="V181" s="162"/>
      <c r="W181" s="144"/>
      <c r="X181" s="245"/>
      <c r="Y181" s="161"/>
      <c r="Z181" s="162"/>
      <c r="AA181" s="162"/>
      <c r="AB181" s="144"/>
      <c r="AC181" s="245"/>
      <c r="AD181" s="161"/>
      <c r="AE181" s="162"/>
      <c r="AF181" s="162"/>
      <c r="AG181" s="144"/>
      <c r="AH181" s="245"/>
      <c r="AI181" s="161"/>
      <c r="AJ181" s="162"/>
      <c r="AK181" s="162"/>
      <c r="AL181" s="144"/>
      <c r="AM181" s="245"/>
      <c r="AN181" s="161"/>
      <c r="AO181" s="162"/>
      <c r="AP181" s="162"/>
      <c r="AQ181" s="144"/>
      <c r="AR181" s="245"/>
      <c r="AS181" s="161"/>
      <c r="AT181" s="162"/>
      <c r="AU181" s="162"/>
      <c r="AV181" s="144"/>
      <c r="AW181" s="245"/>
      <c r="AX181" s="161"/>
      <c r="AY181" s="162"/>
      <c r="AZ181" s="162"/>
      <c r="BA181" s="144"/>
      <c r="BB181" s="245"/>
      <c r="BC181" s="161"/>
      <c r="BD181" s="162"/>
      <c r="BE181" s="162"/>
      <c r="BF181" s="144"/>
      <c r="BG181" s="245"/>
      <c r="BH181" s="161"/>
      <c r="BI181" s="162"/>
      <c r="BJ181" s="162"/>
      <c r="BK181" s="144"/>
      <c r="BL181" s="245"/>
      <c r="BM181" s="161"/>
      <c r="BN181" s="162"/>
      <c r="BO181" s="162"/>
      <c r="BP181" s="144"/>
      <c r="BQ181" s="245"/>
      <c r="BR181" s="242"/>
      <c r="BS181" s="242"/>
      <c r="BT181" s="242"/>
      <c r="BU181" s="242"/>
      <c r="BV181" s="242"/>
      <c r="BW181" s="242"/>
      <c r="BX181" s="242"/>
      <c r="BY181" s="242"/>
      <c r="BZ181" s="242"/>
      <c r="CA181" s="242"/>
      <c r="CB181" s="242"/>
      <c r="CC181" s="242"/>
      <c r="CD181" s="242"/>
      <c r="CE181" s="242"/>
      <c r="CF181" s="242"/>
    </row>
    <row r="182" spans="1:84">
      <c r="A182" s="242"/>
      <c r="B182" s="242"/>
      <c r="C182" s="100" t="s">
        <v>84</v>
      </c>
      <c r="D182" s="109"/>
      <c r="E182" s="161"/>
      <c r="F182" s="160"/>
      <c r="G182" s="160"/>
      <c r="H182" s="144"/>
      <c r="I182" s="245"/>
      <c r="J182" s="161"/>
      <c r="K182" s="160"/>
      <c r="L182" s="160"/>
      <c r="M182" s="144"/>
      <c r="N182" s="245"/>
      <c r="O182" s="161"/>
      <c r="P182" s="160"/>
      <c r="Q182" s="160"/>
      <c r="R182" s="144"/>
      <c r="S182" s="245"/>
      <c r="T182" s="161"/>
      <c r="U182" s="160"/>
      <c r="V182" s="160"/>
      <c r="W182" s="144"/>
      <c r="X182" s="245">
        <f t="shared" ref="X182:AR182" si="178">-X147</f>
        <v>-1801</v>
      </c>
      <c r="Y182" s="161">
        <f t="shared" si="178"/>
        <v>-455.5</v>
      </c>
      <c r="Z182" s="160">
        <f t="shared" si="178"/>
        <v>-455.5</v>
      </c>
      <c r="AA182" s="160">
        <f t="shared" si="178"/>
        <v>-455.5</v>
      </c>
      <c r="AB182" s="144">
        <f t="shared" si="178"/>
        <v>-455.5</v>
      </c>
      <c r="AC182" s="245">
        <f t="shared" si="178"/>
        <v>-1822</v>
      </c>
      <c r="AD182" s="161">
        <f t="shared" si="178"/>
        <v>-513.75</v>
      </c>
      <c r="AE182" s="160">
        <f t="shared" si="178"/>
        <v>-513.75</v>
      </c>
      <c r="AF182" s="160">
        <f t="shared" si="178"/>
        <v>-513.75</v>
      </c>
      <c r="AG182" s="144">
        <f t="shared" si="178"/>
        <v>-513.75</v>
      </c>
      <c r="AH182" s="245">
        <f t="shared" si="178"/>
        <v>-2055</v>
      </c>
      <c r="AI182" s="161">
        <f t="shared" si="178"/>
        <v>-555.57500000000005</v>
      </c>
      <c r="AJ182" s="160">
        <f t="shared" si="178"/>
        <v>-555.57500000000005</v>
      </c>
      <c r="AK182" s="160">
        <f t="shared" si="178"/>
        <v>-555.57500000000005</v>
      </c>
      <c r="AL182" s="144">
        <f t="shared" si="178"/>
        <v>-555.57500000000005</v>
      </c>
      <c r="AM182" s="245">
        <f t="shared" si="178"/>
        <v>-2222.3000000000002</v>
      </c>
      <c r="AN182" s="161">
        <f t="shared" si="178"/>
        <v>-559.25</v>
      </c>
      <c r="AO182" s="160">
        <f t="shared" si="178"/>
        <v>-559.25</v>
      </c>
      <c r="AP182" s="160">
        <f t="shared" si="178"/>
        <v>-559.25</v>
      </c>
      <c r="AQ182" s="144">
        <f t="shared" si="178"/>
        <v>-559.25</v>
      </c>
      <c r="AR182" s="245">
        <f t="shared" si="178"/>
        <v>-2237</v>
      </c>
      <c r="AS182" s="161">
        <f t="shared" ref="AS182:AW182" si="179">-AS147</f>
        <v>-585.79999999999995</v>
      </c>
      <c r="AT182" s="160">
        <f t="shared" si="179"/>
        <v>-585.79999999999995</v>
      </c>
      <c r="AU182" s="160">
        <f t="shared" si="179"/>
        <v>-585.79999999999995</v>
      </c>
      <c r="AV182" s="144">
        <f t="shared" si="179"/>
        <v>-585.79999999999995</v>
      </c>
      <c r="AW182" s="245">
        <f t="shared" si="179"/>
        <v>-2343.1999999999998</v>
      </c>
      <c r="AX182" s="161">
        <f t="shared" ref="AX182:BQ182" si="180">-AX149</f>
        <v>-592</v>
      </c>
      <c r="AY182" s="160">
        <f t="shared" si="180"/>
        <v>-592</v>
      </c>
      <c r="AZ182" s="160">
        <f t="shared" si="180"/>
        <v>-592</v>
      </c>
      <c r="BA182" s="144">
        <f t="shared" si="180"/>
        <v>-592</v>
      </c>
      <c r="BB182" s="245">
        <f t="shared" si="180"/>
        <v>-2368</v>
      </c>
      <c r="BC182" s="161">
        <f t="shared" si="180"/>
        <v>-755.25</v>
      </c>
      <c r="BD182" s="160">
        <f t="shared" si="180"/>
        <v>-755.25</v>
      </c>
      <c r="BE182" s="160">
        <f t="shared" si="180"/>
        <v>-755.25</v>
      </c>
      <c r="BF182" s="144">
        <f t="shared" si="180"/>
        <v>-755.25</v>
      </c>
      <c r="BG182" s="245">
        <f t="shared" si="180"/>
        <v>-3021</v>
      </c>
      <c r="BH182" s="161">
        <f t="shared" si="180"/>
        <v>-668.75</v>
      </c>
      <c r="BI182" s="160">
        <f t="shared" si="180"/>
        <v>-668.75</v>
      </c>
      <c r="BJ182" s="160">
        <f t="shared" si="180"/>
        <v>-668.75</v>
      </c>
      <c r="BK182" s="144">
        <f t="shared" si="180"/>
        <v>-668.75</v>
      </c>
      <c r="BL182" s="245">
        <f t="shared" si="180"/>
        <v>-2675</v>
      </c>
      <c r="BM182" s="161">
        <f t="shared" si="180"/>
        <v>-2038.75</v>
      </c>
      <c r="BN182" s="160">
        <f t="shared" si="180"/>
        <v>-588.75</v>
      </c>
      <c r="BO182" s="160">
        <f t="shared" si="180"/>
        <v>-588.75</v>
      </c>
      <c r="BP182" s="144">
        <f t="shared" si="180"/>
        <v>-588.75</v>
      </c>
      <c r="BQ182" s="245">
        <f t="shared" si="180"/>
        <v>-3805</v>
      </c>
      <c r="BR182" s="242"/>
      <c r="BS182" s="242"/>
      <c r="BT182" s="242"/>
      <c r="BU182" s="242"/>
      <c r="BV182" s="242"/>
      <c r="BW182" s="242"/>
      <c r="BX182" s="242"/>
      <c r="BY182" s="242"/>
      <c r="BZ182" s="242"/>
      <c r="CA182" s="242"/>
      <c r="CB182" s="242"/>
      <c r="CC182" s="242"/>
      <c r="CD182" s="242"/>
      <c r="CE182" s="242"/>
      <c r="CF182" s="242"/>
    </row>
    <row r="183" spans="1:84">
      <c r="A183" s="242"/>
      <c r="B183" s="242"/>
      <c r="C183" s="100" t="s">
        <v>85</v>
      </c>
      <c r="D183" s="109"/>
      <c r="E183" s="161"/>
      <c r="F183" s="160"/>
      <c r="G183" s="160"/>
      <c r="H183" s="144"/>
      <c r="I183" s="245"/>
      <c r="J183" s="161"/>
      <c r="K183" s="160"/>
      <c r="L183" s="160"/>
      <c r="M183" s="144"/>
      <c r="N183" s="245"/>
      <c r="O183" s="161"/>
      <c r="P183" s="160"/>
      <c r="Q183" s="160"/>
      <c r="R183" s="144"/>
      <c r="S183" s="245"/>
      <c r="T183" s="161"/>
      <c r="U183" s="160"/>
      <c r="V183" s="160"/>
      <c r="W183" s="144"/>
      <c r="X183" s="64">
        <f>Y183/4</f>
        <v>0</v>
      </c>
      <c r="Y183" s="1202">
        <f>AC183/4</f>
        <v>0</v>
      </c>
      <c r="Z183" s="1204">
        <f>AC183/4</f>
        <v>0</v>
      </c>
      <c r="AA183" s="1204">
        <f>AC183/4</f>
        <v>0</v>
      </c>
      <c r="AB183" s="1205">
        <f>AC183/4</f>
        <v>0</v>
      </c>
      <c r="AC183" s="64">
        <v>0</v>
      </c>
      <c r="AD183" s="1202">
        <f>AH183/4</f>
        <v>0</v>
      </c>
      <c r="AE183" s="1204">
        <f>AH183/4</f>
        <v>0</v>
      </c>
      <c r="AF183" s="1204">
        <f>AH183/4</f>
        <v>0</v>
      </c>
      <c r="AG183" s="1205">
        <f>AH183/4</f>
        <v>0</v>
      </c>
      <c r="AH183" s="64">
        <v>0</v>
      </c>
      <c r="AI183" s="1202">
        <f>AM183/4</f>
        <v>0</v>
      </c>
      <c r="AJ183" s="1204">
        <f>AM183/4</f>
        <v>0</v>
      </c>
      <c r="AK183" s="1204">
        <f>AM183/4</f>
        <v>0</v>
      </c>
      <c r="AL183" s="1205">
        <f>AM183/4</f>
        <v>0</v>
      </c>
      <c r="AM183" s="64">
        <v>0</v>
      </c>
      <c r="AN183" s="1202">
        <f>AR183/4</f>
        <v>0</v>
      </c>
      <c r="AO183" s="1204">
        <f>AR183/4</f>
        <v>0</v>
      </c>
      <c r="AP183" s="1204">
        <f>AR183/4</f>
        <v>0</v>
      </c>
      <c r="AQ183" s="1205">
        <f>AR183/4</f>
        <v>0</v>
      </c>
      <c r="AR183" s="64">
        <v>0</v>
      </c>
      <c r="AS183" s="1202">
        <f>AW183/4</f>
        <v>0</v>
      </c>
      <c r="AT183" s="1204">
        <f>AW183/4</f>
        <v>0</v>
      </c>
      <c r="AU183" s="1204">
        <f>AW183/4</f>
        <v>0</v>
      </c>
      <c r="AV183" s="1205">
        <f>AW183/4</f>
        <v>0</v>
      </c>
      <c r="AW183" s="64">
        <v>0</v>
      </c>
      <c r="AX183" s="1202">
        <f>BB183/4</f>
        <v>0</v>
      </c>
      <c r="AY183" s="1204">
        <f>BB183/4</f>
        <v>0</v>
      </c>
      <c r="AZ183" s="1204">
        <f>BB183/4</f>
        <v>0</v>
      </c>
      <c r="BA183" s="1205">
        <f>BB183/4</f>
        <v>0</v>
      </c>
      <c r="BB183" s="64">
        <v>0</v>
      </c>
      <c r="BC183" s="1202">
        <f>BG183/4</f>
        <v>0</v>
      </c>
      <c r="BD183" s="1204">
        <f>BG183/4</f>
        <v>0</v>
      </c>
      <c r="BE183" s="1204">
        <f>BG183/4</f>
        <v>0</v>
      </c>
      <c r="BF183" s="1205">
        <f>BG183/4</f>
        <v>0</v>
      </c>
      <c r="BG183" s="64">
        <v>0</v>
      </c>
      <c r="BH183" s="1202">
        <f>BL183/4</f>
        <v>0</v>
      </c>
      <c r="BI183" s="1204">
        <f>BL183/4</f>
        <v>0</v>
      </c>
      <c r="BJ183" s="1204">
        <f>BL183/4</f>
        <v>0</v>
      </c>
      <c r="BK183" s="1205">
        <f>BL183/4</f>
        <v>0</v>
      </c>
      <c r="BL183" s="64">
        <v>0</v>
      </c>
      <c r="BM183" s="1202">
        <f>BQ183/4</f>
        <v>0</v>
      </c>
      <c r="BN183" s="1204">
        <f>BQ183/4</f>
        <v>0</v>
      </c>
      <c r="BO183" s="1204">
        <f>BQ183/4</f>
        <v>0</v>
      </c>
      <c r="BP183" s="1205">
        <f>BQ183/4</f>
        <v>0</v>
      </c>
      <c r="BQ183" s="64">
        <v>0</v>
      </c>
      <c r="BR183" s="242"/>
      <c r="BS183" s="242"/>
      <c r="BT183" s="242"/>
      <c r="BU183" s="242"/>
      <c r="BV183" s="242"/>
      <c r="BW183" s="242"/>
      <c r="BX183" s="242"/>
      <c r="BY183" s="242"/>
      <c r="BZ183" s="242"/>
      <c r="CA183" s="242"/>
      <c r="CB183" s="242"/>
      <c r="CC183" s="242"/>
      <c r="CD183" s="242"/>
      <c r="CE183" s="242"/>
      <c r="CF183" s="242"/>
    </row>
    <row r="184" spans="1:84">
      <c r="A184" s="242"/>
      <c r="B184" s="242"/>
      <c r="C184" s="164" t="s">
        <v>86</v>
      </c>
      <c r="D184" s="109"/>
      <c r="E184" s="149"/>
      <c r="F184" s="150"/>
      <c r="G184" s="150"/>
      <c r="H184" s="151"/>
      <c r="I184" s="154"/>
      <c r="J184" s="149"/>
      <c r="K184" s="150"/>
      <c r="L184" s="150"/>
      <c r="M184" s="151"/>
      <c r="N184" s="154"/>
      <c r="O184" s="149"/>
      <c r="P184" s="150"/>
      <c r="Q184" s="150"/>
      <c r="R184" s="151"/>
      <c r="S184" s="154"/>
      <c r="T184" s="149"/>
      <c r="U184" s="150"/>
      <c r="V184" s="150"/>
      <c r="W184" s="151"/>
      <c r="X184" s="154">
        <f t="shared" ref="X184:AC184" si="181">SUM(X182:X183)</f>
        <v>-1801</v>
      </c>
      <c r="Y184" s="149">
        <f t="shared" si="181"/>
        <v>-455.5</v>
      </c>
      <c r="Z184" s="150">
        <f t="shared" si="181"/>
        <v>-455.5</v>
      </c>
      <c r="AA184" s="150">
        <f t="shared" si="181"/>
        <v>-455.5</v>
      </c>
      <c r="AB184" s="151">
        <f t="shared" si="181"/>
        <v>-455.5</v>
      </c>
      <c r="AC184" s="154">
        <f t="shared" si="181"/>
        <v>-1822</v>
      </c>
      <c r="AD184" s="149">
        <f t="shared" ref="AD184:BB184" si="182">SUM(AD182:AD183)</f>
        <v>-513.75</v>
      </c>
      <c r="AE184" s="150">
        <f t="shared" si="182"/>
        <v>-513.75</v>
      </c>
      <c r="AF184" s="150">
        <f t="shared" si="182"/>
        <v>-513.75</v>
      </c>
      <c r="AG184" s="151">
        <f t="shared" si="182"/>
        <v>-513.75</v>
      </c>
      <c r="AH184" s="154">
        <f t="shared" si="182"/>
        <v>-2055</v>
      </c>
      <c r="AI184" s="149">
        <f t="shared" ref="AI184:AN184" si="183">SUM(AI182:AI183)</f>
        <v>-555.57500000000005</v>
      </c>
      <c r="AJ184" s="150">
        <f t="shared" si="183"/>
        <v>-555.57500000000005</v>
      </c>
      <c r="AK184" s="150">
        <f t="shared" si="183"/>
        <v>-555.57500000000005</v>
      </c>
      <c r="AL184" s="151">
        <f t="shared" si="183"/>
        <v>-555.57500000000005</v>
      </c>
      <c r="AM184" s="154">
        <f t="shared" si="183"/>
        <v>-2222.3000000000002</v>
      </c>
      <c r="AN184" s="149">
        <f t="shared" si="183"/>
        <v>-559.25</v>
      </c>
      <c r="AO184" s="150">
        <f t="shared" ref="AO184:AS184" si="184">SUM(AO182:AO183)</f>
        <v>-559.25</v>
      </c>
      <c r="AP184" s="150">
        <f t="shared" si="184"/>
        <v>-559.25</v>
      </c>
      <c r="AQ184" s="151">
        <f t="shared" si="184"/>
        <v>-559.25</v>
      </c>
      <c r="AR184" s="154">
        <f t="shared" si="184"/>
        <v>-2237</v>
      </c>
      <c r="AS184" s="149">
        <f t="shared" si="184"/>
        <v>-585.79999999999995</v>
      </c>
      <c r="AT184" s="150">
        <f t="shared" ref="AT184:AW184" si="185">SUM(AT182:AT183)</f>
        <v>-585.79999999999995</v>
      </c>
      <c r="AU184" s="150">
        <f t="shared" si="185"/>
        <v>-585.79999999999995</v>
      </c>
      <c r="AV184" s="151">
        <f t="shared" si="185"/>
        <v>-585.79999999999995</v>
      </c>
      <c r="AW184" s="154">
        <f t="shared" si="185"/>
        <v>-2343.1999999999998</v>
      </c>
      <c r="AX184" s="149">
        <f t="shared" si="182"/>
        <v>-592</v>
      </c>
      <c r="AY184" s="150">
        <f t="shared" si="182"/>
        <v>-592</v>
      </c>
      <c r="AZ184" s="150">
        <f t="shared" si="182"/>
        <v>-592</v>
      </c>
      <c r="BA184" s="151">
        <f t="shared" si="182"/>
        <v>-592</v>
      </c>
      <c r="BB184" s="154">
        <f t="shared" si="182"/>
        <v>-2368</v>
      </c>
      <c r="BC184" s="149">
        <f t="shared" ref="BC184:BL184" si="186">SUM(BC182:BC183)</f>
        <v>-755.25</v>
      </c>
      <c r="BD184" s="150">
        <f t="shared" si="186"/>
        <v>-755.25</v>
      </c>
      <c r="BE184" s="150">
        <f t="shared" si="186"/>
        <v>-755.25</v>
      </c>
      <c r="BF184" s="151">
        <f t="shared" si="186"/>
        <v>-755.25</v>
      </c>
      <c r="BG184" s="154">
        <f t="shared" si="186"/>
        <v>-3021</v>
      </c>
      <c r="BH184" s="149">
        <f t="shared" si="186"/>
        <v>-668.75</v>
      </c>
      <c r="BI184" s="150">
        <f t="shared" si="186"/>
        <v>-668.75</v>
      </c>
      <c r="BJ184" s="150">
        <f t="shared" si="186"/>
        <v>-668.75</v>
      </c>
      <c r="BK184" s="151">
        <f t="shared" si="186"/>
        <v>-668.75</v>
      </c>
      <c r="BL184" s="154">
        <f t="shared" si="186"/>
        <v>-2675</v>
      </c>
      <c r="BM184" s="149">
        <f>SUM(BM182:BM183)</f>
        <v>-2038.75</v>
      </c>
      <c r="BN184" s="150">
        <f>SUM(BN182:BN183)</f>
        <v>-588.75</v>
      </c>
      <c r="BO184" s="150">
        <f>SUM(BO182:BO183)</f>
        <v>-588.75</v>
      </c>
      <c r="BP184" s="151">
        <f>SUM(BP182:BP183)</f>
        <v>-588.75</v>
      </c>
      <c r="BQ184" s="154">
        <f>SUM(BQ182:BQ183)</f>
        <v>-3805</v>
      </c>
      <c r="BR184" s="242"/>
      <c r="BS184" s="242"/>
      <c r="BT184" s="242"/>
      <c r="BU184" s="242"/>
      <c r="BV184" s="242"/>
      <c r="BW184" s="242"/>
      <c r="BX184" s="242"/>
      <c r="BY184" s="242"/>
      <c r="BZ184" s="242"/>
      <c r="CA184" s="242"/>
      <c r="CB184" s="242"/>
      <c r="CC184" s="242"/>
      <c r="CD184" s="242"/>
      <c r="CE184" s="242"/>
      <c r="CF184" s="242"/>
    </row>
    <row r="185" spans="1:84">
      <c r="A185" s="242"/>
      <c r="B185" s="242"/>
      <c r="C185" s="100"/>
      <c r="D185" s="109"/>
      <c r="E185" s="161"/>
      <c r="F185" s="162"/>
      <c r="G185" s="162"/>
      <c r="H185" s="144"/>
      <c r="I185" s="245"/>
      <c r="J185" s="161"/>
      <c r="K185" s="162"/>
      <c r="L185" s="162"/>
      <c r="M185" s="144"/>
      <c r="N185" s="245"/>
      <c r="O185" s="161"/>
      <c r="P185" s="162"/>
      <c r="Q185" s="162"/>
      <c r="R185" s="144"/>
      <c r="S185" s="245"/>
      <c r="T185" s="161"/>
      <c r="U185" s="162"/>
      <c r="V185" s="162"/>
      <c r="W185" s="144"/>
      <c r="X185" s="245"/>
      <c r="Y185" s="161"/>
      <c r="Z185" s="162"/>
      <c r="AA185" s="162"/>
      <c r="AB185" s="144"/>
      <c r="AC185" s="245"/>
      <c r="AD185" s="161"/>
      <c r="AE185" s="162"/>
      <c r="AF185" s="162"/>
      <c r="AG185" s="144"/>
      <c r="AH185" s="245"/>
      <c r="AI185" s="161"/>
      <c r="AJ185" s="162"/>
      <c r="AK185" s="162"/>
      <c r="AL185" s="144"/>
      <c r="AM185" s="245"/>
      <c r="AN185" s="161"/>
      <c r="AO185" s="162"/>
      <c r="AP185" s="162"/>
      <c r="AQ185" s="144"/>
      <c r="AR185" s="245"/>
      <c r="AS185" s="161"/>
      <c r="AT185" s="162"/>
      <c r="AU185" s="162"/>
      <c r="AV185" s="144"/>
      <c r="AW185" s="245"/>
      <c r="AX185" s="161"/>
      <c r="AY185" s="162"/>
      <c r="AZ185" s="162"/>
      <c r="BA185" s="144"/>
      <c r="BB185" s="245"/>
      <c r="BC185" s="161"/>
      <c r="BD185" s="162"/>
      <c r="BE185" s="162"/>
      <c r="BF185" s="144"/>
      <c r="BG185" s="245"/>
      <c r="BH185" s="161"/>
      <c r="BI185" s="162"/>
      <c r="BJ185" s="162"/>
      <c r="BK185" s="144"/>
      <c r="BL185" s="245"/>
      <c r="BM185" s="161"/>
      <c r="BN185" s="162"/>
      <c r="BO185" s="162"/>
      <c r="BP185" s="144"/>
      <c r="BQ185" s="245"/>
      <c r="BR185" s="242"/>
      <c r="BS185" s="242"/>
      <c r="BT185" s="242"/>
      <c r="BU185" s="242"/>
      <c r="BV185" s="242"/>
      <c r="BW185" s="242"/>
      <c r="BX185" s="242"/>
      <c r="BY185" s="242"/>
      <c r="BZ185" s="242"/>
      <c r="CA185" s="242"/>
      <c r="CB185" s="242"/>
      <c r="CC185" s="242"/>
      <c r="CD185" s="242"/>
      <c r="CE185" s="242"/>
      <c r="CF185" s="242"/>
    </row>
    <row r="186" spans="1:84">
      <c r="A186" s="242"/>
      <c r="B186" s="242"/>
      <c r="C186" s="100" t="s">
        <v>87</v>
      </c>
      <c r="D186" s="109"/>
      <c r="E186" s="161"/>
      <c r="F186" s="160"/>
      <c r="G186" s="160"/>
      <c r="H186" s="144"/>
      <c r="I186" s="245"/>
      <c r="J186" s="161"/>
      <c r="K186" s="160"/>
      <c r="L186" s="160"/>
      <c r="M186" s="144"/>
      <c r="N186" s="245"/>
      <c r="O186" s="161"/>
      <c r="P186" s="160"/>
      <c r="Q186" s="160"/>
      <c r="R186" s="144"/>
      <c r="S186" s="245"/>
      <c r="T186" s="161"/>
      <c r="U186" s="160"/>
      <c r="V186" s="160"/>
      <c r="W186" s="144"/>
      <c r="X186" s="245">
        <f>X161</f>
        <v>0</v>
      </c>
      <c r="Y186" s="161">
        <f t="shared" ref="Y186:AC187" si="187">Y161</f>
        <v>0</v>
      </c>
      <c r="Z186" s="160">
        <f t="shared" si="187"/>
        <v>0</v>
      </c>
      <c r="AA186" s="160">
        <f t="shared" si="187"/>
        <v>0</v>
      </c>
      <c r="AB186" s="144">
        <f t="shared" si="187"/>
        <v>0</v>
      </c>
      <c r="AC186" s="245">
        <f t="shared" si="187"/>
        <v>0</v>
      </c>
      <c r="AD186" s="161">
        <f t="shared" ref="AD186:BB186" si="188">AD161</f>
        <v>0</v>
      </c>
      <c r="AE186" s="160">
        <f t="shared" si="188"/>
        <v>0</v>
      </c>
      <c r="AF186" s="160">
        <f t="shared" si="188"/>
        <v>0</v>
      </c>
      <c r="AG186" s="144">
        <f t="shared" si="188"/>
        <v>0</v>
      </c>
      <c r="AH186" s="245">
        <f t="shared" si="188"/>
        <v>0</v>
      </c>
      <c r="AI186" s="161">
        <f t="shared" ref="AI186:AM187" si="189">AI161</f>
        <v>0</v>
      </c>
      <c r="AJ186" s="160">
        <f t="shared" si="189"/>
        <v>0</v>
      </c>
      <c r="AK186" s="160">
        <f t="shared" si="189"/>
        <v>0</v>
      </c>
      <c r="AL186" s="144">
        <f t="shared" si="189"/>
        <v>0</v>
      </c>
      <c r="AM186" s="245">
        <f t="shared" si="189"/>
        <v>0</v>
      </c>
      <c r="AN186" s="161">
        <f t="shared" ref="AN186:AR187" si="190">AN161</f>
        <v>0</v>
      </c>
      <c r="AO186" s="160">
        <f t="shared" si="190"/>
        <v>0</v>
      </c>
      <c r="AP186" s="160">
        <f t="shared" si="190"/>
        <v>0</v>
      </c>
      <c r="AQ186" s="144">
        <f t="shared" si="190"/>
        <v>0</v>
      </c>
      <c r="AR186" s="245">
        <f t="shared" si="190"/>
        <v>0</v>
      </c>
      <c r="AS186" s="161">
        <f t="shared" ref="AS186:AW186" si="191">AS161</f>
        <v>77</v>
      </c>
      <c r="AT186" s="160">
        <f t="shared" si="191"/>
        <v>845</v>
      </c>
      <c r="AU186" s="160">
        <f t="shared" si="191"/>
        <v>325</v>
      </c>
      <c r="AV186" s="144">
        <f t="shared" si="191"/>
        <v>0</v>
      </c>
      <c r="AW186" s="245">
        <f t="shared" si="191"/>
        <v>1247</v>
      </c>
      <c r="AX186" s="161">
        <f t="shared" si="188"/>
        <v>0</v>
      </c>
      <c r="AY186" s="160">
        <f t="shared" si="188"/>
        <v>0</v>
      </c>
      <c r="AZ186" s="160">
        <f t="shared" si="188"/>
        <v>1660</v>
      </c>
      <c r="BA186" s="144">
        <f t="shared" si="188"/>
        <v>0</v>
      </c>
      <c r="BB186" s="245">
        <f t="shared" si="188"/>
        <v>1660</v>
      </c>
      <c r="BC186" s="161">
        <f t="shared" ref="BC186:BL186" si="192">BC161</f>
        <v>0</v>
      </c>
      <c r="BD186" s="160">
        <f t="shared" si="192"/>
        <v>0</v>
      </c>
      <c r="BE186" s="160">
        <f t="shared" si="192"/>
        <v>2420</v>
      </c>
      <c r="BF186" s="144">
        <f t="shared" si="192"/>
        <v>0</v>
      </c>
      <c r="BG186" s="245">
        <f t="shared" si="192"/>
        <v>2420</v>
      </c>
      <c r="BH186" s="161">
        <f t="shared" si="192"/>
        <v>1020</v>
      </c>
      <c r="BI186" s="160">
        <f t="shared" si="192"/>
        <v>0</v>
      </c>
      <c r="BJ186" s="160">
        <f t="shared" si="192"/>
        <v>0</v>
      </c>
      <c r="BK186" s="144">
        <f t="shared" si="192"/>
        <v>0</v>
      </c>
      <c r="BL186" s="245">
        <f t="shared" si="192"/>
        <v>1020</v>
      </c>
      <c r="BM186" s="161">
        <f t="shared" ref="BM186:BQ187" si="193">BM161</f>
        <v>0</v>
      </c>
      <c r="BN186" s="160">
        <f t="shared" si="193"/>
        <v>0</v>
      </c>
      <c r="BO186" s="160">
        <f t="shared" si="193"/>
        <v>2325</v>
      </c>
      <c r="BP186" s="144">
        <f t="shared" si="193"/>
        <v>0</v>
      </c>
      <c r="BQ186" s="245">
        <f t="shared" si="193"/>
        <v>2325</v>
      </c>
      <c r="BR186" s="242"/>
      <c r="BS186" s="242"/>
      <c r="BT186" s="242"/>
      <c r="BU186" s="242"/>
      <c r="BV186" s="242"/>
      <c r="BW186" s="242"/>
      <c r="BX186" s="242"/>
      <c r="BY186" s="242"/>
      <c r="BZ186" s="242"/>
      <c r="CA186" s="242"/>
      <c r="CB186" s="242"/>
      <c r="CC186" s="242"/>
      <c r="CD186" s="242"/>
      <c r="CE186" s="242"/>
      <c r="CF186" s="242"/>
    </row>
    <row r="187" spans="1:84">
      <c r="A187" s="242"/>
      <c r="B187" s="242"/>
      <c r="C187" s="100" t="s">
        <v>88</v>
      </c>
      <c r="D187" s="109"/>
      <c r="E187" s="161"/>
      <c r="F187" s="160"/>
      <c r="G187" s="160"/>
      <c r="H187" s="144"/>
      <c r="I187" s="245"/>
      <c r="J187" s="161"/>
      <c r="K187" s="160"/>
      <c r="L187" s="160"/>
      <c r="M187" s="144"/>
      <c r="N187" s="245"/>
      <c r="O187" s="161"/>
      <c r="P187" s="160"/>
      <c r="Q187" s="160"/>
      <c r="R187" s="144"/>
      <c r="S187" s="245"/>
      <c r="T187" s="161"/>
      <c r="U187" s="160"/>
      <c r="V187" s="160"/>
      <c r="W187" s="144"/>
      <c r="X187" s="245">
        <f>X162</f>
        <v>0</v>
      </c>
      <c r="Y187" s="161">
        <f t="shared" si="187"/>
        <v>0</v>
      </c>
      <c r="Z187" s="160">
        <f t="shared" si="187"/>
        <v>0</v>
      </c>
      <c r="AA187" s="160">
        <f t="shared" si="187"/>
        <v>0</v>
      </c>
      <c r="AB187" s="144">
        <f t="shared" si="187"/>
        <v>0</v>
      </c>
      <c r="AC187" s="245">
        <f t="shared" si="187"/>
        <v>0</v>
      </c>
      <c r="AD187" s="161">
        <f t="shared" ref="AD187:BB187" si="194">AD162</f>
        <v>0</v>
      </c>
      <c r="AE187" s="160">
        <f t="shared" si="194"/>
        <v>0</v>
      </c>
      <c r="AF187" s="160">
        <f t="shared" si="194"/>
        <v>0</v>
      </c>
      <c r="AG187" s="144">
        <f t="shared" si="194"/>
        <v>0</v>
      </c>
      <c r="AH187" s="245">
        <f t="shared" si="194"/>
        <v>0</v>
      </c>
      <c r="AI187" s="161">
        <f t="shared" si="189"/>
        <v>0</v>
      </c>
      <c r="AJ187" s="160">
        <f t="shared" si="189"/>
        <v>0</v>
      </c>
      <c r="AK187" s="160">
        <f t="shared" si="189"/>
        <v>0</v>
      </c>
      <c r="AL187" s="144">
        <f t="shared" si="189"/>
        <v>0</v>
      </c>
      <c r="AM187" s="245">
        <f t="shared" si="189"/>
        <v>0</v>
      </c>
      <c r="AN187" s="161">
        <f t="shared" si="190"/>
        <v>0</v>
      </c>
      <c r="AO187" s="160">
        <f t="shared" si="190"/>
        <v>0</v>
      </c>
      <c r="AP187" s="160">
        <f t="shared" si="190"/>
        <v>0</v>
      </c>
      <c r="AQ187" s="144">
        <f t="shared" si="190"/>
        <v>0</v>
      </c>
      <c r="AR187" s="245">
        <f t="shared" si="190"/>
        <v>0</v>
      </c>
      <c r="AS187" s="161">
        <f t="shared" ref="AS187:AW187" si="195">AS162</f>
        <v>-444.57499999999999</v>
      </c>
      <c r="AT187" s="160">
        <f t="shared" si="195"/>
        <v>-540</v>
      </c>
      <c r="AU187" s="160">
        <f t="shared" si="195"/>
        <v>-325</v>
      </c>
      <c r="AV187" s="144">
        <f t="shared" si="195"/>
        <v>-4.1312249999999997</v>
      </c>
      <c r="AW187" s="245">
        <f t="shared" si="195"/>
        <v>-1313.7062250000001</v>
      </c>
      <c r="AX187" s="161">
        <f t="shared" si="194"/>
        <v>-381.7</v>
      </c>
      <c r="AY187" s="160">
        <f t="shared" si="194"/>
        <v>-200</v>
      </c>
      <c r="AZ187" s="160">
        <f t="shared" si="194"/>
        <v>0</v>
      </c>
      <c r="BA187" s="144">
        <f t="shared" si="194"/>
        <v>-75</v>
      </c>
      <c r="BB187" s="245">
        <f t="shared" si="194"/>
        <v>-656.7</v>
      </c>
      <c r="BC187" s="161">
        <f t="shared" ref="BC187:BL187" si="196">BC162</f>
        <v>-928.5</v>
      </c>
      <c r="BD187" s="160">
        <f t="shared" si="196"/>
        <v>-102.55974000000001</v>
      </c>
      <c r="BE187" s="160">
        <f t="shared" si="196"/>
        <v>0</v>
      </c>
      <c r="BF187" s="144">
        <f t="shared" si="196"/>
        <v>-391.29063500000001</v>
      </c>
      <c r="BG187" s="245">
        <f t="shared" si="196"/>
        <v>-1422.350375</v>
      </c>
      <c r="BH187" s="161">
        <f t="shared" si="196"/>
        <v>0</v>
      </c>
      <c r="BI187" s="160">
        <f t="shared" si="196"/>
        <v>-127.66</v>
      </c>
      <c r="BJ187" s="160">
        <f t="shared" si="196"/>
        <v>0</v>
      </c>
      <c r="BK187" s="144">
        <f t="shared" si="196"/>
        <v>-42.767795999999997</v>
      </c>
      <c r="BL187" s="245">
        <f t="shared" si="196"/>
        <v>-170.427796</v>
      </c>
      <c r="BM187" s="161">
        <f t="shared" si="193"/>
        <v>-652</v>
      </c>
      <c r="BN187" s="160">
        <f t="shared" si="193"/>
        <v>-133.81298200000001</v>
      </c>
      <c r="BO187" s="160">
        <f t="shared" si="193"/>
        <v>0</v>
      </c>
      <c r="BP187" s="144">
        <f t="shared" si="193"/>
        <v>-17.5</v>
      </c>
      <c r="BQ187" s="245">
        <f t="shared" si="193"/>
        <v>-803.31298200000003</v>
      </c>
      <c r="BR187" s="242"/>
      <c r="BS187" s="242"/>
      <c r="BT187" s="242"/>
      <c r="BU187" s="242"/>
      <c r="BV187" s="242"/>
      <c r="BW187" s="242"/>
      <c r="BX187" s="242"/>
      <c r="BY187" s="242"/>
      <c r="BZ187" s="242"/>
      <c r="CA187" s="242"/>
      <c r="CB187" s="242"/>
      <c r="CC187" s="242"/>
      <c r="CD187" s="242"/>
      <c r="CE187" s="242"/>
      <c r="CF187" s="242"/>
    </row>
    <row r="188" spans="1:84">
      <c r="A188" s="242"/>
      <c r="B188" s="242"/>
      <c r="C188" s="100" t="s">
        <v>89</v>
      </c>
      <c r="D188" s="109"/>
      <c r="E188" s="161"/>
      <c r="F188" s="160"/>
      <c r="G188" s="160"/>
      <c r="H188" s="144"/>
      <c r="I188" s="245"/>
      <c r="J188" s="161"/>
      <c r="K188" s="160"/>
      <c r="L188" s="160"/>
      <c r="M188" s="144"/>
      <c r="N188" s="245"/>
      <c r="O188" s="161"/>
      <c r="P188" s="160"/>
      <c r="Q188" s="160"/>
      <c r="R188" s="144"/>
      <c r="S188" s="245"/>
      <c r="T188" s="161"/>
      <c r="U188" s="160"/>
      <c r="V188" s="160"/>
      <c r="W188" s="144"/>
      <c r="X188" s="64">
        <v>0</v>
      </c>
      <c r="Y188" s="1202">
        <f>AC188/4</f>
        <v>0</v>
      </c>
      <c r="Z188" s="1204">
        <f>AC188/4</f>
        <v>0</v>
      </c>
      <c r="AA188" s="1204">
        <f>AC188/4</f>
        <v>0</v>
      </c>
      <c r="AB188" s="1205">
        <f>AC188/4</f>
        <v>0</v>
      </c>
      <c r="AC188" s="64">
        <v>0</v>
      </c>
      <c r="AD188" s="1202">
        <f>AH188/4</f>
        <v>0</v>
      </c>
      <c r="AE188" s="1204">
        <f>AH188/4</f>
        <v>0</v>
      </c>
      <c r="AF188" s="1204">
        <f>AH188/4</f>
        <v>0</v>
      </c>
      <c r="AG188" s="1205">
        <f>AH188/4</f>
        <v>0</v>
      </c>
      <c r="AH188" s="64">
        <v>0</v>
      </c>
      <c r="AI188" s="1202">
        <f>AM188/4</f>
        <v>0</v>
      </c>
      <c r="AJ188" s="1204">
        <f>AM188/4</f>
        <v>0</v>
      </c>
      <c r="AK188" s="1204">
        <f>AM188/4</f>
        <v>0</v>
      </c>
      <c r="AL188" s="1205">
        <f>AM188/4</f>
        <v>0</v>
      </c>
      <c r="AM188" s="64">
        <v>0</v>
      </c>
      <c r="AN188" s="1202">
        <f>AR188/4</f>
        <v>0</v>
      </c>
      <c r="AO188" s="1204">
        <f>AR188/4</f>
        <v>0</v>
      </c>
      <c r="AP188" s="1204">
        <f>AR188/4</f>
        <v>0</v>
      </c>
      <c r="AQ188" s="1205">
        <f>AR188/4</f>
        <v>0</v>
      </c>
      <c r="AR188" s="64">
        <v>0</v>
      </c>
      <c r="AS188" s="1202">
        <f>AW188/4</f>
        <v>0</v>
      </c>
      <c r="AT188" s="1204">
        <f>AW188/4</f>
        <v>0</v>
      </c>
      <c r="AU188" s="1204">
        <f>AW188/4</f>
        <v>0</v>
      </c>
      <c r="AV188" s="1205">
        <f>AW188/4</f>
        <v>0</v>
      </c>
      <c r="AW188" s="64">
        <v>0</v>
      </c>
      <c r="AX188" s="1202">
        <f>BB188/4</f>
        <v>0</v>
      </c>
      <c r="AY188" s="1204">
        <f>BB188/4</f>
        <v>0</v>
      </c>
      <c r="AZ188" s="1204">
        <f>BB188/4</f>
        <v>0</v>
      </c>
      <c r="BA188" s="1205">
        <f>BB188/4</f>
        <v>0</v>
      </c>
      <c r="BB188" s="64">
        <v>0</v>
      </c>
      <c r="BC188" s="1202">
        <f>BG188/4</f>
        <v>0</v>
      </c>
      <c r="BD188" s="1204">
        <f>BG188/4</f>
        <v>0</v>
      </c>
      <c r="BE188" s="1204">
        <f>BG188/4</f>
        <v>0</v>
      </c>
      <c r="BF188" s="1205">
        <f>BG188/4</f>
        <v>0</v>
      </c>
      <c r="BG188" s="64">
        <v>0</v>
      </c>
      <c r="BH188" s="1202">
        <f>BL188/4</f>
        <v>0</v>
      </c>
      <c r="BI188" s="1204">
        <f>BL188/4</f>
        <v>0</v>
      </c>
      <c r="BJ188" s="1204">
        <f>BL188/4</f>
        <v>0</v>
      </c>
      <c r="BK188" s="1205">
        <f>BL188/4</f>
        <v>0</v>
      </c>
      <c r="BL188" s="64">
        <v>0</v>
      </c>
      <c r="BM188" s="1202">
        <f>BQ188/4</f>
        <v>0</v>
      </c>
      <c r="BN188" s="1204">
        <f>BQ188/4</f>
        <v>0</v>
      </c>
      <c r="BO188" s="1204">
        <f>BQ188/4</f>
        <v>0</v>
      </c>
      <c r="BP188" s="1205">
        <f>BQ188/4</f>
        <v>0</v>
      </c>
      <c r="BQ188" s="64">
        <v>0</v>
      </c>
      <c r="BR188" s="242"/>
      <c r="BS188" s="242"/>
      <c r="BT188" s="242"/>
      <c r="BU188" s="242"/>
      <c r="BV188" s="242"/>
      <c r="BW188" s="242"/>
      <c r="BX188" s="242"/>
      <c r="BY188" s="242"/>
      <c r="BZ188" s="242"/>
      <c r="CA188" s="242"/>
      <c r="CB188" s="242"/>
      <c r="CC188" s="242"/>
      <c r="CD188" s="242"/>
      <c r="CE188" s="242"/>
      <c r="CF188" s="242"/>
    </row>
    <row r="189" spans="1:84">
      <c r="A189" s="242"/>
      <c r="B189" s="242"/>
      <c r="C189" s="100" t="s">
        <v>343</v>
      </c>
      <c r="D189" s="109"/>
      <c r="E189" s="161"/>
      <c r="F189" s="160"/>
      <c r="G189" s="160"/>
      <c r="H189" s="144"/>
      <c r="I189" s="245"/>
      <c r="J189" s="161"/>
      <c r="K189" s="160"/>
      <c r="L189" s="160"/>
      <c r="M189" s="144"/>
      <c r="N189" s="245"/>
      <c r="O189" s="161"/>
      <c r="P189" s="160"/>
      <c r="Q189" s="160"/>
      <c r="R189" s="144"/>
      <c r="S189" s="245"/>
      <c r="T189" s="161"/>
      <c r="U189" s="160"/>
      <c r="V189" s="160"/>
      <c r="W189" s="144"/>
      <c r="X189" s="64">
        <v>0</v>
      </c>
      <c r="Y189" s="1202">
        <f>AC189/4</f>
        <v>0</v>
      </c>
      <c r="Z189" s="1204">
        <f>AC189/4</f>
        <v>0</v>
      </c>
      <c r="AA189" s="1204">
        <f>AC189/4</f>
        <v>0</v>
      </c>
      <c r="AB189" s="1205">
        <f>AC189/4</f>
        <v>0</v>
      </c>
      <c r="AC189" s="64">
        <v>0</v>
      </c>
      <c r="AD189" s="1202">
        <f>AH189/4</f>
        <v>0</v>
      </c>
      <c r="AE189" s="1204">
        <f>AH189/4</f>
        <v>0</v>
      </c>
      <c r="AF189" s="1204">
        <f>AH189/4</f>
        <v>0</v>
      </c>
      <c r="AG189" s="1205">
        <f>AH189/4</f>
        <v>0</v>
      </c>
      <c r="AH189" s="64">
        <v>0</v>
      </c>
      <c r="AI189" s="1202">
        <f>AM189/4</f>
        <v>0</v>
      </c>
      <c r="AJ189" s="1204">
        <f>AM189/4</f>
        <v>0</v>
      </c>
      <c r="AK189" s="1204">
        <f>AM189/4</f>
        <v>0</v>
      </c>
      <c r="AL189" s="1205">
        <f>AM189/4</f>
        <v>0</v>
      </c>
      <c r="AM189" s="64">
        <v>0</v>
      </c>
      <c r="AN189" s="1202">
        <f>AR189/4</f>
        <v>0</v>
      </c>
      <c r="AO189" s="1204">
        <f>AR189/4</f>
        <v>0</v>
      </c>
      <c r="AP189" s="1204">
        <f>AR189/4</f>
        <v>0</v>
      </c>
      <c r="AQ189" s="1205">
        <f>AR189/4</f>
        <v>0</v>
      </c>
      <c r="AR189" s="64">
        <v>0</v>
      </c>
      <c r="AS189" s="1202">
        <f>AW189/4</f>
        <v>0</v>
      </c>
      <c r="AT189" s="1204">
        <f>AW189/4</f>
        <v>0</v>
      </c>
      <c r="AU189" s="1204">
        <f>AW189/4</f>
        <v>0</v>
      </c>
      <c r="AV189" s="1205">
        <f>AW189/4</f>
        <v>0</v>
      </c>
      <c r="AW189" s="64">
        <v>0</v>
      </c>
      <c r="AX189" s="1202">
        <f>BB189/4</f>
        <v>0</v>
      </c>
      <c r="AY189" s="1204">
        <f>BB189/4</f>
        <v>0</v>
      </c>
      <c r="AZ189" s="1204">
        <f>BB189/4</f>
        <v>0</v>
      </c>
      <c r="BA189" s="1205">
        <f>BB189/4</f>
        <v>0</v>
      </c>
      <c r="BB189" s="64">
        <v>0</v>
      </c>
      <c r="BC189" s="1202">
        <f>BG189/4</f>
        <v>0</v>
      </c>
      <c r="BD189" s="1204">
        <f>BG189/4</f>
        <v>0</v>
      </c>
      <c r="BE189" s="1204">
        <f>BG189/4</f>
        <v>0</v>
      </c>
      <c r="BF189" s="1205">
        <f>BG189/4</f>
        <v>0</v>
      </c>
      <c r="BG189" s="64">
        <v>0</v>
      </c>
      <c r="BH189" s="1202">
        <f>BL189/4</f>
        <v>0</v>
      </c>
      <c r="BI189" s="1204">
        <f>BL189/4</f>
        <v>0</v>
      </c>
      <c r="BJ189" s="1204">
        <f>BL189/4</f>
        <v>0</v>
      </c>
      <c r="BK189" s="1205">
        <f>BL189/4</f>
        <v>0</v>
      </c>
      <c r="BL189" s="64">
        <v>0</v>
      </c>
      <c r="BM189" s="1202">
        <f>BQ189/4</f>
        <v>0</v>
      </c>
      <c r="BN189" s="1204">
        <f>BQ189/4</f>
        <v>0</v>
      </c>
      <c r="BO189" s="1204">
        <f>BQ189/4</f>
        <v>0</v>
      </c>
      <c r="BP189" s="1205">
        <f>BQ189/4</f>
        <v>0</v>
      </c>
      <c r="BQ189" s="64">
        <v>0</v>
      </c>
      <c r="BR189" s="242"/>
      <c r="BS189" s="242"/>
      <c r="BT189" s="242"/>
      <c r="BU189" s="242"/>
      <c r="BV189" s="242"/>
      <c r="BW189" s="242"/>
      <c r="BX189" s="242"/>
      <c r="BY189" s="242"/>
      <c r="BZ189" s="242"/>
      <c r="CA189" s="242"/>
      <c r="CB189" s="242"/>
      <c r="CC189" s="242"/>
      <c r="CD189" s="242"/>
      <c r="CE189" s="242"/>
      <c r="CF189" s="242"/>
    </row>
    <row r="190" spans="1:84">
      <c r="A190" s="242"/>
      <c r="B190" s="242"/>
      <c r="C190" s="100" t="s">
        <v>344</v>
      </c>
      <c r="D190" s="109"/>
      <c r="E190" s="161"/>
      <c r="F190" s="160"/>
      <c r="G190" s="160"/>
      <c r="H190" s="144"/>
      <c r="I190" s="245"/>
      <c r="J190" s="161"/>
      <c r="K190" s="160"/>
      <c r="L190" s="160"/>
      <c r="M190" s="144"/>
      <c r="N190" s="245"/>
      <c r="O190" s="161"/>
      <c r="P190" s="160"/>
      <c r="Q190" s="160"/>
      <c r="R190" s="144"/>
      <c r="S190" s="245"/>
      <c r="T190" s="161"/>
      <c r="U190" s="160"/>
      <c r="V190" s="160"/>
      <c r="W190" s="144"/>
      <c r="X190" s="64">
        <v>0</v>
      </c>
      <c r="Y190" s="1202">
        <f>AC190/4</f>
        <v>0</v>
      </c>
      <c r="Z190" s="1204">
        <f>AC190/4</f>
        <v>0</v>
      </c>
      <c r="AA190" s="1204">
        <f>AC190/4</f>
        <v>0</v>
      </c>
      <c r="AB190" s="1205">
        <f>AC190/4</f>
        <v>0</v>
      </c>
      <c r="AC190" s="64">
        <v>0</v>
      </c>
      <c r="AD190" s="1202">
        <f>AH190/4</f>
        <v>0</v>
      </c>
      <c r="AE190" s="1204">
        <f>AH190/4</f>
        <v>0</v>
      </c>
      <c r="AF190" s="1204">
        <f>AH190/4</f>
        <v>0</v>
      </c>
      <c r="AG190" s="1205">
        <f>AH190/4</f>
        <v>0</v>
      </c>
      <c r="AH190" s="64">
        <v>0</v>
      </c>
      <c r="AI190" s="1202">
        <f>AM190/4</f>
        <v>0</v>
      </c>
      <c r="AJ190" s="1204">
        <f>AM190/4</f>
        <v>0</v>
      </c>
      <c r="AK190" s="1204">
        <f>AM190/4</f>
        <v>0</v>
      </c>
      <c r="AL190" s="1205">
        <f>AM190/4</f>
        <v>0</v>
      </c>
      <c r="AM190" s="64">
        <v>0</v>
      </c>
      <c r="AN190" s="1202">
        <f>AR190/4</f>
        <v>0</v>
      </c>
      <c r="AO190" s="1204">
        <f>AR190/4</f>
        <v>0</v>
      </c>
      <c r="AP190" s="1204">
        <f>AR190/4</f>
        <v>0</v>
      </c>
      <c r="AQ190" s="1205">
        <f>AR190/4</f>
        <v>0</v>
      </c>
      <c r="AR190" s="64">
        <v>0</v>
      </c>
      <c r="AS190" s="1202">
        <f>AW190/4</f>
        <v>0</v>
      </c>
      <c r="AT190" s="1204">
        <f>AW190/4</f>
        <v>0</v>
      </c>
      <c r="AU190" s="1204">
        <f>AW190/4</f>
        <v>0</v>
      </c>
      <c r="AV190" s="1205">
        <f>AW190/4</f>
        <v>0</v>
      </c>
      <c r="AW190" s="64">
        <v>0</v>
      </c>
      <c r="AX190" s="1202">
        <f>BB190/4</f>
        <v>-25</v>
      </c>
      <c r="AY190" s="1204">
        <f>BB190/4</f>
        <v>-25</v>
      </c>
      <c r="AZ190" s="1204">
        <f>BB190/4</f>
        <v>-25</v>
      </c>
      <c r="BA190" s="1205">
        <f>BB190/4</f>
        <v>-25</v>
      </c>
      <c r="BB190" s="64">
        <v>-100</v>
      </c>
      <c r="BC190" s="1202">
        <f>BG190/4</f>
        <v>-25</v>
      </c>
      <c r="BD190" s="1204">
        <f>BG190/4</f>
        <v>-25</v>
      </c>
      <c r="BE190" s="1204">
        <f>BG190/4</f>
        <v>-25</v>
      </c>
      <c r="BF190" s="1205">
        <f>BG190/4</f>
        <v>-25</v>
      </c>
      <c r="BG190" s="64">
        <v>-100</v>
      </c>
      <c r="BH190" s="1202">
        <f>BL190/4</f>
        <v>-75</v>
      </c>
      <c r="BI190" s="1204">
        <f>BL190/4</f>
        <v>-75</v>
      </c>
      <c r="BJ190" s="1204">
        <f>BL190/4</f>
        <v>-75</v>
      </c>
      <c r="BK190" s="1205">
        <f>BL190/4</f>
        <v>-75</v>
      </c>
      <c r="BL190" s="64">
        <v>-300</v>
      </c>
      <c r="BM190" s="1202">
        <f>BQ190/4</f>
        <v>56.25</v>
      </c>
      <c r="BN190" s="1204">
        <f>BQ190/4</f>
        <v>56.25</v>
      </c>
      <c r="BO190" s="1204">
        <f>BQ190/4</f>
        <v>56.25</v>
      </c>
      <c r="BP190" s="1205">
        <f>BQ190/4</f>
        <v>56.25</v>
      </c>
      <c r="BQ190" s="64">
        <f>-500+(AEP!BQ73)</f>
        <v>225</v>
      </c>
      <c r="BR190" s="242"/>
      <c r="BS190" s="242"/>
      <c r="BT190" s="242"/>
      <c r="BU190" s="242"/>
      <c r="BV190" s="242"/>
      <c r="BW190" s="242"/>
      <c r="BX190" s="242"/>
      <c r="BY190" s="242"/>
      <c r="BZ190" s="242"/>
      <c r="CA190" s="242"/>
      <c r="CB190" s="242"/>
      <c r="CC190" s="242"/>
      <c r="CD190" s="242"/>
      <c r="CE190" s="242"/>
      <c r="CF190" s="242"/>
    </row>
    <row r="191" spans="1:84">
      <c r="A191" s="242"/>
      <c r="B191" s="242"/>
      <c r="C191" s="100" t="s">
        <v>345</v>
      </c>
      <c r="D191" s="109"/>
      <c r="E191" s="161"/>
      <c r="F191" s="160"/>
      <c r="G191" s="160"/>
      <c r="H191" s="144"/>
      <c r="I191" s="245"/>
      <c r="J191" s="161"/>
      <c r="K191" s="160"/>
      <c r="L191" s="160"/>
      <c r="M191" s="144"/>
      <c r="N191" s="245"/>
      <c r="O191" s="161"/>
      <c r="P191" s="160"/>
      <c r="Q191" s="160"/>
      <c r="R191" s="144"/>
      <c r="S191" s="245"/>
      <c r="T191" s="161"/>
      <c r="U191" s="160"/>
      <c r="V191" s="160"/>
      <c r="W191" s="144"/>
      <c r="X191" s="64">
        <v>0</v>
      </c>
      <c r="Y191" s="1202">
        <f>AC191/4</f>
        <v>0</v>
      </c>
      <c r="Z191" s="1204">
        <f>AC191/4</f>
        <v>0</v>
      </c>
      <c r="AA191" s="1204">
        <f>AC191/4</f>
        <v>0</v>
      </c>
      <c r="AB191" s="1205">
        <f>AC191/4</f>
        <v>0</v>
      </c>
      <c r="AC191" s="64">
        <v>0</v>
      </c>
      <c r="AD191" s="1202">
        <f>AH191/4</f>
        <v>0</v>
      </c>
      <c r="AE191" s="1204">
        <f>AH191/4</f>
        <v>0</v>
      </c>
      <c r="AF191" s="1204">
        <f>AH191/4</f>
        <v>0</v>
      </c>
      <c r="AG191" s="1205">
        <f>AH191/4</f>
        <v>0</v>
      </c>
      <c r="AH191" s="64">
        <v>0</v>
      </c>
      <c r="AI191" s="1202">
        <f>AM191/4</f>
        <v>0</v>
      </c>
      <c r="AJ191" s="1204">
        <f>AM191/4</f>
        <v>0</v>
      </c>
      <c r="AK191" s="1204">
        <f>AM191/4</f>
        <v>0</v>
      </c>
      <c r="AL191" s="1205">
        <f>AM191/4</f>
        <v>0</v>
      </c>
      <c r="AM191" s="64">
        <v>0</v>
      </c>
      <c r="AN191" s="1202">
        <f>AR191/4</f>
        <v>0</v>
      </c>
      <c r="AO191" s="1204">
        <f>AR191/4</f>
        <v>0</v>
      </c>
      <c r="AP191" s="1204">
        <f>AR191/4</f>
        <v>0</v>
      </c>
      <c r="AQ191" s="1205">
        <f>AR191/4</f>
        <v>0</v>
      </c>
      <c r="AR191" s="64">
        <v>0</v>
      </c>
      <c r="AS191" s="1202">
        <f>AW191/4</f>
        <v>0</v>
      </c>
      <c r="AT191" s="1204">
        <f>AW191/4</f>
        <v>0</v>
      </c>
      <c r="AU191" s="1204">
        <f>AW191/4</f>
        <v>0</v>
      </c>
      <c r="AV191" s="1205">
        <f>AW191/4</f>
        <v>0</v>
      </c>
      <c r="AW191" s="64">
        <v>0</v>
      </c>
      <c r="AX191" s="1202">
        <f>BB191/4</f>
        <v>0</v>
      </c>
      <c r="AY191" s="1204">
        <f>BB191/4</f>
        <v>0</v>
      </c>
      <c r="AZ191" s="1204">
        <f>BB191/4</f>
        <v>0</v>
      </c>
      <c r="BA191" s="1205">
        <f>BB191/4</f>
        <v>0</v>
      </c>
      <c r="BB191" s="64">
        <v>0</v>
      </c>
      <c r="BC191" s="1202">
        <f>BG191/4</f>
        <v>0</v>
      </c>
      <c r="BD191" s="1204">
        <f>BG191/4</f>
        <v>0</v>
      </c>
      <c r="BE191" s="1204">
        <f>BG191/4</f>
        <v>0</v>
      </c>
      <c r="BF191" s="1205">
        <f>BG191/4</f>
        <v>0</v>
      </c>
      <c r="BG191" s="64">
        <v>0</v>
      </c>
      <c r="BH191" s="1202">
        <f>BL191/4</f>
        <v>0</v>
      </c>
      <c r="BI191" s="1204">
        <f>BL191/4</f>
        <v>0</v>
      </c>
      <c r="BJ191" s="1204">
        <f>BL191/4</f>
        <v>0</v>
      </c>
      <c r="BK191" s="1205">
        <f>BL191/4</f>
        <v>0</v>
      </c>
      <c r="BL191" s="64">
        <v>0</v>
      </c>
      <c r="BM191" s="1202">
        <f>BQ191/4</f>
        <v>0</v>
      </c>
      <c r="BN191" s="1204">
        <f>BQ191/4</f>
        <v>0</v>
      </c>
      <c r="BO191" s="1204">
        <f>BQ191/4</f>
        <v>0</v>
      </c>
      <c r="BP191" s="1205">
        <f>BQ191/4</f>
        <v>0</v>
      </c>
      <c r="BQ191" s="64">
        <v>0</v>
      </c>
      <c r="BR191" s="242"/>
      <c r="BS191" s="242"/>
      <c r="BT191" s="242"/>
      <c r="BU191" s="242"/>
      <c r="BV191" s="242"/>
      <c r="BW191" s="242"/>
      <c r="BX191" s="242"/>
      <c r="BY191" s="242"/>
      <c r="BZ191" s="242"/>
      <c r="CA191" s="242"/>
      <c r="CB191" s="242"/>
      <c r="CC191" s="242"/>
      <c r="CD191" s="242"/>
      <c r="CE191" s="242"/>
      <c r="CF191" s="242"/>
    </row>
    <row r="192" spans="1:84">
      <c r="A192" s="242"/>
      <c r="B192" s="242"/>
      <c r="C192" s="100" t="s">
        <v>924</v>
      </c>
      <c r="D192" s="109"/>
      <c r="E192" s="161"/>
      <c r="F192" s="160"/>
      <c r="G192" s="160"/>
      <c r="H192" s="144"/>
      <c r="I192" s="245"/>
      <c r="J192" s="161"/>
      <c r="K192" s="160"/>
      <c r="L192" s="160"/>
      <c r="M192" s="144"/>
      <c r="N192" s="245"/>
      <c r="O192" s="161"/>
      <c r="P192" s="160"/>
      <c r="Q192" s="160"/>
      <c r="R192" s="144"/>
      <c r="S192" s="245"/>
      <c r="T192" s="161"/>
      <c r="U192" s="160"/>
      <c r="V192" s="160"/>
      <c r="W192" s="144"/>
      <c r="X192" s="64">
        <v>0</v>
      </c>
      <c r="Y192" s="1202">
        <f>AC192/4</f>
        <v>0</v>
      </c>
      <c r="Z192" s="1204">
        <f>AC192/4</f>
        <v>0</v>
      </c>
      <c r="AA192" s="1204">
        <f>AC192/4</f>
        <v>0</v>
      </c>
      <c r="AB192" s="1205">
        <f>AC192/4</f>
        <v>0</v>
      </c>
      <c r="AC192" s="64">
        <v>0</v>
      </c>
      <c r="AD192" s="1202">
        <f>AH192/4</f>
        <v>0</v>
      </c>
      <c r="AE192" s="1204">
        <f>AH192/4</f>
        <v>0</v>
      </c>
      <c r="AF192" s="1204">
        <f>AH192/4</f>
        <v>0</v>
      </c>
      <c r="AG192" s="1205">
        <f>AH192/4</f>
        <v>0</v>
      </c>
      <c r="AH192" s="64">
        <v>0</v>
      </c>
      <c r="AI192" s="1202">
        <f>AM192/4</f>
        <v>0</v>
      </c>
      <c r="AJ192" s="1204">
        <f>AM192/4</f>
        <v>0</v>
      </c>
      <c r="AK192" s="1204">
        <f>AM192/4</f>
        <v>0</v>
      </c>
      <c r="AL192" s="1205">
        <f>AM192/4</f>
        <v>0</v>
      </c>
      <c r="AM192" s="64">
        <v>0</v>
      </c>
      <c r="AN192" s="1202">
        <f>AR192/4</f>
        <v>0</v>
      </c>
      <c r="AO192" s="1204">
        <f>AR192/4</f>
        <v>0</v>
      </c>
      <c r="AP192" s="1204">
        <f>AR192/4</f>
        <v>0</v>
      </c>
      <c r="AQ192" s="1205">
        <f>AR192/4</f>
        <v>0</v>
      </c>
      <c r="AR192" s="64">
        <v>0</v>
      </c>
      <c r="AS192" s="1202">
        <f>AW192/4</f>
        <v>0</v>
      </c>
      <c r="AT192" s="1204">
        <f>AW192/4</f>
        <v>0</v>
      </c>
      <c r="AU192" s="1204">
        <f>AW192/4</f>
        <v>0</v>
      </c>
      <c r="AV192" s="1205">
        <f>AW192/4</f>
        <v>0</v>
      </c>
      <c r="AW192" s="64">
        <v>0</v>
      </c>
      <c r="AX192" s="1202">
        <f>BB192/4</f>
        <v>0</v>
      </c>
      <c r="AY192" s="1204">
        <f>BB192/4</f>
        <v>0</v>
      </c>
      <c r="AZ192" s="1204">
        <f>BB192/4</f>
        <v>0</v>
      </c>
      <c r="BA192" s="1205">
        <f>BB192/4</f>
        <v>0</v>
      </c>
      <c r="BB192" s="64">
        <v>0</v>
      </c>
      <c r="BC192" s="1202">
        <f>BG192/4</f>
        <v>0</v>
      </c>
      <c r="BD192" s="1204">
        <f>BG192/4</f>
        <v>0</v>
      </c>
      <c r="BE192" s="1204">
        <f>BG192/4</f>
        <v>0</v>
      </c>
      <c r="BF192" s="1205">
        <f>BG192/4</f>
        <v>0</v>
      </c>
      <c r="BG192" s="64">
        <v>0</v>
      </c>
      <c r="BH192" s="1202">
        <f>BL192/4</f>
        <v>0</v>
      </c>
      <c r="BI192" s="1204">
        <f>BL192/4</f>
        <v>0</v>
      </c>
      <c r="BJ192" s="1204">
        <f>BL192/4</f>
        <v>0</v>
      </c>
      <c r="BK192" s="1205">
        <f>BL192/4</f>
        <v>0</v>
      </c>
      <c r="BL192" s="64">
        <v>0</v>
      </c>
      <c r="BM192" s="1202">
        <f>BQ192/4</f>
        <v>0</v>
      </c>
      <c r="BN192" s="1204">
        <f>BQ192/4</f>
        <v>0</v>
      </c>
      <c r="BO192" s="1204">
        <f>BQ192/4</f>
        <v>0</v>
      </c>
      <c r="BP192" s="1205">
        <f>BQ192/4</f>
        <v>0</v>
      </c>
      <c r="BQ192" s="64">
        <v>0</v>
      </c>
      <c r="BR192" s="242"/>
      <c r="BS192" s="242"/>
      <c r="BT192" s="242"/>
      <c r="BU192" s="242"/>
      <c r="BV192" s="242"/>
      <c r="BW192" s="242"/>
      <c r="BX192" s="242"/>
      <c r="BY192" s="242"/>
      <c r="BZ192" s="242"/>
      <c r="CA192" s="242"/>
      <c r="CB192" s="242"/>
      <c r="CC192" s="242"/>
      <c r="CD192" s="242"/>
      <c r="CE192" s="242"/>
      <c r="CF192" s="242"/>
    </row>
    <row r="193" spans="1:108">
      <c r="A193" s="242"/>
      <c r="B193" s="242"/>
      <c r="C193" s="164" t="s">
        <v>96</v>
      </c>
      <c r="D193" s="109"/>
      <c r="E193" s="149"/>
      <c r="F193" s="150"/>
      <c r="G193" s="150"/>
      <c r="H193" s="151"/>
      <c r="I193" s="154"/>
      <c r="J193" s="149"/>
      <c r="K193" s="150"/>
      <c r="L193" s="150"/>
      <c r="M193" s="151"/>
      <c r="N193" s="154"/>
      <c r="O193" s="149"/>
      <c r="P193" s="150"/>
      <c r="Q193" s="150"/>
      <c r="R193" s="151"/>
      <c r="S193" s="154"/>
      <c r="T193" s="149"/>
      <c r="U193" s="150"/>
      <c r="V193" s="150"/>
      <c r="W193" s="151"/>
      <c r="X193" s="154">
        <f t="shared" ref="X193:AC193" si="197">SUM(X186:X192)</f>
        <v>0</v>
      </c>
      <c r="Y193" s="149">
        <f t="shared" si="197"/>
        <v>0</v>
      </c>
      <c r="Z193" s="150">
        <f t="shared" si="197"/>
        <v>0</v>
      </c>
      <c r="AA193" s="150">
        <f t="shared" si="197"/>
        <v>0</v>
      </c>
      <c r="AB193" s="151">
        <f t="shared" si="197"/>
        <v>0</v>
      </c>
      <c r="AC193" s="154">
        <f t="shared" si="197"/>
        <v>0</v>
      </c>
      <c r="AD193" s="149">
        <f t="shared" ref="AD193:BB193" si="198">SUM(AD186:AD192)</f>
        <v>0</v>
      </c>
      <c r="AE193" s="150">
        <f t="shared" si="198"/>
        <v>0</v>
      </c>
      <c r="AF193" s="150">
        <f t="shared" si="198"/>
        <v>0</v>
      </c>
      <c r="AG193" s="151">
        <f t="shared" si="198"/>
        <v>0</v>
      </c>
      <c r="AH193" s="154">
        <f t="shared" si="198"/>
        <v>0</v>
      </c>
      <c r="AI193" s="149">
        <f t="shared" ref="AI193:AN193" si="199">SUM(AI186:AI192)</f>
        <v>0</v>
      </c>
      <c r="AJ193" s="150">
        <f t="shared" si="199"/>
        <v>0</v>
      </c>
      <c r="AK193" s="150">
        <f t="shared" si="199"/>
        <v>0</v>
      </c>
      <c r="AL193" s="151">
        <f t="shared" si="199"/>
        <v>0</v>
      </c>
      <c r="AM193" s="154">
        <f t="shared" si="199"/>
        <v>0</v>
      </c>
      <c r="AN193" s="149">
        <f t="shared" si="199"/>
        <v>0</v>
      </c>
      <c r="AO193" s="150">
        <f t="shared" ref="AO193:AS193" si="200">SUM(AO186:AO192)</f>
        <v>0</v>
      </c>
      <c r="AP193" s="150">
        <f t="shared" si="200"/>
        <v>0</v>
      </c>
      <c r="AQ193" s="151">
        <f t="shared" si="200"/>
        <v>0</v>
      </c>
      <c r="AR193" s="154">
        <f t="shared" si="200"/>
        <v>0</v>
      </c>
      <c r="AS193" s="149">
        <f t="shared" si="200"/>
        <v>-367.57499999999999</v>
      </c>
      <c r="AT193" s="150">
        <f t="shared" ref="AT193:AW193" si="201">SUM(AT186:AT192)</f>
        <v>305</v>
      </c>
      <c r="AU193" s="150">
        <f t="shared" si="201"/>
        <v>0</v>
      </c>
      <c r="AV193" s="151">
        <f t="shared" si="201"/>
        <v>-4.1312249999999997</v>
      </c>
      <c r="AW193" s="154">
        <f t="shared" si="201"/>
        <v>-66.706225000000131</v>
      </c>
      <c r="AX193" s="149">
        <f t="shared" si="198"/>
        <v>-406.7</v>
      </c>
      <c r="AY193" s="150">
        <f t="shared" si="198"/>
        <v>-225</v>
      </c>
      <c r="AZ193" s="150">
        <f t="shared" si="198"/>
        <v>1635</v>
      </c>
      <c r="BA193" s="151">
        <f t="shared" si="198"/>
        <v>-100</v>
      </c>
      <c r="BB193" s="154">
        <f t="shared" si="198"/>
        <v>903.3</v>
      </c>
      <c r="BC193" s="149">
        <f t="shared" ref="BC193:BL193" si="202">SUM(BC186:BC192)</f>
        <v>-953.5</v>
      </c>
      <c r="BD193" s="150">
        <f t="shared" si="202"/>
        <v>-127.55974000000001</v>
      </c>
      <c r="BE193" s="150">
        <f t="shared" si="202"/>
        <v>2395</v>
      </c>
      <c r="BF193" s="151">
        <f t="shared" si="202"/>
        <v>-416.29063500000001</v>
      </c>
      <c r="BG193" s="154">
        <f t="shared" si="202"/>
        <v>897.64962500000001</v>
      </c>
      <c r="BH193" s="149">
        <f t="shared" si="202"/>
        <v>945</v>
      </c>
      <c r="BI193" s="150">
        <f t="shared" si="202"/>
        <v>-202.66</v>
      </c>
      <c r="BJ193" s="150">
        <f t="shared" si="202"/>
        <v>-75</v>
      </c>
      <c r="BK193" s="151">
        <f t="shared" si="202"/>
        <v>-117.767796</v>
      </c>
      <c r="BL193" s="154">
        <f t="shared" si="202"/>
        <v>549.57220400000006</v>
      </c>
      <c r="BM193" s="149">
        <f>SUM(BM186:BM192)</f>
        <v>-595.75</v>
      </c>
      <c r="BN193" s="150">
        <f>SUM(BN186:BN192)</f>
        <v>-77.562982000000005</v>
      </c>
      <c r="BO193" s="150">
        <f>SUM(BO186:BO192)</f>
        <v>2381.25</v>
      </c>
      <c r="BP193" s="151">
        <f>SUM(BP186:BP192)</f>
        <v>38.75</v>
      </c>
      <c r="BQ193" s="154">
        <f>SUM(BQ186:BQ192)</f>
        <v>1746.6870180000001</v>
      </c>
      <c r="BR193" s="242"/>
      <c r="BS193" s="242"/>
      <c r="BT193" s="242"/>
      <c r="BU193" s="242"/>
      <c r="BV193" s="242"/>
      <c r="BW193" s="242"/>
      <c r="BX193" s="242"/>
      <c r="BY193" s="242"/>
      <c r="BZ193" s="242"/>
      <c r="CA193" s="242"/>
      <c r="CB193" s="242"/>
      <c r="CC193" s="242"/>
      <c r="CD193" s="242"/>
      <c r="CE193" s="242"/>
      <c r="CF193" s="242"/>
    </row>
    <row r="194" spans="1:108">
      <c r="A194" s="242"/>
      <c r="B194" s="242"/>
      <c r="C194" s="100"/>
      <c r="D194" s="109"/>
      <c r="E194" s="161"/>
      <c r="F194" s="162"/>
      <c r="G194" s="162"/>
      <c r="H194" s="144"/>
      <c r="I194" s="245"/>
      <c r="J194" s="161"/>
      <c r="K194" s="162"/>
      <c r="L194" s="162"/>
      <c r="M194" s="144"/>
      <c r="N194" s="245"/>
      <c r="O194" s="161"/>
      <c r="P194" s="162"/>
      <c r="Q194" s="162"/>
      <c r="R194" s="144"/>
      <c r="S194" s="245"/>
      <c r="T194" s="161"/>
      <c r="U194" s="162"/>
      <c r="V194" s="162"/>
      <c r="W194" s="144"/>
      <c r="X194" s="245"/>
      <c r="Y194" s="161"/>
      <c r="Z194" s="162"/>
      <c r="AA194" s="162"/>
      <c r="AB194" s="144"/>
      <c r="AC194" s="245">
        <f>DE194</f>
        <v>0</v>
      </c>
      <c r="AD194" s="161"/>
      <c r="AE194" s="162"/>
      <c r="AF194" s="162"/>
      <c r="AG194" s="144"/>
      <c r="AH194" s="245">
        <f>DJ194</f>
        <v>0</v>
      </c>
      <c r="AI194" s="161"/>
      <c r="AJ194" s="162"/>
      <c r="AK194" s="162"/>
      <c r="AL194" s="144"/>
      <c r="AM194" s="245">
        <f>DO194</f>
        <v>0</v>
      </c>
      <c r="AN194" s="161"/>
      <c r="AO194" s="162"/>
      <c r="AP194" s="162"/>
      <c r="AQ194" s="144"/>
      <c r="AR194" s="245">
        <f>DT194</f>
        <v>0</v>
      </c>
      <c r="AS194" s="161"/>
      <c r="AT194" s="162"/>
      <c r="AU194" s="162"/>
      <c r="AV194" s="144"/>
      <c r="AW194" s="245">
        <f>DY194</f>
        <v>0</v>
      </c>
      <c r="AX194" s="161"/>
      <c r="AY194" s="162"/>
      <c r="AZ194" s="162"/>
      <c r="BA194" s="144"/>
      <c r="BB194" s="245">
        <f>ED194</f>
        <v>0</v>
      </c>
      <c r="BC194" s="161"/>
      <c r="BD194" s="162"/>
      <c r="BE194" s="162"/>
      <c r="BF194" s="144"/>
      <c r="BG194" s="245">
        <f>EI194</f>
        <v>0</v>
      </c>
      <c r="BH194" s="161"/>
      <c r="BI194" s="162"/>
      <c r="BJ194" s="162"/>
      <c r="BK194" s="144"/>
      <c r="BL194" s="245">
        <f>EN194</f>
        <v>0</v>
      </c>
      <c r="BM194" s="161"/>
      <c r="BN194" s="162"/>
      <c r="BO194" s="162"/>
      <c r="BP194" s="144"/>
      <c r="BQ194" s="245">
        <f>ES194</f>
        <v>0</v>
      </c>
      <c r="BR194" s="242"/>
      <c r="BS194" s="242"/>
      <c r="BT194" s="242"/>
      <c r="BU194" s="242"/>
      <c r="BV194" s="242"/>
      <c r="BW194" s="242"/>
      <c r="BX194" s="242"/>
      <c r="BY194" s="242"/>
      <c r="BZ194" s="242"/>
      <c r="CA194" s="242"/>
      <c r="CB194" s="242"/>
      <c r="CC194" s="242"/>
      <c r="CD194" s="242"/>
      <c r="CE194" s="242"/>
      <c r="CF194" s="242"/>
    </row>
    <row r="195" spans="1:108" ht="12.75" customHeight="1">
      <c r="A195" s="242"/>
      <c r="B195" s="242"/>
      <c r="C195" s="164" t="s">
        <v>97</v>
      </c>
      <c r="D195" s="109"/>
      <c r="E195" s="149"/>
      <c r="F195" s="150"/>
      <c r="G195" s="150"/>
      <c r="H195" s="151"/>
      <c r="I195" s="154"/>
      <c r="J195" s="149"/>
      <c r="K195" s="150"/>
      <c r="L195" s="150"/>
      <c r="M195" s="151"/>
      <c r="N195" s="154"/>
      <c r="O195" s="149"/>
      <c r="P195" s="150"/>
      <c r="Q195" s="150"/>
      <c r="R195" s="151"/>
      <c r="S195" s="154"/>
      <c r="T195" s="149"/>
      <c r="U195" s="150"/>
      <c r="V195" s="150"/>
      <c r="W195" s="151"/>
      <c r="X195" s="154">
        <f t="shared" ref="X195:AC195" si="203">+X180+X184+X193</f>
        <v>-197</v>
      </c>
      <c r="Y195" s="149">
        <f t="shared" si="203"/>
        <v>-48.5</v>
      </c>
      <c r="Z195" s="150">
        <f t="shared" si="203"/>
        <v>-77.5</v>
      </c>
      <c r="AA195" s="150">
        <f t="shared" si="203"/>
        <v>-58.5</v>
      </c>
      <c r="AB195" s="151">
        <f t="shared" si="203"/>
        <v>-50.5</v>
      </c>
      <c r="AC195" s="154">
        <f t="shared" si="203"/>
        <v>-235</v>
      </c>
      <c r="AD195" s="149">
        <f t="shared" ref="AD195:BB195" si="204">+AD180+AD184+AD193</f>
        <v>18.25</v>
      </c>
      <c r="AE195" s="150">
        <f t="shared" si="204"/>
        <v>-117.75</v>
      </c>
      <c r="AF195" s="150">
        <f t="shared" si="204"/>
        <v>-49.75</v>
      </c>
      <c r="AG195" s="151">
        <f t="shared" si="204"/>
        <v>-211.75</v>
      </c>
      <c r="AH195" s="154">
        <f t="shared" si="204"/>
        <v>-361</v>
      </c>
      <c r="AI195" s="149">
        <f t="shared" ref="AI195:AN195" si="205">+AI180+AI184+AI193</f>
        <v>1.4249999999999545</v>
      </c>
      <c r="AJ195" s="150">
        <f t="shared" si="205"/>
        <v>-98.575000000000045</v>
      </c>
      <c r="AK195" s="150">
        <f t="shared" si="205"/>
        <v>-33.575000000000045</v>
      </c>
      <c r="AL195" s="151">
        <f t="shared" si="205"/>
        <v>-195.6749999999995</v>
      </c>
      <c r="AM195" s="154">
        <f t="shared" si="205"/>
        <v>-326.39999999999964</v>
      </c>
      <c r="AN195" s="149">
        <f t="shared" si="205"/>
        <v>-29.650000000000318</v>
      </c>
      <c r="AO195" s="150">
        <f t="shared" ref="AO195:AS195" si="206">+AO180+AO184+AO193</f>
        <v>-89.450000000000045</v>
      </c>
      <c r="AP195" s="150">
        <f t="shared" si="206"/>
        <v>50.750000000000114</v>
      </c>
      <c r="AQ195" s="151">
        <f t="shared" si="206"/>
        <v>-160.45000000000061</v>
      </c>
      <c r="AR195" s="154">
        <f t="shared" si="206"/>
        <v>-228.80000000000109</v>
      </c>
      <c r="AS195" s="149">
        <f t="shared" si="206"/>
        <v>-461.77499999999981</v>
      </c>
      <c r="AT195" s="150">
        <f t="shared" ref="AT195:AW195" si="207">+AT180+AT184+AT193</f>
        <v>111.70000000000005</v>
      </c>
      <c r="AU195" s="150">
        <f t="shared" si="207"/>
        <v>-18.2000000000005</v>
      </c>
      <c r="AV195" s="151">
        <f t="shared" si="207"/>
        <v>-136.63122499999943</v>
      </c>
      <c r="AW195" s="154">
        <f t="shared" si="207"/>
        <v>-504.90622499999995</v>
      </c>
      <c r="AX195" s="149">
        <f t="shared" si="204"/>
        <v>-456.65995552904434</v>
      </c>
      <c r="AY195" s="150">
        <f t="shared" si="204"/>
        <v>-400.32599185697836</v>
      </c>
      <c r="AZ195" s="150">
        <f t="shared" si="204"/>
        <v>1648.5228683666651</v>
      </c>
      <c r="BA195" s="151">
        <f t="shared" si="204"/>
        <v>-225.24780348914322</v>
      </c>
      <c r="BB195" s="154">
        <f t="shared" si="204"/>
        <v>566.28911749149961</v>
      </c>
      <c r="BC195" s="149">
        <f t="shared" ref="BC195:BL195" si="208">+BC180+BC184+BC193</f>
        <v>-1102.8787028639319</v>
      </c>
      <c r="BD195" s="150">
        <f t="shared" si="208"/>
        <v>-429.68821497702947</v>
      </c>
      <c r="BE195" s="150">
        <f t="shared" si="208"/>
        <v>2267.3808296239354</v>
      </c>
      <c r="BF195" s="151">
        <f t="shared" si="208"/>
        <v>-680.53660655407248</v>
      </c>
      <c r="BG195" s="154">
        <f t="shared" si="208"/>
        <v>54.277305228901696</v>
      </c>
      <c r="BH195" s="149">
        <f t="shared" si="208"/>
        <v>906.39702342010901</v>
      </c>
      <c r="BI195" s="150">
        <f t="shared" si="208"/>
        <v>-391.73248986642636</v>
      </c>
      <c r="BJ195" s="150">
        <f t="shared" si="208"/>
        <v>-63.842407668887972</v>
      </c>
      <c r="BK195" s="151">
        <f t="shared" si="208"/>
        <v>-252.35239403043116</v>
      </c>
      <c r="BL195" s="154">
        <f t="shared" si="208"/>
        <v>198.469731854364</v>
      </c>
      <c r="BM195" s="149">
        <f>+BM180+BM184+BM193</f>
        <v>-1915.9689044879256</v>
      </c>
      <c r="BN195" s="150">
        <f>+BN180+BN184+BN193</f>
        <v>-101.17237343888925</v>
      </c>
      <c r="BO195" s="150">
        <f>+BO180+BO184+BO193</f>
        <v>2536.9355098634346</v>
      </c>
      <c r="BP195" s="151">
        <f>+BP180+BP184+BP193</f>
        <v>50.512667242281736</v>
      </c>
      <c r="BQ195" s="154">
        <f>+BQ180+BQ184+BQ193</f>
        <v>570.3068991789014</v>
      </c>
      <c r="BR195" s="242"/>
      <c r="BS195" s="242"/>
      <c r="BT195" s="242"/>
      <c r="BU195" s="242"/>
      <c r="BV195" s="242"/>
      <c r="BW195" s="242"/>
      <c r="BX195" s="242"/>
      <c r="BY195" s="242"/>
      <c r="BZ195" s="242"/>
      <c r="CA195" s="242"/>
      <c r="CB195" s="242"/>
      <c r="CC195" s="242"/>
      <c r="CD195" s="242"/>
      <c r="CE195" s="242"/>
      <c r="CF195" s="242"/>
    </row>
    <row r="196" spans="1:108" ht="12.75" customHeight="1">
      <c r="A196" s="242"/>
      <c r="B196" s="242"/>
      <c r="C196" s="100" t="s">
        <v>98</v>
      </c>
      <c r="D196" s="109"/>
      <c r="E196" s="244"/>
      <c r="F196" s="160"/>
      <c r="G196" s="160"/>
      <c r="H196" s="144"/>
      <c r="I196" s="245"/>
      <c r="J196" s="161"/>
      <c r="K196" s="160"/>
      <c r="L196" s="160"/>
      <c r="M196" s="144"/>
      <c r="N196" s="109"/>
      <c r="O196" s="161"/>
      <c r="P196" s="160"/>
      <c r="Q196" s="160"/>
      <c r="R196" s="144"/>
      <c r="S196" s="109"/>
      <c r="T196" s="161"/>
      <c r="U196" s="160"/>
      <c r="V196" s="160"/>
      <c r="W196" s="144"/>
      <c r="X196" s="109">
        <f>+W198</f>
        <v>0</v>
      </c>
      <c r="Y196" s="161">
        <f>+X198</f>
        <v>10.023</v>
      </c>
      <c r="Z196" s="160">
        <f>+Y198</f>
        <v>10.307</v>
      </c>
      <c r="AA196" s="160">
        <f>+Z198</f>
        <v>17.677</v>
      </c>
      <c r="AB196" s="144">
        <f>+AA198</f>
        <v>26.423999999999999</v>
      </c>
      <c r="AC196" s="109">
        <f>X198</f>
        <v>10.023</v>
      </c>
      <c r="AD196" s="161">
        <f>+AC198</f>
        <v>23.323000000000036</v>
      </c>
      <c r="AE196" s="160">
        <f>+AD198</f>
        <v>28.041</v>
      </c>
      <c r="AF196" s="160">
        <f>+AE198</f>
        <v>24.297000000000001</v>
      </c>
      <c r="AG196" s="144">
        <f>+AF198</f>
        <v>30.587</v>
      </c>
      <c r="AH196" s="109">
        <f>AC198</f>
        <v>23.323000000000036</v>
      </c>
      <c r="AI196" s="161">
        <f>+AH198</f>
        <v>20.136000000000024</v>
      </c>
      <c r="AJ196" s="160">
        <f>+AI198</f>
        <v>15.907</v>
      </c>
      <c r="AK196" s="160">
        <f>+AJ198</f>
        <v>13.645</v>
      </c>
      <c r="AL196" s="144">
        <f>+AK198</f>
        <v>20.137</v>
      </c>
      <c r="AM196" s="109">
        <f>AH198</f>
        <v>20.136000000000024</v>
      </c>
      <c r="AN196" s="161">
        <f>+AM198</f>
        <v>11.367000000000019</v>
      </c>
      <c r="AO196" s="160">
        <f>+AN198</f>
        <v>26.571000000000002</v>
      </c>
      <c r="AP196" s="160">
        <f>+AO198</f>
        <v>26.253</v>
      </c>
      <c r="AQ196" s="144">
        <f>+AP198</f>
        <v>23.012999999999998</v>
      </c>
      <c r="AR196" s="109">
        <f>AM198</f>
        <v>11.367000000000019</v>
      </c>
      <c r="AS196" s="161">
        <f>+AR198</f>
        <v>16.558999999999742</v>
      </c>
      <c r="AT196" s="160">
        <f>+AS198</f>
        <v>16.614000000000001</v>
      </c>
      <c r="AU196" s="160">
        <f>+AT198</f>
        <v>7.548</v>
      </c>
      <c r="AV196" s="144">
        <f>+AU198</f>
        <v>9.27</v>
      </c>
      <c r="AW196" s="109">
        <f>AR198</f>
        <v>16.558999999999742</v>
      </c>
      <c r="AX196" s="161">
        <f>+AW198</f>
        <v>8.308999999999628</v>
      </c>
      <c r="AY196" s="160">
        <f>+AX198</f>
        <v>0</v>
      </c>
      <c r="AZ196" s="160">
        <f>+AY198</f>
        <v>0</v>
      </c>
      <c r="BA196" s="144">
        <f>+AZ198</f>
        <v>102.30492098064201</v>
      </c>
      <c r="BB196" s="109">
        <f>+AW198</f>
        <v>8.308999999999628</v>
      </c>
      <c r="BC196" s="161">
        <f>+BB198</f>
        <v>0</v>
      </c>
      <c r="BD196" s="160">
        <f>+BC198</f>
        <v>0</v>
      </c>
      <c r="BE196" s="160">
        <f>+BD198</f>
        <v>0</v>
      </c>
      <c r="BF196" s="144">
        <f>+BE198</f>
        <v>611.87102927447268</v>
      </c>
      <c r="BG196" s="109">
        <f>+BB198</f>
        <v>0</v>
      </c>
      <c r="BH196" s="161">
        <f>+BG198</f>
        <v>2.2737367544323206E-13</v>
      </c>
      <c r="BI196" s="160">
        <f>+BH198</f>
        <v>837.73144614050943</v>
      </c>
      <c r="BJ196" s="160">
        <f>+BI198</f>
        <v>445.99895627408307</v>
      </c>
      <c r="BK196" s="144">
        <f>+BJ198</f>
        <v>382.1565486051951</v>
      </c>
      <c r="BL196" s="109">
        <f>+BG198</f>
        <v>2.2737367544323206E-13</v>
      </c>
      <c r="BM196" s="161">
        <f>+BL198</f>
        <v>129.80415457476442</v>
      </c>
      <c r="BN196" s="160">
        <f>+BM198</f>
        <v>0</v>
      </c>
      <c r="BO196" s="160">
        <f>+BN198</f>
        <v>0</v>
      </c>
      <c r="BP196" s="144">
        <f>+BO198</f>
        <v>649.59838651138421</v>
      </c>
      <c r="BQ196" s="109">
        <f>+BL198</f>
        <v>129.80415457476442</v>
      </c>
      <c r="BR196" s="242"/>
      <c r="BS196" s="242"/>
      <c r="BT196" s="242"/>
      <c r="BU196" s="242"/>
      <c r="BV196" s="242"/>
      <c r="BW196" s="242"/>
      <c r="BX196" s="242"/>
      <c r="BY196" s="242"/>
      <c r="BZ196" s="242"/>
      <c r="CA196" s="242"/>
      <c r="CB196" s="242"/>
      <c r="CC196" s="242"/>
      <c r="CD196" s="242"/>
      <c r="CE196" s="242"/>
      <c r="CF196" s="242"/>
    </row>
    <row r="197" spans="1:108">
      <c r="A197" s="242"/>
      <c r="B197" s="242"/>
      <c r="C197" s="100" t="s">
        <v>89</v>
      </c>
      <c r="D197" s="109"/>
      <c r="E197" s="142"/>
      <c r="F197" s="159"/>
      <c r="G197" s="159"/>
      <c r="H197" s="158"/>
      <c r="I197" s="245"/>
      <c r="J197" s="142"/>
      <c r="K197" s="159"/>
      <c r="L197" s="159"/>
      <c r="M197" s="158"/>
      <c r="N197" s="245"/>
      <c r="O197" s="142"/>
      <c r="P197" s="143"/>
      <c r="Q197" s="143"/>
      <c r="R197" s="158"/>
      <c r="S197" s="245"/>
      <c r="T197" s="142"/>
      <c r="U197" s="143"/>
      <c r="V197" s="143"/>
      <c r="W197" s="158"/>
      <c r="X197" s="1206">
        <f>X198-X196-X195</f>
        <v>207.023</v>
      </c>
      <c r="Y197" s="1202">
        <f>Y198-Y196-Y195</f>
        <v>48.783999999999999</v>
      </c>
      <c r="Z197" s="1204">
        <f>Z198-Z196-Z195</f>
        <v>84.87</v>
      </c>
      <c r="AA197" s="1204">
        <f>AA198-AA196-AA195</f>
        <v>67.247</v>
      </c>
      <c r="AB197" s="1205">
        <f>AB198-AB196-AB195</f>
        <v>47.399000000000001</v>
      </c>
      <c r="AC197" s="1206">
        <f>SUM(Y197:AB197)</f>
        <v>248.3</v>
      </c>
      <c r="AD197" s="1202">
        <f>AD198-AD196-AD195</f>
        <v>-13.532000000000036</v>
      </c>
      <c r="AE197" s="1204">
        <f>AE198-AE196-AE195</f>
        <v>114.006</v>
      </c>
      <c r="AF197" s="1204">
        <f>AF198-AF196-AF195</f>
        <v>56.04</v>
      </c>
      <c r="AG197" s="1205">
        <f>AG198-AG196-AG195</f>
        <v>201.29900000000001</v>
      </c>
      <c r="AH197" s="1206">
        <f>SUM(AD197:AG197)</f>
        <v>357.81299999999999</v>
      </c>
      <c r="AI197" s="1202">
        <f>AI198-AI196-AI195</f>
        <v>-5.6539999999999786</v>
      </c>
      <c r="AJ197" s="1204">
        <f>AJ198-AJ196-AJ195</f>
        <v>96.313000000000045</v>
      </c>
      <c r="AK197" s="1204">
        <f>AK198-AK196-AK195</f>
        <v>40.06700000000005</v>
      </c>
      <c r="AL197" s="1205">
        <f>AL198-AL196-AL195</f>
        <v>186.90499999999949</v>
      </c>
      <c r="AM197" s="1206">
        <f>SUM(AI197:AL197)</f>
        <v>317.63099999999963</v>
      </c>
      <c r="AN197" s="1202">
        <f>AN198-AN196-AN195</f>
        <v>44.854000000000298</v>
      </c>
      <c r="AO197" s="1204">
        <f>AO198-AO196-AO195</f>
        <v>89.132000000000048</v>
      </c>
      <c r="AP197" s="1204">
        <f>AP198-AP196-AP195</f>
        <v>-53.990000000000116</v>
      </c>
      <c r="AQ197" s="1205">
        <f>AQ198-AQ196-AQ195</f>
        <v>153.99600000000061</v>
      </c>
      <c r="AR197" s="1206">
        <f>SUM(AN197:AQ197)</f>
        <v>233.99200000000081</v>
      </c>
      <c r="AS197" s="1202">
        <f>AS198-AS196-AS195</f>
        <v>461.83000000000004</v>
      </c>
      <c r="AT197" s="1204">
        <f>AT198-AT196-AT195</f>
        <v>-120.76600000000005</v>
      </c>
      <c r="AU197" s="1204">
        <f>AU198-AU196-AU195</f>
        <v>19.922000000000502</v>
      </c>
      <c r="AV197" s="1205">
        <f>AV198-AV196-AV195</f>
        <v>135.67022499999942</v>
      </c>
      <c r="AW197" s="1206">
        <f>SUM(AS197:AV197)</f>
        <v>496.65622499999984</v>
      </c>
      <c r="AX197" s="161">
        <f>IF((AX195+AX196)&gt;=AW204,-AW204,-(AX195+AX196))</f>
        <v>448.35095552904471</v>
      </c>
      <c r="AY197" s="160">
        <f>IF((AY195+AY196)&gt;=AX204,-AX204,-(AY195+AY196))</f>
        <v>400.32599185697836</v>
      </c>
      <c r="AZ197" s="160">
        <f>IF((AZ195+AZ196)&gt;=AY204,-AY204,-(AZ195+AZ196))</f>
        <v>-1546.2179473860231</v>
      </c>
      <c r="BA197" s="144">
        <f>IF((BA195+BA196)&gt;=AZ204,-AZ204,-(BA195+BA196))</f>
        <v>122.94288250850121</v>
      </c>
      <c r="BB197" s="109">
        <f>SUM(AX197:BA197)</f>
        <v>-574.59811749149867</v>
      </c>
      <c r="BC197" s="161">
        <f>IF((BC195+BC196)&gt;=BB204,-BB204,-(BC195+BC196))</f>
        <v>1102.8787028639319</v>
      </c>
      <c r="BD197" s="160">
        <f>IF((BD195+BD196)&gt;=BC204,-BC204,-(BD195+BD196))</f>
        <v>429.68821497702947</v>
      </c>
      <c r="BE197" s="160">
        <f>IF((BE195+BE196)&gt;=BD204,-BD204,-(BE195+BE196))</f>
        <v>-1655.5098003494627</v>
      </c>
      <c r="BF197" s="144">
        <f>IF((BF195+BF196)&gt;=BE204,-BE204,-(BF195+BF196))</f>
        <v>68.665577279599802</v>
      </c>
      <c r="BG197" s="109">
        <f>SUM(BC197:BF197)</f>
        <v>-54.277305228901469</v>
      </c>
      <c r="BH197" s="161">
        <f>IF((BH195+BH196)&gt;=BG204,-BG204,-(BH195+BH196))</f>
        <v>-68.665577279599802</v>
      </c>
      <c r="BI197" s="160">
        <f>IF((BI195+BI196)&gt;=BH204,-BH204,-(BI195+BI196))</f>
        <v>0</v>
      </c>
      <c r="BJ197" s="160">
        <f>IF((BJ195+BJ196)&gt;=BI204,-BI204,-(BJ195+BJ196))</f>
        <v>0</v>
      </c>
      <c r="BK197" s="144">
        <f>IF((BK195+BK196)&gt;=BJ204,-BJ204,-(BK195+BK196))</f>
        <v>0</v>
      </c>
      <c r="BL197" s="109">
        <f>SUM(BH197:BK197)</f>
        <v>-68.665577279599802</v>
      </c>
      <c r="BM197" s="161">
        <f>IF((BM195+BM196)&gt;=BL204,-BL204,-(BM195+BM196))</f>
        <v>1786.1647499131611</v>
      </c>
      <c r="BN197" s="160">
        <f>IF((BN195+BN196)&gt;=BM204,-BM204,-(BN195+BN196))</f>
        <v>101.17237343888925</v>
      </c>
      <c r="BO197" s="160">
        <f>IF((BO195+BO196)&gt;=BN204,-BN204,-(BO195+BO196))</f>
        <v>-1887.3371233520504</v>
      </c>
      <c r="BP197" s="144">
        <f>IF((BP195+BP196)&gt;=BO204,-BO204,-(BP195+BP196))</f>
        <v>0</v>
      </c>
      <c r="BQ197" s="109">
        <f>SUM(BM197:BP197)</f>
        <v>0</v>
      </c>
      <c r="BR197" s="242"/>
      <c r="BS197" s="242"/>
      <c r="BT197" s="242"/>
      <c r="BU197" s="242"/>
      <c r="BV197" s="242"/>
      <c r="BW197" s="242"/>
      <c r="BX197" s="242"/>
      <c r="BY197" s="242"/>
      <c r="BZ197" s="242"/>
      <c r="CA197" s="242"/>
      <c r="CB197" s="242"/>
      <c r="CC197" s="242"/>
      <c r="CD197" s="242"/>
      <c r="CE197" s="242"/>
      <c r="CF197" s="242"/>
    </row>
    <row r="198" spans="1:108">
      <c r="A198" s="242"/>
      <c r="B198" s="242"/>
      <c r="C198" s="164" t="s">
        <v>99</v>
      </c>
      <c r="D198" s="109"/>
      <c r="E198" s="149"/>
      <c r="F198" s="150"/>
      <c r="G198" s="150"/>
      <c r="H198" s="151"/>
      <c r="I198" s="154"/>
      <c r="J198" s="149"/>
      <c r="K198" s="150"/>
      <c r="L198" s="150"/>
      <c r="M198" s="151"/>
      <c r="N198" s="154"/>
      <c r="O198" s="149"/>
      <c r="P198" s="150"/>
      <c r="Q198" s="150"/>
      <c r="R198" s="151"/>
      <c r="S198" s="154"/>
      <c r="T198" s="149"/>
      <c r="U198" s="150"/>
      <c r="V198" s="150"/>
      <c r="W198" s="151"/>
      <c r="X198" s="154">
        <f>X202</f>
        <v>10.023</v>
      </c>
      <c r="Y198" s="149">
        <f>Y202</f>
        <v>10.307</v>
      </c>
      <c r="Z198" s="150">
        <f>Z202</f>
        <v>17.677</v>
      </c>
      <c r="AA198" s="150">
        <f>AA202</f>
        <v>26.423999999999999</v>
      </c>
      <c r="AB198" s="151">
        <f>AB202</f>
        <v>23.323</v>
      </c>
      <c r="AC198" s="154">
        <f>AC197+AC196+AC195</f>
        <v>23.323000000000036</v>
      </c>
      <c r="AD198" s="149">
        <f>AD202</f>
        <v>28.041</v>
      </c>
      <c r="AE198" s="150">
        <f>AE202</f>
        <v>24.297000000000001</v>
      </c>
      <c r="AF198" s="150">
        <f>AF202</f>
        <v>30.587</v>
      </c>
      <c r="AG198" s="151">
        <f>AG202</f>
        <v>20.135999999999999</v>
      </c>
      <c r="AH198" s="154">
        <f>AH197+AH196+AH195</f>
        <v>20.136000000000024</v>
      </c>
      <c r="AI198" s="149">
        <f>AI202</f>
        <v>15.907</v>
      </c>
      <c r="AJ198" s="150">
        <f>AJ202</f>
        <v>13.645</v>
      </c>
      <c r="AK198" s="150">
        <f>AK202</f>
        <v>20.137</v>
      </c>
      <c r="AL198" s="151">
        <f>AL202</f>
        <v>11.366999999999999</v>
      </c>
      <c r="AM198" s="154">
        <f>AM197+AM196+AM195</f>
        <v>11.367000000000019</v>
      </c>
      <c r="AN198" s="149">
        <f>AN202</f>
        <v>26.571000000000002</v>
      </c>
      <c r="AO198" s="150">
        <f>AO202</f>
        <v>26.253</v>
      </c>
      <c r="AP198" s="150">
        <f>AP202</f>
        <v>23.012999999999998</v>
      </c>
      <c r="AQ198" s="151">
        <f>AQ202</f>
        <v>16.559000000000001</v>
      </c>
      <c r="AR198" s="154">
        <f t="shared" ref="AR198" si="209">AR197+AR196+AR195</f>
        <v>16.558999999999742</v>
      </c>
      <c r="AS198" s="149">
        <f>AS202</f>
        <v>16.614000000000001</v>
      </c>
      <c r="AT198" s="150">
        <f>AT202</f>
        <v>7.548</v>
      </c>
      <c r="AU198" s="150">
        <f>AU202</f>
        <v>9.27</v>
      </c>
      <c r="AV198" s="151">
        <f>AV202</f>
        <v>8.3089999999999993</v>
      </c>
      <c r="AW198" s="154">
        <f t="shared" ref="AW198" si="210">AW197+AW196+AW195</f>
        <v>8.308999999999628</v>
      </c>
      <c r="AX198" s="149">
        <f t="shared" ref="AX198:BK198" si="211">AX197+AX196+AX195</f>
        <v>0</v>
      </c>
      <c r="AY198" s="150">
        <f t="shared" si="211"/>
        <v>0</v>
      </c>
      <c r="AZ198" s="150">
        <f t="shared" si="211"/>
        <v>102.30492098064201</v>
      </c>
      <c r="BA198" s="151">
        <f t="shared" si="211"/>
        <v>0</v>
      </c>
      <c r="BB198" s="112">
        <f t="shared" si="211"/>
        <v>0</v>
      </c>
      <c r="BC198" s="149">
        <f t="shared" si="211"/>
        <v>0</v>
      </c>
      <c r="BD198" s="150">
        <f t="shared" si="211"/>
        <v>0</v>
      </c>
      <c r="BE198" s="150">
        <f t="shared" si="211"/>
        <v>611.87102927447268</v>
      </c>
      <c r="BF198" s="151">
        <f t="shared" si="211"/>
        <v>0</v>
      </c>
      <c r="BG198" s="112">
        <f>BG197+BG196+BG195</f>
        <v>2.2737367544323206E-13</v>
      </c>
      <c r="BH198" s="149">
        <f t="shared" si="211"/>
        <v>837.73144614050943</v>
      </c>
      <c r="BI198" s="150">
        <f t="shared" si="211"/>
        <v>445.99895627408307</v>
      </c>
      <c r="BJ198" s="150">
        <f t="shared" si="211"/>
        <v>382.1565486051951</v>
      </c>
      <c r="BK198" s="151">
        <f t="shared" si="211"/>
        <v>129.80415457476394</v>
      </c>
      <c r="BL198" s="112">
        <f t="shared" ref="BL198:BQ198" si="212">BL197+BL196+BL195</f>
        <v>129.80415457476442</v>
      </c>
      <c r="BM198" s="149">
        <f t="shared" si="212"/>
        <v>0</v>
      </c>
      <c r="BN198" s="150">
        <f t="shared" si="212"/>
        <v>0</v>
      </c>
      <c r="BO198" s="150">
        <f t="shared" si="212"/>
        <v>649.59838651138421</v>
      </c>
      <c r="BP198" s="151">
        <f t="shared" si="212"/>
        <v>700.11105375366594</v>
      </c>
      <c r="BQ198" s="112">
        <f t="shared" si="212"/>
        <v>700.11105375366583</v>
      </c>
      <c r="BR198" s="242"/>
      <c r="BS198" s="242"/>
      <c r="BT198" s="242"/>
      <c r="BU198" s="242"/>
      <c r="BV198" s="242"/>
      <c r="BW198" s="242"/>
      <c r="BX198" s="242"/>
      <c r="BY198" s="242"/>
      <c r="BZ198" s="242"/>
      <c r="CA198" s="242"/>
      <c r="CB198" s="242"/>
      <c r="CC198" s="242"/>
      <c r="CD198" s="242"/>
      <c r="CE198" s="242"/>
      <c r="CF198" s="242"/>
    </row>
    <row r="199" spans="1:108">
      <c r="A199" s="303"/>
      <c r="B199" s="303"/>
      <c r="C199" s="303"/>
      <c r="D199" s="303"/>
      <c r="E199" s="305"/>
      <c r="F199" s="306"/>
      <c r="G199" s="306"/>
      <c r="H199" s="307"/>
      <c r="I199" s="303"/>
      <c r="J199" s="305"/>
      <c r="K199" s="306"/>
      <c r="L199" s="306"/>
      <c r="M199" s="307"/>
      <c r="N199" s="303"/>
      <c r="O199" s="305"/>
      <c r="P199" s="306"/>
      <c r="Q199" s="306"/>
      <c r="R199" s="307"/>
      <c r="S199" s="303"/>
      <c r="T199" s="305"/>
      <c r="U199" s="306"/>
      <c r="V199" s="306"/>
      <c r="W199" s="307"/>
      <c r="X199" s="303"/>
      <c r="Y199" s="305"/>
      <c r="Z199" s="306"/>
      <c r="AA199" s="306"/>
      <c r="AB199" s="307"/>
      <c r="AC199" s="303"/>
      <c r="AD199" s="305"/>
      <c r="AE199" s="306"/>
      <c r="AF199" s="306"/>
      <c r="AG199" s="307"/>
      <c r="AH199" s="303"/>
      <c r="AI199" s="305"/>
      <c r="AJ199" s="306"/>
      <c r="AK199" s="306"/>
      <c r="AL199" s="307"/>
      <c r="AM199" s="303"/>
      <c r="AN199" s="305"/>
      <c r="AO199" s="306"/>
      <c r="AP199" s="306"/>
      <c r="AQ199" s="307"/>
      <c r="AR199" s="303"/>
      <c r="AS199" s="305"/>
      <c r="AT199" s="306"/>
      <c r="AU199" s="306"/>
      <c r="AV199" s="307"/>
      <c r="AW199" s="303"/>
      <c r="AX199" s="305"/>
      <c r="AY199" s="306"/>
      <c r="AZ199" s="306"/>
      <c r="BA199" s="307"/>
      <c r="BB199" s="303"/>
      <c r="BC199" s="305"/>
      <c r="BD199" s="306"/>
      <c r="BE199" s="306"/>
      <c r="BF199" s="307"/>
      <c r="BG199" s="303"/>
      <c r="BH199" s="305"/>
      <c r="BI199" s="306"/>
      <c r="BJ199" s="306"/>
      <c r="BK199" s="307"/>
      <c r="BL199" s="303"/>
      <c r="BM199" s="305"/>
      <c r="BN199" s="306"/>
      <c r="BO199" s="306"/>
      <c r="BP199" s="307"/>
      <c r="BQ199" s="303"/>
      <c r="BR199" s="303"/>
      <c r="BS199" s="303"/>
      <c r="BT199" s="303"/>
      <c r="BU199" s="303"/>
      <c r="BV199" s="303"/>
      <c r="BW199" s="303"/>
      <c r="BX199" s="303"/>
      <c r="BY199" s="303"/>
      <c r="BZ199" s="303"/>
      <c r="CA199" s="303"/>
      <c r="CB199" s="303"/>
      <c r="CC199" s="303"/>
      <c r="CD199" s="303"/>
      <c r="CE199" s="303"/>
      <c r="CF199" s="303"/>
      <c r="CG199" s="303"/>
      <c r="CH199" s="303"/>
      <c r="CI199" s="303"/>
      <c r="CJ199" s="303"/>
      <c r="CK199" s="303"/>
      <c r="CL199" s="303"/>
      <c r="CM199" s="303"/>
      <c r="CN199" s="303"/>
      <c r="CO199" s="303"/>
      <c r="CP199" s="303"/>
      <c r="CQ199" s="303"/>
      <c r="CR199" s="303"/>
      <c r="CS199" s="303"/>
      <c r="CT199" s="303"/>
      <c r="CU199" s="303"/>
      <c r="DD199" s="1225"/>
    </row>
    <row r="200" spans="1:108">
      <c r="A200" s="303"/>
      <c r="B200" s="303"/>
      <c r="C200" s="303"/>
      <c r="D200" s="303"/>
      <c r="E200" s="597"/>
      <c r="F200" s="598"/>
      <c r="G200" s="598"/>
      <c r="H200" s="599"/>
      <c r="I200" s="89"/>
      <c r="J200" s="597"/>
      <c r="K200" s="598"/>
      <c r="L200" s="598"/>
      <c r="M200" s="599"/>
      <c r="N200" s="89"/>
      <c r="O200" s="597"/>
      <c r="P200" s="598"/>
      <c r="Q200" s="598"/>
      <c r="R200" s="599"/>
      <c r="S200" s="89"/>
      <c r="T200" s="597"/>
      <c r="U200" s="598"/>
      <c r="V200" s="598"/>
      <c r="W200" s="307"/>
      <c r="X200" s="303"/>
      <c r="Y200" s="305"/>
      <c r="Z200" s="306"/>
      <c r="AA200" s="306"/>
      <c r="AB200" s="307"/>
      <c r="AC200" s="303"/>
      <c r="AD200" s="305"/>
      <c r="AE200" s="306"/>
      <c r="AF200" s="306"/>
      <c r="AG200" s="307"/>
      <c r="AH200" s="303"/>
      <c r="AI200" s="305"/>
      <c r="AJ200" s="306"/>
      <c r="AK200" s="306"/>
      <c r="AL200" s="307"/>
      <c r="AM200" s="303"/>
      <c r="AN200" s="305"/>
      <c r="AO200" s="306"/>
      <c r="AP200" s="306"/>
      <c r="AQ200" s="307"/>
      <c r="AR200" s="303"/>
      <c r="AS200" s="305"/>
      <c r="AT200" s="306"/>
      <c r="AU200" s="306"/>
      <c r="AV200" s="307"/>
      <c r="AW200" s="303"/>
      <c r="AX200" s="305"/>
      <c r="AY200" s="306"/>
      <c r="AZ200" s="306"/>
      <c r="BA200" s="307"/>
      <c r="BB200" s="303"/>
      <c r="BC200" s="305"/>
      <c r="BD200" s="306"/>
      <c r="BE200" s="306"/>
      <c r="BF200" s="307"/>
      <c r="BG200" s="303"/>
      <c r="BH200" s="305"/>
      <c r="BI200" s="306"/>
      <c r="BJ200" s="306"/>
      <c r="BK200" s="307"/>
      <c r="BL200" s="303"/>
      <c r="BM200" s="305"/>
      <c r="BN200" s="306"/>
      <c r="BO200" s="306"/>
      <c r="BP200" s="307"/>
      <c r="BQ200" s="303"/>
      <c r="BR200" s="303"/>
      <c r="BS200" s="303"/>
      <c r="BT200" s="303"/>
      <c r="BU200" s="303"/>
      <c r="BV200" s="303"/>
      <c r="BW200" s="303"/>
      <c r="BX200" s="303"/>
      <c r="BY200" s="303"/>
      <c r="BZ200" s="303"/>
      <c r="CA200" s="303"/>
      <c r="CB200" s="303"/>
      <c r="CC200" s="303"/>
      <c r="CD200" s="303"/>
      <c r="CE200" s="303"/>
      <c r="CF200" s="303"/>
      <c r="CG200" s="303"/>
      <c r="CH200" s="303"/>
      <c r="CI200" s="303"/>
      <c r="CJ200" s="303"/>
      <c r="CK200" s="303"/>
      <c r="CL200" s="303"/>
      <c r="CM200" s="303"/>
      <c r="CN200" s="303"/>
      <c r="CO200" s="303"/>
      <c r="CP200" s="303"/>
      <c r="CQ200" s="303"/>
      <c r="CR200" s="303"/>
      <c r="CS200" s="303"/>
      <c r="CT200" s="303"/>
      <c r="CU200" s="303"/>
    </row>
    <row r="201" spans="1:108">
      <c r="A201" s="303"/>
      <c r="B201" s="358" t="s">
        <v>181</v>
      </c>
      <c r="C201" s="358"/>
      <c r="D201" s="359"/>
      <c r="E201" s="305"/>
      <c r="F201" s="306"/>
      <c r="G201" s="306"/>
      <c r="H201" s="307"/>
      <c r="I201" s="303"/>
      <c r="J201" s="305"/>
      <c r="K201" s="306"/>
      <c r="L201" s="306"/>
      <c r="M201" s="307"/>
      <c r="N201" s="303"/>
      <c r="O201" s="305"/>
      <c r="P201" s="306"/>
      <c r="Q201" s="306"/>
      <c r="R201" s="307"/>
      <c r="S201" s="303"/>
      <c r="T201" s="305"/>
      <c r="U201" s="306"/>
      <c r="V201" s="306"/>
      <c r="W201" s="307"/>
      <c r="X201" s="303"/>
      <c r="Y201" s="305"/>
      <c r="Z201" s="306"/>
      <c r="AA201" s="306"/>
      <c r="AB201" s="307"/>
      <c r="AC201" s="303"/>
      <c r="AD201" s="305"/>
      <c r="AE201" s="306"/>
      <c r="AF201" s="306"/>
      <c r="AG201" s="307"/>
      <c r="AH201" s="303"/>
      <c r="AI201" s="305"/>
      <c r="AJ201" s="306"/>
      <c r="AK201" s="306"/>
      <c r="AL201" s="307"/>
      <c r="AM201" s="303"/>
      <c r="AN201" s="305"/>
      <c r="AO201" s="306"/>
      <c r="AP201" s="306"/>
      <c r="AQ201" s="307"/>
      <c r="AR201" s="303"/>
      <c r="AS201" s="305"/>
      <c r="AT201" s="306"/>
      <c r="AU201" s="306"/>
      <c r="AV201" s="307"/>
      <c r="AW201" s="303"/>
      <c r="AX201" s="305"/>
      <c r="AY201" s="306"/>
      <c r="AZ201" s="306"/>
      <c r="BA201" s="307"/>
      <c r="BB201" s="303"/>
      <c r="BC201" s="305"/>
      <c r="BD201" s="306"/>
      <c r="BE201" s="306"/>
      <c r="BF201" s="307"/>
      <c r="BG201" s="303"/>
      <c r="BH201" s="305"/>
      <c r="BI201" s="306"/>
      <c r="BJ201" s="306"/>
      <c r="BK201" s="307"/>
      <c r="BL201" s="303"/>
      <c r="BM201" s="305"/>
      <c r="BN201" s="306"/>
      <c r="BO201" s="306"/>
      <c r="BP201" s="307"/>
      <c r="BQ201" s="303"/>
      <c r="BR201" s="303"/>
      <c r="BS201" s="303"/>
      <c r="BT201" s="303"/>
      <c r="BU201" s="303"/>
      <c r="BV201" s="303"/>
      <c r="BW201" s="303"/>
      <c r="BX201" s="303"/>
      <c r="BY201" s="303"/>
      <c r="BZ201" s="303"/>
      <c r="CA201" s="303"/>
      <c r="CB201" s="303"/>
      <c r="CC201" s="303"/>
      <c r="CD201" s="303"/>
      <c r="CE201" s="303"/>
      <c r="CF201" s="303"/>
      <c r="CG201" s="303"/>
      <c r="CH201" s="303"/>
      <c r="CI201" s="303"/>
      <c r="CJ201" s="303"/>
      <c r="CK201" s="303"/>
      <c r="CL201" s="303"/>
      <c r="CM201" s="303"/>
      <c r="CN201" s="303"/>
      <c r="CO201" s="303"/>
      <c r="CP201" s="303"/>
      <c r="CQ201" s="303"/>
      <c r="CR201" s="303"/>
      <c r="CS201" s="303"/>
      <c r="CT201" s="303"/>
      <c r="CU201" s="303"/>
    </row>
    <row r="202" spans="1:108">
      <c r="A202" s="242"/>
      <c r="B202" s="242"/>
      <c r="C202" s="100" t="s">
        <v>182</v>
      </c>
      <c r="D202" s="109"/>
      <c r="E202" s="142"/>
      <c r="F202" s="143"/>
      <c r="G202" s="143"/>
      <c r="H202" s="147"/>
      <c r="I202" s="145"/>
      <c r="J202" s="142"/>
      <c r="K202" s="143"/>
      <c r="L202" s="143"/>
      <c r="M202" s="147"/>
      <c r="N202" s="145"/>
      <c r="O202" s="142"/>
      <c r="P202" s="143"/>
      <c r="Q202" s="143"/>
      <c r="R202" s="147"/>
      <c r="S202" s="145"/>
      <c r="T202" s="142"/>
      <c r="U202" s="143"/>
      <c r="V202" s="143"/>
      <c r="W202" s="147"/>
      <c r="X202" s="1206">
        <f>'Utility Detail'!X109</f>
        <v>10.023</v>
      </c>
      <c r="Y202" s="1202">
        <f>'Utility Detail'!Y109</f>
        <v>10.307</v>
      </c>
      <c r="Z202" s="1204">
        <f>'Utility Detail'!Z109</f>
        <v>17.677</v>
      </c>
      <c r="AA202" s="1204">
        <f>'Utility Detail'!AA109</f>
        <v>26.423999999999999</v>
      </c>
      <c r="AB202" s="1205">
        <f>AC202</f>
        <v>23.323</v>
      </c>
      <c r="AC202" s="1206">
        <f>'Utility Detail'!AC109</f>
        <v>23.323</v>
      </c>
      <c r="AD202" s="1202">
        <f>'Utility Detail'!AD109</f>
        <v>28.041</v>
      </c>
      <c r="AE202" s="1204">
        <f>'Utility Detail'!AE109</f>
        <v>24.297000000000001</v>
      </c>
      <c r="AF202" s="1204">
        <f>'Utility Detail'!AF109</f>
        <v>30.587</v>
      </c>
      <c r="AG202" s="1205">
        <f>AH202</f>
        <v>20.135999999999999</v>
      </c>
      <c r="AH202" s="1206">
        <f>'Utility Detail'!AH109</f>
        <v>20.135999999999999</v>
      </c>
      <c r="AI202" s="1202">
        <f>'Utility Detail'!AI109</f>
        <v>15.907</v>
      </c>
      <c r="AJ202" s="1204">
        <f>'Utility Detail'!AJ109</f>
        <v>13.645</v>
      </c>
      <c r="AK202" s="1204">
        <f>'Utility Detail'!AK109</f>
        <v>20.137</v>
      </c>
      <c r="AL202" s="1205">
        <f>AM202</f>
        <v>11.366999999999999</v>
      </c>
      <c r="AM202" s="1206">
        <f>'Utility Detail'!AM109</f>
        <v>11.366999999999999</v>
      </c>
      <c r="AN202" s="1202">
        <f>'Utility Detail'!AN109</f>
        <v>26.571000000000002</v>
      </c>
      <c r="AO202" s="1204">
        <f>'Utility Detail'!AO109</f>
        <v>26.253</v>
      </c>
      <c r="AP202" s="1204">
        <f>'Utility Detail'!AP109</f>
        <v>23.012999999999998</v>
      </c>
      <c r="AQ202" s="1205">
        <f>AR202</f>
        <v>16.559000000000001</v>
      </c>
      <c r="AR202" s="1206">
        <f>'Utility Detail'!AR109</f>
        <v>16.559000000000001</v>
      </c>
      <c r="AS202" s="1202">
        <f>'Utility Detail'!AS109</f>
        <v>16.614000000000001</v>
      </c>
      <c r="AT202" s="1204">
        <f>'Utility Detail'!AT109</f>
        <v>7.548</v>
      </c>
      <c r="AU202" s="1204">
        <f>'Utility Detail'!AU109</f>
        <v>9.27</v>
      </c>
      <c r="AV202" s="1205">
        <f>AW202</f>
        <v>8.3089999999999993</v>
      </c>
      <c r="AW202" s="1206">
        <f>'Utility Detail'!AW109</f>
        <v>8.3089999999999993</v>
      </c>
      <c r="AX202" s="161">
        <f t="shared" ref="AX202:BL202" si="213">+AX198</f>
        <v>0</v>
      </c>
      <c r="AY202" s="160">
        <f t="shared" si="213"/>
        <v>0</v>
      </c>
      <c r="AZ202" s="160">
        <f t="shared" si="213"/>
        <v>102.30492098064201</v>
      </c>
      <c r="BA202" s="144">
        <f t="shared" si="213"/>
        <v>0</v>
      </c>
      <c r="BB202" s="109">
        <f t="shared" si="213"/>
        <v>0</v>
      </c>
      <c r="BC202" s="161">
        <f t="shared" si="213"/>
        <v>0</v>
      </c>
      <c r="BD202" s="160">
        <f t="shared" si="213"/>
        <v>0</v>
      </c>
      <c r="BE202" s="160">
        <f t="shared" si="213"/>
        <v>611.87102927447268</v>
      </c>
      <c r="BF202" s="144">
        <f t="shared" si="213"/>
        <v>0</v>
      </c>
      <c r="BG202" s="109">
        <f t="shared" si="213"/>
        <v>2.2737367544323206E-13</v>
      </c>
      <c r="BH202" s="161">
        <f t="shared" si="213"/>
        <v>837.73144614050943</v>
      </c>
      <c r="BI202" s="160">
        <f t="shared" si="213"/>
        <v>445.99895627408307</v>
      </c>
      <c r="BJ202" s="160">
        <f t="shared" si="213"/>
        <v>382.1565486051951</v>
      </c>
      <c r="BK202" s="144">
        <f t="shared" si="213"/>
        <v>129.80415457476394</v>
      </c>
      <c r="BL202" s="109">
        <f t="shared" si="213"/>
        <v>129.80415457476442</v>
      </c>
      <c r="BM202" s="161">
        <f>+BM198</f>
        <v>0</v>
      </c>
      <c r="BN202" s="160">
        <f>+BN198</f>
        <v>0</v>
      </c>
      <c r="BO202" s="160">
        <f>+BO198</f>
        <v>649.59838651138421</v>
      </c>
      <c r="BP202" s="144">
        <f>+BP198</f>
        <v>700.11105375366594</v>
      </c>
      <c r="BQ202" s="109">
        <f>+BQ198</f>
        <v>700.11105375366583</v>
      </c>
      <c r="BR202" s="242"/>
      <c r="BS202" s="242"/>
      <c r="BT202" s="242"/>
      <c r="BU202" s="242"/>
      <c r="BV202" s="242"/>
      <c r="BW202" s="242"/>
      <c r="BX202" s="242"/>
      <c r="BY202" s="242"/>
      <c r="BZ202" s="242"/>
      <c r="CA202" s="242"/>
      <c r="CB202" s="242"/>
      <c r="CC202" s="242"/>
      <c r="CD202" s="242"/>
      <c r="CE202" s="242"/>
      <c r="CF202" s="242"/>
      <c r="CG202" s="242"/>
      <c r="CH202" s="242"/>
      <c r="CI202" s="242"/>
      <c r="CJ202" s="242"/>
      <c r="CK202" s="242"/>
      <c r="CL202" s="242"/>
      <c r="CM202" s="242"/>
      <c r="CN202" s="242"/>
      <c r="CO202" s="242"/>
      <c r="CP202" s="242"/>
      <c r="CQ202" s="242"/>
      <c r="CR202" s="242"/>
      <c r="CS202" s="242"/>
      <c r="CT202" s="242"/>
      <c r="CU202" s="242"/>
    </row>
    <row r="203" spans="1:108">
      <c r="A203" s="242"/>
      <c r="B203" s="242"/>
      <c r="C203" s="100"/>
      <c r="D203" s="109"/>
      <c r="E203" s="362"/>
      <c r="F203" s="363"/>
      <c r="G203" s="363"/>
      <c r="H203" s="364"/>
      <c r="I203" s="365"/>
      <c r="J203" s="362"/>
      <c r="K203" s="363"/>
      <c r="L203" s="363"/>
      <c r="M203" s="364"/>
      <c r="N203" s="365"/>
      <c r="O203" s="362"/>
      <c r="P203" s="348"/>
      <c r="Q203" s="348"/>
      <c r="R203" s="364"/>
      <c r="S203" s="365"/>
      <c r="T203" s="362"/>
      <c r="U203" s="348"/>
      <c r="V203" s="348"/>
      <c r="W203" s="364"/>
      <c r="X203" s="1206"/>
      <c r="Y203" s="1202"/>
      <c r="Z203" s="1204"/>
      <c r="AA203" s="1204"/>
      <c r="AB203" s="1205"/>
      <c r="AC203" s="1206"/>
      <c r="AD203" s="1202"/>
      <c r="AE203" s="1204"/>
      <c r="AF203" s="1204"/>
      <c r="AG203" s="1205"/>
      <c r="AH203" s="1206"/>
      <c r="AI203" s="1202"/>
      <c r="AJ203" s="1204"/>
      <c r="AK203" s="1204"/>
      <c r="AL203" s="1205"/>
      <c r="AM203" s="1206"/>
      <c r="AN203" s="1202"/>
      <c r="AO203" s="1204"/>
      <c r="AP203" s="1204"/>
      <c r="AQ203" s="1205"/>
      <c r="AR203" s="1206"/>
      <c r="AS203" s="1202"/>
      <c r="AT203" s="1204"/>
      <c r="AU203" s="1204"/>
      <c r="AV203" s="1205"/>
      <c r="AW203" s="1206"/>
      <c r="AX203" s="161"/>
      <c r="AY203" s="162"/>
      <c r="AZ203" s="162"/>
      <c r="BA203" s="144"/>
      <c r="BB203" s="242"/>
      <c r="BC203" s="161"/>
      <c r="BD203" s="162"/>
      <c r="BE203" s="162"/>
      <c r="BF203" s="144"/>
      <c r="BG203" s="242"/>
      <c r="BH203" s="161"/>
      <c r="BI203" s="162"/>
      <c r="BJ203" s="162"/>
      <c r="BK203" s="144"/>
      <c r="BL203" s="242"/>
      <c r="BM203" s="161"/>
      <c r="BN203" s="162"/>
      <c r="BO203" s="162"/>
      <c r="BP203" s="144"/>
      <c r="BQ203" s="242"/>
      <c r="BR203" s="242"/>
      <c r="BS203" s="242"/>
      <c r="BT203" s="242"/>
      <c r="BU203" s="242"/>
      <c r="BV203" s="242"/>
      <c r="BW203" s="242"/>
      <c r="BX203" s="242"/>
      <c r="BY203" s="242"/>
      <c r="BZ203" s="242"/>
      <c r="CA203" s="242"/>
      <c r="CB203" s="242"/>
      <c r="CC203" s="242"/>
      <c r="CD203" s="242"/>
      <c r="CE203" s="242"/>
      <c r="CF203" s="242"/>
      <c r="CG203" s="242"/>
      <c r="CH203" s="242"/>
      <c r="CI203" s="242"/>
      <c r="CJ203" s="242"/>
      <c r="CK203" s="242"/>
      <c r="CL203" s="242"/>
      <c r="CM203" s="242"/>
      <c r="CN203" s="242"/>
      <c r="CO203" s="242"/>
      <c r="CP203" s="242"/>
      <c r="CQ203" s="242"/>
      <c r="CR203" s="242"/>
      <c r="CS203" s="242"/>
      <c r="CT203" s="242"/>
      <c r="CU203" s="242"/>
    </row>
    <row r="204" spans="1:108">
      <c r="A204" s="242"/>
      <c r="B204" s="242"/>
      <c r="C204" s="100" t="s">
        <v>183</v>
      </c>
      <c r="D204" s="109"/>
      <c r="E204" s="142"/>
      <c r="F204" s="143"/>
      <c r="G204" s="143"/>
      <c r="H204" s="147"/>
      <c r="I204" s="145"/>
      <c r="J204" s="142"/>
      <c r="K204" s="143"/>
      <c r="L204" s="143"/>
      <c r="M204" s="147"/>
      <c r="N204" s="145"/>
      <c r="O204" s="142"/>
      <c r="P204" s="143"/>
      <c r="Q204" s="143"/>
      <c r="R204" s="147"/>
      <c r="S204" s="145"/>
      <c r="T204" s="142"/>
      <c r="U204" s="143"/>
      <c r="V204" s="143"/>
      <c r="W204" s="147"/>
      <c r="X204" s="1206">
        <f>'Utility Detail'!X123</f>
        <v>194.33200000000002</v>
      </c>
      <c r="Y204" s="1202">
        <f>'Utility Detail'!Y123</f>
        <v>131.69399999999999</v>
      </c>
      <c r="Z204" s="1204">
        <f>'Utility Detail'!Z123</f>
        <v>163.29</v>
      </c>
      <c r="AA204" s="1204">
        <f>'Utility Detail'!AA123</f>
        <v>291.31299999999999</v>
      </c>
      <c r="AB204" s="1205">
        <f>AC204</f>
        <v>83.1</v>
      </c>
      <c r="AC204" s="1206">
        <f>'Utility Detail'!AC123</f>
        <v>83.1</v>
      </c>
      <c r="AD204" s="1202">
        <f>'Utility Detail'!AD123</f>
        <v>240.36500000000001</v>
      </c>
      <c r="AE204" s="1204">
        <f>'Utility Detail'!AE123</f>
        <v>273.315</v>
      </c>
      <c r="AF204" s="1204">
        <f>'Utility Detail'!AF123</f>
        <v>208.596</v>
      </c>
      <c r="AG204" s="1205">
        <f>AH204</f>
        <v>373.03900000000004</v>
      </c>
      <c r="AH204" s="1206">
        <f>'Utility Detail'!AH123</f>
        <v>373.03900000000004</v>
      </c>
      <c r="AI204" s="1202">
        <f>'Utility Detail'!AI123</f>
        <v>207.661</v>
      </c>
      <c r="AJ204" s="1204">
        <f>'Utility Detail'!AJ123</f>
        <v>228.83699999999999</v>
      </c>
      <c r="AK204" s="1204">
        <f>'Utility Detail'!AK123</f>
        <v>211.61199999999999</v>
      </c>
      <c r="AL204" s="1205">
        <f>AM204</f>
        <v>485.20000000000005</v>
      </c>
      <c r="AM204" s="1206">
        <f>'Utility Detail'!AM123</f>
        <v>485.20000000000005</v>
      </c>
      <c r="AN204" s="1202">
        <f>'Utility Detail'!AN123</f>
        <v>337.31100000000004</v>
      </c>
      <c r="AO204" s="1204">
        <f>'Utility Detail'!AO123</f>
        <v>323.25400000000002</v>
      </c>
      <c r="AP204" s="1204">
        <f>'Utility Detail'!AP123</f>
        <v>144.154</v>
      </c>
      <c r="AQ204" s="1205">
        <f>AR204</f>
        <v>269.00699999999995</v>
      </c>
      <c r="AR204" s="1206">
        <f>'Utility Detail'!AR123</f>
        <v>269.00699999999995</v>
      </c>
      <c r="AS204" s="1202">
        <f>'Utility Detail'!AS123</f>
        <v>812.97199999999998</v>
      </c>
      <c r="AT204" s="1204">
        <f>'Utility Detail'!AT123</f>
        <v>56.680999999999997</v>
      </c>
      <c r="AU204" s="1204">
        <f>'Utility Detail'!AU123</f>
        <v>439.80899999999997</v>
      </c>
      <c r="AV204" s="1205">
        <f>AW204</f>
        <v>697.54100000000005</v>
      </c>
      <c r="AW204" s="1206">
        <f>'Utility Detail'!AW123</f>
        <v>697.54100000000005</v>
      </c>
      <c r="AX204" s="161">
        <f>+AW204+AX197</f>
        <v>1145.8919555290447</v>
      </c>
      <c r="AY204" s="160">
        <f>+AX204+AY197</f>
        <v>1546.2179473860231</v>
      </c>
      <c r="AZ204" s="160">
        <f>+AY204+AZ197</f>
        <v>0</v>
      </c>
      <c r="BA204" s="144">
        <f>+AZ204+BA197</f>
        <v>122.94288250850121</v>
      </c>
      <c r="BB204" s="109">
        <f>+BA204</f>
        <v>122.94288250850121</v>
      </c>
      <c r="BC204" s="161">
        <f>+BB204+BC197</f>
        <v>1225.8215853724332</v>
      </c>
      <c r="BD204" s="160">
        <f>+BC204+BD197</f>
        <v>1655.5098003494627</v>
      </c>
      <c r="BE204" s="160">
        <f>+BD204+BE197</f>
        <v>0</v>
      </c>
      <c r="BF204" s="144">
        <f>+BE204+BF197</f>
        <v>68.665577279599802</v>
      </c>
      <c r="BG204" s="109">
        <f>+BF204</f>
        <v>68.665577279599802</v>
      </c>
      <c r="BH204" s="161">
        <f>+BG204+BH197</f>
        <v>0</v>
      </c>
      <c r="BI204" s="160">
        <f>+BH204+BI197</f>
        <v>0</v>
      </c>
      <c r="BJ204" s="160">
        <f>+BI204+BJ197</f>
        <v>0</v>
      </c>
      <c r="BK204" s="144">
        <f>+BJ204+BK197</f>
        <v>0</v>
      </c>
      <c r="BL204" s="109">
        <f>+BK204</f>
        <v>0</v>
      </c>
      <c r="BM204" s="161">
        <f>+BL204+BM197</f>
        <v>1786.1647499131611</v>
      </c>
      <c r="BN204" s="160">
        <f>+BM204+BN197</f>
        <v>1887.3371233520504</v>
      </c>
      <c r="BO204" s="160">
        <f>+BN204+BO197</f>
        <v>0</v>
      </c>
      <c r="BP204" s="144">
        <f>+BO204+BP197</f>
        <v>0</v>
      </c>
      <c r="BQ204" s="109">
        <f>+BP204</f>
        <v>0</v>
      </c>
      <c r="BR204" s="242"/>
      <c r="BS204" s="242"/>
      <c r="BT204" s="242"/>
      <c r="BU204" s="242"/>
      <c r="BV204" s="242"/>
      <c r="BW204" s="242"/>
      <c r="BX204" s="242"/>
      <c r="BY204" s="242"/>
      <c r="BZ204" s="242"/>
      <c r="CA204" s="242"/>
      <c r="CB204" s="242"/>
      <c r="CC204" s="242"/>
      <c r="CD204" s="242"/>
      <c r="CE204" s="242"/>
      <c r="CF204" s="242"/>
      <c r="CG204" s="242"/>
      <c r="CH204" s="242"/>
      <c r="CI204" s="242"/>
      <c r="CJ204" s="242"/>
      <c r="CK204" s="242"/>
      <c r="CL204" s="242"/>
      <c r="CM204" s="242"/>
      <c r="CN204" s="242"/>
      <c r="CO204" s="242"/>
      <c r="CP204" s="242"/>
      <c r="CQ204" s="242"/>
      <c r="CR204" s="242"/>
      <c r="CS204" s="242"/>
      <c r="CT204" s="242"/>
      <c r="CU204" s="242"/>
    </row>
    <row r="205" spans="1:108">
      <c r="A205" s="242"/>
      <c r="B205" s="242"/>
      <c r="C205" s="100" t="s">
        <v>227</v>
      </c>
      <c r="D205" s="109"/>
      <c r="E205" s="142"/>
      <c r="F205" s="143"/>
      <c r="G205" s="143"/>
      <c r="H205" s="144"/>
      <c r="I205" s="145"/>
      <c r="J205" s="142"/>
      <c r="K205" s="143"/>
      <c r="L205" s="143"/>
      <c r="M205" s="144"/>
      <c r="N205" s="145"/>
      <c r="O205" s="142"/>
      <c r="P205" s="143"/>
      <c r="Q205" s="143"/>
      <c r="R205" s="144"/>
      <c r="S205" s="145"/>
      <c r="T205" s="142"/>
      <c r="U205" s="143"/>
      <c r="V205" s="143"/>
      <c r="W205" s="144"/>
      <c r="X205" s="1206">
        <f>'Utility Detail'!X137</f>
        <v>9532.2479999999996</v>
      </c>
      <c r="Y205" s="1202">
        <f>'Utility Detail'!Y137</f>
        <v>9755.8089999999993</v>
      </c>
      <c r="Z205" s="1204">
        <f>'Utility Detail'!Z137</f>
        <v>9775.0590000000011</v>
      </c>
      <c r="AA205" s="1204">
        <f>'Utility Detail'!AA137</f>
        <v>9461.4930000000004</v>
      </c>
      <c r="AB205" s="1205">
        <f>AC205</f>
        <v>10245.450000000001</v>
      </c>
      <c r="AC205" s="1206">
        <f>'Utility Detail'!AC137</f>
        <v>10245.450000000001</v>
      </c>
      <c r="AD205" s="1202">
        <f>'Utility Detail'!AD137</f>
        <v>10264.288</v>
      </c>
      <c r="AE205" s="1204">
        <f>'Utility Detail'!AE137</f>
        <v>10084.999</v>
      </c>
      <c r="AF205" s="1204">
        <f>'Utility Detail'!AF137</f>
        <v>10137.228999999999</v>
      </c>
      <c r="AG205" s="1205">
        <f>AH205</f>
        <v>10220.972</v>
      </c>
      <c r="AH205" s="1206">
        <f>'Utility Detail'!AH137</f>
        <v>10220.972</v>
      </c>
      <c r="AI205" s="1202">
        <f>'Utility Detail'!AI137</f>
        <v>10850.593999999999</v>
      </c>
      <c r="AJ205" s="1204">
        <f>'Utility Detail'!AJ137</f>
        <v>10835.308999999999</v>
      </c>
      <c r="AK205" s="1204">
        <f>'Utility Detail'!AK137</f>
        <v>10640.565000000001</v>
      </c>
      <c r="AL205" s="1205">
        <f>AM205</f>
        <v>10561.056</v>
      </c>
      <c r="AM205" s="1206">
        <f>'Utility Detail'!AM137</f>
        <v>10561.056</v>
      </c>
      <c r="AN205" s="1202">
        <f>'Utility Detail'!AN137</f>
        <v>10911.909999999998</v>
      </c>
      <c r="AO205" s="1204">
        <f>'Utility Detail'!AO137</f>
        <v>11101.493999999999</v>
      </c>
      <c r="AP205" s="1204">
        <f>'Utility Detail'!AP137</f>
        <v>11329.961000000001</v>
      </c>
      <c r="AQ205" s="1205">
        <f>AR205</f>
        <v>11524.625</v>
      </c>
      <c r="AR205" s="1206">
        <f>'Utility Detail'!AR137</f>
        <v>11524.625</v>
      </c>
      <c r="AS205" s="1202">
        <f>'Utility Detail'!AS137</f>
        <v>11109.258000000002</v>
      </c>
      <c r="AT205" s="1204">
        <f>'Utility Detail'!AT137</f>
        <v>11448.589</v>
      </c>
      <c r="AU205" s="1204">
        <f>'Utility Detail'!AU137</f>
        <v>11402.673999999999</v>
      </c>
      <c r="AV205" s="1205">
        <f>AW205</f>
        <v>11490.678999999998</v>
      </c>
      <c r="AW205" s="1206">
        <f>'Utility Detail'!AW137</f>
        <v>11490.678999999998</v>
      </c>
      <c r="AX205" s="161">
        <f>+AW205+AX186+AX187</f>
        <v>11108.978999999998</v>
      </c>
      <c r="AY205" s="160">
        <f>+AX205+AY186+AY187</f>
        <v>10908.978999999998</v>
      </c>
      <c r="AZ205" s="160">
        <f>+AY205+AZ186+AZ187</f>
        <v>12568.978999999998</v>
      </c>
      <c r="BA205" s="144">
        <f>+AZ205+BA186+BA187</f>
        <v>12493.978999999998</v>
      </c>
      <c r="BB205" s="109">
        <f>+BA205</f>
        <v>12493.978999999998</v>
      </c>
      <c r="BC205" s="161">
        <f>+BB205+BC186+BC187</f>
        <v>11565.478999999998</v>
      </c>
      <c r="BD205" s="160">
        <f>+BC205+BD186+BD187</f>
        <v>11462.919259999997</v>
      </c>
      <c r="BE205" s="160">
        <f>+BD205+BE186+BE187</f>
        <v>13882.919259999997</v>
      </c>
      <c r="BF205" s="144">
        <f>+BE205+BF186+BF187</f>
        <v>13491.628624999998</v>
      </c>
      <c r="BG205" s="109">
        <f>+BF205</f>
        <v>13491.628624999998</v>
      </c>
      <c r="BH205" s="161">
        <f>+BG205+BH186+BH187</f>
        <v>14511.628624999998</v>
      </c>
      <c r="BI205" s="160">
        <f>+BH205+BI186+BI187</f>
        <v>14383.968624999998</v>
      </c>
      <c r="BJ205" s="160">
        <f>+BI205+BJ186+BJ187</f>
        <v>14383.968624999998</v>
      </c>
      <c r="BK205" s="144">
        <f>+BJ205+BK186+BK187</f>
        <v>14341.200828999998</v>
      </c>
      <c r="BL205" s="109">
        <f>+BK205</f>
        <v>14341.200828999998</v>
      </c>
      <c r="BM205" s="161">
        <f>+BL205+BM186+BM187</f>
        <v>13689.200828999998</v>
      </c>
      <c r="BN205" s="160">
        <f>+BM205+BN186+BN187</f>
        <v>13555.387846999998</v>
      </c>
      <c r="BO205" s="160">
        <f>+BN205+BO186+BO187</f>
        <v>15880.387846999998</v>
      </c>
      <c r="BP205" s="144">
        <f>+BO205+BP186+BP187</f>
        <v>15862.887846999998</v>
      </c>
      <c r="BQ205" s="109">
        <f>+BP205</f>
        <v>15862.887846999998</v>
      </c>
      <c r="BR205" s="242"/>
      <c r="BS205" s="242"/>
      <c r="BT205" s="242"/>
      <c r="BU205" s="242"/>
      <c r="BV205" s="242"/>
      <c r="BW205" s="242"/>
      <c r="BX205" s="242"/>
      <c r="BY205" s="242"/>
      <c r="BZ205" s="242"/>
      <c r="CA205" s="242"/>
      <c r="CB205" s="242"/>
      <c r="CC205" s="242"/>
      <c r="CD205" s="242"/>
      <c r="CE205" s="242"/>
      <c r="CF205" s="242"/>
      <c r="CG205" s="242"/>
      <c r="CH205" s="242"/>
      <c r="CI205" s="242"/>
      <c r="CJ205" s="242"/>
      <c r="CK205" s="242"/>
      <c r="CL205" s="242"/>
      <c r="CM205" s="242"/>
      <c r="CN205" s="242"/>
      <c r="CO205" s="242"/>
      <c r="CP205" s="242"/>
      <c r="CQ205" s="242"/>
      <c r="CR205" s="242"/>
      <c r="CS205" s="242"/>
      <c r="CT205" s="242"/>
      <c r="CU205" s="242"/>
    </row>
    <row r="206" spans="1:108">
      <c r="A206" s="242"/>
      <c r="B206" s="242"/>
      <c r="C206" s="164" t="s">
        <v>866</v>
      </c>
      <c r="D206" s="109"/>
      <c r="E206" s="149"/>
      <c r="F206" s="150"/>
      <c r="G206" s="150"/>
      <c r="H206" s="151"/>
      <c r="I206" s="112"/>
      <c r="J206" s="149"/>
      <c r="K206" s="150"/>
      <c r="L206" s="150"/>
      <c r="M206" s="151"/>
      <c r="N206" s="112"/>
      <c r="O206" s="149"/>
      <c r="P206" s="150"/>
      <c r="Q206" s="150"/>
      <c r="R206" s="151"/>
      <c r="S206" s="112"/>
      <c r="T206" s="149"/>
      <c r="U206" s="150"/>
      <c r="V206" s="150"/>
      <c r="W206" s="151"/>
      <c r="X206" s="112">
        <f>SUM(X204:X205)</f>
        <v>9726.58</v>
      </c>
      <c r="Y206" s="149">
        <f>SUM(Y204:Y205)</f>
        <v>9887.5029999999988</v>
      </c>
      <c r="Z206" s="150">
        <f>SUM(Z204:Z205)</f>
        <v>9938.349000000002</v>
      </c>
      <c r="AA206" s="150">
        <f>SUM(AA204:AA205)</f>
        <v>9752.8060000000005</v>
      </c>
      <c r="AB206" s="151">
        <f>+AC206</f>
        <v>10328.550000000001</v>
      </c>
      <c r="AC206" s="112">
        <f>SUM(AC204:AC205)</f>
        <v>10328.550000000001</v>
      </c>
      <c r="AD206" s="149">
        <f>SUM(AD204:AD205)</f>
        <v>10504.653</v>
      </c>
      <c r="AE206" s="150">
        <f>SUM(AE204:AE205)</f>
        <v>10358.314</v>
      </c>
      <c r="AF206" s="150">
        <f>SUM(AF204:AF205)</f>
        <v>10345.824999999999</v>
      </c>
      <c r="AG206" s="151">
        <f>+AH206</f>
        <v>10594.011</v>
      </c>
      <c r="AH206" s="112">
        <f>SUM(AH204:AH205)</f>
        <v>10594.011</v>
      </c>
      <c r="AI206" s="149">
        <f>SUM(AI204:AI205)</f>
        <v>11058.254999999999</v>
      </c>
      <c r="AJ206" s="150">
        <f>SUM(AJ204:AJ205)</f>
        <v>11064.145999999999</v>
      </c>
      <c r="AK206" s="150">
        <f>SUM(AK204:AK205)</f>
        <v>10852.177</v>
      </c>
      <c r="AL206" s="151">
        <f>+AM206</f>
        <v>11046.256000000001</v>
      </c>
      <c r="AM206" s="112">
        <f>SUM(AM204:AM205)</f>
        <v>11046.256000000001</v>
      </c>
      <c r="AN206" s="149">
        <f>SUM(AN204:AN205)</f>
        <v>11249.220999999998</v>
      </c>
      <c r="AO206" s="150">
        <f>SUM(AO204:AO205)</f>
        <v>11424.748</v>
      </c>
      <c r="AP206" s="150">
        <f>SUM(AP204:AP205)</f>
        <v>11474.115000000002</v>
      </c>
      <c r="AQ206" s="151">
        <f>+AR206</f>
        <v>11793.632</v>
      </c>
      <c r="AR206" s="112">
        <f t="shared" ref="AR206" si="214">SUM(AR204:AR205)</f>
        <v>11793.632</v>
      </c>
      <c r="AS206" s="149">
        <f>SUM(AS204:AS205)</f>
        <v>11922.230000000001</v>
      </c>
      <c r="AT206" s="150">
        <f>SUM(AT204:AT205)</f>
        <v>11505.27</v>
      </c>
      <c r="AU206" s="150">
        <f>SUM(AU204:AU205)</f>
        <v>11842.482999999998</v>
      </c>
      <c r="AV206" s="151">
        <f>+AW206</f>
        <v>12188.219999999998</v>
      </c>
      <c r="AW206" s="112">
        <f t="shared" ref="AW206" si="215">SUM(AW204:AW205)</f>
        <v>12188.219999999998</v>
      </c>
      <c r="AX206" s="149">
        <f t="shared" ref="AX206:BL206" si="216">SUM(AX204:AX205)</f>
        <v>12254.870955529042</v>
      </c>
      <c r="AY206" s="150">
        <f t="shared" si="216"/>
        <v>12455.196947386021</v>
      </c>
      <c r="AZ206" s="150">
        <f t="shared" si="216"/>
        <v>12568.978999999998</v>
      </c>
      <c r="BA206" s="151">
        <f t="shared" si="216"/>
        <v>12616.921882508499</v>
      </c>
      <c r="BB206" s="112">
        <f t="shared" si="216"/>
        <v>12616.921882508499</v>
      </c>
      <c r="BC206" s="149">
        <f t="shared" si="216"/>
        <v>12791.300585372432</v>
      </c>
      <c r="BD206" s="150">
        <f t="shared" si="216"/>
        <v>13118.429060349459</v>
      </c>
      <c r="BE206" s="150">
        <f t="shared" si="216"/>
        <v>13882.919259999997</v>
      </c>
      <c r="BF206" s="151">
        <f t="shared" si="216"/>
        <v>13560.294202279598</v>
      </c>
      <c r="BG206" s="112">
        <f t="shared" si="216"/>
        <v>13560.294202279598</v>
      </c>
      <c r="BH206" s="149">
        <f t="shared" si="216"/>
        <v>14511.628624999998</v>
      </c>
      <c r="BI206" s="150">
        <f t="shared" si="216"/>
        <v>14383.968624999998</v>
      </c>
      <c r="BJ206" s="150">
        <f t="shared" si="216"/>
        <v>14383.968624999998</v>
      </c>
      <c r="BK206" s="151">
        <f t="shared" si="216"/>
        <v>14341.200828999998</v>
      </c>
      <c r="BL206" s="112">
        <f t="shared" si="216"/>
        <v>14341.200828999998</v>
      </c>
      <c r="BM206" s="149">
        <f>SUM(BM204:BM205)</f>
        <v>15475.365578913159</v>
      </c>
      <c r="BN206" s="150">
        <f>SUM(BN204:BN205)</f>
        <v>15442.724970352048</v>
      </c>
      <c r="BO206" s="150">
        <f>SUM(BO204:BO205)</f>
        <v>15880.387846999998</v>
      </c>
      <c r="BP206" s="151">
        <f>SUM(BP204:BP205)</f>
        <v>15862.887846999998</v>
      </c>
      <c r="BQ206" s="112">
        <f>SUM(BQ204:BQ205)</f>
        <v>15862.887846999998</v>
      </c>
      <c r="BR206" s="242"/>
      <c r="BS206" s="242"/>
      <c r="BT206" s="242"/>
      <c r="BU206" s="242"/>
      <c r="BV206" s="242"/>
      <c r="BW206" s="242"/>
      <c r="BX206" s="242"/>
      <c r="BY206" s="242"/>
      <c r="BZ206" s="242"/>
      <c r="CA206" s="242"/>
      <c r="CB206" s="242"/>
      <c r="CC206" s="242"/>
      <c r="CD206" s="242"/>
      <c r="CE206" s="242"/>
      <c r="CF206" s="242"/>
      <c r="CG206" s="242"/>
      <c r="CH206" s="242"/>
      <c r="CI206" s="242"/>
      <c r="CJ206" s="242"/>
      <c r="CK206" s="242"/>
      <c r="CL206" s="242"/>
      <c r="CM206" s="242"/>
      <c r="CN206" s="242"/>
      <c r="CO206" s="242"/>
      <c r="CP206" s="242"/>
      <c r="CQ206" s="242"/>
      <c r="CR206" s="242"/>
      <c r="CS206" s="242"/>
      <c r="CT206" s="242"/>
      <c r="CU206" s="242"/>
    </row>
    <row r="207" spans="1:108">
      <c r="A207" s="75"/>
      <c r="B207" s="75"/>
      <c r="C207" s="269" t="s">
        <v>185</v>
      </c>
      <c r="D207" s="75"/>
      <c r="E207" s="270"/>
      <c r="F207" s="271"/>
      <c r="G207" s="271"/>
      <c r="H207" s="272"/>
      <c r="I207" s="273"/>
      <c r="J207" s="270"/>
      <c r="K207" s="271"/>
      <c r="L207" s="271"/>
      <c r="M207" s="272"/>
      <c r="N207" s="273"/>
      <c r="O207" s="270"/>
      <c r="P207" s="271"/>
      <c r="Q207" s="271"/>
      <c r="R207" s="272"/>
      <c r="S207" s="273"/>
      <c r="T207" s="270"/>
      <c r="U207" s="271"/>
      <c r="V207" s="271"/>
      <c r="W207" s="272"/>
      <c r="X207" s="273">
        <f t="shared" ref="X207:AH207" si="217">+X206/X215</f>
        <v>0.53291460993672524</v>
      </c>
      <c r="Y207" s="270">
        <f t="shared" si="217"/>
        <v>0.5357401274028919</v>
      </c>
      <c r="Z207" s="271">
        <f t="shared" si="217"/>
        <v>0.53617584309989197</v>
      </c>
      <c r="AA207" s="271">
        <f t="shared" si="217"/>
        <v>0.52977684288656279</v>
      </c>
      <c r="AB207" s="272">
        <f t="shared" si="217"/>
        <v>0.52734194905376064</v>
      </c>
      <c r="AC207" s="273">
        <f t="shared" si="217"/>
        <v>0.52734194905376064</v>
      </c>
      <c r="AD207" s="270">
        <f t="shared" si="217"/>
        <v>0.52963615088569382</v>
      </c>
      <c r="AE207" s="271">
        <f t="shared" si="217"/>
        <v>0.52537995693110517</v>
      </c>
      <c r="AF207" s="271">
        <f t="shared" si="217"/>
        <v>0.5232750572623116</v>
      </c>
      <c r="AG207" s="272">
        <f t="shared" si="217"/>
        <v>0.53036098201285153</v>
      </c>
      <c r="AH207" s="273">
        <f t="shared" si="217"/>
        <v>0.53036098201285153</v>
      </c>
      <c r="AI207" s="270">
        <f t="shared" ref="AI207:AN207" si="218">+AI206/AI215</f>
        <v>0.53686562181762254</v>
      </c>
      <c r="AJ207" s="271">
        <f t="shared" si="218"/>
        <v>0.53397241227203374</v>
      </c>
      <c r="AK207" s="271">
        <f t="shared" si="218"/>
        <v>0.52710994633737185</v>
      </c>
      <c r="AL207" s="272">
        <f t="shared" si="218"/>
        <v>0.53167565013722851</v>
      </c>
      <c r="AM207" s="273">
        <f t="shared" si="218"/>
        <v>0.53167565013722851</v>
      </c>
      <c r="AN207" s="270">
        <f t="shared" si="218"/>
        <v>0.53265699992201365</v>
      </c>
      <c r="AO207" s="271">
        <f t="shared" ref="AO207:AS207" si="219">+AO206/AO215</f>
        <v>0.53508632573008452</v>
      </c>
      <c r="AP207" s="271">
        <f t="shared" si="219"/>
        <v>0.53146459827695847</v>
      </c>
      <c r="AQ207" s="272">
        <f t="shared" si="219"/>
        <v>0.53764466632691665</v>
      </c>
      <c r="AR207" s="273">
        <f t="shared" si="219"/>
        <v>0.53764466632691665</v>
      </c>
      <c r="AS207" s="270">
        <f t="shared" si="219"/>
        <v>0.54002648261972208</v>
      </c>
      <c r="AT207" s="271">
        <f t="shared" ref="AT207:AW207" si="220">+AT206/AT215</f>
        <v>0.53051366442941628</v>
      </c>
      <c r="AU207" s="271">
        <f t="shared" si="220"/>
        <v>0.53357564182810091</v>
      </c>
      <c r="AV207" s="272">
        <f t="shared" si="220"/>
        <v>0.53926967620732313</v>
      </c>
      <c r="AW207" s="273">
        <f t="shared" si="220"/>
        <v>0.53926967620732313</v>
      </c>
      <c r="AX207" s="270">
        <f t="shared" ref="AX207:BL207" si="221">+AX206/AX215</f>
        <v>0.53505490491292618</v>
      </c>
      <c r="AY207" s="271">
        <f t="shared" si="221"/>
        <v>0.53649325218607113</v>
      </c>
      <c r="AZ207" s="271">
        <f t="shared" si="221"/>
        <v>0.53197364343872366</v>
      </c>
      <c r="BA207" s="272">
        <f t="shared" si="221"/>
        <v>0.52944534610902616</v>
      </c>
      <c r="BB207" s="273">
        <f t="shared" si="221"/>
        <v>0.52944534610902616</v>
      </c>
      <c r="BC207" s="270">
        <f t="shared" si="221"/>
        <v>0.52622979002306247</v>
      </c>
      <c r="BD207" s="271">
        <f t="shared" si="221"/>
        <v>0.52931490505641632</v>
      </c>
      <c r="BE207" s="271">
        <f t="shared" si="221"/>
        <v>0.53669915813977154</v>
      </c>
      <c r="BF207" s="272">
        <f t="shared" si="221"/>
        <v>0.52718262323735743</v>
      </c>
      <c r="BG207" s="273">
        <f t="shared" si="221"/>
        <v>0.52718262323735743</v>
      </c>
      <c r="BH207" s="270">
        <f t="shared" si="221"/>
        <v>0.53868507586188952</v>
      </c>
      <c r="BI207" s="271">
        <f t="shared" si="221"/>
        <v>0.53432909244945714</v>
      </c>
      <c r="BJ207" s="271">
        <f t="shared" si="221"/>
        <v>0.52834423385297691</v>
      </c>
      <c r="BK207" s="272">
        <f t="shared" si="221"/>
        <v>0.52459952394491516</v>
      </c>
      <c r="BL207" s="273">
        <f t="shared" si="221"/>
        <v>0.52459952394491516</v>
      </c>
      <c r="BM207" s="270">
        <f>+BM206/BM215</f>
        <v>0.53499128185816192</v>
      </c>
      <c r="BN207" s="271">
        <f>+BN206/BN215</f>
        <v>0.52927314818024973</v>
      </c>
      <c r="BO207" s="271">
        <f>+BO206/BO215</f>
        <v>0.52802335057283056</v>
      </c>
      <c r="BP207" s="272">
        <f>+BP206/BP215</f>
        <v>0.52229476969838418</v>
      </c>
      <c r="BQ207" s="273">
        <f>+BQ206/BQ215</f>
        <v>0.52229476969838418</v>
      </c>
      <c r="BR207" s="75"/>
      <c r="BS207" s="75"/>
      <c r="BT207" s="75"/>
      <c r="BU207" s="75"/>
      <c r="BV207" s="75"/>
      <c r="BW207" s="75"/>
      <c r="BX207" s="75"/>
      <c r="BY207" s="75"/>
      <c r="BZ207" s="75"/>
      <c r="CA207" s="75"/>
      <c r="CB207" s="75"/>
      <c r="CC207" s="75"/>
      <c r="CD207" s="75"/>
      <c r="CE207" s="75"/>
      <c r="CF207" s="75"/>
      <c r="CG207" s="75"/>
      <c r="CH207" s="75"/>
      <c r="CI207" s="75"/>
      <c r="CJ207" s="75"/>
      <c r="CK207" s="75"/>
      <c r="CL207" s="75"/>
      <c r="CM207" s="75"/>
      <c r="CN207" s="75"/>
      <c r="CO207" s="75"/>
      <c r="CP207" s="75"/>
      <c r="CQ207" s="75"/>
      <c r="CR207" s="75"/>
      <c r="CS207" s="75"/>
      <c r="CT207" s="75"/>
      <c r="CU207" s="75"/>
    </row>
    <row r="208" spans="1:108">
      <c r="A208" s="303"/>
      <c r="B208" s="303"/>
      <c r="C208" s="366"/>
      <c r="D208" s="303"/>
      <c r="E208" s="305"/>
      <c r="F208" s="306"/>
      <c r="G208" s="306"/>
      <c r="H208" s="307"/>
      <c r="I208" s="303"/>
      <c r="J208" s="305"/>
      <c r="K208" s="306"/>
      <c r="L208" s="306"/>
      <c r="M208" s="307"/>
      <c r="N208" s="303"/>
      <c r="O208" s="305"/>
      <c r="P208" s="306"/>
      <c r="Q208" s="306"/>
      <c r="R208" s="307"/>
      <c r="S208" s="303"/>
      <c r="T208" s="305"/>
      <c r="U208" s="306"/>
      <c r="V208" s="306"/>
      <c r="W208" s="307"/>
      <c r="X208" s="1249"/>
      <c r="Y208" s="1250"/>
      <c r="Z208" s="1251"/>
      <c r="AA208" s="1251"/>
      <c r="AB208" s="1252"/>
      <c r="AC208" s="1249"/>
      <c r="AD208" s="1250"/>
      <c r="AE208" s="1251"/>
      <c r="AF208" s="1251"/>
      <c r="AG208" s="1252"/>
      <c r="AH208" s="1249"/>
      <c r="AI208" s="1250"/>
      <c r="AJ208" s="1251"/>
      <c r="AK208" s="1251"/>
      <c r="AL208" s="1252"/>
      <c r="AM208" s="1249"/>
      <c r="AN208" s="1250"/>
      <c r="AO208" s="1251"/>
      <c r="AP208" s="1251"/>
      <c r="AQ208" s="1252"/>
      <c r="AR208" s="1249"/>
      <c r="AS208" s="1250"/>
      <c r="AT208" s="1251"/>
      <c r="AU208" s="1251"/>
      <c r="AV208" s="1252"/>
      <c r="AW208" s="1249"/>
      <c r="AX208" s="305"/>
      <c r="AY208" s="306"/>
      <c r="AZ208" s="306"/>
      <c r="BA208" s="307"/>
      <c r="BB208" s="303"/>
      <c r="BC208" s="305"/>
      <c r="BD208" s="306"/>
      <c r="BE208" s="306"/>
      <c r="BF208" s="307"/>
      <c r="BG208" s="303"/>
      <c r="BH208" s="305"/>
      <c r="BI208" s="306"/>
      <c r="BJ208" s="306"/>
      <c r="BK208" s="307"/>
      <c r="BL208" s="303"/>
      <c r="BM208" s="305"/>
      <c r="BN208" s="306"/>
      <c r="BO208" s="306"/>
      <c r="BP208" s="307"/>
      <c r="BQ208" s="303"/>
      <c r="BR208" s="303"/>
      <c r="BS208" s="303"/>
      <c r="BT208" s="303"/>
      <c r="BU208" s="303"/>
      <c r="BV208" s="303"/>
      <c r="BW208" s="303"/>
      <c r="BX208" s="303"/>
      <c r="BY208" s="303"/>
      <c r="BZ208" s="303"/>
      <c r="CA208" s="303"/>
      <c r="CB208" s="303"/>
      <c r="CC208" s="303"/>
      <c r="CD208" s="303"/>
      <c r="CE208" s="303"/>
      <c r="CF208" s="303"/>
      <c r="CG208" s="303"/>
      <c r="CH208" s="303"/>
      <c r="CI208" s="303"/>
      <c r="CJ208" s="303"/>
      <c r="CK208" s="303"/>
      <c r="CL208" s="303"/>
      <c r="CM208" s="303"/>
      <c r="CN208" s="303"/>
      <c r="CO208" s="303"/>
      <c r="CP208" s="303"/>
      <c r="CQ208" s="303"/>
      <c r="CR208" s="303"/>
      <c r="CS208" s="303"/>
      <c r="CT208" s="303"/>
      <c r="CU208" s="303"/>
    </row>
    <row r="209" spans="1:99">
      <c r="A209" s="242"/>
      <c r="B209" s="242"/>
      <c r="C209" s="164" t="s">
        <v>186</v>
      </c>
      <c r="D209" s="109"/>
      <c r="E209" s="256"/>
      <c r="F209" s="257"/>
      <c r="G209" s="257"/>
      <c r="H209" s="147"/>
      <c r="I209" s="258"/>
      <c r="J209" s="256"/>
      <c r="K209" s="257"/>
      <c r="L209" s="257"/>
      <c r="M209" s="147"/>
      <c r="N209" s="258"/>
      <c r="O209" s="256"/>
      <c r="P209" s="257"/>
      <c r="Q209" s="257"/>
      <c r="R209" s="147"/>
      <c r="S209" s="258"/>
      <c r="T209" s="256"/>
      <c r="U209" s="257"/>
      <c r="V209" s="257"/>
      <c r="W209" s="147"/>
      <c r="X209" s="258">
        <v>0</v>
      </c>
      <c r="Y209" s="256">
        <v>0</v>
      </c>
      <c r="Z209" s="257">
        <v>0</v>
      </c>
      <c r="AA209" s="257">
        <v>0</v>
      </c>
      <c r="AB209" s="1221">
        <f>AC209</f>
        <v>0</v>
      </c>
      <c r="AC209" s="258">
        <v>0</v>
      </c>
      <c r="AD209" s="256">
        <v>0</v>
      </c>
      <c r="AE209" s="257">
        <v>0</v>
      </c>
      <c r="AF209" s="257">
        <v>0</v>
      </c>
      <c r="AG209" s="1221">
        <f>AH209</f>
        <v>0</v>
      </c>
      <c r="AH209" s="258">
        <v>0</v>
      </c>
      <c r="AI209" s="256">
        <v>0</v>
      </c>
      <c r="AJ209" s="257">
        <v>0</v>
      </c>
      <c r="AK209" s="257">
        <v>0</v>
      </c>
      <c r="AL209" s="1221">
        <f>AM209</f>
        <v>0</v>
      </c>
      <c r="AM209" s="258">
        <v>0</v>
      </c>
      <c r="AN209" s="256">
        <v>0</v>
      </c>
      <c r="AO209" s="257">
        <v>0</v>
      </c>
      <c r="AP209" s="257">
        <v>0</v>
      </c>
      <c r="AQ209" s="1221">
        <f>AR209</f>
        <v>0</v>
      </c>
      <c r="AR209" s="258">
        <v>0</v>
      </c>
      <c r="AS209" s="256">
        <v>0</v>
      </c>
      <c r="AT209" s="257">
        <v>0</v>
      </c>
      <c r="AU209" s="257">
        <v>0</v>
      </c>
      <c r="AV209" s="1221">
        <f>AW209</f>
        <v>0</v>
      </c>
      <c r="AW209" s="258">
        <v>0</v>
      </c>
      <c r="AX209" s="149">
        <f t="shared" ref="AX209:BL209" si="222">+AW209</f>
        <v>0</v>
      </c>
      <c r="AY209" s="150">
        <f t="shared" si="222"/>
        <v>0</v>
      </c>
      <c r="AZ209" s="150">
        <f t="shared" si="222"/>
        <v>0</v>
      </c>
      <c r="BA209" s="151">
        <f t="shared" si="222"/>
        <v>0</v>
      </c>
      <c r="BB209" s="112">
        <f t="shared" si="222"/>
        <v>0</v>
      </c>
      <c r="BC209" s="149">
        <f t="shared" si="222"/>
        <v>0</v>
      </c>
      <c r="BD209" s="150">
        <f t="shared" si="222"/>
        <v>0</v>
      </c>
      <c r="BE209" s="150">
        <f t="shared" si="222"/>
        <v>0</v>
      </c>
      <c r="BF209" s="151">
        <f t="shared" si="222"/>
        <v>0</v>
      </c>
      <c r="BG209" s="112">
        <f t="shared" si="222"/>
        <v>0</v>
      </c>
      <c r="BH209" s="149">
        <f t="shared" si="222"/>
        <v>0</v>
      </c>
      <c r="BI209" s="150">
        <f t="shared" si="222"/>
        <v>0</v>
      </c>
      <c r="BJ209" s="150">
        <f t="shared" si="222"/>
        <v>0</v>
      </c>
      <c r="BK209" s="151">
        <f t="shared" si="222"/>
        <v>0</v>
      </c>
      <c r="BL209" s="112">
        <f t="shared" si="222"/>
        <v>0</v>
      </c>
      <c r="BM209" s="149">
        <f>+BL209</f>
        <v>0</v>
      </c>
      <c r="BN209" s="150">
        <f>+BM209</f>
        <v>0</v>
      </c>
      <c r="BO209" s="150">
        <f>+BN209</f>
        <v>0</v>
      </c>
      <c r="BP209" s="151">
        <f>+BO209</f>
        <v>0</v>
      </c>
      <c r="BQ209" s="112">
        <f>+BP209</f>
        <v>0</v>
      </c>
      <c r="BR209" s="242"/>
      <c r="BS209" s="242"/>
      <c r="BT209" s="242"/>
      <c r="BU209" s="242"/>
      <c r="BV209" s="242"/>
      <c r="BW209" s="242"/>
      <c r="BX209" s="242"/>
      <c r="BY209" s="242"/>
      <c r="BZ209" s="242"/>
      <c r="CA209" s="242"/>
      <c r="CB209" s="242"/>
      <c r="CC209" s="242"/>
      <c r="CD209" s="242"/>
      <c r="CE209" s="242"/>
      <c r="CF209" s="242"/>
      <c r="CG209" s="242"/>
      <c r="CH209" s="242"/>
      <c r="CI209" s="242"/>
      <c r="CJ209" s="242"/>
      <c r="CK209" s="242"/>
      <c r="CL209" s="242"/>
      <c r="CM209" s="242"/>
      <c r="CN209" s="242"/>
      <c r="CO209" s="242"/>
      <c r="CP209" s="242"/>
      <c r="CQ209" s="242"/>
      <c r="CR209" s="242"/>
      <c r="CS209" s="242"/>
      <c r="CT209" s="242"/>
      <c r="CU209" s="242"/>
    </row>
    <row r="210" spans="1:99">
      <c r="A210" s="75"/>
      <c r="B210" s="75"/>
      <c r="C210" s="269" t="s">
        <v>185</v>
      </c>
      <c r="D210" s="75"/>
      <c r="E210" s="270"/>
      <c r="F210" s="271"/>
      <c r="G210" s="271"/>
      <c r="H210" s="272"/>
      <c r="I210" s="273"/>
      <c r="J210" s="270"/>
      <c r="K210" s="271"/>
      <c r="L210" s="271"/>
      <c r="M210" s="272"/>
      <c r="N210" s="273"/>
      <c r="O210" s="270"/>
      <c r="P210" s="271"/>
      <c r="Q210" s="271"/>
      <c r="R210" s="272"/>
      <c r="S210" s="273"/>
      <c r="T210" s="270"/>
      <c r="U210" s="271"/>
      <c r="V210" s="271"/>
      <c r="W210" s="272"/>
      <c r="X210" s="273">
        <f t="shared" ref="X210:AH210" si="223">+X209/X215</f>
        <v>0</v>
      </c>
      <c r="Y210" s="270">
        <f t="shared" si="223"/>
        <v>0</v>
      </c>
      <c r="Z210" s="271">
        <f t="shared" si="223"/>
        <v>0</v>
      </c>
      <c r="AA210" s="271">
        <f t="shared" si="223"/>
        <v>0</v>
      </c>
      <c r="AB210" s="272">
        <f t="shared" si="223"/>
        <v>0</v>
      </c>
      <c r="AC210" s="273">
        <f t="shared" si="223"/>
        <v>0</v>
      </c>
      <c r="AD210" s="270">
        <f t="shared" si="223"/>
        <v>0</v>
      </c>
      <c r="AE210" s="271">
        <f t="shared" si="223"/>
        <v>0</v>
      </c>
      <c r="AF210" s="271">
        <f t="shared" si="223"/>
        <v>0</v>
      </c>
      <c r="AG210" s="272">
        <f t="shared" si="223"/>
        <v>0</v>
      </c>
      <c r="AH210" s="273">
        <f t="shared" si="223"/>
        <v>0</v>
      </c>
      <c r="AI210" s="270">
        <f t="shared" ref="AI210:AN210" si="224">+AI209/AI215</f>
        <v>0</v>
      </c>
      <c r="AJ210" s="271">
        <f t="shared" si="224"/>
        <v>0</v>
      </c>
      <c r="AK210" s="271">
        <f t="shared" si="224"/>
        <v>0</v>
      </c>
      <c r="AL210" s="272">
        <f t="shared" si="224"/>
        <v>0</v>
      </c>
      <c r="AM210" s="273">
        <f t="shared" si="224"/>
        <v>0</v>
      </c>
      <c r="AN210" s="270">
        <f t="shared" si="224"/>
        <v>0</v>
      </c>
      <c r="AO210" s="271">
        <f t="shared" ref="AO210:AS210" si="225">+AO209/AO215</f>
        <v>0</v>
      </c>
      <c r="AP210" s="271">
        <f t="shared" si="225"/>
        <v>0</v>
      </c>
      <c r="AQ210" s="272">
        <f t="shared" si="225"/>
        <v>0</v>
      </c>
      <c r="AR210" s="273">
        <f t="shared" si="225"/>
        <v>0</v>
      </c>
      <c r="AS210" s="270">
        <f t="shared" si="225"/>
        <v>0</v>
      </c>
      <c r="AT210" s="271">
        <f t="shared" ref="AT210:AW210" si="226">+AT209/AT215</f>
        <v>0</v>
      </c>
      <c r="AU210" s="271">
        <f t="shared" si="226"/>
        <v>0</v>
      </c>
      <c r="AV210" s="272">
        <f t="shared" si="226"/>
        <v>0</v>
      </c>
      <c r="AW210" s="273">
        <f t="shared" si="226"/>
        <v>0</v>
      </c>
      <c r="AX210" s="270">
        <f t="shared" ref="AX210:BL210" si="227">+AX209/AX215</f>
        <v>0</v>
      </c>
      <c r="AY210" s="271">
        <f t="shared" si="227"/>
        <v>0</v>
      </c>
      <c r="AZ210" s="271">
        <f t="shared" si="227"/>
        <v>0</v>
      </c>
      <c r="BA210" s="272">
        <f t="shared" si="227"/>
        <v>0</v>
      </c>
      <c r="BB210" s="273">
        <f t="shared" si="227"/>
        <v>0</v>
      </c>
      <c r="BC210" s="270">
        <f t="shared" si="227"/>
        <v>0</v>
      </c>
      <c r="BD210" s="271">
        <f t="shared" si="227"/>
        <v>0</v>
      </c>
      <c r="BE210" s="271">
        <f t="shared" si="227"/>
        <v>0</v>
      </c>
      <c r="BF210" s="272">
        <f t="shared" si="227"/>
        <v>0</v>
      </c>
      <c r="BG210" s="273">
        <f t="shared" si="227"/>
        <v>0</v>
      </c>
      <c r="BH210" s="270">
        <f t="shared" si="227"/>
        <v>0</v>
      </c>
      <c r="BI210" s="271">
        <f t="shared" si="227"/>
        <v>0</v>
      </c>
      <c r="BJ210" s="271">
        <f t="shared" si="227"/>
        <v>0</v>
      </c>
      <c r="BK210" s="272">
        <f t="shared" si="227"/>
        <v>0</v>
      </c>
      <c r="BL210" s="273">
        <f t="shared" si="227"/>
        <v>0</v>
      </c>
      <c r="BM210" s="270">
        <f>+BM209/BM215</f>
        <v>0</v>
      </c>
      <c r="BN210" s="271">
        <f>+BN209/BN215</f>
        <v>0</v>
      </c>
      <c r="BO210" s="271">
        <f>+BO209/BO215</f>
        <v>0</v>
      </c>
      <c r="BP210" s="272">
        <f>+BP209/BP215</f>
        <v>0</v>
      </c>
      <c r="BQ210" s="273">
        <f>+BQ209/BQ215</f>
        <v>0</v>
      </c>
      <c r="BR210" s="75"/>
      <c r="BS210" s="75"/>
      <c r="BT210" s="75"/>
      <c r="BU210" s="75"/>
      <c r="BV210" s="75"/>
      <c r="BW210" s="75"/>
      <c r="BX210" s="75"/>
      <c r="BY210" s="75"/>
      <c r="BZ210" s="75"/>
      <c r="CA210" s="75"/>
      <c r="CB210" s="75"/>
      <c r="CC210" s="75"/>
      <c r="CD210" s="75"/>
      <c r="CE210" s="75"/>
      <c r="CF210" s="75"/>
      <c r="CG210" s="75"/>
      <c r="CH210" s="75"/>
      <c r="CI210" s="75"/>
      <c r="CJ210" s="75"/>
      <c r="CK210" s="75"/>
      <c r="CL210" s="75"/>
      <c r="CM210" s="75"/>
      <c r="CN210" s="75"/>
      <c r="CO210" s="75"/>
      <c r="CP210" s="75"/>
      <c r="CQ210" s="75"/>
      <c r="CR210" s="75"/>
      <c r="CS210" s="75"/>
      <c r="CT210" s="75"/>
      <c r="CU210" s="75"/>
    </row>
    <row r="211" spans="1:99">
      <c r="A211" s="50"/>
      <c r="B211" s="50"/>
      <c r="C211" s="100"/>
      <c r="D211" s="50"/>
      <c r="E211" s="225"/>
      <c r="F211" s="226"/>
      <c r="G211" s="226"/>
      <c r="H211" s="227"/>
      <c r="I211" s="228"/>
      <c r="J211" s="225"/>
      <c r="K211" s="226"/>
      <c r="L211" s="226"/>
      <c r="M211" s="227"/>
      <c r="N211" s="228"/>
      <c r="O211" s="225"/>
      <c r="P211" s="226"/>
      <c r="Q211" s="226"/>
      <c r="R211" s="227"/>
      <c r="S211" s="228"/>
      <c r="T211" s="225"/>
      <c r="U211" s="226"/>
      <c r="V211" s="226"/>
      <c r="W211" s="227"/>
      <c r="X211" s="1253"/>
      <c r="Y211" s="1254"/>
      <c r="Z211" s="1255"/>
      <c r="AA211" s="1255"/>
      <c r="AB211" s="1256"/>
      <c r="AC211" s="1253"/>
      <c r="AD211" s="1254"/>
      <c r="AE211" s="1255"/>
      <c r="AF211" s="1255"/>
      <c r="AG211" s="1256"/>
      <c r="AH211" s="1253"/>
      <c r="AI211" s="1254"/>
      <c r="AJ211" s="1255"/>
      <c r="AK211" s="1255"/>
      <c r="AL211" s="1256"/>
      <c r="AM211" s="1253"/>
      <c r="AN211" s="1254"/>
      <c r="AO211" s="1255"/>
      <c r="AP211" s="1255"/>
      <c r="AQ211" s="1256"/>
      <c r="AR211" s="1253"/>
      <c r="AS211" s="1254"/>
      <c r="AT211" s="1255"/>
      <c r="AU211" s="1255"/>
      <c r="AV211" s="1256"/>
      <c r="AW211" s="1253"/>
      <c r="AX211" s="225"/>
      <c r="AY211" s="226"/>
      <c r="AZ211" s="226"/>
      <c r="BA211" s="227"/>
      <c r="BB211" s="228"/>
      <c r="BC211" s="225"/>
      <c r="BD211" s="226"/>
      <c r="BE211" s="226"/>
      <c r="BF211" s="227"/>
      <c r="BG211" s="228"/>
      <c r="BH211" s="225"/>
      <c r="BI211" s="226"/>
      <c r="BJ211" s="226"/>
      <c r="BK211" s="227"/>
      <c r="BL211" s="228"/>
      <c r="BM211" s="225"/>
      <c r="BN211" s="226"/>
      <c r="BO211" s="226"/>
      <c r="BP211" s="227"/>
      <c r="BQ211" s="228"/>
      <c r="BR211" s="50"/>
      <c r="BS211" s="50"/>
      <c r="BT211" s="50"/>
      <c r="BU211" s="50"/>
      <c r="BV211" s="50"/>
      <c r="BW211" s="50"/>
      <c r="BX211" s="50"/>
      <c r="BY211" s="50"/>
      <c r="BZ211" s="50"/>
      <c r="CA211" s="50"/>
      <c r="CB211" s="50"/>
      <c r="CC211" s="50"/>
      <c r="CD211" s="50"/>
      <c r="CE211" s="50"/>
      <c r="CF211" s="50"/>
      <c r="CG211" s="50"/>
      <c r="CH211" s="50"/>
      <c r="CI211" s="50"/>
      <c r="CJ211" s="50"/>
      <c r="CK211" s="50"/>
      <c r="CL211" s="50"/>
      <c r="CM211" s="50"/>
      <c r="CN211" s="50"/>
      <c r="CO211" s="50"/>
      <c r="CP211" s="50"/>
      <c r="CQ211" s="50"/>
      <c r="CR211" s="50"/>
      <c r="CS211" s="50"/>
      <c r="CT211" s="50"/>
      <c r="CU211" s="50"/>
    </row>
    <row r="212" spans="1:99">
      <c r="A212" s="242"/>
      <c r="B212" s="242"/>
      <c r="C212" s="164" t="s">
        <v>869</v>
      </c>
      <c r="D212" s="145"/>
      <c r="E212" s="256"/>
      <c r="F212" s="257"/>
      <c r="G212" s="257"/>
      <c r="H212" s="151"/>
      <c r="I212" s="258"/>
      <c r="J212" s="256"/>
      <c r="K212" s="257"/>
      <c r="L212" s="257"/>
      <c r="M212" s="151"/>
      <c r="N212" s="258"/>
      <c r="O212" s="256"/>
      <c r="P212" s="257"/>
      <c r="Q212" s="257"/>
      <c r="R212" s="151"/>
      <c r="S212" s="258"/>
      <c r="T212" s="256"/>
      <c r="U212" s="257"/>
      <c r="V212" s="257"/>
      <c r="W212" s="151"/>
      <c r="X212" s="112">
        <f>'Utility Detail'!X151</f>
        <v>8525.0869999999995</v>
      </c>
      <c r="Y212" s="149">
        <f>'Utility Detail'!Y151</f>
        <v>8568.2789999999986</v>
      </c>
      <c r="Z212" s="150">
        <f>'Utility Detail'!Z151</f>
        <v>8597.2659999999978</v>
      </c>
      <c r="AA212" s="150">
        <f>'Utility Detail'!AA151</f>
        <v>8656.4660000000003</v>
      </c>
      <c r="AB212" s="151">
        <f>AC212</f>
        <v>9257.5079999999998</v>
      </c>
      <c r="AC212" s="112">
        <f>'Utility Detail'!AC151</f>
        <v>9257.5079999999998</v>
      </c>
      <c r="AD212" s="149">
        <f>'Utility Detail'!AD151</f>
        <v>9329.0630000000001</v>
      </c>
      <c r="AE212" s="150">
        <f>'Utility Detail'!AE151</f>
        <v>9357.5389999999989</v>
      </c>
      <c r="AF212" s="150">
        <f>'Utility Detail'!AF151</f>
        <v>9425.469000000001</v>
      </c>
      <c r="AG212" s="151">
        <f>AH212</f>
        <v>9381.0840000000007</v>
      </c>
      <c r="AH212" s="112">
        <f>'Utility Detail'!AH151</f>
        <v>9381.0840000000007</v>
      </c>
      <c r="AI212" s="149">
        <f>'Utility Detail'!AI151</f>
        <v>9539.5529999999981</v>
      </c>
      <c r="AJ212" s="150">
        <f>'Utility Detail'!AJ151</f>
        <v>9656.2989999999991</v>
      </c>
      <c r="AK212" s="150">
        <f>'Utility Detail'!AK151</f>
        <v>9735.8939999999984</v>
      </c>
      <c r="AL212" s="151">
        <f>AM212</f>
        <v>9730.0499999999993</v>
      </c>
      <c r="AM212" s="112">
        <f>'Utility Detail'!AM151</f>
        <v>9730.0499999999993</v>
      </c>
      <c r="AN212" s="149">
        <f>'Utility Detail'!AN151</f>
        <v>9869.85</v>
      </c>
      <c r="AO212" s="150">
        <f>'Utility Detail'!AO151</f>
        <v>9926.4760000000006</v>
      </c>
      <c r="AP212" s="150">
        <f>'Utility Detail'!AP151</f>
        <v>10115.498</v>
      </c>
      <c r="AQ212" s="151">
        <f>AR212</f>
        <v>10142.105000000001</v>
      </c>
      <c r="AR212" s="112">
        <f>'Utility Detail'!AR151</f>
        <v>10142.105000000001</v>
      </c>
      <c r="AS212" s="149">
        <f>'Utility Detail'!AS151</f>
        <v>10154.891</v>
      </c>
      <c r="AT212" s="150">
        <f>'Utility Detail'!AT151</f>
        <v>10181.768</v>
      </c>
      <c r="AU212" s="150">
        <f>'Utility Detail'!AU151</f>
        <v>10352.089</v>
      </c>
      <c r="AV212" s="151">
        <f>AW212</f>
        <v>10413.124999999998</v>
      </c>
      <c r="AW212" s="112">
        <f>'Utility Detail'!AW151</f>
        <v>10413.124999999998</v>
      </c>
      <c r="AX212" s="149">
        <f>+AW212+AX174+AX190</f>
        <v>10649.07935499727</v>
      </c>
      <c r="AY212" s="150">
        <f>+AX212+AY174+AY190</f>
        <v>10760.746396979106</v>
      </c>
      <c r="AZ212" s="150">
        <f>+AY212+AZ174+AZ190</f>
        <v>11058.091917936892</v>
      </c>
      <c r="BA212" s="151">
        <f>+AZ212+BA174+BA190</f>
        <v>11213.530071091931</v>
      </c>
      <c r="BB212" s="112">
        <f>+BA212</f>
        <v>11213.530071091931</v>
      </c>
      <c r="BC212" s="149">
        <f>+BB212+BC174+BC190</f>
        <v>11516.142337636247</v>
      </c>
      <c r="BD212" s="150">
        <f>+BC212+BD174+BD190</f>
        <v>11665.360202020258</v>
      </c>
      <c r="BE212" s="150">
        <f>+BD212+BE174+BE190</f>
        <v>11984.308309573522</v>
      </c>
      <c r="BF212" s="151">
        <f>+BE212+BF174+BF190</f>
        <v>12161.900734662098</v>
      </c>
      <c r="BG212" s="112">
        <f>+BF212</f>
        <v>12161.900734662098</v>
      </c>
      <c r="BH212" s="149">
        <f>+BG212+BH174+BH190</f>
        <v>12427.35534774432</v>
      </c>
      <c r="BI212" s="150">
        <f>+BH212+BI174+BI190</f>
        <v>12535.712201401186</v>
      </c>
      <c r="BJ212" s="150">
        <f>+BI212+BJ174+BJ190</f>
        <v>12840.646887701227</v>
      </c>
      <c r="BK212" s="151">
        <f>+BJ212+BK174+BK190</f>
        <v>12996.225482705682</v>
      </c>
      <c r="BL212" s="112">
        <f>+BK212</f>
        <v>12996.225482705682</v>
      </c>
      <c r="BM212" s="149">
        <f>+BL212+BM174+BM190</f>
        <v>13451.02276364683</v>
      </c>
      <c r="BN212" s="150">
        <f>+BM212+BN174+BN190</f>
        <v>13734.506150190007</v>
      </c>
      <c r="BO212" s="150">
        <f>+BN212+BO174+BO190</f>
        <v>14194.774226366697</v>
      </c>
      <c r="BP212" s="151">
        <f>+BO212+BP174+BP190</f>
        <v>14508.635605475945</v>
      </c>
      <c r="BQ212" s="112">
        <f>+BP212</f>
        <v>14508.635605475945</v>
      </c>
      <c r="BR212" s="242"/>
      <c r="BS212" s="242"/>
      <c r="BT212" s="242"/>
      <c r="BU212" s="242"/>
      <c r="BV212" s="242"/>
      <c r="BW212" s="242"/>
      <c r="BX212" s="242"/>
      <c r="BY212" s="242"/>
      <c r="BZ212" s="242"/>
      <c r="CA212" s="242"/>
      <c r="CB212" s="242"/>
      <c r="CC212" s="242"/>
      <c r="CD212" s="242"/>
      <c r="CE212" s="242"/>
      <c r="CF212" s="242"/>
      <c r="CG212" s="242"/>
      <c r="CH212" s="242"/>
      <c r="CI212" s="242"/>
      <c r="CJ212" s="242"/>
      <c r="CK212" s="242"/>
      <c r="CL212" s="242"/>
      <c r="CM212" s="242"/>
      <c r="CN212" s="242"/>
      <c r="CO212" s="242"/>
      <c r="CP212" s="242"/>
      <c r="CQ212" s="242"/>
      <c r="CR212" s="242"/>
      <c r="CS212" s="242"/>
      <c r="CT212" s="242"/>
      <c r="CU212" s="242"/>
    </row>
    <row r="213" spans="1:99">
      <c r="A213" s="75"/>
      <c r="B213" s="75"/>
      <c r="C213" s="269" t="s">
        <v>185</v>
      </c>
      <c r="D213" s="75"/>
      <c r="E213" s="270"/>
      <c r="F213" s="271"/>
      <c r="G213" s="271"/>
      <c r="H213" s="272"/>
      <c r="I213" s="273"/>
      <c r="J213" s="270"/>
      <c r="K213" s="271"/>
      <c r="L213" s="271"/>
      <c r="M213" s="272"/>
      <c r="N213" s="273"/>
      <c r="O213" s="270"/>
      <c r="P213" s="271"/>
      <c r="Q213" s="271"/>
      <c r="R213" s="272"/>
      <c r="S213" s="273"/>
      <c r="T213" s="270"/>
      <c r="U213" s="271"/>
      <c r="V213" s="271"/>
      <c r="W213" s="272"/>
      <c r="X213" s="273">
        <f t="shared" ref="X213:AH213" si="228">+X212/X215</f>
        <v>0.46708539006327471</v>
      </c>
      <c r="Y213" s="270">
        <f t="shared" si="228"/>
        <v>0.46425987259710799</v>
      </c>
      <c r="Z213" s="271">
        <f t="shared" si="228"/>
        <v>0.4638241569001082</v>
      </c>
      <c r="AA213" s="271">
        <f t="shared" si="228"/>
        <v>0.47022315711343721</v>
      </c>
      <c r="AB213" s="272">
        <f t="shared" si="228"/>
        <v>0.47265805094623936</v>
      </c>
      <c r="AC213" s="273">
        <f t="shared" si="228"/>
        <v>0.47265805094623936</v>
      </c>
      <c r="AD213" s="270">
        <f t="shared" si="228"/>
        <v>0.47036384911430618</v>
      </c>
      <c r="AE213" s="271">
        <f t="shared" si="228"/>
        <v>0.47462004306889483</v>
      </c>
      <c r="AF213" s="271">
        <f t="shared" si="228"/>
        <v>0.47672494273768828</v>
      </c>
      <c r="AG213" s="272">
        <f t="shared" si="228"/>
        <v>0.46963901798714852</v>
      </c>
      <c r="AH213" s="273">
        <f t="shared" si="228"/>
        <v>0.46963901798714852</v>
      </c>
      <c r="AI213" s="270">
        <f t="shared" ref="AI213:AN213" si="229">+AI212/AI215</f>
        <v>0.46313437818237746</v>
      </c>
      <c r="AJ213" s="271">
        <f t="shared" si="229"/>
        <v>0.46602758772796621</v>
      </c>
      <c r="AK213" s="271">
        <f t="shared" si="229"/>
        <v>0.47289005366262826</v>
      </c>
      <c r="AL213" s="272">
        <f t="shared" si="229"/>
        <v>0.46832434986277149</v>
      </c>
      <c r="AM213" s="273">
        <f t="shared" si="229"/>
        <v>0.46832434986277149</v>
      </c>
      <c r="AN213" s="270">
        <f t="shared" si="229"/>
        <v>0.46734300007798646</v>
      </c>
      <c r="AO213" s="271">
        <f t="shared" ref="AO213:AS213" si="230">+AO212/AO215</f>
        <v>0.46491367426991537</v>
      </c>
      <c r="AP213" s="271">
        <f t="shared" si="230"/>
        <v>0.46853540172304148</v>
      </c>
      <c r="AQ213" s="272">
        <f t="shared" si="230"/>
        <v>0.4623553336730834</v>
      </c>
      <c r="AR213" s="273">
        <f t="shared" si="230"/>
        <v>0.4623553336730834</v>
      </c>
      <c r="AS213" s="270">
        <f t="shared" si="230"/>
        <v>0.45997351738027797</v>
      </c>
      <c r="AT213" s="271">
        <f t="shared" ref="AT213:AW213" si="231">+AT212/AT215</f>
        <v>0.46948633557058367</v>
      </c>
      <c r="AU213" s="271">
        <f t="shared" si="231"/>
        <v>0.46642435817189898</v>
      </c>
      <c r="AV213" s="272">
        <f t="shared" si="231"/>
        <v>0.46073032379267698</v>
      </c>
      <c r="AW213" s="273">
        <f t="shared" si="231"/>
        <v>0.46073032379267698</v>
      </c>
      <c r="AX213" s="270">
        <f t="shared" ref="AX213:BL213" si="232">+AX212/AX215</f>
        <v>0.46494509508707377</v>
      </c>
      <c r="AY213" s="271">
        <f t="shared" si="232"/>
        <v>0.46350674781392875</v>
      </c>
      <c r="AZ213" s="271">
        <f t="shared" si="232"/>
        <v>0.46802635656127628</v>
      </c>
      <c r="BA213" s="272">
        <f t="shared" si="232"/>
        <v>0.47055465389097378</v>
      </c>
      <c r="BB213" s="273">
        <f t="shared" si="232"/>
        <v>0.47055465389097378</v>
      </c>
      <c r="BC213" s="270">
        <f t="shared" si="232"/>
        <v>0.47377020997693758</v>
      </c>
      <c r="BD213" s="271">
        <f t="shared" si="232"/>
        <v>0.47068509494358357</v>
      </c>
      <c r="BE213" s="271">
        <f t="shared" si="232"/>
        <v>0.46330084186022841</v>
      </c>
      <c r="BF213" s="272">
        <f t="shared" si="232"/>
        <v>0.47281737676264252</v>
      </c>
      <c r="BG213" s="273">
        <f t="shared" si="232"/>
        <v>0.47281737676264252</v>
      </c>
      <c r="BH213" s="270">
        <f t="shared" si="232"/>
        <v>0.46131492413811054</v>
      </c>
      <c r="BI213" s="271">
        <f t="shared" si="232"/>
        <v>0.4656709075505428</v>
      </c>
      <c r="BJ213" s="271">
        <f t="shared" si="232"/>
        <v>0.47165576614702315</v>
      </c>
      <c r="BK213" s="272">
        <f t="shared" si="232"/>
        <v>0.47540047605508484</v>
      </c>
      <c r="BL213" s="273">
        <f t="shared" si="232"/>
        <v>0.47540047605508484</v>
      </c>
      <c r="BM213" s="270">
        <f>+BM212/BM215</f>
        <v>0.46500871814183814</v>
      </c>
      <c r="BN213" s="271">
        <f>+BN212/BN215</f>
        <v>0.47072685181975032</v>
      </c>
      <c r="BO213" s="271">
        <f>+BO212/BO215</f>
        <v>0.47197664942716955</v>
      </c>
      <c r="BP213" s="272">
        <f>+BP212/BP215</f>
        <v>0.47770523030161577</v>
      </c>
      <c r="BQ213" s="273">
        <f>+BQ212/BQ215</f>
        <v>0.47770523030161577</v>
      </c>
      <c r="BR213" s="75"/>
      <c r="BS213" s="75"/>
      <c r="BT213" s="75"/>
      <c r="BU213" s="75"/>
      <c r="BV213" s="75"/>
      <c r="BW213" s="75"/>
      <c r="BX213" s="75"/>
      <c r="BY213" s="75"/>
      <c r="BZ213" s="75"/>
      <c r="CA213" s="75"/>
      <c r="CB213" s="75"/>
      <c r="CC213" s="75"/>
      <c r="CD213" s="75"/>
      <c r="CE213" s="75"/>
      <c r="CF213" s="75"/>
      <c r="CG213" s="75"/>
      <c r="CH213" s="75"/>
      <c r="CI213" s="75"/>
      <c r="CJ213" s="75"/>
      <c r="CK213" s="75"/>
      <c r="CL213" s="75"/>
      <c r="CM213" s="75"/>
      <c r="CN213" s="75"/>
      <c r="CO213" s="75"/>
      <c r="CP213" s="75"/>
      <c r="CQ213" s="75"/>
      <c r="CR213" s="75"/>
      <c r="CS213" s="75"/>
      <c r="CT213" s="75"/>
      <c r="CU213" s="75"/>
    </row>
    <row r="214" spans="1:99">
      <c r="A214" s="50"/>
      <c r="B214" s="50"/>
      <c r="C214" s="100"/>
      <c r="D214" s="50"/>
      <c r="E214" s="225"/>
      <c r="F214" s="226"/>
      <c r="G214" s="226"/>
      <c r="H214" s="227"/>
      <c r="I214" s="228"/>
      <c r="J214" s="225"/>
      <c r="K214" s="226"/>
      <c r="L214" s="226"/>
      <c r="M214" s="227"/>
      <c r="N214" s="228"/>
      <c r="O214" s="225"/>
      <c r="P214" s="226"/>
      <c r="Q214" s="226"/>
      <c r="R214" s="227"/>
      <c r="S214" s="228"/>
      <c r="T214" s="225"/>
      <c r="U214" s="226"/>
      <c r="V214" s="226"/>
      <c r="W214" s="227"/>
      <c r="X214" s="228"/>
      <c r="Y214" s="225"/>
      <c r="Z214" s="226"/>
      <c r="AA214" s="226"/>
      <c r="AB214" s="227"/>
      <c r="AC214" s="228"/>
      <c r="AD214" s="225"/>
      <c r="AE214" s="226"/>
      <c r="AF214" s="226"/>
      <c r="AG214" s="227"/>
      <c r="AH214" s="228"/>
      <c r="AI214" s="225"/>
      <c r="AJ214" s="226"/>
      <c r="AK214" s="226"/>
      <c r="AL214" s="227"/>
      <c r="AM214" s="228"/>
      <c r="AN214" s="225"/>
      <c r="AO214" s="226"/>
      <c r="AP214" s="226"/>
      <c r="AQ214" s="227"/>
      <c r="AR214" s="228"/>
      <c r="AS214" s="225"/>
      <c r="AT214" s="226"/>
      <c r="AU214" s="226"/>
      <c r="AV214" s="227"/>
      <c r="AW214" s="228"/>
      <c r="AX214" s="225"/>
      <c r="AY214" s="226"/>
      <c r="AZ214" s="226"/>
      <c r="BA214" s="227"/>
      <c r="BB214" s="228"/>
      <c r="BC214" s="225"/>
      <c r="BD214" s="226"/>
      <c r="BE214" s="226"/>
      <c r="BF214" s="227"/>
      <c r="BG214" s="228"/>
      <c r="BH214" s="225"/>
      <c r="BI214" s="226"/>
      <c r="BJ214" s="226"/>
      <c r="BK214" s="227"/>
      <c r="BL214" s="228"/>
      <c r="BM214" s="225"/>
      <c r="BN214" s="226"/>
      <c r="BO214" s="226"/>
      <c r="BP214" s="227"/>
      <c r="BQ214" s="228"/>
      <c r="BR214" s="50"/>
      <c r="BS214" s="50"/>
      <c r="BT214" s="50"/>
      <c r="BU214" s="50"/>
      <c r="BV214" s="50"/>
      <c r="BW214" s="50"/>
      <c r="BX214" s="50"/>
      <c r="BY214" s="50"/>
      <c r="BZ214" s="50"/>
      <c r="CA214" s="50"/>
      <c r="CB214" s="50"/>
      <c r="CC214" s="50"/>
      <c r="CD214" s="50"/>
      <c r="CE214" s="50"/>
      <c r="CF214" s="50"/>
      <c r="CG214" s="50"/>
      <c r="CH214" s="50"/>
      <c r="CI214" s="50"/>
      <c r="CJ214" s="50"/>
      <c r="CK214" s="50"/>
      <c r="CL214" s="50"/>
      <c r="CM214" s="50"/>
      <c r="CN214" s="50"/>
      <c r="CO214" s="50"/>
      <c r="CP214" s="50"/>
      <c r="CQ214" s="50"/>
      <c r="CR214" s="50"/>
      <c r="CS214" s="50"/>
      <c r="CT214" s="50"/>
      <c r="CU214" s="50"/>
    </row>
    <row r="215" spans="1:99">
      <c r="A215" s="242"/>
      <c r="B215" s="242"/>
      <c r="C215" s="164" t="s">
        <v>870</v>
      </c>
      <c r="D215" s="109"/>
      <c r="E215" s="149"/>
      <c r="F215" s="150"/>
      <c r="G215" s="150"/>
      <c r="H215" s="151"/>
      <c r="I215" s="112"/>
      <c r="J215" s="149"/>
      <c r="K215" s="150"/>
      <c r="L215" s="150"/>
      <c r="M215" s="151"/>
      <c r="N215" s="112"/>
      <c r="O215" s="149"/>
      <c r="P215" s="150"/>
      <c r="Q215" s="150"/>
      <c r="R215" s="151"/>
      <c r="S215" s="112"/>
      <c r="T215" s="149"/>
      <c r="U215" s="150"/>
      <c r="V215" s="150"/>
      <c r="W215" s="151"/>
      <c r="X215" s="112">
        <f>+X212+X209+X206</f>
        <v>18251.667000000001</v>
      </c>
      <c r="Y215" s="149">
        <f>+Y212+Y209+Y206</f>
        <v>18455.781999999999</v>
      </c>
      <c r="Z215" s="150">
        <f>+Z212+Z209+Z206</f>
        <v>18535.614999999998</v>
      </c>
      <c r="AA215" s="150">
        <f>+AA212+AA209+AA206</f>
        <v>18409.272000000001</v>
      </c>
      <c r="AB215" s="151">
        <f>+AC215</f>
        <v>19586.058000000001</v>
      </c>
      <c r="AC215" s="112">
        <f>+AC212+AC209+AC206</f>
        <v>19586.058000000001</v>
      </c>
      <c r="AD215" s="149">
        <f>+AD212+AD209+AD206</f>
        <v>19833.716</v>
      </c>
      <c r="AE215" s="150">
        <f>+AE212+AE209+AE206</f>
        <v>19715.852999999999</v>
      </c>
      <c r="AF215" s="150">
        <f>+AF212+AF209+AF206</f>
        <v>19771.294000000002</v>
      </c>
      <c r="AG215" s="151">
        <f>+AH215</f>
        <v>19975.095000000001</v>
      </c>
      <c r="AH215" s="112">
        <f>+AH212+AH209+AH206</f>
        <v>19975.095000000001</v>
      </c>
      <c r="AI215" s="149">
        <f>+AI212+AI209+AI206</f>
        <v>20597.807999999997</v>
      </c>
      <c r="AJ215" s="150">
        <f>+AJ212+AJ209+AJ206</f>
        <v>20720.445</v>
      </c>
      <c r="AK215" s="150">
        <f>+AK212+AK209+AK206</f>
        <v>20588.070999999996</v>
      </c>
      <c r="AL215" s="151">
        <f>+AM215</f>
        <v>20776.306</v>
      </c>
      <c r="AM215" s="112">
        <f>+AM212+AM209+AM206</f>
        <v>20776.306</v>
      </c>
      <c r="AN215" s="149">
        <f>+AN212+AN209+AN206</f>
        <v>21119.070999999996</v>
      </c>
      <c r="AO215" s="150">
        <f>+AO212+AO209+AO206</f>
        <v>21351.224000000002</v>
      </c>
      <c r="AP215" s="150">
        <f>+AP212+AP209+AP206</f>
        <v>21589.613000000001</v>
      </c>
      <c r="AQ215" s="151">
        <f>+AR215</f>
        <v>21935.737000000001</v>
      </c>
      <c r="AR215" s="112">
        <f>+AR212+AR209+AR206</f>
        <v>21935.737000000001</v>
      </c>
      <c r="AS215" s="149">
        <f>+AS212+AS209+AS206</f>
        <v>22077.120999999999</v>
      </c>
      <c r="AT215" s="150">
        <f>+AT212+AT209+AT206</f>
        <v>21687.038</v>
      </c>
      <c r="AU215" s="150">
        <f>+AU212+AU209+AU206</f>
        <v>22194.572</v>
      </c>
      <c r="AV215" s="151">
        <f>+AW215</f>
        <v>22601.344999999994</v>
      </c>
      <c r="AW215" s="112">
        <f>+AW212+AW209+AW206</f>
        <v>22601.344999999994</v>
      </c>
      <c r="AX215" s="149">
        <f>+AX212+AX209+AX206</f>
        <v>22903.950310526314</v>
      </c>
      <c r="AY215" s="150">
        <f>+AY212+AY209+AY206</f>
        <v>23215.943344365129</v>
      </c>
      <c r="AZ215" s="150">
        <f>+AZ212+AZ209+AZ206</f>
        <v>23627.07091793689</v>
      </c>
      <c r="BA215" s="151">
        <f>+BB215</f>
        <v>23830.45195360043</v>
      </c>
      <c r="BB215" s="112">
        <f>+BB212+BB209+BB206</f>
        <v>23830.45195360043</v>
      </c>
      <c r="BC215" s="149">
        <f>+BC212+BC209+BC206</f>
        <v>24307.442923008679</v>
      </c>
      <c r="BD215" s="150">
        <f>+BD212+BD209+BD206</f>
        <v>24783.789262369719</v>
      </c>
      <c r="BE215" s="150">
        <f>+BE212+BE209+BE206</f>
        <v>25867.227569573519</v>
      </c>
      <c r="BF215" s="151">
        <f>+BG215</f>
        <v>25722.194936941698</v>
      </c>
      <c r="BG215" s="112">
        <f>+BG212+BG209+BG206</f>
        <v>25722.194936941698</v>
      </c>
      <c r="BH215" s="149">
        <f>+BH212+BH209+BH206</f>
        <v>26938.983972744318</v>
      </c>
      <c r="BI215" s="150">
        <f>+BI212+BI209+BI206</f>
        <v>26919.680826401185</v>
      </c>
      <c r="BJ215" s="150">
        <f>+BJ212+BJ209+BJ206</f>
        <v>27224.615512701224</v>
      </c>
      <c r="BK215" s="151">
        <f>+BL215</f>
        <v>27337.42631170568</v>
      </c>
      <c r="BL215" s="112">
        <f>+BL212+BL209+BL206</f>
        <v>27337.42631170568</v>
      </c>
      <c r="BM215" s="149">
        <f>+BM212+BM209+BM206</f>
        <v>28926.388342559989</v>
      </c>
      <c r="BN215" s="150">
        <f>+BN212+BN209+BN206</f>
        <v>29177.231120542056</v>
      </c>
      <c r="BO215" s="150">
        <f>+BO212+BO209+BO206</f>
        <v>30075.162073366693</v>
      </c>
      <c r="BP215" s="151">
        <f>+BQ215</f>
        <v>30371.523452475943</v>
      </c>
      <c r="BQ215" s="112">
        <f>+BQ212+BQ209+BQ206</f>
        <v>30371.523452475943</v>
      </c>
      <c r="BR215" s="242"/>
      <c r="BS215" s="242"/>
      <c r="BT215" s="242"/>
      <c r="BU215" s="242"/>
      <c r="BV215" s="242"/>
      <c r="BW215" s="242"/>
      <c r="BX215" s="242"/>
      <c r="BY215" s="242"/>
      <c r="BZ215" s="242"/>
      <c r="CA215" s="242"/>
      <c r="CB215" s="242"/>
      <c r="CC215" s="242"/>
      <c r="CD215" s="242"/>
      <c r="CE215" s="242"/>
      <c r="CF215" s="242"/>
      <c r="CG215" s="242"/>
      <c r="CH215" s="242"/>
      <c r="CI215" s="242"/>
      <c r="CJ215" s="242"/>
      <c r="CK215" s="242"/>
      <c r="CL215" s="242"/>
      <c r="CM215" s="242"/>
      <c r="CN215" s="242"/>
      <c r="CO215" s="242"/>
      <c r="CP215" s="242"/>
      <c r="CQ215" s="242"/>
      <c r="CR215" s="242"/>
      <c r="CS215" s="242"/>
      <c r="CT215" s="242"/>
      <c r="CU215" s="242"/>
    </row>
    <row r="216" spans="1:99">
      <c r="A216" s="75"/>
      <c r="B216" s="75"/>
      <c r="C216" s="269" t="s">
        <v>185</v>
      </c>
      <c r="D216" s="75"/>
      <c r="E216" s="270"/>
      <c r="F216" s="271"/>
      <c r="G216" s="271"/>
      <c r="H216" s="272"/>
      <c r="I216" s="273"/>
      <c r="J216" s="270"/>
      <c r="K216" s="271"/>
      <c r="L216" s="271"/>
      <c r="M216" s="272"/>
      <c r="N216" s="273"/>
      <c r="O216" s="270"/>
      <c r="P216" s="271"/>
      <c r="Q216" s="271"/>
      <c r="R216" s="272"/>
      <c r="S216" s="273"/>
      <c r="T216" s="270"/>
      <c r="U216" s="271"/>
      <c r="V216" s="271"/>
      <c r="W216" s="272"/>
      <c r="X216" s="273">
        <f t="shared" ref="X216:AF216" si="233">(X206+X209+X212)/X215</f>
        <v>1</v>
      </c>
      <c r="Y216" s="270">
        <f t="shared" si="233"/>
        <v>1</v>
      </c>
      <c r="Z216" s="271">
        <f t="shared" si="233"/>
        <v>1</v>
      </c>
      <c r="AA216" s="271">
        <f t="shared" si="233"/>
        <v>1</v>
      </c>
      <c r="AB216" s="272">
        <f t="shared" si="233"/>
        <v>1</v>
      </c>
      <c r="AC216" s="273">
        <f t="shared" si="233"/>
        <v>1</v>
      </c>
      <c r="AD216" s="270">
        <f t="shared" si="233"/>
        <v>1</v>
      </c>
      <c r="AE216" s="271">
        <f t="shared" si="233"/>
        <v>1</v>
      </c>
      <c r="AF216" s="271">
        <f t="shared" si="233"/>
        <v>1</v>
      </c>
      <c r="AG216" s="272">
        <f t="shared" ref="AG216:AM216" si="234">(AG206+AG209+AG212)/AG215</f>
        <v>1</v>
      </c>
      <c r="AH216" s="273">
        <f t="shared" si="234"/>
        <v>1</v>
      </c>
      <c r="AI216" s="270">
        <f t="shared" si="234"/>
        <v>1</v>
      </c>
      <c r="AJ216" s="271">
        <f t="shared" si="234"/>
        <v>1</v>
      </c>
      <c r="AK216" s="271">
        <f t="shared" si="234"/>
        <v>1</v>
      </c>
      <c r="AL216" s="272">
        <f t="shared" si="234"/>
        <v>1</v>
      </c>
      <c r="AM216" s="273">
        <f t="shared" si="234"/>
        <v>1</v>
      </c>
      <c r="AN216" s="270">
        <f t="shared" ref="AN216:AR216" si="235">(AN206+AN209+AN212)/AN215</f>
        <v>1</v>
      </c>
      <c r="AO216" s="271">
        <f t="shared" si="235"/>
        <v>1</v>
      </c>
      <c r="AP216" s="271">
        <f t="shared" si="235"/>
        <v>1</v>
      </c>
      <c r="AQ216" s="272">
        <f t="shared" si="235"/>
        <v>1</v>
      </c>
      <c r="AR216" s="273">
        <f t="shared" si="235"/>
        <v>1</v>
      </c>
      <c r="AS216" s="270">
        <f t="shared" ref="AS216:AW216" si="236">(AS206+AS209+AS212)/AS215</f>
        <v>1</v>
      </c>
      <c r="AT216" s="271">
        <f t="shared" si="236"/>
        <v>1</v>
      </c>
      <c r="AU216" s="271">
        <f t="shared" si="236"/>
        <v>1</v>
      </c>
      <c r="AV216" s="272">
        <f t="shared" si="236"/>
        <v>1</v>
      </c>
      <c r="AW216" s="273">
        <f t="shared" si="236"/>
        <v>1</v>
      </c>
      <c r="AX216" s="270">
        <f t="shared" ref="AX216:BL216" si="237">(AX206+AX209+AX212)/AX215</f>
        <v>1</v>
      </c>
      <c r="AY216" s="271">
        <f t="shared" si="237"/>
        <v>1</v>
      </c>
      <c r="AZ216" s="271">
        <f t="shared" si="237"/>
        <v>1</v>
      </c>
      <c r="BA216" s="272">
        <f t="shared" si="237"/>
        <v>1</v>
      </c>
      <c r="BB216" s="273">
        <f t="shared" si="237"/>
        <v>1</v>
      </c>
      <c r="BC216" s="270">
        <f t="shared" si="237"/>
        <v>1</v>
      </c>
      <c r="BD216" s="271">
        <f t="shared" si="237"/>
        <v>1</v>
      </c>
      <c r="BE216" s="271">
        <f t="shared" si="237"/>
        <v>1</v>
      </c>
      <c r="BF216" s="272">
        <f t="shared" si="237"/>
        <v>1</v>
      </c>
      <c r="BG216" s="273">
        <f t="shared" si="237"/>
        <v>1</v>
      </c>
      <c r="BH216" s="270">
        <f t="shared" si="237"/>
        <v>1</v>
      </c>
      <c r="BI216" s="271">
        <f t="shared" si="237"/>
        <v>1</v>
      </c>
      <c r="BJ216" s="271">
        <f t="shared" si="237"/>
        <v>1</v>
      </c>
      <c r="BK216" s="272">
        <f t="shared" si="237"/>
        <v>1</v>
      </c>
      <c r="BL216" s="273">
        <f t="shared" si="237"/>
        <v>1</v>
      </c>
      <c r="BM216" s="270">
        <f>(BM206+BM209+BM212)/BM215</f>
        <v>1</v>
      </c>
      <c r="BN216" s="271">
        <f>(BN206+BN209+BN212)/BN215</f>
        <v>1</v>
      </c>
      <c r="BO216" s="271">
        <f>(BO206+BO209+BO212)/BO215</f>
        <v>1</v>
      </c>
      <c r="BP216" s="272">
        <f>(BP206+BP209+BP212)/BP215</f>
        <v>1</v>
      </c>
      <c r="BQ216" s="273">
        <f>(BQ206+BQ209+BQ212)/BQ215</f>
        <v>1</v>
      </c>
      <c r="BR216" s="75"/>
      <c r="BS216" s="75"/>
      <c r="BT216" s="75"/>
      <c r="BU216" s="75"/>
      <c r="BV216" s="75"/>
      <c r="BW216" s="75"/>
      <c r="BX216" s="75"/>
      <c r="BY216" s="75"/>
      <c r="BZ216" s="75"/>
      <c r="CA216" s="75"/>
      <c r="CB216" s="75"/>
      <c r="CC216" s="75"/>
      <c r="CD216" s="75"/>
      <c r="CE216" s="75"/>
      <c r="CF216" s="75"/>
      <c r="CG216" s="75"/>
      <c r="CH216" s="75"/>
      <c r="CI216" s="75"/>
      <c r="CJ216" s="75"/>
      <c r="CK216" s="75"/>
      <c r="CL216" s="75"/>
      <c r="CM216" s="75"/>
      <c r="CN216" s="75"/>
      <c r="CO216" s="75"/>
      <c r="CP216" s="75"/>
      <c r="CQ216" s="75"/>
      <c r="CR216" s="75"/>
      <c r="CS216" s="75"/>
      <c r="CT216" s="75"/>
      <c r="CU216" s="75"/>
    </row>
    <row r="217" spans="1:99">
      <c r="A217" s="50"/>
      <c r="B217" s="50"/>
      <c r="C217" s="50"/>
      <c r="D217" s="50"/>
      <c r="E217" s="225"/>
      <c r="F217" s="226"/>
      <c r="G217" s="226"/>
      <c r="H217" s="227"/>
      <c r="I217" s="228"/>
      <c r="J217" s="225"/>
      <c r="K217" s="226"/>
      <c r="L217" s="226"/>
      <c r="M217" s="227"/>
      <c r="N217" s="228"/>
      <c r="O217" s="225"/>
      <c r="P217" s="226"/>
      <c r="Q217" s="226"/>
      <c r="R217" s="227"/>
      <c r="S217" s="228"/>
      <c r="T217" s="225"/>
      <c r="U217" s="226"/>
      <c r="V217" s="226"/>
      <c r="W217" s="227"/>
      <c r="X217" s="228"/>
      <c r="Y217" s="225"/>
      <c r="Z217" s="226"/>
      <c r="AA217" s="226"/>
      <c r="AB217" s="227"/>
      <c r="AC217" s="228"/>
      <c r="AD217" s="225"/>
      <c r="AE217" s="226"/>
      <c r="AF217" s="226"/>
      <c r="AG217" s="227"/>
      <c r="AH217" s="228"/>
      <c r="AI217" s="225"/>
      <c r="AJ217" s="226"/>
      <c r="AK217" s="226"/>
      <c r="AL217" s="227"/>
      <c r="AM217" s="228"/>
      <c r="AN217" s="225"/>
      <c r="AO217" s="226"/>
      <c r="AP217" s="226"/>
      <c r="AQ217" s="227"/>
      <c r="AR217" s="228"/>
      <c r="AS217" s="225"/>
      <c r="AT217" s="226"/>
      <c r="AU217" s="226"/>
      <c r="AV217" s="227"/>
      <c r="AW217" s="228"/>
      <c r="AX217" s="225"/>
      <c r="AY217" s="226"/>
      <c r="AZ217" s="226"/>
      <c r="BA217" s="227"/>
      <c r="BB217" s="228"/>
      <c r="BC217" s="225"/>
      <c r="BD217" s="226"/>
      <c r="BE217" s="226"/>
      <c r="BF217" s="227"/>
      <c r="BG217" s="228"/>
      <c r="BH217" s="225"/>
      <c r="BI217" s="226"/>
      <c r="BJ217" s="226"/>
      <c r="BK217" s="227"/>
      <c r="BL217" s="228"/>
      <c r="BM217" s="225"/>
      <c r="BN217" s="226"/>
      <c r="BO217" s="226"/>
      <c r="BP217" s="227"/>
      <c r="BQ217" s="228"/>
      <c r="BR217" s="50"/>
      <c r="BS217" s="50"/>
      <c r="BT217" s="50"/>
      <c r="BU217" s="50"/>
      <c r="BV217" s="50"/>
      <c r="BW217" s="50"/>
      <c r="BX217" s="50"/>
      <c r="BY217" s="50"/>
      <c r="BZ217" s="50"/>
      <c r="CA217" s="50"/>
      <c r="CB217" s="50"/>
      <c r="CC217" s="50"/>
      <c r="CD217" s="50"/>
      <c r="CE217" s="50"/>
      <c r="CF217" s="50"/>
      <c r="CG217" s="50"/>
      <c r="CH217" s="50"/>
      <c r="CI217" s="50"/>
      <c r="CJ217" s="50"/>
      <c r="CK217" s="50"/>
      <c r="CL217" s="50"/>
      <c r="CM217" s="50"/>
      <c r="CN217" s="50"/>
      <c r="CO217" s="50"/>
      <c r="CP217" s="50"/>
      <c r="CQ217" s="50"/>
      <c r="CR217" s="50"/>
      <c r="CS217" s="50"/>
      <c r="CT217" s="50"/>
      <c r="CU217" s="50"/>
    </row>
    <row r="218" spans="1:99">
      <c r="A218" s="50"/>
      <c r="B218" s="50"/>
      <c r="C218" s="50"/>
      <c r="D218" s="50"/>
      <c r="E218" s="225"/>
      <c r="F218" s="226"/>
      <c r="G218" s="226"/>
      <c r="H218" s="227"/>
      <c r="I218" s="228"/>
      <c r="J218" s="225"/>
      <c r="K218" s="226"/>
      <c r="L218" s="226"/>
      <c r="M218" s="227"/>
      <c r="N218" s="228"/>
      <c r="O218" s="225"/>
      <c r="P218" s="226"/>
      <c r="Q218" s="275"/>
      <c r="R218" s="227"/>
      <c r="S218" s="228"/>
      <c r="T218" s="225"/>
      <c r="U218" s="226"/>
      <c r="V218" s="226"/>
      <c r="W218" s="227"/>
      <c r="X218" s="228"/>
      <c r="Y218" s="225"/>
      <c r="Z218" s="226"/>
      <c r="AA218" s="226"/>
      <c r="AB218" s="227"/>
      <c r="AC218" s="228"/>
      <c r="AD218" s="225"/>
      <c r="AE218" s="226"/>
      <c r="AF218" s="226"/>
      <c r="AG218" s="227"/>
      <c r="AH218" s="228"/>
      <c r="AI218" s="225"/>
      <c r="AJ218" s="226"/>
      <c r="AK218" s="226"/>
      <c r="AL218" s="227"/>
      <c r="AM218" s="228"/>
      <c r="AN218" s="225"/>
      <c r="AO218" s="226"/>
      <c r="AP218" s="226"/>
      <c r="AQ218" s="227"/>
      <c r="AR218" s="228"/>
      <c r="AS218" s="225"/>
      <c r="AT218" s="226"/>
      <c r="AU218" s="226"/>
      <c r="AV218" s="227"/>
      <c r="AW218" s="228"/>
      <c r="AX218" s="225"/>
      <c r="AY218" s="226"/>
      <c r="AZ218" s="226"/>
      <c r="BA218" s="227"/>
      <c r="BB218" s="228"/>
      <c r="BC218" s="225"/>
      <c r="BD218" s="226"/>
      <c r="BE218" s="226"/>
      <c r="BF218" s="227"/>
      <c r="BG218" s="228"/>
      <c r="BH218" s="225"/>
      <c r="BI218" s="226"/>
      <c r="BJ218" s="226"/>
      <c r="BK218" s="227"/>
      <c r="BL218" s="228"/>
      <c r="BM218" s="225"/>
      <c r="BN218" s="226"/>
      <c r="BO218" s="226"/>
      <c r="BP218" s="227"/>
      <c r="BQ218" s="228"/>
      <c r="BR218" s="50"/>
      <c r="BS218" s="50"/>
      <c r="BT218" s="50"/>
      <c r="BU218" s="50"/>
      <c r="BV218" s="50"/>
      <c r="BW218" s="50"/>
      <c r="BX218" s="50"/>
      <c r="BY218" s="50"/>
      <c r="BZ218" s="50"/>
      <c r="CA218" s="50"/>
      <c r="CB218" s="50"/>
      <c r="CC218" s="50"/>
      <c r="CD218" s="50"/>
      <c r="CE218" s="50"/>
      <c r="CF218" s="50"/>
      <c r="CG218" s="50"/>
      <c r="CH218" s="50"/>
      <c r="CI218" s="50"/>
      <c r="CJ218" s="50"/>
      <c r="CK218" s="50"/>
      <c r="CL218" s="50"/>
      <c r="CM218" s="50"/>
      <c r="CN218" s="50"/>
      <c r="CO218" s="50"/>
      <c r="CP218" s="50"/>
      <c r="CQ218" s="50"/>
      <c r="CR218" s="50"/>
      <c r="CS218" s="50"/>
      <c r="CT218" s="50"/>
      <c r="CU218" s="50"/>
    </row>
    <row r="219" spans="1:99">
      <c r="A219" s="50"/>
      <c r="B219" s="46" t="s">
        <v>187</v>
      </c>
      <c r="C219" s="46"/>
      <c r="D219" s="47"/>
      <c r="E219" s="225"/>
      <c r="F219" s="226"/>
      <c r="G219" s="226"/>
      <c r="H219" s="227"/>
      <c r="I219" s="228"/>
      <c r="J219" s="225"/>
      <c r="K219" s="226"/>
      <c r="L219" s="226"/>
      <c r="M219" s="227"/>
      <c r="N219" s="228"/>
      <c r="O219" s="225"/>
      <c r="P219" s="226"/>
      <c r="Q219" s="226"/>
      <c r="R219" s="227"/>
      <c r="S219" s="228"/>
      <c r="T219" s="225"/>
      <c r="U219" s="226"/>
      <c r="V219" s="226"/>
      <c r="W219" s="227"/>
      <c r="X219" s="228"/>
      <c r="Y219" s="225"/>
      <c r="Z219" s="226"/>
      <c r="AA219" s="226"/>
      <c r="AB219" s="227"/>
      <c r="AC219" s="228"/>
      <c r="AD219" s="225"/>
      <c r="AE219" s="226"/>
      <c r="AF219" s="226"/>
      <c r="AG219" s="227"/>
      <c r="AH219" s="228"/>
      <c r="AI219" s="225"/>
      <c r="AJ219" s="226"/>
      <c r="AK219" s="226"/>
      <c r="AL219" s="227"/>
      <c r="AM219" s="228"/>
      <c r="AN219" s="225"/>
      <c r="AO219" s="226"/>
      <c r="AP219" s="226"/>
      <c r="AQ219" s="227"/>
      <c r="AR219" s="228"/>
      <c r="AS219" s="225"/>
      <c r="AT219" s="226"/>
      <c r="AU219" s="226"/>
      <c r="AV219" s="227"/>
      <c r="AW219" s="228"/>
      <c r="AX219" s="225"/>
      <c r="AY219" s="226"/>
      <c r="AZ219" s="226"/>
      <c r="BA219" s="227"/>
      <c r="BB219" s="228"/>
      <c r="BC219" s="225"/>
      <c r="BD219" s="226"/>
      <c r="BE219" s="226"/>
      <c r="BF219" s="227"/>
      <c r="BG219" s="228"/>
      <c r="BH219" s="225"/>
      <c r="BI219" s="226"/>
      <c r="BJ219" s="226"/>
      <c r="BK219" s="227"/>
      <c r="BL219" s="228"/>
      <c r="BM219" s="225"/>
      <c r="BN219" s="226"/>
      <c r="BO219" s="226"/>
      <c r="BP219" s="227"/>
      <c r="BQ219" s="228"/>
      <c r="BR219" s="50"/>
      <c r="BS219" s="50"/>
      <c r="BT219" s="50"/>
      <c r="BU219" s="50"/>
      <c r="BV219" s="50"/>
      <c r="BW219" s="50"/>
      <c r="BX219" s="50"/>
      <c r="BY219" s="50"/>
      <c r="BZ219" s="50"/>
      <c r="CA219" s="50"/>
      <c r="CB219" s="50"/>
      <c r="CC219" s="50"/>
      <c r="CD219" s="50"/>
      <c r="CE219" s="50"/>
      <c r="CF219" s="50"/>
      <c r="CG219" s="50"/>
      <c r="CH219" s="50"/>
      <c r="CI219" s="50"/>
      <c r="CJ219" s="50"/>
      <c r="CK219" s="50"/>
      <c r="CL219" s="50"/>
      <c r="CM219" s="50"/>
      <c r="CN219" s="50"/>
      <c r="CO219" s="50"/>
      <c r="CP219" s="50"/>
      <c r="CQ219" s="50"/>
      <c r="CR219" s="50"/>
      <c r="CS219" s="50"/>
      <c r="CT219" s="50"/>
      <c r="CU219" s="50"/>
    </row>
    <row r="220" spans="1:99">
      <c r="A220" s="242"/>
      <c r="B220" s="242"/>
      <c r="C220" s="100" t="s">
        <v>188</v>
      </c>
      <c r="D220" s="109"/>
      <c r="E220" s="161"/>
      <c r="F220" s="160"/>
      <c r="G220" s="150"/>
      <c r="H220" s="144"/>
      <c r="I220" s="109"/>
      <c r="J220" s="161"/>
      <c r="K220" s="160"/>
      <c r="L220" s="160"/>
      <c r="M220" s="144"/>
      <c r="N220" s="109"/>
      <c r="O220" s="161"/>
      <c r="P220" s="160"/>
      <c r="Q220" s="160"/>
      <c r="R220" s="144"/>
      <c r="S220" s="109"/>
      <c r="T220" s="161"/>
      <c r="U220" s="160"/>
      <c r="V220" s="160"/>
      <c r="W220" s="144"/>
      <c r="X220" s="109">
        <f>X41+X13</f>
        <v>1713</v>
      </c>
      <c r="Y220" s="161"/>
      <c r="Z220" s="160"/>
      <c r="AA220" s="160"/>
      <c r="AB220" s="144">
        <f>SUM(Y41:AB41)+SUM(Y13:AB13)</f>
        <v>1692</v>
      </c>
      <c r="AC220" s="109">
        <f>AC41+AC13</f>
        <v>1692</v>
      </c>
      <c r="AD220" s="161">
        <f>SUM(AD41,Z41:AB41)+SUM(AD13,Z13:AB13)</f>
        <v>1796</v>
      </c>
      <c r="AE220" s="160">
        <f>SUM(AD41:AE41,AA41:AB41)+SUM(AD13:AE13,AA13:AB13)</f>
        <v>1816</v>
      </c>
      <c r="AF220" s="160">
        <f>SUM(AD41:AF41,AB41)+SUM(AD13:AF13,AB13)</f>
        <v>1786</v>
      </c>
      <c r="AG220" s="144">
        <f>SUM(AD41:AG41)+SUM(AD13:AG13)</f>
        <v>1741</v>
      </c>
      <c r="AH220" s="109">
        <f>AH41+AH13</f>
        <v>1741</v>
      </c>
      <c r="AI220" s="161">
        <f>SUM(AI41,AE41:AG41)+SUM(AI13,AE13:AG13)</f>
        <v>1770</v>
      </c>
      <c r="AJ220" s="160">
        <f>SUM(AI41:AJ41,AF41:AG41)+SUM(AI13:AJ13,AF13:AG13)</f>
        <v>1836</v>
      </c>
      <c r="AK220" s="160">
        <f>SUM(AI41:AK41,AG41)+SUM(AI13:AK13,AG13)</f>
        <v>1898</v>
      </c>
      <c r="AL220" s="144">
        <f>SUM(AI41:AL41)+SUM(AI13:AL13)</f>
        <v>1959.1000000000006</v>
      </c>
      <c r="AM220" s="109">
        <f>AM41+AM13</f>
        <v>1959.1000000000004</v>
      </c>
      <c r="AN220" s="161">
        <f>SUM(AN41,AJ41:AL41)+SUM(AN13,AJ13:AL13)</f>
        <v>1932.5000000000002</v>
      </c>
      <c r="AO220" s="160">
        <f>SUM(AN41:AO41,AK41:AL41)+SUM(AN13:AO13,AK13:AL13)</f>
        <v>1939.9</v>
      </c>
      <c r="AP220" s="160">
        <f>SUM(AN41:AP41,AL41)+SUM(AN13:AP13,AL13)</f>
        <v>2028.7000000000003</v>
      </c>
      <c r="AQ220" s="144">
        <f>SUM(AN41:AQ41)+SUM(AN13:AQ13)</f>
        <v>2060.4999999999991</v>
      </c>
      <c r="AR220" s="109">
        <f>AR41+AR13</f>
        <v>2060.4999999999991</v>
      </c>
      <c r="AS220" s="161">
        <f>SUM(AS41,AO41:AQ41)+SUM(AS13,AO13:AQ13)</f>
        <v>2013.8999999999996</v>
      </c>
      <c r="AT220" s="160">
        <f>SUM(AS41:AT41,AP41:AQ41)+SUM(AS13:AT13,AP13:AQ13)</f>
        <v>1932.2999999999997</v>
      </c>
      <c r="AU220" s="160">
        <f>SUM(AS41:AU41,AQ41)+SUM(AS13:AU13,AQ13)</f>
        <v>1880.599999999999</v>
      </c>
      <c r="AV220" s="144">
        <f>SUM(AS41:AV41)+SUM(AS13:AV13)</f>
        <v>1948.5</v>
      </c>
      <c r="AW220" s="109">
        <f>AW41+AW13</f>
        <v>1948.5</v>
      </c>
      <c r="AX220" s="161">
        <f>SUM(AX41,AT41:AV41)+SUM(AX13,AT13:AV13)</f>
        <v>2006.3442549972715</v>
      </c>
      <c r="AY220" s="160">
        <f>SUM(AX41:AY41,AU41:AV41)+SUM(AX13:AY13,AU13:AV13)</f>
        <v>2037.8224736666089</v>
      </c>
      <c r="AZ220" s="160">
        <f>SUM(AX41:AZ41,AV41)+SUM(AX13:AZ13,AV13)</f>
        <v>2081.8495525595904</v>
      </c>
      <c r="BA220" s="144">
        <f>SUM(AX41:BA41)+SUM(AX13:BA13)</f>
        <v>2085.4059595967628</v>
      </c>
      <c r="BB220" s="109">
        <f>BB41+BB13</f>
        <v>2085.4059595967628</v>
      </c>
      <c r="BC220" s="161">
        <f>SUM(BC41,AY41:BA41)+SUM(BC13,AY13:BA13)</f>
        <v>2156.8306333145065</v>
      </c>
      <c r="BD220" s="160">
        <f>SUM(BC41:BD41,AZ41:BA41)+SUM(BC13:BD13,AZ13:BA13)</f>
        <v>2200.8715712470871</v>
      </c>
      <c r="BE220" s="160">
        <f>SUM(BC41:BE41,BA41)+SUM(BC13:BE13,BA13)</f>
        <v>2230.572953556989</v>
      </c>
      <c r="BF220" s="144">
        <f>SUM(BC41:BF41)+SUM(BC13:BF13)</f>
        <v>2262.4182065446912</v>
      </c>
      <c r="BG220" s="109">
        <f>BG41+BG13</f>
        <v>2262.4182065446912</v>
      </c>
      <c r="BH220" s="161">
        <f>SUM(BH41,BD41:BF41)+SUM(BH13,BD13:BF13)</f>
        <v>2290.0923538813631</v>
      </c>
      <c r="BI220" s="160">
        <f>SUM(BH41:BI41,BE41:BF41)+SUM(BH13:BI13,BE13:BF13)</f>
        <v>2320.0467600445982</v>
      </c>
      <c r="BJ220" s="160">
        <f>SUM(BH41:BJ41,BF41)+SUM(BH13:BJ13,BF13)</f>
        <v>2375.7219438044062</v>
      </c>
      <c r="BK220" s="144">
        <f>SUM(BH41:BK41)+SUM(BH13:BK13)</f>
        <v>2422.2817383806796</v>
      </c>
      <c r="BL220" s="109">
        <f>BL41+BL13</f>
        <v>2422.2817383806796</v>
      </c>
      <c r="BM220" s="161">
        <f>SUM(BM41,BI41:BK41)+SUM(BM13,BI13:BK13)</f>
        <v>2497.844757841066</v>
      </c>
      <c r="BN220" s="160">
        <f>SUM(BM41:BN41,BJ41:BK41)+SUM(BM13:BN13,BJ13:BK13)</f>
        <v>2570.486803637024</v>
      </c>
      <c r="BO220" s="160">
        <f>SUM(BM41:BO41,BK41)+SUM(BM13:BO13,BK13)</f>
        <v>2622.1936685377673</v>
      </c>
      <c r="BP220" s="144">
        <f>SUM(BM41:BP41)+SUM(BM13:BP13)</f>
        <v>2675.7198811789012</v>
      </c>
      <c r="BQ220" s="109">
        <f>BQ41+BQ13</f>
        <v>2675.7198811789012</v>
      </c>
      <c r="BR220" s="242"/>
      <c r="BS220" s="242"/>
      <c r="BT220" s="242"/>
      <c r="BU220" s="242"/>
      <c r="BV220" s="242"/>
      <c r="BW220" s="242"/>
      <c r="BX220" s="242"/>
      <c r="BY220" s="242"/>
      <c r="BZ220" s="242"/>
      <c r="CA220" s="242"/>
      <c r="CB220" s="242"/>
      <c r="CC220" s="242"/>
      <c r="CD220" s="242"/>
      <c r="CE220" s="242"/>
      <c r="CF220" s="242"/>
      <c r="CG220" s="242"/>
      <c r="CH220" s="242"/>
      <c r="CI220" s="242"/>
      <c r="CJ220" s="242"/>
      <c r="CK220" s="242"/>
      <c r="CL220" s="242"/>
      <c r="CM220" s="242"/>
      <c r="CN220" s="242"/>
      <c r="CO220" s="242"/>
      <c r="CP220" s="242"/>
      <c r="CQ220" s="242"/>
      <c r="CR220" s="242"/>
      <c r="CS220" s="242"/>
      <c r="CT220" s="242"/>
      <c r="CU220" s="242"/>
    </row>
    <row r="221" spans="1:99">
      <c r="A221" s="242"/>
      <c r="B221" s="242"/>
      <c r="C221" s="100" t="s">
        <v>189</v>
      </c>
      <c r="D221" s="109"/>
      <c r="E221" s="161"/>
      <c r="F221" s="160"/>
      <c r="G221" s="150"/>
      <c r="H221" s="144"/>
      <c r="I221" s="109"/>
      <c r="J221" s="161"/>
      <c r="K221" s="160"/>
      <c r="L221" s="160"/>
      <c r="M221" s="144"/>
      <c r="N221" s="109"/>
      <c r="O221" s="161"/>
      <c r="P221" s="160"/>
      <c r="Q221" s="160"/>
      <c r="R221" s="144"/>
      <c r="S221" s="109"/>
      <c r="T221" s="161"/>
      <c r="U221" s="160"/>
      <c r="V221" s="160"/>
      <c r="W221" s="144"/>
      <c r="X221" s="109">
        <f>+X23</f>
        <v>1661</v>
      </c>
      <c r="Y221" s="161"/>
      <c r="Z221" s="160"/>
      <c r="AA221" s="160"/>
      <c r="AB221" s="144">
        <f>SUM(Y23:AB23)</f>
        <v>1610</v>
      </c>
      <c r="AC221" s="109">
        <f>+AC23</f>
        <v>1610</v>
      </c>
      <c r="AD221" s="161">
        <f>SUM(AD23,Z23:AB23)</f>
        <v>1756</v>
      </c>
      <c r="AE221" s="160">
        <f>SUM(AD23:AE23,AA23:AB23)</f>
        <v>1757</v>
      </c>
      <c r="AF221" s="160">
        <f>SUM(AD23:AF23,AB23)</f>
        <v>1810</v>
      </c>
      <c r="AG221" s="144">
        <f>SUM(AD23:AG23)</f>
        <v>1666</v>
      </c>
      <c r="AH221" s="109">
        <f>+AH23</f>
        <v>1666</v>
      </c>
      <c r="AI221" s="161">
        <f>SUM(AI23,AE23:AG23)</f>
        <v>1693</v>
      </c>
      <c r="AJ221" s="160">
        <f>SUM(AI23:AJ23,AF23:AG23)</f>
        <v>1765</v>
      </c>
      <c r="AK221" s="160">
        <f>SUM(AI23:AK23,AG23)</f>
        <v>1825</v>
      </c>
      <c r="AL221" s="144">
        <f>SUM(AI23:AL23)</f>
        <v>1846.6000000000006</v>
      </c>
      <c r="AM221" s="109">
        <f>+AM23</f>
        <v>1846.6000000000006</v>
      </c>
      <c r="AN221" s="161">
        <f>SUM(AN23,AJ23:AL23)</f>
        <v>1779.9000000000003</v>
      </c>
      <c r="AO221" s="160">
        <f>SUM(AN23:AO23,AK23:AL23)</f>
        <v>1782.6000000000004</v>
      </c>
      <c r="AP221" s="160">
        <f>SUM(AN23:AP23,AL23)</f>
        <v>1885.2000000000005</v>
      </c>
      <c r="AQ221" s="144">
        <f>SUM(AN23:AQ23)</f>
        <v>1890.5999999999995</v>
      </c>
      <c r="AR221" s="109">
        <f>+AR23</f>
        <v>1890.5999999999995</v>
      </c>
      <c r="AS221" s="161">
        <f>SUM(AS23,AO23:AQ23)</f>
        <v>1842.9999999999998</v>
      </c>
      <c r="AT221" s="160">
        <f>SUM(AS23:AT23,AP23:AQ23)</f>
        <v>1725.6999999999998</v>
      </c>
      <c r="AU221" s="160">
        <f>SUM(AS23:AU23,AQ23)</f>
        <v>1646.6999999999994</v>
      </c>
      <c r="AV221" s="144">
        <f>SUM(AS23:AV23)</f>
        <v>1765.9000000000008</v>
      </c>
      <c r="AW221" s="109">
        <f>+AW23</f>
        <v>1765.9</v>
      </c>
      <c r="AX221" s="161">
        <f>SUM(AX23,AT23:AV23)</f>
        <v>1751.6058805884288</v>
      </c>
      <c r="AY221" s="160">
        <f>SUM(AX23:AY23,AU23:AV23)</f>
        <v>1730.7876750789312</v>
      </c>
      <c r="AZ221" s="160">
        <f>SUM(AX23:AZ23,AV23)</f>
        <v>1729.8144254619845</v>
      </c>
      <c r="BA221" s="144">
        <f>SUM(AX23:BA23)</f>
        <v>1715.1934466183791</v>
      </c>
      <c r="BB221" s="109">
        <f>+BB23</f>
        <v>1715.1934466183782</v>
      </c>
      <c r="BC221" s="161">
        <f>SUM(BC23,AY23:BA23)</f>
        <v>1795.5811155003112</v>
      </c>
      <c r="BD221" s="160">
        <f>SUM(BC23:BD23,AZ23:BA23)</f>
        <v>1840.0519743558687</v>
      </c>
      <c r="BE221" s="160">
        <f>SUM(BC23:BE23,BA23)</f>
        <v>1883.5465221940763</v>
      </c>
      <c r="BF221" s="144">
        <f>SUM(BC23:BF23)</f>
        <v>1915.4580821925442</v>
      </c>
      <c r="BG221" s="109">
        <f>+BG23</f>
        <v>1915.4580821925438</v>
      </c>
      <c r="BH221" s="161">
        <f>SUM(BH23,BD23:BF23)</f>
        <v>1949.4692908964091</v>
      </c>
      <c r="BI221" s="160">
        <f>SUM(BH23:BI23,BE23:BF23)</f>
        <v>1978.923163091994</v>
      </c>
      <c r="BJ221" s="160">
        <f>SUM(BH23:BJ23,BF23)</f>
        <v>2024.5225570440937</v>
      </c>
      <c r="BK221" s="144">
        <f>SUM(BH23:BK23)</f>
        <v>2059.5942464363297</v>
      </c>
      <c r="BL221" s="109">
        <f>+BL23</f>
        <v>2059.5942464363306</v>
      </c>
      <c r="BM221" s="161">
        <f>SUM(BM23,BI23:BK23)</f>
        <v>2136.1748087898554</v>
      </c>
      <c r="BN221" s="160">
        <f>SUM(BM23:BN23,BJ23:BK23)</f>
        <v>2198.7695680871134</v>
      </c>
      <c r="BO221" s="160">
        <f>SUM(BM23:BO23,BK23)</f>
        <v>2264.3400356758189</v>
      </c>
      <c r="BP221" s="144">
        <f>SUM(BM23:BP23)</f>
        <v>2322.4459644472154</v>
      </c>
      <c r="BQ221" s="109">
        <f>+BQ23</f>
        <v>2322.4459644472145</v>
      </c>
      <c r="BR221" s="242"/>
      <c r="BS221" s="242"/>
      <c r="BT221" s="242"/>
      <c r="BU221" s="242"/>
      <c r="BV221" s="242"/>
      <c r="BW221" s="242"/>
      <c r="BX221" s="242"/>
      <c r="BY221" s="242"/>
      <c r="BZ221" s="242"/>
      <c r="CA221" s="242"/>
      <c r="CB221" s="242"/>
      <c r="CC221" s="242"/>
      <c r="CD221" s="242"/>
      <c r="CE221" s="242"/>
      <c r="CF221" s="242"/>
      <c r="CG221" s="242"/>
      <c r="CH221" s="242"/>
      <c r="CI221" s="242"/>
      <c r="CJ221" s="242"/>
      <c r="CK221" s="242"/>
      <c r="CL221" s="242"/>
      <c r="CM221" s="242"/>
      <c r="CN221" s="242"/>
      <c r="CO221" s="242"/>
      <c r="CP221" s="242"/>
      <c r="CQ221" s="242"/>
      <c r="CR221" s="242"/>
      <c r="CS221" s="242"/>
      <c r="CT221" s="242"/>
      <c r="CU221" s="242"/>
    </row>
    <row r="222" spans="1:99">
      <c r="A222" s="242"/>
      <c r="B222" s="242"/>
      <c r="C222" s="100" t="s">
        <v>190</v>
      </c>
      <c r="D222" s="109"/>
      <c r="E222" s="161"/>
      <c r="F222" s="160"/>
      <c r="G222" s="150"/>
      <c r="H222" s="144"/>
      <c r="I222" s="109"/>
      <c r="J222" s="161"/>
      <c r="K222" s="160"/>
      <c r="L222" s="160"/>
      <c r="M222" s="144"/>
      <c r="N222" s="109"/>
      <c r="O222" s="161"/>
      <c r="P222" s="160"/>
      <c r="Q222" s="160"/>
      <c r="R222" s="144"/>
      <c r="S222" s="109"/>
      <c r="T222" s="161"/>
      <c r="U222" s="160"/>
      <c r="V222" s="160"/>
      <c r="W222" s="144"/>
      <c r="X222" s="109">
        <f>+X24</f>
        <v>2534</v>
      </c>
      <c r="Y222" s="161"/>
      <c r="Z222" s="160"/>
      <c r="AA222" s="160"/>
      <c r="AB222" s="144">
        <f>SUM(Y24:AB24)</f>
        <v>2551</v>
      </c>
      <c r="AC222" s="109">
        <f>+AC24</f>
        <v>2551</v>
      </c>
      <c r="AD222" s="161">
        <f>SUM(AD24,Z24:AB24)</f>
        <v>2725</v>
      </c>
      <c r="AE222" s="160">
        <f>SUM(AD24:AE24,AA24:AB24)</f>
        <v>2744</v>
      </c>
      <c r="AF222" s="160">
        <f>SUM(AD24:AF24,AB24)</f>
        <v>2821</v>
      </c>
      <c r="AG222" s="144">
        <f>SUM(AD24:AG24)</f>
        <v>2699</v>
      </c>
      <c r="AH222" s="109">
        <f>+AH24</f>
        <v>2699</v>
      </c>
      <c r="AI222" s="161">
        <f>SUM(AI24,AE24:AG24)</f>
        <v>2735</v>
      </c>
      <c r="AJ222" s="160">
        <f>SUM(AI24:AJ24,AF24:AG24)</f>
        <v>2821</v>
      </c>
      <c r="AK222" s="160">
        <f>SUM(AI24:AK24,AG24)</f>
        <v>2888</v>
      </c>
      <c r="AL222" s="144">
        <f>SUM(AI24:AL24)</f>
        <v>2909.2000000000007</v>
      </c>
      <c r="AM222" s="109">
        <f>+AM24</f>
        <v>2909.2000000000007</v>
      </c>
      <c r="AN222" s="161">
        <f>SUM(AN24,AJ24:AL24)</f>
        <v>2837.3</v>
      </c>
      <c r="AO222" s="160">
        <f>SUM(AN24:AO24,AK24:AL24)</f>
        <v>2845</v>
      </c>
      <c r="AP222" s="160">
        <f>SUM(AN24:AP24,AL24)</f>
        <v>2961.3</v>
      </c>
      <c r="AQ222" s="144">
        <f>SUM(AN24:AQ24)</f>
        <v>2964.3999999999996</v>
      </c>
      <c r="AR222" s="109">
        <f>+AR24</f>
        <v>2964.3999999999996</v>
      </c>
      <c r="AS222" s="161">
        <f>SUM(AS24,AO24:AQ24)</f>
        <v>2928.3</v>
      </c>
      <c r="AT222" s="160">
        <f>SUM(AS24:AT24,AP24:AQ24)</f>
        <v>2818</v>
      </c>
      <c r="AU222" s="160">
        <f>SUM(AS24:AU24,AQ24)</f>
        <v>2750.0999999999995</v>
      </c>
      <c r="AV222" s="144">
        <f>SUM(AS24:AV24)</f>
        <v>2908.4000000000005</v>
      </c>
      <c r="AW222" s="109">
        <f>+AW24</f>
        <v>2908.4</v>
      </c>
      <c r="AX222" s="161">
        <f>SUM(AX24,AT24:AV24)</f>
        <v>2910.4957805884287</v>
      </c>
      <c r="AY222" s="160">
        <f>SUM(AX24:AY24,AU24:AV24)</f>
        <v>2905.2887517664321</v>
      </c>
      <c r="AZ222" s="160">
        <f>SUM(AX24:AZ24,AV24)</f>
        <v>2912.2970600846802</v>
      </c>
      <c r="BA222" s="144">
        <f>SUM(AX24:BA24)</f>
        <v>2900.1943351232085</v>
      </c>
      <c r="BB222" s="109">
        <f>+BB24</f>
        <v>2900.1943351232076</v>
      </c>
      <c r="BC222" s="161">
        <f>SUM(BC24,AY24:BA24)</f>
        <v>2985.34876617584</v>
      </c>
      <c r="BD222" s="160">
        <f>SUM(BC24:BD24,AZ24:BA24)</f>
        <v>3036.3097405618046</v>
      </c>
      <c r="BE222" s="160">
        <f>SUM(BC24:BE24,BA24)</f>
        <v>3087.9030841144358</v>
      </c>
      <c r="BF222" s="144">
        <f>SUM(BC24:BF24)</f>
        <v>3129.5056251670676</v>
      </c>
      <c r="BG222" s="109">
        <f>+BG24</f>
        <v>3129.5056251670671</v>
      </c>
      <c r="BH222" s="161">
        <f>SUM(BH24,BD24:BF24)</f>
        <v>3178.3486346697</v>
      </c>
      <c r="BI222" s="160">
        <f>SUM(BH24:BI24,BE24:BF24)</f>
        <v>3228.6179237556653</v>
      </c>
      <c r="BJ222" s="160">
        <f>SUM(BH24:BJ24,BF24)</f>
        <v>3293.9059227207963</v>
      </c>
      <c r="BK222" s="144">
        <f>SUM(BH24:BK24)</f>
        <v>3347.5512367734273</v>
      </c>
      <c r="BL222" s="109">
        <f>+BL24</f>
        <v>3347.5512367734282</v>
      </c>
      <c r="BM222" s="161">
        <f>SUM(BM24,BI24:BK24)</f>
        <v>3441.6021507284136</v>
      </c>
      <c r="BN222" s="160">
        <f>SUM(BM24:BN24,BJ24:BK24)</f>
        <v>3532.9624229353167</v>
      </c>
      <c r="BO222" s="160">
        <f>SUM(BM24:BO24,BK24)</f>
        <v>3626.1563655481159</v>
      </c>
      <c r="BP222" s="144">
        <f>SUM(BM24:BP24)</f>
        <v>3710.755722855853</v>
      </c>
      <c r="BQ222" s="109">
        <f>+BQ24</f>
        <v>3710.7557228558526</v>
      </c>
      <c r="BR222" s="242"/>
      <c r="BS222" s="242"/>
      <c r="BT222" s="242"/>
      <c r="BU222" s="242"/>
      <c r="BV222" s="242"/>
      <c r="BW222" s="242"/>
      <c r="BX222" s="242"/>
      <c r="BY222" s="242"/>
      <c r="BZ222" s="242"/>
      <c r="CA222" s="242"/>
      <c r="CB222" s="242"/>
      <c r="CC222" s="242"/>
      <c r="CD222" s="242"/>
      <c r="CE222" s="242"/>
      <c r="CF222" s="242"/>
      <c r="CG222" s="242"/>
      <c r="CH222" s="242"/>
      <c r="CI222" s="242"/>
      <c r="CJ222" s="242"/>
      <c r="CK222" s="242"/>
      <c r="CL222" s="242"/>
      <c r="CM222" s="242"/>
      <c r="CN222" s="242"/>
      <c r="CO222" s="242"/>
      <c r="CP222" s="242"/>
      <c r="CQ222" s="242"/>
      <c r="CR222" s="242"/>
      <c r="CS222" s="242"/>
      <c r="CT222" s="242"/>
      <c r="CU222" s="242"/>
    </row>
    <row r="223" spans="1:99">
      <c r="A223" s="242"/>
      <c r="B223" s="242"/>
      <c r="C223" s="100" t="s">
        <v>191</v>
      </c>
      <c r="D223" s="109"/>
      <c r="E223" s="161"/>
      <c r="F223" s="160"/>
      <c r="G223" s="150"/>
      <c r="H223" s="144"/>
      <c r="I223" s="109"/>
      <c r="J223" s="161"/>
      <c r="K223" s="160"/>
      <c r="L223" s="160"/>
      <c r="M223" s="144"/>
      <c r="N223" s="109"/>
      <c r="O223" s="161"/>
      <c r="P223" s="160"/>
      <c r="Q223" s="160"/>
      <c r="R223" s="144"/>
      <c r="S223" s="109"/>
      <c r="T223" s="161"/>
      <c r="U223" s="160"/>
      <c r="V223" s="160"/>
      <c r="W223" s="144"/>
      <c r="X223" s="109">
        <f>+SUM(X27:X27)</f>
        <v>520</v>
      </c>
      <c r="Y223" s="161"/>
      <c r="Z223" s="160"/>
      <c r="AA223" s="160"/>
      <c r="AB223" s="144">
        <f>SUM(Y27:AB27)</f>
        <v>540</v>
      </c>
      <c r="AC223" s="109">
        <f>+SUM(AC27:AC27)</f>
        <v>540</v>
      </c>
      <c r="AD223" s="161">
        <f>SUM(AD27:AD27,Z27:AB27)</f>
        <v>535</v>
      </c>
      <c r="AE223" s="160">
        <f>SUM(AD27:AE27,AA27:AB27)</f>
        <v>531</v>
      </c>
      <c r="AF223" s="160">
        <f>SUM(AD27:AF27,AB27:AB27)</f>
        <v>528</v>
      </c>
      <c r="AG223" s="144">
        <f>SUM(AD27:AG27)</f>
        <v>526</v>
      </c>
      <c r="AH223" s="109">
        <f>+SUM(AH27:AH27)</f>
        <v>526</v>
      </c>
      <c r="AI223" s="161">
        <f>SUM(AI27:AI27,AE27:AG27)</f>
        <v>526</v>
      </c>
      <c r="AJ223" s="160">
        <f>SUM(AI27:AJ27,AF27:AG27)</f>
        <v>525</v>
      </c>
      <c r="AK223" s="160">
        <f>SUM(AI27:AK27,AG27:AG27)</f>
        <v>522</v>
      </c>
      <c r="AL223" s="144">
        <f>SUM(AI27:AL27)</f>
        <v>517.4</v>
      </c>
      <c r="AM223" s="109">
        <f>+SUM(AM27:AM27)</f>
        <v>517.4</v>
      </c>
      <c r="AN223" s="161">
        <f>SUM(AN27:AN27,AJ27:AL27)</f>
        <v>513.70000000000005</v>
      </c>
      <c r="AO223" s="160">
        <f>SUM(AN27:AO27,AK27:AL27)</f>
        <v>518.59999999999991</v>
      </c>
      <c r="AP223" s="160">
        <f>SUM(AN27:AP27,AL27:AL27)</f>
        <v>525.29999999999995</v>
      </c>
      <c r="AQ223" s="144">
        <f>SUM(AN27:AQ27)</f>
        <v>522.1</v>
      </c>
      <c r="AR223" s="109">
        <f>+SUM(AR27:AR27)</f>
        <v>522.1</v>
      </c>
      <c r="AS223" s="161">
        <f>SUM(AS27:AS27,AO27:AQ27)</f>
        <v>529.70000000000005</v>
      </c>
      <c r="AT223" s="160">
        <f>SUM(AS27:AT27,AP27:AQ27)</f>
        <v>530.5</v>
      </c>
      <c r="AU223" s="160">
        <f>SUM(AS27:AU27,AQ27:AQ27)</f>
        <v>528.70000000000005</v>
      </c>
      <c r="AV223" s="144">
        <f>SUM(AS27:AV27)</f>
        <v>540</v>
      </c>
      <c r="AW223" s="109">
        <f>+SUM(AW27:AW27)</f>
        <v>540</v>
      </c>
      <c r="AX223" s="161">
        <f>SUM(AX27:AX27,AT27:AV27)</f>
        <v>535.25147996875</v>
      </c>
      <c r="AY223" s="160">
        <f>SUM(AX27:AY27,AU27:AV27)</f>
        <v>526.44639096514516</v>
      </c>
      <c r="AZ223" s="160">
        <f>SUM(AX27:AZ27,AV27:AV27)</f>
        <v>542.15668025415857</v>
      </c>
      <c r="BA223" s="144">
        <f>SUM(AX27:BA27)</f>
        <v>549.43419795170701</v>
      </c>
      <c r="BB223" s="109">
        <f>+SUM(BB27:BB27)</f>
        <v>549.43419795170701</v>
      </c>
      <c r="BC223" s="161">
        <f>SUM(BC27:BC27,AY27:BA27)</f>
        <v>544.51201091993767</v>
      </c>
      <c r="BD223" s="160">
        <f>SUM(BC27:BD27,AZ27:BA27)</f>
        <v>541.97181536820301</v>
      </c>
      <c r="BE223" s="160">
        <f>SUM(BC27:BE27,BA27:BA27)</f>
        <v>559.43982959740197</v>
      </c>
      <c r="BF223" s="144">
        <f>SUM(BC27:BF27)</f>
        <v>564.59895422625664</v>
      </c>
      <c r="BG223" s="109">
        <f>+SUM(BG27:BG27)</f>
        <v>564.59895422625664</v>
      </c>
      <c r="BH223" s="161">
        <f>SUM(BH27:BH27,BD27:BF27)</f>
        <v>582.78552413370903</v>
      </c>
      <c r="BI223" s="160">
        <f>SUM(BH27:BI27,BE27:BF27)</f>
        <v>601.28759603952722</v>
      </c>
      <c r="BJ223" s="160">
        <f>SUM(BH27:BJ27,BF27:BF27)</f>
        <v>600.60941407827818</v>
      </c>
      <c r="BK223" s="144">
        <f>SUM(BH27:BK27)</f>
        <v>599.93038128203375</v>
      </c>
      <c r="BL223" s="109">
        <f>+SUM(BL27:BL27)</f>
        <v>599.93038128203375</v>
      </c>
      <c r="BM223" s="161">
        <f>SUM(BM27:BM27,BI27:BK27)</f>
        <v>596.02446930594829</v>
      </c>
      <c r="BN223" s="160">
        <f>SUM(BM27:BN27,BJ27:BK27)</f>
        <v>596.8381950270325</v>
      </c>
      <c r="BO223" s="160">
        <f>SUM(BM27:BO27,BK27:BK27)</f>
        <v>626.67123826280567</v>
      </c>
      <c r="BP223" s="144">
        <f>SUM(BM27:BP27)</f>
        <v>645.15896080213088</v>
      </c>
      <c r="BQ223" s="109">
        <f>+SUM(BQ27:BQ27)</f>
        <v>645.15896080213088</v>
      </c>
      <c r="BR223" s="242"/>
      <c r="BS223" s="242"/>
      <c r="BT223" s="242"/>
      <c r="BU223" s="242"/>
      <c r="BV223" s="242"/>
      <c r="BW223" s="242"/>
      <c r="BX223" s="242"/>
      <c r="BY223" s="242"/>
      <c r="BZ223" s="242"/>
      <c r="CA223" s="242"/>
      <c r="CB223" s="242"/>
      <c r="CC223" s="242"/>
      <c r="CD223" s="242"/>
      <c r="CE223" s="242"/>
      <c r="CF223" s="242"/>
      <c r="CG223" s="242"/>
      <c r="CH223" s="242"/>
      <c r="CI223" s="242"/>
      <c r="CJ223" s="242"/>
      <c r="CK223" s="242"/>
      <c r="CL223" s="242"/>
      <c r="CM223" s="242"/>
      <c r="CN223" s="242"/>
      <c r="CO223" s="242"/>
      <c r="CP223" s="242"/>
      <c r="CQ223" s="242"/>
      <c r="CR223" s="242"/>
      <c r="CS223" s="242"/>
      <c r="CT223" s="242"/>
      <c r="CU223" s="242"/>
    </row>
    <row r="224" spans="1:99">
      <c r="A224" s="242"/>
      <c r="B224" s="242"/>
      <c r="C224" s="100" t="s">
        <v>192</v>
      </c>
      <c r="D224" s="109"/>
      <c r="E224" s="161"/>
      <c r="F224" s="160"/>
      <c r="G224" s="150"/>
      <c r="H224" s="144"/>
      <c r="I224" s="109"/>
      <c r="J224" s="161"/>
      <c r="K224" s="160"/>
      <c r="L224" s="160"/>
      <c r="M224" s="144"/>
      <c r="N224" s="109"/>
      <c r="O224" s="161"/>
      <c r="P224" s="160"/>
      <c r="Q224" s="160"/>
      <c r="R224" s="144"/>
      <c r="S224" s="109"/>
      <c r="T224" s="161"/>
      <c r="U224" s="160"/>
      <c r="V224" s="160"/>
      <c r="W224" s="144"/>
      <c r="X224" s="109">
        <f>X41</f>
        <v>840</v>
      </c>
      <c r="Y224" s="161"/>
      <c r="Z224" s="160"/>
      <c r="AA224" s="160"/>
      <c r="AB224" s="144">
        <f>SUM(Y41:AB41)</f>
        <v>751</v>
      </c>
      <c r="AC224" s="109">
        <f>AC41</f>
        <v>751</v>
      </c>
      <c r="AD224" s="161">
        <f>SUM(AD41,Z41:AB41)</f>
        <v>827</v>
      </c>
      <c r="AE224" s="160">
        <f>SUM(AD41:AE41,AA41:AB41)</f>
        <v>829</v>
      </c>
      <c r="AF224" s="160">
        <f>SUM(AD41:AF41,AB41)</f>
        <v>775</v>
      </c>
      <c r="AG224" s="144">
        <f>SUM(AD41:AG41)</f>
        <v>708</v>
      </c>
      <c r="AH224" s="109">
        <f>AH41</f>
        <v>708</v>
      </c>
      <c r="AI224" s="161">
        <f>SUM(AI41,AE41:AG41)</f>
        <v>728</v>
      </c>
      <c r="AJ224" s="160">
        <f>SUM(AI41:AJ41,AF41:AG41)</f>
        <v>780</v>
      </c>
      <c r="AK224" s="160">
        <f>SUM(AI41:AK41,AG41)</f>
        <v>835</v>
      </c>
      <c r="AL224" s="144">
        <f>SUM(AI41:AL41)</f>
        <v>896.50000000000068</v>
      </c>
      <c r="AM224" s="109">
        <f>AM41</f>
        <v>896.50000000000057</v>
      </c>
      <c r="AN224" s="161">
        <f>SUM(AN41,AJ41:AL41)</f>
        <v>875.10000000000036</v>
      </c>
      <c r="AO224" s="160">
        <f>SUM(AN41:AO41,AK41:AL41)</f>
        <v>877.50000000000034</v>
      </c>
      <c r="AP224" s="160">
        <f>SUM(AN41:AP41,AL41)</f>
        <v>952.60000000000048</v>
      </c>
      <c r="AQ224" s="144">
        <f>SUM(AN41:AQ41)</f>
        <v>986.69999999999925</v>
      </c>
      <c r="AR224" s="109">
        <f>AR41</f>
        <v>986.69999999999925</v>
      </c>
      <c r="AS224" s="161">
        <f>SUM(AS41,AO41:AQ41)</f>
        <v>928.59999999999968</v>
      </c>
      <c r="AT224" s="160">
        <f>SUM(AS41:AT41,AP41:AQ41)</f>
        <v>839.99999999999977</v>
      </c>
      <c r="AU224" s="160">
        <f>SUM(AS41:AU41,AQ41)</f>
        <v>777.19999999999914</v>
      </c>
      <c r="AV224" s="144">
        <f>SUM(AS41:AV41)</f>
        <v>806.00000000000011</v>
      </c>
      <c r="AW224" s="109">
        <f>AW41</f>
        <v>806.00000000000011</v>
      </c>
      <c r="AX224" s="161">
        <f>SUM(AX41,AT41:AV41)</f>
        <v>847.45435499727125</v>
      </c>
      <c r="AY224" s="160">
        <f>SUM(AX41:AY41,AU41:AV41)</f>
        <v>863.32139697910861</v>
      </c>
      <c r="AZ224" s="160">
        <f>SUM(AX41:AZ41,AV41)</f>
        <v>899.36691793689477</v>
      </c>
      <c r="BA224" s="144">
        <f>SUM(AX41:BA41)</f>
        <v>900.405071091933</v>
      </c>
      <c r="BB224" s="109">
        <f>BB41</f>
        <v>900.405071091933</v>
      </c>
      <c r="BC224" s="161">
        <f>SUM(BC41,AY41:BA41)</f>
        <v>967.0629826389777</v>
      </c>
      <c r="BD224" s="160">
        <f>SUM(BC41:BD41,AZ41:BA41)</f>
        <v>1004.6138050411512</v>
      </c>
      <c r="BE224" s="160">
        <f>SUM(BC41:BE41,BA41)</f>
        <v>1026.2163916366294</v>
      </c>
      <c r="BF224" s="144">
        <f>SUM(BC41:BF41)</f>
        <v>1048.3706635701676</v>
      </c>
      <c r="BG224" s="109">
        <f>BG41</f>
        <v>1048.3706635701676</v>
      </c>
      <c r="BH224" s="161">
        <f>SUM(BH41,BD41:BF41)</f>
        <v>1061.2130101080725</v>
      </c>
      <c r="BI224" s="160">
        <f>SUM(BH41:BI41,BE41:BF41)</f>
        <v>1070.3519993809268</v>
      </c>
      <c r="BJ224" s="160">
        <f>SUM(BH41:BJ41,BF41)</f>
        <v>1106.3385781277034</v>
      </c>
      <c r="BK224" s="144">
        <f>SUM(BH41:BK41)</f>
        <v>1134.3247480435818</v>
      </c>
      <c r="BL224" s="109">
        <f>BL41</f>
        <v>1134.3247480435818</v>
      </c>
      <c r="BM224" s="161">
        <f>SUM(BM41,BI41:BK41)</f>
        <v>1192.4174159025076</v>
      </c>
      <c r="BN224" s="160">
        <f>SUM(BM41:BN41,BJ41:BK41)</f>
        <v>1236.2939487888207</v>
      </c>
      <c r="BO224" s="160">
        <f>SUM(BM41:BO41,BK41)</f>
        <v>1260.3773386654702</v>
      </c>
      <c r="BP224" s="144">
        <f>SUM(BM41:BP41)</f>
        <v>1287.4101227702633</v>
      </c>
      <c r="BQ224" s="109">
        <f>BQ41</f>
        <v>1287.4101227702633</v>
      </c>
      <c r="BR224" s="242"/>
      <c r="BS224" s="242"/>
      <c r="BT224" s="242"/>
      <c r="BU224" s="242"/>
      <c r="BV224" s="242"/>
      <c r="BW224" s="242"/>
      <c r="BX224" s="242"/>
      <c r="BY224" s="242"/>
      <c r="BZ224" s="242"/>
      <c r="CA224" s="242"/>
      <c r="CB224" s="242"/>
      <c r="CC224" s="242"/>
      <c r="CD224" s="242"/>
      <c r="CE224" s="242"/>
      <c r="CF224" s="242"/>
      <c r="CG224" s="242"/>
      <c r="CH224" s="242"/>
      <c r="CI224" s="242"/>
      <c r="CJ224" s="242"/>
      <c r="CK224" s="242"/>
      <c r="CL224" s="242"/>
      <c r="CM224" s="242"/>
      <c r="CN224" s="242"/>
      <c r="CO224" s="242"/>
      <c r="CP224" s="242"/>
      <c r="CQ224" s="242"/>
      <c r="CR224" s="242"/>
      <c r="CS224" s="242"/>
      <c r="CT224" s="242"/>
      <c r="CU224" s="242"/>
    </row>
    <row r="225" spans="1:99">
      <c r="A225" s="303"/>
      <c r="B225" s="303"/>
      <c r="C225" s="303"/>
      <c r="D225" s="303"/>
      <c r="E225" s="305"/>
      <c r="F225" s="306"/>
      <c r="G225" s="306"/>
      <c r="H225" s="307"/>
      <c r="I225" s="303"/>
      <c r="J225" s="305"/>
      <c r="K225" s="306"/>
      <c r="L225" s="306"/>
      <c r="M225" s="307"/>
      <c r="N225" s="303"/>
      <c r="O225" s="305"/>
      <c r="P225" s="306"/>
      <c r="Q225" s="306"/>
      <c r="R225" s="307"/>
      <c r="S225" s="303"/>
      <c r="T225" s="305"/>
      <c r="U225" s="306"/>
      <c r="V225" s="306"/>
      <c r="W225" s="307"/>
      <c r="X225" s="303"/>
      <c r="Y225" s="305"/>
      <c r="Z225" s="306"/>
      <c r="AA225" s="306"/>
      <c r="AB225" s="307"/>
      <c r="AC225" s="303"/>
      <c r="AD225" s="305"/>
      <c r="AE225" s="306"/>
      <c r="AF225" s="306"/>
      <c r="AG225" s="307"/>
      <c r="AH225" s="303"/>
      <c r="AI225" s="305"/>
      <c r="AJ225" s="306"/>
      <c r="AK225" s="306"/>
      <c r="AL225" s="307"/>
      <c r="AM225" s="303"/>
      <c r="AN225" s="305"/>
      <c r="AO225" s="306"/>
      <c r="AP225" s="306"/>
      <c r="AQ225" s="307"/>
      <c r="AR225" s="303"/>
      <c r="AS225" s="305"/>
      <c r="AT225" s="306"/>
      <c r="AU225" s="306"/>
      <c r="AV225" s="307"/>
      <c r="AW225" s="303"/>
      <c r="AX225" s="305"/>
      <c r="AY225" s="306"/>
      <c r="AZ225" s="306"/>
      <c r="BA225" s="307"/>
      <c r="BB225" s="303"/>
      <c r="BC225" s="305"/>
      <c r="BD225" s="306"/>
      <c r="BE225" s="306"/>
      <c r="BF225" s="307"/>
      <c r="BG225" s="303"/>
      <c r="BH225" s="305"/>
      <c r="BI225" s="306"/>
      <c r="BJ225" s="306"/>
      <c r="BK225" s="307"/>
      <c r="BL225" s="303"/>
      <c r="BM225" s="305"/>
      <c r="BN225" s="306"/>
      <c r="BO225" s="306"/>
      <c r="BP225" s="307"/>
      <c r="BQ225" s="303"/>
      <c r="BR225" s="303"/>
      <c r="BS225" s="303"/>
      <c r="BT225" s="303"/>
      <c r="BU225" s="303"/>
      <c r="BV225" s="303"/>
      <c r="BW225" s="303"/>
      <c r="BX225" s="303"/>
      <c r="BY225" s="303"/>
      <c r="BZ225" s="303"/>
      <c r="CA225" s="303"/>
      <c r="CB225" s="303"/>
      <c r="CC225" s="303"/>
      <c r="CD225" s="303"/>
      <c r="CE225" s="303"/>
      <c r="CF225" s="303"/>
      <c r="CG225" s="303"/>
      <c r="CH225" s="303"/>
      <c r="CI225" s="303"/>
      <c r="CJ225" s="303"/>
      <c r="CK225" s="303"/>
      <c r="CL225" s="303"/>
      <c r="CM225" s="303"/>
      <c r="CN225" s="303"/>
      <c r="CO225" s="303"/>
      <c r="CP225" s="303"/>
      <c r="CQ225" s="303"/>
      <c r="CR225" s="303"/>
      <c r="CS225" s="303"/>
      <c r="CT225" s="303"/>
      <c r="CU225" s="303"/>
    </row>
    <row r="226" spans="1:99">
      <c r="A226" s="303"/>
      <c r="B226" s="303"/>
      <c r="C226" s="164" t="s">
        <v>871</v>
      </c>
      <c r="D226" s="303"/>
      <c r="E226" s="305"/>
      <c r="F226" s="306"/>
      <c r="G226" s="306"/>
      <c r="H226" s="307"/>
      <c r="I226" s="303"/>
      <c r="J226" s="305"/>
      <c r="K226" s="306"/>
      <c r="L226" s="306"/>
      <c r="M226" s="307"/>
      <c r="N226" s="303"/>
      <c r="O226" s="305"/>
      <c r="P226" s="306"/>
      <c r="Q226" s="306"/>
      <c r="R226" s="307"/>
      <c r="S226" s="303"/>
      <c r="T226" s="305"/>
      <c r="U226" s="306"/>
      <c r="V226" s="306"/>
      <c r="W226" s="307"/>
      <c r="X226" s="303"/>
      <c r="Y226" s="305"/>
      <c r="Z226" s="306"/>
      <c r="AA226" s="306"/>
      <c r="AB226" s="307"/>
      <c r="AC226" s="303"/>
      <c r="AD226" s="305"/>
      <c r="AE226" s="306"/>
      <c r="AF226" s="306"/>
      <c r="AG226" s="307"/>
      <c r="AH226" s="303"/>
      <c r="AI226" s="305"/>
      <c r="AJ226" s="306"/>
      <c r="AK226" s="306"/>
      <c r="AL226" s="307"/>
      <c r="AM226" s="303"/>
      <c r="AN226" s="305"/>
      <c r="AO226" s="306"/>
      <c r="AP226" s="306"/>
      <c r="AQ226" s="307"/>
      <c r="AR226" s="303"/>
      <c r="AS226" s="305"/>
      <c r="AT226" s="306"/>
      <c r="AU226" s="306"/>
      <c r="AV226" s="307"/>
      <c r="AW226" s="303"/>
      <c r="AX226" s="305"/>
      <c r="AY226" s="306"/>
      <c r="AZ226" s="306"/>
      <c r="BA226" s="307"/>
      <c r="BB226" s="303"/>
      <c r="BC226" s="305"/>
      <c r="BD226" s="306"/>
      <c r="BE226" s="306"/>
      <c r="BF226" s="307"/>
      <c r="BG226" s="303"/>
      <c r="BH226" s="305"/>
      <c r="BI226" s="306"/>
      <c r="BJ226" s="306"/>
      <c r="BK226" s="307"/>
      <c r="BL226" s="303"/>
      <c r="BM226" s="305"/>
      <c r="BN226" s="306"/>
      <c r="BO226" s="306"/>
      <c r="BP226" s="307"/>
      <c r="BQ226" s="303"/>
      <c r="BR226" s="303"/>
      <c r="BS226" s="303"/>
      <c r="BT226" s="303"/>
      <c r="BU226" s="303"/>
      <c r="BV226" s="303"/>
      <c r="BW226" s="303"/>
      <c r="BX226" s="303"/>
      <c r="BY226" s="303"/>
      <c r="BZ226" s="303"/>
      <c r="CA226" s="303"/>
      <c r="CB226" s="303"/>
      <c r="CC226" s="303"/>
      <c r="CD226" s="303"/>
      <c r="CE226" s="303"/>
      <c r="CF226" s="303"/>
      <c r="CG226" s="303"/>
      <c r="CH226" s="303"/>
      <c r="CI226" s="303"/>
      <c r="CJ226" s="303"/>
      <c r="CK226" s="303"/>
      <c r="CL226" s="303"/>
      <c r="CM226" s="303"/>
      <c r="CN226" s="303"/>
      <c r="CO226" s="303"/>
      <c r="CP226" s="303"/>
      <c r="CQ226" s="303"/>
      <c r="CR226" s="303"/>
      <c r="CS226" s="303"/>
      <c r="CT226" s="303"/>
      <c r="CU226" s="303"/>
    </row>
    <row r="227" spans="1:99">
      <c r="A227" s="50"/>
      <c r="B227" s="50"/>
      <c r="C227" s="50" t="s">
        <v>193</v>
      </c>
      <c r="D227" s="50"/>
      <c r="E227" s="274"/>
      <c r="F227" s="275"/>
      <c r="G227" s="275"/>
      <c r="H227" s="276"/>
      <c r="I227" s="107"/>
      <c r="J227" s="274"/>
      <c r="K227" s="275"/>
      <c r="L227" s="275"/>
      <c r="M227" s="276"/>
      <c r="N227" s="107"/>
      <c r="O227" s="274"/>
      <c r="P227" s="275"/>
      <c r="Q227" s="275"/>
      <c r="R227" s="276"/>
      <c r="S227" s="107"/>
      <c r="T227" s="274"/>
      <c r="U227" s="275"/>
      <c r="V227" s="275"/>
      <c r="W227" s="276"/>
      <c r="X227" s="107">
        <f t="shared" ref="X227:AH227" si="238">X205/X215</f>
        <v>0.52226725372537197</v>
      </c>
      <c r="Y227" s="274">
        <f t="shared" si="238"/>
        <v>0.52860447744777217</v>
      </c>
      <c r="Z227" s="275">
        <f t="shared" si="238"/>
        <v>0.52736631614327345</v>
      </c>
      <c r="AA227" s="275">
        <f t="shared" si="238"/>
        <v>0.51395258867379434</v>
      </c>
      <c r="AB227" s="276">
        <f t="shared" si="238"/>
        <v>0.52309913510927009</v>
      </c>
      <c r="AC227" s="107">
        <f t="shared" si="238"/>
        <v>0.52309913510927009</v>
      </c>
      <c r="AD227" s="274">
        <f t="shared" si="238"/>
        <v>0.51751714101381707</v>
      </c>
      <c r="AE227" s="275">
        <f t="shared" si="238"/>
        <v>0.51151725466810893</v>
      </c>
      <c r="AF227" s="275">
        <f t="shared" si="238"/>
        <v>0.51272460972964129</v>
      </c>
      <c r="AG227" s="276">
        <f t="shared" si="238"/>
        <v>0.51168577671345239</v>
      </c>
      <c r="AH227" s="107">
        <f t="shared" si="238"/>
        <v>0.51168577671345239</v>
      </c>
      <c r="AI227" s="274">
        <f>AI205/AI215</f>
        <v>0.52678391797806834</v>
      </c>
      <c r="AJ227" s="275">
        <f>AJ205/AJ215</f>
        <v>0.52292839270585156</v>
      </c>
      <c r="AK227" s="275">
        <f>AK205/AK215</f>
        <v>0.51683156717304901</v>
      </c>
      <c r="AL227" s="276">
        <f>AL205/AL215</f>
        <v>0.50832212425057666</v>
      </c>
      <c r="AM227" s="107">
        <f>AM205/AM215</f>
        <v>0.50832212425057666</v>
      </c>
      <c r="AN227" s="274">
        <f t="shared" ref="AN227:AR227" si="239">AN205/AN215</f>
        <v>0.51668513259887239</v>
      </c>
      <c r="AO227" s="275">
        <f>AO205/AO215</f>
        <v>0.51994649112388114</v>
      </c>
      <c r="AP227" s="275">
        <f t="shared" si="239"/>
        <v>0.52478759114394502</v>
      </c>
      <c r="AQ227" s="276">
        <f t="shared" si="239"/>
        <v>0.52538125343132991</v>
      </c>
      <c r="AR227" s="107">
        <f t="shared" si="239"/>
        <v>0.52538125343132991</v>
      </c>
      <c r="AS227" s="274">
        <f t="shared" ref="AS227" si="240">AS205/AS215</f>
        <v>0.50320229707487685</v>
      </c>
      <c r="AT227" s="275">
        <f>AT205/AT215</f>
        <v>0.52790007561198538</v>
      </c>
      <c r="AU227" s="275">
        <f t="shared" ref="AU227:AW227" si="241">AU205/AU215</f>
        <v>0.51375958049562742</v>
      </c>
      <c r="AV227" s="276">
        <f t="shared" si="241"/>
        <v>0.50840686693645898</v>
      </c>
      <c r="AW227" s="107">
        <f t="shared" si="241"/>
        <v>0.50840686693645898</v>
      </c>
      <c r="AX227" s="274">
        <f t="shared" ref="AX227:BL227" si="242">AX205/AX215</f>
        <v>0.48502458525219888</v>
      </c>
      <c r="AY227" s="275">
        <f t="shared" si="242"/>
        <v>0.46989169633065014</v>
      </c>
      <c r="AZ227" s="275">
        <f t="shared" si="242"/>
        <v>0.53197364343872366</v>
      </c>
      <c r="BA227" s="276">
        <f t="shared" si="242"/>
        <v>0.52428627977038189</v>
      </c>
      <c r="BB227" s="107">
        <f t="shared" si="242"/>
        <v>0.52428627977038189</v>
      </c>
      <c r="BC227" s="274">
        <f t="shared" si="242"/>
        <v>0.47579990361933422</v>
      </c>
      <c r="BD227" s="275">
        <f t="shared" si="242"/>
        <v>0.46251681446487419</v>
      </c>
      <c r="BE227" s="275">
        <f t="shared" si="242"/>
        <v>0.53669915813977154</v>
      </c>
      <c r="BF227" s="276">
        <f t="shared" si="242"/>
        <v>0.52451311632132891</v>
      </c>
      <c r="BG227" s="107">
        <f t="shared" si="242"/>
        <v>0.52451311632132891</v>
      </c>
      <c r="BH227" s="274">
        <f t="shared" si="242"/>
        <v>0.53868507586188952</v>
      </c>
      <c r="BI227" s="275">
        <f t="shared" si="242"/>
        <v>0.53432909244945714</v>
      </c>
      <c r="BJ227" s="275">
        <f t="shared" si="242"/>
        <v>0.52834423385297691</v>
      </c>
      <c r="BK227" s="276">
        <f t="shared" si="242"/>
        <v>0.52459952394491516</v>
      </c>
      <c r="BL227" s="107">
        <f t="shared" si="242"/>
        <v>0.52459952394491516</v>
      </c>
      <c r="BM227" s="274">
        <f>BM205/BM215</f>
        <v>0.47324265535282173</v>
      </c>
      <c r="BN227" s="275">
        <f>BN205/BN215</f>
        <v>0.46458787645056587</v>
      </c>
      <c r="BO227" s="275">
        <f>BO205/BO215</f>
        <v>0.52802335057283056</v>
      </c>
      <c r="BP227" s="276">
        <f>BP205/BP215</f>
        <v>0.52229476969838418</v>
      </c>
      <c r="BQ227" s="107">
        <f>BQ205/BQ215</f>
        <v>0.52229476969838418</v>
      </c>
      <c r="BR227" s="50"/>
      <c r="BS227" s="50"/>
      <c r="BT227" s="50"/>
      <c r="BU227" s="50"/>
      <c r="BV227" s="50"/>
      <c r="BW227" s="50"/>
      <c r="BX227" s="50"/>
      <c r="BY227" s="50"/>
      <c r="BZ227" s="50"/>
      <c r="CA227" s="50"/>
      <c r="CB227" s="50"/>
      <c r="CC227" s="50"/>
      <c r="CD227" s="50"/>
      <c r="CE227" s="50"/>
      <c r="CF227" s="50"/>
      <c r="CG227" s="50"/>
      <c r="CH227" s="50"/>
      <c r="CI227" s="50"/>
      <c r="CJ227" s="50"/>
      <c r="CK227" s="50"/>
      <c r="CL227" s="50"/>
      <c r="CM227" s="50"/>
      <c r="CN227" s="50"/>
      <c r="CO227" s="50"/>
      <c r="CP227" s="50"/>
      <c r="CQ227" s="50"/>
      <c r="CR227" s="50"/>
      <c r="CS227" s="50"/>
      <c r="CT227" s="50"/>
      <c r="CU227" s="50"/>
    </row>
    <row r="228" spans="1:99">
      <c r="A228" s="50"/>
      <c r="B228" s="50"/>
      <c r="C228" s="50" t="s">
        <v>194</v>
      </c>
      <c r="D228" s="50"/>
      <c r="E228" s="274"/>
      <c r="F228" s="275"/>
      <c r="G228" s="275"/>
      <c r="H228" s="276"/>
      <c r="I228" s="107"/>
      <c r="J228" s="274"/>
      <c r="K228" s="275"/>
      <c r="L228" s="275"/>
      <c r="M228" s="276"/>
      <c r="N228" s="107"/>
      <c r="O228" s="274"/>
      <c r="P228" s="275"/>
      <c r="Q228" s="275"/>
      <c r="R228" s="276"/>
      <c r="S228" s="107"/>
      <c r="T228" s="274"/>
      <c r="U228" s="275"/>
      <c r="V228" s="275"/>
      <c r="W228" s="276"/>
      <c r="X228" s="107">
        <f t="shared" ref="X228:AH228" si="243">+X206/X215</f>
        <v>0.53291460993672524</v>
      </c>
      <c r="Y228" s="274">
        <f t="shared" si="243"/>
        <v>0.5357401274028919</v>
      </c>
      <c r="Z228" s="275">
        <f t="shared" si="243"/>
        <v>0.53617584309989197</v>
      </c>
      <c r="AA228" s="275">
        <f t="shared" si="243"/>
        <v>0.52977684288656279</v>
      </c>
      <c r="AB228" s="276">
        <f t="shared" si="243"/>
        <v>0.52734194905376064</v>
      </c>
      <c r="AC228" s="107">
        <f t="shared" si="243"/>
        <v>0.52734194905376064</v>
      </c>
      <c r="AD228" s="274">
        <f t="shared" si="243"/>
        <v>0.52963615088569382</v>
      </c>
      <c r="AE228" s="275">
        <f t="shared" si="243"/>
        <v>0.52537995693110517</v>
      </c>
      <c r="AF228" s="275">
        <f t="shared" si="243"/>
        <v>0.5232750572623116</v>
      </c>
      <c r="AG228" s="276">
        <f t="shared" si="243"/>
        <v>0.53036098201285153</v>
      </c>
      <c r="AH228" s="107">
        <f t="shared" si="243"/>
        <v>0.53036098201285153</v>
      </c>
      <c r="AI228" s="274">
        <f>+AI206/AI215</f>
        <v>0.53686562181762254</v>
      </c>
      <c r="AJ228" s="275">
        <f>+AJ206/AJ215</f>
        <v>0.53397241227203374</v>
      </c>
      <c r="AK228" s="275">
        <f>+AK206/AK215</f>
        <v>0.52710994633737185</v>
      </c>
      <c r="AL228" s="276">
        <f>+AL206/AL215</f>
        <v>0.53167565013722851</v>
      </c>
      <c r="AM228" s="107">
        <f>+AM206/AM215</f>
        <v>0.53167565013722851</v>
      </c>
      <c r="AN228" s="274">
        <f t="shared" ref="AN228:AR228" si="244">+AN206/AN215</f>
        <v>0.53265699992201365</v>
      </c>
      <c r="AO228" s="275">
        <f>+AO206/AO215</f>
        <v>0.53508632573008452</v>
      </c>
      <c r="AP228" s="275">
        <f t="shared" si="244"/>
        <v>0.53146459827695847</v>
      </c>
      <c r="AQ228" s="276">
        <f t="shared" si="244"/>
        <v>0.53764466632691665</v>
      </c>
      <c r="AR228" s="107">
        <f t="shared" si="244"/>
        <v>0.53764466632691665</v>
      </c>
      <c r="AS228" s="274">
        <f t="shared" ref="AS228" si="245">+AS206/AS215</f>
        <v>0.54002648261972208</v>
      </c>
      <c r="AT228" s="275">
        <f>+AT206/AT215</f>
        <v>0.53051366442941628</v>
      </c>
      <c r="AU228" s="275">
        <f t="shared" ref="AU228:AW228" si="246">+AU206/AU215</f>
        <v>0.53357564182810091</v>
      </c>
      <c r="AV228" s="276">
        <f t="shared" si="246"/>
        <v>0.53926967620732313</v>
      </c>
      <c r="AW228" s="107">
        <f t="shared" si="246"/>
        <v>0.53926967620732313</v>
      </c>
      <c r="AX228" s="274">
        <f t="shared" ref="AX228:BL228" si="247">+AX206/AX215</f>
        <v>0.53505490491292618</v>
      </c>
      <c r="AY228" s="275">
        <f t="shared" si="247"/>
        <v>0.53649325218607113</v>
      </c>
      <c r="AZ228" s="275">
        <f t="shared" si="247"/>
        <v>0.53197364343872366</v>
      </c>
      <c r="BA228" s="276">
        <f t="shared" si="247"/>
        <v>0.52944534610902616</v>
      </c>
      <c r="BB228" s="107">
        <f t="shared" si="247"/>
        <v>0.52944534610902616</v>
      </c>
      <c r="BC228" s="274">
        <f t="shared" si="247"/>
        <v>0.52622979002306247</v>
      </c>
      <c r="BD228" s="275">
        <f t="shared" si="247"/>
        <v>0.52931490505641632</v>
      </c>
      <c r="BE228" s="275">
        <f t="shared" si="247"/>
        <v>0.53669915813977154</v>
      </c>
      <c r="BF228" s="276">
        <f t="shared" si="247"/>
        <v>0.52718262323735743</v>
      </c>
      <c r="BG228" s="107">
        <f t="shared" si="247"/>
        <v>0.52718262323735743</v>
      </c>
      <c r="BH228" s="274">
        <f t="shared" si="247"/>
        <v>0.53868507586188952</v>
      </c>
      <c r="BI228" s="275">
        <f t="shared" si="247"/>
        <v>0.53432909244945714</v>
      </c>
      <c r="BJ228" s="275">
        <f t="shared" si="247"/>
        <v>0.52834423385297691</v>
      </c>
      <c r="BK228" s="276">
        <f t="shared" si="247"/>
        <v>0.52459952394491516</v>
      </c>
      <c r="BL228" s="107">
        <f t="shared" si="247"/>
        <v>0.52459952394491516</v>
      </c>
      <c r="BM228" s="274">
        <f>+BM206/BM215</f>
        <v>0.53499128185816192</v>
      </c>
      <c r="BN228" s="275">
        <f>+BN206/BN215</f>
        <v>0.52927314818024973</v>
      </c>
      <c r="BO228" s="275">
        <f>+BO206/BO215</f>
        <v>0.52802335057283056</v>
      </c>
      <c r="BP228" s="276">
        <f>+BP206/BP215</f>
        <v>0.52229476969838418</v>
      </c>
      <c r="BQ228" s="107">
        <f>+BQ206/BQ215</f>
        <v>0.52229476969838418</v>
      </c>
      <c r="BR228" s="50"/>
      <c r="BS228" s="50"/>
      <c r="BT228" s="50"/>
      <c r="BU228" s="50"/>
      <c r="BV228" s="50"/>
      <c r="BW228" s="50"/>
      <c r="BX228" s="50"/>
      <c r="BY228" s="50"/>
      <c r="BZ228" s="50"/>
      <c r="CA228" s="50"/>
      <c r="CB228" s="50"/>
      <c r="CC228" s="50"/>
      <c r="CD228" s="50"/>
      <c r="CE228" s="50"/>
      <c r="CF228" s="50"/>
      <c r="CG228" s="50"/>
      <c r="CH228" s="50"/>
      <c r="CI228" s="50"/>
      <c r="CJ228" s="50"/>
      <c r="CK228" s="50"/>
      <c r="CL228" s="50"/>
      <c r="CM228" s="50"/>
      <c r="CN228" s="50"/>
      <c r="CO228" s="50"/>
      <c r="CP228" s="50"/>
      <c r="CQ228" s="50"/>
      <c r="CR228" s="50"/>
      <c r="CS228" s="50"/>
      <c r="CT228" s="50"/>
      <c r="CU228" s="50"/>
    </row>
    <row r="229" spans="1:99">
      <c r="A229" s="50"/>
      <c r="B229" s="50"/>
      <c r="C229" s="50" t="s">
        <v>887</v>
      </c>
      <c r="D229" s="50"/>
      <c r="E229" s="225"/>
      <c r="F229" s="226"/>
      <c r="G229" s="226"/>
      <c r="H229" s="277"/>
      <c r="I229" s="108"/>
      <c r="J229" s="278"/>
      <c r="K229" s="279"/>
      <c r="L229" s="279"/>
      <c r="M229" s="277"/>
      <c r="N229" s="108"/>
      <c r="O229" s="278"/>
      <c r="P229" s="279"/>
      <c r="Q229" s="279"/>
      <c r="R229" s="277"/>
      <c r="S229" s="108"/>
      <c r="T229" s="278"/>
      <c r="U229" s="279"/>
      <c r="V229" s="279"/>
      <c r="W229" s="277"/>
      <c r="X229" s="108">
        <f t="shared" ref="X229:AH229" si="248">(X206-X202)/X222</f>
        <v>3.8344739542225734</v>
      </c>
      <c r="Y229" s="278"/>
      <c r="Z229" s="279"/>
      <c r="AA229" s="279"/>
      <c r="AB229" s="277">
        <f t="shared" si="248"/>
        <v>4.039681301450412</v>
      </c>
      <c r="AC229" s="108">
        <f t="shared" si="248"/>
        <v>4.039681301450412</v>
      </c>
      <c r="AD229" s="278">
        <f t="shared" si="248"/>
        <v>3.8446282568807342</v>
      </c>
      <c r="AE229" s="279">
        <f t="shared" si="248"/>
        <v>3.7660411807580174</v>
      </c>
      <c r="AF229" s="279">
        <f t="shared" si="248"/>
        <v>3.656589152782701</v>
      </c>
      <c r="AG229" s="277">
        <f t="shared" si="248"/>
        <v>3.9177010003705077</v>
      </c>
      <c r="AH229" s="108">
        <f t="shared" si="248"/>
        <v>3.9177010003705077</v>
      </c>
      <c r="AI229" s="278">
        <f>(AI206-AI202)/AI222</f>
        <v>4.0374215722120654</v>
      </c>
      <c r="AJ229" s="279">
        <f>(AJ206-AJ202)/AJ222</f>
        <v>3.9172282878411906</v>
      </c>
      <c r="AK229" s="279">
        <f>(AK206-AK202)/AK222</f>
        <v>3.7507063711911353</v>
      </c>
      <c r="AL229" s="277">
        <f>(AL206-AL202)/AL222</f>
        <v>3.7931008524680316</v>
      </c>
      <c r="AM229" s="108">
        <f>(AM206-AM202)/AM222</f>
        <v>3.7931008524680316</v>
      </c>
      <c r="AN229" s="278">
        <f t="shared" ref="AN229:AR229" si="249">(AN206-AN202)/AN222</f>
        <v>3.9553977372854465</v>
      </c>
      <c r="AO229" s="279">
        <f>(AO206-AO202)/AO222</f>
        <v>4.0065008787346219</v>
      </c>
      <c r="AP229" s="279">
        <f t="shared" si="249"/>
        <v>3.8669172322966263</v>
      </c>
      <c r="AQ229" s="277">
        <f t="shared" si="249"/>
        <v>3.9728353123734994</v>
      </c>
      <c r="AR229" s="108">
        <f t="shared" si="249"/>
        <v>3.9728353123734994</v>
      </c>
      <c r="AS229" s="278">
        <f t="shared" ref="AS229" si="250">(AS206-AS202)/AS222</f>
        <v>4.0657091145032958</v>
      </c>
      <c r="AT229" s="279">
        <f>(AT206-AT202)/AT222</f>
        <v>4.0801000709723203</v>
      </c>
      <c r="AU229" s="279">
        <f t="shared" ref="AU229:AW229" si="251">(AU206-AU202)/AU222</f>
        <v>4.3028300789062213</v>
      </c>
      <c r="AV229" s="277">
        <f t="shared" si="251"/>
        <v>4.1878390180167777</v>
      </c>
      <c r="AW229" s="108">
        <f t="shared" si="251"/>
        <v>4.1878390180167786</v>
      </c>
      <c r="AX229" s="278">
        <f t="shared" ref="AX229:BL229" si="252">(AX206-AX202)/AX222</f>
        <v>4.2105784991213477</v>
      </c>
      <c r="AY229" s="279">
        <f t="shared" si="252"/>
        <v>4.2870771243695449</v>
      </c>
      <c r="AZ229" s="279">
        <f t="shared" si="252"/>
        <v>4.2807013919990933</v>
      </c>
      <c r="BA229" s="277">
        <f t="shared" si="252"/>
        <v>4.3503711905473041</v>
      </c>
      <c r="BB229" s="108">
        <f t="shared" si="252"/>
        <v>4.350371190547305</v>
      </c>
      <c r="BC229" s="278">
        <f t="shared" si="252"/>
        <v>4.2846922042404376</v>
      </c>
      <c r="BD229" s="279">
        <f t="shared" si="252"/>
        <v>4.320517398176305</v>
      </c>
      <c r="BE229" s="279">
        <f t="shared" si="252"/>
        <v>4.2977541293306043</v>
      </c>
      <c r="BF229" s="277">
        <f t="shared" si="252"/>
        <v>4.3330467576825926</v>
      </c>
      <c r="BG229" s="108">
        <f t="shared" si="252"/>
        <v>4.3330467576825935</v>
      </c>
      <c r="BH229" s="278">
        <f t="shared" si="252"/>
        <v>4.3022017879673244</v>
      </c>
      <c r="BI229" s="279">
        <f t="shared" si="252"/>
        <v>4.3170080814371117</v>
      </c>
      <c r="BJ229" s="279">
        <f t="shared" si="252"/>
        <v>4.250823309740789</v>
      </c>
      <c r="BK229" s="277">
        <f t="shared" si="252"/>
        <v>4.2453111750196957</v>
      </c>
      <c r="BL229" s="108">
        <f t="shared" si="252"/>
        <v>4.2453111750196948</v>
      </c>
      <c r="BM229" s="278">
        <f>(BM206-BM202)/BM222</f>
        <v>4.4965585506848331</v>
      </c>
      <c r="BN229" s="279">
        <f>(BN206-BN202)/BN222</f>
        <v>4.3710413872790808</v>
      </c>
      <c r="BO229" s="279">
        <f>(BO206-BO202)/BO222</f>
        <v>4.2002572214467602</v>
      </c>
      <c r="BP229" s="277">
        <f>(BP206-BP202)/BP222</f>
        <v>4.0861694829043698</v>
      </c>
      <c r="BQ229" s="108">
        <f>(BQ206-BQ202)/BQ222</f>
        <v>4.0861694829043707</v>
      </c>
      <c r="BR229" s="50"/>
      <c r="BS229" s="50"/>
      <c r="BT229" s="50"/>
      <c r="BU229" s="50"/>
      <c r="BV229" s="50"/>
      <c r="BW229" s="50"/>
      <c r="BX229" s="50"/>
      <c r="BY229" s="50"/>
      <c r="BZ229" s="50"/>
      <c r="CA229" s="50"/>
      <c r="CB229" s="50"/>
      <c r="CC229" s="50"/>
      <c r="CD229" s="50"/>
      <c r="CE229" s="50"/>
      <c r="CF229" s="50"/>
      <c r="CG229" s="50"/>
      <c r="CH229" s="50"/>
      <c r="CI229" s="50"/>
      <c r="CJ229" s="50"/>
      <c r="CK229" s="50"/>
      <c r="CL229" s="50"/>
      <c r="CM229" s="50"/>
      <c r="CN229" s="50"/>
      <c r="CO229" s="50"/>
      <c r="CP229" s="50"/>
      <c r="CQ229" s="50"/>
      <c r="CR229" s="50"/>
      <c r="CS229" s="50"/>
      <c r="CT229" s="50"/>
      <c r="CU229" s="50"/>
    </row>
    <row r="230" spans="1:99">
      <c r="A230" s="50"/>
      <c r="B230" s="50"/>
      <c r="C230" s="50" t="s">
        <v>888</v>
      </c>
      <c r="D230" s="50"/>
      <c r="E230" s="225"/>
      <c r="F230" s="226"/>
      <c r="G230" s="226"/>
      <c r="H230" s="276"/>
      <c r="I230" s="107"/>
      <c r="J230" s="274"/>
      <c r="K230" s="275"/>
      <c r="L230" s="275"/>
      <c r="M230" s="276"/>
      <c r="N230" s="107"/>
      <c r="O230" s="274"/>
      <c r="P230" s="275"/>
      <c r="Q230" s="275"/>
      <c r="R230" s="276"/>
      <c r="S230" s="107"/>
      <c r="T230" s="274"/>
      <c r="U230" s="275"/>
      <c r="V230" s="275"/>
      <c r="W230" s="276"/>
      <c r="X230" s="107">
        <f t="shared" ref="X230:AH230" si="253">X220/X206</f>
        <v>0.1761153457844381</v>
      </c>
      <c r="Y230" s="274"/>
      <c r="Z230" s="275"/>
      <c r="AA230" s="275"/>
      <c r="AB230" s="276">
        <f t="shared" si="253"/>
        <v>0.16381776725677852</v>
      </c>
      <c r="AC230" s="107">
        <f t="shared" si="253"/>
        <v>0.16381776725677852</v>
      </c>
      <c r="AD230" s="274">
        <f t="shared" si="253"/>
        <v>0.17097185409170584</v>
      </c>
      <c r="AE230" s="275">
        <f t="shared" si="253"/>
        <v>0.17531810678842136</v>
      </c>
      <c r="AF230" s="275">
        <f t="shared" si="253"/>
        <v>0.17263002225535423</v>
      </c>
      <c r="AG230" s="276">
        <f t="shared" si="253"/>
        <v>0.16433813406461442</v>
      </c>
      <c r="AH230" s="107">
        <f t="shared" si="253"/>
        <v>0.16433813406461442</v>
      </c>
      <c r="AI230" s="274">
        <f>AI220/AI206</f>
        <v>0.16006142017886188</v>
      </c>
      <c r="AJ230" s="275">
        <f>AJ220/AJ206</f>
        <v>0.16594141111297703</v>
      </c>
      <c r="AK230" s="275">
        <f>AK220/AK206</f>
        <v>0.1748957835833308</v>
      </c>
      <c r="AL230" s="276">
        <f>AL220/AL206</f>
        <v>0.17735420942625268</v>
      </c>
      <c r="AM230" s="107">
        <f>AM220/AM206</f>
        <v>0.17735420942625268</v>
      </c>
      <c r="AN230" s="274">
        <f t="shared" ref="AN230:AR230" si="254">AN220/AN206</f>
        <v>0.17178967325826389</v>
      </c>
      <c r="AO230" s="275">
        <f>AO220/AO206</f>
        <v>0.16979805593961461</v>
      </c>
      <c r="AP230" s="275">
        <f t="shared" si="254"/>
        <v>0.17680666439198142</v>
      </c>
      <c r="AQ230" s="276">
        <f t="shared" si="254"/>
        <v>0.17471292982518016</v>
      </c>
      <c r="AR230" s="107">
        <f t="shared" si="254"/>
        <v>0.17471292982518016</v>
      </c>
      <c r="AS230" s="274">
        <f t="shared" ref="AS230" si="255">AS220/AS206</f>
        <v>0.16891974068609641</v>
      </c>
      <c r="AT230" s="275">
        <f>AT220/AT206</f>
        <v>0.16794912244562707</v>
      </c>
      <c r="AU230" s="275">
        <f t="shared" ref="AU230:AW230" si="256">AU220/AU206</f>
        <v>0.15880115681821111</v>
      </c>
      <c r="AV230" s="276">
        <f t="shared" si="256"/>
        <v>0.15986747859818745</v>
      </c>
      <c r="AW230" s="107">
        <f t="shared" si="256"/>
        <v>0.15986747859818745</v>
      </c>
      <c r="AX230" s="274">
        <f t="shared" ref="AX230:BL230" si="257">AX220/AX206</f>
        <v>0.16371810541930407</v>
      </c>
      <c r="AY230" s="275">
        <f t="shared" si="257"/>
        <v>0.16361222405995657</v>
      </c>
      <c r="AZ230" s="275">
        <f t="shared" si="257"/>
        <v>0.16563394310385837</v>
      </c>
      <c r="BA230" s="276">
        <f t="shared" si="257"/>
        <v>0.16528642873567051</v>
      </c>
      <c r="BB230" s="107">
        <f t="shared" si="257"/>
        <v>0.16528642873567051</v>
      </c>
      <c r="BC230" s="274">
        <f t="shared" si="257"/>
        <v>0.16861699237847347</v>
      </c>
      <c r="BD230" s="275">
        <f t="shared" si="257"/>
        <v>0.1677694456494975</v>
      </c>
      <c r="BE230" s="275">
        <f t="shared" si="257"/>
        <v>0.16067031088942524</v>
      </c>
      <c r="BF230" s="276">
        <f t="shared" si="257"/>
        <v>0.16684138063644371</v>
      </c>
      <c r="BG230" s="107">
        <f t="shared" si="257"/>
        <v>0.16684138063644371</v>
      </c>
      <c r="BH230" s="274">
        <f t="shared" si="257"/>
        <v>0.15781084350078339</v>
      </c>
      <c r="BI230" s="275">
        <f t="shared" si="257"/>
        <v>0.16129392523925909</v>
      </c>
      <c r="BJ230" s="275">
        <f t="shared" si="257"/>
        <v>0.16516456659084283</v>
      </c>
      <c r="BK230" s="276">
        <f t="shared" si="257"/>
        <v>0.1689036899533875</v>
      </c>
      <c r="BL230" s="107">
        <f t="shared" si="257"/>
        <v>0.1689036899533875</v>
      </c>
      <c r="BM230" s="274">
        <f>BM220/BM206</f>
        <v>0.16140780294357934</v>
      </c>
      <c r="BN230" s="275">
        <f>BN220/BN206</f>
        <v>0.16645292903758971</v>
      </c>
      <c r="BO230" s="275">
        <f>BO220/BO206</f>
        <v>0.16512151301349559</v>
      </c>
      <c r="BP230" s="276">
        <f>BP220/BP206</f>
        <v>0.16867798013745244</v>
      </c>
      <c r="BQ230" s="107">
        <f>BQ220/BQ206</f>
        <v>0.16867798013745244</v>
      </c>
      <c r="BR230" s="50"/>
      <c r="BS230" s="50"/>
      <c r="BT230" s="50"/>
      <c r="BU230" s="50"/>
      <c r="BV230" s="50"/>
      <c r="BW230" s="50"/>
      <c r="BX230" s="50"/>
      <c r="BY230" s="50"/>
      <c r="BZ230" s="50"/>
      <c r="CA230" s="50"/>
      <c r="CB230" s="50"/>
      <c r="CC230" s="50"/>
      <c r="CD230" s="50"/>
      <c r="CE230" s="50"/>
      <c r="CF230" s="50"/>
      <c r="CG230" s="50"/>
      <c r="CH230" s="50"/>
      <c r="CI230" s="50"/>
      <c r="CJ230" s="50"/>
      <c r="CK230" s="50"/>
      <c r="CL230" s="50"/>
      <c r="CM230" s="50"/>
      <c r="CN230" s="50"/>
      <c r="CO230" s="50"/>
      <c r="CP230" s="50"/>
      <c r="CQ230" s="50"/>
      <c r="CR230" s="50"/>
      <c r="CS230" s="50"/>
      <c r="CT230" s="50"/>
      <c r="CU230" s="50"/>
    </row>
    <row r="231" spans="1:99">
      <c r="A231" s="303"/>
      <c r="B231" s="303"/>
      <c r="C231" s="303"/>
      <c r="D231" s="303"/>
      <c r="E231" s="305"/>
      <c r="F231" s="306"/>
      <c r="G231" s="306"/>
      <c r="H231" s="307"/>
      <c r="I231" s="303"/>
      <c r="J231" s="305"/>
      <c r="K231" s="306"/>
      <c r="L231" s="306"/>
      <c r="M231" s="307"/>
      <c r="N231" s="303"/>
      <c r="O231" s="305"/>
      <c r="P231" s="306"/>
      <c r="Q231" s="306"/>
      <c r="R231" s="307"/>
      <c r="S231" s="303"/>
      <c r="T231" s="305"/>
      <c r="U231" s="306"/>
      <c r="V231" s="306"/>
      <c r="W231" s="307"/>
      <c r="X231" s="303"/>
      <c r="Y231" s="305"/>
      <c r="Z231" s="306"/>
      <c r="AA231" s="306"/>
      <c r="AB231" s="307"/>
      <c r="AC231" s="303"/>
      <c r="AD231" s="305"/>
      <c r="AE231" s="306"/>
      <c r="AF231" s="306"/>
      <c r="AG231" s="307"/>
      <c r="AH231" s="303"/>
      <c r="AI231" s="305"/>
      <c r="AJ231" s="306"/>
      <c r="AK231" s="306"/>
      <c r="AL231" s="307"/>
      <c r="AM231" s="303"/>
      <c r="AN231" s="305"/>
      <c r="AO231" s="306"/>
      <c r="AP231" s="306"/>
      <c r="AQ231" s="307"/>
      <c r="AR231" s="303"/>
      <c r="AS231" s="305"/>
      <c r="AT231" s="306"/>
      <c r="AU231" s="306"/>
      <c r="AV231" s="307"/>
      <c r="AW231" s="303"/>
      <c r="AX231" s="305"/>
      <c r="AY231" s="306"/>
      <c r="AZ231" s="306"/>
      <c r="BA231" s="307"/>
      <c r="BB231" s="303"/>
      <c r="BC231" s="305"/>
      <c r="BD231" s="306"/>
      <c r="BE231" s="306"/>
      <c r="BF231" s="307"/>
      <c r="BG231" s="303"/>
      <c r="BH231" s="305"/>
      <c r="BI231" s="306"/>
      <c r="BJ231" s="306"/>
      <c r="BK231" s="307"/>
      <c r="BL231" s="303"/>
      <c r="BM231" s="305"/>
      <c r="BN231" s="306"/>
      <c r="BO231" s="306"/>
      <c r="BP231" s="307"/>
      <c r="BQ231" s="303"/>
      <c r="BR231" s="303"/>
      <c r="BS231" s="303"/>
      <c r="BT231" s="303"/>
      <c r="BU231" s="303"/>
      <c r="BV231" s="303"/>
      <c r="BW231" s="303"/>
      <c r="BX231" s="303"/>
      <c r="BY231" s="303"/>
      <c r="BZ231" s="303"/>
      <c r="CA231" s="303"/>
      <c r="CB231" s="303"/>
      <c r="CC231" s="303"/>
      <c r="CD231" s="303"/>
      <c r="CE231" s="303"/>
      <c r="CF231" s="303"/>
      <c r="CG231" s="303"/>
      <c r="CH231" s="303"/>
      <c r="CI231" s="303"/>
      <c r="CJ231" s="303"/>
      <c r="CK231" s="303"/>
      <c r="CL231" s="303"/>
      <c r="CM231" s="303"/>
      <c r="CN231" s="303"/>
      <c r="CO231" s="303"/>
      <c r="CP231" s="303"/>
      <c r="CQ231" s="303"/>
      <c r="CR231" s="303"/>
      <c r="CS231" s="303"/>
      <c r="CT231" s="303"/>
      <c r="CU231" s="303"/>
    </row>
    <row r="232" spans="1:99">
      <c r="A232" s="303"/>
      <c r="B232" s="303"/>
      <c r="C232" s="164" t="s">
        <v>889</v>
      </c>
      <c r="D232" s="303"/>
      <c r="E232" s="305"/>
      <c r="F232" s="306"/>
      <c r="G232" s="306"/>
      <c r="H232" s="307"/>
      <c r="I232" s="303"/>
      <c r="J232" s="305"/>
      <c r="K232" s="306"/>
      <c r="L232" s="306"/>
      <c r="M232" s="307"/>
      <c r="N232" s="303"/>
      <c r="O232" s="305"/>
      <c r="P232" s="306"/>
      <c r="Q232" s="306"/>
      <c r="R232" s="307"/>
      <c r="S232" s="303"/>
      <c r="T232" s="305"/>
      <c r="U232" s="306"/>
      <c r="V232" s="306"/>
      <c r="W232" s="307"/>
      <c r="X232" s="303"/>
      <c r="Y232" s="305"/>
      <c r="Z232" s="306"/>
      <c r="AA232" s="306"/>
      <c r="AB232" s="307"/>
      <c r="AC232" s="303"/>
      <c r="AD232" s="305"/>
      <c r="AE232" s="306"/>
      <c r="AF232" s="306"/>
      <c r="AG232" s="307"/>
      <c r="AH232" s="303"/>
      <c r="AI232" s="305"/>
      <c r="AJ232" s="306"/>
      <c r="AK232" s="306"/>
      <c r="AL232" s="307"/>
      <c r="AM232" s="303"/>
      <c r="AN232" s="305"/>
      <c r="AO232" s="306"/>
      <c r="AP232" s="306"/>
      <c r="AQ232" s="307"/>
      <c r="AR232" s="303"/>
      <c r="AS232" s="305"/>
      <c r="AT232" s="306"/>
      <c r="AU232" s="306"/>
      <c r="AV232" s="307"/>
      <c r="AW232" s="303"/>
      <c r="AX232" s="305"/>
      <c r="AY232" s="306"/>
      <c r="AZ232" s="306"/>
      <c r="BA232" s="307"/>
      <c r="BB232" s="303"/>
      <c r="BC232" s="305"/>
      <c r="BD232" s="306"/>
      <c r="BE232" s="306"/>
      <c r="BF232" s="307"/>
      <c r="BG232" s="303"/>
      <c r="BH232" s="305"/>
      <c r="BI232" s="306"/>
      <c r="BJ232" s="306"/>
      <c r="BK232" s="307"/>
      <c r="BL232" s="303"/>
      <c r="BM232" s="305"/>
      <c r="BN232" s="306"/>
      <c r="BO232" s="306"/>
      <c r="BP232" s="307"/>
      <c r="BQ232" s="303"/>
      <c r="BR232" s="303"/>
      <c r="BS232" s="303"/>
      <c r="BT232" s="303"/>
      <c r="BU232" s="303"/>
      <c r="BV232" s="303"/>
      <c r="BW232" s="303"/>
      <c r="BX232" s="303"/>
      <c r="BY232" s="303"/>
      <c r="BZ232" s="303"/>
      <c r="CA232" s="303"/>
      <c r="CB232" s="303"/>
      <c r="CC232" s="303"/>
      <c r="CD232" s="303"/>
      <c r="CE232" s="303"/>
      <c r="CF232" s="303"/>
      <c r="CG232" s="303"/>
      <c r="CH232" s="303"/>
      <c r="CI232" s="303"/>
      <c r="CJ232" s="303"/>
      <c r="CK232" s="303"/>
      <c r="CL232" s="303"/>
      <c r="CM232" s="303"/>
      <c r="CN232" s="303"/>
      <c r="CO232" s="303"/>
      <c r="CP232" s="303"/>
      <c r="CQ232" s="303"/>
      <c r="CR232" s="303"/>
      <c r="CS232" s="303"/>
      <c r="CT232" s="303"/>
      <c r="CU232" s="303"/>
    </row>
    <row r="233" spans="1:99">
      <c r="A233" s="303"/>
      <c r="B233" s="303"/>
      <c r="C233" s="303" t="s">
        <v>891</v>
      </c>
      <c r="D233" s="303"/>
      <c r="E233" s="305"/>
      <c r="F233" s="306"/>
      <c r="G233" s="306"/>
      <c r="H233" s="277"/>
      <c r="I233" s="108"/>
      <c r="J233" s="278"/>
      <c r="K233" s="279"/>
      <c r="L233" s="279"/>
      <c r="M233" s="277"/>
      <c r="N233" s="108"/>
      <c r="O233" s="278"/>
      <c r="P233" s="279"/>
      <c r="Q233" s="279"/>
      <c r="R233" s="277"/>
      <c r="S233" s="108"/>
      <c r="T233" s="278"/>
      <c r="U233" s="279"/>
      <c r="V233" s="279"/>
      <c r="W233" s="277"/>
      <c r="X233" s="108">
        <f t="shared" ref="X233:AH233" si="258">(X220+X223)/X223</f>
        <v>4.2942307692307695</v>
      </c>
      <c r="Y233" s="278"/>
      <c r="Z233" s="279"/>
      <c r="AA233" s="279"/>
      <c r="AB233" s="277">
        <f t="shared" si="258"/>
        <v>4.1333333333333337</v>
      </c>
      <c r="AC233" s="108">
        <f t="shared" si="258"/>
        <v>4.1333333333333337</v>
      </c>
      <c r="AD233" s="278">
        <f t="shared" si="258"/>
        <v>4.3570093457943928</v>
      </c>
      <c r="AE233" s="279">
        <f t="shared" si="258"/>
        <v>4.4199623352165727</v>
      </c>
      <c r="AF233" s="279">
        <f t="shared" si="258"/>
        <v>4.3825757575757578</v>
      </c>
      <c r="AG233" s="277">
        <f t="shared" si="258"/>
        <v>4.3098859315589353</v>
      </c>
      <c r="AH233" s="108">
        <f t="shared" si="258"/>
        <v>4.3098859315589353</v>
      </c>
      <c r="AI233" s="278">
        <f>(AI220+AI223)/AI223</f>
        <v>4.3650190114068437</v>
      </c>
      <c r="AJ233" s="279">
        <f>(AJ220+AJ223)/AJ223</f>
        <v>4.4971428571428573</v>
      </c>
      <c r="AK233" s="279">
        <f>(AK220+AK223)/AK223</f>
        <v>4.6360153256704981</v>
      </c>
      <c r="AL233" s="277">
        <f>(AL220+AL223)/AL223</f>
        <v>4.7864321608040212</v>
      </c>
      <c r="AM233" s="108">
        <f>(AM220+AM223)/AM223</f>
        <v>4.7864321608040212</v>
      </c>
      <c r="AN233" s="278">
        <f t="shared" ref="AN233:AR233" si="259">(AN220+AN223)/AN223</f>
        <v>4.7619233015378626</v>
      </c>
      <c r="AO233" s="279">
        <f>(AO220+AO223)/AO223</f>
        <v>4.7406478981874285</v>
      </c>
      <c r="AP233" s="279">
        <f t="shared" si="259"/>
        <v>4.8619836284028182</v>
      </c>
      <c r="AQ233" s="277">
        <f t="shared" si="259"/>
        <v>4.946561961310092</v>
      </c>
      <c r="AR233" s="108">
        <f t="shared" si="259"/>
        <v>4.946561961310092</v>
      </c>
      <c r="AS233" s="278">
        <f t="shared" ref="AS233" si="260">(AS220+AS223)/AS223</f>
        <v>4.8019633754955624</v>
      </c>
      <c r="AT233" s="279">
        <f>(AT220+AT223)/AT223</f>
        <v>4.642412818096135</v>
      </c>
      <c r="AU233" s="279">
        <f t="shared" ref="AU233:AW233" si="261">(AU220+AU223)/AU223</f>
        <v>4.5570266691885744</v>
      </c>
      <c r="AV233" s="277">
        <f t="shared" si="261"/>
        <v>4.6083333333333334</v>
      </c>
      <c r="AW233" s="108">
        <f t="shared" si="261"/>
        <v>4.6083333333333334</v>
      </c>
      <c r="AX233" s="278">
        <f t="shared" ref="AX233:BL233" si="262">(AX220+AX223)/AX223</f>
        <v>4.7484142129124232</v>
      </c>
      <c r="AY233" s="279">
        <f t="shared" si="262"/>
        <v>4.8709021633344776</v>
      </c>
      <c r="AZ233" s="279">
        <f t="shared" si="262"/>
        <v>4.8399407927310545</v>
      </c>
      <c r="BA233" s="277">
        <f t="shared" si="262"/>
        <v>4.7955518010549127</v>
      </c>
      <c r="BB233" s="108">
        <f t="shared" si="262"/>
        <v>4.7955518010549127</v>
      </c>
      <c r="BC233" s="278">
        <f t="shared" si="262"/>
        <v>4.9610340820041827</v>
      </c>
      <c r="BD233" s="279">
        <f t="shared" si="262"/>
        <v>5.0608598248819749</v>
      </c>
      <c r="BE233" s="279">
        <f t="shared" si="262"/>
        <v>4.9871543561033356</v>
      </c>
      <c r="BF233" s="277">
        <f t="shared" si="262"/>
        <v>5.0071243306590558</v>
      </c>
      <c r="BG233" s="108">
        <f t="shared" si="262"/>
        <v>5.0071243306590558</v>
      </c>
      <c r="BH233" s="278">
        <f t="shared" si="262"/>
        <v>4.9295628649759413</v>
      </c>
      <c r="BI233" s="279">
        <f t="shared" si="262"/>
        <v>4.8584643610244767</v>
      </c>
      <c r="BJ233" s="279">
        <f t="shared" si="262"/>
        <v>4.9555189914069109</v>
      </c>
      <c r="BK233" s="277">
        <f t="shared" si="262"/>
        <v>5.037604718741421</v>
      </c>
      <c r="BL233" s="108">
        <f t="shared" si="262"/>
        <v>5.037604718741421</v>
      </c>
      <c r="BM233" s="278">
        <f>(BM220+BM223)/BM223</f>
        <v>5.190842635621534</v>
      </c>
      <c r="BN233" s="279">
        <f>(BN220+BN223)/BN223</f>
        <v>5.3068403213045032</v>
      </c>
      <c r="BO233" s="279">
        <f>(BO220+BO223)/BO223</f>
        <v>5.1843210736888867</v>
      </c>
      <c r="BP233" s="277">
        <f>(BP220+BP223)/BP223</f>
        <v>5.1473807910102636</v>
      </c>
      <c r="BQ233" s="108">
        <f>(BQ220+BQ223)/BQ223</f>
        <v>5.1473807910102636</v>
      </c>
      <c r="BR233" s="303"/>
      <c r="BS233" s="303"/>
      <c r="BT233" s="303"/>
      <c r="BU233" s="303"/>
      <c r="BV233" s="303"/>
      <c r="BW233" s="303"/>
      <c r="BX233" s="303"/>
      <c r="BY233" s="303"/>
      <c r="BZ233" s="303"/>
      <c r="CA233" s="303"/>
      <c r="CB233" s="303"/>
      <c r="CC233" s="303"/>
      <c r="CD233" s="303"/>
      <c r="CE233" s="303"/>
      <c r="CF233" s="303"/>
      <c r="CG233" s="303"/>
      <c r="CH233" s="303"/>
      <c r="CI233" s="303"/>
      <c r="CJ233" s="303"/>
      <c r="CK233" s="303"/>
      <c r="CL233" s="303"/>
      <c r="CM233" s="303"/>
      <c r="CN233" s="303"/>
      <c r="CO233" s="303"/>
      <c r="CP233" s="303"/>
      <c r="CQ233" s="303"/>
      <c r="CR233" s="303"/>
      <c r="CS233" s="303"/>
      <c r="CT233" s="303"/>
      <c r="CU233" s="303"/>
    </row>
    <row r="234" spans="1:99">
      <c r="A234" s="303"/>
      <c r="B234" s="303"/>
      <c r="C234" s="303" t="s">
        <v>892</v>
      </c>
      <c r="D234" s="303"/>
      <c r="E234" s="305"/>
      <c r="F234" s="306"/>
      <c r="G234" s="306"/>
      <c r="H234" s="277"/>
      <c r="I234" s="108"/>
      <c r="J234" s="278"/>
      <c r="K234" s="279"/>
      <c r="L234" s="279"/>
      <c r="M234" s="277"/>
      <c r="N234" s="108"/>
      <c r="O234" s="278"/>
      <c r="P234" s="279"/>
      <c r="Q234" s="279"/>
      <c r="R234" s="277"/>
      <c r="S234" s="108"/>
      <c r="T234" s="278"/>
      <c r="U234" s="279"/>
      <c r="V234" s="279"/>
      <c r="W234" s="277"/>
      <c r="X234" s="108">
        <f t="shared" ref="X234:AH234" si="263">X221/X223</f>
        <v>3.1942307692307694</v>
      </c>
      <c r="Y234" s="278"/>
      <c r="Z234" s="279"/>
      <c r="AA234" s="279"/>
      <c r="AB234" s="277">
        <f t="shared" si="263"/>
        <v>2.9814814814814814</v>
      </c>
      <c r="AC234" s="108">
        <f t="shared" si="263"/>
        <v>2.9814814814814814</v>
      </c>
      <c r="AD234" s="278">
        <f t="shared" si="263"/>
        <v>3.2822429906542054</v>
      </c>
      <c r="AE234" s="279">
        <f t="shared" si="263"/>
        <v>3.3088512241054615</v>
      </c>
      <c r="AF234" s="279">
        <f t="shared" si="263"/>
        <v>3.4280303030303032</v>
      </c>
      <c r="AG234" s="277">
        <f t="shared" si="263"/>
        <v>3.167300380228137</v>
      </c>
      <c r="AH234" s="108">
        <f t="shared" si="263"/>
        <v>3.167300380228137</v>
      </c>
      <c r="AI234" s="278">
        <f>AI221/AI223</f>
        <v>3.2186311787072244</v>
      </c>
      <c r="AJ234" s="279">
        <f>AJ221/AJ223</f>
        <v>3.361904761904762</v>
      </c>
      <c r="AK234" s="279">
        <f>AK221/AK223</f>
        <v>3.4961685823754789</v>
      </c>
      <c r="AL234" s="277">
        <f>AL221/AL223</f>
        <v>3.5689988403556256</v>
      </c>
      <c r="AM234" s="108">
        <f>AM221/AM223</f>
        <v>3.5689988403556256</v>
      </c>
      <c r="AN234" s="278">
        <f t="shared" ref="AN234:AR234" si="264">AN221/AN223</f>
        <v>3.4648627603659725</v>
      </c>
      <c r="AO234" s="279">
        <f>AO221/AO223</f>
        <v>3.4373312765136919</v>
      </c>
      <c r="AP234" s="279">
        <f t="shared" si="264"/>
        <v>3.588806396344947</v>
      </c>
      <c r="AQ234" s="277">
        <f t="shared" si="264"/>
        <v>3.621145374449338</v>
      </c>
      <c r="AR234" s="108">
        <f t="shared" si="264"/>
        <v>3.621145374449338</v>
      </c>
      <c r="AS234" s="278">
        <f t="shared" ref="AS234" si="265">AS221/AS223</f>
        <v>3.4793279214649795</v>
      </c>
      <c r="AT234" s="279">
        <f>AT221/AT223</f>
        <v>3.252968897266729</v>
      </c>
      <c r="AU234" s="279">
        <f t="shared" ref="AU234:AW234" si="266">AU221/AU223</f>
        <v>3.1146207679213149</v>
      </c>
      <c r="AV234" s="277">
        <f t="shared" si="266"/>
        <v>3.2701851851851864</v>
      </c>
      <c r="AW234" s="108">
        <f t="shared" si="266"/>
        <v>3.2701851851851855</v>
      </c>
      <c r="AX234" s="278">
        <f t="shared" ref="AX234:BL234" si="267">AX221/AX223</f>
        <v>3.2724914290581584</v>
      </c>
      <c r="AY234" s="279">
        <f t="shared" si="267"/>
        <v>3.2876807682275913</v>
      </c>
      <c r="AZ234" s="279">
        <f t="shared" si="267"/>
        <v>3.1906171932642455</v>
      </c>
      <c r="BA234" s="277">
        <f t="shared" si="267"/>
        <v>3.1217449751264619</v>
      </c>
      <c r="BB234" s="108">
        <f t="shared" si="267"/>
        <v>3.1217449751264601</v>
      </c>
      <c r="BC234" s="278">
        <f t="shared" si="267"/>
        <v>3.2975968931644455</v>
      </c>
      <c r="BD234" s="279">
        <f t="shared" si="267"/>
        <v>3.3951063914749522</v>
      </c>
      <c r="BE234" s="279">
        <f t="shared" si="267"/>
        <v>3.3668438007883008</v>
      </c>
      <c r="BF234" s="277">
        <f t="shared" si="267"/>
        <v>3.3925994156640717</v>
      </c>
      <c r="BG234" s="108">
        <f t="shared" si="267"/>
        <v>3.3925994156640709</v>
      </c>
      <c r="BH234" s="278">
        <f t="shared" si="267"/>
        <v>3.3450887336198498</v>
      </c>
      <c r="BI234" s="279">
        <f t="shared" si="267"/>
        <v>3.2911425017353997</v>
      </c>
      <c r="BJ234" s="279">
        <f t="shared" si="267"/>
        <v>3.3707805931597257</v>
      </c>
      <c r="BK234" s="277">
        <f t="shared" si="267"/>
        <v>3.4330554189221703</v>
      </c>
      <c r="BL234" s="108">
        <f t="shared" si="267"/>
        <v>3.433055418922172</v>
      </c>
      <c r="BM234" s="278">
        <f>BM221/BM223</f>
        <v>3.5840387749136604</v>
      </c>
      <c r="BN234" s="279">
        <f>BN221/BN223</f>
        <v>3.68402958525053</v>
      </c>
      <c r="BO234" s="279">
        <f>BO221/BO223</f>
        <v>3.6132822083119569</v>
      </c>
      <c r="BP234" s="277">
        <f>BP221/BP223</f>
        <v>3.5998042429104622</v>
      </c>
      <c r="BQ234" s="108">
        <f>BQ221/BQ223</f>
        <v>3.5998042429104609</v>
      </c>
      <c r="BR234" s="303"/>
      <c r="BS234" s="303"/>
      <c r="BT234" s="303"/>
      <c r="BU234" s="303"/>
      <c r="BV234" s="303"/>
      <c r="BW234" s="303"/>
      <c r="BX234" s="303"/>
      <c r="BY234" s="303"/>
      <c r="BZ234" s="303"/>
      <c r="CA234" s="303"/>
      <c r="CB234" s="303"/>
      <c r="CC234" s="303"/>
      <c r="CD234" s="303"/>
      <c r="CE234" s="303"/>
      <c r="CF234" s="303"/>
      <c r="CG234" s="303"/>
      <c r="CH234" s="303"/>
      <c r="CI234" s="303"/>
      <c r="CJ234" s="303"/>
      <c r="CK234" s="303"/>
      <c r="CL234" s="303"/>
      <c r="CM234" s="303"/>
      <c r="CN234" s="303"/>
      <c r="CO234" s="303"/>
      <c r="CP234" s="303"/>
      <c r="CQ234" s="303"/>
      <c r="CR234" s="303"/>
      <c r="CS234" s="303"/>
      <c r="CT234" s="303"/>
      <c r="CU234" s="303"/>
    </row>
    <row r="235" spans="1:99">
      <c r="A235" s="303"/>
      <c r="B235" s="303"/>
      <c r="C235" s="303"/>
      <c r="D235" s="303"/>
      <c r="E235" s="305"/>
      <c r="F235" s="306"/>
      <c r="G235" s="306"/>
      <c r="H235" s="307"/>
      <c r="I235" s="303"/>
      <c r="J235" s="305"/>
      <c r="K235" s="306"/>
      <c r="L235" s="306"/>
      <c r="M235" s="307"/>
      <c r="N235" s="303"/>
      <c r="O235" s="305"/>
      <c r="P235" s="306"/>
      <c r="Q235" s="306"/>
      <c r="R235" s="307"/>
      <c r="S235" s="303"/>
      <c r="T235" s="305"/>
      <c r="U235" s="306"/>
      <c r="V235" s="306"/>
      <c r="W235" s="307"/>
      <c r="X235" s="303"/>
      <c r="Y235" s="305"/>
      <c r="Z235" s="306"/>
      <c r="AA235" s="306"/>
      <c r="AB235" s="307"/>
      <c r="AC235" s="303"/>
      <c r="AD235" s="305"/>
      <c r="AE235" s="306"/>
      <c r="AF235" s="306"/>
      <c r="AG235" s="307"/>
      <c r="AH235" s="303"/>
      <c r="AI235" s="305"/>
      <c r="AJ235" s="306"/>
      <c r="AK235" s="306"/>
      <c r="AL235" s="307"/>
      <c r="AM235" s="303"/>
      <c r="AN235" s="305"/>
      <c r="AO235" s="306"/>
      <c r="AP235" s="306"/>
      <c r="AQ235" s="307"/>
      <c r="AR235" s="303"/>
      <c r="AS235" s="305"/>
      <c r="AT235" s="306"/>
      <c r="AU235" s="306"/>
      <c r="AV235" s="307"/>
      <c r="AW235" s="303"/>
      <c r="AX235" s="305"/>
      <c r="AY235" s="306"/>
      <c r="AZ235" s="306"/>
      <c r="BA235" s="307"/>
      <c r="BB235" s="303"/>
      <c r="BC235" s="305"/>
      <c r="BD235" s="306"/>
      <c r="BE235" s="306"/>
      <c r="BF235" s="307"/>
      <c r="BG235" s="303"/>
      <c r="BH235" s="305"/>
      <c r="BI235" s="306"/>
      <c r="BJ235" s="306"/>
      <c r="BK235" s="307"/>
      <c r="BL235" s="303"/>
      <c r="BM235" s="305"/>
      <c r="BN235" s="306"/>
      <c r="BO235" s="306"/>
      <c r="BP235" s="307"/>
      <c r="BQ235" s="303"/>
      <c r="BR235" s="303"/>
      <c r="BS235" s="303"/>
      <c r="BT235" s="303"/>
      <c r="BU235" s="303"/>
      <c r="BV235" s="303"/>
      <c r="BW235" s="303"/>
      <c r="BX235" s="303"/>
      <c r="BY235" s="303"/>
      <c r="BZ235" s="303"/>
      <c r="CA235" s="303"/>
      <c r="CB235" s="303"/>
      <c r="CC235" s="303"/>
      <c r="CD235" s="303"/>
      <c r="CE235" s="303"/>
      <c r="CF235" s="303"/>
      <c r="CG235" s="303"/>
      <c r="CH235" s="303"/>
      <c r="CI235" s="303"/>
      <c r="CJ235" s="303"/>
      <c r="CK235" s="303"/>
      <c r="CL235" s="303"/>
      <c r="CM235" s="303"/>
      <c r="CN235" s="303"/>
      <c r="CO235" s="303"/>
      <c r="CP235" s="303"/>
      <c r="CQ235" s="303"/>
      <c r="CR235" s="303"/>
      <c r="CS235" s="303"/>
      <c r="CT235" s="303"/>
      <c r="CU235" s="303"/>
    </row>
    <row r="236" spans="1:99">
      <c r="A236" s="303"/>
      <c r="B236" s="303"/>
      <c r="C236" s="303"/>
      <c r="D236" s="303"/>
      <c r="E236" s="305"/>
      <c r="F236" s="306"/>
      <c r="G236" s="306"/>
      <c r="H236" s="307"/>
      <c r="I236" s="303"/>
      <c r="J236" s="305"/>
      <c r="K236" s="306"/>
      <c r="L236" s="306"/>
      <c r="M236" s="307"/>
      <c r="N236" s="303"/>
      <c r="O236" s="229"/>
      <c r="P236" s="306"/>
      <c r="Q236" s="306"/>
      <c r="R236" s="307"/>
      <c r="S236" s="303"/>
      <c r="T236" s="305"/>
      <c r="U236" s="306"/>
      <c r="V236" s="306"/>
      <c r="W236" s="307"/>
      <c r="X236" s="303"/>
      <c r="Y236" s="305"/>
      <c r="Z236" s="306"/>
      <c r="AA236" s="306"/>
      <c r="AB236" s="307"/>
      <c r="AC236" s="303"/>
      <c r="AD236" s="305"/>
      <c r="AE236" s="306"/>
      <c r="AF236" s="306"/>
      <c r="AG236" s="307"/>
      <c r="AH236" s="303"/>
      <c r="AI236" s="305"/>
      <c r="AJ236" s="306"/>
      <c r="AK236" s="306"/>
      <c r="AL236" s="307"/>
      <c r="AM236" s="303"/>
      <c r="AN236" s="305"/>
      <c r="AO236" s="306"/>
      <c r="AP236" s="306"/>
      <c r="AQ236" s="307"/>
      <c r="AR236" s="303"/>
      <c r="AS236" s="305"/>
      <c r="AT236" s="306"/>
      <c r="AU236" s="306"/>
      <c r="AV236" s="307"/>
      <c r="AW236" s="303"/>
      <c r="AX236" s="305"/>
      <c r="AY236" s="306"/>
      <c r="AZ236" s="306"/>
      <c r="BA236" s="307"/>
      <c r="BB236" s="303"/>
      <c r="BC236" s="305"/>
      <c r="BD236" s="306"/>
      <c r="BE236" s="306"/>
      <c r="BF236" s="307"/>
      <c r="BG236" s="303"/>
      <c r="BH236" s="305"/>
      <c r="BI236" s="306"/>
      <c r="BJ236" s="306"/>
      <c r="BK236" s="307"/>
      <c r="BL236" s="303"/>
      <c r="BM236" s="305"/>
      <c r="BN236" s="306"/>
      <c r="BO236" s="306"/>
      <c r="BP236" s="307"/>
      <c r="BQ236" s="303"/>
      <c r="BR236" s="303"/>
      <c r="BS236" s="303"/>
      <c r="BT236" s="303"/>
      <c r="BU236" s="303"/>
      <c r="BV236" s="303"/>
      <c r="BW236" s="303"/>
      <c r="BX236" s="303"/>
      <c r="BY236" s="303"/>
      <c r="BZ236" s="303"/>
      <c r="CA236" s="303"/>
      <c r="CB236" s="303"/>
      <c r="CC236" s="303"/>
      <c r="CD236" s="303"/>
      <c r="CE236" s="303"/>
      <c r="CF236" s="303"/>
      <c r="CG236" s="303"/>
      <c r="CH236" s="303"/>
      <c r="CI236" s="303"/>
      <c r="CJ236" s="303"/>
      <c r="CK236" s="303"/>
      <c r="CL236" s="303"/>
      <c r="CM236" s="303"/>
      <c r="CN236" s="303"/>
      <c r="CO236" s="303"/>
      <c r="CP236" s="303"/>
      <c r="CQ236" s="303"/>
      <c r="CR236" s="303"/>
      <c r="CS236" s="303"/>
      <c r="CT236" s="303"/>
      <c r="CU236" s="303"/>
    </row>
    <row r="237" spans="1:99">
      <c r="A237" s="303"/>
      <c r="B237" s="358" t="s">
        <v>229</v>
      </c>
      <c r="C237" s="358"/>
      <c r="D237" s="359"/>
      <c r="E237" s="305"/>
      <c r="F237" s="306"/>
      <c r="G237" s="306"/>
      <c r="H237" s="307"/>
      <c r="I237" s="303"/>
      <c r="J237" s="305"/>
      <c r="K237" s="306"/>
      <c r="L237" s="306"/>
      <c r="M237" s="307"/>
      <c r="N237" s="303"/>
      <c r="O237" s="305"/>
      <c r="P237" s="306"/>
      <c r="Q237" s="306"/>
      <c r="R237" s="307"/>
      <c r="S237" s="303"/>
      <c r="T237" s="305"/>
      <c r="U237" s="306"/>
      <c r="V237" s="306"/>
      <c r="W237" s="307"/>
      <c r="X237" s="303"/>
      <c r="Y237" s="305"/>
      <c r="Z237" s="306"/>
      <c r="AA237" s="306"/>
      <c r="AB237" s="307"/>
      <c r="AC237" s="303"/>
      <c r="AD237" s="305"/>
      <c r="AE237" s="306"/>
      <c r="AF237" s="306"/>
      <c r="AG237" s="307"/>
      <c r="AH237" s="303"/>
      <c r="AI237" s="305"/>
      <c r="AJ237" s="306"/>
      <c r="AK237" s="306"/>
      <c r="AL237" s="307"/>
      <c r="AM237" s="303"/>
      <c r="AN237" s="305"/>
      <c r="AO237" s="306"/>
      <c r="AP237" s="306"/>
      <c r="AQ237" s="307"/>
      <c r="AR237" s="303"/>
      <c r="AS237" s="305"/>
      <c r="AT237" s="306"/>
      <c r="AU237" s="306"/>
      <c r="AV237" s="307"/>
      <c r="AW237" s="303"/>
      <c r="AX237" s="305"/>
      <c r="AY237" s="306"/>
      <c r="AZ237" s="306"/>
      <c r="BA237" s="307"/>
      <c r="BB237" s="303"/>
      <c r="BC237" s="305"/>
      <c r="BD237" s="306"/>
      <c r="BE237" s="306"/>
      <c r="BF237" s="307"/>
      <c r="BG237" s="303"/>
      <c r="BH237" s="305"/>
      <c r="BI237" s="306"/>
      <c r="BJ237" s="306"/>
      <c r="BK237" s="307"/>
      <c r="BL237" s="303"/>
      <c r="BM237" s="305"/>
      <c r="BN237" s="306"/>
      <c r="BO237" s="306"/>
      <c r="BP237" s="307"/>
      <c r="BQ237" s="303"/>
      <c r="BR237" s="303"/>
      <c r="BS237" s="303"/>
      <c r="BT237" s="303"/>
      <c r="BU237" s="303"/>
      <c r="BV237" s="303"/>
      <c r="BW237" s="303"/>
      <c r="BX237" s="303"/>
      <c r="BY237" s="303"/>
      <c r="BZ237" s="303"/>
      <c r="CA237" s="303"/>
      <c r="CB237" s="303"/>
      <c r="CC237" s="303"/>
      <c r="CD237" s="303"/>
      <c r="CE237" s="303"/>
      <c r="CF237" s="303"/>
      <c r="CG237" s="303"/>
      <c r="CH237" s="303"/>
      <c r="CI237" s="303"/>
      <c r="CJ237" s="303"/>
      <c r="CK237" s="303"/>
      <c r="CL237" s="303"/>
      <c r="CM237" s="303"/>
      <c r="CN237" s="303"/>
      <c r="CO237" s="303"/>
      <c r="CP237" s="303"/>
      <c r="CQ237" s="303"/>
      <c r="CR237" s="303"/>
      <c r="CS237" s="303"/>
      <c r="CT237" s="303"/>
      <c r="CU237" s="303"/>
    </row>
    <row r="238" spans="1:99">
      <c r="A238" s="242"/>
      <c r="B238" s="242"/>
      <c r="C238" s="164" t="s">
        <v>230</v>
      </c>
      <c r="D238" s="109"/>
      <c r="E238" s="367"/>
      <c r="F238" s="150"/>
      <c r="G238" s="150"/>
      <c r="H238" s="151"/>
      <c r="I238" s="154"/>
      <c r="J238" s="149"/>
      <c r="K238" s="150"/>
      <c r="L238" s="150"/>
      <c r="M238" s="151"/>
      <c r="N238" s="112"/>
      <c r="O238" s="149"/>
      <c r="P238" s="150"/>
      <c r="Q238" s="150"/>
      <c r="R238" s="151"/>
      <c r="S238" s="112"/>
      <c r="T238" s="367"/>
      <c r="U238" s="150"/>
      <c r="V238" s="150"/>
      <c r="W238" s="151"/>
      <c r="X238" s="112"/>
      <c r="Y238" s="149">
        <f>+X243</f>
        <v>20701</v>
      </c>
      <c r="Z238" s="150">
        <f>+Y243</f>
        <v>20394.5</v>
      </c>
      <c r="AA238" s="150">
        <f>+Z243</f>
        <v>20089</v>
      </c>
      <c r="AB238" s="151">
        <f>+AA243</f>
        <v>19784.5</v>
      </c>
      <c r="AC238" s="112">
        <f>+X243</f>
        <v>20701</v>
      </c>
      <c r="AD238" s="149">
        <f>+AC243</f>
        <v>19474</v>
      </c>
      <c r="AE238" s="150">
        <f>+AD243</f>
        <v>19593</v>
      </c>
      <c r="AF238" s="150">
        <f>+AE243</f>
        <v>19723</v>
      </c>
      <c r="AG238" s="151">
        <f>+AF243</f>
        <v>19848</v>
      </c>
      <c r="AH238" s="112">
        <f>+AC243</f>
        <v>19474</v>
      </c>
      <c r="AI238" s="1548">
        <f>+AH243</f>
        <v>19969</v>
      </c>
      <c r="AJ238" s="1549">
        <f>+AI243</f>
        <v>20252.575000000001</v>
      </c>
      <c r="AK238" s="1549">
        <f>+AJ243</f>
        <v>20542.150000000001</v>
      </c>
      <c r="AL238" s="1518">
        <f>+AK243</f>
        <v>20833.725000000002</v>
      </c>
      <c r="AM238" s="1425">
        <f>+AH243</f>
        <v>19969</v>
      </c>
      <c r="AN238" s="1548">
        <f>+AM243</f>
        <v>21900</v>
      </c>
      <c r="AO238" s="1549">
        <f>+AN243</f>
        <v>22017.45</v>
      </c>
      <c r="AP238" s="1549">
        <f>+AO243</f>
        <v>22130.7</v>
      </c>
      <c r="AQ238" s="1518">
        <f>+AP243</f>
        <v>22237.25</v>
      </c>
      <c r="AR238" s="1425">
        <f>+AM243</f>
        <v>21900</v>
      </c>
      <c r="AS238" s="1548">
        <f>+AR243</f>
        <v>22363.200000000001</v>
      </c>
      <c r="AT238" s="1549">
        <f>+AS243</f>
        <v>22565.7</v>
      </c>
      <c r="AU238" s="1549">
        <f>+AT243</f>
        <v>22768.5</v>
      </c>
      <c r="AV238" s="1518">
        <f>+AU243</f>
        <v>22960.5</v>
      </c>
      <c r="AW238" s="1425">
        <f>+AR243</f>
        <v>22363.200000000001</v>
      </c>
      <c r="AX238" s="1548">
        <f>+AW243</f>
        <v>23143.9</v>
      </c>
      <c r="AY238" s="1549">
        <f>+AX243</f>
        <v>23372.4601</v>
      </c>
      <c r="AZ238" s="1549">
        <f>+AY243</f>
        <v>23602.0989233125</v>
      </c>
      <c r="BA238" s="1518">
        <f>+AZ243</f>
        <v>23828.567365377305</v>
      </c>
      <c r="BB238" s="1425">
        <f>+AW243</f>
        <v>23143.9</v>
      </c>
      <c r="BC238" s="1548">
        <f>+BB243</f>
        <v>24051.899111495171</v>
      </c>
      <c r="BD238" s="1549">
        <f>+BC243</f>
        <v>24352.692449324473</v>
      </c>
      <c r="BE238" s="1549">
        <f>+BD243</f>
        <v>24652.841157106566</v>
      </c>
      <c r="BF238" s="1518">
        <f>+BE243</f>
        <v>24948.210803456946</v>
      </c>
      <c r="BG238" s="1425">
        <f>+BB243</f>
        <v>24051.899111495171</v>
      </c>
      <c r="BH238" s="1548">
        <f>+BG243</f>
        <v>25238.851568520648</v>
      </c>
      <c r="BI238" s="1549">
        <f>+BH243</f>
        <v>25558.31310555118</v>
      </c>
      <c r="BJ238" s="1549">
        <f>+BI243</f>
        <v>25871.146396442891</v>
      </c>
      <c r="BK238" s="1518">
        <f>+BJ243</f>
        <v>26180.327437780241</v>
      </c>
      <c r="BL238" s="1425">
        <f>+BG243</f>
        <v>25238.851568520648</v>
      </c>
      <c r="BM238" s="1548">
        <f>+BL243</f>
        <v>26485.89457818355</v>
      </c>
      <c r="BN238" s="1549">
        <f>+BM243</f>
        <v>28167.885763612623</v>
      </c>
      <c r="BO238" s="1549">
        <f>+BN243</f>
        <v>28381.953541594692</v>
      </c>
      <c r="BP238" s="1518">
        <f>+BO243</f>
        <v>28593.511107907947</v>
      </c>
      <c r="BQ238" s="1425">
        <f>+BL243</f>
        <v>26485.89457818355</v>
      </c>
      <c r="BR238" s="242"/>
      <c r="BS238" s="242"/>
      <c r="BT238" s="242"/>
      <c r="BU238" s="242"/>
      <c r="BV238" s="242"/>
      <c r="BW238" s="242"/>
      <c r="BX238" s="242"/>
      <c r="BY238" s="242"/>
      <c r="BZ238" s="242"/>
      <c r="CA238" s="242"/>
      <c r="CB238" s="242"/>
      <c r="CC238" s="242"/>
      <c r="CD238" s="242"/>
      <c r="CE238" s="242"/>
      <c r="CF238" s="242"/>
      <c r="CG238" s="242"/>
      <c r="CH238" s="242"/>
      <c r="CI238" s="242"/>
      <c r="CJ238" s="242"/>
      <c r="CK238" s="242"/>
      <c r="CL238" s="242"/>
      <c r="CM238" s="242"/>
      <c r="CN238" s="242"/>
      <c r="CO238" s="242"/>
      <c r="CP238" s="242"/>
      <c r="CQ238" s="242"/>
      <c r="CR238" s="242"/>
      <c r="CS238" s="242"/>
      <c r="CT238" s="242"/>
      <c r="CU238" s="242"/>
    </row>
    <row r="239" spans="1:99">
      <c r="A239" s="242"/>
      <c r="B239" s="242"/>
      <c r="C239" s="100" t="s">
        <v>231</v>
      </c>
      <c r="D239" s="109"/>
      <c r="E239" s="161"/>
      <c r="F239" s="160"/>
      <c r="G239" s="160"/>
      <c r="H239" s="144"/>
      <c r="I239" s="109"/>
      <c r="J239" s="161"/>
      <c r="K239" s="160"/>
      <c r="L239" s="160"/>
      <c r="M239" s="144"/>
      <c r="N239" s="109"/>
      <c r="O239" s="161"/>
      <c r="P239" s="160"/>
      <c r="Q239" s="160"/>
      <c r="R239" s="144"/>
      <c r="S239" s="109"/>
      <c r="T239" s="161"/>
      <c r="U239" s="160"/>
      <c r="V239" s="160"/>
      <c r="W239" s="144"/>
      <c r="X239" s="109"/>
      <c r="Y239" s="161">
        <f>Y147</f>
        <v>455.5</v>
      </c>
      <c r="Z239" s="160">
        <f>Z147</f>
        <v>455.5</v>
      </c>
      <c r="AA239" s="160">
        <f>AA147</f>
        <v>455.5</v>
      </c>
      <c r="AB239" s="144">
        <f>AB147</f>
        <v>455.5</v>
      </c>
      <c r="AC239" s="109">
        <f>SUM(Y239:AB239)</f>
        <v>1822</v>
      </c>
      <c r="AD239" s="161">
        <f>AD147</f>
        <v>513.75</v>
      </c>
      <c r="AE239" s="160">
        <f>AE147</f>
        <v>513.75</v>
      </c>
      <c r="AF239" s="160">
        <f>AF147</f>
        <v>513.75</v>
      </c>
      <c r="AG239" s="144">
        <f>AG147</f>
        <v>513.75</v>
      </c>
      <c r="AH239" s="109">
        <f>SUM(AD239:AG239)</f>
        <v>2055</v>
      </c>
      <c r="AI239" s="1485">
        <f>AI147</f>
        <v>555.57500000000005</v>
      </c>
      <c r="AJ239" s="1486">
        <f>AJ147</f>
        <v>555.57500000000005</v>
      </c>
      <c r="AK239" s="1486">
        <f>AK147</f>
        <v>555.57500000000005</v>
      </c>
      <c r="AL239" s="1487">
        <f>AL147</f>
        <v>555.57500000000005</v>
      </c>
      <c r="AM239" s="1382">
        <f>SUM(AI239:AL239)</f>
        <v>2222.3000000000002</v>
      </c>
      <c r="AN239" s="1485">
        <f>AN147</f>
        <v>559.25</v>
      </c>
      <c r="AO239" s="1486">
        <f>AO147</f>
        <v>559.25</v>
      </c>
      <c r="AP239" s="1486">
        <f>AP147</f>
        <v>559.25</v>
      </c>
      <c r="AQ239" s="1487">
        <f>AQ147</f>
        <v>559.25</v>
      </c>
      <c r="AR239" s="1382">
        <f>SUM(AN239:AQ239)</f>
        <v>2237</v>
      </c>
      <c r="AS239" s="1485">
        <f>AS147</f>
        <v>585.79999999999995</v>
      </c>
      <c r="AT239" s="1486">
        <f>AT147</f>
        <v>585.79999999999995</v>
      </c>
      <c r="AU239" s="1486">
        <f>AU147</f>
        <v>585.79999999999995</v>
      </c>
      <c r="AV239" s="1487">
        <f>AV147</f>
        <v>585.79999999999995</v>
      </c>
      <c r="AW239" s="1382">
        <f>SUM(AS239:AV239)</f>
        <v>2343.1999999999998</v>
      </c>
      <c r="AX239" s="1485">
        <f>AX149</f>
        <v>592</v>
      </c>
      <c r="AY239" s="1486">
        <f>AY149</f>
        <v>592</v>
      </c>
      <c r="AZ239" s="1486">
        <f>AZ149</f>
        <v>592</v>
      </c>
      <c r="BA239" s="1487">
        <f>BA149</f>
        <v>592</v>
      </c>
      <c r="BB239" s="1382">
        <f>SUM(AX239:BA239)</f>
        <v>2368</v>
      </c>
      <c r="BC239" s="1485">
        <f>BC149</f>
        <v>755.25</v>
      </c>
      <c r="BD239" s="1486">
        <f>BD149</f>
        <v>755.25</v>
      </c>
      <c r="BE239" s="1486">
        <f>BE149</f>
        <v>755.25</v>
      </c>
      <c r="BF239" s="1487">
        <f>BF149</f>
        <v>755.25</v>
      </c>
      <c r="BG239" s="1382">
        <f>SUM(BC239:BF239)</f>
        <v>3021</v>
      </c>
      <c r="BH239" s="1485">
        <f>BH149</f>
        <v>668.75</v>
      </c>
      <c r="BI239" s="1486">
        <f>BI149</f>
        <v>668.75</v>
      </c>
      <c r="BJ239" s="1486">
        <f>BJ149</f>
        <v>668.75</v>
      </c>
      <c r="BK239" s="1487">
        <f>BK149</f>
        <v>668.75</v>
      </c>
      <c r="BL239" s="1382">
        <f>SUM(BH239:BK239)</f>
        <v>2675</v>
      </c>
      <c r="BM239" s="1485">
        <f>BM149</f>
        <v>2038.75</v>
      </c>
      <c r="BN239" s="1486">
        <f>BN149</f>
        <v>588.75</v>
      </c>
      <c r="BO239" s="1486">
        <f>BO149</f>
        <v>588.75</v>
      </c>
      <c r="BP239" s="1487">
        <f>BP149</f>
        <v>588.75</v>
      </c>
      <c r="BQ239" s="1382">
        <f>SUM(BM239:BP239)</f>
        <v>3805</v>
      </c>
      <c r="BR239" s="242"/>
      <c r="BS239" s="242"/>
      <c r="BT239" s="242"/>
      <c r="BU239" s="242"/>
      <c r="BV239" s="242"/>
      <c r="BW239" s="242"/>
      <c r="BX239" s="242"/>
      <c r="BY239" s="242"/>
      <c r="BZ239" s="242"/>
      <c r="CA239" s="242"/>
      <c r="CB239" s="242"/>
      <c r="CC239" s="242"/>
      <c r="CD239" s="242"/>
      <c r="CE239" s="242"/>
      <c r="CF239" s="242"/>
      <c r="CG239" s="242"/>
      <c r="CH239" s="242"/>
      <c r="CI239" s="242"/>
      <c r="CJ239" s="242"/>
      <c r="CK239" s="242"/>
      <c r="CL239" s="242"/>
      <c r="CM239" s="242"/>
      <c r="CN239" s="242"/>
      <c r="CO239" s="242"/>
      <c r="CP239" s="242"/>
      <c r="CQ239" s="242"/>
      <c r="CR239" s="242"/>
      <c r="CS239" s="242"/>
      <c r="CT239" s="242"/>
      <c r="CU239" s="242"/>
    </row>
    <row r="240" spans="1:99">
      <c r="A240" s="242"/>
      <c r="B240" s="242"/>
      <c r="C240" s="100" t="s">
        <v>79</v>
      </c>
      <c r="D240" s="109"/>
      <c r="E240" s="161"/>
      <c r="F240" s="160"/>
      <c r="G240" s="160"/>
      <c r="H240" s="144"/>
      <c r="I240" s="109"/>
      <c r="J240" s="161"/>
      <c r="K240" s="160"/>
      <c r="L240" s="160"/>
      <c r="M240" s="144"/>
      <c r="N240" s="109"/>
      <c r="O240" s="161"/>
      <c r="P240" s="160"/>
      <c r="Q240" s="160"/>
      <c r="R240" s="144"/>
      <c r="S240" s="109"/>
      <c r="T240" s="161"/>
      <c r="U240" s="160"/>
      <c r="V240" s="160"/>
      <c r="W240" s="144"/>
      <c r="X240" s="109"/>
      <c r="Y240" s="161">
        <f>+-Y13</f>
        <v>-235</v>
      </c>
      <c r="Z240" s="160">
        <f>+-Z13</f>
        <v>-234</v>
      </c>
      <c r="AA240" s="160">
        <f>+-AA13</f>
        <v>-233</v>
      </c>
      <c r="AB240" s="144">
        <f>+-AB13</f>
        <v>-239</v>
      </c>
      <c r="AC240" s="109">
        <f>SUM(Y240:AB240)</f>
        <v>-941</v>
      </c>
      <c r="AD240" s="161">
        <f>+-AD13</f>
        <v>-263</v>
      </c>
      <c r="AE240" s="160">
        <f>+-AE13</f>
        <v>-252</v>
      </c>
      <c r="AF240" s="160">
        <f>+-AF13</f>
        <v>-257</v>
      </c>
      <c r="AG240" s="144">
        <f>+-AG13</f>
        <v>-261</v>
      </c>
      <c r="AH240" s="109">
        <f>SUM(AD240:AG240)</f>
        <v>-1033</v>
      </c>
      <c r="AI240" s="1485">
        <f>+-AI13</f>
        <v>-272</v>
      </c>
      <c r="AJ240" s="1486">
        <f>+-AJ13</f>
        <v>-266</v>
      </c>
      <c r="AK240" s="1486">
        <f>+-AK13</f>
        <v>-264</v>
      </c>
      <c r="AL240" s="1487">
        <f>+-AL13</f>
        <v>-260.59999999999991</v>
      </c>
      <c r="AM240" s="1382">
        <f>SUM(AI240:AL240)</f>
        <v>-1062.5999999999999</v>
      </c>
      <c r="AN240" s="1485">
        <f>+-AN13</f>
        <v>-266.8</v>
      </c>
      <c r="AO240" s="1486">
        <f>+-AO13</f>
        <v>-271</v>
      </c>
      <c r="AP240" s="1486">
        <f>+-AP13</f>
        <v>-277.7</v>
      </c>
      <c r="AQ240" s="1487">
        <f>+-AQ13</f>
        <v>-258.29999999999995</v>
      </c>
      <c r="AR240" s="1382">
        <f>SUM(AN240:AQ240)</f>
        <v>-1073.8</v>
      </c>
      <c r="AS240" s="1485">
        <f>+-AS13</f>
        <v>-278.3</v>
      </c>
      <c r="AT240" s="1486">
        <f>+-AT13</f>
        <v>-278</v>
      </c>
      <c r="AU240" s="1486">
        <f>+-AU13</f>
        <v>-288.8</v>
      </c>
      <c r="AV240" s="1487">
        <f>+-AV13</f>
        <v>-297.40000000000009</v>
      </c>
      <c r="AW240" s="1382">
        <f>SUM(AS240:AV240)</f>
        <v>-1142.5</v>
      </c>
      <c r="AX240" s="1485">
        <f>+-AX13</f>
        <v>-294.68990000000008</v>
      </c>
      <c r="AY240" s="1486">
        <f>+-AY13</f>
        <v>-293.61117668750012</v>
      </c>
      <c r="AZ240" s="1486">
        <f>+-AZ13</f>
        <v>-296.78155793519539</v>
      </c>
      <c r="BA240" s="1487">
        <f>+-BA13</f>
        <v>-299.91825388213397</v>
      </c>
      <c r="BB240" s="1382">
        <f>SUM(AX240:BA240)</f>
        <v>-1185.0008885048296</v>
      </c>
      <c r="BC240" s="1485">
        <f>+-BC13</f>
        <v>-299.45666217069942</v>
      </c>
      <c r="BD240" s="1486">
        <f>+-BD13</f>
        <v>-300.10129221790703</v>
      </c>
      <c r="BE240" s="1486">
        <f>+-BE13</f>
        <v>-304.880353649619</v>
      </c>
      <c r="BF240" s="1487">
        <f>+-BF13</f>
        <v>-309.60923493629798</v>
      </c>
      <c r="BG240" s="1382">
        <f>SUM(BC240:BF240)</f>
        <v>-1214.0475429745234</v>
      </c>
      <c r="BH240" s="1485">
        <f>+-BH13</f>
        <v>-314.28846296946688</v>
      </c>
      <c r="BI240" s="1486">
        <f>+-BI13</f>
        <v>-320.91670910828748</v>
      </c>
      <c r="BJ240" s="1486">
        <f>+-BJ13</f>
        <v>-324.56895866265052</v>
      </c>
      <c r="BK240" s="1487">
        <f>+-BK13</f>
        <v>-328.18285959669265</v>
      </c>
      <c r="BL240" s="1382">
        <f>SUM(BH240:BK240)</f>
        <v>-1287.9569903370975</v>
      </c>
      <c r="BM240" s="1485">
        <f>+-BM13</f>
        <v>-331.75881457092737</v>
      </c>
      <c r="BN240" s="1486">
        <f>+-BN13</f>
        <v>-349.68222201793265</v>
      </c>
      <c r="BO240" s="1486">
        <f>+-BO13</f>
        <v>-352.19243368674438</v>
      </c>
      <c r="BP240" s="1487">
        <f>+-BP13</f>
        <v>-354.67628813303355</v>
      </c>
      <c r="BQ240" s="1382">
        <f>SUM(BM240:BP240)</f>
        <v>-1388.3097584086379</v>
      </c>
      <c r="BR240" s="242"/>
      <c r="BS240" s="242"/>
      <c r="BT240" s="242"/>
      <c r="BU240" s="242"/>
      <c r="BV240" s="242"/>
      <c r="BW240" s="242"/>
      <c r="BX240" s="242"/>
      <c r="BY240" s="242"/>
      <c r="BZ240" s="242"/>
      <c r="CA240" s="242"/>
      <c r="CB240" s="242"/>
      <c r="CC240" s="242"/>
      <c r="CD240" s="242"/>
      <c r="CE240" s="242"/>
      <c r="CF240" s="242"/>
      <c r="CG240" s="242"/>
      <c r="CH240" s="242"/>
      <c r="CI240" s="242"/>
      <c r="CJ240" s="242"/>
      <c r="CK240" s="242"/>
      <c r="CL240" s="242"/>
      <c r="CM240" s="242"/>
      <c r="CN240" s="242"/>
      <c r="CO240" s="242"/>
      <c r="CP240" s="242"/>
      <c r="CQ240" s="242"/>
      <c r="CR240" s="242"/>
      <c r="CS240" s="242"/>
      <c r="CT240" s="242"/>
      <c r="CU240" s="242"/>
    </row>
    <row r="241" spans="1:99">
      <c r="A241" s="242"/>
      <c r="B241" s="242"/>
      <c r="C241" s="100" t="s">
        <v>232</v>
      </c>
      <c r="D241" s="109"/>
      <c r="E241" s="161"/>
      <c r="F241" s="160"/>
      <c r="G241" s="160"/>
      <c r="H241" s="144"/>
      <c r="I241" s="109"/>
      <c r="J241" s="161"/>
      <c r="K241" s="160"/>
      <c r="L241" s="160"/>
      <c r="M241" s="144"/>
      <c r="N241" s="109"/>
      <c r="O241" s="161"/>
      <c r="P241" s="160"/>
      <c r="Q241" s="160"/>
      <c r="R241" s="144"/>
      <c r="S241" s="109"/>
      <c r="T241" s="161"/>
      <c r="U241" s="160"/>
      <c r="V241" s="160"/>
      <c r="W241" s="144"/>
      <c r="X241" s="109"/>
      <c r="Y241" s="161">
        <f t="shared" ref="Y241:AG241" si="268">+-Y177</f>
        <v>0</v>
      </c>
      <c r="Z241" s="160">
        <f t="shared" si="268"/>
        <v>0</v>
      </c>
      <c r="AA241" s="160">
        <f t="shared" si="268"/>
        <v>0</v>
      </c>
      <c r="AB241" s="144">
        <f t="shared" si="268"/>
        <v>0</v>
      </c>
      <c r="AC241" s="109">
        <f>SUM(Y241:AB241)</f>
        <v>0</v>
      </c>
      <c r="AD241" s="161">
        <f t="shared" si="268"/>
        <v>0</v>
      </c>
      <c r="AE241" s="160">
        <f t="shared" si="268"/>
        <v>0</v>
      </c>
      <c r="AF241" s="160">
        <f t="shared" si="268"/>
        <v>0</v>
      </c>
      <c r="AG241" s="144">
        <f t="shared" si="268"/>
        <v>0</v>
      </c>
      <c r="AH241" s="109">
        <f>SUM(AD241:AG241)</f>
        <v>0</v>
      </c>
      <c r="AI241" s="1485">
        <f>+-AI177</f>
        <v>0</v>
      </c>
      <c r="AJ241" s="1486">
        <f>+-AJ177</f>
        <v>0</v>
      </c>
      <c r="AK241" s="1486">
        <f>+-AK177</f>
        <v>0</v>
      </c>
      <c r="AL241" s="1487">
        <f>+-AL177</f>
        <v>0</v>
      </c>
      <c r="AM241" s="1382">
        <f>SUM(AI241:AL241)</f>
        <v>0</v>
      </c>
      <c r="AN241" s="1485">
        <f>+-AN177</f>
        <v>0</v>
      </c>
      <c r="AO241" s="1486">
        <f>+-AO177</f>
        <v>0</v>
      </c>
      <c r="AP241" s="1486">
        <f>+-AP177</f>
        <v>0</v>
      </c>
      <c r="AQ241" s="1487">
        <f>+-AQ177</f>
        <v>0</v>
      </c>
      <c r="AR241" s="1382">
        <f>SUM(AN241:AQ241)</f>
        <v>0</v>
      </c>
      <c r="AS241" s="1485">
        <f>+-AS177</f>
        <v>0</v>
      </c>
      <c r="AT241" s="1486">
        <f>+-AT177</f>
        <v>0</v>
      </c>
      <c r="AU241" s="1486">
        <f>+-AU177</f>
        <v>0</v>
      </c>
      <c r="AV241" s="1487">
        <f>+-AV177</f>
        <v>0</v>
      </c>
      <c r="AW241" s="1382">
        <f>SUM(AS241:AV241)</f>
        <v>0</v>
      </c>
      <c r="AX241" s="1485">
        <f>+-AX177</f>
        <v>0</v>
      </c>
      <c r="AY241" s="1486">
        <f>+-AY177</f>
        <v>0</v>
      </c>
      <c r="AZ241" s="1486">
        <f>+-AZ177</f>
        <v>0</v>
      </c>
      <c r="BA241" s="1487">
        <f>+-BA177</f>
        <v>0</v>
      </c>
      <c r="BB241" s="1382">
        <f>SUM(AX241:BA241)</f>
        <v>0</v>
      </c>
      <c r="BC241" s="1485">
        <f>+-BC177</f>
        <v>0</v>
      </c>
      <c r="BD241" s="1486">
        <f>+-BD177</f>
        <v>0</v>
      </c>
      <c r="BE241" s="1486">
        <f>+-BE177</f>
        <v>0</v>
      </c>
      <c r="BF241" s="1487">
        <f>+-BF177</f>
        <v>0</v>
      </c>
      <c r="BG241" s="1382">
        <f>SUM(BC241:BF241)</f>
        <v>0</v>
      </c>
      <c r="BH241" s="1485">
        <f>+-BH177</f>
        <v>0</v>
      </c>
      <c r="BI241" s="1486">
        <f>+-BI177</f>
        <v>0</v>
      </c>
      <c r="BJ241" s="1486">
        <f>+-BJ177</f>
        <v>0</v>
      </c>
      <c r="BK241" s="1487">
        <f>+-BK177</f>
        <v>0</v>
      </c>
      <c r="BL241" s="1382">
        <f>SUM(BH241:BK241)</f>
        <v>0</v>
      </c>
      <c r="BM241" s="1485">
        <f>+-BM177</f>
        <v>0</v>
      </c>
      <c r="BN241" s="1486">
        <f>+-BN177</f>
        <v>0</v>
      </c>
      <c r="BO241" s="1486">
        <f>+-BO177</f>
        <v>0</v>
      </c>
      <c r="BP241" s="1487">
        <f>+-BP177</f>
        <v>0</v>
      </c>
      <c r="BQ241" s="1382">
        <f>SUM(BM241:BP241)</f>
        <v>0</v>
      </c>
      <c r="BR241" s="242"/>
      <c r="BS241" s="242"/>
      <c r="BT241" s="242"/>
      <c r="BU241" s="242"/>
      <c r="BV241" s="242"/>
      <c r="BW241" s="242"/>
      <c r="BX241" s="242"/>
      <c r="BY241" s="242"/>
      <c r="BZ241" s="242"/>
      <c r="CA241" s="242"/>
      <c r="CB241" s="242"/>
      <c r="CC241" s="242"/>
      <c r="CD241" s="242"/>
      <c r="CE241" s="242"/>
      <c r="CF241" s="242"/>
      <c r="CG241" s="242"/>
      <c r="CH241" s="242"/>
      <c r="CI241" s="242"/>
      <c r="CJ241" s="242"/>
      <c r="CK241" s="242"/>
      <c r="CL241" s="242"/>
      <c r="CM241" s="242"/>
      <c r="CN241" s="242"/>
      <c r="CO241" s="242"/>
      <c r="CP241" s="242"/>
      <c r="CQ241" s="242"/>
      <c r="CR241" s="242"/>
      <c r="CS241" s="242"/>
      <c r="CT241" s="242"/>
      <c r="CU241" s="242"/>
    </row>
    <row r="242" spans="1:99">
      <c r="A242" s="242"/>
      <c r="B242" s="242"/>
      <c r="C242" s="100" t="s">
        <v>623</v>
      </c>
      <c r="D242" s="109"/>
      <c r="E242" s="171"/>
      <c r="F242" s="172"/>
      <c r="G242" s="172"/>
      <c r="H242" s="173"/>
      <c r="I242" s="109"/>
      <c r="J242" s="171"/>
      <c r="K242" s="172"/>
      <c r="L242" s="172"/>
      <c r="M242" s="173"/>
      <c r="N242" s="109"/>
      <c r="O242" s="171"/>
      <c r="P242" s="172"/>
      <c r="Q242" s="172"/>
      <c r="R242" s="173"/>
      <c r="S242" s="109"/>
      <c r="T242" s="171"/>
      <c r="U242" s="172"/>
      <c r="V242" s="172"/>
      <c r="W242" s="173"/>
      <c r="X242" s="109"/>
      <c r="Y242" s="1202">
        <f>AC242/4</f>
        <v>-527</v>
      </c>
      <c r="Z242" s="1203">
        <f>(AC242-Y242)/3</f>
        <v>-527</v>
      </c>
      <c r="AA242" s="1203">
        <f>(AC242-Y242-Z242)/2</f>
        <v>-527</v>
      </c>
      <c r="AB242" s="1205">
        <f>AC242-Y242-Z242-AA242</f>
        <v>-527</v>
      </c>
      <c r="AC242" s="109">
        <f>AC243-AC238-AC239-AC240-AC241</f>
        <v>-2108</v>
      </c>
      <c r="AD242" s="1202">
        <f>AH242/4</f>
        <v>-131.75</v>
      </c>
      <c r="AE242" s="1203">
        <f>(AH242-AD242)/3</f>
        <v>-131.75</v>
      </c>
      <c r="AF242" s="1203">
        <f>(AH242-AD242-AE242)/2</f>
        <v>-131.75</v>
      </c>
      <c r="AG242" s="1205">
        <f>AH242-AD242-AE242-AF242</f>
        <v>-131.75</v>
      </c>
      <c r="AH242" s="109">
        <f>AH243-AH238-AH239-AH240-AH241</f>
        <v>-527</v>
      </c>
      <c r="AI242" s="1550">
        <v>0</v>
      </c>
      <c r="AJ242" s="1551">
        <v>0</v>
      </c>
      <c r="AK242" s="1551">
        <v>0</v>
      </c>
      <c r="AL242" s="1552">
        <v>0</v>
      </c>
      <c r="AM242" s="1382">
        <f>SUM(AI242:AL242)</f>
        <v>0</v>
      </c>
      <c r="AN242" s="1550">
        <v>-175</v>
      </c>
      <c r="AO242" s="1551">
        <v>-175</v>
      </c>
      <c r="AP242" s="1551">
        <v>-175</v>
      </c>
      <c r="AQ242" s="1552">
        <v>-175</v>
      </c>
      <c r="AR242" s="1382">
        <f>SUM(AN242:AQ242)</f>
        <v>-700</v>
      </c>
      <c r="AS242" s="1900">
        <f>AW242/4</f>
        <v>-105</v>
      </c>
      <c r="AT242" s="1901">
        <f>AW242/4</f>
        <v>-105</v>
      </c>
      <c r="AU242" s="1901">
        <f>AW242/4</f>
        <v>-105</v>
      </c>
      <c r="AV242" s="1902">
        <f>AW242/4</f>
        <v>-105</v>
      </c>
      <c r="AW242" s="1899">
        <v>-420</v>
      </c>
      <c r="AX242" s="1900">
        <f>BB242/4</f>
        <v>-68.75</v>
      </c>
      <c r="AY242" s="1901">
        <f>BB242/4</f>
        <v>-68.75</v>
      </c>
      <c r="AZ242" s="1901">
        <f>BB242/4</f>
        <v>-68.75</v>
      </c>
      <c r="BA242" s="1902">
        <f>BB242/4</f>
        <v>-68.75</v>
      </c>
      <c r="BB242" s="1899">
        <v>-275</v>
      </c>
      <c r="BC242" s="1900">
        <f>BG242/4</f>
        <v>-155</v>
      </c>
      <c r="BD242" s="1901">
        <f>BG242/4</f>
        <v>-155</v>
      </c>
      <c r="BE242" s="1901">
        <f>BG242/4</f>
        <v>-155</v>
      </c>
      <c r="BF242" s="1902">
        <f>BG242/4</f>
        <v>-155</v>
      </c>
      <c r="BG242" s="1899">
        <v>-620</v>
      </c>
      <c r="BH242" s="1900">
        <f>BL242/4</f>
        <v>-35</v>
      </c>
      <c r="BI242" s="1901">
        <f>BL242/4</f>
        <v>-35</v>
      </c>
      <c r="BJ242" s="1901">
        <f>BL242/4</f>
        <v>-35</v>
      </c>
      <c r="BK242" s="1902">
        <f>BL242/4</f>
        <v>-35</v>
      </c>
      <c r="BL242" s="1899">
        <v>-140</v>
      </c>
      <c r="BM242" s="1900">
        <f>BQ242/4</f>
        <v>-25</v>
      </c>
      <c r="BN242" s="1901">
        <f>BQ242/4</f>
        <v>-25</v>
      </c>
      <c r="BO242" s="1901">
        <f>BQ242/4</f>
        <v>-25</v>
      </c>
      <c r="BP242" s="1902">
        <f>BQ242/4</f>
        <v>-25</v>
      </c>
      <c r="BQ242" s="1382">
        <v>-100</v>
      </c>
      <c r="BR242" s="242"/>
      <c r="BS242" s="242"/>
      <c r="BT242" s="242"/>
      <c r="BU242" s="242"/>
      <c r="BV242" s="242"/>
      <c r="BW242" s="242"/>
      <c r="BX242" s="242"/>
      <c r="BY242" s="242"/>
      <c r="BZ242" s="242"/>
      <c r="CA242" s="242"/>
      <c r="CB242" s="242"/>
      <c r="CC242" s="242"/>
      <c r="CD242" s="242"/>
      <c r="CE242" s="242"/>
      <c r="CF242" s="242"/>
      <c r="CG242" s="242"/>
      <c r="CH242" s="242"/>
      <c r="CI242" s="242"/>
      <c r="CJ242" s="242"/>
      <c r="CK242" s="242"/>
      <c r="CL242" s="242"/>
      <c r="CM242" s="242"/>
      <c r="CN242" s="242"/>
      <c r="CO242" s="242"/>
      <c r="CP242" s="242"/>
      <c r="CQ242" s="242"/>
      <c r="CR242" s="242"/>
      <c r="CS242" s="242"/>
      <c r="CT242" s="242"/>
      <c r="CU242" s="242"/>
    </row>
    <row r="243" spans="1:99">
      <c r="A243" s="242"/>
      <c r="B243" s="242"/>
      <c r="C243" s="164" t="s">
        <v>236</v>
      </c>
      <c r="D243" s="109"/>
      <c r="E243" s="149"/>
      <c r="F243" s="150"/>
      <c r="G243" s="150"/>
      <c r="H243" s="151"/>
      <c r="I243" s="112"/>
      <c r="J243" s="149"/>
      <c r="K243" s="150"/>
      <c r="L243" s="150"/>
      <c r="M243" s="151"/>
      <c r="N243" s="112"/>
      <c r="O243" s="149"/>
      <c r="P243" s="150"/>
      <c r="Q243" s="150"/>
      <c r="R243" s="151"/>
      <c r="S243" s="112"/>
      <c r="T243" s="149"/>
      <c r="U243" s="150"/>
      <c r="V243" s="150"/>
      <c r="W243" s="151"/>
      <c r="X243" s="258">
        <f>'Utility Detail'!X25</f>
        <v>20701</v>
      </c>
      <c r="Y243" s="149">
        <f t="shared" ref="Y243:AG243" si="269">SUM(Y238:Y242)</f>
        <v>20394.5</v>
      </c>
      <c r="Z243" s="150">
        <f t="shared" si="269"/>
        <v>20089</v>
      </c>
      <c r="AA243" s="150">
        <f t="shared" si="269"/>
        <v>19784.5</v>
      </c>
      <c r="AB243" s="151">
        <f t="shared" si="269"/>
        <v>19474</v>
      </c>
      <c r="AC243" s="258">
        <f>'Utility Detail'!AC25</f>
        <v>19474</v>
      </c>
      <c r="AD243" s="149">
        <f t="shared" si="269"/>
        <v>19593</v>
      </c>
      <c r="AE243" s="150">
        <f t="shared" si="269"/>
        <v>19723</v>
      </c>
      <c r="AF243" s="150">
        <f t="shared" si="269"/>
        <v>19848</v>
      </c>
      <c r="AG243" s="151">
        <f t="shared" si="269"/>
        <v>19969</v>
      </c>
      <c r="AH243" s="258">
        <f>'Utility Detail'!AH25</f>
        <v>19969</v>
      </c>
      <c r="AI243" s="1548">
        <f t="shared" ref="AI243:BL243" si="270">SUM(AI238:AI242)</f>
        <v>20252.575000000001</v>
      </c>
      <c r="AJ243" s="1549">
        <f t="shared" si="270"/>
        <v>20542.150000000001</v>
      </c>
      <c r="AK243" s="1549">
        <f t="shared" si="270"/>
        <v>20833.725000000002</v>
      </c>
      <c r="AL243" s="1518">
        <f t="shared" si="270"/>
        <v>21128.700000000004</v>
      </c>
      <c r="AM243">
        <v>21900</v>
      </c>
      <c r="AN243" s="1548">
        <f t="shared" si="270"/>
        <v>22017.45</v>
      </c>
      <c r="AO243" s="1549">
        <f>SUM(AO238:AO242)</f>
        <v>22130.7</v>
      </c>
      <c r="AP243" s="1549">
        <f t="shared" si="270"/>
        <v>22237.25</v>
      </c>
      <c r="AQ243" s="1518">
        <f t="shared" si="270"/>
        <v>22363.200000000001</v>
      </c>
      <c r="AR243" s="1425">
        <f t="shared" si="270"/>
        <v>22363.200000000001</v>
      </c>
      <c r="AS243" s="1548">
        <f t="shared" si="270"/>
        <v>22565.7</v>
      </c>
      <c r="AT243" s="1549">
        <f>SUM(AT238:AT242)</f>
        <v>22768.5</v>
      </c>
      <c r="AU243" s="1549">
        <f t="shared" si="270"/>
        <v>22960.5</v>
      </c>
      <c r="AV243" s="1518">
        <f t="shared" si="270"/>
        <v>23143.899999999998</v>
      </c>
      <c r="AW243" s="1425">
        <f t="shared" si="270"/>
        <v>23143.9</v>
      </c>
      <c r="AX243" s="1548">
        <f t="shared" si="270"/>
        <v>23372.4601</v>
      </c>
      <c r="AY243" s="1549">
        <f t="shared" si="270"/>
        <v>23602.0989233125</v>
      </c>
      <c r="AZ243" s="1549">
        <f t="shared" si="270"/>
        <v>23828.567365377305</v>
      </c>
      <c r="BA243" s="1518">
        <f t="shared" si="270"/>
        <v>24051.899111495171</v>
      </c>
      <c r="BB243" s="1425">
        <f t="shared" si="270"/>
        <v>24051.899111495171</v>
      </c>
      <c r="BC243" s="1548">
        <f t="shared" si="270"/>
        <v>24352.692449324473</v>
      </c>
      <c r="BD243" s="1549">
        <f t="shared" si="270"/>
        <v>24652.841157106566</v>
      </c>
      <c r="BE243" s="1549">
        <f t="shared" si="270"/>
        <v>24948.210803456946</v>
      </c>
      <c r="BF243" s="1518">
        <f t="shared" si="270"/>
        <v>25238.851568520648</v>
      </c>
      <c r="BG243" s="1425">
        <f t="shared" si="270"/>
        <v>25238.851568520648</v>
      </c>
      <c r="BH243" s="1548">
        <f t="shared" si="270"/>
        <v>25558.31310555118</v>
      </c>
      <c r="BI243" s="1549">
        <f t="shared" si="270"/>
        <v>25871.146396442891</v>
      </c>
      <c r="BJ243" s="1549">
        <f t="shared" si="270"/>
        <v>26180.327437780241</v>
      </c>
      <c r="BK243" s="1518">
        <f t="shared" si="270"/>
        <v>26485.89457818355</v>
      </c>
      <c r="BL243" s="1425">
        <f t="shared" si="270"/>
        <v>26485.89457818355</v>
      </c>
      <c r="BM243" s="1548">
        <f>SUM(BM238:BM242)</f>
        <v>28167.885763612623</v>
      </c>
      <c r="BN243" s="1549">
        <f>SUM(BN238:BN242)</f>
        <v>28381.953541594692</v>
      </c>
      <c r="BO243" s="1549">
        <f>SUM(BO238:BO242)</f>
        <v>28593.511107907947</v>
      </c>
      <c r="BP243" s="1518">
        <f>SUM(BP238:BP242)</f>
        <v>28802.584819774915</v>
      </c>
      <c r="BQ243" s="1425">
        <f>SUM(BQ238:BQ242)</f>
        <v>28802.584819774911</v>
      </c>
      <c r="BR243" s="242"/>
      <c r="BS243" s="242"/>
      <c r="BT243" s="242"/>
      <c r="BU243" s="242"/>
      <c r="BV243" s="242"/>
      <c r="BW243" s="242"/>
      <c r="BX243" s="242"/>
      <c r="BY243" s="242"/>
      <c r="BZ243" s="242"/>
      <c r="CA243" s="242"/>
      <c r="CB243" s="242"/>
      <c r="CC243" s="242"/>
      <c r="CD243" s="242"/>
      <c r="CE243" s="242"/>
      <c r="CF243" s="242"/>
      <c r="CG243" s="242"/>
      <c r="CH243" s="242"/>
      <c r="CI243" s="242"/>
      <c r="CJ243" s="242"/>
      <c r="CK243" s="242"/>
      <c r="CL243" s="242"/>
      <c r="CM243" s="242"/>
      <c r="CN243" s="242"/>
      <c r="CO243" s="242"/>
      <c r="CP243" s="242"/>
      <c r="CQ243" s="242"/>
      <c r="CR243" s="242"/>
      <c r="CS243" s="242"/>
      <c r="CT243" s="242"/>
      <c r="CU243" s="242"/>
    </row>
    <row r="244" spans="1:99">
      <c r="A244" s="546"/>
      <c r="B244" s="546"/>
      <c r="C244" s="574"/>
      <c r="D244" s="546"/>
      <c r="E244" s="149"/>
      <c r="F244" s="156"/>
      <c r="G244" s="156"/>
      <c r="H244" s="151"/>
      <c r="I244" s="573"/>
      <c r="J244" s="149"/>
      <c r="K244" s="156"/>
      <c r="L244" s="156"/>
      <c r="M244" s="151"/>
      <c r="N244" s="573"/>
      <c r="O244" s="149"/>
      <c r="P244" s="156"/>
      <c r="Q244" s="156"/>
      <c r="R244" s="151"/>
      <c r="S244" s="573"/>
      <c r="T244" s="149"/>
      <c r="U244" s="156"/>
      <c r="V244" s="156"/>
      <c r="W244" s="151"/>
      <c r="X244" s="573"/>
      <c r="Y244" s="256"/>
      <c r="Z244" s="572"/>
      <c r="AA244" s="572"/>
      <c r="AB244" s="575"/>
      <c r="AC244" s="573"/>
      <c r="AD244" s="256"/>
      <c r="AE244" s="572"/>
      <c r="AF244" s="572"/>
      <c r="AG244" s="575"/>
      <c r="AH244" s="573"/>
      <c r="AI244" s="1553"/>
      <c r="AJ244" s="1554"/>
      <c r="AK244" s="1554"/>
      <c r="AL244" s="1555"/>
      <c r="AM244" s="1556"/>
      <c r="AN244" s="1553"/>
      <c r="AO244" s="1554"/>
      <c r="AP244" s="1554"/>
      <c r="AQ244" s="1555"/>
      <c r="AR244" s="1556"/>
      <c r="AS244" s="1553"/>
      <c r="AT244" s="1554"/>
      <c r="AU244" s="1554"/>
      <c r="AV244" s="1555"/>
      <c r="AW244" s="1556"/>
      <c r="AX244" s="1553"/>
      <c r="AY244" s="1554"/>
      <c r="AZ244" s="1554"/>
      <c r="BA244" s="1555"/>
      <c r="BB244" s="1556"/>
      <c r="BC244" s="1553"/>
      <c r="BD244" s="1554"/>
      <c r="BE244" s="1554"/>
      <c r="BF244" s="1555"/>
      <c r="BG244" s="1556"/>
      <c r="BH244" s="1553"/>
      <c r="BI244" s="1554"/>
      <c r="BJ244" s="1554"/>
      <c r="BK244" s="1555"/>
      <c r="BL244" s="1556"/>
      <c r="BM244" s="1553"/>
      <c r="BN244" s="1554"/>
      <c r="BO244" s="1554"/>
      <c r="BP244" s="1555"/>
      <c r="BQ244" s="1556"/>
      <c r="BR244" s="546"/>
      <c r="BS244" s="546"/>
      <c r="BT244" s="546"/>
      <c r="BU244" s="546"/>
      <c r="BV244" s="546"/>
      <c r="BW244" s="546"/>
      <c r="BX244" s="546"/>
      <c r="BY244" s="546"/>
      <c r="BZ244" s="546"/>
      <c r="CA244" s="546"/>
      <c r="CB244" s="546"/>
      <c r="CC244" s="546"/>
      <c r="CD244" s="546"/>
      <c r="CE244" s="546"/>
      <c r="CF244" s="546"/>
      <c r="CG244" s="546"/>
      <c r="CH244" s="546"/>
      <c r="CI244" s="546"/>
      <c r="CJ244" s="546"/>
      <c r="CK244" s="546"/>
      <c r="CL244" s="546"/>
      <c r="CM244" s="546"/>
      <c r="CN244" s="546"/>
      <c r="CO244" s="546"/>
      <c r="CP244" s="546"/>
      <c r="CQ244" s="546"/>
      <c r="CR244" s="546"/>
      <c r="CS244" s="546"/>
      <c r="CT244" s="546"/>
      <c r="CU244" s="546"/>
    </row>
    <row r="245" spans="1:99" s="56" customFormat="1">
      <c r="A245" s="489"/>
      <c r="B245" s="489"/>
      <c r="C245" s="574" t="s">
        <v>349</v>
      </c>
      <c r="D245" s="489"/>
      <c r="E245" s="149"/>
      <c r="F245" s="156"/>
      <c r="G245" s="156"/>
      <c r="H245" s="151"/>
      <c r="I245" s="489"/>
      <c r="J245" s="149"/>
      <c r="K245" s="156"/>
      <c r="L245" s="156"/>
      <c r="M245" s="151"/>
      <c r="N245" s="489"/>
      <c r="O245" s="149"/>
      <c r="P245" s="156"/>
      <c r="Q245" s="156"/>
      <c r="R245" s="151"/>
      <c r="S245" s="489"/>
      <c r="T245" s="149"/>
      <c r="U245" s="156"/>
      <c r="V245" s="156"/>
      <c r="W245" s="151"/>
      <c r="X245" s="489"/>
      <c r="Y245" s="149"/>
      <c r="Z245" s="156"/>
      <c r="AA245" s="156"/>
      <c r="AB245" s="151"/>
      <c r="AC245" s="489">
        <f>AVERAGE(AC243,AC238)</f>
        <v>20087.5</v>
      </c>
      <c r="AD245" s="149"/>
      <c r="AE245" s="156"/>
      <c r="AF245" s="156"/>
      <c r="AG245" s="151"/>
      <c r="AH245" s="489">
        <f>AVERAGE(AH243,AH238)</f>
        <v>19721.5</v>
      </c>
      <c r="AI245" s="1548"/>
      <c r="AJ245" s="1557"/>
      <c r="AK245" s="1557"/>
      <c r="AL245" s="1518"/>
      <c r="AM245" s="1477">
        <f>AVERAGE(AM243,AM238)</f>
        <v>20934.5</v>
      </c>
      <c r="AN245" s="1548"/>
      <c r="AO245" s="1557"/>
      <c r="AP245" s="1557"/>
      <c r="AQ245" s="1518"/>
      <c r="AR245" s="1477">
        <f>AVERAGE(AR243,AR238)</f>
        <v>22131.599999999999</v>
      </c>
      <c r="AS245" s="1548"/>
      <c r="AT245" s="1557"/>
      <c r="AU245" s="1557"/>
      <c r="AV245" s="1518"/>
      <c r="AW245" s="1477">
        <f>AVERAGE(AW243,AW238)</f>
        <v>22753.550000000003</v>
      </c>
      <c r="AX245" s="1548"/>
      <c r="AY245" s="1557"/>
      <c r="AZ245" s="1557"/>
      <c r="BA245" s="1518"/>
      <c r="BB245" s="1477">
        <f>AVERAGE(BB243,BB238)</f>
        <v>23597.899555747586</v>
      </c>
      <c r="BC245" s="1548"/>
      <c r="BD245" s="1557"/>
      <c r="BE245" s="1557"/>
      <c r="BF245" s="1518"/>
      <c r="BG245" s="1477">
        <f>AVERAGE(BG243,BG238)</f>
        <v>24645.375340007908</v>
      </c>
      <c r="BH245" s="1548"/>
      <c r="BI245" s="1557"/>
      <c r="BJ245" s="1557"/>
      <c r="BK245" s="1518"/>
      <c r="BL245" s="1477">
        <f>AVERAGE(BL243,BL238)</f>
        <v>25862.373073352101</v>
      </c>
      <c r="BM245" s="1548"/>
      <c r="BN245" s="1557"/>
      <c r="BO245" s="1557"/>
      <c r="BP245" s="1518"/>
      <c r="BQ245" s="1477">
        <f>AVERAGE(BQ243,BQ238)</f>
        <v>27644.239698979232</v>
      </c>
      <c r="BR245" s="489"/>
      <c r="BS245" s="489"/>
      <c r="BT245" s="489"/>
      <c r="BU245" s="489"/>
      <c r="BV245" s="489"/>
      <c r="BW245" s="489"/>
      <c r="BX245" s="489"/>
      <c r="BY245" s="489"/>
      <c r="BZ245" s="489"/>
      <c r="CA245" s="489"/>
      <c r="CB245" s="489"/>
      <c r="CC245" s="489"/>
      <c r="CD245" s="489"/>
      <c r="CE245" s="489"/>
      <c r="CF245" s="489"/>
      <c r="CG245" s="489"/>
      <c r="CH245" s="489"/>
      <c r="CI245" s="489"/>
      <c r="CJ245" s="489"/>
      <c r="CK245" s="489"/>
      <c r="CL245" s="489"/>
      <c r="CM245" s="489"/>
      <c r="CN245" s="489"/>
      <c r="CO245" s="489"/>
      <c r="CP245" s="489"/>
      <c r="CQ245" s="489"/>
      <c r="CR245" s="489"/>
      <c r="CS245" s="489"/>
      <c r="CT245" s="489"/>
      <c r="CU245" s="489"/>
    </row>
    <row r="246" spans="1:99" s="56" customFormat="1">
      <c r="A246" s="489"/>
      <c r="B246" s="489"/>
      <c r="C246" s="574"/>
      <c r="D246" s="489"/>
      <c r="E246" s="149"/>
      <c r="F246" s="156"/>
      <c r="G246" s="156"/>
      <c r="H246" s="151"/>
      <c r="I246" s="489"/>
      <c r="J246" s="149"/>
      <c r="K246" s="156"/>
      <c r="L246" s="156"/>
      <c r="M246" s="151"/>
      <c r="N246" s="489"/>
      <c r="O246" s="149"/>
      <c r="P246" s="156"/>
      <c r="Q246" s="156"/>
      <c r="R246" s="151"/>
      <c r="S246" s="489"/>
      <c r="T246" s="149"/>
      <c r="U246" s="156"/>
      <c r="V246" s="156"/>
      <c r="W246" s="151"/>
      <c r="X246" s="489"/>
      <c r="Y246" s="149"/>
      <c r="Z246" s="156"/>
      <c r="AA246" s="156"/>
      <c r="AB246" s="151"/>
      <c r="AC246" s="489"/>
      <c r="AD246" s="149"/>
      <c r="AE246" s="156"/>
      <c r="AF246" s="156"/>
      <c r="AG246" s="151"/>
      <c r="AH246" s="489"/>
      <c r="AI246" s="1548"/>
      <c r="AJ246" s="1557"/>
      <c r="AK246" s="1557"/>
      <c r="AL246" s="1518"/>
      <c r="AM246" s="1477"/>
      <c r="AN246" s="1548"/>
      <c r="AO246" s="1557"/>
      <c r="AP246" s="1557"/>
      <c r="AQ246" s="1518"/>
      <c r="AR246" s="1477"/>
      <c r="AS246" s="1548"/>
      <c r="AT246" s="1557"/>
      <c r="AU246" s="1557"/>
      <c r="AV246" s="1518"/>
      <c r="AW246" s="1477"/>
      <c r="AX246" s="1548"/>
      <c r="AY246" s="1557"/>
      <c r="AZ246" s="1557"/>
      <c r="BA246" s="1518"/>
      <c r="BB246" s="1477"/>
      <c r="BC246" s="1548"/>
      <c r="BD246" s="1557"/>
      <c r="BE246" s="1557"/>
      <c r="BF246" s="1518"/>
      <c r="BG246" s="1477"/>
      <c r="BH246" s="1548"/>
      <c r="BI246" s="1557"/>
      <c r="BJ246" s="1557"/>
      <c r="BK246" s="1518"/>
      <c r="BL246" s="1477"/>
      <c r="BM246" s="1548"/>
      <c r="BN246" s="1557"/>
      <c r="BO246" s="1557"/>
      <c r="BP246" s="1518"/>
      <c r="BQ246" s="1477"/>
      <c r="BR246" s="489"/>
      <c r="BS246" s="489"/>
      <c r="BT246" s="489"/>
      <c r="BU246" s="489"/>
      <c r="BV246" s="489"/>
      <c r="BW246" s="489"/>
      <c r="BX246" s="489"/>
      <c r="BY246" s="489"/>
      <c r="BZ246" s="489"/>
      <c r="CA246" s="489"/>
      <c r="CB246" s="489"/>
      <c r="CC246" s="489"/>
      <c r="CD246" s="489"/>
      <c r="CE246" s="489"/>
      <c r="CF246" s="489"/>
      <c r="CG246" s="489"/>
      <c r="CH246" s="489"/>
      <c r="CI246" s="489"/>
      <c r="CJ246" s="489"/>
      <c r="CK246" s="489"/>
      <c r="CL246" s="489"/>
      <c r="CM246" s="489"/>
      <c r="CN246" s="489"/>
      <c r="CO246" s="489"/>
      <c r="CP246" s="489"/>
      <c r="CQ246" s="489"/>
      <c r="CR246" s="489"/>
      <c r="CS246" s="489"/>
      <c r="CT246" s="489"/>
      <c r="CU246" s="489"/>
    </row>
    <row r="247" spans="1:99" s="56" customFormat="1">
      <c r="A247" s="489"/>
      <c r="B247" s="489"/>
      <c r="C247" s="574" t="s">
        <v>1341</v>
      </c>
      <c r="D247" s="489"/>
      <c r="E247" s="149"/>
      <c r="F247" s="156"/>
      <c r="G247" s="156"/>
      <c r="H247" s="151"/>
      <c r="I247" s="489"/>
      <c r="J247" s="149"/>
      <c r="K247" s="156"/>
      <c r="L247" s="156"/>
      <c r="M247" s="151"/>
      <c r="N247" s="489"/>
      <c r="O247" s="149"/>
      <c r="P247" s="156"/>
      <c r="Q247" s="156"/>
      <c r="R247" s="151"/>
      <c r="S247" s="489"/>
      <c r="T247" s="149"/>
      <c r="U247" s="156"/>
      <c r="V247" s="156"/>
      <c r="W247" s="151"/>
      <c r="X247" s="489"/>
      <c r="Y247" s="149"/>
      <c r="Z247" s="156"/>
      <c r="AA247" s="156"/>
      <c r="AB247" s="151"/>
      <c r="AC247" s="489"/>
      <c r="AD247" s="149"/>
      <c r="AE247" s="156"/>
      <c r="AF247" s="156"/>
      <c r="AG247" s="151"/>
      <c r="AH247" s="489"/>
      <c r="AI247" s="1548"/>
      <c r="AJ247" s="1557"/>
      <c r="AK247" s="1557"/>
      <c r="AL247" s="1518"/>
      <c r="AM247" s="1477"/>
      <c r="AN247" s="1548"/>
      <c r="AO247" s="1557"/>
      <c r="AP247" s="1557"/>
      <c r="AQ247" s="1518"/>
      <c r="AR247" s="72">
        <f>7492+726+4709+1663+2839+4844+105</f>
        <v>22378</v>
      </c>
      <c r="AS247" s="149"/>
      <c r="AT247" s="156"/>
      <c r="AU247" s="156"/>
      <c r="AV247" s="151"/>
      <c r="AW247" s="72">
        <f>7749+730+4989+1658+2898+5001+121</f>
        <v>23146</v>
      </c>
      <c r="AX247" s="149"/>
      <c r="AY247" s="156"/>
      <c r="AZ247" s="156"/>
      <c r="BA247" s="151"/>
      <c r="BB247" s="72">
        <f>7973+730+5304+1750+3005+5171+133</f>
        <v>24066</v>
      </c>
      <c r="BC247" s="149"/>
      <c r="BD247" s="156"/>
      <c r="BE247" s="156"/>
      <c r="BF247" s="151"/>
      <c r="BG247" s="72">
        <f>8530+732+5606+1829+3139+5276+140</f>
        <v>25252</v>
      </c>
      <c r="BH247" s="149"/>
      <c r="BI247" s="156"/>
      <c r="BJ247" s="156"/>
      <c r="BK247" s="151"/>
      <c r="BL247" s="72">
        <f>8891+752+5980+1946+3270+5514+149</f>
        <v>26502</v>
      </c>
      <c r="BM247" s="1548"/>
      <c r="BN247" s="1557"/>
      <c r="BO247" s="1557"/>
      <c r="BP247" s="1518"/>
      <c r="BQ247" s="1477"/>
      <c r="BR247" s="489"/>
      <c r="BS247" s="489"/>
      <c r="BT247" s="489"/>
      <c r="BU247" s="489"/>
      <c r="BV247" s="489"/>
      <c r="BW247" s="489"/>
      <c r="BX247" s="489"/>
      <c r="BY247" s="489"/>
      <c r="BZ247" s="489"/>
      <c r="CA247" s="489"/>
      <c r="CB247" s="489"/>
      <c r="CC247" s="489"/>
      <c r="CD247" s="489"/>
      <c r="CE247" s="489"/>
      <c r="CF247" s="489"/>
      <c r="CG247" s="489"/>
      <c r="CH247" s="489"/>
      <c r="CI247" s="489"/>
      <c r="CJ247" s="489"/>
      <c r="CK247" s="489"/>
      <c r="CL247" s="489"/>
      <c r="CM247" s="489"/>
      <c r="CN247" s="489"/>
      <c r="CO247" s="489"/>
      <c r="CP247" s="489"/>
      <c r="CQ247" s="489"/>
      <c r="CR247" s="489"/>
      <c r="CS247" s="489"/>
      <c r="CT247" s="489"/>
      <c r="CU247" s="489"/>
    </row>
    <row r="248" spans="1:99">
      <c r="A248" s="546"/>
      <c r="B248" s="546"/>
      <c r="C248" s="574"/>
      <c r="D248" s="546"/>
      <c r="E248" s="149"/>
      <c r="F248" s="156"/>
      <c r="G248" s="156"/>
      <c r="H248" s="151"/>
      <c r="I248" s="573"/>
      <c r="J248" s="149"/>
      <c r="K248" s="156"/>
      <c r="L248" s="156"/>
      <c r="M248" s="151"/>
      <c r="O248" s="149"/>
      <c r="P248" s="156"/>
      <c r="Q248" s="156"/>
      <c r="R248" s="151"/>
      <c r="S248" s="489"/>
      <c r="T248" s="149"/>
      <c r="U248" s="156"/>
      <c r="V248" s="156"/>
      <c r="W248" s="151"/>
      <c r="X248" s="489"/>
      <c r="Y248" s="149"/>
      <c r="Z248" s="156"/>
      <c r="AA248" s="156"/>
      <c r="AB248" s="151"/>
      <c r="AC248" s="489"/>
      <c r="AD248" s="149"/>
      <c r="AE248" s="156"/>
      <c r="AF248" s="156"/>
      <c r="AG248" s="151"/>
      <c r="AH248" s="489"/>
      <c r="AI248" s="1548"/>
      <c r="AJ248" s="1557"/>
      <c r="AK248" s="1557"/>
      <c r="AL248" s="1518"/>
      <c r="AM248" s="1477"/>
      <c r="AN248" s="1548"/>
      <c r="AO248" s="1557"/>
      <c r="AP248" s="1557"/>
      <c r="AQ248" s="1518"/>
      <c r="AS248" s="1548"/>
      <c r="AT248" s="1557"/>
      <c r="AU248" s="1557"/>
      <c r="AV248" s="1518"/>
      <c r="AX248" s="1548"/>
      <c r="AY248" s="1557"/>
      <c r="AZ248" s="1557"/>
      <c r="BA248" s="1518"/>
      <c r="BC248" s="1548"/>
      <c r="BD248" s="1557"/>
      <c r="BE248" s="1557"/>
      <c r="BF248" s="1518"/>
      <c r="BH248" s="1548"/>
      <c r="BI248" s="1557"/>
      <c r="BJ248" s="1557"/>
      <c r="BK248" s="1518"/>
      <c r="BL248" s="1477"/>
      <c r="BM248" s="1548"/>
      <c r="BN248" s="1557"/>
      <c r="BO248" s="1557"/>
      <c r="BP248" s="1518"/>
      <c r="BQ248" s="1477"/>
      <c r="BR248" s="546"/>
      <c r="BS248" s="546"/>
      <c r="BT248" s="546"/>
      <c r="BU248" s="546"/>
      <c r="BV248" s="546"/>
      <c r="BW248" s="546"/>
      <c r="BX248" s="546"/>
      <c r="BY248" s="546"/>
      <c r="BZ248" s="546"/>
      <c r="CA248" s="546"/>
      <c r="CB248" s="546"/>
      <c r="CC248" s="546"/>
      <c r="CD248" s="546"/>
      <c r="CE248" s="546"/>
      <c r="CF248" s="546"/>
      <c r="CG248" s="546"/>
      <c r="CH248" s="546"/>
      <c r="CI248" s="546"/>
      <c r="CJ248" s="546"/>
      <c r="CK248" s="546"/>
      <c r="CL248" s="546"/>
      <c r="CM248" s="546"/>
      <c r="CN248" s="546"/>
      <c r="CO248" s="546"/>
      <c r="CP248" s="546"/>
      <c r="CQ248" s="546"/>
      <c r="CR248" s="546"/>
      <c r="CS248" s="546"/>
      <c r="CT248" s="546"/>
      <c r="CU248" s="546"/>
    </row>
    <row r="249" spans="1:99">
      <c r="A249" s="242"/>
      <c r="B249" s="242"/>
      <c r="C249" s="164" t="s">
        <v>237</v>
      </c>
      <c r="D249" s="109"/>
      <c r="E249" s="161"/>
      <c r="F249" s="162"/>
      <c r="G249" s="162"/>
      <c r="H249" s="144"/>
      <c r="I249" s="109"/>
      <c r="J249" s="161"/>
      <c r="K249" s="162"/>
      <c r="L249" s="162"/>
      <c r="M249" s="144"/>
      <c r="N249" s="109"/>
      <c r="O249" s="161"/>
      <c r="P249" s="162"/>
      <c r="Q249" s="162"/>
      <c r="R249" s="144"/>
      <c r="S249" s="109"/>
      <c r="T249" s="161"/>
      <c r="U249" s="162"/>
      <c r="V249" s="162"/>
      <c r="W249" s="144"/>
      <c r="X249" s="109"/>
      <c r="Y249" s="161"/>
      <c r="Z249" s="162"/>
      <c r="AA249" s="162"/>
      <c r="AB249" s="144"/>
      <c r="AC249" s="109"/>
      <c r="AD249" s="161"/>
      <c r="AE249" s="162"/>
      <c r="AF249" s="162"/>
      <c r="AG249" s="144"/>
      <c r="AH249" s="109"/>
      <c r="AI249" s="1485"/>
      <c r="AJ249" s="1488"/>
      <c r="AK249" s="1488"/>
      <c r="AL249" s="1487"/>
      <c r="AM249" s="1519"/>
      <c r="AN249" s="1485"/>
      <c r="AO249" s="1488"/>
      <c r="AP249" s="1488"/>
      <c r="AQ249" s="1487"/>
      <c r="AR249" s="1519"/>
      <c r="AS249" s="1485"/>
      <c r="AT249" s="1488"/>
      <c r="AU249" s="1488"/>
      <c r="AV249" s="1487"/>
      <c r="AW249" s="1519"/>
      <c r="AX249" s="1485"/>
      <c r="AY249" s="1488"/>
      <c r="AZ249" s="1488"/>
      <c r="BA249" s="1487"/>
      <c r="BB249" s="1519"/>
      <c r="BC249" s="1485"/>
      <c r="BD249" s="1488"/>
      <c r="BE249" s="1488"/>
      <c r="BF249" s="1487"/>
      <c r="BG249" s="1519"/>
      <c r="BH249" s="1485"/>
      <c r="BI249" s="1488"/>
      <c r="BJ249" s="1488"/>
      <c r="BK249" s="1487"/>
      <c r="BL249" s="1519"/>
      <c r="BM249" s="1485"/>
      <c r="BN249" s="1488"/>
      <c r="BO249" s="1488"/>
      <c r="BP249" s="1487"/>
      <c r="BQ249" s="1519"/>
      <c r="BR249" s="242"/>
      <c r="BS249" s="242"/>
      <c r="BT249" s="242"/>
      <c r="BU249" s="242"/>
      <c r="BV249" s="242"/>
      <c r="BW249" s="242"/>
      <c r="BX249" s="242"/>
      <c r="BY249" s="242"/>
      <c r="BZ249" s="242"/>
      <c r="CA249" s="242"/>
      <c r="CB249" s="242"/>
      <c r="CC249" s="242"/>
      <c r="CD249" s="242"/>
      <c r="CE249" s="242"/>
      <c r="CF249" s="242"/>
      <c r="CG249" s="242"/>
      <c r="CH249" s="242"/>
      <c r="CI249" s="242"/>
      <c r="CJ249" s="242"/>
      <c r="CK249" s="242"/>
      <c r="CL249" s="242"/>
      <c r="CM249" s="242"/>
      <c r="CN249" s="242"/>
      <c r="CO249" s="242"/>
      <c r="CP249" s="242"/>
      <c r="CQ249" s="242"/>
      <c r="CR249" s="242"/>
      <c r="CS249" s="242"/>
      <c r="CT249" s="242"/>
      <c r="CU249" s="242"/>
    </row>
    <row r="250" spans="1:99">
      <c r="A250" s="303"/>
      <c r="B250" s="303"/>
      <c r="C250" s="100" t="s">
        <v>238</v>
      </c>
      <c r="D250" s="303"/>
      <c r="E250" s="368"/>
      <c r="F250" s="230"/>
      <c r="G250" s="230"/>
      <c r="H250" s="231"/>
      <c r="I250" s="114"/>
      <c r="J250" s="229"/>
      <c r="K250" s="230"/>
      <c r="L250" s="230"/>
      <c r="M250" s="231"/>
      <c r="N250" s="114"/>
      <c r="O250" s="229"/>
      <c r="P250" s="232"/>
      <c r="Q250" s="230"/>
      <c r="R250" s="233"/>
      <c r="S250" s="114"/>
      <c r="T250" s="229"/>
      <c r="U250" s="230"/>
      <c r="V250" s="230"/>
      <c r="W250" s="231"/>
      <c r="X250" s="66">
        <v>0.45</v>
      </c>
      <c r="Y250" s="1215">
        <f>X250</f>
        <v>0.45</v>
      </c>
      <c r="Z250" s="230">
        <f>Y250</f>
        <v>0.45</v>
      </c>
      <c r="AA250" s="230">
        <f>Z250</f>
        <v>0.45</v>
      </c>
      <c r="AB250" s="231">
        <f>AA250</f>
        <v>0.45</v>
      </c>
      <c r="AC250" s="66">
        <v>0.45</v>
      </c>
      <c r="AD250" s="229">
        <f t="shared" ref="AD250:BL250" si="271">AC250</f>
        <v>0.45</v>
      </c>
      <c r="AE250" s="230">
        <f t="shared" si="271"/>
        <v>0.45</v>
      </c>
      <c r="AF250" s="230">
        <f t="shared" si="271"/>
        <v>0.45</v>
      </c>
      <c r="AG250" s="231">
        <f t="shared" si="271"/>
        <v>0.45</v>
      </c>
      <c r="AH250" s="114">
        <f t="shared" si="271"/>
        <v>0.45</v>
      </c>
      <c r="AI250" s="1558">
        <f t="shared" si="271"/>
        <v>0.45</v>
      </c>
      <c r="AJ250" s="1559">
        <v>0.48</v>
      </c>
      <c r="AK250" s="1560">
        <f t="shared" si="271"/>
        <v>0.48</v>
      </c>
      <c r="AL250" s="1561">
        <f t="shared" si="271"/>
        <v>0.48</v>
      </c>
      <c r="AM250" s="1562">
        <f t="shared" si="271"/>
        <v>0.48</v>
      </c>
      <c r="AN250" s="1558">
        <f t="shared" si="271"/>
        <v>0.48</v>
      </c>
      <c r="AO250" s="1560">
        <f t="shared" si="271"/>
        <v>0.48</v>
      </c>
      <c r="AP250" s="1560">
        <f t="shared" si="271"/>
        <v>0.48</v>
      </c>
      <c r="AQ250" s="1561">
        <f t="shared" si="271"/>
        <v>0.48</v>
      </c>
      <c r="AR250" s="1562">
        <f t="shared" si="271"/>
        <v>0.48</v>
      </c>
      <c r="AS250" s="1558">
        <f t="shared" ref="AS250" si="272">AR250</f>
        <v>0.48</v>
      </c>
      <c r="AT250" s="1560">
        <f t="shared" ref="AT250" si="273">AS250</f>
        <v>0.48</v>
      </c>
      <c r="AU250" s="1560">
        <f t="shared" ref="AU250" si="274">AT250</f>
        <v>0.48</v>
      </c>
      <c r="AV250" s="1561">
        <f t="shared" ref="AV250" si="275">AU250</f>
        <v>0.48</v>
      </c>
      <c r="AW250" s="1562">
        <f t="shared" ref="AW250" si="276">AV250</f>
        <v>0.48</v>
      </c>
      <c r="AX250" s="1558">
        <f t="shared" si="271"/>
        <v>0.48</v>
      </c>
      <c r="AY250" s="1560">
        <f t="shared" si="271"/>
        <v>0.48</v>
      </c>
      <c r="AZ250" s="1560">
        <f t="shared" si="271"/>
        <v>0.48</v>
      </c>
      <c r="BA250" s="1561">
        <f t="shared" si="271"/>
        <v>0.48</v>
      </c>
      <c r="BB250" s="1562">
        <f t="shared" si="271"/>
        <v>0.48</v>
      </c>
      <c r="BC250" s="1558">
        <f t="shared" si="271"/>
        <v>0.48</v>
      </c>
      <c r="BD250" s="1560">
        <f t="shared" si="271"/>
        <v>0.48</v>
      </c>
      <c r="BE250" s="1560">
        <f t="shared" si="271"/>
        <v>0.48</v>
      </c>
      <c r="BF250" s="1561">
        <f t="shared" si="271"/>
        <v>0.48</v>
      </c>
      <c r="BG250" s="1562">
        <f t="shared" si="271"/>
        <v>0.48</v>
      </c>
      <c r="BH250" s="1558">
        <f t="shared" si="271"/>
        <v>0.48</v>
      </c>
      <c r="BI250" s="1560">
        <f t="shared" si="271"/>
        <v>0.48</v>
      </c>
      <c r="BJ250" s="1560">
        <f t="shared" si="271"/>
        <v>0.48</v>
      </c>
      <c r="BK250" s="1561">
        <f t="shared" si="271"/>
        <v>0.48</v>
      </c>
      <c r="BL250" s="1562">
        <f t="shared" si="271"/>
        <v>0.48</v>
      </c>
      <c r="BM250" s="1558">
        <f>BL250</f>
        <v>0.48</v>
      </c>
      <c r="BN250" s="1560">
        <f>BM250</f>
        <v>0.48</v>
      </c>
      <c r="BO250" s="1560">
        <f>BN250</f>
        <v>0.48</v>
      </c>
      <c r="BP250" s="1561">
        <f>BO250</f>
        <v>0.48</v>
      </c>
      <c r="BQ250" s="1562">
        <f>BP250</f>
        <v>0.48</v>
      </c>
      <c r="BR250" s="303"/>
      <c r="BS250" s="490"/>
      <c r="BT250" s="303"/>
      <c r="BU250" s="303"/>
      <c r="BV250" s="303"/>
      <c r="BW250" s="303"/>
      <c r="BX250" s="303"/>
      <c r="BY250" s="303"/>
      <c r="BZ250" s="303"/>
      <c r="CA250" s="303"/>
      <c r="CB250" s="303"/>
      <c r="CC250" s="303"/>
      <c r="CD250" s="303"/>
      <c r="CE250" s="303"/>
      <c r="CF250" s="303"/>
      <c r="CG250" s="303"/>
      <c r="CH250" s="303"/>
      <c r="CI250" s="303"/>
      <c r="CJ250" s="303"/>
      <c r="CK250" s="303"/>
      <c r="CL250" s="303"/>
      <c r="CM250" s="303"/>
      <c r="CN250" s="303"/>
      <c r="CO250" s="303"/>
      <c r="CP250" s="303"/>
      <c r="CQ250" s="303"/>
      <c r="CR250" s="303"/>
      <c r="CS250" s="303"/>
      <c r="CT250" s="303"/>
      <c r="CU250" s="303"/>
    </row>
    <row r="251" spans="1:99">
      <c r="A251" s="303"/>
      <c r="B251" s="303"/>
      <c r="C251" s="100" t="s">
        <v>239</v>
      </c>
      <c r="D251" s="303"/>
      <c r="E251" s="355"/>
      <c r="F251" s="353"/>
      <c r="G251" s="353"/>
      <c r="H251" s="354"/>
      <c r="I251" s="369"/>
      <c r="J251" s="355"/>
      <c r="K251" s="353"/>
      <c r="L251" s="353"/>
      <c r="M251" s="354"/>
      <c r="N251" s="369"/>
      <c r="O251" s="355"/>
      <c r="P251" s="353"/>
      <c r="Q251" s="353"/>
      <c r="R251" s="354"/>
      <c r="S251" s="369"/>
      <c r="T251" s="355"/>
      <c r="U251" s="353"/>
      <c r="V251" s="353"/>
      <c r="W251" s="354"/>
      <c r="X251" s="369">
        <f t="shared" ref="X251:AH251" si="277">+X213</f>
        <v>0.46708539006327471</v>
      </c>
      <c r="Y251" s="355">
        <f t="shared" si="277"/>
        <v>0.46425987259710799</v>
      </c>
      <c r="Z251" s="353">
        <f t="shared" si="277"/>
        <v>0.4638241569001082</v>
      </c>
      <c r="AA251" s="353">
        <f t="shared" si="277"/>
        <v>0.47022315711343721</v>
      </c>
      <c r="AB251" s="354">
        <f t="shared" si="277"/>
        <v>0.47265805094623936</v>
      </c>
      <c r="AC251" s="369">
        <f>+AC213</f>
        <v>0.47265805094623936</v>
      </c>
      <c r="AD251" s="355">
        <f t="shared" si="277"/>
        <v>0.47036384911430618</v>
      </c>
      <c r="AE251" s="353">
        <f t="shared" si="277"/>
        <v>0.47462004306889483</v>
      </c>
      <c r="AF251" s="353">
        <f t="shared" si="277"/>
        <v>0.47672494273768828</v>
      </c>
      <c r="AG251" s="354">
        <f t="shared" si="277"/>
        <v>0.46963901798714852</v>
      </c>
      <c r="AH251" s="369">
        <f t="shared" si="277"/>
        <v>0.46963901798714852</v>
      </c>
      <c r="AI251" s="1563">
        <f>+AI213</f>
        <v>0.46313437818237746</v>
      </c>
      <c r="AJ251" s="1564">
        <f>+AJ213</f>
        <v>0.46602758772796621</v>
      </c>
      <c r="AK251" s="1564">
        <f t="shared" ref="AK251:BL251" si="278">+AK213</f>
        <v>0.47289005366262826</v>
      </c>
      <c r="AL251" s="1565">
        <f t="shared" si="278"/>
        <v>0.46832434986277149</v>
      </c>
      <c r="AM251" s="1566">
        <f t="shared" si="278"/>
        <v>0.46832434986277149</v>
      </c>
      <c r="AN251" s="1563">
        <f t="shared" si="278"/>
        <v>0.46734300007798646</v>
      </c>
      <c r="AO251" s="1564">
        <f t="shared" si="278"/>
        <v>0.46491367426991537</v>
      </c>
      <c r="AP251" s="1564">
        <f t="shared" si="278"/>
        <v>0.46853540172304148</v>
      </c>
      <c r="AQ251" s="1565">
        <f t="shared" si="278"/>
        <v>0.4623553336730834</v>
      </c>
      <c r="AR251" s="1566">
        <f t="shared" si="278"/>
        <v>0.4623553336730834</v>
      </c>
      <c r="AS251" s="1563">
        <f t="shared" ref="AS251:AW251" si="279">+AS213</f>
        <v>0.45997351738027797</v>
      </c>
      <c r="AT251" s="1564">
        <f t="shared" si="279"/>
        <v>0.46948633557058367</v>
      </c>
      <c r="AU251" s="1564">
        <f t="shared" si="279"/>
        <v>0.46642435817189898</v>
      </c>
      <c r="AV251" s="1565">
        <f t="shared" si="279"/>
        <v>0.46073032379267698</v>
      </c>
      <c r="AW251" s="1566">
        <f t="shared" si="279"/>
        <v>0.46073032379267698</v>
      </c>
      <c r="AX251" s="1563">
        <f t="shared" si="278"/>
        <v>0.46494509508707377</v>
      </c>
      <c r="AY251" s="1564">
        <f t="shared" si="278"/>
        <v>0.46350674781392875</v>
      </c>
      <c r="AZ251" s="1564">
        <f t="shared" si="278"/>
        <v>0.46802635656127628</v>
      </c>
      <c r="BA251" s="1565">
        <f t="shared" si="278"/>
        <v>0.47055465389097378</v>
      </c>
      <c r="BB251" s="1566">
        <f t="shared" si="278"/>
        <v>0.47055465389097378</v>
      </c>
      <c r="BC251" s="1563">
        <f t="shared" si="278"/>
        <v>0.47377020997693758</v>
      </c>
      <c r="BD251" s="1564">
        <f t="shared" si="278"/>
        <v>0.47068509494358357</v>
      </c>
      <c r="BE251" s="1564">
        <f t="shared" si="278"/>
        <v>0.46330084186022841</v>
      </c>
      <c r="BF251" s="1565">
        <f t="shared" si="278"/>
        <v>0.47281737676264252</v>
      </c>
      <c r="BG251" s="1566">
        <f t="shared" si="278"/>
        <v>0.47281737676264252</v>
      </c>
      <c r="BH251" s="1563">
        <f t="shared" si="278"/>
        <v>0.46131492413811054</v>
      </c>
      <c r="BI251" s="1564">
        <f t="shared" si="278"/>
        <v>0.4656709075505428</v>
      </c>
      <c r="BJ251" s="1564">
        <f t="shared" si="278"/>
        <v>0.47165576614702315</v>
      </c>
      <c r="BK251" s="1565">
        <f t="shared" si="278"/>
        <v>0.47540047605508484</v>
      </c>
      <c r="BL251" s="1566">
        <f t="shared" si="278"/>
        <v>0.47540047605508484</v>
      </c>
      <c r="BM251" s="1563">
        <f>+BM213</f>
        <v>0.46500871814183814</v>
      </c>
      <c r="BN251" s="1564">
        <f>+BN213</f>
        <v>0.47072685181975032</v>
      </c>
      <c r="BO251" s="1564">
        <f>+BO213</f>
        <v>0.47197664942716955</v>
      </c>
      <c r="BP251" s="1565">
        <f>+BP213</f>
        <v>0.47770523030161577</v>
      </c>
      <c r="BQ251" s="1566">
        <f>+BQ213</f>
        <v>0.47770523030161577</v>
      </c>
      <c r="BR251" s="303"/>
      <c r="BS251" s="490"/>
      <c r="BT251" s="303"/>
      <c r="BU251" s="303"/>
      <c r="BV251" s="303"/>
      <c r="BW251" s="303"/>
      <c r="BX251" s="303"/>
      <c r="BY251" s="303"/>
      <c r="BZ251" s="303"/>
      <c r="CA251" s="303"/>
      <c r="CB251" s="303"/>
      <c r="CC251" s="303"/>
      <c r="CD251" s="303"/>
      <c r="CE251" s="303"/>
      <c r="CF251" s="303"/>
      <c r="CG251" s="303"/>
      <c r="CH251" s="303"/>
      <c r="CI251" s="303"/>
      <c r="CJ251" s="303"/>
      <c r="CK251" s="303"/>
      <c r="CL251" s="303"/>
      <c r="CM251" s="303"/>
      <c r="CN251" s="303"/>
      <c r="CO251" s="303"/>
      <c r="CP251" s="303"/>
      <c r="CQ251" s="303"/>
      <c r="CR251" s="303"/>
      <c r="CS251" s="303"/>
      <c r="CT251" s="303"/>
      <c r="CU251" s="303"/>
    </row>
    <row r="252" spans="1:99">
      <c r="A252" s="303"/>
      <c r="B252" s="303"/>
      <c r="C252" s="303"/>
      <c r="D252" s="303"/>
      <c r="E252" s="305"/>
      <c r="F252" s="306"/>
      <c r="G252" s="306"/>
      <c r="H252" s="307"/>
      <c r="I252" s="114"/>
      <c r="J252" s="229"/>
      <c r="K252" s="230"/>
      <c r="L252" s="230"/>
      <c r="M252" s="231"/>
      <c r="N252" s="114"/>
      <c r="O252" s="229"/>
      <c r="P252" s="230"/>
      <c r="Q252" s="230"/>
      <c r="R252" s="231"/>
      <c r="S252" s="114"/>
      <c r="T252" s="229"/>
      <c r="U252" s="230"/>
      <c r="V252" s="230"/>
      <c r="W252" s="231"/>
      <c r="X252" s="114"/>
      <c r="Y252" s="229"/>
      <c r="Z252" s="230"/>
      <c r="AA252" s="230"/>
      <c r="AB252" s="231"/>
      <c r="AC252" s="114"/>
      <c r="AD252" s="229"/>
      <c r="AE252" s="230"/>
      <c r="AF252" s="230"/>
      <c r="AG252" s="231"/>
      <c r="AH252" s="114"/>
      <c r="AI252" s="1558"/>
      <c r="AJ252" s="1560"/>
      <c r="AK252" s="1560"/>
      <c r="AL252" s="1561"/>
      <c r="AM252" s="1562"/>
      <c r="AN252" s="1558"/>
      <c r="AO252" s="1560"/>
      <c r="AP252" s="1560"/>
      <c r="AQ252" s="1561"/>
      <c r="AR252" s="1562"/>
      <c r="AS252" s="1558"/>
      <c r="AT252" s="1560"/>
      <c r="AU252" s="1560"/>
      <c r="AV252" s="1561"/>
      <c r="AW252" s="1562"/>
      <c r="AX252" s="1558"/>
      <c r="AY252" s="1560"/>
      <c r="AZ252" s="1560"/>
      <c r="BA252" s="1561"/>
      <c r="BB252" s="1562"/>
      <c r="BC252" s="1558"/>
      <c r="BD252" s="1560"/>
      <c r="BE252" s="1560"/>
      <c r="BF252" s="1561"/>
      <c r="BG252" s="1562"/>
      <c r="BH252" s="1558"/>
      <c r="BI252" s="1560"/>
      <c r="BJ252" s="1560"/>
      <c r="BK252" s="1561"/>
      <c r="BL252" s="1562"/>
      <c r="BM252" s="1558"/>
      <c r="BN252" s="1560"/>
      <c r="BO252" s="1560"/>
      <c r="BP252" s="1561"/>
      <c r="BQ252" s="1562"/>
      <c r="BR252" s="303"/>
      <c r="BS252" s="490"/>
      <c r="BT252" s="303"/>
      <c r="BU252" s="303"/>
      <c r="BV252" s="303"/>
      <c r="BW252" s="303"/>
      <c r="BX252" s="303"/>
      <c r="BY252" s="303"/>
      <c r="BZ252" s="303"/>
      <c r="CA252" s="303"/>
      <c r="CB252" s="303"/>
      <c r="CC252" s="303"/>
      <c r="CD252" s="303"/>
      <c r="CE252" s="303"/>
      <c r="CF252" s="303"/>
      <c r="CG252" s="303"/>
      <c r="CH252" s="303"/>
      <c r="CI252" s="303"/>
      <c r="CJ252" s="303"/>
      <c r="CK252" s="303"/>
      <c r="CL252" s="303"/>
      <c r="CM252" s="303"/>
      <c r="CN252" s="303"/>
      <c r="CO252" s="303"/>
      <c r="CP252" s="303"/>
      <c r="CQ252" s="303"/>
      <c r="CR252" s="303"/>
      <c r="CS252" s="303"/>
      <c r="CT252" s="303"/>
      <c r="CU252" s="303"/>
    </row>
    <row r="253" spans="1:99">
      <c r="A253" s="303"/>
      <c r="B253" s="303"/>
      <c r="C253" s="164" t="s">
        <v>241</v>
      </c>
      <c r="D253" s="303"/>
      <c r="E253" s="305"/>
      <c r="F253" s="306"/>
      <c r="G253" s="306"/>
      <c r="H253" s="307"/>
      <c r="I253" s="66"/>
      <c r="J253" s="368"/>
      <c r="K253" s="232"/>
      <c r="L253" s="232"/>
      <c r="M253" s="233"/>
      <c r="N253" s="66"/>
      <c r="O253" s="368"/>
      <c r="P253" s="232"/>
      <c r="Q253" s="232"/>
      <c r="R253" s="233"/>
      <c r="S253" s="66"/>
      <c r="T253" s="368"/>
      <c r="U253" s="232"/>
      <c r="V253" s="232"/>
      <c r="W253" s="233"/>
      <c r="X253" s="66"/>
      <c r="Y253" s="368"/>
      <c r="Z253" s="232"/>
      <c r="AA253" s="232"/>
      <c r="AB253" s="233"/>
      <c r="AC253" s="66"/>
      <c r="AD253" s="368"/>
      <c r="AE253" s="232"/>
      <c r="AF253" s="232"/>
      <c r="AG253" s="233"/>
      <c r="AH253" s="66"/>
      <c r="AI253" s="1567"/>
      <c r="AJ253" s="1568"/>
      <c r="AK253" s="1568"/>
      <c r="AL253" s="1569"/>
      <c r="AM253" s="1570"/>
      <c r="AN253" s="1567"/>
      <c r="AO253" s="1568"/>
      <c r="AP253" s="1568"/>
      <c r="AQ253" s="1569"/>
      <c r="AR253" s="1570"/>
      <c r="AS253" s="1567"/>
      <c r="AT253" s="1568"/>
      <c r="AU253" s="1568"/>
      <c r="AV253" s="1569"/>
      <c r="AW253" s="1570"/>
      <c r="AX253" s="1567"/>
      <c r="AY253" s="1568"/>
      <c r="AZ253" s="1568"/>
      <c r="BA253" s="1569"/>
      <c r="BB253" s="1570"/>
      <c r="BC253" s="1567"/>
      <c r="BD253" s="1568"/>
      <c r="BE253" s="1568"/>
      <c r="BF253" s="1569"/>
      <c r="BG253" s="1570"/>
      <c r="BH253" s="1567"/>
      <c r="BI253" s="1568"/>
      <c r="BJ253" s="1568"/>
      <c r="BK253" s="1569"/>
      <c r="BL253" s="1570"/>
      <c r="BM253" s="1567"/>
      <c r="BN253" s="1568"/>
      <c r="BO253" s="1568"/>
      <c r="BP253" s="1569"/>
      <c r="BQ253" s="1570"/>
      <c r="BR253" s="303"/>
      <c r="BS253" s="490"/>
      <c r="BT253" s="303"/>
      <c r="BU253" s="303"/>
      <c r="BV253" s="303"/>
      <c r="BW253" s="303"/>
      <c r="BX253" s="303"/>
      <c r="BY253" s="303"/>
      <c r="BZ253" s="303"/>
      <c r="CA253" s="303"/>
      <c r="CB253" s="303"/>
      <c r="CC253" s="303"/>
      <c r="CD253" s="303"/>
      <c r="CE253" s="303"/>
      <c r="CF253" s="303"/>
      <c r="CG253" s="303"/>
      <c r="CH253" s="303"/>
      <c r="CI253" s="303"/>
      <c r="CJ253" s="303"/>
      <c r="CK253" s="303"/>
      <c r="CL253" s="303"/>
      <c r="CM253" s="303"/>
      <c r="CN253" s="303"/>
      <c r="CO253" s="303"/>
      <c r="CP253" s="303"/>
      <c r="CQ253" s="303"/>
      <c r="CR253" s="303"/>
      <c r="CS253" s="303"/>
      <c r="CT253" s="303"/>
      <c r="CU253" s="303"/>
    </row>
    <row r="254" spans="1:99">
      <c r="A254" s="303"/>
      <c r="B254" s="303"/>
      <c r="C254" s="303" t="s">
        <v>242</v>
      </c>
      <c r="D254" s="303"/>
      <c r="E254" s="305"/>
      <c r="F254" s="306"/>
      <c r="G254" s="306"/>
      <c r="H254" s="307"/>
      <c r="I254" s="66"/>
      <c r="J254" s="229"/>
      <c r="K254" s="230"/>
      <c r="L254" s="232"/>
      <c r="M254" s="231"/>
      <c r="N254" s="114"/>
      <c r="O254" s="229"/>
      <c r="P254" s="232"/>
      <c r="Q254" s="230"/>
      <c r="R254" s="233"/>
      <c r="S254" s="114"/>
      <c r="T254" s="368"/>
      <c r="U254" s="230"/>
      <c r="V254" s="230"/>
      <c r="W254" s="231"/>
      <c r="X254" s="1257">
        <f>AVERAGE(10.9%,10%,,10.23%,10.5%,10.2%,10.2%,9.98%,10.15%,10%,10.25%,9.65%,11.1%)</f>
        <v>9.4738461538461535E-2</v>
      </c>
      <c r="Y254" s="229">
        <f>X254</f>
        <v>9.4738461538461535E-2</v>
      </c>
      <c r="Z254" s="230">
        <f t="shared" ref="Z254:BL254" si="280">Y254</f>
        <v>9.4738461538461535E-2</v>
      </c>
      <c r="AA254" s="230">
        <f t="shared" si="280"/>
        <v>9.4738461538461535E-2</v>
      </c>
      <c r="AB254" s="231">
        <f t="shared" si="280"/>
        <v>9.4738461538461535E-2</v>
      </c>
      <c r="AC254" s="1257">
        <f>AVERAGE(10.9%,10%,,10.98%,10.5%,10.2%,10.2%,10.73%,10.15%,10%,10.25%,9.65%,11.1%)</f>
        <v>9.5892307692307707E-2</v>
      </c>
      <c r="AD254" s="229">
        <f t="shared" si="280"/>
        <v>9.5892307692307707E-2</v>
      </c>
      <c r="AE254" s="230">
        <f t="shared" si="280"/>
        <v>9.5892307692307707E-2</v>
      </c>
      <c r="AF254" s="230">
        <f t="shared" si="280"/>
        <v>9.5892307692307707E-2</v>
      </c>
      <c r="AG254" s="231">
        <f t="shared" si="280"/>
        <v>9.5892307692307707E-2</v>
      </c>
      <c r="AH254" s="114">
        <f t="shared" si="280"/>
        <v>9.5892307692307707E-2</v>
      </c>
      <c r="AI254" s="1558">
        <f t="shared" si="280"/>
        <v>9.5892307692307707E-2</v>
      </c>
      <c r="AJ254" s="1559">
        <v>0.10150000000000001</v>
      </c>
      <c r="AK254" s="1560">
        <f t="shared" si="280"/>
        <v>0.10150000000000001</v>
      </c>
      <c r="AL254" s="1561">
        <f t="shared" si="280"/>
        <v>0.10150000000000001</v>
      </c>
      <c r="AM254" s="1562">
        <f t="shared" si="280"/>
        <v>0.10150000000000001</v>
      </c>
      <c r="AN254" s="1558">
        <f t="shared" si="280"/>
        <v>0.10150000000000001</v>
      </c>
      <c r="AO254" s="1560">
        <f t="shared" si="280"/>
        <v>0.10150000000000001</v>
      </c>
      <c r="AP254" s="1560">
        <f t="shared" si="280"/>
        <v>0.10150000000000001</v>
      </c>
      <c r="AQ254" s="1561">
        <f t="shared" si="280"/>
        <v>0.10150000000000001</v>
      </c>
      <c r="AR254" s="1562">
        <f t="shared" si="280"/>
        <v>0.10150000000000001</v>
      </c>
      <c r="AS254" s="1558">
        <f t="shared" ref="AS254" si="281">AR254</f>
        <v>0.10150000000000001</v>
      </c>
      <c r="AT254" s="1560">
        <f t="shared" ref="AT254" si="282">AS254</f>
        <v>0.10150000000000001</v>
      </c>
      <c r="AU254" s="1560">
        <f t="shared" ref="AU254" si="283">AT254</f>
        <v>0.10150000000000001</v>
      </c>
      <c r="AV254" s="1561">
        <f t="shared" ref="AV254" si="284">AU254</f>
        <v>0.10150000000000001</v>
      </c>
      <c r="AW254" s="1562">
        <f t="shared" ref="AW254" si="285">AV254</f>
        <v>0.10150000000000001</v>
      </c>
      <c r="AX254" s="1558">
        <f t="shared" si="280"/>
        <v>0.10150000000000001</v>
      </c>
      <c r="AY254" s="1560">
        <f t="shared" si="280"/>
        <v>0.10150000000000001</v>
      </c>
      <c r="AZ254" s="1560">
        <f t="shared" si="280"/>
        <v>0.10150000000000001</v>
      </c>
      <c r="BA254" s="1561">
        <f t="shared" si="280"/>
        <v>0.10150000000000001</v>
      </c>
      <c r="BB254" s="1562">
        <f t="shared" si="280"/>
        <v>0.10150000000000001</v>
      </c>
      <c r="BC254" s="1558">
        <f t="shared" si="280"/>
        <v>0.10150000000000001</v>
      </c>
      <c r="BD254" s="1560">
        <f t="shared" si="280"/>
        <v>0.10150000000000001</v>
      </c>
      <c r="BE254" s="1560">
        <f t="shared" si="280"/>
        <v>0.10150000000000001</v>
      </c>
      <c r="BF254" s="1561">
        <f t="shared" si="280"/>
        <v>0.10150000000000001</v>
      </c>
      <c r="BG254" s="1562">
        <f t="shared" si="280"/>
        <v>0.10150000000000001</v>
      </c>
      <c r="BH254" s="1558">
        <f t="shared" si="280"/>
        <v>0.10150000000000001</v>
      </c>
      <c r="BI254" s="1560">
        <f t="shared" si="280"/>
        <v>0.10150000000000001</v>
      </c>
      <c r="BJ254" s="1560">
        <f t="shared" si="280"/>
        <v>0.10150000000000001</v>
      </c>
      <c r="BK254" s="1561">
        <f t="shared" si="280"/>
        <v>0.10150000000000001</v>
      </c>
      <c r="BL254" s="1562">
        <f t="shared" si="280"/>
        <v>0.10150000000000001</v>
      </c>
      <c r="BM254" s="1558">
        <f>BL254</f>
        <v>0.10150000000000001</v>
      </c>
      <c r="BN254" s="1560">
        <f>BM254</f>
        <v>0.10150000000000001</v>
      </c>
      <c r="BO254" s="1560">
        <f>BN254</f>
        <v>0.10150000000000001</v>
      </c>
      <c r="BP254" s="1561">
        <f>BO254</f>
        <v>0.10150000000000001</v>
      </c>
      <c r="BQ254" s="1562">
        <f>BP254</f>
        <v>0.10150000000000001</v>
      </c>
      <c r="BR254" s="303"/>
      <c r="BS254" s="490"/>
      <c r="BT254" s="303"/>
      <c r="BU254" s="303"/>
      <c r="BV254" s="303"/>
      <c r="BW254" s="303"/>
      <c r="BX254" s="303"/>
      <c r="BY254" s="303"/>
      <c r="BZ254" s="303"/>
      <c r="CA254" s="303"/>
      <c r="CB254" s="303"/>
      <c r="CC254" s="303"/>
      <c r="CD254" s="303"/>
      <c r="CE254" s="303"/>
      <c r="CF254" s="303"/>
      <c r="CG254" s="303"/>
      <c r="CH254" s="303"/>
      <c r="CI254" s="303"/>
      <c r="CJ254" s="303"/>
      <c r="CK254" s="303"/>
      <c r="CL254" s="303"/>
      <c r="CM254" s="303"/>
      <c r="CN254" s="303"/>
      <c r="CO254" s="303"/>
      <c r="CP254" s="303"/>
      <c r="CQ254" s="303"/>
      <c r="CR254" s="303"/>
      <c r="CS254" s="303"/>
      <c r="CT254" s="303"/>
      <c r="CU254" s="303"/>
    </row>
    <row r="255" spans="1:99">
      <c r="A255" s="303"/>
      <c r="B255" s="303"/>
      <c r="C255" s="303" t="s">
        <v>243</v>
      </c>
      <c r="D255" s="303"/>
      <c r="E255" s="305"/>
      <c r="F255" s="306"/>
      <c r="G255" s="306"/>
      <c r="H255" s="307"/>
      <c r="I255" s="369"/>
      <c r="J255" s="355"/>
      <c r="K255" s="353"/>
      <c r="L255" s="353"/>
      <c r="M255" s="354"/>
      <c r="N255" s="369"/>
      <c r="O255" s="355"/>
      <c r="P255" s="353"/>
      <c r="Q255" s="353"/>
      <c r="R255" s="354"/>
      <c r="S255" s="369"/>
      <c r="T255" s="355"/>
      <c r="U255" s="353"/>
      <c r="V255" s="353"/>
      <c r="W255" s="354"/>
      <c r="X255" s="369">
        <f t="shared" ref="X255:AG255" si="286">X224/(X251*(AVERAGE(X243,X238)))</f>
        <v>8.687437186091225E-2</v>
      </c>
      <c r="Y255" s="355">
        <f t="shared" si="286"/>
        <v>0</v>
      </c>
      <c r="Z255" s="353">
        <f t="shared" si="286"/>
        <v>0</v>
      </c>
      <c r="AA255" s="353">
        <f t="shared" si="286"/>
        <v>0</v>
      </c>
      <c r="AB255" s="354">
        <f t="shared" si="286"/>
        <v>8.0944840373552679E-2</v>
      </c>
      <c r="AC255" s="369">
        <f>AC224/(AC251*(AVERAGE(AC243,AC238)))</f>
        <v>7.9098270461857315E-2</v>
      </c>
      <c r="AD255" s="355">
        <f t="shared" si="286"/>
        <v>9.0010154473190052E-2</v>
      </c>
      <c r="AE255" s="353">
        <f t="shared" si="286"/>
        <v>8.8852392297532889E-2</v>
      </c>
      <c r="AF255" s="353">
        <f t="shared" si="286"/>
        <v>8.2164988242932946E-2</v>
      </c>
      <c r="AG255" s="354">
        <f t="shared" si="286"/>
        <v>7.5723476941809864E-2</v>
      </c>
      <c r="AH255" s="369">
        <f>AH224/(AH251*(AVERAGE(AH243,AH238)))</f>
        <v>7.6441489779987409E-2</v>
      </c>
      <c r="AI255" s="1563">
        <f>AI224/(AI251*(AVERAGE(AI243,AI238)))</f>
        <v>7.8161931449109601E-2</v>
      </c>
      <c r="AJ255" s="1564">
        <f>AJ224/(AJ251*(AVERAGE(AJ243,AJ238)))</f>
        <v>8.2055739134416619E-2</v>
      </c>
      <c r="AK255" s="1564">
        <f t="shared" ref="AK255:BL255" si="287">AK224/(AK251*(AVERAGE(AK243,AK238)))</f>
        <v>8.5351095632865442E-2</v>
      </c>
      <c r="AL255" s="1565">
        <f t="shared" si="287"/>
        <v>9.1237415120604862E-2</v>
      </c>
      <c r="AM255" s="1566">
        <f t="shared" si="287"/>
        <v>9.1440999049230878E-2</v>
      </c>
      <c r="AN255" s="1563">
        <f t="shared" si="287"/>
        <v>8.5273643947032851E-2</v>
      </c>
      <c r="AO255" s="1564">
        <f t="shared" si="287"/>
        <v>8.5505153560987923E-2</v>
      </c>
      <c r="AP255" s="1564">
        <f t="shared" si="287"/>
        <v>9.1649225458894992E-2</v>
      </c>
      <c r="AQ255" s="1565">
        <f t="shared" si="287"/>
        <v>9.5697371953351082E-2</v>
      </c>
      <c r="AR255" s="1566">
        <f>AR224/(AR251*(AVERAGE(AR243,AR238)))</f>
        <v>9.6426508994759477E-2</v>
      </c>
      <c r="AS255" s="1563">
        <f t="shared" ref="AS255:AV255" si="288">AS224/(AS251*(AVERAGE(AS243,AS238)))</f>
        <v>8.9866962111946433E-2</v>
      </c>
      <c r="AT255" s="1564">
        <f t="shared" si="288"/>
        <v>7.8933319796004722E-2</v>
      </c>
      <c r="AU255" s="1564">
        <f t="shared" si="288"/>
        <v>7.2876894980750576E-2</v>
      </c>
      <c r="AV255" s="1565">
        <f t="shared" si="288"/>
        <v>7.5888482032876542E-2</v>
      </c>
      <c r="AW255" s="1566">
        <f>AW224/(AW251*(AVERAGE(AW243,AW238)))</f>
        <v>7.6884550565440385E-2</v>
      </c>
      <c r="AX255" s="1563">
        <f t="shared" si="287"/>
        <v>7.8368027727284559E-2</v>
      </c>
      <c r="AY255" s="1564">
        <f t="shared" si="287"/>
        <v>7.9301924623930695E-2</v>
      </c>
      <c r="AZ255" s="1564">
        <f t="shared" si="287"/>
        <v>8.1028419522540127E-2</v>
      </c>
      <c r="BA255" s="1565">
        <f t="shared" si="287"/>
        <v>7.9928098657325072E-2</v>
      </c>
      <c r="BB255" s="1566">
        <f t="shared" si="287"/>
        <v>8.1087612041091439E-2</v>
      </c>
      <c r="BC255" s="1563">
        <f t="shared" si="287"/>
        <v>8.433938814082316E-2</v>
      </c>
      <c r="BD255" s="1564">
        <f t="shared" si="287"/>
        <v>8.7107102778481327E-2</v>
      </c>
      <c r="BE255" s="1564">
        <f t="shared" si="287"/>
        <v>8.9313059407750001E-2</v>
      </c>
      <c r="BF255" s="1565">
        <f t="shared" si="287"/>
        <v>8.8360802298743268E-2</v>
      </c>
      <c r="BG255" s="1566">
        <f t="shared" si="287"/>
        <v>8.9967570690761223E-2</v>
      </c>
      <c r="BH255" s="1563">
        <f t="shared" si="287"/>
        <v>9.0572339203226368E-2</v>
      </c>
      <c r="BI255" s="1564">
        <f t="shared" si="287"/>
        <v>8.9385187119181364E-2</v>
      </c>
      <c r="BJ255" s="1564">
        <f t="shared" si="287"/>
        <v>9.0128028861804307E-2</v>
      </c>
      <c r="BK255" s="1565">
        <f t="shared" si="287"/>
        <v>9.0609894588270026E-2</v>
      </c>
      <c r="BL255" s="1566">
        <f t="shared" si="287"/>
        <v>9.2259144427584053E-2</v>
      </c>
      <c r="BM255" s="1563">
        <f>BM224/(BM251*(AVERAGE(BM243,BM238)))</f>
        <v>9.3837624248267124E-2</v>
      </c>
      <c r="BN255" s="1564">
        <f>BN224/(BN251*(AVERAGE(BN243,BN238)))</f>
        <v>9.2886241771155245E-2</v>
      </c>
      <c r="BO255" s="1564">
        <f>BO224/(BO251*(AVERAGE(BO243,BO238)))</f>
        <v>9.373940513350984E-2</v>
      </c>
      <c r="BP255" s="1565">
        <f>BP224/(BP251*(AVERAGE(BP243,BP238)))</f>
        <v>9.3908427038818409E-2</v>
      </c>
      <c r="BQ255" s="1566">
        <f>BQ224/(BQ251*(AVERAGE(BQ243,BQ238)))</f>
        <v>9.7488249729958287E-2</v>
      </c>
      <c r="BR255" s="303"/>
      <c r="BS255" s="490"/>
      <c r="BT255" s="303"/>
      <c r="BU255" s="303"/>
      <c r="BV255" s="303"/>
      <c r="BW255" s="303"/>
      <c r="BX255" s="303"/>
      <c r="BY255" s="303"/>
      <c r="BZ255" s="303"/>
      <c r="CA255" s="303"/>
      <c r="CB255" s="303"/>
      <c r="CC255" s="303"/>
      <c r="CD255" s="303"/>
      <c r="CE255" s="303"/>
      <c r="CF255" s="303"/>
      <c r="CG255" s="303"/>
      <c r="CH255" s="303"/>
      <c r="CI255" s="303"/>
      <c r="CJ255" s="303"/>
      <c r="CK255" s="303"/>
      <c r="CL255" s="303"/>
      <c r="CM255" s="303"/>
      <c r="CN255" s="303"/>
      <c r="CO255" s="303"/>
      <c r="CP255" s="303"/>
      <c r="CQ255" s="303"/>
      <c r="CR255" s="303"/>
      <c r="CS255" s="303"/>
      <c r="CT255" s="303"/>
      <c r="CU255" s="303"/>
    </row>
    <row r="256" spans="1:99">
      <c r="A256" s="303"/>
      <c r="B256" s="303"/>
      <c r="C256" s="303" t="s">
        <v>254</v>
      </c>
      <c r="D256" s="303"/>
      <c r="E256" s="305"/>
      <c r="F256" s="306"/>
      <c r="G256" s="306"/>
      <c r="H256" s="307"/>
      <c r="I256" s="369"/>
      <c r="J256" s="355"/>
      <c r="K256" s="353"/>
      <c r="L256" s="353"/>
      <c r="M256" s="354"/>
      <c r="N256" s="369"/>
      <c r="O256" s="355"/>
      <c r="P256" s="353"/>
      <c r="Q256" s="353"/>
      <c r="R256" s="354"/>
      <c r="S256" s="369"/>
      <c r="T256" s="355"/>
      <c r="U256" s="353"/>
      <c r="V256" s="353"/>
      <c r="W256" s="354"/>
      <c r="X256" s="369">
        <f>(X224-X19)/(X251*(AVERAGE(X243,X238)))</f>
        <v>7.9427997129976918E-2</v>
      </c>
      <c r="Y256" s="355"/>
      <c r="Z256" s="353"/>
      <c r="AA256" s="353"/>
      <c r="AB256" s="354"/>
      <c r="AC256" s="369">
        <f>(AC224-AC19)/(AC251*(AVERAGE(AC243,AC238)))</f>
        <v>7.5411932956977151E-2</v>
      </c>
      <c r="AD256" s="355"/>
      <c r="AE256" s="353"/>
      <c r="AF256" s="353"/>
      <c r="AG256" s="354"/>
      <c r="AH256" s="369">
        <f>(AH224-AH19)/(AH251*(AVERAGE(AH243,AH238)))</f>
        <v>7.1366984102502376E-2</v>
      </c>
      <c r="AI256" s="1563"/>
      <c r="AJ256" s="1564"/>
      <c r="AK256" s="1564"/>
      <c r="AL256" s="1565"/>
      <c r="AM256" s="1566">
        <f>(AM224-AM19)/(AM251*(AVERAGE(AM243,AM238)))</f>
        <v>8.4994740109006234E-2</v>
      </c>
      <c r="AN256" s="1563"/>
      <c r="AO256" s="1564"/>
      <c r="AP256" s="1564"/>
      <c r="AQ256" s="1565"/>
      <c r="AR256" s="1566">
        <f>(AR224-AR19)/(AR251*(AVERAGE(AR243,AR238)))</f>
        <v>9.1979963784197441E-2</v>
      </c>
      <c r="AS256" s="1563"/>
      <c r="AT256" s="1564"/>
      <c r="AU256" s="1564"/>
      <c r="AV256" s="1565"/>
      <c r="AW256" s="1566">
        <f>(AW224-AW19)/(AW251*(AVERAGE(AW243,AW238)))</f>
        <v>7.4213623250511937E-2</v>
      </c>
      <c r="AX256" s="1563"/>
      <c r="AY256" s="1564"/>
      <c r="AZ256" s="1564"/>
      <c r="BA256" s="1565"/>
      <c r="BB256" s="1566">
        <f>(BB224-BB19)/(BB251*(AVERAGE(BB243,BB238)))</f>
        <v>7.618700461139119E-2</v>
      </c>
      <c r="BC256" s="1563"/>
      <c r="BD256" s="1564"/>
      <c r="BE256" s="1564"/>
      <c r="BF256" s="1565"/>
      <c r="BG256" s="1566">
        <f>(BG224-BG19)/(BG251*(AVERAGE(BG243,BG238)))</f>
        <v>8.2691138856771748E-2</v>
      </c>
      <c r="BH256" s="1563"/>
      <c r="BI256" s="1564"/>
      <c r="BJ256" s="1564"/>
      <c r="BK256" s="1565"/>
      <c r="BL256" s="1566">
        <f>(BL224-BL19)/(BL251*(AVERAGE(BL243,BL238)))</f>
        <v>8.4257165184870336E-2</v>
      </c>
      <c r="BM256" s="1563"/>
      <c r="BN256" s="1564"/>
      <c r="BO256" s="1564"/>
      <c r="BP256" s="1565"/>
      <c r="BQ256" s="1566">
        <f>(BQ224-BQ19)/(BQ251*(AVERAGE(BQ243,BQ238)))</f>
        <v>9.3921634491295605E-2</v>
      </c>
      <c r="BR256" s="303"/>
      <c r="BS256" s="490"/>
      <c r="BT256" s="303"/>
      <c r="BU256" s="303"/>
      <c r="BV256" s="303"/>
      <c r="BW256" s="303"/>
      <c r="BX256" s="303"/>
      <c r="BY256" s="303"/>
      <c r="BZ256" s="303"/>
      <c r="CA256" s="303"/>
      <c r="CB256" s="303"/>
      <c r="CC256" s="303"/>
      <c r="CD256" s="303"/>
      <c r="CE256" s="303"/>
      <c r="CF256" s="303"/>
      <c r="CG256" s="303"/>
      <c r="CH256" s="303"/>
      <c r="CI256" s="303"/>
      <c r="CJ256" s="303"/>
      <c r="CK256" s="303"/>
      <c r="CL256" s="303"/>
      <c r="CM256" s="303"/>
      <c r="CN256" s="303"/>
      <c r="CO256" s="303"/>
      <c r="CP256" s="303"/>
      <c r="CQ256" s="303"/>
      <c r="CR256" s="303"/>
      <c r="CS256" s="303"/>
      <c r="CT256" s="303"/>
      <c r="CU256" s="303"/>
    </row>
    <row r="257" spans="1:99">
      <c r="A257" s="303"/>
      <c r="B257" s="303"/>
      <c r="C257" s="303"/>
      <c r="D257" s="303"/>
      <c r="E257" s="509"/>
      <c r="F257" s="510"/>
      <c r="G257" s="510"/>
      <c r="H257" s="511"/>
      <c r="I257" s="154"/>
      <c r="J257" s="512"/>
      <c r="K257" s="513"/>
      <c r="L257" s="513"/>
      <c r="M257" s="514"/>
      <c r="N257" s="154"/>
      <c r="O257" s="512"/>
      <c r="P257" s="513"/>
      <c r="Q257" s="513"/>
      <c r="R257" s="514"/>
      <c r="S257" s="154"/>
      <c r="T257" s="512"/>
      <c r="U257" s="513"/>
      <c r="V257" s="513"/>
      <c r="W257" s="514"/>
      <c r="X257" s="154"/>
      <c r="Y257" s="512"/>
      <c r="Z257" s="513"/>
      <c r="AA257" s="513"/>
      <c r="AB257" s="514"/>
      <c r="AC257" s="369"/>
      <c r="AD257" s="512"/>
      <c r="AE257" s="513"/>
      <c r="AF257" s="513"/>
      <c r="AG257" s="514"/>
      <c r="AH257" s="369"/>
      <c r="AI257" s="512"/>
      <c r="AJ257" s="513"/>
      <c r="AK257" s="513"/>
      <c r="AL257" s="514"/>
      <c r="AM257" s="369"/>
      <c r="AN257" s="512"/>
      <c r="AO257" s="513"/>
      <c r="AP257" s="513"/>
      <c r="AQ257" s="514"/>
      <c r="AR257" s="369"/>
      <c r="AS257" s="512"/>
      <c r="AT257" s="513"/>
      <c r="AU257" s="513"/>
      <c r="AV257" s="514"/>
      <c r="AW257" s="369"/>
      <c r="AX257" s="512"/>
      <c r="AY257" s="513"/>
      <c r="AZ257" s="513"/>
      <c r="BA257" s="514"/>
      <c r="BB257" s="369"/>
      <c r="BC257" s="512"/>
      <c r="BD257" s="513"/>
      <c r="BE257" s="513"/>
      <c r="BF257" s="514"/>
      <c r="BG257" s="369"/>
      <c r="BH257" s="512"/>
      <c r="BI257" s="513"/>
      <c r="BJ257" s="513"/>
      <c r="BK257" s="514"/>
      <c r="BL257" s="369"/>
      <c r="BM257" s="512"/>
      <c r="BN257" s="513"/>
      <c r="BO257" s="513"/>
      <c r="BP257" s="514"/>
      <c r="BQ257" s="369"/>
      <c r="BR257" s="303"/>
      <c r="BS257" s="303"/>
      <c r="BT257" s="303"/>
      <c r="BU257" s="303"/>
      <c r="BV257" s="303"/>
      <c r="BW257" s="303"/>
      <c r="BX257" s="303"/>
      <c r="BY257" s="303"/>
      <c r="BZ257" s="303"/>
      <c r="CA257" s="303"/>
      <c r="CB257" s="303"/>
      <c r="CC257" s="303"/>
      <c r="CD257" s="303"/>
      <c r="CE257" s="303"/>
      <c r="CF257" s="303"/>
      <c r="CG257" s="303"/>
      <c r="CH257" s="303"/>
      <c r="CI257" s="303"/>
      <c r="CJ257" s="303"/>
      <c r="CK257" s="303"/>
      <c r="CL257" s="303"/>
      <c r="CM257" s="303"/>
      <c r="CN257" s="303"/>
      <c r="CO257" s="303"/>
      <c r="CP257" s="303"/>
      <c r="CQ257" s="303"/>
      <c r="CR257" s="303"/>
      <c r="CS257" s="303"/>
      <c r="CT257" s="303"/>
      <c r="CU257" s="303"/>
    </row>
  </sheetData>
  <mergeCells count="1">
    <mergeCell ref="BW142:CB142"/>
  </mergeCells>
  <phoneticPr fontId="40" type="noConversion"/>
  <pageMargins left="0.5" right="0.5" top="0.5" bottom="0.5" header="0" footer="0"/>
  <pageSetup scale="55" fitToHeight="4" orientation="landscape" r:id="rId1"/>
  <headerFooter alignWithMargins="0"/>
  <rowBreaks count="4" manualBreakCount="4">
    <brk id="83" max="44" man="1"/>
    <brk id="125" max="44" man="1"/>
    <brk id="172" max="44" man="1"/>
    <brk id="218" max="44" man="1"/>
  </rowBreaks>
  <ignoredErrors>
    <ignoredError sqref="A1:D52 AC252:AC253 X251:X253 X244 X213:X237 X255:X65537 E253:H65537 AC206:AF211 AC198:AC201 X199:AA201 AX166:BB166 AB206:AB241 AC256:AC65537 X248:AC249 BB111:BB115 X1:AF39 E1:W7 I260:W65537 AC203:AF203 AB199:AB204 AC244 BB159:BB160 AN49:AN50 AC194 AC185 AC181 X206:AA211 AC196 X141:AF146 X203:AA203 AC213:AF241 Y251:AB65537 AD199:AN201 X75:AF75 X78:AF78 X72 X41:AF50 X173:AN173 AI52:AJ52 X111:AB135 Y82:AB106 Y213:AA219 Y231:AA232 Y235:AA241 Y225:AA228 X159:AF160 AD150:AF153 Y150:AB153 AG1:BB4 BB162:BB164 BR257:IV65537 CG159:DH171 AG151:AH152 A248:D65537 A53:B53 D53:D54 BR1:IV7 X52:X54 AG48:AH50 A68:D68 BR68:IV68 X68 AS117:AS118 AW118 AX117:BA126 AC115:AF118 AC114:AD114 AC119:AE120 AC121:AH121 AC123:AG126 AC122:AE122 AH123:AH135 AG129 AC128:AF135 AC127:AD127 AG132:AG135 AI171:AM172 X163:AF172 AG235:AI237 AG115:AH115 AG117:AH118 AG217:AH234 AG257:BB65537 AG238:AH241 AG244:AH244 AG243 AD248:AF65537 AG245 AI49:AI50 AK48:AM50 AC82:AL85 AI101:AK101 AK111:AN111 AI163:AM164 AK235:AN237 AC92:AF92 AC86:AC91 AC95:AF95 AC93:AC94 AC111:AH113 AC96:AC98 Y52:AF52 AC51:AE51 AC99:AF108 A72:D108 BR72:IV84 Y108:AB108 AK72:AM72 X81:X108 AT108:AU108 AI100:AJ100 AM100:AM101 AO101 BB117:BB135 AS100:AU101 AM83:BB85 AS115 AS113 AJ124:AN126 AK150:AK152 AK159:AM160 AX203:BB203 AN217:AN234 AN150:AN152 AG248:AH256 AQ52:AR52 AR51 AX5:BB5 AT45:AU48 AR72 AU75 AT124:AV126 AP49:BA49 AM82:AN82 AP82:BB82 AQ111:BA111 AP200:BB201 AP171:AP173 AP124:AP126 AP217:BB219 AP235:AR237 AP220:AR234 AP151:AP152 AD243:AF245 A159:D245 BR159:BR245 DI159:IV245 CG199:DH245 Y243:AB245 AX169:BB170 AS172:BB173 AP199:AQ199 AS199:BB199 AP132:AV135 AX114:BA114 AU121 AU129 AS150:AV152 AU139:AV139 AX220:BB234 BB52 AU72 AX86:BB99 AX102:BB105 BR48:IV54 BR8:BS47 BV8:IV47 BB107 AX74:BB74 AU78 AX76:BB77 AX79:BB81 AX196:BB198 AX202:BB202 AX208:BB208 AX204:BB207 AX212:BB216 AU118:AV118 AU115 AU112:AU113 AX128:BA135 AX127 AZ127:BA127 AX150:BA153 AX159:BA164 AY154:BA154 AY144:BA145 AV147 AG6:AQ7 AS6:BB7 AX210:BB211 AX209:BB209 AU146:BA146 A111:D147 BR111:IV135 BR248:BR256 BT248:IV256 BT159:CF245 BR136:BR147 BT136:IV141 BB137:BB146 AX137:BA139 AX141:BA143 BT142:BV142 BT143:BW143 BT144:BV147 CC142:IV147 AX155:BA155 BR150:BR155 A150:D155 AK155:AM155 BT150:IV155 AC150:AC155 AD155:AF155 X150:X155 Y155:AB155 BB150:BB155 AW150:AW152 AP50:AW50 BR88:IV108 BS86:IV86 BS87:IV87 BS85:IV85 AW45:BB48 AX75:BB75 AX72:BB72 AX78:BB78 AX108:BB108 AX100:BB101 AW139 AX171:BB171 AX235:BB237 AU117 AX115:BA115 AX112:BA113 AW124:AW126 AW132:AW135" formula="1" formulaRange="1"/>
    <ignoredError sqref="N8:N19 X238:X242 AB205 AC174:AC180 X136:X140 BB68 X79:X80 X73:X74 AC245 AC204:AF205 X245 AT38:AU44 Y250:AB250 AX174:BA181 BB174:BB181 AC212:AF212 AC202:AF202 AW41:AW44 Y137:Z140 AC186:AC193 AC182:AC184 X204:AA205 AC197 X147:AF147 AC195 AD136:AF140 X212:AA212 X202:AA202 Y79:AF81 X174:AB198 X76:AF77 Y72:AF74 AD40:AF40 Z40:AB40 BB21:BB32 X161:AF162 X51:AB51 AD174:AF189 I248:W259 AT21:AU25 AX21:BA24 AX37:BA37 AS11:AU11 AA138:AC139 BB191:BB195 E248:H252 O8:W54 Y53:AF54 N21:N54 E8:M54 AD191:AF198 E68:W68 Y68:AF68 AX167:BB168 E72:H108 I72:W108 E159:H245 I159:W245 AT10:AU10 AS16:AU18 AT15:AU15 AY165:BB165 AT28:AU31 AT33:AU34 AX11:BB11 I111:W147 E111:H147 AX183:BA195 BB183:BB189 I150:W155 E150:H155 AX26:BA26 BB19 AX28:BA35 AX10:BB10 AX9:BB9 AX14:BB14 AX8:BB8 AX12:BB12 AX13:BB13 AX16:BB18 AX15:BB15 BB34:BB37 AX39:BA44 BB39:BB44" formula="1"/>
  </ignoredError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DK238"/>
  <sheetViews>
    <sheetView zoomScale="80" zoomScaleNormal="80" workbookViewId="0">
      <pane xSplit="4" ySplit="5" topLeftCell="X6" activePane="bottomRight" state="frozen"/>
      <selection activeCell="AR15" sqref="AR15"/>
      <selection pane="topRight" activeCell="AR15" sqref="AR15"/>
      <selection pane="bottomLeft" activeCell="AR15" sqref="AR15"/>
      <selection pane="bottomRight" activeCell="X6" sqref="X6"/>
    </sheetView>
  </sheetViews>
  <sheetFormatPr defaultRowHeight="12.75" outlineLevelCol="1"/>
  <cols>
    <col min="1" max="2" width="2.7109375" customWidth="1"/>
    <col min="3" max="3" width="41.42578125" customWidth="1"/>
    <col min="4" max="4" width="3.5703125" customWidth="1"/>
    <col min="5" max="8" width="9" hidden="1" customWidth="1" outlineLevel="1"/>
    <col min="9" max="9" width="9" hidden="1" customWidth="1" outlineLevel="1" collapsed="1"/>
    <col min="10" max="13" width="9" hidden="1" customWidth="1" outlineLevel="1"/>
    <col min="14" max="14" width="9" hidden="1" customWidth="1" outlineLevel="1" collapsed="1"/>
    <col min="15" max="18" width="9" hidden="1" customWidth="1" outlineLevel="1"/>
    <col min="19" max="19" width="9" hidden="1" customWidth="1" outlineLevel="1" collapsed="1"/>
    <col min="20" max="23" width="9" hidden="1" customWidth="1" outlineLevel="1"/>
    <col min="24" max="24" width="9" customWidth="1" collapsed="1"/>
    <col min="25" max="28" width="9" hidden="1" customWidth="1" outlineLevel="1"/>
    <col min="29" max="29" width="9" customWidth="1" collapsed="1"/>
    <col min="30" max="33" width="9" hidden="1" customWidth="1" outlineLevel="1"/>
    <col min="34" max="34" width="9" customWidth="1" collapsed="1"/>
    <col min="35" max="38" width="9" hidden="1" customWidth="1" outlineLevel="1"/>
    <col min="39" max="39" width="9" customWidth="1" collapsed="1"/>
    <col min="40" max="43" width="9" hidden="1" customWidth="1" outlineLevel="1"/>
    <col min="44" max="44" width="9" customWidth="1" collapsed="1"/>
    <col min="45" max="48" width="9" hidden="1" customWidth="1" outlineLevel="1"/>
    <col min="49" max="49" width="9" customWidth="1" collapsed="1"/>
    <col min="50" max="53" width="9" hidden="1" customWidth="1" outlineLevel="1"/>
    <col min="54" max="54" width="9" customWidth="1" collapsed="1"/>
    <col min="55" max="58" width="9" hidden="1" customWidth="1" outlineLevel="1"/>
    <col min="59" max="59" width="9" customWidth="1" collapsed="1"/>
    <col min="60" max="63" width="9" hidden="1" customWidth="1" outlineLevel="1"/>
    <col min="64" max="64" width="9" customWidth="1" collapsed="1"/>
    <col min="65" max="68" width="9" hidden="1" customWidth="1" outlineLevel="1"/>
    <col min="69" max="69" width="9" customWidth="1" collapsed="1"/>
    <col min="85" max="87" width="11.42578125" customWidth="1"/>
    <col min="88" max="88" width="9.7109375" customWidth="1"/>
    <col min="89" max="89" width="11.42578125" customWidth="1"/>
    <col min="90" max="91" width="12.42578125" customWidth="1"/>
    <col min="92" max="92" width="11.5703125" customWidth="1"/>
    <col min="93" max="93" width="11.28515625" customWidth="1"/>
    <col min="94" max="94" width="11.5703125" customWidth="1"/>
    <col min="95" max="96" width="11.42578125" customWidth="1"/>
    <col min="97" max="99" width="9.7109375" customWidth="1"/>
    <col min="109" max="111" width="9.7109375" bestFit="1" customWidth="1"/>
    <col min="112" max="112" width="11.28515625" bestFit="1" customWidth="1"/>
    <col min="115" max="115" width="9.5703125" bestFit="1" customWidth="1"/>
  </cols>
  <sheetData>
    <row r="1" spans="1:99" ht="15" customHeight="1">
      <c r="A1" s="32"/>
      <c r="B1" s="32"/>
      <c r="C1" s="32"/>
      <c r="D1" s="33"/>
      <c r="E1" s="34"/>
      <c r="F1" s="34"/>
      <c r="G1" s="34"/>
      <c r="H1" s="34"/>
      <c r="I1" s="34"/>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c r="AW1" s="34"/>
      <c r="AX1" s="34"/>
      <c r="AY1" s="34"/>
      <c r="AZ1" s="34"/>
      <c r="BA1" s="34"/>
      <c r="BB1" s="34"/>
      <c r="BC1" s="34"/>
      <c r="BD1" s="34"/>
      <c r="BE1" s="34"/>
      <c r="BF1" s="34"/>
      <c r="BG1" s="34"/>
      <c r="BH1" s="34"/>
      <c r="BI1" s="34"/>
      <c r="BJ1" s="34"/>
      <c r="BK1" s="34"/>
      <c r="BL1" s="34"/>
      <c r="BM1" s="34"/>
      <c r="BN1" s="34"/>
      <c r="BO1" s="34"/>
      <c r="BP1" s="34"/>
      <c r="BQ1" s="34"/>
      <c r="BR1" s="121"/>
      <c r="BS1" s="121"/>
      <c r="BT1" s="121"/>
      <c r="BU1" s="121"/>
      <c r="BV1" s="121"/>
      <c r="BW1" s="121"/>
      <c r="BX1" s="121"/>
      <c r="BY1" s="121"/>
      <c r="BZ1" s="121"/>
      <c r="CA1" s="121"/>
      <c r="CB1" s="121"/>
      <c r="CC1" s="121"/>
      <c r="CD1" s="121"/>
      <c r="CE1" s="121"/>
      <c r="CF1" s="121"/>
      <c r="CG1" s="121"/>
      <c r="CH1" s="121"/>
      <c r="CI1" s="121"/>
      <c r="CJ1" s="121"/>
      <c r="CK1" s="121"/>
      <c r="CL1" s="121"/>
      <c r="CM1" s="121"/>
      <c r="CN1" s="121"/>
      <c r="CO1" s="121"/>
      <c r="CP1" s="121"/>
      <c r="CQ1" s="121"/>
      <c r="CR1" s="121"/>
      <c r="CS1" s="121"/>
      <c r="CT1" s="121"/>
      <c r="CU1" s="121"/>
    </row>
    <row r="2" spans="1:99" ht="15" customHeight="1">
      <c r="A2" s="32"/>
      <c r="B2" s="32" t="str">
        <f>Cover!$B$2</f>
        <v>American Electric Power Company</v>
      </c>
      <c r="C2" s="32"/>
      <c r="D2" s="33"/>
      <c r="E2" s="34"/>
      <c r="F2" s="34"/>
      <c r="G2" s="34"/>
      <c r="H2" s="34"/>
      <c r="I2" s="34"/>
      <c r="J2" s="34"/>
      <c r="K2" s="34"/>
      <c r="L2" s="34"/>
      <c r="M2" s="34"/>
      <c r="N2" s="34"/>
      <c r="O2" s="34"/>
      <c r="P2" s="34"/>
      <c r="Q2" s="34"/>
      <c r="R2" s="34"/>
      <c r="S2" s="34"/>
      <c r="T2" s="34"/>
      <c r="U2" s="34"/>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c r="AW2" s="34"/>
      <c r="AX2" s="34"/>
      <c r="AY2" s="34"/>
      <c r="AZ2" s="34"/>
      <c r="BA2" s="34"/>
      <c r="BB2" s="34"/>
      <c r="BC2" s="34"/>
      <c r="BD2" s="34"/>
      <c r="BE2" s="34"/>
      <c r="BF2" s="34"/>
      <c r="BG2" s="34"/>
      <c r="BH2" s="34"/>
      <c r="BI2" s="34"/>
      <c r="BJ2" s="34"/>
      <c r="BK2" s="34"/>
      <c r="BL2" s="34"/>
      <c r="BM2" s="34"/>
      <c r="BN2" s="34"/>
      <c r="BO2" s="34"/>
      <c r="BP2" s="34"/>
      <c r="BQ2" s="34"/>
      <c r="BR2" s="121"/>
      <c r="BS2" s="121"/>
      <c r="BT2" s="121"/>
      <c r="BU2" s="121"/>
      <c r="BV2" s="121"/>
      <c r="BW2" s="121"/>
      <c r="BX2" s="121"/>
      <c r="BY2" s="121"/>
      <c r="BZ2" s="121"/>
      <c r="CA2" s="121"/>
      <c r="CB2" s="121"/>
      <c r="CC2" s="121"/>
      <c r="CD2" s="121"/>
      <c r="CE2" s="121"/>
      <c r="CF2" s="121"/>
      <c r="CG2" s="121"/>
      <c r="CH2" s="121"/>
      <c r="CI2" s="121"/>
      <c r="CJ2" s="121"/>
      <c r="CK2" s="121"/>
      <c r="CL2" s="121"/>
      <c r="CM2" s="121"/>
      <c r="CN2" s="121"/>
      <c r="CO2" s="121"/>
      <c r="CP2" s="121"/>
      <c r="CQ2" s="121"/>
      <c r="CR2" s="121"/>
      <c r="CS2" s="121"/>
      <c r="CT2" s="121"/>
      <c r="CU2" s="121"/>
    </row>
    <row r="3" spans="1:99" ht="15" customHeight="1">
      <c r="A3" s="35"/>
      <c r="B3" s="36" t="s">
        <v>123</v>
      </c>
      <c r="C3" s="36"/>
      <c r="D3" s="3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c r="AW3" s="34"/>
      <c r="AX3" s="34"/>
      <c r="AY3" s="34"/>
      <c r="AZ3" s="34"/>
      <c r="BA3" s="34"/>
      <c r="BB3" s="34"/>
      <c r="BC3" s="34"/>
      <c r="BD3" s="34"/>
      <c r="BE3" s="34"/>
      <c r="BF3" s="34"/>
      <c r="BG3" s="34"/>
      <c r="BH3" s="34"/>
      <c r="BI3" s="34"/>
      <c r="BJ3" s="34"/>
      <c r="BK3" s="34"/>
      <c r="BL3" s="34"/>
      <c r="BM3" s="34"/>
      <c r="BN3" s="34"/>
      <c r="BO3" s="34"/>
      <c r="BP3" s="34"/>
      <c r="BQ3" s="34"/>
      <c r="BR3" s="121"/>
      <c r="BS3" s="121"/>
      <c r="BT3" s="121"/>
      <c r="BU3" s="121"/>
      <c r="BV3" s="121"/>
      <c r="BW3" s="121"/>
      <c r="BX3" s="121"/>
      <c r="BY3" s="121"/>
      <c r="BZ3" s="121"/>
      <c r="CA3" s="121"/>
      <c r="CB3" s="121"/>
      <c r="CC3" s="121"/>
      <c r="CD3" s="121"/>
      <c r="CE3" s="121"/>
      <c r="CF3" s="121"/>
      <c r="CG3" s="121"/>
      <c r="CH3" s="121"/>
      <c r="CI3" s="121"/>
      <c r="CJ3" s="121"/>
      <c r="CK3" s="121"/>
      <c r="CL3" s="121"/>
      <c r="CM3" s="121"/>
      <c r="CN3" s="121"/>
      <c r="CO3" s="121"/>
      <c r="CP3" s="121"/>
      <c r="CQ3" s="121"/>
      <c r="CR3" s="121"/>
      <c r="CS3" s="121"/>
      <c r="CT3" s="121"/>
      <c r="CU3" s="121"/>
    </row>
    <row r="4" spans="1:99">
      <c r="A4" s="38"/>
      <c r="B4" s="39" t="s">
        <v>828</v>
      </c>
      <c r="C4" s="39"/>
      <c r="D4" s="280"/>
      <c r="E4" s="41"/>
      <c r="F4" s="41"/>
      <c r="G4" s="41"/>
      <c r="H4" s="41"/>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c r="BA4" s="41"/>
      <c r="BB4" s="41"/>
      <c r="BC4" s="41"/>
      <c r="BD4" s="41"/>
      <c r="BE4" s="41"/>
      <c r="BF4" s="41"/>
      <c r="BG4" s="41"/>
      <c r="BH4" s="41"/>
      <c r="BI4" s="41"/>
      <c r="BJ4" s="41"/>
      <c r="BK4" s="41"/>
      <c r="BL4" s="41"/>
      <c r="BM4" s="41"/>
      <c r="BN4" s="41"/>
      <c r="BO4" s="41"/>
      <c r="BP4" s="41"/>
      <c r="BQ4" s="41"/>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row>
    <row r="5" spans="1:99">
      <c r="B5" s="281" t="s">
        <v>859</v>
      </c>
      <c r="C5" s="281"/>
      <c r="D5" s="282"/>
      <c r="E5" s="131" t="s">
        <v>937</v>
      </c>
      <c r="F5" s="132" t="s">
        <v>938</v>
      </c>
      <c r="G5" s="132" t="s">
        <v>939</v>
      </c>
      <c r="H5" s="133" t="s">
        <v>940</v>
      </c>
      <c r="I5" s="283">
        <v>2009</v>
      </c>
      <c r="J5" s="131" t="s">
        <v>941</v>
      </c>
      <c r="K5" s="132" t="s">
        <v>942</v>
      </c>
      <c r="L5" s="132" t="s">
        <v>943</v>
      </c>
      <c r="M5" s="133" t="s">
        <v>944</v>
      </c>
      <c r="N5" s="283" t="s">
        <v>829</v>
      </c>
      <c r="O5" s="131" t="s">
        <v>945</v>
      </c>
      <c r="P5" s="132" t="s">
        <v>946</v>
      </c>
      <c r="Q5" s="132" t="s">
        <v>353</v>
      </c>
      <c r="R5" s="133" t="s">
        <v>76</v>
      </c>
      <c r="S5" s="283">
        <v>2011</v>
      </c>
      <c r="T5" s="131" t="s">
        <v>91</v>
      </c>
      <c r="U5" s="132" t="s">
        <v>92</v>
      </c>
      <c r="V5" s="132" t="s">
        <v>790</v>
      </c>
      <c r="W5" s="133" t="s">
        <v>644</v>
      </c>
      <c r="X5" s="284" t="s">
        <v>645</v>
      </c>
      <c r="Y5" s="131" t="s">
        <v>646</v>
      </c>
      <c r="Z5" s="132" t="s">
        <v>619</v>
      </c>
      <c r="AA5" s="132" t="s">
        <v>620</v>
      </c>
      <c r="AB5" s="133" t="s">
        <v>246</v>
      </c>
      <c r="AC5" s="284" t="s">
        <v>247</v>
      </c>
      <c r="AD5" s="131" t="s">
        <v>274</v>
      </c>
      <c r="AE5" s="132" t="s">
        <v>275</v>
      </c>
      <c r="AF5" s="132" t="s">
        <v>276</v>
      </c>
      <c r="AG5" s="133" t="s">
        <v>1060</v>
      </c>
      <c r="AH5" s="284" t="s">
        <v>1061</v>
      </c>
      <c r="AI5" s="131" t="s">
        <v>1062</v>
      </c>
      <c r="AJ5" s="132" t="s">
        <v>1063</v>
      </c>
      <c r="AK5" s="132" t="s">
        <v>1122</v>
      </c>
      <c r="AL5" s="133" t="s">
        <v>1123</v>
      </c>
      <c r="AM5" s="284" t="s">
        <v>1124</v>
      </c>
      <c r="AN5" s="131" t="s">
        <v>1131</v>
      </c>
      <c r="AO5" s="132" t="s">
        <v>1137</v>
      </c>
      <c r="AP5" s="132" t="s">
        <v>1274</v>
      </c>
      <c r="AQ5" s="133" t="s">
        <v>1291</v>
      </c>
      <c r="AR5" s="284" t="s">
        <v>1292</v>
      </c>
      <c r="AS5" s="131" t="s">
        <v>1320</v>
      </c>
      <c r="AT5" s="132" t="s">
        <v>1324</v>
      </c>
      <c r="AU5" s="132" t="s">
        <v>1330</v>
      </c>
      <c r="AV5" s="133" t="s">
        <v>1354</v>
      </c>
      <c r="AW5" s="284" t="s">
        <v>1353</v>
      </c>
      <c r="AX5" s="131" t="s">
        <v>69</v>
      </c>
      <c r="AY5" s="132" t="s">
        <v>70</v>
      </c>
      <c r="AZ5" s="132" t="s">
        <v>71</v>
      </c>
      <c r="BA5" s="133" t="s">
        <v>72</v>
      </c>
      <c r="BB5" s="284" t="s">
        <v>73</v>
      </c>
      <c r="BC5" s="126" t="s">
        <v>1067</v>
      </c>
      <c r="BD5" s="127" t="s">
        <v>1068</v>
      </c>
      <c r="BE5" s="127" t="s">
        <v>1069</v>
      </c>
      <c r="BF5" s="128" t="s">
        <v>1070</v>
      </c>
      <c r="BG5" s="130" t="s">
        <v>1065</v>
      </c>
      <c r="BH5" s="126" t="s">
        <v>1071</v>
      </c>
      <c r="BI5" s="127" t="s">
        <v>1072</v>
      </c>
      <c r="BJ5" s="127" t="s">
        <v>1073</v>
      </c>
      <c r="BK5" s="128" t="s">
        <v>1074</v>
      </c>
      <c r="BL5" s="130" t="s">
        <v>1066</v>
      </c>
      <c r="BM5" s="126" t="s">
        <v>1278</v>
      </c>
      <c r="BN5" s="127" t="s">
        <v>1279</v>
      </c>
      <c r="BO5" s="127" t="s">
        <v>1280</v>
      </c>
      <c r="BP5" s="128" t="s">
        <v>1281</v>
      </c>
      <c r="BQ5" s="130" t="s">
        <v>1282</v>
      </c>
      <c r="BR5" s="285"/>
      <c r="BS5" s="285"/>
      <c r="BT5" s="285"/>
      <c r="BU5" s="285"/>
      <c r="BV5" s="285"/>
      <c r="BW5" s="285"/>
      <c r="BX5" s="285"/>
      <c r="BY5" s="285"/>
      <c r="BZ5" s="285"/>
      <c r="CA5" s="285"/>
      <c r="CB5" s="285"/>
      <c r="CC5" s="285"/>
      <c r="CD5" s="285"/>
      <c r="CE5" s="285"/>
      <c r="CF5" s="285"/>
      <c r="CG5" s="285"/>
      <c r="CH5" s="285"/>
      <c r="CI5" s="285"/>
      <c r="CJ5" s="285"/>
      <c r="CK5" s="285"/>
      <c r="CL5" s="285"/>
      <c r="CM5" s="285"/>
      <c r="CN5" s="285"/>
      <c r="CO5" s="285"/>
      <c r="CP5" s="285"/>
      <c r="CQ5" s="285"/>
      <c r="CR5" s="285"/>
      <c r="CS5" s="285"/>
      <c r="CT5" s="285"/>
      <c r="CU5" s="285"/>
    </row>
    <row r="6" spans="1:99">
      <c r="E6" s="148"/>
      <c r="F6" s="163"/>
      <c r="G6" s="163"/>
      <c r="H6" s="147"/>
      <c r="I6" s="72"/>
      <c r="J6" s="148"/>
      <c r="K6" s="163"/>
      <c r="L6" s="163"/>
      <c r="M6" s="147"/>
      <c r="N6" s="72"/>
      <c r="O6" s="148"/>
      <c r="P6" s="163"/>
      <c r="Q6" s="163"/>
      <c r="R6" s="147"/>
      <c r="S6" s="72"/>
      <c r="T6" s="148"/>
      <c r="U6" s="163"/>
      <c r="V6" s="163"/>
      <c r="W6" s="147"/>
      <c r="X6" s="72"/>
      <c r="Y6" s="148"/>
      <c r="Z6" s="163"/>
      <c r="AA6" s="163"/>
      <c r="AB6" s="147"/>
      <c r="AC6" s="72"/>
      <c r="AD6" s="148"/>
      <c r="AE6" s="163"/>
      <c r="AF6" s="163"/>
      <c r="AG6" s="147"/>
      <c r="AH6" s="72"/>
      <c r="AI6" s="148"/>
      <c r="AJ6" s="163"/>
      <c r="AK6" s="163"/>
      <c r="AL6" s="147"/>
      <c r="AM6" s="72"/>
      <c r="AN6" s="148"/>
      <c r="AO6" s="163"/>
      <c r="AP6" s="163"/>
      <c r="AQ6" s="147"/>
      <c r="AR6" s="72"/>
      <c r="AS6" s="148"/>
      <c r="AT6" s="163"/>
      <c r="AU6" s="163"/>
      <c r="AV6" s="147"/>
      <c r="AW6" s="72"/>
      <c r="AX6" s="148"/>
      <c r="AY6" s="163"/>
      <c r="AZ6" s="163"/>
      <c r="BA6" s="147"/>
      <c r="BB6" s="72"/>
      <c r="BC6" s="148"/>
      <c r="BD6" s="163"/>
      <c r="BE6" s="163"/>
      <c r="BF6" s="147"/>
      <c r="BG6" s="72"/>
      <c r="BH6" s="148"/>
      <c r="BI6" s="163"/>
      <c r="BJ6" s="163"/>
      <c r="BK6" s="147"/>
      <c r="BL6" s="72"/>
      <c r="BM6" s="148"/>
      <c r="BN6" s="163"/>
      <c r="BO6" s="163"/>
      <c r="BP6" s="147"/>
      <c r="BQ6" s="72"/>
    </row>
    <row r="7" spans="1:99">
      <c r="B7" s="46" t="s">
        <v>947</v>
      </c>
      <c r="C7" s="46"/>
      <c r="D7" s="47"/>
      <c r="E7" s="148"/>
      <c r="F7" s="163"/>
      <c r="G7" s="163"/>
      <c r="H7" s="147"/>
      <c r="I7" s="72"/>
      <c r="J7" s="148"/>
      <c r="K7" s="163"/>
      <c r="L7" s="163"/>
      <c r="M7" s="147"/>
      <c r="N7" s="72"/>
      <c r="O7" s="148"/>
      <c r="P7" s="163"/>
      <c r="Q7" s="163"/>
      <c r="R7" s="147"/>
      <c r="S7" s="72"/>
      <c r="T7" s="148"/>
      <c r="U7" s="163"/>
      <c r="V7" s="163"/>
      <c r="W7" s="147"/>
      <c r="X7" s="481"/>
      <c r="Y7" s="148"/>
      <c r="Z7" s="163"/>
      <c r="AA7" s="163"/>
      <c r="AB7" s="147"/>
      <c r="AC7" s="481"/>
      <c r="AD7" s="148"/>
      <c r="AE7" s="163"/>
      <c r="AF7" s="163"/>
      <c r="AG7" s="147"/>
      <c r="AH7" s="481"/>
      <c r="AI7" s="148"/>
      <c r="AJ7" s="163"/>
      <c r="AK7" s="163"/>
      <c r="AL7" s="147"/>
      <c r="AM7" s="481"/>
      <c r="AN7" s="148"/>
      <c r="AO7" s="163"/>
      <c r="AP7" s="163"/>
      <c r="AQ7" s="147"/>
      <c r="AR7" s="481"/>
      <c r="AS7" s="148"/>
      <c r="AT7" s="163"/>
      <c r="AU7" s="163"/>
      <c r="AV7" s="147"/>
      <c r="AW7" s="481"/>
      <c r="AX7" s="148"/>
      <c r="AY7" s="163"/>
      <c r="AZ7" s="163"/>
      <c r="BA7" s="147"/>
      <c r="BB7" s="481"/>
      <c r="BC7" s="148"/>
      <c r="BD7" s="163"/>
      <c r="BE7" s="163"/>
      <c r="BF7" s="147"/>
      <c r="BG7" s="481"/>
      <c r="BH7" s="148"/>
      <c r="BI7" s="163"/>
      <c r="BJ7" s="163"/>
      <c r="BK7" s="147"/>
      <c r="BL7" s="481"/>
      <c r="BM7" s="148"/>
      <c r="BN7" s="163"/>
      <c r="BO7" s="163"/>
      <c r="BP7" s="147"/>
      <c r="BQ7" s="481"/>
    </row>
    <row r="8" spans="1:99" s="50" customFormat="1">
      <c r="A8" s="242"/>
      <c r="B8" s="242"/>
      <c r="C8" s="50" t="s">
        <v>948</v>
      </c>
      <c r="D8" s="109"/>
      <c r="E8" s="142"/>
      <c r="F8" s="143"/>
      <c r="G8" s="143"/>
      <c r="H8" s="144"/>
      <c r="I8" s="145"/>
      <c r="J8" s="142"/>
      <c r="K8" s="143"/>
      <c r="L8" s="143"/>
      <c r="M8" s="144"/>
      <c r="N8" s="145"/>
      <c r="O8" s="142"/>
      <c r="P8" s="143"/>
      <c r="Q8" s="143"/>
      <c r="R8" s="144"/>
      <c r="S8" s="145"/>
      <c r="T8" s="142"/>
      <c r="U8" s="143"/>
      <c r="V8" s="143"/>
      <c r="W8" s="144"/>
      <c r="X8" s="145">
        <v>4819</v>
      </c>
      <c r="Y8" s="142">
        <v>1134</v>
      </c>
      <c r="Z8" s="143">
        <v>1064</v>
      </c>
      <c r="AA8" s="143">
        <v>1195</v>
      </c>
      <c r="AB8" s="144">
        <f>AC8-SUM(Y8:AA8)</f>
        <v>1085</v>
      </c>
      <c r="AC8" s="145">
        <v>4478</v>
      </c>
      <c r="AD8" s="142">
        <v>1215</v>
      </c>
      <c r="AE8" s="143">
        <v>1134</v>
      </c>
      <c r="AF8" s="143">
        <v>1231</v>
      </c>
      <c r="AG8" s="144">
        <f>AH8-SUM(AD8:AF8)</f>
        <v>1233.6000000000004</v>
      </c>
      <c r="AH8" s="145">
        <v>4813.6000000000004</v>
      </c>
      <c r="AI8" s="142">
        <v>1270</v>
      </c>
      <c r="AJ8" s="143">
        <v>1061</v>
      </c>
      <c r="AK8" s="143">
        <v>1189</v>
      </c>
      <c r="AL8" s="144">
        <f>AM8-SUM(AI8:AK8)</f>
        <v>1036.6000000000004</v>
      </c>
      <c r="AM8" s="145">
        <v>4556.6000000000004</v>
      </c>
      <c r="AN8" s="142">
        <v>1096.8</v>
      </c>
      <c r="AO8" s="143">
        <v>1096.0999999999999</v>
      </c>
      <c r="AP8" s="143">
        <v>1275.5999999999999</v>
      </c>
      <c r="AQ8" s="144">
        <f>AR8-SUM(AN8:AP8)</f>
        <v>953.90000000000009</v>
      </c>
      <c r="AR8" s="145">
        <v>4422.3999999999996</v>
      </c>
      <c r="AS8" s="142">
        <v>1086.4000000000001</v>
      </c>
      <c r="AT8" s="143">
        <v>1053.5</v>
      </c>
      <c r="AU8" s="143">
        <v>1173.3</v>
      </c>
      <c r="AV8" s="144">
        <f>AW8-SUM(AS8:AU8)</f>
        <v>1106.1000000000004</v>
      </c>
      <c r="AW8" s="145">
        <v>4419.3</v>
      </c>
      <c r="AX8" s="161">
        <f t="shared" ref="AX8:BB8" si="0">AX82</f>
        <v>1098.0767804878049</v>
      </c>
      <c r="AY8" s="160">
        <f t="shared" si="0"/>
        <v>1057.1900097054713</v>
      </c>
      <c r="AZ8" s="160">
        <f t="shared" si="0"/>
        <v>1179.4223694186662</v>
      </c>
      <c r="BA8" s="144">
        <f t="shared" si="0"/>
        <v>1090.5269985096468</v>
      </c>
      <c r="BB8" s="109">
        <f t="shared" si="0"/>
        <v>4425.2161581215896</v>
      </c>
      <c r="BC8" s="161">
        <f t="shared" ref="BC8:BL8" si="1">BC82</f>
        <v>1133.4767804878049</v>
      </c>
      <c r="BD8" s="160">
        <f t="shared" si="1"/>
        <v>1093.6400097054714</v>
      </c>
      <c r="BE8" s="160">
        <f t="shared" si="1"/>
        <v>1222.1723694186662</v>
      </c>
      <c r="BF8" s="144">
        <f t="shared" si="1"/>
        <v>1125.9269985096469</v>
      </c>
      <c r="BG8" s="109">
        <f t="shared" si="1"/>
        <v>4575.2161581215896</v>
      </c>
      <c r="BH8" s="161">
        <f t="shared" si="1"/>
        <v>1172.426780487805</v>
      </c>
      <c r="BI8" s="160">
        <f t="shared" si="1"/>
        <v>1133.7400097054713</v>
      </c>
      <c r="BJ8" s="160">
        <f t="shared" si="1"/>
        <v>1269.1723694186662</v>
      </c>
      <c r="BK8" s="144">
        <f t="shared" si="1"/>
        <v>1164.8769985096469</v>
      </c>
      <c r="BL8" s="109">
        <f t="shared" si="1"/>
        <v>4740.2161581215896</v>
      </c>
      <c r="BM8" s="161">
        <f>BM82</f>
        <v>1204.4767804878049</v>
      </c>
      <c r="BN8" s="160">
        <f>BN82</f>
        <v>1166.6400097054714</v>
      </c>
      <c r="BO8" s="160">
        <f>BO82</f>
        <v>1307.1723694186662</v>
      </c>
      <c r="BP8" s="144">
        <f>BP82</f>
        <v>1196.9269985096469</v>
      </c>
      <c r="BQ8" s="109">
        <f>BQ82</f>
        <v>4875.2161581215896</v>
      </c>
      <c r="BR8" s="242"/>
      <c r="BS8" s="242"/>
      <c r="BT8"/>
      <c r="BU8" s="546"/>
      <c r="BV8" s="242"/>
      <c r="BW8" s="242"/>
      <c r="BX8" s="242"/>
      <c r="BY8" s="242"/>
      <c r="BZ8" s="242"/>
      <c r="CA8" s="242"/>
      <c r="CB8" s="242"/>
      <c r="CC8" s="242"/>
      <c r="CD8" s="242"/>
      <c r="CE8" s="242"/>
      <c r="CF8" s="242"/>
      <c r="CG8" s="242"/>
      <c r="CH8" s="242"/>
      <c r="CI8" s="242"/>
      <c r="CJ8" s="242"/>
      <c r="CK8" s="242"/>
      <c r="CL8" s="242"/>
      <c r="CM8" s="242"/>
      <c r="CN8" s="242"/>
      <c r="CO8" s="242"/>
      <c r="CP8" s="242"/>
      <c r="CQ8" s="242"/>
      <c r="CR8" s="242"/>
      <c r="CS8" s="242"/>
      <c r="CT8" s="242"/>
      <c r="CU8" s="242"/>
    </row>
    <row r="9" spans="1:99" s="50" customFormat="1">
      <c r="A9" s="242"/>
      <c r="B9" s="242"/>
      <c r="C9" s="50" t="s">
        <v>352</v>
      </c>
      <c r="D9" s="109"/>
      <c r="E9" s="142"/>
      <c r="F9" s="143"/>
      <c r="G9" s="143"/>
      <c r="H9" s="157"/>
      <c r="I9" s="145"/>
      <c r="J9" s="142"/>
      <c r="K9" s="143"/>
      <c r="L9" s="143"/>
      <c r="M9" s="157"/>
      <c r="N9" s="145"/>
      <c r="O9" s="142"/>
      <c r="P9" s="143"/>
      <c r="Q9" s="143"/>
      <c r="R9" s="157"/>
      <c r="S9" s="145"/>
      <c r="T9" s="142"/>
      <c r="U9" s="143"/>
      <c r="V9" s="143"/>
      <c r="W9" s="157"/>
      <c r="X9" s="145">
        <v>2072</v>
      </c>
      <c r="Y9" s="142">
        <v>449</v>
      </c>
      <c r="Z9" s="143">
        <v>405</v>
      </c>
      <c r="AA9" s="143">
        <v>406</v>
      </c>
      <c r="AB9" s="157">
        <f>AC9-SUM(Y9:AA9)</f>
        <v>367</v>
      </c>
      <c r="AC9" s="145">
        <v>1627</v>
      </c>
      <c r="AD9" s="142">
        <v>403</v>
      </c>
      <c r="AE9" s="143">
        <v>343</v>
      </c>
      <c r="AF9" s="143">
        <v>377</v>
      </c>
      <c r="AG9" s="157">
        <f>AH9-SUM(AD9:AF9)</f>
        <v>396.5</v>
      </c>
      <c r="AH9" s="145">
        <f>1676.5-157</f>
        <v>1519.5</v>
      </c>
      <c r="AI9" s="142">
        <v>421</v>
      </c>
      <c r="AJ9" s="143">
        <v>270</v>
      </c>
      <c r="AK9" s="143">
        <v>229</v>
      </c>
      <c r="AL9" s="157">
        <f>AM9-SUM(AI9:AK9)</f>
        <v>193.5</v>
      </c>
      <c r="AM9" s="145">
        <f>1144.2-30.7</f>
        <v>1113.5</v>
      </c>
      <c r="AN9" s="142">
        <v>217.6</v>
      </c>
      <c r="AO9" s="143">
        <v>191</v>
      </c>
      <c r="AP9" s="143">
        <v>253.6</v>
      </c>
      <c r="AQ9" s="157">
        <f>AR9-SUM(AN9:AP9)</f>
        <v>92.199999999999932</v>
      </c>
      <c r="AR9" s="145">
        <f>837.1-82.7</f>
        <v>754.4</v>
      </c>
      <c r="AS9" s="142">
        <v>223.4</v>
      </c>
      <c r="AT9" s="143">
        <v>186.9</v>
      </c>
      <c r="AU9" s="143">
        <v>215.7</v>
      </c>
      <c r="AV9" s="157">
        <f>AW9-SUM(AS9:AU9)</f>
        <v>209.29999999999995</v>
      </c>
      <c r="AW9" s="145">
        <v>835.3</v>
      </c>
      <c r="AX9" s="161">
        <f>+AX101</f>
        <v>226.6031045296167</v>
      </c>
      <c r="AY9" s="160">
        <f>+AY101</f>
        <v>188.24653328329626</v>
      </c>
      <c r="AZ9" s="160">
        <f>+AZ101</f>
        <v>217.37706049911043</v>
      </c>
      <c r="BA9" s="144">
        <f>+BA101</f>
        <v>206.20184503034895</v>
      </c>
      <c r="BB9" s="109">
        <f>SUM(AX9:BA9)</f>
        <v>838.42854334237245</v>
      </c>
      <c r="BC9" s="161">
        <f>+BC101</f>
        <v>226.6031045296167</v>
      </c>
      <c r="BD9" s="160">
        <f>+BD101</f>
        <v>188.24653328329626</v>
      </c>
      <c r="BE9" s="160">
        <f>+BE101</f>
        <v>217.37706049911043</v>
      </c>
      <c r="BF9" s="144">
        <f>+BF101</f>
        <v>206.20184503034895</v>
      </c>
      <c r="BG9" s="109">
        <f>SUM(BC9:BF9)</f>
        <v>838.42854334237245</v>
      </c>
      <c r="BH9" s="161">
        <f>+BH101</f>
        <v>226.6031045296167</v>
      </c>
      <c r="BI9" s="160">
        <f>+BI101</f>
        <v>188.24653328329626</v>
      </c>
      <c r="BJ9" s="160">
        <f>+BJ101</f>
        <v>217.37706049911043</v>
      </c>
      <c r="BK9" s="144">
        <f>+BK101</f>
        <v>206.20184503034895</v>
      </c>
      <c r="BL9" s="109">
        <f>SUM(BH9:BK9)</f>
        <v>838.42854334237245</v>
      </c>
      <c r="BM9" s="161">
        <f>+BM101</f>
        <v>226.6031045296167</v>
      </c>
      <c r="BN9" s="160">
        <f>+BN101</f>
        <v>188.24653328329626</v>
      </c>
      <c r="BO9" s="160">
        <f>+BO101</f>
        <v>217.37706049911043</v>
      </c>
      <c r="BP9" s="144">
        <f>+BP101</f>
        <v>206.20184503034895</v>
      </c>
      <c r="BQ9" s="109">
        <f>SUM(BM9:BP9)</f>
        <v>838.42854334237245</v>
      </c>
      <c r="BR9" s="242"/>
      <c r="BS9" s="242"/>
      <c r="BT9"/>
      <c r="BU9" s="546"/>
      <c r="BV9" s="242"/>
      <c r="BW9" s="242"/>
      <c r="BX9" s="242"/>
      <c r="BY9" s="242"/>
      <c r="BZ9" s="242"/>
      <c r="CA9" s="242"/>
      <c r="CB9" s="242"/>
      <c r="CC9" s="242"/>
      <c r="CD9" s="242"/>
      <c r="CE9" s="242"/>
      <c r="CF9" s="242"/>
      <c r="CG9" s="242"/>
      <c r="CH9" s="242"/>
      <c r="CI9" s="242"/>
      <c r="CJ9" s="242"/>
      <c r="CK9" s="242"/>
      <c r="CL9" s="242"/>
      <c r="CM9" s="242"/>
      <c r="CN9" s="242"/>
      <c r="CO9" s="242"/>
      <c r="CP9" s="242"/>
      <c r="CQ9" s="242"/>
      <c r="CR9" s="242"/>
      <c r="CS9" s="242"/>
      <c r="CT9" s="242"/>
      <c r="CU9" s="242"/>
    </row>
    <row r="10" spans="1:99">
      <c r="A10" s="111"/>
      <c r="B10" s="111"/>
      <c r="C10" s="56" t="s">
        <v>950</v>
      </c>
      <c r="D10" s="112"/>
      <c r="E10" s="149"/>
      <c r="F10" s="150"/>
      <c r="G10" s="150"/>
      <c r="H10" s="151"/>
      <c r="I10" s="112"/>
      <c r="J10" s="149"/>
      <c r="K10" s="150"/>
      <c r="L10" s="150"/>
      <c r="M10" s="151"/>
      <c r="N10" s="112"/>
      <c r="O10" s="149"/>
      <c r="P10" s="150"/>
      <c r="Q10" s="150"/>
      <c r="R10" s="151"/>
      <c r="S10" s="112"/>
      <c r="T10" s="149"/>
      <c r="U10" s="150"/>
      <c r="V10" s="150"/>
      <c r="W10" s="151"/>
      <c r="X10" s="112">
        <f t="shared" ref="X10:AF10" si="2">+X8-X9</f>
        <v>2747</v>
      </c>
      <c r="Y10" s="149">
        <f t="shared" si="2"/>
        <v>685</v>
      </c>
      <c r="Z10" s="150">
        <f t="shared" si="2"/>
        <v>659</v>
      </c>
      <c r="AA10" s="150">
        <f t="shared" si="2"/>
        <v>789</v>
      </c>
      <c r="AB10" s="151">
        <f t="shared" si="2"/>
        <v>718</v>
      </c>
      <c r="AC10" s="112">
        <f t="shared" si="2"/>
        <v>2851</v>
      </c>
      <c r="AD10" s="149">
        <f t="shared" si="2"/>
        <v>812</v>
      </c>
      <c r="AE10" s="150">
        <f t="shared" si="2"/>
        <v>791</v>
      </c>
      <c r="AF10" s="150">
        <f t="shared" si="2"/>
        <v>854</v>
      </c>
      <c r="AG10" s="151">
        <f t="shared" ref="AG10:AM10" si="3">+AG8-AG9</f>
        <v>837.10000000000036</v>
      </c>
      <c r="AH10" s="112">
        <f t="shared" si="3"/>
        <v>3294.1000000000004</v>
      </c>
      <c r="AI10" s="149">
        <f t="shared" si="3"/>
        <v>849</v>
      </c>
      <c r="AJ10" s="150">
        <f t="shared" si="3"/>
        <v>791</v>
      </c>
      <c r="AK10" s="150">
        <f t="shared" si="3"/>
        <v>960</v>
      </c>
      <c r="AL10" s="151">
        <f t="shared" si="3"/>
        <v>843.10000000000036</v>
      </c>
      <c r="AM10" s="112">
        <f t="shared" si="3"/>
        <v>3443.1000000000004</v>
      </c>
      <c r="AN10" s="149">
        <f t="shared" ref="AN10:AS10" si="4">+AN8-AN9</f>
        <v>879.19999999999993</v>
      </c>
      <c r="AO10" s="150">
        <f t="shared" si="4"/>
        <v>905.09999999999991</v>
      </c>
      <c r="AP10" s="150">
        <f t="shared" si="4"/>
        <v>1021.9999999999999</v>
      </c>
      <c r="AQ10" s="151">
        <f t="shared" si="4"/>
        <v>861.70000000000016</v>
      </c>
      <c r="AR10" s="112">
        <f t="shared" si="4"/>
        <v>3667.9999999999995</v>
      </c>
      <c r="AS10" s="149">
        <f t="shared" si="4"/>
        <v>863.00000000000011</v>
      </c>
      <c r="AT10" s="150">
        <f t="shared" ref="AT10:BB10" si="5">+AT8-AT9</f>
        <v>866.6</v>
      </c>
      <c r="AU10" s="150">
        <f t="shared" si="5"/>
        <v>957.59999999999991</v>
      </c>
      <c r="AV10" s="151">
        <f t="shared" si="5"/>
        <v>896.80000000000041</v>
      </c>
      <c r="AW10" s="112">
        <f t="shared" si="5"/>
        <v>3584</v>
      </c>
      <c r="AX10" s="149">
        <f t="shared" si="5"/>
        <v>871.4736759581881</v>
      </c>
      <c r="AY10" s="150">
        <f t="shared" si="5"/>
        <v>868.94347642217508</v>
      </c>
      <c r="AZ10" s="150">
        <f t="shared" si="5"/>
        <v>962.04530891955574</v>
      </c>
      <c r="BA10" s="151">
        <f t="shared" si="5"/>
        <v>884.3251534792978</v>
      </c>
      <c r="BB10" s="112">
        <f t="shared" si="5"/>
        <v>3586.7876147792172</v>
      </c>
      <c r="BC10" s="149">
        <f t="shared" ref="BC10:BL10" si="6">+BC8-BC9</f>
        <v>906.87367595818819</v>
      </c>
      <c r="BD10" s="150">
        <f t="shared" si="6"/>
        <v>905.39347642217513</v>
      </c>
      <c r="BE10" s="150">
        <f t="shared" si="6"/>
        <v>1004.7953089195557</v>
      </c>
      <c r="BF10" s="151">
        <f t="shared" si="6"/>
        <v>919.72515347929789</v>
      </c>
      <c r="BG10" s="112">
        <f t="shared" si="6"/>
        <v>3736.7876147792172</v>
      </c>
      <c r="BH10" s="149">
        <f t="shared" si="6"/>
        <v>945.82367595818823</v>
      </c>
      <c r="BI10" s="150">
        <f t="shared" si="6"/>
        <v>945.49347642217504</v>
      </c>
      <c r="BJ10" s="150">
        <f t="shared" si="6"/>
        <v>1051.7953089195557</v>
      </c>
      <c r="BK10" s="151">
        <f t="shared" si="6"/>
        <v>958.67515347929793</v>
      </c>
      <c r="BL10" s="112">
        <f t="shared" si="6"/>
        <v>3901.7876147792172</v>
      </c>
      <c r="BM10" s="149">
        <f>+BM8-BM9</f>
        <v>977.87367595818819</v>
      </c>
      <c r="BN10" s="150">
        <f>+BN8-BN9</f>
        <v>978.39347642217513</v>
      </c>
      <c r="BO10" s="150">
        <f>+BO8-BO9</f>
        <v>1089.7953089195557</v>
      </c>
      <c r="BP10" s="151">
        <f>+BP8-BP9</f>
        <v>990.72515347929789</v>
      </c>
      <c r="BQ10" s="112">
        <f>+BQ8-BQ9</f>
        <v>4036.7876147792172</v>
      </c>
      <c r="BR10" s="111"/>
      <c r="BS10" s="111"/>
      <c r="BU10" s="546"/>
      <c r="BV10" s="111"/>
      <c r="BW10" s="111"/>
      <c r="BX10" s="111"/>
      <c r="BY10" s="111"/>
      <c r="BZ10" s="111"/>
      <c r="CA10" s="111"/>
      <c r="CB10" s="111"/>
      <c r="CC10" s="111"/>
      <c r="CD10" s="111"/>
      <c r="CE10" s="111"/>
      <c r="CF10" s="111"/>
      <c r="CG10" s="111"/>
      <c r="CH10" s="111"/>
      <c r="CI10" s="111"/>
      <c r="CJ10" s="111"/>
      <c r="CK10" s="111"/>
      <c r="CL10" s="111"/>
      <c r="CM10" s="111"/>
      <c r="CN10" s="111"/>
      <c r="CO10" s="111"/>
      <c r="CP10" s="111"/>
      <c r="CQ10" s="111"/>
      <c r="CR10" s="111"/>
      <c r="CS10" s="111"/>
      <c r="CT10" s="111"/>
      <c r="CU10" s="111"/>
    </row>
    <row r="11" spans="1:99">
      <c r="A11" s="74"/>
      <c r="B11" s="74"/>
      <c r="C11" s="50"/>
      <c r="D11" s="72"/>
      <c r="E11" s="148"/>
      <c r="F11" s="163"/>
      <c r="G11" s="163"/>
      <c r="H11" s="147"/>
      <c r="I11" s="72"/>
      <c r="J11" s="148"/>
      <c r="K11" s="163"/>
      <c r="L11" s="163"/>
      <c r="M11" s="147"/>
      <c r="N11" s="72"/>
      <c r="O11" s="148"/>
      <c r="P11" s="163"/>
      <c r="Q11" s="163"/>
      <c r="R11" s="147"/>
      <c r="S11" s="72"/>
      <c r="T11" s="148"/>
      <c r="U11" s="163"/>
      <c r="V11" s="163"/>
      <c r="W11" s="147"/>
      <c r="X11" s="72"/>
      <c r="Y11" s="148"/>
      <c r="Z11" s="163"/>
      <c r="AA11" s="163"/>
      <c r="AB11" s="147"/>
      <c r="AC11" s="72"/>
      <c r="AD11" s="148"/>
      <c r="AE11" s="163"/>
      <c r="AF11" s="163"/>
      <c r="AG11" s="147"/>
      <c r="AH11" s="72"/>
      <c r="AI11" s="148"/>
      <c r="AJ11" s="163"/>
      <c r="AK11" s="163"/>
      <c r="AL11" s="147"/>
      <c r="AM11" s="72"/>
      <c r="AN11" s="148"/>
      <c r="AO11" s="163"/>
      <c r="AP11" s="163"/>
      <c r="AQ11" s="147"/>
      <c r="AR11" s="72"/>
      <c r="AS11" s="148"/>
      <c r="AT11" s="163"/>
      <c r="AU11" s="163"/>
      <c r="AV11" s="147"/>
      <c r="AW11" s="72"/>
      <c r="AX11" s="148"/>
      <c r="AY11" s="163"/>
      <c r="AZ11" s="163"/>
      <c r="BA11" s="147"/>
      <c r="BB11" s="74"/>
      <c r="BC11" s="148"/>
      <c r="BD11" s="163"/>
      <c r="BE11" s="163"/>
      <c r="BF11" s="147"/>
      <c r="BG11" s="74"/>
      <c r="BH11" s="148"/>
      <c r="BI11" s="163"/>
      <c r="BJ11" s="163"/>
      <c r="BK11" s="147"/>
      <c r="BL11" s="74"/>
      <c r="BM11" s="148"/>
      <c r="BN11" s="163"/>
      <c r="BO11" s="163"/>
      <c r="BP11" s="147"/>
      <c r="BQ11" s="74"/>
      <c r="BR11" s="74"/>
      <c r="BS11" s="74"/>
      <c r="BU11" s="546"/>
      <c r="BV11" s="74"/>
      <c r="BW11" s="74"/>
      <c r="BX11" s="74"/>
      <c r="BY11" s="74"/>
      <c r="BZ11" s="74"/>
      <c r="CA11" s="74"/>
      <c r="CB11" s="74"/>
      <c r="CC11" s="74"/>
      <c r="CD11" s="74"/>
      <c r="CE11" s="74"/>
      <c r="CF11" s="74"/>
      <c r="CG11" s="74"/>
      <c r="CH11" s="74"/>
      <c r="CI11" s="74"/>
      <c r="CJ11" s="74"/>
      <c r="CK11" s="74"/>
      <c r="CL11" s="74"/>
      <c r="CM11" s="74"/>
      <c r="CN11" s="74"/>
      <c r="CO11" s="74"/>
      <c r="CP11" s="74"/>
      <c r="CQ11" s="74"/>
      <c r="CR11" s="74"/>
      <c r="CS11" s="74"/>
      <c r="CT11" s="74"/>
      <c r="CU11" s="74"/>
    </row>
    <row r="12" spans="1:99">
      <c r="A12" s="74"/>
      <c r="B12" s="74"/>
      <c r="C12" s="50" t="s">
        <v>1010</v>
      </c>
      <c r="D12" s="72"/>
      <c r="E12" s="142"/>
      <c r="F12" s="143"/>
      <c r="G12" s="143"/>
      <c r="H12" s="157"/>
      <c r="I12" s="145"/>
      <c r="J12" s="142"/>
      <c r="K12" s="143"/>
      <c r="L12" s="143"/>
      <c r="M12" s="157"/>
      <c r="N12" s="145"/>
      <c r="O12" s="142"/>
      <c r="P12" s="143"/>
      <c r="Q12" s="143"/>
      <c r="R12" s="157"/>
      <c r="S12" s="145"/>
      <c r="T12" s="142"/>
      <c r="U12" s="143"/>
      <c r="V12" s="143"/>
      <c r="W12" s="157"/>
      <c r="X12" s="145">
        <v>911</v>
      </c>
      <c r="Y12" s="142">
        <v>244</v>
      </c>
      <c r="Z12" s="143">
        <v>219</v>
      </c>
      <c r="AA12" s="143">
        <v>254</v>
      </c>
      <c r="AB12" s="157">
        <f>AC12-SUM(Y12:AA12)</f>
        <v>286</v>
      </c>
      <c r="AC12" s="145">
        <v>1003</v>
      </c>
      <c r="AD12" s="142">
        <v>293</v>
      </c>
      <c r="AE12" s="143">
        <v>298</v>
      </c>
      <c r="AF12" s="143">
        <v>329</v>
      </c>
      <c r="AG12" s="157">
        <f>AH12-SUM(AD12:AF12)</f>
        <v>356.09999999999991</v>
      </c>
      <c r="AH12" s="145">
        <v>1276.0999999999999</v>
      </c>
      <c r="AI12" s="142">
        <v>319</v>
      </c>
      <c r="AJ12" s="143">
        <v>289</v>
      </c>
      <c r="AK12" s="143">
        <v>348</v>
      </c>
      <c r="AL12" s="157">
        <f>AM12-SUM(AI12:AK12)</f>
        <v>372.90000000000009</v>
      </c>
      <c r="AM12" s="145">
        <v>1328.9</v>
      </c>
      <c r="AN12" s="142">
        <v>324.39999999999998</v>
      </c>
      <c r="AO12" s="143">
        <v>325.89999999999998</v>
      </c>
      <c r="AP12" s="143">
        <v>357.9</v>
      </c>
      <c r="AQ12" s="157">
        <f>AR12-SUM(AN12:AP12)</f>
        <v>378.50000000000011</v>
      </c>
      <c r="AR12" s="145">
        <v>1386.7</v>
      </c>
      <c r="AS12" s="142">
        <v>285.7</v>
      </c>
      <c r="AT12" s="143">
        <v>293.60000000000002</v>
      </c>
      <c r="AU12" s="143">
        <v>303.2</v>
      </c>
      <c r="AV12" s="157">
        <f>AW12-SUM(AS12:AU12)</f>
        <v>307.90000000000009</v>
      </c>
      <c r="AW12" s="145">
        <v>1190.4000000000001</v>
      </c>
      <c r="AX12" s="148">
        <f>+AX109</f>
        <v>279.27175</v>
      </c>
      <c r="AY12" s="146">
        <f>+AY109</f>
        <v>286.99400000000003</v>
      </c>
      <c r="AZ12" s="146">
        <f>+AZ109</f>
        <v>296.37799999999999</v>
      </c>
      <c r="BA12" s="147">
        <f>+BA109</f>
        <v>300.97225000000009</v>
      </c>
      <c r="BB12" s="72">
        <f>SUM(AX12:BA12)</f>
        <v>1163.616</v>
      </c>
      <c r="BC12" s="148">
        <f>+BC109</f>
        <v>280.66810874999999</v>
      </c>
      <c r="BD12" s="146">
        <f>+BD109</f>
        <v>288.42896999999999</v>
      </c>
      <c r="BE12" s="146">
        <f>+BE109</f>
        <v>297.85988999999995</v>
      </c>
      <c r="BF12" s="147">
        <f>+BF109</f>
        <v>302.47711125000006</v>
      </c>
      <c r="BG12" s="72">
        <f>SUM(BC12:BF12)</f>
        <v>1169.43408</v>
      </c>
      <c r="BH12" s="148">
        <f>+BH109</f>
        <v>282.07144929374994</v>
      </c>
      <c r="BI12" s="146">
        <f>+BI109</f>
        <v>289.87111484999997</v>
      </c>
      <c r="BJ12" s="146">
        <f>+BJ109</f>
        <v>299.34918944999993</v>
      </c>
      <c r="BK12" s="147">
        <f>+BK109</f>
        <v>303.98949680625003</v>
      </c>
      <c r="BL12" s="72">
        <f>SUM(BH12:BK12)</f>
        <v>1175.2812503999999</v>
      </c>
      <c r="BM12" s="148">
        <f>+BM109</f>
        <v>283.48180654021866</v>
      </c>
      <c r="BN12" s="146">
        <f>+BN109</f>
        <v>291.32047042424995</v>
      </c>
      <c r="BO12" s="146">
        <f>+BO109</f>
        <v>300.84593539724989</v>
      </c>
      <c r="BP12" s="147">
        <f>+BP109</f>
        <v>305.50944429028124</v>
      </c>
      <c r="BQ12" s="72">
        <f>SUM(BM12:BP12)</f>
        <v>1181.1576566519996</v>
      </c>
      <c r="BR12" s="74"/>
      <c r="BS12" s="74"/>
      <c r="BU12" s="546"/>
      <c r="BV12" s="74"/>
      <c r="BW12" s="74"/>
      <c r="BX12" s="74"/>
      <c r="BY12" s="74"/>
      <c r="BZ12" s="74"/>
      <c r="CA12" s="74"/>
      <c r="CB12" s="74"/>
      <c r="CC12" s="74"/>
      <c r="CD12" s="74"/>
      <c r="CE12" s="74"/>
      <c r="CF12" s="74"/>
      <c r="CG12" s="74"/>
      <c r="CH12" s="74"/>
      <c r="CI12" s="74"/>
      <c r="CJ12" s="74"/>
      <c r="CK12" s="74"/>
      <c r="CL12" s="74"/>
      <c r="CM12" s="74"/>
      <c r="CN12" s="74"/>
      <c r="CO12" s="74"/>
      <c r="CP12" s="74"/>
      <c r="CQ12" s="74"/>
      <c r="CR12" s="74"/>
      <c r="CS12" s="74"/>
      <c r="CT12" s="74"/>
      <c r="CU12" s="74"/>
    </row>
    <row r="13" spans="1:99">
      <c r="A13" s="74"/>
      <c r="B13" s="74"/>
      <c r="C13" s="50" t="s">
        <v>1016</v>
      </c>
      <c r="D13" s="72"/>
      <c r="E13" s="142"/>
      <c r="F13" s="143"/>
      <c r="G13" s="143"/>
      <c r="H13" s="157"/>
      <c r="I13" s="145"/>
      <c r="J13" s="142"/>
      <c r="K13" s="143"/>
      <c r="L13" s="143"/>
      <c r="M13" s="157"/>
      <c r="N13" s="145"/>
      <c r="O13" s="142"/>
      <c r="P13" s="143"/>
      <c r="Q13" s="143"/>
      <c r="R13" s="157"/>
      <c r="S13" s="145"/>
      <c r="T13" s="142"/>
      <c r="U13" s="143"/>
      <c r="V13" s="143"/>
      <c r="W13" s="157"/>
      <c r="X13" s="145">
        <v>561</v>
      </c>
      <c r="Y13" s="142">
        <v>133</v>
      </c>
      <c r="Z13" s="143">
        <v>151</v>
      </c>
      <c r="AA13" s="143">
        <v>165</v>
      </c>
      <c r="AB13" s="157">
        <f>AC13-SUM(Y13:AA13)</f>
        <v>142</v>
      </c>
      <c r="AC13" s="145">
        <v>591</v>
      </c>
      <c r="AD13" s="142">
        <v>161</v>
      </c>
      <c r="AE13" s="143">
        <v>156</v>
      </c>
      <c r="AF13" s="143">
        <v>182</v>
      </c>
      <c r="AG13" s="157">
        <f>AH13-SUM(AD13:AF13)</f>
        <v>158.79999999999995</v>
      </c>
      <c r="AH13" s="145">
        <v>657.8</v>
      </c>
      <c r="AI13" s="142">
        <v>168</v>
      </c>
      <c r="AJ13" s="143">
        <v>170</v>
      </c>
      <c r="AK13" s="143">
        <v>198</v>
      </c>
      <c r="AL13" s="157">
        <f>AM13-SUM(AI13:AK13)</f>
        <v>150.39999999999998</v>
      </c>
      <c r="AM13" s="145">
        <v>686.4</v>
      </c>
      <c r="AN13" s="142">
        <v>156.30000000000001</v>
      </c>
      <c r="AO13" s="143">
        <v>167.3</v>
      </c>
      <c r="AP13" s="143">
        <v>181.4</v>
      </c>
      <c r="AQ13" s="157">
        <f>AR13-SUM(AN13:AP13)</f>
        <v>144.89999999999998</v>
      </c>
      <c r="AR13" s="145">
        <v>649.9</v>
      </c>
      <c r="AS13" s="142">
        <v>156.19999999999999</v>
      </c>
      <c r="AT13" s="143">
        <f>163.9</f>
        <v>163.9</v>
      </c>
      <c r="AU13" s="143">
        <v>182.3</v>
      </c>
      <c r="AV13" s="157">
        <f>AW13-SUM(AS13:AU13)</f>
        <v>165.09999999999997</v>
      </c>
      <c r="AW13" s="145">
        <v>667.5</v>
      </c>
      <c r="AX13" s="148">
        <f>AX124</f>
        <v>177.28281250000003</v>
      </c>
      <c r="AY13" s="146">
        <f>AY124</f>
        <v>178.65501500938464</v>
      </c>
      <c r="AZ13" s="146">
        <f>AZ124</f>
        <v>182.83618664986301</v>
      </c>
      <c r="BA13" s="147">
        <f>BA124</f>
        <v>186.95202748345889</v>
      </c>
      <c r="BB13" s="72">
        <f>SUM(AX13:BA13)</f>
        <v>725.72604164270649</v>
      </c>
      <c r="BC13" s="148">
        <f>BC124</f>
        <v>188.19085811542976</v>
      </c>
      <c r="BD13" s="146">
        <f>BD124</f>
        <v>193.73686342117853</v>
      </c>
      <c r="BE13" s="146">
        <f>BE124</f>
        <v>196.90841665198502</v>
      </c>
      <c r="BF13" s="147">
        <f>BF124</f>
        <v>200.03114411341156</v>
      </c>
      <c r="BG13" s="72">
        <f>SUM(BC13:BF13)</f>
        <v>778.86728230200481</v>
      </c>
      <c r="BH13" s="148">
        <f>BH124</f>
        <v>202.13878426834503</v>
      </c>
      <c r="BI13" s="146">
        <f>BI124</f>
        <v>207.14469892970538</v>
      </c>
      <c r="BJ13" s="146">
        <f>BJ124</f>
        <v>209.19557772611637</v>
      </c>
      <c r="BK13" s="147">
        <f>BK124</f>
        <v>211.21503375627199</v>
      </c>
      <c r="BL13" s="72">
        <f>SUM(BH13:BK13)</f>
        <v>829.69409468043875</v>
      </c>
      <c r="BM13" s="148">
        <f>BM124</f>
        <v>212.94930854174086</v>
      </c>
      <c r="BN13" s="146">
        <f>BN124</f>
        <v>214.90891180213728</v>
      </c>
      <c r="BO13" s="146">
        <f>BO124</f>
        <v>216.83852658770064</v>
      </c>
      <c r="BP13" s="147">
        <f>BP124</f>
        <v>218.73861182225542</v>
      </c>
      <c r="BQ13" s="72">
        <f>SUM(BM13:BP13)</f>
        <v>863.43535875383418</v>
      </c>
      <c r="BR13" s="74"/>
      <c r="BS13" s="74"/>
      <c r="BU13" s="546"/>
      <c r="BV13" s="74"/>
      <c r="BW13" s="74"/>
      <c r="BX13" s="74"/>
      <c r="BY13" s="74"/>
      <c r="BZ13" s="74"/>
      <c r="CA13" s="74"/>
      <c r="CB13" s="74"/>
      <c r="CC13" s="74"/>
      <c r="CD13" s="74"/>
      <c r="CE13" s="74"/>
      <c r="CF13" s="74"/>
      <c r="CG13" s="74"/>
      <c r="CH13" s="74"/>
      <c r="CI13" s="74"/>
      <c r="CJ13" s="74"/>
      <c r="CK13" s="74"/>
      <c r="CL13" s="74"/>
      <c r="CM13" s="74"/>
      <c r="CN13" s="74"/>
      <c r="CO13" s="74"/>
      <c r="CP13" s="74"/>
      <c r="CQ13" s="74"/>
      <c r="CR13" s="74"/>
      <c r="CS13" s="74"/>
      <c r="CT13" s="74"/>
      <c r="CU13" s="74"/>
    </row>
    <row r="14" spans="1:99">
      <c r="A14" s="74"/>
      <c r="B14" s="74"/>
      <c r="C14" t="s">
        <v>1017</v>
      </c>
      <c r="D14" s="72"/>
      <c r="E14" s="142"/>
      <c r="F14" s="143"/>
      <c r="G14" s="143"/>
      <c r="H14" s="157"/>
      <c r="I14" s="145"/>
      <c r="J14" s="142"/>
      <c r="K14" s="143"/>
      <c r="L14" s="143"/>
      <c r="M14" s="157"/>
      <c r="N14" s="145"/>
      <c r="O14" s="142"/>
      <c r="P14" s="143"/>
      <c r="Q14" s="143"/>
      <c r="R14" s="157"/>
      <c r="S14" s="145"/>
      <c r="T14" s="142"/>
      <c r="U14" s="143"/>
      <c r="V14" s="143"/>
      <c r="W14" s="157"/>
      <c r="X14" s="145">
        <v>428</v>
      </c>
      <c r="Y14" s="142">
        <v>104</v>
      </c>
      <c r="Z14" s="143">
        <v>105</v>
      </c>
      <c r="AA14" s="143">
        <v>118</v>
      </c>
      <c r="AB14" s="157">
        <f>AC14-SUM(Y14:AA14)</f>
        <v>108</v>
      </c>
      <c r="AC14" s="145">
        <v>435</v>
      </c>
      <c r="AD14" s="142">
        <v>119</v>
      </c>
      <c r="AE14" s="143">
        <v>108</v>
      </c>
      <c r="AF14" s="143">
        <v>117</v>
      </c>
      <c r="AG14" s="157">
        <f>AH14-SUM(AD14:AF14)</f>
        <v>109.39999999999998</v>
      </c>
      <c r="AH14" s="145">
        <v>453.4</v>
      </c>
      <c r="AI14" s="142">
        <v>122</v>
      </c>
      <c r="AJ14" s="143">
        <v>118</v>
      </c>
      <c r="AK14" s="143">
        <v>122</v>
      </c>
      <c r="AL14" s="157">
        <f>AM14-SUM(AI14:AK14)</f>
        <v>116.30000000000001</v>
      </c>
      <c r="AM14" s="145">
        <v>478.3</v>
      </c>
      <c r="AN14" s="142">
        <v>123.3</v>
      </c>
      <c r="AO14" s="143">
        <v>117.7</v>
      </c>
      <c r="AP14" s="143">
        <v>132</v>
      </c>
      <c r="AQ14" s="157">
        <f>AR14-SUM(AN14:AP14)</f>
        <v>121.30000000000001</v>
      </c>
      <c r="AR14" s="145">
        <v>494.3</v>
      </c>
      <c r="AS14" s="142">
        <v>126.9</v>
      </c>
      <c r="AT14" s="143">
        <v>126.6</v>
      </c>
      <c r="AU14" s="143">
        <v>133.6</v>
      </c>
      <c r="AV14" s="157">
        <f>AW14-SUM(AS14:AU14)</f>
        <v>126.60000000000002</v>
      </c>
      <c r="AW14" s="145">
        <v>513.70000000000005</v>
      </c>
      <c r="AX14" s="148">
        <f>AX112</f>
        <v>128.16900000000001</v>
      </c>
      <c r="AY14" s="146">
        <f>AY112</f>
        <v>127.866</v>
      </c>
      <c r="AZ14" s="146">
        <f>AZ112</f>
        <v>134.93600000000001</v>
      </c>
      <c r="BA14" s="147">
        <f>BA112</f>
        <v>127.86600000000003</v>
      </c>
      <c r="BB14" s="72">
        <f>SUM(AX14:BA14)</f>
        <v>518.83699999999999</v>
      </c>
      <c r="BC14" s="148">
        <f>BC112</f>
        <v>129.45069000000001</v>
      </c>
      <c r="BD14" s="146">
        <f>BD112</f>
        <v>129.14465999999999</v>
      </c>
      <c r="BE14" s="146">
        <f>BE112</f>
        <v>136.28536</v>
      </c>
      <c r="BF14" s="147">
        <f>BF112</f>
        <v>129.14466000000002</v>
      </c>
      <c r="BG14" s="72">
        <f>SUM(BC14:BF14)</f>
        <v>524.02537000000007</v>
      </c>
      <c r="BH14" s="148">
        <f>BH112</f>
        <v>130.7451969</v>
      </c>
      <c r="BI14" s="146">
        <f>BI112</f>
        <v>130.43610659999999</v>
      </c>
      <c r="BJ14" s="146">
        <f>BJ112</f>
        <v>137.64821359999999</v>
      </c>
      <c r="BK14" s="147">
        <f>BK112</f>
        <v>130.43610660000002</v>
      </c>
      <c r="BL14" s="72">
        <f>SUM(BH14:BK14)</f>
        <v>529.26562369999999</v>
      </c>
      <c r="BM14" s="148">
        <f>BM112</f>
        <v>132.052648869</v>
      </c>
      <c r="BN14" s="146">
        <f>BN112</f>
        <v>131.740467666</v>
      </c>
      <c r="BO14" s="146">
        <f>BO112</f>
        <v>139.02469573599998</v>
      </c>
      <c r="BP14" s="147">
        <f>BP112</f>
        <v>131.74046766600003</v>
      </c>
      <c r="BQ14" s="72">
        <f>SUM(BM14:BP14)</f>
        <v>534.55827993699995</v>
      </c>
      <c r="BR14" s="74"/>
      <c r="BS14" s="74"/>
      <c r="BU14" s="546"/>
      <c r="BV14" s="74"/>
      <c r="BW14" s="74"/>
      <c r="BX14" s="74"/>
      <c r="BY14" s="74"/>
      <c r="BZ14" s="74"/>
      <c r="CA14" s="74"/>
      <c r="CB14" s="74"/>
      <c r="CC14" s="74"/>
      <c r="CD14" s="74"/>
      <c r="CE14" s="74"/>
      <c r="CF14" s="74"/>
      <c r="CG14" s="74"/>
      <c r="CH14" s="74"/>
      <c r="CI14" s="74"/>
      <c r="CJ14" s="74"/>
      <c r="CK14" s="74"/>
      <c r="CL14" s="74"/>
      <c r="CM14" s="74"/>
      <c r="CN14" s="74"/>
      <c r="CO14" s="74"/>
      <c r="CP14" s="74"/>
      <c r="CQ14" s="74"/>
      <c r="CR14" s="74"/>
      <c r="CS14" s="74"/>
      <c r="CT14" s="74"/>
      <c r="CU14" s="74"/>
    </row>
    <row r="15" spans="1:99">
      <c r="A15" s="74"/>
      <c r="B15" s="74"/>
      <c r="C15" s="56" t="s">
        <v>1018</v>
      </c>
      <c r="D15" s="72"/>
      <c r="E15" s="149"/>
      <c r="F15" s="150"/>
      <c r="G15" s="150"/>
      <c r="H15" s="151"/>
      <c r="I15" s="112"/>
      <c r="J15" s="149"/>
      <c r="K15" s="150"/>
      <c r="L15" s="150"/>
      <c r="M15" s="151"/>
      <c r="N15" s="112"/>
      <c r="O15" s="149"/>
      <c r="P15" s="150"/>
      <c r="Q15" s="150"/>
      <c r="R15" s="151"/>
      <c r="S15" s="112"/>
      <c r="T15" s="149"/>
      <c r="U15" s="150"/>
      <c r="V15" s="150"/>
      <c r="W15" s="151"/>
      <c r="X15" s="112">
        <f t="shared" ref="X15:AF15" si="7">SUM(X12:X14,X9)</f>
        <v>3972</v>
      </c>
      <c r="Y15" s="149">
        <f t="shared" si="7"/>
        <v>930</v>
      </c>
      <c r="Z15" s="150">
        <f t="shared" si="7"/>
        <v>880</v>
      </c>
      <c r="AA15" s="150">
        <f t="shared" si="7"/>
        <v>943</v>
      </c>
      <c r="AB15" s="151">
        <f t="shared" si="7"/>
        <v>903</v>
      </c>
      <c r="AC15" s="112">
        <f t="shared" si="7"/>
        <v>3656</v>
      </c>
      <c r="AD15" s="149">
        <f t="shared" si="7"/>
        <v>976</v>
      </c>
      <c r="AE15" s="150">
        <f t="shared" si="7"/>
        <v>905</v>
      </c>
      <c r="AF15" s="150">
        <f t="shared" si="7"/>
        <v>1005</v>
      </c>
      <c r="AG15" s="151">
        <f t="shared" ref="AG15:AM15" si="8">SUM(AG12:AG14,AG9)</f>
        <v>1020.7999999999998</v>
      </c>
      <c r="AH15" s="112">
        <f t="shared" si="8"/>
        <v>3906.7999999999997</v>
      </c>
      <c r="AI15" s="149">
        <f t="shared" si="8"/>
        <v>1030</v>
      </c>
      <c r="AJ15" s="150">
        <f t="shared" si="8"/>
        <v>847</v>
      </c>
      <c r="AK15" s="150">
        <f t="shared" si="8"/>
        <v>897</v>
      </c>
      <c r="AL15" s="151">
        <f t="shared" si="8"/>
        <v>833.10000000000014</v>
      </c>
      <c r="AM15" s="112">
        <f t="shared" si="8"/>
        <v>3607.1000000000004</v>
      </c>
      <c r="AN15" s="149">
        <f t="shared" ref="AN15:AS15" si="9">SUM(AN12:AN14,AN9)</f>
        <v>821.6</v>
      </c>
      <c r="AO15" s="150">
        <f t="shared" si="9"/>
        <v>801.9</v>
      </c>
      <c r="AP15" s="150">
        <f t="shared" si="9"/>
        <v>924.9</v>
      </c>
      <c r="AQ15" s="151">
        <f t="shared" si="9"/>
        <v>736.9</v>
      </c>
      <c r="AR15" s="112">
        <f t="shared" si="9"/>
        <v>3285.3</v>
      </c>
      <c r="AS15" s="149">
        <f t="shared" si="9"/>
        <v>792.19999999999993</v>
      </c>
      <c r="AT15" s="150">
        <f t="shared" ref="AT15:BB15" si="10">SUM(AT12:AT14,AT9)</f>
        <v>771</v>
      </c>
      <c r="AU15" s="150">
        <f t="shared" si="10"/>
        <v>834.8</v>
      </c>
      <c r="AV15" s="151">
        <f t="shared" si="10"/>
        <v>808.90000000000009</v>
      </c>
      <c r="AW15" s="112">
        <f t="shared" si="10"/>
        <v>3206.9000000000005</v>
      </c>
      <c r="AX15" s="149">
        <f t="shared" si="10"/>
        <v>811.32666702961683</v>
      </c>
      <c r="AY15" s="150">
        <f t="shared" si="10"/>
        <v>781.76154829268091</v>
      </c>
      <c r="AZ15" s="150">
        <f t="shared" si="10"/>
        <v>831.5272471489734</v>
      </c>
      <c r="BA15" s="151">
        <f t="shared" si="10"/>
        <v>821.992122513808</v>
      </c>
      <c r="BB15" s="112">
        <f t="shared" si="10"/>
        <v>3246.607584985079</v>
      </c>
      <c r="BC15" s="149">
        <f t="shared" ref="BC15:BL15" si="11">SUM(BC12:BC14,BC9)</f>
        <v>824.91276139504657</v>
      </c>
      <c r="BD15" s="150">
        <f t="shared" si="11"/>
        <v>799.55702670447477</v>
      </c>
      <c r="BE15" s="150">
        <f t="shared" si="11"/>
        <v>848.43072715109543</v>
      </c>
      <c r="BF15" s="151">
        <f t="shared" si="11"/>
        <v>837.85476039376067</v>
      </c>
      <c r="BG15" s="112">
        <f t="shared" si="11"/>
        <v>3310.755275644377</v>
      </c>
      <c r="BH15" s="149">
        <f t="shared" si="11"/>
        <v>841.55853499171167</v>
      </c>
      <c r="BI15" s="150">
        <f t="shared" si="11"/>
        <v>815.6984536630016</v>
      </c>
      <c r="BJ15" s="150">
        <f t="shared" si="11"/>
        <v>863.57004127522669</v>
      </c>
      <c r="BK15" s="151">
        <f t="shared" si="11"/>
        <v>851.84248219287099</v>
      </c>
      <c r="BL15" s="112">
        <f t="shared" si="11"/>
        <v>3372.6695121228113</v>
      </c>
      <c r="BM15" s="149">
        <f>SUM(BM12:BM14,BM9)</f>
        <v>855.08686848057619</v>
      </c>
      <c r="BN15" s="150">
        <f>SUM(BN12:BN14,BN9)</f>
        <v>826.2163831756834</v>
      </c>
      <c r="BO15" s="150">
        <f>SUM(BO12:BO14,BO9)</f>
        <v>874.08621822006103</v>
      </c>
      <c r="BP15" s="151">
        <f>SUM(BP12:BP14,BP9)</f>
        <v>862.19036880888575</v>
      </c>
      <c r="BQ15" s="112">
        <f>SUM(BQ12:BQ14,BQ9)</f>
        <v>3417.5798386852061</v>
      </c>
      <c r="BR15" s="74"/>
      <c r="BS15" s="74"/>
      <c r="BU15" s="546"/>
      <c r="BV15" s="74"/>
      <c r="BW15" s="74"/>
      <c r="BX15" s="74"/>
      <c r="BY15" s="74"/>
      <c r="BZ15" s="74"/>
      <c r="CA15" s="74"/>
      <c r="CB15" s="74"/>
      <c r="CC15" s="74"/>
      <c r="CD15" s="74"/>
      <c r="CE15" s="74"/>
      <c r="CF15" s="74"/>
      <c r="CG15" s="74"/>
      <c r="CH15" s="74"/>
      <c r="CI15" s="74"/>
      <c r="CJ15" s="74"/>
      <c r="CK15" s="74"/>
      <c r="CL15" s="74"/>
      <c r="CM15" s="74"/>
      <c r="CN15" s="74"/>
      <c r="CO15" s="74"/>
      <c r="CP15" s="74"/>
      <c r="CQ15" s="74"/>
      <c r="CR15" s="74"/>
      <c r="CS15" s="74"/>
      <c r="CT15" s="74"/>
      <c r="CU15" s="74"/>
    </row>
    <row r="16" spans="1:99">
      <c r="A16" s="74"/>
      <c r="B16" s="74"/>
      <c r="C16" s="50"/>
      <c r="D16" s="72"/>
      <c r="E16" s="148"/>
      <c r="F16" s="163"/>
      <c r="G16" s="163"/>
      <c r="H16" s="144"/>
      <c r="I16" s="145"/>
      <c r="J16" s="148"/>
      <c r="K16" s="163"/>
      <c r="L16" s="163"/>
      <c r="M16" s="144"/>
      <c r="N16" s="145"/>
      <c r="O16" s="148"/>
      <c r="P16" s="163"/>
      <c r="Q16" s="163"/>
      <c r="R16" s="144"/>
      <c r="S16" s="145"/>
      <c r="T16" s="148"/>
      <c r="U16" s="163"/>
      <c r="V16" s="163"/>
      <c r="W16" s="144"/>
      <c r="X16" s="145"/>
      <c r="Y16" s="148"/>
      <c r="Z16" s="163"/>
      <c r="AA16" s="163"/>
      <c r="AB16" s="144"/>
      <c r="AC16" s="145"/>
      <c r="AD16" s="148"/>
      <c r="AE16" s="163"/>
      <c r="AF16" s="163"/>
      <c r="AG16" s="144"/>
      <c r="AH16" s="145"/>
      <c r="AI16" s="148"/>
      <c r="AJ16" s="163"/>
      <c r="AK16" s="163"/>
      <c r="AL16" s="144"/>
      <c r="AM16" s="145"/>
      <c r="AN16" s="148"/>
      <c r="AO16" s="163"/>
      <c r="AP16" s="163"/>
      <c r="AQ16" s="144"/>
      <c r="AR16" s="145"/>
      <c r="AS16" s="148"/>
      <c r="AT16" s="163"/>
      <c r="AU16" s="163"/>
      <c r="AV16" s="144"/>
      <c r="AW16" s="145"/>
      <c r="AX16" s="148"/>
      <c r="AY16" s="163"/>
      <c r="AZ16" s="163"/>
      <c r="BA16" s="147"/>
      <c r="BB16" s="74"/>
      <c r="BC16" s="148"/>
      <c r="BD16" s="163"/>
      <c r="BE16" s="163"/>
      <c r="BF16" s="147"/>
      <c r="BG16" s="74"/>
      <c r="BH16" s="148"/>
      <c r="BI16" s="163"/>
      <c r="BJ16" s="163"/>
      <c r="BK16" s="147"/>
      <c r="BL16" s="74"/>
      <c r="BM16" s="148"/>
      <c r="BN16" s="163"/>
      <c r="BO16" s="163"/>
      <c r="BP16" s="147"/>
      <c r="BQ16" s="74"/>
      <c r="BR16" s="74"/>
      <c r="BS16" s="74"/>
      <c r="BU16" s="546"/>
      <c r="BV16" s="74"/>
      <c r="BW16" s="74"/>
      <c r="BX16" s="74"/>
      <c r="BY16" s="74"/>
      <c r="BZ16" s="74"/>
      <c r="CA16" s="74"/>
      <c r="CB16" s="74"/>
      <c r="CC16" s="74"/>
      <c r="CD16" s="74"/>
      <c r="CE16" s="74"/>
      <c r="CF16" s="74"/>
      <c r="CG16" s="74"/>
      <c r="CH16" s="74"/>
      <c r="CI16" s="74"/>
      <c r="CJ16" s="74"/>
      <c r="CK16" s="74"/>
      <c r="CL16" s="74"/>
      <c r="CM16" s="74"/>
      <c r="CN16" s="74"/>
      <c r="CO16" s="74"/>
      <c r="CP16" s="74"/>
      <c r="CQ16" s="74"/>
      <c r="CR16" s="74"/>
      <c r="CS16" s="74"/>
      <c r="CT16" s="74"/>
      <c r="CU16" s="74"/>
    </row>
    <row r="17" spans="1:104">
      <c r="A17" s="74"/>
      <c r="B17" s="74"/>
      <c r="C17" s="56" t="s">
        <v>195</v>
      </c>
      <c r="D17" s="72"/>
      <c r="E17" s="149"/>
      <c r="F17" s="150"/>
      <c r="G17" s="150"/>
      <c r="H17" s="151"/>
      <c r="I17" s="112"/>
      <c r="J17" s="149"/>
      <c r="K17" s="150"/>
      <c r="L17" s="150"/>
      <c r="M17" s="151"/>
      <c r="N17" s="112"/>
      <c r="O17" s="149"/>
      <c r="P17" s="150"/>
      <c r="Q17" s="150"/>
      <c r="R17" s="151"/>
      <c r="S17" s="112"/>
      <c r="T17" s="149"/>
      <c r="U17" s="150"/>
      <c r="V17" s="150"/>
      <c r="W17" s="151"/>
      <c r="X17" s="112">
        <f t="shared" ref="X17:AF17" si="12">+X8-X15</f>
        <v>847</v>
      </c>
      <c r="Y17" s="149">
        <f t="shared" si="12"/>
        <v>204</v>
      </c>
      <c r="Z17" s="150">
        <f t="shared" si="12"/>
        <v>184</v>
      </c>
      <c r="AA17" s="150">
        <f t="shared" si="12"/>
        <v>252</v>
      </c>
      <c r="AB17" s="151">
        <f t="shared" si="12"/>
        <v>182</v>
      </c>
      <c r="AC17" s="112">
        <f t="shared" si="12"/>
        <v>822</v>
      </c>
      <c r="AD17" s="149">
        <f t="shared" si="12"/>
        <v>239</v>
      </c>
      <c r="AE17" s="150">
        <f t="shared" si="12"/>
        <v>229</v>
      </c>
      <c r="AF17" s="150">
        <f t="shared" si="12"/>
        <v>226</v>
      </c>
      <c r="AG17" s="151">
        <f t="shared" ref="AG17:AM17" si="13">+AG8-AG15</f>
        <v>212.80000000000052</v>
      </c>
      <c r="AH17" s="112">
        <f t="shared" si="13"/>
        <v>906.80000000000064</v>
      </c>
      <c r="AI17" s="149">
        <f t="shared" si="13"/>
        <v>240</v>
      </c>
      <c r="AJ17" s="150">
        <f t="shared" si="13"/>
        <v>214</v>
      </c>
      <c r="AK17" s="150">
        <f t="shared" si="13"/>
        <v>292</v>
      </c>
      <c r="AL17" s="151">
        <f t="shared" si="13"/>
        <v>203.50000000000023</v>
      </c>
      <c r="AM17" s="112">
        <f t="shared" si="13"/>
        <v>949.5</v>
      </c>
      <c r="AN17" s="149">
        <f>+AN8-AN15</f>
        <v>275.19999999999993</v>
      </c>
      <c r="AO17" s="150">
        <f>+AO8-AO15</f>
        <v>294.19999999999993</v>
      </c>
      <c r="AP17" s="150">
        <f>+AP8-AP15</f>
        <v>350.69999999999993</v>
      </c>
      <c r="AQ17" s="151">
        <f>+AQ8-AQ15</f>
        <v>217.00000000000011</v>
      </c>
      <c r="AR17" s="112">
        <f>+AR8-AR15</f>
        <v>1137.0999999999995</v>
      </c>
      <c r="AS17" s="149">
        <f t="shared" ref="AS17:BB17" si="14">+AS8-AS15</f>
        <v>294.20000000000016</v>
      </c>
      <c r="AT17" s="150">
        <f t="shared" si="14"/>
        <v>282.5</v>
      </c>
      <c r="AU17" s="150">
        <f t="shared" si="14"/>
        <v>338.5</v>
      </c>
      <c r="AV17" s="151">
        <f>+AV8-AV15</f>
        <v>297.20000000000027</v>
      </c>
      <c r="AW17" s="112">
        <f>+AW8-AW15</f>
        <v>1212.3999999999996</v>
      </c>
      <c r="AX17" s="149">
        <f t="shared" si="14"/>
        <v>286.75011345818803</v>
      </c>
      <c r="AY17" s="150">
        <f t="shared" si="14"/>
        <v>275.4284614127904</v>
      </c>
      <c r="AZ17" s="150">
        <f t="shared" si="14"/>
        <v>347.89512226969282</v>
      </c>
      <c r="BA17" s="151">
        <f t="shared" si="14"/>
        <v>268.53487599583877</v>
      </c>
      <c r="BB17" s="112">
        <f t="shared" si="14"/>
        <v>1178.6085731365106</v>
      </c>
      <c r="BC17" s="149">
        <f t="shared" ref="BC17:BL17" si="15">+BC8-BC15</f>
        <v>308.56401909275837</v>
      </c>
      <c r="BD17" s="150">
        <f t="shared" si="15"/>
        <v>294.08298300099659</v>
      </c>
      <c r="BE17" s="150">
        <f t="shared" si="15"/>
        <v>373.7416422675708</v>
      </c>
      <c r="BF17" s="151">
        <f t="shared" si="15"/>
        <v>288.07223811588619</v>
      </c>
      <c r="BG17" s="112">
        <f t="shared" si="15"/>
        <v>1264.4608824772126</v>
      </c>
      <c r="BH17" s="149">
        <f t="shared" si="15"/>
        <v>330.86824549609332</v>
      </c>
      <c r="BI17" s="150">
        <f t="shared" si="15"/>
        <v>318.04155604246967</v>
      </c>
      <c r="BJ17" s="150">
        <f t="shared" si="15"/>
        <v>405.60232814343954</v>
      </c>
      <c r="BK17" s="151">
        <f t="shared" si="15"/>
        <v>313.03451631677592</v>
      </c>
      <c r="BL17" s="112">
        <f t="shared" si="15"/>
        <v>1367.5466459987783</v>
      </c>
      <c r="BM17" s="149">
        <f>+BM8-BM15</f>
        <v>349.38991200722876</v>
      </c>
      <c r="BN17" s="150">
        <f>+BN8-BN15</f>
        <v>340.42362652978795</v>
      </c>
      <c r="BO17" s="150">
        <f>+BO8-BO15</f>
        <v>433.08615119860519</v>
      </c>
      <c r="BP17" s="151">
        <f>+BP8-BP15</f>
        <v>334.73662970076111</v>
      </c>
      <c r="BQ17" s="112">
        <f>+BQ8-BQ15</f>
        <v>1457.6363194363835</v>
      </c>
      <c r="BR17" s="74"/>
      <c r="BS17" s="74"/>
      <c r="BU17" s="546"/>
      <c r="BV17" s="74"/>
      <c r="BW17" s="74"/>
      <c r="BX17" s="74"/>
      <c r="BY17" s="74"/>
      <c r="BZ17" s="74"/>
      <c r="CA17" s="74"/>
      <c r="CB17" s="74"/>
      <c r="CC17" s="74"/>
      <c r="CD17" s="74"/>
      <c r="CE17" s="74"/>
      <c r="CF17" s="74"/>
      <c r="CG17" s="74"/>
      <c r="CH17" s="74"/>
      <c r="CI17" s="74"/>
      <c r="CJ17" s="74"/>
      <c r="CK17" s="74"/>
      <c r="CL17" s="74"/>
      <c r="CM17" s="74"/>
      <c r="CN17" s="74"/>
      <c r="CO17" s="74"/>
      <c r="CP17" s="74"/>
      <c r="CQ17" s="74"/>
      <c r="CR17" s="74"/>
      <c r="CS17" s="74"/>
      <c r="CT17" s="74"/>
      <c r="CU17" s="74"/>
    </row>
    <row r="18" spans="1:104">
      <c r="A18" s="74"/>
      <c r="B18" s="74"/>
      <c r="C18" s="50"/>
      <c r="D18" s="72"/>
      <c r="E18" s="148"/>
      <c r="F18" s="146"/>
      <c r="G18" s="146"/>
      <c r="H18" s="147"/>
      <c r="I18" s="72"/>
      <c r="J18" s="148"/>
      <c r="K18" s="146"/>
      <c r="L18" s="146"/>
      <c r="M18" s="147"/>
      <c r="N18" s="72"/>
      <c r="O18" s="148"/>
      <c r="P18" s="146"/>
      <c r="Q18" s="146"/>
      <c r="R18" s="147"/>
      <c r="S18" s="72"/>
      <c r="T18" s="148"/>
      <c r="U18" s="146"/>
      <c r="V18" s="146"/>
      <c r="W18" s="147"/>
      <c r="X18" s="72"/>
      <c r="Y18" s="148"/>
      <c r="Z18" s="146"/>
      <c r="AA18" s="146"/>
      <c r="AB18" s="147"/>
      <c r="AC18" s="72"/>
      <c r="AD18" s="148"/>
      <c r="AE18" s="146"/>
      <c r="AF18" s="146"/>
      <c r="AG18" s="147"/>
      <c r="AH18" s="72"/>
      <c r="AI18" s="148"/>
      <c r="AJ18" s="146"/>
      <c r="AK18" s="146"/>
      <c r="AL18" s="147"/>
      <c r="AM18" s="72"/>
      <c r="AN18" s="148"/>
      <c r="AO18" s="146"/>
      <c r="AP18" s="146"/>
      <c r="AQ18" s="147"/>
      <c r="AR18" s="72"/>
      <c r="AS18" s="148"/>
      <c r="AT18" s="146"/>
      <c r="AU18" s="146"/>
      <c r="AV18" s="147"/>
      <c r="AW18" s="72"/>
      <c r="AX18" s="148"/>
      <c r="AY18" s="163"/>
      <c r="AZ18" s="163"/>
      <c r="BA18" s="147"/>
      <c r="BB18" s="74"/>
      <c r="BC18" s="148"/>
      <c r="BD18" s="163"/>
      <c r="BE18" s="163"/>
      <c r="BF18" s="147"/>
      <c r="BG18" s="74"/>
      <c r="BH18" s="148"/>
      <c r="BI18" s="163"/>
      <c r="BJ18" s="163"/>
      <c r="BK18" s="147"/>
      <c r="BL18" s="74"/>
      <c r="BM18" s="148"/>
      <c r="BN18" s="163"/>
      <c r="BO18" s="163"/>
      <c r="BP18" s="147"/>
      <c r="BQ18" s="74"/>
      <c r="BR18" s="74"/>
      <c r="BS18" s="74"/>
      <c r="BU18" s="546"/>
      <c r="BV18" s="74"/>
      <c r="BW18" s="74"/>
      <c r="BX18" s="74"/>
      <c r="BY18" s="74"/>
      <c r="BZ18" s="74"/>
      <c r="CA18" s="74"/>
      <c r="CB18" s="74"/>
      <c r="CC18" s="74"/>
      <c r="CD18" s="74"/>
      <c r="CE18" s="74"/>
      <c r="CF18" s="74"/>
      <c r="CG18" s="74"/>
      <c r="CH18" s="74"/>
      <c r="CI18" s="74"/>
      <c r="CJ18" s="74"/>
      <c r="CK18" s="74"/>
      <c r="CL18" s="74"/>
      <c r="CM18" s="74"/>
      <c r="CN18" s="74"/>
      <c r="CO18" s="74"/>
      <c r="CP18" s="74"/>
      <c r="CQ18" s="74"/>
      <c r="CR18" s="74"/>
      <c r="CS18" s="74"/>
      <c r="CT18" s="74"/>
      <c r="CU18" s="74"/>
    </row>
    <row r="19" spans="1:104" s="50" customFormat="1">
      <c r="A19" s="242"/>
      <c r="B19" s="242"/>
      <c r="C19" s="50" t="s">
        <v>80</v>
      </c>
      <c r="D19" s="109"/>
      <c r="E19" s="142"/>
      <c r="F19" s="143"/>
      <c r="G19" s="143"/>
      <c r="H19" s="144"/>
      <c r="I19" s="145"/>
      <c r="J19" s="142"/>
      <c r="K19" s="143"/>
      <c r="L19" s="143"/>
      <c r="M19" s="144"/>
      <c r="N19" s="145"/>
      <c r="O19" s="142"/>
      <c r="P19" s="143"/>
      <c r="Q19" s="143"/>
      <c r="R19" s="144"/>
      <c r="S19" s="145"/>
      <c r="T19" s="142"/>
      <c r="U19" s="143"/>
      <c r="V19" s="143"/>
      <c r="W19" s="144"/>
      <c r="X19" s="145">
        <v>6</v>
      </c>
      <c r="Y19" s="142">
        <v>2</v>
      </c>
      <c r="Z19" s="143">
        <v>0</v>
      </c>
      <c r="AA19" s="159">
        <v>2</v>
      </c>
      <c r="AB19" s="144">
        <f>+AC19-SUM(Y19:AA19)</f>
        <v>4</v>
      </c>
      <c r="AC19" s="145">
        <v>8</v>
      </c>
      <c r="AD19" s="142">
        <v>3</v>
      </c>
      <c r="AE19" s="143">
        <v>2</v>
      </c>
      <c r="AF19" s="143">
        <f>3</f>
        <v>3</v>
      </c>
      <c r="AG19" s="144">
        <f>+AH19-SUM(AD19:AF19)</f>
        <v>3.6999999999999993</v>
      </c>
      <c r="AH19" s="145">
        <v>11.7</v>
      </c>
      <c r="AI19" s="142">
        <v>4</v>
      </c>
      <c r="AJ19" s="143">
        <v>4</v>
      </c>
      <c r="AK19" s="143">
        <v>3</v>
      </c>
      <c r="AL19" s="144">
        <f>+AM19-SUM(AI19:AK19)</f>
        <v>4.5</v>
      </c>
      <c r="AM19" s="145">
        <v>15.5</v>
      </c>
      <c r="AN19" s="142">
        <v>4.3</v>
      </c>
      <c r="AO19" s="143">
        <v>4.0999999999999996</v>
      </c>
      <c r="AP19" s="143">
        <v>2.2000000000000002</v>
      </c>
      <c r="AQ19" s="144">
        <f>+AR19-SUM(AN19:AP19)</f>
        <v>4.5000000000000018</v>
      </c>
      <c r="AR19" s="145">
        <v>15.1</v>
      </c>
      <c r="AS19" s="142">
        <v>4.2</v>
      </c>
      <c r="AT19" s="143">
        <v>1.2</v>
      </c>
      <c r="AU19" s="143">
        <v>0.9</v>
      </c>
      <c r="AV19" s="144">
        <f>+AW19-SUM(AS19:AU19)</f>
        <v>6.8999999999999986</v>
      </c>
      <c r="AW19" s="145">
        <v>13.2</v>
      </c>
      <c r="AX19" s="161">
        <f>AX136</f>
        <v>8.0265725263090353</v>
      </c>
      <c r="AY19" s="160">
        <f>AY136</f>
        <v>8.0265725263090353</v>
      </c>
      <c r="AZ19" s="160">
        <f>AZ136</f>
        <v>8.0265725263090353</v>
      </c>
      <c r="BA19" s="144">
        <f>BA136</f>
        <v>8.0265725263090353</v>
      </c>
      <c r="BB19" s="109">
        <f>SUM(AX19:BA19)</f>
        <v>32.106290105236141</v>
      </c>
      <c r="BC19" s="161">
        <f>BC136</f>
        <v>7.1901901790297744</v>
      </c>
      <c r="BD19" s="160">
        <f>BD136</f>
        <v>7.1901901790297744</v>
      </c>
      <c r="BE19" s="160">
        <f>BE136</f>
        <v>7.1901901790297744</v>
      </c>
      <c r="BF19" s="144">
        <f>BF136</f>
        <v>7.1901901790297744</v>
      </c>
      <c r="BG19" s="109">
        <f>SUM(BC19:BF19)</f>
        <v>28.760760716119098</v>
      </c>
      <c r="BH19" s="161">
        <f>BH136</f>
        <v>6.1334705467145794</v>
      </c>
      <c r="BI19" s="160">
        <f>BI136</f>
        <v>6.1334705467145794</v>
      </c>
      <c r="BJ19" s="160">
        <f>BJ136</f>
        <v>6.1334705467145794</v>
      </c>
      <c r="BK19" s="144">
        <f>BK136</f>
        <v>6.1334705467145794</v>
      </c>
      <c r="BL19" s="109">
        <f>SUM(BH19:BK19)</f>
        <v>24.533882186858317</v>
      </c>
      <c r="BM19" s="161">
        <f>BM136</f>
        <v>6.1334705467145794</v>
      </c>
      <c r="BN19" s="160">
        <f>BN136</f>
        <v>6.1334705467145794</v>
      </c>
      <c r="BO19" s="160">
        <f>BO136</f>
        <v>6.1334705467145794</v>
      </c>
      <c r="BP19" s="144">
        <f>BP136</f>
        <v>6.1334705467145794</v>
      </c>
      <c r="BQ19" s="109">
        <f>SUM(BM19:BP19)</f>
        <v>24.533882186858317</v>
      </c>
      <c r="BR19" s="242"/>
      <c r="BS19" s="242"/>
      <c r="BT19"/>
      <c r="BU19" s="546"/>
      <c r="BV19" s="242"/>
      <c r="BW19" s="242"/>
      <c r="BX19" s="242"/>
      <c r="BY19" s="242"/>
      <c r="BZ19" s="242"/>
      <c r="CA19" s="242"/>
      <c r="CB19" s="242"/>
      <c r="CC19" s="242"/>
      <c r="CD19" s="242"/>
      <c r="CE19" s="242"/>
      <c r="CF19" s="242"/>
      <c r="CG19" s="242"/>
      <c r="CH19" s="242"/>
      <c r="CI19" s="242"/>
      <c r="CJ19" s="242"/>
      <c r="CK19" s="242"/>
      <c r="CL19" s="242"/>
      <c r="CM19" s="242"/>
      <c r="CN19" s="242"/>
      <c r="CO19" s="242"/>
      <c r="CP19" s="242"/>
      <c r="CQ19" s="242"/>
      <c r="CR19" s="242"/>
      <c r="CS19" s="242"/>
      <c r="CT19" s="242"/>
      <c r="CU19" s="242"/>
    </row>
    <row r="20" spans="1:104" s="50" customFormat="1">
      <c r="A20" s="242"/>
      <c r="B20" s="242"/>
      <c r="C20" s="50" t="s">
        <v>121</v>
      </c>
      <c r="D20" s="109"/>
      <c r="E20" s="142"/>
      <c r="F20" s="143"/>
      <c r="G20" s="143"/>
      <c r="H20" s="144"/>
      <c r="I20" s="145"/>
      <c r="J20" s="142"/>
      <c r="K20" s="143"/>
      <c r="L20" s="143"/>
      <c r="M20" s="144"/>
      <c r="N20" s="145"/>
      <c r="O20" s="142"/>
      <c r="P20" s="143"/>
      <c r="Q20" s="143"/>
      <c r="R20" s="144"/>
      <c r="S20" s="145"/>
      <c r="T20" s="142"/>
      <c r="U20" s="143"/>
      <c r="V20" s="143"/>
      <c r="W20" s="144"/>
      <c r="X20" s="145">
        <v>24</v>
      </c>
      <c r="Y20" s="142">
        <v>3</v>
      </c>
      <c r="Z20" s="143">
        <v>4</v>
      </c>
      <c r="AA20" s="159">
        <v>3</v>
      </c>
      <c r="AB20" s="144">
        <f>+AC20-SUM(Y20:AA20)</f>
        <v>6</v>
      </c>
      <c r="AC20" s="145">
        <f>16</f>
        <v>16</v>
      </c>
      <c r="AD20" s="142">
        <f>7-31</f>
        <v>-24</v>
      </c>
      <c r="AE20" s="143">
        <f>7-25</f>
        <v>-18</v>
      </c>
      <c r="AF20" s="143">
        <f>6-27</f>
        <v>-21</v>
      </c>
      <c r="AG20" s="144">
        <f>+AH20-SUM(AD20:AF20)</f>
        <v>-21.400000000000006</v>
      </c>
      <c r="AH20" s="145">
        <f>26.5-110.9</f>
        <v>-84.4</v>
      </c>
      <c r="AI20" s="142">
        <f>6-31</f>
        <v>-25</v>
      </c>
      <c r="AJ20" s="143">
        <f>6-36</f>
        <v>-30</v>
      </c>
      <c r="AK20" s="143">
        <f>-2-55</f>
        <v>-57</v>
      </c>
      <c r="AL20" s="144">
        <f>+AM20-SUM(AI20:AK20)</f>
        <v>-45.299999999999983</v>
      </c>
      <c r="AM20" s="145">
        <f>11.8-169.1</f>
        <v>-157.29999999999998</v>
      </c>
      <c r="AN20" s="142">
        <f>1.9-55.1</f>
        <v>-53.2</v>
      </c>
      <c r="AO20" s="143">
        <f>1.2-51.8</f>
        <v>-50.599999999999994</v>
      </c>
      <c r="AP20" s="143">
        <f>0.9-66.1</f>
        <v>-65.199999999999989</v>
      </c>
      <c r="AQ20" s="144">
        <f>+AR20-SUM(AN20:AP20)</f>
        <v>-53.900000000000006</v>
      </c>
      <c r="AR20" s="145">
        <f>20-242.9</f>
        <v>-222.9</v>
      </c>
      <c r="AS20" s="142">
        <f>1.9-60.9</f>
        <v>-59</v>
      </c>
      <c r="AT20" s="143">
        <f>0.6-53.3</f>
        <v>-52.699999999999996</v>
      </c>
      <c r="AU20" s="143">
        <f>0.5-58.7</f>
        <v>-58.2</v>
      </c>
      <c r="AV20" s="144">
        <f>+AW20-SUM(AS20:AU20)</f>
        <v>-55.700000000000017</v>
      </c>
      <c r="AW20" s="145">
        <f>3.6-229.2</f>
        <v>-225.6</v>
      </c>
      <c r="AX20" s="1906">
        <f>AS20+6/4</f>
        <v>-57.5</v>
      </c>
      <c r="AY20" s="1911">
        <f>AT20+6/4</f>
        <v>-51.199999999999996</v>
      </c>
      <c r="AZ20" s="1911">
        <f>AU20+6/4</f>
        <v>-56.7</v>
      </c>
      <c r="BA20" s="1905">
        <f>AV20+6/4</f>
        <v>-54.200000000000017</v>
      </c>
      <c r="BB20" s="109">
        <f>SUM(AX20:BA20)</f>
        <v>-219.6</v>
      </c>
      <c r="BC20" s="161">
        <f>AX20</f>
        <v>-57.5</v>
      </c>
      <c r="BD20" s="160">
        <f>AY20</f>
        <v>-51.199999999999996</v>
      </c>
      <c r="BE20" s="160">
        <f>AZ20</f>
        <v>-56.7</v>
      </c>
      <c r="BF20" s="144">
        <f>BA20</f>
        <v>-54.200000000000017</v>
      </c>
      <c r="BG20" s="109">
        <f>SUM(BC20:BF20)</f>
        <v>-219.6</v>
      </c>
      <c r="BH20" s="161">
        <f>BC20</f>
        <v>-57.5</v>
      </c>
      <c r="BI20" s="160">
        <f>BD20</f>
        <v>-51.199999999999996</v>
      </c>
      <c r="BJ20" s="160">
        <f>BE20</f>
        <v>-56.7</v>
      </c>
      <c r="BK20" s="144">
        <f>BF20</f>
        <v>-54.200000000000017</v>
      </c>
      <c r="BL20" s="109">
        <f>SUM(BH20:BK20)</f>
        <v>-219.6</v>
      </c>
      <c r="BM20" s="161">
        <f>BH20</f>
        <v>-57.5</v>
      </c>
      <c r="BN20" s="160">
        <f>BI20</f>
        <v>-51.199999999999996</v>
      </c>
      <c r="BO20" s="160">
        <f>BJ20</f>
        <v>-56.7</v>
      </c>
      <c r="BP20" s="144">
        <f>BK20</f>
        <v>-54.200000000000017</v>
      </c>
      <c r="BQ20" s="109">
        <f>SUM(BM20:BP20)</f>
        <v>-219.6</v>
      </c>
      <c r="BR20" s="242"/>
      <c r="BS20" s="242"/>
      <c r="BT20"/>
      <c r="BU20" s="546"/>
      <c r="BV20" s="242"/>
      <c r="BW20" s="242"/>
      <c r="BX20" s="242"/>
      <c r="BY20" s="242"/>
      <c r="BZ20" s="242"/>
      <c r="CA20" s="242"/>
      <c r="CB20" s="242"/>
      <c r="CC20" s="242"/>
      <c r="CD20" s="242"/>
      <c r="CE20" s="242"/>
      <c r="CF20" s="242"/>
      <c r="CG20" s="242"/>
      <c r="CH20" s="242"/>
      <c r="CI20" s="242"/>
      <c r="CJ20" s="242"/>
      <c r="CK20" s="242"/>
      <c r="CL20" s="242"/>
      <c r="CM20" s="242"/>
      <c r="CN20" s="242"/>
      <c r="CO20" s="242"/>
      <c r="CP20" s="242"/>
      <c r="CQ20" s="242"/>
      <c r="CR20" s="242"/>
      <c r="CS20" s="242"/>
      <c r="CT20" s="242"/>
      <c r="CU20" s="242"/>
    </row>
    <row r="21" spans="1:104">
      <c r="A21" s="74"/>
      <c r="B21" s="74"/>
      <c r="C21" s="50"/>
      <c r="D21" s="72"/>
      <c r="E21" s="148"/>
      <c r="F21" s="163"/>
      <c r="G21" s="163"/>
      <c r="H21" s="173"/>
      <c r="I21" s="64"/>
      <c r="J21" s="148"/>
      <c r="K21" s="163"/>
      <c r="L21" s="163"/>
      <c r="M21" s="173"/>
      <c r="N21" s="64"/>
      <c r="O21" s="148"/>
      <c r="P21" s="163"/>
      <c r="Q21" s="163"/>
      <c r="R21" s="173"/>
      <c r="S21" s="64"/>
      <c r="T21" s="148"/>
      <c r="U21" s="163"/>
      <c r="V21" s="163"/>
      <c r="W21" s="173"/>
      <c r="X21" s="64"/>
      <c r="Y21" s="148"/>
      <c r="Z21" s="163"/>
      <c r="AA21" s="163"/>
      <c r="AB21" s="173"/>
      <c r="AC21" s="64"/>
      <c r="AD21" s="148"/>
      <c r="AE21" s="163"/>
      <c r="AF21" s="163"/>
      <c r="AG21" s="173"/>
      <c r="AH21" s="64"/>
      <c r="AI21" s="148"/>
      <c r="AJ21" s="163"/>
      <c r="AK21" s="163"/>
      <c r="AL21" s="173"/>
      <c r="AM21" s="64"/>
      <c r="AN21" s="148"/>
      <c r="AO21" s="163"/>
      <c r="AP21" s="163"/>
      <c r="AQ21" s="173"/>
      <c r="AR21" s="64"/>
      <c r="AS21" s="148"/>
      <c r="AT21" s="163"/>
      <c r="AU21" s="163"/>
      <c r="AV21" s="173"/>
      <c r="AW21" s="64"/>
      <c r="AX21" s="148"/>
      <c r="AY21" s="163"/>
      <c r="AZ21" s="163"/>
      <c r="BA21" s="147"/>
      <c r="BB21" s="74"/>
      <c r="BC21" s="148"/>
      <c r="BD21" s="163"/>
      <c r="BE21" s="163"/>
      <c r="BF21" s="147"/>
      <c r="BG21" s="74"/>
      <c r="BH21" s="148"/>
      <c r="BI21" s="163"/>
      <c r="BJ21" s="163"/>
      <c r="BK21" s="147"/>
      <c r="BL21" s="74"/>
      <c r="BM21" s="148"/>
      <c r="BN21" s="163"/>
      <c r="BO21" s="163"/>
      <c r="BP21" s="147"/>
      <c r="BQ21" s="74"/>
      <c r="BR21" s="74"/>
      <c r="BS21" s="74"/>
      <c r="BU21" s="546"/>
      <c r="BV21" s="74"/>
      <c r="BW21" s="74"/>
      <c r="BX21" s="74"/>
      <c r="BY21" s="74"/>
      <c r="BZ21" s="74"/>
      <c r="CA21" s="74"/>
      <c r="CB21" s="74"/>
      <c r="CC21" s="74"/>
      <c r="CD21" s="74"/>
      <c r="CE21" s="74"/>
      <c r="CF21" s="74"/>
      <c r="CG21" s="74"/>
      <c r="CH21" s="74"/>
      <c r="CI21" s="74"/>
      <c r="CJ21" s="74"/>
      <c r="CK21" s="74"/>
      <c r="CL21" s="74"/>
      <c r="CM21" s="74"/>
      <c r="CN21" s="74"/>
      <c r="CO21" s="74"/>
      <c r="CP21" s="74"/>
      <c r="CQ21" s="74"/>
      <c r="CR21" s="74"/>
      <c r="CS21" s="74"/>
      <c r="CT21" s="74"/>
      <c r="CU21" s="74"/>
    </row>
    <row r="22" spans="1:104">
      <c r="A22" s="74"/>
      <c r="B22" s="74"/>
      <c r="C22" s="56" t="s">
        <v>3</v>
      </c>
      <c r="D22" s="72"/>
      <c r="E22" s="149"/>
      <c r="F22" s="150"/>
      <c r="G22" s="150"/>
      <c r="H22" s="151"/>
      <c r="I22" s="112"/>
      <c r="J22" s="149"/>
      <c r="K22" s="150"/>
      <c r="L22" s="150"/>
      <c r="M22" s="151"/>
      <c r="N22" s="112"/>
      <c r="O22" s="149"/>
      <c r="P22" s="150"/>
      <c r="Q22" s="150"/>
      <c r="R22" s="151"/>
      <c r="S22" s="112"/>
      <c r="T22" s="149"/>
      <c r="U22" s="150"/>
      <c r="V22" s="150"/>
      <c r="W22" s="151"/>
      <c r="X22" s="112">
        <f>X17+X20+X19</f>
        <v>877</v>
      </c>
      <c r="Y22" s="149">
        <f t="shared" ref="Y22:BB22" si="16">Y17+Y20+Y19</f>
        <v>209</v>
      </c>
      <c r="Z22" s="150">
        <f t="shared" si="16"/>
        <v>188</v>
      </c>
      <c r="AA22" s="150">
        <f t="shared" si="16"/>
        <v>257</v>
      </c>
      <c r="AB22" s="151">
        <f t="shared" si="16"/>
        <v>192</v>
      </c>
      <c r="AC22" s="112">
        <f t="shared" si="16"/>
        <v>846</v>
      </c>
      <c r="AD22" s="149">
        <f t="shared" si="16"/>
        <v>218</v>
      </c>
      <c r="AE22" s="150">
        <f t="shared" si="16"/>
        <v>213</v>
      </c>
      <c r="AF22" s="150">
        <f t="shared" si="16"/>
        <v>208</v>
      </c>
      <c r="AG22" s="151">
        <f t="shared" ref="AG22:AM22" si="17">AG17+AG20+AG19</f>
        <v>195.10000000000051</v>
      </c>
      <c r="AH22" s="112">
        <f t="shared" si="17"/>
        <v>834.1000000000007</v>
      </c>
      <c r="AI22" s="149">
        <f t="shared" si="17"/>
        <v>219</v>
      </c>
      <c r="AJ22" s="150">
        <f t="shared" si="17"/>
        <v>188</v>
      </c>
      <c r="AK22" s="150">
        <f t="shared" si="17"/>
        <v>238</v>
      </c>
      <c r="AL22" s="151">
        <f t="shared" si="17"/>
        <v>162.70000000000024</v>
      </c>
      <c r="AM22" s="112">
        <f t="shared" si="17"/>
        <v>807.7</v>
      </c>
      <c r="AN22" s="149">
        <f t="shared" ref="AN22:AS22" si="18">AN17+AN20+AN19</f>
        <v>226.29999999999995</v>
      </c>
      <c r="AO22" s="150">
        <f t="shared" si="18"/>
        <v>247.69999999999993</v>
      </c>
      <c r="AP22" s="150">
        <f t="shared" si="18"/>
        <v>287.69999999999993</v>
      </c>
      <c r="AQ22" s="151">
        <f t="shared" si="18"/>
        <v>167.60000000000011</v>
      </c>
      <c r="AR22" s="112">
        <f t="shared" si="18"/>
        <v>929.2999999999995</v>
      </c>
      <c r="AS22" s="149">
        <f t="shared" si="18"/>
        <v>239.40000000000015</v>
      </c>
      <c r="AT22" s="150">
        <f t="shared" si="16"/>
        <v>231</v>
      </c>
      <c r="AU22" s="150">
        <f t="shared" si="16"/>
        <v>281.2</v>
      </c>
      <c r="AV22" s="151">
        <f t="shared" si="16"/>
        <v>248.40000000000026</v>
      </c>
      <c r="AW22" s="112">
        <f t="shared" si="16"/>
        <v>999.99999999999966</v>
      </c>
      <c r="AX22" s="149">
        <f t="shared" si="16"/>
        <v>237.27668598449705</v>
      </c>
      <c r="AY22" s="150">
        <f t="shared" si="16"/>
        <v>232.25503393909943</v>
      </c>
      <c r="AZ22" s="150">
        <f t="shared" si="16"/>
        <v>299.22169479600188</v>
      </c>
      <c r="BA22" s="151">
        <f t="shared" si="16"/>
        <v>222.36144852214778</v>
      </c>
      <c r="BB22" s="112">
        <f t="shared" si="16"/>
        <v>991.11486324174666</v>
      </c>
      <c r="BC22" s="149">
        <f t="shared" ref="BC22:BL22" si="19">BC17+BC20+BC19</f>
        <v>258.25420927178817</v>
      </c>
      <c r="BD22" s="150">
        <f t="shared" si="19"/>
        <v>250.07317318002637</v>
      </c>
      <c r="BE22" s="150">
        <f t="shared" si="19"/>
        <v>324.23183244660061</v>
      </c>
      <c r="BF22" s="151">
        <f t="shared" si="19"/>
        <v>241.06242829491595</v>
      </c>
      <c r="BG22" s="112">
        <f t="shared" si="19"/>
        <v>1073.6216431933319</v>
      </c>
      <c r="BH22" s="149">
        <f t="shared" si="19"/>
        <v>279.50171604280791</v>
      </c>
      <c r="BI22" s="150">
        <f t="shared" si="19"/>
        <v>272.97502658918427</v>
      </c>
      <c r="BJ22" s="150">
        <f t="shared" si="19"/>
        <v>355.03579869015414</v>
      </c>
      <c r="BK22" s="151">
        <f t="shared" si="19"/>
        <v>264.96798686349047</v>
      </c>
      <c r="BL22" s="112">
        <f t="shared" si="19"/>
        <v>1172.4805281856368</v>
      </c>
      <c r="BM22" s="149">
        <f>BM17+BM20+BM19</f>
        <v>298.02338255394335</v>
      </c>
      <c r="BN22" s="150">
        <f>BN17+BN20+BN19</f>
        <v>295.35709707650255</v>
      </c>
      <c r="BO22" s="150">
        <f>BO17+BO20+BO19</f>
        <v>382.5196217453198</v>
      </c>
      <c r="BP22" s="151">
        <f>BP17+BP20+BP19</f>
        <v>286.67010024747566</v>
      </c>
      <c r="BQ22" s="112">
        <f>BQ17+BQ20+BQ19</f>
        <v>1262.5702016232419</v>
      </c>
      <c r="BR22" s="74"/>
      <c r="BS22" s="74"/>
      <c r="BU22" s="546"/>
      <c r="BV22" s="74"/>
      <c r="BW22" s="74"/>
      <c r="BX22" s="74"/>
      <c r="BY22" s="74"/>
      <c r="BZ22" s="74"/>
      <c r="CA22" s="74"/>
      <c r="CB22" s="74"/>
      <c r="CC22" s="74"/>
      <c r="CD22" s="74"/>
      <c r="CE22" s="74"/>
      <c r="CF22" s="74"/>
      <c r="CG22" s="74"/>
      <c r="CH22" s="74"/>
      <c r="CI22" s="74"/>
      <c r="CJ22" s="74"/>
      <c r="CK22" s="74"/>
      <c r="CL22" s="74"/>
      <c r="CM22" s="74"/>
      <c r="CN22" s="74"/>
      <c r="CO22" s="74"/>
      <c r="CP22" s="74"/>
      <c r="CQ22" s="74"/>
      <c r="CR22" s="74"/>
      <c r="CS22" s="74"/>
      <c r="CT22" s="74"/>
      <c r="CU22" s="74"/>
    </row>
    <row r="23" spans="1:104">
      <c r="A23" s="74"/>
      <c r="B23" s="74"/>
      <c r="C23" s="56" t="s">
        <v>4</v>
      </c>
      <c r="D23" s="72"/>
      <c r="E23" s="149"/>
      <c r="F23" s="150"/>
      <c r="G23" s="150"/>
      <c r="H23" s="151"/>
      <c r="I23" s="112"/>
      <c r="J23" s="149"/>
      <c r="K23" s="150"/>
      <c r="L23" s="150"/>
      <c r="M23" s="151"/>
      <c r="N23" s="112"/>
      <c r="O23" s="149"/>
      <c r="P23" s="150"/>
      <c r="Q23" s="150"/>
      <c r="R23" s="151"/>
      <c r="S23" s="112"/>
      <c r="T23" s="149"/>
      <c r="U23" s="150"/>
      <c r="V23" s="150"/>
      <c r="W23" s="151"/>
      <c r="X23" s="112">
        <f t="shared" ref="X23:AF23" si="20">+X22+X13</f>
        <v>1438</v>
      </c>
      <c r="Y23" s="149">
        <f t="shared" si="20"/>
        <v>342</v>
      </c>
      <c r="Z23" s="150">
        <f t="shared" si="20"/>
        <v>339</v>
      </c>
      <c r="AA23" s="150">
        <f t="shared" si="20"/>
        <v>422</v>
      </c>
      <c r="AB23" s="151">
        <f t="shared" si="20"/>
        <v>334</v>
      </c>
      <c r="AC23" s="112">
        <f t="shared" si="20"/>
        <v>1437</v>
      </c>
      <c r="AD23" s="149">
        <f t="shared" si="20"/>
        <v>379</v>
      </c>
      <c r="AE23" s="150">
        <f t="shared" si="20"/>
        <v>369</v>
      </c>
      <c r="AF23" s="150">
        <f t="shared" si="20"/>
        <v>390</v>
      </c>
      <c r="AG23" s="151">
        <f t="shared" ref="AG23:AM23" si="21">+AG22+AG13</f>
        <v>353.90000000000043</v>
      </c>
      <c r="AH23" s="112">
        <f t="shared" si="21"/>
        <v>1491.9000000000005</v>
      </c>
      <c r="AI23" s="149">
        <f t="shared" si="21"/>
        <v>387</v>
      </c>
      <c r="AJ23" s="150">
        <f t="shared" si="21"/>
        <v>358</v>
      </c>
      <c r="AK23" s="150">
        <f t="shared" si="21"/>
        <v>436</v>
      </c>
      <c r="AL23" s="151">
        <f t="shared" si="21"/>
        <v>313.10000000000025</v>
      </c>
      <c r="AM23" s="112">
        <f t="shared" si="21"/>
        <v>1494.1</v>
      </c>
      <c r="AN23" s="149">
        <f t="shared" ref="AN23:AS23" si="22">+AN22+AN13</f>
        <v>382.59999999999997</v>
      </c>
      <c r="AO23" s="150">
        <f t="shared" si="22"/>
        <v>414.99999999999994</v>
      </c>
      <c r="AP23" s="150">
        <f t="shared" si="22"/>
        <v>469.09999999999991</v>
      </c>
      <c r="AQ23" s="151">
        <f t="shared" si="22"/>
        <v>312.50000000000011</v>
      </c>
      <c r="AR23" s="112">
        <f t="shared" si="22"/>
        <v>1579.1999999999994</v>
      </c>
      <c r="AS23" s="149">
        <f t="shared" si="22"/>
        <v>395.60000000000014</v>
      </c>
      <c r="AT23" s="150">
        <f t="shared" ref="AT23:BB23" si="23">+AT22+AT13</f>
        <v>394.9</v>
      </c>
      <c r="AU23" s="150">
        <f t="shared" si="23"/>
        <v>463.5</v>
      </c>
      <c r="AV23" s="151">
        <f t="shared" si="23"/>
        <v>413.50000000000023</v>
      </c>
      <c r="AW23" s="112">
        <f t="shared" si="23"/>
        <v>1667.4999999999995</v>
      </c>
      <c r="AX23" s="149">
        <f t="shared" si="23"/>
        <v>414.55949848449711</v>
      </c>
      <c r="AY23" s="150">
        <f t="shared" si="23"/>
        <v>410.91004894848408</v>
      </c>
      <c r="AZ23" s="150">
        <f t="shared" si="23"/>
        <v>482.05788144586489</v>
      </c>
      <c r="BA23" s="151">
        <f t="shared" si="23"/>
        <v>409.31347600560667</v>
      </c>
      <c r="BB23" s="112">
        <f t="shared" si="23"/>
        <v>1716.8409048844533</v>
      </c>
      <c r="BC23" s="149">
        <f t="shared" ref="BC23:BL23" si="24">+BC22+BC13</f>
        <v>446.44506738721793</v>
      </c>
      <c r="BD23" s="150">
        <f t="shared" si="24"/>
        <v>443.8100366012049</v>
      </c>
      <c r="BE23" s="150">
        <f t="shared" si="24"/>
        <v>521.14024909858563</v>
      </c>
      <c r="BF23" s="151">
        <f t="shared" si="24"/>
        <v>441.09357240832753</v>
      </c>
      <c r="BG23" s="112">
        <f t="shared" si="24"/>
        <v>1852.4889254953368</v>
      </c>
      <c r="BH23" s="149">
        <f t="shared" si="24"/>
        <v>481.64050031115295</v>
      </c>
      <c r="BI23" s="150">
        <f t="shared" si="24"/>
        <v>480.11972551888965</v>
      </c>
      <c r="BJ23" s="150">
        <f t="shared" si="24"/>
        <v>564.23137641627045</v>
      </c>
      <c r="BK23" s="151">
        <f t="shared" si="24"/>
        <v>476.18302061976249</v>
      </c>
      <c r="BL23" s="112">
        <f t="shared" si="24"/>
        <v>2002.1746228660754</v>
      </c>
      <c r="BM23" s="149">
        <f>+BM22+BM13</f>
        <v>510.97269109568424</v>
      </c>
      <c r="BN23" s="150">
        <f>+BN22+BN13</f>
        <v>510.26600887863981</v>
      </c>
      <c r="BO23" s="150">
        <f>+BO22+BO13</f>
        <v>599.35814833302038</v>
      </c>
      <c r="BP23" s="151">
        <f>+BP22+BP13</f>
        <v>505.40871206973111</v>
      </c>
      <c r="BQ23" s="112">
        <f>+BQ22+BQ13</f>
        <v>2126.0055603770761</v>
      </c>
      <c r="BR23" s="74"/>
      <c r="BS23" s="74"/>
      <c r="BU23" s="546"/>
      <c r="BV23" s="74"/>
      <c r="BW23" s="74"/>
      <c r="BX23" s="74"/>
      <c r="BY23" s="74"/>
      <c r="BZ23" s="74"/>
      <c r="CA23" s="74"/>
      <c r="CB23" s="74"/>
      <c r="CC23" s="74"/>
      <c r="CD23" s="74"/>
      <c r="CE23" s="74"/>
      <c r="CF23" s="74"/>
      <c r="CG23" s="74"/>
      <c r="CH23" s="74"/>
      <c r="CI23" s="74"/>
      <c r="CJ23" s="74"/>
      <c r="CK23" s="74"/>
      <c r="CL23" s="74"/>
      <c r="CM23" s="74"/>
      <c r="CN23" s="74"/>
      <c r="CO23" s="74"/>
      <c r="CP23" s="74"/>
      <c r="CQ23" s="74"/>
      <c r="CR23" s="74"/>
      <c r="CS23" s="74"/>
      <c r="CT23" s="74"/>
      <c r="CU23" s="74"/>
    </row>
    <row r="24" spans="1:104">
      <c r="A24" s="74"/>
      <c r="B24" s="74"/>
      <c r="C24" s="50"/>
      <c r="D24" s="72"/>
      <c r="E24" s="148"/>
      <c r="F24" s="163"/>
      <c r="G24" s="163"/>
      <c r="H24" s="173"/>
      <c r="I24" s="64"/>
      <c r="J24" s="148"/>
      <c r="K24" s="163"/>
      <c r="L24" s="163"/>
      <c r="M24" s="173"/>
      <c r="N24" s="64"/>
      <c r="O24" s="148"/>
      <c r="P24" s="163"/>
      <c r="Q24" s="163"/>
      <c r="R24" s="173"/>
      <c r="S24" s="64"/>
      <c r="T24" s="148"/>
      <c r="U24" s="163"/>
      <c r="V24" s="163"/>
      <c r="W24" s="173"/>
      <c r="X24" s="64"/>
      <c r="Y24" s="148"/>
      <c r="Z24" s="163"/>
      <c r="AA24" s="163"/>
      <c r="AB24" s="173"/>
      <c r="AC24" s="64"/>
      <c r="AD24" s="148"/>
      <c r="AE24" s="163"/>
      <c r="AF24" s="163"/>
      <c r="AG24" s="173"/>
      <c r="AH24" s="64"/>
      <c r="AI24" s="148"/>
      <c r="AJ24" s="163"/>
      <c r="AK24" s="163"/>
      <c r="AL24" s="173"/>
      <c r="AM24" s="64"/>
      <c r="AN24" s="148"/>
      <c r="AO24" s="163"/>
      <c r="AP24" s="163"/>
      <c r="AQ24" s="173"/>
      <c r="AR24" s="64"/>
      <c r="AS24" s="148"/>
      <c r="AT24" s="163"/>
      <c r="AU24" s="163"/>
      <c r="AV24" s="173"/>
      <c r="AW24" s="64"/>
      <c r="AX24" s="148"/>
      <c r="AY24" s="163"/>
      <c r="AZ24" s="163"/>
      <c r="BA24" s="147"/>
      <c r="BB24" s="74"/>
      <c r="BC24" s="148"/>
      <c r="BD24" s="163"/>
      <c r="BE24" s="163"/>
      <c r="BF24" s="147"/>
      <c r="BG24" s="74"/>
      <c r="BH24" s="148"/>
      <c r="BI24" s="163"/>
      <c r="BJ24" s="163"/>
      <c r="BK24" s="147"/>
      <c r="BL24" s="74"/>
      <c r="BM24" s="148"/>
      <c r="BN24" s="163"/>
      <c r="BO24" s="163"/>
      <c r="BP24" s="147"/>
      <c r="BQ24" s="74"/>
      <c r="BR24" s="74"/>
      <c r="BS24" s="74"/>
      <c r="BU24" s="546"/>
      <c r="BV24" s="74"/>
      <c r="BW24" s="74"/>
      <c r="BX24" s="74"/>
      <c r="BY24" s="74"/>
      <c r="BZ24" s="74"/>
      <c r="CA24" s="74"/>
      <c r="CB24" s="74"/>
      <c r="CC24" s="74"/>
      <c r="CD24" s="74"/>
      <c r="CE24" s="74"/>
      <c r="CF24" s="74"/>
      <c r="CG24" s="74"/>
      <c r="CH24" s="74"/>
      <c r="CI24" s="74"/>
      <c r="CJ24" s="74"/>
      <c r="CK24" s="74"/>
      <c r="CL24" s="74"/>
      <c r="CM24" s="74"/>
      <c r="CN24" s="74"/>
      <c r="CO24" s="74"/>
      <c r="CP24" s="74"/>
      <c r="CQ24" s="74"/>
      <c r="CR24" s="74"/>
      <c r="CS24" s="74"/>
      <c r="CT24" s="74"/>
      <c r="CU24" s="74"/>
    </row>
    <row r="25" spans="1:104" s="570" customFormat="1">
      <c r="A25" s="568"/>
      <c r="B25" s="568"/>
      <c r="C25" s="569" t="s">
        <v>342</v>
      </c>
      <c r="D25" s="568"/>
      <c r="E25" s="142"/>
      <c r="F25" s="159"/>
      <c r="G25" s="159"/>
      <c r="H25" s="157"/>
      <c r="I25" s="544"/>
      <c r="J25" s="142"/>
      <c r="K25" s="159"/>
      <c r="L25" s="159"/>
      <c r="M25" s="157"/>
      <c r="N25" s="544"/>
      <c r="O25" s="142"/>
      <c r="P25" s="159"/>
      <c r="Q25" s="159"/>
      <c r="R25" s="157"/>
      <c r="S25" s="544"/>
      <c r="T25" s="142"/>
      <c r="U25" s="159"/>
      <c r="V25" s="159"/>
      <c r="W25" s="157"/>
      <c r="X25" s="544">
        <v>4</v>
      </c>
      <c r="Y25" s="142">
        <v>1</v>
      </c>
      <c r="Z25" s="159">
        <v>0</v>
      </c>
      <c r="AA25" s="159">
        <v>0</v>
      </c>
      <c r="AB25" s="157">
        <f>AC25-SUM(Y25:AA25)</f>
        <v>1</v>
      </c>
      <c r="AC25" s="544">
        <v>2</v>
      </c>
      <c r="AD25" s="142">
        <v>3</v>
      </c>
      <c r="AE25" s="159">
        <v>3</v>
      </c>
      <c r="AF25" s="159">
        <v>3</v>
      </c>
      <c r="AG25" s="157">
        <f>AH25-SUM(AD25:AF25)</f>
        <v>1.0999999999999996</v>
      </c>
      <c r="AH25" s="544">
        <v>10.1</v>
      </c>
      <c r="AI25" s="142">
        <v>2</v>
      </c>
      <c r="AJ25" s="159">
        <v>1</v>
      </c>
      <c r="AK25" s="159">
        <v>2</v>
      </c>
      <c r="AL25" s="157">
        <f>AM25-SUM(AI25:AK25)</f>
        <v>1.4000000000000004</v>
      </c>
      <c r="AM25" s="544">
        <v>6.4</v>
      </c>
      <c r="AN25" s="142">
        <v>2.2000000000000002</v>
      </c>
      <c r="AO25" s="159">
        <v>1.1000000000000001</v>
      </c>
      <c r="AP25" s="159">
        <v>1</v>
      </c>
      <c r="AQ25" s="157">
        <f>AR25-SUM(AN25:AP25)</f>
        <v>10.5</v>
      </c>
      <c r="AR25" s="544">
        <f>14.8</f>
        <v>14.8</v>
      </c>
      <c r="AS25" s="142">
        <v>3.5</v>
      </c>
      <c r="AT25" s="159">
        <v>0.9</v>
      </c>
      <c r="AU25" s="159">
        <v>1.2</v>
      </c>
      <c r="AV25" s="157">
        <f>AW25-SUM(AS25:AU25)</f>
        <v>2.0999999999999996</v>
      </c>
      <c r="AW25" s="544">
        <v>7.7</v>
      </c>
      <c r="AX25" s="578">
        <f t="shared" ref="AX25:BB25" si="25">+AS25</f>
        <v>3.5</v>
      </c>
      <c r="AY25" s="579">
        <f t="shared" si="25"/>
        <v>0.9</v>
      </c>
      <c r="AZ25" s="579">
        <f t="shared" si="25"/>
        <v>1.2</v>
      </c>
      <c r="BA25" s="580">
        <f t="shared" si="25"/>
        <v>2.0999999999999996</v>
      </c>
      <c r="BB25" s="568">
        <f t="shared" si="25"/>
        <v>7.7</v>
      </c>
      <c r="BC25" s="578">
        <f t="shared" ref="BC25:BL25" si="26">+AX25</f>
        <v>3.5</v>
      </c>
      <c r="BD25" s="579">
        <f t="shared" si="26"/>
        <v>0.9</v>
      </c>
      <c r="BE25" s="579">
        <f t="shared" si="26"/>
        <v>1.2</v>
      </c>
      <c r="BF25" s="580">
        <f t="shared" si="26"/>
        <v>2.0999999999999996</v>
      </c>
      <c r="BG25" s="568">
        <f t="shared" si="26"/>
        <v>7.7</v>
      </c>
      <c r="BH25" s="578">
        <f t="shared" si="26"/>
        <v>3.5</v>
      </c>
      <c r="BI25" s="579">
        <f t="shared" si="26"/>
        <v>0.9</v>
      </c>
      <c r="BJ25" s="579">
        <f t="shared" si="26"/>
        <v>1.2</v>
      </c>
      <c r="BK25" s="580">
        <f t="shared" si="26"/>
        <v>2.0999999999999996</v>
      </c>
      <c r="BL25" s="568">
        <f t="shared" si="26"/>
        <v>7.7</v>
      </c>
      <c r="BM25" s="578">
        <f>+BH25</f>
        <v>3.5</v>
      </c>
      <c r="BN25" s="579">
        <f>+BI25</f>
        <v>0.9</v>
      </c>
      <c r="BO25" s="579">
        <f>+BJ25</f>
        <v>1.2</v>
      </c>
      <c r="BP25" s="580">
        <f>+BK25</f>
        <v>2.0999999999999996</v>
      </c>
      <c r="BQ25" s="568">
        <f>+BL25</f>
        <v>7.7</v>
      </c>
      <c r="BR25" s="568"/>
      <c r="BS25" s="568"/>
      <c r="BT25"/>
      <c r="BU25" s="546"/>
      <c r="BV25" s="568"/>
      <c r="BW25" s="568"/>
      <c r="BX25" s="568"/>
      <c r="BY25" s="568"/>
      <c r="BZ25" s="568"/>
      <c r="CA25" s="568"/>
      <c r="CB25" s="568"/>
      <c r="CC25" s="568"/>
      <c r="CD25" s="568"/>
      <c r="CE25" s="568"/>
      <c r="CF25" s="568"/>
      <c r="CG25" s="568"/>
      <c r="CH25" s="568"/>
      <c r="CI25" s="568"/>
      <c r="CJ25" s="568"/>
      <c r="CK25" s="568"/>
      <c r="CL25" s="568"/>
      <c r="CM25" s="568"/>
      <c r="CN25" s="568"/>
      <c r="CO25" s="568"/>
      <c r="CP25" s="568"/>
      <c r="CQ25" s="568"/>
      <c r="CR25" s="568"/>
      <c r="CS25" s="568"/>
      <c r="CT25" s="568"/>
      <c r="CU25" s="568"/>
      <c r="CV25" s="568"/>
      <c r="CW25" s="568"/>
      <c r="CX25" s="568"/>
      <c r="CY25" s="568"/>
      <c r="CZ25" s="568"/>
    </row>
    <row r="26" spans="1:104">
      <c r="A26" s="74"/>
      <c r="B26" s="74"/>
      <c r="C26" s="50" t="s">
        <v>5</v>
      </c>
      <c r="D26" s="72"/>
      <c r="E26" s="142"/>
      <c r="F26" s="143"/>
      <c r="G26" s="143"/>
      <c r="H26" s="157"/>
      <c r="I26" s="145"/>
      <c r="J26" s="142"/>
      <c r="K26" s="143"/>
      <c r="L26" s="143"/>
      <c r="M26" s="157"/>
      <c r="N26" s="145"/>
      <c r="O26" s="142"/>
      <c r="P26" s="143"/>
      <c r="Q26" s="143"/>
      <c r="R26" s="157"/>
      <c r="S26" s="145"/>
      <c r="T26" s="142"/>
      <c r="U26" s="143"/>
      <c r="V26" s="143"/>
      <c r="W26" s="157"/>
      <c r="X26" s="145">
        <v>291</v>
      </c>
      <c r="Y26" s="142">
        <v>75</v>
      </c>
      <c r="Z26" s="143">
        <v>72</v>
      </c>
      <c r="AA26" s="143">
        <v>72</v>
      </c>
      <c r="AB26" s="157">
        <f>AC26-SUM(Y26:AA26)</f>
        <v>73</v>
      </c>
      <c r="AC26" s="145">
        <v>292</v>
      </c>
      <c r="AD26" s="142">
        <v>70</v>
      </c>
      <c r="AE26" s="143">
        <v>72</v>
      </c>
      <c r="AF26" s="143">
        <v>68</v>
      </c>
      <c r="AG26" s="157">
        <f>AH26-SUM(AD26:AF26)</f>
        <v>70.300000000000011</v>
      </c>
      <c r="AH26" s="145">
        <v>280.3</v>
      </c>
      <c r="AI26" s="142">
        <v>70</v>
      </c>
      <c r="AJ26" s="143">
        <v>68</v>
      </c>
      <c r="AK26" s="143">
        <v>68</v>
      </c>
      <c r="AL26" s="157">
        <f>AM26-SUM(AI26:AK26)</f>
        <v>70.199999999999989</v>
      </c>
      <c r="AM26" s="145">
        <v>276.2</v>
      </c>
      <c r="AN26" s="142">
        <v>67.2</v>
      </c>
      <c r="AO26" s="143">
        <v>65.400000000000006</v>
      </c>
      <c r="AP26" s="143">
        <v>63.2</v>
      </c>
      <c r="AQ26" s="157">
        <f>AR26-SUM(AN26:AP26)</f>
        <v>61.099999999999966</v>
      </c>
      <c r="AR26" s="145">
        <v>256.89999999999998</v>
      </c>
      <c r="AS26" s="142">
        <v>60</v>
      </c>
      <c r="AT26" s="143">
        <v>61.5</v>
      </c>
      <c r="AU26" s="143">
        <v>61</v>
      </c>
      <c r="AV26" s="157">
        <f>AW26-SUM(AS26:AU26)</f>
        <v>61.599999999999994</v>
      </c>
      <c r="AW26" s="145">
        <v>244.1</v>
      </c>
      <c r="AX26" s="148">
        <f>+AS26+AX146+AX148+AX149</f>
        <v>63.47326373462333</v>
      </c>
      <c r="AY26" s="146">
        <f>+AT26+AY146+AY148+AY149</f>
        <v>61.663623838173791</v>
      </c>
      <c r="AZ26" s="146">
        <f>+AU26+AZ146+AZ148+AZ149</f>
        <v>60.629821907244988</v>
      </c>
      <c r="BA26" s="147">
        <f>+AV26+BA146+BA148+BA149</f>
        <v>69.488317044085036</v>
      </c>
      <c r="BB26" s="72">
        <f>SUM(AX26:BA26)</f>
        <v>255.25502652412712</v>
      </c>
      <c r="BC26" s="148">
        <f>+AX26+BC146+BC148+BC149</f>
        <v>68.279026140732284</v>
      </c>
      <c r="BD26" s="146">
        <f>+AY26+BD146+BD148+BD149</f>
        <v>67.90965710498503</v>
      </c>
      <c r="BE26" s="146">
        <f>+AZ26+BE146+BE148+BE149</f>
        <v>77.986060478407936</v>
      </c>
      <c r="BF26" s="147">
        <f>+BA26+BF146+BF148+BF149</f>
        <v>76.610868661975672</v>
      </c>
      <c r="BG26" s="72">
        <f>SUM(BC26:BF26)</f>
        <v>290.78561238610087</v>
      </c>
      <c r="BH26" s="148">
        <f>+BC26+BH146+BH148+BH149</f>
        <v>75.390908373573382</v>
      </c>
      <c r="BI26" s="146">
        <f>+BD26+BI146+BI148+BI149</f>
        <v>74.473639004122887</v>
      </c>
      <c r="BJ26" s="146">
        <f>+BE26+BJ146+BJ148+BJ149</f>
        <v>83.325718702342016</v>
      </c>
      <c r="BK26" s="147">
        <f>+BF26+BK146+BK148+BK149</f>
        <v>79.980054530247386</v>
      </c>
      <c r="BL26" s="72">
        <f>SUM(BH26:BK26)</f>
        <v>313.17032061028567</v>
      </c>
      <c r="BM26" s="148">
        <f>+BH26+BM146+BM148+BM149</f>
        <v>78.792699920682225</v>
      </c>
      <c r="BN26" s="146">
        <f>+BI26+BN146+BN148+BN149</f>
        <v>77.301505453795045</v>
      </c>
      <c r="BO26" s="146">
        <f>+BJ26+BO146+BO148+BO149</f>
        <v>94.675932011034803</v>
      </c>
      <c r="BP26" s="147">
        <f>+BK26+BP146+BP148+BP149</f>
        <v>81.290420847490878</v>
      </c>
      <c r="BQ26" s="72">
        <f>SUM(BM26:BP26)</f>
        <v>332.06055823300295</v>
      </c>
      <c r="BR26" s="568"/>
      <c r="BS26" s="568"/>
      <c r="BU26" s="546"/>
      <c r="BV26" s="568"/>
      <c r="BW26" s="568"/>
      <c r="BX26" s="568"/>
      <c r="BY26" s="568"/>
      <c r="BZ26" s="568"/>
      <c r="CA26" s="568"/>
      <c r="CB26" s="568"/>
      <c r="CC26" s="568"/>
      <c r="CD26" s="568"/>
      <c r="CE26" s="74"/>
      <c r="CF26" s="74"/>
      <c r="CG26" s="74"/>
      <c r="CH26" s="74"/>
      <c r="CI26" s="74"/>
      <c r="CJ26" s="74"/>
      <c r="CK26" s="74"/>
      <c r="CL26" s="74"/>
      <c r="CM26" s="74"/>
      <c r="CN26" s="74"/>
      <c r="CO26" s="74"/>
      <c r="CP26" s="74"/>
      <c r="CQ26" s="74"/>
      <c r="CR26" s="74"/>
      <c r="CS26" s="74"/>
      <c r="CT26" s="74"/>
      <c r="CU26" s="74"/>
    </row>
    <row r="27" spans="1:104">
      <c r="A27" s="74"/>
      <c r="B27" s="74"/>
      <c r="C27" s="56" t="s">
        <v>6</v>
      </c>
      <c r="D27" s="72"/>
      <c r="E27" s="149"/>
      <c r="F27" s="150"/>
      <c r="G27" s="150"/>
      <c r="H27" s="151"/>
      <c r="I27" s="112"/>
      <c r="J27" s="149"/>
      <c r="K27" s="150"/>
      <c r="L27" s="150"/>
      <c r="M27" s="151"/>
      <c r="N27" s="112"/>
      <c r="O27" s="149"/>
      <c r="P27" s="150"/>
      <c r="Q27" s="150"/>
      <c r="R27" s="151"/>
      <c r="S27" s="112"/>
      <c r="T27" s="149"/>
      <c r="U27" s="150"/>
      <c r="V27" s="150"/>
      <c r="W27" s="151"/>
      <c r="X27" s="112">
        <f t="shared" ref="X27:AF27" si="27">X26-X25</f>
        <v>287</v>
      </c>
      <c r="Y27" s="149">
        <f t="shared" si="27"/>
        <v>74</v>
      </c>
      <c r="Z27" s="150">
        <f t="shared" si="27"/>
        <v>72</v>
      </c>
      <c r="AA27" s="150">
        <f t="shared" si="27"/>
        <v>72</v>
      </c>
      <c r="AB27" s="151">
        <f>AB26-AB25</f>
        <v>72</v>
      </c>
      <c r="AC27" s="112">
        <f t="shared" si="27"/>
        <v>290</v>
      </c>
      <c r="AD27" s="149">
        <f t="shared" si="27"/>
        <v>67</v>
      </c>
      <c r="AE27" s="150">
        <f t="shared" si="27"/>
        <v>69</v>
      </c>
      <c r="AF27" s="150">
        <f t="shared" si="27"/>
        <v>65</v>
      </c>
      <c r="AG27" s="151">
        <f t="shared" ref="AG27:AM27" si="28">AG26-AG25</f>
        <v>69.200000000000017</v>
      </c>
      <c r="AH27" s="112">
        <f t="shared" si="28"/>
        <v>270.2</v>
      </c>
      <c r="AI27" s="149">
        <f t="shared" si="28"/>
        <v>68</v>
      </c>
      <c r="AJ27" s="150">
        <f t="shared" si="28"/>
        <v>67</v>
      </c>
      <c r="AK27" s="150">
        <f t="shared" si="28"/>
        <v>66</v>
      </c>
      <c r="AL27" s="151">
        <f t="shared" si="28"/>
        <v>68.799999999999983</v>
      </c>
      <c r="AM27" s="112">
        <f t="shared" si="28"/>
        <v>269.8</v>
      </c>
      <c r="AN27" s="149">
        <f t="shared" ref="AN27:AS27" si="29">AN26-AN25</f>
        <v>65</v>
      </c>
      <c r="AO27" s="150">
        <f t="shared" si="29"/>
        <v>64.300000000000011</v>
      </c>
      <c r="AP27" s="150">
        <f t="shared" si="29"/>
        <v>62.2</v>
      </c>
      <c r="AQ27" s="151">
        <f t="shared" si="29"/>
        <v>50.599999999999966</v>
      </c>
      <c r="AR27" s="112">
        <f t="shared" si="29"/>
        <v>242.09999999999997</v>
      </c>
      <c r="AS27" s="149">
        <f t="shared" si="29"/>
        <v>56.5</v>
      </c>
      <c r="AT27" s="150">
        <f t="shared" ref="AT27:BB27" si="30">AT26-AT25</f>
        <v>60.6</v>
      </c>
      <c r="AU27" s="150">
        <f t="shared" si="30"/>
        <v>59.8</v>
      </c>
      <c r="AV27" s="151">
        <f t="shared" si="30"/>
        <v>59.499999999999993</v>
      </c>
      <c r="AW27" s="112">
        <f t="shared" si="30"/>
        <v>236.4</v>
      </c>
      <c r="AX27" s="149">
        <f t="shared" si="30"/>
        <v>59.97326373462333</v>
      </c>
      <c r="AY27" s="150">
        <f t="shared" si="30"/>
        <v>60.763623838173793</v>
      </c>
      <c r="AZ27" s="150">
        <f t="shared" si="30"/>
        <v>59.429821907244985</v>
      </c>
      <c r="BA27" s="151">
        <f t="shared" si="30"/>
        <v>67.388317044085042</v>
      </c>
      <c r="BB27" s="112">
        <f t="shared" si="30"/>
        <v>247.55502652412713</v>
      </c>
      <c r="BC27" s="149">
        <f t="shared" ref="BC27:BL27" si="31">BC26-BC25</f>
        <v>64.779026140732284</v>
      </c>
      <c r="BD27" s="150">
        <f t="shared" si="31"/>
        <v>67.009657104985024</v>
      </c>
      <c r="BE27" s="150">
        <f t="shared" si="31"/>
        <v>76.786060478407933</v>
      </c>
      <c r="BF27" s="151">
        <f t="shared" si="31"/>
        <v>74.510868661975678</v>
      </c>
      <c r="BG27" s="112">
        <f t="shared" si="31"/>
        <v>283.08561238610088</v>
      </c>
      <c r="BH27" s="149">
        <f t="shared" si="31"/>
        <v>71.890908373573382</v>
      </c>
      <c r="BI27" s="150">
        <f t="shared" si="31"/>
        <v>73.573639004122882</v>
      </c>
      <c r="BJ27" s="150">
        <f t="shared" si="31"/>
        <v>82.125718702342013</v>
      </c>
      <c r="BK27" s="151">
        <f t="shared" si="31"/>
        <v>77.880054530247392</v>
      </c>
      <c r="BL27" s="112">
        <f t="shared" si="31"/>
        <v>305.47032061028568</v>
      </c>
      <c r="BM27" s="149">
        <f>BM26-BM25</f>
        <v>75.292699920682225</v>
      </c>
      <c r="BN27" s="150">
        <f>BN26-BN25</f>
        <v>76.401505453795039</v>
      </c>
      <c r="BO27" s="150">
        <f>BO26-BO25</f>
        <v>93.4759320110348</v>
      </c>
      <c r="BP27" s="151">
        <f>BP26-BP25</f>
        <v>79.190420847490884</v>
      </c>
      <c r="BQ27" s="112">
        <f>BQ26-BQ25</f>
        <v>324.36055823300296</v>
      </c>
      <c r="BR27" s="74"/>
      <c r="BS27" s="74"/>
      <c r="BU27" s="546"/>
      <c r="BV27" s="74"/>
      <c r="BW27" s="74"/>
      <c r="BX27" s="74"/>
      <c r="BY27" s="74"/>
      <c r="BZ27" s="74"/>
      <c r="CA27" s="74"/>
      <c r="CB27" s="74"/>
      <c r="CC27" s="74"/>
      <c r="CD27" s="74"/>
      <c r="CE27" s="74"/>
      <c r="CF27" s="74"/>
      <c r="CG27" s="74"/>
      <c r="CH27" s="74"/>
      <c r="CI27" s="74"/>
      <c r="CJ27" s="74"/>
      <c r="CK27" s="74"/>
      <c r="CL27" s="74"/>
      <c r="CM27" s="74"/>
      <c r="CN27" s="74"/>
      <c r="CO27" s="74"/>
      <c r="CP27" s="74"/>
      <c r="CQ27" s="74"/>
      <c r="CR27" s="74"/>
      <c r="CS27" s="74"/>
      <c r="CT27" s="74"/>
      <c r="CU27" s="74"/>
    </row>
    <row r="28" spans="1:104">
      <c r="A28" s="74"/>
      <c r="B28" s="74"/>
      <c r="C28" s="50"/>
      <c r="D28" s="72"/>
      <c r="E28" s="148"/>
      <c r="F28" s="163"/>
      <c r="G28" s="163"/>
      <c r="H28" s="173"/>
      <c r="I28" s="64"/>
      <c r="J28" s="148"/>
      <c r="K28" s="163"/>
      <c r="L28" s="163"/>
      <c r="M28" s="173"/>
      <c r="N28" s="64"/>
      <c r="O28" s="148"/>
      <c r="P28" s="163"/>
      <c r="Q28" s="163"/>
      <c r="R28" s="173"/>
      <c r="S28" s="64"/>
      <c r="T28" s="148"/>
      <c r="U28" s="163"/>
      <c r="V28" s="163"/>
      <c r="W28" s="173"/>
      <c r="X28" s="64"/>
      <c r="Y28" s="148"/>
      <c r="Z28" s="163"/>
      <c r="AA28" s="163"/>
      <c r="AB28" s="173"/>
      <c r="AC28" s="64"/>
      <c r="AD28" s="148"/>
      <c r="AE28" s="163"/>
      <c r="AF28" s="163"/>
      <c r="AG28" s="173"/>
      <c r="AH28" s="64"/>
      <c r="AI28" s="148"/>
      <c r="AJ28" s="163"/>
      <c r="AK28" s="163"/>
      <c r="AL28" s="173"/>
      <c r="AM28" s="64"/>
      <c r="AN28" s="148"/>
      <c r="AO28" s="163"/>
      <c r="AP28" s="163"/>
      <c r="AQ28" s="173"/>
      <c r="AR28" s="64"/>
      <c r="AS28" s="148"/>
      <c r="AT28" s="163"/>
      <c r="AU28" s="163"/>
      <c r="AV28" s="173"/>
      <c r="AW28" s="64"/>
      <c r="AX28" s="148"/>
      <c r="AY28" s="163"/>
      <c r="AZ28" s="163"/>
      <c r="BA28" s="147"/>
      <c r="BB28" s="74"/>
      <c r="BC28" s="148"/>
      <c r="BD28" s="163"/>
      <c r="BE28" s="163"/>
      <c r="BF28" s="147"/>
      <c r="BG28" s="74"/>
      <c r="BH28" s="148"/>
      <c r="BI28" s="163"/>
      <c r="BJ28" s="163"/>
      <c r="BK28" s="147"/>
      <c r="BL28" s="74"/>
      <c r="BM28" s="148"/>
      <c r="BN28" s="163"/>
      <c r="BO28" s="163"/>
      <c r="BP28" s="147"/>
      <c r="BQ28" s="74"/>
      <c r="BR28" s="74"/>
      <c r="BS28" s="74"/>
      <c r="BU28" s="546"/>
      <c r="BV28" s="74"/>
      <c r="BW28" s="74"/>
      <c r="BX28" s="74"/>
      <c r="BY28" s="74"/>
      <c r="BZ28" s="74"/>
      <c r="CA28" s="74"/>
      <c r="CB28" s="74"/>
      <c r="CC28" s="74"/>
      <c r="CD28" s="74"/>
      <c r="CE28" s="74"/>
      <c r="CF28" s="74"/>
      <c r="CG28" s="74"/>
      <c r="CH28" s="74"/>
      <c r="CI28" s="74"/>
      <c r="CJ28" s="74"/>
      <c r="CK28" s="74"/>
      <c r="CL28" s="74"/>
      <c r="CM28" s="74"/>
      <c r="CN28" s="74"/>
      <c r="CO28" s="74"/>
      <c r="CP28" s="74"/>
      <c r="CQ28" s="74"/>
      <c r="CR28" s="74"/>
      <c r="CS28" s="74"/>
      <c r="CT28" s="74"/>
      <c r="CU28" s="74"/>
    </row>
    <row r="29" spans="1:104">
      <c r="A29" s="74"/>
      <c r="B29" s="74"/>
      <c r="C29" s="56" t="s">
        <v>7</v>
      </c>
      <c r="D29" s="109"/>
      <c r="E29" s="149"/>
      <c r="F29" s="150"/>
      <c r="G29" s="150"/>
      <c r="H29" s="151"/>
      <c r="I29" s="112"/>
      <c r="J29" s="149"/>
      <c r="K29" s="150"/>
      <c r="L29" s="150"/>
      <c r="M29" s="151"/>
      <c r="N29" s="112"/>
      <c r="O29" s="149"/>
      <c r="P29" s="150"/>
      <c r="Q29" s="150"/>
      <c r="R29" s="151"/>
      <c r="S29" s="112"/>
      <c r="T29" s="149"/>
      <c r="U29" s="150"/>
      <c r="V29" s="150"/>
      <c r="W29" s="151"/>
      <c r="X29" s="112">
        <f t="shared" ref="X29:AM29" si="32">+X22-X27</f>
        <v>590</v>
      </c>
      <c r="Y29" s="149">
        <f t="shared" si="32"/>
        <v>135</v>
      </c>
      <c r="Z29" s="150">
        <f t="shared" si="32"/>
        <v>116</v>
      </c>
      <c r="AA29" s="150">
        <f t="shared" si="32"/>
        <v>185</v>
      </c>
      <c r="AB29" s="151">
        <f t="shared" si="32"/>
        <v>120</v>
      </c>
      <c r="AC29" s="112">
        <f t="shared" si="32"/>
        <v>556</v>
      </c>
      <c r="AD29" s="149">
        <f t="shared" si="32"/>
        <v>151</v>
      </c>
      <c r="AE29" s="150">
        <f t="shared" si="32"/>
        <v>144</v>
      </c>
      <c r="AF29" s="150">
        <f t="shared" si="32"/>
        <v>143</v>
      </c>
      <c r="AG29" s="151">
        <f t="shared" si="32"/>
        <v>125.90000000000049</v>
      </c>
      <c r="AH29" s="112">
        <f t="shared" si="32"/>
        <v>563.90000000000077</v>
      </c>
      <c r="AI29" s="149">
        <f t="shared" si="32"/>
        <v>151</v>
      </c>
      <c r="AJ29" s="150">
        <f t="shared" si="32"/>
        <v>121</v>
      </c>
      <c r="AK29" s="150">
        <f t="shared" si="32"/>
        <v>172</v>
      </c>
      <c r="AL29" s="151">
        <f t="shared" si="32"/>
        <v>93.900000000000261</v>
      </c>
      <c r="AM29" s="112">
        <f t="shared" si="32"/>
        <v>537.90000000000009</v>
      </c>
      <c r="AN29" s="149">
        <f t="shared" ref="AN29:AS29" si="33">+AN22-AN27</f>
        <v>161.29999999999995</v>
      </c>
      <c r="AO29" s="150">
        <f t="shared" si="33"/>
        <v>183.39999999999992</v>
      </c>
      <c r="AP29" s="150">
        <f t="shared" si="33"/>
        <v>225.49999999999994</v>
      </c>
      <c r="AQ29" s="151">
        <f t="shared" si="33"/>
        <v>117.00000000000014</v>
      </c>
      <c r="AR29" s="112">
        <f t="shared" si="33"/>
        <v>687.19999999999959</v>
      </c>
      <c r="AS29" s="149">
        <f t="shared" si="33"/>
        <v>182.90000000000015</v>
      </c>
      <c r="AT29" s="150">
        <f t="shared" ref="AT29:BB29" si="34">+AT22-AT27</f>
        <v>170.4</v>
      </c>
      <c r="AU29" s="150">
        <f t="shared" si="34"/>
        <v>221.39999999999998</v>
      </c>
      <c r="AV29" s="151">
        <f t="shared" si="34"/>
        <v>188.90000000000026</v>
      </c>
      <c r="AW29" s="112">
        <f t="shared" si="34"/>
        <v>763.59999999999968</v>
      </c>
      <c r="AX29" s="149">
        <f t="shared" si="34"/>
        <v>177.30342224987373</v>
      </c>
      <c r="AY29" s="150">
        <f t="shared" si="34"/>
        <v>171.49141010092563</v>
      </c>
      <c r="AZ29" s="150">
        <f t="shared" si="34"/>
        <v>239.7918728887569</v>
      </c>
      <c r="BA29" s="151">
        <f t="shared" si="34"/>
        <v>154.97313147806273</v>
      </c>
      <c r="BB29" s="112">
        <f t="shared" si="34"/>
        <v>743.55983671761953</v>
      </c>
      <c r="BC29" s="149">
        <f t="shared" ref="BC29:BL29" si="35">+BC22-BC27</f>
        <v>193.47518313105587</v>
      </c>
      <c r="BD29" s="150">
        <f t="shared" si="35"/>
        <v>183.06351607504135</v>
      </c>
      <c r="BE29" s="150">
        <f t="shared" si="35"/>
        <v>247.44577196819267</v>
      </c>
      <c r="BF29" s="151">
        <f t="shared" si="35"/>
        <v>166.55155963294027</v>
      </c>
      <c r="BG29" s="112">
        <f t="shared" si="35"/>
        <v>790.5360308072311</v>
      </c>
      <c r="BH29" s="149">
        <f t="shared" si="35"/>
        <v>207.61080766923453</v>
      </c>
      <c r="BI29" s="150">
        <f t="shared" si="35"/>
        <v>199.4013875850614</v>
      </c>
      <c r="BJ29" s="150">
        <f t="shared" si="35"/>
        <v>272.91007998781214</v>
      </c>
      <c r="BK29" s="151">
        <f t="shared" si="35"/>
        <v>187.08793233324309</v>
      </c>
      <c r="BL29" s="112">
        <f t="shared" si="35"/>
        <v>867.01020757535116</v>
      </c>
      <c r="BM29" s="149">
        <f>+BM22-BM27</f>
        <v>222.73068263326113</v>
      </c>
      <c r="BN29" s="150">
        <f>+BN22-BN27</f>
        <v>218.95559162270752</v>
      </c>
      <c r="BO29" s="150">
        <f>+BO22-BO27</f>
        <v>289.04368973428501</v>
      </c>
      <c r="BP29" s="151">
        <f>+BP22-BP27</f>
        <v>207.47967939998478</v>
      </c>
      <c r="BQ29" s="112">
        <f>+BQ22-BQ27</f>
        <v>938.20964339023897</v>
      </c>
      <c r="BR29" s="74"/>
      <c r="BS29" s="74"/>
      <c r="BU29" s="546"/>
      <c r="BV29" s="74"/>
      <c r="CB29" s="74"/>
      <c r="CC29" s="74"/>
      <c r="CD29" s="74"/>
      <c r="CE29" s="74"/>
      <c r="CF29" s="74"/>
      <c r="CG29" s="74"/>
      <c r="CH29" s="74"/>
      <c r="CI29" s="74"/>
      <c r="CJ29" s="74"/>
      <c r="CK29" s="74"/>
      <c r="CL29" s="74"/>
      <c r="CM29" s="74"/>
      <c r="CN29" s="74"/>
      <c r="CO29" s="74"/>
      <c r="CP29" s="74"/>
      <c r="CQ29" s="74"/>
      <c r="CR29" s="74"/>
      <c r="CS29" s="74"/>
      <c r="CT29" s="74"/>
      <c r="CU29" s="74"/>
    </row>
    <row r="30" spans="1:104">
      <c r="A30" s="74"/>
      <c r="B30" s="74"/>
      <c r="C30" s="50"/>
      <c r="D30" s="72"/>
      <c r="E30" s="148"/>
      <c r="F30" s="163"/>
      <c r="G30" s="163"/>
      <c r="H30" s="147"/>
      <c r="I30" s="72"/>
      <c r="J30" s="148"/>
      <c r="K30" s="163"/>
      <c r="L30" s="163"/>
      <c r="M30" s="147"/>
      <c r="N30" s="72"/>
      <c r="O30" s="148"/>
      <c r="P30" s="163"/>
      <c r="Q30" s="163"/>
      <c r="R30" s="147"/>
      <c r="S30" s="72"/>
      <c r="T30" s="148"/>
      <c r="U30" s="163"/>
      <c r="V30" s="163"/>
      <c r="W30" s="147"/>
      <c r="X30" s="72"/>
      <c r="Y30" s="148"/>
      <c r="Z30" s="163"/>
      <c r="AA30" s="163"/>
      <c r="AB30" s="147"/>
      <c r="AC30" s="72"/>
      <c r="AD30" s="148"/>
      <c r="AE30" s="163"/>
      <c r="AF30" s="163"/>
      <c r="AG30" s="147"/>
      <c r="AH30" s="72"/>
      <c r="AI30" s="148"/>
      <c r="AJ30" s="163"/>
      <c r="AK30" s="163"/>
      <c r="AL30" s="147"/>
      <c r="AM30" s="72"/>
      <c r="AN30" s="148"/>
      <c r="AO30" s="163"/>
      <c r="AP30" s="163"/>
      <c r="AQ30" s="147"/>
      <c r="AR30" s="72"/>
      <c r="AS30" s="148"/>
      <c r="AT30" s="163"/>
      <c r="AU30" s="163"/>
      <c r="AV30" s="147"/>
      <c r="AW30" s="72"/>
      <c r="AX30" s="148"/>
      <c r="AY30" s="163"/>
      <c r="AZ30" s="163"/>
      <c r="BA30" s="147"/>
      <c r="BB30" s="74"/>
      <c r="BC30" s="148"/>
      <c r="BD30" s="163"/>
      <c r="BE30" s="163"/>
      <c r="BF30" s="147"/>
      <c r="BG30" s="74"/>
      <c r="BH30" s="148"/>
      <c r="BI30" s="163"/>
      <c r="BJ30" s="163"/>
      <c r="BK30" s="147"/>
      <c r="BL30" s="74"/>
      <c r="BM30" s="148"/>
      <c r="BN30" s="163"/>
      <c r="BO30" s="163"/>
      <c r="BP30" s="147"/>
      <c r="BQ30" s="74"/>
      <c r="BR30" s="492"/>
      <c r="BS30" s="492"/>
      <c r="BU30" s="546"/>
      <c r="BV30" s="492"/>
      <c r="CB30" s="74"/>
      <c r="CC30" s="74"/>
      <c r="CD30" s="74"/>
      <c r="CE30" s="74"/>
      <c r="CF30" s="74"/>
      <c r="CG30" s="74"/>
      <c r="CH30" s="74"/>
      <c r="CI30" s="74"/>
      <c r="CJ30" s="74"/>
      <c r="CK30" s="74"/>
      <c r="CL30" s="74"/>
      <c r="CM30" s="74"/>
      <c r="CN30" s="74"/>
      <c r="CO30" s="74"/>
      <c r="CP30" s="74"/>
      <c r="CQ30" s="74"/>
      <c r="CR30" s="74"/>
      <c r="CS30" s="74"/>
      <c r="CT30" s="74"/>
      <c r="CU30" s="74"/>
    </row>
    <row r="31" spans="1:104">
      <c r="A31" s="74"/>
      <c r="B31" s="74"/>
      <c r="C31" s="50" t="s">
        <v>8</v>
      </c>
      <c r="D31" s="72"/>
      <c r="E31" s="142"/>
      <c r="F31" s="143"/>
      <c r="G31" s="143"/>
      <c r="H31" s="157"/>
      <c r="I31" s="145"/>
      <c r="J31" s="142"/>
      <c r="K31" s="143"/>
      <c r="L31" s="143"/>
      <c r="M31" s="157"/>
      <c r="N31" s="145"/>
      <c r="O31" s="142"/>
      <c r="P31" s="143"/>
      <c r="Q31" s="143"/>
      <c r="R31" s="157"/>
      <c r="S31" s="145"/>
      <c r="T31" s="142"/>
      <c r="U31" s="143"/>
      <c r="V31" s="143"/>
      <c r="W31" s="157"/>
      <c r="X31" s="145">
        <v>201</v>
      </c>
      <c r="Y31" s="142">
        <v>48</v>
      </c>
      <c r="Z31" s="143">
        <v>41</v>
      </c>
      <c r="AA31" s="143">
        <v>66</v>
      </c>
      <c r="AB31" s="157">
        <f>AC31-SUM(Y31:AA31)</f>
        <v>43</v>
      </c>
      <c r="AC31" s="145">
        <v>198</v>
      </c>
      <c r="AD31" s="142">
        <v>54</v>
      </c>
      <c r="AE31" s="143">
        <v>54</v>
      </c>
      <c r="AF31" s="143">
        <v>51</v>
      </c>
      <c r="AG31" s="157">
        <f>AH31-SUM(AD31:AF31)</f>
        <v>52.699999999999989</v>
      </c>
      <c r="AH31" s="145">
        <v>211.7</v>
      </c>
      <c r="AI31" s="142">
        <v>54</v>
      </c>
      <c r="AJ31" s="143">
        <v>43</v>
      </c>
      <c r="AK31" s="143">
        <v>59</v>
      </c>
      <c r="AL31" s="157">
        <f>AM31-SUM(AI31:AK31)</f>
        <v>29.5</v>
      </c>
      <c r="AM31" s="145">
        <v>185.5</v>
      </c>
      <c r="AN31" s="142">
        <v>53.3</v>
      </c>
      <c r="AO31" s="143">
        <v>58.8</v>
      </c>
      <c r="AP31" s="143">
        <v>70</v>
      </c>
      <c r="AQ31" s="157">
        <f>AR31-SUM(AN31:AP31)</f>
        <v>23</v>
      </c>
      <c r="AR31" s="145">
        <v>205.1</v>
      </c>
      <c r="AS31" s="142">
        <v>63.8</v>
      </c>
      <c r="AT31" s="143">
        <v>59.2</v>
      </c>
      <c r="AU31" s="143">
        <v>77.400000000000006</v>
      </c>
      <c r="AV31" s="157">
        <f>AW31-SUM(AS31:AU31)</f>
        <v>-73.2</v>
      </c>
      <c r="AW31" s="145">
        <v>127.2</v>
      </c>
      <c r="AX31" s="148">
        <f>AX59*(AX29-AX19)</f>
        <v>40.62644393365553</v>
      </c>
      <c r="AY31" s="146">
        <f>AY59*(AY29-AY19)</f>
        <v>39.231561017907985</v>
      </c>
      <c r="AZ31" s="146">
        <f>AZ59*(AZ29-AZ19)</f>
        <v>55.62367208698749</v>
      </c>
      <c r="BA31" s="147">
        <f>BA59*(BA29-BA19)</f>
        <v>35.267174148420885</v>
      </c>
      <c r="BB31" s="72">
        <f>SUM(AX31:BA31)</f>
        <v>170.74885118697188</v>
      </c>
      <c r="BC31" s="148">
        <f>BC59*(BC29-BC19)</f>
        <v>44.70839830848626</v>
      </c>
      <c r="BD31" s="146">
        <f>BD59*(BD29-BD19)</f>
        <v>42.209598215042774</v>
      </c>
      <c r="BE31" s="146">
        <f>BE59*(BE29-BE19)</f>
        <v>57.661339629399095</v>
      </c>
      <c r="BF31" s="147">
        <f>BF59*(BF29-BF19)</f>
        <v>38.246728668938516</v>
      </c>
      <c r="BG31" s="72">
        <f>SUM(BC31:BF31)</f>
        <v>182.82606482186665</v>
      </c>
      <c r="BH31" s="148">
        <f>BH59*(BH29-BH19)</f>
        <v>48.354560909404782</v>
      </c>
      <c r="BI31" s="146">
        <f>BI59*(BI29-BI19)</f>
        <v>46.384300089203229</v>
      </c>
      <c r="BJ31" s="146">
        <f>BJ59*(BJ29-BJ19)</f>
        <v>64.026386265863408</v>
      </c>
      <c r="BK31" s="147">
        <f>BK59*(BK29-BK19)</f>
        <v>43.429070828766839</v>
      </c>
      <c r="BL31" s="72">
        <f>SUM(BH31:BK31)</f>
        <v>202.19431809323825</v>
      </c>
      <c r="BM31" s="148">
        <f>BM59*(BM29-BM19)</f>
        <v>51.983330900771165</v>
      </c>
      <c r="BN31" s="146">
        <f>BN59*(BN29-BN19)</f>
        <v>51.077309058238299</v>
      </c>
      <c r="BO31" s="146">
        <f>BO59*(BO29-BO19)</f>
        <v>67.898452605016899</v>
      </c>
      <c r="BP31" s="147">
        <f>BP59*(BP29-BP19)</f>
        <v>48.323090124784841</v>
      </c>
      <c r="BQ31" s="72">
        <f>SUM(BM31:BP31)</f>
        <v>219.28218268881122</v>
      </c>
      <c r="BR31" s="492"/>
      <c r="BS31" s="492"/>
      <c r="BU31" s="546"/>
      <c r="BV31" s="492"/>
      <c r="CB31" s="74"/>
      <c r="CC31" s="74"/>
      <c r="CD31" s="74"/>
      <c r="CE31" s="74"/>
      <c r="CF31" s="74"/>
      <c r="CG31" s="74"/>
      <c r="CH31" s="74"/>
      <c r="CI31" s="74"/>
      <c r="CJ31" s="74"/>
      <c r="CK31" s="74"/>
      <c r="CL31" s="74"/>
      <c r="CM31" s="74"/>
      <c r="CN31" s="74"/>
      <c r="CO31" s="74"/>
      <c r="CP31" s="74"/>
      <c r="CQ31" s="74"/>
      <c r="CR31" s="74"/>
      <c r="CS31" s="74"/>
      <c r="CT31" s="74"/>
      <c r="CU31" s="74"/>
    </row>
    <row r="32" spans="1:104">
      <c r="A32" s="74"/>
      <c r="B32" s="74"/>
      <c r="C32" s="50"/>
      <c r="D32" s="72"/>
      <c r="E32" s="148"/>
      <c r="F32" s="146"/>
      <c r="G32" s="146"/>
      <c r="H32" s="158"/>
      <c r="I32" s="145"/>
      <c r="J32" s="148"/>
      <c r="K32" s="146"/>
      <c r="L32" s="146"/>
      <c r="M32" s="158"/>
      <c r="N32" s="145"/>
      <c r="O32" s="148"/>
      <c r="P32" s="146"/>
      <c r="Q32" s="146"/>
      <c r="R32" s="158"/>
      <c r="S32" s="145"/>
      <c r="T32" s="148"/>
      <c r="U32" s="146"/>
      <c r="V32" s="146"/>
      <c r="W32" s="158"/>
      <c r="X32" s="145"/>
      <c r="Y32" s="148"/>
      <c r="Z32" s="146"/>
      <c r="AA32" s="146"/>
      <c r="AB32" s="158"/>
      <c r="AC32" s="145"/>
      <c r="AD32" s="148"/>
      <c r="AE32" s="146"/>
      <c r="AF32" s="146"/>
      <c r="AG32" s="158"/>
      <c r="AH32" s="145"/>
      <c r="AI32" s="148"/>
      <c r="AJ32" s="146"/>
      <c r="AK32" s="146"/>
      <c r="AL32" s="158"/>
      <c r="AM32" s="145"/>
      <c r="AN32" s="148"/>
      <c r="AO32" s="146"/>
      <c r="AP32" s="146"/>
      <c r="AQ32" s="158"/>
      <c r="AR32" s="145"/>
      <c r="AS32" s="148"/>
      <c r="AT32" s="146"/>
      <c r="AU32" s="146"/>
      <c r="AV32" s="158"/>
      <c r="AW32" s="145"/>
      <c r="AX32" s="148"/>
      <c r="AY32" s="163"/>
      <c r="AZ32" s="163"/>
      <c r="BA32" s="147"/>
      <c r="BB32" s="74"/>
      <c r="BC32" s="148"/>
      <c r="BD32" s="163"/>
      <c r="BE32" s="163"/>
      <c r="BF32" s="147"/>
      <c r="BG32" s="74"/>
      <c r="BH32" s="148"/>
      <c r="BI32" s="163"/>
      <c r="BJ32" s="163"/>
      <c r="BK32" s="147"/>
      <c r="BL32" s="74"/>
      <c r="BM32" s="148"/>
      <c r="BN32" s="163"/>
      <c r="BO32" s="163"/>
      <c r="BP32" s="147"/>
      <c r="BQ32" s="74"/>
      <c r="BR32" s="492"/>
      <c r="BS32" s="492"/>
      <c r="BU32" s="546"/>
      <c r="BV32" s="492"/>
      <c r="CB32" s="74"/>
      <c r="CC32" s="74"/>
      <c r="CD32" s="74"/>
      <c r="CE32" s="74"/>
      <c r="CF32" s="74"/>
      <c r="CG32" s="74"/>
      <c r="CH32" s="74"/>
      <c r="CI32" s="74"/>
      <c r="CJ32" s="74"/>
      <c r="CK32" s="74"/>
      <c r="CL32" s="74"/>
      <c r="CM32" s="74"/>
      <c r="CN32" s="74"/>
      <c r="CO32" s="74"/>
      <c r="CP32" s="74"/>
      <c r="CQ32" s="74"/>
      <c r="CR32" s="74"/>
      <c r="CS32" s="74"/>
      <c r="CT32" s="74"/>
      <c r="CU32" s="74"/>
    </row>
    <row r="33" spans="1:99">
      <c r="A33" s="74"/>
      <c r="B33" s="74"/>
      <c r="C33" s="56" t="s">
        <v>10</v>
      </c>
      <c r="D33" s="109"/>
      <c r="E33" s="149"/>
      <c r="F33" s="150"/>
      <c r="G33" s="150"/>
      <c r="H33" s="151"/>
      <c r="I33" s="112"/>
      <c r="J33" s="149"/>
      <c r="K33" s="150"/>
      <c r="L33" s="150"/>
      <c r="M33" s="151"/>
      <c r="N33" s="112"/>
      <c r="O33" s="149"/>
      <c r="P33" s="150"/>
      <c r="Q33" s="150"/>
      <c r="R33" s="151"/>
      <c r="S33" s="112"/>
      <c r="T33" s="149"/>
      <c r="U33" s="150"/>
      <c r="V33" s="150"/>
      <c r="W33" s="151"/>
      <c r="X33" s="112">
        <f>+X29-X31</f>
        <v>389</v>
      </c>
      <c r="Y33" s="149">
        <f>+Y29-Y31</f>
        <v>87</v>
      </c>
      <c r="Z33" s="150">
        <f>+Z29-Z31</f>
        <v>75</v>
      </c>
      <c r="AA33" s="150">
        <f>+AA29-AA31</f>
        <v>119</v>
      </c>
      <c r="AB33" s="151">
        <f>+AC33-SUM(Y33:AA33)</f>
        <v>77</v>
      </c>
      <c r="AC33" s="112">
        <f>+AC29-AC31</f>
        <v>358</v>
      </c>
      <c r="AD33" s="149">
        <f>+AD29-AD31</f>
        <v>97</v>
      </c>
      <c r="AE33" s="150">
        <f>+AE29-AE31</f>
        <v>90</v>
      </c>
      <c r="AF33" s="150">
        <f>+AF29-AF31</f>
        <v>92</v>
      </c>
      <c r="AG33" s="151">
        <f>+AH33-SUM(AD33:AF33)</f>
        <v>73.200000000000784</v>
      </c>
      <c r="AH33" s="112">
        <f>+AH29-AH31</f>
        <v>352.20000000000078</v>
      </c>
      <c r="AI33" s="149">
        <f>+AI29-AI31</f>
        <v>97</v>
      </c>
      <c r="AJ33" s="150">
        <f>+AJ29-AJ31</f>
        <v>78</v>
      </c>
      <c r="AK33" s="150">
        <f>+AK29-AK31</f>
        <v>113</v>
      </c>
      <c r="AL33" s="151">
        <f>+AM33-SUM(AI33:AK33)</f>
        <v>64.400000000000091</v>
      </c>
      <c r="AM33" s="112">
        <f>+AM29-AM31</f>
        <v>352.40000000000009</v>
      </c>
      <c r="AN33" s="149">
        <f>+AN29-AN31</f>
        <v>107.99999999999996</v>
      </c>
      <c r="AO33" s="150">
        <f>+AO29-AO31</f>
        <v>124.59999999999992</v>
      </c>
      <c r="AP33" s="150">
        <f>+AP29-AP31</f>
        <v>155.49999999999994</v>
      </c>
      <c r="AQ33" s="151">
        <f>+AR33-SUM(AN33:AP33)</f>
        <v>93.999999999999773</v>
      </c>
      <c r="AR33" s="112">
        <f t="shared" ref="AR33:AZ33" si="36">+AR29-AR31</f>
        <v>482.09999999999957</v>
      </c>
      <c r="AS33" s="149">
        <f t="shared" si="36"/>
        <v>119.10000000000015</v>
      </c>
      <c r="AT33" s="150">
        <f t="shared" si="36"/>
        <v>111.2</v>
      </c>
      <c r="AU33" s="150">
        <f t="shared" si="36"/>
        <v>143.99999999999997</v>
      </c>
      <c r="AV33" s="151">
        <f>+AW33-SUM(AS33:AU33)</f>
        <v>262.09999999999951</v>
      </c>
      <c r="AW33" s="112">
        <f t="shared" ref="AW33" si="37">+AW29-AW31</f>
        <v>636.39999999999964</v>
      </c>
      <c r="AX33" s="149">
        <f t="shared" si="36"/>
        <v>136.6769783162182</v>
      </c>
      <c r="AY33" s="150">
        <f t="shared" si="36"/>
        <v>132.25984908301766</v>
      </c>
      <c r="AZ33" s="150">
        <f t="shared" si="36"/>
        <v>184.16820080176942</v>
      </c>
      <c r="BA33" s="151">
        <f>+BB33-SUM(AX33:AZ33)</f>
        <v>119.70595732964239</v>
      </c>
      <c r="BB33" s="112">
        <f>+BB29-BB31</f>
        <v>572.81098553064771</v>
      </c>
      <c r="BC33" s="149">
        <f>+BC29-BC31</f>
        <v>148.7667848225696</v>
      </c>
      <c r="BD33" s="150">
        <f>+BD29-BD31</f>
        <v>140.85391785999857</v>
      </c>
      <c r="BE33" s="150">
        <f>+BE29-BE31</f>
        <v>189.78443233879358</v>
      </c>
      <c r="BF33" s="151">
        <f>+BG33-SUM(BC33:BE33)</f>
        <v>128.30483096400263</v>
      </c>
      <c r="BG33" s="112">
        <f>+BG29-BG31</f>
        <v>607.70996598536442</v>
      </c>
      <c r="BH33" s="149">
        <f>+BH29-BH31</f>
        <v>159.25624675982976</v>
      </c>
      <c r="BI33" s="150">
        <f>+BI29-BI31</f>
        <v>153.01708749585816</v>
      </c>
      <c r="BJ33" s="150">
        <f>+BJ29-BJ31</f>
        <v>208.88369372194873</v>
      </c>
      <c r="BK33" s="151">
        <f>+BL33-SUM(BH33:BJ33)</f>
        <v>143.65886150447625</v>
      </c>
      <c r="BL33" s="112">
        <f>+BL29-BL31</f>
        <v>664.81588948211288</v>
      </c>
      <c r="BM33" s="149">
        <f>+BM29-BM31</f>
        <v>170.74735173248996</v>
      </c>
      <c r="BN33" s="150">
        <f>+BN29-BN31</f>
        <v>167.8782825644692</v>
      </c>
      <c r="BO33" s="150">
        <f>+BO29-BO31</f>
        <v>221.14523712926811</v>
      </c>
      <c r="BP33" s="151">
        <f>+BQ33-SUM(BM33:BO33)</f>
        <v>159.15658927520053</v>
      </c>
      <c r="BQ33" s="112">
        <f>+BQ29-BQ31</f>
        <v>718.92746070142778</v>
      </c>
      <c r="BR33" s="493"/>
      <c r="BS33" s="493"/>
      <c r="BU33" s="546"/>
      <c r="BV33" s="493"/>
      <c r="CB33" s="286"/>
      <c r="CC33" s="286"/>
      <c r="CD33" s="286"/>
      <c r="CE33" s="286"/>
      <c r="CF33" s="286"/>
      <c r="CG33" s="286"/>
      <c r="CH33" s="74"/>
      <c r="CI33" s="74"/>
      <c r="CJ33" s="74"/>
      <c r="CK33" s="74"/>
      <c r="CL33" s="74"/>
      <c r="CM33" s="74"/>
      <c r="CN33" s="74"/>
      <c r="CO33" s="74"/>
      <c r="CP33" s="74"/>
      <c r="CQ33" s="74"/>
      <c r="CR33" s="74"/>
      <c r="CS33" s="74"/>
      <c r="CT33" s="74"/>
      <c r="CU33" s="74"/>
    </row>
    <row r="34" spans="1:99">
      <c r="C34" s="50" t="s">
        <v>11</v>
      </c>
      <c r="D34" s="72"/>
      <c r="E34" s="142"/>
      <c r="F34" s="143"/>
      <c r="G34" s="143"/>
      <c r="H34" s="157"/>
      <c r="I34" s="145"/>
      <c r="J34" s="142"/>
      <c r="K34" s="143"/>
      <c r="L34" s="143"/>
      <c r="M34" s="157"/>
      <c r="N34" s="145"/>
      <c r="O34" s="142"/>
      <c r="P34" s="143"/>
      <c r="Q34" s="143"/>
      <c r="R34" s="157"/>
      <c r="S34" s="145"/>
      <c r="T34" s="142"/>
      <c r="U34" s="143"/>
      <c r="V34" s="143"/>
      <c r="W34" s="157"/>
      <c r="X34" s="145">
        <v>0</v>
      </c>
      <c r="Y34" s="142">
        <v>0</v>
      </c>
      <c r="Z34" s="143">
        <v>0</v>
      </c>
      <c r="AA34" s="143">
        <v>0</v>
      </c>
      <c r="AB34" s="157">
        <f>AC34-SUM(Y34:AA34)</f>
        <v>0</v>
      </c>
      <c r="AC34" s="145">
        <v>0</v>
      </c>
      <c r="AD34" s="142">
        <v>0</v>
      </c>
      <c r="AE34" s="143">
        <v>0</v>
      </c>
      <c r="AF34" s="143">
        <v>0</v>
      </c>
      <c r="AG34" s="157">
        <f>AH34-SUM(AD34:AF34)</f>
        <v>0</v>
      </c>
      <c r="AH34" s="145">
        <v>0</v>
      </c>
      <c r="AI34" s="142">
        <v>0</v>
      </c>
      <c r="AJ34" s="143">
        <v>0</v>
      </c>
      <c r="AK34" s="143">
        <v>0</v>
      </c>
      <c r="AL34" s="157">
        <f>AM34-SUM(AI34:AK34)</f>
        <v>0</v>
      </c>
      <c r="AM34" s="145">
        <v>0</v>
      </c>
      <c r="AN34" s="142">
        <v>0</v>
      </c>
      <c r="AO34" s="143">
        <v>0</v>
      </c>
      <c r="AP34" s="143">
        <v>0</v>
      </c>
      <c r="AQ34" s="157">
        <f>AR34-SUM(AN34:AP34)</f>
        <v>0</v>
      </c>
      <c r="AR34" s="145">
        <v>0</v>
      </c>
      <c r="AS34" s="142">
        <v>0</v>
      </c>
      <c r="AT34" s="143">
        <f>AO34</f>
        <v>0</v>
      </c>
      <c r="AU34" s="143">
        <f>AP34</f>
        <v>0</v>
      </c>
      <c r="AV34" s="157">
        <f>AW34-SUM(AS34:AU34)</f>
        <v>0</v>
      </c>
      <c r="AW34" s="145">
        <v>0</v>
      </c>
      <c r="AX34" s="148">
        <f>AS34</f>
        <v>0</v>
      </c>
      <c r="AY34" s="146">
        <f>AT34</f>
        <v>0</v>
      </c>
      <c r="AZ34" s="146">
        <f>AU34</f>
        <v>0</v>
      </c>
      <c r="BA34" s="147">
        <f>AV34</f>
        <v>0</v>
      </c>
      <c r="BB34" s="72">
        <f>SUM(AX34:BA34)</f>
        <v>0</v>
      </c>
      <c r="BC34" s="148">
        <f>AX34</f>
        <v>0</v>
      </c>
      <c r="BD34" s="146">
        <f>AY34</f>
        <v>0</v>
      </c>
      <c r="BE34" s="146">
        <f>AZ34</f>
        <v>0</v>
      </c>
      <c r="BF34" s="147">
        <f>BA34</f>
        <v>0</v>
      </c>
      <c r="BG34" s="72">
        <f>SUM(BC34:BF34)</f>
        <v>0</v>
      </c>
      <c r="BH34" s="148">
        <f>BC34</f>
        <v>0</v>
      </c>
      <c r="BI34" s="146">
        <f>BD34</f>
        <v>0</v>
      </c>
      <c r="BJ34" s="146">
        <f>BE34</f>
        <v>0</v>
      </c>
      <c r="BK34" s="147">
        <f>BF34</f>
        <v>0</v>
      </c>
      <c r="BL34" s="72">
        <f>SUM(BH34:BK34)</f>
        <v>0</v>
      </c>
      <c r="BM34" s="148">
        <f>BH34</f>
        <v>0</v>
      </c>
      <c r="BN34" s="146">
        <f>BI34</f>
        <v>0</v>
      </c>
      <c r="BO34" s="146">
        <f>BJ34</f>
        <v>0</v>
      </c>
      <c r="BP34" s="147">
        <f>BK34</f>
        <v>0</v>
      </c>
      <c r="BQ34" s="72">
        <f>SUM(BM34:BP34)</f>
        <v>0</v>
      </c>
      <c r="BR34" s="491"/>
      <c r="BS34" s="491"/>
      <c r="BU34" s="546"/>
      <c r="BV34" s="491"/>
    </row>
    <row r="35" spans="1:99">
      <c r="A35" s="74"/>
      <c r="B35" s="74"/>
      <c r="C35" s="50"/>
      <c r="D35" s="72"/>
      <c r="E35" s="148"/>
      <c r="F35" s="146"/>
      <c r="G35" s="146"/>
      <c r="H35" s="158"/>
      <c r="I35" s="145"/>
      <c r="J35" s="148"/>
      <c r="K35" s="146"/>
      <c r="L35" s="146"/>
      <c r="M35" s="158"/>
      <c r="N35" s="145"/>
      <c r="O35" s="148"/>
      <c r="P35" s="146"/>
      <c r="Q35" s="146"/>
      <c r="R35" s="158"/>
      <c r="S35" s="145"/>
      <c r="T35" s="148"/>
      <c r="U35" s="146"/>
      <c r="V35" s="146"/>
      <c r="W35" s="158"/>
      <c r="X35" s="145"/>
      <c r="Y35" s="148"/>
      <c r="Z35" s="146"/>
      <c r="AA35" s="146"/>
      <c r="AB35" s="158"/>
      <c r="AC35" s="145"/>
      <c r="AD35" s="148"/>
      <c r="AE35" s="146"/>
      <c r="AF35" s="146"/>
      <c r="AG35" s="158"/>
      <c r="AH35" s="145"/>
      <c r="AI35" s="148"/>
      <c r="AJ35" s="146"/>
      <c r="AK35" s="146"/>
      <c r="AL35" s="158"/>
      <c r="AM35" s="145"/>
      <c r="AN35" s="148"/>
      <c r="AO35" s="146"/>
      <c r="AP35" s="146"/>
      <c r="AQ35" s="158"/>
      <c r="AR35" s="145"/>
      <c r="AS35" s="148"/>
      <c r="AT35" s="146"/>
      <c r="AU35" s="146"/>
      <c r="AV35" s="158"/>
      <c r="AW35" s="145"/>
      <c r="AX35" s="148"/>
      <c r="AY35" s="163"/>
      <c r="AZ35" s="163"/>
      <c r="BA35" s="147"/>
      <c r="BB35" s="74"/>
      <c r="BC35" s="148"/>
      <c r="BD35" s="163"/>
      <c r="BE35" s="163"/>
      <c r="BF35" s="147"/>
      <c r="BG35" s="74"/>
      <c r="BH35" s="148"/>
      <c r="BI35" s="163"/>
      <c r="BJ35" s="163"/>
      <c r="BK35" s="147"/>
      <c r="BL35" s="74"/>
      <c r="BM35" s="148"/>
      <c r="BN35" s="163"/>
      <c r="BO35" s="163"/>
      <c r="BP35" s="147"/>
      <c r="BQ35" s="74"/>
      <c r="BR35" s="492"/>
      <c r="BS35" s="492"/>
      <c r="BU35" s="546"/>
      <c r="BV35" s="492"/>
      <c r="CB35" s="74"/>
      <c r="CC35" s="74"/>
      <c r="CD35" s="74"/>
      <c r="CE35" s="74"/>
      <c r="CF35" s="74"/>
      <c r="CG35" s="74"/>
      <c r="CH35" s="74"/>
      <c r="CI35" s="74"/>
      <c r="CJ35" s="74"/>
      <c r="CK35" s="74"/>
      <c r="CL35" s="74"/>
      <c r="CM35" s="74"/>
      <c r="CN35" s="74"/>
      <c r="CO35" s="74"/>
      <c r="CP35" s="74"/>
      <c r="CQ35" s="74"/>
      <c r="CR35" s="74"/>
      <c r="CS35" s="74"/>
      <c r="CT35" s="74"/>
      <c r="CU35" s="74"/>
    </row>
    <row r="36" spans="1:99">
      <c r="A36" s="111"/>
      <c r="B36" s="111"/>
      <c r="C36" s="56" t="s">
        <v>12</v>
      </c>
      <c r="D36" s="112"/>
      <c r="E36" s="149"/>
      <c r="F36" s="150"/>
      <c r="G36" s="150"/>
      <c r="H36" s="151"/>
      <c r="I36" s="112"/>
      <c r="J36" s="149"/>
      <c r="K36" s="150"/>
      <c r="L36" s="150"/>
      <c r="M36" s="151"/>
      <c r="N36" s="112"/>
      <c r="O36" s="149"/>
      <c r="P36" s="150"/>
      <c r="Q36" s="150"/>
      <c r="R36" s="151"/>
      <c r="S36" s="112"/>
      <c r="T36" s="149"/>
      <c r="U36" s="150"/>
      <c r="V36" s="150"/>
      <c r="W36" s="151"/>
      <c r="X36" s="112">
        <f t="shared" ref="X36:AF36" si="38">X33-X34</f>
        <v>389</v>
      </c>
      <c r="Y36" s="149">
        <f t="shared" si="38"/>
        <v>87</v>
      </c>
      <c r="Z36" s="150">
        <f t="shared" si="38"/>
        <v>75</v>
      </c>
      <c r="AA36" s="150">
        <f t="shared" si="38"/>
        <v>119</v>
      </c>
      <c r="AB36" s="151">
        <f t="shared" si="38"/>
        <v>77</v>
      </c>
      <c r="AC36" s="112">
        <f t="shared" si="38"/>
        <v>358</v>
      </c>
      <c r="AD36" s="149">
        <f t="shared" si="38"/>
        <v>97</v>
      </c>
      <c r="AE36" s="150">
        <f t="shared" si="38"/>
        <v>90</v>
      </c>
      <c r="AF36" s="150">
        <f t="shared" si="38"/>
        <v>92</v>
      </c>
      <c r="AG36" s="151">
        <f t="shared" ref="AG36:AM36" si="39">AG33-AG34</f>
        <v>73.200000000000784</v>
      </c>
      <c r="AH36" s="112">
        <f t="shared" si="39"/>
        <v>352.20000000000078</v>
      </c>
      <c r="AI36" s="149">
        <f t="shared" si="39"/>
        <v>97</v>
      </c>
      <c r="AJ36" s="150">
        <f t="shared" si="39"/>
        <v>78</v>
      </c>
      <c r="AK36" s="150">
        <f t="shared" si="39"/>
        <v>113</v>
      </c>
      <c r="AL36" s="151">
        <f t="shared" si="39"/>
        <v>64.400000000000091</v>
      </c>
      <c r="AM36" s="112">
        <f t="shared" si="39"/>
        <v>352.40000000000009</v>
      </c>
      <c r="AN36" s="149">
        <f t="shared" ref="AN36:AS36" si="40">AN33-AN34</f>
        <v>107.99999999999996</v>
      </c>
      <c r="AO36" s="150">
        <f t="shared" si="40"/>
        <v>124.59999999999992</v>
      </c>
      <c r="AP36" s="150">
        <f t="shared" si="40"/>
        <v>155.49999999999994</v>
      </c>
      <c r="AQ36" s="151">
        <f t="shared" si="40"/>
        <v>93.999999999999773</v>
      </c>
      <c r="AR36" s="112">
        <f t="shared" si="40"/>
        <v>482.09999999999957</v>
      </c>
      <c r="AS36" s="149">
        <f t="shared" si="40"/>
        <v>119.10000000000015</v>
      </c>
      <c r="AT36" s="150">
        <f t="shared" ref="AT36:BB36" si="41">AT33-AT34</f>
        <v>111.2</v>
      </c>
      <c r="AU36" s="150">
        <f t="shared" si="41"/>
        <v>143.99999999999997</v>
      </c>
      <c r="AV36" s="151">
        <f t="shared" si="41"/>
        <v>262.09999999999951</v>
      </c>
      <c r="AW36" s="112">
        <f t="shared" si="41"/>
        <v>636.39999999999964</v>
      </c>
      <c r="AX36" s="149">
        <f t="shared" si="41"/>
        <v>136.6769783162182</v>
      </c>
      <c r="AY36" s="150">
        <f t="shared" si="41"/>
        <v>132.25984908301766</v>
      </c>
      <c r="AZ36" s="150">
        <f t="shared" si="41"/>
        <v>184.16820080176942</v>
      </c>
      <c r="BA36" s="151">
        <f t="shared" si="41"/>
        <v>119.70595732964239</v>
      </c>
      <c r="BB36" s="112">
        <f t="shared" si="41"/>
        <v>572.81098553064771</v>
      </c>
      <c r="BC36" s="149">
        <f t="shared" ref="BC36:BL36" si="42">BC33-BC34</f>
        <v>148.7667848225696</v>
      </c>
      <c r="BD36" s="150">
        <f t="shared" si="42"/>
        <v>140.85391785999857</v>
      </c>
      <c r="BE36" s="150">
        <f t="shared" si="42"/>
        <v>189.78443233879358</v>
      </c>
      <c r="BF36" s="151">
        <f t="shared" si="42"/>
        <v>128.30483096400263</v>
      </c>
      <c r="BG36" s="112">
        <f t="shared" si="42"/>
        <v>607.70996598536442</v>
      </c>
      <c r="BH36" s="149">
        <f t="shared" si="42"/>
        <v>159.25624675982976</v>
      </c>
      <c r="BI36" s="150">
        <f t="shared" si="42"/>
        <v>153.01708749585816</v>
      </c>
      <c r="BJ36" s="150">
        <f t="shared" si="42"/>
        <v>208.88369372194873</v>
      </c>
      <c r="BK36" s="151">
        <f t="shared" si="42"/>
        <v>143.65886150447625</v>
      </c>
      <c r="BL36" s="112">
        <f t="shared" si="42"/>
        <v>664.81588948211288</v>
      </c>
      <c r="BM36" s="149">
        <f>BM33-BM34</f>
        <v>170.74735173248996</v>
      </c>
      <c r="BN36" s="150">
        <f>BN33-BN34</f>
        <v>167.8782825644692</v>
      </c>
      <c r="BO36" s="150">
        <f>BO33-BO34</f>
        <v>221.14523712926811</v>
      </c>
      <c r="BP36" s="151">
        <f>BP33-BP34</f>
        <v>159.15658927520053</v>
      </c>
      <c r="BQ36" s="112">
        <f>BQ33-BQ34</f>
        <v>718.92746070142778</v>
      </c>
      <c r="BR36" s="489"/>
      <c r="BS36" s="489"/>
      <c r="BU36" s="546"/>
      <c r="BV36" s="489"/>
      <c r="CB36" s="111"/>
      <c r="CC36" s="111"/>
      <c r="CD36" s="111"/>
      <c r="CE36" s="111"/>
      <c r="CF36" s="111"/>
      <c r="CG36" s="111"/>
      <c r="CH36" s="111"/>
      <c r="CI36" s="111"/>
      <c r="CJ36" s="111"/>
      <c r="CK36" s="111"/>
      <c r="CL36" s="111"/>
      <c r="CM36" s="111"/>
      <c r="CN36" s="111"/>
      <c r="CO36" s="111"/>
      <c r="CP36" s="111"/>
      <c r="CQ36" s="111"/>
      <c r="CR36" s="111"/>
      <c r="CS36" s="111"/>
      <c r="CT36" s="111"/>
      <c r="CU36" s="111"/>
    </row>
    <row r="37" spans="1:99">
      <c r="A37" s="74"/>
      <c r="B37" s="74"/>
      <c r="C37" s="50" t="s">
        <v>13</v>
      </c>
      <c r="D37" s="72"/>
      <c r="E37" s="142"/>
      <c r="F37" s="159"/>
      <c r="G37" s="159"/>
      <c r="H37" s="157"/>
      <c r="I37" s="145"/>
      <c r="J37" s="142"/>
      <c r="K37" s="159"/>
      <c r="L37" s="159"/>
      <c r="M37" s="157"/>
      <c r="N37" s="145"/>
      <c r="O37" s="142"/>
      <c r="P37" s="159"/>
      <c r="Q37" s="159"/>
      <c r="R37" s="157"/>
      <c r="S37" s="145"/>
      <c r="T37" s="142"/>
      <c r="U37" s="159"/>
      <c r="V37" s="159"/>
      <c r="W37" s="157"/>
      <c r="X37" s="145">
        <v>0</v>
      </c>
      <c r="Y37" s="142">
        <v>-1</v>
      </c>
      <c r="Z37" s="143">
        <v>0</v>
      </c>
      <c r="AA37" s="143">
        <v>0</v>
      </c>
      <c r="AB37" s="157">
        <f>AC37-SUM(Y37:AA37)</f>
        <v>1</v>
      </c>
      <c r="AC37" s="145">
        <v>0</v>
      </c>
      <c r="AD37" s="142">
        <v>0</v>
      </c>
      <c r="AE37" s="159">
        <v>0</v>
      </c>
      <c r="AF37" s="159">
        <v>0</v>
      </c>
      <c r="AG37" s="157">
        <f>AH37-SUM(AD37:AF37)</f>
        <v>0</v>
      </c>
      <c r="AH37" s="145">
        <v>0</v>
      </c>
      <c r="AI37" s="142">
        <v>0</v>
      </c>
      <c r="AJ37" s="159">
        <v>0</v>
      </c>
      <c r="AK37" s="159">
        <v>0</v>
      </c>
      <c r="AL37" s="157">
        <f>AM37-SUM(AI37:AK37)</f>
        <v>0</v>
      </c>
      <c r="AM37" s="145">
        <v>0</v>
      </c>
      <c r="AN37" s="142">
        <v>0</v>
      </c>
      <c r="AO37" s="159">
        <v>0</v>
      </c>
      <c r="AP37" s="159">
        <v>0</v>
      </c>
      <c r="AQ37" s="157">
        <f>AR37-SUM(AN37:AP37)</f>
        <v>0</v>
      </c>
      <c r="AR37" s="145">
        <v>0</v>
      </c>
      <c r="AS37" s="142">
        <v>0</v>
      </c>
      <c r="AT37" s="159">
        <v>0</v>
      </c>
      <c r="AU37" s="159">
        <v>0</v>
      </c>
      <c r="AV37" s="157">
        <f>AW37-SUM(AS37:AU37)</f>
        <v>-138.19999999999999</v>
      </c>
      <c r="AW37" s="1024">
        <v>-138.19999999999999</v>
      </c>
      <c r="AX37" s="171">
        <v>0</v>
      </c>
      <c r="AY37" s="172">
        <v>0</v>
      </c>
      <c r="AZ37" s="172">
        <v>0</v>
      </c>
      <c r="BA37" s="173">
        <v>0</v>
      </c>
      <c r="BB37" s="561">
        <f>SUM(AX37:BA37)</f>
        <v>0</v>
      </c>
      <c r="BC37" s="171">
        <v>0</v>
      </c>
      <c r="BD37" s="172">
        <v>0</v>
      </c>
      <c r="BE37" s="172">
        <v>0</v>
      </c>
      <c r="BF37" s="173">
        <v>0</v>
      </c>
      <c r="BG37" s="561">
        <f>SUM(BC37:BF37)</f>
        <v>0</v>
      </c>
      <c r="BH37" s="171">
        <v>0</v>
      </c>
      <c r="BI37" s="172">
        <v>0</v>
      </c>
      <c r="BJ37" s="172">
        <v>0</v>
      </c>
      <c r="BK37" s="173">
        <v>0</v>
      </c>
      <c r="BL37" s="561">
        <f>SUM(BH37:BK37)</f>
        <v>0</v>
      </c>
      <c r="BM37" s="171">
        <v>0</v>
      </c>
      <c r="BN37" s="172">
        <v>0</v>
      </c>
      <c r="BO37" s="172">
        <v>0</v>
      </c>
      <c r="BP37" s="173">
        <v>0</v>
      </c>
      <c r="BQ37" s="561">
        <f>SUM(BM37:BP37)</f>
        <v>0</v>
      </c>
      <c r="BR37" s="492"/>
      <c r="BS37" s="492"/>
      <c r="BU37" s="546"/>
      <c r="BV37" s="492"/>
      <c r="CB37" s="74"/>
      <c r="CC37" s="74"/>
      <c r="CD37" s="74"/>
      <c r="CE37" s="74"/>
      <c r="CF37" s="74"/>
      <c r="CG37" s="74"/>
      <c r="CH37" s="74"/>
      <c r="CI37" s="74"/>
      <c r="CJ37" s="74"/>
      <c r="CK37" s="74"/>
      <c r="CL37" s="74"/>
      <c r="CM37" s="74"/>
      <c r="CN37" s="74"/>
      <c r="CO37" s="74"/>
      <c r="CP37" s="74"/>
      <c r="CQ37" s="74"/>
      <c r="CR37" s="74"/>
      <c r="CS37" s="74"/>
      <c r="CT37" s="74"/>
      <c r="CU37" s="74"/>
    </row>
    <row r="38" spans="1:99">
      <c r="A38" s="74"/>
      <c r="B38" s="74"/>
      <c r="C38" s="56" t="s">
        <v>16</v>
      </c>
      <c r="D38" s="72"/>
      <c r="E38" s="149"/>
      <c r="F38" s="150"/>
      <c r="G38" s="150"/>
      <c r="H38" s="151"/>
      <c r="I38" s="112"/>
      <c r="J38" s="149"/>
      <c r="K38" s="150"/>
      <c r="L38" s="150"/>
      <c r="M38" s="151"/>
      <c r="N38" s="112"/>
      <c r="O38" s="149"/>
      <c r="P38" s="150"/>
      <c r="Q38" s="150"/>
      <c r="R38" s="151"/>
      <c r="S38" s="112"/>
      <c r="T38" s="149"/>
      <c r="U38" s="150"/>
      <c r="V38" s="150"/>
      <c r="W38" s="151"/>
      <c r="X38" s="112">
        <f t="shared" ref="X38:AF38" si="43">X36+X37</f>
        <v>389</v>
      </c>
      <c r="Y38" s="149">
        <f t="shared" si="43"/>
        <v>86</v>
      </c>
      <c r="Z38" s="150">
        <f t="shared" si="43"/>
        <v>75</v>
      </c>
      <c r="AA38" s="150">
        <f t="shared" si="43"/>
        <v>119</v>
      </c>
      <c r="AB38" s="151">
        <f>AB36+AB37</f>
        <v>78</v>
      </c>
      <c r="AC38" s="112">
        <f t="shared" si="43"/>
        <v>358</v>
      </c>
      <c r="AD38" s="149">
        <f t="shared" si="43"/>
        <v>97</v>
      </c>
      <c r="AE38" s="150">
        <f t="shared" si="43"/>
        <v>90</v>
      </c>
      <c r="AF38" s="150">
        <f t="shared" si="43"/>
        <v>92</v>
      </c>
      <c r="AG38" s="151">
        <f t="shared" ref="AG38:AM38" si="44">AG36+AG37</f>
        <v>73.200000000000784</v>
      </c>
      <c r="AH38" s="112">
        <f t="shared" si="44"/>
        <v>352.20000000000078</v>
      </c>
      <c r="AI38" s="149">
        <f t="shared" si="44"/>
        <v>97</v>
      </c>
      <c r="AJ38" s="150">
        <f t="shared" si="44"/>
        <v>78</v>
      </c>
      <c r="AK38" s="150">
        <f t="shared" si="44"/>
        <v>113</v>
      </c>
      <c r="AL38" s="151">
        <f t="shared" si="44"/>
        <v>64.400000000000091</v>
      </c>
      <c r="AM38" s="112">
        <f t="shared" si="44"/>
        <v>352.40000000000009</v>
      </c>
      <c r="AN38" s="149">
        <f t="shared" ref="AN38:AS38" si="45">AN36+AN37</f>
        <v>107.99999999999996</v>
      </c>
      <c r="AO38" s="150">
        <f t="shared" si="45"/>
        <v>124.59999999999992</v>
      </c>
      <c r="AP38" s="150">
        <f t="shared" si="45"/>
        <v>155.49999999999994</v>
      </c>
      <c r="AQ38" s="151">
        <f t="shared" si="45"/>
        <v>93.999999999999773</v>
      </c>
      <c r="AR38" s="112">
        <f t="shared" si="45"/>
        <v>482.09999999999957</v>
      </c>
      <c r="AS38" s="149">
        <f t="shared" si="45"/>
        <v>119.10000000000015</v>
      </c>
      <c r="AT38" s="150">
        <f t="shared" ref="AT38:BB38" si="46">AT36+AT37</f>
        <v>111.2</v>
      </c>
      <c r="AU38" s="150">
        <f t="shared" si="46"/>
        <v>143.99999999999997</v>
      </c>
      <c r="AV38" s="151">
        <f t="shared" si="46"/>
        <v>123.89999999999952</v>
      </c>
      <c r="AW38" s="112">
        <f t="shared" si="46"/>
        <v>498.19999999999965</v>
      </c>
      <c r="AX38" s="149">
        <f t="shared" si="46"/>
        <v>136.6769783162182</v>
      </c>
      <c r="AY38" s="150">
        <f t="shared" si="46"/>
        <v>132.25984908301766</v>
      </c>
      <c r="AZ38" s="150">
        <f t="shared" si="46"/>
        <v>184.16820080176942</v>
      </c>
      <c r="BA38" s="151">
        <f t="shared" si="46"/>
        <v>119.70595732964239</v>
      </c>
      <c r="BB38" s="112">
        <f t="shared" si="46"/>
        <v>572.81098553064771</v>
      </c>
      <c r="BC38" s="149">
        <f t="shared" ref="BC38:BL38" si="47">BC36+BC37</f>
        <v>148.7667848225696</v>
      </c>
      <c r="BD38" s="150">
        <f t="shared" si="47"/>
        <v>140.85391785999857</v>
      </c>
      <c r="BE38" s="150">
        <f t="shared" si="47"/>
        <v>189.78443233879358</v>
      </c>
      <c r="BF38" s="151">
        <f t="shared" si="47"/>
        <v>128.30483096400263</v>
      </c>
      <c r="BG38" s="112">
        <f t="shared" si="47"/>
        <v>607.70996598536442</v>
      </c>
      <c r="BH38" s="149">
        <f t="shared" si="47"/>
        <v>159.25624675982976</v>
      </c>
      <c r="BI38" s="150">
        <f t="shared" si="47"/>
        <v>153.01708749585816</v>
      </c>
      <c r="BJ38" s="150">
        <f t="shared" si="47"/>
        <v>208.88369372194873</v>
      </c>
      <c r="BK38" s="151">
        <f t="shared" si="47"/>
        <v>143.65886150447625</v>
      </c>
      <c r="BL38" s="112">
        <f t="shared" si="47"/>
        <v>664.81588948211288</v>
      </c>
      <c r="BM38" s="149">
        <f>BM36+BM37</f>
        <v>170.74735173248996</v>
      </c>
      <c r="BN38" s="150">
        <f>BN36+BN37</f>
        <v>167.8782825644692</v>
      </c>
      <c r="BO38" s="150">
        <f>BO36+BO37</f>
        <v>221.14523712926811</v>
      </c>
      <c r="BP38" s="151">
        <f>BP36+BP37</f>
        <v>159.15658927520053</v>
      </c>
      <c r="BQ38" s="112">
        <f>BQ36+BQ37</f>
        <v>718.92746070142778</v>
      </c>
      <c r="BR38" s="74"/>
      <c r="BS38" s="74"/>
      <c r="BU38" s="546"/>
      <c r="BV38" s="74"/>
      <c r="CB38" s="74"/>
      <c r="CC38" s="74"/>
      <c r="CD38" s="74"/>
      <c r="CE38" s="74"/>
      <c r="CF38" s="74"/>
      <c r="CG38" s="74"/>
      <c r="CH38" s="74"/>
      <c r="CI38" s="74"/>
      <c r="CJ38" s="74"/>
      <c r="CK38" s="74"/>
      <c r="CL38" s="74"/>
      <c r="CM38" s="74"/>
      <c r="CN38" s="74"/>
      <c r="CO38" s="74"/>
      <c r="CP38" s="74"/>
      <c r="CQ38" s="74"/>
      <c r="CR38" s="74"/>
      <c r="CS38" s="74"/>
      <c r="CT38" s="74"/>
      <c r="CU38" s="74"/>
    </row>
    <row r="39" spans="1:99">
      <c r="A39" s="74"/>
      <c r="B39" s="74"/>
      <c r="C39" s="50"/>
      <c r="D39" s="72"/>
      <c r="E39" s="148"/>
      <c r="F39" s="163"/>
      <c r="G39" s="163"/>
      <c r="H39" s="147"/>
      <c r="I39" s="72"/>
      <c r="J39" s="148"/>
      <c r="K39" s="163"/>
      <c r="L39" s="163"/>
      <c r="M39" s="147"/>
      <c r="N39" s="72"/>
      <c r="O39" s="148"/>
      <c r="P39" s="163"/>
      <c r="Q39" s="163"/>
      <c r="R39" s="147"/>
      <c r="S39" s="72"/>
      <c r="T39" s="148"/>
      <c r="U39" s="163"/>
      <c r="V39" s="163"/>
      <c r="W39" s="147"/>
      <c r="X39" s="72"/>
      <c r="Y39" s="148"/>
      <c r="Z39" s="163"/>
      <c r="AA39" s="163"/>
      <c r="AB39" s="147"/>
      <c r="AC39" s="72"/>
      <c r="AD39" s="148"/>
      <c r="AE39" s="163"/>
      <c r="AF39" s="163"/>
      <c r="AG39" s="147"/>
      <c r="AH39" s="72"/>
      <c r="AI39" s="148"/>
      <c r="AJ39" s="163"/>
      <c r="AK39" s="163"/>
      <c r="AL39" s="147"/>
      <c r="AM39" s="72"/>
      <c r="AN39" s="148"/>
      <c r="AO39" s="163"/>
      <c r="AP39" s="163"/>
      <c r="AQ39" s="147"/>
      <c r="AR39" s="72"/>
      <c r="AS39" s="148"/>
      <c r="AT39" s="163"/>
      <c r="AU39" s="163"/>
      <c r="AV39" s="147"/>
      <c r="AW39" s="72"/>
      <c r="AX39" s="148"/>
      <c r="AY39" s="163"/>
      <c r="AZ39" s="163"/>
      <c r="BA39" s="147"/>
      <c r="BB39" s="74"/>
      <c r="BC39" s="148"/>
      <c r="BD39" s="163"/>
      <c r="BE39" s="163"/>
      <c r="BF39" s="147"/>
      <c r="BG39" s="74"/>
      <c r="BH39" s="148"/>
      <c r="BI39" s="163"/>
      <c r="BJ39" s="163"/>
      <c r="BK39" s="147"/>
      <c r="BL39" s="74"/>
      <c r="BM39" s="148"/>
      <c r="BN39" s="163"/>
      <c r="BO39" s="163"/>
      <c r="BP39" s="147"/>
      <c r="BQ39" s="74"/>
      <c r="BR39" s="74"/>
      <c r="BS39" s="74"/>
      <c r="BU39" s="546"/>
      <c r="BV39" s="74"/>
      <c r="CB39" s="74"/>
      <c r="CC39" s="74"/>
      <c r="CD39" s="74"/>
      <c r="CE39" s="74"/>
      <c r="CF39" s="74"/>
      <c r="CG39" s="74"/>
      <c r="CH39" s="74"/>
      <c r="CI39" s="74"/>
      <c r="CJ39" s="74"/>
      <c r="CK39" s="74"/>
      <c r="CL39" s="74"/>
      <c r="CM39" s="74"/>
      <c r="CN39" s="74"/>
      <c r="CO39" s="74"/>
      <c r="CP39" s="74"/>
      <c r="CQ39" s="74"/>
      <c r="CR39" s="74"/>
      <c r="CS39" s="74"/>
      <c r="CT39" s="74"/>
      <c r="CU39" s="74"/>
    </row>
    <row r="40" spans="1:99">
      <c r="A40" s="74"/>
      <c r="B40" s="74"/>
      <c r="C40" s="50" t="s">
        <v>898</v>
      </c>
      <c r="D40" s="72"/>
      <c r="E40" s="161"/>
      <c r="F40" s="160"/>
      <c r="G40" s="160"/>
      <c r="H40" s="144"/>
      <c r="I40" s="109"/>
      <c r="J40" s="161"/>
      <c r="K40" s="160"/>
      <c r="L40" s="160"/>
      <c r="M40" s="144"/>
      <c r="N40" s="109"/>
      <c r="O40" s="161"/>
      <c r="P40" s="160"/>
      <c r="Q40" s="160"/>
      <c r="R40" s="144"/>
      <c r="S40" s="109"/>
      <c r="T40" s="161"/>
      <c r="U40" s="160"/>
      <c r="V40" s="160"/>
      <c r="W40" s="144"/>
      <c r="X40" s="109">
        <f>+AEP!X51</f>
        <v>484.68246900000003</v>
      </c>
      <c r="Y40" s="161">
        <f>+AEP!Y51</f>
        <v>485.823668</v>
      </c>
      <c r="Z40" s="160">
        <f>+AEP!Z51</f>
        <v>486.293026</v>
      </c>
      <c r="AA40" s="160">
        <f>+AEP!AA51</f>
        <v>486.93274700000001</v>
      </c>
      <c r="AB40" s="144">
        <f>+AEP!AB51</f>
        <v>487</v>
      </c>
      <c r="AC40" s="109">
        <f>+AEP!AC51</f>
        <v>486.61955499999999</v>
      </c>
      <c r="AD40" s="161">
        <f>+AEP!AD51</f>
        <v>487.86708900000002</v>
      </c>
      <c r="AE40" s="160">
        <f>+AEP!AE51</f>
        <v>488.29157600000002</v>
      </c>
      <c r="AF40" s="160">
        <f>+AEP!AF51</f>
        <v>488.912892</v>
      </c>
      <c r="AG40" s="144">
        <f>+AEP!AG51</f>
        <v>489</v>
      </c>
      <c r="AH40" s="109">
        <f>+AEP!AH51</f>
        <v>488.59299700000003</v>
      </c>
      <c r="AI40" s="161">
        <f>+AEP!AI51</f>
        <v>489.59798599999999</v>
      </c>
      <c r="AJ40" s="160">
        <f>+AEP!AJ51</f>
        <v>490.20748200000003</v>
      </c>
      <c r="AK40" s="160">
        <f>+AEP!AK51</f>
        <v>490.64892900000001</v>
      </c>
      <c r="AL40" s="144">
        <f>+AEP!AL51</f>
        <v>491</v>
      </c>
      <c r="AM40" s="109">
        <f>+AEP!AM51</f>
        <v>490.34052200000002</v>
      </c>
      <c r="AN40" s="161">
        <f>+AEP!AN51</f>
        <v>491.10839199999998</v>
      </c>
      <c r="AO40" s="160">
        <f>+AEP!AO51</f>
        <v>491.459541</v>
      </c>
      <c r="AP40" s="160">
        <f>+AEP!AP51</f>
        <v>491.69780900000001</v>
      </c>
      <c r="AQ40" s="144">
        <f>+AEP!AQ51</f>
        <v>492</v>
      </c>
      <c r="AR40" s="109">
        <f>+AEP!AR51</f>
        <v>491.49545799999999</v>
      </c>
      <c r="AS40" s="161">
        <f>+AEP!AS51</f>
        <v>491.712042</v>
      </c>
      <c r="AT40" s="160">
        <f>+AEP!AT51</f>
        <v>491.790752</v>
      </c>
      <c r="AU40" s="160">
        <f>+AEP!AU51</f>
        <v>491.84072200000003</v>
      </c>
      <c r="AV40" s="144">
        <f>+AEP!AV51</f>
        <v>492</v>
      </c>
      <c r="AW40" s="109">
        <f>+AEP!AW51</f>
        <v>491.81465100000003</v>
      </c>
      <c r="AX40" s="161">
        <f>+AEP!AX51</f>
        <v>492.18707302903601</v>
      </c>
      <c r="AY40" s="160">
        <f>+AEP!AY51</f>
        <v>492.550023087108</v>
      </c>
      <c r="AZ40" s="160">
        <f>+AEP!AZ51</f>
        <v>492.91297314517999</v>
      </c>
      <c r="BA40" s="144">
        <f>+AEP!BA51</f>
        <v>493.27592320325198</v>
      </c>
      <c r="BB40" s="109">
        <f>+AEP!BB51</f>
        <v>492.731498116144</v>
      </c>
      <c r="BC40" s="161">
        <f>+AEP!BC51</f>
        <v>493.63887326132397</v>
      </c>
      <c r="BD40" s="160">
        <f>+AEP!BD51</f>
        <v>494.00182331939595</v>
      </c>
      <c r="BE40" s="160">
        <f>+AEP!BE51</f>
        <v>494.36477337746794</v>
      </c>
      <c r="BF40" s="144">
        <f>+AEP!BF51</f>
        <v>494.72772343553993</v>
      </c>
      <c r="BG40" s="109">
        <f>+AEP!BG51</f>
        <v>494.18329834843195</v>
      </c>
      <c r="BH40" s="161">
        <f>+AEP!BH51</f>
        <v>495.81657360975595</v>
      </c>
      <c r="BI40" s="160">
        <f>+AEP!BI51</f>
        <v>497.631323900116</v>
      </c>
      <c r="BJ40" s="160">
        <f>+AEP!BJ51</f>
        <v>499.44607419047605</v>
      </c>
      <c r="BK40" s="144">
        <f>+AEP!BK51</f>
        <v>501.26082448083611</v>
      </c>
      <c r="BL40" s="109">
        <f>+AEP!BL51</f>
        <v>498.53869904529603</v>
      </c>
      <c r="BM40" s="161">
        <f>+AEP!BM51</f>
        <v>503.48389358652719</v>
      </c>
      <c r="BN40" s="160">
        <f>+AEP!BN51</f>
        <v>506.11528150754918</v>
      </c>
      <c r="BO40" s="160">
        <f>+AEP!BO51</f>
        <v>508.74666942857129</v>
      </c>
      <c r="BP40" s="144">
        <f>+AEP!BP51</f>
        <v>511.37805734959335</v>
      </c>
      <c r="BQ40" s="109">
        <f>+AEP!BQ51</f>
        <v>507.43097546806024</v>
      </c>
      <c r="BR40" s="74"/>
      <c r="BS40" s="74"/>
      <c r="BU40" s="546"/>
      <c r="BV40" s="74"/>
      <c r="CB40" s="74"/>
      <c r="CC40" s="74"/>
      <c r="CD40" s="74"/>
      <c r="CE40" s="74"/>
      <c r="CF40" s="74"/>
      <c r="CG40" s="74"/>
      <c r="CH40" s="74"/>
      <c r="CI40" s="74"/>
      <c r="CJ40" s="74"/>
      <c r="CK40" s="74"/>
      <c r="CL40" s="74"/>
      <c r="CM40" s="74"/>
      <c r="CN40" s="74"/>
      <c r="CO40" s="74"/>
      <c r="CP40" s="74"/>
      <c r="CQ40" s="74"/>
      <c r="CR40" s="74"/>
      <c r="CS40" s="74"/>
      <c r="CT40" s="74"/>
      <c r="CU40" s="74"/>
    </row>
    <row r="41" spans="1:99">
      <c r="A41" s="74"/>
      <c r="B41" s="74"/>
      <c r="C41" s="50" t="s">
        <v>901</v>
      </c>
      <c r="D41" s="72"/>
      <c r="E41" s="161"/>
      <c r="F41" s="160"/>
      <c r="G41" s="160"/>
      <c r="H41" s="144"/>
      <c r="I41" s="109"/>
      <c r="J41" s="161"/>
      <c r="K41" s="160"/>
      <c r="L41" s="160"/>
      <c r="M41" s="144"/>
      <c r="N41" s="109"/>
      <c r="O41" s="161"/>
      <c r="P41" s="160"/>
      <c r="Q41" s="160"/>
      <c r="R41" s="144"/>
      <c r="S41" s="109"/>
      <c r="T41" s="161"/>
      <c r="U41" s="160"/>
      <c r="V41" s="160"/>
      <c r="W41" s="144"/>
      <c r="X41" s="109">
        <f>+AEP!X52</f>
        <v>485.08469400000001</v>
      </c>
      <c r="Y41" s="161">
        <f>+AEP!Y52</f>
        <v>486.34403600000002</v>
      </c>
      <c r="Z41" s="160">
        <f>+AEP!Z52</f>
        <v>486.86361499999998</v>
      </c>
      <c r="AA41" s="160">
        <f>+AEP!AA52</f>
        <v>487.25890500000003</v>
      </c>
      <c r="AB41" s="144">
        <f>+AEP!AB52</f>
        <v>487</v>
      </c>
      <c r="AC41" s="109">
        <f>+AEP!AC52</f>
        <v>487.04095599999999</v>
      </c>
      <c r="AD41" s="161">
        <f>+AEP!AD52</f>
        <v>488.27116699999999</v>
      </c>
      <c r="AE41" s="160">
        <f>+AEP!AE52</f>
        <v>488.53822700000001</v>
      </c>
      <c r="AF41" s="160">
        <f>+AEP!AF52</f>
        <v>488.97064699999999</v>
      </c>
      <c r="AG41" s="144">
        <f>+AEP!AG52</f>
        <v>489</v>
      </c>
      <c r="AH41" s="109">
        <f>+AEP!AH52</f>
        <v>488.89983999999998</v>
      </c>
      <c r="AI41" s="161">
        <f>+AEP!AI52</f>
        <v>489.93672600000002</v>
      </c>
      <c r="AJ41" s="160">
        <f>+AEP!AJ52</f>
        <v>490.48444999999998</v>
      </c>
      <c r="AK41" s="160">
        <f>+AEP!AK52</f>
        <v>490.80033500000002</v>
      </c>
      <c r="AL41" s="144">
        <f>+AEP!AL52</f>
        <v>491</v>
      </c>
      <c r="AM41" s="109">
        <f>+AEP!AM52</f>
        <v>490.574568</v>
      </c>
      <c r="AN41" s="161">
        <f>+AEP!AN52</f>
        <v>491.33230500000002</v>
      </c>
      <c r="AO41" s="160">
        <f>+AEP!AO52</f>
        <v>491.64139999999998</v>
      </c>
      <c r="AP41" s="160">
        <f>+AEP!AP52</f>
        <v>491.81385799999998</v>
      </c>
      <c r="AQ41" s="144">
        <f>+AEP!AQ52</f>
        <v>492</v>
      </c>
      <c r="AR41" s="109">
        <f>+AEP!AR52</f>
        <v>491.66200700000002</v>
      </c>
      <c r="AS41" s="161">
        <f>+AEP!AS52</f>
        <v>492.03197499999999</v>
      </c>
      <c r="AT41" s="160">
        <f>+AEP!AT52</f>
        <v>492.64210000000003</v>
      </c>
      <c r="AU41" s="160">
        <f>+AEP!AU52</f>
        <v>492.98630700000001</v>
      </c>
      <c r="AV41" s="144">
        <f>+AEP!AV52</f>
        <v>492</v>
      </c>
      <c r="AW41" s="109">
        <f>+AEP!AW52</f>
        <v>492.61106699999999</v>
      </c>
      <c r="AX41" s="161">
        <f>+AEP!AX52</f>
        <v>492.18707302903601</v>
      </c>
      <c r="AY41" s="160">
        <f>+AEP!AY52</f>
        <v>492.550023087108</v>
      </c>
      <c r="AZ41" s="160">
        <f>+AEP!AZ52</f>
        <v>492.91297314517999</v>
      </c>
      <c r="BA41" s="144">
        <f>+AEP!BA52</f>
        <v>493.27592320325198</v>
      </c>
      <c r="BB41" s="109">
        <f>+AEP!BB52</f>
        <v>492.731498116144</v>
      </c>
      <c r="BC41" s="161">
        <f>+AEP!BC52</f>
        <v>493.63887326132397</v>
      </c>
      <c r="BD41" s="160">
        <f>+AEP!BD52</f>
        <v>494.00182331939595</v>
      </c>
      <c r="BE41" s="160">
        <f>+AEP!BE52</f>
        <v>494.36477337746794</v>
      </c>
      <c r="BF41" s="144">
        <f>+AEP!BF52</f>
        <v>494.72772343553993</v>
      </c>
      <c r="BG41" s="109">
        <f>+AEP!BG52</f>
        <v>494.18329834843195</v>
      </c>
      <c r="BH41" s="161">
        <f>+AEP!BH52</f>
        <v>495.81657360975595</v>
      </c>
      <c r="BI41" s="160">
        <f>+AEP!BI52</f>
        <v>497.631323900116</v>
      </c>
      <c r="BJ41" s="160">
        <f>+AEP!BJ52</f>
        <v>499.44607419047605</v>
      </c>
      <c r="BK41" s="144">
        <f>+AEP!BK52</f>
        <v>501.26082448083611</v>
      </c>
      <c r="BL41" s="109">
        <f>+AEP!BL52</f>
        <v>498.53869904529603</v>
      </c>
      <c r="BM41" s="161">
        <f>+AEP!BM52</f>
        <v>503.48389358652719</v>
      </c>
      <c r="BN41" s="160">
        <f>+AEP!BN52</f>
        <v>506.11528150754918</v>
      </c>
      <c r="BO41" s="160">
        <f>+AEP!BO52</f>
        <v>508.74666942857129</v>
      </c>
      <c r="BP41" s="144">
        <f>+AEP!BP52</f>
        <v>511.37805734959335</v>
      </c>
      <c r="BQ41" s="109">
        <f>+AEP!BQ52</f>
        <v>507.43097546806024</v>
      </c>
      <c r="BR41" s="74"/>
      <c r="BS41" s="74"/>
      <c r="BU41" s="546"/>
      <c r="BV41" s="74"/>
      <c r="CB41" s="74"/>
      <c r="CC41" s="74"/>
      <c r="CD41" s="74"/>
      <c r="CE41" s="74"/>
      <c r="CF41" s="74"/>
      <c r="CG41" s="74"/>
      <c r="CH41" s="74"/>
      <c r="CI41" s="74"/>
      <c r="CJ41" s="74"/>
      <c r="CK41" s="74"/>
      <c r="CL41" s="74"/>
      <c r="CM41" s="74"/>
      <c r="CN41" s="74"/>
      <c r="CO41" s="74"/>
      <c r="CP41" s="74"/>
      <c r="CQ41" s="74"/>
      <c r="CR41" s="74"/>
      <c r="CS41" s="74"/>
      <c r="CT41" s="74"/>
      <c r="CU41" s="74"/>
    </row>
    <row r="42" spans="1:99">
      <c r="A42" s="74"/>
      <c r="B42" s="74"/>
      <c r="C42" s="112"/>
      <c r="D42" s="72"/>
      <c r="E42" s="148"/>
      <c r="F42" s="163"/>
      <c r="G42" s="163"/>
      <c r="H42" s="147"/>
      <c r="I42" s="72"/>
      <c r="J42" s="148"/>
      <c r="K42" s="163"/>
      <c r="L42" s="163"/>
      <c r="M42" s="147"/>
      <c r="N42" s="72"/>
      <c r="O42" s="148"/>
      <c r="P42" s="163"/>
      <c r="Q42" s="163"/>
      <c r="R42" s="147"/>
      <c r="S42" s="72"/>
      <c r="T42" s="148"/>
      <c r="U42" s="163"/>
      <c r="V42" s="163"/>
      <c r="W42" s="147"/>
      <c r="X42" s="72"/>
      <c r="Y42" s="148"/>
      <c r="Z42" s="163"/>
      <c r="AA42" s="163"/>
      <c r="AB42" s="147"/>
      <c r="AC42" s="72"/>
      <c r="AD42" s="148"/>
      <c r="AE42" s="163"/>
      <c r="AF42" s="163"/>
      <c r="AG42" s="147"/>
      <c r="AH42" s="72"/>
      <c r="AI42" s="148"/>
      <c r="AJ42" s="163"/>
      <c r="AK42" s="163"/>
      <c r="AL42" s="147"/>
      <c r="AM42" s="72"/>
      <c r="AN42" s="148"/>
      <c r="AO42" s="163"/>
      <c r="AP42" s="163"/>
      <c r="AQ42" s="147"/>
      <c r="AR42" s="72"/>
      <c r="AS42" s="148"/>
      <c r="AT42" s="163"/>
      <c r="AU42" s="163"/>
      <c r="AV42" s="147"/>
      <c r="AW42" s="72"/>
      <c r="AX42" s="148"/>
      <c r="AY42" s="163"/>
      <c r="AZ42" s="163"/>
      <c r="BA42" s="147"/>
      <c r="BB42" s="74"/>
      <c r="BC42" s="148"/>
      <c r="BD42" s="163"/>
      <c r="BE42" s="163"/>
      <c r="BF42" s="147"/>
      <c r="BG42" s="74"/>
      <c r="BH42" s="148"/>
      <c r="BI42" s="163"/>
      <c r="BJ42" s="163"/>
      <c r="BK42" s="147"/>
      <c r="BL42" s="74"/>
      <c r="BM42" s="148"/>
      <c r="BN42" s="163"/>
      <c r="BO42" s="163"/>
      <c r="BP42" s="147"/>
      <c r="BQ42" s="74"/>
      <c r="BR42" s="74"/>
      <c r="BS42" s="74"/>
      <c r="BU42" s="546"/>
      <c r="BV42" s="74"/>
      <c r="CB42" s="74"/>
      <c r="CC42" s="74"/>
      <c r="CD42" s="74"/>
      <c r="CE42" s="74"/>
      <c r="CF42" s="74"/>
      <c r="CG42" s="74"/>
      <c r="CH42" s="74"/>
      <c r="CI42" s="74"/>
      <c r="CJ42" s="74"/>
      <c r="CK42" s="74"/>
      <c r="CL42" s="74"/>
      <c r="CM42" s="74"/>
      <c r="CN42" s="74"/>
      <c r="CO42" s="74"/>
      <c r="CP42" s="74"/>
      <c r="CQ42" s="74"/>
      <c r="CR42" s="74"/>
      <c r="CS42" s="74"/>
      <c r="CT42" s="74"/>
      <c r="CU42" s="74"/>
    </row>
    <row r="43" spans="1:99">
      <c r="A43" s="50"/>
      <c r="B43" s="50"/>
      <c r="C43" s="50" t="s">
        <v>196</v>
      </c>
      <c r="D43" s="50"/>
      <c r="E43" s="174"/>
      <c r="F43" s="175"/>
      <c r="G43" s="175"/>
      <c r="H43" s="176"/>
      <c r="I43" s="177"/>
      <c r="J43" s="174"/>
      <c r="K43" s="175"/>
      <c r="L43" s="175"/>
      <c r="M43" s="176"/>
      <c r="N43" s="177"/>
      <c r="O43" s="174"/>
      <c r="P43" s="175"/>
      <c r="Q43" s="175"/>
      <c r="R43" s="176"/>
      <c r="S43" s="177"/>
      <c r="T43" s="174"/>
      <c r="U43" s="175"/>
      <c r="V43" s="175"/>
      <c r="W43" s="176"/>
      <c r="X43" s="177">
        <f t="shared" ref="X43:AF43" si="48">+X36/X41</f>
        <v>0.8019218186257594</v>
      </c>
      <c r="Y43" s="174">
        <f t="shared" si="48"/>
        <v>0.17888571373372408</v>
      </c>
      <c r="Z43" s="175">
        <f t="shared" si="48"/>
        <v>0.15404724791356611</v>
      </c>
      <c r="AA43" s="175">
        <f t="shared" si="48"/>
        <v>0.24422334569749934</v>
      </c>
      <c r="AB43" s="176">
        <f t="shared" si="48"/>
        <v>0.15811088295687886</v>
      </c>
      <c r="AC43" s="177">
        <f t="shared" si="48"/>
        <v>0.73505111960235225</v>
      </c>
      <c r="AD43" s="174">
        <f t="shared" si="48"/>
        <v>0.19866010232793452</v>
      </c>
      <c r="AE43" s="175">
        <f t="shared" si="48"/>
        <v>0.18422304545678878</v>
      </c>
      <c r="AF43" s="175">
        <f t="shared" si="48"/>
        <v>0.18815035332785529</v>
      </c>
      <c r="AG43" s="176">
        <f t="shared" ref="AG43:AM43" si="49">+AG36/AG41</f>
        <v>0.14969325153374394</v>
      </c>
      <c r="AH43" s="177">
        <f t="shared" si="49"/>
        <v>0.7203929541069205</v>
      </c>
      <c r="AI43" s="174">
        <f t="shared" si="49"/>
        <v>0.19798474956539591</v>
      </c>
      <c r="AJ43" s="175">
        <f t="shared" si="49"/>
        <v>0.15902644823908282</v>
      </c>
      <c r="AK43" s="175">
        <f t="shared" si="49"/>
        <v>0.23023619166845108</v>
      </c>
      <c r="AL43" s="176">
        <f t="shared" si="49"/>
        <v>0.13116089613034643</v>
      </c>
      <c r="AM43" s="177">
        <f t="shared" si="49"/>
        <v>0.71834135519230602</v>
      </c>
      <c r="AN43" s="174">
        <f t="shared" ref="AN43:AU43" si="50">+AN36/AN41</f>
        <v>0.21981050075671282</v>
      </c>
      <c r="AO43" s="175">
        <f t="shared" si="50"/>
        <v>0.25343675288533457</v>
      </c>
      <c r="AP43" s="175">
        <f t="shared" si="50"/>
        <v>0.31617653197564016</v>
      </c>
      <c r="AQ43" s="176">
        <f t="shared" si="50"/>
        <v>0.19105691056910523</v>
      </c>
      <c r="AR43" s="177">
        <f t="shared" si="50"/>
        <v>0.98055166585202413</v>
      </c>
      <c r="AS43" s="174">
        <f>+AS36/AS41</f>
        <v>0.24205743945807617</v>
      </c>
      <c r="AT43" s="175">
        <f t="shared" si="50"/>
        <v>0.22572167502533785</v>
      </c>
      <c r="AU43" s="175">
        <f t="shared" si="50"/>
        <v>0.29209736245270596</v>
      </c>
      <c r="AV43" s="176">
        <f t="shared" ref="AV43:AW43" si="51">+AV36/AV41</f>
        <v>0.53272357723577135</v>
      </c>
      <c r="AW43" s="177">
        <f t="shared" si="51"/>
        <v>1.291891397965689</v>
      </c>
      <c r="AX43" s="174">
        <f t="shared" ref="AX43:BL43" si="52">+AX36/AX41</f>
        <v>0.27769314922286692</v>
      </c>
      <c r="AY43" s="175">
        <f t="shared" si="52"/>
        <v>0.26852064335326881</v>
      </c>
      <c r="AZ43" s="175">
        <f t="shared" si="52"/>
        <v>0.37363228568854384</v>
      </c>
      <c r="BA43" s="176">
        <f t="shared" si="52"/>
        <v>0.24267545140312499</v>
      </c>
      <c r="BB43" s="177">
        <f t="shared" si="52"/>
        <v>1.1625215512315956</v>
      </c>
      <c r="BC43" s="174">
        <f t="shared" si="52"/>
        <v>0.30136764521746856</v>
      </c>
      <c r="BD43" s="175">
        <f t="shared" si="52"/>
        <v>0.28512833599184861</v>
      </c>
      <c r="BE43" s="175">
        <f t="shared" si="52"/>
        <v>0.38389554142824273</v>
      </c>
      <c r="BF43" s="176">
        <f t="shared" si="52"/>
        <v>0.25934433201562834</v>
      </c>
      <c r="BG43" s="177">
        <f t="shared" si="52"/>
        <v>1.2297258284857873</v>
      </c>
      <c r="BH43" s="174">
        <f t="shared" si="52"/>
        <v>0.32119992601371999</v>
      </c>
      <c r="BI43" s="175">
        <f t="shared" si="52"/>
        <v>0.30749086752941535</v>
      </c>
      <c r="BJ43" s="175">
        <f t="shared" si="52"/>
        <v>0.41823072502975728</v>
      </c>
      <c r="BK43" s="176">
        <f t="shared" si="52"/>
        <v>0.28659503094674521</v>
      </c>
      <c r="BL43" s="177">
        <f t="shared" si="52"/>
        <v>1.3335291538154179</v>
      </c>
      <c r="BM43" s="174">
        <f>+BM36/BM41</f>
        <v>0.33913170591453257</v>
      </c>
      <c r="BN43" s="175">
        <f>+BN36/BN41</f>
        <v>0.33169969115418846</v>
      </c>
      <c r="BO43" s="175">
        <f>+BO36/BO41</f>
        <v>0.43468635849284354</v>
      </c>
      <c r="BP43" s="176">
        <f>+BP36/BP41</f>
        <v>0.31123077532909538</v>
      </c>
      <c r="BQ43" s="177">
        <f>+BQ36/BQ41</f>
        <v>1.4167985311465874</v>
      </c>
      <c r="BR43" s="50"/>
      <c r="BS43" s="50"/>
      <c r="BU43" s="546"/>
      <c r="BV43" s="50"/>
      <c r="BW43" s="50"/>
      <c r="BX43" s="50"/>
      <c r="BY43" s="50"/>
      <c r="BZ43" s="50"/>
      <c r="CA43" s="50"/>
      <c r="CB43" s="50"/>
      <c r="CC43" s="50"/>
      <c r="CD43" s="50"/>
      <c r="CE43" s="50"/>
      <c r="CF43" s="50"/>
      <c r="CG43" s="50"/>
      <c r="CH43" s="50"/>
      <c r="CI43" s="50"/>
      <c r="CJ43" s="50"/>
      <c r="CK43" s="50"/>
      <c r="CL43" s="50"/>
      <c r="CM43" s="50"/>
      <c r="CN43" s="50"/>
      <c r="CO43" s="50"/>
      <c r="CP43" s="50"/>
      <c r="CQ43" s="50"/>
      <c r="CR43" s="50"/>
      <c r="CS43" s="50"/>
      <c r="CT43" s="50"/>
      <c r="CU43" s="50"/>
    </row>
    <row r="44" spans="1:99">
      <c r="A44" s="50"/>
      <c r="C44" s="178" t="s">
        <v>197</v>
      </c>
      <c r="D44" s="179"/>
      <c r="E44" s="180"/>
      <c r="F44" s="105"/>
      <c r="G44" s="105"/>
      <c r="H44" s="106"/>
      <c r="I44" s="181"/>
      <c r="J44" s="180"/>
      <c r="K44" s="105"/>
      <c r="L44" s="105"/>
      <c r="M44" s="106"/>
      <c r="N44" s="181"/>
      <c r="O44" s="180"/>
      <c r="P44" s="105"/>
      <c r="Q44" s="105"/>
      <c r="R44" s="106"/>
      <c r="S44" s="181"/>
      <c r="T44" s="180"/>
      <c r="U44" s="105"/>
      <c r="V44" s="105"/>
      <c r="W44" s="106"/>
      <c r="X44" s="181">
        <f t="shared" ref="X44:AF44" si="53">+X38/X41</f>
        <v>0.8019218186257594</v>
      </c>
      <c r="Y44" s="180">
        <f t="shared" si="53"/>
        <v>0.1768295561046008</v>
      </c>
      <c r="Z44" s="105">
        <f t="shared" si="53"/>
        <v>0.15404724791356611</v>
      </c>
      <c r="AA44" s="105">
        <f t="shared" si="53"/>
        <v>0.24422334569749934</v>
      </c>
      <c r="AB44" s="106">
        <f t="shared" si="53"/>
        <v>0.16016427104722791</v>
      </c>
      <c r="AC44" s="181">
        <f t="shared" si="53"/>
        <v>0.73505111960235225</v>
      </c>
      <c r="AD44" s="180">
        <f t="shared" si="53"/>
        <v>0.19866010232793452</v>
      </c>
      <c r="AE44" s="105">
        <f t="shared" si="53"/>
        <v>0.18422304545678878</v>
      </c>
      <c r="AF44" s="105">
        <f t="shared" si="53"/>
        <v>0.18815035332785529</v>
      </c>
      <c r="AG44" s="106">
        <f t="shared" ref="AG44:AM44" si="54">+AG38/AG41</f>
        <v>0.14969325153374394</v>
      </c>
      <c r="AH44" s="181">
        <f t="shared" si="54"/>
        <v>0.7203929541069205</v>
      </c>
      <c r="AI44" s="180">
        <f t="shared" si="54"/>
        <v>0.19798474956539591</v>
      </c>
      <c r="AJ44" s="105">
        <f t="shared" si="54"/>
        <v>0.15902644823908282</v>
      </c>
      <c r="AK44" s="105">
        <f t="shared" si="54"/>
        <v>0.23023619166845108</v>
      </c>
      <c r="AL44" s="106">
        <f t="shared" si="54"/>
        <v>0.13116089613034643</v>
      </c>
      <c r="AM44" s="181">
        <f t="shared" si="54"/>
        <v>0.71834135519230602</v>
      </c>
      <c r="AN44" s="180">
        <f t="shared" ref="AN44:AU44" si="55">+AN38/AN41</f>
        <v>0.21981050075671282</v>
      </c>
      <c r="AO44" s="105">
        <f t="shared" si="55"/>
        <v>0.25343675288533457</v>
      </c>
      <c r="AP44" s="105">
        <f t="shared" si="55"/>
        <v>0.31617653197564016</v>
      </c>
      <c r="AQ44" s="106">
        <f t="shared" si="55"/>
        <v>0.19105691056910523</v>
      </c>
      <c r="AR44" s="181">
        <f t="shared" si="55"/>
        <v>0.98055166585202413</v>
      </c>
      <c r="AS44" s="180">
        <f>+AS38/AS41</f>
        <v>0.24205743945807617</v>
      </c>
      <c r="AT44" s="105">
        <f t="shared" si="55"/>
        <v>0.22572167502533785</v>
      </c>
      <c r="AU44" s="105">
        <f t="shared" si="55"/>
        <v>0.29209736245270596</v>
      </c>
      <c r="AV44" s="106">
        <f t="shared" ref="AV44:AW44" si="56">+AV38/AV41</f>
        <v>0.25182926829268193</v>
      </c>
      <c r="AW44" s="181">
        <f t="shared" si="56"/>
        <v>1.0113455287028694</v>
      </c>
      <c r="AX44" s="180">
        <f t="shared" ref="AX44:BL44" si="57">+AX38/AX41</f>
        <v>0.27769314922286692</v>
      </c>
      <c r="AY44" s="105">
        <f t="shared" si="57"/>
        <v>0.26852064335326881</v>
      </c>
      <c r="AZ44" s="105">
        <f t="shared" si="57"/>
        <v>0.37363228568854384</v>
      </c>
      <c r="BA44" s="106">
        <f t="shared" si="57"/>
        <v>0.24267545140312499</v>
      </c>
      <c r="BB44" s="181">
        <f t="shared" si="57"/>
        <v>1.1625215512315956</v>
      </c>
      <c r="BC44" s="180">
        <f t="shared" si="57"/>
        <v>0.30136764521746856</v>
      </c>
      <c r="BD44" s="105">
        <f t="shared" si="57"/>
        <v>0.28512833599184861</v>
      </c>
      <c r="BE44" s="105">
        <f t="shared" si="57"/>
        <v>0.38389554142824273</v>
      </c>
      <c r="BF44" s="106">
        <f t="shared" si="57"/>
        <v>0.25934433201562834</v>
      </c>
      <c r="BG44" s="181">
        <f t="shared" si="57"/>
        <v>1.2297258284857873</v>
      </c>
      <c r="BH44" s="180">
        <f t="shared" si="57"/>
        <v>0.32119992601371999</v>
      </c>
      <c r="BI44" s="105">
        <f t="shared" si="57"/>
        <v>0.30749086752941535</v>
      </c>
      <c r="BJ44" s="105">
        <f t="shared" si="57"/>
        <v>0.41823072502975728</v>
      </c>
      <c r="BK44" s="106">
        <f t="shared" si="57"/>
        <v>0.28659503094674521</v>
      </c>
      <c r="BL44" s="181">
        <f t="shared" si="57"/>
        <v>1.3335291538154179</v>
      </c>
      <c r="BM44" s="180">
        <f>+BM38/BM41</f>
        <v>0.33913170591453257</v>
      </c>
      <c r="BN44" s="105">
        <f>+BN38/BN41</f>
        <v>0.33169969115418846</v>
      </c>
      <c r="BO44" s="105">
        <f>+BO38/BO41</f>
        <v>0.43468635849284354</v>
      </c>
      <c r="BP44" s="106">
        <f>+BP38/BP41</f>
        <v>0.31123077532909538</v>
      </c>
      <c r="BQ44" s="772">
        <f>+BQ38/BQ41</f>
        <v>1.4167985311465874</v>
      </c>
      <c r="BR44" s="50"/>
      <c r="BS44" s="50"/>
      <c r="BU44" s="546"/>
      <c r="BV44" s="50"/>
      <c r="BW44" s="50"/>
      <c r="BX44" s="50"/>
      <c r="BY44" s="50"/>
      <c r="BZ44" s="50"/>
      <c r="CA44" s="50"/>
      <c r="CB44" s="50"/>
      <c r="CC44" s="50"/>
      <c r="CD44" s="50"/>
      <c r="CE44" s="50"/>
      <c r="CF44" s="50"/>
      <c r="CG44" s="50"/>
      <c r="CH44" s="50"/>
      <c r="CI44" s="50"/>
      <c r="CJ44" s="50"/>
      <c r="CK44" s="50"/>
      <c r="CL44" s="50"/>
      <c r="CM44" s="50"/>
      <c r="CN44" s="50"/>
      <c r="CO44" s="50"/>
      <c r="CP44" s="50"/>
      <c r="CQ44" s="50"/>
      <c r="CR44" s="50"/>
      <c r="CS44" s="50"/>
      <c r="CT44" s="50"/>
      <c r="CU44" s="50"/>
    </row>
    <row r="45" spans="1:99">
      <c r="A45" s="50"/>
      <c r="B45" s="50"/>
      <c r="C45" s="75" t="s">
        <v>22</v>
      </c>
      <c r="D45" s="50"/>
      <c r="E45" s="274"/>
      <c r="F45" s="275"/>
      <c r="G45" s="275"/>
      <c r="H45" s="276"/>
      <c r="I45" s="288"/>
      <c r="J45" s="274"/>
      <c r="K45" s="275"/>
      <c r="L45" s="275"/>
      <c r="M45" s="276"/>
      <c r="N45" s="288"/>
      <c r="O45" s="274"/>
      <c r="P45" s="275"/>
      <c r="Q45" s="275"/>
      <c r="R45" s="276"/>
      <c r="S45" s="288"/>
      <c r="T45" s="274"/>
      <c r="U45" s="275"/>
      <c r="V45" s="275"/>
      <c r="W45" s="276"/>
      <c r="X45" s="288"/>
      <c r="Y45" s="274"/>
      <c r="Z45" s="275"/>
      <c r="AA45" s="275"/>
      <c r="AB45" s="276"/>
      <c r="AC45" s="288">
        <f t="shared" ref="AC45:AJ45" si="58">AC44/X44-1</f>
        <v>-8.3388052887752084E-2</v>
      </c>
      <c r="AD45" s="274">
        <f t="shared" si="58"/>
        <v>0.12345530184117059</v>
      </c>
      <c r="AE45" s="275">
        <f t="shared" si="58"/>
        <v>0.19588663836535347</v>
      </c>
      <c r="AF45" s="275">
        <f t="shared" si="58"/>
        <v>-0.22959718371517746</v>
      </c>
      <c r="AG45" s="276">
        <f t="shared" si="58"/>
        <v>-6.5376750039316645E-2</v>
      </c>
      <c r="AH45" s="288">
        <f t="shared" si="58"/>
        <v>-1.994169535223822E-2</v>
      </c>
      <c r="AI45" s="274">
        <f t="shared" si="58"/>
        <v>-3.3995389845504764E-3</v>
      </c>
      <c r="AJ45" s="275">
        <f t="shared" si="58"/>
        <v>-0.13677223256856885</v>
      </c>
      <c r="AK45" s="275">
        <f t="shared" ref="AK45:AS45" si="59">AK44/AF44-1</f>
        <v>0.22368195220585352</v>
      </c>
      <c r="AL45" s="276">
        <f t="shared" si="59"/>
        <v>-0.1238022102767935</v>
      </c>
      <c r="AM45" s="288">
        <f t="shared" si="59"/>
        <v>-2.8478886459375463E-3</v>
      </c>
      <c r="AN45" s="274">
        <f t="shared" si="59"/>
        <v>0.11023955753777748</v>
      </c>
      <c r="AO45" s="275">
        <f t="shared" si="59"/>
        <v>0.59367674806088755</v>
      </c>
      <c r="AP45" s="275">
        <f t="shared" si="59"/>
        <v>0.37327033462639303</v>
      </c>
      <c r="AQ45" s="276">
        <f t="shared" si="59"/>
        <v>0.4566606069787349</v>
      </c>
      <c r="AR45" s="288">
        <f t="shared" ref="AR45:AU45" si="60">AR44/AM44-1</f>
        <v>0.36502187819817533</v>
      </c>
      <c r="AS45" s="274">
        <f t="shared" si="59"/>
        <v>0.10120962658643107</v>
      </c>
      <c r="AT45" s="275">
        <f t="shared" si="60"/>
        <v>-0.10935697977686831</v>
      </c>
      <c r="AU45" s="275">
        <f t="shared" si="60"/>
        <v>-7.6157358588490598E-2</v>
      </c>
      <c r="AV45" s="276">
        <f t="shared" ref="AV45" si="61">AV44/AQ44-1</f>
        <v>0.3180851063829766</v>
      </c>
      <c r="AW45" s="288">
        <f t="shared" ref="AW45" si="62">AW44/AR44-1</f>
        <v>3.1404630600558647E-2</v>
      </c>
      <c r="AX45" s="274">
        <f t="shared" ref="AX45:BL45" si="63">AX44/AS44-1</f>
        <v>0.14722005588662257</v>
      </c>
      <c r="AY45" s="275">
        <f t="shared" si="63"/>
        <v>0.18960947513404136</v>
      </c>
      <c r="AZ45" s="275">
        <f t="shared" si="63"/>
        <v>0.27913611595530696</v>
      </c>
      <c r="BA45" s="276">
        <f t="shared" si="63"/>
        <v>-3.6349297091703203E-2</v>
      </c>
      <c r="BB45" s="288">
        <f t="shared" si="63"/>
        <v>0.1494800918560657</v>
      </c>
      <c r="BC45" s="274">
        <f t="shared" si="63"/>
        <v>8.5254159351267678E-2</v>
      </c>
      <c r="BD45" s="275">
        <f t="shared" si="63"/>
        <v>6.184884868136753E-2</v>
      </c>
      <c r="BE45" s="275">
        <f t="shared" si="63"/>
        <v>2.7468867474301328E-2</v>
      </c>
      <c r="BF45" s="276">
        <f t="shared" si="63"/>
        <v>6.8687955523006439E-2</v>
      </c>
      <c r="BG45" s="288">
        <f t="shared" si="63"/>
        <v>5.7809059266896501E-2</v>
      </c>
      <c r="BH45" s="274">
        <f t="shared" si="63"/>
        <v>6.5807597832674869E-2</v>
      </c>
      <c r="BI45" s="275">
        <f t="shared" si="63"/>
        <v>7.8429705906907898E-2</v>
      </c>
      <c r="BJ45" s="275">
        <f t="shared" si="63"/>
        <v>8.9438870464017661E-2</v>
      </c>
      <c r="BK45" s="276">
        <f t="shared" si="63"/>
        <v>0.10507535953966674</v>
      </c>
      <c r="BL45" s="288">
        <f t="shared" si="63"/>
        <v>8.4411763114261129E-2</v>
      </c>
      <c r="BM45" s="274">
        <f>BM44/BH44-1</f>
        <v>5.5827472077458085E-2</v>
      </c>
      <c r="BN45" s="275">
        <f>BN44/BI44-1</f>
        <v>7.8730219922571232E-2</v>
      </c>
      <c r="BO45" s="275">
        <f>BO44/BJ44-1</f>
        <v>3.9345826306557141E-2</v>
      </c>
      <c r="BP45" s="276">
        <f>BP44/BK44-1</f>
        <v>8.5960123945512334E-2</v>
      </c>
      <c r="BQ45" s="288">
        <f>BQ44/BL44-1</f>
        <v>6.2442862304827651E-2</v>
      </c>
      <c r="BR45" s="50"/>
      <c r="BS45" s="50"/>
      <c r="BT45" s="50"/>
      <c r="BU45" s="50"/>
      <c r="BV45" s="50"/>
      <c r="BW45" s="50"/>
      <c r="BX45" s="50"/>
      <c r="BY45" s="50"/>
      <c r="BZ45" s="50"/>
      <c r="CA45" s="50"/>
      <c r="CB45" s="50"/>
      <c r="CC45" s="50"/>
      <c r="CD45" s="50"/>
      <c r="CE45" s="50"/>
      <c r="CF45" s="50"/>
      <c r="CG45" s="50"/>
      <c r="CH45" s="50"/>
      <c r="CI45" s="50"/>
      <c r="CJ45" s="50"/>
      <c r="CK45" s="50"/>
      <c r="CL45" s="50"/>
      <c r="CM45" s="50"/>
      <c r="CN45" s="50"/>
      <c r="CO45" s="50"/>
      <c r="CP45" s="50"/>
      <c r="CQ45" s="50"/>
      <c r="CR45" s="50"/>
      <c r="CS45" s="50"/>
      <c r="CT45" s="50"/>
      <c r="CU45" s="50"/>
    </row>
    <row r="46" spans="1:99">
      <c r="C46" s="56"/>
      <c r="E46" s="289"/>
      <c r="F46" s="290"/>
      <c r="G46" s="290"/>
      <c r="H46" s="291"/>
      <c r="I46" s="191"/>
      <c r="J46" s="289"/>
      <c r="K46" s="290"/>
      <c r="L46" s="290"/>
      <c r="M46" s="291"/>
      <c r="N46" s="191"/>
      <c r="O46" s="289"/>
      <c r="P46" s="290"/>
      <c r="Q46" s="290"/>
      <c r="R46" s="291"/>
      <c r="S46" s="85"/>
      <c r="T46" s="289"/>
      <c r="U46" s="290"/>
      <c r="V46" s="290"/>
      <c r="W46" s="291"/>
      <c r="X46" s="191"/>
      <c r="Y46" s="289"/>
      <c r="Z46" s="290"/>
      <c r="AA46" s="290"/>
      <c r="AB46" s="291"/>
      <c r="AC46" s="191"/>
      <c r="AD46" s="289"/>
      <c r="AE46" s="290"/>
      <c r="AF46" s="290"/>
      <c r="AG46" s="291"/>
      <c r="AH46" s="191"/>
      <c r="AI46" s="289"/>
      <c r="AJ46" s="290"/>
      <c r="AK46" s="290"/>
      <c r="AL46" s="291"/>
      <c r="AM46" s="191"/>
      <c r="AN46" s="289"/>
      <c r="AO46" s="290"/>
      <c r="AP46" s="290"/>
      <c r="AQ46" s="291"/>
      <c r="AR46" s="191"/>
      <c r="AS46" s="289"/>
      <c r="AT46" s="290"/>
      <c r="AU46" s="290"/>
      <c r="AV46" s="291"/>
      <c r="AW46" s="191"/>
      <c r="AX46" s="289"/>
      <c r="AY46" s="290"/>
      <c r="AZ46" s="290"/>
      <c r="BA46" s="291"/>
      <c r="BB46" s="191"/>
      <c r="BC46" s="289"/>
      <c r="BD46" s="290"/>
      <c r="BE46" s="290"/>
      <c r="BF46" s="291"/>
      <c r="BG46" s="191"/>
      <c r="BH46" s="289"/>
      <c r="BI46" s="290"/>
      <c r="BJ46" s="290"/>
      <c r="BK46" s="291"/>
      <c r="BL46" s="191"/>
      <c r="BM46" s="289"/>
      <c r="BN46" s="290"/>
      <c r="BO46" s="290"/>
      <c r="BP46" s="291"/>
      <c r="BQ46" s="191"/>
    </row>
    <row r="47" spans="1:99">
      <c r="B47" s="46" t="s">
        <v>198</v>
      </c>
      <c r="C47" s="46"/>
      <c r="D47" s="47"/>
      <c r="E47" s="289"/>
      <c r="F47" s="290"/>
      <c r="G47" s="290"/>
      <c r="H47" s="291"/>
      <c r="I47" s="191"/>
      <c r="J47" s="289"/>
      <c r="K47" s="290"/>
      <c r="L47" s="290"/>
      <c r="M47" s="291"/>
      <c r="N47" s="191"/>
      <c r="O47" s="289"/>
      <c r="P47" s="290"/>
      <c r="Q47" s="290"/>
      <c r="R47" s="291"/>
      <c r="S47" s="191"/>
      <c r="T47" s="289"/>
      <c r="U47" s="290"/>
      <c r="V47" s="290"/>
      <c r="W47" s="291"/>
      <c r="X47" s="191"/>
      <c r="Y47" s="289"/>
      <c r="Z47" s="290"/>
      <c r="AA47" s="290"/>
      <c r="AB47" s="291"/>
      <c r="AC47" s="191"/>
      <c r="AD47" s="289"/>
      <c r="AE47" s="290"/>
      <c r="AF47" s="290"/>
      <c r="AG47" s="291"/>
      <c r="AH47" s="191"/>
      <c r="AI47" s="289"/>
      <c r="AJ47" s="290"/>
      <c r="AK47" s="290"/>
      <c r="AL47" s="291"/>
      <c r="AM47" s="191"/>
      <c r="AN47" s="289"/>
      <c r="AO47" s="290"/>
      <c r="AP47" s="290"/>
      <c r="AQ47" s="291"/>
      <c r="AR47" s="191"/>
      <c r="AS47" s="289"/>
      <c r="AT47" s="290"/>
      <c r="AU47" s="290"/>
      <c r="AV47" s="291"/>
      <c r="AW47" s="191"/>
      <c r="AX47" s="289"/>
      <c r="AY47" s="290"/>
      <c r="AZ47" s="290"/>
      <c r="BA47" s="291"/>
      <c r="BB47" s="191"/>
      <c r="BC47" s="289"/>
      <c r="BD47" s="290"/>
      <c r="BE47" s="290"/>
      <c r="BF47" s="291"/>
      <c r="BG47" s="191"/>
      <c r="BH47" s="289"/>
      <c r="BI47" s="290"/>
      <c r="BJ47" s="290"/>
      <c r="BK47" s="291"/>
      <c r="BL47" s="191"/>
      <c r="BM47" s="289"/>
      <c r="BN47" s="290"/>
      <c r="BO47" s="290"/>
      <c r="BP47" s="291"/>
      <c r="BQ47" s="191"/>
    </row>
    <row r="48" spans="1:99">
      <c r="C48" s="292" t="s">
        <v>332</v>
      </c>
      <c r="D48" s="293"/>
      <c r="E48" s="294"/>
      <c r="F48" s="295"/>
      <c r="G48" s="295"/>
      <c r="H48" s="296"/>
      <c r="I48" s="297"/>
      <c r="J48" s="298"/>
      <c r="K48" s="299"/>
      <c r="L48" s="299"/>
      <c r="M48" s="300"/>
      <c r="N48" s="301"/>
      <c r="O48" s="298"/>
      <c r="P48" s="299"/>
      <c r="Q48" s="299"/>
      <c r="R48" s="300"/>
      <c r="S48" s="301"/>
      <c r="T48" s="298"/>
      <c r="U48" s="299"/>
      <c r="V48" s="299"/>
      <c r="W48" s="300"/>
      <c r="X48" s="301"/>
      <c r="Y48" s="298"/>
      <c r="Z48" s="299"/>
      <c r="AA48" s="299"/>
      <c r="AB48" s="300"/>
      <c r="AC48" s="301">
        <f t="shared" ref="AC48:AH48" si="64">+AC93</f>
        <v>-3.1667654223451192E-2</v>
      </c>
      <c r="AD48" s="298">
        <f t="shared" si="64"/>
        <v>5.1087931807985543E-2</v>
      </c>
      <c r="AE48" s="299">
        <f t="shared" si="64"/>
        <v>-2.9416607211459334E-2</v>
      </c>
      <c r="AF48" s="299">
        <f t="shared" si="64"/>
        <v>-1.8711641135671919E-2</v>
      </c>
      <c r="AG48" s="1419">
        <f t="shared" si="64"/>
        <v>2.9748939585005241E-2</v>
      </c>
      <c r="AH48" s="1420">
        <f t="shared" si="64"/>
        <v>7.0573837367418069E-3</v>
      </c>
      <c r="AI48" s="298">
        <f t="shared" ref="AI48:AN48" si="65">+AI93</f>
        <v>-6.4557434775649458E-3</v>
      </c>
      <c r="AJ48" s="299">
        <f t="shared" si="65"/>
        <v>1.7133163698049181E-2</v>
      </c>
      <c r="AK48" s="299">
        <f t="shared" si="65"/>
        <v>4.1492931963795332E-2</v>
      </c>
      <c r="AL48" s="1419">
        <f t="shared" si="65"/>
        <v>-5.5608126913442857E-2</v>
      </c>
      <c r="AM48" s="1420">
        <f t="shared" si="65"/>
        <v>-1.350274780920202E-5</v>
      </c>
      <c r="AN48" s="298">
        <f t="shared" si="65"/>
        <v>-4.9940930082697843E-2</v>
      </c>
      <c r="AO48" s="299">
        <f t="shared" ref="AO48:AU48" si="66">+AO93</f>
        <v>1.6900155659328453E-2</v>
      </c>
      <c r="AP48" s="299">
        <f t="shared" si="66"/>
        <v>4.0767503173518183E-2</v>
      </c>
      <c r="AQ48" s="1419">
        <f t="shared" si="66"/>
        <v>4.273252387127191E-2</v>
      </c>
      <c r="AR48" s="1420">
        <f t="shared" si="66"/>
        <v>1.2611736746874103E-2</v>
      </c>
      <c r="AS48" s="298">
        <f t="shared" si="66"/>
        <v>-2.3117793352927851E-2</v>
      </c>
      <c r="AT48" s="299">
        <f t="shared" si="66"/>
        <v>1.4541876230045991E-2</v>
      </c>
      <c r="AU48" s="299">
        <f t="shared" si="66"/>
        <v>-5.1836562368062999E-2</v>
      </c>
      <c r="AV48" s="1419">
        <f t="shared" ref="AV48:AW48" si="67">+AV93</f>
        <v>2.928042507489681E-2</v>
      </c>
      <c r="AW48" s="1420">
        <f t="shared" si="67"/>
        <v>-9.7343716663110813E-3</v>
      </c>
      <c r="AX48" s="1927">
        <v>1.4999999999999999E-2</v>
      </c>
      <c r="AY48" s="1928">
        <v>7.4999999999999997E-3</v>
      </c>
      <c r="AZ48" s="1928">
        <v>8.0000000000000002E-3</v>
      </c>
      <c r="BA48" s="1929">
        <v>-1.4999999999999999E-2</v>
      </c>
      <c r="BB48" s="1913">
        <f>BB93</f>
        <v>3.8645740755705038E-3</v>
      </c>
      <c r="BC48" s="298">
        <f>+'Utility Detail'!BC$8</f>
        <v>0</v>
      </c>
      <c r="BD48" s="299">
        <f>+'Utility Detail'!BD$8</f>
        <v>0</v>
      </c>
      <c r="BE48" s="299">
        <f>+'Utility Detail'!BE$8</f>
        <v>0</v>
      </c>
      <c r="BF48" s="300">
        <f>+'Utility Detail'!BF$8</f>
        <v>0</v>
      </c>
      <c r="BG48" s="301">
        <f>+'Utility Detail'!BG$8</f>
        <v>0</v>
      </c>
      <c r="BH48" s="298">
        <f>+'Utility Detail'!BH$8</f>
        <v>0</v>
      </c>
      <c r="BI48" s="299">
        <f>+'Utility Detail'!BI$8</f>
        <v>0</v>
      </c>
      <c r="BJ48" s="299">
        <f>+'Utility Detail'!BJ$8</f>
        <v>0</v>
      </c>
      <c r="BK48" s="300">
        <f>+'Utility Detail'!BK$8</f>
        <v>0</v>
      </c>
      <c r="BL48" s="301">
        <f>+'Utility Detail'!BL$8</f>
        <v>0</v>
      </c>
      <c r="BM48" s="298">
        <f>+'Utility Detail'!BM$8</f>
        <v>0</v>
      </c>
      <c r="BN48" s="299">
        <f>+'Utility Detail'!BN$8</f>
        <v>0</v>
      </c>
      <c r="BO48" s="299">
        <f>+'Utility Detail'!BO$8</f>
        <v>0</v>
      </c>
      <c r="BP48" s="300">
        <f>+'Utility Detail'!BP$8</f>
        <v>0</v>
      </c>
      <c r="BQ48" s="301">
        <f>+'Utility Detail'!BQ$8</f>
        <v>0</v>
      </c>
      <c r="BR48" s="302"/>
    </row>
    <row r="49" spans="1:99">
      <c r="C49" s="287"/>
      <c r="E49" s="289"/>
      <c r="F49" s="290"/>
      <c r="G49" s="290"/>
      <c r="H49" s="291"/>
      <c r="I49" s="191"/>
      <c r="J49" s="229"/>
      <c r="K49" s="230"/>
      <c r="L49" s="230"/>
      <c r="M49" s="231"/>
      <c r="N49" s="114"/>
      <c r="O49" s="229"/>
      <c r="P49" s="230"/>
      <c r="Q49" s="230"/>
      <c r="R49" s="231"/>
      <c r="S49" s="66"/>
      <c r="T49" s="229"/>
      <c r="U49" s="230"/>
      <c r="V49" s="230"/>
      <c r="W49" s="231"/>
      <c r="X49" s="66"/>
      <c r="Y49" s="229"/>
      <c r="Z49" s="230"/>
      <c r="AA49" s="230"/>
      <c r="AB49" s="231"/>
      <c r="AC49" s="66"/>
      <c r="AD49" s="229"/>
      <c r="AE49" s="230"/>
      <c r="AF49" s="230"/>
      <c r="AG49" s="1213"/>
      <c r="AH49" s="1214"/>
      <c r="AI49" s="229"/>
      <c r="AJ49" s="230"/>
      <c r="AK49" s="230"/>
      <c r="AL49" s="1213"/>
      <c r="AM49" s="1214"/>
      <c r="AN49" s="229"/>
      <c r="AO49" s="230"/>
      <c r="AP49" s="230"/>
      <c r="AQ49" s="1213"/>
      <c r="AR49" s="1214"/>
      <c r="AS49" s="229"/>
      <c r="AT49" s="230"/>
      <c r="AU49" s="230"/>
      <c r="AV49" s="1213"/>
      <c r="AW49" s="1214"/>
      <c r="AX49" s="229"/>
      <c r="AY49" s="230"/>
      <c r="AZ49" s="230"/>
      <c r="BA49" s="231"/>
      <c r="BB49" s="66"/>
      <c r="BC49" s="229"/>
      <c r="BD49" s="230"/>
      <c r="BE49" s="230"/>
      <c r="BF49" s="231"/>
      <c r="BG49" s="66"/>
      <c r="BH49" s="229"/>
      <c r="BI49" s="230"/>
      <c r="BJ49" s="230"/>
      <c r="BK49" s="231"/>
      <c r="BL49" s="66"/>
      <c r="BM49" s="229"/>
      <c r="BN49" s="230"/>
      <c r="BO49" s="230"/>
      <c r="BP49" s="231"/>
      <c r="BQ49" s="66"/>
      <c r="BR49" s="302"/>
    </row>
    <row r="50" spans="1:99">
      <c r="A50" s="303"/>
      <c r="B50" s="303"/>
      <c r="C50" s="1360" t="s">
        <v>1028</v>
      </c>
      <c r="D50" s="303"/>
      <c r="E50" s="305"/>
      <c r="F50" s="306"/>
      <c r="G50" s="306"/>
      <c r="H50" s="307"/>
      <c r="I50" s="303"/>
      <c r="J50" s="305"/>
      <c r="K50" s="306"/>
      <c r="L50" s="306"/>
      <c r="M50" s="307"/>
      <c r="N50" s="303"/>
      <c r="O50" s="308"/>
      <c r="P50" s="309"/>
      <c r="Q50" s="309"/>
      <c r="R50" s="310"/>
      <c r="S50" s="311"/>
      <c r="T50" s="308"/>
      <c r="U50" s="309"/>
      <c r="V50" s="309"/>
      <c r="W50" s="310"/>
      <c r="X50" s="311"/>
      <c r="Y50" s="308"/>
      <c r="Z50" s="309"/>
      <c r="AA50" s="309"/>
      <c r="AB50" s="310"/>
      <c r="AC50" s="311"/>
      <c r="AD50" s="308"/>
      <c r="AE50" s="309"/>
      <c r="AF50" s="309"/>
      <c r="AG50" s="1364"/>
      <c r="AH50" s="1361"/>
      <c r="AI50" s="308"/>
      <c r="AJ50" s="309"/>
      <c r="AK50" s="309"/>
      <c r="AL50" s="1364"/>
      <c r="AM50" s="1361"/>
      <c r="AN50" s="308"/>
      <c r="AO50" s="309"/>
      <c r="AP50" s="309"/>
      <c r="AQ50" s="1364"/>
      <c r="AR50" s="1361"/>
      <c r="AS50" s="308"/>
      <c r="AT50" s="309"/>
      <c r="AU50" s="1590"/>
      <c r="AV50" s="1364"/>
      <c r="AW50" s="1361"/>
      <c r="AX50" s="1544">
        <f>BB50*0.23</f>
        <v>11.5</v>
      </c>
      <c r="AY50" s="1590">
        <f>BB50*0.23</f>
        <v>11.5</v>
      </c>
      <c r="AZ50" s="1590">
        <f>BB50*0.3</f>
        <v>15</v>
      </c>
      <c r="BA50" s="1546">
        <f>BB50*0.24</f>
        <v>12</v>
      </c>
      <c r="BB50" s="1429">
        <v>50</v>
      </c>
      <c r="BC50" s="1544">
        <f>BG50/4</f>
        <v>11.25</v>
      </c>
      <c r="BD50" s="1590">
        <f>BG50/4</f>
        <v>11.25</v>
      </c>
      <c r="BE50" s="1590">
        <f>BG50/4</f>
        <v>11.25</v>
      </c>
      <c r="BF50" s="1546">
        <f>BG50/4</f>
        <v>11.25</v>
      </c>
      <c r="BG50" s="1429">
        <v>45</v>
      </c>
      <c r="BH50" s="1544">
        <f>BL50/4</f>
        <v>12.5</v>
      </c>
      <c r="BI50" s="1590">
        <f>BL50/4</f>
        <v>12.5</v>
      </c>
      <c r="BJ50" s="1590">
        <f>BL50/4</f>
        <v>12.5</v>
      </c>
      <c r="BK50" s="1546">
        <f>BL50/4</f>
        <v>12.5</v>
      </c>
      <c r="BL50" s="1429">
        <v>50</v>
      </c>
      <c r="BM50" s="1544">
        <f>BQ50/4</f>
        <v>12.5</v>
      </c>
      <c r="BN50" s="1590">
        <f>BQ50/4</f>
        <v>12.5</v>
      </c>
      <c r="BO50" s="1590">
        <f>BQ50/4</f>
        <v>12.5</v>
      </c>
      <c r="BP50" s="1546">
        <f>BQ50/4</f>
        <v>12.5</v>
      </c>
      <c r="BQ50" s="1429">
        <v>50</v>
      </c>
      <c r="BR50" s="1017"/>
      <c r="BS50" s="303"/>
      <c r="BT50" s="303"/>
      <c r="BU50" s="303"/>
      <c r="BV50" s="303"/>
      <c r="BW50" s="303"/>
      <c r="BX50" s="303"/>
      <c r="BY50" s="303"/>
      <c r="BZ50" s="303"/>
      <c r="CA50" s="303"/>
      <c r="CB50" s="303"/>
      <c r="CC50" s="303"/>
      <c r="CD50" s="303"/>
      <c r="CE50" s="303"/>
      <c r="CF50" s="303"/>
      <c r="CG50" s="303"/>
      <c r="CH50" s="303"/>
      <c r="CI50" s="303"/>
      <c r="CJ50" s="303"/>
      <c r="CK50" s="303"/>
      <c r="CL50" s="303"/>
      <c r="CM50" s="303"/>
      <c r="CN50" s="303"/>
      <c r="CO50" s="303"/>
      <c r="CP50" s="303"/>
      <c r="CQ50" s="303"/>
      <c r="CR50" s="303"/>
      <c r="CS50" s="303"/>
      <c r="CT50" s="303"/>
      <c r="CU50" s="303"/>
    </row>
    <row r="51" spans="1:99">
      <c r="A51" s="303"/>
      <c r="B51" s="303"/>
      <c r="C51" s="1360" t="s">
        <v>1029</v>
      </c>
      <c r="D51" s="303"/>
      <c r="E51" s="305"/>
      <c r="F51" s="306"/>
      <c r="G51" s="306"/>
      <c r="H51" s="307"/>
      <c r="I51" s="303"/>
      <c r="J51" s="305"/>
      <c r="K51" s="306"/>
      <c r="L51" s="306"/>
      <c r="M51" s="307"/>
      <c r="N51" s="303"/>
      <c r="O51" s="308"/>
      <c r="P51" s="309"/>
      <c r="Q51" s="309"/>
      <c r="R51" s="310"/>
      <c r="S51" s="311"/>
      <c r="T51" s="308"/>
      <c r="U51" s="309"/>
      <c r="V51" s="309"/>
      <c r="W51" s="310"/>
      <c r="X51" s="311"/>
      <c r="Y51" s="308"/>
      <c r="Z51" s="833"/>
      <c r="AA51" s="833"/>
      <c r="AB51" s="752"/>
      <c r="AC51" s="357"/>
      <c r="AD51" s="602"/>
      <c r="AE51" s="833"/>
      <c r="AF51" s="833"/>
      <c r="AG51" s="1364"/>
      <c r="AH51" s="1361"/>
      <c r="AI51" s="602"/>
      <c r="AJ51" s="833"/>
      <c r="AK51" s="833"/>
      <c r="AL51" s="1364"/>
      <c r="AM51" s="1361"/>
      <c r="AN51" s="602"/>
      <c r="AO51" s="833"/>
      <c r="AP51" s="833"/>
      <c r="AQ51" s="1364"/>
      <c r="AR51" s="1361"/>
      <c r="AS51" s="602"/>
      <c r="AT51" s="833"/>
      <c r="AU51" s="1500"/>
      <c r="AV51" s="1364"/>
      <c r="AW51" s="1361"/>
      <c r="AX51" s="1542">
        <f>BB51*0.23</f>
        <v>11.5</v>
      </c>
      <c r="AY51" s="1500">
        <f>BB51*0.23</f>
        <v>11.5</v>
      </c>
      <c r="AZ51" s="1500">
        <f>BB51*0.3</f>
        <v>15</v>
      </c>
      <c r="BA51" s="1543">
        <f>BB51*0.24</f>
        <v>12</v>
      </c>
      <c r="BB51" s="1429">
        <v>50</v>
      </c>
      <c r="BC51" s="1542">
        <f>BG51*0.23</f>
        <v>10.35</v>
      </c>
      <c r="BD51" s="1500">
        <f>BG51*0.24</f>
        <v>10.799999999999999</v>
      </c>
      <c r="BE51" s="1500">
        <f>BG51*0.3</f>
        <v>13.5</v>
      </c>
      <c r="BF51" s="1543">
        <f>BG51*0.23</f>
        <v>10.35</v>
      </c>
      <c r="BG51" s="1429">
        <v>45</v>
      </c>
      <c r="BH51" s="1542">
        <f>BL51*0.23</f>
        <v>11.5</v>
      </c>
      <c r="BI51" s="1500">
        <f>BL51*0.24</f>
        <v>12</v>
      </c>
      <c r="BJ51" s="1500">
        <f>BL51*0.3</f>
        <v>15</v>
      </c>
      <c r="BK51" s="1543">
        <f>BL51*0.23</f>
        <v>11.5</v>
      </c>
      <c r="BL51" s="1429">
        <v>50</v>
      </c>
      <c r="BM51" s="1542">
        <f>BQ51*0.23</f>
        <v>11.5</v>
      </c>
      <c r="BN51" s="1500">
        <f>BQ51*0.24</f>
        <v>12</v>
      </c>
      <c r="BO51" s="1500">
        <f>BQ51*0.3</f>
        <v>15</v>
      </c>
      <c r="BP51" s="1543">
        <f>BQ51*0.23</f>
        <v>11.5</v>
      </c>
      <c r="BQ51" s="1429">
        <v>50</v>
      </c>
      <c r="BR51" s="1017"/>
      <c r="BS51" s="303"/>
      <c r="BT51" s="303"/>
      <c r="BU51" s="303"/>
      <c r="BV51" s="303"/>
      <c r="BW51" s="303"/>
      <c r="BX51" s="303"/>
      <c r="BY51" s="303"/>
      <c r="BZ51" s="303"/>
      <c r="CA51" s="303"/>
      <c r="CB51" s="303"/>
      <c r="CC51" s="303"/>
      <c r="CD51" s="303"/>
      <c r="CE51" s="303"/>
      <c r="CF51" s="303"/>
      <c r="CG51" s="303"/>
      <c r="CH51" s="303"/>
      <c r="CI51" s="303"/>
      <c r="CJ51" s="303"/>
      <c r="CK51" s="303"/>
      <c r="CL51" s="303"/>
      <c r="CM51" s="303"/>
      <c r="CN51" s="303"/>
      <c r="CO51" s="303"/>
      <c r="CP51" s="303"/>
      <c r="CQ51" s="303"/>
      <c r="CR51" s="303"/>
      <c r="CS51" s="303"/>
      <c r="CT51" s="303"/>
      <c r="CU51" s="303"/>
    </row>
    <row r="52" spans="1:99">
      <c r="A52" s="303"/>
      <c r="B52" s="303"/>
      <c r="C52" s="1360" t="s">
        <v>1030</v>
      </c>
      <c r="D52" s="303"/>
      <c r="E52" s="305"/>
      <c r="F52" s="306"/>
      <c r="G52" s="306"/>
      <c r="H52" s="307"/>
      <c r="I52" s="303"/>
      <c r="J52" s="305"/>
      <c r="K52" s="306"/>
      <c r="L52" s="306"/>
      <c r="M52" s="307"/>
      <c r="N52" s="303"/>
      <c r="O52" s="308"/>
      <c r="P52" s="309"/>
      <c r="Q52" s="309"/>
      <c r="R52" s="310"/>
      <c r="S52" s="311"/>
      <c r="T52" s="308"/>
      <c r="U52" s="309"/>
      <c r="V52" s="309"/>
      <c r="W52" s="310"/>
      <c r="X52" s="311"/>
      <c r="Y52" s="308"/>
      <c r="Z52" s="309"/>
      <c r="AA52" s="309"/>
      <c r="AB52" s="310"/>
      <c r="AC52" s="311"/>
      <c r="AD52" s="308"/>
      <c r="AE52" s="309"/>
      <c r="AF52" s="309"/>
      <c r="AG52" s="1364"/>
      <c r="AH52" s="1361"/>
      <c r="AI52" s="308"/>
      <c r="AJ52" s="309"/>
      <c r="AK52" s="309"/>
      <c r="AL52" s="1364"/>
      <c r="AM52" s="1361"/>
      <c r="AN52" s="308"/>
      <c r="AO52" s="309"/>
      <c r="AP52" s="309"/>
      <c r="AQ52" s="1364"/>
      <c r="AR52" s="1361"/>
      <c r="AS52" s="308"/>
      <c r="AT52" s="309"/>
      <c r="AU52" s="1500"/>
      <c r="AV52" s="1364"/>
      <c r="AW52" s="1361"/>
      <c r="AX52" s="1542">
        <f>BB52*0.23</f>
        <v>11.5</v>
      </c>
      <c r="AY52" s="1500">
        <f>BB52*0.23</f>
        <v>11.5</v>
      </c>
      <c r="AZ52" s="1500">
        <f>BB52*0.3</f>
        <v>15</v>
      </c>
      <c r="BA52" s="1543">
        <f>BB52*0.24</f>
        <v>12</v>
      </c>
      <c r="BB52" s="1429">
        <v>50</v>
      </c>
      <c r="BC52" s="1542">
        <f>BG52*0.23</f>
        <v>13.8</v>
      </c>
      <c r="BD52" s="1500">
        <f>BG52*0.24</f>
        <v>14.399999999999999</v>
      </c>
      <c r="BE52" s="1500">
        <f>BG52*0.3</f>
        <v>18</v>
      </c>
      <c r="BF52" s="1543">
        <f>BG52*0.23</f>
        <v>13.8</v>
      </c>
      <c r="BG52" s="1429">
        <v>60</v>
      </c>
      <c r="BH52" s="1542">
        <f>BL52*0.23</f>
        <v>14.950000000000001</v>
      </c>
      <c r="BI52" s="1500">
        <f>BL52*0.24</f>
        <v>15.6</v>
      </c>
      <c r="BJ52" s="1500">
        <f>BL52*0.3</f>
        <v>19.5</v>
      </c>
      <c r="BK52" s="1543">
        <f>BL52*0.23</f>
        <v>14.950000000000001</v>
      </c>
      <c r="BL52" s="1429">
        <v>65</v>
      </c>
      <c r="BM52" s="1542">
        <f>BQ52*0.23</f>
        <v>8.0500000000000007</v>
      </c>
      <c r="BN52" s="1500">
        <f>BQ52*0.24</f>
        <v>8.4</v>
      </c>
      <c r="BO52" s="1500">
        <f>BQ52*0.3</f>
        <v>10.5</v>
      </c>
      <c r="BP52" s="1543">
        <f>BQ52*0.23</f>
        <v>8.0500000000000007</v>
      </c>
      <c r="BQ52" s="1429">
        <v>35</v>
      </c>
      <c r="BR52" s="1017"/>
      <c r="BS52" s="303"/>
      <c r="BT52" s="303"/>
      <c r="BU52" s="303"/>
      <c r="BV52" s="303"/>
      <c r="BW52" s="303"/>
      <c r="BX52" s="303"/>
      <c r="BY52" s="303"/>
      <c r="BZ52" s="303"/>
      <c r="CA52" s="303"/>
      <c r="CB52" s="303"/>
      <c r="CC52" s="303"/>
      <c r="CD52" s="303"/>
      <c r="CE52" s="303"/>
      <c r="CF52" s="303"/>
      <c r="CG52" s="303"/>
      <c r="CH52" s="303"/>
      <c r="CI52" s="303"/>
      <c r="CJ52" s="303"/>
      <c r="CK52" s="303"/>
      <c r="CL52" s="303"/>
      <c r="CM52" s="303"/>
      <c r="CN52" s="303"/>
      <c r="CO52" s="303"/>
      <c r="CP52" s="303"/>
      <c r="CQ52" s="303"/>
      <c r="CR52" s="303"/>
      <c r="CS52" s="303"/>
      <c r="CT52" s="303"/>
      <c r="CU52" s="303"/>
    </row>
    <row r="53" spans="1:99" s="1898" customFormat="1">
      <c r="A53" s="303"/>
      <c r="B53" s="303"/>
      <c r="C53" s="1917" t="s">
        <v>1371</v>
      </c>
      <c r="D53" s="303"/>
      <c r="E53" s="305"/>
      <c r="F53" s="306"/>
      <c r="G53" s="306"/>
      <c r="H53" s="307"/>
      <c r="I53" s="303"/>
      <c r="J53" s="305"/>
      <c r="K53" s="306"/>
      <c r="L53" s="306"/>
      <c r="M53" s="307"/>
      <c r="N53" s="303"/>
      <c r="O53" s="308"/>
      <c r="P53" s="309"/>
      <c r="Q53" s="309"/>
      <c r="R53" s="310"/>
      <c r="S53" s="311"/>
      <c r="T53" s="308"/>
      <c r="U53" s="309"/>
      <c r="V53" s="309"/>
      <c r="W53" s="310"/>
      <c r="X53" s="311"/>
      <c r="Y53" s="308"/>
      <c r="Z53" s="309"/>
      <c r="AA53" s="309"/>
      <c r="AB53" s="310"/>
      <c r="AC53" s="311"/>
      <c r="AD53" s="308"/>
      <c r="AE53" s="309"/>
      <c r="AF53" s="309"/>
      <c r="AG53" s="1364"/>
      <c r="AH53" s="1361"/>
      <c r="AI53" s="308"/>
      <c r="AJ53" s="309"/>
      <c r="AK53" s="309"/>
      <c r="AL53" s="1364"/>
      <c r="AM53" s="1361"/>
      <c r="AN53" s="308"/>
      <c r="AO53" s="309"/>
      <c r="AP53" s="309"/>
      <c r="AQ53" s="1364"/>
      <c r="AR53" s="1361"/>
      <c r="AS53" s="308"/>
      <c r="AT53" s="309"/>
      <c r="AU53" s="1500"/>
      <c r="AV53" s="1364"/>
      <c r="AW53" s="1361"/>
      <c r="AX53" s="1918">
        <f>0.24*-160</f>
        <v>-38.4</v>
      </c>
      <c r="AY53" s="1919">
        <f>0.24*-160</f>
        <v>-38.4</v>
      </c>
      <c r="AZ53" s="1919">
        <f>0.3*-160</f>
        <v>-48</v>
      </c>
      <c r="BA53" s="1920">
        <f>0.22*-160</f>
        <v>-35.200000000000003</v>
      </c>
      <c r="BB53" s="1921">
        <f>SUM(AX53:BA53)</f>
        <v>-160</v>
      </c>
      <c r="BC53" s="1542">
        <f>BG53/4</f>
        <v>0</v>
      </c>
      <c r="BD53" s="1500">
        <f>BG53/4</f>
        <v>0</v>
      </c>
      <c r="BE53" s="1500">
        <f>BG53/4</f>
        <v>0</v>
      </c>
      <c r="BF53" s="1543">
        <f>BG53/4</f>
        <v>0</v>
      </c>
      <c r="BG53" s="1429">
        <v>0</v>
      </c>
      <c r="BH53" s="1542">
        <f>BL53/4</f>
        <v>0</v>
      </c>
      <c r="BI53" s="1500">
        <f>BL53/4</f>
        <v>0</v>
      </c>
      <c r="BJ53" s="1500">
        <f>BL53/4</f>
        <v>0</v>
      </c>
      <c r="BK53" s="1543">
        <f>BL53/4</f>
        <v>0</v>
      </c>
      <c r="BL53" s="1429">
        <v>0</v>
      </c>
      <c r="BM53" s="1542">
        <f>BQ53/4</f>
        <v>0</v>
      </c>
      <c r="BN53" s="1500">
        <f>BQ53/4</f>
        <v>0</v>
      </c>
      <c r="BO53" s="1500">
        <f>BQ53/4</f>
        <v>0</v>
      </c>
      <c r="BP53" s="1543">
        <f>BQ53/4</f>
        <v>0</v>
      </c>
      <c r="BQ53" s="1429">
        <v>0</v>
      </c>
      <c r="BR53" s="1017"/>
      <c r="BS53" s="303"/>
      <c r="BT53" s="303"/>
      <c r="BU53" s="303"/>
      <c r="BV53" s="303"/>
      <c r="BW53" s="303"/>
      <c r="BX53" s="303"/>
      <c r="BY53" s="303"/>
      <c r="BZ53" s="303"/>
      <c r="CA53" s="303"/>
      <c r="CB53" s="303"/>
      <c r="CC53" s="303"/>
      <c r="CD53" s="303"/>
      <c r="CE53" s="303"/>
      <c r="CF53" s="303"/>
      <c r="CG53" s="303"/>
      <c r="CH53" s="303"/>
      <c r="CI53" s="303"/>
      <c r="CJ53" s="303"/>
      <c r="CK53" s="303"/>
      <c r="CL53" s="303"/>
      <c r="CM53" s="303"/>
      <c r="CN53" s="303"/>
      <c r="CO53" s="303"/>
      <c r="CP53" s="303"/>
      <c r="CQ53" s="303"/>
      <c r="CR53" s="303"/>
      <c r="CS53" s="303"/>
      <c r="CT53" s="303"/>
      <c r="CU53" s="303"/>
    </row>
    <row r="54" spans="1:99">
      <c r="A54" s="303"/>
      <c r="B54" s="303"/>
      <c r="C54" s="1360" t="s">
        <v>1116</v>
      </c>
      <c r="D54" s="303"/>
      <c r="E54" s="305"/>
      <c r="F54" s="306"/>
      <c r="G54" s="306"/>
      <c r="H54" s="307"/>
      <c r="I54" s="303"/>
      <c r="J54" s="305"/>
      <c r="K54" s="306"/>
      <c r="L54" s="306"/>
      <c r="M54" s="307"/>
      <c r="N54" s="303"/>
      <c r="O54" s="308"/>
      <c r="P54" s="309"/>
      <c r="Q54" s="309"/>
      <c r="R54" s="310"/>
      <c r="S54" s="311"/>
      <c r="T54" s="308"/>
      <c r="U54" s="309"/>
      <c r="V54" s="309"/>
      <c r="W54" s="310"/>
      <c r="X54" s="311"/>
      <c r="Y54" s="308"/>
      <c r="Z54" s="309"/>
      <c r="AA54" s="309"/>
      <c r="AB54" s="310"/>
      <c r="AC54" s="311"/>
      <c r="AD54" s="308"/>
      <c r="AE54" s="309"/>
      <c r="AF54" s="1410"/>
      <c r="AG54" s="1368"/>
      <c r="AH54" s="1361"/>
      <c r="AI54" s="308"/>
      <c r="AJ54" s="309"/>
      <c r="AK54" s="1410"/>
      <c r="AL54" s="1364"/>
      <c r="AM54" s="1361"/>
      <c r="AN54" s="308"/>
      <c r="AO54" s="309"/>
      <c r="AP54" s="1410"/>
      <c r="AQ54" s="1364"/>
      <c r="AR54" s="1361"/>
      <c r="AS54" s="308"/>
      <c r="AT54" s="309"/>
      <c r="AU54" s="309"/>
      <c r="AV54" s="1364"/>
      <c r="AW54" s="1361"/>
      <c r="AX54" s="483"/>
      <c r="AY54" s="484"/>
      <c r="AZ54" s="484"/>
      <c r="BA54" s="485"/>
      <c r="BB54" s="311">
        <v>0</v>
      </c>
      <c r="BC54" s="308"/>
      <c r="BD54" s="309"/>
      <c r="BE54" s="309"/>
      <c r="BF54" s="310"/>
      <c r="BG54" s="311">
        <v>0</v>
      </c>
      <c r="BH54" s="308"/>
      <c r="BI54" s="309"/>
      <c r="BJ54" s="309"/>
      <c r="BK54" s="310"/>
      <c r="BL54" s="311">
        <v>0</v>
      </c>
      <c r="BM54" s="308"/>
      <c r="BN54" s="309"/>
      <c r="BO54" s="309"/>
      <c r="BP54" s="310"/>
      <c r="BQ54" s="311">
        <v>0</v>
      </c>
      <c r="BR54" s="1017"/>
      <c r="BS54" s="303"/>
      <c r="BT54" s="303"/>
      <c r="BU54" s="303"/>
      <c r="BV54" s="303"/>
      <c r="BW54" s="303"/>
      <c r="BX54" s="303"/>
      <c r="BY54" s="303"/>
      <c r="BZ54" s="303"/>
      <c r="CA54" s="303"/>
      <c r="CB54" s="303"/>
      <c r="CC54" s="303"/>
      <c r="CD54" s="303"/>
      <c r="CE54" s="303"/>
      <c r="CF54" s="303"/>
      <c r="CG54" s="303"/>
      <c r="CH54" s="303"/>
      <c r="CI54" s="303"/>
      <c r="CJ54" s="303"/>
      <c r="CK54" s="303"/>
      <c r="CL54" s="303"/>
      <c r="CM54" s="303"/>
      <c r="CN54" s="303"/>
      <c r="CO54" s="303"/>
      <c r="CP54" s="303"/>
      <c r="CQ54" s="303"/>
      <c r="CR54" s="303"/>
      <c r="CS54" s="303"/>
      <c r="CT54" s="303"/>
      <c r="CU54" s="303"/>
    </row>
    <row r="55" spans="1:99">
      <c r="C55" s="312"/>
      <c r="E55" s="289"/>
      <c r="F55" s="290"/>
      <c r="G55" s="290"/>
      <c r="H55" s="291"/>
      <c r="I55" s="191"/>
      <c r="J55" s="289"/>
      <c r="K55" s="290"/>
      <c r="L55" s="290"/>
      <c r="M55" s="291"/>
      <c r="N55" s="191"/>
      <c r="O55" s="289"/>
      <c r="P55" s="290"/>
      <c r="Q55" s="290"/>
      <c r="R55" s="291"/>
      <c r="S55" s="191"/>
      <c r="T55" s="289"/>
      <c r="U55" s="290"/>
      <c r="V55" s="290"/>
      <c r="W55" s="291"/>
      <c r="X55" s="191"/>
      <c r="Y55" s="289"/>
      <c r="Z55" s="290"/>
      <c r="AA55" s="290"/>
      <c r="AB55" s="291"/>
      <c r="AC55" s="191"/>
      <c r="AD55" s="289"/>
      <c r="AE55" s="290"/>
      <c r="AF55" s="290"/>
      <c r="AG55" s="291"/>
      <c r="AH55" s="191"/>
      <c r="AI55" s="289"/>
      <c r="AJ55" s="290"/>
      <c r="AK55" s="290"/>
      <c r="AL55" s="291"/>
      <c r="AM55" s="191"/>
      <c r="AN55" s="289"/>
      <c r="AO55" s="290"/>
      <c r="AP55" s="290"/>
      <c r="AQ55" s="291"/>
      <c r="AR55" s="191"/>
      <c r="AS55" s="289"/>
      <c r="AT55" s="290"/>
      <c r="AU55" s="290"/>
      <c r="AV55" s="291"/>
      <c r="AW55" s="191"/>
      <c r="AX55" s="289"/>
      <c r="AY55" s="290"/>
      <c r="AZ55" s="290"/>
      <c r="BA55" s="291"/>
      <c r="BB55" s="191"/>
      <c r="BC55" s="289"/>
      <c r="BD55" s="290"/>
      <c r="BE55" s="290"/>
      <c r="BF55" s="291"/>
      <c r="BG55" s="191"/>
      <c r="BH55" s="289"/>
      <c r="BI55" s="290"/>
      <c r="BJ55" s="290"/>
      <c r="BK55" s="291"/>
      <c r="BL55" s="191"/>
      <c r="BM55" s="289"/>
      <c r="BN55" s="290"/>
      <c r="BO55" s="290"/>
      <c r="BP55" s="291"/>
      <c r="BQ55" s="191"/>
      <c r="BR55" s="302"/>
    </row>
    <row r="56" spans="1:99">
      <c r="C56" s="313" t="s">
        <v>199</v>
      </c>
      <c r="E56" s="289"/>
      <c r="F56" s="290"/>
      <c r="G56" s="290"/>
      <c r="H56" s="291"/>
      <c r="I56" s="114"/>
      <c r="J56" s="229"/>
      <c r="K56" s="230"/>
      <c r="L56" s="230"/>
      <c r="M56" s="231"/>
      <c r="N56" s="114"/>
      <c r="O56" s="229"/>
      <c r="P56" s="230"/>
      <c r="Q56" s="230"/>
      <c r="R56" s="231"/>
      <c r="S56" s="114"/>
      <c r="T56" s="229"/>
      <c r="U56" s="230"/>
      <c r="V56" s="230"/>
      <c r="W56" s="231"/>
      <c r="X56" s="114"/>
      <c r="Y56" s="229"/>
      <c r="Z56" s="230"/>
      <c r="AA56" s="230"/>
      <c r="AB56" s="231"/>
      <c r="AC56" s="763">
        <f t="shared" ref="AC56:AH56" si="68">+AC110</f>
        <v>0.10098792535675072</v>
      </c>
      <c r="AD56" s="229">
        <f t="shared" si="68"/>
        <v>0.20081967213114749</v>
      </c>
      <c r="AE56" s="230">
        <f t="shared" si="68"/>
        <v>0.36073059360730597</v>
      </c>
      <c r="AF56" s="230">
        <f t="shared" si="68"/>
        <v>0.29527559055118102</v>
      </c>
      <c r="AG56" s="1213">
        <f t="shared" si="68"/>
        <v>0.24510489510489486</v>
      </c>
      <c r="AH56" s="1421">
        <f t="shared" si="68"/>
        <v>0.27228315054835495</v>
      </c>
      <c r="AI56" s="229">
        <f t="shared" ref="AI56:AN56" si="69">+AI110</f>
        <v>8.8737201365187701E-2</v>
      </c>
      <c r="AJ56" s="230">
        <f t="shared" si="69"/>
        <v>-3.0201342281879207E-2</v>
      </c>
      <c r="AK56" s="230">
        <f t="shared" si="69"/>
        <v>5.7750759878419489E-2</v>
      </c>
      <c r="AL56" s="1213">
        <f t="shared" si="69"/>
        <v>4.7177759056445279E-2</v>
      </c>
      <c r="AM56" s="1421">
        <f t="shared" si="69"/>
        <v>4.1376067706292652E-2</v>
      </c>
      <c r="AN56" s="229">
        <f t="shared" si="69"/>
        <v>1.6927899686520309E-2</v>
      </c>
      <c r="AO56" s="230">
        <f t="shared" ref="AO56:AT56" si="70">+AO110</f>
        <v>0.12768166089965383</v>
      </c>
      <c r="AP56" s="230">
        <f t="shared" si="70"/>
        <v>2.8448275862068995E-2</v>
      </c>
      <c r="AQ56" s="1213">
        <f t="shared" si="70"/>
        <v>1.5017430946634436E-2</v>
      </c>
      <c r="AR56" s="1421">
        <f t="shared" si="70"/>
        <v>4.3494619610203955E-2</v>
      </c>
      <c r="AS56" s="229">
        <f t="shared" si="70"/>
        <v>-0.11929716399506785</v>
      </c>
      <c r="AT56" s="230">
        <f t="shared" si="70"/>
        <v>-9.9110156489720658E-2</v>
      </c>
      <c r="AU56" s="230">
        <f>+AU110</f>
        <v>-0.1528359877060631</v>
      </c>
      <c r="AV56" s="1213">
        <f t="shared" ref="AV56:AW56" si="71">+AV110</f>
        <v>-0.18652575957727868</v>
      </c>
      <c r="AW56" s="1421">
        <f t="shared" si="71"/>
        <v>-0.14155909713708803</v>
      </c>
      <c r="AX56" s="229">
        <f>BB56</f>
        <v>-2.2499999999999999E-2</v>
      </c>
      <c r="AY56" s="230">
        <f>BB56</f>
        <v>-2.2499999999999999E-2</v>
      </c>
      <c r="AZ56" s="230">
        <f>BB56</f>
        <v>-2.2499999999999999E-2</v>
      </c>
      <c r="BA56" s="231">
        <f>BB56</f>
        <v>-2.2499999999999999E-2</v>
      </c>
      <c r="BB56" s="1912">
        <f>+'Utility Detail'!BB$10-2.75%</f>
        <v>-2.2499999999999999E-2</v>
      </c>
      <c r="BC56" s="229">
        <f>+'Utility Detail'!BC$10</f>
        <v>5.0000000000000001E-3</v>
      </c>
      <c r="BD56" s="230">
        <f>+'Utility Detail'!BD$10</f>
        <v>5.0000000000000001E-3</v>
      </c>
      <c r="BE56" s="230">
        <f>+'Utility Detail'!BE$10</f>
        <v>5.0000000000000001E-3</v>
      </c>
      <c r="BF56" s="231">
        <f>+'Utility Detail'!BF$10</f>
        <v>5.0000000000000001E-3</v>
      </c>
      <c r="BG56" s="763">
        <f>+'Utility Detail'!BG$10</f>
        <v>5.0000000000000001E-3</v>
      </c>
      <c r="BH56" s="229">
        <f>+'Utility Detail'!BH$10</f>
        <v>5.0000000000000001E-3</v>
      </c>
      <c r="BI56" s="230">
        <f>+'Utility Detail'!BI$10</f>
        <v>5.0000000000000001E-3</v>
      </c>
      <c r="BJ56" s="230">
        <f>+'Utility Detail'!BJ$10</f>
        <v>5.0000000000000001E-3</v>
      </c>
      <c r="BK56" s="231">
        <f>+'Utility Detail'!BK$10</f>
        <v>5.0000000000000001E-3</v>
      </c>
      <c r="BL56" s="763">
        <f>+'Utility Detail'!BL$10</f>
        <v>5.0000000000000001E-3</v>
      </c>
      <c r="BM56" s="229">
        <f>+'Utility Detail'!BM$10</f>
        <v>5.0000000000000001E-3</v>
      </c>
      <c r="BN56" s="230">
        <f>+'Utility Detail'!BN$10</f>
        <v>5.0000000000000001E-3</v>
      </c>
      <c r="BO56" s="230">
        <f>+'Utility Detail'!BO$10</f>
        <v>5.0000000000000001E-3</v>
      </c>
      <c r="BP56" s="231">
        <f>+'Utility Detail'!BP$10</f>
        <v>5.0000000000000001E-3</v>
      </c>
      <c r="BQ56" s="763">
        <f>+'Utility Detail'!BQ$10</f>
        <v>5.0000000000000001E-3</v>
      </c>
      <c r="BR56" s="302"/>
    </row>
    <row r="57" spans="1:99">
      <c r="C57" s="313" t="s">
        <v>200</v>
      </c>
      <c r="E57" s="289"/>
      <c r="F57" s="290"/>
      <c r="G57" s="290"/>
      <c r="H57" s="291"/>
      <c r="I57" s="114"/>
      <c r="J57" s="229"/>
      <c r="K57" s="230"/>
      <c r="L57" s="230"/>
      <c r="M57" s="231"/>
      <c r="N57" s="114"/>
      <c r="O57" s="229"/>
      <c r="P57" s="230"/>
      <c r="Q57" s="230"/>
      <c r="R57" s="231"/>
      <c r="S57" s="114"/>
      <c r="T57" s="229"/>
      <c r="U57" s="230"/>
      <c r="V57" s="230"/>
      <c r="W57" s="231"/>
      <c r="X57" s="114"/>
      <c r="Y57" s="229"/>
      <c r="Z57" s="230"/>
      <c r="AA57" s="230"/>
      <c r="AB57" s="231"/>
      <c r="AC57" s="763">
        <f t="shared" ref="AC57:AH57" si="72">+AC113</f>
        <v>1.6355140186915973E-2</v>
      </c>
      <c r="AD57" s="229">
        <f t="shared" si="72"/>
        <v>0.14423076923076916</v>
      </c>
      <c r="AE57" s="230">
        <f t="shared" si="72"/>
        <v>2.857142857142847E-2</v>
      </c>
      <c r="AF57" s="230">
        <f t="shared" si="72"/>
        <v>-8.4745762711864181E-3</v>
      </c>
      <c r="AG57" s="1213">
        <f t="shared" si="72"/>
        <v>1.2962962962962843E-2</v>
      </c>
      <c r="AH57" s="1421">
        <f t="shared" si="72"/>
        <v>4.229885057471261E-2</v>
      </c>
      <c r="AI57" s="229">
        <f t="shared" ref="AI57:AN57" si="73">+AI113</f>
        <v>2.5210084033613356E-2</v>
      </c>
      <c r="AJ57" s="230">
        <f t="shared" si="73"/>
        <v>9.259259259259256E-2</v>
      </c>
      <c r="AK57" s="230">
        <f t="shared" si="73"/>
        <v>4.2735042735042805E-2</v>
      </c>
      <c r="AL57" s="1213">
        <f t="shared" si="73"/>
        <v>6.3071297989031327E-2</v>
      </c>
      <c r="AM57" s="1421">
        <f t="shared" si="73"/>
        <v>5.491839435377166E-2</v>
      </c>
      <c r="AN57" s="229">
        <f t="shared" si="73"/>
        <v>1.06557377049179E-2</v>
      </c>
      <c r="AO57" s="230">
        <f t="shared" ref="AO57:AT57" si="74">+AO113</f>
        <v>-2.5423728813559476E-3</v>
      </c>
      <c r="AP57" s="230">
        <f t="shared" si="74"/>
        <v>8.1967213114754189E-2</v>
      </c>
      <c r="AQ57" s="1213">
        <f t="shared" si="74"/>
        <v>4.2992261392949205E-2</v>
      </c>
      <c r="AR57" s="1421">
        <f t="shared" si="74"/>
        <v>3.3451808488396351E-2</v>
      </c>
      <c r="AS57" s="229">
        <f t="shared" si="74"/>
        <v>2.9197080291970767E-2</v>
      </c>
      <c r="AT57" s="230">
        <f t="shared" si="74"/>
        <v>7.5615972812234311E-2</v>
      </c>
      <c r="AU57" s="230">
        <f>+AU113</f>
        <v>1.2121212121211977E-2</v>
      </c>
      <c r="AV57" s="1213">
        <f t="shared" ref="AV57:AW57" si="75">+AV113</f>
        <v>4.3693322341302743E-2</v>
      </c>
      <c r="AW57" s="1421">
        <f t="shared" si="75"/>
        <v>3.9247420594780591E-2</v>
      </c>
      <c r="AX57" s="229">
        <f>+AY57</f>
        <v>0.01</v>
      </c>
      <c r="AY57" s="230">
        <f>+AZ57</f>
        <v>0.01</v>
      </c>
      <c r="AZ57" s="230">
        <f>+BA57</f>
        <v>0.01</v>
      </c>
      <c r="BA57" s="231">
        <f>+BB57</f>
        <v>0.01</v>
      </c>
      <c r="BB57" s="763">
        <f>+'Utility Detail'!BB$11-1%</f>
        <v>0.01</v>
      </c>
      <c r="BC57" s="229">
        <f>+BD57</f>
        <v>0.01</v>
      </c>
      <c r="BD57" s="230">
        <f>+BE57</f>
        <v>0.01</v>
      </c>
      <c r="BE57" s="230">
        <f>+BF57</f>
        <v>0.01</v>
      </c>
      <c r="BF57" s="231">
        <f>+BG57</f>
        <v>0.01</v>
      </c>
      <c r="BG57" s="763">
        <f>+'Utility Detail'!BG$11-1%</f>
        <v>0.01</v>
      </c>
      <c r="BH57" s="229">
        <f>+BI57</f>
        <v>0.01</v>
      </c>
      <c r="BI57" s="230">
        <f>+BJ57</f>
        <v>0.01</v>
      </c>
      <c r="BJ57" s="230">
        <f>+BK57</f>
        <v>0.01</v>
      </c>
      <c r="BK57" s="231">
        <f>+BL57</f>
        <v>0.01</v>
      </c>
      <c r="BL57" s="763">
        <f>+'Utility Detail'!BL$11-1%</f>
        <v>0.01</v>
      </c>
      <c r="BM57" s="229">
        <f>+BN57</f>
        <v>0.01</v>
      </c>
      <c r="BN57" s="230">
        <f>+BO57</f>
        <v>0.01</v>
      </c>
      <c r="BO57" s="230">
        <f>+BP57</f>
        <v>0.01</v>
      </c>
      <c r="BP57" s="231">
        <f>+BQ57</f>
        <v>0.01</v>
      </c>
      <c r="BQ57" s="763">
        <f>+'Utility Detail'!BQ$11-1%</f>
        <v>0.01</v>
      </c>
      <c r="BR57" s="302"/>
    </row>
    <row r="58" spans="1:99">
      <c r="C58" s="312"/>
      <c r="E58" s="289"/>
      <c r="F58" s="290"/>
      <c r="G58" s="290"/>
      <c r="H58" s="291"/>
      <c r="I58" s="191"/>
      <c r="J58" s="289"/>
      <c r="K58" s="290"/>
      <c r="L58" s="290"/>
      <c r="M58" s="291"/>
      <c r="N58" s="191"/>
      <c r="O58" s="289"/>
      <c r="P58" s="290"/>
      <c r="Q58" s="290"/>
      <c r="R58" s="291"/>
      <c r="S58" s="191"/>
      <c r="T58" s="289"/>
      <c r="U58" s="290"/>
      <c r="V58" s="290"/>
      <c r="W58" s="291"/>
      <c r="X58" s="191"/>
      <c r="Y58" s="289"/>
      <c r="Z58" s="290"/>
      <c r="AA58" s="290"/>
      <c r="AB58" s="291"/>
      <c r="AC58" s="191"/>
      <c r="AD58" s="289"/>
      <c r="AE58" s="290"/>
      <c r="AF58" s="290"/>
      <c r="AG58" s="291"/>
      <c r="AH58" s="191"/>
      <c r="AI58" s="289"/>
      <c r="AJ58" s="290"/>
      <c r="AK58" s="290"/>
      <c r="AL58" s="291"/>
      <c r="AM58" s="191"/>
      <c r="AN58" s="289"/>
      <c r="AO58" s="290"/>
      <c r="AP58" s="290"/>
      <c r="AQ58" s="291"/>
      <c r="AR58" s="191"/>
      <c r="AS58" s="289"/>
      <c r="AT58" s="290"/>
      <c r="AU58" s="290"/>
      <c r="AV58" s="291"/>
      <c r="AW58" s="191"/>
      <c r="AX58" s="289"/>
      <c r="AY58" s="290"/>
      <c r="AZ58" s="290"/>
      <c r="BA58" s="291"/>
      <c r="BB58" s="191"/>
      <c r="BC58" s="289"/>
      <c r="BD58" s="290"/>
      <c r="BE58" s="290"/>
      <c r="BF58" s="291"/>
      <c r="BG58" s="191"/>
      <c r="BH58" s="289"/>
      <c r="BI58" s="290"/>
      <c r="BJ58" s="290"/>
      <c r="BK58" s="291"/>
      <c r="BL58" s="191"/>
      <c r="BM58" s="289"/>
      <c r="BN58" s="290"/>
      <c r="BO58" s="290"/>
      <c r="BP58" s="291"/>
      <c r="BQ58" s="191"/>
      <c r="BR58" s="302"/>
    </row>
    <row r="59" spans="1:99">
      <c r="C59" s="313" t="s">
        <v>44</v>
      </c>
      <c r="E59" s="229"/>
      <c r="F59" s="230"/>
      <c r="G59" s="230"/>
      <c r="H59" s="231"/>
      <c r="I59" s="114"/>
      <c r="J59" s="229"/>
      <c r="K59" s="230"/>
      <c r="L59" s="230"/>
      <c r="M59" s="231"/>
      <c r="N59" s="114"/>
      <c r="O59" s="229"/>
      <c r="P59" s="230"/>
      <c r="Q59" s="230"/>
      <c r="R59" s="231"/>
      <c r="S59" s="114"/>
      <c r="T59" s="229"/>
      <c r="U59" s="230"/>
      <c r="V59" s="230"/>
      <c r="W59" s="231"/>
      <c r="X59" s="114">
        <f>(X31)/(X29-X20)</f>
        <v>0.3551236749116608</v>
      </c>
      <c r="Y59" s="229">
        <f>(Y31)/(Y29-Y20)</f>
        <v>0.36363636363636365</v>
      </c>
      <c r="Z59" s="230">
        <f t="shared" ref="Z59:AF59" si="76">(Z31)/(Z29-Z20)</f>
        <v>0.36607142857142855</v>
      </c>
      <c r="AA59" s="230">
        <f t="shared" si="76"/>
        <v>0.36263736263736263</v>
      </c>
      <c r="AB59" s="231">
        <f t="shared" si="76"/>
        <v>0.37719298245614036</v>
      </c>
      <c r="AC59" s="763">
        <f t="shared" si="76"/>
        <v>0.36666666666666664</v>
      </c>
      <c r="AD59" s="229">
        <f t="shared" si="76"/>
        <v>0.30857142857142855</v>
      </c>
      <c r="AE59" s="230">
        <f t="shared" si="76"/>
        <v>0.33333333333333331</v>
      </c>
      <c r="AF59" s="230">
        <f t="shared" si="76"/>
        <v>0.31097560975609756</v>
      </c>
      <c r="AG59" s="1213">
        <f t="shared" ref="AG59:AM59" si="77">(AG31)/(AG29-AG20)</f>
        <v>0.35777325186693693</v>
      </c>
      <c r="AH59" s="1421">
        <f t="shared" si="77"/>
        <v>0.32654635199753163</v>
      </c>
      <c r="AI59" s="229">
        <f t="shared" si="77"/>
        <v>0.30681818181818182</v>
      </c>
      <c r="AJ59" s="230">
        <f t="shared" si="77"/>
        <v>0.28476821192052981</v>
      </c>
      <c r="AK59" s="230">
        <f t="shared" si="77"/>
        <v>0.2576419213973799</v>
      </c>
      <c r="AL59" s="1213">
        <f t="shared" si="77"/>
        <v>0.21192528735632146</v>
      </c>
      <c r="AM59" s="1421">
        <f t="shared" si="77"/>
        <v>0.26682968929804374</v>
      </c>
      <c r="AN59" s="229">
        <f t="shared" ref="AN59:AS59" si="78">(AN31)/(AN29-AN20)</f>
        <v>0.24848484848484853</v>
      </c>
      <c r="AO59" s="230">
        <f t="shared" si="78"/>
        <v>0.25128205128205139</v>
      </c>
      <c r="AP59" s="230">
        <f t="shared" si="78"/>
        <v>0.24079807361541114</v>
      </c>
      <c r="AQ59" s="1213">
        <f t="shared" si="78"/>
        <v>0.13458162668227022</v>
      </c>
      <c r="AR59" s="1421">
        <f t="shared" si="78"/>
        <v>0.22535985056587199</v>
      </c>
      <c r="AS59" s="229">
        <f t="shared" si="78"/>
        <v>0.26374534931789978</v>
      </c>
      <c r="AT59" s="230">
        <f>(AT31)/(AT29-AT20)</f>
        <v>0.26535186015239803</v>
      </c>
      <c r="AU59" s="230">
        <f>(AU31)/(AU29-AU20)</f>
        <v>0.27682403433476399</v>
      </c>
      <c r="AV59" s="1213">
        <f t="shared" ref="AV59:AW59" si="79">(AV31)/(AV29-AV20)</f>
        <v>-0.29926410466067016</v>
      </c>
      <c r="AW59" s="1421">
        <f t="shared" si="79"/>
        <v>0.1285887585928023</v>
      </c>
      <c r="AX59" s="229">
        <f>+AY59</f>
        <v>0.24</v>
      </c>
      <c r="AY59" s="230">
        <f>+AZ59</f>
        <v>0.24</v>
      </c>
      <c r="AZ59" s="230">
        <f>+BA59</f>
        <v>0.24</v>
      </c>
      <c r="BA59" s="231">
        <f>+BB59</f>
        <v>0.24</v>
      </c>
      <c r="BB59" s="763">
        <f>+'Utility Detail'!BB$15</f>
        <v>0.24</v>
      </c>
      <c r="BC59" s="229">
        <f>+BD59</f>
        <v>0.24</v>
      </c>
      <c r="BD59" s="230">
        <f>+BE59</f>
        <v>0.24</v>
      </c>
      <c r="BE59" s="230">
        <f>+BF59</f>
        <v>0.24</v>
      </c>
      <c r="BF59" s="231">
        <f>+BG59</f>
        <v>0.24</v>
      </c>
      <c r="BG59" s="763">
        <f>+'Utility Detail'!BG$15</f>
        <v>0.24</v>
      </c>
      <c r="BH59" s="229">
        <f>+BI59</f>
        <v>0.24</v>
      </c>
      <c r="BI59" s="230">
        <f>+BJ59</f>
        <v>0.24</v>
      </c>
      <c r="BJ59" s="230">
        <f>+BK59</f>
        <v>0.24</v>
      </c>
      <c r="BK59" s="231">
        <f>+BL59</f>
        <v>0.24</v>
      </c>
      <c r="BL59" s="763">
        <f>+'Utility Detail'!BL$15</f>
        <v>0.24</v>
      </c>
      <c r="BM59" s="229">
        <f>+BN59</f>
        <v>0.24</v>
      </c>
      <c r="BN59" s="230">
        <f>+BO59</f>
        <v>0.24</v>
      </c>
      <c r="BO59" s="230">
        <f>+BP59</f>
        <v>0.24</v>
      </c>
      <c r="BP59" s="231">
        <f>+BQ59</f>
        <v>0.24</v>
      </c>
      <c r="BQ59" s="763">
        <f>+'Utility Detail'!BQ$15</f>
        <v>0.24</v>
      </c>
      <c r="BR59" s="302"/>
    </row>
    <row r="60" spans="1:99">
      <c r="C60" s="313" t="s">
        <v>45</v>
      </c>
      <c r="E60" s="229"/>
      <c r="F60" s="230"/>
      <c r="G60" s="230"/>
      <c r="H60" s="231"/>
      <c r="I60" s="114"/>
      <c r="J60" s="229"/>
      <c r="K60" s="230"/>
      <c r="L60" s="230"/>
      <c r="M60" s="231"/>
      <c r="N60" s="114"/>
      <c r="O60" s="229"/>
      <c r="P60" s="230"/>
      <c r="Q60" s="230"/>
      <c r="R60" s="231"/>
      <c r="S60" s="114"/>
      <c r="T60" s="229"/>
      <c r="U60" s="230"/>
      <c r="V60" s="230"/>
      <c r="W60" s="231"/>
      <c r="X60" s="114">
        <f>X31/X29</f>
        <v>0.34067796610169493</v>
      </c>
      <c r="Y60" s="229">
        <f>Y31/Y29</f>
        <v>0.35555555555555557</v>
      </c>
      <c r="Z60" s="230">
        <f t="shared" ref="Z60:AF60" si="80">Z31/Z29</f>
        <v>0.35344827586206895</v>
      </c>
      <c r="AA60" s="230">
        <f t="shared" si="80"/>
        <v>0.35675675675675678</v>
      </c>
      <c r="AB60" s="231">
        <f t="shared" si="80"/>
        <v>0.35833333333333334</v>
      </c>
      <c r="AC60" s="114">
        <f t="shared" si="80"/>
        <v>0.35611510791366907</v>
      </c>
      <c r="AD60" s="229">
        <f t="shared" si="80"/>
        <v>0.35761589403973509</v>
      </c>
      <c r="AE60" s="230">
        <f t="shared" si="80"/>
        <v>0.375</v>
      </c>
      <c r="AF60" s="230">
        <f t="shared" si="80"/>
        <v>0.35664335664335667</v>
      </c>
      <c r="AG60" s="1213">
        <f t="shared" ref="AG60:AM60" si="81">AG31/AG29</f>
        <v>0.41858617950754395</v>
      </c>
      <c r="AH60" s="1214">
        <f t="shared" si="81"/>
        <v>0.37542117396701491</v>
      </c>
      <c r="AI60" s="229">
        <f t="shared" si="81"/>
        <v>0.35761589403973509</v>
      </c>
      <c r="AJ60" s="230">
        <f t="shared" si="81"/>
        <v>0.35537190082644626</v>
      </c>
      <c r="AK60" s="230">
        <f t="shared" si="81"/>
        <v>0.34302325581395349</v>
      </c>
      <c r="AL60" s="1213">
        <f t="shared" si="81"/>
        <v>0.31416400425985003</v>
      </c>
      <c r="AM60" s="1214">
        <f t="shared" si="81"/>
        <v>0.34485963933816688</v>
      </c>
      <c r="AN60" s="229">
        <f t="shared" ref="AN60:AR60" si="82">AN31/AN29</f>
        <v>0.33044017358958472</v>
      </c>
      <c r="AO60" s="230">
        <f t="shared" si="82"/>
        <v>0.32061068702290091</v>
      </c>
      <c r="AP60" s="230">
        <f t="shared" si="82"/>
        <v>0.31042128603104219</v>
      </c>
      <c r="AQ60" s="1213">
        <f t="shared" si="82"/>
        <v>0.19658119658119635</v>
      </c>
      <c r="AR60" s="1214">
        <f t="shared" si="82"/>
        <v>0.29845750873108284</v>
      </c>
      <c r="AS60" s="229">
        <f>AS31/AS29</f>
        <v>0.34882449425915774</v>
      </c>
      <c r="AT60" s="230">
        <f>AT31/AT29</f>
        <v>0.34741784037558687</v>
      </c>
      <c r="AU60" s="230">
        <f>AU31/AU29</f>
        <v>0.34959349593495942</v>
      </c>
      <c r="AV60" s="1213">
        <f t="shared" ref="AV60:AW60" si="83">AV31/AV29</f>
        <v>-0.38750661725780783</v>
      </c>
      <c r="AW60" s="1214">
        <f t="shared" si="83"/>
        <v>0.16657936092194875</v>
      </c>
      <c r="AX60" s="229">
        <f t="shared" ref="AX60:BL60" si="84">AX31/AX29</f>
        <v>0.22913513692026022</v>
      </c>
      <c r="AY60" s="230">
        <f t="shared" si="84"/>
        <v>0.22876691605031144</v>
      </c>
      <c r="AZ60" s="230">
        <f t="shared" si="84"/>
        <v>0.231966460818262</v>
      </c>
      <c r="BA60" s="231">
        <f t="shared" si="84"/>
        <v>0.22756960391816786</v>
      </c>
      <c r="BB60" s="114">
        <f t="shared" si="84"/>
        <v>0.22963700129464751</v>
      </c>
      <c r="BC60" s="229">
        <f t="shared" si="84"/>
        <v>0.23108079075031429</v>
      </c>
      <c r="BD60" s="230">
        <f t="shared" si="84"/>
        <v>0.230573514155274</v>
      </c>
      <c r="BE60" s="230">
        <f t="shared" si="84"/>
        <v>0.23302616638287532</v>
      </c>
      <c r="BF60" s="231">
        <f t="shared" si="84"/>
        <v>0.2296389703778802</v>
      </c>
      <c r="BG60" s="114">
        <f t="shared" si="84"/>
        <v>0.23126847821873411</v>
      </c>
      <c r="BH60" s="229">
        <f t="shared" si="84"/>
        <v>0.23290965172893721</v>
      </c>
      <c r="BI60" s="230">
        <f t="shared" si="84"/>
        <v>0.23261773978085504</v>
      </c>
      <c r="BJ60" s="230">
        <f t="shared" si="84"/>
        <v>0.23460616137272305</v>
      </c>
      <c r="BK60" s="231">
        <f t="shared" si="84"/>
        <v>0.23213186594745458</v>
      </c>
      <c r="BL60" s="114">
        <f t="shared" si="84"/>
        <v>0.2332086938845708</v>
      </c>
      <c r="BM60" s="229">
        <f>BM31/BM29</f>
        <v>0.23339097373649551</v>
      </c>
      <c r="BN60" s="230">
        <f>BN31/BN29</f>
        <v>0.23327702517071117</v>
      </c>
      <c r="BO60" s="230">
        <f>BO31/BO29</f>
        <v>0.23490723034789401</v>
      </c>
      <c r="BP60" s="231">
        <f>BP31/BP29</f>
        <v>0.23290517059083324</v>
      </c>
      <c r="BQ60" s="114">
        <f>BQ31/BQ29</f>
        <v>0.23372407673878809</v>
      </c>
      <c r="BR60" s="302"/>
    </row>
    <row r="61" spans="1:99">
      <c r="C61" s="312"/>
      <c r="E61" s="289"/>
      <c r="F61" s="290"/>
      <c r="G61" s="290"/>
      <c r="H61" s="291"/>
      <c r="I61" s="191"/>
      <c r="J61" s="289"/>
      <c r="K61" s="290"/>
      <c r="L61" s="290"/>
      <c r="M61" s="291"/>
      <c r="N61" s="191"/>
      <c r="O61" s="289"/>
      <c r="P61" s="290"/>
      <c r="Q61" s="290"/>
      <c r="R61" s="291"/>
      <c r="S61" s="191"/>
      <c r="T61" s="289"/>
      <c r="U61" s="290"/>
      <c r="V61" s="290"/>
      <c r="W61" s="291"/>
      <c r="X61" s="191"/>
      <c r="Y61" s="289"/>
      <c r="Z61" s="290"/>
      <c r="AA61" s="290"/>
      <c r="AB61" s="291"/>
      <c r="AC61" s="191"/>
      <c r="AD61" s="289"/>
      <c r="AE61" s="290"/>
      <c r="AF61" s="290"/>
      <c r="AG61" s="291"/>
      <c r="AH61" s="191"/>
      <c r="AI61" s="289"/>
      <c r="AJ61" s="290"/>
      <c r="AK61" s="290"/>
      <c r="AL61" s="291"/>
      <c r="AM61" s="191"/>
      <c r="AN61" s="289"/>
      <c r="AO61" s="290"/>
      <c r="AP61" s="290"/>
      <c r="AQ61" s="291"/>
      <c r="AR61" s="191"/>
      <c r="AS61" s="289"/>
      <c r="AT61" s="290"/>
      <c r="AU61" s="290"/>
      <c r="AV61" s="291"/>
      <c r="AW61" s="191"/>
      <c r="AX61" s="289"/>
      <c r="AY61" s="290"/>
      <c r="AZ61" s="290"/>
      <c r="BA61" s="291"/>
      <c r="BB61" s="191"/>
      <c r="BC61" s="289"/>
      <c r="BD61" s="290"/>
      <c r="BE61" s="290"/>
      <c r="BF61" s="291"/>
      <c r="BG61" s="191"/>
      <c r="BH61" s="289"/>
      <c r="BI61" s="290"/>
      <c r="BJ61" s="290"/>
      <c r="BK61" s="291"/>
      <c r="BL61" s="191"/>
      <c r="BM61" s="289"/>
      <c r="BN61" s="290"/>
      <c r="BO61" s="290"/>
      <c r="BP61" s="291"/>
      <c r="BQ61" s="191"/>
      <c r="BR61" s="302"/>
    </row>
    <row r="62" spans="1:99">
      <c r="C62" s="312" t="s">
        <v>201</v>
      </c>
      <c r="E62" s="289"/>
      <c r="F62" s="290"/>
      <c r="G62" s="290"/>
      <c r="H62" s="291"/>
      <c r="I62" s="114"/>
      <c r="J62" s="229"/>
      <c r="K62" s="230"/>
      <c r="L62" s="230"/>
      <c r="M62" s="231"/>
      <c r="N62" s="114"/>
      <c r="O62" s="229"/>
      <c r="P62" s="230"/>
      <c r="Q62" s="230"/>
      <c r="R62" s="231"/>
      <c r="S62" s="114"/>
      <c r="T62" s="229"/>
      <c r="U62" s="230"/>
      <c r="V62" s="230"/>
      <c r="W62" s="231"/>
      <c r="X62" s="114">
        <f>+X235</f>
        <v>0.10402500000000001</v>
      </c>
      <c r="Y62" s="229">
        <f>+Y235</f>
        <v>0.10402500000000001</v>
      </c>
      <c r="Z62" s="230">
        <f t="shared" ref="Z62:AF62" si="85">+Z235</f>
        <v>0.10402500000000001</v>
      </c>
      <c r="AA62" s="230">
        <f t="shared" si="85"/>
        <v>0.10402500000000001</v>
      </c>
      <c r="AB62" s="231">
        <f t="shared" si="85"/>
        <v>0.10402500000000001</v>
      </c>
      <c r="AC62" s="114">
        <f t="shared" si="85"/>
        <v>0.10402500000000001</v>
      </c>
      <c r="AD62" s="229">
        <f t="shared" si="85"/>
        <v>0.10402500000000001</v>
      </c>
      <c r="AE62" s="230">
        <f t="shared" si="85"/>
        <v>0.10402500000000001</v>
      </c>
      <c r="AF62" s="230">
        <f t="shared" si="85"/>
        <v>0.10402500000000001</v>
      </c>
      <c r="AG62" s="1213">
        <f t="shared" ref="AG62:AK63" si="86">+AG235</f>
        <v>0.10402500000000001</v>
      </c>
      <c r="AH62" s="1214">
        <f t="shared" si="86"/>
        <v>0.10402500000000001</v>
      </c>
      <c r="AI62" s="229">
        <f t="shared" si="86"/>
        <v>0.10402500000000001</v>
      </c>
      <c r="AJ62" s="230">
        <f t="shared" si="86"/>
        <v>0.1047</v>
      </c>
      <c r="AK62" s="230">
        <f t="shared" si="86"/>
        <v>0.1047</v>
      </c>
      <c r="AL62" s="1213">
        <f t="shared" ref="AL62:AP63" si="87">+AL235</f>
        <v>0.1047</v>
      </c>
      <c r="AM62" s="1214">
        <f t="shared" si="87"/>
        <v>0.1047</v>
      </c>
      <c r="AN62" s="229">
        <f t="shared" si="87"/>
        <v>0.1047</v>
      </c>
      <c r="AO62" s="230">
        <f t="shared" si="87"/>
        <v>0.1047</v>
      </c>
      <c r="AP62" s="230">
        <f t="shared" si="87"/>
        <v>0.1047</v>
      </c>
      <c r="AQ62" s="1213">
        <f t="shared" ref="AQ62:AT63" si="88">+AQ235</f>
        <v>0.1047</v>
      </c>
      <c r="AR62" s="1214">
        <f t="shared" si="88"/>
        <v>0.1047</v>
      </c>
      <c r="AS62" s="229">
        <f t="shared" si="88"/>
        <v>0.1047</v>
      </c>
      <c r="AT62" s="230">
        <f t="shared" si="88"/>
        <v>0.1047</v>
      </c>
      <c r="AU62" s="230">
        <f>+AU235</f>
        <v>0.1047</v>
      </c>
      <c r="AV62" s="1213">
        <f t="shared" ref="AV62:AW62" si="89">+AV235</f>
        <v>0.1047</v>
      </c>
      <c r="AW62" s="1214">
        <f t="shared" si="89"/>
        <v>0.1047</v>
      </c>
      <c r="AX62" s="229">
        <f t="shared" ref="AX62:BB64" si="90">+AX235</f>
        <v>0.1047</v>
      </c>
      <c r="AY62" s="230">
        <f t="shared" si="90"/>
        <v>0.1047</v>
      </c>
      <c r="AZ62" s="230">
        <f t="shared" si="90"/>
        <v>0.1047</v>
      </c>
      <c r="BA62" s="231">
        <f t="shared" si="90"/>
        <v>0.1047</v>
      </c>
      <c r="BB62" s="114">
        <f t="shared" si="90"/>
        <v>0.1047</v>
      </c>
      <c r="BC62" s="229">
        <f t="shared" ref="BC62:BL62" si="91">+BC235</f>
        <v>0.1047</v>
      </c>
      <c r="BD62" s="230">
        <f t="shared" si="91"/>
        <v>0.1047</v>
      </c>
      <c r="BE62" s="230">
        <f t="shared" si="91"/>
        <v>0.1047</v>
      </c>
      <c r="BF62" s="231">
        <f t="shared" si="91"/>
        <v>0.1047</v>
      </c>
      <c r="BG62" s="114">
        <f t="shared" si="91"/>
        <v>0.1047</v>
      </c>
      <c r="BH62" s="229">
        <f t="shared" si="91"/>
        <v>0.1047</v>
      </c>
      <c r="BI62" s="230">
        <f t="shared" si="91"/>
        <v>0.1047</v>
      </c>
      <c r="BJ62" s="230">
        <f t="shared" si="91"/>
        <v>0.1047</v>
      </c>
      <c r="BK62" s="231">
        <f t="shared" si="91"/>
        <v>0.1047</v>
      </c>
      <c r="BL62" s="114">
        <f t="shared" si="91"/>
        <v>0.1047</v>
      </c>
      <c r="BM62" s="229">
        <f t="shared" ref="BM62:BQ64" si="92">+BM235</f>
        <v>0.1047</v>
      </c>
      <c r="BN62" s="230">
        <f t="shared" si="92"/>
        <v>0.1047</v>
      </c>
      <c r="BO62" s="230">
        <f t="shared" si="92"/>
        <v>0.1047</v>
      </c>
      <c r="BP62" s="231">
        <f t="shared" si="92"/>
        <v>0.1047</v>
      </c>
      <c r="BQ62" s="114">
        <f t="shared" si="92"/>
        <v>0.1047</v>
      </c>
      <c r="BR62" s="302"/>
    </row>
    <row r="63" spans="1:99">
      <c r="C63" s="312" t="s">
        <v>202</v>
      </c>
      <c r="E63" s="289"/>
      <c r="F63" s="290"/>
      <c r="G63" s="290"/>
      <c r="H63" s="291"/>
      <c r="I63" s="114"/>
      <c r="J63" s="229"/>
      <c r="K63" s="230"/>
      <c r="L63" s="230"/>
      <c r="M63" s="231"/>
      <c r="N63" s="114"/>
      <c r="O63" s="229"/>
      <c r="P63" s="230"/>
      <c r="Q63" s="230"/>
      <c r="R63" s="231"/>
      <c r="S63" s="114"/>
      <c r="T63" s="229"/>
      <c r="U63" s="230"/>
      <c r="V63" s="230"/>
      <c r="W63" s="231"/>
      <c r="X63" s="114">
        <f>+X236</f>
        <v>0.11003844790255912</v>
      </c>
      <c r="Y63" s="229">
        <f>+Y236</f>
        <v>0</v>
      </c>
      <c r="Z63" s="230">
        <f t="shared" ref="Z63:AF63" si="93">+Z236</f>
        <v>0</v>
      </c>
      <c r="AA63" s="230">
        <f t="shared" si="93"/>
        <v>0</v>
      </c>
      <c r="AB63" s="231">
        <f t="shared" si="93"/>
        <v>0.1673904608327976</v>
      </c>
      <c r="AC63" s="114">
        <f t="shared" si="93"/>
        <v>0.15520340759498763</v>
      </c>
      <c r="AD63" s="229">
        <f t="shared" si="93"/>
        <v>0.16854050314510366</v>
      </c>
      <c r="AE63" s="230">
        <f t="shared" si="93"/>
        <v>0.16814448891792821</v>
      </c>
      <c r="AF63" s="230">
        <f t="shared" si="93"/>
        <v>0.14791001831482761</v>
      </c>
      <c r="AG63" s="1213">
        <f t="shared" si="86"/>
        <v>0.13770499787809728</v>
      </c>
      <c r="AH63" s="1214">
        <f t="shared" si="86"/>
        <v>0.14118593424548945</v>
      </c>
      <c r="AI63" s="229">
        <f t="shared" si="86"/>
        <v>0.12984736094135502</v>
      </c>
      <c r="AJ63" s="230">
        <f t="shared" si="86"/>
        <v>0.11921077475472011</v>
      </c>
      <c r="AK63" s="230">
        <f t="shared" si="86"/>
        <v>0.12438754335400257</v>
      </c>
      <c r="AL63" s="1213">
        <f t="shared" si="87"/>
        <v>0.11911963415729583</v>
      </c>
      <c r="AM63" s="1214">
        <f t="shared" si="87"/>
        <v>0.12222288703598329</v>
      </c>
      <c r="AN63" s="229">
        <f t="shared" si="87"/>
        <v>0.11751010785041363</v>
      </c>
      <c r="AO63" s="230">
        <f t="shared" si="87"/>
        <v>0.1267641924587401</v>
      </c>
      <c r="AP63" s="230">
        <f t="shared" si="87"/>
        <v>0.12991270555834469</v>
      </c>
      <c r="AQ63" s="1213">
        <f t="shared" si="88"/>
        <v>0.13414145386194046</v>
      </c>
      <c r="AR63" s="1214">
        <f t="shared" si="88"/>
        <v>0.13895438062048307</v>
      </c>
      <c r="AS63" s="229">
        <f t="shared" si="88"/>
        <v>0.12675678231293722</v>
      </c>
      <c r="AT63" s="230">
        <f t="shared" si="88"/>
        <v>0.11950145013034816</v>
      </c>
      <c r="AU63" s="230">
        <f>+AU236</f>
        <v>0.11828843049884018</v>
      </c>
      <c r="AV63" s="1213">
        <f t="shared" ref="AV63:AW63" si="94">+AV236</f>
        <v>0.11689324170036752</v>
      </c>
      <c r="AW63" s="1214">
        <f t="shared" si="94"/>
        <v>0.12153902594114427</v>
      </c>
      <c r="AX63" s="229">
        <f t="shared" si="90"/>
        <v>0.11692054351354809</v>
      </c>
      <c r="AY63" s="230">
        <f t="shared" si="90"/>
        <v>0.11978091046140046</v>
      </c>
      <c r="AZ63" s="230">
        <f t="shared" si="90"/>
        <v>0.1253632294994137</v>
      </c>
      <c r="BA63" s="231">
        <f t="shared" si="90"/>
        <v>0.12287012132693119</v>
      </c>
      <c r="BB63" s="114">
        <f t="shared" si="90"/>
        <v>0.12688370734970625</v>
      </c>
      <c r="BC63" s="229">
        <f t="shared" ref="BC63:BL63" si="95">+BC236</f>
        <v>0.12279017093036897</v>
      </c>
      <c r="BD63" s="230">
        <f t="shared" si="95"/>
        <v>0.12199469277629252</v>
      </c>
      <c r="BE63" s="230">
        <f t="shared" si="95"/>
        <v>0.11974246728265107</v>
      </c>
      <c r="BF63" s="231">
        <f t="shared" si="95"/>
        <v>0.11912262474545639</v>
      </c>
      <c r="BG63" s="1865">
        <f t="shared" si="95"/>
        <v>0.12296230313510424</v>
      </c>
      <c r="BH63" s="229">
        <f t="shared" si="95"/>
        <v>0.11886353950360456</v>
      </c>
      <c r="BI63" s="230">
        <f t="shared" si="95"/>
        <v>0.11898568702924711</v>
      </c>
      <c r="BJ63" s="230">
        <f t="shared" si="95"/>
        <v>0.11919214470893169</v>
      </c>
      <c r="BK63" s="231">
        <f t="shared" si="95"/>
        <v>0.12009200809245089</v>
      </c>
      <c r="BL63" s="114">
        <f t="shared" si="95"/>
        <v>0.12366620282654227</v>
      </c>
      <c r="BM63" s="229">
        <f t="shared" si="92"/>
        <v>0.12063442199783908</v>
      </c>
      <c r="BN63" s="230">
        <f t="shared" si="92"/>
        <v>0.12221566396637136</v>
      </c>
      <c r="BO63" s="230">
        <f t="shared" si="92"/>
        <v>0.12591328884651382</v>
      </c>
      <c r="BP63" s="231">
        <f t="shared" si="92"/>
        <v>0.12399819947724113</v>
      </c>
      <c r="BQ63" s="114">
        <f t="shared" si="92"/>
        <v>0.12613800960745425</v>
      </c>
      <c r="BR63" s="302"/>
    </row>
    <row r="64" spans="1:99">
      <c r="C64" s="314" t="s">
        <v>203</v>
      </c>
      <c r="D64" s="315"/>
      <c r="E64" s="316"/>
      <c r="F64" s="317"/>
      <c r="G64" s="317"/>
      <c r="H64" s="318"/>
      <c r="I64" s="319"/>
      <c r="J64" s="320"/>
      <c r="K64" s="321"/>
      <c r="L64" s="321"/>
      <c r="M64" s="322"/>
      <c r="N64" s="319"/>
      <c r="O64" s="320"/>
      <c r="P64" s="321"/>
      <c r="Q64" s="321"/>
      <c r="R64" s="322"/>
      <c r="S64" s="319"/>
      <c r="T64" s="320"/>
      <c r="U64" s="321"/>
      <c r="V64" s="321"/>
      <c r="W64" s="322"/>
      <c r="X64" s="319">
        <f>+X237</f>
        <v>0.10834119677809806</v>
      </c>
      <c r="Y64" s="320"/>
      <c r="Z64" s="321"/>
      <c r="AA64" s="321"/>
      <c r="AB64" s="322"/>
      <c r="AC64" s="319">
        <f>+AC237</f>
        <v>0.1517351750230326</v>
      </c>
      <c r="AD64" s="320"/>
      <c r="AE64" s="321"/>
      <c r="AF64" s="321"/>
      <c r="AG64" s="1422"/>
      <c r="AH64" s="1423">
        <f>+AH237</f>
        <v>0.13649577118281989</v>
      </c>
      <c r="AI64" s="320"/>
      <c r="AJ64" s="321"/>
      <c r="AK64" s="321"/>
      <c r="AL64" s="1422"/>
      <c r="AM64" s="1423">
        <f>+AM237</f>
        <v>0.11684702225432114</v>
      </c>
      <c r="AN64" s="320"/>
      <c r="AO64" s="321"/>
      <c r="AP64" s="321"/>
      <c r="AQ64" s="1422"/>
      <c r="AR64" s="1423">
        <f>+AR237</f>
        <v>0.13460214841270604</v>
      </c>
      <c r="AS64" s="320"/>
      <c r="AT64" s="321"/>
      <c r="AU64" s="321"/>
      <c r="AV64" s="1422"/>
      <c r="AW64" s="1423">
        <f>+AW237</f>
        <v>0.11831880285318139</v>
      </c>
      <c r="AX64" s="320">
        <f t="shared" si="90"/>
        <v>0</v>
      </c>
      <c r="AY64" s="321">
        <f t="shared" si="90"/>
        <v>0</v>
      </c>
      <c r="AZ64" s="321">
        <f t="shared" si="90"/>
        <v>0</v>
      </c>
      <c r="BA64" s="322">
        <f t="shared" si="90"/>
        <v>0</v>
      </c>
      <c r="BB64" s="319">
        <f t="shared" si="90"/>
        <v>0.11977182363814712</v>
      </c>
      <c r="BC64" s="320">
        <f t="shared" ref="BC64:BL64" si="96">+BC237</f>
        <v>0</v>
      </c>
      <c r="BD64" s="321">
        <f t="shared" si="96"/>
        <v>0</v>
      </c>
      <c r="BE64" s="321">
        <f t="shared" si="96"/>
        <v>0</v>
      </c>
      <c r="BF64" s="322">
        <f t="shared" si="96"/>
        <v>0</v>
      </c>
      <c r="BG64" s="693">
        <f t="shared" si="96"/>
        <v>0.11714293275200145</v>
      </c>
      <c r="BH64" s="320">
        <f t="shared" si="96"/>
        <v>0</v>
      </c>
      <c r="BI64" s="321">
        <f t="shared" si="96"/>
        <v>0</v>
      </c>
      <c r="BJ64" s="321">
        <f t="shared" si="96"/>
        <v>0</v>
      </c>
      <c r="BK64" s="322">
        <f t="shared" si="96"/>
        <v>0</v>
      </c>
      <c r="BL64" s="319">
        <f t="shared" si="96"/>
        <v>0.11910251519716566</v>
      </c>
      <c r="BM64" s="320">
        <f t="shared" si="92"/>
        <v>0</v>
      </c>
      <c r="BN64" s="321">
        <f t="shared" si="92"/>
        <v>0</v>
      </c>
      <c r="BO64" s="321">
        <f t="shared" si="92"/>
        <v>0</v>
      </c>
      <c r="BP64" s="322">
        <f t="shared" si="92"/>
        <v>0</v>
      </c>
      <c r="BQ64" s="319">
        <f t="shared" si="92"/>
        <v>0.1218334653576425</v>
      </c>
      <c r="BR64" s="302"/>
    </row>
    <row r="65" spans="1:97">
      <c r="C65" s="56"/>
      <c r="E65" s="289"/>
      <c r="F65" s="290"/>
      <c r="G65" s="290"/>
      <c r="H65" s="291"/>
      <c r="I65" s="191"/>
      <c r="J65" s="289"/>
      <c r="K65" s="290"/>
      <c r="L65" s="290"/>
      <c r="M65" s="291"/>
      <c r="N65" s="191"/>
      <c r="O65" s="289"/>
      <c r="P65" s="290"/>
      <c r="Q65" s="290"/>
      <c r="R65" s="291"/>
      <c r="S65" s="191"/>
      <c r="T65" s="289"/>
      <c r="U65" s="290"/>
      <c r="V65" s="290"/>
      <c r="W65" s="291"/>
      <c r="X65" s="191"/>
      <c r="Y65" s="289"/>
      <c r="Z65" s="290"/>
      <c r="AA65" s="290"/>
      <c r="AB65" s="291"/>
      <c r="AC65" s="191"/>
      <c r="AD65" s="289"/>
      <c r="AE65" s="290"/>
      <c r="AF65" s="290"/>
      <c r="AG65" s="291"/>
      <c r="AH65" s="191"/>
      <c r="AI65" s="289"/>
      <c r="AJ65" s="290"/>
      <c r="AK65" s="290"/>
      <c r="AL65" s="291"/>
      <c r="AM65" s="191"/>
      <c r="AN65" s="289"/>
      <c r="AO65" s="290"/>
      <c r="AP65" s="290"/>
      <c r="AQ65" s="291"/>
      <c r="AR65" s="191"/>
      <c r="AS65" s="289"/>
      <c r="AT65" s="290"/>
      <c r="AU65" s="290"/>
      <c r="AV65" s="291"/>
      <c r="AW65" s="191"/>
      <c r="AX65" s="289"/>
      <c r="AY65" s="290"/>
      <c r="AZ65" s="290"/>
      <c r="BA65" s="291"/>
      <c r="BB65" s="191"/>
      <c r="BC65" s="289"/>
      <c r="BD65" s="290"/>
      <c r="BE65" s="290"/>
      <c r="BF65" s="291"/>
      <c r="BG65" s="191"/>
      <c r="BH65" s="289"/>
      <c r="BI65" s="290"/>
      <c r="BJ65" s="290"/>
      <c r="BK65" s="291"/>
      <c r="BL65" s="191"/>
      <c r="BM65" s="289"/>
      <c r="BN65" s="290"/>
      <c r="BO65" s="290"/>
      <c r="BP65" s="291"/>
      <c r="BQ65" s="191"/>
    </row>
    <row r="66" spans="1:97">
      <c r="C66" s="56"/>
      <c r="E66" s="289"/>
      <c r="F66" s="290"/>
      <c r="G66" s="290"/>
      <c r="H66" s="291"/>
      <c r="I66" s="191"/>
      <c r="J66" s="289"/>
      <c r="K66" s="290"/>
      <c r="L66" s="290"/>
      <c r="M66" s="291"/>
      <c r="N66" s="191"/>
      <c r="O66" s="289"/>
      <c r="P66" s="290"/>
      <c r="Q66" s="290"/>
      <c r="R66" s="291"/>
      <c r="S66" s="191"/>
      <c r="T66" s="289"/>
      <c r="U66" s="290"/>
      <c r="V66" s="290"/>
      <c r="W66" s="291"/>
      <c r="X66" s="191"/>
      <c r="Y66" s="289"/>
      <c r="Z66" s="290"/>
      <c r="AA66" s="290"/>
      <c r="AB66" s="291"/>
      <c r="AC66" s="191"/>
      <c r="AD66" s="289"/>
      <c r="AE66" s="290"/>
      <c r="AF66" s="290"/>
      <c r="AG66" s="291"/>
      <c r="AH66" s="191"/>
      <c r="AI66" s="289"/>
      <c r="AJ66" s="290"/>
      <c r="AK66" s="290"/>
      <c r="AL66" s="291"/>
      <c r="AM66" s="191"/>
      <c r="AN66" s="289"/>
      <c r="AO66" s="290"/>
      <c r="AP66" s="290"/>
      <c r="AQ66" s="291"/>
      <c r="AR66" s="191"/>
      <c r="AS66" s="289"/>
      <c r="AT66" s="290"/>
      <c r="AU66" s="290"/>
      <c r="AV66" s="291"/>
      <c r="AW66" s="191"/>
      <c r="AX66" s="289"/>
      <c r="AY66" s="290"/>
      <c r="AZ66" s="290"/>
      <c r="BA66" s="291"/>
      <c r="BB66" s="191"/>
      <c r="BC66" s="289"/>
      <c r="BD66" s="290"/>
      <c r="BE66" s="290"/>
      <c r="BF66" s="291"/>
      <c r="BG66" s="191"/>
      <c r="BH66" s="289"/>
      <c r="BI66" s="290"/>
      <c r="BJ66" s="290"/>
      <c r="BK66" s="291"/>
      <c r="BL66" s="191"/>
      <c r="BM66" s="289"/>
      <c r="BN66" s="290"/>
      <c r="BO66" s="290"/>
      <c r="BP66" s="291"/>
      <c r="BQ66" s="191"/>
    </row>
    <row r="67" spans="1:97">
      <c r="B67" s="46" t="s">
        <v>204</v>
      </c>
      <c r="C67" s="46"/>
      <c r="D67" s="47"/>
      <c r="E67" s="289"/>
      <c r="F67" s="290"/>
      <c r="G67" s="290"/>
      <c r="H67" s="291"/>
      <c r="I67" s="191"/>
      <c r="J67" s="289"/>
      <c r="K67" s="290"/>
      <c r="L67" s="290"/>
      <c r="M67" s="291"/>
      <c r="N67" s="191"/>
      <c r="O67" s="289"/>
      <c r="P67" s="290"/>
      <c r="Q67" s="290"/>
      <c r="R67" s="291"/>
      <c r="S67" s="191"/>
      <c r="T67" s="289"/>
      <c r="U67" s="290"/>
      <c r="V67" s="290"/>
      <c r="W67" s="291"/>
      <c r="X67" s="191"/>
      <c r="Y67" s="289"/>
      <c r="Z67" s="290"/>
      <c r="AA67" s="290"/>
      <c r="AB67" s="291"/>
      <c r="AC67" s="191"/>
      <c r="AD67" s="289"/>
      <c r="AE67" s="290"/>
      <c r="AF67" s="290"/>
      <c r="AG67" s="291"/>
      <c r="AH67" s="191"/>
      <c r="AI67" s="289"/>
      <c r="AJ67" s="290"/>
      <c r="AK67" s="290"/>
      <c r="AL67" s="291"/>
      <c r="AM67" s="191"/>
      <c r="AN67" s="289"/>
      <c r="AO67" s="290"/>
      <c r="AP67" s="290"/>
      <c r="AQ67" s="291"/>
      <c r="AR67" s="191"/>
      <c r="AS67" s="289"/>
      <c r="AT67" s="290"/>
      <c r="AU67" s="290"/>
      <c r="AV67" s="291"/>
      <c r="AW67" s="191"/>
      <c r="AX67" s="289"/>
      <c r="AY67" s="290"/>
      <c r="AZ67" s="290"/>
      <c r="BA67" s="291"/>
      <c r="BB67" s="191"/>
      <c r="BC67" s="289"/>
      <c r="BD67" s="290"/>
      <c r="BE67" s="290"/>
      <c r="BF67" s="291"/>
      <c r="BG67" s="191"/>
      <c r="BH67" s="289"/>
      <c r="BI67" s="290"/>
      <c r="BJ67" s="290"/>
      <c r="BK67" s="291"/>
      <c r="BL67" s="191"/>
      <c r="BM67" s="289"/>
      <c r="BN67" s="290"/>
      <c r="BO67" s="290"/>
      <c r="BP67" s="291"/>
      <c r="BQ67" s="191"/>
    </row>
    <row r="68" spans="1:97">
      <c r="A68" s="541"/>
      <c r="B68" s="541"/>
      <c r="C68" s="515" t="s">
        <v>327</v>
      </c>
      <c r="D68" s="541"/>
      <c r="E68" s="289"/>
      <c r="F68" s="542"/>
      <c r="G68" s="542"/>
      <c r="H68" s="291"/>
      <c r="I68" s="191"/>
      <c r="J68" s="289"/>
      <c r="K68" s="290"/>
      <c r="L68" s="290"/>
      <c r="M68" s="291"/>
      <c r="N68" s="191"/>
      <c r="O68" s="289"/>
      <c r="P68" s="290"/>
      <c r="Q68" s="542"/>
      <c r="R68" s="291"/>
      <c r="S68" s="543"/>
      <c r="T68" s="289"/>
      <c r="U68" s="542"/>
      <c r="V68" s="542"/>
      <c r="W68" s="291"/>
      <c r="X68" s="543"/>
      <c r="Y68" s="289"/>
      <c r="Z68" s="542"/>
      <c r="AA68" s="542"/>
      <c r="AB68" s="291"/>
      <c r="AC68" s="543"/>
      <c r="AD68" s="289"/>
      <c r="AE68" s="542"/>
      <c r="AF68" s="542"/>
      <c r="AG68" s="291"/>
      <c r="AH68" s="543"/>
      <c r="AI68" s="289"/>
      <c r="AJ68" s="542"/>
      <c r="AK68" s="542"/>
      <c r="AL68" s="291"/>
      <c r="AM68" s="543"/>
      <c r="AN68" s="289"/>
      <c r="AO68" s="542"/>
      <c r="AP68" s="542"/>
      <c r="AQ68" s="291"/>
      <c r="AR68" s="543"/>
      <c r="AS68" s="289"/>
      <c r="AT68" s="542"/>
      <c r="AU68" s="542"/>
      <c r="AV68" s="291"/>
      <c r="AW68" s="543"/>
      <c r="AX68" s="289"/>
      <c r="AY68" s="542"/>
      <c r="AZ68" s="542"/>
      <c r="BA68" s="291"/>
      <c r="BB68" s="543"/>
      <c r="BC68" s="289"/>
      <c r="BD68" s="542"/>
      <c r="BE68" s="542"/>
      <c r="BF68" s="291"/>
      <c r="BG68" s="543"/>
      <c r="BH68" s="289"/>
      <c r="BI68" s="542"/>
      <c r="BJ68" s="542"/>
      <c r="BK68" s="291"/>
      <c r="BL68" s="543"/>
      <c r="BM68" s="289"/>
      <c r="BN68" s="542"/>
      <c r="BO68" s="542"/>
      <c r="BP68" s="291"/>
      <c r="BQ68" s="543"/>
      <c r="BR68" s="541"/>
      <c r="BS68" s="541"/>
      <c r="BT68" s="541"/>
      <c r="BU68" s="541"/>
      <c r="BV68" s="541"/>
      <c r="BW68" s="541"/>
      <c r="BX68" s="541"/>
      <c r="BY68" s="541"/>
      <c r="BZ68" s="541"/>
      <c r="CA68" s="541"/>
      <c r="CB68" s="541"/>
      <c r="CC68" s="541"/>
      <c r="CD68" s="541"/>
      <c r="CE68" s="541"/>
      <c r="CF68" s="541"/>
      <c r="CG68" s="541"/>
      <c r="CH68" s="541"/>
      <c r="CI68" s="541"/>
      <c r="CJ68" s="541"/>
      <c r="CK68" s="541"/>
      <c r="CL68" s="541"/>
      <c r="CM68" s="541"/>
      <c r="CN68" s="541"/>
      <c r="CO68" s="541"/>
      <c r="CP68" s="541"/>
      <c r="CQ68" s="541"/>
      <c r="CR68" s="541"/>
      <c r="CS68" s="541"/>
    </row>
    <row r="69" spans="1:97">
      <c r="A69" s="541"/>
      <c r="B69" s="541"/>
      <c r="C69" s="541" t="s">
        <v>215</v>
      </c>
      <c r="D69" s="541"/>
      <c r="E69" s="161"/>
      <c r="F69" s="162"/>
      <c r="G69" s="162"/>
      <c r="H69" s="144"/>
      <c r="I69" s="544"/>
      <c r="J69" s="161"/>
      <c r="K69" s="162"/>
      <c r="L69" s="162"/>
      <c r="M69" s="144"/>
      <c r="N69" s="544"/>
      <c r="O69" s="161"/>
      <c r="P69" s="162"/>
      <c r="Q69" s="162"/>
      <c r="R69" s="144"/>
      <c r="S69" s="544"/>
      <c r="T69" s="161"/>
      <c r="U69" s="162"/>
      <c r="V69" s="162"/>
      <c r="W69" s="144"/>
      <c r="X69" s="544">
        <v>2121</v>
      </c>
      <c r="Y69" s="161">
        <f t="shared" ref="Y69:Y74" si="97">(Y$82/$AC$82)*$AC69</f>
        <v>548.00714604734253</v>
      </c>
      <c r="Z69" s="162">
        <f t="shared" ref="Z69:AB74" si="98">(Z$82/$AC$82)*$AC69</f>
        <v>514.1795444394819</v>
      </c>
      <c r="AA69" s="162">
        <f t="shared" si="98"/>
        <v>577.48548459133542</v>
      </c>
      <c r="AB69" s="144">
        <f t="shared" si="98"/>
        <v>524.32782492184015</v>
      </c>
      <c r="AC69" s="544">
        <v>2164</v>
      </c>
      <c r="AD69" s="161">
        <f t="shared" ref="AD69:AG74" si="99">(AD$82/$AH$82)*$AH69</f>
        <v>583.82395712148912</v>
      </c>
      <c r="AE69" s="162">
        <f t="shared" si="99"/>
        <v>544.90235998005653</v>
      </c>
      <c r="AF69" s="162">
        <f t="shared" si="99"/>
        <v>591.51217384078438</v>
      </c>
      <c r="AG69" s="144">
        <f t="shared" si="99"/>
        <v>592.76150905767008</v>
      </c>
      <c r="AH69" s="544">
        <v>2313</v>
      </c>
      <c r="AI69" s="161">
        <f t="shared" ref="AI69:AL70" si="100">(AI$82/$AM$82)*$AM69</f>
        <v>616.82767853223891</v>
      </c>
      <c r="AJ69" s="162">
        <f t="shared" si="100"/>
        <v>515.31824167142156</v>
      </c>
      <c r="AK69" s="162">
        <f t="shared" si="100"/>
        <v>577.48670061010398</v>
      </c>
      <c r="AL69" s="144">
        <f t="shared" si="100"/>
        <v>503.46737918623552</v>
      </c>
      <c r="AM69" s="544">
        <v>2213.1</v>
      </c>
      <c r="AN69" s="161">
        <f>(AN$82/$AR$82)*$AR69</f>
        <v>550.0616678726484</v>
      </c>
      <c r="AO69" s="162">
        <f>(AO$82/$AR$82)*$AR69</f>
        <v>549.71060736251809</v>
      </c>
      <c r="AP69" s="162">
        <f>(AP$82/$AR$82)*$AR69</f>
        <v>639.73255246020256</v>
      </c>
      <c r="AQ69" s="144">
        <f>(AQ$82/$AR$82)*$AR69</f>
        <v>478.3951723046311</v>
      </c>
      <c r="AR69" s="544">
        <v>2217.9</v>
      </c>
      <c r="AS69" s="161">
        <f>(AS$82/$AW$82)*$AW69</f>
        <v>512.63094155182955</v>
      </c>
      <c r="AT69" s="162">
        <f>(AT$82/$AW$82)*$AW69</f>
        <v>497.10667979091716</v>
      </c>
      <c r="AU69" s="162">
        <f>(AU$82/$AW$82)*AW69</f>
        <v>553.63575453126055</v>
      </c>
      <c r="AV69" s="144">
        <f>(AV$82/$AW$82)*$AW69</f>
        <v>521.92662412599304</v>
      </c>
      <c r="AW69" s="544">
        <v>2085.3000000000002</v>
      </c>
      <c r="AX69" s="149"/>
      <c r="AY69" s="156"/>
      <c r="AZ69" s="156"/>
      <c r="BA69" s="151"/>
      <c r="BB69" s="543"/>
      <c r="BC69" s="149"/>
      <c r="BD69" s="156"/>
      <c r="BE69" s="156"/>
      <c r="BF69" s="151"/>
      <c r="BG69" s="543"/>
      <c r="BH69" s="149"/>
      <c r="BI69" s="156"/>
      <c r="BJ69" s="156"/>
      <c r="BK69" s="151"/>
      <c r="BL69" s="543"/>
      <c r="BM69" s="149"/>
      <c r="BN69" s="156"/>
      <c r="BO69" s="156"/>
      <c r="BP69" s="151"/>
      <c r="BQ69" s="543"/>
      <c r="BR69" s="541"/>
      <c r="BS69" s="541"/>
      <c r="BT69" s="541"/>
      <c r="BU69" s="541"/>
      <c r="BV69" s="541"/>
      <c r="BW69" s="541"/>
      <c r="BX69" s="541"/>
      <c r="BY69" s="541"/>
      <c r="BZ69" s="541"/>
      <c r="CA69" s="541"/>
      <c r="CB69" s="541"/>
      <c r="CC69" s="541"/>
      <c r="CD69" s="541"/>
      <c r="CE69" s="541"/>
      <c r="CF69" s="541"/>
      <c r="CG69" s="541"/>
      <c r="CH69" s="541"/>
      <c r="CI69" s="541"/>
      <c r="CJ69" s="541"/>
      <c r="CK69" s="541"/>
      <c r="CL69" s="541"/>
      <c r="CM69" s="541"/>
      <c r="CN69" s="541"/>
      <c r="CO69" s="541"/>
      <c r="CP69" s="541"/>
      <c r="CQ69" s="541"/>
      <c r="CR69" s="541"/>
      <c r="CS69" s="541"/>
    </row>
    <row r="70" spans="1:97">
      <c r="A70" s="541"/>
      <c r="B70" s="541"/>
      <c r="C70" s="541" t="s">
        <v>328</v>
      </c>
      <c r="D70" s="541"/>
      <c r="E70" s="161"/>
      <c r="F70" s="162"/>
      <c r="G70" s="162"/>
      <c r="H70" s="144"/>
      <c r="I70" s="544"/>
      <c r="J70" s="161"/>
      <c r="K70" s="162"/>
      <c r="L70" s="162"/>
      <c r="M70" s="144"/>
      <c r="N70" s="544"/>
      <c r="O70" s="161"/>
      <c r="P70" s="162"/>
      <c r="Q70" s="162"/>
      <c r="R70" s="144"/>
      <c r="S70" s="544"/>
      <c r="T70" s="161"/>
      <c r="U70" s="162"/>
      <c r="V70" s="162"/>
      <c r="W70" s="144"/>
      <c r="X70" s="544">
        <v>1331</v>
      </c>
      <c r="Y70" s="161">
        <f t="shared" si="97"/>
        <v>294.00937918713709</v>
      </c>
      <c r="Z70" s="162">
        <f t="shared" si="98"/>
        <v>275.86065207682003</v>
      </c>
      <c r="AA70" s="162">
        <f t="shared" si="98"/>
        <v>309.82469852612769</v>
      </c>
      <c r="AB70" s="144">
        <f t="shared" si="98"/>
        <v>281.30527020991514</v>
      </c>
      <c r="AC70" s="544">
        <v>1161</v>
      </c>
      <c r="AD70" s="161">
        <f t="shared" si="99"/>
        <v>297.33879009473156</v>
      </c>
      <c r="AE70" s="162">
        <f t="shared" si="99"/>
        <v>277.51620408841615</v>
      </c>
      <c r="AF70" s="162">
        <f t="shared" si="99"/>
        <v>301.25436263918897</v>
      </c>
      <c r="AG70" s="144">
        <f t="shared" si="99"/>
        <v>301.89064317766338</v>
      </c>
      <c r="AH70" s="544">
        <v>1178</v>
      </c>
      <c r="AI70" s="161">
        <f t="shared" si="100"/>
        <v>326.09840670675499</v>
      </c>
      <c r="AJ70" s="162">
        <f t="shared" si="100"/>
        <v>272.43339331958038</v>
      </c>
      <c r="AK70" s="162">
        <f t="shared" si="100"/>
        <v>305.30000438923759</v>
      </c>
      <c r="AL70" s="144">
        <f t="shared" si="100"/>
        <v>266.16819558442705</v>
      </c>
      <c r="AM70" s="544">
        <v>1170</v>
      </c>
      <c r="AN70" s="161">
        <f t="shared" ref="AN70:AQ81" si="101">(AN$82/$AR$82)*$AR70</f>
        <v>300.09225759768452</v>
      </c>
      <c r="AO70" s="162">
        <f t="shared" si="101"/>
        <v>299.90073263386398</v>
      </c>
      <c r="AP70" s="162">
        <f t="shared" si="101"/>
        <v>349.01320549927641</v>
      </c>
      <c r="AQ70" s="144">
        <f t="shared" si="101"/>
        <v>260.99380426917514</v>
      </c>
      <c r="AR70" s="544">
        <v>1210</v>
      </c>
      <c r="AS70" s="161">
        <f>(AS$82/$AW$82)*$AW70</f>
        <v>301.21646414590549</v>
      </c>
      <c r="AT70" s="162">
        <f>(AT$82/$AW$82)*$AW70</f>
        <v>292.09457380128072</v>
      </c>
      <c r="AU70" s="162">
        <f>(AU$82/$AW$82)*AW70</f>
        <v>325.31045414432145</v>
      </c>
      <c r="AV70" s="144">
        <f>(AV$82/$AW$82)*$AW70</f>
        <v>306.67850790849241</v>
      </c>
      <c r="AW70" s="544">
        <v>1225.3</v>
      </c>
      <c r="AX70" s="149"/>
      <c r="AY70" s="156"/>
      <c r="AZ70" s="156"/>
      <c r="BA70" s="151"/>
      <c r="BB70" s="543"/>
      <c r="BC70" s="149"/>
      <c r="BD70" s="156"/>
      <c r="BE70" s="156"/>
      <c r="BF70" s="151"/>
      <c r="BG70" s="543"/>
      <c r="BH70" s="149"/>
      <c r="BI70" s="156"/>
      <c r="BJ70" s="156"/>
      <c r="BK70" s="151"/>
      <c r="BL70" s="543"/>
      <c r="BM70" s="149"/>
      <c r="BN70" s="156"/>
      <c r="BO70" s="156"/>
      <c r="BP70" s="151"/>
      <c r="BQ70" s="543"/>
      <c r="BR70" s="541"/>
      <c r="BS70" s="541"/>
      <c r="BT70" s="541"/>
      <c r="BU70" s="541"/>
      <c r="BV70" s="541"/>
      <c r="BW70" s="541"/>
      <c r="BX70" s="541"/>
      <c r="BY70" s="541"/>
      <c r="BZ70" s="541"/>
      <c r="CA70" s="541"/>
      <c r="CB70" s="541"/>
      <c r="CC70" s="541"/>
      <c r="CD70" s="541"/>
      <c r="CE70" s="541"/>
      <c r="CF70" s="541"/>
      <c r="CG70" s="541"/>
      <c r="CH70" s="541"/>
      <c r="CI70" s="541"/>
      <c r="CJ70" s="541"/>
      <c r="CK70" s="541"/>
      <c r="CL70" s="541"/>
      <c r="CM70" s="541"/>
      <c r="CN70" s="541"/>
      <c r="CO70" s="541"/>
      <c r="CP70" s="541"/>
      <c r="CQ70" s="541"/>
      <c r="CR70" s="541"/>
      <c r="CS70" s="541"/>
    </row>
    <row r="71" spans="1:97">
      <c r="A71" s="541"/>
      <c r="B71" s="541"/>
      <c r="C71" s="541" t="s">
        <v>329</v>
      </c>
      <c r="D71" s="541"/>
      <c r="E71" s="161"/>
      <c r="F71" s="162"/>
      <c r="G71" s="162"/>
      <c r="H71" s="144"/>
      <c r="I71" s="544"/>
      <c r="J71" s="161"/>
      <c r="K71" s="162"/>
      <c r="L71" s="162"/>
      <c r="M71" s="144"/>
      <c r="N71" s="544"/>
      <c r="O71" s="161"/>
      <c r="P71" s="162"/>
      <c r="Q71" s="162"/>
      <c r="R71" s="144"/>
      <c r="S71" s="544"/>
      <c r="T71" s="161"/>
      <c r="U71" s="162"/>
      <c r="V71" s="162"/>
      <c r="W71" s="144"/>
      <c r="X71" s="544">
        <v>821</v>
      </c>
      <c r="Y71" s="161">
        <f t="shared" si="97"/>
        <v>139.02769093345242</v>
      </c>
      <c r="Z71" s="162">
        <f t="shared" si="98"/>
        <v>130.44573470299241</v>
      </c>
      <c r="AA71" s="162">
        <f t="shared" si="98"/>
        <v>146.50625279142474</v>
      </c>
      <c r="AB71" s="144">
        <f t="shared" si="98"/>
        <v>133.02032157213043</v>
      </c>
      <c r="AC71" s="544">
        <v>549</v>
      </c>
      <c r="AD71" s="161">
        <f t="shared" si="99"/>
        <v>126.96214891141764</v>
      </c>
      <c r="AE71" s="162">
        <f t="shared" si="99"/>
        <v>118.49800565065647</v>
      </c>
      <c r="AF71" s="162">
        <f t="shared" si="99"/>
        <v>128.63407844440749</v>
      </c>
      <c r="AG71" s="144">
        <f t="shared" si="99"/>
        <v>128.9057669935184</v>
      </c>
      <c r="AH71" s="544">
        <v>503</v>
      </c>
      <c r="AI71" s="161">
        <f t="shared" ref="AI71:AL81" si="102">(AI$82/$AM$82)*$AM71</f>
        <v>142.84225080103585</v>
      </c>
      <c r="AJ71" s="162">
        <f t="shared" si="102"/>
        <v>119.33514023614097</v>
      </c>
      <c r="AK71" s="162">
        <f t="shared" si="102"/>
        <v>133.73183952947372</v>
      </c>
      <c r="AL71" s="144">
        <f t="shared" si="102"/>
        <v>116.59076943334946</v>
      </c>
      <c r="AM71" s="544">
        <v>512.5</v>
      </c>
      <c r="AN71" s="161">
        <f t="shared" si="101"/>
        <v>123.5586468885673</v>
      </c>
      <c r="AO71" s="162">
        <f t="shared" si="101"/>
        <v>123.47978925470332</v>
      </c>
      <c r="AP71" s="162">
        <f t="shared" si="101"/>
        <v>143.70113965267726</v>
      </c>
      <c r="AQ71" s="144">
        <f t="shared" si="101"/>
        <v>107.46042420405212</v>
      </c>
      <c r="AR71" s="544">
        <v>498.2</v>
      </c>
      <c r="AS71" s="161">
        <f t="shared" ref="AS71:AT74" si="103">(AS$82/$AW$82)*$AW71</f>
        <v>116.27796257325821</v>
      </c>
      <c r="AT71" s="162">
        <f t="shared" si="103"/>
        <v>112.7566582943</v>
      </c>
      <c r="AU71" s="162">
        <f t="shared" ref="AU71:AU74" si="104">(AU$82/$AW$82)*AW71</f>
        <v>125.57891521281648</v>
      </c>
      <c r="AV71" s="144">
        <f t="shared" ref="AV71:AV74" si="105">(AV$82/$AW$82)*$AW71</f>
        <v>118.38646391962533</v>
      </c>
      <c r="AW71" s="544">
        <v>473</v>
      </c>
      <c r="AX71" s="149"/>
      <c r="AY71" s="156"/>
      <c r="AZ71" s="156"/>
      <c r="BA71" s="151"/>
      <c r="BB71" s="543"/>
      <c r="BC71" s="149"/>
      <c r="BD71" s="156"/>
      <c r="BE71" s="156"/>
      <c r="BF71" s="151"/>
      <c r="BG71" s="543"/>
      <c r="BH71" s="149"/>
      <c r="BI71" s="156"/>
      <c r="BJ71" s="156"/>
      <c r="BK71" s="151"/>
      <c r="BL71" s="543"/>
      <c r="BM71" s="149"/>
      <c r="BN71" s="156"/>
      <c r="BO71" s="156"/>
      <c r="BP71" s="151"/>
      <c r="BQ71" s="543"/>
      <c r="BR71" s="541"/>
      <c r="BS71" s="541"/>
      <c r="BT71" s="541"/>
      <c r="BU71" s="541"/>
      <c r="BV71" s="541"/>
      <c r="BW71" s="541"/>
      <c r="BX71" s="541"/>
      <c r="BY71" s="541"/>
      <c r="BZ71" s="541"/>
      <c r="CA71" s="541"/>
      <c r="CB71" s="541"/>
      <c r="CC71" s="541"/>
      <c r="CD71" s="541"/>
      <c r="CE71" s="541"/>
      <c r="CF71" s="541"/>
      <c r="CG71" s="541"/>
      <c r="CH71" s="541"/>
      <c r="CI71" s="541"/>
      <c r="CJ71" s="541"/>
      <c r="CK71" s="541"/>
      <c r="CL71" s="541"/>
      <c r="CM71" s="541"/>
      <c r="CN71" s="541"/>
      <c r="CO71" s="541"/>
      <c r="CP71" s="541"/>
      <c r="CQ71" s="541"/>
      <c r="CR71" s="541"/>
      <c r="CS71" s="541"/>
    </row>
    <row r="72" spans="1:97">
      <c r="A72" s="541"/>
      <c r="B72" s="541"/>
      <c r="C72" s="541" t="s">
        <v>843</v>
      </c>
      <c r="D72" s="541"/>
      <c r="E72" s="161"/>
      <c r="F72" s="162"/>
      <c r="G72" s="162"/>
      <c r="H72" s="144"/>
      <c r="I72" s="544"/>
      <c r="J72" s="161"/>
      <c r="K72" s="162"/>
      <c r="L72" s="162"/>
      <c r="M72" s="144"/>
      <c r="N72" s="544"/>
      <c r="O72" s="161"/>
      <c r="P72" s="162"/>
      <c r="Q72" s="162"/>
      <c r="R72" s="144"/>
      <c r="S72" s="544"/>
      <c r="T72" s="161"/>
      <c r="U72" s="162"/>
      <c r="V72" s="162"/>
      <c r="W72" s="144"/>
      <c r="X72" s="544">
        <v>22</v>
      </c>
      <c r="Y72" s="161">
        <f t="shared" si="97"/>
        <v>5.3179991067440824</v>
      </c>
      <c r="Z72" s="162">
        <f t="shared" si="98"/>
        <v>4.9897275569450645</v>
      </c>
      <c r="AA72" s="162">
        <f t="shared" si="98"/>
        <v>5.6040643144260827</v>
      </c>
      <c r="AB72" s="144">
        <f t="shared" si="98"/>
        <v>5.0882090218847695</v>
      </c>
      <c r="AC72" s="544">
        <v>21</v>
      </c>
      <c r="AD72" s="161">
        <f t="shared" si="99"/>
        <v>12.115672261924546</v>
      </c>
      <c r="AE72" s="162">
        <f t="shared" si="99"/>
        <v>11.307960777796243</v>
      </c>
      <c r="AF72" s="162">
        <f t="shared" si="99"/>
        <v>12.27522020940668</v>
      </c>
      <c r="AG72" s="144">
        <f t="shared" si="99"/>
        <v>12.301146750872531</v>
      </c>
      <c r="AH72" s="544">
        <v>48</v>
      </c>
      <c r="AI72" s="161">
        <f t="shared" si="102"/>
        <v>0</v>
      </c>
      <c r="AJ72" s="162">
        <f t="shared" si="102"/>
        <v>0</v>
      </c>
      <c r="AK72" s="162">
        <f t="shared" si="102"/>
        <v>0</v>
      </c>
      <c r="AL72" s="144">
        <f t="shared" si="102"/>
        <v>0</v>
      </c>
      <c r="AM72" s="544">
        <v>0</v>
      </c>
      <c r="AN72" s="161">
        <f t="shared" si="101"/>
        <v>0</v>
      </c>
      <c r="AO72" s="162">
        <f t="shared" si="101"/>
        <v>0</v>
      </c>
      <c r="AP72" s="162">
        <f t="shared" si="101"/>
        <v>0</v>
      </c>
      <c r="AQ72" s="144">
        <f t="shared" si="101"/>
        <v>0</v>
      </c>
      <c r="AR72" s="544">
        <v>0</v>
      </c>
      <c r="AS72" s="161">
        <f t="shared" si="103"/>
        <v>0</v>
      </c>
      <c r="AT72" s="162">
        <f t="shared" si="103"/>
        <v>0</v>
      </c>
      <c r="AU72" s="162">
        <f t="shared" si="104"/>
        <v>0</v>
      </c>
      <c r="AV72" s="144">
        <f t="shared" si="105"/>
        <v>0</v>
      </c>
      <c r="AW72" s="544">
        <v>0</v>
      </c>
      <c r="AX72" s="149"/>
      <c r="AY72" s="156"/>
      <c r="AZ72" s="156"/>
      <c r="BA72" s="151"/>
      <c r="BB72" s="543"/>
      <c r="BC72" s="149"/>
      <c r="BD72" s="156"/>
      <c r="BE72" s="156"/>
      <c r="BF72" s="151"/>
      <c r="BG72" s="543"/>
      <c r="BH72" s="149"/>
      <c r="BI72" s="156"/>
      <c r="BJ72" s="156"/>
      <c r="BK72" s="151"/>
      <c r="BL72" s="543"/>
      <c r="BM72" s="149"/>
      <c r="BN72" s="156"/>
      <c r="BO72" s="156"/>
      <c r="BP72" s="151"/>
      <c r="BQ72" s="543"/>
      <c r="BR72" s="541"/>
      <c r="BS72" s="541"/>
      <c r="BT72" s="541"/>
      <c r="BU72" s="541"/>
      <c r="BV72" s="541"/>
      <c r="BW72" s="541"/>
      <c r="BX72" s="541"/>
      <c r="BY72" s="541"/>
      <c r="BZ72" s="541"/>
      <c r="CA72" s="541"/>
      <c r="CB72" s="541"/>
      <c r="CC72" s="541"/>
      <c r="CD72" s="541"/>
      <c r="CE72" s="541"/>
      <c r="CF72" s="541"/>
      <c r="CG72" s="541"/>
      <c r="CH72" s="541"/>
      <c r="CI72" s="541"/>
      <c r="CJ72" s="541"/>
      <c r="CK72" s="541"/>
      <c r="CL72" s="541"/>
      <c r="CM72" s="541"/>
      <c r="CN72" s="541"/>
      <c r="CO72" s="541"/>
      <c r="CP72" s="541"/>
      <c r="CQ72" s="541"/>
      <c r="CR72" s="541"/>
      <c r="CS72" s="541"/>
    </row>
    <row r="73" spans="1:97">
      <c r="A73" s="541"/>
      <c r="B73" s="541"/>
      <c r="C73" s="541" t="s">
        <v>844</v>
      </c>
      <c r="D73" s="541"/>
      <c r="E73" s="161"/>
      <c r="F73" s="162"/>
      <c r="G73" s="162"/>
      <c r="H73" s="144"/>
      <c r="I73" s="544"/>
      <c r="J73" s="161"/>
      <c r="K73" s="162"/>
      <c r="L73" s="162"/>
      <c r="M73" s="144"/>
      <c r="N73" s="544"/>
      <c r="O73" s="161"/>
      <c r="P73" s="162"/>
      <c r="Q73" s="162"/>
      <c r="R73" s="144"/>
      <c r="S73" s="544"/>
      <c r="T73" s="161"/>
      <c r="U73" s="162"/>
      <c r="V73" s="162"/>
      <c r="W73" s="144"/>
      <c r="X73" s="544">
        <v>-3</v>
      </c>
      <c r="Y73" s="161">
        <f t="shared" si="97"/>
        <v>5.5712371594461816</v>
      </c>
      <c r="Z73" s="162">
        <f t="shared" si="98"/>
        <v>5.2273336310853056</v>
      </c>
      <c r="AA73" s="162">
        <f t="shared" si="98"/>
        <v>5.8709245198749436</v>
      </c>
      <c r="AB73" s="144">
        <f t="shared" si="98"/>
        <v>5.3305046895935684</v>
      </c>
      <c r="AC73" s="544">
        <v>22</v>
      </c>
      <c r="AD73" s="161">
        <f t="shared" si="99"/>
        <v>-3.0289180654811365</v>
      </c>
      <c r="AE73" s="162">
        <f t="shared" si="99"/>
        <v>-2.8269901944490607</v>
      </c>
      <c r="AF73" s="162">
        <f t="shared" si="99"/>
        <v>-3.0688050523516699</v>
      </c>
      <c r="AG73" s="144">
        <f t="shared" si="99"/>
        <v>-3.0752866877181328</v>
      </c>
      <c r="AH73" s="544">
        <v>-12</v>
      </c>
      <c r="AI73" s="161">
        <f t="shared" si="102"/>
        <v>0</v>
      </c>
      <c r="AJ73" s="162">
        <f t="shared" si="102"/>
        <v>0</v>
      </c>
      <c r="AK73" s="162">
        <f t="shared" si="102"/>
        <v>0</v>
      </c>
      <c r="AL73" s="144">
        <f t="shared" si="102"/>
        <v>0</v>
      </c>
      <c r="AM73" s="544">
        <v>0</v>
      </c>
      <c r="AN73" s="161">
        <f t="shared" si="101"/>
        <v>-39.508013748191033</v>
      </c>
      <c r="AO73" s="162">
        <f t="shared" si="101"/>
        <v>-39.482798932706224</v>
      </c>
      <c r="AP73" s="162">
        <f t="shared" si="101"/>
        <v>-45.948598046309698</v>
      </c>
      <c r="AQ73" s="144">
        <f t="shared" si="101"/>
        <v>-34.360589272793064</v>
      </c>
      <c r="AR73" s="544">
        <v>-159.30000000000001</v>
      </c>
      <c r="AS73" s="161">
        <f t="shared" si="103"/>
        <v>-2.8024709795669001</v>
      </c>
      <c r="AT73" s="162">
        <f t="shared" si="103"/>
        <v>-2.7176023352114589</v>
      </c>
      <c r="AU73" s="162">
        <f t="shared" si="104"/>
        <v>-3.0266377028036109</v>
      </c>
      <c r="AV73" s="144">
        <f t="shared" si="105"/>
        <v>-2.853288982418031</v>
      </c>
      <c r="AW73" s="544">
        <v>-11.4</v>
      </c>
      <c r="AX73" s="149"/>
      <c r="AY73" s="156"/>
      <c r="AZ73" s="156"/>
      <c r="BA73" s="151"/>
      <c r="BB73" s="543"/>
      <c r="BC73" s="149"/>
      <c r="BD73" s="156"/>
      <c r="BE73" s="156"/>
      <c r="BF73" s="151"/>
      <c r="BG73" s="543"/>
      <c r="BH73" s="149"/>
      <c r="BI73" s="156"/>
      <c r="BJ73" s="156"/>
      <c r="BK73" s="151"/>
      <c r="BL73" s="543"/>
      <c r="BM73" s="149"/>
      <c r="BN73" s="156"/>
      <c r="BO73" s="156"/>
      <c r="BP73" s="151"/>
      <c r="BQ73" s="543"/>
      <c r="BR73" s="541"/>
      <c r="BS73" s="541"/>
      <c r="BT73" s="541"/>
      <c r="BU73" s="541"/>
      <c r="BV73" s="541"/>
      <c r="BW73" s="541"/>
      <c r="BX73" s="541"/>
      <c r="BY73" s="541"/>
      <c r="BZ73" s="541"/>
      <c r="CA73" s="541"/>
      <c r="CB73" s="541"/>
      <c r="CC73" s="541"/>
      <c r="CD73" s="541"/>
      <c r="CE73" s="541"/>
      <c r="CF73" s="541"/>
      <c r="CG73" s="541"/>
      <c r="CH73" s="541"/>
      <c r="CI73" s="541"/>
      <c r="CJ73" s="541"/>
      <c r="CK73" s="541"/>
      <c r="CL73" s="541"/>
      <c r="CM73" s="541"/>
      <c r="CN73" s="541"/>
      <c r="CO73" s="541"/>
      <c r="CP73" s="541"/>
      <c r="CQ73" s="541"/>
      <c r="CR73" s="541"/>
      <c r="CS73" s="541"/>
    </row>
    <row r="74" spans="1:97">
      <c r="A74" s="541"/>
      <c r="B74" s="541"/>
      <c r="C74" s="541" t="s">
        <v>924</v>
      </c>
      <c r="D74" s="541"/>
      <c r="E74" s="161"/>
      <c r="F74" s="162"/>
      <c r="G74" s="162"/>
      <c r="H74" s="144"/>
      <c r="I74" s="544"/>
      <c r="J74" s="161"/>
      <c r="K74" s="162"/>
      <c r="L74" s="162"/>
      <c r="M74" s="144"/>
      <c r="N74" s="544"/>
      <c r="O74" s="161"/>
      <c r="P74" s="162"/>
      <c r="Q74" s="162"/>
      <c r="R74" s="144"/>
      <c r="S74" s="544"/>
      <c r="T74" s="161"/>
      <c r="U74" s="162"/>
      <c r="V74" s="162"/>
      <c r="W74" s="144"/>
      <c r="X74" s="544">
        <v>41</v>
      </c>
      <c r="Y74" s="161">
        <f t="shared" si="97"/>
        <v>9.8762840553818663</v>
      </c>
      <c r="Z74" s="162">
        <f t="shared" si="98"/>
        <v>9.2666368914694068</v>
      </c>
      <c r="AA74" s="162">
        <f t="shared" si="98"/>
        <v>10.407548012505583</v>
      </c>
      <c r="AB74" s="144">
        <f t="shared" si="98"/>
        <v>9.4495310406431443</v>
      </c>
      <c r="AC74" s="544">
        <v>39</v>
      </c>
      <c r="AD74" s="161">
        <f t="shared" si="99"/>
        <v>10.096393551603789</v>
      </c>
      <c r="AE74" s="162">
        <f t="shared" si="99"/>
        <v>9.4233006481635364</v>
      </c>
      <c r="AF74" s="162">
        <f t="shared" si="99"/>
        <v>10.229350174505567</v>
      </c>
      <c r="AG74" s="144">
        <f t="shared" si="99"/>
        <v>10.250955625727109</v>
      </c>
      <c r="AH74" s="544">
        <v>40</v>
      </c>
      <c r="AI74" s="161">
        <f t="shared" si="102"/>
        <v>10.507615327217662</v>
      </c>
      <c r="AJ74" s="162">
        <f t="shared" si="102"/>
        <v>8.7784093402975909</v>
      </c>
      <c r="AK74" s="162">
        <f t="shared" si="102"/>
        <v>9.8374445858754331</v>
      </c>
      <c r="AL74" s="144">
        <f t="shared" si="102"/>
        <v>8.5765307466093166</v>
      </c>
      <c r="AM74" s="544">
        <v>37.700000000000003</v>
      </c>
      <c r="AN74" s="161">
        <f t="shared" si="101"/>
        <v>9.6475940665701891</v>
      </c>
      <c r="AO74" s="162">
        <f t="shared" si="101"/>
        <v>9.6414367764109983</v>
      </c>
      <c r="AP74" s="162">
        <f t="shared" si="101"/>
        <v>11.220341895803182</v>
      </c>
      <c r="AQ74" s="144">
        <f t="shared" si="101"/>
        <v>8.3906272612156307</v>
      </c>
      <c r="AR74" s="544">
        <v>38.9</v>
      </c>
      <c r="AS74" s="161">
        <f t="shared" si="103"/>
        <v>9.7840653497160179</v>
      </c>
      <c r="AT74" s="162">
        <f t="shared" si="103"/>
        <v>9.4877695562645652</v>
      </c>
      <c r="AU74" s="162">
        <f t="shared" si="104"/>
        <v>10.566682506279273</v>
      </c>
      <c r="AV74" s="144">
        <f t="shared" si="105"/>
        <v>9.9614825877401429</v>
      </c>
      <c r="AW74" s="544">
        <v>39.799999999999997</v>
      </c>
      <c r="AX74" s="149"/>
      <c r="AY74" s="156"/>
      <c r="AZ74" s="156"/>
      <c r="BA74" s="151"/>
      <c r="BB74" s="543"/>
      <c r="BC74" s="149"/>
      <c r="BD74" s="156"/>
      <c r="BE74" s="156"/>
      <c r="BF74" s="151"/>
      <c r="BG74" s="543"/>
      <c r="BH74" s="149"/>
      <c r="BI74" s="156"/>
      <c r="BJ74" s="156"/>
      <c r="BK74" s="151"/>
      <c r="BL74" s="543"/>
      <c r="BM74" s="149"/>
      <c r="BN74" s="156"/>
      <c r="BO74" s="156"/>
      <c r="BP74" s="151"/>
      <c r="BQ74" s="543"/>
      <c r="BR74" s="541"/>
      <c r="BS74" s="541"/>
      <c r="BT74" s="541"/>
      <c r="BU74" s="541"/>
      <c r="BV74" s="541"/>
      <c r="BW74" s="541"/>
      <c r="BX74" s="541"/>
      <c r="BY74" s="541"/>
      <c r="BZ74" s="541"/>
      <c r="CA74" s="541"/>
      <c r="CB74" s="541"/>
      <c r="CC74" s="541"/>
      <c r="CD74" s="541"/>
      <c r="CE74" s="541"/>
      <c r="CF74" s="541"/>
      <c r="CG74" s="541"/>
      <c r="CH74" s="541"/>
      <c r="CI74" s="541"/>
      <c r="CJ74" s="541"/>
      <c r="CK74" s="541"/>
      <c r="CL74" s="541"/>
      <c r="CM74" s="541"/>
      <c r="CN74" s="541"/>
      <c r="CO74" s="541"/>
      <c r="CP74" s="541"/>
      <c r="CQ74" s="541"/>
      <c r="CR74" s="541"/>
      <c r="CS74" s="541"/>
    </row>
    <row r="75" spans="1:97" s="56" customFormat="1">
      <c r="A75" s="545"/>
      <c r="B75" s="545"/>
      <c r="C75" s="545" t="s">
        <v>346</v>
      </c>
      <c r="D75" s="545"/>
      <c r="E75" s="149"/>
      <c r="F75" s="156"/>
      <c r="G75" s="156"/>
      <c r="H75" s="151"/>
      <c r="I75" s="489"/>
      <c r="J75" s="149"/>
      <c r="K75" s="156"/>
      <c r="L75" s="156"/>
      <c r="M75" s="151"/>
      <c r="N75" s="489"/>
      <c r="O75" s="149"/>
      <c r="P75" s="156"/>
      <c r="Q75" s="156"/>
      <c r="R75" s="151"/>
      <c r="S75" s="489"/>
      <c r="T75" s="149"/>
      <c r="U75" s="156"/>
      <c r="V75" s="156"/>
      <c r="W75" s="151"/>
      <c r="X75" s="489">
        <f t="shared" ref="X75:AF75" si="106">SUM(X69:X74)</f>
        <v>4333</v>
      </c>
      <c r="Y75" s="149">
        <f t="shared" si="106"/>
        <v>1001.8097364895041</v>
      </c>
      <c r="Z75" s="156">
        <f t="shared" si="106"/>
        <v>939.96962929879408</v>
      </c>
      <c r="AA75" s="156">
        <f t="shared" si="106"/>
        <v>1055.6989727556945</v>
      </c>
      <c r="AB75" s="151">
        <f t="shared" si="106"/>
        <v>958.52166145600711</v>
      </c>
      <c r="AC75" s="489">
        <f t="shared" si="106"/>
        <v>3956</v>
      </c>
      <c r="AD75" s="149">
        <f t="shared" si="106"/>
        <v>1027.3080438756856</v>
      </c>
      <c r="AE75" s="156">
        <f t="shared" si="106"/>
        <v>958.82084095063988</v>
      </c>
      <c r="AF75" s="156">
        <f t="shared" si="106"/>
        <v>1040.8363802559413</v>
      </c>
      <c r="AG75" s="151">
        <f t="shared" ref="AG75:AM75" si="107">SUM(AG69:AG74)</f>
        <v>1043.0347349177334</v>
      </c>
      <c r="AH75" s="489">
        <f t="shared" si="107"/>
        <v>4070</v>
      </c>
      <c r="AI75" s="149">
        <f t="shared" si="107"/>
        <v>1096.2759513672474</v>
      </c>
      <c r="AJ75" s="156">
        <f>SUM(AJ69:AJ74)</f>
        <v>915.86518456744056</v>
      </c>
      <c r="AK75" s="156">
        <f>SUM(AK69:AK74)</f>
        <v>1026.3559891146906</v>
      </c>
      <c r="AL75" s="151">
        <f>SUM(AL69:AL74)</f>
        <v>894.80287495062134</v>
      </c>
      <c r="AM75" s="489">
        <f t="shared" si="107"/>
        <v>3933.2999999999997</v>
      </c>
      <c r="AN75" s="149">
        <f t="shared" ref="AN75:AR75" si="108">SUM(AN69:AN74)</f>
        <v>943.85215267727938</v>
      </c>
      <c r="AO75" s="156">
        <f t="shared" si="108"/>
        <v>943.24976709479006</v>
      </c>
      <c r="AP75" s="156">
        <f t="shared" si="108"/>
        <v>1097.7186414616497</v>
      </c>
      <c r="AQ75" s="151">
        <f t="shared" si="108"/>
        <v>820.87943876628094</v>
      </c>
      <c r="AR75" s="489">
        <f t="shared" si="108"/>
        <v>3805.7</v>
      </c>
      <c r="AS75" s="149">
        <f t="shared" ref="AS75:AV75" si="109">SUM(AS69:AS74)</f>
        <v>937.10696264114233</v>
      </c>
      <c r="AT75" s="156">
        <f t="shared" si="109"/>
        <v>908.72807910755091</v>
      </c>
      <c r="AU75" s="156">
        <f t="shared" si="109"/>
        <v>1012.0651686918742</v>
      </c>
      <c r="AV75" s="151">
        <f t="shared" si="109"/>
        <v>954.09978955943302</v>
      </c>
      <c r="AW75" s="489">
        <f t="shared" ref="AW75" si="110">SUM(AW69:AW74)</f>
        <v>3812.0000000000005</v>
      </c>
      <c r="AX75" s="149"/>
      <c r="AY75" s="156"/>
      <c r="AZ75" s="156"/>
      <c r="BA75" s="151"/>
      <c r="BB75" s="489"/>
      <c r="BC75" s="149"/>
      <c r="BD75" s="156"/>
      <c r="BE75" s="156"/>
      <c r="BF75" s="151"/>
      <c r="BG75" s="489"/>
      <c r="BH75" s="149"/>
      <c r="BI75" s="156"/>
      <c r="BJ75" s="156"/>
      <c r="BK75" s="151"/>
      <c r="BL75" s="489"/>
      <c r="BM75" s="149"/>
      <c r="BN75" s="156"/>
      <c r="BO75" s="156"/>
      <c r="BP75" s="151"/>
      <c r="BQ75" s="489"/>
      <c r="BR75" s="545"/>
      <c r="BS75" s="545"/>
      <c r="BT75" s="545"/>
      <c r="BU75" s="545"/>
      <c r="BV75" s="545"/>
      <c r="BW75" s="545"/>
      <c r="BX75" s="545"/>
      <c r="BY75" s="545"/>
      <c r="BZ75" s="545"/>
      <c r="CA75" s="545"/>
      <c r="CB75" s="545"/>
      <c r="CC75" s="545"/>
      <c r="CD75" s="545"/>
      <c r="CE75" s="545"/>
      <c r="CF75" s="545"/>
      <c r="CG75" s="545"/>
      <c r="CH75" s="545"/>
      <c r="CI75" s="545"/>
      <c r="CJ75" s="545"/>
      <c r="CK75" s="545"/>
      <c r="CL75" s="545"/>
      <c r="CM75" s="545"/>
      <c r="CN75" s="545"/>
      <c r="CO75" s="545"/>
      <c r="CP75" s="545"/>
      <c r="CQ75" s="545"/>
      <c r="CR75" s="545"/>
      <c r="CS75" s="545"/>
    </row>
    <row r="76" spans="1:97" s="56" customFormat="1">
      <c r="A76" s="545"/>
      <c r="B76" s="545"/>
      <c r="C76" s="541" t="s">
        <v>348</v>
      </c>
      <c r="D76" s="545"/>
      <c r="E76" s="149"/>
      <c r="F76" s="156"/>
      <c r="G76" s="156"/>
      <c r="H76" s="151"/>
      <c r="I76" s="489"/>
      <c r="J76" s="149"/>
      <c r="K76" s="156"/>
      <c r="L76" s="156"/>
      <c r="M76" s="151"/>
      <c r="N76" s="489"/>
      <c r="O76" s="149"/>
      <c r="P76" s="156"/>
      <c r="Q76" s="156"/>
      <c r="R76" s="151"/>
      <c r="S76" s="489"/>
      <c r="T76" s="161"/>
      <c r="U76" s="162"/>
      <c r="V76" s="162"/>
      <c r="W76" s="144"/>
      <c r="X76" s="544">
        <v>57</v>
      </c>
      <c r="Y76" s="161">
        <f t="shared" ref="Y76:AB77" si="111">(Y$82/$AC$82)*$AC76</f>
        <v>7.8503796337650735</v>
      </c>
      <c r="Z76" s="162">
        <f t="shared" si="111"/>
        <v>7.3657882983474767</v>
      </c>
      <c r="AA76" s="162">
        <f t="shared" si="111"/>
        <v>8.2726663689146935</v>
      </c>
      <c r="AB76" s="144">
        <f t="shared" si="111"/>
        <v>7.5111656989727553</v>
      </c>
      <c r="AC76" s="544">
        <v>31</v>
      </c>
      <c r="AD76" s="161">
        <f t="shared" ref="AD76:AG77" si="112">(AD$82/$AH$82)*$AH76</f>
        <v>36.094606946983546</v>
      </c>
      <c r="AE76" s="162">
        <f t="shared" si="112"/>
        <v>33.688299817184642</v>
      </c>
      <c r="AF76" s="162">
        <f t="shared" si="112"/>
        <v>36.569926873857405</v>
      </c>
      <c r="AG76" s="144">
        <f t="shared" si="112"/>
        <v>36.647166361974413</v>
      </c>
      <c r="AH76" s="544">
        <v>143</v>
      </c>
      <c r="AI76" s="161">
        <f t="shared" si="102"/>
        <v>29.571829873151028</v>
      </c>
      <c r="AJ76" s="162">
        <f t="shared" si="102"/>
        <v>24.70528464205767</v>
      </c>
      <c r="AK76" s="162">
        <f t="shared" si="102"/>
        <v>27.685752534784704</v>
      </c>
      <c r="AL76" s="144">
        <f t="shared" si="102"/>
        <v>24.137132950006592</v>
      </c>
      <c r="AM76" s="544">
        <v>106.1</v>
      </c>
      <c r="AN76" s="161">
        <f t="shared" si="101"/>
        <v>32.489327062228654</v>
      </c>
      <c r="AO76" s="162">
        <f t="shared" si="101"/>
        <v>32.468591714905934</v>
      </c>
      <c r="AP76" s="162">
        <f t="shared" si="101"/>
        <v>37.785727206946454</v>
      </c>
      <c r="AQ76" s="144">
        <f t="shared" si="101"/>
        <v>28.256354015918966</v>
      </c>
      <c r="AR76" s="544">
        <v>131</v>
      </c>
      <c r="AS76" s="161">
        <f t="shared" ref="AS76:AT77" si="113">(AS$82/$AW$82)*$AW76</f>
        <v>24.705994161971354</v>
      </c>
      <c r="AT76" s="162">
        <f t="shared" si="113"/>
        <v>23.957810060416808</v>
      </c>
      <c r="AU76" s="162">
        <f t="shared" ref="AU76:AU77" si="114">(AU$82/$AW$82)*AW76</f>
        <v>26.682200801031833</v>
      </c>
      <c r="AV76" s="144">
        <f t="shared" ref="AV76:AV77" si="115">(AV$82/$AW$82)*$AW76</f>
        <v>25.153994976580009</v>
      </c>
      <c r="AW76" s="544">
        <v>100.5</v>
      </c>
      <c r="AX76" s="149"/>
      <c r="AY76" s="156"/>
      <c r="AZ76" s="156"/>
      <c r="BA76" s="151"/>
      <c r="BB76" s="489"/>
      <c r="BC76" s="149"/>
      <c r="BD76" s="156"/>
      <c r="BE76" s="156"/>
      <c r="BF76" s="151"/>
      <c r="BG76" s="489"/>
      <c r="BH76" s="149"/>
      <c r="BI76" s="156"/>
      <c r="BJ76" s="156"/>
      <c r="BK76" s="151"/>
      <c r="BL76" s="489"/>
      <c r="BM76" s="149"/>
      <c r="BN76" s="156"/>
      <c r="BO76" s="156"/>
      <c r="BP76" s="151"/>
      <c r="BQ76" s="489"/>
      <c r="BR76" s="545"/>
      <c r="BS76" s="545"/>
      <c r="BT76" s="545"/>
      <c r="BU76" s="545"/>
      <c r="BV76" s="545"/>
      <c r="BW76" s="545"/>
      <c r="BX76" s="545"/>
      <c r="BY76" s="545"/>
      <c r="BZ76" s="545"/>
      <c r="CA76" s="545"/>
      <c r="CB76" s="545"/>
      <c r="CC76" s="545"/>
      <c r="CD76" s="545"/>
      <c r="CE76" s="545"/>
      <c r="CF76" s="545"/>
      <c r="CG76" s="545"/>
      <c r="CH76" s="545"/>
      <c r="CI76" s="545"/>
      <c r="CJ76" s="545"/>
      <c r="CK76" s="545"/>
      <c r="CL76" s="545"/>
      <c r="CM76" s="545"/>
      <c r="CN76" s="545"/>
      <c r="CO76" s="545"/>
      <c r="CP76" s="545"/>
      <c r="CQ76" s="545"/>
      <c r="CR76" s="545"/>
      <c r="CS76" s="545"/>
    </row>
    <row r="77" spans="1:97" s="56" customFormat="1">
      <c r="A77" s="545"/>
      <c r="B77" s="545"/>
      <c r="C77" s="541" t="s">
        <v>624</v>
      </c>
      <c r="D77" s="545"/>
      <c r="E77" s="149"/>
      <c r="F77" s="156"/>
      <c r="G77" s="156"/>
      <c r="H77" s="151"/>
      <c r="I77" s="489"/>
      <c r="J77" s="149"/>
      <c r="K77" s="156"/>
      <c r="L77" s="156"/>
      <c r="M77" s="151"/>
      <c r="N77" s="489"/>
      <c r="O77" s="149"/>
      <c r="P77" s="156"/>
      <c r="Q77" s="156"/>
      <c r="R77" s="151"/>
      <c r="S77" s="489"/>
      <c r="T77" s="161"/>
      <c r="U77" s="162"/>
      <c r="V77" s="162"/>
      <c r="W77" s="144"/>
      <c r="X77" s="544">
        <v>205</v>
      </c>
      <c r="Y77" s="161">
        <f t="shared" si="111"/>
        <v>57.738276016078608</v>
      </c>
      <c r="Z77" s="162">
        <f t="shared" si="111"/>
        <v>54.174184903974989</v>
      </c>
      <c r="AA77" s="162">
        <f t="shared" si="111"/>
        <v>60.844126842340323</v>
      </c>
      <c r="AB77" s="144">
        <f t="shared" si="111"/>
        <v>55.243412237606073</v>
      </c>
      <c r="AC77" s="544">
        <v>228</v>
      </c>
      <c r="AD77" s="161">
        <f t="shared" si="112"/>
        <v>70.169935183646331</v>
      </c>
      <c r="AE77" s="162">
        <f t="shared" si="112"/>
        <v>65.491939504736578</v>
      </c>
      <c r="AF77" s="162">
        <f t="shared" si="112"/>
        <v>71.093983712813696</v>
      </c>
      <c r="AG77" s="144">
        <f t="shared" si="112"/>
        <v>71.244141598803409</v>
      </c>
      <c r="AH77" s="544">
        <v>278</v>
      </c>
      <c r="AI77" s="161">
        <f t="shared" si="102"/>
        <v>79.712943861651226</v>
      </c>
      <c r="AJ77" s="162">
        <f t="shared" si="102"/>
        <v>66.594829478119649</v>
      </c>
      <c r="AK77" s="162">
        <f t="shared" si="102"/>
        <v>74.628889961813627</v>
      </c>
      <c r="AL77" s="144">
        <f t="shared" si="102"/>
        <v>65.063336698415512</v>
      </c>
      <c r="AM77" s="544">
        <v>286</v>
      </c>
      <c r="AN77" s="161">
        <f t="shared" si="101"/>
        <v>81.099312590448633</v>
      </c>
      <c r="AO77" s="162">
        <f t="shared" si="101"/>
        <v>81.047553364688852</v>
      </c>
      <c r="AP77" s="162">
        <f t="shared" si="101"/>
        <v>94.32009768451519</v>
      </c>
      <c r="AQ77" s="144">
        <f t="shared" si="101"/>
        <v>70.533036360347339</v>
      </c>
      <c r="AR77" s="544">
        <v>327</v>
      </c>
      <c r="AS77" s="161">
        <f t="shared" si="113"/>
        <v>88.400751250197999</v>
      </c>
      <c r="AT77" s="162">
        <f t="shared" si="113"/>
        <v>85.723666644038659</v>
      </c>
      <c r="AU77" s="162">
        <f t="shared" si="114"/>
        <v>95.471834905980572</v>
      </c>
      <c r="AV77" s="144">
        <f t="shared" si="115"/>
        <v>90.003747199782808</v>
      </c>
      <c r="AW77" s="544">
        <v>359.6</v>
      </c>
      <c r="AX77" s="149"/>
      <c r="AY77" s="156"/>
      <c r="AZ77" s="156"/>
      <c r="BA77" s="151"/>
      <c r="BB77" s="489"/>
      <c r="BC77" s="149"/>
      <c r="BD77" s="156"/>
      <c r="BE77" s="156"/>
      <c r="BF77" s="151"/>
      <c r="BG77" s="489"/>
      <c r="BH77" s="149"/>
      <c r="BI77" s="156"/>
      <c r="BJ77" s="156"/>
      <c r="BK77" s="151"/>
      <c r="BL77" s="489"/>
      <c r="BM77" s="149"/>
      <c r="BN77" s="156"/>
      <c r="BO77" s="156"/>
      <c r="BP77" s="151"/>
      <c r="BQ77" s="489"/>
      <c r="BR77" s="545"/>
      <c r="BS77" s="545"/>
      <c r="BT77" s="545"/>
      <c r="BU77" s="545"/>
      <c r="BV77" s="545"/>
      <c r="BW77" s="545"/>
      <c r="BX77" s="545"/>
      <c r="BY77" s="545"/>
      <c r="BZ77" s="545"/>
      <c r="CA77" s="545"/>
      <c r="CB77" s="545"/>
      <c r="CC77" s="545"/>
      <c r="CD77" s="545"/>
      <c r="CE77" s="545"/>
      <c r="CF77" s="545"/>
      <c r="CG77" s="545"/>
      <c r="CH77" s="545"/>
      <c r="CI77" s="545"/>
      <c r="CJ77" s="545"/>
      <c r="CK77" s="545"/>
      <c r="CL77" s="545"/>
      <c r="CM77" s="545"/>
      <c r="CN77" s="545"/>
      <c r="CO77" s="545"/>
      <c r="CP77" s="545"/>
      <c r="CQ77" s="545"/>
      <c r="CR77" s="545"/>
      <c r="CS77" s="545"/>
    </row>
    <row r="78" spans="1:97" s="56" customFormat="1">
      <c r="A78" s="545"/>
      <c r="B78" s="545"/>
      <c r="C78" s="545" t="s">
        <v>634</v>
      </c>
      <c r="D78" s="545"/>
      <c r="E78" s="149"/>
      <c r="F78" s="156"/>
      <c r="G78" s="156"/>
      <c r="H78" s="151"/>
      <c r="I78" s="489"/>
      <c r="J78" s="149"/>
      <c r="K78" s="156"/>
      <c r="L78" s="156"/>
      <c r="M78" s="151"/>
      <c r="N78" s="489"/>
      <c r="O78" s="149"/>
      <c r="P78" s="156"/>
      <c r="Q78" s="156"/>
      <c r="R78" s="151"/>
      <c r="S78" s="489"/>
      <c r="T78" s="149"/>
      <c r="U78" s="156"/>
      <c r="V78" s="156"/>
      <c r="W78" s="151"/>
      <c r="X78" s="489">
        <f>SUM(X75:X77)</f>
        <v>4595</v>
      </c>
      <c r="Y78" s="149">
        <f>0+(SUM(Y75:Y77))</f>
        <v>1067.3983921393478</v>
      </c>
      <c r="Z78" s="156">
        <f>0+(SUM(Z75:Z77))</f>
        <v>1001.5096025011165</v>
      </c>
      <c r="AA78" s="156">
        <f>0+(SUM(AA75:AA77))</f>
        <v>1124.8157659669496</v>
      </c>
      <c r="AB78" s="151">
        <f>0+(SUM(AB75:AB77))</f>
        <v>1021.2762393925859</v>
      </c>
      <c r="AC78" s="489">
        <f>SUM(AC75:AC77)</f>
        <v>4215</v>
      </c>
      <c r="AD78" s="149">
        <f>0+(SUM(AD75:AD77))</f>
        <v>1133.5725860063155</v>
      </c>
      <c r="AE78" s="156">
        <f>0+(SUM(AE75:AE77))</f>
        <v>1058.001080272561</v>
      </c>
      <c r="AF78" s="156">
        <f>0+(SUM(AF75:AF77))</f>
        <v>1148.5002908426125</v>
      </c>
      <c r="AG78" s="151">
        <f>0+(SUM(AG75:AG77))</f>
        <v>1150.9260428785112</v>
      </c>
      <c r="AH78" s="489">
        <f>SUM(AH75:AH77)</f>
        <v>4491</v>
      </c>
      <c r="AI78" s="149">
        <f>0+(SUM(AI75:AI77))</f>
        <v>1205.5607251020497</v>
      </c>
      <c r="AJ78" s="156">
        <f>0+(SUM(AJ75:AJ77))</f>
        <v>1007.1652986876179</v>
      </c>
      <c r="AK78" s="156">
        <f>0+(SUM(AK75:AK77))</f>
        <v>1128.6706316112891</v>
      </c>
      <c r="AL78" s="151">
        <f>0+(SUM(AL75:AL77))</f>
        <v>984.00334459904343</v>
      </c>
      <c r="AM78" s="489">
        <f>SUM(AM75:AM77)</f>
        <v>4325.3999999999996</v>
      </c>
      <c r="AN78" s="149">
        <f t="shared" ref="AN78:AR78" si="116">SUM(AN75:AN77)</f>
        <v>1057.4407923299566</v>
      </c>
      <c r="AO78" s="156">
        <f t="shared" si="116"/>
        <v>1056.765912174385</v>
      </c>
      <c r="AP78" s="156">
        <f t="shared" si="116"/>
        <v>1229.8244663531113</v>
      </c>
      <c r="AQ78" s="151">
        <f t="shared" si="116"/>
        <v>919.66882914254722</v>
      </c>
      <c r="AR78" s="489">
        <f t="shared" si="116"/>
        <v>4263.7</v>
      </c>
      <c r="AS78" s="149">
        <f t="shared" ref="AS78:AV78" si="117">SUM(AS75:AS77)</f>
        <v>1050.2137080533116</v>
      </c>
      <c r="AT78" s="156">
        <f t="shared" si="117"/>
        <v>1018.4095558120064</v>
      </c>
      <c r="AU78" s="156">
        <f t="shared" si="117"/>
        <v>1134.2192043988866</v>
      </c>
      <c r="AV78" s="151">
        <f t="shared" si="117"/>
        <v>1069.2575317357957</v>
      </c>
      <c r="AW78" s="489">
        <f t="shared" ref="AW78" si="118">SUM(AW75:AW77)</f>
        <v>4272.1000000000004</v>
      </c>
      <c r="AX78" s="149"/>
      <c r="AY78" s="156"/>
      <c r="AZ78" s="156"/>
      <c r="BA78" s="151"/>
      <c r="BB78" s="489"/>
      <c r="BC78" s="149"/>
      <c r="BD78" s="156"/>
      <c r="BE78" s="156"/>
      <c r="BF78" s="151"/>
      <c r="BG78" s="489"/>
      <c r="BH78" s="149"/>
      <c r="BI78" s="156"/>
      <c r="BJ78" s="156"/>
      <c r="BK78" s="151"/>
      <c r="BL78" s="489"/>
      <c r="BM78" s="149"/>
      <c r="BN78" s="156"/>
      <c r="BO78" s="156"/>
      <c r="BP78" s="151"/>
      <c r="BQ78" s="489"/>
      <c r="BR78" s="545"/>
      <c r="BS78" s="545"/>
      <c r="BT78" s="545"/>
      <c r="BU78" s="545"/>
      <c r="BV78" s="545"/>
      <c r="BW78" s="545"/>
      <c r="BX78" s="545"/>
      <c r="BY78" s="545"/>
      <c r="BZ78" s="545"/>
      <c r="CA78" s="545"/>
      <c r="CB78" s="545"/>
      <c r="CC78" s="545"/>
      <c r="CD78" s="545"/>
      <c r="CE78" s="545"/>
      <c r="CF78" s="545"/>
      <c r="CG78" s="545"/>
      <c r="CH78" s="545"/>
      <c r="CI78" s="545"/>
      <c r="CJ78" s="545"/>
      <c r="CK78" s="545"/>
      <c r="CL78" s="545"/>
      <c r="CM78" s="545"/>
      <c r="CN78" s="545"/>
      <c r="CO78" s="545"/>
      <c r="CP78" s="545"/>
      <c r="CQ78" s="545"/>
      <c r="CR78" s="545"/>
      <c r="CS78" s="545"/>
    </row>
    <row r="79" spans="1:97">
      <c r="A79" s="541"/>
      <c r="B79" s="541"/>
      <c r="C79" s="541" t="s">
        <v>845</v>
      </c>
      <c r="D79" s="541"/>
      <c r="E79" s="161"/>
      <c r="F79" s="162"/>
      <c r="G79" s="162"/>
      <c r="H79" s="144"/>
      <c r="I79" s="544"/>
      <c r="J79" s="161"/>
      <c r="K79" s="162"/>
      <c r="L79" s="162"/>
      <c r="M79" s="144"/>
      <c r="N79" s="544"/>
      <c r="O79" s="161"/>
      <c r="P79" s="162"/>
      <c r="Q79" s="162"/>
      <c r="R79" s="144"/>
      <c r="S79" s="544"/>
      <c r="T79" s="161"/>
      <c r="U79" s="162"/>
      <c r="V79" s="162"/>
      <c r="W79" s="144"/>
      <c r="X79" s="544">
        <v>58</v>
      </c>
      <c r="Y79" s="161">
        <f>(Y82/AC82)*AC79</f>
        <v>14.181330951317552</v>
      </c>
      <c r="Z79" s="162">
        <f>(Z82/AC82)*AC79</f>
        <v>13.305940151853505</v>
      </c>
      <c r="AA79" s="162">
        <f>(AA82/AC82)*AC79</f>
        <v>14.94417150513622</v>
      </c>
      <c r="AB79" s="144">
        <f>(AB82/AC82)*AC79</f>
        <v>13.568557391692719</v>
      </c>
      <c r="AC79" s="544">
        <v>56</v>
      </c>
      <c r="AD79" s="161">
        <f t="shared" ref="AD79:AF81" si="119">(AD$82/$AH$82)*$AH79</f>
        <v>12.87290177829483</v>
      </c>
      <c r="AE79" s="162">
        <f t="shared" si="119"/>
        <v>12.014708326408508</v>
      </c>
      <c r="AF79" s="162">
        <f t="shared" si="119"/>
        <v>13.042421472494597</v>
      </c>
      <c r="AG79" s="144">
        <f>(AG82/AH82)*AH79</f>
        <v>13.069968422802065</v>
      </c>
      <c r="AH79" s="544">
        <v>51</v>
      </c>
      <c r="AI79" s="161">
        <f t="shared" si="102"/>
        <v>14.688364131150419</v>
      </c>
      <c r="AJ79" s="162">
        <f t="shared" si="102"/>
        <v>12.271145152087081</v>
      </c>
      <c r="AK79" s="162">
        <f t="shared" si="102"/>
        <v>13.751547206250274</v>
      </c>
      <c r="AL79" s="144">
        <f t="shared" si="102"/>
        <v>11.988943510512229</v>
      </c>
      <c r="AM79" s="544">
        <v>52.7</v>
      </c>
      <c r="AN79" s="161">
        <f t="shared" si="101"/>
        <v>13.789363241678728</v>
      </c>
      <c r="AO79" s="162">
        <f t="shared" si="101"/>
        <v>13.780562590448625</v>
      </c>
      <c r="AP79" s="162">
        <f t="shared" si="101"/>
        <v>16.037301013024603</v>
      </c>
      <c r="AQ79" s="144">
        <f t="shared" si="101"/>
        <v>11.992773154848049</v>
      </c>
      <c r="AR79" s="544">
        <v>55.6</v>
      </c>
      <c r="AS79" s="161">
        <f t="shared" ref="AS79:AT81" si="120">(AS$82/$AW$82)*$AW79</f>
        <v>11.898210123775259</v>
      </c>
      <c r="AT79" s="162">
        <f t="shared" si="120"/>
        <v>11.537890616160929</v>
      </c>
      <c r="AU79" s="162">
        <f t="shared" ref="AU79:AU81" si="121">(AU$82/$AW$82)*AW79</f>
        <v>12.849935510148663</v>
      </c>
      <c r="AV79" s="144">
        <f t="shared" ref="AV79:AV81" si="122">(AV$82/$AW$82)*$AW79</f>
        <v>12.113963749915149</v>
      </c>
      <c r="AW79" s="544">
        <v>48.4</v>
      </c>
      <c r="AX79" s="149"/>
      <c r="AY79" s="156"/>
      <c r="AZ79" s="156"/>
      <c r="BA79" s="151"/>
      <c r="BB79" s="543"/>
      <c r="BC79" s="149"/>
      <c r="BD79" s="156"/>
      <c r="BE79" s="156"/>
      <c r="BF79" s="151"/>
      <c r="BG79" s="543"/>
      <c r="BH79" s="149"/>
      <c r="BI79" s="156"/>
      <c r="BJ79" s="156"/>
      <c r="BK79" s="151"/>
      <c r="BL79" s="543"/>
      <c r="BM79" s="149"/>
      <c r="BN79" s="156"/>
      <c r="BO79" s="156"/>
      <c r="BP79" s="151"/>
      <c r="BQ79" s="543"/>
      <c r="BR79" s="541"/>
      <c r="BS79" s="541"/>
      <c r="BT79" s="541"/>
      <c r="BU79" s="541"/>
      <c r="BV79" s="541"/>
      <c r="BW79" s="541"/>
      <c r="BX79" s="541"/>
      <c r="BY79" s="541"/>
      <c r="BZ79" s="541"/>
      <c r="CA79" s="541"/>
      <c r="CB79" s="541"/>
      <c r="CC79" s="541"/>
      <c r="CD79" s="541"/>
      <c r="CE79" s="541"/>
      <c r="CF79" s="541"/>
      <c r="CG79" s="541"/>
      <c r="CH79" s="541"/>
      <c r="CI79" s="541"/>
      <c r="CJ79" s="541"/>
      <c r="CK79" s="541"/>
      <c r="CL79" s="541"/>
      <c r="CM79" s="541"/>
      <c r="CN79" s="541"/>
      <c r="CO79" s="541"/>
      <c r="CP79" s="541"/>
      <c r="CQ79" s="541"/>
      <c r="CR79" s="541"/>
      <c r="CS79" s="541"/>
    </row>
    <row r="80" spans="1:97">
      <c r="A80" s="541"/>
      <c r="B80" s="541"/>
      <c r="C80" s="541" t="s">
        <v>846</v>
      </c>
      <c r="D80" s="541"/>
      <c r="E80" s="161"/>
      <c r="F80" s="162"/>
      <c r="G80" s="162"/>
      <c r="H80" s="144"/>
      <c r="I80" s="544"/>
      <c r="J80" s="161"/>
      <c r="K80" s="162"/>
      <c r="L80" s="162"/>
      <c r="M80" s="144"/>
      <c r="N80" s="544"/>
      <c r="O80" s="161"/>
      <c r="P80" s="162"/>
      <c r="Q80" s="162"/>
      <c r="R80" s="144"/>
      <c r="S80" s="544"/>
      <c r="T80" s="161"/>
      <c r="U80" s="162"/>
      <c r="V80" s="162"/>
      <c r="W80" s="144"/>
      <c r="X80" s="544">
        <v>6</v>
      </c>
      <c r="Y80" s="161">
        <f t="shared" ref="Y80:AB81" si="123">(Y$82/$AC$82)*$AC80</f>
        <v>2.0259044216167932</v>
      </c>
      <c r="Z80" s="162">
        <f t="shared" si="123"/>
        <v>1.9008485931219294</v>
      </c>
      <c r="AA80" s="162">
        <f t="shared" si="123"/>
        <v>2.1348816435908886</v>
      </c>
      <c r="AB80" s="144">
        <f t="shared" si="123"/>
        <v>1.9383653416703885</v>
      </c>
      <c r="AC80" s="544">
        <v>8</v>
      </c>
      <c r="AD80" s="161">
        <f t="shared" si="119"/>
        <v>2.7765082266910417</v>
      </c>
      <c r="AE80" s="162">
        <f t="shared" si="119"/>
        <v>2.5914076782449724</v>
      </c>
      <c r="AF80" s="162">
        <f t="shared" si="119"/>
        <v>2.8130712979890311</v>
      </c>
      <c r="AG80" s="144">
        <f>(AG$82/$AH$82)*$AH80</f>
        <v>2.8190127970749552</v>
      </c>
      <c r="AH80" s="544">
        <v>11</v>
      </c>
      <c r="AI80" s="161">
        <f t="shared" si="102"/>
        <v>3.8741605583110212</v>
      </c>
      <c r="AJ80" s="162">
        <f t="shared" si="102"/>
        <v>3.2366018522582625</v>
      </c>
      <c r="AK80" s="162">
        <f t="shared" si="102"/>
        <v>3.6270684282140189</v>
      </c>
      <c r="AL80" s="144">
        <f t="shared" si="102"/>
        <v>3.1621691612166978</v>
      </c>
      <c r="AM80" s="544">
        <v>13.9</v>
      </c>
      <c r="AN80" s="161">
        <f t="shared" si="101"/>
        <v>2.2072901591895806</v>
      </c>
      <c r="AO80" s="162">
        <f t="shared" si="101"/>
        <v>2.2058814218523879</v>
      </c>
      <c r="AP80" s="162">
        <f t="shared" si="101"/>
        <v>2.5671219247467438</v>
      </c>
      <c r="AQ80" s="144">
        <f t="shared" si="101"/>
        <v>1.9197064942112885</v>
      </c>
      <c r="AR80" s="544">
        <v>8.9</v>
      </c>
      <c r="AS80" s="161">
        <f t="shared" si="120"/>
        <v>2.0649786165229789</v>
      </c>
      <c r="AT80" s="162">
        <f t="shared" si="120"/>
        <v>2.0024438259452855</v>
      </c>
      <c r="AU80" s="162">
        <f t="shared" si="121"/>
        <v>2.2301540968026607</v>
      </c>
      <c r="AV80" s="144">
        <f t="shared" si="122"/>
        <v>2.1024234607290757</v>
      </c>
      <c r="AW80" s="544">
        <v>8.4</v>
      </c>
      <c r="AX80" s="149"/>
      <c r="AY80" s="156"/>
      <c r="AZ80" s="156"/>
      <c r="BA80" s="151"/>
      <c r="BB80" s="543"/>
      <c r="BC80" s="149"/>
      <c r="BD80" s="156"/>
      <c r="BE80" s="156"/>
      <c r="BF80" s="151"/>
      <c r="BG80" s="543"/>
      <c r="BH80" s="149"/>
      <c r="BI80" s="156"/>
      <c r="BJ80" s="156"/>
      <c r="BK80" s="151"/>
      <c r="BL80" s="543"/>
      <c r="BM80" s="149"/>
      <c r="BN80" s="156"/>
      <c r="BO80" s="156"/>
      <c r="BP80" s="151"/>
      <c r="BQ80" s="543"/>
      <c r="BR80" s="541"/>
      <c r="BS80" s="541"/>
      <c r="BT80" s="541"/>
      <c r="BU80" s="541"/>
      <c r="BV80" s="541"/>
      <c r="BW80" s="541"/>
      <c r="BX80" s="541"/>
      <c r="BY80" s="541"/>
      <c r="BZ80" s="541"/>
      <c r="CA80" s="541"/>
      <c r="CB80" s="541"/>
      <c r="CC80" s="541"/>
      <c r="CD80" s="541"/>
      <c r="CE80" s="541"/>
      <c r="CF80" s="541"/>
      <c r="CG80" s="541"/>
      <c r="CH80" s="541"/>
      <c r="CI80" s="541"/>
      <c r="CJ80" s="541"/>
      <c r="CK80" s="541"/>
      <c r="CL80" s="541"/>
      <c r="CM80" s="541"/>
      <c r="CN80" s="541"/>
      <c r="CO80" s="541"/>
      <c r="CP80" s="541"/>
      <c r="CQ80" s="541"/>
      <c r="CR80" s="541"/>
      <c r="CS80" s="541"/>
    </row>
    <row r="81" spans="1:99">
      <c r="A81" s="541"/>
      <c r="B81" s="541"/>
      <c r="C81" s="541" t="s">
        <v>847</v>
      </c>
      <c r="D81" s="541"/>
      <c r="E81" s="161"/>
      <c r="F81" s="162"/>
      <c r="G81" s="162"/>
      <c r="H81" s="144"/>
      <c r="I81" s="544"/>
      <c r="J81" s="161"/>
      <c r="K81" s="162"/>
      <c r="L81" s="162"/>
      <c r="M81" s="144"/>
      <c r="N81" s="544"/>
      <c r="O81" s="161"/>
      <c r="P81" s="162"/>
      <c r="Q81" s="162"/>
      <c r="R81" s="144"/>
      <c r="S81" s="544"/>
      <c r="T81" s="161"/>
      <c r="U81" s="162"/>
      <c r="V81" s="162"/>
      <c r="W81" s="144"/>
      <c r="X81" s="1216">
        <f>+X82-SUM(X78:X80)</f>
        <v>160</v>
      </c>
      <c r="Y81" s="161">
        <f t="shared" si="123"/>
        <v>50.394372487717732</v>
      </c>
      <c r="Z81" s="162">
        <f t="shared" si="123"/>
        <v>47.283608753907998</v>
      </c>
      <c r="AA81" s="162">
        <f t="shared" si="123"/>
        <v>53.105180884323353</v>
      </c>
      <c r="AB81" s="144">
        <f t="shared" si="123"/>
        <v>48.216837874050917</v>
      </c>
      <c r="AC81" s="1216">
        <f>+AC82-SUM(AC78:AC80)</f>
        <v>199</v>
      </c>
      <c r="AD81" s="161">
        <f t="shared" si="119"/>
        <v>65.778003988698771</v>
      </c>
      <c r="AE81" s="162">
        <f t="shared" si="119"/>
        <v>61.392803722785523</v>
      </c>
      <c r="AF81" s="162">
        <f t="shared" si="119"/>
        <v>66.644216386903864</v>
      </c>
      <c r="AG81" s="144">
        <f>(AG$82/$AH$82)*$AH81</f>
        <v>66.784975901612214</v>
      </c>
      <c r="AH81" s="1216">
        <f>+AH82-SUM(AH78:AH80)</f>
        <v>260.60000000000036</v>
      </c>
      <c r="AI81" s="161">
        <f t="shared" si="102"/>
        <v>45.876750208489135</v>
      </c>
      <c r="AJ81" s="162">
        <f t="shared" si="102"/>
        <v>38.326954308036989</v>
      </c>
      <c r="AK81" s="162">
        <f t="shared" si="102"/>
        <v>42.950752754246913</v>
      </c>
      <c r="AL81" s="144">
        <f t="shared" si="102"/>
        <v>37.445542729228237</v>
      </c>
      <c r="AM81" s="1216">
        <f>+AM82-SUM(AM78:AM80)</f>
        <v>164.60000000000127</v>
      </c>
      <c r="AN81" s="161">
        <f t="shared" si="101"/>
        <v>23.362554269175064</v>
      </c>
      <c r="AO81" s="162">
        <f t="shared" si="101"/>
        <v>23.347643813313994</v>
      </c>
      <c r="AP81" s="162">
        <f t="shared" si="101"/>
        <v>27.171110709117169</v>
      </c>
      <c r="AQ81" s="144">
        <f t="shared" si="101"/>
        <v>20.318691208393599</v>
      </c>
      <c r="AR81" s="1216">
        <f>+AR82-SUM(AR78:AR80)</f>
        <v>94.199999999999818</v>
      </c>
      <c r="AS81" s="161">
        <f t="shared" si="120"/>
        <v>22.223103206390288</v>
      </c>
      <c r="AT81" s="162">
        <f t="shared" si="120"/>
        <v>21.550109745887486</v>
      </c>
      <c r="AU81" s="162">
        <f t="shared" si="121"/>
        <v>24.000705994162111</v>
      </c>
      <c r="AV81" s="144">
        <f t="shared" si="122"/>
        <v>22.626081053560664</v>
      </c>
      <c r="AW81" s="1216">
        <f>+AW82-SUM(AW78:AW80)</f>
        <v>90.400000000000546</v>
      </c>
      <c r="AX81" s="149"/>
      <c r="AY81" s="156"/>
      <c r="AZ81" s="156"/>
      <c r="BA81" s="151"/>
      <c r="BB81" s="543"/>
      <c r="BC81" s="149"/>
      <c r="BD81" s="156"/>
      <c r="BE81" s="156"/>
      <c r="BF81" s="151"/>
      <c r="BG81" s="543"/>
      <c r="BH81" s="149"/>
      <c r="BI81" s="156"/>
      <c r="BJ81" s="156"/>
      <c r="BK81" s="151"/>
      <c r="BL81" s="543"/>
      <c r="BM81" s="149"/>
      <c r="BN81" s="156"/>
      <c r="BO81" s="156"/>
      <c r="BP81" s="151"/>
      <c r="BQ81" s="543"/>
      <c r="BR81" s="541"/>
      <c r="BS81" s="541"/>
      <c r="BT81" s="541"/>
      <c r="BU81" s="541"/>
      <c r="BV81" s="541"/>
      <c r="BW81" s="541"/>
      <c r="BX81" s="541"/>
      <c r="BY81" s="541"/>
      <c r="BZ81" s="541"/>
      <c r="CA81" s="541"/>
      <c r="CB81" s="541"/>
      <c r="CC81" s="541"/>
      <c r="CD81" s="541"/>
      <c r="CE81" s="541"/>
      <c r="CF81" s="541"/>
      <c r="CG81" s="541"/>
      <c r="CH81" s="541"/>
      <c r="CI81" s="541"/>
      <c r="CJ81" s="541"/>
      <c r="CK81" s="541"/>
      <c r="CL81" s="541"/>
      <c r="CM81" s="541"/>
      <c r="CN81" s="541"/>
      <c r="CO81" s="541"/>
      <c r="CP81" s="541"/>
      <c r="CQ81" s="541"/>
      <c r="CR81" s="541"/>
      <c r="CS81" s="541"/>
    </row>
    <row r="82" spans="1:99" s="56" customFormat="1">
      <c r="A82" s="545"/>
      <c r="B82" s="545"/>
      <c r="C82" s="545" t="s">
        <v>879</v>
      </c>
      <c r="D82" s="545"/>
      <c r="E82" s="149"/>
      <c r="F82" s="156"/>
      <c r="G82" s="156"/>
      <c r="H82" s="151"/>
      <c r="I82" s="489"/>
      <c r="J82" s="149"/>
      <c r="K82" s="156"/>
      <c r="L82" s="156"/>
      <c r="M82" s="151"/>
      <c r="N82" s="489"/>
      <c r="O82" s="149"/>
      <c r="P82" s="156"/>
      <c r="Q82" s="156"/>
      <c r="R82" s="151"/>
      <c r="S82" s="489"/>
      <c r="T82" s="149"/>
      <c r="U82" s="156"/>
      <c r="V82" s="156"/>
      <c r="W82" s="151"/>
      <c r="X82" s="489">
        <f>X8</f>
        <v>4819</v>
      </c>
      <c r="Y82" s="149">
        <f>Y8</f>
        <v>1134</v>
      </c>
      <c r="Z82" s="156">
        <f t="shared" ref="Z82:AF82" si="124">Z8</f>
        <v>1064</v>
      </c>
      <c r="AA82" s="156">
        <f t="shared" si="124"/>
        <v>1195</v>
      </c>
      <c r="AB82" s="151">
        <f t="shared" si="124"/>
        <v>1085</v>
      </c>
      <c r="AC82" s="489">
        <f t="shared" si="124"/>
        <v>4478</v>
      </c>
      <c r="AD82" s="149">
        <f t="shared" si="124"/>
        <v>1215</v>
      </c>
      <c r="AE82" s="156">
        <f t="shared" si="124"/>
        <v>1134</v>
      </c>
      <c r="AF82" s="156">
        <f t="shared" si="124"/>
        <v>1231</v>
      </c>
      <c r="AG82" s="151">
        <f t="shared" ref="AG82:AM82" si="125">AG8</f>
        <v>1233.6000000000004</v>
      </c>
      <c r="AH82" s="489">
        <f t="shared" si="125"/>
        <v>4813.6000000000004</v>
      </c>
      <c r="AI82" s="149">
        <f t="shared" si="125"/>
        <v>1270</v>
      </c>
      <c r="AJ82" s="156">
        <f>AJ8</f>
        <v>1061</v>
      </c>
      <c r="AK82" s="156">
        <f>AK8</f>
        <v>1189</v>
      </c>
      <c r="AL82" s="151">
        <f>AL8</f>
        <v>1036.6000000000004</v>
      </c>
      <c r="AM82" s="489">
        <f t="shared" si="125"/>
        <v>4556.6000000000004</v>
      </c>
      <c r="AN82" s="149">
        <f t="shared" ref="AN82:AR82" si="126">AN8</f>
        <v>1096.8</v>
      </c>
      <c r="AO82" s="156">
        <f t="shared" si="126"/>
        <v>1096.0999999999999</v>
      </c>
      <c r="AP82" s="156">
        <f t="shared" si="126"/>
        <v>1275.5999999999999</v>
      </c>
      <c r="AQ82" s="151">
        <f t="shared" si="126"/>
        <v>953.90000000000009</v>
      </c>
      <c r="AR82" s="489">
        <f t="shared" si="126"/>
        <v>4422.3999999999996</v>
      </c>
      <c r="AS82" s="149">
        <f t="shared" ref="AS82:AV82" si="127">AS8</f>
        <v>1086.4000000000001</v>
      </c>
      <c r="AT82" s="156">
        <f t="shared" si="127"/>
        <v>1053.5</v>
      </c>
      <c r="AU82" s="156">
        <f t="shared" si="127"/>
        <v>1173.3</v>
      </c>
      <c r="AV82" s="151">
        <f t="shared" si="127"/>
        <v>1106.1000000000004</v>
      </c>
      <c r="AW82" s="489">
        <f t="shared" ref="AW82" si="128">AW8</f>
        <v>4419.3</v>
      </c>
      <c r="AX82" s="149">
        <f>+AX91*AX96/1000</f>
        <v>1098.0767804878049</v>
      </c>
      <c r="AY82" s="156">
        <f>+AY91*AY96/1000</f>
        <v>1057.1900097054713</v>
      </c>
      <c r="AZ82" s="156">
        <f>+AZ91*AZ96/1000</f>
        <v>1179.4223694186662</v>
      </c>
      <c r="BA82" s="151">
        <f>+BA91*BA96/1000</f>
        <v>1090.5269985096468</v>
      </c>
      <c r="BB82" s="489">
        <f>SUM(AX82:BA82)</f>
        <v>4425.2161581215896</v>
      </c>
      <c r="BC82" s="149">
        <f>+BC91*BC96/1000</f>
        <v>1133.4767804878049</v>
      </c>
      <c r="BD82" s="156">
        <f>+BD91*BD96/1000</f>
        <v>1093.6400097054714</v>
      </c>
      <c r="BE82" s="156">
        <f>+BE91*BE96/1000</f>
        <v>1222.1723694186662</v>
      </c>
      <c r="BF82" s="151">
        <f>+BF91*BF96/1000</f>
        <v>1125.9269985096469</v>
      </c>
      <c r="BG82" s="489">
        <f>SUM(BC82:BF82)</f>
        <v>4575.2161581215896</v>
      </c>
      <c r="BH82" s="149">
        <f>+BH91*BH96/1000</f>
        <v>1172.426780487805</v>
      </c>
      <c r="BI82" s="156">
        <f>+BI91*BI96/1000</f>
        <v>1133.7400097054713</v>
      </c>
      <c r="BJ82" s="156">
        <f>+BJ91*BJ96/1000</f>
        <v>1269.1723694186662</v>
      </c>
      <c r="BK82" s="151">
        <f>+BK91*BK96/1000</f>
        <v>1164.8769985096469</v>
      </c>
      <c r="BL82" s="489">
        <f>SUM(BH82:BK82)</f>
        <v>4740.2161581215896</v>
      </c>
      <c r="BM82" s="149">
        <f>+BM91*BM96/1000</f>
        <v>1204.4767804878049</v>
      </c>
      <c r="BN82" s="156">
        <f>+BN91*BN96/1000</f>
        <v>1166.6400097054714</v>
      </c>
      <c r="BO82" s="156">
        <f>+BO91*BO96/1000</f>
        <v>1307.1723694186662</v>
      </c>
      <c r="BP82" s="151">
        <f>+BP91*BP96/1000</f>
        <v>1196.9269985096469</v>
      </c>
      <c r="BQ82" s="489">
        <f>SUM(BM82:BP82)</f>
        <v>4875.2161581215896</v>
      </c>
      <c r="BR82" s="545"/>
      <c r="BS82" s="545"/>
      <c r="BT82" s="545"/>
      <c r="BU82" s="545"/>
      <c r="BV82" s="545"/>
      <c r="BW82" s="545"/>
      <c r="BX82" s="545"/>
      <c r="BY82" s="545"/>
      <c r="BZ82" s="545"/>
      <c r="CA82" s="545"/>
      <c r="CB82" s="545"/>
      <c r="CC82" s="545"/>
      <c r="CD82" s="545"/>
      <c r="CE82" s="545"/>
      <c r="CF82" s="545"/>
      <c r="CG82" s="545"/>
      <c r="CH82" s="545"/>
      <c r="CI82" s="545"/>
      <c r="CJ82" s="545"/>
      <c r="CK82" s="545"/>
      <c r="CL82" s="545"/>
      <c r="CM82" s="545"/>
      <c r="CN82" s="545"/>
      <c r="CO82" s="545"/>
      <c r="CP82" s="545"/>
      <c r="CQ82" s="545"/>
      <c r="CR82" s="545"/>
      <c r="CS82" s="545"/>
    </row>
    <row r="83" spans="1:99">
      <c r="A83" s="541"/>
      <c r="B83" s="541"/>
      <c r="C83" s="541"/>
      <c r="D83" s="541"/>
      <c r="E83" s="161"/>
      <c r="F83" s="162"/>
      <c r="G83" s="162"/>
      <c r="H83" s="144"/>
      <c r="I83" s="546"/>
      <c r="J83" s="161"/>
      <c r="K83" s="162"/>
      <c r="L83" s="162"/>
      <c r="M83" s="144"/>
      <c r="N83" s="546"/>
      <c r="O83" s="161"/>
      <c r="P83" s="162"/>
      <c r="Q83" s="162"/>
      <c r="R83" s="144"/>
      <c r="S83" s="546"/>
      <c r="T83" s="161"/>
      <c r="U83" s="162"/>
      <c r="V83" s="162"/>
      <c r="W83" s="144"/>
      <c r="X83" s="546"/>
      <c r="Y83" s="161"/>
      <c r="Z83" s="162"/>
      <c r="AA83" s="162"/>
      <c r="AB83" s="144"/>
      <c r="AC83" s="546"/>
      <c r="AD83" s="161"/>
      <c r="AE83" s="162"/>
      <c r="AF83" s="162"/>
      <c r="AG83" s="144"/>
      <c r="AH83" s="546"/>
      <c r="AI83" s="161"/>
      <c r="AJ83" s="162"/>
      <c r="AK83" s="162"/>
      <c r="AL83" s="144"/>
      <c r="AM83" s="546"/>
      <c r="AN83" s="161"/>
      <c r="AO83" s="162"/>
      <c r="AP83" s="162"/>
      <c r="AQ83" s="144"/>
      <c r="AR83" s="546"/>
      <c r="AS83" s="161"/>
      <c r="AT83" s="162"/>
      <c r="AU83" s="162"/>
      <c r="AV83" s="144"/>
      <c r="AW83" s="546"/>
      <c r="AX83" s="161"/>
      <c r="AY83" s="162"/>
      <c r="AZ83" s="162"/>
      <c r="BA83" s="144"/>
      <c r="BB83" s="546"/>
      <c r="BC83" s="161"/>
      <c r="BD83" s="162"/>
      <c r="BE83" s="162"/>
      <c r="BF83" s="144"/>
      <c r="BG83" s="546"/>
      <c r="BH83" s="161"/>
      <c r="BI83" s="162"/>
      <c r="BJ83" s="162"/>
      <c r="BK83" s="144"/>
      <c r="BL83" s="546"/>
      <c r="BM83" s="161"/>
      <c r="BN83" s="162"/>
      <c r="BO83" s="162"/>
      <c r="BP83" s="144"/>
      <c r="BQ83" s="546"/>
      <c r="BR83" s="541"/>
      <c r="BS83" s="541"/>
      <c r="BT83" s="541"/>
      <c r="BU83" s="541"/>
      <c r="BV83" s="541"/>
      <c r="BW83" s="541"/>
      <c r="BX83" s="541"/>
      <c r="BY83" s="541"/>
      <c r="BZ83" s="541"/>
      <c r="CA83" s="541"/>
      <c r="CB83" s="541"/>
      <c r="CC83" s="541"/>
      <c r="CD83" s="541"/>
      <c r="CE83" s="541"/>
      <c r="CF83" s="541"/>
      <c r="CG83" s="541"/>
      <c r="CH83" s="541"/>
      <c r="CI83" s="541"/>
      <c r="CJ83" s="541"/>
      <c r="CK83" s="541"/>
      <c r="CL83" s="541"/>
      <c r="CM83" s="541"/>
      <c r="CN83" s="541"/>
      <c r="CO83" s="541"/>
      <c r="CP83" s="541"/>
      <c r="CQ83" s="541"/>
      <c r="CR83" s="541"/>
      <c r="CS83" s="541"/>
    </row>
    <row r="84" spans="1:99">
      <c r="A84" s="74"/>
      <c r="B84" s="74"/>
      <c r="C84" s="515" t="s">
        <v>205</v>
      </c>
      <c r="D84" s="72"/>
      <c r="E84" s="149"/>
      <c r="F84" s="156"/>
      <c r="G84" s="156"/>
      <c r="H84" s="151"/>
      <c r="I84" s="546"/>
      <c r="J84" s="161"/>
      <c r="K84" s="162"/>
      <c r="L84" s="162"/>
      <c r="M84" s="144"/>
      <c r="N84" s="546"/>
      <c r="O84" s="161"/>
      <c r="P84" s="162"/>
      <c r="Q84" s="162"/>
      <c r="R84" s="151"/>
      <c r="S84" s="112"/>
      <c r="T84" s="161"/>
      <c r="U84" s="162"/>
      <c r="V84" s="162"/>
      <c r="W84" s="151"/>
      <c r="X84" s="112"/>
      <c r="Y84" s="161"/>
      <c r="Z84" s="156"/>
      <c r="AA84" s="162"/>
      <c r="AB84" s="151"/>
      <c r="AC84" s="112"/>
      <c r="AD84" s="149"/>
      <c r="AE84" s="156"/>
      <c r="AF84" s="156"/>
      <c r="AG84" s="151"/>
      <c r="AH84" s="112"/>
      <c r="AI84" s="149"/>
      <c r="AJ84" s="156"/>
      <c r="AK84" s="156"/>
      <c r="AL84" s="151"/>
      <c r="AM84" s="112"/>
      <c r="AN84" s="149"/>
      <c r="AO84" s="156"/>
      <c r="AP84" s="156"/>
      <c r="AQ84" s="151"/>
      <c r="AR84" s="112"/>
      <c r="AS84" s="149"/>
      <c r="AT84" s="156"/>
      <c r="AU84" s="156"/>
      <c r="AV84" s="151"/>
      <c r="AW84" s="112"/>
      <c r="AX84" s="149"/>
      <c r="AY84" s="156"/>
      <c r="AZ84" s="156"/>
      <c r="BA84" s="151"/>
      <c r="BB84" s="112"/>
      <c r="BC84" s="149"/>
      <c r="BD84" s="156"/>
      <c r="BE84" s="156"/>
      <c r="BF84" s="151"/>
      <c r="BG84" s="112"/>
      <c r="BH84" s="149"/>
      <c r="BI84" s="156"/>
      <c r="BJ84" s="156"/>
      <c r="BK84" s="151"/>
      <c r="BL84" s="112"/>
      <c r="BM84" s="149"/>
      <c r="BN84" s="156"/>
      <c r="BO84" s="156"/>
      <c r="BP84" s="151"/>
      <c r="BQ84" s="112"/>
      <c r="BR84" s="74"/>
      <c r="BS84" s="74"/>
      <c r="BT84" s="74"/>
      <c r="BU84" s="74"/>
      <c r="BV84" s="74"/>
      <c r="BW84" s="74"/>
      <c r="BX84" s="74"/>
      <c r="BY84" s="74"/>
      <c r="BZ84" s="74"/>
      <c r="CA84" s="74"/>
      <c r="CB84" s="74"/>
      <c r="CC84" s="74"/>
      <c r="CD84" s="74"/>
      <c r="CE84" s="74"/>
      <c r="CF84" s="74"/>
      <c r="CG84" s="74"/>
      <c r="CH84" s="74"/>
      <c r="CI84" s="74"/>
      <c r="CJ84" s="74"/>
      <c r="CK84" s="74"/>
      <c r="CL84" s="74"/>
      <c r="CM84" s="74"/>
      <c r="CN84" s="74"/>
      <c r="CO84" s="74"/>
      <c r="CP84" s="74"/>
      <c r="CQ84" s="74"/>
      <c r="CR84" s="74"/>
      <c r="CS84" s="74"/>
      <c r="CT84" s="74"/>
      <c r="CU84" s="74"/>
    </row>
    <row r="85" spans="1:99">
      <c r="A85" s="74"/>
      <c r="B85" s="74"/>
      <c r="C85" s="50" t="s">
        <v>206</v>
      </c>
      <c r="D85" s="72"/>
      <c r="E85" s="323"/>
      <c r="F85" s="324"/>
      <c r="G85" s="324"/>
      <c r="H85" s="325"/>
      <c r="I85" s="326"/>
      <c r="J85" s="323"/>
      <c r="K85" s="324"/>
      <c r="L85" s="324"/>
      <c r="M85" s="325"/>
      <c r="N85" s="326"/>
      <c r="O85" s="323"/>
      <c r="P85" s="324"/>
      <c r="Q85" s="324"/>
      <c r="R85" s="325"/>
      <c r="S85" s="326"/>
      <c r="T85" s="323"/>
      <c r="U85" s="324"/>
      <c r="V85" s="324"/>
      <c r="W85" s="325"/>
      <c r="X85" s="326">
        <v>25581</v>
      </c>
      <c r="Y85" s="323">
        <v>6466</v>
      </c>
      <c r="Z85" s="324">
        <v>5752</v>
      </c>
      <c r="AA85" s="324">
        <v>7371</v>
      </c>
      <c r="AB85" s="325">
        <f>AC85-SUM(Y85:AA85)</f>
        <v>5942</v>
      </c>
      <c r="AC85" s="326">
        <v>25531</v>
      </c>
      <c r="AD85" s="323">
        <v>7527</v>
      </c>
      <c r="AE85" s="324">
        <v>5559</v>
      </c>
      <c r="AF85" s="324">
        <v>7194</v>
      </c>
      <c r="AG85" s="325">
        <f>AH85-SUM(AD85:AF85)</f>
        <v>5929</v>
      </c>
      <c r="AH85" s="326">
        <v>26209</v>
      </c>
      <c r="AI85" s="323">
        <v>7266</v>
      </c>
      <c r="AJ85" s="324">
        <v>5630</v>
      </c>
      <c r="AK85" s="324">
        <v>7590</v>
      </c>
      <c r="AL85" s="325">
        <f>AM85-SUM(AI85:AK85)</f>
        <v>5249</v>
      </c>
      <c r="AM85" s="326">
        <v>25735</v>
      </c>
      <c r="AN85" s="323">
        <v>6241</v>
      </c>
      <c r="AO85" s="324">
        <v>6009</v>
      </c>
      <c r="AP85" s="324">
        <v>8325</v>
      </c>
      <c r="AQ85" s="325">
        <f>AR85-SUM(AN85:AP85)</f>
        <v>5616</v>
      </c>
      <c r="AR85" s="326">
        <v>26191</v>
      </c>
      <c r="AS85" s="323">
        <v>5894</v>
      </c>
      <c r="AT85" s="324">
        <v>5956</v>
      </c>
      <c r="AU85" s="324">
        <v>7511</v>
      </c>
      <c r="AV85" s="325">
        <f>AW85-SUM(AS85:AU85)</f>
        <v>5747</v>
      </c>
      <c r="AW85" s="326">
        <v>25108</v>
      </c>
      <c r="AX85" s="149"/>
      <c r="AY85" s="156"/>
      <c r="AZ85" s="156"/>
      <c r="BA85" s="151"/>
      <c r="BB85" s="112"/>
      <c r="BC85" s="149"/>
      <c r="BD85" s="156"/>
      <c r="BE85" s="156"/>
      <c r="BF85" s="151"/>
      <c r="BG85" s="112"/>
      <c r="BH85" s="149"/>
      <c r="BI85" s="156"/>
      <c r="BJ85" s="156"/>
      <c r="BK85" s="151"/>
      <c r="BL85" s="112"/>
      <c r="BM85" s="149"/>
      <c r="BN85" s="156"/>
      <c r="BO85" s="156"/>
      <c r="BP85" s="151"/>
      <c r="BQ85" s="112"/>
      <c r="BR85" s="74"/>
      <c r="BS85" s="74"/>
      <c r="BT85" s="74"/>
      <c r="BU85" s="74"/>
      <c r="BV85" s="74"/>
      <c r="BW85" s="74"/>
      <c r="BX85" s="74"/>
      <c r="BY85" s="74"/>
      <c r="BZ85" s="74"/>
      <c r="CA85" s="74"/>
      <c r="CB85" s="74"/>
      <c r="CC85" s="74"/>
      <c r="CD85" s="74"/>
      <c r="CE85" s="74"/>
      <c r="CF85" s="74"/>
      <c r="CG85" s="74"/>
      <c r="CH85" s="74"/>
      <c r="CI85" s="74"/>
      <c r="CJ85" s="74"/>
      <c r="CK85" s="74"/>
      <c r="CL85" s="74"/>
      <c r="CM85" s="74"/>
      <c r="CN85" s="74"/>
      <c r="CO85" s="74"/>
      <c r="CP85" s="74"/>
      <c r="CQ85" s="74"/>
      <c r="CR85" s="74"/>
      <c r="CS85" s="74"/>
      <c r="CT85" s="74"/>
      <c r="CU85" s="74"/>
    </row>
    <row r="86" spans="1:99">
      <c r="A86" s="74"/>
      <c r="B86" s="74"/>
      <c r="C86" s="50" t="s">
        <v>328</v>
      </c>
      <c r="D86" s="72"/>
      <c r="E86" s="323"/>
      <c r="F86" s="324"/>
      <c r="G86" s="324"/>
      <c r="H86" s="325"/>
      <c r="I86" s="326"/>
      <c r="J86" s="323"/>
      <c r="K86" s="324"/>
      <c r="L86" s="324"/>
      <c r="M86" s="325"/>
      <c r="N86" s="326"/>
      <c r="O86" s="323"/>
      <c r="P86" s="324"/>
      <c r="Q86" s="324"/>
      <c r="R86" s="325"/>
      <c r="S86" s="326"/>
      <c r="T86" s="323"/>
      <c r="U86" s="324"/>
      <c r="V86" s="324"/>
      <c r="W86" s="325"/>
      <c r="X86" s="326">
        <v>24746</v>
      </c>
      <c r="Y86" s="323">
        <v>5706</v>
      </c>
      <c r="Z86" s="324">
        <v>6394</v>
      </c>
      <c r="AA86" s="324">
        <v>6827</v>
      </c>
      <c r="AB86" s="325">
        <f>AC86-SUM(Y86:AA86)</f>
        <v>5704</v>
      </c>
      <c r="AC86" s="326">
        <v>24631</v>
      </c>
      <c r="AD86" s="323">
        <v>5902</v>
      </c>
      <c r="AE86" s="324">
        <v>6314</v>
      </c>
      <c r="AF86" s="324">
        <v>6796</v>
      </c>
      <c r="AG86" s="325">
        <f>AH86-SUM(AD86:AF86)</f>
        <v>6295</v>
      </c>
      <c r="AH86" s="326">
        <v>25307</v>
      </c>
      <c r="AI86" s="323">
        <v>5915</v>
      </c>
      <c r="AJ86" s="324">
        <v>6372</v>
      </c>
      <c r="AK86" s="324">
        <v>7033</v>
      </c>
      <c r="AL86" s="325">
        <f>AM86-SUM(AI86:AK86)</f>
        <v>5948</v>
      </c>
      <c r="AM86" s="326">
        <v>25268</v>
      </c>
      <c r="AN86" s="323">
        <v>5787</v>
      </c>
      <c r="AO86" s="324">
        <v>6602</v>
      </c>
      <c r="AP86" s="324">
        <v>7287</v>
      </c>
      <c r="AQ86" s="325">
        <f>AR86-SUM(AN86:AP86)</f>
        <v>6246</v>
      </c>
      <c r="AR86" s="326">
        <v>25922</v>
      </c>
      <c r="AS86" s="323">
        <v>5753</v>
      </c>
      <c r="AT86" s="324">
        <v>6490</v>
      </c>
      <c r="AU86" s="324">
        <v>6941</v>
      </c>
      <c r="AV86" s="325">
        <f>AW86-SUM(AS86:AU86)</f>
        <v>6206</v>
      </c>
      <c r="AW86" s="326">
        <v>25390</v>
      </c>
      <c r="AX86" s="149"/>
      <c r="AY86" s="156"/>
      <c r="AZ86" s="156"/>
      <c r="BA86" s="151"/>
      <c r="BB86" s="112"/>
      <c r="BC86" s="149"/>
      <c r="BD86" s="156"/>
      <c r="BE86" s="156"/>
      <c r="BF86" s="151"/>
      <c r="BG86" s="112"/>
      <c r="BH86" s="149"/>
      <c r="BI86" s="156"/>
      <c r="BJ86" s="156"/>
      <c r="BK86" s="151"/>
      <c r="BL86" s="112"/>
      <c r="BM86" s="149"/>
      <c r="BN86" s="156"/>
      <c r="BO86" s="156"/>
      <c r="BP86" s="151"/>
      <c r="BQ86" s="112"/>
      <c r="BR86" s="74"/>
      <c r="BS86" s="74"/>
      <c r="BT86" s="74"/>
      <c r="BU86" s="74"/>
      <c r="BV86" s="74"/>
      <c r="BW86" s="74"/>
      <c r="BX86" s="74"/>
      <c r="BY86" s="74"/>
      <c r="BZ86" s="74"/>
      <c r="CA86" s="74"/>
      <c r="CB86" s="74"/>
      <c r="CC86" s="74"/>
      <c r="CD86" s="74"/>
      <c r="CE86" s="74"/>
      <c r="CF86" s="74"/>
      <c r="CG86" s="74"/>
      <c r="CH86" s="74"/>
      <c r="CI86" s="74"/>
      <c r="CJ86" s="74"/>
      <c r="CK86" s="74"/>
      <c r="CL86" s="74"/>
      <c r="CM86" s="74"/>
      <c r="CN86" s="74"/>
      <c r="CO86" s="74"/>
      <c r="CP86" s="74"/>
      <c r="CQ86" s="74"/>
      <c r="CR86" s="74"/>
      <c r="CS86" s="74"/>
      <c r="CT86" s="74"/>
      <c r="CU86" s="74"/>
    </row>
    <row r="87" spans="1:99">
      <c r="A87" s="74"/>
      <c r="B87" s="74"/>
      <c r="C87" s="50" t="s">
        <v>329</v>
      </c>
      <c r="D87" s="72"/>
      <c r="E87" s="323"/>
      <c r="F87" s="324"/>
      <c r="G87" s="324"/>
      <c r="H87" s="325"/>
      <c r="I87" s="326"/>
      <c r="J87" s="323"/>
      <c r="K87" s="324"/>
      <c r="L87" s="324"/>
      <c r="M87" s="325"/>
      <c r="N87" s="326"/>
      <c r="O87" s="323"/>
      <c r="P87" s="324"/>
      <c r="Q87" s="324"/>
      <c r="R87" s="325"/>
      <c r="S87" s="326"/>
      <c r="T87" s="323"/>
      <c r="U87" s="324"/>
      <c r="V87" s="324"/>
      <c r="W87" s="325"/>
      <c r="X87" s="326">
        <v>24902</v>
      </c>
      <c r="Y87" s="323">
        <v>5500</v>
      </c>
      <c r="Z87" s="324">
        <v>5895</v>
      </c>
      <c r="AA87" s="324">
        <v>5648</v>
      </c>
      <c r="AB87" s="325">
        <f>AC87-SUM(Y87:AA87)</f>
        <v>5625</v>
      </c>
      <c r="AC87" s="326">
        <v>22668</v>
      </c>
      <c r="AD87" s="323">
        <v>5143</v>
      </c>
      <c r="AE87" s="324">
        <v>5630</v>
      </c>
      <c r="AF87" s="324">
        <v>5489</v>
      </c>
      <c r="AG87" s="325">
        <f>AH87-SUM(AD87:AF87)</f>
        <v>5568</v>
      </c>
      <c r="AH87" s="326">
        <v>21830</v>
      </c>
      <c r="AI87" s="323">
        <v>5280</v>
      </c>
      <c r="AJ87" s="324">
        <v>5809</v>
      </c>
      <c r="AK87" s="324">
        <v>5665</v>
      </c>
      <c r="AL87" s="325">
        <f>AM87-SUM(AI87:AK87)</f>
        <v>5599</v>
      </c>
      <c r="AM87" s="326">
        <v>22353</v>
      </c>
      <c r="AN87" s="323">
        <v>5498</v>
      </c>
      <c r="AO87" s="324">
        <v>5506</v>
      </c>
      <c r="AP87" s="324">
        <v>5518</v>
      </c>
      <c r="AQ87" s="325">
        <f>AR87-SUM(AN87:AP87)</f>
        <v>5657</v>
      </c>
      <c r="AR87" s="326">
        <v>22179</v>
      </c>
      <c r="AS87" s="323">
        <v>5476</v>
      </c>
      <c r="AT87" s="324">
        <v>5941</v>
      </c>
      <c r="AU87" s="324">
        <v>5575</v>
      </c>
      <c r="AV87" s="325">
        <f>AW87-SUM(AS87:AU87)</f>
        <v>6090</v>
      </c>
      <c r="AW87" s="326">
        <v>23082</v>
      </c>
      <c r="AX87" s="149"/>
      <c r="AY87" s="156"/>
      <c r="AZ87" s="156"/>
      <c r="BA87" s="151"/>
      <c r="BB87" s="112"/>
      <c r="BC87" s="149"/>
      <c r="BD87" s="156"/>
      <c r="BE87" s="156"/>
      <c r="BF87" s="151"/>
      <c r="BG87" s="112"/>
      <c r="BH87" s="149"/>
      <c r="BI87" s="156"/>
      <c r="BJ87" s="156"/>
      <c r="BK87" s="151"/>
      <c r="BL87" s="112"/>
      <c r="BM87" s="149"/>
      <c r="BN87" s="156"/>
      <c r="BO87" s="156"/>
      <c r="BP87" s="151"/>
      <c r="BQ87" s="112"/>
      <c r="BR87" s="74"/>
      <c r="BS87" s="74"/>
      <c r="BT87" s="74"/>
      <c r="BU87" s="74"/>
      <c r="BV87" s="74"/>
      <c r="BW87" s="74"/>
      <c r="BX87" s="74"/>
      <c r="BY87" s="74"/>
      <c r="BZ87" s="74"/>
      <c r="CA87" s="74"/>
      <c r="CB87" s="74"/>
      <c r="CC87" s="74"/>
      <c r="CD87" s="74"/>
      <c r="CE87" s="74"/>
      <c r="CF87" s="74"/>
      <c r="CG87" s="74"/>
      <c r="CH87" s="74"/>
      <c r="CI87" s="74"/>
      <c r="CJ87" s="74"/>
      <c r="CK87" s="74"/>
      <c r="CL87" s="74"/>
      <c r="CM87" s="74"/>
      <c r="CN87" s="74"/>
      <c r="CO87" s="74"/>
      <c r="CP87" s="74"/>
      <c r="CQ87" s="74"/>
      <c r="CR87" s="74"/>
      <c r="CS87" s="74"/>
      <c r="CT87" s="74"/>
      <c r="CU87" s="74"/>
    </row>
    <row r="88" spans="1:99">
      <c r="A88" s="74"/>
      <c r="B88" s="74"/>
      <c r="C88" s="541" t="s">
        <v>924</v>
      </c>
      <c r="D88" s="72"/>
      <c r="E88" s="323"/>
      <c r="F88" s="324"/>
      <c r="G88" s="324"/>
      <c r="H88" s="325"/>
      <c r="I88" s="326"/>
      <c r="J88" s="323"/>
      <c r="K88" s="324"/>
      <c r="L88" s="324"/>
      <c r="M88" s="325"/>
      <c r="N88" s="326"/>
      <c r="O88" s="323"/>
      <c r="P88" s="324"/>
      <c r="Q88" s="324"/>
      <c r="R88" s="325"/>
      <c r="S88" s="326"/>
      <c r="T88" s="323"/>
      <c r="U88" s="324"/>
      <c r="V88" s="324"/>
      <c r="W88" s="325"/>
      <c r="X88" s="326">
        <v>716</v>
      </c>
      <c r="Y88" s="323">
        <v>160</v>
      </c>
      <c r="Z88" s="324">
        <v>180</v>
      </c>
      <c r="AA88" s="324">
        <v>195</v>
      </c>
      <c r="AB88" s="325">
        <f>AC88-SUM(Y88:AA88)</f>
        <v>175</v>
      </c>
      <c r="AC88" s="326">
        <v>710</v>
      </c>
      <c r="AD88" s="323">
        <v>171</v>
      </c>
      <c r="AE88" s="324">
        <v>182</v>
      </c>
      <c r="AF88" s="324">
        <v>187</v>
      </c>
      <c r="AG88" s="325">
        <f>AH88-SUM(AD88:AF88)</f>
        <v>173</v>
      </c>
      <c r="AH88" s="326">
        <v>713</v>
      </c>
      <c r="AI88" s="323">
        <v>161</v>
      </c>
      <c r="AJ88" s="324">
        <v>177</v>
      </c>
      <c r="AK88" s="324">
        <v>194</v>
      </c>
      <c r="AL88" s="325">
        <f>AM88-SUM(AI88:AK88)</f>
        <v>170</v>
      </c>
      <c r="AM88" s="326">
        <v>702</v>
      </c>
      <c r="AN88" s="323">
        <v>166</v>
      </c>
      <c r="AO88" s="324">
        <v>175</v>
      </c>
      <c r="AP88" s="324">
        <v>187</v>
      </c>
      <c r="AQ88" s="325">
        <f>AR88-SUM(AN88:AP88)</f>
        <v>172</v>
      </c>
      <c r="AR88" s="326">
        <v>700</v>
      </c>
      <c r="AS88" s="323">
        <v>160</v>
      </c>
      <c r="AT88" s="324">
        <v>171</v>
      </c>
      <c r="AU88" s="324">
        <v>185</v>
      </c>
      <c r="AV88" s="325">
        <f>AW88-SUM(AS88:AU88)</f>
        <v>166</v>
      </c>
      <c r="AW88" s="326">
        <v>682</v>
      </c>
      <c r="AX88" s="149"/>
      <c r="AY88" s="156"/>
      <c r="AZ88" s="156"/>
      <c r="BA88" s="151"/>
      <c r="BB88" s="112"/>
      <c r="BC88" s="149"/>
      <c r="BD88" s="156"/>
      <c r="BE88" s="156"/>
      <c r="BF88" s="151"/>
      <c r="BG88" s="112"/>
      <c r="BH88" s="149"/>
      <c r="BI88" s="156"/>
      <c r="BJ88" s="156"/>
      <c r="BK88" s="151"/>
      <c r="BL88" s="112"/>
      <c r="BM88" s="149"/>
      <c r="BN88" s="156"/>
      <c r="BO88" s="156"/>
      <c r="BP88" s="151"/>
      <c r="BQ88" s="112"/>
      <c r="BR88" s="74"/>
      <c r="BS88" s="74"/>
      <c r="BT88" s="74"/>
      <c r="BU88" s="74"/>
      <c r="BV88" s="74"/>
      <c r="BW88" s="74"/>
      <c r="BX88" s="74"/>
      <c r="BY88" s="74"/>
      <c r="BZ88" s="74"/>
      <c r="CA88" s="74"/>
      <c r="CB88" s="74"/>
      <c r="CC88" s="74"/>
      <c r="CD88" s="74"/>
      <c r="CE88" s="74"/>
      <c r="CF88" s="74"/>
      <c r="CG88" s="74"/>
      <c r="CH88" s="74"/>
      <c r="CI88" s="74"/>
      <c r="CJ88" s="74"/>
      <c r="CK88" s="74"/>
      <c r="CL88" s="74"/>
      <c r="CM88" s="74"/>
      <c r="CN88" s="74"/>
      <c r="CO88" s="74"/>
      <c r="CP88" s="74"/>
      <c r="CQ88" s="74"/>
      <c r="CR88" s="74"/>
      <c r="CS88" s="74"/>
      <c r="CT88" s="74"/>
      <c r="CU88" s="74"/>
    </row>
    <row r="89" spans="1:99" s="508" customFormat="1">
      <c r="A89" s="496"/>
      <c r="B89" s="496"/>
      <c r="C89" s="497" t="s">
        <v>207</v>
      </c>
      <c r="D89" s="498"/>
      <c r="E89" s="499"/>
      <c r="F89" s="500"/>
      <c r="G89" s="500"/>
      <c r="H89" s="501"/>
      <c r="I89" s="502"/>
      <c r="J89" s="499"/>
      <c r="K89" s="500"/>
      <c r="L89" s="500"/>
      <c r="M89" s="501"/>
      <c r="N89" s="505"/>
      <c r="O89" s="499"/>
      <c r="P89" s="500"/>
      <c r="Q89" s="500"/>
      <c r="R89" s="501"/>
      <c r="S89" s="505"/>
      <c r="T89" s="499"/>
      <c r="U89" s="500"/>
      <c r="V89" s="500"/>
      <c r="W89" s="501"/>
      <c r="X89" s="505">
        <f t="shared" ref="X89:AF89" si="129">SUM(X85:X88)</f>
        <v>75945</v>
      </c>
      <c r="Y89" s="499">
        <f t="shared" si="129"/>
        <v>17832</v>
      </c>
      <c r="Z89" s="500">
        <f t="shared" si="129"/>
        <v>18221</v>
      </c>
      <c r="AA89" s="500">
        <f t="shared" si="129"/>
        <v>20041</v>
      </c>
      <c r="AB89" s="501">
        <f t="shared" si="129"/>
        <v>17446</v>
      </c>
      <c r="AC89" s="505">
        <f t="shared" si="129"/>
        <v>73540</v>
      </c>
      <c r="AD89" s="499">
        <f t="shared" si="129"/>
        <v>18743</v>
      </c>
      <c r="AE89" s="500">
        <f t="shared" si="129"/>
        <v>17685</v>
      </c>
      <c r="AF89" s="500">
        <f t="shared" si="129"/>
        <v>19666</v>
      </c>
      <c r="AG89" s="501">
        <f t="shared" ref="AG89:AM89" si="130">SUM(AG85:AG88)</f>
        <v>17965</v>
      </c>
      <c r="AH89" s="505">
        <f t="shared" si="130"/>
        <v>74059</v>
      </c>
      <c r="AI89" s="499">
        <f t="shared" si="130"/>
        <v>18622</v>
      </c>
      <c r="AJ89" s="500">
        <f t="shared" si="130"/>
        <v>17988</v>
      </c>
      <c r="AK89" s="500">
        <f t="shared" si="130"/>
        <v>20482</v>
      </c>
      <c r="AL89" s="501">
        <f t="shared" si="130"/>
        <v>16966</v>
      </c>
      <c r="AM89" s="505">
        <f t="shared" si="130"/>
        <v>74058</v>
      </c>
      <c r="AN89" s="499">
        <f t="shared" ref="AN89:AU89" si="131">SUM(AN85:AN88)</f>
        <v>17692</v>
      </c>
      <c r="AO89" s="500">
        <f t="shared" si="131"/>
        <v>18292</v>
      </c>
      <c r="AP89" s="500">
        <f t="shared" si="131"/>
        <v>21317</v>
      </c>
      <c r="AQ89" s="501">
        <f t="shared" si="131"/>
        <v>17691</v>
      </c>
      <c r="AR89" s="505">
        <f t="shared" si="131"/>
        <v>74992</v>
      </c>
      <c r="AS89" s="499">
        <f t="shared" si="131"/>
        <v>17283</v>
      </c>
      <c r="AT89" s="500">
        <f t="shared" si="131"/>
        <v>18558</v>
      </c>
      <c r="AU89" s="500">
        <f t="shared" si="131"/>
        <v>20212</v>
      </c>
      <c r="AV89" s="501">
        <f t="shared" ref="AV89:AW89" si="132">SUM(AV85:AV88)</f>
        <v>18209</v>
      </c>
      <c r="AW89" s="505">
        <f t="shared" si="132"/>
        <v>74262</v>
      </c>
      <c r="AX89" s="506">
        <f>AS89*(1+AX48)</f>
        <v>17542.244999999999</v>
      </c>
      <c r="AY89" s="503">
        <f>AT89*(1+AY48)</f>
        <v>18697.185000000001</v>
      </c>
      <c r="AZ89" s="503">
        <f>AU89*(1+AZ48)</f>
        <v>20373.696</v>
      </c>
      <c r="BA89" s="504">
        <f>AV89*(1+BA48)</f>
        <v>17935.864999999998</v>
      </c>
      <c r="BB89" s="505">
        <f>SUM(AX89:BA89)</f>
        <v>74548.991000000009</v>
      </c>
      <c r="BC89" s="506">
        <f>AX89*(1+BC48)</f>
        <v>17542.244999999999</v>
      </c>
      <c r="BD89" s="503">
        <f>AY89*(1+BD48)</f>
        <v>18697.185000000001</v>
      </c>
      <c r="BE89" s="503">
        <f>AZ89*(1+BE48)</f>
        <v>20373.696</v>
      </c>
      <c r="BF89" s="504">
        <f>BA89*(1+BF48)</f>
        <v>17935.864999999998</v>
      </c>
      <c r="BG89" s="505">
        <f>SUM(BC89:BF89)</f>
        <v>74548.991000000009</v>
      </c>
      <c r="BH89" s="506">
        <f>BC89*(1+BH48)</f>
        <v>17542.244999999999</v>
      </c>
      <c r="BI89" s="503">
        <f>BD89*(1+BI48)</f>
        <v>18697.185000000001</v>
      </c>
      <c r="BJ89" s="503">
        <f>BE89*(1+BJ48)</f>
        <v>20373.696</v>
      </c>
      <c r="BK89" s="504">
        <f>BF89*(1+BK48)</f>
        <v>17935.864999999998</v>
      </c>
      <c r="BL89" s="505">
        <f>SUM(BH89:BK89)</f>
        <v>74548.991000000009</v>
      </c>
      <c r="BM89" s="506">
        <f>BH89*(1+BM48)</f>
        <v>17542.244999999999</v>
      </c>
      <c r="BN89" s="503">
        <f>BI89*(1+BN48)</f>
        <v>18697.185000000001</v>
      </c>
      <c r="BO89" s="503">
        <f>BJ89*(1+BO48)</f>
        <v>20373.696</v>
      </c>
      <c r="BP89" s="504">
        <f>BK89*(1+BP48)</f>
        <v>17935.864999999998</v>
      </c>
      <c r="BQ89" s="505">
        <f>SUM(BM89:BP89)</f>
        <v>74548.991000000009</v>
      </c>
      <c r="BR89" s="507"/>
      <c r="BS89" s="507"/>
      <c r="BT89" s="507"/>
      <c r="BU89" s="507"/>
      <c r="BV89" s="507"/>
      <c r="BW89" s="507"/>
      <c r="BX89" s="507"/>
      <c r="BY89" s="507"/>
      <c r="BZ89" s="507"/>
      <c r="CA89" s="507"/>
      <c r="CB89" s="507"/>
      <c r="CC89" s="507"/>
      <c r="CD89" s="507"/>
      <c r="CE89" s="507"/>
      <c r="CF89" s="507"/>
      <c r="CG89" s="507"/>
      <c r="CH89" s="507"/>
      <c r="CI89" s="507"/>
      <c r="CJ89" s="507"/>
      <c r="CK89" s="507"/>
      <c r="CL89" s="507"/>
      <c r="CM89" s="507"/>
      <c r="CN89" s="507"/>
      <c r="CO89" s="507"/>
      <c r="CP89" s="507"/>
      <c r="CQ89" s="507"/>
      <c r="CR89" s="507"/>
      <c r="CS89" s="507"/>
      <c r="CT89" s="507"/>
      <c r="CU89" s="507"/>
    </row>
    <row r="90" spans="1:99" s="50" customFormat="1">
      <c r="A90" s="242"/>
      <c r="B90" s="242"/>
      <c r="C90" s="50" t="s">
        <v>347</v>
      </c>
      <c r="D90" s="109"/>
      <c r="E90" s="323"/>
      <c r="F90" s="324"/>
      <c r="G90" s="324"/>
      <c r="H90" s="325"/>
      <c r="I90" s="326"/>
      <c r="J90" s="323"/>
      <c r="K90" s="324"/>
      <c r="L90" s="324"/>
      <c r="M90" s="325"/>
      <c r="N90" s="326"/>
      <c r="O90" s="323"/>
      <c r="P90" s="324"/>
      <c r="Q90" s="324"/>
      <c r="R90" s="325"/>
      <c r="S90" s="326"/>
      <c r="T90" s="323"/>
      <c r="U90" s="324"/>
      <c r="V90" s="324"/>
      <c r="W90" s="325"/>
      <c r="X90" s="326">
        <v>8</v>
      </c>
      <c r="Y90" s="1289">
        <f>+AC90/4</f>
        <v>2</v>
      </c>
      <c r="Z90" s="1290">
        <f>+Y90</f>
        <v>2</v>
      </c>
      <c r="AA90" s="1290">
        <f>+Z90</f>
        <v>2</v>
      </c>
      <c r="AB90" s="325">
        <f>+AA90</f>
        <v>2</v>
      </c>
      <c r="AC90" s="326">
        <v>8</v>
      </c>
      <c r="AD90" s="323">
        <v>700</v>
      </c>
      <c r="AE90" s="324">
        <v>453</v>
      </c>
      <c r="AF90" s="324">
        <v>575</v>
      </c>
      <c r="AG90" s="325">
        <f>AH90-SUM(AD90:AF90)</f>
        <v>470</v>
      </c>
      <c r="AH90" s="326">
        <v>2198</v>
      </c>
      <c r="AI90" s="323">
        <v>534</v>
      </c>
      <c r="AJ90" s="324">
        <v>429</v>
      </c>
      <c r="AK90" s="324">
        <v>497</v>
      </c>
      <c r="AL90" s="325">
        <f>AM90-SUM(AI90:AK90)</f>
        <v>241</v>
      </c>
      <c r="AM90" s="326">
        <v>1701</v>
      </c>
      <c r="AN90" s="323">
        <v>323</v>
      </c>
      <c r="AO90" s="324">
        <v>412</v>
      </c>
      <c r="AP90" s="324">
        <v>654</v>
      </c>
      <c r="AQ90" s="325">
        <f>AR90-SUM(AN90:AP90)</f>
        <v>499</v>
      </c>
      <c r="AR90" s="326">
        <v>1888</v>
      </c>
      <c r="AS90" s="323">
        <v>798</v>
      </c>
      <c r="AT90" s="324">
        <v>761</v>
      </c>
      <c r="AU90" s="324">
        <v>585</v>
      </c>
      <c r="AV90" s="325">
        <f>AW90-SUM(AS90:AU90)</f>
        <v>243</v>
      </c>
      <c r="AW90" s="326">
        <v>2387</v>
      </c>
      <c r="AX90" s="161">
        <f>+AS90</f>
        <v>798</v>
      </c>
      <c r="AY90" s="162">
        <f>+AT90</f>
        <v>761</v>
      </c>
      <c r="AZ90" s="162">
        <f>+AU90</f>
        <v>585</v>
      </c>
      <c r="BA90" s="144">
        <f>+AV90</f>
        <v>243</v>
      </c>
      <c r="BB90" s="109">
        <f>SUM(AX90:BA90)</f>
        <v>2387</v>
      </c>
      <c r="BC90" s="161">
        <f>+AX90</f>
        <v>798</v>
      </c>
      <c r="BD90" s="162">
        <f>+AY90</f>
        <v>761</v>
      </c>
      <c r="BE90" s="162">
        <f>+AZ90</f>
        <v>585</v>
      </c>
      <c r="BF90" s="144">
        <f>+BA90</f>
        <v>243</v>
      </c>
      <c r="BG90" s="109">
        <f>SUM(BC90:BF90)</f>
        <v>2387</v>
      </c>
      <c r="BH90" s="161">
        <f>+BC90</f>
        <v>798</v>
      </c>
      <c r="BI90" s="162">
        <f>+BD90</f>
        <v>761</v>
      </c>
      <c r="BJ90" s="162">
        <f>+BE90</f>
        <v>585</v>
      </c>
      <c r="BK90" s="144">
        <f>+BF90</f>
        <v>243</v>
      </c>
      <c r="BL90" s="109">
        <f>SUM(BH90:BK90)</f>
        <v>2387</v>
      </c>
      <c r="BM90" s="161">
        <f>+BH90</f>
        <v>798</v>
      </c>
      <c r="BN90" s="162">
        <f>+BI90</f>
        <v>761</v>
      </c>
      <c r="BO90" s="162">
        <f>+BJ90</f>
        <v>585</v>
      </c>
      <c r="BP90" s="144">
        <f>+BK90</f>
        <v>243</v>
      </c>
      <c r="BQ90" s="109">
        <f>SUM(BM90:BP90)</f>
        <v>2387</v>
      </c>
      <c r="BR90" s="242"/>
      <c r="BS90" s="242"/>
      <c r="BT90" s="242"/>
      <c r="BU90" s="242"/>
      <c r="BV90" s="242"/>
      <c r="BW90" s="242"/>
      <c r="BX90" s="242"/>
      <c r="BY90" s="242"/>
      <c r="BZ90" s="242"/>
      <c r="CA90" s="242"/>
      <c r="CB90" s="242"/>
      <c r="CC90" s="242"/>
      <c r="CD90" s="242"/>
      <c r="CE90" s="242"/>
      <c r="CF90" s="242"/>
      <c r="CG90" s="242"/>
      <c r="CH90" s="242"/>
      <c r="CI90" s="242"/>
      <c r="CJ90" s="242"/>
      <c r="CK90" s="242"/>
      <c r="CL90" s="242"/>
      <c r="CM90" s="242"/>
      <c r="CN90" s="242"/>
      <c r="CO90" s="242"/>
      <c r="CP90" s="242"/>
      <c r="CQ90" s="242"/>
      <c r="CR90" s="242"/>
      <c r="CS90" s="242"/>
      <c r="CT90" s="242"/>
      <c r="CU90" s="242"/>
    </row>
    <row r="91" spans="1:99">
      <c r="A91" s="74"/>
      <c r="B91" s="74"/>
      <c r="C91" s="56" t="s">
        <v>208</v>
      </c>
      <c r="D91" s="72"/>
      <c r="E91" s="149"/>
      <c r="F91" s="150"/>
      <c r="G91" s="150"/>
      <c r="H91" s="151"/>
      <c r="I91" s="112"/>
      <c r="J91" s="149"/>
      <c r="K91" s="150"/>
      <c r="L91" s="150"/>
      <c r="M91" s="501"/>
      <c r="N91" s="112"/>
      <c r="O91" s="149"/>
      <c r="P91" s="150"/>
      <c r="Q91" s="150"/>
      <c r="R91" s="501"/>
      <c r="S91" s="112"/>
      <c r="T91" s="149"/>
      <c r="U91" s="150"/>
      <c r="V91" s="150"/>
      <c r="W91" s="501"/>
      <c r="X91" s="112">
        <f t="shared" ref="X91:AF91" si="133">SUM(X89:X90)</f>
        <v>75953</v>
      </c>
      <c r="Y91" s="149">
        <f t="shared" si="133"/>
        <v>17834</v>
      </c>
      <c r="Z91" s="150">
        <f t="shared" si="133"/>
        <v>18223</v>
      </c>
      <c r="AA91" s="150">
        <f t="shared" si="133"/>
        <v>20043</v>
      </c>
      <c r="AB91" s="501">
        <f t="shared" si="133"/>
        <v>17448</v>
      </c>
      <c r="AC91" s="112">
        <f t="shared" si="133"/>
        <v>73548</v>
      </c>
      <c r="AD91" s="149">
        <f t="shared" si="133"/>
        <v>19443</v>
      </c>
      <c r="AE91" s="150">
        <f t="shared" si="133"/>
        <v>18138</v>
      </c>
      <c r="AF91" s="150">
        <f t="shared" si="133"/>
        <v>20241</v>
      </c>
      <c r="AG91" s="501">
        <f t="shared" ref="AG91:AM91" si="134">SUM(AG89:AG90)</f>
        <v>18435</v>
      </c>
      <c r="AH91" s="112">
        <f t="shared" si="134"/>
        <v>76257</v>
      </c>
      <c r="AI91" s="149">
        <f t="shared" si="134"/>
        <v>19156</v>
      </c>
      <c r="AJ91" s="150">
        <f t="shared" si="134"/>
        <v>18417</v>
      </c>
      <c r="AK91" s="150">
        <f t="shared" si="134"/>
        <v>20979</v>
      </c>
      <c r="AL91" s="501">
        <f t="shared" si="134"/>
        <v>17207</v>
      </c>
      <c r="AM91" s="112">
        <f t="shared" si="134"/>
        <v>75759</v>
      </c>
      <c r="AN91" s="149">
        <f t="shared" ref="AN91:AU91" si="135">SUM(AN89:AN90)</f>
        <v>18015</v>
      </c>
      <c r="AO91" s="150">
        <f t="shared" si="135"/>
        <v>18704</v>
      </c>
      <c r="AP91" s="150">
        <f t="shared" si="135"/>
        <v>21971</v>
      </c>
      <c r="AQ91" s="501">
        <f t="shared" si="135"/>
        <v>18190</v>
      </c>
      <c r="AR91" s="112">
        <f t="shared" si="135"/>
        <v>76880</v>
      </c>
      <c r="AS91" s="149">
        <f>SUM(AS89:AS90)</f>
        <v>18081</v>
      </c>
      <c r="AT91" s="150">
        <f t="shared" si="135"/>
        <v>19319</v>
      </c>
      <c r="AU91" s="150">
        <f t="shared" si="135"/>
        <v>20797</v>
      </c>
      <c r="AV91" s="501">
        <f t="shared" ref="AV91:AW91" si="136">SUM(AV89:AV90)</f>
        <v>18452</v>
      </c>
      <c r="AW91" s="112">
        <f t="shared" si="136"/>
        <v>76649</v>
      </c>
      <c r="AX91" s="149">
        <f t="shared" ref="AX91:BL91" si="137">SUM(AX89:AX90)</f>
        <v>18340.244999999999</v>
      </c>
      <c r="AY91" s="150">
        <f t="shared" si="137"/>
        <v>19458.185000000001</v>
      </c>
      <c r="AZ91" s="150">
        <f t="shared" si="137"/>
        <v>20958.696</v>
      </c>
      <c r="BA91" s="151">
        <f t="shared" si="137"/>
        <v>18178.864999999998</v>
      </c>
      <c r="BB91" s="112">
        <f t="shared" si="137"/>
        <v>76935.991000000009</v>
      </c>
      <c r="BC91" s="149">
        <f t="shared" si="137"/>
        <v>18340.244999999999</v>
      </c>
      <c r="BD91" s="150">
        <f t="shared" si="137"/>
        <v>19458.185000000001</v>
      </c>
      <c r="BE91" s="150">
        <f t="shared" si="137"/>
        <v>20958.696</v>
      </c>
      <c r="BF91" s="151">
        <f t="shared" si="137"/>
        <v>18178.864999999998</v>
      </c>
      <c r="BG91" s="112">
        <f t="shared" si="137"/>
        <v>76935.991000000009</v>
      </c>
      <c r="BH91" s="149">
        <f t="shared" si="137"/>
        <v>18340.244999999999</v>
      </c>
      <c r="BI91" s="150">
        <f t="shared" si="137"/>
        <v>19458.185000000001</v>
      </c>
      <c r="BJ91" s="150">
        <f t="shared" si="137"/>
        <v>20958.696</v>
      </c>
      <c r="BK91" s="151">
        <f t="shared" si="137"/>
        <v>18178.864999999998</v>
      </c>
      <c r="BL91" s="112">
        <f t="shared" si="137"/>
        <v>76935.991000000009</v>
      </c>
      <c r="BM91" s="149">
        <f>SUM(BM89:BM90)</f>
        <v>18340.244999999999</v>
      </c>
      <c r="BN91" s="150">
        <f>SUM(BN89:BN90)</f>
        <v>19458.185000000001</v>
      </c>
      <c r="BO91" s="150">
        <f>SUM(BO89:BO90)</f>
        <v>20958.696</v>
      </c>
      <c r="BP91" s="151">
        <f>SUM(BP89:BP90)</f>
        <v>18178.864999999998</v>
      </c>
      <c r="BQ91" s="112">
        <f>SUM(BQ89:BQ90)</f>
        <v>76935.991000000009</v>
      </c>
      <c r="BR91" s="74"/>
      <c r="BS91" s="74"/>
      <c r="BT91" s="74"/>
      <c r="BU91" s="74"/>
      <c r="BV91" s="74"/>
      <c r="BW91" s="74"/>
      <c r="BX91" s="74"/>
      <c r="BY91" s="74"/>
      <c r="BZ91" s="74"/>
      <c r="CA91" s="74"/>
      <c r="CB91" s="74"/>
      <c r="CC91" s="74"/>
      <c r="CD91" s="74"/>
      <c r="CE91" s="74"/>
      <c r="CF91" s="74"/>
      <c r="CG91" s="74"/>
      <c r="CH91" s="74"/>
      <c r="CI91" s="74"/>
      <c r="CJ91" s="74"/>
      <c r="CK91" s="74"/>
      <c r="CL91" s="74"/>
      <c r="CM91" s="74"/>
      <c r="CN91" s="74"/>
      <c r="CO91" s="74"/>
      <c r="CP91" s="74"/>
      <c r="CQ91" s="74"/>
      <c r="CR91" s="74"/>
      <c r="CS91" s="74"/>
      <c r="CT91" s="74"/>
      <c r="CU91" s="74"/>
    </row>
    <row r="92" spans="1:99">
      <c r="A92" s="74"/>
      <c r="B92" s="74"/>
      <c r="C92" s="109"/>
      <c r="D92" s="72"/>
      <c r="E92" s="149"/>
      <c r="F92" s="156"/>
      <c r="G92" s="156"/>
      <c r="H92" s="151"/>
      <c r="I92" s="112"/>
      <c r="J92" s="149"/>
      <c r="K92" s="156"/>
      <c r="L92" s="156"/>
      <c r="M92" s="151"/>
      <c r="N92" s="112"/>
      <c r="O92" s="149"/>
      <c r="P92" s="156"/>
      <c r="Q92" s="156"/>
      <c r="R92" s="151"/>
      <c r="S92" s="112"/>
      <c r="T92" s="149"/>
      <c r="U92" s="156"/>
      <c r="V92" s="156"/>
      <c r="W92" s="151"/>
      <c r="X92" s="112"/>
      <c r="Y92" s="149"/>
      <c r="Z92" s="156"/>
      <c r="AA92" s="156"/>
      <c r="AB92" s="151"/>
      <c r="AC92" s="112"/>
      <c r="AD92" s="149"/>
      <c r="AE92" s="156"/>
      <c r="AF92" s="156"/>
      <c r="AG92" s="151"/>
      <c r="AH92" s="112"/>
      <c r="AI92" s="149"/>
      <c r="AJ92" s="156"/>
      <c r="AK92" s="156"/>
      <c r="AL92" s="151"/>
      <c r="AM92" s="112"/>
      <c r="AN92" s="149"/>
      <c r="AO92" s="156"/>
      <c r="AP92" s="156"/>
      <c r="AQ92" s="151"/>
      <c r="AR92" s="112"/>
      <c r="AS92" s="149"/>
      <c r="AT92" s="156"/>
      <c r="AU92" s="156"/>
      <c r="AV92" s="151"/>
      <c r="AW92" s="112"/>
      <c r="AX92" s="149"/>
      <c r="AY92" s="156"/>
      <c r="AZ92" s="156"/>
      <c r="BA92" s="151"/>
      <c r="BB92" s="112"/>
      <c r="BC92" s="149"/>
      <c r="BD92" s="156"/>
      <c r="BE92" s="156"/>
      <c r="BF92" s="151"/>
      <c r="BG92" s="112"/>
      <c r="BH92" s="149"/>
      <c r="BI92" s="156"/>
      <c r="BJ92" s="156"/>
      <c r="BK92" s="151"/>
      <c r="BL92" s="112"/>
      <c r="BM92" s="149"/>
      <c r="BN92" s="156"/>
      <c r="BO92" s="156"/>
      <c r="BP92" s="151"/>
      <c r="BQ92" s="112"/>
      <c r="BR92" s="74"/>
      <c r="BS92" s="74"/>
      <c r="BT92" s="74"/>
      <c r="BU92" s="74"/>
      <c r="BV92" s="74"/>
      <c r="BW92" s="74"/>
      <c r="BX92" s="74"/>
      <c r="BY92" s="74"/>
      <c r="BZ92" s="74"/>
      <c r="CA92" s="74"/>
      <c r="CB92" s="74"/>
      <c r="CC92" s="74"/>
      <c r="CD92" s="74"/>
      <c r="CE92" s="74"/>
      <c r="CF92" s="74"/>
      <c r="CG92" s="74"/>
      <c r="CH92" s="74"/>
      <c r="CI92" s="74"/>
      <c r="CJ92" s="74"/>
      <c r="CK92" s="74"/>
      <c r="CL92" s="74"/>
      <c r="CM92" s="74"/>
      <c r="CN92" s="74"/>
      <c r="CO92" s="74"/>
      <c r="CP92" s="74"/>
      <c r="CQ92" s="74"/>
      <c r="CR92" s="74"/>
      <c r="CS92" s="74"/>
      <c r="CT92" s="74"/>
      <c r="CU92" s="74"/>
    </row>
    <row r="93" spans="1:99">
      <c r="A93" s="50"/>
      <c r="B93" s="50"/>
      <c r="C93" s="50" t="s">
        <v>209</v>
      </c>
      <c r="D93" s="50"/>
      <c r="E93" s="225"/>
      <c r="F93" s="226"/>
      <c r="G93" s="226"/>
      <c r="H93" s="227"/>
      <c r="I93" s="228"/>
      <c r="J93" s="594"/>
      <c r="K93" s="595"/>
      <c r="L93" s="595"/>
      <c r="M93" s="596"/>
      <c r="N93" s="114"/>
      <c r="O93" s="229"/>
      <c r="P93" s="186"/>
      <c r="Q93" s="186"/>
      <c r="R93" s="231"/>
      <c r="S93" s="114"/>
      <c r="T93" s="229"/>
      <c r="U93" s="186"/>
      <c r="V93" s="186"/>
      <c r="W93" s="231"/>
      <c r="X93" s="114"/>
      <c r="Y93" s="229"/>
      <c r="Z93" s="186"/>
      <c r="AA93" s="186"/>
      <c r="AB93" s="231"/>
      <c r="AC93" s="114">
        <f>+AC89/X89-1</f>
        <v>-3.1667654223451192E-2</v>
      </c>
      <c r="AD93" s="229">
        <f>+AD89/Y89-1</f>
        <v>5.1087931807985543E-2</v>
      </c>
      <c r="AE93" s="186">
        <f>+AE89/Z89-1</f>
        <v>-2.9416607211459334E-2</v>
      </c>
      <c r="AF93" s="186">
        <f>+AF89/AA89-1</f>
        <v>-1.8711641135671919E-2</v>
      </c>
      <c r="AG93" s="231">
        <f>+AG89/AB89-1</f>
        <v>2.9748939585005241E-2</v>
      </c>
      <c r="AH93" s="114">
        <f t="shared" ref="AH93:AP93" si="138">+AH89/AC89-1</f>
        <v>7.0573837367418069E-3</v>
      </c>
      <c r="AI93" s="229">
        <f t="shared" si="138"/>
        <v>-6.4557434775649458E-3</v>
      </c>
      <c r="AJ93" s="186">
        <f t="shared" si="138"/>
        <v>1.7133163698049181E-2</v>
      </c>
      <c r="AK93" s="186">
        <f t="shared" si="138"/>
        <v>4.1492931963795332E-2</v>
      </c>
      <c r="AL93" s="231">
        <f t="shared" si="138"/>
        <v>-5.5608126913442857E-2</v>
      </c>
      <c r="AM93" s="114">
        <f t="shared" si="138"/>
        <v>-1.350274780920202E-5</v>
      </c>
      <c r="AN93" s="229">
        <f t="shared" si="138"/>
        <v>-4.9940930082697843E-2</v>
      </c>
      <c r="AO93" s="186">
        <f t="shared" si="138"/>
        <v>1.6900155659328453E-2</v>
      </c>
      <c r="AP93" s="186">
        <f t="shared" si="138"/>
        <v>4.0767503173518183E-2</v>
      </c>
      <c r="AQ93" s="231">
        <f>+AQ89/AL89-1</f>
        <v>4.273252387127191E-2</v>
      </c>
      <c r="AR93" s="114">
        <f>+AR89/AM89-1</f>
        <v>1.2611736746874103E-2</v>
      </c>
      <c r="AS93" s="229">
        <f>+AS89/AN89-1</f>
        <v>-2.3117793352927851E-2</v>
      </c>
      <c r="AT93" s="186">
        <f t="shared" ref="AT93:BB93" si="139">+AT89/AO89-1</f>
        <v>1.4541876230045991E-2</v>
      </c>
      <c r="AU93" s="186">
        <f t="shared" si="139"/>
        <v>-5.1836562368062999E-2</v>
      </c>
      <c r="AV93" s="231">
        <f>+AV89/AQ89-1</f>
        <v>2.928042507489681E-2</v>
      </c>
      <c r="AW93" s="114">
        <f>+AW89/AR89-1</f>
        <v>-9.7343716663110813E-3</v>
      </c>
      <c r="AX93" s="229">
        <f t="shared" si="139"/>
        <v>1.4999999999999902E-2</v>
      </c>
      <c r="AY93" s="230">
        <f t="shared" si="139"/>
        <v>7.5000000000000622E-3</v>
      </c>
      <c r="AZ93" s="230">
        <f t="shared" si="139"/>
        <v>8.0000000000000071E-3</v>
      </c>
      <c r="BA93" s="231">
        <f t="shared" si="139"/>
        <v>-1.5000000000000124E-2</v>
      </c>
      <c r="BB93" s="114">
        <f t="shared" si="139"/>
        <v>3.8645740755705038E-3</v>
      </c>
      <c r="BC93" s="229">
        <f t="shared" ref="BC93:BL93" si="140">+BC89/AX89-1</f>
        <v>0</v>
      </c>
      <c r="BD93" s="230">
        <f t="shared" si="140"/>
        <v>0</v>
      </c>
      <c r="BE93" s="230">
        <f t="shared" si="140"/>
        <v>0</v>
      </c>
      <c r="BF93" s="231">
        <f t="shared" si="140"/>
        <v>0</v>
      </c>
      <c r="BG93" s="114">
        <f t="shared" si="140"/>
        <v>0</v>
      </c>
      <c r="BH93" s="229">
        <f t="shared" si="140"/>
        <v>0</v>
      </c>
      <c r="BI93" s="230">
        <f t="shared" si="140"/>
        <v>0</v>
      </c>
      <c r="BJ93" s="230">
        <f t="shared" si="140"/>
        <v>0</v>
      </c>
      <c r="BK93" s="231">
        <f t="shared" si="140"/>
        <v>0</v>
      </c>
      <c r="BL93" s="114">
        <f t="shared" si="140"/>
        <v>0</v>
      </c>
      <c r="BM93" s="229">
        <f>+BM89/BH89-1</f>
        <v>0</v>
      </c>
      <c r="BN93" s="230">
        <f>+BN89/BI89-1</f>
        <v>0</v>
      </c>
      <c r="BO93" s="230">
        <f>+BO89/BJ89-1</f>
        <v>0</v>
      </c>
      <c r="BP93" s="231">
        <f>+BP89/BK89-1</f>
        <v>0</v>
      </c>
      <c r="BQ93" s="114">
        <f>+BQ89/BL89-1</f>
        <v>0</v>
      </c>
      <c r="BR93" s="50"/>
      <c r="BS93" s="50"/>
      <c r="BT93" s="50"/>
      <c r="BU93" s="50"/>
      <c r="BV93" s="50"/>
      <c r="BW93" s="50"/>
      <c r="BX93" s="50"/>
      <c r="BY93" s="50"/>
      <c r="BZ93" s="50"/>
      <c r="CA93" s="50"/>
      <c r="CB93" s="50"/>
      <c r="CC93" s="50"/>
      <c r="CD93" s="50"/>
      <c r="CE93" s="50"/>
      <c r="CF93" s="50"/>
      <c r="CG93" s="50"/>
      <c r="CH93" s="50"/>
      <c r="CI93" s="50"/>
      <c r="CJ93" s="50"/>
      <c r="CK93" s="50"/>
      <c r="CL93" s="50"/>
      <c r="CM93" s="50"/>
      <c r="CN93" s="50"/>
      <c r="CO93" s="50"/>
      <c r="CP93" s="50"/>
      <c r="CQ93" s="50"/>
      <c r="CR93" s="50"/>
      <c r="CS93" s="50"/>
      <c r="CT93" s="50"/>
      <c r="CU93" s="50"/>
    </row>
    <row r="94" spans="1:99">
      <c r="A94" s="74"/>
      <c r="B94" s="74"/>
      <c r="C94" s="50" t="s">
        <v>574</v>
      </c>
      <c r="D94" s="72"/>
      <c r="E94" s="149"/>
      <c r="F94" s="156"/>
      <c r="G94" s="156"/>
      <c r="H94" s="151"/>
      <c r="I94" s="112"/>
      <c r="J94" s="634"/>
      <c r="K94" s="635"/>
      <c r="L94" s="635"/>
      <c r="M94" s="636"/>
      <c r="N94" s="109"/>
      <c r="O94" s="634"/>
      <c r="P94" s="635"/>
      <c r="Q94" s="635"/>
      <c r="R94" s="636"/>
      <c r="S94" s="112"/>
      <c r="T94" s="634"/>
      <c r="U94" s="635"/>
      <c r="V94" s="635"/>
      <c r="W94" s="636"/>
      <c r="X94" s="112"/>
      <c r="Y94" s="634">
        <f>Y91/$AC91</f>
        <v>0.24248110077772339</v>
      </c>
      <c r="Z94" s="635">
        <f>Z91/$AC91</f>
        <v>0.24777016370261598</v>
      </c>
      <c r="AA94" s="635">
        <f>AA91/$AC91</f>
        <v>0.27251590797846303</v>
      </c>
      <c r="AB94" s="636">
        <f>AB91/$AC91</f>
        <v>0.23723282754119759</v>
      </c>
      <c r="AC94" s="112"/>
      <c r="AD94" s="634">
        <f>AD91/$AH91</f>
        <v>0.25496675715016326</v>
      </c>
      <c r="AE94" s="635">
        <f>AE91/$AH91</f>
        <v>0.23785357409811558</v>
      </c>
      <c r="AF94" s="635">
        <f>AF91/$AH91</f>
        <v>0.26543137023486368</v>
      </c>
      <c r="AG94" s="636">
        <f>AG91/$AH91</f>
        <v>0.24174829851685747</v>
      </c>
      <c r="AH94" s="112"/>
      <c r="AI94" s="634">
        <f>AI91/$AM91</f>
        <v>0.25285444633640886</v>
      </c>
      <c r="AJ94" s="635">
        <f>AJ91/$AM91</f>
        <v>0.24309982972320121</v>
      </c>
      <c r="AK94" s="635">
        <f>AK91/$AM91</f>
        <v>0.27691759394923376</v>
      </c>
      <c r="AL94" s="636">
        <f>AL91/$AM91</f>
        <v>0.22712812999115617</v>
      </c>
      <c r="AM94" s="112"/>
      <c r="AN94" s="634">
        <f>AN91/$AR91</f>
        <v>0.23432622268470343</v>
      </c>
      <c r="AO94" s="635">
        <f>AO91/$AR91</f>
        <v>0.24328824141519251</v>
      </c>
      <c r="AP94" s="635">
        <f>AP91/$AR91</f>
        <v>0.28578303850156089</v>
      </c>
      <c r="AQ94" s="636">
        <f>AQ91/$AR91</f>
        <v>0.23660249739854319</v>
      </c>
      <c r="AR94" s="112"/>
      <c r="AS94" s="634">
        <f>AS91/$AW91</f>
        <v>0.2358934884995238</v>
      </c>
      <c r="AT94" s="635">
        <f>AT91/$AW91</f>
        <v>0.25204503646492454</v>
      </c>
      <c r="AU94" s="635">
        <f>AU91/$AW91</f>
        <v>0.27132774074025756</v>
      </c>
      <c r="AV94" s="636">
        <f>AV91/$AW91</f>
        <v>0.24073373429529413</v>
      </c>
      <c r="AW94" s="112"/>
      <c r="AX94" s="149"/>
      <c r="AY94" s="156"/>
      <c r="AZ94" s="156"/>
      <c r="BA94" s="151"/>
      <c r="BB94" s="112"/>
      <c r="BC94" s="149"/>
      <c r="BD94" s="156"/>
      <c r="BE94" s="156"/>
      <c r="BF94" s="151"/>
      <c r="BG94" s="112"/>
      <c r="BH94" s="149"/>
      <c r="BI94" s="156"/>
      <c r="BJ94" s="156"/>
      <c r="BK94" s="151"/>
      <c r="BL94" s="112"/>
      <c r="BM94" s="149"/>
      <c r="BN94" s="156"/>
      <c r="BO94" s="156"/>
      <c r="BP94" s="151"/>
      <c r="BQ94" s="112"/>
      <c r="BR94" s="74"/>
      <c r="BS94" s="74"/>
      <c r="BT94" s="74"/>
      <c r="BU94" s="74"/>
      <c r="BV94" s="74"/>
      <c r="BW94" s="74"/>
      <c r="BX94" s="74"/>
      <c r="BY94" s="74"/>
      <c r="BZ94" s="74"/>
      <c r="CA94" s="74"/>
      <c r="CB94" s="74"/>
      <c r="CC94" s="74"/>
      <c r="CD94" s="74"/>
      <c r="CE94" s="74"/>
      <c r="CF94" s="74"/>
      <c r="CG94" s="74"/>
      <c r="CH94" s="74"/>
      <c r="CI94" s="74"/>
      <c r="CJ94" s="74"/>
      <c r="CK94" s="74"/>
      <c r="CL94" s="74"/>
      <c r="CM94" s="74"/>
      <c r="CN94" s="74"/>
      <c r="CO94" s="74"/>
      <c r="CP94" s="74"/>
      <c r="CQ94" s="74"/>
      <c r="CR94" s="74"/>
      <c r="CS94" s="74"/>
      <c r="CT94" s="74"/>
      <c r="CU94" s="74"/>
    </row>
    <row r="95" spans="1:99">
      <c r="C95" s="328"/>
      <c r="E95" s="289"/>
      <c r="F95" s="290"/>
      <c r="G95" s="290"/>
      <c r="H95" s="291"/>
      <c r="I95" s="191"/>
      <c r="J95" s="289"/>
      <c r="K95" s="290"/>
      <c r="L95" s="290"/>
      <c r="M95" s="291"/>
      <c r="N95" s="191"/>
      <c r="O95" s="289"/>
      <c r="P95" s="290"/>
      <c r="Q95" s="290"/>
      <c r="R95" s="291"/>
      <c r="S95" s="191"/>
      <c r="T95" s="289"/>
      <c r="U95" s="290"/>
      <c r="V95" s="290"/>
      <c r="W95" s="291"/>
      <c r="X95" s="191"/>
      <c r="Y95" s="289"/>
      <c r="Z95" s="290"/>
      <c r="AA95" s="290"/>
      <c r="AB95" s="291"/>
      <c r="AC95" s="191"/>
      <c r="AD95" s="289"/>
      <c r="AE95" s="290"/>
      <c r="AF95" s="290"/>
      <c r="AG95" s="291"/>
      <c r="AH95" s="191"/>
      <c r="AI95" s="289"/>
      <c r="AJ95" s="290"/>
      <c r="AK95" s="290"/>
      <c r="AL95" s="291"/>
      <c r="AM95" s="191"/>
      <c r="AN95" s="289"/>
      <c r="AO95" s="290"/>
      <c r="AP95" s="290"/>
      <c r="AQ95" s="291"/>
      <c r="AR95" s="191"/>
      <c r="AS95" s="289"/>
      <c r="AT95" s="290"/>
      <c r="AU95" s="290"/>
      <c r="AV95" s="291"/>
      <c r="AW95" s="191"/>
      <c r="AX95" s="289"/>
      <c r="AY95" s="290"/>
      <c r="AZ95" s="290"/>
      <c r="BA95" s="291"/>
      <c r="BB95" s="191"/>
      <c r="BC95" s="289"/>
      <c r="BD95" s="290"/>
      <c r="BE95" s="290"/>
      <c r="BF95" s="291"/>
      <c r="BG95" s="191"/>
      <c r="BH95" s="289"/>
      <c r="BI95" s="290"/>
      <c r="BJ95" s="290"/>
      <c r="BK95" s="291"/>
      <c r="BL95" s="191"/>
      <c r="BM95" s="289"/>
      <c r="BN95" s="290"/>
      <c r="BO95" s="290"/>
      <c r="BP95" s="291"/>
      <c r="BQ95" s="191"/>
    </row>
    <row r="96" spans="1:99">
      <c r="C96" s="56" t="s">
        <v>1003</v>
      </c>
      <c r="E96" s="588"/>
      <c r="F96" s="589"/>
      <c r="G96" s="589"/>
      <c r="H96" s="590"/>
      <c r="I96" s="332"/>
      <c r="J96" s="329"/>
      <c r="K96" s="330"/>
      <c r="L96" s="330"/>
      <c r="M96" s="331"/>
      <c r="N96" s="332"/>
      <c r="O96" s="329"/>
      <c r="P96" s="330"/>
      <c r="Q96" s="330"/>
      <c r="R96" s="331"/>
      <c r="S96" s="332"/>
      <c r="T96" s="329"/>
      <c r="U96" s="330"/>
      <c r="V96" s="330"/>
      <c r="W96" s="331"/>
      <c r="X96" s="332">
        <f t="shared" ref="X96:AF96" si="141">X82/X91*1000</f>
        <v>63.447131778863245</v>
      </c>
      <c r="Y96" s="329">
        <f t="shared" si="141"/>
        <v>63.586407984748242</v>
      </c>
      <c r="Z96" s="330">
        <f t="shared" si="141"/>
        <v>58.387751742303685</v>
      </c>
      <c r="AA96" s="330">
        <f t="shared" si="141"/>
        <v>59.621813101831059</v>
      </c>
      <c r="AB96" s="331">
        <f>AB82/AB91*1000</f>
        <v>62.184777624942683</v>
      </c>
      <c r="AC96" s="332">
        <f t="shared" si="141"/>
        <v>60.885408168814919</v>
      </c>
      <c r="AD96" s="329">
        <f t="shared" si="141"/>
        <v>62.490356426477398</v>
      </c>
      <c r="AE96" s="330">
        <f t="shared" si="141"/>
        <v>62.520674826331458</v>
      </c>
      <c r="AF96" s="330">
        <f t="shared" si="141"/>
        <v>60.817153302702437</v>
      </c>
      <c r="AG96" s="331">
        <f t="shared" ref="AG96:AM96" si="142">AG82/AG91*1000</f>
        <v>66.91619202603745</v>
      </c>
      <c r="AH96" s="332">
        <f t="shared" si="142"/>
        <v>63.123385394127766</v>
      </c>
      <c r="AI96" s="329">
        <f t="shared" si="142"/>
        <v>66.297765713092517</v>
      </c>
      <c r="AJ96" s="330">
        <f t="shared" si="142"/>
        <v>57.609817016886566</v>
      </c>
      <c r="AK96" s="330">
        <f t="shared" si="142"/>
        <v>56.675723342390008</v>
      </c>
      <c r="AL96" s="331">
        <f t="shared" si="142"/>
        <v>60.242924391236144</v>
      </c>
      <c r="AM96" s="332">
        <f t="shared" si="142"/>
        <v>60.145989255402</v>
      </c>
      <c r="AN96" s="329">
        <f t="shared" ref="AN96:AU96" si="143">AN82/AN91*1000</f>
        <v>60.882597835137389</v>
      </c>
      <c r="AO96" s="330">
        <f t="shared" si="143"/>
        <v>58.602437981180493</v>
      </c>
      <c r="AP96" s="330">
        <f t="shared" si="143"/>
        <v>58.058349642710844</v>
      </c>
      <c r="AQ96" s="331">
        <f t="shared" si="143"/>
        <v>52.440901594282579</v>
      </c>
      <c r="AR96" s="332">
        <f t="shared" si="143"/>
        <v>57.52341311134235</v>
      </c>
      <c r="AS96" s="329">
        <f t="shared" si="143"/>
        <v>60.085172280294238</v>
      </c>
      <c r="AT96" s="330">
        <f t="shared" si="143"/>
        <v>54.531808064599616</v>
      </c>
      <c r="AU96" s="330">
        <f t="shared" si="143"/>
        <v>56.416790883300479</v>
      </c>
      <c r="AV96" s="331">
        <f t="shared" ref="AV96:AW96" si="144">AV82/AV91*1000</f>
        <v>59.94472143941038</v>
      </c>
      <c r="AW96" s="332">
        <f t="shared" si="144"/>
        <v>57.656329502015687</v>
      </c>
      <c r="AX96" s="329">
        <f>AS96+(AX98/AX91*1000)</f>
        <v>59.87252517552546</v>
      </c>
      <c r="AY96" s="330">
        <f>AT96+(AY98/AY91*1000)</f>
        <v>54.331378271173357</v>
      </c>
      <c r="AZ96" s="330">
        <f>AU96+(AZ98/AZ91*1000)</f>
        <v>56.27365220711566</v>
      </c>
      <c r="BA96" s="331">
        <f>AV96+(BA98/BA91*1000)</f>
        <v>59.988728587271368</v>
      </c>
      <c r="BB96" s="332">
        <f>BB82/BB91*1000</f>
        <v>57.518153735377105</v>
      </c>
      <c r="BC96" s="329">
        <f>AX96+(BC98/BC91*1000)</f>
        <v>61.802706588042035</v>
      </c>
      <c r="BD96" s="330">
        <f>AY96+(BD98/BD91*1000)</f>
        <v>56.204625955888041</v>
      </c>
      <c r="BE96" s="330">
        <f>AZ96+(BE98/BE91*1000)</f>
        <v>58.313378342749289</v>
      </c>
      <c r="BF96" s="331">
        <f>BA96+(BF98/BF91*1000)</f>
        <v>61.936044880120235</v>
      </c>
      <c r="BG96" s="332">
        <f>BG82/BG91*1000</f>
        <v>59.467826418478047</v>
      </c>
      <c r="BH96" s="329">
        <f>BC96+(BH98/BH91*1000)</f>
        <v>63.926451390796849</v>
      </c>
      <c r="BI96" s="330">
        <f>BD96+(BI98/BI91*1000)</f>
        <v>58.265455370347816</v>
      </c>
      <c r="BJ96" s="330">
        <f>BE96+(BJ98/BJ91*1000)</f>
        <v>60.555884269644743</v>
      </c>
      <c r="BK96" s="331">
        <f>BF96+(BK98/BK91*1000)</f>
        <v>64.078642891602257</v>
      </c>
      <c r="BL96" s="332">
        <f>BL82/BL91*1000</f>
        <v>61.612466369889084</v>
      </c>
      <c r="BM96" s="329">
        <f>BH96+(BM98/BM91*1000)</f>
        <v>65.673974392806912</v>
      </c>
      <c r="BN96" s="330">
        <f>BI96+(BN98/BN91*1000)</f>
        <v>59.956260550789878</v>
      </c>
      <c r="BO96" s="330">
        <f>BJ96+(BO98/BO91*1000)</f>
        <v>62.368974167985748</v>
      </c>
      <c r="BP96" s="331">
        <f>BK96+(BP98/BP91*1000)</f>
        <v>65.841679252783223</v>
      </c>
      <c r="BQ96" s="332">
        <f>BQ82/BQ91*1000</f>
        <v>63.367171784679933</v>
      </c>
    </row>
    <row r="97" spans="1:99">
      <c r="C97" s="100"/>
      <c r="E97" s="289"/>
      <c r="F97" s="290"/>
      <c r="G97" s="290"/>
      <c r="H97" s="291"/>
      <c r="I97" s="191"/>
      <c r="J97" s="289"/>
      <c r="K97" s="290"/>
      <c r="L97" s="290"/>
      <c r="M97" s="291"/>
      <c r="N97" s="191"/>
      <c r="O97" s="289"/>
      <c r="P97" s="290"/>
      <c r="Q97" s="290"/>
      <c r="R97" s="291"/>
      <c r="S97" s="191"/>
      <c r="T97" s="289"/>
      <c r="U97" s="290"/>
      <c r="V97" s="290"/>
      <c r="W97" s="291"/>
      <c r="X97" s="191"/>
      <c r="Y97" s="289"/>
      <c r="Z97" s="290"/>
      <c r="AA97" s="290"/>
      <c r="AB97" s="291"/>
      <c r="AC97" s="191"/>
      <c r="AD97" s="289"/>
      <c r="AE97" s="290"/>
      <c r="AF97" s="290"/>
      <c r="AG97" s="291"/>
      <c r="AH97" s="191"/>
      <c r="AI97" s="289"/>
      <c r="AJ97" s="290"/>
      <c r="AK97" s="290"/>
      <c r="AL97" s="291"/>
      <c r="AM97" s="191"/>
      <c r="AN97" s="289"/>
      <c r="AO97" s="290"/>
      <c r="AP97" s="290"/>
      <c r="AQ97" s="291"/>
      <c r="AR97" s="191"/>
      <c r="AS97" s="289"/>
      <c r="AT97" s="290"/>
      <c r="AU97" s="290"/>
      <c r="AV97" s="291"/>
      <c r="AW97" s="191"/>
      <c r="AX97" s="289"/>
      <c r="AY97" s="290"/>
      <c r="AZ97" s="290"/>
      <c r="BA97" s="291"/>
      <c r="BB97" s="191"/>
      <c r="BC97" s="289"/>
      <c r="BD97" s="290"/>
      <c r="BE97" s="290"/>
      <c r="BF97" s="291"/>
      <c r="BG97" s="191"/>
      <c r="BH97" s="289"/>
      <c r="BI97" s="290"/>
      <c r="BJ97" s="290"/>
      <c r="BK97" s="291"/>
      <c r="BL97" s="191"/>
      <c r="BM97" s="289"/>
      <c r="BN97" s="290"/>
      <c r="BO97" s="290"/>
      <c r="BP97" s="291"/>
      <c r="BQ97" s="191"/>
    </row>
    <row r="98" spans="1:99">
      <c r="C98" s="50" t="s">
        <v>210</v>
      </c>
      <c r="E98" s="182"/>
      <c r="F98" s="186"/>
      <c r="G98" s="186"/>
      <c r="H98" s="184"/>
      <c r="I98" s="490"/>
      <c r="J98" s="182"/>
      <c r="K98" s="186"/>
      <c r="L98" s="186"/>
      <c r="M98" s="184"/>
      <c r="N98" s="490"/>
      <c r="O98" s="182"/>
      <c r="P98" s="186"/>
      <c r="Q98" s="160"/>
      <c r="R98" s="144"/>
      <c r="S98" s="109"/>
      <c r="T98" s="182"/>
      <c r="U98" s="186"/>
      <c r="V98" s="186"/>
      <c r="W98" s="144"/>
      <c r="X98" s="109"/>
      <c r="Y98" s="182"/>
      <c r="Z98" s="186"/>
      <c r="AA98" s="186"/>
      <c r="AB98" s="144"/>
      <c r="AC98" s="109"/>
      <c r="AD98" s="161"/>
      <c r="AE98" s="160"/>
      <c r="AF98" s="160"/>
      <c r="AG98" s="144"/>
      <c r="AH98" s="109"/>
      <c r="AI98" s="161"/>
      <c r="AJ98" s="160"/>
      <c r="AK98" s="160"/>
      <c r="AL98" s="144"/>
      <c r="AM98" s="109"/>
      <c r="AN98" s="161"/>
      <c r="AO98" s="160"/>
      <c r="AP98" s="160"/>
      <c r="AQ98" s="144"/>
      <c r="AR98" s="109"/>
      <c r="AS98" s="161"/>
      <c r="AT98" s="160"/>
      <c r="AU98" s="160"/>
      <c r="AV98" s="144"/>
      <c r="AW98" s="109"/>
      <c r="AX98" s="161">
        <f t="shared" ref="AX98:BK98" si="145">SUM(AX50:AX54)</f>
        <v>-3.8999999999999986</v>
      </c>
      <c r="AY98" s="160">
        <f t="shared" si="145"/>
        <v>-3.8999999999999986</v>
      </c>
      <c r="AZ98" s="160">
        <f t="shared" si="145"/>
        <v>-3</v>
      </c>
      <c r="BA98" s="144">
        <f t="shared" si="145"/>
        <v>0.79999999999999716</v>
      </c>
      <c r="BB98" s="109">
        <f>SUM(AX98:BA98)</f>
        <v>-10</v>
      </c>
      <c r="BC98" s="161">
        <f t="shared" si="145"/>
        <v>35.400000000000006</v>
      </c>
      <c r="BD98" s="160">
        <f t="shared" si="145"/>
        <v>36.449999999999996</v>
      </c>
      <c r="BE98" s="160">
        <f t="shared" si="145"/>
        <v>42.75</v>
      </c>
      <c r="BF98" s="144">
        <f t="shared" si="145"/>
        <v>35.400000000000006</v>
      </c>
      <c r="BG98" s="109">
        <f>SUM(BC98:BF98)</f>
        <v>150</v>
      </c>
      <c r="BH98" s="161">
        <f t="shared" si="145"/>
        <v>38.950000000000003</v>
      </c>
      <c r="BI98" s="160">
        <f t="shared" si="145"/>
        <v>40.1</v>
      </c>
      <c r="BJ98" s="160">
        <f t="shared" si="145"/>
        <v>47</v>
      </c>
      <c r="BK98" s="144">
        <f t="shared" si="145"/>
        <v>38.950000000000003</v>
      </c>
      <c r="BL98" s="109">
        <f>SUM(BH98:BK98)</f>
        <v>165</v>
      </c>
      <c r="BM98" s="161">
        <f>SUM(BM50:BM54)</f>
        <v>32.049999999999997</v>
      </c>
      <c r="BN98" s="160">
        <f>SUM(BN50:BN54)</f>
        <v>32.9</v>
      </c>
      <c r="BO98" s="160">
        <f>SUM(BO50:BO54)</f>
        <v>38</v>
      </c>
      <c r="BP98" s="144">
        <f>SUM(BP50:BP54)</f>
        <v>32.049999999999997</v>
      </c>
      <c r="BQ98" s="109">
        <f>SUM(BM98:BP98)</f>
        <v>135</v>
      </c>
    </row>
    <row r="99" spans="1:99">
      <c r="C99" s="56"/>
      <c r="E99" s="289"/>
      <c r="F99" s="290"/>
      <c r="G99" s="290"/>
      <c r="H99" s="291"/>
      <c r="I99" s="333"/>
      <c r="J99" s="289"/>
      <c r="K99" s="290"/>
      <c r="L99" s="290"/>
      <c r="M99" s="291"/>
      <c r="N99" s="333"/>
      <c r="O99" s="289"/>
      <c r="P99" s="290"/>
      <c r="Q99" s="290"/>
      <c r="R99" s="291"/>
      <c r="S99" s="191"/>
      <c r="T99" s="289"/>
      <c r="U99" s="290"/>
      <c r="V99" s="290"/>
      <c r="W99" s="291"/>
      <c r="X99" s="191"/>
      <c r="Y99" s="289"/>
      <c r="Z99" s="290"/>
      <c r="AA99" s="290"/>
      <c r="AB99" s="291"/>
      <c r="AC99" s="191"/>
      <c r="AD99" s="289"/>
      <c r="AE99" s="290"/>
      <c r="AF99" s="290"/>
      <c r="AG99" s="291"/>
      <c r="AH99" s="191"/>
      <c r="AI99" s="289"/>
      <c r="AJ99" s="290"/>
      <c r="AK99" s="290"/>
      <c r="AL99" s="291"/>
      <c r="AM99" s="191"/>
      <c r="AN99" s="289"/>
      <c r="AO99" s="290"/>
      <c r="AP99" s="290"/>
      <c r="AQ99" s="291"/>
      <c r="AR99" s="191"/>
      <c r="AS99" s="289"/>
      <c r="AT99" s="290"/>
      <c r="AU99" s="290"/>
      <c r="AV99" s="291"/>
      <c r="AW99" s="191"/>
      <c r="AX99" s="289"/>
      <c r="AY99" s="290"/>
      <c r="AZ99" s="290"/>
      <c r="BA99" s="291"/>
      <c r="BB99" s="191"/>
      <c r="BC99" s="289"/>
      <c r="BD99" s="290"/>
      <c r="BE99" s="290"/>
      <c r="BF99" s="291"/>
      <c r="BG99" s="191"/>
      <c r="BH99" s="289"/>
      <c r="BI99" s="290"/>
      <c r="BJ99" s="290"/>
      <c r="BK99" s="291"/>
      <c r="BL99" s="191"/>
      <c r="BM99" s="289"/>
      <c r="BN99" s="290"/>
      <c r="BO99" s="290"/>
      <c r="BP99" s="291"/>
      <c r="BQ99" s="191"/>
    </row>
    <row r="100" spans="1:99">
      <c r="C100" s="56" t="s">
        <v>211</v>
      </c>
      <c r="E100" s="289"/>
      <c r="F100" s="290"/>
      <c r="G100" s="290"/>
      <c r="H100" s="291"/>
      <c r="I100" s="191"/>
      <c r="J100" s="289"/>
      <c r="K100" s="290"/>
      <c r="L100" s="290"/>
      <c r="M100" s="291"/>
      <c r="N100" s="191"/>
      <c r="O100" s="289"/>
      <c r="P100" s="290"/>
      <c r="Q100" s="290"/>
      <c r="R100" s="291"/>
      <c r="S100" s="191"/>
      <c r="T100" s="289"/>
      <c r="U100" s="290"/>
      <c r="V100" s="290"/>
      <c r="W100" s="291"/>
      <c r="X100" s="191"/>
      <c r="Y100" s="289"/>
      <c r="Z100" s="290"/>
      <c r="AA100" s="290"/>
      <c r="AB100" s="291"/>
      <c r="AC100" s="191"/>
      <c r="AD100" s="289"/>
      <c r="AE100" s="290"/>
      <c r="AF100" s="290"/>
      <c r="AG100" s="291"/>
      <c r="AH100" s="191"/>
      <c r="AI100" s="289"/>
      <c r="AJ100" s="290"/>
      <c r="AK100" s="290"/>
      <c r="AL100" s="291"/>
      <c r="AM100" s="191"/>
      <c r="AN100" s="289"/>
      <c r="AO100" s="290"/>
      <c r="AP100" s="290"/>
      <c r="AQ100" s="291"/>
      <c r="AR100" s="191"/>
      <c r="AS100" s="289"/>
      <c r="AT100" s="290"/>
      <c r="AU100" s="290"/>
      <c r="AV100" s="291"/>
      <c r="AW100" s="191"/>
      <c r="AX100" s="289"/>
      <c r="AY100" s="290"/>
      <c r="AZ100" s="290"/>
      <c r="BA100" s="291"/>
      <c r="BB100" s="191"/>
      <c r="BC100" s="289"/>
      <c r="BD100" s="290"/>
      <c r="BE100" s="290"/>
      <c r="BF100" s="291"/>
      <c r="BG100" s="191"/>
      <c r="BH100" s="289"/>
      <c r="BI100" s="290"/>
      <c r="BJ100" s="290"/>
      <c r="BK100" s="291"/>
      <c r="BL100" s="191"/>
      <c r="BM100" s="289"/>
      <c r="BN100" s="290"/>
      <c r="BO100" s="290"/>
      <c r="BP100" s="291"/>
      <c r="BQ100" s="191"/>
    </row>
    <row r="101" spans="1:99" s="50" customFormat="1">
      <c r="A101" s="242"/>
      <c r="B101" s="242"/>
      <c r="C101" s="50" t="s">
        <v>351</v>
      </c>
      <c r="D101" s="109"/>
      <c r="E101" s="161"/>
      <c r="F101" s="160"/>
      <c r="G101" s="160"/>
      <c r="H101" s="144"/>
      <c r="I101" s="109"/>
      <c r="J101" s="161"/>
      <c r="K101" s="160"/>
      <c r="L101" s="160"/>
      <c r="M101" s="144"/>
      <c r="N101" s="109"/>
      <c r="O101" s="161"/>
      <c r="P101" s="160"/>
      <c r="Q101" s="160"/>
      <c r="R101" s="144"/>
      <c r="S101" s="109"/>
      <c r="T101" s="161"/>
      <c r="U101" s="160"/>
      <c r="V101" s="160"/>
      <c r="W101" s="144"/>
      <c r="X101" s="109">
        <f t="shared" ref="X101:AF101" si="146">X9</f>
        <v>2072</v>
      </c>
      <c r="Y101" s="161">
        <f t="shared" si="146"/>
        <v>449</v>
      </c>
      <c r="Z101" s="160">
        <f t="shared" si="146"/>
        <v>405</v>
      </c>
      <c r="AA101" s="160">
        <f t="shared" si="146"/>
        <v>406</v>
      </c>
      <c r="AB101" s="144">
        <f t="shared" si="146"/>
        <v>367</v>
      </c>
      <c r="AC101" s="109">
        <f t="shared" si="146"/>
        <v>1627</v>
      </c>
      <c r="AD101" s="161">
        <f t="shared" si="146"/>
        <v>403</v>
      </c>
      <c r="AE101" s="160">
        <f t="shared" si="146"/>
        <v>343</v>
      </c>
      <c r="AF101" s="160">
        <f t="shared" si="146"/>
        <v>377</v>
      </c>
      <c r="AG101" s="144">
        <f t="shared" ref="AG101:AM101" si="147">AG9</f>
        <v>396.5</v>
      </c>
      <c r="AH101" s="109">
        <f t="shared" si="147"/>
        <v>1519.5</v>
      </c>
      <c r="AI101" s="161">
        <f t="shared" si="147"/>
        <v>421</v>
      </c>
      <c r="AJ101" s="160">
        <f t="shared" si="147"/>
        <v>270</v>
      </c>
      <c r="AK101" s="160">
        <f t="shared" si="147"/>
        <v>229</v>
      </c>
      <c r="AL101" s="144">
        <f t="shared" si="147"/>
        <v>193.5</v>
      </c>
      <c r="AM101" s="109">
        <f t="shared" si="147"/>
        <v>1113.5</v>
      </c>
      <c r="AN101" s="161">
        <f t="shared" ref="AN101:AT101" si="148">AN9</f>
        <v>217.6</v>
      </c>
      <c r="AO101" s="160">
        <f t="shared" si="148"/>
        <v>191</v>
      </c>
      <c r="AP101" s="160">
        <f t="shared" si="148"/>
        <v>253.6</v>
      </c>
      <c r="AQ101" s="144">
        <f t="shared" si="148"/>
        <v>92.199999999999932</v>
      </c>
      <c r="AR101" s="109">
        <f t="shared" si="148"/>
        <v>754.4</v>
      </c>
      <c r="AS101" s="161">
        <f t="shared" si="148"/>
        <v>223.4</v>
      </c>
      <c r="AT101" s="160">
        <f t="shared" si="148"/>
        <v>186.9</v>
      </c>
      <c r="AU101" s="160">
        <f>AU9</f>
        <v>215.7</v>
      </c>
      <c r="AV101" s="144">
        <f t="shared" ref="AV101:AW101" si="149">AV9</f>
        <v>209.29999999999995</v>
      </c>
      <c r="AW101" s="109">
        <f t="shared" si="149"/>
        <v>835.3</v>
      </c>
      <c r="AX101" s="161">
        <f>+AX102*AX91/1000</f>
        <v>226.6031045296167</v>
      </c>
      <c r="AY101" s="160">
        <f>+AY102*AY91/1000</f>
        <v>188.24653328329626</v>
      </c>
      <c r="AZ101" s="160">
        <f>+AZ102*AZ91/1000</f>
        <v>217.37706049911043</v>
      </c>
      <c r="BA101" s="144">
        <f>+BA102*BA91/1000</f>
        <v>206.20184503034895</v>
      </c>
      <c r="BB101" s="109">
        <f>SUM(AX101:BA101)</f>
        <v>838.42854334237245</v>
      </c>
      <c r="BC101" s="161">
        <f>+BC102*BC91/1000</f>
        <v>226.6031045296167</v>
      </c>
      <c r="BD101" s="1114">
        <f>+BD102*BD91/1000</f>
        <v>188.24653328329626</v>
      </c>
      <c r="BE101" s="1114">
        <f>+BE102*BE91/1000</f>
        <v>217.37706049911043</v>
      </c>
      <c r="BF101" s="1115">
        <f>+BF102*BF91/1000</f>
        <v>206.20184503034895</v>
      </c>
      <c r="BG101" s="109">
        <f>SUM(BC101:BF101)</f>
        <v>838.42854334237245</v>
      </c>
      <c r="BH101" s="1113">
        <f>+BH102*BH91/1000</f>
        <v>226.6031045296167</v>
      </c>
      <c r="BI101" s="1114">
        <f>+BI102*BI91/1000</f>
        <v>188.24653328329626</v>
      </c>
      <c r="BJ101" s="1114">
        <f>+BJ102*BJ91/1000</f>
        <v>217.37706049911043</v>
      </c>
      <c r="BK101" s="1115">
        <f>+BK102*BK91/1000</f>
        <v>206.20184503034895</v>
      </c>
      <c r="BL101" s="109">
        <f>SUM(BH101:BK101)</f>
        <v>838.42854334237245</v>
      </c>
      <c r="BM101" s="1113">
        <f>+BM102*BM91/1000</f>
        <v>226.6031045296167</v>
      </c>
      <c r="BN101" s="1114">
        <f>+BN102*BN91/1000</f>
        <v>188.24653328329626</v>
      </c>
      <c r="BO101" s="1114">
        <f>+BO102*BO91/1000</f>
        <v>217.37706049911043</v>
      </c>
      <c r="BP101" s="1115">
        <f>+BP102*BP91/1000</f>
        <v>206.20184503034895</v>
      </c>
      <c r="BQ101" s="109">
        <f>SUM(BM101:BP101)</f>
        <v>838.42854334237245</v>
      </c>
      <c r="BR101" s="242"/>
      <c r="BS101" s="242"/>
      <c r="BT101" s="242"/>
      <c r="BU101" s="242"/>
      <c r="BV101" s="242"/>
      <c r="BW101" s="242"/>
      <c r="BX101" s="242"/>
      <c r="BY101" s="242"/>
      <c r="BZ101" s="242"/>
      <c r="CA101" s="242"/>
      <c r="CB101" s="242"/>
      <c r="CC101" s="242"/>
      <c r="CD101" s="242"/>
      <c r="CE101" s="242"/>
      <c r="CF101" s="242"/>
      <c r="CG101" s="242"/>
      <c r="CH101" s="242"/>
      <c r="CI101" s="242"/>
      <c r="CJ101" s="242"/>
      <c r="CK101" s="242"/>
      <c r="CL101" s="242"/>
      <c r="CM101" s="242"/>
      <c r="CN101" s="242"/>
      <c r="CO101" s="242"/>
      <c r="CP101" s="242"/>
      <c r="CQ101" s="242"/>
      <c r="CR101" s="242"/>
      <c r="CS101" s="242"/>
      <c r="CT101" s="242"/>
      <c r="CU101" s="242"/>
    </row>
    <row r="102" spans="1:99">
      <c r="C102" s="50" t="s">
        <v>212</v>
      </c>
      <c r="E102" s="591"/>
      <c r="F102" s="592"/>
      <c r="G102" s="592"/>
      <c r="H102" s="593"/>
      <c r="I102" s="337"/>
      <c r="J102" s="334"/>
      <c r="K102" s="335"/>
      <c r="L102" s="335"/>
      <c r="M102" s="336"/>
      <c r="N102" s="337"/>
      <c r="O102" s="334"/>
      <c r="P102" s="335"/>
      <c r="Q102" s="335"/>
      <c r="R102" s="336"/>
      <c r="S102" s="337"/>
      <c r="T102" s="334"/>
      <c r="U102" s="335"/>
      <c r="V102" s="335"/>
      <c r="W102" s="336"/>
      <c r="X102" s="337">
        <f>+X101/X91*1000</f>
        <v>27.280028438639686</v>
      </c>
      <c r="Y102" s="334">
        <f t="shared" ref="Y102:AF102" si="150">+Y101/Y91*1000</f>
        <v>25.176628911068743</v>
      </c>
      <c r="Z102" s="335">
        <f t="shared" si="150"/>
        <v>22.224661142512211</v>
      </c>
      <c r="AA102" s="335">
        <f t="shared" si="150"/>
        <v>20.256448635433816</v>
      </c>
      <c r="AB102" s="336">
        <f t="shared" si="150"/>
        <v>21.033929390187986</v>
      </c>
      <c r="AC102" s="337">
        <f t="shared" si="150"/>
        <v>22.12160765758416</v>
      </c>
      <c r="AD102" s="334">
        <f t="shared" si="150"/>
        <v>20.727254024584681</v>
      </c>
      <c r="AE102" s="335">
        <f t="shared" si="150"/>
        <v>18.910574484507663</v>
      </c>
      <c r="AF102" s="335">
        <f t="shared" si="150"/>
        <v>18.625561978163134</v>
      </c>
      <c r="AG102" s="336">
        <f t="shared" ref="AG102:AM102" si="151">+AG101/AG91*1000</f>
        <v>21.508001084892864</v>
      </c>
      <c r="AH102" s="337">
        <f t="shared" si="151"/>
        <v>19.926039576694599</v>
      </c>
      <c r="AI102" s="334">
        <f t="shared" si="151"/>
        <v>21.977448319064521</v>
      </c>
      <c r="AJ102" s="335">
        <f t="shared" si="151"/>
        <v>14.660368138133245</v>
      </c>
      <c r="AK102" s="335">
        <f t="shared" si="151"/>
        <v>10.91567758234425</v>
      </c>
      <c r="AL102" s="336">
        <f t="shared" si="151"/>
        <v>11.245423374208171</v>
      </c>
      <c r="AM102" s="337">
        <f t="shared" si="151"/>
        <v>14.697923679034833</v>
      </c>
      <c r="AN102" s="334">
        <f t="shared" ref="AN102:AS102" si="152">+AN101/AN91*1000</f>
        <v>12.078823202886483</v>
      </c>
      <c r="AO102" s="335">
        <f t="shared" si="152"/>
        <v>10.211719418306245</v>
      </c>
      <c r="AP102" s="335">
        <f t="shared" si="152"/>
        <v>11.542487824860041</v>
      </c>
      <c r="AQ102" s="336">
        <f t="shared" si="152"/>
        <v>5.0687190764156096</v>
      </c>
      <c r="AR102" s="337">
        <f t="shared" si="152"/>
        <v>9.8126951092611865</v>
      </c>
      <c r="AS102" s="334">
        <f t="shared" si="152"/>
        <v>12.355511310215142</v>
      </c>
      <c r="AT102" s="335">
        <f>+AT101/AT91*1000</f>
        <v>9.6744137895336202</v>
      </c>
      <c r="AU102" s="335">
        <f>+AU101/AU91*1000</f>
        <v>10.371688224263114</v>
      </c>
      <c r="AV102" s="336">
        <f t="shared" ref="AV102:AW102" si="153">+AV101/AV91*1000</f>
        <v>11.342943854324732</v>
      </c>
      <c r="AW102" s="337">
        <f t="shared" si="153"/>
        <v>10.897728607026835</v>
      </c>
      <c r="AX102" s="334">
        <f>+AS102</f>
        <v>12.355511310215142</v>
      </c>
      <c r="AY102" s="335">
        <f>+AT102</f>
        <v>9.6744137895336202</v>
      </c>
      <c r="AZ102" s="335">
        <f>+AU102</f>
        <v>10.371688224263114</v>
      </c>
      <c r="BA102" s="336">
        <f>+AV102</f>
        <v>11.342943854324732</v>
      </c>
      <c r="BB102" s="337">
        <f>+BB101/BB91*1000</f>
        <v>10.897741517911589</v>
      </c>
      <c r="BC102" s="334">
        <f>+AX102</f>
        <v>12.355511310215142</v>
      </c>
      <c r="BD102" s="335">
        <f>+AY102</f>
        <v>9.6744137895336202</v>
      </c>
      <c r="BE102" s="335">
        <f>+AZ102</f>
        <v>10.371688224263114</v>
      </c>
      <c r="BF102" s="336">
        <f>+BA102</f>
        <v>11.342943854324732</v>
      </c>
      <c r="BG102" s="337">
        <f>+BG101/BG91*1000</f>
        <v>10.897741517911589</v>
      </c>
      <c r="BH102" s="334">
        <f>+BC102</f>
        <v>12.355511310215142</v>
      </c>
      <c r="BI102" s="335">
        <f>+BD102</f>
        <v>9.6744137895336202</v>
      </c>
      <c r="BJ102" s="335">
        <f>+BE102</f>
        <v>10.371688224263114</v>
      </c>
      <c r="BK102" s="336">
        <f>+BF102</f>
        <v>11.342943854324732</v>
      </c>
      <c r="BL102" s="337">
        <f>+BL101/BL91*1000</f>
        <v>10.897741517911589</v>
      </c>
      <c r="BM102" s="334">
        <f>+BH102</f>
        <v>12.355511310215142</v>
      </c>
      <c r="BN102" s="335">
        <f>+BI102</f>
        <v>9.6744137895336202</v>
      </c>
      <c r="BO102" s="335">
        <f>+BJ102</f>
        <v>10.371688224263114</v>
      </c>
      <c r="BP102" s="336">
        <f>+BK102</f>
        <v>11.342943854324732</v>
      </c>
      <c r="BQ102" s="337">
        <f>+BQ101/BQ91*1000</f>
        <v>10.897741517911589</v>
      </c>
    </row>
    <row r="103" spans="1:99">
      <c r="C103" s="56"/>
      <c r="E103" s="289"/>
      <c r="F103" s="290"/>
      <c r="G103" s="290"/>
      <c r="H103" s="291"/>
      <c r="I103" s="191"/>
      <c r="J103" s="289"/>
      <c r="K103" s="290"/>
      <c r="L103" s="290"/>
      <c r="M103" s="291"/>
      <c r="N103" s="191"/>
      <c r="O103" s="289"/>
      <c r="P103" s="290"/>
      <c r="Q103" s="290"/>
      <c r="R103" s="291"/>
      <c r="S103" s="191"/>
      <c r="T103" s="289"/>
      <c r="U103" s="290"/>
      <c r="V103" s="290"/>
      <c r="W103" s="291"/>
      <c r="X103" s="191"/>
      <c r="Y103" s="289"/>
      <c r="Z103" s="290"/>
      <c r="AA103" s="290"/>
      <c r="AB103" s="291"/>
      <c r="AC103" s="191"/>
      <c r="AD103" s="289"/>
      <c r="AE103" s="290"/>
      <c r="AF103" s="290"/>
      <c r="AG103" s="291"/>
      <c r="AH103" s="191"/>
      <c r="AI103" s="289"/>
      <c r="AJ103" s="290"/>
      <c r="AK103" s="290"/>
      <c r="AL103" s="291"/>
      <c r="AM103" s="191"/>
      <c r="AN103" s="289"/>
      <c r="AO103" s="290"/>
      <c r="AP103" s="290"/>
      <c r="AQ103" s="291"/>
      <c r="AR103" s="191"/>
      <c r="AS103" s="289"/>
      <c r="AT103" s="290"/>
      <c r="AU103" s="290"/>
      <c r="AV103" s="291"/>
      <c r="AW103" s="191"/>
      <c r="AX103" s="289"/>
      <c r="AY103" s="290"/>
      <c r="AZ103" s="290"/>
      <c r="BA103" s="291"/>
      <c r="BB103" s="191"/>
      <c r="BC103" s="289"/>
      <c r="BD103" s="290"/>
      <c r="BE103" s="290"/>
      <c r="BF103" s="291"/>
      <c r="BG103" s="191"/>
      <c r="BH103" s="289"/>
      <c r="BI103" s="290"/>
      <c r="BJ103" s="290"/>
      <c r="BK103" s="291"/>
      <c r="BL103" s="191"/>
      <c r="BM103" s="289"/>
      <c r="BN103" s="290"/>
      <c r="BO103" s="290"/>
      <c r="BP103" s="291"/>
      <c r="BQ103" s="191"/>
    </row>
    <row r="104" spans="1:99">
      <c r="C104" s="56" t="s">
        <v>213</v>
      </c>
      <c r="E104" s="149"/>
      <c r="F104" s="150"/>
      <c r="G104" s="150"/>
      <c r="H104" s="151"/>
      <c r="I104" s="112"/>
      <c r="J104" s="149"/>
      <c r="K104" s="150"/>
      <c r="L104" s="150"/>
      <c r="M104" s="151"/>
      <c r="N104" s="112"/>
      <c r="O104" s="338"/>
      <c r="P104" s="339"/>
      <c r="Q104" s="339"/>
      <c r="R104" s="151"/>
      <c r="S104" s="112"/>
      <c r="T104" s="338"/>
      <c r="U104" s="339"/>
      <c r="V104" s="339"/>
      <c r="W104" s="151"/>
      <c r="X104" s="112">
        <f>+X82-X101</f>
        <v>2747</v>
      </c>
      <c r="Y104" s="338">
        <f>+Y82-Y101</f>
        <v>685</v>
      </c>
      <c r="Z104" s="339">
        <f t="shared" ref="Z104:AF104" si="154">+Z82-Z101</f>
        <v>659</v>
      </c>
      <c r="AA104" s="339">
        <f t="shared" si="154"/>
        <v>789</v>
      </c>
      <c r="AB104" s="327">
        <f t="shared" si="154"/>
        <v>718</v>
      </c>
      <c r="AC104" s="120">
        <f t="shared" si="154"/>
        <v>2851</v>
      </c>
      <c r="AD104" s="338">
        <f t="shared" si="154"/>
        <v>812</v>
      </c>
      <c r="AE104" s="339">
        <f>+AE82-AE101</f>
        <v>791</v>
      </c>
      <c r="AF104" s="339">
        <f t="shared" si="154"/>
        <v>854</v>
      </c>
      <c r="AG104" s="327">
        <f t="shared" ref="AG104:AM104" si="155">+AG82-AG101</f>
        <v>837.10000000000036</v>
      </c>
      <c r="AH104" s="120">
        <f t="shared" si="155"/>
        <v>3294.1000000000004</v>
      </c>
      <c r="AI104" s="338">
        <f t="shared" si="155"/>
        <v>849</v>
      </c>
      <c r="AJ104" s="339">
        <f t="shared" si="155"/>
        <v>791</v>
      </c>
      <c r="AK104" s="339">
        <f t="shared" si="155"/>
        <v>960</v>
      </c>
      <c r="AL104" s="327">
        <f t="shared" si="155"/>
        <v>843.10000000000036</v>
      </c>
      <c r="AM104" s="120">
        <f t="shared" si="155"/>
        <v>3443.1000000000004</v>
      </c>
      <c r="AN104" s="338">
        <f t="shared" ref="AN104:AS104" si="156">+AN82-AN101</f>
        <v>879.19999999999993</v>
      </c>
      <c r="AO104" s="339">
        <f t="shared" si="156"/>
        <v>905.09999999999991</v>
      </c>
      <c r="AP104" s="339">
        <f t="shared" si="156"/>
        <v>1021.9999999999999</v>
      </c>
      <c r="AQ104" s="327">
        <f t="shared" si="156"/>
        <v>861.70000000000016</v>
      </c>
      <c r="AR104" s="120">
        <f t="shared" si="156"/>
        <v>3667.9999999999995</v>
      </c>
      <c r="AS104" s="338">
        <f t="shared" si="156"/>
        <v>863.00000000000011</v>
      </c>
      <c r="AT104" s="339">
        <f>+AT82-AT101</f>
        <v>866.6</v>
      </c>
      <c r="AU104" s="339">
        <f>+AU82-AU101</f>
        <v>957.59999999999991</v>
      </c>
      <c r="AV104" s="327">
        <f t="shared" ref="AV104:AW104" si="157">+AV82-AV101</f>
        <v>896.80000000000041</v>
      </c>
      <c r="AW104" s="120">
        <f t="shared" si="157"/>
        <v>3584</v>
      </c>
      <c r="AX104" s="338">
        <f t="shared" ref="AX104:BB104" si="158">+AX82-AX101</f>
        <v>871.4736759581881</v>
      </c>
      <c r="AY104" s="339">
        <f t="shared" si="158"/>
        <v>868.94347642217508</v>
      </c>
      <c r="AZ104" s="339">
        <f t="shared" si="158"/>
        <v>962.04530891955574</v>
      </c>
      <c r="BA104" s="327">
        <f t="shared" si="158"/>
        <v>884.3251534792978</v>
      </c>
      <c r="BB104" s="120">
        <f t="shared" si="158"/>
        <v>3586.7876147792172</v>
      </c>
      <c r="BC104" s="338">
        <f t="shared" ref="BC104:BL104" si="159">+BC82-BC101</f>
        <v>906.87367595818819</v>
      </c>
      <c r="BD104" s="339">
        <f t="shared" si="159"/>
        <v>905.39347642217513</v>
      </c>
      <c r="BE104" s="339">
        <f t="shared" si="159"/>
        <v>1004.7953089195557</v>
      </c>
      <c r="BF104" s="327">
        <f t="shared" si="159"/>
        <v>919.72515347929789</v>
      </c>
      <c r="BG104" s="120">
        <f t="shared" si="159"/>
        <v>3736.7876147792172</v>
      </c>
      <c r="BH104" s="338">
        <f t="shared" si="159"/>
        <v>945.82367595818823</v>
      </c>
      <c r="BI104" s="339">
        <f t="shared" si="159"/>
        <v>945.49347642217504</v>
      </c>
      <c r="BJ104" s="339">
        <f t="shared" si="159"/>
        <v>1051.7953089195557</v>
      </c>
      <c r="BK104" s="327">
        <f t="shared" si="159"/>
        <v>958.67515347929793</v>
      </c>
      <c r="BL104" s="120">
        <f t="shared" si="159"/>
        <v>3901.7876147792172</v>
      </c>
      <c r="BM104" s="338">
        <f>+BM82-BM101</f>
        <v>977.87367595818819</v>
      </c>
      <c r="BN104" s="339">
        <f>+BN82-BN101</f>
        <v>978.39347642217513</v>
      </c>
      <c r="BO104" s="339">
        <f>+BO82-BO101</f>
        <v>1089.7953089195557</v>
      </c>
      <c r="BP104" s="327">
        <f>+BP82-BP101</f>
        <v>990.72515347929789</v>
      </c>
      <c r="BQ104" s="120">
        <f>+BQ82-BQ101</f>
        <v>4036.7876147792172</v>
      </c>
    </row>
    <row r="105" spans="1:99">
      <c r="A105" s="75"/>
      <c r="B105" s="75"/>
      <c r="C105" s="75" t="s">
        <v>214</v>
      </c>
      <c r="D105" s="75"/>
      <c r="E105" s="340"/>
      <c r="F105" s="341"/>
      <c r="G105" s="341"/>
      <c r="H105" s="342"/>
      <c r="I105" s="343"/>
      <c r="J105" s="344"/>
      <c r="K105" s="345"/>
      <c r="L105" s="345"/>
      <c r="M105" s="346"/>
      <c r="N105" s="76"/>
      <c r="O105" s="344"/>
      <c r="P105" s="345"/>
      <c r="Q105" s="345"/>
      <c r="R105" s="346"/>
      <c r="S105" s="76"/>
      <c r="T105" s="344"/>
      <c r="U105" s="345"/>
      <c r="V105" s="345"/>
      <c r="W105" s="346"/>
      <c r="X105" s="76"/>
      <c r="Y105" s="344"/>
      <c r="Z105" s="345"/>
      <c r="AA105" s="345"/>
      <c r="AB105" s="346"/>
      <c r="AC105" s="76">
        <f>+AC104/X104-1</f>
        <v>3.7859483072442579E-2</v>
      </c>
      <c r="AD105" s="344">
        <f>+AD104/Y104-1</f>
        <v>0.18540145985401457</v>
      </c>
      <c r="AE105" s="345">
        <f>+AE104/Z104-1</f>
        <v>0.20030349013657056</v>
      </c>
      <c r="AF105" s="345">
        <f>+AF104/AA104-1</f>
        <v>8.2382762991128011E-2</v>
      </c>
      <c r="AG105" s="346">
        <f>+AG104/AB104-1</f>
        <v>0.16587743732590576</v>
      </c>
      <c r="AH105" s="76">
        <f t="shared" ref="AH105:AP105" si="160">+AH104/AC104-1</f>
        <v>0.15541915117502647</v>
      </c>
      <c r="AI105" s="344">
        <f t="shared" si="160"/>
        <v>4.556650246305427E-2</v>
      </c>
      <c r="AJ105" s="345">
        <f t="shared" si="160"/>
        <v>0</v>
      </c>
      <c r="AK105" s="345">
        <f t="shared" si="160"/>
        <v>0.12412177985948469</v>
      </c>
      <c r="AL105" s="346">
        <f t="shared" si="160"/>
        <v>7.1676024369848879E-3</v>
      </c>
      <c r="AM105" s="76">
        <f t="shared" si="160"/>
        <v>4.5232385173491929E-2</v>
      </c>
      <c r="AN105" s="344">
        <f t="shared" si="160"/>
        <v>3.557126030624258E-2</v>
      </c>
      <c r="AO105" s="345">
        <f t="shared" si="160"/>
        <v>0.1442477876106194</v>
      </c>
      <c r="AP105" s="345">
        <f t="shared" si="160"/>
        <v>6.4583333333333215E-2</v>
      </c>
      <c r="AQ105" s="346">
        <f t="shared" ref="AQ105:AU105" si="161">+AQ104/AL104-1</f>
        <v>2.2061439924089488E-2</v>
      </c>
      <c r="AR105" s="76">
        <f t="shared" si="161"/>
        <v>6.5319043884870975E-2</v>
      </c>
      <c r="AS105" s="344">
        <f t="shared" si="161"/>
        <v>-1.8425841674249099E-2</v>
      </c>
      <c r="AT105" s="345">
        <f t="shared" si="161"/>
        <v>-4.2536736272234976E-2</v>
      </c>
      <c r="AU105" s="345">
        <f t="shared" si="161"/>
        <v>-6.3013698630136949E-2</v>
      </c>
      <c r="AV105" s="346">
        <f t="shared" ref="AV105" si="162">+AV104/AQ104-1</f>
        <v>4.0733433909713623E-2</v>
      </c>
      <c r="AW105" s="76">
        <f t="shared" ref="AW105" si="163">+AW104/AR104-1</f>
        <v>-2.2900763358778553E-2</v>
      </c>
      <c r="AX105" s="344">
        <f t="shared" ref="AX105:BL105" si="164">+AX104/AS104-1</f>
        <v>9.8188597429755831E-3</v>
      </c>
      <c r="AY105" s="345">
        <f t="shared" si="164"/>
        <v>2.704219273222952E-3</v>
      </c>
      <c r="AZ105" s="345">
        <f t="shared" si="164"/>
        <v>4.6421354631953626E-3</v>
      </c>
      <c r="BA105" s="346">
        <f t="shared" si="164"/>
        <v>-1.3910399777768312E-2</v>
      </c>
      <c r="BB105" s="76">
        <f t="shared" si="164"/>
        <v>7.7779430223690049E-4</v>
      </c>
      <c r="BC105" s="344">
        <f t="shared" si="164"/>
        <v>4.062084831314916E-2</v>
      </c>
      <c r="BD105" s="345">
        <f t="shared" si="164"/>
        <v>4.194749254586827E-2</v>
      </c>
      <c r="BE105" s="345">
        <f t="shared" si="164"/>
        <v>4.4436576535060723E-2</v>
      </c>
      <c r="BF105" s="346">
        <f t="shared" si="164"/>
        <v>4.0030524814003154E-2</v>
      </c>
      <c r="BG105" s="76">
        <f t="shared" si="164"/>
        <v>4.1820151096187308E-2</v>
      </c>
      <c r="BH105" s="344">
        <f t="shared" si="164"/>
        <v>4.2949752575898836E-2</v>
      </c>
      <c r="BI105" s="345">
        <f t="shared" si="164"/>
        <v>4.4290135774406325E-2</v>
      </c>
      <c r="BJ105" s="345">
        <f t="shared" si="164"/>
        <v>4.6775696087334007E-2</v>
      </c>
      <c r="BK105" s="346">
        <f t="shared" si="164"/>
        <v>4.2349608307061137E-2</v>
      </c>
      <c r="BL105" s="76">
        <f t="shared" si="164"/>
        <v>4.4155573452292263E-2</v>
      </c>
      <c r="BM105" s="344">
        <f>+BM104/BH104-1</f>
        <v>3.3885808544104057E-2</v>
      </c>
      <c r="BN105" s="345">
        <f>+BN104/BI104-1</f>
        <v>3.479664410218497E-2</v>
      </c>
      <c r="BO105" s="345">
        <f>+BO104/BJ104-1</f>
        <v>3.6128702683638103E-2</v>
      </c>
      <c r="BP105" s="346">
        <f>+BP104/BK104-1</f>
        <v>3.3431553831015259E-2</v>
      </c>
      <c r="BQ105" s="76">
        <f>+BQ104/BL104-1</f>
        <v>3.4599525481255444E-2</v>
      </c>
      <c r="BR105" s="75"/>
      <c r="BS105" s="75"/>
      <c r="BT105" s="75"/>
      <c r="BU105" s="75"/>
      <c r="BV105" s="75"/>
      <c r="BW105" s="75"/>
      <c r="BX105" s="75"/>
      <c r="BY105" s="75"/>
      <c r="BZ105" s="75"/>
      <c r="CA105" s="75"/>
      <c r="CB105" s="75"/>
      <c r="CC105" s="75"/>
      <c r="CD105" s="75"/>
      <c r="CE105" s="75"/>
      <c r="CF105" s="75"/>
      <c r="CG105" s="75"/>
      <c r="CH105" s="75"/>
      <c r="CI105" s="75"/>
      <c r="CJ105" s="75"/>
      <c r="CK105" s="75"/>
      <c r="CL105" s="75"/>
      <c r="CM105" s="75"/>
      <c r="CN105" s="75"/>
      <c r="CO105" s="75"/>
      <c r="CP105" s="75"/>
      <c r="CQ105" s="75"/>
      <c r="CR105" s="75"/>
      <c r="CS105" s="75"/>
      <c r="CT105" s="75"/>
      <c r="CU105" s="75"/>
    </row>
    <row r="106" spans="1:99">
      <c r="A106" s="75"/>
      <c r="B106" s="75"/>
      <c r="C106" s="75"/>
      <c r="D106" s="75"/>
      <c r="E106" s="340"/>
      <c r="F106" s="341"/>
      <c r="G106" s="341"/>
      <c r="H106" s="342"/>
      <c r="I106" s="343"/>
      <c r="J106" s="344"/>
      <c r="K106" s="345"/>
      <c r="L106" s="345"/>
      <c r="M106" s="346"/>
      <c r="N106" s="76"/>
      <c r="O106" s="344"/>
      <c r="P106" s="345"/>
      <c r="Q106" s="345"/>
      <c r="R106" s="346"/>
      <c r="S106" s="76"/>
      <c r="T106" s="344"/>
      <c r="U106" s="345"/>
      <c r="V106" s="345"/>
      <c r="W106" s="346"/>
      <c r="X106" s="76"/>
      <c r="Y106" s="344"/>
      <c r="Z106" s="345"/>
      <c r="AA106" s="345"/>
      <c r="AB106" s="346"/>
      <c r="AC106" s="76"/>
      <c r="AD106" s="344"/>
      <c r="AE106" s="345"/>
      <c r="AF106" s="345"/>
      <c r="AG106" s="346"/>
      <c r="AH106" s="76"/>
      <c r="AI106" s="344"/>
      <c r="AJ106" s="345"/>
      <c r="AK106" s="345"/>
      <c r="AL106" s="346"/>
      <c r="AM106" s="76"/>
      <c r="AN106" s="344"/>
      <c r="AO106" s="345"/>
      <c r="AP106" s="345"/>
      <c r="AQ106" s="346"/>
      <c r="AR106" s="76"/>
      <c r="AS106" s="344"/>
      <c r="AT106" s="345"/>
      <c r="AU106" s="345"/>
      <c r="AV106" s="346"/>
      <c r="AW106" s="76"/>
      <c r="AX106" s="344"/>
      <c r="AY106" s="345"/>
      <c r="AZ106" s="345"/>
      <c r="BA106" s="346"/>
      <c r="BB106" s="76"/>
      <c r="BC106" s="344"/>
      <c r="BD106" s="345"/>
      <c r="BE106" s="345"/>
      <c r="BF106" s="346"/>
      <c r="BG106" s="76"/>
      <c r="BH106" s="344"/>
      <c r="BI106" s="345"/>
      <c r="BJ106" s="345"/>
      <c r="BK106" s="346"/>
      <c r="BL106" s="76"/>
      <c r="BM106" s="344"/>
      <c r="BN106" s="345"/>
      <c r="BO106" s="345"/>
      <c r="BP106" s="346"/>
      <c r="BQ106" s="76"/>
      <c r="BR106" s="75"/>
      <c r="BS106" s="75"/>
      <c r="BT106" s="75"/>
      <c r="BU106" s="75"/>
      <c r="BV106" s="75"/>
      <c r="BW106" s="75"/>
      <c r="BX106" s="75"/>
      <c r="BY106" s="75"/>
      <c r="BZ106" s="75"/>
      <c r="CA106" s="75"/>
      <c r="CB106" s="75"/>
      <c r="CC106" s="75"/>
      <c r="CD106" s="75"/>
      <c r="CE106" s="75"/>
      <c r="CF106" s="75"/>
      <c r="CG106" s="75"/>
      <c r="CH106" s="75"/>
      <c r="CI106" s="75"/>
      <c r="CJ106" s="75"/>
      <c r="CK106" s="75"/>
      <c r="CL106" s="75"/>
      <c r="CM106" s="75"/>
      <c r="CN106" s="75"/>
      <c r="CO106" s="75"/>
      <c r="CP106" s="75"/>
      <c r="CQ106" s="75"/>
      <c r="CR106" s="75"/>
      <c r="CS106" s="75"/>
      <c r="CT106" s="75"/>
      <c r="CU106" s="75"/>
    </row>
    <row r="107" spans="1:99">
      <c r="A107" s="75"/>
      <c r="B107" s="75"/>
      <c r="C107" s="75"/>
      <c r="D107" s="75"/>
      <c r="E107" s="340"/>
      <c r="F107" s="341"/>
      <c r="G107" s="341"/>
      <c r="H107" s="342"/>
      <c r="I107" s="343"/>
      <c r="J107" s="344"/>
      <c r="K107" s="345"/>
      <c r="L107" s="345"/>
      <c r="M107" s="346"/>
      <c r="N107" s="76"/>
      <c r="O107" s="344"/>
      <c r="P107" s="345"/>
      <c r="Q107" s="345"/>
      <c r="R107" s="346"/>
      <c r="S107" s="76"/>
      <c r="T107" s="344"/>
      <c r="U107" s="345"/>
      <c r="V107" s="345"/>
      <c r="W107" s="346"/>
      <c r="X107" s="76"/>
      <c r="Y107" s="344"/>
      <c r="Z107" s="345"/>
      <c r="AA107" s="345"/>
      <c r="AB107" s="346"/>
      <c r="AC107" s="76"/>
      <c r="AD107" s="344"/>
      <c r="AE107" s="345"/>
      <c r="AF107" s="345"/>
      <c r="AG107" s="346"/>
      <c r="AH107" s="76"/>
      <c r="AI107" s="344"/>
      <c r="AJ107" s="345"/>
      <c r="AK107" s="345"/>
      <c r="AL107" s="346"/>
      <c r="AM107" s="76"/>
      <c r="AN107" s="344"/>
      <c r="AO107" s="345"/>
      <c r="AP107" s="345"/>
      <c r="AQ107" s="346"/>
      <c r="AR107" s="76"/>
      <c r="AS107" s="344"/>
      <c r="AT107" s="345"/>
      <c r="AU107" s="345"/>
      <c r="AV107" s="346"/>
      <c r="AW107" s="76"/>
      <c r="AX107" s="344"/>
      <c r="AY107" s="345"/>
      <c r="AZ107" s="345"/>
      <c r="BA107" s="346"/>
      <c r="BB107" s="76"/>
      <c r="BC107" s="344"/>
      <c r="BD107" s="345"/>
      <c r="BE107" s="345"/>
      <c r="BF107" s="346"/>
      <c r="BG107" s="76"/>
      <c r="BH107" s="344"/>
      <c r="BI107" s="345"/>
      <c r="BJ107" s="345"/>
      <c r="BK107" s="346"/>
      <c r="BL107" s="76"/>
      <c r="BM107" s="344"/>
      <c r="BN107" s="345"/>
      <c r="BO107" s="345"/>
      <c r="BP107" s="346"/>
      <c r="BQ107" s="76"/>
      <c r="BR107" s="75"/>
      <c r="BS107" s="75"/>
      <c r="BT107" s="75"/>
      <c r="BU107" s="75"/>
      <c r="BV107" s="75"/>
      <c r="BW107" s="75"/>
      <c r="BX107" s="75"/>
      <c r="BY107" s="75"/>
      <c r="BZ107" s="75"/>
      <c r="CA107" s="75"/>
      <c r="CB107" s="75"/>
      <c r="CC107" s="75"/>
      <c r="CD107" s="75"/>
      <c r="CE107" s="75"/>
      <c r="CF107" s="75"/>
      <c r="CG107" s="75"/>
      <c r="CH107" s="75"/>
      <c r="CI107" s="75"/>
      <c r="CJ107" s="75"/>
      <c r="CK107" s="75"/>
      <c r="CL107" s="75"/>
      <c r="CM107" s="75"/>
      <c r="CN107" s="75"/>
      <c r="CO107" s="75"/>
      <c r="CP107" s="75"/>
      <c r="CQ107" s="75"/>
      <c r="CR107" s="75"/>
      <c r="CS107" s="75"/>
      <c r="CT107" s="75"/>
      <c r="CU107" s="75"/>
    </row>
    <row r="108" spans="1:99">
      <c r="B108" s="46" t="s">
        <v>216</v>
      </c>
      <c r="C108" s="46"/>
      <c r="D108" s="47"/>
      <c r="E108" s="289"/>
      <c r="F108" s="290"/>
      <c r="G108" s="290"/>
      <c r="H108" s="291"/>
      <c r="I108" s="191"/>
      <c r="J108" s="289"/>
      <c r="K108" s="290"/>
      <c r="L108" s="290"/>
      <c r="M108" s="291"/>
      <c r="N108" s="191"/>
      <c r="O108" s="289"/>
      <c r="P108" s="290"/>
      <c r="Q108" s="290"/>
      <c r="R108" s="291"/>
      <c r="S108" s="191"/>
      <c r="T108" s="289"/>
      <c r="U108" s="290"/>
      <c r="V108" s="290"/>
      <c r="W108" s="291"/>
      <c r="X108" s="191"/>
      <c r="Y108" s="289"/>
      <c r="Z108" s="290"/>
      <c r="AA108" s="290"/>
      <c r="AB108" s="291"/>
      <c r="AC108" s="191"/>
      <c r="AD108" s="289"/>
      <c r="AE108" s="290"/>
      <c r="AF108" s="290"/>
      <c r="AG108" s="291"/>
      <c r="AH108" s="191"/>
      <c r="AI108" s="289"/>
      <c r="AJ108" s="290"/>
      <c r="AK108" s="290"/>
      <c r="AL108" s="291"/>
      <c r="AM108" s="191"/>
      <c r="AN108" s="289"/>
      <c r="AO108" s="290"/>
      <c r="AP108" s="290"/>
      <c r="AQ108" s="291"/>
      <c r="AR108" s="191"/>
      <c r="AS108" s="289"/>
      <c r="AT108" s="290"/>
      <c r="AU108" s="290"/>
      <c r="AV108" s="291"/>
      <c r="AW108" s="191"/>
      <c r="AX108" s="289"/>
      <c r="AY108" s="290"/>
      <c r="AZ108" s="290"/>
      <c r="BA108" s="291"/>
      <c r="BB108" s="191"/>
      <c r="BC108" s="289"/>
      <c r="BD108" s="290"/>
      <c r="BE108" s="290"/>
      <c r="BF108" s="291"/>
      <c r="BG108" s="191"/>
      <c r="BH108" s="289"/>
      <c r="BI108" s="290"/>
      <c r="BJ108" s="290"/>
      <c r="BK108" s="291"/>
      <c r="BL108" s="191"/>
      <c r="BM108" s="289"/>
      <c r="BN108" s="290"/>
      <c r="BO108" s="290"/>
      <c r="BP108" s="291"/>
      <c r="BQ108" s="191"/>
    </row>
    <row r="109" spans="1:99" s="50" customFormat="1">
      <c r="A109" s="242"/>
      <c r="B109" s="242"/>
      <c r="C109" s="303" t="s">
        <v>217</v>
      </c>
      <c r="D109" s="109"/>
      <c r="E109" s="161"/>
      <c r="F109" s="160"/>
      <c r="G109" s="160"/>
      <c r="H109" s="144"/>
      <c r="I109" s="109"/>
      <c r="J109" s="161"/>
      <c r="K109" s="160"/>
      <c r="L109" s="160"/>
      <c r="M109" s="144"/>
      <c r="N109" s="109"/>
      <c r="O109" s="161"/>
      <c r="P109" s="160"/>
      <c r="Q109" s="160"/>
      <c r="R109" s="144"/>
      <c r="S109" s="109"/>
      <c r="T109" s="161"/>
      <c r="U109" s="160"/>
      <c r="V109" s="160"/>
      <c r="W109" s="144"/>
      <c r="X109" s="109">
        <f>+X12</f>
        <v>911</v>
      </c>
      <c r="Y109" s="161">
        <f>+Y12</f>
        <v>244</v>
      </c>
      <c r="Z109" s="160">
        <f t="shared" ref="Z109:AF109" si="165">+Z12</f>
        <v>219</v>
      </c>
      <c r="AA109" s="160">
        <f t="shared" si="165"/>
        <v>254</v>
      </c>
      <c r="AB109" s="144">
        <f t="shared" si="165"/>
        <v>286</v>
      </c>
      <c r="AC109" s="109">
        <f t="shared" si="165"/>
        <v>1003</v>
      </c>
      <c r="AD109" s="161">
        <f t="shared" si="165"/>
        <v>293</v>
      </c>
      <c r="AE109" s="160">
        <f t="shared" si="165"/>
        <v>298</v>
      </c>
      <c r="AF109" s="160">
        <f t="shared" si="165"/>
        <v>329</v>
      </c>
      <c r="AG109" s="144">
        <f t="shared" ref="AG109:AM109" si="166">+AG12</f>
        <v>356.09999999999991</v>
      </c>
      <c r="AH109" s="109">
        <f t="shared" si="166"/>
        <v>1276.0999999999999</v>
      </c>
      <c r="AI109" s="161">
        <f t="shared" si="166"/>
        <v>319</v>
      </c>
      <c r="AJ109" s="160">
        <f t="shared" si="166"/>
        <v>289</v>
      </c>
      <c r="AK109" s="160">
        <f t="shared" si="166"/>
        <v>348</v>
      </c>
      <c r="AL109" s="144">
        <f t="shared" si="166"/>
        <v>372.90000000000009</v>
      </c>
      <c r="AM109" s="109">
        <f t="shared" si="166"/>
        <v>1328.9</v>
      </c>
      <c r="AN109" s="161">
        <f t="shared" ref="AN109:AS109" si="167">+AN12</f>
        <v>324.39999999999998</v>
      </c>
      <c r="AO109" s="160">
        <f t="shared" si="167"/>
        <v>325.89999999999998</v>
      </c>
      <c r="AP109" s="160">
        <f t="shared" si="167"/>
        <v>357.9</v>
      </c>
      <c r="AQ109" s="144">
        <f t="shared" si="167"/>
        <v>378.50000000000011</v>
      </c>
      <c r="AR109" s="109">
        <f t="shared" si="167"/>
        <v>1386.7</v>
      </c>
      <c r="AS109" s="161">
        <f t="shared" si="167"/>
        <v>285.7</v>
      </c>
      <c r="AT109" s="160">
        <f>+AT12</f>
        <v>293.60000000000002</v>
      </c>
      <c r="AU109" s="160">
        <f>+AU12</f>
        <v>303.2</v>
      </c>
      <c r="AV109" s="144">
        <f t="shared" ref="AV109:AW109" si="168">+AV12</f>
        <v>307.90000000000009</v>
      </c>
      <c r="AW109" s="109">
        <f t="shared" si="168"/>
        <v>1190.4000000000001</v>
      </c>
      <c r="AX109" s="161">
        <f>AS109*(1+AX110)</f>
        <v>279.27175</v>
      </c>
      <c r="AY109" s="160">
        <f>AT109*(1+AY110)</f>
        <v>286.99400000000003</v>
      </c>
      <c r="AZ109" s="160">
        <f>AU109*(1+AZ110)</f>
        <v>296.37799999999999</v>
      </c>
      <c r="BA109" s="144">
        <f>AV109*(1+BA110)</f>
        <v>300.97225000000009</v>
      </c>
      <c r="BB109" s="109">
        <f>+SUM(AX109:BA109)</f>
        <v>1163.616</v>
      </c>
      <c r="BC109" s="161">
        <f>AX109*(1+BC110)</f>
        <v>280.66810874999999</v>
      </c>
      <c r="BD109" s="160">
        <f>AY109*(1+BD110)</f>
        <v>288.42896999999999</v>
      </c>
      <c r="BE109" s="160">
        <f>AZ109*(1+BE110)</f>
        <v>297.85988999999995</v>
      </c>
      <c r="BF109" s="144">
        <f>BA109*(1+BF110)</f>
        <v>302.47711125000006</v>
      </c>
      <c r="BG109" s="109">
        <f>+SUM(BC109:BF109)</f>
        <v>1169.43408</v>
      </c>
      <c r="BH109" s="161">
        <f>BC109*(1+BH110)</f>
        <v>282.07144929374994</v>
      </c>
      <c r="BI109" s="160">
        <f>BD109*(1+BI110)</f>
        <v>289.87111484999997</v>
      </c>
      <c r="BJ109" s="160">
        <f>BE109*(1+BJ110)</f>
        <v>299.34918944999993</v>
      </c>
      <c r="BK109" s="144">
        <f>BF109*(1+BK110)</f>
        <v>303.98949680625003</v>
      </c>
      <c r="BL109" s="109">
        <f>+SUM(BH109:BK109)</f>
        <v>1175.2812503999999</v>
      </c>
      <c r="BM109" s="161">
        <f>BH109*(1+BM110)</f>
        <v>283.48180654021866</v>
      </c>
      <c r="BN109" s="160">
        <f>BI109*(1+BN110)</f>
        <v>291.32047042424995</v>
      </c>
      <c r="BO109" s="160">
        <f>BJ109*(1+BO110)</f>
        <v>300.84593539724989</v>
      </c>
      <c r="BP109" s="144">
        <f>BK109*(1+BP110)</f>
        <v>305.50944429028124</v>
      </c>
      <c r="BQ109" s="109">
        <f>+SUM(BM109:BP109)</f>
        <v>1181.1576566519996</v>
      </c>
      <c r="BR109" s="242"/>
      <c r="BS109" s="242"/>
      <c r="BT109" s="242"/>
      <c r="BU109" s="242"/>
      <c r="BV109" s="242"/>
      <c r="BW109" s="242"/>
      <c r="BX109" s="242"/>
      <c r="BY109" s="242"/>
      <c r="BZ109" s="242"/>
      <c r="CA109" s="242"/>
      <c r="CB109" s="242"/>
      <c r="CC109" s="242"/>
      <c r="CD109" s="242"/>
      <c r="CE109" s="242"/>
      <c r="CF109" s="242"/>
      <c r="CG109" s="242"/>
      <c r="CH109" s="242"/>
      <c r="CI109" s="242"/>
      <c r="CJ109" s="242"/>
      <c r="CK109" s="242"/>
      <c r="CL109" s="242"/>
      <c r="CM109" s="242"/>
      <c r="CN109" s="242"/>
      <c r="CO109" s="242"/>
      <c r="CP109" s="242"/>
      <c r="CQ109" s="242"/>
      <c r="CR109" s="242"/>
      <c r="CS109" s="242"/>
      <c r="CT109" s="242"/>
      <c r="CU109" s="242"/>
    </row>
    <row r="110" spans="1:99">
      <c r="A110" s="75"/>
      <c r="B110" s="75"/>
      <c r="C110" s="349" t="s">
        <v>218</v>
      </c>
      <c r="D110" s="75"/>
      <c r="E110" s="350"/>
      <c r="F110" s="351"/>
      <c r="G110" s="351"/>
      <c r="H110" s="352"/>
      <c r="I110" s="273"/>
      <c r="J110" s="270"/>
      <c r="K110" s="271"/>
      <c r="L110" s="271"/>
      <c r="M110" s="272"/>
      <c r="N110" s="273"/>
      <c r="O110" s="270"/>
      <c r="P110" s="271"/>
      <c r="Q110" s="271"/>
      <c r="R110" s="272"/>
      <c r="S110" s="273"/>
      <c r="T110" s="270"/>
      <c r="U110" s="271"/>
      <c r="V110" s="271"/>
      <c r="W110" s="272"/>
      <c r="X110" s="273"/>
      <c r="Y110" s="270"/>
      <c r="Z110" s="271"/>
      <c r="AA110" s="271"/>
      <c r="AB110" s="272"/>
      <c r="AC110" s="273">
        <f t="shared" ref="AC110:AH110" si="169">+AC109/X109-1</f>
        <v>0.10098792535675072</v>
      </c>
      <c r="AD110" s="270">
        <f t="shared" si="169"/>
        <v>0.20081967213114749</v>
      </c>
      <c r="AE110" s="271">
        <f t="shared" si="169"/>
        <v>0.36073059360730597</v>
      </c>
      <c r="AF110" s="271">
        <f t="shared" si="169"/>
        <v>0.29527559055118102</v>
      </c>
      <c r="AG110" s="272">
        <f t="shared" si="169"/>
        <v>0.24510489510489486</v>
      </c>
      <c r="AH110" s="273">
        <f t="shared" si="169"/>
        <v>0.27228315054835495</v>
      </c>
      <c r="AI110" s="270">
        <f t="shared" ref="AI110:AP110" si="170">+AI109/AD109-1</f>
        <v>8.8737201365187701E-2</v>
      </c>
      <c r="AJ110" s="271">
        <f t="shared" si="170"/>
        <v>-3.0201342281879207E-2</v>
      </c>
      <c r="AK110" s="271">
        <f t="shared" si="170"/>
        <v>5.7750759878419489E-2</v>
      </c>
      <c r="AL110" s="272">
        <f t="shared" si="170"/>
        <v>4.7177759056445279E-2</v>
      </c>
      <c r="AM110" s="273">
        <f t="shared" si="170"/>
        <v>4.1376067706292652E-2</v>
      </c>
      <c r="AN110" s="270">
        <f t="shared" si="170"/>
        <v>1.6927899686520309E-2</v>
      </c>
      <c r="AO110" s="271">
        <f t="shared" si="170"/>
        <v>0.12768166089965383</v>
      </c>
      <c r="AP110" s="271">
        <f t="shared" si="170"/>
        <v>2.8448275862068995E-2</v>
      </c>
      <c r="AQ110" s="272">
        <f t="shared" ref="AQ110:AW110" si="171">+AQ109/AL109-1</f>
        <v>1.5017430946634436E-2</v>
      </c>
      <c r="AR110" s="273">
        <f t="shared" si="171"/>
        <v>4.3494619610203955E-2</v>
      </c>
      <c r="AS110" s="270">
        <f t="shared" si="171"/>
        <v>-0.11929716399506785</v>
      </c>
      <c r="AT110" s="271">
        <f t="shared" si="171"/>
        <v>-9.9110156489720658E-2</v>
      </c>
      <c r="AU110" s="271">
        <f t="shared" si="171"/>
        <v>-0.1528359877060631</v>
      </c>
      <c r="AV110" s="272">
        <f t="shared" si="171"/>
        <v>-0.18652575957727868</v>
      </c>
      <c r="AW110" s="273">
        <f t="shared" si="171"/>
        <v>-0.14155909713708803</v>
      </c>
      <c r="AX110" s="270">
        <f>+AX56</f>
        <v>-2.2499999999999999E-2</v>
      </c>
      <c r="AY110" s="271">
        <f>+AY56</f>
        <v>-2.2499999999999999E-2</v>
      </c>
      <c r="AZ110" s="271">
        <f>+AZ56</f>
        <v>-2.2499999999999999E-2</v>
      </c>
      <c r="BA110" s="272">
        <f>+BA56</f>
        <v>-2.2499999999999999E-2</v>
      </c>
      <c r="BB110" s="273">
        <f>+BB109/AW109-1</f>
        <v>-2.2500000000000075E-2</v>
      </c>
      <c r="BC110" s="270">
        <f>+BC56</f>
        <v>5.0000000000000001E-3</v>
      </c>
      <c r="BD110" s="271">
        <f>+BD56</f>
        <v>5.0000000000000001E-3</v>
      </c>
      <c r="BE110" s="271">
        <f>+BE56</f>
        <v>5.0000000000000001E-3</v>
      </c>
      <c r="BF110" s="272">
        <f>+BF56</f>
        <v>5.0000000000000001E-3</v>
      </c>
      <c r="BG110" s="273">
        <f>+BG109/BB109-1</f>
        <v>5.0000000000001155E-3</v>
      </c>
      <c r="BH110" s="270">
        <f>+BH56</f>
        <v>5.0000000000000001E-3</v>
      </c>
      <c r="BI110" s="271">
        <f>+BI56</f>
        <v>5.0000000000000001E-3</v>
      </c>
      <c r="BJ110" s="271">
        <f>+BJ56</f>
        <v>5.0000000000000001E-3</v>
      </c>
      <c r="BK110" s="272">
        <f>+BK56</f>
        <v>5.0000000000000001E-3</v>
      </c>
      <c r="BL110" s="273">
        <f>+BL109/BG109-1</f>
        <v>4.9999999999998934E-3</v>
      </c>
      <c r="BM110" s="270">
        <f>+BM56</f>
        <v>5.0000000000000001E-3</v>
      </c>
      <c r="BN110" s="271">
        <f>+BN56</f>
        <v>5.0000000000000001E-3</v>
      </c>
      <c r="BO110" s="271">
        <f>+BO56</f>
        <v>5.0000000000000001E-3</v>
      </c>
      <c r="BP110" s="272">
        <f>+BP56</f>
        <v>5.0000000000000001E-3</v>
      </c>
      <c r="BQ110" s="273">
        <f>+BQ109/BL109-1</f>
        <v>4.9999999999996714E-3</v>
      </c>
      <c r="BR110" s="75"/>
      <c r="BS110" s="75"/>
      <c r="BT110" s="75"/>
      <c r="BU110" s="75"/>
      <c r="BV110" s="75"/>
      <c r="BW110" s="75"/>
      <c r="BX110" s="75"/>
      <c r="BY110" s="75"/>
      <c r="BZ110" s="75"/>
      <c r="CA110" s="75"/>
      <c r="CB110" s="75"/>
      <c r="CC110" s="75"/>
      <c r="CD110" s="75"/>
      <c r="CE110" s="75"/>
      <c r="CF110" s="75"/>
      <c r="CG110" s="75"/>
      <c r="CH110" s="75"/>
      <c r="CI110" s="75"/>
      <c r="CJ110" s="75"/>
      <c r="CK110" s="75"/>
      <c r="CL110" s="75"/>
      <c r="CM110" s="75"/>
      <c r="CN110" s="75"/>
      <c r="CO110" s="75"/>
      <c r="CP110" s="75"/>
      <c r="CQ110" s="75"/>
      <c r="CR110" s="75"/>
      <c r="CS110" s="75"/>
      <c r="CT110" s="75"/>
      <c r="CU110" s="75"/>
    </row>
    <row r="111" spans="1:99">
      <c r="A111" s="50"/>
      <c r="B111" s="50"/>
      <c r="C111" s="303"/>
      <c r="D111" s="50"/>
      <c r="E111" s="225"/>
      <c r="F111" s="226"/>
      <c r="G111" s="226"/>
      <c r="H111" s="227"/>
      <c r="I111" s="228"/>
      <c r="J111" s="225"/>
      <c r="K111" s="226"/>
      <c r="L111" s="226"/>
      <c r="M111" s="227"/>
      <c r="N111" s="228"/>
      <c r="O111" s="225"/>
      <c r="P111" s="226"/>
      <c r="Q111" s="226"/>
      <c r="R111" s="227"/>
      <c r="S111" s="228"/>
      <c r="T111" s="225"/>
      <c r="U111" s="226"/>
      <c r="V111" s="226"/>
      <c r="W111" s="227"/>
      <c r="X111" s="228"/>
      <c r="Y111" s="225"/>
      <c r="Z111" s="226"/>
      <c r="AA111" s="226"/>
      <c r="AB111" s="227"/>
      <c r="AC111" s="228"/>
      <c r="AD111" s="225"/>
      <c r="AE111" s="226"/>
      <c r="AF111" s="226"/>
      <c r="AG111" s="227"/>
      <c r="AH111" s="228"/>
      <c r="AI111" s="225"/>
      <c r="AJ111" s="226"/>
      <c r="AK111" s="226"/>
      <c r="AL111" s="227"/>
      <c r="AM111" s="228"/>
      <c r="AN111" s="225"/>
      <c r="AO111" s="226"/>
      <c r="AP111" s="226"/>
      <c r="AQ111" s="227"/>
      <c r="AR111" s="228"/>
      <c r="AS111" s="225"/>
      <c r="AT111" s="226"/>
      <c r="AU111" s="226"/>
      <c r="AV111" s="227"/>
      <c r="AW111" s="228"/>
      <c r="AX111" s="225"/>
      <c r="AY111" s="226"/>
      <c r="AZ111" s="226"/>
      <c r="BA111" s="227"/>
      <c r="BB111" s="228"/>
      <c r="BC111" s="225"/>
      <c r="BD111" s="226"/>
      <c r="BE111" s="226"/>
      <c r="BF111" s="227"/>
      <c r="BG111" s="228"/>
      <c r="BH111" s="225"/>
      <c r="BI111" s="226"/>
      <c r="BJ111" s="226"/>
      <c r="BK111" s="227"/>
      <c r="BL111" s="228"/>
      <c r="BM111" s="225"/>
      <c r="BN111" s="226"/>
      <c r="BO111" s="226"/>
      <c r="BP111" s="227"/>
      <c r="BQ111" s="228"/>
      <c r="BR111" s="50"/>
      <c r="BS111" s="50"/>
      <c r="BT111" s="50"/>
      <c r="BU111" s="50"/>
      <c r="BV111" s="50"/>
      <c r="BW111" s="50"/>
      <c r="BX111" s="50"/>
      <c r="BY111" s="50"/>
      <c r="BZ111" s="50"/>
      <c r="CA111" s="50"/>
      <c r="CB111" s="50"/>
      <c r="CC111" s="50"/>
      <c r="CD111" s="50"/>
      <c r="CE111" s="50"/>
      <c r="CF111" s="50"/>
      <c r="CG111" s="50"/>
      <c r="CH111" s="50"/>
      <c r="CI111" s="50"/>
      <c r="CJ111" s="50"/>
      <c r="CK111" s="50"/>
      <c r="CL111" s="50"/>
      <c r="CM111" s="50"/>
      <c r="CN111" s="50"/>
      <c r="CO111" s="50"/>
      <c r="CP111" s="50"/>
      <c r="CQ111" s="50"/>
      <c r="CR111" s="50"/>
      <c r="CS111" s="50"/>
      <c r="CT111" s="50"/>
      <c r="CU111" s="50"/>
    </row>
    <row r="112" spans="1:99">
      <c r="A112" s="242"/>
      <c r="B112" s="242"/>
      <c r="C112" s="303" t="s">
        <v>1017</v>
      </c>
      <c r="D112" s="109"/>
      <c r="E112" s="161"/>
      <c r="F112" s="160"/>
      <c r="G112" s="160"/>
      <c r="H112" s="144"/>
      <c r="I112" s="109"/>
      <c r="J112" s="161"/>
      <c r="K112" s="160"/>
      <c r="L112" s="160"/>
      <c r="M112" s="144"/>
      <c r="N112" s="109"/>
      <c r="O112" s="161"/>
      <c r="P112" s="160"/>
      <c r="Q112" s="160"/>
      <c r="R112" s="144"/>
      <c r="S112" s="109"/>
      <c r="T112" s="161"/>
      <c r="U112" s="160"/>
      <c r="V112" s="160"/>
      <c r="W112" s="144"/>
      <c r="X112" s="109">
        <f>+X14</f>
        <v>428</v>
      </c>
      <c r="Y112" s="161">
        <f>+Y14</f>
        <v>104</v>
      </c>
      <c r="Z112" s="160">
        <f t="shared" ref="Z112:AF112" si="172">+Z14</f>
        <v>105</v>
      </c>
      <c r="AA112" s="160">
        <f t="shared" si="172"/>
        <v>118</v>
      </c>
      <c r="AB112" s="144">
        <f t="shared" si="172"/>
        <v>108</v>
      </c>
      <c r="AC112" s="109">
        <f t="shared" si="172"/>
        <v>435</v>
      </c>
      <c r="AD112" s="161">
        <f t="shared" si="172"/>
        <v>119</v>
      </c>
      <c r="AE112" s="160">
        <f t="shared" si="172"/>
        <v>108</v>
      </c>
      <c r="AF112" s="160">
        <f t="shared" si="172"/>
        <v>117</v>
      </c>
      <c r="AG112" s="144">
        <f t="shared" ref="AG112:AM112" si="173">+AG14</f>
        <v>109.39999999999998</v>
      </c>
      <c r="AH112" s="109">
        <f t="shared" si="173"/>
        <v>453.4</v>
      </c>
      <c r="AI112" s="161">
        <f t="shared" si="173"/>
        <v>122</v>
      </c>
      <c r="AJ112" s="160">
        <f t="shared" si="173"/>
        <v>118</v>
      </c>
      <c r="AK112" s="160">
        <f t="shared" si="173"/>
        <v>122</v>
      </c>
      <c r="AL112" s="144">
        <f t="shared" si="173"/>
        <v>116.30000000000001</v>
      </c>
      <c r="AM112" s="109">
        <f t="shared" si="173"/>
        <v>478.3</v>
      </c>
      <c r="AN112" s="161">
        <f t="shared" ref="AN112:AS112" si="174">+AN14</f>
        <v>123.3</v>
      </c>
      <c r="AO112" s="160">
        <f t="shared" si="174"/>
        <v>117.7</v>
      </c>
      <c r="AP112" s="160">
        <f t="shared" si="174"/>
        <v>132</v>
      </c>
      <c r="AQ112" s="144">
        <f t="shared" si="174"/>
        <v>121.30000000000001</v>
      </c>
      <c r="AR112" s="109">
        <f t="shared" si="174"/>
        <v>494.3</v>
      </c>
      <c r="AS112" s="161">
        <f t="shared" si="174"/>
        <v>126.9</v>
      </c>
      <c r="AT112" s="160">
        <f>+AT14</f>
        <v>126.6</v>
      </c>
      <c r="AU112" s="160">
        <f>+AU14</f>
        <v>133.6</v>
      </c>
      <c r="AV112" s="144">
        <f t="shared" ref="AV112:AW112" si="175">+AV14</f>
        <v>126.60000000000002</v>
      </c>
      <c r="AW112" s="109">
        <f t="shared" si="175"/>
        <v>513.70000000000005</v>
      </c>
      <c r="AX112" s="161">
        <f>AS112*(1+AX113)</f>
        <v>128.16900000000001</v>
      </c>
      <c r="AY112" s="160">
        <f>AT112*(1+AY113)</f>
        <v>127.866</v>
      </c>
      <c r="AZ112" s="160">
        <f>AU112*(1+AZ113)</f>
        <v>134.93600000000001</v>
      </c>
      <c r="BA112" s="144">
        <f>AV112*(1+BA113)</f>
        <v>127.86600000000003</v>
      </c>
      <c r="BB112" s="109">
        <f>+SUM(AX112:BA112)</f>
        <v>518.83699999999999</v>
      </c>
      <c r="BC112" s="161">
        <f>AX112*(1+BC113)</f>
        <v>129.45069000000001</v>
      </c>
      <c r="BD112" s="160">
        <f>AY112*(1+BD113)</f>
        <v>129.14465999999999</v>
      </c>
      <c r="BE112" s="160">
        <f>AZ112*(1+BE113)</f>
        <v>136.28536</v>
      </c>
      <c r="BF112" s="144">
        <f>BA112*(1+BF113)</f>
        <v>129.14466000000002</v>
      </c>
      <c r="BG112" s="109">
        <f>+SUM(BC112:BF112)</f>
        <v>524.02537000000007</v>
      </c>
      <c r="BH112" s="161">
        <f>BC112*(1+BH113)</f>
        <v>130.7451969</v>
      </c>
      <c r="BI112" s="160">
        <f>BD112*(1+BI113)</f>
        <v>130.43610659999999</v>
      </c>
      <c r="BJ112" s="160">
        <f>BE112*(1+BJ113)</f>
        <v>137.64821359999999</v>
      </c>
      <c r="BK112" s="144">
        <f>BF112*(1+BK113)</f>
        <v>130.43610660000002</v>
      </c>
      <c r="BL112" s="109">
        <f>+SUM(BH112:BK112)</f>
        <v>529.26562369999999</v>
      </c>
      <c r="BM112" s="161">
        <f>BH112*(1+BM113)</f>
        <v>132.052648869</v>
      </c>
      <c r="BN112" s="160">
        <f>BI112*(1+BN113)</f>
        <v>131.740467666</v>
      </c>
      <c r="BO112" s="160">
        <f>BJ112*(1+BO113)</f>
        <v>139.02469573599998</v>
      </c>
      <c r="BP112" s="144">
        <f>BK112*(1+BP113)</f>
        <v>131.74046766600003</v>
      </c>
      <c r="BQ112" s="109">
        <f>+SUM(BM112:BP112)</f>
        <v>534.55827993699995</v>
      </c>
      <c r="BR112" s="242"/>
      <c r="BS112" s="242"/>
      <c r="BT112" s="242"/>
      <c r="BU112" s="242"/>
      <c r="BV112" s="242"/>
      <c r="BW112" s="242"/>
      <c r="BX112" s="242"/>
      <c r="BY112" s="242"/>
      <c r="BZ112" s="242"/>
      <c r="CA112" s="242"/>
      <c r="CB112" s="242"/>
      <c r="CC112" s="242"/>
      <c r="CD112" s="242"/>
      <c r="CE112" s="242"/>
      <c r="CF112" s="242"/>
      <c r="CG112" s="242"/>
      <c r="CH112" s="242"/>
      <c r="CI112" s="242"/>
      <c r="CJ112" s="242"/>
      <c r="CK112" s="242"/>
      <c r="CL112" s="242"/>
      <c r="CM112" s="242"/>
      <c r="CN112" s="242"/>
      <c r="CO112" s="242"/>
      <c r="CP112" s="242"/>
      <c r="CQ112" s="242"/>
      <c r="CR112" s="242"/>
      <c r="CS112" s="242"/>
      <c r="CT112" s="242"/>
      <c r="CU112" s="242"/>
    </row>
    <row r="113" spans="1:99">
      <c r="A113" s="75"/>
      <c r="B113" s="75"/>
      <c r="C113" s="349" t="s">
        <v>218</v>
      </c>
      <c r="D113" s="75"/>
      <c r="E113" s="350"/>
      <c r="F113" s="351"/>
      <c r="G113" s="351"/>
      <c r="H113" s="352"/>
      <c r="I113" s="273"/>
      <c r="J113" s="270"/>
      <c r="K113" s="271"/>
      <c r="L113" s="271"/>
      <c r="M113" s="272"/>
      <c r="N113" s="273"/>
      <c r="O113" s="270"/>
      <c r="P113" s="271"/>
      <c r="Q113" s="271"/>
      <c r="R113" s="272"/>
      <c r="S113" s="273"/>
      <c r="T113" s="270"/>
      <c r="U113" s="271"/>
      <c r="V113" s="271"/>
      <c r="W113" s="272"/>
      <c r="X113" s="273"/>
      <c r="Y113" s="270"/>
      <c r="Z113" s="271"/>
      <c r="AA113" s="271"/>
      <c r="AB113" s="272"/>
      <c r="AC113" s="273">
        <f t="shared" ref="AC113:AH113" si="176">+AC112/X112-1</f>
        <v>1.6355140186915973E-2</v>
      </c>
      <c r="AD113" s="270">
        <f t="shared" si="176"/>
        <v>0.14423076923076916</v>
      </c>
      <c r="AE113" s="271">
        <f t="shared" si="176"/>
        <v>2.857142857142847E-2</v>
      </c>
      <c r="AF113" s="271">
        <f t="shared" si="176"/>
        <v>-8.4745762711864181E-3</v>
      </c>
      <c r="AG113" s="272">
        <f t="shared" si="176"/>
        <v>1.2962962962962843E-2</v>
      </c>
      <c r="AH113" s="273">
        <f t="shared" si="176"/>
        <v>4.229885057471261E-2</v>
      </c>
      <c r="AI113" s="270">
        <f t="shared" ref="AI113:AP113" si="177">+AI112/AD112-1</f>
        <v>2.5210084033613356E-2</v>
      </c>
      <c r="AJ113" s="271">
        <f t="shared" si="177"/>
        <v>9.259259259259256E-2</v>
      </c>
      <c r="AK113" s="271">
        <f t="shared" si="177"/>
        <v>4.2735042735042805E-2</v>
      </c>
      <c r="AL113" s="272">
        <f t="shared" si="177"/>
        <v>6.3071297989031327E-2</v>
      </c>
      <c r="AM113" s="273">
        <f t="shared" si="177"/>
        <v>5.491839435377166E-2</v>
      </c>
      <c r="AN113" s="270">
        <f t="shared" si="177"/>
        <v>1.06557377049179E-2</v>
      </c>
      <c r="AO113" s="271">
        <f t="shared" si="177"/>
        <v>-2.5423728813559476E-3</v>
      </c>
      <c r="AP113" s="271">
        <f t="shared" si="177"/>
        <v>8.1967213114754189E-2</v>
      </c>
      <c r="AQ113" s="272">
        <f t="shared" ref="AQ113:AW113" si="178">+AQ112/AL112-1</f>
        <v>4.2992261392949205E-2</v>
      </c>
      <c r="AR113" s="273">
        <f t="shared" si="178"/>
        <v>3.3451808488396351E-2</v>
      </c>
      <c r="AS113" s="270">
        <f t="shared" si="178"/>
        <v>2.9197080291970767E-2</v>
      </c>
      <c r="AT113" s="271">
        <f t="shared" si="178"/>
        <v>7.5615972812234311E-2</v>
      </c>
      <c r="AU113" s="271">
        <f t="shared" si="178"/>
        <v>1.2121212121211977E-2</v>
      </c>
      <c r="AV113" s="272">
        <f t="shared" si="178"/>
        <v>4.3693322341302743E-2</v>
      </c>
      <c r="AW113" s="273">
        <f t="shared" si="178"/>
        <v>3.9247420594780591E-2</v>
      </c>
      <c r="AX113" s="270">
        <f>+AX57</f>
        <v>0.01</v>
      </c>
      <c r="AY113" s="271">
        <f>+AY57</f>
        <v>0.01</v>
      </c>
      <c r="AZ113" s="271">
        <f>+AZ57</f>
        <v>0.01</v>
      </c>
      <c r="BA113" s="272">
        <f>+BA57</f>
        <v>0.01</v>
      </c>
      <c r="BB113" s="273">
        <f>+BB112/AW112-1</f>
        <v>9.9999999999997868E-3</v>
      </c>
      <c r="BC113" s="270">
        <f>+BC57</f>
        <v>0.01</v>
      </c>
      <c r="BD113" s="271">
        <f>+BD57</f>
        <v>0.01</v>
      </c>
      <c r="BE113" s="271">
        <f>+BE57</f>
        <v>0.01</v>
      </c>
      <c r="BF113" s="272">
        <f>+BF57</f>
        <v>0.01</v>
      </c>
      <c r="BG113" s="273">
        <f>+BG112/BB112-1</f>
        <v>1.0000000000000231E-2</v>
      </c>
      <c r="BH113" s="270">
        <f>+BH57</f>
        <v>0.01</v>
      </c>
      <c r="BI113" s="271">
        <f>+BI57</f>
        <v>0.01</v>
      </c>
      <c r="BJ113" s="271">
        <f>+BJ57</f>
        <v>0.01</v>
      </c>
      <c r="BK113" s="272">
        <f>+BK57</f>
        <v>0.01</v>
      </c>
      <c r="BL113" s="273">
        <f>+BL112/BG112-1</f>
        <v>9.9999999999997868E-3</v>
      </c>
      <c r="BM113" s="270">
        <f>+BM57</f>
        <v>0.01</v>
      </c>
      <c r="BN113" s="271">
        <f>+BN57</f>
        <v>0.01</v>
      </c>
      <c r="BO113" s="271">
        <f>+BO57</f>
        <v>0.01</v>
      </c>
      <c r="BP113" s="272">
        <f>+BP57</f>
        <v>0.01</v>
      </c>
      <c r="BQ113" s="273">
        <f>+BQ112/BL112-1</f>
        <v>1.0000000000000009E-2</v>
      </c>
      <c r="BR113" s="75"/>
      <c r="BS113" s="75"/>
      <c r="BT113" s="75"/>
      <c r="BU113" s="75"/>
      <c r="BV113" s="75"/>
      <c r="BW113" s="75"/>
      <c r="BX113" s="75"/>
      <c r="BY113" s="75"/>
      <c r="BZ113" s="75"/>
      <c r="CA113" s="75"/>
      <c r="CB113" s="75"/>
      <c r="CC113" s="75"/>
      <c r="CD113" s="75"/>
      <c r="CE113" s="75"/>
      <c r="CF113" s="75"/>
      <c r="CG113" s="75"/>
      <c r="CH113" s="75"/>
      <c r="CI113" s="75"/>
      <c r="CJ113" s="75"/>
      <c r="CK113" s="75"/>
      <c r="CL113" s="75"/>
      <c r="CM113" s="75"/>
      <c r="CN113" s="75"/>
      <c r="CO113" s="75"/>
      <c r="CP113" s="75"/>
      <c r="CQ113" s="75"/>
      <c r="CR113" s="75"/>
      <c r="CS113" s="75"/>
      <c r="CT113" s="75"/>
      <c r="CU113" s="75"/>
    </row>
    <row r="114" spans="1:99">
      <c r="A114" s="50"/>
      <c r="B114" s="50"/>
      <c r="C114" s="50"/>
      <c r="D114" s="50"/>
      <c r="E114" s="225"/>
      <c r="F114" s="226"/>
      <c r="G114" s="226"/>
      <c r="H114" s="227"/>
      <c r="I114" s="228"/>
      <c r="J114" s="225"/>
      <c r="K114" s="226"/>
      <c r="L114" s="226"/>
      <c r="M114" s="227"/>
      <c r="N114" s="228"/>
      <c r="O114" s="225"/>
      <c r="P114" s="226"/>
      <c r="Q114" s="226"/>
      <c r="R114" s="227"/>
      <c r="S114" s="228"/>
      <c r="T114" s="225"/>
      <c r="U114" s="226"/>
      <c r="V114" s="226"/>
      <c r="W114" s="227"/>
      <c r="X114" s="228"/>
      <c r="Y114" s="225"/>
      <c r="Z114" s="226"/>
      <c r="AA114" s="226"/>
      <c r="AB114" s="227"/>
      <c r="AC114" s="228"/>
      <c r="AD114" s="225"/>
      <c r="AE114" s="226"/>
      <c r="AF114" s="226"/>
      <c r="AG114" s="227"/>
      <c r="AH114" s="228"/>
      <c r="AI114" s="225"/>
      <c r="AJ114" s="226"/>
      <c r="AK114" s="226"/>
      <c r="AL114" s="227"/>
      <c r="AM114" s="228"/>
      <c r="AN114" s="225"/>
      <c r="AO114" s="226"/>
      <c r="AP114" s="226"/>
      <c r="AQ114" s="227"/>
      <c r="AR114" s="228"/>
      <c r="AS114" s="225"/>
      <c r="AT114" s="226"/>
      <c r="AU114" s="226"/>
      <c r="AV114" s="227"/>
      <c r="AW114" s="228"/>
      <c r="AX114" s="225"/>
      <c r="AY114" s="226"/>
      <c r="AZ114" s="226"/>
      <c r="BA114" s="227"/>
      <c r="BB114" s="228"/>
      <c r="BC114" s="225"/>
      <c r="BD114" s="226"/>
      <c r="BE114" s="226"/>
      <c r="BF114" s="227"/>
      <c r="BG114" s="228"/>
      <c r="BH114" s="225"/>
      <c r="BI114" s="226"/>
      <c r="BJ114" s="226"/>
      <c r="BK114" s="227"/>
      <c r="BL114" s="228"/>
      <c r="BM114" s="225"/>
      <c r="BN114" s="226"/>
      <c r="BO114" s="226"/>
      <c r="BP114" s="227"/>
      <c r="BQ114" s="228"/>
      <c r="BR114" s="50"/>
      <c r="BS114" s="50"/>
      <c r="BT114" s="50"/>
      <c r="BU114" s="50"/>
      <c r="BV114" s="50"/>
      <c r="BW114" s="50"/>
      <c r="BX114" s="50"/>
      <c r="BY114" s="50"/>
      <c r="BZ114" s="50"/>
      <c r="CA114" s="50"/>
      <c r="CB114" s="50"/>
      <c r="CC114" s="50"/>
      <c r="CD114" s="50"/>
      <c r="CE114" s="50"/>
      <c r="CF114" s="50"/>
      <c r="CG114" s="50"/>
      <c r="CH114" s="50"/>
      <c r="CI114" s="50"/>
      <c r="CJ114" s="50"/>
      <c r="CK114" s="50"/>
      <c r="CL114" s="50"/>
      <c r="CM114" s="50"/>
      <c r="CN114" s="50"/>
      <c r="CO114" s="50"/>
      <c r="CP114" s="50"/>
      <c r="CQ114" s="50"/>
      <c r="CR114" s="50"/>
      <c r="CS114" s="50"/>
      <c r="CT114" s="50"/>
      <c r="CU114" s="50"/>
    </row>
    <row r="115" spans="1:99">
      <c r="A115" s="50"/>
      <c r="B115" s="50"/>
      <c r="C115" s="50"/>
      <c r="D115" s="50"/>
      <c r="E115" s="225"/>
      <c r="F115" s="226"/>
      <c r="G115" s="226"/>
      <c r="H115" s="227"/>
      <c r="I115" s="228"/>
      <c r="J115" s="225"/>
      <c r="K115" s="226"/>
      <c r="L115" s="226"/>
      <c r="M115" s="227"/>
      <c r="N115" s="228"/>
      <c r="O115" s="225"/>
      <c r="P115" s="226"/>
      <c r="Q115" s="226"/>
      <c r="R115" s="227"/>
      <c r="S115" s="228"/>
      <c r="T115" s="225"/>
      <c r="U115" s="226"/>
      <c r="V115" s="226"/>
      <c r="W115" s="227"/>
      <c r="X115" s="228"/>
      <c r="Y115" s="225"/>
      <c r="Z115" s="226"/>
      <c r="AA115" s="226"/>
      <c r="AB115" s="227"/>
      <c r="AC115" s="228"/>
      <c r="AD115" s="225"/>
      <c r="AE115" s="226"/>
      <c r="AF115" s="226"/>
      <c r="AG115" s="227"/>
      <c r="AH115" s="228"/>
      <c r="AI115" s="225"/>
      <c r="AJ115" s="226"/>
      <c r="AK115" s="226"/>
      <c r="AL115" s="227"/>
      <c r="AM115" s="228"/>
      <c r="AN115" s="225"/>
      <c r="AO115" s="226"/>
      <c r="AP115" s="226"/>
      <c r="AQ115" s="227"/>
      <c r="AR115" s="228"/>
      <c r="AS115" s="225"/>
      <c r="AT115" s="226"/>
      <c r="AU115" s="226"/>
      <c r="AV115" s="227"/>
      <c r="AW115" s="228"/>
      <c r="AX115" s="225"/>
      <c r="AY115" s="226"/>
      <c r="AZ115" s="226"/>
      <c r="BA115" s="227"/>
      <c r="BB115" s="228"/>
      <c r="BC115" s="225"/>
      <c r="BD115" s="226"/>
      <c r="BE115" s="226"/>
      <c r="BF115" s="227"/>
      <c r="BG115" s="228"/>
      <c r="BH115" s="225"/>
      <c r="BI115" s="226"/>
      <c r="BJ115" s="226"/>
      <c r="BK115" s="227"/>
      <c r="BL115" s="228"/>
      <c r="BM115" s="225"/>
      <c r="BN115" s="226"/>
      <c r="BO115" s="226"/>
      <c r="BP115" s="227"/>
      <c r="BQ115" s="228"/>
      <c r="BR115" s="50"/>
      <c r="BS115" s="50"/>
      <c r="BT115" s="50"/>
      <c r="BU115" s="50"/>
      <c r="BV115" s="50"/>
      <c r="BW115" s="50"/>
      <c r="BX115" s="50"/>
      <c r="BY115" s="50"/>
      <c r="BZ115" s="50"/>
      <c r="CA115" s="50"/>
      <c r="CB115" s="50"/>
      <c r="CC115" s="50"/>
      <c r="CD115" s="50"/>
      <c r="CE115" s="50"/>
      <c r="CF115" s="50"/>
      <c r="CG115" s="50"/>
      <c r="CH115" s="50"/>
      <c r="CI115" s="50"/>
      <c r="CJ115" s="50"/>
      <c r="CK115" s="50"/>
      <c r="CL115" s="50"/>
      <c r="CM115" s="50"/>
      <c r="CN115" s="50"/>
      <c r="CO115" s="50"/>
      <c r="CP115" s="50"/>
      <c r="CQ115" s="50"/>
      <c r="CR115" s="50"/>
      <c r="CS115" s="50"/>
      <c r="CT115" s="50"/>
      <c r="CU115" s="50"/>
    </row>
    <row r="116" spans="1:99">
      <c r="A116" s="50"/>
      <c r="B116" s="46" t="s">
        <v>219</v>
      </c>
      <c r="C116" s="46"/>
      <c r="D116" s="47"/>
      <c r="E116" s="225"/>
      <c r="F116" s="226"/>
      <c r="G116" s="226"/>
      <c r="H116" s="227"/>
      <c r="I116" s="228"/>
      <c r="J116" s="225"/>
      <c r="K116" s="226"/>
      <c r="L116" s="226"/>
      <c r="M116" s="227"/>
      <c r="N116" s="228"/>
      <c r="O116" s="225"/>
      <c r="P116" s="226"/>
      <c r="Q116" s="226"/>
      <c r="R116" s="227"/>
      <c r="S116" s="228"/>
      <c r="T116" s="225"/>
      <c r="U116" s="226"/>
      <c r="V116" s="226"/>
      <c r="W116" s="227"/>
      <c r="X116" s="228"/>
      <c r="Y116" s="225"/>
      <c r="Z116" s="226"/>
      <c r="AA116" s="226"/>
      <c r="AB116" s="227"/>
      <c r="AC116" s="228"/>
      <c r="AD116" s="225"/>
      <c r="AE116" s="226"/>
      <c r="AF116" s="226"/>
      <c r="AG116" s="227"/>
      <c r="AH116" s="228"/>
      <c r="AI116" s="225"/>
      <c r="AJ116" s="226"/>
      <c r="AK116" s="226"/>
      <c r="AL116" s="227"/>
      <c r="AM116" s="228"/>
      <c r="AN116" s="225"/>
      <c r="AO116" s="226"/>
      <c r="AP116" s="226"/>
      <c r="AQ116" s="227"/>
      <c r="AR116" s="228"/>
      <c r="AS116" s="225"/>
      <c r="AT116" s="226"/>
      <c r="AU116" s="226"/>
      <c r="AV116" s="227"/>
      <c r="AW116" s="228"/>
      <c r="AX116" s="225"/>
      <c r="AY116" s="226"/>
      <c r="AZ116" s="226"/>
      <c r="BA116" s="227"/>
      <c r="BB116" s="228"/>
      <c r="BC116" s="225"/>
      <c r="BD116" s="226"/>
      <c r="BE116" s="226"/>
      <c r="BF116" s="227"/>
      <c r="BG116" s="228"/>
      <c r="BH116" s="225"/>
      <c r="BI116" s="226"/>
      <c r="BJ116" s="226"/>
      <c r="BK116" s="227"/>
      <c r="BL116" s="228"/>
      <c r="BM116" s="225"/>
      <c r="BN116" s="226"/>
      <c r="BO116" s="226"/>
      <c r="BP116" s="227"/>
      <c r="BQ116" s="228"/>
      <c r="BR116" s="50"/>
      <c r="BS116" s="50"/>
      <c r="BT116" s="50"/>
      <c r="BU116" s="50"/>
      <c r="BV116" s="50"/>
      <c r="BW116" s="50"/>
      <c r="BX116" s="50"/>
      <c r="BY116" s="50"/>
      <c r="BZ116" s="50"/>
      <c r="CA116" s="50"/>
      <c r="CB116" s="50"/>
      <c r="CC116" s="50"/>
      <c r="CD116" s="50"/>
      <c r="CE116" s="50"/>
      <c r="CF116" s="50"/>
      <c r="CG116" s="50"/>
      <c r="CH116" s="50"/>
      <c r="CI116" s="50"/>
      <c r="CJ116" s="50"/>
      <c r="CK116" s="50"/>
      <c r="CL116" s="50"/>
      <c r="CM116" s="50"/>
      <c r="CN116" s="50"/>
      <c r="CO116" s="50"/>
      <c r="CP116" s="50"/>
      <c r="CQ116" s="50"/>
      <c r="CR116" s="50"/>
      <c r="CS116" s="50"/>
      <c r="CT116" s="50"/>
      <c r="CU116" s="50"/>
    </row>
    <row r="117" spans="1:99" s="72" customFormat="1">
      <c r="A117" s="50"/>
      <c r="B117" s="50"/>
      <c r="C117" s="50"/>
      <c r="D117" s="50"/>
      <c r="E117" s="142"/>
      <c r="F117" s="143"/>
      <c r="G117" s="143"/>
      <c r="H117" s="157"/>
      <c r="I117" s="145"/>
      <c r="J117" s="142"/>
      <c r="K117" s="143"/>
      <c r="L117" s="143"/>
      <c r="M117" s="157"/>
      <c r="N117" s="145"/>
      <c r="O117" s="142"/>
      <c r="P117" s="143"/>
      <c r="Q117" s="143"/>
      <c r="R117" s="157"/>
      <c r="S117" s="145"/>
      <c r="T117" s="142"/>
      <c r="U117" s="143"/>
      <c r="V117" s="143"/>
      <c r="W117" s="157"/>
      <c r="X117" s="145"/>
      <c r="Y117" s="142"/>
      <c r="Z117" s="143"/>
      <c r="AA117" s="143"/>
      <c r="AB117" s="157"/>
      <c r="AC117" s="145"/>
      <c r="AD117" s="142"/>
      <c r="AE117" s="143"/>
      <c r="AF117" s="143"/>
      <c r="AG117" s="144"/>
      <c r="AH117" s="109"/>
      <c r="AI117" s="142"/>
      <c r="AJ117" s="143"/>
      <c r="AK117" s="143"/>
      <c r="AL117" s="144"/>
      <c r="AM117" s="109"/>
      <c r="AN117" s="161"/>
      <c r="AO117" s="143"/>
      <c r="AP117" s="160"/>
      <c r="AQ117" s="144"/>
      <c r="AR117" s="109"/>
      <c r="AS117" s="161"/>
      <c r="AT117" s="143"/>
      <c r="AU117" s="160"/>
      <c r="AV117" s="144"/>
      <c r="AW117" s="109"/>
      <c r="AX117" s="161"/>
      <c r="AY117" s="160"/>
      <c r="AZ117" s="160"/>
      <c r="BA117" s="144"/>
      <c r="BB117" s="109"/>
      <c r="BC117" s="161"/>
      <c r="BD117" s="160"/>
      <c r="BE117" s="160"/>
      <c r="BF117" s="144"/>
      <c r="BG117" s="109"/>
      <c r="BH117" s="161"/>
      <c r="BI117" s="160"/>
      <c r="BJ117" s="160"/>
      <c r="BK117" s="144"/>
      <c r="BL117" s="109"/>
      <c r="BM117" s="161"/>
      <c r="BN117" s="160"/>
      <c r="BO117" s="160"/>
      <c r="BP117" s="144"/>
      <c r="BQ117" s="109"/>
      <c r="BR117" s="109"/>
      <c r="BS117" s="109"/>
      <c r="BT117" s="109"/>
      <c r="BU117" s="109"/>
      <c r="BV117" s="109"/>
      <c r="BW117" s="109"/>
      <c r="BX117" s="109"/>
      <c r="BY117" s="109"/>
      <c r="BZ117" s="109"/>
      <c r="CA117" s="109"/>
      <c r="CB117" s="109"/>
      <c r="CC117" s="109"/>
      <c r="CD117" s="109"/>
      <c r="CE117" s="109"/>
      <c r="CF117" s="109"/>
      <c r="CG117" s="109"/>
      <c r="CH117" s="109"/>
      <c r="CI117" s="109"/>
      <c r="CJ117" s="109"/>
      <c r="CK117" s="109"/>
      <c r="CL117" s="109"/>
      <c r="CM117" s="109"/>
      <c r="CN117" s="109"/>
      <c r="CO117" s="109"/>
      <c r="CP117" s="109"/>
      <c r="CQ117" s="109"/>
      <c r="CR117" s="109"/>
      <c r="CS117" s="109"/>
      <c r="CT117" s="109"/>
      <c r="CU117" s="109"/>
    </row>
    <row r="118" spans="1:99" s="56" customFormat="1">
      <c r="A118" s="111"/>
      <c r="B118" s="111"/>
      <c r="C118" s="347" t="s">
        <v>220</v>
      </c>
      <c r="D118" s="112"/>
      <c r="E118" s="149"/>
      <c r="F118" s="150"/>
      <c r="G118" s="150"/>
      <c r="H118" s="151"/>
      <c r="I118" s="112"/>
      <c r="J118" s="149"/>
      <c r="K118" s="150"/>
      <c r="L118" s="150"/>
      <c r="M118" s="151"/>
      <c r="N118" s="112"/>
      <c r="O118" s="149"/>
      <c r="P118" s="150"/>
      <c r="Q118" s="150"/>
      <c r="R118" s="151"/>
      <c r="S118" s="112"/>
      <c r="T118" s="149"/>
      <c r="U118" s="150"/>
      <c r="V118" s="150"/>
      <c r="W118" s="151"/>
      <c r="X118" s="112">
        <f>'Utility Detail'!X170-X122</f>
        <v>20132.749</v>
      </c>
      <c r="Y118" s="149">
        <f>'Utility Detail'!Y170-Y122</f>
        <v>20271.165000000001</v>
      </c>
      <c r="Z118" s="150">
        <f>'Utility Detail'!Z170-Z122</f>
        <v>20023.333000000002</v>
      </c>
      <c r="AA118" s="150">
        <f>'Utility Detail'!AA170-AA122</f>
        <v>20165.564999999999</v>
      </c>
      <c r="AB118" s="151">
        <f>'Utility Detail'!AB170-AB122</f>
        <v>11734.888999999999</v>
      </c>
      <c r="AC118" s="112">
        <f>'Utility Detail'!AC170-AC122</f>
        <v>11734.888999999999</v>
      </c>
      <c r="AD118" s="149">
        <f>'Utility Detail'!AD170-AD122</f>
        <v>11865.285</v>
      </c>
      <c r="AE118" s="150">
        <f>'Utility Detail'!AE170-AE122</f>
        <v>12100.034000000001</v>
      </c>
      <c r="AF118" s="150">
        <f>'Utility Detail'!AF170-AF122</f>
        <v>12262.105</v>
      </c>
      <c r="AG118" s="151">
        <f>'Utility Detail'!AG170-AG122</f>
        <v>12545.269000000002</v>
      </c>
      <c r="AH118" s="112">
        <f>'Utility Detail'!AH170-AH122</f>
        <v>12545.269000000002</v>
      </c>
      <c r="AI118" s="149">
        <f>'Utility Detail'!AI170-AI122</f>
        <v>12711.073999999999</v>
      </c>
      <c r="AJ118" s="150">
        <f>'Utility Detail'!AJ170-AJ122</f>
        <v>12988.089</v>
      </c>
      <c r="AK118" s="150">
        <f>'Utility Detail'!AK170-AK122</f>
        <v>13199.914999999999</v>
      </c>
      <c r="AL118" s="151">
        <f>'Utility Detail'!AL170-AL122</f>
        <v>13378.224999999999</v>
      </c>
      <c r="AM118" s="112">
        <f>'Utility Detail'!AM170-AM122</f>
        <v>13378.224999999999</v>
      </c>
      <c r="AN118" s="149">
        <f>'Utility Detail'!AN170-AN122</f>
        <v>13598.409000000001</v>
      </c>
      <c r="AO118" s="150">
        <f>'Utility Detail'!AO170-AO122</f>
        <v>13772.556</v>
      </c>
      <c r="AP118" s="150">
        <f>'Utility Detail'!AP170-AP122</f>
        <v>13960.708999999999</v>
      </c>
      <c r="AQ118" s="151">
        <f>'Utility Detail'!AQ170-AQ122</f>
        <v>14156.9</v>
      </c>
      <c r="AR118" s="112">
        <f>'Utility Detail'!AR170-AR122</f>
        <v>14156.9</v>
      </c>
      <c r="AS118" s="149">
        <f>'Utility Detail'!AS170-AS122</f>
        <v>14354</v>
      </c>
      <c r="AT118" s="150">
        <f>'Utility Detail'!AT170-AT122</f>
        <v>14632.599999999999</v>
      </c>
      <c r="AU118" s="150">
        <f>'Utility Detail'!AU170-AU122</f>
        <v>14790.300000000001</v>
      </c>
      <c r="AV118" s="151">
        <f>'Utility Detail'!AV170-AV122</f>
        <v>15125.400000000001</v>
      </c>
      <c r="AW118" s="112">
        <f>'Utility Detail'!AW170-AW122</f>
        <v>15125.400000000001</v>
      </c>
      <c r="AX118" s="149">
        <f>AW118+AX132-(AX122-AW122)</f>
        <v>15390.503773100618</v>
      </c>
      <c r="AY118" s="150">
        <f>AX118+AY132-(AY122-AX122)</f>
        <v>15836.753773100618</v>
      </c>
      <c r="AZ118" s="150">
        <f>AY118+AZ132-(AZ122-AY122)</f>
        <v>16283.003773100618</v>
      </c>
      <c r="BA118" s="151">
        <f>AZ118+BA132-(BA122-AZ122)</f>
        <v>16729.253773100616</v>
      </c>
      <c r="BB118" s="112">
        <f>BA118</f>
        <v>16729.253773100616</v>
      </c>
      <c r="BC118" s="149">
        <f>BB118+BC132-(BC122-BB122)</f>
        <v>17277.693968172483</v>
      </c>
      <c r="BD118" s="150">
        <f>BC118+BD132-(BD122-BC122)</f>
        <v>17677.443968172483</v>
      </c>
      <c r="BE118" s="150">
        <f>BD118+BE132-(BE122-BD122)</f>
        <v>18077.193968172483</v>
      </c>
      <c r="BF118" s="151">
        <f>BE118+BF132-(BF122-BE122)</f>
        <v>18476.943968172483</v>
      </c>
      <c r="BG118" s="112">
        <f>BF118</f>
        <v>18476.943968172483</v>
      </c>
      <c r="BH118" s="149">
        <f>BG118+BH132-(BH122-BG122)</f>
        <v>19005.805236139629</v>
      </c>
      <c r="BI118" s="150">
        <f>BH118+BI132-(BI122-BH122)</f>
        <v>19346.805236139629</v>
      </c>
      <c r="BJ118" s="150">
        <f>BI118+BJ132-(BJ122-BI122)</f>
        <v>19687.805236139629</v>
      </c>
      <c r="BK118" s="151">
        <f>BJ118+BK132-(BK122-BJ122)</f>
        <v>20028.805236139629</v>
      </c>
      <c r="BL118" s="112">
        <f>BK118</f>
        <v>20028.805236139629</v>
      </c>
      <c r="BM118" s="149">
        <f>BL118+BM132-(BM122-BL122)</f>
        <v>20369.805236139629</v>
      </c>
      <c r="BN118" s="150">
        <f>BM118+BN132-(BN122-BM122)</f>
        <v>20710.805236139629</v>
      </c>
      <c r="BO118" s="150">
        <f>BN118+BO132-(BO122-BN122)</f>
        <v>21051.805236139629</v>
      </c>
      <c r="BP118" s="151">
        <f>BO118+BP132-(BP122-BO122)</f>
        <v>21392.805236139629</v>
      </c>
      <c r="BQ118" s="112">
        <f>BP118</f>
        <v>21392.805236139629</v>
      </c>
      <c r="BR118" s="111"/>
      <c r="BS118" s="111"/>
      <c r="BT118" s="111"/>
      <c r="BU118" s="111"/>
      <c r="BV118" s="111"/>
      <c r="BW118" s="111"/>
      <c r="BX118" s="111"/>
      <c r="BY118" s="111"/>
      <c r="BZ118" s="111"/>
      <c r="CA118" s="111"/>
      <c r="CB118" s="111"/>
      <c r="CC118" s="111"/>
      <c r="CD118" s="111"/>
      <c r="CE118" s="111"/>
      <c r="CF118" s="111"/>
      <c r="CG118" s="111"/>
      <c r="CH118" s="111"/>
      <c r="CI118" s="111"/>
      <c r="CJ118" s="111"/>
      <c r="CK118" s="111"/>
      <c r="CL118" s="111"/>
      <c r="CM118" s="111"/>
      <c r="CN118" s="111"/>
      <c r="CO118" s="111"/>
      <c r="CP118" s="111"/>
      <c r="CQ118" s="111"/>
      <c r="CR118" s="111"/>
      <c r="CS118" s="111"/>
      <c r="CT118" s="111"/>
      <c r="CU118" s="111"/>
    </row>
    <row r="119" spans="1:99">
      <c r="A119" s="242"/>
      <c r="B119" s="242"/>
      <c r="C119" s="303" t="s">
        <v>108</v>
      </c>
      <c r="D119" s="109"/>
      <c r="E119" s="142"/>
      <c r="F119" s="143"/>
      <c r="G119" s="143"/>
      <c r="H119" s="147"/>
      <c r="I119" s="145"/>
      <c r="J119" s="142"/>
      <c r="K119" s="143"/>
      <c r="L119" s="143"/>
      <c r="M119" s="147"/>
      <c r="N119" s="145"/>
      <c r="O119" s="142"/>
      <c r="P119" s="143"/>
      <c r="Q119" s="143"/>
      <c r="R119" s="147"/>
      <c r="S119" s="145"/>
      <c r="T119" s="142"/>
      <c r="U119" s="143"/>
      <c r="V119" s="143"/>
      <c r="W119" s="147"/>
      <c r="X119" s="498">
        <f>'Utility Detail'!X184</f>
        <v>6540.2160000000003</v>
      </c>
      <c r="Y119" s="1236">
        <f>'Utility Detail'!Y184</f>
        <v>6631.5249999999996</v>
      </c>
      <c r="Z119" s="1238">
        <f>'Utility Detail'!Z184</f>
        <v>6498.6660000000002</v>
      </c>
      <c r="AA119" s="1238">
        <f>'Utility Detail'!AA184</f>
        <v>6586.7430000000004</v>
      </c>
      <c r="AB119" s="151">
        <f>'Utility Detail'!AB184</f>
        <v>3342.09</v>
      </c>
      <c r="AC119" s="498">
        <f>'Utility Detail'!AC184</f>
        <v>3342.09</v>
      </c>
      <c r="AD119" s="1236">
        <f>'Utility Detail'!AD184</f>
        <v>3382.3270000000002</v>
      </c>
      <c r="AE119" s="1238">
        <f>'Utility Detail'!AE184</f>
        <v>3406.8409999999999</v>
      </c>
      <c r="AF119" s="1238">
        <f>'Utility Detail'!AF184</f>
        <v>3447.1440000000002</v>
      </c>
      <c r="AG119" s="151">
        <f>'Utility Detail'!AG184</f>
        <v>3480.6669999999999</v>
      </c>
      <c r="AH119" s="498">
        <f>'Utility Detail'!AH184</f>
        <v>3480.6669999999999</v>
      </c>
      <c r="AI119" s="1236">
        <f>'Utility Detail'!AI184</f>
        <v>3520.4179999999997</v>
      </c>
      <c r="AJ119" s="1238">
        <f>'Utility Detail'!AJ184</f>
        <v>3564.51</v>
      </c>
      <c r="AK119" s="1238">
        <f>'Utility Detail'!AK184</f>
        <v>3602.5219999999999</v>
      </c>
      <c r="AL119" s="151">
        <f>'Utility Detail'!AL184</f>
        <v>3529.2589999999996</v>
      </c>
      <c r="AM119" s="498">
        <f>'Utility Detail'!AM184</f>
        <v>3529.2589999999996</v>
      </c>
      <c r="AN119" s="1236">
        <f>'Utility Detail'!AN184</f>
        <v>3573.5159999999996</v>
      </c>
      <c r="AO119" s="1238">
        <f>'Utility Detail'!AO184</f>
        <v>3611.3520000000003</v>
      </c>
      <c r="AP119" s="1238">
        <f>'Utility Detail'!AP184</f>
        <v>3647.4569999999999</v>
      </c>
      <c r="AQ119" s="151">
        <f>'Utility Detail'!AQ184</f>
        <v>3658</v>
      </c>
      <c r="AR119" s="498">
        <f>'Utility Detail'!AR184</f>
        <v>3658</v>
      </c>
      <c r="AS119" s="1236">
        <f>'Utility Detail'!AS184</f>
        <v>3704.3</v>
      </c>
      <c r="AT119" s="1238">
        <f>'Utility Detail'!AT184</f>
        <v>3747.9</v>
      </c>
      <c r="AU119" s="1238">
        <f>'Utility Detail'!AU184</f>
        <v>3775.1000000000004</v>
      </c>
      <c r="AV119" s="151">
        <f>'Utility Detail'!AV184</f>
        <v>3779.3</v>
      </c>
      <c r="AW119" s="498">
        <f>'Utility Detail'!AW184</f>
        <v>3779.3</v>
      </c>
      <c r="AX119" s="161">
        <f>+AW119+AX124</f>
        <v>3956.5828125000003</v>
      </c>
      <c r="AY119" s="160">
        <f>+AX119+AY124</f>
        <v>4135.2378275093852</v>
      </c>
      <c r="AZ119" s="160">
        <f>+AY119+AZ124</f>
        <v>4318.0740141592478</v>
      </c>
      <c r="BA119" s="144">
        <f>+AZ119+BA124</f>
        <v>4505.0260416427063</v>
      </c>
      <c r="BB119" s="109">
        <f>+BA119</f>
        <v>4505.0260416427063</v>
      </c>
      <c r="BC119" s="161">
        <f>+BB119+BC124</f>
        <v>4693.2168997581357</v>
      </c>
      <c r="BD119" s="160">
        <f>+BC119+BD124</f>
        <v>4886.9537631793146</v>
      </c>
      <c r="BE119" s="160">
        <f>+BD119+BE124</f>
        <v>5083.8621798312997</v>
      </c>
      <c r="BF119" s="144">
        <f>+BE119+BF124</f>
        <v>5283.8933239447115</v>
      </c>
      <c r="BG119" s="109">
        <f>+BF119</f>
        <v>5283.8933239447115</v>
      </c>
      <c r="BH119" s="161">
        <f>+BG119+BH124</f>
        <v>5486.0321082130567</v>
      </c>
      <c r="BI119" s="160">
        <f>+BH119+BI124</f>
        <v>5693.1768071427623</v>
      </c>
      <c r="BJ119" s="160">
        <f>+BI119+BJ124</f>
        <v>5902.3723848688787</v>
      </c>
      <c r="BK119" s="144">
        <f>+BJ119+BK124</f>
        <v>6113.5874186251503</v>
      </c>
      <c r="BL119" s="109">
        <f>+BK119</f>
        <v>6113.5874186251503</v>
      </c>
      <c r="BM119" s="161">
        <f>+BL119+BM124</f>
        <v>6326.5367271668911</v>
      </c>
      <c r="BN119" s="160">
        <f>+BM119+BN124</f>
        <v>6541.4456389690286</v>
      </c>
      <c r="BO119" s="160">
        <f>+BN119+BO124</f>
        <v>6758.284165556729</v>
      </c>
      <c r="BP119" s="144">
        <f>+BO119+BP124</f>
        <v>6977.0227773789848</v>
      </c>
      <c r="BQ119" s="109">
        <f>+BP119</f>
        <v>6977.0227773789848</v>
      </c>
      <c r="BR119" s="242"/>
      <c r="BS119" s="242"/>
      <c r="BT119" s="242"/>
      <c r="BU119" s="242"/>
      <c r="BV119" s="242"/>
      <c r="BW119" s="242"/>
      <c r="BX119" s="242"/>
      <c r="BY119" s="242"/>
      <c r="BZ119" s="242"/>
      <c r="CA119" s="242"/>
      <c r="CB119" s="242"/>
      <c r="CC119" s="242"/>
      <c r="CD119" s="242"/>
      <c r="CE119" s="242"/>
      <c r="CF119" s="242"/>
      <c r="CG119" s="242"/>
      <c r="CH119" s="242"/>
      <c r="CI119" s="242"/>
      <c r="CJ119" s="242"/>
      <c r="CK119" s="242"/>
      <c r="CL119" s="242"/>
      <c r="CM119" s="242"/>
      <c r="CN119" s="242"/>
      <c r="CO119" s="242"/>
      <c r="CP119" s="242"/>
      <c r="CQ119" s="242"/>
      <c r="CR119" s="242"/>
      <c r="CS119" s="242"/>
      <c r="CT119" s="242"/>
      <c r="CU119" s="242"/>
    </row>
    <row r="120" spans="1:99">
      <c r="A120" s="242"/>
      <c r="B120" s="242"/>
      <c r="C120" s="347" t="s">
        <v>110</v>
      </c>
      <c r="D120" s="109"/>
      <c r="E120" s="149"/>
      <c r="F120" s="150"/>
      <c r="G120" s="150"/>
      <c r="H120" s="151"/>
      <c r="I120" s="112"/>
      <c r="J120" s="149"/>
      <c r="K120" s="150"/>
      <c r="L120" s="150"/>
      <c r="M120" s="151"/>
      <c r="N120" s="112"/>
      <c r="O120" s="149"/>
      <c r="P120" s="150"/>
      <c r="Q120" s="150"/>
      <c r="R120" s="151"/>
      <c r="S120" s="112"/>
      <c r="T120" s="149"/>
      <c r="U120" s="150"/>
      <c r="V120" s="150"/>
      <c r="W120" s="151"/>
      <c r="X120" s="112">
        <f>X118-X119</f>
        <v>13592.532999999999</v>
      </c>
      <c r="Y120" s="149">
        <f t="shared" ref="Y120:AF120" si="179">Y118-Y119</f>
        <v>13639.640000000001</v>
      </c>
      <c r="Z120" s="150">
        <f t="shared" si="179"/>
        <v>13524.667000000001</v>
      </c>
      <c r="AA120" s="150">
        <f t="shared" si="179"/>
        <v>13578.821999999998</v>
      </c>
      <c r="AB120" s="151">
        <f t="shared" si="179"/>
        <v>8392.7989999999991</v>
      </c>
      <c r="AC120" s="112">
        <f t="shared" si="179"/>
        <v>8392.7989999999991</v>
      </c>
      <c r="AD120" s="149">
        <f t="shared" si="179"/>
        <v>8482.9579999999987</v>
      </c>
      <c r="AE120" s="150">
        <f t="shared" si="179"/>
        <v>8693.1930000000011</v>
      </c>
      <c r="AF120" s="150">
        <f t="shared" si="179"/>
        <v>8814.9609999999993</v>
      </c>
      <c r="AG120" s="151">
        <f t="shared" ref="AG120:AM120" si="180">AG118-AG119</f>
        <v>9064.6020000000026</v>
      </c>
      <c r="AH120" s="112">
        <f t="shared" si="180"/>
        <v>9064.6020000000026</v>
      </c>
      <c r="AI120" s="149">
        <f t="shared" si="180"/>
        <v>9190.655999999999</v>
      </c>
      <c r="AJ120" s="150">
        <f t="shared" si="180"/>
        <v>9423.5789999999997</v>
      </c>
      <c r="AK120" s="150">
        <f t="shared" si="180"/>
        <v>9597.393</v>
      </c>
      <c r="AL120" s="151">
        <f t="shared" si="180"/>
        <v>9848.9659999999985</v>
      </c>
      <c r="AM120" s="112">
        <f t="shared" si="180"/>
        <v>9848.9659999999985</v>
      </c>
      <c r="AN120" s="149">
        <f t="shared" ref="AN120:AR120" si="181">AN118-AN119</f>
        <v>10024.893000000002</v>
      </c>
      <c r="AO120" s="150">
        <f t="shared" si="181"/>
        <v>10161.204</v>
      </c>
      <c r="AP120" s="150">
        <f t="shared" si="181"/>
        <v>10313.251999999999</v>
      </c>
      <c r="AQ120" s="151">
        <f t="shared" si="181"/>
        <v>10498.9</v>
      </c>
      <c r="AR120" s="112">
        <f t="shared" si="181"/>
        <v>10498.9</v>
      </c>
      <c r="AS120" s="149">
        <f>AS118-AS119</f>
        <v>10649.7</v>
      </c>
      <c r="AT120" s="150">
        <f>AT118-AT119</f>
        <v>10884.699999999999</v>
      </c>
      <c r="AU120" s="150">
        <f>AU118-AU119</f>
        <v>11015.2</v>
      </c>
      <c r="AV120" s="151">
        <f t="shared" ref="AV120:AW120" si="182">AV118-AV119</f>
        <v>11346.100000000002</v>
      </c>
      <c r="AW120" s="112">
        <f t="shared" si="182"/>
        <v>11346.100000000002</v>
      </c>
      <c r="AX120" s="149">
        <f t="shared" ref="AX120:BL120" si="183">AX118-AX119</f>
        <v>11433.920960600617</v>
      </c>
      <c r="AY120" s="150">
        <f t="shared" si="183"/>
        <v>11701.515945591233</v>
      </c>
      <c r="AZ120" s="150">
        <f t="shared" si="183"/>
        <v>11964.929758941369</v>
      </c>
      <c r="BA120" s="151">
        <f t="shared" si="183"/>
        <v>12224.22773145791</v>
      </c>
      <c r="BB120" s="112">
        <f t="shared" si="183"/>
        <v>12224.22773145791</v>
      </c>
      <c r="BC120" s="149">
        <f t="shared" si="183"/>
        <v>12584.477068414348</v>
      </c>
      <c r="BD120" s="150">
        <f t="shared" si="183"/>
        <v>12790.49020499317</v>
      </c>
      <c r="BE120" s="150">
        <f t="shared" si="183"/>
        <v>12993.331788341184</v>
      </c>
      <c r="BF120" s="151">
        <f t="shared" si="183"/>
        <v>13193.050644227773</v>
      </c>
      <c r="BG120" s="112">
        <f t="shared" si="183"/>
        <v>13193.050644227773</v>
      </c>
      <c r="BH120" s="149">
        <f t="shared" si="183"/>
        <v>13519.773127926572</v>
      </c>
      <c r="BI120" s="150">
        <f t="shared" si="183"/>
        <v>13653.628428996868</v>
      </c>
      <c r="BJ120" s="150">
        <f t="shared" si="183"/>
        <v>13785.432851270751</v>
      </c>
      <c r="BK120" s="151">
        <f t="shared" si="183"/>
        <v>13915.21781751448</v>
      </c>
      <c r="BL120" s="112">
        <f t="shared" si="183"/>
        <v>13915.21781751448</v>
      </c>
      <c r="BM120" s="149">
        <f>BM118-BM119</f>
        <v>14043.268508972738</v>
      </c>
      <c r="BN120" s="150">
        <f>BN118-BN119</f>
        <v>14169.359597170602</v>
      </c>
      <c r="BO120" s="150">
        <f>BO118-BO119</f>
        <v>14293.521070582901</v>
      </c>
      <c r="BP120" s="151">
        <f>BP118-BP119</f>
        <v>14415.782458760645</v>
      </c>
      <c r="BQ120" s="112">
        <f>BQ118-BQ119</f>
        <v>14415.782458760645</v>
      </c>
      <c r="BR120" s="242"/>
      <c r="BS120" s="242"/>
      <c r="BT120" s="242"/>
      <c r="BU120" s="242"/>
      <c r="BV120" s="242"/>
      <c r="BW120" s="242"/>
      <c r="BX120" s="242"/>
      <c r="BY120" s="242"/>
      <c r="BZ120" s="242"/>
      <c r="CA120" s="242"/>
      <c r="CB120" s="242"/>
      <c r="CC120" s="242"/>
      <c r="CD120" s="242"/>
      <c r="CE120" s="242"/>
      <c r="CF120" s="242"/>
      <c r="CG120" s="242"/>
      <c r="CH120" s="242"/>
      <c r="CI120" s="242"/>
      <c r="CJ120" s="242"/>
      <c r="CK120" s="242"/>
      <c r="CL120" s="242"/>
      <c r="CM120" s="242"/>
      <c r="CN120" s="242"/>
      <c r="CO120" s="242"/>
      <c r="CP120" s="242"/>
      <c r="CQ120" s="242"/>
      <c r="CR120" s="242"/>
      <c r="CS120" s="242"/>
      <c r="CT120" s="242"/>
      <c r="CU120" s="242"/>
    </row>
    <row r="121" spans="1:99">
      <c r="A121" s="242"/>
      <c r="B121" s="242"/>
      <c r="C121" s="303"/>
      <c r="D121" s="109"/>
      <c r="E121" s="639"/>
      <c r="F121" s="642"/>
      <c r="G121" s="642"/>
      <c r="H121" s="638"/>
      <c r="I121" s="640"/>
      <c r="J121" s="639"/>
      <c r="K121" s="642"/>
      <c r="L121" s="642"/>
      <c r="M121" s="638"/>
      <c r="N121" s="640"/>
      <c r="O121" s="639"/>
      <c r="P121" s="642"/>
      <c r="Q121" s="642"/>
      <c r="R121" s="638"/>
      <c r="S121" s="640"/>
      <c r="T121" s="639"/>
      <c r="U121" s="642"/>
      <c r="V121" s="642"/>
      <c r="W121" s="638"/>
      <c r="X121" s="1243"/>
      <c r="Y121" s="1241"/>
      <c r="Z121" s="1242"/>
      <c r="AA121" s="1242"/>
      <c r="AB121" s="1244"/>
      <c r="AC121" s="1243"/>
      <c r="AD121" s="1241"/>
      <c r="AE121" s="1242"/>
      <c r="AF121" s="1242"/>
      <c r="AG121" s="1244"/>
      <c r="AH121" s="1243"/>
      <c r="AI121" s="1241"/>
      <c r="AJ121" s="1242"/>
      <c r="AK121" s="1242"/>
      <c r="AL121" s="1244"/>
      <c r="AM121" s="1243"/>
      <c r="AN121" s="1241"/>
      <c r="AO121" s="1242"/>
      <c r="AP121" s="1242"/>
      <c r="AQ121" s="1244"/>
      <c r="AR121" s="1243"/>
      <c r="AS121" s="1241"/>
      <c r="AT121" s="1242"/>
      <c r="AU121" s="1242"/>
      <c r="AV121" s="1244"/>
      <c r="AW121" s="1243"/>
      <c r="AX121" s="161"/>
      <c r="AY121" s="162"/>
      <c r="AZ121" s="162"/>
      <c r="BA121" s="144"/>
      <c r="BB121" s="242"/>
      <c r="BC121" s="161"/>
      <c r="BD121" s="162"/>
      <c r="BE121" s="162"/>
      <c r="BF121" s="144"/>
      <c r="BG121" s="242"/>
      <c r="BH121" s="161"/>
      <c r="BI121" s="162"/>
      <c r="BJ121" s="162"/>
      <c r="BK121" s="144"/>
      <c r="BL121" s="242"/>
      <c r="BM121" s="161"/>
      <c r="BN121" s="162"/>
      <c r="BO121" s="162"/>
      <c r="BP121" s="144"/>
      <c r="BQ121" s="242"/>
      <c r="BR121" s="242"/>
      <c r="BS121" s="242"/>
      <c r="BT121" s="242"/>
      <c r="BU121" s="242"/>
      <c r="BV121" s="242"/>
      <c r="BW121" s="242"/>
      <c r="BX121" s="242"/>
      <c r="BY121" s="242"/>
      <c r="BZ121" s="242"/>
      <c r="CA121" s="242"/>
      <c r="CB121" s="242"/>
      <c r="CC121" s="242"/>
      <c r="CD121" s="242"/>
      <c r="CE121" s="242"/>
      <c r="CF121" s="242"/>
      <c r="CG121" s="242"/>
      <c r="CH121" s="242"/>
      <c r="CI121" s="242"/>
      <c r="CJ121" s="242"/>
      <c r="CK121" s="242"/>
      <c r="CL121" s="242"/>
      <c r="CM121" s="242"/>
      <c r="CN121" s="242"/>
      <c r="CO121" s="242"/>
      <c r="CP121" s="242"/>
      <c r="CQ121" s="242"/>
      <c r="CR121" s="242"/>
      <c r="CS121" s="242"/>
      <c r="CT121" s="242"/>
      <c r="CU121" s="242"/>
    </row>
    <row r="122" spans="1:99">
      <c r="A122" s="111"/>
      <c r="B122" s="111"/>
      <c r="C122" s="347" t="s">
        <v>109</v>
      </c>
      <c r="D122" s="112"/>
      <c r="E122" s="256"/>
      <c r="F122" s="257"/>
      <c r="G122" s="257"/>
      <c r="H122" s="151"/>
      <c r="I122" s="258"/>
      <c r="J122" s="256"/>
      <c r="K122" s="257"/>
      <c r="L122" s="257"/>
      <c r="M122" s="151"/>
      <c r="N122" s="258"/>
      <c r="O122" s="256"/>
      <c r="P122" s="257"/>
      <c r="Q122" s="257"/>
      <c r="R122" s="151"/>
      <c r="S122" s="258"/>
      <c r="T122" s="256"/>
      <c r="U122" s="257"/>
      <c r="V122" s="257"/>
      <c r="W122" s="151"/>
      <c r="X122" s="112">
        <f>'Utility Detail'!X212</f>
        <v>490.85500000000002</v>
      </c>
      <c r="Y122" s="149">
        <f>'Utility Detail'!Y212</f>
        <v>511.971</v>
      </c>
      <c r="Z122" s="150">
        <f>'Utility Detail'!Z212</f>
        <v>571.548</v>
      </c>
      <c r="AA122" s="150">
        <f>'Utility Detail'!AA212</f>
        <v>651.77300000000002</v>
      </c>
      <c r="AB122" s="151">
        <f>'Utility Detail'!AB212</f>
        <v>407.52599999999995</v>
      </c>
      <c r="AC122" s="112">
        <f>'Utility Detail'!AC212</f>
        <v>407.52599999999995</v>
      </c>
      <c r="AD122" s="149">
        <f>'Utility Detail'!AD212</f>
        <v>473.79500000000002</v>
      </c>
      <c r="AE122" s="150">
        <f>'Utility Detail'!AE212</f>
        <v>454.39100000000002</v>
      </c>
      <c r="AF122" s="150">
        <f>'Utility Detail'!AF212</f>
        <v>530.36900000000003</v>
      </c>
      <c r="AG122" s="151">
        <f>'Utility Detail'!AG212</f>
        <v>478.52799999999996</v>
      </c>
      <c r="AH122" s="112">
        <f>'Utility Detail'!AH212</f>
        <v>478.52799999999996</v>
      </c>
      <c r="AI122" s="149">
        <f>'Utility Detail'!AI212</f>
        <v>540.03100000000006</v>
      </c>
      <c r="AJ122" s="150">
        <f>'Utility Detail'!AJ212</f>
        <v>517.84300000000007</v>
      </c>
      <c r="AK122" s="150">
        <f>'Utility Detail'!AK212</f>
        <v>506.73399999999998</v>
      </c>
      <c r="AL122" s="151">
        <f>'Utility Detail'!AL212</f>
        <v>462.15899999999999</v>
      </c>
      <c r="AM122" s="112">
        <f>'Utility Detail'!AM212</f>
        <v>462.15899999999999</v>
      </c>
      <c r="AN122" s="149">
        <f>'Utility Detail'!AN212</f>
        <v>430.97800000000001</v>
      </c>
      <c r="AO122" s="150">
        <f>'Utility Detail'!AO212</f>
        <v>444.779</v>
      </c>
      <c r="AP122" s="150">
        <f>'Utility Detail'!AP212</f>
        <v>477.69100000000003</v>
      </c>
      <c r="AQ122" s="151">
        <f>'Utility Detail'!AQ212</f>
        <v>607.4</v>
      </c>
      <c r="AR122" s="112">
        <f>'Utility Detail'!AR212</f>
        <v>607.4</v>
      </c>
      <c r="AS122" s="149">
        <f>'Utility Detail'!AS212</f>
        <v>636.4</v>
      </c>
      <c r="AT122" s="150">
        <f>'Utility Detail'!AT212</f>
        <v>659.5</v>
      </c>
      <c r="AU122" s="150">
        <f>'Utility Detail'!AU212</f>
        <v>904.8</v>
      </c>
      <c r="AV122" s="151">
        <f>'Utility Detail'!AV212</f>
        <v>1245.8000000000002</v>
      </c>
      <c r="AW122" s="112">
        <f>'Utility Detail'!AW212</f>
        <v>1245.8000000000002</v>
      </c>
      <c r="AX122" s="152">
        <f>AX127*BB132</f>
        <v>1426.9462268993841</v>
      </c>
      <c r="AY122" s="155">
        <f>AY127*BB132</f>
        <v>1426.9462268993841</v>
      </c>
      <c r="AZ122" s="155">
        <f>AZ127*BB132</f>
        <v>1426.9462268993841</v>
      </c>
      <c r="BA122" s="153">
        <f>+BA127*BB132</f>
        <v>1426.9462268993841</v>
      </c>
      <c r="BB122" s="154">
        <f>BA122</f>
        <v>1426.9462268993841</v>
      </c>
      <c r="BC122" s="152">
        <f>BC127*BG132</f>
        <v>1278.2560318275155</v>
      </c>
      <c r="BD122" s="155">
        <f>BD127*BG132</f>
        <v>1278.2560318275155</v>
      </c>
      <c r="BE122" s="155">
        <f>BE127*BG132</f>
        <v>1278.2560318275155</v>
      </c>
      <c r="BF122" s="153">
        <f>+BF127*BG132</f>
        <v>1278.2560318275155</v>
      </c>
      <c r="BG122" s="154">
        <f>BF122</f>
        <v>1278.2560318275155</v>
      </c>
      <c r="BH122" s="152">
        <f>BH127*BL132</f>
        <v>1090.3947638603697</v>
      </c>
      <c r="BI122" s="155">
        <f>BI127*BL132</f>
        <v>1090.3947638603697</v>
      </c>
      <c r="BJ122" s="155">
        <f>BJ127*BL132</f>
        <v>1090.3947638603697</v>
      </c>
      <c r="BK122" s="153">
        <f>+BK127*BL132</f>
        <v>1090.3947638603697</v>
      </c>
      <c r="BL122" s="154">
        <f>BK122</f>
        <v>1090.3947638603697</v>
      </c>
      <c r="BM122" s="152">
        <f>BM127*BQ132</f>
        <v>1090.3947638603697</v>
      </c>
      <c r="BN122" s="155">
        <f>BN127*BQ132</f>
        <v>1090.3947638603697</v>
      </c>
      <c r="BO122" s="155">
        <f>BO127*BQ132</f>
        <v>1090.3947638603697</v>
      </c>
      <c r="BP122" s="153">
        <f>+BP127*BQ132</f>
        <v>1090.3947638603697</v>
      </c>
      <c r="BQ122" s="154">
        <f>BP122</f>
        <v>1090.3947638603697</v>
      </c>
      <c r="BR122" s="111"/>
      <c r="BS122" s="111"/>
      <c r="BT122" s="111"/>
      <c r="BU122" s="111"/>
      <c r="BV122" s="111"/>
      <c r="BW122" s="111"/>
      <c r="BX122" s="111"/>
      <c r="BY122" s="111"/>
      <c r="BZ122" s="111"/>
      <c r="CA122" s="111"/>
      <c r="CB122" s="111"/>
      <c r="CC122" s="111"/>
      <c r="CD122" s="111"/>
      <c r="CE122" s="111"/>
      <c r="CF122" s="111"/>
      <c r="CG122" s="111"/>
      <c r="CH122" s="111"/>
      <c r="CI122" s="111"/>
      <c r="CJ122" s="111"/>
      <c r="CK122" s="111"/>
      <c r="CL122" s="111"/>
      <c r="CM122" s="111"/>
      <c r="CN122" s="111"/>
      <c r="CO122" s="111"/>
      <c r="CP122" s="111"/>
      <c r="CQ122" s="111"/>
      <c r="CR122" s="111"/>
      <c r="CS122" s="111"/>
      <c r="CT122" s="111"/>
      <c r="CU122" s="111"/>
    </row>
    <row r="123" spans="1:99">
      <c r="A123" s="242"/>
      <c r="B123" s="242"/>
      <c r="C123" s="303"/>
      <c r="D123" s="109"/>
      <c r="E123" s="161"/>
      <c r="F123" s="162"/>
      <c r="G123" s="162"/>
      <c r="H123" s="144"/>
      <c r="I123" s="109"/>
      <c r="J123" s="161"/>
      <c r="K123" s="162"/>
      <c r="L123" s="162"/>
      <c r="M123" s="144"/>
      <c r="N123" s="109"/>
      <c r="O123" s="161"/>
      <c r="P123" s="162"/>
      <c r="Q123" s="162"/>
      <c r="R123" s="144"/>
      <c r="S123" s="109"/>
      <c r="T123" s="161"/>
      <c r="U123" s="162"/>
      <c r="V123" s="162"/>
      <c r="W123" s="144"/>
      <c r="X123" s="109"/>
      <c r="Y123" s="161"/>
      <c r="Z123" s="162"/>
      <c r="AA123" s="162"/>
      <c r="AB123" s="144"/>
      <c r="AC123" s="109"/>
      <c r="AD123" s="161"/>
      <c r="AE123" s="162"/>
      <c r="AF123" s="162"/>
      <c r="AG123" s="144"/>
      <c r="AH123" s="109"/>
      <c r="AI123" s="161"/>
      <c r="AJ123" s="162"/>
      <c r="AK123" s="162"/>
      <c r="AL123" s="144"/>
      <c r="AM123" s="109"/>
      <c r="AN123" s="161"/>
      <c r="AO123" s="162"/>
      <c r="AP123" s="162"/>
      <c r="AQ123" s="144"/>
      <c r="AR123" s="109"/>
      <c r="AS123" s="161"/>
      <c r="AT123" s="162"/>
      <c r="AU123" s="162"/>
      <c r="AV123" s="144"/>
      <c r="AW123" s="109"/>
      <c r="AX123" s="161"/>
      <c r="AY123" s="162"/>
      <c r="AZ123" s="162"/>
      <c r="BA123" s="144"/>
      <c r="BB123" s="242"/>
      <c r="BC123" s="161"/>
      <c r="BD123" s="162"/>
      <c r="BE123" s="162"/>
      <c r="BF123" s="144"/>
      <c r="BG123" s="242"/>
      <c r="BH123" s="161"/>
      <c r="BI123" s="162"/>
      <c r="BJ123" s="162"/>
      <c r="BK123" s="144"/>
      <c r="BL123" s="242"/>
      <c r="BM123" s="161"/>
      <c r="BN123" s="162"/>
      <c r="BO123" s="162"/>
      <c r="BP123" s="144"/>
      <c r="BQ123" s="242"/>
      <c r="BR123" s="242"/>
      <c r="BS123" s="242"/>
      <c r="BT123" s="242"/>
      <c r="BU123" s="242"/>
      <c r="BV123" s="242"/>
      <c r="BW123" s="242"/>
      <c r="BX123" s="242"/>
      <c r="BY123" s="242"/>
      <c r="BZ123" s="242"/>
      <c r="CA123" s="242"/>
      <c r="CB123" s="242"/>
      <c r="CC123" s="242"/>
      <c r="CD123" s="242"/>
      <c r="CE123" s="242"/>
      <c r="CF123" s="242"/>
      <c r="CG123" s="242"/>
      <c r="CH123" s="242"/>
      <c r="CI123" s="242"/>
      <c r="CJ123" s="242"/>
      <c r="CK123" s="242"/>
      <c r="CL123" s="242"/>
      <c r="CM123" s="242"/>
      <c r="CN123" s="242"/>
      <c r="CO123" s="242"/>
      <c r="CP123" s="242"/>
      <c r="CQ123" s="242"/>
      <c r="CR123" s="242"/>
      <c r="CS123" s="242"/>
      <c r="CT123" s="242"/>
      <c r="CU123" s="242"/>
    </row>
    <row r="124" spans="1:99">
      <c r="A124" s="111"/>
      <c r="B124" s="111"/>
      <c r="C124" s="347" t="s">
        <v>79</v>
      </c>
      <c r="D124" s="112"/>
      <c r="E124" s="149"/>
      <c r="F124" s="150"/>
      <c r="G124" s="150"/>
      <c r="H124" s="151"/>
      <c r="I124" s="112"/>
      <c r="J124" s="149"/>
      <c r="K124" s="150"/>
      <c r="L124" s="150"/>
      <c r="M124" s="151"/>
      <c r="N124" s="112"/>
      <c r="O124" s="149"/>
      <c r="P124" s="150"/>
      <c r="Q124" s="150"/>
      <c r="R124" s="151"/>
      <c r="S124" s="112"/>
      <c r="T124" s="149"/>
      <c r="U124" s="150"/>
      <c r="V124" s="150"/>
      <c r="W124" s="151"/>
      <c r="X124" s="112">
        <f>X156</f>
        <v>561</v>
      </c>
      <c r="Y124" s="149">
        <f>Y156</f>
        <v>133</v>
      </c>
      <c r="Z124" s="150">
        <f>Z156</f>
        <v>151</v>
      </c>
      <c r="AA124" s="150">
        <f t="shared" ref="AA124:AF124" si="184">AA156</f>
        <v>165</v>
      </c>
      <c r="AB124" s="151">
        <f t="shared" si="184"/>
        <v>142</v>
      </c>
      <c r="AC124" s="112">
        <f t="shared" si="184"/>
        <v>591</v>
      </c>
      <c r="AD124" s="149">
        <f t="shared" si="184"/>
        <v>161</v>
      </c>
      <c r="AE124" s="150">
        <f t="shared" si="184"/>
        <v>156</v>
      </c>
      <c r="AF124" s="150">
        <f t="shared" si="184"/>
        <v>182</v>
      </c>
      <c r="AG124" s="151">
        <f t="shared" ref="AG124:AM124" si="185">AG156</f>
        <v>158.79999999999995</v>
      </c>
      <c r="AH124" s="112">
        <f t="shared" si="185"/>
        <v>657.8</v>
      </c>
      <c r="AI124" s="149">
        <f t="shared" si="185"/>
        <v>168</v>
      </c>
      <c r="AJ124" s="150">
        <f t="shared" si="185"/>
        <v>170</v>
      </c>
      <c r="AK124" s="150">
        <f t="shared" si="185"/>
        <v>198</v>
      </c>
      <c r="AL124" s="151">
        <f t="shared" si="185"/>
        <v>150.39999999999998</v>
      </c>
      <c r="AM124" s="112">
        <f t="shared" si="185"/>
        <v>686.4</v>
      </c>
      <c r="AN124" s="149">
        <f t="shared" ref="AN124:AT124" si="186">AN156</f>
        <v>156.30000000000001</v>
      </c>
      <c r="AO124" s="150">
        <f t="shared" si="186"/>
        <v>167.3</v>
      </c>
      <c r="AP124" s="150">
        <f t="shared" si="186"/>
        <v>181.4</v>
      </c>
      <c r="AQ124" s="151">
        <f t="shared" si="186"/>
        <v>144.89999999999998</v>
      </c>
      <c r="AR124" s="112">
        <f t="shared" si="186"/>
        <v>649.9</v>
      </c>
      <c r="AS124" s="149">
        <f t="shared" si="186"/>
        <v>156.19999999999999</v>
      </c>
      <c r="AT124" s="150">
        <f t="shared" si="186"/>
        <v>163.9</v>
      </c>
      <c r="AU124" s="150">
        <f>AU156</f>
        <v>182.3</v>
      </c>
      <c r="AV124" s="151">
        <f t="shared" ref="AV124:AW124" si="187">AV156</f>
        <v>165.09999999999997</v>
      </c>
      <c r="AW124" s="112">
        <f t="shared" si="187"/>
        <v>667.5</v>
      </c>
      <c r="AX124" s="149">
        <f>+AX126*AVERAGE(AW120)/4</f>
        <v>177.28281250000003</v>
      </c>
      <c r="AY124" s="150">
        <f>+AY126*AVERAGE(AX120)/4</f>
        <v>178.65501500938464</v>
      </c>
      <c r="AZ124" s="150">
        <f>+AZ126*AVERAGE(AY120)/4</f>
        <v>182.83618664986301</v>
      </c>
      <c r="BA124" s="151">
        <f>+BA126*AVERAGE(AZ120)/4</f>
        <v>186.95202748345889</v>
      </c>
      <c r="BB124" s="112">
        <f>SUM(AX124:BA124)</f>
        <v>725.72604164270649</v>
      </c>
      <c r="BC124" s="149">
        <f>+BC126*AVERAGE(BB120)/4</f>
        <v>188.19085811542976</v>
      </c>
      <c r="BD124" s="150">
        <f>+BD126*AVERAGE(BC120)/4</f>
        <v>193.73686342117853</v>
      </c>
      <c r="BE124" s="150">
        <f>+BE126*AVERAGE(BD120)/4</f>
        <v>196.90841665198502</v>
      </c>
      <c r="BF124" s="151">
        <f>+BF126*AVERAGE(BE120)/4</f>
        <v>200.03114411341156</v>
      </c>
      <c r="BG124" s="112">
        <f>SUM(BC124:BF124)</f>
        <v>778.86728230200481</v>
      </c>
      <c r="BH124" s="149">
        <f>+BH126*AVERAGE(BG120)/4</f>
        <v>202.13878426834503</v>
      </c>
      <c r="BI124" s="150">
        <f>+BI126*AVERAGE(BH120)/4</f>
        <v>207.14469892970538</v>
      </c>
      <c r="BJ124" s="150">
        <f>+BJ126*AVERAGE(BI120)/4</f>
        <v>209.19557772611637</v>
      </c>
      <c r="BK124" s="151">
        <f>+BK126*AVERAGE(BJ120)/4</f>
        <v>211.21503375627199</v>
      </c>
      <c r="BL124" s="112">
        <f>SUM(BH124:BK124)</f>
        <v>829.69409468043875</v>
      </c>
      <c r="BM124" s="149">
        <f>+BM126*AVERAGE(BL120)/4</f>
        <v>212.94930854174086</v>
      </c>
      <c r="BN124" s="150">
        <f>+BN126*AVERAGE(BM120)/4</f>
        <v>214.90891180213728</v>
      </c>
      <c r="BO124" s="150">
        <f>+BO126*AVERAGE(BN120)/4</f>
        <v>216.83852658770064</v>
      </c>
      <c r="BP124" s="151">
        <f>+BP126*AVERAGE(BO120)/4</f>
        <v>218.73861182225542</v>
      </c>
      <c r="BQ124" s="112">
        <f>SUM(BM124:BP124)</f>
        <v>863.43535875383418</v>
      </c>
      <c r="BR124" s="111"/>
      <c r="BS124" s="111"/>
      <c r="BT124" s="111"/>
      <c r="BU124" s="111"/>
      <c r="BV124" s="111"/>
      <c r="BW124" s="111"/>
      <c r="BX124" s="111"/>
      <c r="BY124" s="111"/>
      <c r="BZ124" s="111"/>
      <c r="CA124" s="111"/>
      <c r="CB124" s="111"/>
      <c r="CC124" s="111"/>
      <c r="CD124" s="111"/>
      <c r="CE124" s="111"/>
      <c r="CF124" s="111"/>
      <c r="CG124" s="111"/>
      <c r="CH124" s="111"/>
      <c r="CI124" s="111"/>
      <c r="CJ124" s="111"/>
      <c r="CK124" s="111"/>
      <c r="CL124" s="111"/>
      <c r="CM124" s="111"/>
      <c r="CN124" s="111"/>
      <c r="CO124" s="111"/>
      <c r="CP124" s="111"/>
      <c r="CQ124" s="111"/>
      <c r="CR124" s="111"/>
      <c r="CS124" s="111"/>
      <c r="CT124" s="111"/>
      <c r="CU124" s="111"/>
    </row>
    <row r="125" spans="1:99">
      <c r="A125" s="242"/>
      <c r="B125" s="242"/>
      <c r="C125" s="303"/>
      <c r="D125" s="109"/>
      <c r="E125" s="161"/>
      <c r="F125" s="162"/>
      <c r="G125" s="162"/>
      <c r="H125" s="144"/>
      <c r="I125" s="109"/>
      <c r="J125" s="161"/>
      <c r="K125" s="162"/>
      <c r="L125" s="162"/>
      <c r="M125" s="144"/>
      <c r="N125" s="109"/>
      <c r="O125" s="161"/>
      <c r="P125" s="162"/>
      <c r="Q125" s="162"/>
      <c r="R125" s="144"/>
      <c r="S125" s="109"/>
      <c r="T125" s="161"/>
      <c r="U125" s="162"/>
      <c r="V125" s="162"/>
      <c r="W125" s="144"/>
      <c r="X125" s="109"/>
      <c r="Y125" s="161"/>
      <c r="Z125" s="162"/>
      <c r="AA125" s="162"/>
      <c r="AB125" s="144"/>
      <c r="AC125" s="109"/>
      <c r="AD125" s="161"/>
      <c r="AE125" s="162"/>
      <c r="AF125" s="162"/>
      <c r="AG125" s="144"/>
      <c r="AH125" s="109"/>
      <c r="AI125" s="161"/>
      <c r="AJ125" s="162"/>
      <c r="AK125" s="162"/>
      <c r="AL125" s="144"/>
      <c r="AM125" s="109"/>
      <c r="AN125" s="161"/>
      <c r="AO125" s="162"/>
      <c r="AP125" s="162"/>
      <c r="AQ125" s="144"/>
      <c r="AR125" s="109"/>
      <c r="AS125" s="161"/>
      <c r="AT125" s="162"/>
      <c r="AU125" s="162"/>
      <c r="AV125" s="144"/>
      <c r="AW125" s="109"/>
      <c r="AX125" s="161"/>
      <c r="AY125" s="162"/>
      <c r="AZ125" s="162"/>
      <c r="BA125" s="144"/>
      <c r="BB125" s="242"/>
      <c r="BC125" s="161"/>
      <c r="BD125" s="162"/>
      <c r="BE125" s="162"/>
      <c r="BF125" s="144"/>
      <c r="BG125" s="242"/>
      <c r="BH125" s="161"/>
      <c r="BI125" s="162"/>
      <c r="BJ125" s="162"/>
      <c r="BK125" s="144"/>
      <c r="BL125" s="242"/>
      <c r="BM125" s="161"/>
      <c r="BN125" s="162"/>
      <c r="BO125" s="162"/>
      <c r="BP125" s="144"/>
      <c r="BQ125" s="242"/>
      <c r="BR125" s="242"/>
      <c r="BS125" s="242"/>
      <c r="BT125" s="242"/>
      <c r="BU125" s="242"/>
      <c r="BV125" s="242"/>
      <c r="BW125" s="242"/>
      <c r="BX125" s="242"/>
      <c r="BY125" s="242"/>
      <c r="BZ125" s="242"/>
      <c r="CA125" s="242"/>
      <c r="CB125" s="242"/>
      <c r="CC125" s="242"/>
      <c r="CD125" s="242"/>
      <c r="CE125" s="242"/>
      <c r="CF125" s="242"/>
      <c r="CG125" s="242"/>
      <c r="CH125" s="242"/>
      <c r="CI125" s="242"/>
      <c r="CJ125" s="242"/>
      <c r="CK125" s="242"/>
      <c r="CL125" s="242"/>
      <c r="CM125" s="242"/>
      <c r="CN125" s="242"/>
      <c r="CO125" s="242"/>
      <c r="CP125" s="242"/>
      <c r="CQ125" s="242"/>
      <c r="CR125" s="242"/>
      <c r="CS125" s="242"/>
      <c r="CT125" s="242"/>
      <c r="CU125" s="242"/>
    </row>
    <row r="126" spans="1:99">
      <c r="A126" s="50"/>
      <c r="B126" s="50"/>
      <c r="C126" s="303" t="s">
        <v>221</v>
      </c>
      <c r="D126" s="50"/>
      <c r="E126" s="229"/>
      <c r="F126" s="230"/>
      <c r="G126" s="230"/>
      <c r="H126" s="231"/>
      <c r="I126" s="114"/>
      <c r="J126" s="229"/>
      <c r="K126" s="230"/>
      <c r="L126" s="230"/>
      <c r="M126" s="231"/>
      <c r="N126" s="114"/>
      <c r="O126" s="229"/>
      <c r="P126" s="230"/>
      <c r="Q126" s="230"/>
      <c r="R126" s="231"/>
      <c r="S126" s="114"/>
      <c r="T126" s="229"/>
      <c r="U126" s="230"/>
      <c r="V126" s="230"/>
      <c r="W126" s="231"/>
      <c r="X126" s="114">
        <f>X124/AVERAGE(S120,X120)</f>
        <v>4.127266051147347E-2</v>
      </c>
      <c r="Y126" s="229">
        <f>Y124/AVERAGE(X120:Y120)*4</f>
        <v>3.9071432162244263E-2</v>
      </c>
      <c r="Z126" s="230">
        <f>Z124/AVERAGE(Y120:Z120)*4</f>
        <v>4.4470120294252305E-2</v>
      </c>
      <c r="AA126" s="230">
        <f>AA124/AVERAGE(Z120:AA120)*4</f>
        <v>4.8702216899086312E-2</v>
      </c>
      <c r="AB126" s="231">
        <f>AB124/AVERAGE(AA120:AB120)*4</f>
        <v>5.1703058231343059E-2</v>
      </c>
      <c r="AC126" s="114">
        <f>AC124/AVERAGE(X120,AC120)</f>
        <v>5.3763118064353091E-2</v>
      </c>
      <c r="AD126" s="229">
        <f>AD124/AVERAGE(AC120:AD120)*4</f>
        <v>7.6322502155014446E-2</v>
      </c>
      <c r="AE126" s="230">
        <f>AE124/AVERAGE(AD120:AE120)*4</f>
        <v>7.2658886149754978E-2</v>
      </c>
      <c r="AF126" s="230">
        <f>AF124/AVERAGE(AE120:AF120)*4</f>
        <v>8.3161251608821804E-2</v>
      </c>
      <c r="AG126" s="231">
        <f>AG124/AVERAGE(AF120:AG120)*4</f>
        <v>7.1053190729549687E-2</v>
      </c>
      <c r="AH126" s="114">
        <f>AH124/AVERAGE(AC120,AH120)</f>
        <v>7.5360587753010869E-2</v>
      </c>
      <c r="AI126" s="229">
        <f>AI124/AVERAGE(AH120:AI120)*4</f>
        <v>7.3622624232426617E-2</v>
      </c>
      <c r="AJ126" s="230">
        <f>AJ124/AVERAGE(AI120:AJ120)*4</f>
        <v>7.3062363293468685E-2</v>
      </c>
      <c r="AK126" s="230">
        <f>AK124/AVERAGE(AJ120:AK120)*4</f>
        <v>8.3276501327061506E-2</v>
      </c>
      <c r="AL126" s="231">
        <f>AL124/AVERAGE(AK120:AL120)*4</f>
        <v>6.1872764973638514E-2</v>
      </c>
      <c r="AM126" s="114">
        <f>AM124/AVERAGE(AH120,AM120)</f>
        <v>7.2582814622814684E-2</v>
      </c>
      <c r="AN126" s="229">
        <f>AN124/AVERAGE(AM120:AN120)*4</f>
        <v>6.2916819526595211E-2</v>
      </c>
      <c r="AO126" s="230">
        <f>AO124/AVERAGE(AN120:AO120)*4</f>
        <v>6.6303059972415673E-2</v>
      </c>
      <c r="AP126" s="230">
        <f>AP124/AVERAGE(AO120:AP120)*4</f>
        <v>7.0878562048241972E-2</v>
      </c>
      <c r="AQ126" s="231">
        <f>AQ124/AVERAGE(AP120:AQ120)*4</f>
        <v>5.5698228611822553E-2</v>
      </c>
      <c r="AR126" s="114">
        <f>AR124/AVERAGE(AM120,AR120)</f>
        <v>6.3878934528072875E-2</v>
      </c>
      <c r="AS126" s="229">
        <f>AS124/AVERAGE(AR120:AS120)*4</f>
        <v>5.9086653490065533E-2</v>
      </c>
      <c r="AT126" s="230">
        <f>AT124/AVERAGE(AS120:AT120)*4</f>
        <v>6.0888624712088564E-2</v>
      </c>
      <c r="AU126" s="230">
        <f>AU124/AVERAGE(AT120:AU120)*4</f>
        <v>6.6593911387723234E-2</v>
      </c>
      <c r="AV126" s="231">
        <f>AV124/AVERAGE(AU120:AV120)*4</f>
        <v>5.9066333352712032E-2</v>
      </c>
      <c r="AW126" s="114">
        <f>AW124/AVERAGE(AR120,AW120)</f>
        <v>6.1112382696269167E-2</v>
      </c>
      <c r="AX126" s="1871">
        <v>6.25E-2</v>
      </c>
      <c r="AY126" s="671">
        <f>AX126</f>
        <v>6.25E-2</v>
      </c>
      <c r="AZ126" s="353">
        <f>AY126</f>
        <v>6.25E-2</v>
      </c>
      <c r="BA126" s="354">
        <f>AZ126</f>
        <v>6.25E-2</v>
      </c>
      <c r="BB126" s="114">
        <f>BB124/AVERAGE(AW120,BB120)</f>
        <v>6.157963095898096E-2</v>
      </c>
      <c r="BC126" s="229">
        <f>BB126</f>
        <v>6.157963095898096E-2</v>
      </c>
      <c r="BD126" s="230">
        <f>BC126</f>
        <v>6.157963095898096E-2</v>
      </c>
      <c r="BE126" s="353">
        <f>BD126</f>
        <v>6.157963095898096E-2</v>
      </c>
      <c r="BF126" s="354">
        <f>BE126</f>
        <v>6.157963095898096E-2</v>
      </c>
      <c r="BG126" s="114">
        <f>BG124/AVERAGE(BB120,BG120)</f>
        <v>6.1286442300374208E-2</v>
      </c>
      <c r="BH126" s="229">
        <f>BG126</f>
        <v>6.1286442300374208E-2</v>
      </c>
      <c r="BI126" s="230">
        <f>BH126</f>
        <v>6.1286442300374208E-2</v>
      </c>
      <c r="BJ126" s="353">
        <f>BI126</f>
        <v>6.1286442300374208E-2</v>
      </c>
      <c r="BK126" s="354">
        <f>BJ126</f>
        <v>6.1286442300374208E-2</v>
      </c>
      <c r="BL126" s="114">
        <f>BL124/AVERAGE(BG120,BL120)</f>
        <v>6.1213359743089557E-2</v>
      </c>
      <c r="BM126" s="229">
        <f>BL126</f>
        <v>6.1213359743089557E-2</v>
      </c>
      <c r="BN126" s="230">
        <f>BM126</f>
        <v>6.1213359743089557E-2</v>
      </c>
      <c r="BO126" s="353">
        <f>BN126</f>
        <v>6.1213359743089557E-2</v>
      </c>
      <c r="BP126" s="354">
        <f>BO126</f>
        <v>6.1213359743089557E-2</v>
      </c>
      <c r="BQ126" s="114">
        <f>BQ124/AVERAGE(BL120,BQ120)</f>
        <v>6.0953397362174332E-2</v>
      </c>
      <c r="BR126" s="50"/>
      <c r="BS126" s="50"/>
      <c r="BT126" s="50"/>
      <c r="BU126" s="50"/>
      <c r="BV126" s="50"/>
      <c r="BW126" s="50"/>
      <c r="BX126" s="50"/>
      <c r="BY126" s="50"/>
      <c r="BZ126" s="50"/>
      <c r="CA126" s="50"/>
      <c r="CB126" s="50"/>
      <c r="CC126" s="50"/>
      <c r="CD126" s="50"/>
      <c r="CE126" s="50"/>
      <c r="CF126" s="50"/>
      <c r="CG126" s="50"/>
      <c r="CH126" s="50"/>
      <c r="CI126" s="50"/>
      <c r="CJ126" s="50"/>
      <c r="CK126" s="50"/>
      <c r="CL126" s="50"/>
      <c r="CM126" s="50"/>
      <c r="CN126" s="50"/>
      <c r="CO126" s="50"/>
      <c r="CP126" s="50"/>
      <c r="CQ126" s="50"/>
      <c r="CR126" s="50"/>
      <c r="CS126" s="50"/>
      <c r="CT126" s="50"/>
      <c r="CU126" s="50"/>
    </row>
    <row r="127" spans="1:99">
      <c r="A127" s="303"/>
      <c r="B127" s="303"/>
      <c r="C127" s="303" t="s">
        <v>330</v>
      </c>
      <c r="D127" s="303"/>
      <c r="E127" s="274"/>
      <c r="F127" s="275"/>
      <c r="G127" s="275"/>
      <c r="H127" s="276"/>
      <c r="I127" s="107"/>
      <c r="J127" s="274"/>
      <c r="K127" s="275"/>
      <c r="L127" s="275"/>
      <c r="M127" s="276"/>
      <c r="N127" s="107"/>
      <c r="O127" s="274"/>
      <c r="P127" s="275"/>
      <c r="Q127" s="275"/>
      <c r="R127" s="276"/>
      <c r="S127" s="107"/>
      <c r="T127" s="274"/>
      <c r="U127" s="275"/>
      <c r="V127" s="275"/>
      <c r="W127" s="276"/>
      <c r="X127" s="107">
        <f>X122/X132</f>
        <v>0.73923945783132528</v>
      </c>
      <c r="Y127" s="274">
        <f>Y122/AC132</f>
        <v>0.58779678530424795</v>
      </c>
      <c r="Z127" s="275">
        <f>Z122/AC132</f>
        <v>0.65619747416762342</v>
      </c>
      <c r="AA127" s="275">
        <f>AA122/AC132</f>
        <v>0.74830424799081519</v>
      </c>
      <c r="AB127" s="276">
        <f>AB122/AC132</f>
        <v>0.46788289322617677</v>
      </c>
      <c r="AC127" s="107">
        <f>AC122/AC132</f>
        <v>0.46788289322617677</v>
      </c>
      <c r="AD127" s="274">
        <f>AD122/AH132</f>
        <v>0.45644990366088634</v>
      </c>
      <c r="AE127" s="275">
        <f>AE122/AH132</f>
        <v>0.43775626204238921</v>
      </c>
      <c r="AF127" s="275">
        <f>AF122/AH132</f>
        <v>0.5109527938342967</v>
      </c>
      <c r="AG127" s="276">
        <f>AG122/AH132</f>
        <v>0.46100963391136796</v>
      </c>
      <c r="AH127" s="107">
        <f>AH122/AH132</f>
        <v>0.46100963391136796</v>
      </c>
      <c r="AI127" s="274">
        <f>AI122/AM132</f>
        <v>0.5151492893255748</v>
      </c>
      <c r="AJ127" s="275">
        <f>AJ122/AM132</f>
        <v>0.49398359248306789</v>
      </c>
      <c r="AK127" s="275">
        <f>AK122/AM132</f>
        <v>0.48338643518076885</v>
      </c>
      <c r="AL127" s="276">
        <f>AL122/AM132</f>
        <v>0.44086521034055137</v>
      </c>
      <c r="AM127" s="107">
        <f>AM122/AM132</f>
        <v>0.44086521034055137</v>
      </c>
      <c r="AN127" s="274">
        <f>AN122/AR132</f>
        <v>0.40723613342152509</v>
      </c>
      <c r="AO127" s="275">
        <f>AO122/AR132</f>
        <v>0.42027685911367291</v>
      </c>
      <c r="AP127" s="275">
        <f>AP122/AR132</f>
        <v>0.45137579136350758</v>
      </c>
      <c r="AQ127" s="276">
        <f>AQ122/AR132</f>
        <v>0.57393933667202113</v>
      </c>
      <c r="AR127" s="107">
        <f>AR122/AR132</f>
        <v>0.57393933667202113</v>
      </c>
      <c r="AS127" s="274">
        <f>AS122/$AW132</f>
        <v>0.40836755646817247</v>
      </c>
      <c r="AT127" s="275">
        <f>AT122/$AW132</f>
        <v>0.42319045174537984</v>
      </c>
      <c r="AU127" s="275">
        <f>AU122/$AW132</f>
        <v>0.58059548254620119</v>
      </c>
      <c r="AV127" s="276">
        <f>AV122/AW132</f>
        <v>0.79940965092402472</v>
      </c>
      <c r="AW127" s="107">
        <f>AW122/AW132</f>
        <v>0.79940965092402472</v>
      </c>
      <c r="AX127" s="274">
        <f t="shared" ref="AX127:BL127" si="188">+AW127</f>
        <v>0.79940965092402472</v>
      </c>
      <c r="AY127" s="275">
        <f t="shared" si="188"/>
        <v>0.79940965092402472</v>
      </c>
      <c r="AZ127" s="275">
        <f t="shared" si="188"/>
        <v>0.79940965092402472</v>
      </c>
      <c r="BA127" s="276">
        <f t="shared" si="188"/>
        <v>0.79940965092402472</v>
      </c>
      <c r="BB127" s="107">
        <f t="shared" si="188"/>
        <v>0.79940965092402472</v>
      </c>
      <c r="BC127" s="274">
        <f t="shared" si="188"/>
        <v>0.79940965092402472</v>
      </c>
      <c r="BD127" s="275">
        <f t="shared" si="188"/>
        <v>0.79940965092402472</v>
      </c>
      <c r="BE127" s="275">
        <f t="shared" si="188"/>
        <v>0.79940965092402472</v>
      </c>
      <c r="BF127" s="276">
        <f t="shared" si="188"/>
        <v>0.79940965092402472</v>
      </c>
      <c r="BG127" s="107">
        <f t="shared" si="188"/>
        <v>0.79940965092402472</v>
      </c>
      <c r="BH127" s="274">
        <f t="shared" si="188"/>
        <v>0.79940965092402472</v>
      </c>
      <c r="BI127" s="275">
        <f t="shared" si="188"/>
        <v>0.79940965092402472</v>
      </c>
      <c r="BJ127" s="275">
        <f t="shared" si="188"/>
        <v>0.79940965092402472</v>
      </c>
      <c r="BK127" s="276">
        <f t="shared" si="188"/>
        <v>0.79940965092402472</v>
      </c>
      <c r="BL127" s="107">
        <f t="shared" si="188"/>
        <v>0.79940965092402472</v>
      </c>
      <c r="BM127" s="274">
        <f>+BL127</f>
        <v>0.79940965092402472</v>
      </c>
      <c r="BN127" s="275">
        <f>+BM127</f>
        <v>0.79940965092402472</v>
      </c>
      <c r="BO127" s="275">
        <f>+BN127</f>
        <v>0.79940965092402472</v>
      </c>
      <c r="BP127" s="276">
        <f>+BO127</f>
        <v>0.79940965092402472</v>
      </c>
      <c r="BQ127" s="107">
        <f>+BP127</f>
        <v>0.79940965092402472</v>
      </c>
      <c r="BR127" s="303"/>
      <c r="BS127" s="303"/>
      <c r="BT127" s="303"/>
      <c r="BU127" s="303"/>
      <c r="BV127" s="303"/>
      <c r="BW127" s="303"/>
      <c r="BX127" s="303"/>
      <c r="BY127" s="303"/>
      <c r="BZ127" s="303"/>
      <c r="CA127" s="303"/>
      <c r="CB127" s="303"/>
      <c r="CC127" s="303"/>
      <c r="CD127" s="303"/>
      <c r="CE127" s="303"/>
      <c r="CF127" s="303"/>
      <c r="CG127" s="303"/>
      <c r="CH127" s="303"/>
      <c r="CI127" s="303"/>
      <c r="CJ127" s="303"/>
      <c r="CK127" s="303"/>
      <c r="CL127" s="303"/>
      <c r="CM127" s="303"/>
      <c r="CN127" s="303"/>
      <c r="CO127" s="303"/>
      <c r="CP127" s="303"/>
      <c r="CQ127" s="303"/>
      <c r="CR127" s="303"/>
      <c r="CS127" s="303"/>
      <c r="CT127" s="303"/>
      <c r="CU127" s="303"/>
    </row>
    <row r="128" spans="1:99">
      <c r="A128" s="303"/>
      <c r="B128" s="303"/>
      <c r="C128" s="303"/>
      <c r="D128" s="303"/>
      <c r="E128" s="305"/>
      <c r="F128" s="306"/>
      <c r="G128" s="306"/>
      <c r="H128" s="307"/>
      <c r="I128" s="303"/>
      <c r="J128" s="305"/>
      <c r="K128" s="306"/>
      <c r="L128" s="306"/>
      <c r="M128" s="307"/>
      <c r="N128" s="303"/>
      <c r="O128" s="305"/>
      <c r="P128" s="306"/>
      <c r="Q128" s="306"/>
      <c r="R128" s="307"/>
      <c r="S128" s="303"/>
      <c r="T128" s="305"/>
      <c r="U128" s="306"/>
      <c r="V128" s="306"/>
      <c r="W128" s="307"/>
      <c r="X128" s="303"/>
      <c r="Y128" s="305"/>
      <c r="Z128" s="306"/>
      <c r="AA128" s="306"/>
      <c r="AB128" s="307"/>
      <c r="AC128" s="303"/>
      <c r="AD128" s="305"/>
      <c r="AE128" s="306"/>
      <c r="AF128" s="306"/>
      <c r="AG128" s="307"/>
      <c r="AH128" s="303"/>
      <c r="AI128" s="305"/>
      <c r="AJ128" s="306"/>
      <c r="AK128" s="306"/>
      <c r="AL128" s="1522"/>
      <c r="AM128" s="1523"/>
      <c r="AN128" s="305"/>
      <c r="AO128" s="306"/>
      <c r="AP128" s="306"/>
      <c r="AQ128" s="1522"/>
      <c r="AR128" s="1523"/>
      <c r="AS128" s="305"/>
      <c r="AT128" s="306"/>
      <c r="AU128" s="306"/>
      <c r="AV128" s="1522"/>
      <c r="AW128" s="1523"/>
      <c r="AX128" s="305"/>
      <c r="AY128" s="306"/>
      <c r="AZ128" s="306"/>
      <c r="BA128" s="307"/>
      <c r="BB128" s="303"/>
      <c r="BC128" s="305"/>
      <c r="BD128" s="306"/>
      <c r="BE128" s="306"/>
      <c r="BF128" s="307"/>
      <c r="BG128" s="303"/>
      <c r="BH128" s="305"/>
      <c r="BI128" s="306"/>
      <c r="BJ128" s="306"/>
      <c r="BK128" s="307"/>
      <c r="BL128" s="303"/>
      <c r="BM128" s="305"/>
      <c r="BN128" s="306"/>
      <c r="BO128" s="306"/>
      <c r="BP128" s="307"/>
      <c r="BQ128" s="303"/>
      <c r="BR128" s="303"/>
      <c r="BS128" s="303"/>
      <c r="BT128" s="303"/>
      <c r="BU128" s="303"/>
      <c r="BV128" s="303"/>
      <c r="BW128" s="303"/>
      <c r="BX128" s="303"/>
      <c r="BY128" s="303"/>
      <c r="BZ128" s="303"/>
      <c r="CA128" s="303"/>
      <c r="CB128" s="303"/>
      <c r="CC128" s="303"/>
      <c r="CD128" s="303"/>
      <c r="CE128" s="303"/>
      <c r="CF128" s="303"/>
      <c r="CG128" s="303"/>
      <c r="CH128" s="303"/>
      <c r="CI128" s="303"/>
      <c r="CJ128" s="303"/>
      <c r="CK128" s="303"/>
      <c r="CL128" s="303"/>
      <c r="CM128" s="303"/>
      <c r="CN128" s="303"/>
      <c r="CO128" s="303"/>
      <c r="CP128" s="303"/>
      <c r="CQ128" s="303"/>
      <c r="CR128" s="303"/>
      <c r="CS128" s="303"/>
      <c r="CT128" s="303"/>
      <c r="CU128" s="303"/>
    </row>
    <row r="129" spans="1:99">
      <c r="A129" s="303"/>
      <c r="B129" s="303"/>
      <c r="C129" s="303" t="s">
        <v>622</v>
      </c>
      <c r="D129" s="303"/>
      <c r="E129" s="305"/>
      <c r="F129" s="306"/>
      <c r="G129" s="306"/>
      <c r="H129" s="307"/>
      <c r="I129" s="303"/>
      <c r="J129" s="305"/>
      <c r="K129" s="306"/>
      <c r="L129" s="306"/>
      <c r="M129" s="307"/>
      <c r="N129" s="303"/>
      <c r="O129" s="305"/>
      <c r="P129" s="306"/>
      <c r="Q129" s="306"/>
      <c r="R129" s="307"/>
      <c r="S129" s="303"/>
      <c r="T129" s="305"/>
      <c r="U129" s="306"/>
      <c r="V129" s="306"/>
      <c r="W129" s="307"/>
      <c r="X129" s="109">
        <f>X132-X131</f>
        <v>664</v>
      </c>
      <c r="Y129" s="161"/>
      <c r="Z129" s="160"/>
      <c r="AA129" s="160"/>
      <c r="AB129" s="144"/>
      <c r="AC129" s="109">
        <f>AC132-AC131</f>
        <v>871</v>
      </c>
      <c r="AD129" s="161"/>
      <c r="AE129" s="160"/>
      <c r="AF129" s="160"/>
      <c r="AG129" s="144"/>
      <c r="AH129" s="109">
        <f>AH132-AH131</f>
        <v>938</v>
      </c>
      <c r="AI129" s="161"/>
      <c r="AJ129" s="160"/>
      <c r="AK129" s="160"/>
      <c r="AL129" s="1205"/>
      <c r="AM129" s="1206">
        <f>AM132-AM131</f>
        <v>948.3</v>
      </c>
      <c r="AN129" s="161"/>
      <c r="AO129" s="160"/>
      <c r="AP129" s="160"/>
      <c r="AQ129" s="1205"/>
      <c r="AR129" s="1206">
        <f>AR132-AR131</f>
        <v>1008.3</v>
      </c>
      <c r="AS129" s="244"/>
      <c r="AT129" s="160"/>
      <c r="AU129" s="160"/>
      <c r="AV129" s="1205"/>
      <c r="AW129" s="1206">
        <f>AW132-AW131</f>
        <v>1532.8000000000002</v>
      </c>
      <c r="AX129" s="161"/>
      <c r="AY129" s="160"/>
      <c r="AZ129" s="160"/>
      <c r="BA129" s="144"/>
      <c r="BB129" s="109">
        <f>BB132-BB131</f>
        <v>1785</v>
      </c>
      <c r="BC129" s="161"/>
      <c r="BD129" s="160"/>
      <c r="BE129" s="160"/>
      <c r="BF129" s="144"/>
      <c r="BG129" s="109">
        <f>BG132-BG131</f>
        <v>1599</v>
      </c>
      <c r="BH129" s="161"/>
      <c r="BI129" s="160"/>
      <c r="BJ129" s="160"/>
      <c r="BK129" s="144"/>
      <c r="BL129" s="109">
        <f>BL132-BL131</f>
        <v>1364</v>
      </c>
      <c r="BM129" s="161"/>
      <c r="BN129" s="160"/>
      <c r="BO129" s="160"/>
      <c r="BP129" s="144"/>
      <c r="BQ129" s="109">
        <f>BQ132-BQ131</f>
        <v>1364</v>
      </c>
      <c r="BR129" s="303"/>
      <c r="BS129" s="303"/>
      <c r="BT129" s="303"/>
      <c r="BU129" s="303"/>
      <c r="BV129" s="303"/>
      <c r="BW129" s="303"/>
      <c r="BX129" s="303"/>
      <c r="BY129" s="303"/>
      <c r="BZ129" s="303"/>
      <c r="CA129" s="303"/>
      <c r="CB129" s="303"/>
      <c r="CC129" s="303"/>
      <c r="CD129" s="303"/>
      <c r="CE129" s="303"/>
      <c r="CF129" s="303"/>
      <c r="CG129" s="303"/>
      <c r="CH129" s="303"/>
      <c r="CI129" s="303"/>
      <c r="CJ129" s="303"/>
      <c r="CK129" s="303"/>
      <c r="CL129" s="303"/>
      <c r="CM129" s="303"/>
      <c r="CN129" s="303"/>
      <c r="CO129" s="303"/>
      <c r="CP129" s="303"/>
      <c r="CQ129" s="303"/>
      <c r="CR129" s="303"/>
      <c r="CS129" s="303"/>
      <c r="CT129" s="303"/>
      <c r="CU129" s="303"/>
    </row>
    <row r="130" spans="1:99">
      <c r="A130" s="303"/>
      <c r="B130" s="303"/>
      <c r="C130" s="1211" t="s">
        <v>1209</v>
      </c>
      <c r="D130" s="303"/>
      <c r="E130" s="305"/>
      <c r="F130" s="306"/>
      <c r="G130" s="306"/>
      <c r="H130" s="307"/>
      <c r="I130" s="303"/>
      <c r="J130" s="305"/>
      <c r="K130" s="306"/>
      <c r="L130" s="306"/>
      <c r="M130" s="307"/>
      <c r="N130" s="303"/>
      <c r="O130" s="305"/>
      <c r="P130" s="306"/>
      <c r="Q130" s="306"/>
      <c r="R130" s="307"/>
      <c r="S130" s="303"/>
      <c r="T130" s="305"/>
      <c r="U130" s="306"/>
      <c r="V130" s="306"/>
      <c r="W130" s="307"/>
      <c r="X130" s="303"/>
      <c r="Y130" s="305"/>
      <c r="Z130" s="306"/>
      <c r="AA130" s="306"/>
      <c r="AB130" s="307"/>
      <c r="AC130" s="303"/>
      <c r="AD130" s="305"/>
      <c r="AE130" s="306"/>
      <c r="AF130" s="306"/>
      <c r="AG130" s="307"/>
      <c r="AH130" s="303"/>
      <c r="AI130" s="305"/>
      <c r="AJ130" s="306"/>
      <c r="AK130" s="306"/>
      <c r="AL130" s="1522"/>
      <c r="AM130" s="1523"/>
      <c r="AN130" s="305"/>
      <c r="AO130" s="306"/>
      <c r="AP130" s="306"/>
      <c r="AQ130" s="307"/>
      <c r="AR130" s="303"/>
      <c r="AS130" s="305"/>
      <c r="AT130" s="306"/>
      <c r="AU130" s="306"/>
      <c r="AV130" s="307"/>
      <c r="AW130" s="303"/>
      <c r="AX130" s="305"/>
      <c r="AY130" s="306"/>
      <c r="AZ130" s="306"/>
      <c r="BA130" s="307"/>
      <c r="BB130" s="303"/>
      <c r="BC130" s="305"/>
      <c r="BD130" s="306"/>
      <c r="BE130" s="306"/>
      <c r="BF130" s="307"/>
      <c r="BG130" s="303"/>
      <c r="BH130" s="305"/>
      <c r="BI130" s="306"/>
      <c r="BJ130" s="306"/>
      <c r="BK130" s="307"/>
      <c r="BL130" s="303"/>
      <c r="BM130" s="305"/>
      <c r="BN130" s="306"/>
      <c r="BO130" s="306"/>
      <c r="BP130" s="307"/>
      <c r="BQ130" s="303"/>
      <c r="BR130" s="303"/>
      <c r="BS130" s="303"/>
      <c r="BT130" s="303"/>
      <c r="BU130" s="303"/>
      <c r="BV130" s="303"/>
      <c r="BW130" s="303"/>
      <c r="BX130" s="303"/>
      <c r="BY130" s="303"/>
      <c r="BZ130" s="303"/>
      <c r="CA130" s="303"/>
      <c r="CB130" s="303"/>
      <c r="CC130" s="303"/>
      <c r="CD130" s="303"/>
      <c r="CE130" s="303"/>
      <c r="CF130" s="303"/>
      <c r="CG130" s="303"/>
      <c r="CH130" s="303"/>
      <c r="CI130" s="303"/>
      <c r="CJ130" s="303"/>
      <c r="CK130" s="303"/>
      <c r="CL130" s="303"/>
      <c r="CM130" s="303"/>
      <c r="CN130" s="303"/>
      <c r="CO130" s="303"/>
      <c r="CP130" s="303"/>
      <c r="CQ130" s="303"/>
      <c r="CR130" s="303"/>
      <c r="CS130" s="303"/>
      <c r="CT130" s="303"/>
      <c r="CU130" s="303"/>
    </row>
    <row r="131" spans="1:99">
      <c r="A131" s="303"/>
      <c r="B131" s="303"/>
      <c r="C131" s="303" t="s">
        <v>120</v>
      </c>
      <c r="D131" s="303"/>
      <c r="E131" s="305"/>
      <c r="F131" s="306"/>
      <c r="G131" s="306"/>
      <c r="H131" s="307"/>
      <c r="I131" s="303"/>
      <c r="J131" s="305"/>
      <c r="K131" s="306"/>
      <c r="L131" s="306"/>
      <c r="M131" s="307"/>
      <c r="N131" s="303"/>
      <c r="O131" s="305"/>
      <c r="P131" s="306"/>
      <c r="Q131" s="306"/>
      <c r="R131" s="307"/>
      <c r="S131" s="712"/>
      <c r="T131" s="305"/>
      <c r="U131" s="306"/>
      <c r="V131" s="306"/>
      <c r="W131" s="307"/>
      <c r="X131" s="712">
        <v>0</v>
      </c>
      <c r="Y131" s="305"/>
      <c r="Z131" s="306"/>
      <c r="AA131" s="306"/>
      <c r="AB131" s="307"/>
      <c r="AC131" s="712">
        <v>0</v>
      </c>
      <c r="AD131" s="305"/>
      <c r="AE131" s="306"/>
      <c r="AF131" s="306"/>
      <c r="AG131" s="307"/>
      <c r="AH131" s="712">
        <v>100</v>
      </c>
      <c r="AI131" s="305"/>
      <c r="AJ131" s="306"/>
      <c r="AK131" s="306"/>
      <c r="AL131" s="1522"/>
      <c r="AM131" s="1524">
        <v>100</v>
      </c>
      <c r="AN131" s="305"/>
      <c r="AO131" s="306"/>
      <c r="AP131" s="306"/>
      <c r="AQ131" s="307"/>
      <c r="AR131" s="712">
        <v>50</v>
      </c>
      <c r="AS131" s="305"/>
      <c r="AT131" s="306"/>
      <c r="AU131" s="306"/>
      <c r="AV131" s="307"/>
      <c r="AW131" s="712">
        <v>25.6</v>
      </c>
      <c r="AX131" s="305"/>
      <c r="AY131" s="306"/>
      <c r="AZ131" s="306"/>
      <c r="BA131" s="307"/>
      <c r="BB131" s="712">
        <v>0</v>
      </c>
      <c r="BC131" s="305"/>
      <c r="BD131" s="306"/>
      <c r="BE131" s="306"/>
      <c r="BF131" s="307"/>
      <c r="BG131" s="712">
        <v>0</v>
      </c>
      <c r="BH131" s="305"/>
      <c r="BI131" s="306"/>
      <c r="BJ131" s="306"/>
      <c r="BK131" s="307"/>
      <c r="BL131" s="712">
        <v>0</v>
      </c>
      <c r="BM131" s="305"/>
      <c r="BN131" s="306"/>
      <c r="BO131" s="306"/>
      <c r="BP131" s="307"/>
      <c r="BQ131" s="712">
        <v>0</v>
      </c>
      <c r="BR131" s="303"/>
      <c r="BS131" s="303"/>
      <c r="BT131" s="303"/>
      <c r="BU131" s="303"/>
      <c r="BV131" s="303"/>
      <c r="BW131" s="303"/>
      <c r="BX131" s="303"/>
      <c r="BY131" s="303"/>
      <c r="BZ131" s="303"/>
      <c r="CA131" s="303"/>
      <c r="CB131" s="303"/>
      <c r="CC131" s="303"/>
      <c r="CD131" s="303"/>
      <c r="CE131" s="303"/>
      <c r="CF131" s="303"/>
      <c r="CG131" s="303"/>
      <c r="CH131" s="303"/>
      <c r="CI131" s="303"/>
      <c r="CJ131" s="303"/>
      <c r="CK131" s="303"/>
      <c r="CL131" s="303"/>
      <c r="CM131" s="303"/>
      <c r="CN131" s="303"/>
      <c r="CO131" s="303"/>
      <c r="CP131" s="303"/>
      <c r="CQ131" s="303"/>
      <c r="CR131" s="303"/>
      <c r="CS131" s="303"/>
      <c r="CT131" s="303"/>
      <c r="CU131" s="303"/>
    </row>
    <row r="132" spans="1:99">
      <c r="A132" s="111"/>
      <c r="B132" s="111"/>
      <c r="C132" s="347" t="s">
        <v>222</v>
      </c>
      <c r="D132" s="112"/>
      <c r="E132" s="152"/>
      <c r="F132" s="155"/>
      <c r="G132" s="155"/>
      <c r="H132" s="153"/>
      <c r="I132" s="154"/>
      <c r="J132" s="152"/>
      <c r="K132" s="155"/>
      <c r="L132" s="155"/>
      <c r="M132" s="153"/>
      <c r="N132" s="154"/>
      <c r="O132" s="152"/>
      <c r="P132" s="155"/>
      <c r="Q132" s="155"/>
      <c r="R132" s="153"/>
      <c r="S132" s="154"/>
      <c r="T132" s="152"/>
      <c r="U132" s="155"/>
      <c r="V132" s="155"/>
      <c r="W132" s="153"/>
      <c r="X132" s="258">
        <v>664</v>
      </c>
      <c r="Y132" s="152">
        <f>AC132/4</f>
        <v>217.75</v>
      </c>
      <c r="Z132" s="155">
        <f>AC132/4</f>
        <v>217.75</v>
      </c>
      <c r="AA132" s="155">
        <f>AC132/4</f>
        <v>217.75</v>
      </c>
      <c r="AB132" s="153">
        <f>AC132/4</f>
        <v>217.75</v>
      </c>
      <c r="AC132" s="258">
        <v>871</v>
      </c>
      <c r="AD132" s="152">
        <f>AH132/4</f>
        <v>259.5</v>
      </c>
      <c r="AE132" s="155">
        <f>AH132/4</f>
        <v>259.5</v>
      </c>
      <c r="AF132" s="155">
        <f>AH132/4</f>
        <v>259.5</v>
      </c>
      <c r="AG132" s="153">
        <f>AH132/4</f>
        <v>259.5</v>
      </c>
      <c r="AH132" s="258">
        <v>1038</v>
      </c>
      <c r="AI132" s="152">
        <f>AM132/4</f>
        <v>262.07499999999999</v>
      </c>
      <c r="AJ132" s="155">
        <f>AM132/4</f>
        <v>262.07499999999999</v>
      </c>
      <c r="AK132" s="155">
        <f>AM132/4</f>
        <v>262.07499999999999</v>
      </c>
      <c r="AL132" s="1518">
        <f>(AM132-SUM(AI132:AK132))/1</f>
        <v>262.07500000000005</v>
      </c>
      <c r="AM132" s="258">
        <v>1048.3</v>
      </c>
      <c r="AN132" s="152">
        <f>AR132/4</f>
        <v>264.57499999999999</v>
      </c>
      <c r="AO132" s="155">
        <f>AR132/4</f>
        <v>264.57499999999999</v>
      </c>
      <c r="AP132" s="155">
        <f>AR132/4</f>
        <v>264.57499999999999</v>
      </c>
      <c r="AQ132" s="1518">
        <f>(AR132-SUM(AN132:AP132))/1</f>
        <v>264.57500000000005</v>
      </c>
      <c r="AR132" s="258">
        <v>1058.3</v>
      </c>
      <c r="AS132" s="152">
        <f>AW132/4</f>
        <v>389.6</v>
      </c>
      <c r="AT132" s="155">
        <f>AW132/4</f>
        <v>389.6</v>
      </c>
      <c r="AU132" s="155">
        <f>AW132/4</f>
        <v>389.6</v>
      </c>
      <c r="AV132" s="1518">
        <f>(AW132-SUM(AS132:AU132))/1</f>
        <v>389.59999999999991</v>
      </c>
      <c r="AW132" s="258">
        <v>1558.4</v>
      </c>
      <c r="AX132" s="149">
        <f>+BB132/4</f>
        <v>446.25</v>
      </c>
      <c r="AY132" s="150">
        <f>(BB132-SUM(AX132:AX132))/3</f>
        <v>446.25</v>
      </c>
      <c r="AZ132" s="150">
        <f>(BB132-SUM(AX132:AY132))/2</f>
        <v>446.25</v>
      </c>
      <c r="BA132" s="151">
        <f>(BB132-SUM(AX132:AZ132))/1</f>
        <v>446.25</v>
      </c>
      <c r="BB132" s="112">
        <f>'Utility Detail'!BB83</f>
        <v>1785</v>
      </c>
      <c r="BC132" s="149">
        <f>+BG132/4</f>
        <v>399.75</v>
      </c>
      <c r="BD132" s="150">
        <f>(BG132-SUM(BC132:BC132))/3</f>
        <v>399.75</v>
      </c>
      <c r="BE132" s="150">
        <f>(BG132-SUM(BC132:BD132))/2</f>
        <v>399.75</v>
      </c>
      <c r="BF132" s="151">
        <f>(BG132-SUM(BC132:BE132))/1</f>
        <v>399.75</v>
      </c>
      <c r="BG132" s="112">
        <f>'Utility Detail'!BG83</f>
        <v>1599</v>
      </c>
      <c r="BH132" s="149">
        <f>+BL132/4</f>
        <v>341</v>
      </c>
      <c r="BI132" s="150">
        <f>(BL132-SUM(BH132:BH132))/3</f>
        <v>341</v>
      </c>
      <c r="BJ132" s="150">
        <f>(BL132-SUM(BH132:BI132))/2</f>
        <v>341</v>
      </c>
      <c r="BK132" s="151">
        <f>(BL132-SUM(BH132:BJ132))/1</f>
        <v>341</v>
      </c>
      <c r="BL132" s="112">
        <f>'Utility Detail'!BL83</f>
        <v>1364</v>
      </c>
      <c r="BM132" s="149">
        <f>+BQ132/4</f>
        <v>341</v>
      </c>
      <c r="BN132" s="150">
        <f>(BQ132-SUM(BM132:BM132))/3</f>
        <v>341</v>
      </c>
      <c r="BO132" s="150">
        <f>(BQ132-SUM(BM132:BN132))/2</f>
        <v>341</v>
      </c>
      <c r="BP132" s="151">
        <f>(BQ132-SUM(BM132:BO132))/1</f>
        <v>341</v>
      </c>
      <c r="BQ132" s="112">
        <f>'Utility Detail'!BQ83</f>
        <v>1364</v>
      </c>
      <c r="BR132" s="111"/>
      <c r="BS132" s="111"/>
      <c r="BT132" s="111"/>
      <c r="BU132" s="111"/>
      <c r="BV132" s="111"/>
      <c r="BW132" s="111"/>
      <c r="BX132" s="111"/>
      <c r="BY132" s="111"/>
      <c r="BZ132" s="111"/>
      <c r="CA132" s="111"/>
      <c r="CB132" s="111"/>
      <c r="CC132" s="111"/>
      <c r="CD132" s="111"/>
      <c r="CE132" s="111"/>
      <c r="CF132" s="111"/>
      <c r="CG132" s="111"/>
      <c r="CH132" s="111"/>
      <c r="CI132" s="111"/>
      <c r="CJ132" s="111"/>
      <c r="CK132" s="111"/>
      <c r="CL132" s="111"/>
      <c r="CM132" s="111"/>
      <c r="CN132" s="111"/>
      <c r="CO132" s="111"/>
      <c r="CP132" s="111"/>
      <c r="CQ132" s="111"/>
      <c r="CR132" s="111"/>
      <c r="CS132" s="111"/>
      <c r="CT132" s="111"/>
      <c r="CU132" s="111"/>
    </row>
    <row r="133" spans="1:99">
      <c r="A133" s="303"/>
      <c r="B133" s="303"/>
      <c r="C133" s="303"/>
      <c r="D133" s="303"/>
      <c r="E133" s="308"/>
      <c r="F133" s="356"/>
      <c r="G133" s="356"/>
      <c r="H133" s="310"/>
      <c r="I133" s="357"/>
      <c r="J133" s="308"/>
      <c r="K133" s="356"/>
      <c r="L133" s="356"/>
      <c r="M133" s="310"/>
      <c r="N133" s="357"/>
      <c r="O133" s="305"/>
      <c r="P133" s="306"/>
      <c r="Q133" s="306"/>
      <c r="R133" s="307"/>
      <c r="S133" s="303"/>
      <c r="T133" s="305"/>
      <c r="U133" s="306"/>
      <c r="V133" s="306"/>
      <c r="W133" s="307"/>
      <c r="X133" s="303"/>
      <c r="Y133" s="305"/>
      <c r="Z133" s="306"/>
      <c r="AA133" s="306"/>
      <c r="AB133" s="307"/>
      <c r="AC133" s="303"/>
      <c r="AD133" s="305"/>
      <c r="AE133" s="306"/>
      <c r="AF133" s="306"/>
      <c r="AG133" s="307"/>
      <c r="AH133" s="303"/>
      <c r="AI133" s="305"/>
      <c r="AJ133" s="306"/>
      <c r="AK133" s="306"/>
      <c r="AL133" s="307"/>
      <c r="AM133" s="303"/>
      <c r="AN133" s="305"/>
      <c r="AO133" s="306"/>
      <c r="AP133" s="306"/>
      <c r="AQ133" s="307"/>
      <c r="AR133" s="303"/>
      <c r="AS133" s="305"/>
      <c r="AT133" s="306"/>
      <c r="AU133" s="306"/>
      <c r="AV133" s="307"/>
      <c r="AW133" s="303"/>
      <c r="AX133" s="305"/>
      <c r="AY133" s="306"/>
      <c r="AZ133" s="306"/>
      <c r="BA133" s="307"/>
      <c r="BB133" s="303"/>
      <c r="BC133" s="305"/>
      <c r="BD133" s="306"/>
      <c r="BE133" s="306"/>
      <c r="BF133" s="307"/>
      <c r="BG133" s="303"/>
      <c r="BH133" s="305"/>
      <c r="BI133" s="306"/>
      <c r="BJ133" s="306"/>
      <c r="BK133" s="307"/>
      <c r="BL133" s="303"/>
      <c r="BM133" s="305"/>
      <c r="BN133" s="306"/>
      <c r="BO133" s="306"/>
      <c r="BP133" s="307"/>
      <c r="BQ133" s="303"/>
      <c r="BR133" s="303"/>
      <c r="BS133" s="303"/>
      <c r="BT133" s="303"/>
      <c r="BU133" s="303"/>
      <c r="BV133" s="303"/>
      <c r="BW133" s="303"/>
      <c r="BX133" s="303"/>
      <c r="BY133" s="303"/>
      <c r="BZ133" s="303"/>
      <c r="CA133" s="303"/>
      <c r="CB133" s="303"/>
      <c r="CC133" s="303"/>
      <c r="CD133" s="303"/>
      <c r="CE133" s="303"/>
      <c r="CF133" s="303"/>
      <c r="CG133" s="303"/>
      <c r="CH133" s="303"/>
      <c r="CI133" s="303"/>
      <c r="CJ133" s="303"/>
      <c r="CK133" s="303"/>
      <c r="CL133" s="303"/>
      <c r="CM133" s="303"/>
      <c r="CN133" s="303"/>
      <c r="CO133" s="303"/>
      <c r="CP133" s="303"/>
      <c r="CQ133" s="303"/>
      <c r="CR133" s="303"/>
      <c r="CS133" s="303"/>
      <c r="CT133" s="303"/>
      <c r="CU133" s="303"/>
    </row>
    <row r="134" spans="1:99">
      <c r="A134" s="303"/>
      <c r="B134" s="303"/>
      <c r="C134" s="303"/>
      <c r="D134" s="303"/>
      <c r="E134" s="305"/>
      <c r="F134" s="306"/>
      <c r="G134" s="306"/>
      <c r="H134" s="307"/>
      <c r="I134" s="303"/>
      <c r="J134" s="305"/>
      <c r="K134" s="306"/>
      <c r="L134" s="306"/>
      <c r="M134" s="307"/>
      <c r="N134" s="303"/>
      <c r="O134" s="305"/>
      <c r="P134" s="306"/>
      <c r="Q134" s="306"/>
      <c r="R134" s="307"/>
      <c r="S134" s="303"/>
      <c r="T134" s="305"/>
      <c r="U134" s="306"/>
      <c r="V134" s="306"/>
      <c r="W134" s="307"/>
      <c r="X134" s="303"/>
      <c r="Y134" s="305"/>
      <c r="Z134" s="306"/>
      <c r="AA134" s="306"/>
      <c r="AB134" s="307"/>
      <c r="AC134" s="303"/>
      <c r="AD134" s="305"/>
      <c r="AE134" s="306"/>
      <c r="AF134" s="306"/>
      <c r="AG134" s="307"/>
      <c r="AH134" s="303"/>
      <c r="AI134" s="305"/>
      <c r="AJ134" s="306"/>
      <c r="AK134" s="306"/>
      <c r="AL134" s="307"/>
      <c r="AM134" s="303"/>
      <c r="AN134" s="305"/>
      <c r="AO134" s="306"/>
      <c r="AP134" s="306"/>
      <c r="AQ134" s="307"/>
      <c r="AR134" s="303"/>
      <c r="AS134" s="305"/>
      <c r="AT134" s="306"/>
      <c r="AU134" s="306"/>
      <c r="AV134" s="307"/>
      <c r="AW134" s="303"/>
      <c r="AX134" s="305"/>
      <c r="AY134" s="306"/>
      <c r="AZ134" s="306"/>
      <c r="BA134" s="307"/>
      <c r="BB134" s="303"/>
      <c r="BC134" s="305"/>
      <c r="BD134" s="306"/>
      <c r="BE134" s="306"/>
      <c r="BF134" s="307"/>
      <c r="BG134" s="303"/>
      <c r="BH134" s="305"/>
      <c r="BI134" s="306"/>
      <c r="BJ134" s="306"/>
      <c r="BK134" s="307"/>
      <c r="BL134" s="303"/>
      <c r="BM134" s="305"/>
      <c r="BN134" s="306"/>
      <c r="BO134" s="306"/>
      <c r="BP134" s="307"/>
      <c r="BQ134" s="303"/>
      <c r="BR134" s="303"/>
      <c r="BS134" s="303"/>
      <c r="BT134" s="303"/>
      <c r="BU134" s="303"/>
      <c r="BV134" s="303"/>
      <c r="BW134" s="303"/>
      <c r="BX134" s="303"/>
      <c r="BY134" s="303"/>
      <c r="BZ134" s="303"/>
      <c r="CA134" s="303"/>
      <c r="CB134" s="303"/>
      <c r="CC134" s="303"/>
      <c r="CD134" s="303"/>
      <c r="CE134" s="303"/>
      <c r="CF134" s="303"/>
      <c r="CG134" s="303"/>
      <c r="CH134" s="303"/>
      <c r="CI134" s="303"/>
      <c r="CJ134" s="303"/>
      <c r="CK134" s="303"/>
      <c r="CL134" s="303"/>
      <c r="CM134" s="303"/>
      <c r="CN134" s="303"/>
      <c r="CO134" s="303"/>
      <c r="CP134" s="303"/>
      <c r="CQ134" s="303"/>
      <c r="CR134" s="303"/>
      <c r="CS134" s="303"/>
      <c r="CT134" s="303"/>
      <c r="CU134" s="303"/>
    </row>
    <row r="135" spans="1:99">
      <c r="A135" s="303"/>
      <c r="B135" s="358" t="s">
        <v>223</v>
      </c>
      <c r="C135" s="358"/>
      <c r="D135" s="359"/>
      <c r="E135" s="305"/>
      <c r="F135" s="306"/>
      <c r="G135" s="306"/>
      <c r="H135" s="307"/>
      <c r="I135" s="303"/>
      <c r="J135" s="305"/>
      <c r="K135" s="306"/>
      <c r="L135" s="306"/>
      <c r="M135" s="307"/>
      <c r="N135" s="303"/>
      <c r="O135" s="305"/>
      <c r="P135" s="306"/>
      <c r="Q135" s="306"/>
      <c r="R135" s="307"/>
      <c r="S135" s="303"/>
      <c r="T135" s="305"/>
      <c r="U135" s="306"/>
      <c r="V135" s="306"/>
      <c r="W135" s="307"/>
      <c r="X135" s="303"/>
      <c r="Y135" s="305"/>
      <c r="Z135" s="306"/>
      <c r="AA135" s="306"/>
      <c r="AB135" s="307"/>
      <c r="AC135" s="303"/>
      <c r="AD135" s="305"/>
      <c r="AE135" s="306"/>
      <c r="AF135" s="306"/>
      <c r="AG135" s="307"/>
      <c r="AH135" s="303"/>
      <c r="AI135" s="305"/>
      <c r="AJ135" s="306"/>
      <c r="AK135" s="306"/>
      <c r="AL135" s="307"/>
      <c r="AM135" s="303"/>
      <c r="AN135" s="305"/>
      <c r="AO135" s="306"/>
      <c r="AP135" s="306"/>
      <c r="AQ135" s="307"/>
      <c r="AR135" s="303"/>
      <c r="AS135" s="305"/>
      <c r="AT135" s="306"/>
      <c r="AU135" s="306"/>
      <c r="AV135" s="307"/>
      <c r="AW135" s="303"/>
      <c r="AX135" s="305"/>
      <c r="AY135" s="306"/>
      <c r="AZ135" s="306"/>
      <c r="BA135" s="307"/>
      <c r="BB135" s="303"/>
      <c r="BC135" s="305"/>
      <c r="BD135" s="306"/>
      <c r="BE135" s="306"/>
      <c r="BF135" s="307"/>
      <c r="BG135" s="303"/>
      <c r="BH135" s="305"/>
      <c r="BI135" s="306"/>
      <c r="BJ135" s="306"/>
      <c r="BK135" s="307"/>
      <c r="BL135" s="303"/>
      <c r="BM135" s="305"/>
      <c r="BN135" s="306"/>
      <c r="BO135" s="306"/>
      <c r="BP135" s="307"/>
      <c r="BQ135" s="303"/>
      <c r="BR135" s="303"/>
      <c r="BS135" s="303"/>
      <c r="BT135" s="303"/>
      <c r="BU135" s="303"/>
      <c r="BV135" s="303"/>
      <c r="BW135" s="303"/>
      <c r="BX135" s="303"/>
      <c r="BY135" s="303"/>
      <c r="BZ135" s="303"/>
      <c r="CA135" s="303"/>
      <c r="CB135" s="303"/>
      <c r="CC135" s="303"/>
      <c r="CD135" s="303"/>
      <c r="CE135" s="303"/>
      <c r="CF135" s="303"/>
      <c r="CG135" s="303"/>
      <c r="CH135" s="303"/>
      <c r="CI135" s="303"/>
      <c r="CJ135" s="303"/>
      <c r="CK135" s="303"/>
      <c r="CL135" s="303"/>
      <c r="CM135" s="303"/>
      <c r="CN135" s="303"/>
      <c r="CO135" s="303"/>
      <c r="CP135" s="303"/>
      <c r="CQ135" s="303"/>
      <c r="CR135" s="303"/>
      <c r="CS135" s="303"/>
      <c r="CT135" s="303"/>
      <c r="CU135" s="303"/>
    </row>
    <row r="136" spans="1:99">
      <c r="A136" s="242"/>
      <c r="B136" s="242"/>
      <c r="C136" s="50" t="s">
        <v>1021</v>
      </c>
      <c r="D136" s="109"/>
      <c r="E136" s="161"/>
      <c r="F136" s="160"/>
      <c r="G136" s="160"/>
      <c r="H136" s="144"/>
      <c r="I136" s="109"/>
      <c r="J136" s="161"/>
      <c r="K136" s="160"/>
      <c r="L136" s="160"/>
      <c r="M136" s="144"/>
      <c r="N136" s="109"/>
      <c r="O136" s="161"/>
      <c r="P136" s="160"/>
      <c r="Q136" s="160"/>
      <c r="R136" s="144"/>
      <c r="S136" s="109"/>
      <c r="T136" s="161"/>
      <c r="U136" s="160"/>
      <c r="V136" s="160"/>
      <c r="W136" s="144"/>
      <c r="X136" s="109">
        <f>X19</f>
        <v>6</v>
      </c>
      <c r="Y136" s="161">
        <f t="shared" ref="Y136:AF136" si="189">Y19</f>
        <v>2</v>
      </c>
      <c r="Z136" s="160">
        <f t="shared" si="189"/>
        <v>0</v>
      </c>
      <c r="AA136" s="160">
        <f t="shared" si="189"/>
        <v>2</v>
      </c>
      <c r="AB136" s="144">
        <f t="shared" si="189"/>
        <v>4</v>
      </c>
      <c r="AC136" s="109">
        <f t="shared" si="189"/>
        <v>8</v>
      </c>
      <c r="AD136" s="161">
        <f t="shared" si="189"/>
        <v>3</v>
      </c>
      <c r="AE136" s="160">
        <f t="shared" si="189"/>
        <v>2</v>
      </c>
      <c r="AF136" s="160">
        <f t="shared" si="189"/>
        <v>3</v>
      </c>
      <c r="AG136" s="144">
        <f t="shared" ref="AG136:AM136" si="190">AG19</f>
        <v>3.6999999999999993</v>
      </c>
      <c r="AH136" s="109">
        <f t="shared" si="190"/>
        <v>11.7</v>
      </c>
      <c r="AI136" s="161">
        <f t="shared" si="190"/>
        <v>4</v>
      </c>
      <c r="AJ136" s="160">
        <f t="shared" si="190"/>
        <v>4</v>
      </c>
      <c r="AK136" s="160">
        <f t="shared" si="190"/>
        <v>3</v>
      </c>
      <c r="AL136" s="144">
        <f t="shared" si="190"/>
        <v>4.5</v>
      </c>
      <c r="AM136" s="109">
        <f t="shared" si="190"/>
        <v>15.5</v>
      </c>
      <c r="AN136" s="161">
        <f t="shared" ref="AN136:AR136" si="191">AN19</f>
        <v>4.3</v>
      </c>
      <c r="AO136" s="160">
        <f t="shared" si="191"/>
        <v>4.0999999999999996</v>
      </c>
      <c r="AP136" s="160">
        <f t="shared" si="191"/>
        <v>2.2000000000000002</v>
      </c>
      <c r="AQ136" s="144">
        <f t="shared" si="191"/>
        <v>4.5000000000000018</v>
      </c>
      <c r="AR136" s="109">
        <f t="shared" si="191"/>
        <v>15.1</v>
      </c>
      <c r="AS136" s="161">
        <f t="shared" ref="AS136:AW136" si="192">AS19</f>
        <v>4.2</v>
      </c>
      <c r="AT136" s="160">
        <f t="shared" si="192"/>
        <v>1.2</v>
      </c>
      <c r="AU136" s="160">
        <f t="shared" si="192"/>
        <v>0.9</v>
      </c>
      <c r="AV136" s="144">
        <f t="shared" si="192"/>
        <v>6.8999999999999986</v>
      </c>
      <c r="AW136" s="109">
        <f t="shared" si="192"/>
        <v>13.2</v>
      </c>
      <c r="AX136" s="161">
        <f>+AX122*AX137/4</f>
        <v>8.0265725263090353</v>
      </c>
      <c r="AY136" s="160">
        <f>+AY122*AY137/4</f>
        <v>8.0265725263090353</v>
      </c>
      <c r="AZ136" s="160">
        <f>+AZ122*AZ137/4</f>
        <v>8.0265725263090353</v>
      </c>
      <c r="BA136" s="144">
        <f>+BA122*BA137/4</f>
        <v>8.0265725263090353</v>
      </c>
      <c r="BB136" s="109">
        <f>SUM(AX136:BA136)</f>
        <v>32.106290105236141</v>
      </c>
      <c r="BC136" s="161">
        <f>+BC122*BC137/4</f>
        <v>7.1901901790297744</v>
      </c>
      <c r="BD136" s="160">
        <f>+BD122*BD137/4</f>
        <v>7.1901901790297744</v>
      </c>
      <c r="BE136" s="160">
        <f>+BE122*BE137/4</f>
        <v>7.1901901790297744</v>
      </c>
      <c r="BF136" s="144">
        <f>+BF122*BF137/4</f>
        <v>7.1901901790297744</v>
      </c>
      <c r="BG136" s="109">
        <f>SUM(BC136:BF136)</f>
        <v>28.760760716119098</v>
      </c>
      <c r="BH136" s="161">
        <f>+BH122*BH137/4</f>
        <v>6.1334705467145794</v>
      </c>
      <c r="BI136" s="160">
        <f>+BI122*BI137/4</f>
        <v>6.1334705467145794</v>
      </c>
      <c r="BJ136" s="160">
        <f>+BJ122*BJ137/4</f>
        <v>6.1334705467145794</v>
      </c>
      <c r="BK136" s="144">
        <f>+BK122*BK137/4</f>
        <v>6.1334705467145794</v>
      </c>
      <c r="BL136" s="109">
        <f>SUM(BH136:BK136)</f>
        <v>24.533882186858317</v>
      </c>
      <c r="BM136" s="161">
        <f>+BM122*BM137/4</f>
        <v>6.1334705467145794</v>
      </c>
      <c r="BN136" s="160">
        <f>+BN122*BN137/4</f>
        <v>6.1334705467145794</v>
      </c>
      <c r="BO136" s="160">
        <f>+BO122*BO137/4</f>
        <v>6.1334705467145794</v>
      </c>
      <c r="BP136" s="144">
        <f>+BP122*BP137/4</f>
        <v>6.1334705467145794</v>
      </c>
      <c r="BQ136" s="109">
        <f>SUM(BM136:BP136)</f>
        <v>24.533882186858317</v>
      </c>
      <c r="BR136" s="242"/>
      <c r="BS136" s="242"/>
      <c r="BT136" s="242"/>
      <c r="BU136" s="242"/>
      <c r="BV136" s="242"/>
      <c r="BW136" s="242"/>
      <c r="BX136" s="242"/>
      <c r="BY136" s="242"/>
      <c r="BZ136" s="242"/>
      <c r="CA136" s="242"/>
      <c r="CB136" s="242"/>
      <c r="CC136" s="242"/>
      <c r="CD136" s="242"/>
      <c r="CE136" s="242"/>
      <c r="CF136" s="242"/>
      <c r="CG136" s="242"/>
      <c r="CH136" s="242"/>
      <c r="CI136" s="242"/>
      <c r="CJ136" s="242"/>
      <c r="CK136" s="242"/>
      <c r="CL136" s="242"/>
      <c r="CM136" s="242"/>
      <c r="CN136" s="242"/>
      <c r="CO136" s="242"/>
      <c r="CP136" s="242"/>
      <c r="CQ136" s="242"/>
      <c r="CR136" s="242"/>
      <c r="CS136" s="242"/>
      <c r="CT136" s="242"/>
      <c r="CU136" s="242"/>
    </row>
    <row r="137" spans="1:99">
      <c r="A137" s="50"/>
      <c r="B137" s="50"/>
      <c r="C137" s="50" t="s">
        <v>224</v>
      </c>
      <c r="D137" s="50"/>
      <c r="E137" s="229"/>
      <c r="F137" s="230"/>
      <c r="G137" s="230"/>
      <c r="H137" s="231"/>
      <c r="I137" s="114"/>
      <c r="J137" s="229"/>
      <c r="K137" s="230"/>
      <c r="L137" s="230"/>
      <c r="M137" s="231"/>
      <c r="N137" s="114"/>
      <c r="O137" s="229"/>
      <c r="P137" s="230"/>
      <c r="Q137" s="230"/>
      <c r="R137" s="231"/>
      <c r="S137" s="114"/>
      <c r="T137" s="229"/>
      <c r="U137" s="230"/>
      <c r="V137" s="230"/>
      <c r="W137" s="231"/>
      <c r="X137" s="114">
        <f>+X136/AVERAGE(X122,S122)</f>
        <v>1.2223569078444754E-2</v>
      </c>
      <c r="Y137" s="229">
        <f>+Y136/Y122*4</f>
        <v>1.5625885059895969E-2</v>
      </c>
      <c r="Z137" s="230">
        <f t="shared" ref="Z137:AF137" si="193">+Z136/Z122*4</f>
        <v>0</v>
      </c>
      <c r="AA137" s="230">
        <f t="shared" si="193"/>
        <v>1.2274212033944333E-2</v>
      </c>
      <c r="AB137" s="231">
        <f t="shared" si="193"/>
        <v>3.9261298665606618E-2</v>
      </c>
      <c r="AC137" s="114">
        <f>+AC136/AC122</f>
        <v>1.9630649332803309E-2</v>
      </c>
      <c r="AD137" s="229">
        <f t="shared" si="193"/>
        <v>2.532740953365907E-2</v>
      </c>
      <c r="AE137" s="230">
        <f t="shared" si="193"/>
        <v>1.760598251285787E-2</v>
      </c>
      <c r="AF137" s="230">
        <f t="shared" si="193"/>
        <v>2.2625756784427443E-2</v>
      </c>
      <c r="AG137" s="231">
        <f>+AG136/AG122*4</f>
        <v>3.0928179751237125E-2</v>
      </c>
      <c r="AH137" s="114">
        <f>+AH136/AH122</f>
        <v>2.4449979938478E-2</v>
      </c>
      <c r="AI137" s="229">
        <f>+AI136/AI122*4</f>
        <v>2.962792876705226E-2</v>
      </c>
      <c r="AJ137" s="230">
        <f>+AJ136/AJ122*4</f>
        <v>3.089739554266447E-2</v>
      </c>
      <c r="AK137" s="230">
        <f>+AK136/AK122*4</f>
        <v>2.3681063437622107E-2</v>
      </c>
      <c r="AL137" s="231">
        <f>+AL136/AL122*4</f>
        <v>3.8947634904870403E-2</v>
      </c>
      <c r="AM137" s="114">
        <f>+AM136/AM122</f>
        <v>3.353824116808285E-2</v>
      </c>
      <c r="AN137" s="229">
        <f>+AN136/AN122*4</f>
        <v>3.9909229705460604E-2</v>
      </c>
      <c r="AO137" s="230">
        <f>+AO136/AO122*4</f>
        <v>3.6872244418014337E-2</v>
      </c>
      <c r="AP137" s="230">
        <f>+AP136/AP122*4</f>
        <v>1.8421950591491154E-2</v>
      </c>
      <c r="AQ137" s="231">
        <f>+AQ136/AQ122*4</f>
        <v>2.9634507737899256E-2</v>
      </c>
      <c r="AR137" s="114">
        <f>+AR136/AR122</f>
        <v>2.4860059269015477E-2</v>
      </c>
      <c r="AS137" s="229">
        <f>+AS136/AS122*4</f>
        <v>2.6398491514770587E-2</v>
      </c>
      <c r="AT137" s="230">
        <f>+AT136/AT122*4</f>
        <v>7.2782410917361633E-3</v>
      </c>
      <c r="AU137" s="230">
        <f>+AU136/AU122*4</f>
        <v>3.9787798408488064E-3</v>
      </c>
      <c r="AV137" s="231">
        <f>+AV136/AV122*4</f>
        <v>2.2154438914753563E-2</v>
      </c>
      <c r="AW137" s="114">
        <f>+AW136/AW122</f>
        <v>1.0595601220099532E-2</v>
      </c>
      <c r="AX137" s="1871">
        <v>2.2499999999999999E-2</v>
      </c>
      <c r="AY137" s="230">
        <f>+AX137</f>
        <v>2.2499999999999999E-2</v>
      </c>
      <c r="AZ137" s="230">
        <f>+AY137</f>
        <v>2.2499999999999999E-2</v>
      </c>
      <c r="BA137" s="231">
        <f>+AZ137</f>
        <v>2.2499999999999999E-2</v>
      </c>
      <c r="BB137" s="114">
        <f>+BB136/BB122</f>
        <v>2.2499999999999999E-2</v>
      </c>
      <c r="BC137" s="229">
        <f>+BA137</f>
        <v>2.2499999999999999E-2</v>
      </c>
      <c r="BD137" s="230">
        <f>+BC137</f>
        <v>2.2499999999999999E-2</v>
      </c>
      <c r="BE137" s="230">
        <f>+BD137</f>
        <v>2.2499999999999999E-2</v>
      </c>
      <c r="BF137" s="231">
        <f>+BE137</f>
        <v>2.2499999999999999E-2</v>
      </c>
      <c r="BG137" s="114">
        <f>+BG136/BG122</f>
        <v>2.2499999999999999E-2</v>
      </c>
      <c r="BH137" s="229">
        <f>+BF137</f>
        <v>2.2499999999999999E-2</v>
      </c>
      <c r="BI137" s="230">
        <f>+BH137</f>
        <v>2.2499999999999999E-2</v>
      </c>
      <c r="BJ137" s="230">
        <f>+BI137</f>
        <v>2.2499999999999999E-2</v>
      </c>
      <c r="BK137" s="231">
        <f>+BJ137</f>
        <v>2.2499999999999999E-2</v>
      </c>
      <c r="BL137" s="114">
        <f>+BL136/BL122</f>
        <v>2.2499999999999999E-2</v>
      </c>
      <c r="BM137" s="229">
        <f>+BK137</f>
        <v>2.2499999999999999E-2</v>
      </c>
      <c r="BN137" s="230">
        <f>+BM137</f>
        <v>2.2499999999999999E-2</v>
      </c>
      <c r="BO137" s="230">
        <f>+BN137</f>
        <v>2.2499999999999999E-2</v>
      </c>
      <c r="BP137" s="231">
        <f>+BO137</f>
        <v>2.2499999999999999E-2</v>
      </c>
      <c r="BQ137" s="114">
        <f>+BQ136/BQ122</f>
        <v>2.2499999999999999E-2</v>
      </c>
      <c r="BR137" s="50"/>
      <c r="BS137" s="50"/>
      <c r="BT137" s="50"/>
      <c r="BU137" s="50"/>
      <c r="BV137" s="50"/>
      <c r="BW137" s="50"/>
      <c r="BX137" s="50"/>
      <c r="BY137" s="50"/>
      <c r="BZ137" s="50"/>
      <c r="CA137" s="50"/>
      <c r="CB137" s="50"/>
      <c r="CC137" s="50"/>
      <c r="CD137" s="50"/>
      <c r="CE137" s="50"/>
      <c r="CF137" s="50"/>
      <c r="CG137" s="50"/>
      <c r="CH137" s="50"/>
      <c r="CI137" s="50"/>
      <c r="CJ137" s="50"/>
      <c r="CK137" s="50"/>
      <c r="CL137" s="50"/>
      <c r="CM137" s="50"/>
      <c r="CN137" s="50"/>
      <c r="CO137" s="50"/>
      <c r="CP137" s="50"/>
      <c r="CQ137" s="50"/>
      <c r="CR137" s="50"/>
      <c r="CS137" s="50"/>
      <c r="CT137" s="50"/>
      <c r="CU137" s="50"/>
    </row>
    <row r="138" spans="1:99">
      <c r="A138" s="303"/>
      <c r="B138" s="303"/>
      <c r="C138" s="303"/>
      <c r="D138" s="303"/>
      <c r="E138" s="305"/>
      <c r="F138" s="306"/>
      <c r="G138" s="306"/>
      <c r="H138" s="307"/>
      <c r="I138" s="303"/>
      <c r="J138" s="305"/>
      <c r="K138" s="306"/>
      <c r="L138" s="306"/>
      <c r="M138" s="307"/>
      <c r="N138" s="303"/>
      <c r="O138" s="305"/>
      <c r="P138" s="306"/>
      <c r="Q138" s="306"/>
      <c r="R138" s="307"/>
      <c r="S138" s="303"/>
      <c r="T138" s="305"/>
      <c r="U138" s="306"/>
      <c r="V138" s="306"/>
      <c r="W138" s="307"/>
      <c r="X138" s="303"/>
      <c r="Y138" s="305"/>
      <c r="Z138" s="306"/>
      <c r="AA138" s="306"/>
      <c r="AB138" s="307"/>
      <c r="AC138" s="303"/>
      <c r="AD138" s="305"/>
      <c r="AE138" s="306"/>
      <c r="AF138" s="306"/>
      <c r="AG138" s="307"/>
      <c r="AH138" s="303"/>
      <c r="AI138" s="305"/>
      <c r="AJ138" s="306"/>
      <c r="AK138" s="306"/>
      <c r="AL138" s="307"/>
      <c r="AM138" s="303"/>
      <c r="AN138" s="305"/>
      <c r="AO138" s="306"/>
      <c r="AP138" s="306"/>
      <c r="AQ138" s="307"/>
      <c r="AR138" s="303"/>
      <c r="AS138" s="305"/>
      <c r="AT138" s="306"/>
      <c r="AU138" s="306"/>
      <c r="AV138" s="307"/>
      <c r="AW138" s="303"/>
      <c r="AX138" s="305"/>
      <c r="AY138" s="306"/>
      <c r="AZ138" s="306"/>
      <c r="BA138" s="307"/>
      <c r="BB138" s="303"/>
      <c r="BC138" s="305"/>
      <c r="BD138" s="306"/>
      <c r="BE138" s="306"/>
      <c r="BF138" s="307"/>
      <c r="BG138" s="303"/>
      <c r="BH138" s="305"/>
      <c r="BI138" s="306"/>
      <c r="BJ138" s="306"/>
      <c r="BK138" s="307"/>
      <c r="BL138" s="303"/>
      <c r="BM138" s="305"/>
      <c r="BN138" s="306"/>
      <c r="BO138" s="306"/>
      <c r="BP138" s="307"/>
      <c r="BQ138" s="303"/>
      <c r="BR138" s="303"/>
      <c r="BS138" s="303"/>
      <c r="BT138" s="303"/>
      <c r="BU138" s="303"/>
      <c r="BV138" s="303"/>
      <c r="BW138" s="303"/>
      <c r="BX138" s="303"/>
      <c r="BY138" s="303"/>
      <c r="BZ138" s="303"/>
      <c r="CA138" s="303"/>
      <c r="CB138" s="303"/>
      <c r="CC138" s="303"/>
      <c r="CD138" s="303"/>
      <c r="CE138" s="303"/>
      <c r="CF138" s="303"/>
      <c r="CG138" s="303"/>
      <c r="CH138" s="303"/>
      <c r="CI138" s="303"/>
      <c r="CJ138" s="303"/>
      <c r="CK138" s="303"/>
      <c r="CL138" s="303"/>
      <c r="CM138" s="303"/>
      <c r="CN138" s="303"/>
      <c r="CO138" s="303"/>
      <c r="CP138" s="303"/>
      <c r="CQ138" s="303"/>
      <c r="CR138" s="303"/>
      <c r="CS138" s="303"/>
      <c r="CT138" s="303"/>
      <c r="CU138" s="303"/>
    </row>
    <row r="139" spans="1:99">
      <c r="A139" s="303"/>
      <c r="B139" s="303"/>
      <c r="C139" s="303"/>
      <c r="D139" s="303"/>
      <c r="E139" s="305"/>
      <c r="F139" s="306"/>
      <c r="G139" s="306"/>
      <c r="H139" s="307"/>
      <c r="I139" s="303"/>
      <c r="J139" s="305"/>
      <c r="K139" s="306"/>
      <c r="L139" s="306"/>
      <c r="M139" s="307"/>
      <c r="N139" s="303"/>
      <c r="O139" s="305"/>
      <c r="P139" s="306"/>
      <c r="Q139" s="306"/>
      <c r="R139" s="307"/>
      <c r="S139" s="303"/>
      <c r="T139" s="305"/>
      <c r="U139" s="306"/>
      <c r="V139" s="306"/>
      <c r="W139" s="307"/>
      <c r="X139" s="303"/>
      <c r="Y139" s="305"/>
      <c r="Z139" s="306"/>
      <c r="AA139" s="306"/>
      <c r="AB139" s="307"/>
      <c r="AC139" s="303"/>
      <c r="AD139" s="305"/>
      <c r="AE139" s="306"/>
      <c r="AF139" s="306"/>
      <c r="AG139" s="307"/>
      <c r="AH139" s="303"/>
      <c r="AI139" s="305"/>
      <c r="AJ139" s="306"/>
      <c r="AK139" s="306"/>
      <c r="AL139" s="307"/>
      <c r="AM139" s="303"/>
      <c r="AN139" s="305"/>
      <c r="AO139" s="306"/>
      <c r="AP139" s="306"/>
      <c r="AQ139" s="307"/>
      <c r="AR139" s="303"/>
      <c r="AS139" s="305"/>
      <c r="AT139" s="306"/>
      <c r="AU139" s="306"/>
      <c r="AV139" s="307"/>
      <c r="AW139" s="303"/>
      <c r="AX139" s="305"/>
      <c r="AY139" s="306"/>
      <c r="AZ139" s="306"/>
      <c r="BA139" s="307"/>
      <c r="BB139" s="303"/>
      <c r="BC139" s="305"/>
      <c r="BD139" s="306"/>
      <c r="BE139" s="306"/>
      <c r="BF139" s="307"/>
      <c r="BG139" s="303"/>
      <c r="BH139" s="305"/>
      <c r="BI139" s="306"/>
      <c r="BJ139" s="306"/>
      <c r="BK139" s="307"/>
      <c r="BL139" s="303"/>
      <c r="BM139" s="305"/>
      <c r="BN139" s="306"/>
      <c r="BO139" s="306"/>
      <c r="BP139" s="307"/>
      <c r="BQ139" s="303"/>
      <c r="BR139" s="303"/>
      <c r="BS139" s="303"/>
      <c r="BT139" s="303"/>
      <c r="BU139" s="303"/>
      <c r="BV139" s="303"/>
      <c r="BW139" s="303"/>
      <c r="BX139" s="303"/>
      <c r="BY139" s="303"/>
      <c r="BZ139" s="303"/>
      <c r="CA139" s="303"/>
      <c r="CB139" s="303"/>
      <c r="CC139" s="303"/>
      <c r="CD139" s="303"/>
      <c r="CE139" s="303"/>
      <c r="CF139" s="303"/>
      <c r="CG139" s="303"/>
      <c r="CH139" s="303"/>
      <c r="CI139" s="303"/>
      <c r="CJ139" s="303"/>
      <c r="CK139" s="303"/>
      <c r="CL139" s="303"/>
      <c r="CM139" s="303"/>
      <c r="CN139" s="303"/>
      <c r="CO139" s="303"/>
      <c r="CP139" s="303"/>
      <c r="CQ139" s="303"/>
      <c r="CR139" s="303"/>
      <c r="CS139" s="303"/>
      <c r="CT139" s="303"/>
      <c r="CU139" s="303"/>
    </row>
    <row r="140" spans="1:99">
      <c r="A140" s="303"/>
      <c r="B140" s="358" t="s">
        <v>225</v>
      </c>
      <c r="C140" s="358"/>
      <c r="D140" s="359"/>
      <c r="E140" s="305"/>
      <c r="F140" s="306"/>
      <c r="G140" s="306"/>
      <c r="H140" s="307"/>
      <c r="I140" s="303"/>
      <c r="J140" s="305"/>
      <c r="K140" s="306"/>
      <c r="L140" s="306"/>
      <c r="M140" s="307"/>
      <c r="N140" s="303"/>
      <c r="O140" s="305"/>
      <c r="P140" s="306"/>
      <c r="Q140" s="306"/>
      <c r="R140" s="307"/>
      <c r="S140" s="303"/>
      <c r="T140" s="305"/>
      <c r="U140" s="306"/>
      <c r="V140" s="306"/>
      <c r="W140" s="307"/>
      <c r="X140" s="303"/>
      <c r="Y140" s="305"/>
      <c r="Z140" s="306"/>
      <c r="AA140" s="306"/>
      <c r="AB140" s="307"/>
      <c r="AC140" s="303"/>
      <c r="AD140" s="305"/>
      <c r="AE140" s="306"/>
      <c r="AF140" s="306"/>
      <c r="AG140" s="307"/>
      <c r="AH140" s="303"/>
      <c r="AI140" s="305"/>
      <c r="AJ140" s="306"/>
      <c r="AK140" s="306"/>
      <c r="AL140" s="307"/>
      <c r="AM140" s="303"/>
      <c r="AN140" s="305"/>
      <c r="AO140" s="306"/>
      <c r="AP140" s="306"/>
      <c r="AQ140" s="307"/>
      <c r="AR140" s="303"/>
      <c r="AS140" s="305"/>
      <c r="AT140" s="306"/>
      <c r="AU140" s="306"/>
      <c r="AV140" s="307"/>
      <c r="AW140" s="303"/>
      <c r="AX140" s="305"/>
      <c r="AY140" s="306"/>
      <c r="AZ140" s="306"/>
      <c r="BA140" s="307"/>
      <c r="BB140" s="303"/>
      <c r="BC140" s="305"/>
      <c r="BD140" s="306"/>
      <c r="BE140" s="306"/>
      <c r="BF140" s="307"/>
      <c r="BG140" s="303"/>
      <c r="BH140" s="305"/>
      <c r="BI140" s="306"/>
      <c r="BJ140" s="306"/>
      <c r="BK140" s="307"/>
      <c r="BL140" s="303"/>
      <c r="BM140" s="305"/>
      <c r="BN140" s="306"/>
      <c r="BO140" s="306"/>
      <c r="BP140" s="307"/>
      <c r="BQ140" s="303"/>
      <c r="BR140" s="303"/>
      <c r="BS140" s="303"/>
      <c r="BT140" s="303"/>
      <c r="BU140" s="303"/>
      <c r="BV140" s="303"/>
      <c r="BW140" s="303"/>
      <c r="BX140" s="303"/>
      <c r="BY140" s="303"/>
      <c r="BZ140" s="303"/>
      <c r="CA140" s="303"/>
      <c r="CB140" s="303"/>
      <c r="CC140" s="303"/>
      <c r="CD140" s="303"/>
      <c r="CE140" s="303"/>
      <c r="CF140" s="303"/>
      <c r="CG140" s="303"/>
      <c r="CH140" s="303"/>
      <c r="CI140" s="303"/>
      <c r="CJ140" s="303"/>
      <c r="CK140" s="303"/>
      <c r="CL140" s="303"/>
      <c r="CM140" s="303"/>
      <c r="CN140" s="303"/>
      <c r="CO140" s="303"/>
      <c r="CP140" s="303"/>
      <c r="CQ140" s="303"/>
      <c r="CR140" s="303"/>
      <c r="CS140" s="303"/>
      <c r="CT140" s="303"/>
      <c r="CU140" s="303"/>
    </row>
    <row r="141" spans="1:99">
      <c r="A141" s="303"/>
      <c r="B141" s="303"/>
      <c r="C141" s="164" t="s">
        <v>35</v>
      </c>
      <c r="D141" s="303"/>
      <c r="E141" s="305"/>
      <c r="F141" s="306"/>
      <c r="G141" s="306"/>
      <c r="H141" s="307"/>
      <c r="I141" s="303"/>
      <c r="J141" s="305"/>
      <c r="K141" s="306"/>
      <c r="L141" s="306"/>
      <c r="M141" s="307"/>
      <c r="N141" s="303"/>
      <c r="O141" s="305"/>
      <c r="P141" s="306"/>
      <c r="Q141" s="306"/>
      <c r="R141" s="307"/>
      <c r="S141" s="303"/>
      <c r="T141" s="305"/>
      <c r="U141" s="306"/>
      <c r="V141" s="306"/>
      <c r="W141" s="307"/>
      <c r="X141" s="303"/>
      <c r="Y141" s="305"/>
      <c r="Z141" s="306"/>
      <c r="AA141" s="306"/>
      <c r="AB141" s="307"/>
      <c r="AC141" s="303"/>
      <c r="AD141" s="305"/>
      <c r="AE141" s="306"/>
      <c r="AF141" s="306"/>
      <c r="AG141" s="307"/>
      <c r="AH141" s="303"/>
      <c r="AI141" s="305"/>
      <c r="AJ141" s="306"/>
      <c r="AK141" s="306"/>
      <c r="AL141" s="307"/>
      <c r="AM141" s="303"/>
      <c r="AN141" s="305"/>
      <c r="AO141" s="306"/>
      <c r="AP141" s="306"/>
      <c r="AQ141" s="307"/>
      <c r="AR141" s="303"/>
      <c r="AS141" s="305"/>
      <c r="AT141" s="306"/>
      <c r="AU141" s="306"/>
      <c r="AV141" s="307"/>
      <c r="AW141" s="303"/>
      <c r="AX141" s="305"/>
      <c r="AY141" s="306"/>
      <c r="AZ141" s="306"/>
      <c r="BA141" s="307"/>
      <c r="BB141" s="303"/>
      <c r="BC141" s="305"/>
      <c r="BD141" s="306"/>
      <c r="BE141" s="306"/>
      <c r="BF141" s="307"/>
      <c r="BG141" s="303"/>
      <c r="BH141" s="305"/>
      <c r="BI141" s="306"/>
      <c r="BJ141" s="306"/>
      <c r="BK141" s="307"/>
      <c r="BL141" s="303"/>
      <c r="BM141" s="305"/>
      <c r="BN141" s="306"/>
      <c r="BO141" s="306"/>
      <c r="BP141" s="307"/>
      <c r="BQ141" s="303"/>
      <c r="BR141" s="303"/>
      <c r="BS141" s="303"/>
      <c r="BT141" s="303"/>
      <c r="BU141" s="303"/>
      <c r="BV141" s="303"/>
      <c r="BW141" s="303"/>
      <c r="BX141" s="303"/>
      <c r="BY141" s="303"/>
      <c r="BZ141" s="303"/>
      <c r="CA141" s="303"/>
      <c r="CB141" s="303"/>
      <c r="CC141" s="303"/>
      <c r="CD141" s="303"/>
      <c r="CE141" s="303"/>
      <c r="CF141" s="303"/>
      <c r="CG141" s="303"/>
      <c r="CH141" s="303"/>
      <c r="CI141" s="303"/>
      <c r="CJ141" s="303"/>
      <c r="CK141" s="303"/>
      <c r="CL141" s="303"/>
      <c r="CM141" s="303"/>
      <c r="CN141" s="303"/>
      <c r="CO141" s="303"/>
      <c r="CP141" s="303"/>
      <c r="CQ141" s="303"/>
      <c r="CR141" s="303"/>
      <c r="CS141" s="303"/>
      <c r="CT141" s="303"/>
      <c r="CU141" s="303"/>
    </row>
    <row r="142" spans="1:99">
      <c r="A142" s="242"/>
      <c r="B142" s="242"/>
      <c r="C142" s="100" t="s">
        <v>36</v>
      </c>
      <c r="D142" s="109"/>
      <c r="E142" s="161"/>
      <c r="F142" s="160"/>
      <c r="G142" s="160"/>
      <c r="H142" s="144"/>
      <c r="I142" s="109"/>
      <c r="J142" s="161"/>
      <c r="K142" s="160"/>
      <c r="L142" s="160"/>
      <c r="M142" s="144"/>
      <c r="N142" s="109"/>
      <c r="O142" s="161"/>
      <c r="P142" s="160"/>
      <c r="Q142" s="160"/>
      <c r="R142" s="144"/>
      <c r="S142" s="109"/>
      <c r="T142" s="161"/>
      <c r="U142" s="160"/>
      <c r="V142" s="160"/>
      <c r="W142" s="144"/>
      <c r="X142" s="109">
        <f>Debt!V289</f>
        <v>0</v>
      </c>
      <c r="Y142" s="1202">
        <f>Debt!W289</f>
        <v>0</v>
      </c>
      <c r="Z142" s="1204">
        <f>Debt!X289</f>
        <v>0</v>
      </c>
      <c r="AA142" s="1204">
        <f>Debt!Y289</f>
        <v>0</v>
      </c>
      <c r="AB142" s="1205">
        <f>Debt!Z289</f>
        <v>0</v>
      </c>
      <c r="AC142" s="1206">
        <f>Debt!AA289</f>
        <v>0</v>
      </c>
      <c r="AD142" s="1202">
        <f>Debt!AB289</f>
        <v>0</v>
      </c>
      <c r="AE142" s="1204">
        <f>Debt!AC289</f>
        <v>0</v>
      </c>
      <c r="AF142" s="1204">
        <f>Debt!AD289</f>
        <v>0</v>
      </c>
      <c r="AG142" s="1205">
        <f>Debt!AE289</f>
        <v>0</v>
      </c>
      <c r="AH142" s="1206">
        <f>Debt!AF289</f>
        <v>0</v>
      </c>
      <c r="AI142" s="1202">
        <f>Debt!AG289</f>
        <v>0</v>
      </c>
      <c r="AJ142" s="1204">
        <f>Debt!AH289</f>
        <v>0</v>
      </c>
      <c r="AK142" s="1204">
        <f>Debt!AI289</f>
        <v>0</v>
      </c>
      <c r="AL142" s="1205">
        <f>Debt!AJ289</f>
        <v>0</v>
      </c>
      <c r="AM142" s="1206">
        <f>Debt!AK289</f>
        <v>0</v>
      </c>
      <c r="AN142" s="1202">
        <f>Debt!AL289</f>
        <v>0</v>
      </c>
      <c r="AO142" s="1204">
        <f>Debt!AM289</f>
        <v>0</v>
      </c>
      <c r="AP142" s="1204">
        <f>Debt!AN289</f>
        <v>0</v>
      </c>
      <c r="AQ142" s="1205">
        <f>Debt!AO289</f>
        <v>0</v>
      </c>
      <c r="AR142" s="1206">
        <f>Debt!AP289</f>
        <v>0</v>
      </c>
      <c r="AS142" s="1202">
        <f>Debt!AQ289</f>
        <v>0</v>
      </c>
      <c r="AT142" s="1204">
        <f>Debt!AR289</f>
        <v>0</v>
      </c>
      <c r="AU142" s="1204">
        <f>Debt!AS289</f>
        <v>700</v>
      </c>
      <c r="AV142" s="1205">
        <f>Debt!AT289</f>
        <v>60</v>
      </c>
      <c r="AW142" s="1206">
        <f>Debt!AU289</f>
        <v>760</v>
      </c>
      <c r="AX142" s="161">
        <f>Debt!AV289</f>
        <v>0</v>
      </c>
      <c r="AY142" s="160">
        <f>Debt!AW289</f>
        <v>0</v>
      </c>
      <c r="AZ142" s="160">
        <f>Debt!AX289</f>
        <v>0</v>
      </c>
      <c r="BA142" s="144">
        <f>Debt!AY289</f>
        <v>825</v>
      </c>
      <c r="BB142" s="64">
        <f>425+400</f>
        <v>825</v>
      </c>
      <c r="BC142" s="161">
        <f>Debt!BA289</f>
        <v>0</v>
      </c>
      <c r="BD142" s="160">
        <f>Debt!BB289</f>
        <v>0</v>
      </c>
      <c r="BE142" s="160">
        <f>Debt!BC289</f>
        <v>900</v>
      </c>
      <c r="BF142" s="144">
        <f>Debt!BD289</f>
        <v>0</v>
      </c>
      <c r="BG142" s="64">
        <v>900</v>
      </c>
      <c r="BH142" s="161">
        <f>Debt!BF289</f>
        <v>0</v>
      </c>
      <c r="BI142" s="160">
        <f>Debt!BG289</f>
        <v>0</v>
      </c>
      <c r="BJ142" s="160">
        <f>Debt!BH289</f>
        <v>900</v>
      </c>
      <c r="BK142" s="144">
        <f>Debt!BI289</f>
        <v>0</v>
      </c>
      <c r="BL142" s="64">
        <v>900</v>
      </c>
      <c r="BM142" s="161">
        <f>Debt!BK289</f>
        <v>0</v>
      </c>
      <c r="BN142" s="160">
        <f>Debt!BL289</f>
        <v>0</v>
      </c>
      <c r="BO142" s="160">
        <f>Debt!BM289</f>
        <v>800</v>
      </c>
      <c r="BP142" s="144">
        <f>Debt!BN289</f>
        <v>0</v>
      </c>
      <c r="BQ142" s="64">
        <v>800</v>
      </c>
      <c r="BR142" s="242"/>
      <c r="BS142" s="242"/>
      <c r="BT142" s="242"/>
      <c r="BU142" s="242"/>
      <c r="BV142" s="242"/>
      <c r="BW142" s="242"/>
      <c r="BX142" s="242"/>
      <c r="BY142" s="242"/>
      <c r="BZ142" s="242"/>
      <c r="CA142" s="242"/>
      <c r="CB142" s="242"/>
      <c r="CC142" s="242"/>
      <c r="CD142" s="242"/>
      <c r="CE142" s="242"/>
      <c r="CF142" s="242"/>
      <c r="CG142" s="242"/>
      <c r="CH142" s="242"/>
      <c r="CI142" s="242"/>
      <c r="CJ142" s="242"/>
      <c r="CK142" s="242"/>
      <c r="CL142" s="242"/>
      <c r="CM142" s="242"/>
      <c r="CN142" s="242"/>
      <c r="CO142" s="242"/>
      <c r="CP142" s="242"/>
      <c r="CQ142" s="242"/>
      <c r="CR142" s="242"/>
      <c r="CS142" s="242"/>
      <c r="CT142" s="242"/>
      <c r="CU142" s="242"/>
    </row>
    <row r="143" spans="1:99">
      <c r="A143" s="242"/>
      <c r="B143" s="242"/>
      <c r="C143" s="100" t="s">
        <v>37</v>
      </c>
      <c r="D143" s="109"/>
      <c r="E143" s="161"/>
      <c r="F143" s="160"/>
      <c r="G143" s="160"/>
      <c r="H143" s="144"/>
      <c r="I143" s="109"/>
      <c r="J143" s="161"/>
      <c r="K143" s="160"/>
      <c r="L143" s="160"/>
      <c r="M143" s="144"/>
      <c r="N143" s="109"/>
      <c r="O143" s="161"/>
      <c r="P143" s="160"/>
      <c r="Q143" s="160"/>
      <c r="R143" s="144"/>
      <c r="S143" s="109"/>
      <c r="T143" s="161"/>
      <c r="U143" s="160"/>
      <c r="V143" s="160"/>
      <c r="W143" s="144"/>
      <c r="X143" s="109">
        <f>Debt!V278</f>
        <v>0</v>
      </c>
      <c r="Y143" s="1202">
        <f>Debt!W278</f>
        <v>0</v>
      </c>
      <c r="Z143" s="1204">
        <f>Debt!X278</f>
        <v>0</v>
      </c>
      <c r="AA143" s="1204">
        <f>Debt!Y278</f>
        <v>0</v>
      </c>
      <c r="AB143" s="1205">
        <f>Debt!Z278</f>
        <v>0</v>
      </c>
      <c r="AC143" s="1206">
        <f>Debt!AA278</f>
        <v>0</v>
      </c>
      <c r="AD143" s="1202">
        <f>Debt!AB278</f>
        <v>0</v>
      </c>
      <c r="AE143" s="1204">
        <f>Debt!AC278</f>
        <v>0</v>
      </c>
      <c r="AF143" s="1204">
        <f>Debt!AD278</f>
        <v>0</v>
      </c>
      <c r="AG143" s="1205">
        <f>Debt!AE278</f>
        <v>0</v>
      </c>
      <c r="AH143" s="1206">
        <f>Debt!AF278</f>
        <v>0</v>
      </c>
      <c r="AI143" s="1202">
        <f>Debt!AG278</f>
        <v>0</v>
      </c>
      <c r="AJ143" s="1204">
        <f>Debt!AH278</f>
        <v>0</v>
      </c>
      <c r="AK143" s="1204">
        <f>Debt!AI278</f>
        <v>0</v>
      </c>
      <c r="AL143" s="1205">
        <f>Debt!AJ278</f>
        <v>0</v>
      </c>
      <c r="AM143" s="1206">
        <f>Debt!AK278</f>
        <v>0</v>
      </c>
      <c r="AN143" s="1202">
        <f>Debt!AL278</f>
        <v>0</v>
      </c>
      <c r="AO143" s="1204">
        <f>Debt!AM278</f>
        <v>-60</v>
      </c>
      <c r="AP143" s="1204">
        <f>Debt!AN278</f>
        <v>0</v>
      </c>
      <c r="AQ143" s="1205">
        <f>Debt!AO278</f>
        <v>0</v>
      </c>
      <c r="AR143" s="1206">
        <f>Debt!AP278</f>
        <v>-60</v>
      </c>
      <c r="AS143" s="1202">
        <f>Debt!AQ278</f>
        <v>-22.4</v>
      </c>
      <c r="AT143" s="1204">
        <f>Debt!AR278</f>
        <v>0</v>
      </c>
      <c r="AU143" s="1204">
        <f>Debt!AS278</f>
        <v>-16.272593000000001</v>
      </c>
      <c r="AV143" s="1205">
        <f>Debt!AT278</f>
        <v>-75.483527000000009</v>
      </c>
      <c r="AW143" s="1206">
        <f>Debt!AU278</f>
        <v>-114.15611999999999</v>
      </c>
      <c r="AX143" s="161">
        <f>Debt!AV278</f>
        <v>-69.962039000000004</v>
      </c>
      <c r="AY143" s="160">
        <f>Debt!AW278</f>
        <v>-380</v>
      </c>
      <c r="AZ143" s="160">
        <f>Debt!AX278</f>
        <v>0</v>
      </c>
      <c r="BA143" s="144">
        <f>Debt!AY278</f>
        <v>0</v>
      </c>
      <c r="BB143" s="109">
        <f>Debt!AZ278</f>
        <v>-449.962039</v>
      </c>
      <c r="BC143" s="161">
        <f>Debt!BA278</f>
        <v>0</v>
      </c>
      <c r="BD143" s="160">
        <f>Debt!BB278</f>
        <v>-50</v>
      </c>
      <c r="BE143" s="160">
        <f>Debt!BC278</f>
        <v>-294.878311</v>
      </c>
      <c r="BF143" s="144">
        <f>Debt!BD278</f>
        <v>0</v>
      </c>
      <c r="BG143" s="109">
        <f>Debt!BE278</f>
        <v>-344.878311</v>
      </c>
      <c r="BH143" s="161">
        <f>Debt!BF278</f>
        <v>0</v>
      </c>
      <c r="BI143" s="160">
        <f>Debt!BG278</f>
        <v>-204.46924300000001</v>
      </c>
      <c r="BJ143" s="160">
        <f>Debt!BH278</f>
        <v>-494.7</v>
      </c>
      <c r="BK143" s="144">
        <f>Debt!BI278</f>
        <v>0</v>
      </c>
      <c r="BL143" s="109">
        <f>Debt!BJ278</f>
        <v>-699.16924300000005</v>
      </c>
      <c r="BM143" s="161">
        <f>Debt!BK278</f>
        <v>0</v>
      </c>
      <c r="BN143" s="160">
        <f>Debt!BL278</f>
        <v>0</v>
      </c>
      <c r="BO143" s="160">
        <f>Debt!BM278</f>
        <v>0</v>
      </c>
      <c r="BP143" s="144">
        <f>Debt!BN278</f>
        <v>-500</v>
      </c>
      <c r="BQ143" s="109">
        <f>Debt!BO278</f>
        <v>-500</v>
      </c>
      <c r="BR143" s="242"/>
      <c r="BS143" s="242"/>
      <c r="BT143" s="242"/>
      <c r="BU143" s="242"/>
      <c r="BV143" s="242"/>
      <c r="BW143" s="242"/>
      <c r="BX143" s="242"/>
      <c r="BY143" s="242"/>
      <c r="BZ143" s="242"/>
      <c r="CA143" s="242"/>
      <c r="CB143" s="242"/>
      <c r="CC143" s="242"/>
      <c r="CD143" s="242"/>
      <c r="CE143" s="242"/>
      <c r="CF143" s="242"/>
      <c r="CG143" s="242"/>
      <c r="CH143" s="242"/>
      <c r="CI143" s="242"/>
      <c r="CJ143" s="242"/>
      <c r="CK143" s="242"/>
      <c r="CL143" s="242"/>
      <c r="CM143" s="242"/>
      <c r="CN143" s="242"/>
      <c r="CO143" s="242"/>
      <c r="CP143" s="242"/>
      <c r="CQ143" s="242"/>
      <c r="CR143" s="242"/>
      <c r="CS143" s="242"/>
      <c r="CT143" s="242"/>
      <c r="CU143" s="242"/>
    </row>
    <row r="144" spans="1:99">
      <c r="A144" s="303"/>
      <c r="B144" s="303"/>
      <c r="C144" s="100"/>
      <c r="D144" s="303"/>
      <c r="E144" s="305"/>
      <c r="F144" s="306"/>
      <c r="G144" s="306"/>
      <c r="H144" s="307"/>
      <c r="I144" s="303"/>
      <c r="J144" s="305"/>
      <c r="K144" s="306"/>
      <c r="L144" s="306"/>
      <c r="M144" s="307"/>
      <c r="N144" s="303"/>
      <c r="O144" s="305"/>
      <c r="P144" s="306"/>
      <c r="Q144" s="160"/>
      <c r="R144" s="144"/>
      <c r="S144" s="109"/>
      <c r="T144" s="305"/>
      <c r="U144" s="306"/>
      <c r="V144" s="306"/>
      <c r="W144" s="144"/>
      <c r="X144" s="109"/>
      <c r="Y144" s="305"/>
      <c r="Z144" s="162"/>
      <c r="AA144" s="162"/>
      <c r="AB144" s="144"/>
      <c r="AC144" s="109"/>
      <c r="AD144" s="161"/>
      <c r="AE144" s="162"/>
      <c r="AF144" s="162"/>
      <c r="AG144" s="144"/>
      <c r="AH144" s="109"/>
      <c r="AI144" s="161"/>
      <c r="AJ144" s="162"/>
      <c r="AK144" s="162"/>
      <c r="AL144" s="144"/>
      <c r="AM144" s="109"/>
      <c r="AN144" s="161"/>
      <c r="AO144" s="162"/>
      <c r="AP144" s="162"/>
      <c r="AQ144" s="144"/>
      <c r="AR144" s="109"/>
      <c r="AS144" s="161"/>
      <c r="AT144" s="162"/>
      <c r="AU144" s="162"/>
      <c r="AV144" s="144"/>
      <c r="AW144" s="109"/>
      <c r="AX144" s="161"/>
      <c r="AY144" s="162"/>
      <c r="AZ144" s="162"/>
      <c r="BA144" s="144"/>
      <c r="BB144" s="109"/>
      <c r="BC144" s="161"/>
      <c r="BD144" s="162"/>
      <c r="BE144" s="162"/>
      <c r="BF144" s="144"/>
      <c r="BG144" s="109"/>
      <c r="BH144" s="161"/>
      <c r="BI144" s="162"/>
      <c r="BJ144" s="162"/>
      <c r="BK144" s="144"/>
      <c r="BL144" s="109"/>
      <c r="BM144" s="161"/>
      <c r="BN144" s="162"/>
      <c r="BO144" s="162"/>
      <c r="BP144" s="144"/>
      <c r="BQ144" s="109"/>
      <c r="BR144" s="303"/>
      <c r="BS144" s="303"/>
      <c r="BT144" s="303"/>
      <c r="BU144" s="303"/>
      <c r="BV144" s="303"/>
      <c r="BW144" s="303"/>
      <c r="BX144" s="303"/>
      <c r="BY144" s="303"/>
      <c r="BZ144" s="303"/>
      <c r="CA144" s="303"/>
      <c r="CB144" s="303"/>
      <c r="CC144" s="303"/>
      <c r="CD144" s="303"/>
      <c r="CE144" s="303"/>
      <c r="CF144" s="303"/>
      <c r="CG144" s="303"/>
      <c r="CH144" s="303"/>
      <c r="CI144" s="303"/>
      <c r="CJ144" s="303"/>
      <c r="CK144" s="303"/>
      <c r="CL144" s="303"/>
      <c r="CM144" s="303"/>
      <c r="CN144" s="303"/>
      <c r="CO144" s="303"/>
      <c r="CP144" s="303"/>
      <c r="CQ144" s="303"/>
      <c r="CR144" s="303"/>
      <c r="CS144" s="303"/>
      <c r="CT144" s="303"/>
      <c r="CU144" s="303"/>
    </row>
    <row r="145" spans="1:115">
      <c r="A145" s="303"/>
      <c r="B145" s="303"/>
      <c r="C145" s="164" t="s">
        <v>5</v>
      </c>
      <c r="D145" s="303"/>
      <c r="E145" s="305"/>
      <c r="F145" s="306"/>
      <c r="G145" s="306"/>
      <c r="H145" s="307"/>
      <c r="I145" s="303"/>
      <c r="J145" s="305"/>
      <c r="K145" s="306"/>
      <c r="L145" s="306"/>
      <c r="M145" s="307"/>
      <c r="N145" s="303"/>
      <c r="O145" s="305"/>
      <c r="P145" s="306"/>
      <c r="Q145" s="160"/>
      <c r="R145" s="144"/>
      <c r="S145" s="109"/>
      <c r="T145" s="305"/>
      <c r="U145" s="306"/>
      <c r="V145" s="306"/>
      <c r="W145" s="144"/>
      <c r="X145" s="109"/>
      <c r="Y145" s="305"/>
      <c r="Z145" s="160"/>
      <c r="AA145" s="160"/>
      <c r="AB145" s="144"/>
      <c r="AC145" s="109"/>
      <c r="AD145" s="161"/>
      <c r="AE145" s="160"/>
      <c r="AF145" s="160"/>
      <c r="AG145" s="144"/>
      <c r="AH145" s="109"/>
      <c r="AI145" s="161"/>
      <c r="AJ145" s="160"/>
      <c r="AK145" s="160"/>
      <c r="AL145" s="144"/>
      <c r="AM145" s="109"/>
      <c r="AN145" s="161"/>
      <c r="AO145" s="160"/>
      <c r="AP145" s="160"/>
      <c r="AQ145" s="144"/>
      <c r="AR145" s="109"/>
      <c r="AS145" s="161"/>
      <c r="AT145" s="160"/>
      <c r="AU145" s="160"/>
      <c r="AV145" s="144"/>
      <c r="AW145" s="109"/>
      <c r="AX145" s="161"/>
      <c r="AY145" s="160"/>
      <c r="AZ145" s="160"/>
      <c r="BA145" s="144"/>
      <c r="BB145" s="109"/>
      <c r="BC145" s="161"/>
      <c r="BD145" s="160"/>
      <c r="BE145" s="160"/>
      <c r="BF145" s="144"/>
      <c r="BG145" s="109"/>
      <c r="BH145" s="161"/>
      <c r="BI145" s="160"/>
      <c r="BJ145" s="160"/>
      <c r="BK145" s="144"/>
      <c r="BL145" s="109"/>
      <c r="BM145" s="161"/>
      <c r="BN145" s="160"/>
      <c r="BO145" s="160"/>
      <c r="BP145" s="144"/>
      <c r="BQ145" s="109"/>
      <c r="BR145" s="303"/>
      <c r="BS145" s="303"/>
      <c r="BT145" s="303"/>
      <c r="BU145" s="303"/>
      <c r="BV145" s="303"/>
      <c r="BW145" s="303"/>
      <c r="BX145" s="303"/>
      <c r="BY145" s="303"/>
      <c r="BZ145" s="303"/>
      <c r="CA145" s="303"/>
      <c r="CB145" s="303"/>
      <c r="CC145" s="303"/>
      <c r="CD145" s="303"/>
      <c r="CE145" s="303"/>
      <c r="CF145" s="303"/>
      <c r="CG145" s="303"/>
      <c r="CH145" s="303"/>
      <c r="CI145" s="303"/>
      <c r="CJ145" s="303"/>
      <c r="CK145" s="303"/>
      <c r="CL145" s="303"/>
      <c r="CM145" s="303"/>
      <c r="CN145" s="303"/>
      <c r="CO145" s="303"/>
      <c r="CP145" s="303"/>
      <c r="CQ145" s="303"/>
      <c r="CR145" s="303"/>
      <c r="CS145" s="303"/>
      <c r="CT145" s="303"/>
      <c r="CU145" s="303"/>
    </row>
    <row r="146" spans="1:115">
      <c r="A146" s="242"/>
      <c r="B146" s="242"/>
      <c r="C146" s="100" t="s">
        <v>38</v>
      </c>
      <c r="D146" s="109"/>
      <c r="E146" s="161"/>
      <c r="F146" s="162"/>
      <c r="G146" s="162"/>
      <c r="H146" s="144"/>
      <c r="I146" s="109"/>
      <c r="J146" s="161"/>
      <c r="K146" s="162"/>
      <c r="L146" s="162"/>
      <c r="M146" s="144"/>
      <c r="N146" s="109"/>
      <c r="O146" s="161"/>
      <c r="P146" s="160"/>
      <c r="Q146" s="160"/>
      <c r="R146" s="144"/>
      <c r="S146" s="109"/>
      <c r="T146" s="161"/>
      <c r="U146" s="160"/>
      <c r="V146" s="160"/>
      <c r="W146" s="144"/>
      <c r="X146" s="109"/>
      <c r="Y146" s="161"/>
      <c r="Z146" s="160"/>
      <c r="AA146" s="160"/>
      <c r="AB146" s="144"/>
      <c r="AC146" s="109"/>
      <c r="AD146" s="161"/>
      <c r="AE146" s="160"/>
      <c r="AF146" s="160"/>
      <c r="AG146" s="144"/>
      <c r="AH146" s="109"/>
      <c r="AI146" s="161"/>
      <c r="AJ146" s="160"/>
      <c r="AK146" s="160"/>
      <c r="AL146" s="144"/>
      <c r="AM146" s="109"/>
      <c r="AN146" s="161"/>
      <c r="AO146" s="160"/>
      <c r="AP146" s="160"/>
      <c r="AQ146" s="144"/>
      <c r="AR146" s="109"/>
      <c r="AS146" s="161"/>
      <c r="AT146" s="160"/>
      <c r="AU146" s="160"/>
      <c r="AV146" s="144"/>
      <c r="AW146" s="109"/>
      <c r="AX146" s="161">
        <f>(((AW185-AS185)*AX151)/4)-((AW183-AS183)*(AX151-1%)/4)</f>
        <v>-0.42700000000000005</v>
      </c>
      <c r="AY146" s="160">
        <f>(((AX185-AT185)*AY151)/4)-((AX183-AT183)*(AY151-1%)/4)</f>
        <v>0.21639410355045413</v>
      </c>
      <c r="AZ146" s="160">
        <f>(((AY185-AU185)*AZ151)/4)-((AY183-AU183)*(AZ151-1%)/4)</f>
        <v>3.1582026457199879</v>
      </c>
      <c r="BA146" s="144">
        <f>(((AZ185-AV185)*BA151)/4)-((AZ183-AV183)*(BA151-1%)/4)</f>
        <v>4.2663135710933711</v>
      </c>
      <c r="BB146" s="109">
        <f>+SUM(AX146:BA146)</f>
        <v>7.2139103203638131</v>
      </c>
      <c r="BC146" s="161">
        <f>(((BB185-AX185)*BC151)/4)-((BB183-AX183)*(BC151-1%)/4)</f>
        <v>0.22876240610895537</v>
      </c>
      <c r="BD146" s="160">
        <f>(((BC185-AY185)*BD151)/4)-((BC183-AY183)*(BD151-1%)/4)</f>
        <v>-1.9756333998554263</v>
      </c>
      <c r="BE146" s="160">
        <f>(((BD185-AZ185)*BE151)/4)-((BD183-AZ183)*(BE151-1%)/4)</f>
        <v>-1.7377472807395458</v>
      </c>
      <c r="BF146" s="144">
        <f>(((BE185-BA185)*BF151)/4)-((BE183-BA183)*(BF151-1%)/4)</f>
        <v>-1.1589342340118691</v>
      </c>
      <c r="BG146" s="109">
        <f>+SUM(BC146:BF146)</f>
        <v>-4.6435525084978853</v>
      </c>
      <c r="BH146" s="161">
        <f>(((BG185-BC185)*BH151)/4)-((BG183-BC183)*(BH151-1%)/4)</f>
        <v>-1.169603619061403</v>
      </c>
      <c r="BI146" s="160">
        <f>(((BH185-BD185)*BI151)/4)-((BH183-BD183)*(BI151-1%)/4)</f>
        <v>-1.6026584659579675</v>
      </c>
      <c r="BJ146" s="160">
        <f>(((BI185-BE185)*BJ151)/4)-((BI183-BE183)*(BJ151-1%)/4)</f>
        <v>2.4751401843540726</v>
      </c>
      <c r="BK146" s="144">
        <f>(((BJ185-BF185)*BK151)/4)-((BJ183-BF183)*(BK151-1%)/4)</f>
        <v>4.6678286917014589E-3</v>
      </c>
      <c r="BL146" s="109">
        <f>+SUM(BH146:BK146)</f>
        <v>-0.29245407197359663</v>
      </c>
      <c r="BM146" s="161">
        <f>(((BL185-BH185)*BM151)/4)-((BL183-BH183)*(BM151-1%)/4)</f>
        <v>3.7273507528834959E-2</v>
      </c>
      <c r="BN146" s="160">
        <f>(((BM185-BI185)*BN151)/4)-((BM183-BI183)*(BN151-1%)/4)</f>
        <v>-0.97774707671450078</v>
      </c>
      <c r="BO146" s="160">
        <f>(((BN185-BJ185)*BO151)/4)-((BN183-BJ183)*(BO151-1%)/4)</f>
        <v>1.3502133086927923</v>
      </c>
      <c r="BP146" s="144">
        <f>(((BO185-BK185)*BP151)/4)-((BO183-BK183)*(BP151-1%)/4)</f>
        <v>-1.9708836827565013</v>
      </c>
      <c r="BQ146" s="109">
        <f>+SUM(BM146:BP146)</f>
        <v>-1.5611439432493748</v>
      </c>
      <c r="BR146" s="242"/>
      <c r="BS146" s="242"/>
      <c r="BT146" s="242"/>
      <c r="BU146" s="242"/>
      <c r="BV146" s="242"/>
      <c r="BW146" s="242"/>
      <c r="BX146" s="242"/>
      <c r="BY146" s="242"/>
      <c r="BZ146" s="242"/>
      <c r="CA146" s="242"/>
      <c r="CB146" s="242"/>
      <c r="CC146" s="242"/>
      <c r="CD146" s="242"/>
      <c r="CE146" s="242"/>
      <c r="CF146" s="242"/>
      <c r="CG146" s="242"/>
      <c r="CH146" s="242"/>
      <c r="CI146" s="242"/>
      <c r="CJ146" s="242"/>
      <c r="CK146" s="242"/>
      <c r="CL146" s="242"/>
      <c r="CM146" s="242"/>
      <c r="CN146" s="242"/>
      <c r="CO146" s="242"/>
      <c r="CP146" s="242"/>
      <c r="CQ146" s="242"/>
      <c r="CR146" s="242"/>
      <c r="CS146" s="242"/>
      <c r="CT146" s="242"/>
      <c r="CU146" s="242"/>
    </row>
    <row r="147" spans="1:115">
      <c r="A147" s="242"/>
      <c r="B147" s="242"/>
      <c r="C147" s="100"/>
      <c r="D147" s="109"/>
      <c r="E147" s="161"/>
      <c r="F147" s="162"/>
      <c r="G147" s="162"/>
      <c r="H147" s="144"/>
      <c r="I147" s="109"/>
      <c r="J147" s="161"/>
      <c r="K147" s="162"/>
      <c r="L147" s="162"/>
      <c r="M147" s="144"/>
      <c r="N147" s="109"/>
      <c r="O147" s="161"/>
      <c r="P147" s="162"/>
      <c r="Q147" s="162"/>
      <c r="R147" s="144"/>
      <c r="S147" s="109"/>
      <c r="T147" s="161"/>
      <c r="U147" s="162"/>
      <c r="V147" s="162"/>
      <c r="W147" s="144"/>
      <c r="X147" s="109"/>
      <c r="Y147" s="161"/>
      <c r="Z147" s="162"/>
      <c r="AA147" s="162"/>
      <c r="AB147" s="144"/>
      <c r="AC147" s="109"/>
      <c r="AD147" s="161"/>
      <c r="AE147" s="162"/>
      <c r="AF147" s="162"/>
      <c r="AG147" s="144"/>
      <c r="AH147" s="109"/>
      <c r="AI147" s="161"/>
      <c r="AJ147" s="162"/>
      <c r="AK147" s="162"/>
      <c r="AL147" s="144"/>
      <c r="AM147" s="242"/>
      <c r="AN147" s="161"/>
      <c r="AO147" s="162"/>
      <c r="AP147" s="162"/>
      <c r="AQ147" s="144"/>
      <c r="AR147" s="242"/>
      <c r="AS147" s="161"/>
      <c r="AT147" s="162"/>
      <c r="AU147" s="162"/>
      <c r="AV147" s="144"/>
      <c r="AW147" s="242"/>
      <c r="AX147" s="161"/>
      <c r="AY147" s="162"/>
      <c r="AZ147" s="162"/>
      <c r="BA147" s="144"/>
      <c r="BB147" s="242"/>
      <c r="BC147" s="161"/>
      <c r="BD147" s="162"/>
      <c r="BE147" s="162"/>
      <c r="BF147" s="144"/>
      <c r="BG147" s="242"/>
      <c r="BH147" s="161"/>
      <c r="BI147" s="162"/>
      <c r="BJ147" s="162"/>
      <c r="BK147" s="144"/>
      <c r="BL147" s="242"/>
      <c r="BM147" s="161"/>
      <c r="BN147" s="162"/>
      <c r="BO147" s="162"/>
      <c r="BP147" s="144"/>
      <c r="BQ147" s="242"/>
      <c r="BR147" s="242"/>
      <c r="BS147" s="242"/>
      <c r="BT147" s="242"/>
      <c r="BU147" s="242"/>
      <c r="BV147" s="242"/>
      <c r="BW147" s="242"/>
      <c r="BX147" s="242"/>
      <c r="BY147" s="242"/>
      <c r="BZ147" s="242"/>
      <c r="CA147" s="242"/>
      <c r="CB147" s="242"/>
      <c r="CC147" s="242"/>
      <c r="CD147" s="242"/>
      <c r="CE147" s="242"/>
      <c r="CF147" s="242"/>
      <c r="CG147" s="242"/>
      <c r="CH147" s="242"/>
      <c r="CI147" s="242"/>
      <c r="CJ147" s="242"/>
      <c r="CK147" s="242"/>
      <c r="CL147" s="242"/>
      <c r="CM147" s="242"/>
      <c r="CN147" s="242"/>
      <c r="CO147" s="242"/>
      <c r="CP147" s="242"/>
      <c r="CQ147" s="242"/>
      <c r="CR147" s="242"/>
      <c r="CS147" s="242"/>
      <c r="CT147" s="242"/>
      <c r="CU147" s="242"/>
    </row>
    <row r="148" spans="1:115">
      <c r="A148" s="242"/>
      <c r="B148" s="242"/>
      <c r="C148" s="100" t="s">
        <v>39</v>
      </c>
      <c r="D148" s="109"/>
      <c r="E148" s="161"/>
      <c r="F148" s="162"/>
      <c r="G148" s="162"/>
      <c r="H148" s="144"/>
      <c r="I148" s="109"/>
      <c r="J148" s="161"/>
      <c r="K148" s="162"/>
      <c r="L148" s="162"/>
      <c r="M148" s="144"/>
      <c r="N148" s="109"/>
      <c r="O148" s="161"/>
      <c r="P148" s="160"/>
      <c r="Q148" s="160"/>
      <c r="R148" s="144"/>
      <c r="S148" s="109"/>
      <c r="T148" s="161"/>
      <c r="U148" s="160"/>
      <c r="V148" s="160"/>
      <c r="W148" s="144"/>
      <c r="X148" s="109"/>
      <c r="Y148" s="161"/>
      <c r="Z148" s="160"/>
      <c r="AA148" s="160"/>
      <c r="AB148" s="144"/>
      <c r="AC148" s="109"/>
      <c r="AD148" s="161"/>
      <c r="AE148" s="160"/>
      <c r="AF148" s="160"/>
      <c r="AG148" s="144"/>
      <c r="AH148" s="109"/>
      <c r="AI148" s="161"/>
      <c r="AJ148" s="160"/>
      <c r="AK148" s="160"/>
      <c r="AL148" s="144"/>
      <c r="AM148" s="109"/>
      <c r="AN148" s="161"/>
      <c r="AO148" s="160"/>
      <c r="AP148" s="160"/>
      <c r="AQ148" s="144"/>
      <c r="AR148" s="109"/>
      <c r="AS148" s="161"/>
      <c r="AT148" s="160"/>
      <c r="AU148" s="160"/>
      <c r="AV148" s="144"/>
      <c r="AW148" s="109"/>
      <c r="AX148" s="161">
        <f>Debt!DA289</f>
        <v>5.5125000000000002</v>
      </c>
      <c r="AY148" s="160">
        <f>Debt!DB289</f>
        <v>5.5125000000000002</v>
      </c>
      <c r="AZ148" s="160">
        <f>Debt!DC289</f>
        <v>3.7625000000000002</v>
      </c>
      <c r="BA148" s="144">
        <f>Debt!DD289</f>
        <v>10.3125</v>
      </c>
      <c r="BB148" s="109">
        <f>Debt!DE289</f>
        <v>25.1</v>
      </c>
      <c r="BC148" s="161">
        <f>Debt!DF289</f>
        <v>10.3125</v>
      </c>
      <c r="BD148" s="160">
        <f>Debt!DG289</f>
        <v>10.3125</v>
      </c>
      <c r="BE148" s="160">
        <f>Debt!DH289</f>
        <v>21.5625</v>
      </c>
      <c r="BF148" s="144">
        <f>Debt!DI289</f>
        <v>11.25</v>
      </c>
      <c r="BG148" s="109">
        <f>Debt!DJ289</f>
        <v>53.4375</v>
      </c>
      <c r="BH148" s="161">
        <f>Debt!DK289</f>
        <v>11.25</v>
      </c>
      <c r="BI148" s="160">
        <f>Debt!DL289</f>
        <v>11.25</v>
      </c>
      <c r="BJ148" s="160">
        <f>Debt!DM289</f>
        <v>11.25</v>
      </c>
      <c r="BK148" s="144">
        <f>Debt!DN289</f>
        <v>11.25</v>
      </c>
      <c r="BL148" s="109">
        <f>Debt!DO289</f>
        <v>45</v>
      </c>
      <c r="BM148" s="161">
        <f>Debt!DP289</f>
        <v>11.25</v>
      </c>
      <c r="BN148" s="160">
        <f>Debt!DQ289</f>
        <v>11.25</v>
      </c>
      <c r="BO148" s="160">
        <f>Debt!DR289</f>
        <v>10</v>
      </c>
      <c r="BP148" s="144">
        <f>Debt!DS289</f>
        <v>10</v>
      </c>
      <c r="BQ148" s="109">
        <f>Debt!DT289</f>
        <v>42.5</v>
      </c>
      <c r="BR148" s="242"/>
      <c r="BS148" s="242"/>
      <c r="BT148" s="242"/>
      <c r="BU148" s="242"/>
      <c r="BV148" s="242"/>
      <c r="BW148" s="242"/>
      <c r="BX148" s="242"/>
      <c r="BY148" s="242"/>
      <c r="BZ148" s="242"/>
      <c r="CA148" s="242"/>
      <c r="CB148" s="242"/>
      <c r="CC148" s="242"/>
      <c r="CD148" s="242"/>
      <c r="CE148" s="242"/>
      <c r="CF148" s="242"/>
      <c r="CG148" s="242"/>
      <c r="CH148" s="242"/>
      <c r="CI148" s="242"/>
      <c r="CJ148" s="242"/>
      <c r="CK148" s="242"/>
      <c r="CL148" s="242"/>
      <c r="CM148" s="242"/>
      <c r="CN148" s="242"/>
      <c r="CO148" s="242"/>
      <c r="CP148" s="242"/>
      <c r="CQ148" s="242"/>
      <c r="CR148" s="242"/>
      <c r="CS148" s="242"/>
      <c r="CT148" s="242"/>
      <c r="CU148" s="242"/>
    </row>
    <row r="149" spans="1:115">
      <c r="A149" s="242"/>
      <c r="B149" s="242"/>
      <c r="C149" s="100" t="s">
        <v>40</v>
      </c>
      <c r="D149" s="109"/>
      <c r="E149" s="161"/>
      <c r="F149" s="162"/>
      <c r="G149" s="162"/>
      <c r="H149" s="144"/>
      <c r="I149" s="109"/>
      <c r="J149" s="161"/>
      <c r="K149" s="162"/>
      <c r="L149" s="162"/>
      <c r="M149" s="144"/>
      <c r="N149" s="109"/>
      <c r="O149" s="161"/>
      <c r="P149" s="160"/>
      <c r="Q149" s="160"/>
      <c r="R149" s="144"/>
      <c r="S149" s="109"/>
      <c r="T149" s="161"/>
      <c r="U149" s="160"/>
      <c r="V149" s="160"/>
      <c r="W149" s="144"/>
      <c r="X149" s="109"/>
      <c r="Y149" s="161"/>
      <c r="Z149" s="160"/>
      <c r="AA149" s="160"/>
      <c r="AB149" s="144"/>
      <c r="AC149" s="109"/>
      <c r="AD149" s="161"/>
      <c r="AE149" s="160"/>
      <c r="AF149" s="160"/>
      <c r="AG149" s="144"/>
      <c r="AH149" s="109"/>
      <c r="AI149" s="161"/>
      <c r="AJ149" s="160"/>
      <c r="AK149" s="160"/>
      <c r="AL149" s="144"/>
      <c r="AM149" s="109"/>
      <c r="AN149" s="161"/>
      <c r="AO149" s="160"/>
      <c r="AP149" s="160"/>
      <c r="AQ149" s="144"/>
      <c r="AR149" s="109"/>
      <c r="AS149" s="161"/>
      <c r="AT149" s="160"/>
      <c r="AU149" s="160"/>
      <c r="AV149" s="144"/>
      <c r="AW149" s="109"/>
      <c r="AX149" s="161">
        <f>Debt!DA278</f>
        <v>-1.6122362653766669</v>
      </c>
      <c r="AY149" s="160">
        <f>Debt!DB278</f>
        <v>-5.5652702653766664</v>
      </c>
      <c r="AZ149" s="160">
        <f>Debt!DC278</f>
        <v>-7.2908807384749998</v>
      </c>
      <c r="BA149" s="144">
        <f>Debt!DD278</f>
        <v>-6.6904965270083334</v>
      </c>
      <c r="BB149" s="109">
        <f>Debt!DE278</f>
        <v>-21.158883796236669</v>
      </c>
      <c r="BC149" s="161">
        <f>Debt!DF278</f>
        <v>-5.7355</v>
      </c>
      <c r="BD149" s="160">
        <f>Debt!DG278</f>
        <v>-2.0908333333333333</v>
      </c>
      <c r="BE149" s="160">
        <f>Debt!DH278</f>
        <v>-2.4685141480974999</v>
      </c>
      <c r="BF149" s="144">
        <f>Debt!DI278</f>
        <v>-2.9685141480974999</v>
      </c>
      <c r="BG149" s="109">
        <f>Debt!DJ278</f>
        <v>-13.263361629528333</v>
      </c>
      <c r="BH149" s="161">
        <f>Debt!DK278</f>
        <v>-2.9685141480974999</v>
      </c>
      <c r="BI149" s="160">
        <f>Debt!DL278</f>
        <v>-3.0833596349041668</v>
      </c>
      <c r="BJ149" s="160">
        <f>Debt!DM278</f>
        <v>-8.3854819604199999</v>
      </c>
      <c r="BK149" s="144">
        <f>Debt!DN278</f>
        <v>-7.8854819604199999</v>
      </c>
      <c r="BL149" s="109">
        <f>Debt!DO278</f>
        <v>-22.322837703841667</v>
      </c>
      <c r="BM149" s="161">
        <f>Debt!DP278</f>
        <v>-7.8854819604199999</v>
      </c>
      <c r="BN149" s="160">
        <f>Debt!DQ278</f>
        <v>-7.4443864736133332</v>
      </c>
      <c r="BO149" s="160">
        <f>Debt!DR278</f>
        <v>0</v>
      </c>
      <c r="BP149" s="144">
        <f>Debt!DS278</f>
        <v>-6.71875</v>
      </c>
      <c r="BQ149" s="109">
        <f>Debt!DT278</f>
        <v>-22.048618434033333</v>
      </c>
      <c r="BR149" s="242"/>
      <c r="BS149" s="242"/>
      <c r="BT149" s="242"/>
      <c r="BU149" s="242"/>
      <c r="BV149" s="242"/>
      <c r="BW149" s="242"/>
      <c r="BX149" s="242"/>
      <c r="BY149" s="242"/>
      <c r="BZ149" s="242"/>
      <c r="CA149" s="242"/>
      <c r="CB149" s="242"/>
      <c r="CC149" s="242"/>
      <c r="CD149" s="242"/>
      <c r="CE149" s="242"/>
      <c r="CF149" s="242"/>
      <c r="CG149" s="242"/>
      <c r="CH149" s="242"/>
      <c r="CI149" s="242"/>
      <c r="CJ149" s="242"/>
      <c r="CK149" s="242"/>
      <c r="CL149" s="242"/>
      <c r="CM149" s="242"/>
      <c r="CN149" s="242"/>
      <c r="CO149" s="242"/>
      <c r="CP149" s="242"/>
      <c r="CQ149" s="242"/>
      <c r="CR149" s="242"/>
      <c r="CS149" s="242"/>
      <c r="CT149" s="242"/>
      <c r="CU149" s="242"/>
    </row>
    <row r="150" spans="1:115">
      <c r="A150" s="303"/>
      <c r="B150" s="303"/>
      <c r="C150" s="50"/>
      <c r="D150" s="303"/>
      <c r="E150" s="305"/>
      <c r="F150" s="306"/>
      <c r="G150" s="306"/>
      <c r="H150" s="307"/>
      <c r="I150" s="303"/>
      <c r="J150" s="305"/>
      <c r="K150" s="306"/>
      <c r="L150" s="306"/>
      <c r="M150" s="307"/>
      <c r="N150" s="303"/>
      <c r="O150" s="305"/>
      <c r="P150" s="306"/>
      <c r="Q150" s="306"/>
      <c r="R150" s="307"/>
      <c r="S150" s="303"/>
      <c r="T150" s="305"/>
      <c r="U150" s="306"/>
      <c r="V150" s="306"/>
      <c r="W150" s="307"/>
      <c r="X150" s="303"/>
      <c r="Y150" s="305"/>
      <c r="Z150" s="306"/>
      <c r="AA150" s="306"/>
      <c r="AB150" s="307"/>
      <c r="AC150" s="303"/>
      <c r="AD150" s="305"/>
      <c r="AE150" s="306"/>
      <c r="AF150" s="306"/>
      <c r="AG150" s="307"/>
      <c r="AH150" s="303"/>
      <c r="AI150" s="305"/>
      <c r="AJ150" s="306"/>
      <c r="AK150" s="306"/>
      <c r="AL150" s="307"/>
      <c r="AM150" s="303"/>
      <c r="AN150" s="305"/>
      <c r="AO150" s="306"/>
      <c r="AP150" s="306"/>
      <c r="AQ150" s="307"/>
      <c r="AR150" s="303"/>
      <c r="AS150" s="305"/>
      <c r="AT150" s="306"/>
      <c r="AU150" s="306"/>
      <c r="AV150" s="307"/>
      <c r="AW150" s="303"/>
      <c r="AX150" s="305"/>
      <c r="AY150" s="306"/>
      <c r="AZ150" s="306"/>
      <c r="BA150" s="307"/>
      <c r="BB150" s="303"/>
      <c r="BC150" s="305"/>
      <c r="BD150" s="306"/>
      <c r="BE150" s="306"/>
      <c r="BF150" s="307"/>
      <c r="BG150" s="303"/>
      <c r="BH150" s="305"/>
      <c r="BI150" s="306"/>
      <c r="BJ150" s="306"/>
      <c r="BK150" s="307"/>
      <c r="BL150" s="303"/>
      <c r="BM150" s="305"/>
      <c r="BN150" s="306"/>
      <c r="BO150" s="306"/>
      <c r="BP150" s="307"/>
      <c r="BQ150" s="303"/>
      <c r="BR150" s="303"/>
      <c r="BS150" s="303"/>
      <c r="BT150" s="303"/>
      <c r="BU150" s="303"/>
      <c r="BV150" s="303"/>
      <c r="BW150" s="303"/>
      <c r="BX150" s="303"/>
      <c r="BY150" s="303"/>
      <c r="BZ150" s="303"/>
      <c r="CA150" s="303"/>
      <c r="CB150" s="303"/>
      <c r="CC150" s="303"/>
      <c r="CD150" s="303"/>
      <c r="CE150" s="303"/>
      <c r="CF150" s="303"/>
      <c r="CG150" s="303"/>
      <c r="CH150" s="303"/>
      <c r="CI150" s="303"/>
      <c r="CJ150" s="303"/>
      <c r="CK150" s="303"/>
      <c r="CL150" s="303"/>
      <c r="CM150" s="303"/>
      <c r="CN150" s="303"/>
      <c r="CO150" s="303"/>
      <c r="CP150" s="303"/>
      <c r="CQ150" s="303"/>
      <c r="CR150" s="303"/>
      <c r="CS150" s="303"/>
      <c r="CT150" s="303"/>
      <c r="CU150" s="303"/>
    </row>
    <row r="151" spans="1:115">
      <c r="A151" s="303"/>
      <c r="B151" s="303"/>
      <c r="C151" s="100" t="s">
        <v>42</v>
      </c>
      <c r="D151" s="303"/>
      <c r="E151" s="305"/>
      <c r="F151" s="306"/>
      <c r="G151" s="306"/>
      <c r="H151" s="307"/>
      <c r="I151" s="303"/>
      <c r="J151" s="305"/>
      <c r="K151" s="306"/>
      <c r="L151" s="306"/>
      <c r="M151" s="307"/>
      <c r="N151" s="303"/>
      <c r="O151" s="305"/>
      <c r="P151" s="306"/>
      <c r="Q151" s="230"/>
      <c r="R151" s="231"/>
      <c r="S151" s="114"/>
      <c r="T151" s="305"/>
      <c r="U151" s="306"/>
      <c r="V151" s="306"/>
      <c r="W151" s="231"/>
      <c r="X151" s="114"/>
      <c r="Y151" s="305"/>
      <c r="Z151" s="230"/>
      <c r="AA151" s="230"/>
      <c r="AB151" s="231"/>
      <c r="AC151" s="114"/>
      <c r="AD151" s="229"/>
      <c r="AE151" s="230"/>
      <c r="AF151" s="230"/>
      <c r="AG151" s="231"/>
      <c r="AH151" s="114"/>
      <c r="AI151" s="229"/>
      <c r="AJ151" s="230"/>
      <c r="AK151" s="230"/>
      <c r="AL151" s="231"/>
      <c r="AM151" s="114"/>
      <c r="AN151" s="229"/>
      <c r="AO151" s="230"/>
      <c r="AP151" s="230"/>
      <c r="AQ151" s="231"/>
      <c r="AR151" s="114"/>
      <c r="AS151" s="229"/>
      <c r="AT151" s="230"/>
      <c r="AU151" s="230"/>
      <c r="AV151" s="231"/>
      <c r="AW151" s="1580"/>
      <c r="AX151" s="1871">
        <v>0.02</v>
      </c>
      <c r="AY151" s="230">
        <v>0.02</v>
      </c>
      <c r="AZ151" s="230">
        <v>0.02</v>
      </c>
      <c r="BA151" s="231">
        <v>0.02</v>
      </c>
      <c r="BB151" s="1580">
        <v>0.02</v>
      </c>
      <c r="BC151" s="229">
        <f t="shared" ref="BC151:BK151" si="194">+AX151</f>
        <v>0.02</v>
      </c>
      <c r="BD151" s="230">
        <f t="shared" si="194"/>
        <v>0.02</v>
      </c>
      <c r="BE151" s="230">
        <f t="shared" si="194"/>
        <v>0.02</v>
      </c>
      <c r="BF151" s="231">
        <f t="shared" si="194"/>
        <v>0.02</v>
      </c>
      <c r="BG151" s="1580">
        <v>0.02</v>
      </c>
      <c r="BH151" s="229">
        <f t="shared" si="194"/>
        <v>0.02</v>
      </c>
      <c r="BI151" s="230">
        <f t="shared" si="194"/>
        <v>0.02</v>
      </c>
      <c r="BJ151" s="230">
        <f t="shared" si="194"/>
        <v>0.02</v>
      </c>
      <c r="BK151" s="231">
        <f t="shared" si="194"/>
        <v>0.02</v>
      </c>
      <c r="BL151" s="1580">
        <v>0.02</v>
      </c>
      <c r="BM151" s="229">
        <f>+BH151</f>
        <v>0.02</v>
      </c>
      <c r="BN151" s="230">
        <f>+BI151</f>
        <v>0.02</v>
      </c>
      <c r="BO151" s="230">
        <f>+BJ151</f>
        <v>0.02</v>
      </c>
      <c r="BP151" s="231">
        <f>+BK151</f>
        <v>0.02</v>
      </c>
      <c r="BQ151" s="1580">
        <v>0.02</v>
      </c>
      <c r="BR151" s="303"/>
      <c r="BS151" s="303"/>
      <c r="BT151" s="303"/>
      <c r="BU151" s="303"/>
      <c r="BV151" s="303"/>
      <c r="BW151" s="303"/>
      <c r="BX151" s="303"/>
      <c r="BY151" s="303"/>
      <c r="BZ151" s="303"/>
      <c r="CA151" s="303"/>
      <c r="CB151" s="303"/>
      <c r="CC151" s="303"/>
      <c r="CD151" s="303"/>
      <c r="CE151" s="303"/>
      <c r="CF151" s="303"/>
      <c r="CG151" s="303"/>
      <c r="CH151" s="303"/>
      <c r="CI151" s="303"/>
      <c r="CJ151" s="303"/>
      <c r="CK151" s="303"/>
      <c r="CL151" s="303"/>
      <c r="CM151" s="303"/>
      <c r="CN151" s="303"/>
      <c r="CO151" s="303"/>
      <c r="CP151" s="303"/>
      <c r="CQ151" s="303"/>
      <c r="CR151" s="303"/>
      <c r="CS151" s="303"/>
      <c r="CT151" s="303"/>
      <c r="CU151" s="303"/>
    </row>
    <row r="152" spans="1:115">
      <c r="A152" s="303"/>
      <c r="B152" s="303"/>
      <c r="C152" s="303"/>
      <c r="D152" s="303"/>
      <c r="E152" s="305"/>
      <c r="F152" s="306"/>
      <c r="G152" s="306"/>
      <c r="H152" s="307"/>
      <c r="I152" s="303"/>
      <c r="J152" s="305"/>
      <c r="K152" s="306"/>
      <c r="L152" s="306"/>
      <c r="M152" s="307"/>
      <c r="N152" s="303"/>
      <c r="O152" s="305"/>
      <c r="P152" s="306"/>
      <c r="Q152" s="306"/>
      <c r="R152" s="307"/>
      <c r="S152" s="303"/>
      <c r="T152" s="305"/>
      <c r="U152" s="306"/>
      <c r="V152" s="306"/>
      <c r="W152" s="307"/>
      <c r="X152" s="303"/>
      <c r="Y152" s="305"/>
      <c r="Z152" s="306"/>
      <c r="AA152" s="306"/>
      <c r="AB152" s="307"/>
      <c r="AC152" s="303"/>
      <c r="AD152" s="305"/>
      <c r="AE152" s="306"/>
      <c r="AF152" s="306"/>
      <c r="AG152" s="307"/>
      <c r="AH152" s="303"/>
      <c r="AI152" s="305"/>
      <c r="AJ152" s="306"/>
      <c r="AK152" s="306"/>
      <c r="AL152" s="307"/>
      <c r="AM152" s="303"/>
      <c r="AN152" s="305"/>
      <c r="AO152" s="306"/>
      <c r="AP152" s="306"/>
      <c r="AQ152" s="307"/>
      <c r="AR152" s="303"/>
      <c r="AS152" s="305"/>
      <c r="AT152" s="306"/>
      <c r="AU152" s="306"/>
      <c r="AV152" s="307"/>
      <c r="AW152" s="303"/>
      <c r="AX152" s="305"/>
      <c r="AY152" s="306"/>
      <c r="AZ152" s="306"/>
      <c r="BA152" s="307"/>
      <c r="BB152" s="303"/>
      <c r="BC152" s="305"/>
      <c r="BD152" s="306"/>
      <c r="BE152" s="306"/>
      <c r="BF152" s="307"/>
      <c r="BG152" s="303"/>
      <c r="BH152" s="305"/>
      <c r="BI152" s="306"/>
      <c r="BJ152" s="306"/>
      <c r="BK152" s="307"/>
      <c r="BL152" s="303"/>
      <c r="BM152" s="305"/>
      <c r="BN152" s="306"/>
      <c r="BO152" s="306"/>
      <c r="BP152" s="307"/>
      <c r="BQ152" s="303"/>
      <c r="BR152" s="303"/>
      <c r="BS152" s="303"/>
      <c r="BT152" s="303"/>
      <c r="BU152" s="303"/>
      <c r="BV152" s="303"/>
      <c r="BW152" s="303"/>
      <c r="BX152" s="303"/>
      <c r="BY152" s="303"/>
      <c r="BZ152" s="303"/>
      <c r="CA152" s="303"/>
      <c r="CB152" s="303"/>
      <c r="CC152" s="303"/>
      <c r="CD152" s="303"/>
      <c r="CE152" s="303"/>
      <c r="CF152" s="303"/>
      <c r="CG152" s="360"/>
      <c r="CH152" s="360"/>
      <c r="CI152" s="360"/>
      <c r="CJ152" s="357"/>
      <c r="CK152" s="360"/>
      <c r="CL152" s="360"/>
      <c r="CM152" s="360"/>
      <c r="CN152" s="360"/>
      <c r="CO152" s="357"/>
      <c r="CP152" s="360"/>
      <c r="CQ152" s="360"/>
      <c r="CR152" s="360"/>
      <c r="CS152" s="360"/>
      <c r="CT152" s="357"/>
      <c r="CU152" s="303"/>
    </row>
    <row r="153" spans="1:115">
      <c r="A153" s="303"/>
      <c r="B153" s="303"/>
      <c r="C153" s="303"/>
      <c r="D153" s="303"/>
      <c r="E153" s="305"/>
      <c r="F153" s="306"/>
      <c r="G153" s="306"/>
      <c r="H153" s="307"/>
      <c r="I153" s="303"/>
      <c r="J153" s="305"/>
      <c r="K153" s="306"/>
      <c r="L153" s="306"/>
      <c r="M153" s="307"/>
      <c r="N153" s="303"/>
      <c r="O153" s="305"/>
      <c r="P153" s="306"/>
      <c r="Q153" s="306"/>
      <c r="R153" s="307"/>
      <c r="S153" s="303"/>
      <c r="T153" s="305"/>
      <c r="U153" s="306"/>
      <c r="V153" s="306"/>
      <c r="W153" s="307"/>
      <c r="X153" s="303"/>
      <c r="Y153" s="305"/>
      <c r="Z153" s="306"/>
      <c r="AA153" s="306"/>
      <c r="AB153" s="307"/>
      <c r="AC153" s="303"/>
      <c r="AD153" s="305"/>
      <c r="AE153" s="306"/>
      <c r="AF153" s="306"/>
      <c r="AG153" s="307"/>
      <c r="AH153" s="303"/>
      <c r="AI153" s="305"/>
      <c r="AJ153" s="306"/>
      <c r="AK153" s="306"/>
      <c r="AL153" s="307"/>
      <c r="AM153" s="303"/>
      <c r="AN153" s="305"/>
      <c r="AO153" s="306"/>
      <c r="AP153" s="306"/>
      <c r="AQ153" s="307"/>
      <c r="AR153" s="303"/>
      <c r="AS153" s="305"/>
      <c r="AT153" s="306"/>
      <c r="AU153" s="306"/>
      <c r="AV153" s="307"/>
      <c r="AW153" s="303"/>
      <c r="AX153" s="305"/>
      <c r="AY153" s="306"/>
      <c r="AZ153" s="306"/>
      <c r="BA153" s="307"/>
      <c r="BB153" s="303"/>
      <c r="BC153" s="305"/>
      <c r="BD153" s="306"/>
      <c r="BE153" s="306"/>
      <c r="BF153" s="307"/>
      <c r="BG153" s="303"/>
      <c r="BH153" s="305"/>
      <c r="BI153" s="306"/>
      <c r="BJ153" s="306"/>
      <c r="BK153" s="307"/>
      <c r="BL153" s="303"/>
      <c r="BM153" s="305"/>
      <c r="BN153" s="306"/>
      <c r="BO153" s="306"/>
      <c r="BP153" s="307"/>
      <c r="BQ153" s="303"/>
      <c r="BR153" s="303"/>
      <c r="BS153" s="303"/>
      <c r="BT153" s="303"/>
      <c r="BU153" s="303"/>
      <c r="BV153" s="303"/>
      <c r="BW153" s="303"/>
      <c r="BX153" s="303"/>
      <c r="BY153" s="303"/>
      <c r="BZ153" s="303"/>
      <c r="CA153" s="303"/>
      <c r="CB153" s="303"/>
      <c r="CC153" s="303"/>
      <c r="CD153" s="303"/>
      <c r="CE153" s="303"/>
      <c r="CF153" s="303"/>
    </row>
    <row r="154" spans="1:115">
      <c r="A154" s="303"/>
      <c r="B154" s="358" t="s">
        <v>226</v>
      </c>
      <c r="C154" s="358"/>
      <c r="D154" s="359"/>
      <c r="E154" s="305"/>
      <c r="F154" s="306"/>
      <c r="G154" s="306"/>
      <c r="H154" s="307"/>
      <c r="I154" s="303"/>
      <c r="J154" s="305"/>
      <c r="K154" s="306"/>
      <c r="L154" s="306"/>
      <c r="M154" s="307"/>
      <c r="N154" s="303"/>
      <c r="O154" s="305"/>
      <c r="P154" s="306"/>
      <c r="Q154" s="306"/>
      <c r="R154" s="307"/>
      <c r="S154" s="303"/>
      <c r="T154" s="305"/>
      <c r="U154" s="306"/>
      <c r="V154" s="306"/>
      <c r="W154" s="307"/>
      <c r="X154" s="303"/>
      <c r="Y154" s="305"/>
      <c r="Z154" s="306"/>
      <c r="AA154" s="306"/>
      <c r="AB154" s="307"/>
      <c r="AC154" s="303"/>
      <c r="AD154" s="305"/>
      <c r="AE154" s="306"/>
      <c r="AF154" s="306"/>
      <c r="AG154" s="307"/>
      <c r="AH154" s="303"/>
      <c r="AI154" s="305"/>
      <c r="AJ154" s="306"/>
      <c r="AK154" s="306"/>
      <c r="AL154" s="307"/>
      <c r="AM154" s="303"/>
      <c r="AN154" s="305"/>
      <c r="AO154" s="306"/>
      <c r="AP154" s="306"/>
      <c r="AQ154" s="307"/>
      <c r="AR154" s="303"/>
      <c r="AS154" s="305"/>
      <c r="AT154" s="306"/>
      <c r="AU154" s="306"/>
      <c r="AV154" s="307"/>
      <c r="AW154" s="303"/>
      <c r="AX154" s="305"/>
      <c r="AY154" s="306"/>
      <c r="AZ154" s="306"/>
      <c r="BA154" s="307"/>
      <c r="BB154" s="303"/>
      <c r="BC154" s="305"/>
      <c r="BD154" s="306"/>
      <c r="BE154" s="306"/>
      <c r="BF154" s="307"/>
      <c r="BG154" s="303"/>
      <c r="BH154" s="305"/>
      <c r="BI154" s="306"/>
      <c r="BJ154" s="306"/>
      <c r="BK154" s="307"/>
      <c r="BL154" s="303"/>
      <c r="BM154" s="305"/>
      <c r="BN154" s="306"/>
      <c r="BO154" s="306"/>
      <c r="BP154" s="307"/>
      <c r="BQ154" s="303"/>
      <c r="BR154" s="303"/>
      <c r="BS154" s="303"/>
      <c r="BT154" s="303"/>
      <c r="BU154" s="303"/>
      <c r="BV154" s="303"/>
      <c r="BW154" s="303"/>
      <c r="BX154" s="303"/>
      <c r="BY154" s="303"/>
      <c r="BZ154" s="303"/>
      <c r="CA154" s="303"/>
      <c r="CB154" s="303"/>
      <c r="CC154" s="303"/>
      <c r="CD154" s="303"/>
      <c r="CE154" s="303"/>
      <c r="CF154" s="303"/>
    </row>
    <row r="155" spans="1:115">
      <c r="A155" s="242"/>
      <c r="B155" s="242"/>
      <c r="C155" s="100" t="s">
        <v>78</v>
      </c>
      <c r="D155" s="109"/>
      <c r="E155" s="161"/>
      <c r="F155" s="160"/>
      <c r="G155" s="160"/>
      <c r="H155" s="144"/>
      <c r="I155" s="245"/>
      <c r="J155" s="161"/>
      <c r="K155" s="160"/>
      <c r="L155" s="160"/>
      <c r="M155" s="144"/>
      <c r="N155" s="245"/>
      <c r="O155" s="161"/>
      <c r="P155" s="160"/>
      <c r="Q155" s="160"/>
      <c r="R155" s="144"/>
      <c r="S155" s="245"/>
      <c r="T155" s="161"/>
      <c r="U155" s="160"/>
      <c r="V155" s="160"/>
      <c r="W155" s="144"/>
      <c r="X155" s="1206">
        <f t="shared" ref="X155:AC155" si="195">X36</f>
        <v>389</v>
      </c>
      <c r="Y155" s="1202">
        <f t="shared" si="195"/>
        <v>87</v>
      </c>
      <c r="Z155" s="1204">
        <f t="shared" si="195"/>
        <v>75</v>
      </c>
      <c r="AA155" s="1204">
        <f t="shared" si="195"/>
        <v>119</v>
      </c>
      <c r="AB155" s="1205">
        <f t="shared" si="195"/>
        <v>77</v>
      </c>
      <c r="AC155" s="1206">
        <f t="shared" si="195"/>
        <v>358</v>
      </c>
      <c r="AD155" s="1202">
        <f t="shared" ref="AD155:BB155" si="196">AD36</f>
        <v>97</v>
      </c>
      <c r="AE155" s="1204">
        <f t="shared" si="196"/>
        <v>90</v>
      </c>
      <c r="AF155" s="1204">
        <f t="shared" si="196"/>
        <v>92</v>
      </c>
      <c r="AG155" s="1205">
        <f t="shared" si="196"/>
        <v>73.200000000000784</v>
      </c>
      <c r="AH155" s="1206">
        <f t="shared" si="196"/>
        <v>352.20000000000078</v>
      </c>
      <c r="AI155" s="1202">
        <f t="shared" ref="AI155:AN155" si="197">AI36</f>
        <v>97</v>
      </c>
      <c r="AJ155" s="1204">
        <f t="shared" si="197"/>
        <v>78</v>
      </c>
      <c r="AK155" s="1204">
        <f t="shared" si="197"/>
        <v>113</v>
      </c>
      <c r="AL155" s="1205">
        <f t="shared" si="197"/>
        <v>64.400000000000091</v>
      </c>
      <c r="AM155" s="1206">
        <f t="shared" si="197"/>
        <v>352.40000000000009</v>
      </c>
      <c r="AN155" s="1202">
        <f t="shared" si="197"/>
        <v>107.99999999999996</v>
      </c>
      <c r="AO155" s="1204">
        <f t="shared" ref="AO155:AS155" si="198">AO36</f>
        <v>124.59999999999992</v>
      </c>
      <c r="AP155" s="1204">
        <f t="shared" si="198"/>
        <v>155.49999999999994</v>
      </c>
      <c r="AQ155" s="1205">
        <f t="shared" si="198"/>
        <v>93.999999999999773</v>
      </c>
      <c r="AR155" s="1206">
        <f t="shared" si="198"/>
        <v>482.09999999999957</v>
      </c>
      <c r="AS155" s="1202">
        <f t="shared" si="198"/>
        <v>119.10000000000015</v>
      </c>
      <c r="AT155" s="1204">
        <f t="shared" ref="AT155:AW155" si="199">AT36</f>
        <v>111.2</v>
      </c>
      <c r="AU155" s="1204">
        <f t="shared" si="199"/>
        <v>143.99999999999997</v>
      </c>
      <c r="AV155" s="1205">
        <f t="shared" si="199"/>
        <v>262.09999999999951</v>
      </c>
      <c r="AW155" s="1206">
        <f t="shared" si="199"/>
        <v>636.39999999999964</v>
      </c>
      <c r="AX155" s="1202">
        <f t="shared" si="196"/>
        <v>136.6769783162182</v>
      </c>
      <c r="AY155" s="1204">
        <f t="shared" si="196"/>
        <v>132.25984908301766</v>
      </c>
      <c r="AZ155" s="1204">
        <f t="shared" si="196"/>
        <v>184.16820080176942</v>
      </c>
      <c r="BA155" s="1205">
        <f t="shared" si="196"/>
        <v>119.70595732964239</v>
      </c>
      <c r="BB155" s="1206">
        <f t="shared" si="196"/>
        <v>572.81098553064771</v>
      </c>
      <c r="BC155" s="1202">
        <f t="shared" ref="BC155:BL155" si="200">BC36</f>
        <v>148.7667848225696</v>
      </c>
      <c r="BD155" s="1204">
        <f t="shared" si="200"/>
        <v>140.85391785999857</v>
      </c>
      <c r="BE155" s="1204">
        <f t="shared" si="200"/>
        <v>189.78443233879358</v>
      </c>
      <c r="BF155" s="1205">
        <f t="shared" si="200"/>
        <v>128.30483096400263</v>
      </c>
      <c r="BG155" s="1206">
        <f t="shared" si="200"/>
        <v>607.70996598536442</v>
      </c>
      <c r="BH155" s="1202">
        <f t="shared" si="200"/>
        <v>159.25624675982976</v>
      </c>
      <c r="BI155" s="1204">
        <f t="shared" si="200"/>
        <v>153.01708749585816</v>
      </c>
      <c r="BJ155" s="1204">
        <f t="shared" si="200"/>
        <v>208.88369372194873</v>
      </c>
      <c r="BK155" s="1205">
        <f t="shared" si="200"/>
        <v>143.65886150447625</v>
      </c>
      <c r="BL155" s="1206">
        <f t="shared" si="200"/>
        <v>664.81588948211288</v>
      </c>
      <c r="BM155" s="1202">
        <f>BM36</f>
        <v>170.74735173248996</v>
      </c>
      <c r="BN155" s="1204">
        <f>BN36</f>
        <v>167.8782825644692</v>
      </c>
      <c r="BO155" s="1204">
        <f>BO36</f>
        <v>221.14523712926811</v>
      </c>
      <c r="BP155" s="1205">
        <f>BP36</f>
        <v>159.15658927520053</v>
      </c>
      <c r="BQ155" s="1206">
        <f>BQ36</f>
        <v>718.92746070142778</v>
      </c>
      <c r="BR155" s="242"/>
      <c r="BS155" s="242"/>
      <c r="BT155" s="242"/>
      <c r="BU155" s="242"/>
      <c r="BV155" s="242"/>
      <c r="BW155" s="242"/>
      <c r="BX155" s="242"/>
      <c r="BY155" s="242"/>
      <c r="BZ155" s="242"/>
      <c r="CA155" s="242"/>
      <c r="CB155" s="242"/>
      <c r="CC155" s="242"/>
      <c r="CD155" s="242"/>
      <c r="CE155" s="242"/>
      <c r="CF155" s="242"/>
      <c r="DK155" s="145"/>
    </row>
    <row r="156" spans="1:115">
      <c r="A156" s="242"/>
      <c r="B156" s="242"/>
      <c r="C156" s="100" t="s">
        <v>79</v>
      </c>
      <c r="D156" s="109"/>
      <c r="E156" s="161"/>
      <c r="F156" s="160"/>
      <c r="G156" s="160"/>
      <c r="H156" s="144"/>
      <c r="I156" s="245"/>
      <c r="J156" s="161"/>
      <c r="K156" s="160"/>
      <c r="L156" s="160"/>
      <c r="M156" s="144"/>
      <c r="N156" s="245"/>
      <c r="O156" s="161"/>
      <c r="P156" s="160"/>
      <c r="Q156" s="160"/>
      <c r="R156" s="144"/>
      <c r="S156" s="245"/>
      <c r="T156" s="161"/>
      <c r="U156" s="160"/>
      <c r="V156" s="160"/>
      <c r="W156" s="144"/>
      <c r="X156" s="1206">
        <f t="shared" ref="X156:AC156" si="201">X13</f>
        <v>561</v>
      </c>
      <c r="Y156" s="1202">
        <f t="shared" si="201"/>
        <v>133</v>
      </c>
      <c r="Z156" s="1204">
        <f t="shared" si="201"/>
        <v>151</v>
      </c>
      <c r="AA156" s="1204">
        <f t="shared" si="201"/>
        <v>165</v>
      </c>
      <c r="AB156" s="1205">
        <f t="shared" si="201"/>
        <v>142</v>
      </c>
      <c r="AC156" s="1206">
        <f t="shared" si="201"/>
        <v>591</v>
      </c>
      <c r="AD156" s="1202">
        <f t="shared" ref="AD156:BB156" si="202">AD13</f>
        <v>161</v>
      </c>
      <c r="AE156" s="1204">
        <f t="shared" si="202"/>
        <v>156</v>
      </c>
      <c r="AF156" s="1204">
        <f t="shared" si="202"/>
        <v>182</v>
      </c>
      <c r="AG156" s="1205">
        <f t="shared" si="202"/>
        <v>158.79999999999995</v>
      </c>
      <c r="AH156" s="1206">
        <f t="shared" si="202"/>
        <v>657.8</v>
      </c>
      <c r="AI156" s="1202">
        <f t="shared" ref="AI156:AN156" si="203">AI13</f>
        <v>168</v>
      </c>
      <c r="AJ156" s="1204">
        <f t="shared" si="203"/>
        <v>170</v>
      </c>
      <c r="AK156" s="1204">
        <f t="shared" si="203"/>
        <v>198</v>
      </c>
      <c r="AL156" s="1205">
        <f t="shared" si="203"/>
        <v>150.39999999999998</v>
      </c>
      <c r="AM156" s="1206">
        <f t="shared" si="203"/>
        <v>686.4</v>
      </c>
      <c r="AN156" s="1202">
        <f t="shared" si="203"/>
        <v>156.30000000000001</v>
      </c>
      <c r="AO156" s="1204">
        <f t="shared" ref="AO156:AS156" si="204">AO13</f>
        <v>167.3</v>
      </c>
      <c r="AP156" s="1204">
        <f t="shared" si="204"/>
        <v>181.4</v>
      </c>
      <c r="AQ156" s="1205">
        <f t="shared" si="204"/>
        <v>144.89999999999998</v>
      </c>
      <c r="AR156" s="1206">
        <f t="shared" si="204"/>
        <v>649.9</v>
      </c>
      <c r="AS156" s="1202">
        <f t="shared" si="204"/>
        <v>156.19999999999999</v>
      </c>
      <c r="AT156" s="1204">
        <f t="shared" ref="AT156:AW156" si="205">AT13</f>
        <v>163.9</v>
      </c>
      <c r="AU156" s="1204">
        <f t="shared" si="205"/>
        <v>182.3</v>
      </c>
      <c r="AV156" s="1205">
        <f t="shared" si="205"/>
        <v>165.09999999999997</v>
      </c>
      <c r="AW156" s="1206">
        <f t="shared" si="205"/>
        <v>667.5</v>
      </c>
      <c r="AX156" s="1202">
        <f t="shared" si="202"/>
        <v>177.28281250000003</v>
      </c>
      <c r="AY156" s="1204">
        <f t="shared" si="202"/>
        <v>178.65501500938464</v>
      </c>
      <c r="AZ156" s="1204">
        <f t="shared" si="202"/>
        <v>182.83618664986301</v>
      </c>
      <c r="BA156" s="1205">
        <f t="shared" si="202"/>
        <v>186.95202748345889</v>
      </c>
      <c r="BB156" s="1206">
        <f t="shared" si="202"/>
        <v>725.72604164270649</v>
      </c>
      <c r="BC156" s="1202">
        <f t="shared" ref="BC156:BL156" si="206">BC13</f>
        <v>188.19085811542976</v>
      </c>
      <c r="BD156" s="1204">
        <f t="shared" si="206"/>
        <v>193.73686342117853</v>
      </c>
      <c r="BE156" s="1204">
        <f t="shared" si="206"/>
        <v>196.90841665198502</v>
      </c>
      <c r="BF156" s="1205">
        <f t="shared" si="206"/>
        <v>200.03114411341156</v>
      </c>
      <c r="BG156" s="1206">
        <f t="shared" si="206"/>
        <v>778.86728230200481</v>
      </c>
      <c r="BH156" s="1202">
        <f t="shared" si="206"/>
        <v>202.13878426834503</v>
      </c>
      <c r="BI156" s="1204">
        <f t="shared" si="206"/>
        <v>207.14469892970538</v>
      </c>
      <c r="BJ156" s="1204">
        <f t="shared" si="206"/>
        <v>209.19557772611637</v>
      </c>
      <c r="BK156" s="1205">
        <f t="shared" si="206"/>
        <v>211.21503375627199</v>
      </c>
      <c r="BL156" s="1206">
        <f t="shared" si="206"/>
        <v>829.69409468043875</v>
      </c>
      <c r="BM156" s="1202">
        <f>BM13</f>
        <v>212.94930854174086</v>
      </c>
      <c r="BN156" s="1204">
        <f>BN13</f>
        <v>214.90891180213728</v>
      </c>
      <c r="BO156" s="1204">
        <f>BO13</f>
        <v>216.83852658770064</v>
      </c>
      <c r="BP156" s="1205">
        <f>BP13</f>
        <v>218.73861182225542</v>
      </c>
      <c r="BQ156" s="1206">
        <f>BQ13</f>
        <v>863.43535875383418</v>
      </c>
      <c r="BR156" s="242"/>
      <c r="BS156" s="242"/>
      <c r="BT156" s="242"/>
      <c r="BU156" s="242"/>
      <c r="BV156" s="242"/>
      <c r="BW156" s="242"/>
      <c r="BX156" s="242"/>
      <c r="BY156" s="242"/>
      <c r="BZ156" s="242"/>
      <c r="CA156" s="242"/>
      <c r="CB156" s="242"/>
      <c r="CC156" s="242"/>
      <c r="CD156" s="242"/>
      <c r="CE156" s="242"/>
      <c r="CF156" s="242"/>
    </row>
    <row r="157" spans="1:115">
      <c r="A157" s="242"/>
      <c r="B157" s="242"/>
      <c r="C157" s="100" t="s">
        <v>80</v>
      </c>
      <c r="D157" s="109"/>
      <c r="E157" s="161"/>
      <c r="F157" s="160"/>
      <c r="G157" s="160"/>
      <c r="H157" s="144"/>
      <c r="I157" s="245"/>
      <c r="J157" s="161"/>
      <c r="K157" s="160"/>
      <c r="L157" s="160"/>
      <c r="M157" s="144"/>
      <c r="N157" s="245"/>
      <c r="O157" s="161"/>
      <c r="P157" s="160"/>
      <c r="Q157" s="160"/>
      <c r="R157" s="144"/>
      <c r="S157" s="245"/>
      <c r="T157" s="161"/>
      <c r="U157" s="160"/>
      <c r="V157" s="160"/>
      <c r="W157" s="144"/>
      <c r="X157" s="1206">
        <f>-X19</f>
        <v>-6</v>
      </c>
      <c r="Y157" s="1202">
        <f t="shared" ref="Y157:BB157" si="207">-Y19</f>
        <v>-2</v>
      </c>
      <c r="Z157" s="1204">
        <f t="shared" si="207"/>
        <v>0</v>
      </c>
      <c r="AA157" s="1204">
        <f t="shared" si="207"/>
        <v>-2</v>
      </c>
      <c r="AB157" s="1205">
        <f t="shared" si="207"/>
        <v>-4</v>
      </c>
      <c r="AC157" s="1206">
        <f t="shared" si="207"/>
        <v>-8</v>
      </c>
      <c r="AD157" s="1202">
        <f t="shared" si="207"/>
        <v>-3</v>
      </c>
      <c r="AE157" s="1204">
        <f t="shared" si="207"/>
        <v>-2</v>
      </c>
      <c r="AF157" s="1204">
        <f t="shared" si="207"/>
        <v>-3</v>
      </c>
      <c r="AG157" s="1205">
        <f t="shared" ref="AG157:AM157" si="208">-AG19</f>
        <v>-3.6999999999999993</v>
      </c>
      <c r="AH157" s="1206">
        <f t="shared" si="208"/>
        <v>-11.7</v>
      </c>
      <c r="AI157" s="1202">
        <f t="shared" si="208"/>
        <v>-4</v>
      </c>
      <c r="AJ157" s="1204">
        <f t="shared" si="208"/>
        <v>-4</v>
      </c>
      <c r="AK157" s="1204">
        <f t="shared" si="208"/>
        <v>-3</v>
      </c>
      <c r="AL157" s="1205">
        <f t="shared" si="208"/>
        <v>-4.5</v>
      </c>
      <c r="AM157" s="1206">
        <f t="shared" si="208"/>
        <v>-15.5</v>
      </c>
      <c r="AN157" s="1202">
        <f t="shared" ref="AN157:AR157" si="209">-AN19</f>
        <v>-4.3</v>
      </c>
      <c r="AO157" s="1204">
        <f t="shared" si="209"/>
        <v>-4.0999999999999996</v>
      </c>
      <c r="AP157" s="1204">
        <f t="shared" si="209"/>
        <v>-2.2000000000000002</v>
      </c>
      <c r="AQ157" s="1205">
        <f t="shared" si="209"/>
        <v>-4.5000000000000018</v>
      </c>
      <c r="AR157" s="1206">
        <f t="shared" si="209"/>
        <v>-15.1</v>
      </c>
      <c r="AS157" s="1202">
        <f t="shared" ref="AS157:AW157" si="210">-AS19</f>
        <v>-4.2</v>
      </c>
      <c r="AT157" s="1204">
        <f t="shared" si="210"/>
        <v>-1.2</v>
      </c>
      <c r="AU157" s="1204">
        <f t="shared" si="210"/>
        <v>-0.9</v>
      </c>
      <c r="AV157" s="1205">
        <f t="shared" si="210"/>
        <v>-6.8999999999999986</v>
      </c>
      <c r="AW157" s="1206">
        <f t="shared" si="210"/>
        <v>-13.2</v>
      </c>
      <c r="AX157" s="1202">
        <f t="shared" si="207"/>
        <v>-8.0265725263090353</v>
      </c>
      <c r="AY157" s="1204">
        <f t="shared" si="207"/>
        <v>-8.0265725263090353</v>
      </c>
      <c r="AZ157" s="1204">
        <f t="shared" si="207"/>
        <v>-8.0265725263090353</v>
      </c>
      <c r="BA157" s="1205">
        <f t="shared" si="207"/>
        <v>-8.0265725263090353</v>
      </c>
      <c r="BB157" s="1206">
        <f t="shared" si="207"/>
        <v>-32.106290105236141</v>
      </c>
      <c r="BC157" s="1202">
        <f t="shared" ref="BC157:BL157" si="211">-BC19</f>
        <v>-7.1901901790297744</v>
      </c>
      <c r="BD157" s="1204">
        <f t="shared" si="211"/>
        <v>-7.1901901790297744</v>
      </c>
      <c r="BE157" s="1204">
        <f t="shared" si="211"/>
        <v>-7.1901901790297744</v>
      </c>
      <c r="BF157" s="1205">
        <f t="shared" si="211"/>
        <v>-7.1901901790297744</v>
      </c>
      <c r="BG157" s="1206">
        <f t="shared" si="211"/>
        <v>-28.760760716119098</v>
      </c>
      <c r="BH157" s="1202">
        <f t="shared" si="211"/>
        <v>-6.1334705467145794</v>
      </c>
      <c r="BI157" s="1204">
        <f t="shared" si="211"/>
        <v>-6.1334705467145794</v>
      </c>
      <c r="BJ157" s="1204">
        <f t="shared" si="211"/>
        <v>-6.1334705467145794</v>
      </c>
      <c r="BK157" s="1205">
        <f t="shared" si="211"/>
        <v>-6.1334705467145794</v>
      </c>
      <c r="BL157" s="1206">
        <f t="shared" si="211"/>
        <v>-24.533882186858317</v>
      </c>
      <c r="BM157" s="1202">
        <f>-BM19</f>
        <v>-6.1334705467145794</v>
      </c>
      <c r="BN157" s="1204">
        <f>-BN19</f>
        <v>-6.1334705467145794</v>
      </c>
      <c r="BO157" s="1204">
        <f>-BO19</f>
        <v>-6.1334705467145794</v>
      </c>
      <c r="BP157" s="1205">
        <f>-BP19</f>
        <v>-6.1334705467145794</v>
      </c>
      <c r="BQ157" s="1206">
        <f>-BQ19</f>
        <v>-24.533882186858317</v>
      </c>
      <c r="BR157" s="242"/>
      <c r="BS157" s="242"/>
      <c r="BT157" s="242"/>
      <c r="BU157" s="242"/>
      <c r="BV157" s="242"/>
      <c r="BW157" s="242"/>
      <c r="BX157" s="242"/>
      <c r="BY157" s="242"/>
      <c r="BZ157" s="242"/>
      <c r="CA157" s="242"/>
      <c r="CB157" s="242"/>
      <c r="CC157" s="242"/>
      <c r="CD157" s="242"/>
      <c r="CE157" s="242"/>
      <c r="CF157" s="242"/>
    </row>
    <row r="158" spans="1:115">
      <c r="A158" s="242"/>
      <c r="B158" s="242"/>
      <c r="C158" s="100" t="s">
        <v>81</v>
      </c>
      <c r="D158" s="109"/>
      <c r="E158" s="161"/>
      <c r="F158" s="160"/>
      <c r="G158" s="160"/>
      <c r="H158" s="144"/>
      <c r="I158" s="245"/>
      <c r="J158" s="161"/>
      <c r="K158" s="160"/>
      <c r="L158" s="160"/>
      <c r="M158" s="144"/>
      <c r="N158" s="245"/>
      <c r="O158" s="161"/>
      <c r="P158" s="160"/>
      <c r="Q158" s="160"/>
      <c r="R158" s="144"/>
      <c r="S158" s="245"/>
      <c r="T158" s="161"/>
      <c r="U158" s="160"/>
      <c r="V158" s="160"/>
      <c r="W158" s="144"/>
      <c r="X158" s="1206">
        <v>0</v>
      </c>
      <c r="Y158" s="1202">
        <f>AC158/4</f>
        <v>0</v>
      </c>
      <c r="Z158" s="1204">
        <f>AC158/4</f>
        <v>0</v>
      </c>
      <c r="AA158" s="1204">
        <f>AC158/4</f>
        <v>0</v>
      </c>
      <c r="AB158" s="1205">
        <f>AC158/4</f>
        <v>0</v>
      </c>
      <c r="AC158" s="64">
        <v>0</v>
      </c>
      <c r="AD158" s="1202">
        <f>AH158/4</f>
        <v>0</v>
      </c>
      <c r="AE158" s="1204">
        <f>AH158/4</f>
        <v>0</v>
      </c>
      <c r="AF158" s="1204">
        <f>AH158/4</f>
        <v>0</v>
      </c>
      <c r="AG158" s="1205">
        <f>AH158/4</f>
        <v>0</v>
      </c>
      <c r="AH158" s="64">
        <v>0</v>
      </c>
      <c r="AI158" s="1202">
        <v>0</v>
      </c>
      <c r="AJ158" s="1204">
        <v>0</v>
      </c>
      <c r="AK158" s="1204">
        <v>0</v>
      </c>
      <c r="AL158" s="1205">
        <v>0</v>
      </c>
      <c r="AM158" s="1206">
        <f>SUM(AI158:AL158)</f>
        <v>0</v>
      </c>
      <c r="AN158" s="1202">
        <v>0</v>
      </c>
      <c r="AO158" s="1204">
        <v>0</v>
      </c>
      <c r="AP158" s="1204">
        <v>0</v>
      </c>
      <c r="AQ158" s="1205">
        <v>0</v>
      </c>
      <c r="AR158" s="1206">
        <f>SUM(AN158:AQ158)</f>
        <v>0</v>
      </c>
      <c r="AS158" s="1202">
        <v>0</v>
      </c>
      <c r="AT158" s="1204">
        <v>0</v>
      </c>
      <c r="AU158" s="1204">
        <v>0</v>
      </c>
      <c r="AV158" s="1205">
        <v>0</v>
      </c>
      <c r="AW158" s="1206">
        <f>SUM(AS158:AV158)</f>
        <v>0</v>
      </c>
      <c r="AX158" s="1202">
        <f>BB158/4</f>
        <v>0</v>
      </c>
      <c r="AY158" s="1204">
        <f>BB158/4</f>
        <v>0</v>
      </c>
      <c r="AZ158" s="1204">
        <f>BB158/4</f>
        <v>0</v>
      </c>
      <c r="BA158" s="1205">
        <f>BB158/4</f>
        <v>0</v>
      </c>
      <c r="BB158" s="64">
        <v>0</v>
      </c>
      <c r="BC158" s="1202">
        <f>BG158/4</f>
        <v>0</v>
      </c>
      <c r="BD158" s="1204">
        <f>BG158/4</f>
        <v>0</v>
      </c>
      <c r="BE158" s="1204">
        <f>BG158/4</f>
        <v>0</v>
      </c>
      <c r="BF158" s="1205">
        <f>BG158/4</f>
        <v>0</v>
      </c>
      <c r="BG158" s="64">
        <v>0</v>
      </c>
      <c r="BH158" s="1202">
        <f>BL158/4</f>
        <v>0</v>
      </c>
      <c r="BI158" s="1204">
        <f>BL158/4</f>
        <v>0</v>
      </c>
      <c r="BJ158" s="1204">
        <f>BL158/4</f>
        <v>0</v>
      </c>
      <c r="BK158" s="1205">
        <f>BL158/4</f>
        <v>0</v>
      </c>
      <c r="BL158" s="64">
        <v>0</v>
      </c>
      <c r="BM158" s="1202">
        <f>BQ158/4</f>
        <v>0</v>
      </c>
      <c r="BN158" s="1204">
        <f>BQ158/4</f>
        <v>0</v>
      </c>
      <c r="BO158" s="1204">
        <f>BQ158/4</f>
        <v>0</v>
      </c>
      <c r="BP158" s="1205">
        <f>BQ158/4</f>
        <v>0</v>
      </c>
      <c r="BQ158" s="64">
        <v>0</v>
      </c>
      <c r="BR158" s="242"/>
      <c r="BS158" s="242"/>
      <c r="BT158" s="242"/>
      <c r="BU158" s="242"/>
      <c r="BV158" s="242"/>
      <c r="BW158" s="242"/>
      <c r="BX158" s="242"/>
      <c r="BY158" s="242"/>
      <c r="BZ158" s="242"/>
      <c r="CA158" s="242"/>
      <c r="CB158" s="242"/>
      <c r="CC158" s="242"/>
      <c r="CD158" s="242"/>
      <c r="CE158" s="242"/>
      <c r="CF158" s="242"/>
    </row>
    <row r="159" spans="1:115">
      <c r="A159" s="242"/>
      <c r="B159" s="242"/>
      <c r="C159" s="100" t="s">
        <v>924</v>
      </c>
      <c r="D159" s="109"/>
      <c r="E159" s="161"/>
      <c r="F159" s="160"/>
      <c r="G159" s="160"/>
      <c r="H159" s="144"/>
      <c r="I159" s="245"/>
      <c r="J159" s="161"/>
      <c r="K159" s="160"/>
      <c r="L159" s="160"/>
      <c r="M159" s="144"/>
      <c r="N159" s="245"/>
      <c r="O159" s="161"/>
      <c r="P159" s="160"/>
      <c r="Q159" s="160"/>
      <c r="R159" s="144"/>
      <c r="S159" s="245"/>
      <c r="T159" s="161"/>
      <c r="U159" s="160"/>
      <c r="V159" s="160"/>
      <c r="W159" s="144"/>
      <c r="X159" s="1206">
        <v>0</v>
      </c>
      <c r="Y159" s="1202">
        <f>AC159/4</f>
        <v>0</v>
      </c>
      <c r="Z159" s="1204">
        <f>AC159/4</f>
        <v>0</v>
      </c>
      <c r="AA159" s="1204">
        <f>AC159/4</f>
        <v>0</v>
      </c>
      <c r="AB159" s="1205">
        <f>AC159/4</f>
        <v>0</v>
      </c>
      <c r="AC159" s="64">
        <v>0</v>
      </c>
      <c r="AD159" s="1202">
        <f>AH159/4</f>
        <v>0</v>
      </c>
      <c r="AE159" s="1204">
        <f>AH159/4</f>
        <v>0</v>
      </c>
      <c r="AF159" s="1204">
        <f>AH159/4</f>
        <v>0</v>
      </c>
      <c r="AG159" s="1205">
        <f>AH159/4</f>
        <v>0</v>
      </c>
      <c r="AH159" s="64">
        <v>0</v>
      </c>
      <c r="AI159" s="1202">
        <f>AM159/4</f>
        <v>0</v>
      </c>
      <c r="AJ159" s="1204">
        <f>AM159/4</f>
        <v>0</v>
      </c>
      <c r="AK159" s="1204">
        <f>AM159/4</f>
        <v>0</v>
      </c>
      <c r="AL159" s="1205">
        <f>AM159/4</f>
        <v>0</v>
      </c>
      <c r="AM159" s="64">
        <v>0</v>
      </c>
      <c r="AN159" s="1202">
        <f>AR159/4</f>
        <v>0</v>
      </c>
      <c r="AO159" s="1204">
        <f>AR159/4</f>
        <v>0</v>
      </c>
      <c r="AP159" s="1204">
        <f>AR159/4</f>
        <v>0</v>
      </c>
      <c r="AQ159" s="1205">
        <f>AR159/4</f>
        <v>0</v>
      </c>
      <c r="AR159" s="64">
        <v>0</v>
      </c>
      <c r="AS159" s="1202">
        <f>AW159/4</f>
        <v>0</v>
      </c>
      <c r="AT159" s="1204">
        <f>AW159/4</f>
        <v>0</v>
      </c>
      <c r="AU159" s="1204">
        <f>AW159/4</f>
        <v>0</v>
      </c>
      <c r="AV159" s="1205">
        <f>AW159/4</f>
        <v>0</v>
      </c>
      <c r="AW159" s="64">
        <v>0</v>
      </c>
      <c r="AX159" s="1202">
        <f>BB159/4</f>
        <v>0</v>
      </c>
      <c r="AY159" s="1204">
        <f>BB159/4</f>
        <v>0</v>
      </c>
      <c r="AZ159" s="1204">
        <f>BB159/4</f>
        <v>0</v>
      </c>
      <c r="BA159" s="1205">
        <f>BB159/4</f>
        <v>0</v>
      </c>
      <c r="BB159" s="64">
        <v>0</v>
      </c>
      <c r="BC159" s="1202">
        <f>BG159/4</f>
        <v>0</v>
      </c>
      <c r="BD159" s="1204">
        <f>BG159/4</f>
        <v>0</v>
      </c>
      <c r="BE159" s="1204">
        <f>BG159/4</f>
        <v>0</v>
      </c>
      <c r="BF159" s="1205">
        <f>BG159/4</f>
        <v>0</v>
      </c>
      <c r="BG159" s="64">
        <v>0</v>
      </c>
      <c r="BH159" s="1202">
        <f>BL159/4</f>
        <v>0</v>
      </c>
      <c r="BI159" s="1204">
        <f>BL159/4</f>
        <v>0</v>
      </c>
      <c r="BJ159" s="1204">
        <f>BL159/4</f>
        <v>0</v>
      </c>
      <c r="BK159" s="1205">
        <f>BL159/4</f>
        <v>0</v>
      </c>
      <c r="BL159" s="64">
        <v>0</v>
      </c>
      <c r="BM159" s="1202">
        <f>BQ159/4</f>
        <v>0</v>
      </c>
      <c r="BN159" s="1204">
        <f>BQ159/4</f>
        <v>0</v>
      </c>
      <c r="BO159" s="1204">
        <f>BQ159/4</f>
        <v>0</v>
      </c>
      <c r="BP159" s="1205">
        <f>BQ159/4</f>
        <v>0</v>
      </c>
      <c r="BQ159" s="64">
        <v>0</v>
      </c>
      <c r="BR159" s="242"/>
      <c r="BS159" s="242"/>
      <c r="BT159" s="242"/>
      <c r="BU159" s="242"/>
      <c r="BV159" s="242"/>
      <c r="BW159" s="242"/>
      <c r="BX159" s="242"/>
      <c r="BY159" s="242"/>
      <c r="BZ159" s="242"/>
      <c r="CA159" s="242"/>
      <c r="CB159" s="242"/>
      <c r="CC159" s="242"/>
      <c r="CD159" s="242"/>
      <c r="CE159" s="242"/>
      <c r="CF159" s="242"/>
    </row>
    <row r="160" spans="1:115">
      <c r="A160" s="242"/>
      <c r="B160" s="242"/>
      <c r="C160" s="100" t="s">
        <v>82</v>
      </c>
      <c r="D160" s="109"/>
      <c r="E160" s="161"/>
      <c r="F160" s="160"/>
      <c r="G160" s="160"/>
      <c r="H160" s="144"/>
      <c r="I160" s="245"/>
      <c r="J160" s="161"/>
      <c r="K160" s="160"/>
      <c r="L160" s="160"/>
      <c r="M160" s="144"/>
      <c r="N160" s="245"/>
      <c r="O160" s="161"/>
      <c r="P160" s="160"/>
      <c r="Q160" s="160"/>
      <c r="R160" s="144"/>
      <c r="S160" s="245"/>
      <c r="T160" s="161"/>
      <c r="U160" s="160"/>
      <c r="V160" s="160"/>
      <c r="W160" s="144"/>
      <c r="X160" s="1206">
        <v>0</v>
      </c>
      <c r="Y160" s="1202">
        <f>AC160/4</f>
        <v>0</v>
      </c>
      <c r="Z160" s="1204">
        <f>AC160/4</f>
        <v>0</v>
      </c>
      <c r="AA160" s="1204">
        <f>AC160/4</f>
        <v>0</v>
      </c>
      <c r="AB160" s="1205">
        <f>AC160/4</f>
        <v>0</v>
      </c>
      <c r="AC160" s="64">
        <v>0</v>
      </c>
      <c r="AD160" s="1202">
        <f>AH160/4</f>
        <v>0</v>
      </c>
      <c r="AE160" s="1204">
        <f>AH160/4</f>
        <v>0</v>
      </c>
      <c r="AF160" s="1204">
        <f>AH160/4</f>
        <v>0</v>
      </c>
      <c r="AG160" s="1205">
        <f>AH160/4</f>
        <v>0</v>
      </c>
      <c r="AH160" s="64">
        <v>0</v>
      </c>
      <c r="AI160" s="1202">
        <f>AM160/4</f>
        <v>0</v>
      </c>
      <c r="AJ160" s="1204">
        <f>AM160/4</f>
        <v>0</v>
      </c>
      <c r="AK160" s="1204">
        <f>AM160/4</f>
        <v>0</v>
      </c>
      <c r="AL160" s="1205">
        <f>AM160/4</f>
        <v>0</v>
      </c>
      <c r="AM160" s="64">
        <v>0</v>
      </c>
      <c r="AN160" s="1202">
        <f>AR160/4</f>
        <v>0</v>
      </c>
      <c r="AO160" s="1204">
        <f>AR160/4</f>
        <v>0</v>
      </c>
      <c r="AP160" s="1204">
        <f>AR160/4</f>
        <v>0</v>
      </c>
      <c r="AQ160" s="1205">
        <f>AR160/4</f>
        <v>0</v>
      </c>
      <c r="AR160" s="64">
        <v>0</v>
      </c>
      <c r="AS160" s="1202">
        <f>AW160/4</f>
        <v>0</v>
      </c>
      <c r="AT160" s="1204">
        <f>AW160/4</f>
        <v>0</v>
      </c>
      <c r="AU160" s="1204">
        <f>AW160/4</f>
        <v>0</v>
      </c>
      <c r="AV160" s="1205">
        <f>AW160/4</f>
        <v>0</v>
      </c>
      <c r="AW160" s="64">
        <v>0</v>
      </c>
      <c r="AX160" s="1202">
        <f>BB160/4</f>
        <v>0</v>
      </c>
      <c r="AY160" s="1204">
        <f>BB160/4</f>
        <v>0</v>
      </c>
      <c r="AZ160" s="1204">
        <f>BB160/4</f>
        <v>0</v>
      </c>
      <c r="BA160" s="1205">
        <f>BB160/4</f>
        <v>0</v>
      </c>
      <c r="BB160" s="64">
        <v>0</v>
      </c>
      <c r="BC160" s="1202">
        <f>BG160/4</f>
        <v>0</v>
      </c>
      <c r="BD160" s="1204">
        <f>BG160/4</f>
        <v>0</v>
      </c>
      <c r="BE160" s="1204">
        <f>BG160/4</f>
        <v>0</v>
      </c>
      <c r="BF160" s="1205">
        <f>BG160/4</f>
        <v>0</v>
      </c>
      <c r="BG160" s="64">
        <v>0</v>
      </c>
      <c r="BH160" s="1202">
        <f>BL160/4</f>
        <v>0</v>
      </c>
      <c r="BI160" s="1204">
        <f>BL160/4</f>
        <v>0</v>
      </c>
      <c r="BJ160" s="1204">
        <f>BL160/4</f>
        <v>0</v>
      </c>
      <c r="BK160" s="1205">
        <f>BL160/4</f>
        <v>0</v>
      </c>
      <c r="BL160" s="64">
        <v>0</v>
      </c>
      <c r="BM160" s="1202">
        <f>BQ160/4</f>
        <v>0</v>
      </c>
      <c r="BN160" s="1204">
        <f>BQ160/4</f>
        <v>0</v>
      </c>
      <c r="BO160" s="1204">
        <f>BQ160/4</f>
        <v>0</v>
      </c>
      <c r="BP160" s="1205">
        <f>BQ160/4</f>
        <v>0</v>
      </c>
      <c r="BQ160" s="64">
        <v>0</v>
      </c>
      <c r="BR160" s="242"/>
      <c r="BS160" s="242"/>
      <c r="BT160" s="242"/>
      <c r="BU160" s="242"/>
      <c r="BV160" s="242"/>
      <c r="BW160" s="242"/>
      <c r="BX160" s="242"/>
      <c r="BY160" s="242"/>
      <c r="BZ160" s="242"/>
      <c r="CA160" s="242"/>
      <c r="CB160" s="242"/>
      <c r="CC160" s="242"/>
      <c r="CD160" s="242"/>
      <c r="CE160" s="242"/>
      <c r="CF160" s="242"/>
    </row>
    <row r="161" spans="1:84">
      <c r="A161" s="242"/>
      <c r="B161" s="242"/>
      <c r="C161" s="164" t="s">
        <v>83</v>
      </c>
      <c r="D161" s="109"/>
      <c r="E161" s="149"/>
      <c r="F161" s="150"/>
      <c r="G161" s="150"/>
      <c r="H161" s="151"/>
      <c r="I161" s="154"/>
      <c r="J161" s="149"/>
      <c r="K161" s="150"/>
      <c r="L161" s="150"/>
      <c r="M161" s="151"/>
      <c r="N161" s="154"/>
      <c r="O161" s="149"/>
      <c r="P161" s="150"/>
      <c r="Q161" s="150"/>
      <c r="R161" s="151"/>
      <c r="S161" s="154"/>
      <c r="T161" s="149"/>
      <c r="U161" s="150"/>
      <c r="V161" s="150"/>
      <c r="W161" s="151"/>
      <c r="X161" s="112">
        <f t="shared" ref="X161:AC161" si="212">SUM(X155:X160)</f>
        <v>944</v>
      </c>
      <c r="Y161" s="149">
        <f t="shared" si="212"/>
        <v>218</v>
      </c>
      <c r="Z161" s="150">
        <f t="shared" si="212"/>
        <v>226</v>
      </c>
      <c r="AA161" s="150">
        <f t="shared" si="212"/>
        <v>282</v>
      </c>
      <c r="AB161" s="151">
        <f t="shared" si="212"/>
        <v>215</v>
      </c>
      <c r="AC161" s="112">
        <f t="shared" si="212"/>
        <v>941</v>
      </c>
      <c r="AD161" s="149">
        <f>SUM(AD155:AD160)</f>
        <v>255</v>
      </c>
      <c r="AE161" s="150">
        <f>SUM(AE155:AE160)</f>
        <v>244</v>
      </c>
      <c r="AF161" s="150">
        <f>SUM(AF155:AF160)</f>
        <v>271</v>
      </c>
      <c r="AG161" s="151">
        <f>SUM(AG155:AG160)</f>
        <v>228.30000000000075</v>
      </c>
      <c r="AH161" s="112">
        <f>SUM(AH155:AH160)</f>
        <v>998.30000000000064</v>
      </c>
      <c r="AI161" s="149">
        <f t="shared" ref="AI161:AN161" si="213">SUM(AI155:AI160)</f>
        <v>261</v>
      </c>
      <c r="AJ161" s="150">
        <f t="shared" si="213"/>
        <v>244</v>
      </c>
      <c r="AK161" s="150">
        <f t="shared" si="213"/>
        <v>308</v>
      </c>
      <c r="AL161" s="151">
        <f t="shared" si="213"/>
        <v>210.30000000000007</v>
      </c>
      <c r="AM161" s="112">
        <f t="shared" si="213"/>
        <v>1023.3000000000002</v>
      </c>
      <c r="AN161" s="149">
        <f t="shared" si="213"/>
        <v>259.99999999999994</v>
      </c>
      <c r="AO161" s="150">
        <f t="shared" ref="AO161:AS161" si="214">SUM(AO155:AO160)</f>
        <v>287.7999999999999</v>
      </c>
      <c r="AP161" s="150">
        <f t="shared" si="214"/>
        <v>334.7</v>
      </c>
      <c r="AQ161" s="151">
        <f t="shared" si="214"/>
        <v>234.39999999999975</v>
      </c>
      <c r="AR161" s="112">
        <f t="shared" si="214"/>
        <v>1116.8999999999996</v>
      </c>
      <c r="AS161" s="149">
        <f t="shared" si="214"/>
        <v>271.10000000000014</v>
      </c>
      <c r="AT161" s="150">
        <f t="shared" ref="AT161:AW161" si="215">SUM(AT155:AT160)</f>
        <v>273.90000000000003</v>
      </c>
      <c r="AU161" s="150">
        <f t="shared" si="215"/>
        <v>325.39999999999998</v>
      </c>
      <c r="AV161" s="151">
        <f t="shared" si="215"/>
        <v>420.2999999999995</v>
      </c>
      <c r="AW161" s="112">
        <f t="shared" si="215"/>
        <v>1290.6999999999996</v>
      </c>
      <c r="AX161" s="149">
        <f t="shared" ref="AX161:BB161" si="216">SUM(AX155:AX160)</f>
        <v>305.93321828990918</v>
      </c>
      <c r="AY161" s="150">
        <f t="shared" si="216"/>
        <v>302.88829156609324</v>
      </c>
      <c r="AZ161" s="150">
        <f t="shared" si="216"/>
        <v>358.97781492532334</v>
      </c>
      <c r="BA161" s="151">
        <f t="shared" si="216"/>
        <v>298.63141228679223</v>
      </c>
      <c r="BB161" s="112">
        <f t="shared" si="216"/>
        <v>1266.4307370681179</v>
      </c>
      <c r="BC161" s="149">
        <f t="shared" ref="BC161:BL161" si="217">SUM(BC155:BC160)</f>
        <v>329.76745275896957</v>
      </c>
      <c r="BD161" s="150">
        <f t="shared" si="217"/>
        <v>327.4005911021473</v>
      </c>
      <c r="BE161" s="150">
        <f t="shared" si="217"/>
        <v>379.5026588117488</v>
      </c>
      <c r="BF161" s="151">
        <f t="shared" si="217"/>
        <v>321.14578489838442</v>
      </c>
      <c r="BG161" s="112">
        <f t="shared" si="217"/>
        <v>1357.81648757125</v>
      </c>
      <c r="BH161" s="149">
        <f t="shared" si="217"/>
        <v>355.26156048146021</v>
      </c>
      <c r="BI161" s="150">
        <f t="shared" si="217"/>
        <v>354.02831587884896</v>
      </c>
      <c r="BJ161" s="150">
        <f t="shared" si="217"/>
        <v>411.94580090135054</v>
      </c>
      <c r="BK161" s="151">
        <f t="shared" si="217"/>
        <v>348.74042471403362</v>
      </c>
      <c r="BL161" s="112">
        <f t="shared" si="217"/>
        <v>1469.9761019756932</v>
      </c>
      <c r="BM161" s="149">
        <f>SUM(BM155:BM160)</f>
        <v>377.5631897275162</v>
      </c>
      <c r="BN161" s="150">
        <f>SUM(BN155:BN160)</f>
        <v>376.65372381989192</v>
      </c>
      <c r="BO161" s="150">
        <f>SUM(BO155:BO160)</f>
        <v>431.85029317025413</v>
      </c>
      <c r="BP161" s="151">
        <f>SUM(BP155:BP160)</f>
        <v>371.76173055074133</v>
      </c>
      <c r="BQ161" s="112">
        <f>SUM(BQ155:BQ160)</f>
        <v>1557.8289372684037</v>
      </c>
      <c r="BR161" s="242"/>
      <c r="BS161" s="242"/>
      <c r="BT161" s="242"/>
      <c r="BU161" s="242"/>
      <c r="BV161" s="242"/>
      <c r="BW161" s="242"/>
      <c r="BX161" s="242"/>
      <c r="BY161" s="242"/>
      <c r="BZ161" s="242"/>
      <c r="CA161" s="242"/>
      <c r="CB161" s="242"/>
      <c r="CC161" s="242"/>
      <c r="CD161" s="242"/>
      <c r="CE161" s="242"/>
      <c r="CF161" s="242"/>
    </row>
    <row r="162" spans="1:84">
      <c r="A162" s="242"/>
      <c r="B162" s="242"/>
      <c r="C162" s="100"/>
      <c r="D162" s="109"/>
      <c r="E162" s="161"/>
      <c r="F162" s="162"/>
      <c r="G162" s="162"/>
      <c r="H162" s="144"/>
      <c r="I162" s="245"/>
      <c r="J162" s="161"/>
      <c r="K162" s="162"/>
      <c r="L162" s="162"/>
      <c r="M162" s="144"/>
      <c r="N162" s="245"/>
      <c r="O162" s="161"/>
      <c r="P162" s="162"/>
      <c r="Q162" s="162"/>
      <c r="R162" s="144"/>
      <c r="S162" s="245"/>
      <c r="T162" s="161"/>
      <c r="U162" s="162"/>
      <c r="V162" s="162"/>
      <c r="W162" s="144"/>
      <c r="X162" s="498"/>
      <c r="Y162" s="1236"/>
      <c r="Z162" s="1237"/>
      <c r="AA162" s="1237"/>
      <c r="AB162" s="1221"/>
      <c r="AC162" s="498"/>
      <c r="AD162" s="1236"/>
      <c r="AE162" s="1237"/>
      <c r="AF162" s="1237"/>
      <c r="AG162" s="1221"/>
      <c r="AH162" s="498"/>
      <c r="AI162" s="1236"/>
      <c r="AJ162" s="1237"/>
      <c r="AK162" s="1237"/>
      <c r="AL162" s="1221"/>
      <c r="AM162" s="498"/>
      <c r="AN162" s="1236"/>
      <c r="AO162" s="1237"/>
      <c r="AP162" s="1237"/>
      <c r="AQ162" s="1221"/>
      <c r="AR162" s="498"/>
      <c r="AS162" s="1236"/>
      <c r="AT162" s="1237"/>
      <c r="AU162" s="1237"/>
      <c r="AV162" s="1221"/>
      <c r="AW162" s="498"/>
      <c r="AX162" s="1236"/>
      <c r="AY162" s="1237"/>
      <c r="AZ162" s="1237"/>
      <c r="BA162" s="1221"/>
      <c r="BB162" s="498"/>
      <c r="BC162" s="1236"/>
      <c r="BD162" s="1237"/>
      <c r="BE162" s="1237"/>
      <c r="BF162" s="1221"/>
      <c r="BG162" s="498"/>
      <c r="BH162" s="1236"/>
      <c r="BI162" s="1237"/>
      <c r="BJ162" s="1237"/>
      <c r="BK162" s="1221"/>
      <c r="BL162" s="498"/>
      <c r="BM162" s="1236"/>
      <c r="BN162" s="1237"/>
      <c r="BO162" s="1237"/>
      <c r="BP162" s="1221"/>
      <c r="BQ162" s="498"/>
      <c r="BR162" s="242"/>
      <c r="BS162" s="242"/>
      <c r="BT162" s="242"/>
      <c r="BU162" s="242"/>
      <c r="BV162" s="242"/>
      <c r="BW162" s="242"/>
      <c r="BX162" s="242"/>
      <c r="BY162" s="242"/>
      <c r="BZ162" s="242"/>
      <c r="CA162" s="242"/>
      <c r="CB162" s="242"/>
      <c r="CC162" s="242"/>
      <c r="CD162" s="242"/>
      <c r="CE162" s="242"/>
      <c r="CF162" s="242"/>
    </row>
    <row r="163" spans="1:84">
      <c r="A163" s="242"/>
      <c r="B163" s="242"/>
      <c r="C163" s="100" t="s">
        <v>84</v>
      </c>
      <c r="D163" s="109"/>
      <c r="E163" s="161"/>
      <c r="F163" s="160"/>
      <c r="G163" s="160"/>
      <c r="H163" s="144"/>
      <c r="I163" s="245"/>
      <c r="J163" s="161"/>
      <c r="K163" s="160"/>
      <c r="L163" s="160"/>
      <c r="M163" s="144"/>
      <c r="N163" s="245"/>
      <c r="O163" s="161"/>
      <c r="P163" s="160"/>
      <c r="Q163" s="160"/>
      <c r="R163" s="144"/>
      <c r="S163" s="245"/>
      <c r="T163" s="161"/>
      <c r="U163" s="160"/>
      <c r="V163" s="160"/>
      <c r="W163" s="144"/>
      <c r="X163" s="498">
        <f t="shared" ref="X163:AC163" si="218">-X132</f>
        <v>-664</v>
      </c>
      <c r="Y163" s="1236">
        <f t="shared" si="218"/>
        <v>-217.75</v>
      </c>
      <c r="Z163" s="1238">
        <f t="shared" si="218"/>
        <v>-217.75</v>
      </c>
      <c r="AA163" s="1238">
        <f t="shared" si="218"/>
        <v>-217.75</v>
      </c>
      <c r="AB163" s="1221">
        <f t="shared" si="218"/>
        <v>-217.75</v>
      </c>
      <c r="AC163" s="498">
        <f t="shared" si="218"/>
        <v>-871</v>
      </c>
      <c r="AD163" s="1236">
        <f t="shared" ref="AD163:BB163" si="219">-AD132</f>
        <v>-259.5</v>
      </c>
      <c r="AE163" s="1238">
        <f t="shared" si="219"/>
        <v>-259.5</v>
      </c>
      <c r="AF163" s="1238">
        <f t="shared" si="219"/>
        <v>-259.5</v>
      </c>
      <c r="AG163" s="1221">
        <f t="shared" si="219"/>
        <v>-259.5</v>
      </c>
      <c r="AH163" s="498">
        <f t="shared" si="219"/>
        <v>-1038</v>
      </c>
      <c r="AI163" s="1236">
        <f t="shared" ref="AI163:AN163" si="220">-AI132</f>
        <v>-262.07499999999999</v>
      </c>
      <c r="AJ163" s="1238">
        <f t="shared" si="220"/>
        <v>-262.07499999999999</v>
      </c>
      <c r="AK163" s="1238">
        <f t="shared" si="220"/>
        <v>-262.07499999999999</v>
      </c>
      <c r="AL163" s="1221">
        <f t="shared" si="220"/>
        <v>-262.07500000000005</v>
      </c>
      <c r="AM163" s="498">
        <f t="shared" si="220"/>
        <v>-1048.3</v>
      </c>
      <c r="AN163" s="1236">
        <f t="shared" si="220"/>
        <v>-264.57499999999999</v>
      </c>
      <c r="AO163" s="1238">
        <f t="shared" ref="AO163:AS163" si="221">-AO132</f>
        <v>-264.57499999999999</v>
      </c>
      <c r="AP163" s="1238">
        <f t="shared" si="221"/>
        <v>-264.57499999999999</v>
      </c>
      <c r="AQ163" s="1221">
        <f t="shared" si="221"/>
        <v>-264.57500000000005</v>
      </c>
      <c r="AR163" s="498">
        <f t="shared" si="221"/>
        <v>-1058.3</v>
      </c>
      <c r="AS163" s="1236">
        <f t="shared" si="221"/>
        <v>-389.6</v>
      </c>
      <c r="AT163" s="1238">
        <f t="shared" ref="AT163:AW163" si="222">-AT132</f>
        <v>-389.6</v>
      </c>
      <c r="AU163" s="1238">
        <f t="shared" si="222"/>
        <v>-389.6</v>
      </c>
      <c r="AV163" s="1221">
        <f t="shared" si="222"/>
        <v>-389.59999999999991</v>
      </c>
      <c r="AW163" s="498">
        <f t="shared" si="222"/>
        <v>-1558.4</v>
      </c>
      <c r="AX163" s="1236">
        <f t="shared" si="219"/>
        <v>-446.25</v>
      </c>
      <c r="AY163" s="1238">
        <f t="shared" si="219"/>
        <v>-446.25</v>
      </c>
      <c r="AZ163" s="1238">
        <f t="shared" si="219"/>
        <v>-446.25</v>
      </c>
      <c r="BA163" s="1221">
        <f t="shared" si="219"/>
        <v>-446.25</v>
      </c>
      <c r="BB163" s="498">
        <f t="shared" si="219"/>
        <v>-1785</v>
      </c>
      <c r="BC163" s="1236">
        <f t="shared" ref="BC163:BL163" si="223">-BC132</f>
        <v>-399.75</v>
      </c>
      <c r="BD163" s="1238">
        <f t="shared" si="223"/>
        <v>-399.75</v>
      </c>
      <c r="BE163" s="1238">
        <f t="shared" si="223"/>
        <v>-399.75</v>
      </c>
      <c r="BF163" s="1221">
        <f t="shared" si="223"/>
        <v>-399.75</v>
      </c>
      <c r="BG163" s="498">
        <f t="shared" si="223"/>
        <v>-1599</v>
      </c>
      <c r="BH163" s="1236">
        <f t="shared" si="223"/>
        <v>-341</v>
      </c>
      <c r="BI163" s="1238">
        <f t="shared" si="223"/>
        <v>-341</v>
      </c>
      <c r="BJ163" s="1238">
        <f t="shared" si="223"/>
        <v>-341</v>
      </c>
      <c r="BK163" s="1221">
        <f t="shared" si="223"/>
        <v>-341</v>
      </c>
      <c r="BL163" s="498">
        <f t="shared" si="223"/>
        <v>-1364</v>
      </c>
      <c r="BM163" s="1236">
        <f>-BM132</f>
        <v>-341</v>
      </c>
      <c r="BN163" s="1238">
        <f>-BN132</f>
        <v>-341</v>
      </c>
      <c r="BO163" s="1238">
        <f>-BO132</f>
        <v>-341</v>
      </c>
      <c r="BP163" s="1221">
        <f>-BP132</f>
        <v>-341</v>
      </c>
      <c r="BQ163" s="498">
        <f>-BQ132</f>
        <v>-1364</v>
      </c>
      <c r="BR163" s="242"/>
      <c r="BS163" s="242"/>
      <c r="BT163" s="242"/>
      <c r="BU163" s="242"/>
      <c r="BV163" s="242"/>
      <c r="BW163" s="242"/>
      <c r="BX163" s="242"/>
      <c r="BY163" s="242"/>
      <c r="BZ163" s="242"/>
      <c r="CA163" s="242"/>
      <c r="CB163" s="242"/>
      <c r="CC163" s="242"/>
      <c r="CD163" s="242"/>
      <c r="CE163" s="242"/>
      <c r="CF163" s="242"/>
    </row>
    <row r="164" spans="1:84">
      <c r="A164" s="242"/>
      <c r="B164" s="242"/>
      <c r="C164" s="100" t="s">
        <v>85</v>
      </c>
      <c r="D164" s="109"/>
      <c r="E164" s="161"/>
      <c r="F164" s="160"/>
      <c r="G164" s="160"/>
      <c r="H164" s="144"/>
      <c r="I164" s="245"/>
      <c r="J164" s="161"/>
      <c r="K164" s="160"/>
      <c r="L164" s="160"/>
      <c r="M164" s="144"/>
      <c r="N164" s="245"/>
      <c r="O164" s="161"/>
      <c r="P164" s="160"/>
      <c r="Q164" s="160"/>
      <c r="R164" s="144"/>
      <c r="S164" s="245"/>
      <c r="T164" s="161"/>
      <c r="U164" s="160"/>
      <c r="V164" s="160"/>
      <c r="W164" s="144"/>
      <c r="X164" s="498">
        <v>0</v>
      </c>
      <c r="Y164" s="1202">
        <f>AC164/4</f>
        <v>0</v>
      </c>
      <c r="Z164" s="1204">
        <f>AC164/4</f>
        <v>0</v>
      </c>
      <c r="AA164" s="1204">
        <f>AC164/4</f>
        <v>0</v>
      </c>
      <c r="AB164" s="1205">
        <f>AC164/4</f>
        <v>0</v>
      </c>
      <c r="AC164" s="64">
        <v>0</v>
      </c>
      <c r="AD164" s="1202">
        <f>AH164/4</f>
        <v>0</v>
      </c>
      <c r="AE164" s="1204">
        <f>AH164/4</f>
        <v>0</v>
      </c>
      <c r="AF164" s="1204">
        <f>AH164/4</f>
        <v>0</v>
      </c>
      <c r="AG164" s="1205">
        <f>AH164/4</f>
        <v>0</v>
      </c>
      <c r="AH164" s="64">
        <v>0</v>
      </c>
      <c r="AI164" s="1202">
        <f>AM164/4</f>
        <v>0</v>
      </c>
      <c r="AJ164" s="1204">
        <f>AM164/4</f>
        <v>0</v>
      </c>
      <c r="AK164" s="1204">
        <f>AM164/4</f>
        <v>0</v>
      </c>
      <c r="AL164" s="1205">
        <f>AM164/4</f>
        <v>0</v>
      </c>
      <c r="AM164" s="64">
        <v>0</v>
      </c>
      <c r="AN164" s="1202">
        <f>AR164/4</f>
        <v>0</v>
      </c>
      <c r="AO164" s="1204">
        <f>AR164/4</f>
        <v>0</v>
      </c>
      <c r="AP164" s="1204">
        <f>AR164/4</f>
        <v>0</v>
      </c>
      <c r="AQ164" s="1205">
        <f>AR164/4</f>
        <v>0</v>
      </c>
      <c r="AR164" s="64">
        <v>0</v>
      </c>
      <c r="AS164" s="1202">
        <f>AW164/4</f>
        <v>0</v>
      </c>
      <c r="AT164" s="1204">
        <f>AW164/4</f>
        <v>0</v>
      </c>
      <c r="AU164" s="1204">
        <f>AW164/4</f>
        <v>0</v>
      </c>
      <c r="AV164" s="1205">
        <f>AW164/4</f>
        <v>0</v>
      </c>
      <c r="AW164" s="64">
        <v>0</v>
      </c>
      <c r="AX164" s="1202">
        <f>BB164/4</f>
        <v>0</v>
      </c>
      <c r="AY164" s="1204">
        <f>BB164/4</f>
        <v>0</v>
      </c>
      <c r="AZ164" s="1204">
        <f>BB164/4</f>
        <v>0</v>
      </c>
      <c r="BA164" s="1205">
        <f>BB164/4</f>
        <v>0</v>
      </c>
      <c r="BB164" s="64">
        <v>0</v>
      </c>
      <c r="BC164" s="1202">
        <f>BG164/4</f>
        <v>0</v>
      </c>
      <c r="BD164" s="1204">
        <f>BG164/4</f>
        <v>0</v>
      </c>
      <c r="BE164" s="1204">
        <f>BG164/4</f>
        <v>0</v>
      </c>
      <c r="BF164" s="1205">
        <f>BG164/4</f>
        <v>0</v>
      </c>
      <c r="BG164" s="64">
        <v>0</v>
      </c>
      <c r="BH164" s="1202">
        <f>BL164/4</f>
        <v>0</v>
      </c>
      <c r="BI164" s="1204">
        <f>BL164/4</f>
        <v>0</v>
      </c>
      <c r="BJ164" s="1204">
        <f>BL164/4</f>
        <v>0</v>
      </c>
      <c r="BK164" s="1205">
        <f>BL164/4</f>
        <v>0</v>
      </c>
      <c r="BL164" s="64">
        <v>0</v>
      </c>
      <c r="BM164" s="1202">
        <f>BQ164/4</f>
        <v>0</v>
      </c>
      <c r="BN164" s="1204">
        <f>BQ164/4</f>
        <v>0</v>
      </c>
      <c r="BO164" s="1204">
        <f>BQ164/4</f>
        <v>0</v>
      </c>
      <c r="BP164" s="1205">
        <f>BQ164/4</f>
        <v>0</v>
      </c>
      <c r="BQ164" s="64">
        <v>0</v>
      </c>
      <c r="BR164" s="242"/>
      <c r="BS164" s="242"/>
      <c r="BT164" s="242"/>
      <c r="BU164" s="242"/>
      <c r="BV164" s="242"/>
      <c r="BW164" s="242"/>
      <c r="BX164" s="242"/>
      <c r="BY164" s="242"/>
      <c r="BZ164" s="242"/>
      <c r="CA164" s="242"/>
      <c r="CB164" s="242"/>
      <c r="CC164" s="242"/>
      <c r="CD164" s="242"/>
      <c r="CE164" s="242"/>
      <c r="CF164" s="242"/>
    </row>
    <row r="165" spans="1:84">
      <c r="A165" s="242"/>
      <c r="B165" s="242"/>
      <c r="C165" s="164" t="s">
        <v>86</v>
      </c>
      <c r="D165" s="109"/>
      <c r="E165" s="149"/>
      <c r="F165" s="150"/>
      <c r="G165" s="150"/>
      <c r="H165" s="151"/>
      <c r="I165" s="154"/>
      <c r="J165" s="149"/>
      <c r="K165" s="150"/>
      <c r="L165" s="150"/>
      <c r="M165" s="151"/>
      <c r="N165" s="154"/>
      <c r="O165" s="149"/>
      <c r="P165" s="150"/>
      <c r="Q165" s="150"/>
      <c r="R165" s="151"/>
      <c r="S165" s="154"/>
      <c r="T165" s="149"/>
      <c r="U165" s="150"/>
      <c r="V165" s="150"/>
      <c r="W165" s="151"/>
      <c r="X165" s="112">
        <f t="shared" ref="X165:AC165" si="224">SUM(X163:X164)</f>
        <v>-664</v>
      </c>
      <c r="Y165" s="149">
        <f t="shared" si="224"/>
        <v>-217.75</v>
      </c>
      <c r="Z165" s="150">
        <f t="shared" si="224"/>
        <v>-217.75</v>
      </c>
      <c r="AA165" s="150">
        <f t="shared" si="224"/>
        <v>-217.75</v>
      </c>
      <c r="AB165" s="151">
        <f t="shared" si="224"/>
        <v>-217.75</v>
      </c>
      <c r="AC165" s="112">
        <f t="shared" si="224"/>
        <v>-871</v>
      </c>
      <c r="AD165" s="149">
        <f t="shared" ref="AD165:BB165" si="225">SUM(AD163:AD164)</f>
        <v>-259.5</v>
      </c>
      <c r="AE165" s="150">
        <f t="shared" si="225"/>
        <v>-259.5</v>
      </c>
      <c r="AF165" s="150">
        <f t="shared" si="225"/>
        <v>-259.5</v>
      </c>
      <c r="AG165" s="151">
        <f t="shared" si="225"/>
        <v>-259.5</v>
      </c>
      <c r="AH165" s="112">
        <f t="shared" si="225"/>
        <v>-1038</v>
      </c>
      <c r="AI165" s="149">
        <f t="shared" ref="AI165:AN165" si="226">SUM(AI163:AI164)</f>
        <v>-262.07499999999999</v>
      </c>
      <c r="AJ165" s="150">
        <f t="shared" si="226"/>
        <v>-262.07499999999999</v>
      </c>
      <c r="AK165" s="150">
        <f t="shared" si="226"/>
        <v>-262.07499999999999</v>
      </c>
      <c r="AL165" s="151">
        <f t="shared" si="226"/>
        <v>-262.07500000000005</v>
      </c>
      <c r="AM165" s="112">
        <f t="shared" si="226"/>
        <v>-1048.3</v>
      </c>
      <c r="AN165" s="149">
        <f t="shared" si="226"/>
        <v>-264.57499999999999</v>
      </c>
      <c r="AO165" s="150">
        <f t="shared" ref="AO165:AS165" si="227">SUM(AO163:AO164)</f>
        <v>-264.57499999999999</v>
      </c>
      <c r="AP165" s="150">
        <f t="shared" si="227"/>
        <v>-264.57499999999999</v>
      </c>
      <c r="AQ165" s="151">
        <f t="shared" si="227"/>
        <v>-264.57500000000005</v>
      </c>
      <c r="AR165" s="112">
        <f t="shared" si="227"/>
        <v>-1058.3</v>
      </c>
      <c r="AS165" s="149">
        <f t="shared" si="227"/>
        <v>-389.6</v>
      </c>
      <c r="AT165" s="150">
        <f t="shared" ref="AT165:AW165" si="228">SUM(AT163:AT164)</f>
        <v>-389.6</v>
      </c>
      <c r="AU165" s="150">
        <f t="shared" si="228"/>
        <v>-389.6</v>
      </c>
      <c r="AV165" s="151">
        <f t="shared" si="228"/>
        <v>-389.59999999999991</v>
      </c>
      <c r="AW165" s="112">
        <f t="shared" si="228"/>
        <v>-1558.4</v>
      </c>
      <c r="AX165" s="149">
        <f t="shared" si="225"/>
        <v>-446.25</v>
      </c>
      <c r="AY165" s="150">
        <f t="shared" si="225"/>
        <v>-446.25</v>
      </c>
      <c r="AZ165" s="150">
        <f t="shared" si="225"/>
        <v>-446.25</v>
      </c>
      <c r="BA165" s="151">
        <f t="shared" si="225"/>
        <v>-446.25</v>
      </c>
      <c r="BB165" s="112">
        <f t="shared" si="225"/>
        <v>-1785</v>
      </c>
      <c r="BC165" s="149">
        <f t="shared" ref="BC165:BL165" si="229">SUM(BC163:BC164)</f>
        <v>-399.75</v>
      </c>
      <c r="BD165" s="150">
        <f t="shared" si="229"/>
        <v>-399.75</v>
      </c>
      <c r="BE165" s="150">
        <f t="shared" si="229"/>
        <v>-399.75</v>
      </c>
      <c r="BF165" s="151">
        <f t="shared" si="229"/>
        <v>-399.75</v>
      </c>
      <c r="BG165" s="112">
        <f t="shared" si="229"/>
        <v>-1599</v>
      </c>
      <c r="BH165" s="149">
        <f t="shared" si="229"/>
        <v>-341</v>
      </c>
      <c r="BI165" s="150">
        <f t="shared" si="229"/>
        <v>-341</v>
      </c>
      <c r="BJ165" s="150">
        <f t="shared" si="229"/>
        <v>-341</v>
      </c>
      <c r="BK165" s="151">
        <f t="shared" si="229"/>
        <v>-341</v>
      </c>
      <c r="BL165" s="112">
        <f t="shared" si="229"/>
        <v>-1364</v>
      </c>
      <c r="BM165" s="149">
        <f>SUM(BM163:BM164)</f>
        <v>-341</v>
      </c>
      <c r="BN165" s="150">
        <f>SUM(BN163:BN164)</f>
        <v>-341</v>
      </c>
      <c r="BO165" s="150">
        <f>SUM(BO163:BO164)</f>
        <v>-341</v>
      </c>
      <c r="BP165" s="151">
        <f>SUM(BP163:BP164)</f>
        <v>-341</v>
      </c>
      <c r="BQ165" s="112">
        <f>SUM(BQ163:BQ164)</f>
        <v>-1364</v>
      </c>
      <c r="BR165" s="242"/>
      <c r="BS165" s="242"/>
      <c r="BT165" s="242"/>
      <c r="BU165" s="242"/>
      <c r="BV165" s="242"/>
      <c r="BW165" s="242"/>
      <c r="BX165" s="242"/>
      <c r="BY165" s="242"/>
      <c r="BZ165" s="242"/>
      <c r="CA165" s="242"/>
      <c r="CB165" s="242"/>
      <c r="CC165" s="242"/>
      <c r="CD165" s="242"/>
      <c r="CE165" s="242"/>
      <c r="CF165" s="242"/>
    </row>
    <row r="166" spans="1:84">
      <c r="A166" s="242"/>
      <c r="B166" s="242"/>
      <c r="C166" s="100"/>
      <c r="D166" s="109"/>
      <c r="E166" s="161"/>
      <c r="F166" s="162"/>
      <c r="G166" s="162"/>
      <c r="H166" s="144"/>
      <c r="I166" s="245"/>
      <c r="J166" s="161"/>
      <c r="K166" s="162"/>
      <c r="L166" s="162"/>
      <c r="M166" s="144"/>
      <c r="N166" s="245"/>
      <c r="O166" s="161"/>
      <c r="P166" s="162"/>
      <c r="Q166" s="162"/>
      <c r="R166" s="144"/>
      <c r="S166" s="245"/>
      <c r="T166" s="161"/>
      <c r="U166" s="162"/>
      <c r="V166" s="162"/>
      <c r="W166" s="144"/>
      <c r="X166" s="498"/>
      <c r="Y166" s="1236"/>
      <c r="Z166" s="1237"/>
      <c r="AA166" s="1237"/>
      <c r="AB166" s="1221"/>
      <c r="AC166" s="498"/>
      <c r="AD166" s="1236"/>
      <c r="AE166" s="1237"/>
      <c r="AF166" s="1237"/>
      <c r="AG166" s="1221"/>
      <c r="AH166" s="498"/>
      <c r="AI166" s="1236"/>
      <c r="AJ166" s="1237"/>
      <c r="AK166" s="1237"/>
      <c r="AL166" s="1221"/>
      <c r="AM166" s="498"/>
      <c r="AN166" s="1236"/>
      <c r="AO166" s="1237"/>
      <c r="AP166" s="1237"/>
      <c r="AQ166" s="1221"/>
      <c r="AR166" s="498"/>
      <c r="AS166" s="1236"/>
      <c r="AT166" s="1237"/>
      <c r="AU166" s="1237"/>
      <c r="AV166" s="1221"/>
      <c r="AW166" s="498"/>
      <c r="AX166" s="1236"/>
      <c r="AY166" s="1237"/>
      <c r="AZ166" s="1237"/>
      <c r="BA166" s="1221"/>
      <c r="BB166" s="498"/>
      <c r="BC166" s="1236"/>
      <c r="BD166" s="1237"/>
      <c r="BE166" s="1237"/>
      <c r="BF166" s="1221"/>
      <c r="BG166" s="498"/>
      <c r="BH166" s="1236"/>
      <c r="BI166" s="1237"/>
      <c r="BJ166" s="1237"/>
      <c r="BK166" s="1221"/>
      <c r="BL166" s="498"/>
      <c r="BM166" s="1236"/>
      <c r="BN166" s="1237"/>
      <c r="BO166" s="1237"/>
      <c r="BP166" s="1221"/>
      <c r="BQ166" s="498"/>
      <c r="BR166" s="242"/>
      <c r="BS166" s="242"/>
      <c r="BT166" s="242"/>
      <c r="BU166" s="242"/>
      <c r="BV166" s="242"/>
      <c r="BW166" s="242"/>
      <c r="BX166" s="242"/>
      <c r="BY166" s="242"/>
      <c r="BZ166" s="242"/>
      <c r="CA166" s="242"/>
      <c r="CB166" s="242"/>
      <c r="CC166" s="242"/>
      <c r="CD166" s="242"/>
      <c r="CE166" s="242"/>
      <c r="CF166" s="242"/>
    </row>
    <row r="167" spans="1:84">
      <c r="A167" s="242"/>
      <c r="B167" s="242"/>
      <c r="C167" s="100" t="s">
        <v>87</v>
      </c>
      <c r="D167" s="109"/>
      <c r="E167" s="161"/>
      <c r="F167" s="160"/>
      <c r="G167" s="160"/>
      <c r="H167" s="144"/>
      <c r="I167" s="245"/>
      <c r="J167" s="161"/>
      <c r="K167" s="160"/>
      <c r="L167" s="160"/>
      <c r="M167" s="144"/>
      <c r="N167" s="245"/>
      <c r="O167" s="161"/>
      <c r="P167" s="160"/>
      <c r="Q167" s="160"/>
      <c r="R167" s="144"/>
      <c r="S167" s="245"/>
      <c r="T167" s="161"/>
      <c r="U167" s="160"/>
      <c r="V167" s="160"/>
      <c r="W167" s="144"/>
      <c r="X167" s="498">
        <f t="shared" ref="X167:AC167" si="230">X142</f>
        <v>0</v>
      </c>
      <c r="Y167" s="1236">
        <f t="shared" si="230"/>
        <v>0</v>
      </c>
      <c r="Z167" s="1238">
        <f t="shared" si="230"/>
        <v>0</v>
      </c>
      <c r="AA167" s="1238">
        <f t="shared" si="230"/>
        <v>0</v>
      </c>
      <c r="AB167" s="1221">
        <f t="shared" si="230"/>
        <v>0</v>
      </c>
      <c r="AC167" s="498">
        <f t="shared" si="230"/>
        <v>0</v>
      </c>
      <c r="AD167" s="1236">
        <f t="shared" ref="AD167:AH168" si="231">AD142</f>
        <v>0</v>
      </c>
      <c r="AE167" s="1238">
        <f t="shared" si="231"/>
        <v>0</v>
      </c>
      <c r="AF167" s="1238">
        <f t="shared" si="231"/>
        <v>0</v>
      </c>
      <c r="AG167" s="1221">
        <f t="shared" si="231"/>
        <v>0</v>
      </c>
      <c r="AH167" s="498">
        <f t="shared" si="231"/>
        <v>0</v>
      </c>
      <c r="AI167" s="1236">
        <f t="shared" ref="AI167:AM168" si="232">AI142</f>
        <v>0</v>
      </c>
      <c r="AJ167" s="1238">
        <f t="shared" si="232"/>
        <v>0</v>
      </c>
      <c r="AK167" s="1238">
        <f t="shared" si="232"/>
        <v>0</v>
      </c>
      <c r="AL167" s="1221">
        <f t="shared" si="232"/>
        <v>0</v>
      </c>
      <c r="AM167" s="498">
        <f t="shared" si="232"/>
        <v>0</v>
      </c>
      <c r="AN167" s="1236">
        <f t="shared" ref="AN167:AR168" si="233">AN142</f>
        <v>0</v>
      </c>
      <c r="AO167" s="1238">
        <f t="shared" si="233"/>
        <v>0</v>
      </c>
      <c r="AP167" s="1238">
        <f t="shared" si="233"/>
        <v>0</v>
      </c>
      <c r="AQ167" s="1221">
        <f t="shared" si="233"/>
        <v>0</v>
      </c>
      <c r="AR167" s="498">
        <f t="shared" si="233"/>
        <v>0</v>
      </c>
      <c r="AS167" s="1236">
        <f t="shared" ref="AS167:AW167" si="234">AS142</f>
        <v>0</v>
      </c>
      <c r="AT167" s="1238">
        <f t="shared" si="234"/>
        <v>0</v>
      </c>
      <c r="AU167" s="1238">
        <f t="shared" si="234"/>
        <v>700</v>
      </c>
      <c r="AV167" s="1221">
        <f t="shared" si="234"/>
        <v>60</v>
      </c>
      <c r="AW167" s="498">
        <f t="shared" si="234"/>
        <v>760</v>
      </c>
      <c r="AX167" s="1236">
        <f t="shared" ref="AX167:BB167" si="235">AX142</f>
        <v>0</v>
      </c>
      <c r="AY167" s="1238">
        <f t="shared" si="235"/>
        <v>0</v>
      </c>
      <c r="AZ167" s="1238">
        <f t="shared" si="235"/>
        <v>0</v>
      </c>
      <c r="BA167" s="1221">
        <f t="shared" si="235"/>
        <v>825</v>
      </c>
      <c r="BB167" s="498">
        <f t="shared" si="235"/>
        <v>825</v>
      </c>
      <c r="BC167" s="1236">
        <f t="shared" ref="BC167:BL167" si="236">BC142</f>
        <v>0</v>
      </c>
      <c r="BD167" s="1238">
        <f t="shared" si="236"/>
        <v>0</v>
      </c>
      <c r="BE167" s="1238">
        <f t="shared" si="236"/>
        <v>900</v>
      </c>
      <c r="BF167" s="1221">
        <f t="shared" si="236"/>
        <v>0</v>
      </c>
      <c r="BG167" s="498">
        <f t="shared" si="236"/>
        <v>900</v>
      </c>
      <c r="BH167" s="1236">
        <f t="shared" si="236"/>
        <v>0</v>
      </c>
      <c r="BI167" s="1238">
        <f t="shared" si="236"/>
        <v>0</v>
      </c>
      <c r="BJ167" s="1238">
        <f t="shared" si="236"/>
        <v>900</v>
      </c>
      <c r="BK167" s="1221">
        <f t="shared" si="236"/>
        <v>0</v>
      </c>
      <c r="BL167" s="498">
        <f t="shared" si="236"/>
        <v>900</v>
      </c>
      <c r="BM167" s="1236">
        <f t="shared" ref="BM167:BQ168" si="237">BM142</f>
        <v>0</v>
      </c>
      <c r="BN167" s="1238">
        <f t="shared" si="237"/>
        <v>0</v>
      </c>
      <c r="BO167" s="1238">
        <f t="shared" si="237"/>
        <v>800</v>
      </c>
      <c r="BP167" s="1221">
        <f t="shared" si="237"/>
        <v>0</v>
      </c>
      <c r="BQ167" s="498">
        <f t="shared" si="237"/>
        <v>800</v>
      </c>
      <c r="BR167" s="242"/>
      <c r="BS167" s="242"/>
      <c r="BT167" s="242"/>
      <c r="BU167" s="242"/>
      <c r="BV167" s="242"/>
      <c r="BW167" s="242"/>
      <c r="BX167" s="242"/>
      <c r="BY167" s="242"/>
      <c r="BZ167" s="242"/>
      <c r="CA167" s="242"/>
      <c r="CB167" s="242"/>
      <c r="CC167" s="242"/>
      <c r="CD167" s="242"/>
      <c r="CE167" s="242"/>
      <c r="CF167" s="242"/>
    </row>
    <row r="168" spans="1:84">
      <c r="A168" s="242"/>
      <c r="B168" s="242"/>
      <c r="C168" s="100" t="s">
        <v>88</v>
      </c>
      <c r="D168" s="109"/>
      <c r="E168" s="161"/>
      <c r="F168" s="160"/>
      <c r="G168" s="160"/>
      <c r="H168" s="144"/>
      <c r="I168" s="245"/>
      <c r="J168" s="161"/>
      <c r="K168" s="160"/>
      <c r="L168" s="160"/>
      <c r="M168" s="144"/>
      <c r="N168" s="245"/>
      <c r="O168" s="161"/>
      <c r="P168" s="160"/>
      <c r="Q168" s="160"/>
      <c r="R168" s="144"/>
      <c r="S168" s="245"/>
      <c r="T168" s="161"/>
      <c r="U168" s="160"/>
      <c r="V168" s="160"/>
      <c r="W168" s="144"/>
      <c r="X168" s="498">
        <f t="shared" ref="X168:AC168" si="238">X143</f>
        <v>0</v>
      </c>
      <c r="Y168" s="1236">
        <f t="shared" si="238"/>
        <v>0</v>
      </c>
      <c r="Z168" s="1238">
        <f t="shared" si="238"/>
        <v>0</v>
      </c>
      <c r="AA168" s="1238">
        <f t="shared" si="238"/>
        <v>0</v>
      </c>
      <c r="AB168" s="1221">
        <f t="shared" si="238"/>
        <v>0</v>
      </c>
      <c r="AC168" s="498">
        <f t="shared" si="238"/>
        <v>0</v>
      </c>
      <c r="AD168" s="1236">
        <f t="shared" si="231"/>
        <v>0</v>
      </c>
      <c r="AE168" s="1238">
        <f t="shared" si="231"/>
        <v>0</v>
      </c>
      <c r="AF168" s="1238">
        <f t="shared" si="231"/>
        <v>0</v>
      </c>
      <c r="AG168" s="1221">
        <f t="shared" si="231"/>
        <v>0</v>
      </c>
      <c r="AH168" s="498">
        <f t="shared" si="231"/>
        <v>0</v>
      </c>
      <c r="AI168" s="1236">
        <f t="shared" si="232"/>
        <v>0</v>
      </c>
      <c r="AJ168" s="1238">
        <f t="shared" si="232"/>
        <v>0</v>
      </c>
      <c r="AK168" s="1238">
        <f t="shared" si="232"/>
        <v>0</v>
      </c>
      <c r="AL168" s="1221">
        <f t="shared" si="232"/>
        <v>0</v>
      </c>
      <c r="AM168" s="498">
        <f t="shared" si="232"/>
        <v>0</v>
      </c>
      <c r="AN168" s="1236">
        <f t="shared" si="233"/>
        <v>0</v>
      </c>
      <c r="AO168" s="1238">
        <f t="shared" si="233"/>
        <v>-60</v>
      </c>
      <c r="AP168" s="1238">
        <f t="shared" si="233"/>
        <v>0</v>
      </c>
      <c r="AQ168" s="1221">
        <f t="shared" si="233"/>
        <v>0</v>
      </c>
      <c r="AR168" s="498">
        <f t="shared" si="233"/>
        <v>-60</v>
      </c>
      <c r="AS168" s="1236">
        <f t="shared" ref="AS168:AW168" si="239">AS143</f>
        <v>-22.4</v>
      </c>
      <c r="AT168" s="1238">
        <f t="shared" si="239"/>
        <v>0</v>
      </c>
      <c r="AU168" s="1238">
        <f t="shared" si="239"/>
        <v>-16.272593000000001</v>
      </c>
      <c r="AV168" s="1221">
        <f t="shared" si="239"/>
        <v>-75.483527000000009</v>
      </c>
      <c r="AW168" s="498">
        <f t="shared" si="239"/>
        <v>-114.15611999999999</v>
      </c>
      <c r="AX168" s="1236">
        <f t="shared" ref="AX168:BB168" si="240">AX143</f>
        <v>-69.962039000000004</v>
      </c>
      <c r="AY168" s="1238">
        <f t="shared" si="240"/>
        <v>-380</v>
      </c>
      <c r="AZ168" s="1238">
        <f t="shared" si="240"/>
        <v>0</v>
      </c>
      <c r="BA168" s="1221">
        <f t="shared" si="240"/>
        <v>0</v>
      </c>
      <c r="BB168" s="498">
        <f t="shared" si="240"/>
        <v>-449.962039</v>
      </c>
      <c r="BC168" s="1236">
        <f t="shared" ref="BC168:BL168" si="241">BC143</f>
        <v>0</v>
      </c>
      <c r="BD168" s="1238">
        <f t="shared" si="241"/>
        <v>-50</v>
      </c>
      <c r="BE168" s="1238">
        <f t="shared" si="241"/>
        <v>-294.878311</v>
      </c>
      <c r="BF168" s="1221">
        <f t="shared" si="241"/>
        <v>0</v>
      </c>
      <c r="BG168" s="498">
        <f t="shared" si="241"/>
        <v>-344.878311</v>
      </c>
      <c r="BH168" s="1236">
        <f t="shared" si="241"/>
        <v>0</v>
      </c>
      <c r="BI168" s="1238">
        <f t="shared" si="241"/>
        <v>-204.46924300000001</v>
      </c>
      <c r="BJ168" s="1238">
        <f t="shared" si="241"/>
        <v>-494.7</v>
      </c>
      <c r="BK168" s="1221">
        <f t="shared" si="241"/>
        <v>0</v>
      </c>
      <c r="BL168" s="498">
        <f t="shared" si="241"/>
        <v>-699.16924300000005</v>
      </c>
      <c r="BM168" s="1236">
        <f t="shared" si="237"/>
        <v>0</v>
      </c>
      <c r="BN168" s="1238">
        <f t="shared" si="237"/>
        <v>0</v>
      </c>
      <c r="BO168" s="1238">
        <f t="shared" si="237"/>
        <v>0</v>
      </c>
      <c r="BP168" s="1221">
        <f t="shared" si="237"/>
        <v>-500</v>
      </c>
      <c r="BQ168" s="498">
        <f t="shared" si="237"/>
        <v>-500</v>
      </c>
      <c r="BR168" s="242"/>
      <c r="BS168" s="242"/>
      <c r="BT168" s="242"/>
      <c r="BU168" s="242"/>
      <c r="BV168" s="242"/>
      <c r="BW168" s="242"/>
      <c r="BX168" s="242"/>
      <c r="BY168" s="242"/>
      <c r="BZ168" s="242"/>
      <c r="CA168" s="242"/>
      <c r="CB168" s="242"/>
      <c r="CC168" s="242"/>
      <c r="CD168" s="242"/>
      <c r="CE168" s="242"/>
      <c r="CF168" s="242"/>
    </row>
    <row r="169" spans="1:84">
      <c r="A169" s="242"/>
      <c r="B169" s="242"/>
      <c r="C169" s="100" t="s">
        <v>89</v>
      </c>
      <c r="D169" s="109"/>
      <c r="E169" s="161"/>
      <c r="F169" s="160"/>
      <c r="G169" s="160"/>
      <c r="H169" s="144"/>
      <c r="I169" s="245"/>
      <c r="J169" s="161"/>
      <c r="K169" s="160"/>
      <c r="L169" s="160"/>
      <c r="M169" s="144"/>
      <c r="N169" s="245"/>
      <c r="O169" s="161"/>
      <c r="P169" s="160"/>
      <c r="Q169" s="160"/>
      <c r="R169" s="144"/>
      <c r="S169" s="245"/>
      <c r="T169" s="161"/>
      <c r="U169" s="160"/>
      <c r="V169" s="160"/>
      <c r="W169" s="144"/>
      <c r="X169" s="498">
        <v>0</v>
      </c>
      <c r="Y169" s="1202">
        <f>AC169/4</f>
        <v>0</v>
      </c>
      <c r="Z169" s="1204">
        <f>AC169/4</f>
        <v>0</v>
      </c>
      <c r="AA169" s="1204">
        <f>AC169/4</f>
        <v>0</v>
      </c>
      <c r="AB169" s="1205">
        <f>AC169/4</f>
        <v>0</v>
      </c>
      <c r="AC169" s="64">
        <v>0</v>
      </c>
      <c r="AD169" s="1202">
        <f>AH169/4</f>
        <v>0</v>
      </c>
      <c r="AE169" s="1204">
        <f>AH169/4</f>
        <v>0</v>
      </c>
      <c r="AF169" s="1204">
        <f>AH169/4</f>
        <v>0</v>
      </c>
      <c r="AG169" s="1205">
        <f>AH169/4</f>
        <v>0</v>
      </c>
      <c r="AH169" s="64">
        <v>0</v>
      </c>
      <c r="AI169" s="1202">
        <f>AM169/4</f>
        <v>0</v>
      </c>
      <c r="AJ169" s="1204">
        <f>AM169/4</f>
        <v>0</v>
      </c>
      <c r="AK169" s="1204">
        <f>AM169/4</f>
        <v>0</v>
      </c>
      <c r="AL169" s="1205">
        <f>AM169/4</f>
        <v>0</v>
      </c>
      <c r="AM169" s="64">
        <v>0</v>
      </c>
      <c r="AN169" s="1202">
        <f>AR169/4</f>
        <v>0</v>
      </c>
      <c r="AO169" s="1204">
        <f>AR169/4</f>
        <v>0</v>
      </c>
      <c r="AP169" s="1204">
        <f>AR169/4</f>
        <v>0</v>
      </c>
      <c r="AQ169" s="1205">
        <f>AR169/4</f>
        <v>0</v>
      </c>
      <c r="AR169" s="64">
        <v>0</v>
      </c>
      <c r="AS169" s="1202">
        <f>AW169/4</f>
        <v>0</v>
      </c>
      <c r="AT169" s="1204">
        <f>AW169/4</f>
        <v>0</v>
      </c>
      <c r="AU169" s="1204">
        <f>AW169/4</f>
        <v>0</v>
      </c>
      <c r="AV169" s="1205">
        <f>AW169/4</f>
        <v>0</v>
      </c>
      <c r="AW169" s="64">
        <v>0</v>
      </c>
      <c r="AX169" s="1202">
        <f>BB169/4</f>
        <v>0</v>
      </c>
      <c r="AY169" s="1204">
        <f>BB169/4</f>
        <v>0</v>
      </c>
      <c r="AZ169" s="1204">
        <f>BB169/4</f>
        <v>0</v>
      </c>
      <c r="BA169" s="1205">
        <f>BB169/4</f>
        <v>0</v>
      </c>
      <c r="BB169" s="64">
        <v>0</v>
      </c>
      <c r="BC169" s="1202">
        <f>BG169/4</f>
        <v>0</v>
      </c>
      <c r="BD169" s="1204">
        <f>BG169/4</f>
        <v>0</v>
      </c>
      <c r="BE169" s="1204">
        <f>BG169/4</f>
        <v>0</v>
      </c>
      <c r="BF169" s="1205">
        <f>BG169/4</f>
        <v>0</v>
      </c>
      <c r="BG169" s="64">
        <v>0</v>
      </c>
      <c r="BH169" s="1202">
        <f>BL169/4</f>
        <v>0</v>
      </c>
      <c r="BI169" s="1204">
        <f>BL169/4</f>
        <v>0</v>
      </c>
      <c r="BJ169" s="1204">
        <f>BL169/4</f>
        <v>0</v>
      </c>
      <c r="BK169" s="1205">
        <f>BL169/4</f>
        <v>0</v>
      </c>
      <c r="BL169" s="64">
        <v>0</v>
      </c>
      <c r="BM169" s="1202">
        <f>BQ169/4</f>
        <v>0</v>
      </c>
      <c r="BN169" s="1204">
        <f>BQ169/4</f>
        <v>0</v>
      </c>
      <c r="BO169" s="1204">
        <f>BQ169/4</f>
        <v>0</v>
      </c>
      <c r="BP169" s="1205">
        <f>BQ169/4</f>
        <v>0</v>
      </c>
      <c r="BQ169" s="64">
        <v>0</v>
      </c>
      <c r="BR169" s="242"/>
      <c r="BS169" s="242"/>
      <c r="BT169" s="242"/>
      <c r="BU169" s="242"/>
      <c r="BV169" s="242"/>
      <c r="BW169" s="242"/>
      <c r="BX169" s="242"/>
      <c r="BY169" s="242"/>
      <c r="BZ169" s="242"/>
      <c r="CA169" s="242"/>
      <c r="CB169" s="242"/>
      <c r="CC169" s="242"/>
      <c r="CD169" s="242"/>
      <c r="CE169" s="242"/>
      <c r="CF169" s="242"/>
    </row>
    <row r="170" spans="1:84">
      <c r="A170" s="242"/>
      <c r="B170" s="242"/>
      <c r="C170" s="100" t="s">
        <v>343</v>
      </c>
      <c r="D170" s="109"/>
      <c r="E170" s="161"/>
      <c r="F170" s="160"/>
      <c r="G170" s="160"/>
      <c r="H170" s="144"/>
      <c r="I170" s="245"/>
      <c r="J170" s="161"/>
      <c r="K170" s="160"/>
      <c r="L170" s="160"/>
      <c r="M170" s="144"/>
      <c r="N170" s="245"/>
      <c r="O170" s="161"/>
      <c r="P170" s="160"/>
      <c r="Q170" s="160"/>
      <c r="R170" s="144"/>
      <c r="S170" s="245"/>
      <c r="T170" s="161"/>
      <c r="U170" s="160"/>
      <c r="V170" s="160"/>
      <c r="W170" s="144"/>
      <c r="X170" s="498">
        <v>0</v>
      </c>
      <c r="Y170" s="1202">
        <f>AC170/4</f>
        <v>0</v>
      </c>
      <c r="Z170" s="1204">
        <f>AC170/4</f>
        <v>0</v>
      </c>
      <c r="AA170" s="1204">
        <f>AC170/4</f>
        <v>0</v>
      </c>
      <c r="AB170" s="1205">
        <f>AC170/4</f>
        <v>0</v>
      </c>
      <c r="AC170" s="64">
        <v>0</v>
      </c>
      <c r="AD170" s="1202">
        <f>AH170/4</f>
        <v>0</v>
      </c>
      <c r="AE170" s="1204">
        <f>AH170/4</f>
        <v>0</v>
      </c>
      <c r="AF170" s="1204">
        <f>AH170/4</f>
        <v>0</v>
      </c>
      <c r="AG170" s="1205">
        <f>AH170/4</f>
        <v>0</v>
      </c>
      <c r="AH170" s="64">
        <v>0</v>
      </c>
      <c r="AI170" s="1202">
        <f>AM170/4</f>
        <v>0</v>
      </c>
      <c r="AJ170" s="1204">
        <f>AM170/4</f>
        <v>0</v>
      </c>
      <c r="AK170" s="1204">
        <f>AM170/4</f>
        <v>0</v>
      </c>
      <c r="AL170" s="1205">
        <f>AM170/4</f>
        <v>0</v>
      </c>
      <c r="AM170" s="64">
        <v>0</v>
      </c>
      <c r="AN170" s="1202">
        <f>AR170/4</f>
        <v>0</v>
      </c>
      <c r="AO170" s="1204">
        <f>AR170/4</f>
        <v>0</v>
      </c>
      <c r="AP170" s="1204">
        <f>AR170/4</f>
        <v>0</v>
      </c>
      <c r="AQ170" s="1205">
        <f>AR170/4</f>
        <v>0</v>
      </c>
      <c r="AR170" s="64">
        <v>0</v>
      </c>
      <c r="AS170" s="1202">
        <f>AW170/4</f>
        <v>0</v>
      </c>
      <c r="AT170" s="1204">
        <f>AW170/4</f>
        <v>0</v>
      </c>
      <c r="AU170" s="1204">
        <f>AW170/4</f>
        <v>0</v>
      </c>
      <c r="AV170" s="1205">
        <f>AW170/4</f>
        <v>0</v>
      </c>
      <c r="AW170" s="64">
        <v>0</v>
      </c>
      <c r="AX170" s="1202">
        <f>BB170/4</f>
        <v>0</v>
      </c>
      <c r="AY170" s="1204">
        <f>BB170/4</f>
        <v>0</v>
      </c>
      <c r="AZ170" s="1204">
        <f>BB170/4</f>
        <v>0</v>
      </c>
      <c r="BA170" s="1205">
        <f>BB170/4</f>
        <v>0</v>
      </c>
      <c r="BB170" s="64">
        <v>0</v>
      </c>
      <c r="BC170" s="1202">
        <f>BG170/4</f>
        <v>0</v>
      </c>
      <c r="BD170" s="1204">
        <f>BG170/4</f>
        <v>0</v>
      </c>
      <c r="BE170" s="1204">
        <f>BG170/4</f>
        <v>0</v>
      </c>
      <c r="BF170" s="1205">
        <f>BG170/4</f>
        <v>0</v>
      </c>
      <c r="BG170" s="64">
        <v>0</v>
      </c>
      <c r="BH170" s="1202">
        <f>BL170/4</f>
        <v>0</v>
      </c>
      <c r="BI170" s="1204">
        <f>BL170/4</f>
        <v>0</v>
      </c>
      <c r="BJ170" s="1204">
        <f>BL170/4</f>
        <v>0</v>
      </c>
      <c r="BK170" s="1205">
        <f>BL170/4</f>
        <v>0</v>
      </c>
      <c r="BL170" s="64">
        <v>0</v>
      </c>
      <c r="BM170" s="1202">
        <f>BQ170/4</f>
        <v>0</v>
      </c>
      <c r="BN170" s="1204">
        <f>BQ170/4</f>
        <v>0</v>
      </c>
      <c r="BO170" s="1204">
        <f>BQ170/4</f>
        <v>0</v>
      </c>
      <c r="BP170" s="1205">
        <f>BQ170/4</f>
        <v>0</v>
      </c>
      <c r="BQ170" s="64">
        <v>0</v>
      </c>
      <c r="BR170" s="242"/>
      <c r="BS170" s="242"/>
      <c r="BT170" s="242"/>
      <c r="BU170" s="242"/>
      <c r="BV170" s="242"/>
      <c r="BW170" s="242"/>
      <c r="BX170" s="242"/>
      <c r="BY170" s="242"/>
      <c r="BZ170" s="242"/>
      <c r="CA170" s="242"/>
      <c r="CB170" s="242"/>
      <c r="CC170" s="242"/>
      <c r="CD170" s="242"/>
      <c r="CE170" s="242"/>
      <c r="CF170" s="242"/>
    </row>
    <row r="171" spans="1:84">
      <c r="A171" s="242"/>
      <c r="B171" s="242"/>
      <c r="C171" s="100" t="s">
        <v>344</v>
      </c>
      <c r="D171" s="109"/>
      <c r="E171" s="161"/>
      <c r="F171" s="160"/>
      <c r="G171" s="160"/>
      <c r="H171" s="144"/>
      <c r="I171" s="245"/>
      <c r="J171" s="161"/>
      <c r="K171" s="160"/>
      <c r="L171" s="160"/>
      <c r="M171" s="144"/>
      <c r="N171" s="245"/>
      <c r="O171" s="161"/>
      <c r="P171" s="160"/>
      <c r="Q171" s="160"/>
      <c r="R171" s="144"/>
      <c r="S171" s="245"/>
      <c r="T171" s="161"/>
      <c r="U171" s="160"/>
      <c r="V171" s="160"/>
      <c r="W171" s="144"/>
      <c r="X171" s="498">
        <v>0</v>
      </c>
      <c r="Y171" s="1202">
        <f>AC171/4</f>
        <v>0</v>
      </c>
      <c r="Z171" s="1204">
        <f>AC171/4</f>
        <v>0</v>
      </c>
      <c r="AA171" s="1204">
        <f>AC171/4</f>
        <v>0</v>
      </c>
      <c r="AB171" s="1205">
        <f>AC171/4</f>
        <v>0</v>
      </c>
      <c r="AC171" s="64">
        <v>0</v>
      </c>
      <c r="AD171" s="1202">
        <f>AH171/4</f>
        <v>0</v>
      </c>
      <c r="AE171" s="1204">
        <f>AH171/4</f>
        <v>0</v>
      </c>
      <c r="AF171" s="1204">
        <f>AH171/4</f>
        <v>0</v>
      </c>
      <c r="AG171" s="1205">
        <f>AH171/4</f>
        <v>0</v>
      </c>
      <c r="AH171" s="64">
        <v>0</v>
      </c>
      <c r="AI171" s="1202">
        <f>AM171/4</f>
        <v>0</v>
      </c>
      <c r="AJ171" s="1204">
        <f>AM171/4</f>
        <v>0</v>
      </c>
      <c r="AK171" s="1204">
        <f>AM171/4</f>
        <v>0</v>
      </c>
      <c r="AL171" s="1205">
        <f>AM171/4</f>
        <v>0</v>
      </c>
      <c r="AM171" s="64">
        <v>0</v>
      </c>
      <c r="AN171" s="1202">
        <f>AR171/4</f>
        <v>0</v>
      </c>
      <c r="AO171" s="1204">
        <f>AR171/4</f>
        <v>0</v>
      </c>
      <c r="AP171" s="1204">
        <f>AR171/4</f>
        <v>0</v>
      </c>
      <c r="AQ171" s="1205">
        <f>AR171/4</f>
        <v>0</v>
      </c>
      <c r="AR171" s="64">
        <v>0</v>
      </c>
      <c r="AS171" s="1202">
        <f>AW171/4</f>
        <v>0</v>
      </c>
      <c r="AT171" s="1204">
        <f>AW171/4</f>
        <v>0</v>
      </c>
      <c r="AU171" s="1204">
        <f>AW171/4</f>
        <v>0</v>
      </c>
      <c r="AV171" s="1205">
        <f>AW171/4</f>
        <v>0</v>
      </c>
      <c r="AW171" s="64">
        <v>0</v>
      </c>
      <c r="AX171" s="1202">
        <f>BB171/4</f>
        <v>-37.5</v>
      </c>
      <c r="AY171" s="1204">
        <f>BB171/4</f>
        <v>-37.5</v>
      </c>
      <c r="AZ171" s="1204">
        <f>BB171/4</f>
        <v>-37.5</v>
      </c>
      <c r="BA171" s="1205">
        <f>BB171/4</f>
        <v>-37.5</v>
      </c>
      <c r="BB171" s="64">
        <v>-150</v>
      </c>
      <c r="BC171" s="1202">
        <f>BG171/4</f>
        <v>-50</v>
      </c>
      <c r="BD171" s="1204">
        <f>BG171/4</f>
        <v>-50</v>
      </c>
      <c r="BE171" s="1204">
        <f>BG171/4</f>
        <v>-50</v>
      </c>
      <c r="BF171" s="1205">
        <f>BG171/4</f>
        <v>-50</v>
      </c>
      <c r="BG171" s="64">
        <v>-200</v>
      </c>
      <c r="BH171" s="1202">
        <f>BL171/4</f>
        <v>-100</v>
      </c>
      <c r="BI171" s="1204">
        <f>BL171/4</f>
        <v>-100</v>
      </c>
      <c r="BJ171" s="1204">
        <f>BL171/4</f>
        <v>-100</v>
      </c>
      <c r="BK171" s="1205">
        <f>BL171/4</f>
        <v>-100</v>
      </c>
      <c r="BL171" s="64">
        <v>-400</v>
      </c>
      <c r="BM171" s="1202">
        <f>BQ171/4</f>
        <v>-125</v>
      </c>
      <c r="BN171" s="1204">
        <f>BQ171/4</f>
        <v>-125</v>
      </c>
      <c r="BO171" s="1204">
        <f>BQ171/4</f>
        <v>-125</v>
      </c>
      <c r="BP171" s="1205">
        <f>BQ171/4</f>
        <v>-125</v>
      </c>
      <c r="BQ171" s="64">
        <v>-500</v>
      </c>
      <c r="BR171" s="242"/>
      <c r="BS171" s="242"/>
      <c r="BT171" s="242"/>
      <c r="BU171" s="242"/>
      <c r="BV171" s="242"/>
      <c r="BW171" s="242"/>
      <c r="BX171" s="242"/>
      <c r="BY171" s="242"/>
      <c r="BZ171" s="242"/>
      <c r="CA171" s="242"/>
      <c r="CB171" s="242"/>
      <c r="CC171" s="242"/>
      <c r="CD171" s="242"/>
      <c r="CE171" s="242"/>
      <c r="CF171" s="242"/>
    </row>
    <row r="172" spans="1:84">
      <c r="A172" s="242"/>
      <c r="B172" s="242"/>
      <c r="C172" s="100" t="s">
        <v>345</v>
      </c>
      <c r="D172" s="109"/>
      <c r="E172" s="161"/>
      <c r="F172" s="160"/>
      <c r="G172" s="160"/>
      <c r="H172" s="144"/>
      <c r="I172" s="245"/>
      <c r="J172" s="161"/>
      <c r="K172" s="160"/>
      <c r="L172" s="160"/>
      <c r="M172" s="144"/>
      <c r="N172" s="245"/>
      <c r="O172" s="161"/>
      <c r="P172" s="160"/>
      <c r="Q172" s="160"/>
      <c r="R172" s="144"/>
      <c r="S172" s="245"/>
      <c r="T172" s="161"/>
      <c r="U172" s="160"/>
      <c r="V172" s="160"/>
      <c r="W172" s="144"/>
      <c r="X172" s="498">
        <v>0</v>
      </c>
      <c r="Y172" s="1202">
        <f>AC172/4</f>
        <v>0</v>
      </c>
      <c r="Z172" s="1204">
        <f>AC172/4</f>
        <v>0</v>
      </c>
      <c r="AA172" s="1204">
        <f>AC172/4</f>
        <v>0</v>
      </c>
      <c r="AB172" s="1205">
        <f>AC172/4</f>
        <v>0</v>
      </c>
      <c r="AC172" s="64">
        <v>0</v>
      </c>
      <c r="AD172" s="1202">
        <f>AH172/4</f>
        <v>0</v>
      </c>
      <c r="AE172" s="1204">
        <f>AH172/4</f>
        <v>0</v>
      </c>
      <c r="AF172" s="1204">
        <f>AH172/4</f>
        <v>0</v>
      </c>
      <c r="AG172" s="1205">
        <f>AH172/4</f>
        <v>0</v>
      </c>
      <c r="AH172" s="64">
        <v>0</v>
      </c>
      <c r="AI172" s="1202">
        <f>AM172/4</f>
        <v>0</v>
      </c>
      <c r="AJ172" s="1204">
        <f>AM172/4</f>
        <v>0</v>
      </c>
      <c r="AK172" s="1204">
        <f>AM172/4</f>
        <v>0</v>
      </c>
      <c r="AL172" s="1205">
        <f>AM172/4</f>
        <v>0</v>
      </c>
      <c r="AM172" s="64">
        <v>0</v>
      </c>
      <c r="AN172" s="1202">
        <f>AR172/4</f>
        <v>0</v>
      </c>
      <c r="AO172" s="1204">
        <f>AR172/4</f>
        <v>0</v>
      </c>
      <c r="AP172" s="1204">
        <f>AR172/4</f>
        <v>0</v>
      </c>
      <c r="AQ172" s="1205">
        <f>AR172/4</f>
        <v>0</v>
      </c>
      <c r="AR172" s="64">
        <v>0</v>
      </c>
      <c r="AS172" s="1202">
        <f>AW172/4</f>
        <v>0</v>
      </c>
      <c r="AT172" s="1204">
        <f>AW172/4</f>
        <v>0</v>
      </c>
      <c r="AU172" s="1204">
        <f>AW172/4</f>
        <v>0</v>
      </c>
      <c r="AV172" s="1205">
        <f>AW172/4</f>
        <v>0</v>
      </c>
      <c r="AW172" s="64">
        <v>0</v>
      </c>
      <c r="AX172" s="1202">
        <f>BB172/4</f>
        <v>0</v>
      </c>
      <c r="AY172" s="1204">
        <f>BB172/4</f>
        <v>0</v>
      </c>
      <c r="AZ172" s="1204">
        <f>BB172/4</f>
        <v>0</v>
      </c>
      <c r="BA172" s="1205">
        <f>BB172/4</f>
        <v>0</v>
      </c>
      <c r="BB172" s="64">
        <v>0</v>
      </c>
      <c r="BC172" s="1202">
        <f>BG172/4</f>
        <v>0</v>
      </c>
      <c r="BD172" s="1204">
        <f>BG172/4</f>
        <v>0</v>
      </c>
      <c r="BE172" s="1204">
        <f>BG172/4</f>
        <v>0</v>
      </c>
      <c r="BF172" s="1205">
        <f>BG172/4</f>
        <v>0</v>
      </c>
      <c r="BG172" s="64">
        <v>0</v>
      </c>
      <c r="BH172" s="1202">
        <f>BL172/4</f>
        <v>0</v>
      </c>
      <c r="BI172" s="1204">
        <f>BL172/4</f>
        <v>0</v>
      </c>
      <c r="BJ172" s="1204">
        <f>BL172/4</f>
        <v>0</v>
      </c>
      <c r="BK172" s="1205">
        <f>BL172/4</f>
        <v>0</v>
      </c>
      <c r="BL172" s="64">
        <v>0</v>
      </c>
      <c r="BM172" s="1202">
        <f>BQ172/4</f>
        <v>0</v>
      </c>
      <c r="BN172" s="1204">
        <f>BQ172/4</f>
        <v>0</v>
      </c>
      <c r="BO172" s="1204">
        <f>BQ172/4</f>
        <v>0</v>
      </c>
      <c r="BP172" s="1205">
        <f>BQ172/4</f>
        <v>0</v>
      </c>
      <c r="BQ172" s="64">
        <v>0</v>
      </c>
      <c r="BR172" s="242"/>
      <c r="BS172" s="242"/>
      <c r="BT172" s="242"/>
      <c r="BU172" s="242"/>
      <c r="BV172" s="242"/>
      <c r="BW172" s="242"/>
      <c r="BX172" s="242"/>
      <c r="BY172" s="242"/>
      <c r="BZ172" s="242"/>
      <c r="CA172" s="242"/>
      <c r="CB172" s="242"/>
      <c r="CC172" s="242"/>
      <c r="CD172" s="242"/>
      <c r="CE172" s="242"/>
      <c r="CF172" s="242"/>
    </row>
    <row r="173" spans="1:84">
      <c r="A173" s="242"/>
      <c r="B173" s="242"/>
      <c r="C173" s="100" t="s">
        <v>924</v>
      </c>
      <c r="D173" s="109"/>
      <c r="E173" s="161"/>
      <c r="F173" s="160"/>
      <c r="G173" s="160"/>
      <c r="H173" s="144"/>
      <c r="I173" s="245"/>
      <c r="J173" s="161"/>
      <c r="K173" s="160"/>
      <c r="L173" s="160"/>
      <c r="M173" s="144"/>
      <c r="N173" s="245"/>
      <c r="O173" s="161"/>
      <c r="P173" s="160"/>
      <c r="Q173" s="160"/>
      <c r="R173" s="144"/>
      <c r="S173" s="245"/>
      <c r="T173" s="161"/>
      <c r="U173" s="160"/>
      <c r="V173" s="160"/>
      <c r="W173" s="144"/>
      <c r="X173" s="498">
        <v>0</v>
      </c>
      <c r="Y173" s="1202">
        <f>AC173/4</f>
        <v>0</v>
      </c>
      <c r="Z173" s="1204">
        <f>AC173/4</f>
        <v>0</v>
      </c>
      <c r="AA173" s="1204">
        <f>AC173/4</f>
        <v>0</v>
      </c>
      <c r="AB173" s="1205">
        <f>AC173/4</f>
        <v>0</v>
      </c>
      <c r="AC173" s="64">
        <v>0</v>
      </c>
      <c r="AD173" s="1202">
        <f>AH173/4</f>
        <v>0</v>
      </c>
      <c r="AE173" s="1204">
        <f>AH173/4</f>
        <v>0</v>
      </c>
      <c r="AF173" s="1204">
        <f>AH173/4</f>
        <v>0</v>
      </c>
      <c r="AG173" s="1205">
        <f>AH173/4</f>
        <v>0</v>
      </c>
      <c r="AH173" s="64">
        <v>0</v>
      </c>
      <c r="AI173" s="1202">
        <f>AM173/4</f>
        <v>0</v>
      </c>
      <c r="AJ173" s="1204">
        <f>AM173/4</f>
        <v>0</v>
      </c>
      <c r="AK173" s="1204">
        <f>AM173/4</f>
        <v>0</v>
      </c>
      <c r="AL173" s="1205">
        <f>AM173/4</f>
        <v>0</v>
      </c>
      <c r="AM173" s="64">
        <v>0</v>
      </c>
      <c r="AN173" s="1202">
        <f>AR173/4</f>
        <v>0</v>
      </c>
      <c r="AO173" s="1204">
        <f>AR173/4</f>
        <v>0</v>
      </c>
      <c r="AP173" s="1204">
        <f>AR173/4</f>
        <v>0</v>
      </c>
      <c r="AQ173" s="1205">
        <f>AR173/4</f>
        <v>0</v>
      </c>
      <c r="AR173" s="64">
        <v>0</v>
      </c>
      <c r="AS173" s="1202">
        <f>AW173/4</f>
        <v>0</v>
      </c>
      <c r="AT173" s="1204">
        <f>AW173/4</f>
        <v>0</v>
      </c>
      <c r="AU173" s="1204">
        <f>AW173/4</f>
        <v>0</v>
      </c>
      <c r="AV173" s="1205">
        <f>AW173/4</f>
        <v>0</v>
      </c>
      <c r="AW173" s="64">
        <v>0</v>
      </c>
      <c r="AX173" s="1202">
        <f>BB173/4</f>
        <v>0</v>
      </c>
      <c r="AY173" s="1204">
        <f>BB173/4</f>
        <v>0</v>
      </c>
      <c r="AZ173" s="1204">
        <f>BB173/4</f>
        <v>0</v>
      </c>
      <c r="BA173" s="1205">
        <f>BB173/4</f>
        <v>0</v>
      </c>
      <c r="BB173" s="64">
        <v>0</v>
      </c>
      <c r="BC173" s="1202">
        <f>BG173/4</f>
        <v>0</v>
      </c>
      <c r="BD173" s="1204">
        <f>BG173/4</f>
        <v>0</v>
      </c>
      <c r="BE173" s="1204">
        <f>BG173/4</f>
        <v>0</v>
      </c>
      <c r="BF173" s="1205">
        <f>BG173/4</f>
        <v>0</v>
      </c>
      <c r="BG173" s="64">
        <v>0</v>
      </c>
      <c r="BH173" s="1202">
        <f>BL173/4</f>
        <v>0</v>
      </c>
      <c r="BI173" s="1204">
        <f>BL173/4</f>
        <v>0</v>
      </c>
      <c r="BJ173" s="1204">
        <f>BL173/4</f>
        <v>0</v>
      </c>
      <c r="BK173" s="1205">
        <f>BL173/4</f>
        <v>0</v>
      </c>
      <c r="BL173" s="64">
        <v>0</v>
      </c>
      <c r="BM173" s="1202">
        <f>BQ173/4</f>
        <v>0</v>
      </c>
      <c r="BN173" s="1204">
        <f>BQ173/4</f>
        <v>0</v>
      </c>
      <c r="BO173" s="1204">
        <f>BQ173/4</f>
        <v>0</v>
      </c>
      <c r="BP173" s="1205">
        <f>BQ173/4</f>
        <v>0</v>
      </c>
      <c r="BQ173" s="64">
        <v>0</v>
      </c>
      <c r="BR173" s="242"/>
      <c r="BS173" s="242"/>
      <c r="BT173" s="242"/>
      <c r="BU173" s="242"/>
      <c r="BV173" s="242"/>
      <c r="BW173" s="242"/>
      <c r="BX173" s="242"/>
      <c r="BY173" s="242"/>
      <c r="BZ173" s="242"/>
      <c r="CA173" s="242"/>
      <c r="CB173" s="242"/>
      <c r="CC173" s="242"/>
      <c r="CD173" s="242"/>
      <c r="CE173" s="242"/>
      <c r="CF173" s="242"/>
    </row>
    <row r="174" spans="1:84">
      <c r="A174" s="242"/>
      <c r="B174" s="242"/>
      <c r="C174" s="164" t="s">
        <v>96</v>
      </c>
      <c r="D174" s="109"/>
      <c r="E174" s="149"/>
      <c r="F174" s="150"/>
      <c r="G174" s="150"/>
      <c r="H174" s="151"/>
      <c r="I174" s="154"/>
      <c r="J174" s="149"/>
      <c r="K174" s="150"/>
      <c r="L174" s="150"/>
      <c r="M174" s="151"/>
      <c r="N174" s="154"/>
      <c r="O174" s="149"/>
      <c r="P174" s="150"/>
      <c r="Q174" s="150"/>
      <c r="R174" s="151"/>
      <c r="S174" s="154"/>
      <c r="T174" s="149"/>
      <c r="U174" s="150"/>
      <c r="V174" s="150"/>
      <c r="W174" s="151"/>
      <c r="X174" s="112">
        <f t="shared" ref="X174:AC174" si="242">SUM(X167:X173)</f>
        <v>0</v>
      </c>
      <c r="Y174" s="149">
        <f t="shared" si="242"/>
        <v>0</v>
      </c>
      <c r="Z174" s="150">
        <f t="shared" si="242"/>
        <v>0</v>
      </c>
      <c r="AA174" s="150">
        <f t="shared" si="242"/>
        <v>0</v>
      </c>
      <c r="AB174" s="151">
        <f t="shared" si="242"/>
        <v>0</v>
      </c>
      <c r="AC174" s="112">
        <f t="shared" si="242"/>
        <v>0</v>
      </c>
      <c r="AD174" s="149">
        <f>SUM(AD167:AD173)</f>
        <v>0</v>
      </c>
      <c r="AE174" s="150">
        <f>SUM(AE167:AE173)</f>
        <v>0</v>
      </c>
      <c r="AF174" s="150">
        <f>SUM(AF167:AF173)</f>
        <v>0</v>
      </c>
      <c r="AG174" s="151">
        <f>SUM(AG167:AG173)</f>
        <v>0</v>
      </c>
      <c r="AH174" s="112">
        <f>SUM(AH167:AH173)</f>
        <v>0</v>
      </c>
      <c r="AI174" s="149">
        <f t="shared" ref="AI174:AN174" si="243">SUM(AI167:AI173)</f>
        <v>0</v>
      </c>
      <c r="AJ174" s="150">
        <f t="shared" si="243"/>
        <v>0</v>
      </c>
      <c r="AK174" s="150">
        <f t="shared" si="243"/>
        <v>0</v>
      </c>
      <c r="AL174" s="151">
        <f t="shared" si="243"/>
        <v>0</v>
      </c>
      <c r="AM174" s="112">
        <f t="shared" si="243"/>
        <v>0</v>
      </c>
      <c r="AN174" s="149">
        <f t="shared" si="243"/>
        <v>0</v>
      </c>
      <c r="AO174" s="150">
        <f t="shared" ref="AO174:BB174" si="244">SUM(AO167:AO173)</f>
        <v>-60</v>
      </c>
      <c r="AP174" s="150">
        <f t="shared" si="244"/>
        <v>0</v>
      </c>
      <c r="AQ174" s="151">
        <f t="shared" si="244"/>
        <v>0</v>
      </c>
      <c r="AR174" s="112">
        <f t="shared" si="244"/>
        <v>-60</v>
      </c>
      <c r="AS174" s="149">
        <f t="shared" si="244"/>
        <v>-22.4</v>
      </c>
      <c r="AT174" s="150">
        <f t="shared" ref="AT174:AW174" si="245">SUM(AT167:AT173)</f>
        <v>0</v>
      </c>
      <c r="AU174" s="150">
        <f t="shared" si="245"/>
        <v>683.72740699999997</v>
      </c>
      <c r="AV174" s="151">
        <f t="shared" si="245"/>
        <v>-15.483527000000009</v>
      </c>
      <c r="AW174" s="112">
        <f t="shared" si="245"/>
        <v>645.84388000000001</v>
      </c>
      <c r="AX174" s="149">
        <f t="shared" si="244"/>
        <v>-107.462039</v>
      </c>
      <c r="AY174" s="150">
        <f t="shared" si="244"/>
        <v>-417.5</v>
      </c>
      <c r="AZ174" s="150">
        <f t="shared" si="244"/>
        <v>-37.5</v>
      </c>
      <c r="BA174" s="151">
        <f t="shared" si="244"/>
        <v>787.5</v>
      </c>
      <c r="BB174" s="112">
        <f t="shared" si="244"/>
        <v>225.037961</v>
      </c>
      <c r="BC174" s="149">
        <f t="shared" ref="BC174:BL174" si="246">SUM(BC167:BC173)</f>
        <v>-50</v>
      </c>
      <c r="BD174" s="150">
        <f t="shared" si="246"/>
        <v>-100</v>
      </c>
      <c r="BE174" s="150">
        <f t="shared" si="246"/>
        <v>555.12168900000006</v>
      </c>
      <c r="BF174" s="151">
        <f t="shared" si="246"/>
        <v>-50</v>
      </c>
      <c r="BG174" s="112">
        <f t="shared" si="246"/>
        <v>355.12168900000006</v>
      </c>
      <c r="BH174" s="149">
        <f t="shared" si="246"/>
        <v>-100</v>
      </c>
      <c r="BI174" s="150">
        <f t="shared" si="246"/>
        <v>-304.46924300000001</v>
      </c>
      <c r="BJ174" s="150">
        <f t="shared" si="246"/>
        <v>305.3</v>
      </c>
      <c r="BK174" s="151">
        <f t="shared" si="246"/>
        <v>-100</v>
      </c>
      <c r="BL174" s="112">
        <f t="shared" si="246"/>
        <v>-199.16924300000005</v>
      </c>
      <c r="BM174" s="149">
        <f>SUM(BM167:BM173)</f>
        <v>-125</v>
      </c>
      <c r="BN174" s="150">
        <f>SUM(BN167:BN173)</f>
        <v>-125</v>
      </c>
      <c r="BO174" s="150">
        <f>SUM(BO167:BO173)</f>
        <v>675</v>
      </c>
      <c r="BP174" s="151">
        <f>SUM(BP167:BP173)</f>
        <v>-625</v>
      </c>
      <c r="BQ174" s="112">
        <f>SUM(BQ167:BQ173)</f>
        <v>-200</v>
      </c>
      <c r="BR174" s="242"/>
      <c r="BS174" s="242"/>
      <c r="BT174" s="242"/>
      <c r="BU174" s="242"/>
      <c r="BV174" s="242"/>
      <c r="BW174" s="242"/>
      <c r="BX174" s="242"/>
      <c r="BY174" s="242"/>
      <c r="BZ174" s="242"/>
      <c r="CA174" s="242"/>
      <c r="CB174" s="242"/>
      <c r="CC174" s="242"/>
      <c r="CD174" s="242"/>
      <c r="CE174" s="242"/>
      <c r="CF174" s="242"/>
    </row>
    <row r="175" spans="1:84">
      <c r="A175" s="242"/>
      <c r="B175" s="242"/>
      <c r="C175" s="100"/>
      <c r="D175" s="109"/>
      <c r="E175" s="161"/>
      <c r="F175" s="162"/>
      <c r="G175" s="162"/>
      <c r="H175" s="144"/>
      <c r="I175" s="245"/>
      <c r="J175" s="161"/>
      <c r="K175" s="162"/>
      <c r="L175" s="162"/>
      <c r="M175" s="144"/>
      <c r="N175" s="245"/>
      <c r="O175" s="161"/>
      <c r="P175" s="162"/>
      <c r="Q175" s="162"/>
      <c r="R175" s="144"/>
      <c r="S175" s="245"/>
      <c r="T175" s="161"/>
      <c r="U175" s="162"/>
      <c r="V175" s="162"/>
      <c r="W175" s="144"/>
      <c r="X175" s="498"/>
      <c r="Y175" s="1236"/>
      <c r="Z175" s="1237"/>
      <c r="AA175" s="1237"/>
      <c r="AB175" s="1221"/>
      <c r="AC175" s="498"/>
      <c r="AD175" s="1236"/>
      <c r="AE175" s="1237"/>
      <c r="AF175" s="1237"/>
      <c r="AG175" s="1221"/>
      <c r="AH175" s="498"/>
      <c r="AI175" s="1236"/>
      <c r="AJ175" s="1237"/>
      <c r="AK175" s="1237"/>
      <c r="AL175" s="1221"/>
      <c r="AM175" s="498"/>
      <c r="AN175" s="1236"/>
      <c r="AO175" s="1237"/>
      <c r="AP175" s="1237"/>
      <c r="AQ175" s="1221"/>
      <c r="AR175" s="498"/>
      <c r="AS175" s="1236"/>
      <c r="AT175" s="1237"/>
      <c r="AU175" s="1237"/>
      <c r="AV175" s="1221"/>
      <c r="AW175" s="498"/>
      <c r="AX175" s="1236"/>
      <c r="AY175" s="1237"/>
      <c r="AZ175" s="1237"/>
      <c r="BA175" s="1221"/>
      <c r="BB175" s="498"/>
      <c r="BC175" s="1236"/>
      <c r="BD175" s="1237"/>
      <c r="BE175" s="1237"/>
      <c r="BF175" s="1221"/>
      <c r="BG175" s="498"/>
      <c r="BH175" s="1236"/>
      <c r="BI175" s="1237"/>
      <c r="BJ175" s="1237"/>
      <c r="BK175" s="1221"/>
      <c r="BL175" s="498"/>
      <c r="BM175" s="1236"/>
      <c r="BN175" s="1237"/>
      <c r="BO175" s="1237"/>
      <c r="BP175" s="1221"/>
      <c r="BQ175" s="498"/>
      <c r="BR175" s="242"/>
      <c r="BS175" s="242"/>
      <c r="BT175" s="242"/>
      <c r="BU175" s="242"/>
      <c r="BV175" s="242"/>
      <c r="BW175" s="242"/>
      <c r="BX175" s="242"/>
      <c r="BY175" s="242"/>
      <c r="BZ175" s="242"/>
      <c r="CA175" s="242"/>
      <c r="CB175" s="242"/>
      <c r="CC175" s="242"/>
      <c r="CD175" s="242"/>
      <c r="CE175" s="242"/>
      <c r="CF175" s="242"/>
    </row>
    <row r="176" spans="1:84" ht="12.75" customHeight="1">
      <c r="A176" s="242"/>
      <c r="B176" s="242"/>
      <c r="C176" s="164" t="s">
        <v>97</v>
      </c>
      <c r="D176" s="109"/>
      <c r="E176" s="149"/>
      <c r="F176" s="150"/>
      <c r="G176" s="150"/>
      <c r="H176" s="151"/>
      <c r="I176" s="154"/>
      <c r="J176" s="149"/>
      <c r="K176" s="150"/>
      <c r="L176" s="150"/>
      <c r="M176" s="151"/>
      <c r="N176" s="154"/>
      <c r="O176" s="149"/>
      <c r="P176" s="150"/>
      <c r="Q176" s="150"/>
      <c r="R176" s="151"/>
      <c r="S176" s="154"/>
      <c r="T176" s="149"/>
      <c r="U176" s="150"/>
      <c r="V176" s="150"/>
      <c r="W176" s="151"/>
      <c r="X176" s="112">
        <f t="shared" ref="X176:AC176" si="247">+X161+X165+X174</f>
        <v>280</v>
      </c>
      <c r="Y176" s="149">
        <f t="shared" si="247"/>
        <v>0.25</v>
      </c>
      <c r="Z176" s="150">
        <f t="shared" si="247"/>
        <v>8.25</v>
      </c>
      <c r="AA176" s="150">
        <f t="shared" si="247"/>
        <v>64.25</v>
      </c>
      <c r="AB176" s="151">
        <f t="shared" si="247"/>
        <v>-2.75</v>
      </c>
      <c r="AC176" s="112">
        <f t="shared" si="247"/>
        <v>70</v>
      </c>
      <c r="AD176" s="149">
        <f>+AD161+AD165+AD174</f>
        <v>-4.5</v>
      </c>
      <c r="AE176" s="150">
        <f>+AE161+AE165+AE174</f>
        <v>-15.5</v>
      </c>
      <c r="AF176" s="150">
        <f>+AF161+AF165+AF174</f>
        <v>11.5</v>
      </c>
      <c r="AG176" s="151">
        <f>+AG161+AG165+AG174</f>
        <v>-31.19999999999925</v>
      </c>
      <c r="AH176" s="112">
        <f>+AH161+AH165+AH174</f>
        <v>-39.699999999999363</v>
      </c>
      <c r="AI176" s="149">
        <f t="shared" ref="AI176:AN176" si="248">+AI161+AI165+AI174</f>
        <v>-1.0749999999999886</v>
      </c>
      <c r="AJ176" s="150">
        <f t="shared" si="248"/>
        <v>-18.074999999999989</v>
      </c>
      <c r="AK176" s="150">
        <f t="shared" si="248"/>
        <v>45.925000000000011</v>
      </c>
      <c r="AL176" s="151">
        <f t="shared" si="248"/>
        <v>-51.774999999999977</v>
      </c>
      <c r="AM176" s="112">
        <f t="shared" si="248"/>
        <v>-24.999999999999773</v>
      </c>
      <c r="AN176" s="149">
        <f t="shared" si="248"/>
        <v>-4.5750000000000455</v>
      </c>
      <c r="AO176" s="150">
        <f t="shared" ref="AO176:BB176" si="249">+AO161+AO165+AO174</f>
        <v>-36.775000000000091</v>
      </c>
      <c r="AP176" s="150">
        <f t="shared" si="249"/>
        <v>70.125</v>
      </c>
      <c r="AQ176" s="151">
        <f t="shared" si="249"/>
        <v>-30.175000000000296</v>
      </c>
      <c r="AR176" s="112">
        <f t="shared" si="249"/>
        <v>-1.4000000000003183</v>
      </c>
      <c r="AS176" s="149">
        <f t="shared" si="249"/>
        <v>-140.89999999999989</v>
      </c>
      <c r="AT176" s="150">
        <f t="shared" ref="AT176:AW176" si="250">+AT161+AT165+AT174</f>
        <v>-115.69999999999999</v>
      </c>
      <c r="AU176" s="150">
        <f t="shared" si="250"/>
        <v>619.52740699999993</v>
      </c>
      <c r="AV176" s="151">
        <f t="shared" si="250"/>
        <v>15.216472999999581</v>
      </c>
      <c r="AW176" s="112">
        <f t="shared" si="250"/>
        <v>378.14387999999951</v>
      </c>
      <c r="AX176" s="149">
        <f t="shared" si="249"/>
        <v>-247.77882071009083</v>
      </c>
      <c r="AY176" s="150">
        <f t="shared" si="249"/>
        <v>-560.86170843390676</v>
      </c>
      <c r="AZ176" s="150">
        <f t="shared" si="249"/>
        <v>-124.77218507467666</v>
      </c>
      <c r="BA176" s="151">
        <f t="shared" si="249"/>
        <v>639.88141228679228</v>
      </c>
      <c r="BB176" s="112">
        <f t="shared" si="249"/>
        <v>-293.53130193188213</v>
      </c>
      <c r="BC176" s="149">
        <f t="shared" ref="BC176:BL176" si="251">+BC161+BC165+BC174</f>
        <v>-119.98254724103043</v>
      </c>
      <c r="BD176" s="150">
        <f t="shared" si="251"/>
        <v>-172.3494088978527</v>
      </c>
      <c r="BE176" s="150">
        <f t="shared" si="251"/>
        <v>534.87434781174886</v>
      </c>
      <c r="BF176" s="151">
        <f t="shared" si="251"/>
        <v>-128.60421510161558</v>
      </c>
      <c r="BG176" s="112">
        <f t="shared" si="251"/>
        <v>113.9381765712501</v>
      </c>
      <c r="BH176" s="149">
        <f t="shared" si="251"/>
        <v>-85.738439518539792</v>
      </c>
      <c r="BI176" s="150">
        <f t="shared" si="251"/>
        <v>-291.44092712115105</v>
      </c>
      <c r="BJ176" s="150">
        <f t="shared" si="251"/>
        <v>376.24580090135055</v>
      </c>
      <c r="BK176" s="151">
        <f t="shared" si="251"/>
        <v>-92.259575285966378</v>
      </c>
      <c r="BL176" s="112">
        <f t="shared" si="251"/>
        <v>-93.193141024306897</v>
      </c>
      <c r="BM176" s="149">
        <f>+BM161+BM165+BM174</f>
        <v>-88.436810272483797</v>
      </c>
      <c r="BN176" s="150">
        <f>+BN161+BN165+BN174</f>
        <v>-89.346276180108077</v>
      </c>
      <c r="BO176" s="150">
        <f>+BO161+BO165+BO174</f>
        <v>765.85029317025419</v>
      </c>
      <c r="BP176" s="151">
        <f>+BP161+BP165+BP174</f>
        <v>-594.23826944925872</v>
      </c>
      <c r="BQ176" s="112">
        <f>+BQ161+BQ165+BQ174</f>
        <v>-6.1710627315962938</v>
      </c>
      <c r="BR176" s="242"/>
      <c r="BS176" s="242"/>
      <c r="BT176" s="242"/>
      <c r="BU176" s="242"/>
      <c r="BV176" s="242"/>
      <c r="BW176" s="242"/>
      <c r="BX176" s="242"/>
      <c r="BY176" s="242"/>
      <c r="BZ176" s="242"/>
      <c r="CA176" s="242"/>
      <c r="CB176" s="242"/>
      <c r="CC176" s="242"/>
      <c r="CD176" s="242"/>
      <c r="CE176" s="242"/>
      <c r="CF176" s="242"/>
    </row>
    <row r="177" spans="1:99" ht="12.75" customHeight="1">
      <c r="A177" s="242"/>
      <c r="B177" s="242"/>
      <c r="C177" s="100" t="s">
        <v>98</v>
      </c>
      <c r="D177" s="109"/>
      <c r="E177" s="244"/>
      <c r="F177" s="160"/>
      <c r="G177" s="160"/>
      <c r="H177" s="144"/>
      <c r="I177" s="245"/>
      <c r="J177" s="161"/>
      <c r="K177" s="160"/>
      <c r="L177" s="160"/>
      <c r="M177" s="144"/>
      <c r="N177" s="109"/>
      <c r="O177" s="161"/>
      <c r="P177" s="160"/>
      <c r="Q177" s="160"/>
      <c r="R177" s="144"/>
      <c r="S177" s="109"/>
      <c r="T177" s="161"/>
      <c r="U177" s="160"/>
      <c r="V177" s="160"/>
      <c r="W177" s="144"/>
      <c r="X177" s="498"/>
      <c r="Y177" s="1236">
        <f>X179</f>
        <v>218.95799999999997</v>
      </c>
      <c r="Z177" s="1238">
        <f>Y179</f>
        <v>141.25199999999998</v>
      </c>
      <c r="AA177" s="1238">
        <f>Z179</f>
        <v>177.21699999999998</v>
      </c>
      <c r="AB177" s="1221">
        <f>AA179</f>
        <v>157.66300000000001</v>
      </c>
      <c r="AC177" s="498">
        <f>X179</f>
        <v>218.95799999999997</v>
      </c>
      <c r="AD177" s="1236">
        <f>AC179</f>
        <v>200.017</v>
      </c>
      <c r="AE177" s="1238">
        <f>AD179</f>
        <v>134.13400000000001</v>
      </c>
      <c r="AF177" s="1238">
        <f>AE179</f>
        <v>180.46299999999999</v>
      </c>
      <c r="AG177" s="1221">
        <f>AF179</f>
        <v>162.73099999999999</v>
      </c>
      <c r="AH177" s="498">
        <f>AC179</f>
        <v>200.017</v>
      </c>
      <c r="AI177" s="1236">
        <f>AH179</f>
        <v>208.65199999999999</v>
      </c>
      <c r="AJ177" s="1238">
        <f>AI179</f>
        <v>138.24</v>
      </c>
      <c r="AK177" s="1238">
        <f>AJ179</f>
        <v>181.042</v>
      </c>
      <c r="AL177" s="1221">
        <f>AK179</f>
        <v>156.45899999999997</v>
      </c>
      <c r="AM177" s="498">
        <f>AH179</f>
        <v>208.65199999999999</v>
      </c>
      <c r="AN177" s="1236">
        <f>AM179</f>
        <v>206.59299999999999</v>
      </c>
      <c r="AO177" s="1238">
        <f>AN179</f>
        <v>103.09899999999999</v>
      </c>
      <c r="AP177" s="1238">
        <f>AO179</f>
        <v>123.55499999999999</v>
      </c>
      <c r="AQ177" s="1221">
        <f>AP179</f>
        <v>114.92899999999999</v>
      </c>
      <c r="AR177" s="498">
        <f>AM179</f>
        <v>206.59299999999999</v>
      </c>
      <c r="AS177" s="1236">
        <f>AR179</f>
        <v>150</v>
      </c>
      <c r="AT177" s="1238">
        <f>AS179</f>
        <v>103.5</v>
      </c>
      <c r="AU177" s="1238">
        <f>AT179</f>
        <v>131.39999999999998</v>
      </c>
      <c r="AV177" s="1221">
        <f>AU179</f>
        <v>126.19999999999999</v>
      </c>
      <c r="AW177" s="498">
        <f>AR179</f>
        <v>150</v>
      </c>
      <c r="AX177" s="1236">
        <f>AW179</f>
        <v>160.29999999999998</v>
      </c>
      <c r="AY177" s="1238">
        <f>AX179</f>
        <v>0</v>
      </c>
      <c r="AZ177" s="1238">
        <f>AY179</f>
        <v>0</v>
      </c>
      <c r="BA177" s="1221">
        <f>AZ179</f>
        <v>0</v>
      </c>
      <c r="BB177" s="498">
        <f>AW179</f>
        <v>160.29999999999998</v>
      </c>
      <c r="BC177" s="1236">
        <f>BB179</f>
        <v>0</v>
      </c>
      <c r="BD177" s="1238">
        <f>BC179</f>
        <v>0</v>
      </c>
      <c r="BE177" s="1238">
        <f>BD179</f>
        <v>0</v>
      </c>
      <c r="BF177" s="1221">
        <f>BE179</f>
        <v>21.511089740983834</v>
      </c>
      <c r="BG177" s="498">
        <f>BB179</f>
        <v>0</v>
      </c>
      <c r="BH177" s="1236">
        <f>BG179</f>
        <v>0</v>
      </c>
      <c r="BI177" s="1238">
        <f>BH179</f>
        <v>0</v>
      </c>
      <c r="BJ177" s="1238">
        <f>BI179</f>
        <v>0</v>
      </c>
      <c r="BK177" s="1221">
        <f>BJ179</f>
        <v>0</v>
      </c>
      <c r="BL177" s="498">
        <f>BG179</f>
        <v>0</v>
      </c>
      <c r="BM177" s="1236">
        <f>BL179</f>
        <v>-2.2737367544323206E-13</v>
      </c>
      <c r="BN177" s="1238">
        <f>BM179</f>
        <v>0</v>
      </c>
      <c r="BO177" s="1238">
        <f>BN179</f>
        <v>0</v>
      </c>
      <c r="BP177" s="1221">
        <f>BO179</f>
        <v>387.78094033272367</v>
      </c>
      <c r="BQ177" s="498">
        <f>BL179</f>
        <v>-2.2737367544323206E-13</v>
      </c>
      <c r="BR177" s="242"/>
      <c r="BS177" s="242"/>
      <c r="BT177" s="242"/>
      <c r="BU177" s="242"/>
      <c r="BV177" s="242"/>
      <c r="BW177" s="242"/>
      <c r="BX177" s="242"/>
      <c r="BY177" s="242"/>
      <c r="BZ177" s="242"/>
      <c r="CA177" s="242"/>
      <c r="CB177" s="242"/>
      <c r="CC177" s="242"/>
      <c r="CD177" s="242"/>
      <c r="CE177" s="242"/>
      <c r="CF177" s="242"/>
    </row>
    <row r="178" spans="1:99">
      <c r="A178" s="242"/>
      <c r="B178" s="242"/>
      <c r="C178" s="100" t="s">
        <v>89</v>
      </c>
      <c r="D178" s="109"/>
      <c r="E178" s="142"/>
      <c r="F178" s="159"/>
      <c r="G178" s="159"/>
      <c r="H178" s="158"/>
      <c r="I178" s="245"/>
      <c r="J178" s="142"/>
      <c r="K178" s="159"/>
      <c r="L178" s="159"/>
      <c r="M178" s="158"/>
      <c r="N178" s="245"/>
      <c r="O178" s="142"/>
      <c r="P178" s="143"/>
      <c r="Q178" s="143"/>
      <c r="R178" s="158"/>
      <c r="S178" s="245"/>
      <c r="T178" s="142"/>
      <c r="U178" s="143"/>
      <c r="V178" s="143"/>
      <c r="W178" s="158"/>
      <c r="X178" s="498">
        <f>X179-X177-X176</f>
        <v>-61.04200000000003</v>
      </c>
      <c r="Y178" s="1236">
        <f t="shared" ref="Y178:AF178" si="252">Y179-Y177-Y176</f>
        <v>-77.955999999999989</v>
      </c>
      <c r="Z178" s="1238">
        <f t="shared" si="252"/>
        <v>27.715000000000003</v>
      </c>
      <c r="AA178" s="1238">
        <f t="shared" si="252"/>
        <v>-83.803999999999974</v>
      </c>
      <c r="AB178" s="1221">
        <f t="shared" si="252"/>
        <v>45.103999999999985</v>
      </c>
      <c r="AC178" s="498">
        <f t="shared" si="252"/>
        <v>-88.940999999999974</v>
      </c>
      <c r="AD178" s="1236">
        <f t="shared" si="252"/>
        <v>-61.382999999999981</v>
      </c>
      <c r="AE178" s="1238">
        <f t="shared" si="252"/>
        <v>61.828999999999979</v>
      </c>
      <c r="AF178" s="1238">
        <f t="shared" si="252"/>
        <v>-29.231999999999999</v>
      </c>
      <c r="AG178" s="1221">
        <f t="shared" ref="AG178:AM178" si="253">AG179-AG177-AG176</f>
        <v>77.120999999999242</v>
      </c>
      <c r="AH178" s="498">
        <f t="shared" si="253"/>
        <v>48.334999999999354</v>
      </c>
      <c r="AI178" s="1236">
        <f t="shared" si="253"/>
        <v>-69.336999999999989</v>
      </c>
      <c r="AJ178" s="1238">
        <f t="shared" si="253"/>
        <v>60.876999999999981</v>
      </c>
      <c r="AK178" s="1238">
        <f t="shared" si="253"/>
        <v>-70.508000000000038</v>
      </c>
      <c r="AL178" s="1221">
        <f t="shared" si="253"/>
        <v>101.90899999999999</v>
      </c>
      <c r="AM178" s="498">
        <f t="shared" si="253"/>
        <v>22.940999999999775</v>
      </c>
      <c r="AN178" s="1236">
        <f t="shared" ref="AN178:AR178" si="254">AN179-AN177-AN176</f>
        <v>-98.918999999999954</v>
      </c>
      <c r="AO178" s="1238">
        <f t="shared" si="254"/>
        <v>57.231000000000094</v>
      </c>
      <c r="AP178" s="1238">
        <f t="shared" si="254"/>
        <v>-78.751000000000005</v>
      </c>
      <c r="AQ178" s="1221">
        <f t="shared" si="254"/>
        <v>65.246000000000308</v>
      </c>
      <c r="AR178" s="498">
        <f t="shared" si="254"/>
        <v>-55.192999999999671</v>
      </c>
      <c r="AS178" s="1236">
        <f t="shared" ref="AS178:AW178" si="255">AS179-AS177-AS176</f>
        <v>94.399999999999892</v>
      </c>
      <c r="AT178" s="1238">
        <f t="shared" si="255"/>
        <v>143.59999999999997</v>
      </c>
      <c r="AU178" s="1238">
        <f t="shared" si="255"/>
        <v>-624.72740699999986</v>
      </c>
      <c r="AV178" s="1221">
        <f t="shared" si="255"/>
        <v>18.883527000000413</v>
      </c>
      <c r="AW178" s="498">
        <f t="shared" si="255"/>
        <v>-367.84387999999956</v>
      </c>
      <c r="AX178" s="161">
        <f>IF((AX176+AX177)&gt;=AW185,-AW185,-(AX176+AX177))</f>
        <v>87.478820710090844</v>
      </c>
      <c r="AY178" s="160">
        <f>IF((AY176+AY177)&gt;=AX185,-AX185,-(AY176+AY177))</f>
        <v>560.86170843390676</v>
      </c>
      <c r="AZ178" s="160">
        <f>IF((AZ176+AZ177)&gt;=AY185,-AY185,-(AZ176+AZ177))</f>
        <v>124.77218507467666</v>
      </c>
      <c r="BA178" s="144">
        <f>IF((BA176+BA177)&gt;=AZ185,-AZ185,-(BA176+BA177))</f>
        <v>-639.88141228679228</v>
      </c>
      <c r="BB178" s="109">
        <f>SUM(AX178:BA178)</f>
        <v>133.23130193188194</v>
      </c>
      <c r="BC178" s="161">
        <f>IF((BC176+BC177)&gt;=BB185,-BB185,-(BC176+BC177))</f>
        <v>119.98254724103043</v>
      </c>
      <c r="BD178" s="160">
        <f>IF((BD176+BD177)&gt;=BC185,-BC185,-(BD176+BD177))</f>
        <v>172.3494088978527</v>
      </c>
      <c r="BE178" s="160">
        <f>IF((BE176+BE177)&gt;=BD185,-BD185,-(BE176+BE177))</f>
        <v>-513.36325807076503</v>
      </c>
      <c r="BF178" s="144">
        <f>IF((BF176+BF177)&gt;=BE185,-BE185,-(BF176+BF177))</f>
        <v>107.09312536063175</v>
      </c>
      <c r="BG178" s="109">
        <f>SUM(BC178:BF178)</f>
        <v>-113.93817657125015</v>
      </c>
      <c r="BH178" s="161">
        <f>IF((BH176+BH177)&gt;=BG185,-BG185,-(BH176+BH177))</f>
        <v>85.738439518539792</v>
      </c>
      <c r="BI178" s="160">
        <f>IF((BI176+BI177)&gt;=BH185,-BH185,-(BI176+BI177))</f>
        <v>291.44092712115105</v>
      </c>
      <c r="BJ178" s="160">
        <f>IF((BJ176+BJ177)&gt;=BI185,-BI185,-(BJ176+BJ177))</f>
        <v>-376.24580090135055</v>
      </c>
      <c r="BK178" s="144">
        <f>IF((BK176+BK177)&gt;=BJ185,-BJ185,-(BK176+BK177))</f>
        <v>92.259575285966378</v>
      </c>
      <c r="BL178" s="109">
        <f>SUM(BH178:BK178)</f>
        <v>93.193141024306669</v>
      </c>
      <c r="BM178" s="161">
        <f>IF((BM176+BM177)&gt;=BL185,-BL185,-(BM176+BM177))</f>
        <v>88.436810272484024</v>
      </c>
      <c r="BN178" s="160">
        <f>IF((BN176+BN177)&gt;=BM185,-BM185,-(BN176+BN177))</f>
        <v>89.346276180108077</v>
      </c>
      <c r="BO178" s="160">
        <f>IF((BO176+BO177)&gt;=BN185,-BN185,-(BO176+BO177))</f>
        <v>-378.06935283753052</v>
      </c>
      <c r="BP178" s="144">
        <f>IF((BP176+BP177)&gt;=BO185,-BO185,-(BP176+BP177))</f>
        <v>206.45732911653505</v>
      </c>
      <c r="BQ178" s="109">
        <f>SUM(BM178:BP178)</f>
        <v>6.1710627315966349</v>
      </c>
      <c r="BR178" s="242"/>
      <c r="BS178" s="242"/>
      <c r="BT178" s="242"/>
      <c r="BU178" s="242"/>
      <c r="BV178" s="242"/>
      <c r="BW178" s="242"/>
      <c r="BX178" s="242"/>
      <c r="BY178" s="242"/>
      <c r="BZ178" s="242"/>
      <c r="CA178" s="242"/>
      <c r="CB178" s="242"/>
      <c r="CC178" s="242"/>
      <c r="CD178" s="242"/>
      <c r="CE178" s="242"/>
      <c r="CF178" s="242"/>
    </row>
    <row r="179" spans="1:99">
      <c r="A179" s="242"/>
      <c r="B179" s="242"/>
      <c r="C179" s="164" t="s">
        <v>99</v>
      </c>
      <c r="D179" s="109"/>
      <c r="E179" s="149"/>
      <c r="F179" s="150"/>
      <c r="G179" s="150"/>
      <c r="H179" s="151"/>
      <c r="I179" s="154"/>
      <c r="J179" s="149"/>
      <c r="K179" s="150"/>
      <c r="L179" s="150"/>
      <c r="M179" s="151"/>
      <c r="N179" s="154"/>
      <c r="O179" s="149"/>
      <c r="P179" s="150"/>
      <c r="Q179" s="150"/>
      <c r="R179" s="151"/>
      <c r="S179" s="154"/>
      <c r="T179" s="149"/>
      <c r="U179" s="150"/>
      <c r="V179" s="150"/>
      <c r="W179" s="151"/>
      <c r="X179" s="112">
        <f t="shared" ref="X179:AF179" si="256">X183</f>
        <v>218.95799999999997</v>
      </c>
      <c r="Y179" s="149">
        <f t="shared" si="256"/>
        <v>141.25199999999998</v>
      </c>
      <c r="Z179" s="150">
        <f t="shared" si="256"/>
        <v>177.21699999999998</v>
      </c>
      <c r="AA179" s="150">
        <f t="shared" si="256"/>
        <v>157.66300000000001</v>
      </c>
      <c r="AB179" s="151">
        <f t="shared" si="256"/>
        <v>200.017</v>
      </c>
      <c r="AC179" s="112">
        <f t="shared" si="256"/>
        <v>200.017</v>
      </c>
      <c r="AD179" s="149">
        <f t="shared" si="256"/>
        <v>134.13400000000001</v>
      </c>
      <c r="AE179" s="150">
        <f t="shared" si="256"/>
        <v>180.46299999999999</v>
      </c>
      <c r="AF179" s="150">
        <f t="shared" si="256"/>
        <v>162.73099999999999</v>
      </c>
      <c r="AG179" s="151">
        <f t="shared" ref="AG179:AM179" si="257">AG183</f>
        <v>208.65199999999999</v>
      </c>
      <c r="AH179" s="112">
        <f t="shared" si="257"/>
        <v>208.65199999999999</v>
      </c>
      <c r="AI179" s="149">
        <f t="shared" si="257"/>
        <v>138.24</v>
      </c>
      <c r="AJ179" s="150">
        <f t="shared" si="257"/>
        <v>181.042</v>
      </c>
      <c r="AK179" s="150">
        <f t="shared" si="257"/>
        <v>156.45899999999997</v>
      </c>
      <c r="AL179" s="151">
        <f t="shared" si="257"/>
        <v>206.59299999999999</v>
      </c>
      <c r="AM179" s="112">
        <f t="shared" si="257"/>
        <v>206.59299999999999</v>
      </c>
      <c r="AN179" s="149">
        <f t="shared" ref="AN179:AR179" si="258">AN183</f>
        <v>103.09899999999999</v>
      </c>
      <c r="AO179" s="150">
        <f t="shared" si="258"/>
        <v>123.55499999999999</v>
      </c>
      <c r="AP179" s="150">
        <f t="shared" si="258"/>
        <v>114.92899999999999</v>
      </c>
      <c r="AQ179" s="151">
        <f t="shared" si="258"/>
        <v>150</v>
      </c>
      <c r="AR179" s="112">
        <f t="shared" si="258"/>
        <v>150</v>
      </c>
      <c r="AS179" s="149">
        <f t="shared" ref="AS179:AW179" si="259">AS183</f>
        <v>103.5</v>
      </c>
      <c r="AT179" s="150">
        <f t="shared" si="259"/>
        <v>131.39999999999998</v>
      </c>
      <c r="AU179" s="150">
        <f t="shared" si="259"/>
        <v>126.19999999999999</v>
      </c>
      <c r="AV179" s="151">
        <f t="shared" si="259"/>
        <v>160.29999999999998</v>
      </c>
      <c r="AW179" s="112">
        <f t="shared" si="259"/>
        <v>160.29999999999998</v>
      </c>
      <c r="AX179" s="149">
        <f t="shared" ref="AX179:BL179" si="260">AX178+AX177+AX176</f>
        <v>0</v>
      </c>
      <c r="AY179" s="150">
        <f t="shared" si="260"/>
        <v>0</v>
      </c>
      <c r="AZ179" s="150">
        <f t="shared" si="260"/>
        <v>0</v>
      </c>
      <c r="BA179" s="151">
        <f t="shared" si="260"/>
        <v>0</v>
      </c>
      <c r="BB179" s="112">
        <f t="shared" si="260"/>
        <v>0</v>
      </c>
      <c r="BC179" s="149">
        <f t="shared" si="260"/>
        <v>0</v>
      </c>
      <c r="BD179" s="150">
        <f t="shared" si="260"/>
        <v>0</v>
      </c>
      <c r="BE179" s="150">
        <f t="shared" si="260"/>
        <v>21.511089740983834</v>
      </c>
      <c r="BF179" s="151">
        <f t="shared" si="260"/>
        <v>0</v>
      </c>
      <c r="BG179" s="112">
        <f t="shared" si="260"/>
        <v>0</v>
      </c>
      <c r="BH179" s="149">
        <f t="shared" si="260"/>
        <v>0</v>
      </c>
      <c r="BI179" s="150">
        <f t="shared" si="260"/>
        <v>0</v>
      </c>
      <c r="BJ179" s="150">
        <f t="shared" si="260"/>
        <v>0</v>
      </c>
      <c r="BK179" s="151">
        <f t="shared" si="260"/>
        <v>0</v>
      </c>
      <c r="BL179" s="112">
        <f t="shared" si="260"/>
        <v>-2.2737367544323206E-13</v>
      </c>
      <c r="BM179" s="149">
        <f>BM178+BM177+BM176</f>
        <v>0</v>
      </c>
      <c r="BN179" s="150">
        <f>BN178+BN177+BN176</f>
        <v>0</v>
      </c>
      <c r="BO179" s="150">
        <f>BO178+BO177+BO176</f>
        <v>387.78094033272367</v>
      </c>
      <c r="BP179" s="151">
        <f>BP178+BP177+BP176</f>
        <v>0</v>
      </c>
      <c r="BQ179" s="112">
        <f>BQ178+BQ177+BQ176</f>
        <v>1.1368683772161603E-13</v>
      </c>
      <c r="BR179" s="242"/>
      <c r="BS179" s="242"/>
      <c r="BT179" s="242"/>
      <c r="BU179" s="242"/>
      <c r="BV179" s="242"/>
      <c r="BW179" s="242"/>
      <c r="BX179" s="242"/>
      <c r="BY179" s="242"/>
      <c r="BZ179" s="242"/>
      <c r="CA179" s="242"/>
      <c r="CB179" s="242"/>
      <c r="CC179" s="242"/>
      <c r="CD179" s="242"/>
      <c r="CE179" s="242"/>
      <c r="CF179" s="242"/>
    </row>
    <row r="180" spans="1:99">
      <c r="A180" s="303"/>
      <c r="B180" s="303"/>
      <c r="C180" s="303"/>
      <c r="D180" s="303"/>
      <c r="E180" s="597"/>
      <c r="F180" s="598"/>
      <c r="G180" s="598"/>
      <c r="H180" s="599"/>
      <c r="I180" s="89"/>
      <c r="J180" s="597"/>
      <c r="K180" s="598"/>
      <c r="L180" s="598"/>
      <c r="M180" s="599"/>
      <c r="N180" s="89"/>
      <c r="O180" s="597"/>
      <c r="P180" s="598"/>
      <c r="Q180" s="598"/>
      <c r="R180" s="599"/>
      <c r="S180" s="89"/>
      <c r="T180" s="597"/>
      <c r="U180" s="598"/>
      <c r="V180" s="598"/>
      <c r="W180" s="307"/>
      <c r="X180" s="303"/>
      <c r="Y180" s="305"/>
      <c r="Z180" s="306"/>
      <c r="AA180" s="306"/>
      <c r="AB180" s="307"/>
      <c r="AC180" s="303"/>
      <c r="AD180" s="305"/>
      <c r="AE180" s="306"/>
      <c r="AF180" s="306"/>
      <c r="AG180" s="307"/>
      <c r="AH180" s="303"/>
      <c r="AI180" s="305"/>
      <c r="AJ180" s="306"/>
      <c r="AK180" s="306"/>
      <c r="AL180" s="1522"/>
      <c r="AM180" s="1523"/>
      <c r="AN180" s="305"/>
      <c r="AO180" s="306"/>
      <c r="AP180" s="306"/>
      <c r="AQ180" s="307"/>
      <c r="AR180" s="303"/>
      <c r="AS180" s="305"/>
      <c r="AT180" s="306"/>
      <c r="AU180" s="306"/>
      <c r="AV180" s="307"/>
      <c r="AW180" s="303"/>
      <c r="AX180" s="305"/>
      <c r="AY180" s="306"/>
      <c r="AZ180" s="306"/>
      <c r="BA180" s="307"/>
      <c r="BB180" s="303"/>
      <c r="BC180" s="305"/>
      <c r="BD180" s="306"/>
      <c r="BE180" s="306"/>
      <c r="BF180" s="307"/>
      <c r="BG180" s="303"/>
      <c r="BH180" s="305"/>
      <c r="BI180" s="306"/>
      <c r="BJ180" s="306"/>
      <c r="BK180" s="307"/>
      <c r="BL180" s="303"/>
      <c r="BM180" s="305"/>
      <c r="BN180" s="306"/>
      <c r="BO180" s="306"/>
      <c r="BP180" s="307"/>
      <c r="BQ180" s="303"/>
      <c r="BR180" s="303"/>
      <c r="BS180" s="303"/>
      <c r="BT180" s="303"/>
      <c r="BU180" s="303"/>
      <c r="BV180" s="303"/>
      <c r="BW180" s="303"/>
      <c r="BX180" s="303"/>
      <c r="BY180" s="303"/>
      <c r="BZ180" s="303"/>
      <c r="CA180" s="303"/>
      <c r="CB180" s="303"/>
      <c r="CC180" s="303"/>
      <c r="CD180" s="303"/>
      <c r="CE180" s="303"/>
      <c r="CF180" s="303"/>
      <c r="CG180" s="303"/>
      <c r="CH180" s="303"/>
      <c r="CI180" s="303"/>
      <c r="CJ180" s="303"/>
      <c r="CK180" s="303"/>
      <c r="CL180" s="303"/>
      <c r="CM180" s="303"/>
      <c r="CN180" s="303"/>
      <c r="CO180" s="303"/>
      <c r="CP180" s="303"/>
      <c r="CQ180" s="303"/>
      <c r="CR180" s="303"/>
      <c r="CS180" s="303"/>
      <c r="CT180" s="303"/>
      <c r="CU180" s="303"/>
    </row>
    <row r="181" spans="1:99">
      <c r="A181" s="303"/>
      <c r="B181" s="303"/>
      <c r="C181" s="303"/>
      <c r="D181" s="303"/>
      <c r="E181" s="597"/>
      <c r="F181" s="598"/>
      <c r="G181" s="598"/>
      <c r="H181" s="599"/>
      <c r="I181" s="89"/>
      <c r="J181" s="597"/>
      <c r="K181" s="598"/>
      <c r="L181" s="598"/>
      <c r="M181" s="599"/>
      <c r="N181" s="89"/>
      <c r="O181" s="597"/>
      <c r="P181" s="598"/>
      <c r="Q181" s="598"/>
      <c r="R181" s="599"/>
      <c r="S181" s="89"/>
      <c r="T181" s="597"/>
      <c r="U181" s="598"/>
      <c r="V181" s="598"/>
      <c r="W181" s="307"/>
      <c r="X181" s="303"/>
      <c r="Y181" s="305"/>
      <c r="Z181" s="306"/>
      <c r="AA181" s="306"/>
      <c r="AB181" s="307"/>
      <c r="AC181" s="303"/>
      <c r="AD181" s="305"/>
      <c r="AE181" s="306"/>
      <c r="AF181" s="306"/>
      <c r="AG181" s="307"/>
      <c r="AH181" s="303"/>
      <c r="AI181" s="305"/>
      <c r="AJ181" s="306"/>
      <c r="AK181" s="306"/>
      <c r="AL181" s="1522"/>
      <c r="AM181" s="1523"/>
      <c r="AN181" s="305"/>
      <c r="AO181" s="306"/>
      <c r="AP181" s="306"/>
      <c r="AQ181" s="307"/>
      <c r="AR181" s="303"/>
      <c r="AS181" s="305"/>
      <c r="AT181" s="306"/>
      <c r="AU181" s="306"/>
      <c r="AV181" s="307"/>
      <c r="AW181" s="303"/>
      <c r="AX181" s="305"/>
      <c r="AY181" s="306"/>
      <c r="AZ181" s="306"/>
      <c r="BA181" s="307"/>
      <c r="BB181" s="303"/>
      <c r="BC181" s="305"/>
      <c r="BD181" s="306"/>
      <c r="BE181" s="306"/>
      <c r="BF181" s="307"/>
      <c r="BG181" s="303"/>
      <c r="BH181" s="305"/>
      <c r="BI181" s="306"/>
      <c r="BJ181" s="306"/>
      <c r="BK181" s="307"/>
      <c r="BL181" s="303"/>
      <c r="BM181" s="305"/>
      <c r="BN181" s="306"/>
      <c r="BO181" s="306"/>
      <c r="BP181" s="307"/>
      <c r="BQ181" s="303"/>
      <c r="BR181" s="303"/>
      <c r="BS181" s="303"/>
      <c r="BT181" s="303"/>
      <c r="BU181" s="303"/>
      <c r="BV181" s="303"/>
      <c r="BW181" s="303"/>
      <c r="BX181" s="303"/>
      <c r="BY181" s="303"/>
      <c r="BZ181" s="303"/>
      <c r="CA181" s="303"/>
      <c r="CB181" s="303"/>
      <c r="CC181" s="303"/>
      <c r="CD181" s="303"/>
      <c r="CE181" s="303"/>
      <c r="CF181" s="303"/>
      <c r="CG181" s="303"/>
      <c r="CH181" s="303"/>
      <c r="CI181" s="303"/>
      <c r="CJ181" s="303"/>
      <c r="CK181" s="303"/>
      <c r="CL181" s="303"/>
      <c r="CM181" s="303"/>
      <c r="CN181" s="303"/>
      <c r="CO181" s="303"/>
      <c r="CP181" s="303"/>
      <c r="CQ181" s="303"/>
      <c r="CR181" s="303"/>
      <c r="CS181" s="303"/>
      <c r="CT181" s="303"/>
      <c r="CU181" s="303"/>
    </row>
    <row r="182" spans="1:99">
      <c r="A182" s="303"/>
      <c r="B182" s="358" t="s">
        <v>181</v>
      </c>
      <c r="C182" s="358"/>
      <c r="D182" s="359"/>
      <c r="E182" s="305"/>
      <c r="F182" s="306"/>
      <c r="G182" s="306"/>
      <c r="H182" s="307"/>
      <c r="I182" s="303"/>
      <c r="J182" s="305"/>
      <c r="K182" s="306"/>
      <c r="L182" s="306"/>
      <c r="M182" s="307"/>
      <c r="N182" s="303"/>
      <c r="O182" s="305"/>
      <c r="P182" s="306"/>
      <c r="Q182" s="306"/>
      <c r="R182" s="307"/>
      <c r="S182" s="303"/>
      <c r="T182" s="305"/>
      <c r="U182" s="306"/>
      <c r="V182" s="306"/>
      <c r="W182" s="307"/>
      <c r="X182" s="303"/>
      <c r="Y182" s="305"/>
      <c r="Z182" s="306"/>
      <c r="AA182" s="306"/>
      <c r="AB182" s="307"/>
      <c r="AC182" s="303"/>
      <c r="AD182" s="305"/>
      <c r="AE182" s="306"/>
      <c r="AF182" s="306"/>
      <c r="AG182" s="307"/>
      <c r="AH182" s="303"/>
      <c r="AI182" s="305"/>
      <c r="AJ182" s="306"/>
      <c r="AK182" s="306"/>
      <c r="AL182" s="1522"/>
      <c r="AM182" s="1523"/>
      <c r="AN182" s="305"/>
      <c r="AO182" s="306"/>
      <c r="AP182" s="306"/>
      <c r="AQ182" s="307"/>
      <c r="AR182" s="303"/>
      <c r="AS182" s="305"/>
      <c r="AT182" s="306"/>
      <c r="AU182" s="306"/>
      <c r="AV182" s="307"/>
      <c r="AW182" s="303"/>
      <c r="AX182" s="305"/>
      <c r="AY182" s="306"/>
      <c r="AZ182" s="306"/>
      <c r="BA182" s="307"/>
      <c r="BB182" s="303"/>
      <c r="BC182" s="305"/>
      <c r="BD182" s="306"/>
      <c r="BE182" s="306"/>
      <c r="BF182" s="307"/>
      <c r="BG182" s="303"/>
      <c r="BH182" s="305"/>
      <c r="BI182" s="306"/>
      <c r="BJ182" s="306"/>
      <c r="BK182" s="307"/>
      <c r="BL182" s="303"/>
      <c r="BM182" s="305"/>
      <c r="BN182" s="306"/>
      <c r="BO182" s="306"/>
      <c r="BP182" s="307"/>
      <c r="BQ182" s="303"/>
      <c r="BR182" s="303"/>
      <c r="BS182" s="303"/>
      <c r="BT182" s="303"/>
      <c r="BU182" s="303"/>
      <c r="BV182" s="303"/>
      <c r="BW182" s="303"/>
      <c r="BX182" s="303"/>
      <c r="BY182" s="303"/>
      <c r="BZ182" s="303"/>
      <c r="CA182" s="303"/>
      <c r="CB182" s="303"/>
      <c r="CC182" s="303"/>
      <c r="CD182" s="303"/>
      <c r="CE182" s="303"/>
      <c r="CF182" s="303"/>
      <c r="CG182" s="303"/>
      <c r="CH182" s="303"/>
      <c r="CI182" s="303"/>
      <c r="CJ182" s="303"/>
      <c r="CK182" s="303"/>
      <c r="CL182" s="303"/>
      <c r="CM182" s="303"/>
      <c r="CN182" s="303"/>
      <c r="CO182" s="303"/>
      <c r="CP182" s="303"/>
      <c r="CQ182" s="303"/>
      <c r="CR182" s="303"/>
      <c r="CS182" s="303"/>
      <c r="CT182" s="303"/>
      <c r="CU182" s="303"/>
    </row>
    <row r="183" spans="1:99">
      <c r="A183" s="242"/>
      <c r="B183" s="242"/>
      <c r="C183" s="100" t="s">
        <v>182</v>
      </c>
      <c r="D183" s="109"/>
      <c r="E183" s="142"/>
      <c r="F183" s="143"/>
      <c r="G183" s="143"/>
      <c r="H183" s="147"/>
      <c r="I183" s="145"/>
      <c r="J183" s="142"/>
      <c r="K183" s="143"/>
      <c r="L183" s="143"/>
      <c r="M183" s="147"/>
      <c r="N183" s="145"/>
      <c r="O183" s="142"/>
      <c r="P183" s="143"/>
      <c r="Q183" s="159"/>
      <c r="R183" s="147"/>
      <c r="S183" s="145"/>
      <c r="T183" s="142"/>
      <c r="U183" s="143"/>
      <c r="V183" s="143"/>
      <c r="W183" s="147"/>
      <c r="X183" s="1206">
        <f>'Utility Detail'!X114</f>
        <v>218.95799999999997</v>
      </c>
      <c r="Y183" s="1202">
        <f>'Utility Detail'!Y114</f>
        <v>141.25199999999998</v>
      </c>
      <c r="Z183" s="1204">
        <f>'Utility Detail'!Z114</f>
        <v>177.21699999999998</v>
      </c>
      <c r="AA183" s="1204">
        <f>'Utility Detail'!AA114</f>
        <v>157.66300000000001</v>
      </c>
      <c r="AB183" s="1205">
        <f>AC183</f>
        <v>200.017</v>
      </c>
      <c r="AC183" s="1206">
        <f>'Utility Detail'!AC114</f>
        <v>200.017</v>
      </c>
      <c r="AD183" s="1202">
        <f>'Utility Detail'!AD114</f>
        <v>134.13400000000001</v>
      </c>
      <c r="AE183" s="1204">
        <f>'Utility Detail'!AE114</f>
        <v>180.46299999999999</v>
      </c>
      <c r="AF183" s="1204">
        <f>'Utility Detail'!AF114</f>
        <v>162.73099999999999</v>
      </c>
      <c r="AG183" s="1205">
        <f>AH183</f>
        <v>208.65199999999999</v>
      </c>
      <c r="AH183" s="1206">
        <f>'Utility Detail'!AH114</f>
        <v>208.65199999999999</v>
      </c>
      <c r="AI183" s="1202">
        <f>'Utility Detail'!AI114</f>
        <v>138.24</v>
      </c>
      <c r="AJ183" s="1204">
        <f>'Utility Detail'!AJ114</f>
        <v>181.042</v>
      </c>
      <c r="AK183" s="1204">
        <f>'Utility Detail'!AK114</f>
        <v>156.45899999999997</v>
      </c>
      <c r="AL183" s="1205">
        <f>AM183</f>
        <v>206.59299999999999</v>
      </c>
      <c r="AM183" s="1206">
        <f>'Utility Detail'!AM114</f>
        <v>206.59299999999999</v>
      </c>
      <c r="AN183" s="1202">
        <f>'Utility Detail'!AN114</f>
        <v>103.09899999999999</v>
      </c>
      <c r="AO183" s="1204">
        <f>'Utility Detail'!AO114</f>
        <v>123.55499999999999</v>
      </c>
      <c r="AP183" s="1204">
        <f>'Utility Detail'!AP114</f>
        <v>114.92899999999999</v>
      </c>
      <c r="AQ183" s="1205">
        <f>AR183</f>
        <v>150</v>
      </c>
      <c r="AR183" s="1206">
        <f>'Utility Detail'!AR114</f>
        <v>150</v>
      </c>
      <c r="AS183" s="1202">
        <f>'Utility Detail'!AS114</f>
        <v>103.5</v>
      </c>
      <c r="AT183" s="1204">
        <f>'Utility Detail'!AT114</f>
        <v>131.39999999999998</v>
      </c>
      <c r="AU183" s="1204">
        <f>'Utility Detail'!AU114</f>
        <v>126.19999999999999</v>
      </c>
      <c r="AV183" s="1205">
        <f>AW183</f>
        <v>160.29999999999998</v>
      </c>
      <c r="AW183" s="1206">
        <f>'Utility Detail'!AW114</f>
        <v>160.29999999999998</v>
      </c>
      <c r="AX183" s="161">
        <f t="shared" ref="AX183:BL183" si="261">+AX179</f>
        <v>0</v>
      </c>
      <c r="AY183" s="160">
        <f t="shared" si="261"/>
        <v>0</v>
      </c>
      <c r="AZ183" s="160">
        <f t="shared" si="261"/>
        <v>0</v>
      </c>
      <c r="BA183" s="144">
        <f t="shared" si="261"/>
        <v>0</v>
      </c>
      <c r="BB183" s="109">
        <f>+BB179</f>
        <v>0</v>
      </c>
      <c r="BC183" s="161">
        <f t="shared" si="261"/>
        <v>0</v>
      </c>
      <c r="BD183" s="160">
        <f t="shared" si="261"/>
        <v>0</v>
      </c>
      <c r="BE183" s="160">
        <f t="shared" si="261"/>
        <v>21.511089740983834</v>
      </c>
      <c r="BF183" s="144">
        <f t="shared" si="261"/>
        <v>0</v>
      </c>
      <c r="BG183" s="109">
        <f>+BG179</f>
        <v>0</v>
      </c>
      <c r="BH183" s="161">
        <f t="shared" si="261"/>
        <v>0</v>
      </c>
      <c r="BI183" s="160">
        <f t="shared" si="261"/>
        <v>0</v>
      </c>
      <c r="BJ183" s="160">
        <f t="shared" si="261"/>
        <v>0</v>
      </c>
      <c r="BK183" s="144">
        <f t="shared" si="261"/>
        <v>0</v>
      </c>
      <c r="BL183" s="109">
        <f t="shared" si="261"/>
        <v>-2.2737367544323206E-13</v>
      </c>
      <c r="BM183" s="161">
        <f>+BM179</f>
        <v>0</v>
      </c>
      <c r="BN183" s="160">
        <f>+BN179</f>
        <v>0</v>
      </c>
      <c r="BO183" s="160">
        <f>+BO179</f>
        <v>387.78094033272367</v>
      </c>
      <c r="BP183" s="144">
        <f>+BP179</f>
        <v>0</v>
      </c>
      <c r="BQ183" s="109">
        <f>+BQ179</f>
        <v>1.1368683772161603E-13</v>
      </c>
      <c r="BR183" s="242"/>
      <c r="BS183" s="242"/>
      <c r="BT183" s="242"/>
      <c r="BU183" s="242"/>
      <c r="BV183" s="242"/>
      <c r="BW183" s="242"/>
      <c r="BX183" s="242"/>
      <c r="BY183" s="242"/>
      <c r="BZ183" s="242"/>
      <c r="CA183" s="242"/>
      <c r="CB183" s="242"/>
      <c r="CC183" s="242"/>
      <c r="CD183" s="242"/>
      <c r="CE183" s="242"/>
      <c r="CF183" s="242"/>
      <c r="CG183" s="242"/>
      <c r="CH183" s="242"/>
      <c r="CI183" s="242"/>
      <c r="CJ183" s="242"/>
      <c r="CK183" s="242"/>
      <c r="CL183" s="242"/>
      <c r="CM183" s="242"/>
      <c r="CN183" s="242"/>
      <c r="CO183" s="242"/>
      <c r="CP183" s="242"/>
      <c r="CQ183" s="242"/>
      <c r="CR183" s="242"/>
      <c r="CS183" s="242"/>
      <c r="CT183" s="242"/>
      <c r="CU183" s="242"/>
    </row>
    <row r="184" spans="1:99">
      <c r="A184" s="242"/>
      <c r="B184" s="242"/>
      <c r="C184" s="100"/>
      <c r="D184" s="109"/>
      <c r="E184" s="362"/>
      <c r="F184" s="363"/>
      <c r="G184" s="363"/>
      <c r="H184" s="364"/>
      <c r="I184" s="365"/>
      <c r="J184" s="362"/>
      <c r="K184" s="363"/>
      <c r="L184" s="363"/>
      <c r="M184" s="364"/>
      <c r="N184" s="365"/>
      <c r="O184" s="362"/>
      <c r="P184" s="348"/>
      <c r="Q184" s="160"/>
      <c r="R184" s="364"/>
      <c r="S184" s="365"/>
      <c r="T184" s="362"/>
      <c r="U184" s="348"/>
      <c r="V184" s="348"/>
      <c r="W184" s="364"/>
      <c r="X184" s="1206"/>
      <c r="Y184" s="1202"/>
      <c r="Z184" s="1204"/>
      <c r="AA184" s="1204"/>
      <c r="AB184" s="1205"/>
      <c r="AC184" s="1206"/>
      <c r="AD184" s="1202"/>
      <c r="AE184" s="1204"/>
      <c r="AF184" s="1204"/>
      <c r="AG184" s="1205"/>
      <c r="AH184" s="1206"/>
      <c r="AI184" s="1202"/>
      <c r="AJ184" s="1204"/>
      <c r="AK184" s="1204"/>
      <c r="AL184" s="1205"/>
      <c r="AM184" s="1206"/>
      <c r="AN184" s="1202"/>
      <c r="AO184" s="1204"/>
      <c r="AP184" s="1204"/>
      <c r="AQ184" s="1205"/>
      <c r="AR184" s="1206"/>
      <c r="AS184" s="1202"/>
      <c r="AT184" s="1204"/>
      <c r="AU184" s="1204"/>
      <c r="AV184" s="1205"/>
      <c r="AW184" s="1206"/>
      <c r="AX184" s="161"/>
      <c r="AY184" s="162"/>
      <c r="AZ184" s="162"/>
      <c r="BA184" s="144"/>
      <c r="BB184" s="242"/>
      <c r="BC184" s="161"/>
      <c r="BD184" s="162"/>
      <c r="BE184" s="162"/>
      <c r="BF184" s="144"/>
      <c r="BG184" s="242"/>
      <c r="BH184" s="161"/>
      <c r="BI184" s="162"/>
      <c r="BJ184" s="162"/>
      <c r="BK184" s="144"/>
      <c r="BL184" s="242"/>
      <c r="BM184" s="161"/>
      <c r="BN184" s="162"/>
      <c r="BO184" s="162"/>
      <c r="BP184" s="144"/>
      <c r="BQ184" s="242"/>
      <c r="BR184" s="242"/>
      <c r="BS184" s="242"/>
      <c r="BT184" s="242"/>
      <c r="BU184" s="242"/>
      <c r="BV184" s="242"/>
      <c r="BW184" s="242"/>
      <c r="BX184" s="242"/>
      <c r="BY184" s="242"/>
      <c r="BZ184" s="242"/>
      <c r="CA184" s="242"/>
      <c r="CB184" s="242"/>
      <c r="CC184" s="242"/>
      <c r="CD184" s="242"/>
      <c r="CE184" s="242"/>
      <c r="CF184" s="242"/>
      <c r="CG184" s="242"/>
      <c r="CH184" s="242"/>
      <c r="CI184" s="242"/>
      <c r="CJ184" s="242"/>
      <c r="CK184" s="242"/>
      <c r="CL184" s="242"/>
      <c r="CM184" s="242"/>
      <c r="CN184" s="242"/>
      <c r="CO184" s="242"/>
      <c r="CP184" s="242"/>
      <c r="CQ184" s="242"/>
      <c r="CR184" s="242"/>
      <c r="CS184" s="242"/>
      <c r="CT184" s="242"/>
      <c r="CU184" s="242"/>
    </row>
    <row r="185" spans="1:99">
      <c r="A185" s="242"/>
      <c r="B185" s="242"/>
      <c r="C185" s="100" t="s">
        <v>183</v>
      </c>
      <c r="D185" s="109"/>
      <c r="E185" s="142"/>
      <c r="F185" s="143"/>
      <c r="G185" s="143"/>
      <c r="H185" s="147"/>
      <c r="I185" s="145"/>
      <c r="J185" s="142"/>
      <c r="K185" s="143"/>
      <c r="L185" s="143"/>
      <c r="M185" s="147"/>
      <c r="N185" s="145"/>
      <c r="O185" s="142"/>
      <c r="P185" s="143"/>
      <c r="Q185" s="159"/>
      <c r="R185" s="147"/>
      <c r="S185" s="145"/>
      <c r="T185" s="142"/>
      <c r="U185" s="143"/>
      <c r="V185" s="143"/>
      <c r="W185" s="147"/>
      <c r="X185" s="1206">
        <f>'Utility Detail'!X128</f>
        <v>153.696</v>
      </c>
      <c r="Y185" s="1202">
        <f>'Utility Detail'!Y128</f>
        <v>415.71800000000002</v>
      </c>
      <c r="Z185" s="1204">
        <f>'Utility Detail'!Z128</f>
        <v>468.49199999999996</v>
      </c>
      <c r="AA185" s="1204">
        <f>'Utility Detail'!AA128</f>
        <v>53.017000000000003</v>
      </c>
      <c r="AB185" s="1205">
        <f>AC185</f>
        <v>129.071</v>
      </c>
      <c r="AC185" s="1206">
        <f>'Utility Detail'!AC128</f>
        <v>129.071</v>
      </c>
      <c r="AD185" s="1202">
        <f>'Utility Detail'!AD128</f>
        <v>245.87900000000002</v>
      </c>
      <c r="AE185" s="1204">
        <f>'Utility Detail'!AE128</f>
        <v>148.30500000000001</v>
      </c>
      <c r="AF185" s="1204">
        <f>'Utility Detail'!AF128</f>
        <v>133.72</v>
      </c>
      <c r="AG185" s="1205">
        <f>AH185</f>
        <v>145.31900000000002</v>
      </c>
      <c r="AH185" s="1206">
        <f>'Utility Detail'!AH128</f>
        <v>145.31900000000002</v>
      </c>
      <c r="AI185" s="1202">
        <f>'Utility Detail'!AI128</f>
        <v>146.27600000000001</v>
      </c>
      <c r="AJ185" s="1204">
        <f>'Utility Detail'!AJ128</f>
        <v>175.428</v>
      </c>
      <c r="AK185" s="1204">
        <f>'Utility Detail'!AK128</f>
        <v>17.617000000000001</v>
      </c>
      <c r="AL185" s="1205">
        <f>AM185</f>
        <v>0</v>
      </c>
      <c r="AM185" s="1206">
        <f>'Utility Detail'!AM128</f>
        <v>0</v>
      </c>
      <c r="AN185" s="1202">
        <f>'Utility Detail'!AN128</f>
        <v>0</v>
      </c>
      <c r="AO185" s="1204">
        <f>'Utility Detail'!AO128</f>
        <v>263.53100000000001</v>
      </c>
      <c r="AP185" s="1204">
        <f>'Utility Detail'!AP128</f>
        <v>88.28</v>
      </c>
      <c r="AQ185" s="1205">
        <f>AR185</f>
        <v>169.5</v>
      </c>
      <c r="AR185" s="1206">
        <f>'Utility Detail'!AR128</f>
        <v>169.5</v>
      </c>
      <c r="AS185" s="1202">
        <f>'Utility Detail'!AS128</f>
        <v>144.80000000000001</v>
      </c>
      <c r="AT185" s="1204">
        <f>'Utility Detail'!AT128</f>
        <v>197.7</v>
      </c>
      <c r="AU185" s="1204">
        <f>'Utility Detail'!AU128</f>
        <v>167.6</v>
      </c>
      <c r="AV185" s="1205">
        <f>AW185</f>
        <v>87.8</v>
      </c>
      <c r="AW185" s="1206">
        <f>'Utility Detail'!AW128</f>
        <v>87.8</v>
      </c>
      <c r="AX185" s="161">
        <f>+AW185+AX178</f>
        <v>175.27882071009083</v>
      </c>
      <c r="AY185" s="160">
        <f>+AX185+AY178</f>
        <v>736.14052914399758</v>
      </c>
      <c r="AZ185" s="160">
        <f>+AY185+AZ178</f>
        <v>860.91271421867418</v>
      </c>
      <c r="BA185" s="144">
        <f>+AZ185+BA178</f>
        <v>221.0313019318819</v>
      </c>
      <c r="BB185" s="109">
        <f>+BA185</f>
        <v>221.0313019318819</v>
      </c>
      <c r="BC185" s="161">
        <f>+BB185+BC178</f>
        <v>341.01384917291233</v>
      </c>
      <c r="BD185" s="160">
        <f>+BC185+BD178</f>
        <v>513.36325807076503</v>
      </c>
      <c r="BE185" s="160">
        <f>+BD185+BE178</f>
        <v>0</v>
      </c>
      <c r="BF185" s="144">
        <f>+BE185+BF178</f>
        <v>107.09312536063175</v>
      </c>
      <c r="BG185" s="109">
        <f>+BF185</f>
        <v>107.09312536063175</v>
      </c>
      <c r="BH185" s="161">
        <f>+BG185+BH178</f>
        <v>192.83156487917154</v>
      </c>
      <c r="BI185" s="160">
        <f>+BH185+BI178</f>
        <v>484.27249200032259</v>
      </c>
      <c r="BJ185" s="160">
        <f>+BI185+BJ178</f>
        <v>108.02669109897204</v>
      </c>
      <c r="BK185" s="144">
        <f>+BJ185+BK178</f>
        <v>200.28626638493841</v>
      </c>
      <c r="BL185" s="109">
        <f>+BK185</f>
        <v>200.28626638493841</v>
      </c>
      <c r="BM185" s="161">
        <f>+BL185+BM178</f>
        <v>288.72307665742244</v>
      </c>
      <c r="BN185" s="160">
        <f>+BM185+BN178</f>
        <v>378.06935283753052</v>
      </c>
      <c r="BO185" s="160">
        <f>+BN185+BO178</f>
        <v>0</v>
      </c>
      <c r="BP185" s="144">
        <f>+BO185+BP178</f>
        <v>206.45732911653505</v>
      </c>
      <c r="BQ185" s="109">
        <f>+BP185</f>
        <v>206.45732911653505</v>
      </c>
      <c r="BR185" s="242"/>
      <c r="BS185" s="242"/>
      <c r="BT185" s="242"/>
      <c r="BU185" s="242"/>
      <c r="BV185" s="242"/>
      <c r="BW185" s="242"/>
      <c r="BX185" s="242"/>
      <c r="BY185" s="242"/>
      <c r="BZ185" s="242"/>
      <c r="CA185" s="242"/>
      <c r="CB185" s="242"/>
      <c r="CC185" s="242"/>
      <c r="CD185" s="242"/>
      <c r="CE185" s="242"/>
      <c r="CF185" s="242"/>
      <c r="CG185" s="242"/>
      <c r="CH185" s="242"/>
      <c r="CI185" s="242"/>
      <c r="CJ185" s="242"/>
      <c r="CK185" s="242"/>
      <c r="CL185" s="242"/>
      <c r="CM185" s="242"/>
      <c r="CN185" s="242"/>
      <c r="CO185" s="242"/>
      <c r="CP185" s="242"/>
      <c r="CQ185" s="242"/>
      <c r="CR185" s="242"/>
      <c r="CS185" s="242"/>
      <c r="CT185" s="242"/>
      <c r="CU185" s="242"/>
    </row>
    <row r="186" spans="1:99">
      <c r="A186" s="242"/>
      <c r="B186" s="242"/>
      <c r="C186" s="100" t="s">
        <v>227</v>
      </c>
      <c r="D186" s="109"/>
      <c r="E186" s="142"/>
      <c r="F186" s="143"/>
      <c r="G186" s="143"/>
      <c r="H186" s="144"/>
      <c r="I186" s="145"/>
      <c r="J186" s="142"/>
      <c r="K186" s="143"/>
      <c r="L186" s="143"/>
      <c r="M186" s="144"/>
      <c r="N186" s="145"/>
      <c r="O186" s="142"/>
      <c r="P186" s="143"/>
      <c r="Q186" s="159"/>
      <c r="R186" s="144"/>
      <c r="S186" s="145"/>
      <c r="T186" s="142"/>
      <c r="U186" s="143"/>
      <c r="V186" s="143"/>
      <c r="W186" s="144"/>
      <c r="X186" s="1206">
        <f>'Utility Detail'!X142</f>
        <v>7155.3050000000003</v>
      </c>
      <c r="Y186" s="1202">
        <f>'Utility Detail'!Y142</f>
        <v>6725.5129999999999</v>
      </c>
      <c r="Z186" s="1204">
        <f>'Utility Detail'!Z142</f>
        <v>6763.7250000000004</v>
      </c>
      <c r="AA186" s="1204">
        <f>'Utility Detail'!AA142</f>
        <v>7028.0400000000009</v>
      </c>
      <c r="AB186" s="1205">
        <f>AC186</f>
        <v>6057.07</v>
      </c>
      <c r="AC186" s="1206">
        <f>'Utility Detail'!AC142</f>
        <v>6057.07</v>
      </c>
      <c r="AD186" s="1202">
        <f>'Utility Detail'!AD142</f>
        <v>5720.0360000000001</v>
      </c>
      <c r="AE186" s="1204">
        <f>'Utility Detail'!AE142</f>
        <v>5754.3860000000004</v>
      </c>
      <c r="AF186" s="1204">
        <f>'Utility Detail'!AF142</f>
        <v>5593.9240000000009</v>
      </c>
      <c r="AG186" s="1205">
        <f>AH186</f>
        <v>5661.0930000000008</v>
      </c>
      <c r="AH186" s="1206">
        <f>'Utility Detail'!AH142</f>
        <v>5661.0930000000008</v>
      </c>
      <c r="AI186" s="1202">
        <f>'Utility Detail'!AI142</f>
        <v>5519.2549999999992</v>
      </c>
      <c r="AJ186" s="1204">
        <f>'Utility Detail'!AJ142</f>
        <v>5406.7380000000003</v>
      </c>
      <c r="AK186" s="1204">
        <f>'Utility Detail'!AK142</f>
        <v>5612.1840000000002</v>
      </c>
      <c r="AL186" s="1205">
        <f>AM186</f>
        <v>5601.4099999999989</v>
      </c>
      <c r="AM186" s="1206">
        <f>'Utility Detail'!AM142</f>
        <v>5601.4099999999989</v>
      </c>
      <c r="AN186" s="1202">
        <f>'Utility Detail'!AN142</f>
        <v>5451.8429999999998</v>
      </c>
      <c r="AO186" s="1204">
        <f>'Utility Detail'!AO142</f>
        <v>5076.3230000000003</v>
      </c>
      <c r="AP186" s="1204">
        <f>'Utility Detail'!AP142</f>
        <v>5013.6090000000004</v>
      </c>
      <c r="AQ186" s="1205">
        <f>AR186</f>
        <v>4981.6000000000004</v>
      </c>
      <c r="AR186" s="1206">
        <f>'Utility Detail'!AR142</f>
        <v>4981.6000000000004</v>
      </c>
      <c r="AS186" s="1202">
        <f>'Utility Detail'!AS142</f>
        <v>4870.8999999999996</v>
      </c>
      <c r="AT186" s="1204">
        <f>'Utility Detail'!AT142</f>
        <v>4844.8999999999996</v>
      </c>
      <c r="AU186" s="1204">
        <f>'Utility Detail'!AU142</f>
        <v>5441.4</v>
      </c>
      <c r="AV186" s="1205">
        <f>AW186</f>
        <v>5368.5999999999995</v>
      </c>
      <c r="AW186" s="1206">
        <f>'Utility Detail'!AW142</f>
        <v>5368.5999999999995</v>
      </c>
      <c r="AX186" s="161">
        <f>+AW186+AX167+AX168</f>
        <v>5298.6379609999994</v>
      </c>
      <c r="AY186" s="160">
        <f>+AX186+AY167+AY168</f>
        <v>4918.6379609999994</v>
      </c>
      <c r="AZ186" s="160">
        <f>+AY186+AZ167+AZ168</f>
        <v>4918.6379609999994</v>
      </c>
      <c r="BA186" s="144">
        <f>+AZ186+BA167+BA168</f>
        <v>5743.6379609999994</v>
      </c>
      <c r="BB186" s="109">
        <f>+BA186</f>
        <v>5743.6379609999994</v>
      </c>
      <c r="BC186" s="161">
        <f>+BB186+BC167+BC168</f>
        <v>5743.6379609999994</v>
      </c>
      <c r="BD186" s="160">
        <f>+BC186+BD167+BD168</f>
        <v>5693.6379609999994</v>
      </c>
      <c r="BE186" s="160">
        <f>+BD186+BE167+BE168</f>
        <v>6298.7596499999991</v>
      </c>
      <c r="BF186" s="144">
        <f>+BE186+BF167+BF168</f>
        <v>6298.7596499999991</v>
      </c>
      <c r="BG186" s="109">
        <f>+BF186</f>
        <v>6298.7596499999991</v>
      </c>
      <c r="BH186" s="161">
        <f>+BG186+BH167+BH168</f>
        <v>6298.7596499999991</v>
      </c>
      <c r="BI186" s="160">
        <f>+BH186+BI167+BI168</f>
        <v>6094.2904069999986</v>
      </c>
      <c r="BJ186" s="160">
        <f>+BI186+BJ167+BJ168</f>
        <v>6499.5904069999988</v>
      </c>
      <c r="BK186" s="144">
        <f>+BJ186+BK167+BK168</f>
        <v>6499.5904069999988</v>
      </c>
      <c r="BL186" s="109">
        <f>+BK186</f>
        <v>6499.5904069999988</v>
      </c>
      <c r="BM186" s="161">
        <f>+BL186+BM167+BM168</f>
        <v>6499.5904069999988</v>
      </c>
      <c r="BN186" s="160">
        <f>+BM186+BN167+BN168</f>
        <v>6499.5904069999988</v>
      </c>
      <c r="BO186" s="160">
        <f>+BN186+BO167+BO168</f>
        <v>7299.5904069999988</v>
      </c>
      <c r="BP186" s="144">
        <f>+BO186+BP167+BP168</f>
        <v>6799.5904069999988</v>
      </c>
      <c r="BQ186" s="109">
        <f>+BP186</f>
        <v>6799.5904069999988</v>
      </c>
      <c r="BR186" s="242"/>
      <c r="BS186" s="242"/>
      <c r="BT186" s="242"/>
      <c r="BU186" s="242"/>
      <c r="BV186" s="242"/>
      <c r="BW186" s="242"/>
      <c r="BX186" s="242"/>
      <c r="BY186" s="242"/>
      <c r="BZ186" s="242"/>
      <c r="CA186" s="242"/>
      <c r="CB186" s="242"/>
      <c r="CC186" s="242"/>
      <c r="CD186" s="242"/>
      <c r="CE186" s="242"/>
      <c r="CF186" s="242"/>
      <c r="CG186" s="242"/>
      <c r="CH186" s="242"/>
      <c r="CI186" s="242"/>
      <c r="CJ186" s="242"/>
      <c r="CK186" s="242"/>
      <c r="CL186" s="242"/>
      <c r="CM186" s="242"/>
      <c r="CN186" s="242"/>
      <c r="CO186" s="242"/>
      <c r="CP186" s="242"/>
      <c r="CQ186" s="242"/>
      <c r="CR186" s="242"/>
      <c r="CS186" s="242"/>
      <c r="CT186" s="242"/>
      <c r="CU186" s="242"/>
    </row>
    <row r="187" spans="1:99">
      <c r="A187" s="242"/>
      <c r="B187" s="242"/>
      <c r="C187" s="164" t="s">
        <v>866</v>
      </c>
      <c r="D187" s="109"/>
      <c r="E187" s="149"/>
      <c r="F187" s="150"/>
      <c r="G187" s="150"/>
      <c r="H187" s="151"/>
      <c r="I187" s="112"/>
      <c r="J187" s="149"/>
      <c r="K187" s="150"/>
      <c r="L187" s="150"/>
      <c r="M187" s="151"/>
      <c r="N187" s="112"/>
      <c r="O187" s="149"/>
      <c r="P187" s="150"/>
      <c r="Q187" s="150"/>
      <c r="R187" s="151"/>
      <c r="S187" s="112"/>
      <c r="T187" s="149"/>
      <c r="U187" s="150"/>
      <c r="V187" s="150"/>
      <c r="W187" s="151"/>
      <c r="X187" s="112">
        <f t="shared" ref="X187:AF187" si="262">SUM(X185:X186)</f>
        <v>7309.0010000000002</v>
      </c>
      <c r="Y187" s="149">
        <f t="shared" si="262"/>
        <v>7141.2309999999998</v>
      </c>
      <c r="Z187" s="150">
        <f t="shared" si="262"/>
        <v>7232.2170000000006</v>
      </c>
      <c r="AA187" s="150">
        <f t="shared" si="262"/>
        <v>7081.0570000000007</v>
      </c>
      <c r="AB187" s="151">
        <f t="shared" si="262"/>
        <v>6186.1409999999996</v>
      </c>
      <c r="AC187" s="112">
        <f t="shared" si="262"/>
        <v>6186.1409999999996</v>
      </c>
      <c r="AD187" s="149">
        <f t="shared" si="262"/>
        <v>5965.915</v>
      </c>
      <c r="AE187" s="150">
        <f t="shared" si="262"/>
        <v>5902.6910000000007</v>
      </c>
      <c r="AF187" s="150">
        <f t="shared" si="262"/>
        <v>5727.6440000000011</v>
      </c>
      <c r="AG187" s="151">
        <f t="shared" ref="AG187:AM187" si="263">SUM(AG185:AG186)</f>
        <v>5806.4120000000012</v>
      </c>
      <c r="AH187" s="112">
        <f t="shared" si="263"/>
        <v>5806.4120000000012</v>
      </c>
      <c r="AI187" s="149">
        <f t="shared" si="263"/>
        <v>5665.530999999999</v>
      </c>
      <c r="AJ187" s="150">
        <f t="shared" si="263"/>
        <v>5582.1660000000002</v>
      </c>
      <c r="AK187" s="150">
        <f t="shared" si="263"/>
        <v>5629.8010000000004</v>
      </c>
      <c r="AL187" s="151">
        <f t="shared" si="263"/>
        <v>5601.4099999999989</v>
      </c>
      <c r="AM187" s="112">
        <f t="shared" si="263"/>
        <v>5601.4099999999989</v>
      </c>
      <c r="AN187" s="149">
        <f t="shared" ref="AN187:AR187" si="264">SUM(AN185:AN186)</f>
        <v>5451.8429999999998</v>
      </c>
      <c r="AO187" s="150">
        <f t="shared" si="264"/>
        <v>5339.8540000000003</v>
      </c>
      <c r="AP187" s="150">
        <f t="shared" si="264"/>
        <v>5101.8890000000001</v>
      </c>
      <c r="AQ187" s="151">
        <f t="shared" si="264"/>
        <v>5151.1000000000004</v>
      </c>
      <c r="AR187" s="112">
        <f t="shared" si="264"/>
        <v>5151.1000000000004</v>
      </c>
      <c r="AS187" s="149">
        <f t="shared" ref="AS187:AW187" si="265">SUM(AS185:AS186)</f>
        <v>5015.7</v>
      </c>
      <c r="AT187" s="150">
        <f t="shared" si="265"/>
        <v>5042.5999999999995</v>
      </c>
      <c r="AU187" s="150">
        <f t="shared" si="265"/>
        <v>5609</v>
      </c>
      <c r="AV187" s="151">
        <f t="shared" si="265"/>
        <v>5456.4</v>
      </c>
      <c r="AW187" s="112">
        <f t="shared" si="265"/>
        <v>5456.4</v>
      </c>
      <c r="AX187" s="149">
        <f t="shared" ref="AX187:BB187" si="266">SUM(AX185:AX186)</f>
        <v>5473.9167817100906</v>
      </c>
      <c r="AY187" s="150">
        <f t="shared" si="266"/>
        <v>5654.7784901439973</v>
      </c>
      <c r="AZ187" s="150">
        <f t="shared" si="266"/>
        <v>5779.5506752186739</v>
      </c>
      <c r="BA187" s="151">
        <f t="shared" si="266"/>
        <v>5964.6692629318813</v>
      </c>
      <c r="BB187" s="112">
        <f t="shared" si="266"/>
        <v>5964.6692629318813</v>
      </c>
      <c r="BC187" s="149">
        <f t="shared" ref="BC187:BL187" si="267">SUM(BC185:BC186)</f>
        <v>6084.6518101729116</v>
      </c>
      <c r="BD187" s="150">
        <f t="shared" si="267"/>
        <v>6207.0012190707648</v>
      </c>
      <c r="BE187" s="150">
        <f t="shared" si="267"/>
        <v>6298.7596499999991</v>
      </c>
      <c r="BF187" s="151">
        <f t="shared" si="267"/>
        <v>6405.8527753606304</v>
      </c>
      <c r="BG187" s="112">
        <f t="shared" si="267"/>
        <v>6405.8527753606304</v>
      </c>
      <c r="BH187" s="149">
        <f t="shared" si="267"/>
        <v>6491.5912148791704</v>
      </c>
      <c r="BI187" s="150">
        <f t="shared" si="267"/>
        <v>6578.5628990003215</v>
      </c>
      <c r="BJ187" s="150">
        <f t="shared" si="267"/>
        <v>6607.6170980989709</v>
      </c>
      <c r="BK187" s="151">
        <f t="shared" si="267"/>
        <v>6699.876673384937</v>
      </c>
      <c r="BL187" s="112">
        <f t="shared" si="267"/>
        <v>6699.876673384937</v>
      </c>
      <c r="BM187" s="149">
        <f>SUM(BM185:BM186)</f>
        <v>6788.3134836574209</v>
      </c>
      <c r="BN187" s="150">
        <f>SUM(BN185:BN186)</f>
        <v>6877.6597598375292</v>
      </c>
      <c r="BO187" s="150">
        <f>SUM(BO185:BO186)</f>
        <v>7299.5904069999988</v>
      </c>
      <c r="BP187" s="151">
        <f>SUM(BP185:BP186)</f>
        <v>7006.047736116534</v>
      </c>
      <c r="BQ187" s="112">
        <f>SUM(BQ185:BQ186)</f>
        <v>7006.047736116534</v>
      </c>
      <c r="BR187" s="242"/>
      <c r="BS187" s="242"/>
      <c r="BT187" s="242"/>
      <c r="BU187" s="242"/>
      <c r="BV187" s="242"/>
      <c r="BW187" s="242"/>
      <c r="BX187" s="242"/>
      <c r="BY187" s="242"/>
      <c r="BZ187" s="242"/>
      <c r="CA187" s="242"/>
      <c r="CB187" s="242"/>
      <c r="CC187" s="242"/>
      <c r="CD187" s="242"/>
      <c r="CE187" s="242"/>
      <c r="CF187" s="242"/>
      <c r="CG187" s="242"/>
      <c r="CH187" s="242"/>
      <c r="CI187" s="242"/>
      <c r="CJ187" s="242"/>
      <c r="CK187" s="242"/>
      <c r="CL187" s="242"/>
      <c r="CM187" s="242"/>
      <c r="CN187" s="242"/>
      <c r="CO187" s="242"/>
      <c r="CP187" s="242"/>
      <c r="CQ187" s="242"/>
      <c r="CR187" s="242"/>
      <c r="CS187" s="242"/>
      <c r="CT187" s="242"/>
      <c r="CU187" s="242"/>
    </row>
    <row r="188" spans="1:99">
      <c r="A188" s="75"/>
      <c r="B188" s="75"/>
      <c r="C188" s="269" t="s">
        <v>185</v>
      </c>
      <c r="D188" s="75"/>
      <c r="E188" s="270"/>
      <c r="F188" s="271"/>
      <c r="G188" s="271"/>
      <c r="H188" s="272"/>
      <c r="I188" s="273"/>
      <c r="J188" s="270"/>
      <c r="K188" s="271"/>
      <c r="L188" s="271"/>
      <c r="M188" s="272"/>
      <c r="N188" s="273"/>
      <c r="O188" s="270"/>
      <c r="P188" s="271"/>
      <c r="Q188" s="271"/>
      <c r="R188" s="272"/>
      <c r="S188" s="273"/>
      <c r="T188" s="270"/>
      <c r="U188" s="271"/>
      <c r="V188" s="271"/>
      <c r="W188" s="272"/>
      <c r="X188" s="273">
        <f t="shared" ref="X188:AF188" si="268">+X187/X196</f>
        <v>0.5697263856084438</v>
      </c>
      <c r="Y188" s="270">
        <f t="shared" si="268"/>
        <v>0.56024251965884753</v>
      </c>
      <c r="Z188" s="271">
        <f t="shared" si="268"/>
        <v>0.56533513080330522</v>
      </c>
      <c r="AA188" s="271">
        <f t="shared" si="268"/>
        <v>0.55497373869106104</v>
      </c>
      <c r="AB188" s="272">
        <f t="shared" si="268"/>
        <v>0.6921387539861964</v>
      </c>
      <c r="AC188" s="273">
        <f t="shared" si="268"/>
        <v>0.6921387539861964</v>
      </c>
      <c r="AD188" s="270">
        <f t="shared" si="268"/>
        <v>0.67947989321330471</v>
      </c>
      <c r="AE188" s="271">
        <f t="shared" si="268"/>
        <v>0.67171814992559842</v>
      </c>
      <c r="AF188" s="271">
        <f t="shared" si="268"/>
        <v>0.65871225251040411</v>
      </c>
      <c r="AG188" s="272">
        <f t="shared" ref="AG188:AM188" si="269">+AG187/AG196</f>
        <v>0.64408863210983291</v>
      </c>
      <c r="AH188" s="273">
        <f t="shared" si="269"/>
        <v>0.64408863210983291</v>
      </c>
      <c r="AI188" s="270">
        <f t="shared" si="269"/>
        <v>0.62943497590650965</v>
      </c>
      <c r="AJ188" s="271">
        <f t="shared" si="269"/>
        <v>0.61745853571773057</v>
      </c>
      <c r="AK188" s="271">
        <f t="shared" si="269"/>
        <v>0.61718072622265585</v>
      </c>
      <c r="AL188" s="272">
        <f t="shared" si="269"/>
        <v>0.61681745708994684</v>
      </c>
      <c r="AM188" s="273">
        <f t="shared" si="269"/>
        <v>0.61681745708994684</v>
      </c>
      <c r="AN188" s="270">
        <f t="shared" ref="AN188:AR188" si="270">+AN187/AN196</f>
        <v>0.60874922438626722</v>
      </c>
      <c r="AO188" s="271">
        <f t="shared" si="270"/>
        <v>0.60103777524399549</v>
      </c>
      <c r="AP188" s="271">
        <f t="shared" si="270"/>
        <v>0.58020363975962075</v>
      </c>
      <c r="AQ188" s="272">
        <f t="shared" si="270"/>
        <v>0.57710879818949778</v>
      </c>
      <c r="AR188" s="273">
        <f t="shared" si="270"/>
        <v>0.57710879818949778</v>
      </c>
      <c r="AS188" s="270">
        <f t="shared" ref="AS188:AW188" si="271">+AS187/AS196</f>
        <v>0.55453349401320084</v>
      </c>
      <c r="AT188" s="271">
        <f t="shared" si="271"/>
        <v>0.55303188164200878</v>
      </c>
      <c r="AU188" s="271">
        <f t="shared" si="271"/>
        <v>0.57051894948837401</v>
      </c>
      <c r="AV188" s="272">
        <f t="shared" si="271"/>
        <v>0.54912142986534629</v>
      </c>
      <c r="AW188" s="273">
        <f t="shared" si="271"/>
        <v>0.54912142986534629</v>
      </c>
      <c r="AX188" s="270">
        <f t="shared" ref="AX188:BL188" si="272">+AX187/AX196</f>
        <v>0.54448988683443833</v>
      </c>
      <c r="AY188" s="271">
        <f t="shared" si="272"/>
        <v>0.5474706991294227</v>
      </c>
      <c r="AZ188" s="271">
        <f t="shared" si="272"/>
        <v>0.54522233375189366</v>
      </c>
      <c r="BA188" s="272">
        <f t="shared" si="272"/>
        <v>0.54884475127759802</v>
      </c>
      <c r="BB188" s="273">
        <f t="shared" si="272"/>
        <v>0.54884475127759802</v>
      </c>
      <c r="BC188" s="270">
        <f t="shared" si="272"/>
        <v>0.54883781707872004</v>
      </c>
      <c r="BD188" s="271">
        <f t="shared" si="272"/>
        <v>0.54930998820940469</v>
      </c>
      <c r="BE188" s="271">
        <f t="shared" si="272"/>
        <v>0.54623741544948023</v>
      </c>
      <c r="BF188" s="272">
        <f t="shared" si="272"/>
        <v>0.54673430344796514</v>
      </c>
      <c r="BG188" s="273">
        <f t="shared" si="272"/>
        <v>0.54673430344796514</v>
      </c>
      <c r="BH188" s="270">
        <f t="shared" si="272"/>
        <v>0.54727933008249596</v>
      </c>
      <c r="BI188" s="271">
        <f t="shared" si="272"/>
        <v>0.54814244499433973</v>
      </c>
      <c r="BJ188" s="271">
        <f t="shared" si="272"/>
        <v>0.5443074078340765</v>
      </c>
      <c r="BK188" s="272">
        <f t="shared" si="272"/>
        <v>0.54579641374481702</v>
      </c>
      <c r="BL188" s="273">
        <f t="shared" si="272"/>
        <v>0.54579641374481702</v>
      </c>
      <c r="BM188" s="270">
        <f>+BM187/BM196</f>
        <v>0.54702123797080593</v>
      </c>
      <c r="BN188" s="271">
        <f>+BN187/BN196</f>
        <v>0.5483780291967123</v>
      </c>
      <c r="BO188" s="271">
        <f>+BO187/BO196</f>
        <v>0.55893165017444602</v>
      </c>
      <c r="BP188" s="272">
        <f>+BP187/BP196</f>
        <v>0.54732558474370563</v>
      </c>
      <c r="BQ188" s="273">
        <f>+BQ187/BQ196</f>
        <v>0.54732558474370563</v>
      </c>
      <c r="BR188" s="75"/>
      <c r="BS188" s="75"/>
      <c r="BT188" s="75"/>
      <c r="BU188" s="75"/>
      <c r="BV188" s="75"/>
      <c r="BW188" s="75"/>
      <c r="BX188" s="75"/>
      <c r="BY188" s="75"/>
      <c r="BZ188" s="75"/>
      <c r="CA188" s="75"/>
      <c r="CB188" s="75"/>
      <c r="CC188" s="75"/>
      <c r="CD188" s="75"/>
      <c r="CE188" s="75"/>
      <c r="CF188" s="75"/>
      <c r="CG188" s="75"/>
      <c r="CH188" s="75"/>
      <c r="CI188" s="75"/>
      <c r="CJ188" s="75"/>
      <c r="CK188" s="75"/>
      <c r="CL188" s="75"/>
      <c r="CM188" s="75"/>
      <c r="CN188" s="75"/>
      <c r="CO188" s="75"/>
      <c r="CP188" s="75"/>
      <c r="CQ188" s="75"/>
      <c r="CR188" s="75"/>
      <c r="CS188" s="75"/>
      <c r="CT188" s="75"/>
      <c r="CU188" s="75"/>
    </row>
    <row r="189" spans="1:99">
      <c r="A189" s="303"/>
      <c r="B189" s="303"/>
      <c r="C189" s="366"/>
      <c r="D189" s="303"/>
      <c r="E189" s="305"/>
      <c r="F189" s="306"/>
      <c r="G189" s="306"/>
      <c r="H189" s="307"/>
      <c r="I189" s="303"/>
      <c r="J189" s="305"/>
      <c r="K189" s="306"/>
      <c r="L189" s="306"/>
      <c r="M189" s="307"/>
      <c r="N189" s="303"/>
      <c r="O189" s="305"/>
      <c r="P189" s="306"/>
      <c r="Q189" s="306"/>
      <c r="R189" s="307"/>
      <c r="S189" s="303"/>
      <c r="T189" s="305"/>
      <c r="U189" s="306"/>
      <c r="V189" s="306"/>
      <c r="W189" s="307"/>
      <c r="X189" s="1249"/>
      <c r="Y189" s="1250"/>
      <c r="Z189" s="1251"/>
      <c r="AA189" s="1251"/>
      <c r="AB189" s="1252"/>
      <c r="AC189" s="1249"/>
      <c r="AD189" s="1250"/>
      <c r="AE189" s="1251"/>
      <c r="AF189" s="1251"/>
      <c r="AG189" s="1252"/>
      <c r="AH189" s="1249"/>
      <c r="AI189" s="1250"/>
      <c r="AJ189" s="1251"/>
      <c r="AK189" s="1251"/>
      <c r="AL189" s="1252"/>
      <c r="AM189" s="1249"/>
      <c r="AN189" s="1250"/>
      <c r="AO189" s="1251"/>
      <c r="AP189" s="1251"/>
      <c r="AQ189" s="1252"/>
      <c r="AR189" s="1249"/>
      <c r="AS189" s="1250"/>
      <c r="AT189" s="1251"/>
      <c r="AU189" s="1251"/>
      <c r="AV189" s="1252"/>
      <c r="AW189" s="1249"/>
      <c r="AX189" s="305"/>
      <c r="AY189" s="306"/>
      <c r="AZ189" s="306"/>
      <c r="BA189" s="307"/>
      <c r="BB189" s="303"/>
      <c r="BC189" s="305"/>
      <c r="BD189" s="306"/>
      <c r="BE189" s="306"/>
      <c r="BF189" s="307"/>
      <c r="BG189" s="303"/>
      <c r="BH189" s="305"/>
      <c r="BI189" s="306"/>
      <c r="BJ189" s="306"/>
      <c r="BK189" s="307"/>
      <c r="BL189" s="303"/>
      <c r="BM189" s="305"/>
      <c r="BN189" s="306"/>
      <c r="BO189" s="306"/>
      <c r="BP189" s="307"/>
      <c r="BQ189" s="303"/>
      <c r="BR189" s="303"/>
      <c r="BS189" s="303"/>
      <c r="BT189" s="303"/>
      <c r="BU189" s="303"/>
      <c r="BV189" s="303"/>
      <c r="BW189" s="303"/>
      <c r="BX189" s="303"/>
      <c r="BY189" s="303"/>
      <c r="BZ189" s="303"/>
      <c r="CA189" s="303"/>
      <c r="CB189" s="303"/>
      <c r="CC189" s="303"/>
      <c r="CD189" s="303"/>
      <c r="CE189" s="303"/>
      <c r="CF189" s="303"/>
      <c r="CG189" s="303"/>
      <c r="CH189" s="303"/>
      <c r="CI189" s="303"/>
      <c r="CJ189" s="303"/>
      <c r="CK189" s="303"/>
      <c r="CL189" s="303"/>
      <c r="CM189" s="303"/>
      <c r="CN189" s="303"/>
      <c r="CO189" s="303"/>
      <c r="CP189" s="303"/>
      <c r="CQ189" s="303"/>
      <c r="CR189" s="303"/>
      <c r="CS189" s="303"/>
      <c r="CT189" s="303"/>
      <c r="CU189" s="303"/>
    </row>
    <row r="190" spans="1:99">
      <c r="A190" s="242"/>
      <c r="B190" s="242"/>
      <c r="C190" s="164" t="s">
        <v>186</v>
      </c>
      <c r="D190" s="109"/>
      <c r="E190" s="256"/>
      <c r="F190" s="257"/>
      <c r="G190" s="257"/>
      <c r="H190" s="147"/>
      <c r="I190" s="258"/>
      <c r="J190" s="256"/>
      <c r="K190" s="257"/>
      <c r="L190" s="257"/>
      <c r="M190" s="147"/>
      <c r="N190" s="258"/>
      <c r="O190" s="256"/>
      <c r="P190" s="257"/>
      <c r="Q190" s="572"/>
      <c r="R190" s="147"/>
      <c r="S190" s="258"/>
      <c r="T190" s="256"/>
      <c r="U190" s="257"/>
      <c r="V190" s="257"/>
      <c r="W190" s="147"/>
      <c r="X190" s="258">
        <v>0</v>
      </c>
      <c r="Y190" s="256">
        <v>0</v>
      </c>
      <c r="Z190" s="257">
        <v>0</v>
      </c>
      <c r="AA190" s="257">
        <v>0</v>
      </c>
      <c r="AB190" s="1221">
        <f>AC190</f>
        <v>0</v>
      </c>
      <c r="AC190" s="258">
        <v>0</v>
      </c>
      <c r="AD190" s="256">
        <v>0</v>
      </c>
      <c r="AE190" s="257">
        <v>0</v>
      </c>
      <c r="AF190" s="257">
        <v>0</v>
      </c>
      <c r="AG190" s="1221">
        <f>AH190</f>
        <v>0</v>
      </c>
      <c r="AH190" s="258">
        <v>0</v>
      </c>
      <c r="AI190" s="256">
        <v>0</v>
      </c>
      <c r="AJ190" s="257">
        <v>0</v>
      </c>
      <c r="AK190" s="257">
        <v>0</v>
      </c>
      <c r="AL190" s="1221">
        <f>AM190</f>
        <v>0</v>
      </c>
      <c r="AM190" s="258">
        <v>0</v>
      </c>
      <c r="AN190" s="256">
        <v>0</v>
      </c>
      <c r="AO190" s="257">
        <v>0</v>
      </c>
      <c r="AP190" s="257">
        <v>0</v>
      </c>
      <c r="AQ190" s="1221">
        <f>AR190</f>
        <v>0</v>
      </c>
      <c r="AR190" s="258">
        <v>0</v>
      </c>
      <c r="AS190" s="256">
        <v>0</v>
      </c>
      <c r="AT190" s="257">
        <v>0</v>
      </c>
      <c r="AU190" s="257">
        <v>0</v>
      </c>
      <c r="AV190" s="1221">
        <f>AW190</f>
        <v>0</v>
      </c>
      <c r="AW190" s="258">
        <v>0</v>
      </c>
      <c r="AX190" s="149">
        <f t="shared" ref="AX190:BL190" si="273">+AW190</f>
        <v>0</v>
      </c>
      <c r="AY190" s="150">
        <f t="shared" si="273"/>
        <v>0</v>
      </c>
      <c r="AZ190" s="150">
        <f t="shared" si="273"/>
        <v>0</v>
      </c>
      <c r="BA190" s="151">
        <f t="shared" si="273"/>
        <v>0</v>
      </c>
      <c r="BB190" s="112">
        <f t="shared" si="273"/>
        <v>0</v>
      </c>
      <c r="BC190" s="149">
        <f t="shared" si="273"/>
        <v>0</v>
      </c>
      <c r="BD190" s="150">
        <f t="shared" si="273"/>
        <v>0</v>
      </c>
      <c r="BE190" s="150">
        <f t="shared" si="273"/>
        <v>0</v>
      </c>
      <c r="BF190" s="151">
        <f t="shared" si="273"/>
        <v>0</v>
      </c>
      <c r="BG190" s="112">
        <f t="shared" si="273"/>
        <v>0</v>
      </c>
      <c r="BH190" s="149">
        <f t="shared" si="273"/>
        <v>0</v>
      </c>
      <c r="BI190" s="150">
        <f t="shared" si="273"/>
        <v>0</v>
      </c>
      <c r="BJ190" s="150">
        <f t="shared" si="273"/>
        <v>0</v>
      </c>
      <c r="BK190" s="151">
        <f t="shared" si="273"/>
        <v>0</v>
      </c>
      <c r="BL190" s="112">
        <f t="shared" si="273"/>
        <v>0</v>
      </c>
      <c r="BM190" s="149">
        <f>+BL190</f>
        <v>0</v>
      </c>
      <c r="BN190" s="150">
        <f>+BM190</f>
        <v>0</v>
      </c>
      <c r="BO190" s="150">
        <f>+BN190</f>
        <v>0</v>
      </c>
      <c r="BP190" s="151">
        <f>+BO190</f>
        <v>0</v>
      </c>
      <c r="BQ190" s="112">
        <f>+BP190</f>
        <v>0</v>
      </c>
      <c r="BR190" s="242"/>
      <c r="BS190" s="242"/>
      <c r="BT190" s="242"/>
      <c r="BU190" s="242"/>
      <c r="BV190" s="242"/>
      <c r="BW190" s="242"/>
      <c r="BX190" s="242"/>
      <c r="BY190" s="242"/>
      <c r="BZ190" s="242"/>
      <c r="CA190" s="242"/>
      <c r="CB190" s="242"/>
      <c r="CC190" s="242"/>
      <c r="CD190" s="242"/>
      <c r="CE190" s="242"/>
      <c r="CF190" s="242"/>
      <c r="CG190" s="242"/>
      <c r="CH190" s="242"/>
      <c r="CI190" s="242"/>
      <c r="CJ190" s="242"/>
      <c r="CK190" s="242"/>
      <c r="CL190" s="242"/>
      <c r="CM190" s="242"/>
      <c r="CN190" s="242"/>
      <c r="CO190" s="242"/>
      <c r="CP190" s="242"/>
      <c r="CQ190" s="242"/>
      <c r="CR190" s="242"/>
      <c r="CS190" s="242"/>
      <c r="CT190" s="242"/>
      <c r="CU190" s="242"/>
    </row>
    <row r="191" spans="1:99">
      <c r="A191" s="75"/>
      <c r="B191" s="75"/>
      <c r="C191" s="269" t="s">
        <v>185</v>
      </c>
      <c r="D191" s="75"/>
      <c r="E191" s="270"/>
      <c r="F191" s="271"/>
      <c r="G191" s="271"/>
      <c r="H191" s="272"/>
      <c r="I191" s="273"/>
      <c r="J191" s="270"/>
      <c r="K191" s="271"/>
      <c r="L191" s="271"/>
      <c r="M191" s="272"/>
      <c r="N191" s="273"/>
      <c r="O191" s="270"/>
      <c r="P191" s="271"/>
      <c r="Q191" s="271"/>
      <c r="R191" s="272"/>
      <c r="S191" s="273"/>
      <c r="T191" s="270"/>
      <c r="U191" s="271"/>
      <c r="V191" s="271"/>
      <c r="W191" s="272"/>
      <c r="X191" s="273">
        <f t="shared" ref="X191:AF191" si="274">+X190/X196</f>
        <v>0</v>
      </c>
      <c r="Y191" s="270">
        <f t="shared" si="274"/>
        <v>0</v>
      </c>
      <c r="Z191" s="271">
        <f t="shared" si="274"/>
        <v>0</v>
      </c>
      <c r="AA191" s="271">
        <f t="shared" si="274"/>
        <v>0</v>
      </c>
      <c r="AB191" s="272">
        <f t="shared" si="274"/>
        <v>0</v>
      </c>
      <c r="AC191" s="273">
        <f t="shared" si="274"/>
        <v>0</v>
      </c>
      <c r="AD191" s="270">
        <f t="shared" si="274"/>
        <v>0</v>
      </c>
      <c r="AE191" s="271">
        <f t="shared" si="274"/>
        <v>0</v>
      </c>
      <c r="AF191" s="271">
        <f t="shared" si="274"/>
        <v>0</v>
      </c>
      <c r="AG191" s="272">
        <f t="shared" ref="AG191:AM191" si="275">+AG190/AG196</f>
        <v>0</v>
      </c>
      <c r="AH191" s="273">
        <f t="shared" si="275"/>
        <v>0</v>
      </c>
      <c r="AI191" s="270">
        <f t="shared" si="275"/>
        <v>0</v>
      </c>
      <c r="AJ191" s="271">
        <f t="shared" si="275"/>
        <v>0</v>
      </c>
      <c r="AK191" s="271">
        <f t="shared" si="275"/>
        <v>0</v>
      </c>
      <c r="AL191" s="272">
        <f t="shared" si="275"/>
        <v>0</v>
      </c>
      <c r="AM191" s="273">
        <f t="shared" si="275"/>
        <v>0</v>
      </c>
      <c r="AN191" s="270">
        <f t="shared" ref="AN191:AR191" si="276">+AN190/AN196</f>
        <v>0</v>
      </c>
      <c r="AO191" s="271">
        <f t="shared" si="276"/>
        <v>0</v>
      </c>
      <c r="AP191" s="271">
        <f t="shared" si="276"/>
        <v>0</v>
      </c>
      <c r="AQ191" s="272">
        <f t="shared" si="276"/>
        <v>0</v>
      </c>
      <c r="AR191" s="273">
        <f t="shared" si="276"/>
        <v>0</v>
      </c>
      <c r="AS191" s="270">
        <f t="shared" ref="AS191:AW191" si="277">+AS190/AS196</f>
        <v>0</v>
      </c>
      <c r="AT191" s="271">
        <f t="shared" si="277"/>
        <v>0</v>
      </c>
      <c r="AU191" s="271">
        <f t="shared" si="277"/>
        <v>0</v>
      </c>
      <c r="AV191" s="272">
        <f t="shared" si="277"/>
        <v>0</v>
      </c>
      <c r="AW191" s="273">
        <f t="shared" si="277"/>
        <v>0</v>
      </c>
      <c r="AX191" s="270">
        <f t="shared" ref="AX191:BL191" si="278">+AX190/AX196</f>
        <v>0</v>
      </c>
      <c r="AY191" s="271">
        <f t="shared" si="278"/>
        <v>0</v>
      </c>
      <c r="AZ191" s="271">
        <f t="shared" si="278"/>
        <v>0</v>
      </c>
      <c r="BA191" s="272">
        <f t="shared" si="278"/>
        <v>0</v>
      </c>
      <c r="BB191" s="273">
        <f t="shared" si="278"/>
        <v>0</v>
      </c>
      <c r="BC191" s="270">
        <f t="shared" si="278"/>
        <v>0</v>
      </c>
      <c r="BD191" s="271">
        <f t="shared" si="278"/>
        <v>0</v>
      </c>
      <c r="BE191" s="271">
        <f t="shared" si="278"/>
        <v>0</v>
      </c>
      <c r="BF191" s="272">
        <f t="shared" si="278"/>
        <v>0</v>
      </c>
      <c r="BG191" s="273">
        <f t="shared" si="278"/>
        <v>0</v>
      </c>
      <c r="BH191" s="270">
        <f t="shared" si="278"/>
        <v>0</v>
      </c>
      <c r="BI191" s="271">
        <f t="shared" si="278"/>
        <v>0</v>
      </c>
      <c r="BJ191" s="271">
        <f t="shared" si="278"/>
        <v>0</v>
      </c>
      <c r="BK191" s="272">
        <f t="shared" si="278"/>
        <v>0</v>
      </c>
      <c r="BL191" s="273">
        <f t="shared" si="278"/>
        <v>0</v>
      </c>
      <c r="BM191" s="270">
        <f>+BM190/BM196</f>
        <v>0</v>
      </c>
      <c r="BN191" s="271">
        <f>+BN190/BN196</f>
        <v>0</v>
      </c>
      <c r="BO191" s="271">
        <f>+BO190/BO196</f>
        <v>0</v>
      </c>
      <c r="BP191" s="272">
        <f>+BP190/BP196</f>
        <v>0</v>
      </c>
      <c r="BQ191" s="273">
        <f>+BQ190/BQ196</f>
        <v>0</v>
      </c>
      <c r="BR191" s="75"/>
      <c r="BS191" s="75"/>
      <c r="BT191" s="75"/>
      <c r="BU191" s="75"/>
      <c r="BV191" s="75"/>
      <c r="BW191" s="75"/>
      <c r="BX191" s="75"/>
      <c r="BY191" s="75"/>
      <c r="BZ191" s="75"/>
      <c r="CA191" s="75"/>
      <c r="CB191" s="75"/>
      <c r="CC191" s="75"/>
      <c r="CD191" s="75"/>
      <c r="CE191" s="75"/>
      <c r="CF191" s="75"/>
      <c r="CG191" s="75"/>
      <c r="CH191" s="75"/>
      <c r="CI191" s="75"/>
      <c r="CJ191" s="75"/>
      <c r="CK191" s="75"/>
      <c r="CL191" s="75"/>
      <c r="CM191" s="75"/>
      <c r="CN191" s="75"/>
      <c r="CO191" s="75"/>
      <c r="CP191" s="75"/>
      <c r="CQ191" s="75"/>
      <c r="CR191" s="75"/>
      <c r="CS191" s="75"/>
      <c r="CT191" s="75"/>
      <c r="CU191" s="75"/>
    </row>
    <row r="192" spans="1:99">
      <c r="A192" s="50"/>
      <c r="B192" s="50"/>
      <c r="C192" s="100"/>
      <c r="D192" s="50"/>
      <c r="E192" s="225"/>
      <c r="F192" s="226"/>
      <c r="G192" s="226"/>
      <c r="H192" s="227"/>
      <c r="I192" s="228"/>
      <c r="J192" s="225"/>
      <c r="K192" s="226"/>
      <c r="L192" s="226"/>
      <c r="M192" s="227"/>
      <c r="N192" s="228"/>
      <c r="O192" s="225"/>
      <c r="P192" s="226"/>
      <c r="Q192" s="226"/>
      <c r="R192" s="227"/>
      <c r="S192" s="228"/>
      <c r="T192" s="225"/>
      <c r="U192" s="226"/>
      <c r="V192" s="226"/>
      <c r="W192" s="227"/>
      <c r="X192" s="1253"/>
      <c r="Y192" s="1254"/>
      <c r="Z192" s="1255"/>
      <c r="AA192" s="1255"/>
      <c r="AB192" s="1256"/>
      <c r="AC192" s="1253"/>
      <c r="AD192" s="1254"/>
      <c r="AE192" s="1255"/>
      <c r="AF192" s="1255"/>
      <c r="AG192" s="1256"/>
      <c r="AH192" s="1253"/>
      <c r="AI192" s="1254"/>
      <c r="AJ192" s="1255"/>
      <c r="AK192" s="1255"/>
      <c r="AL192" s="1256"/>
      <c r="AM192" s="1253"/>
      <c r="AN192" s="1254"/>
      <c r="AO192" s="1255"/>
      <c r="AP192" s="1255"/>
      <c r="AQ192" s="1256"/>
      <c r="AR192" s="1253"/>
      <c r="AS192" s="1254"/>
      <c r="AT192" s="1255"/>
      <c r="AU192" s="1255"/>
      <c r="AV192" s="1256"/>
      <c r="AW192" s="1253"/>
      <c r="AX192" s="225"/>
      <c r="AY192" s="226"/>
      <c r="AZ192" s="226"/>
      <c r="BA192" s="227"/>
      <c r="BB192" s="228"/>
      <c r="BC192" s="225"/>
      <c r="BD192" s="226"/>
      <c r="BE192" s="226"/>
      <c r="BF192" s="227"/>
      <c r="BG192" s="228"/>
      <c r="BH192" s="225"/>
      <c r="BI192" s="226"/>
      <c r="BJ192" s="226"/>
      <c r="BK192" s="227"/>
      <c r="BL192" s="228"/>
      <c r="BM192" s="225"/>
      <c r="BN192" s="226"/>
      <c r="BO192" s="226"/>
      <c r="BP192" s="227"/>
      <c r="BQ192" s="228"/>
      <c r="BR192" s="50"/>
      <c r="BS192" s="50"/>
      <c r="BT192" s="50"/>
      <c r="BU192" s="50"/>
      <c r="BV192" s="50"/>
      <c r="BW192" s="50"/>
      <c r="BX192" s="50"/>
      <c r="BY192" s="50"/>
      <c r="BZ192" s="50"/>
      <c r="CA192" s="50"/>
      <c r="CB192" s="50"/>
      <c r="CC192" s="50"/>
      <c r="CD192" s="50"/>
      <c r="CE192" s="50"/>
      <c r="CF192" s="50"/>
      <c r="CG192" s="50"/>
      <c r="CH192" s="50"/>
      <c r="CI192" s="50"/>
      <c r="CJ192" s="50"/>
      <c r="CK192" s="50"/>
      <c r="CL192" s="50"/>
      <c r="CM192" s="50"/>
      <c r="CN192" s="50"/>
      <c r="CO192" s="50"/>
      <c r="CP192" s="50"/>
      <c r="CQ192" s="50"/>
      <c r="CR192" s="50"/>
      <c r="CS192" s="50"/>
      <c r="CT192" s="50"/>
      <c r="CU192" s="50"/>
    </row>
    <row r="193" spans="1:99">
      <c r="A193" s="242"/>
      <c r="B193" s="242"/>
      <c r="C193" s="164" t="s">
        <v>869</v>
      </c>
      <c r="D193" s="145"/>
      <c r="E193" s="256"/>
      <c r="F193" s="257"/>
      <c r="G193" s="257"/>
      <c r="H193" s="151"/>
      <c r="I193" s="258"/>
      <c r="J193" s="256"/>
      <c r="K193" s="257"/>
      <c r="L193" s="257"/>
      <c r="M193" s="151"/>
      <c r="N193" s="258"/>
      <c r="O193" s="256"/>
      <c r="P193" s="257"/>
      <c r="Q193" s="572"/>
      <c r="R193" s="151"/>
      <c r="S193" s="258"/>
      <c r="T193" s="256"/>
      <c r="U193" s="257"/>
      <c r="V193" s="257"/>
      <c r="W193" s="151"/>
      <c r="X193" s="112">
        <f>'Utility Detail'!X156</f>
        <v>5519.9660000000003</v>
      </c>
      <c r="Y193" s="149">
        <f>'Utility Detail'!Y156</f>
        <v>5605.4470000000001</v>
      </c>
      <c r="Z193" s="150">
        <f>'Utility Detail'!Z156</f>
        <v>5560.5789999999997</v>
      </c>
      <c r="AA193" s="150">
        <f>'Utility Detail'!AA156</f>
        <v>5678.2079999999996</v>
      </c>
      <c r="AB193" s="151">
        <f>AC193</f>
        <v>2751.5770000000002</v>
      </c>
      <c r="AC193" s="112">
        <f>'Utility Detail'!AC156</f>
        <v>2751.5770000000002</v>
      </c>
      <c r="AD193" s="149">
        <f>'Utility Detail'!AD156</f>
        <v>2814.2049999999999</v>
      </c>
      <c r="AE193" s="150">
        <f>'Utility Detail'!AE156</f>
        <v>2884.761</v>
      </c>
      <c r="AF193" s="150">
        <f>'Utility Detail'!AF156</f>
        <v>2967.5699999999997</v>
      </c>
      <c r="AG193" s="151">
        <f>AH193</f>
        <v>3208.5150000000003</v>
      </c>
      <c r="AH193" s="112">
        <f>'Utility Detail'!AH156</f>
        <v>3208.5150000000003</v>
      </c>
      <c r="AI193" s="149">
        <f>'Utility Detail'!AI156</f>
        <v>3335.4479999999999</v>
      </c>
      <c r="AJ193" s="150">
        <f>'Utility Detail'!AJ156</f>
        <v>3458.386</v>
      </c>
      <c r="AK193" s="150">
        <f>'Utility Detail'!AK156</f>
        <v>3492.002</v>
      </c>
      <c r="AL193" s="151">
        <f>AM193</f>
        <v>3479.7370000000001</v>
      </c>
      <c r="AM193" s="112">
        <f>'Utility Detail'!AM156</f>
        <v>3479.7370000000001</v>
      </c>
      <c r="AN193" s="149">
        <f>'Utility Detail'!AN156</f>
        <v>3503.9679999999998</v>
      </c>
      <c r="AO193" s="150">
        <f>'Utility Detail'!AO156</f>
        <v>3544.5359999999996</v>
      </c>
      <c r="AP193" s="150">
        <f>'Utility Detail'!AP156</f>
        <v>3691.384</v>
      </c>
      <c r="AQ193" s="151">
        <f>AR193</f>
        <v>3774.6</v>
      </c>
      <c r="AR193" s="112">
        <f>'Utility Detail'!AR156</f>
        <v>3774.6</v>
      </c>
      <c r="AS193" s="149">
        <f>'Utility Detail'!AS156</f>
        <v>4029.2</v>
      </c>
      <c r="AT193" s="150">
        <f>'Utility Detail'!AT156</f>
        <v>4075.5</v>
      </c>
      <c r="AU193" s="150">
        <f>'Utility Detail'!AU156</f>
        <v>4222.3999999999996</v>
      </c>
      <c r="AV193" s="151">
        <f>AW193</f>
        <v>4480.2000000000007</v>
      </c>
      <c r="AW193" s="112">
        <f>'Utility Detail'!AW156</f>
        <v>4480.2000000000007</v>
      </c>
      <c r="AX193" s="149">
        <f>+AW193+AX155+AX171</f>
        <v>4579.3769783162188</v>
      </c>
      <c r="AY193" s="150">
        <f>+AX193+AY155+AY171</f>
        <v>4674.1368273992366</v>
      </c>
      <c r="AZ193" s="150">
        <f>+AY193+AZ155+AZ171</f>
        <v>4820.8050282010063</v>
      </c>
      <c r="BA193" s="151">
        <f>+AZ193+BA155+BA171</f>
        <v>4903.0109855306491</v>
      </c>
      <c r="BB193" s="112">
        <f>+BA193</f>
        <v>4903.0109855306491</v>
      </c>
      <c r="BC193" s="149">
        <f>+BB193+BC155+BC171</f>
        <v>5001.7777703532183</v>
      </c>
      <c r="BD193" s="150">
        <f>+BC193+BD155+BD171</f>
        <v>5092.6316882132169</v>
      </c>
      <c r="BE193" s="150">
        <f>+BD193+BE155+BE171</f>
        <v>5232.4161205520104</v>
      </c>
      <c r="BF193" s="151">
        <f>+BE193+BF155+BF171</f>
        <v>5310.720951516013</v>
      </c>
      <c r="BG193" s="112">
        <f>+BF193</f>
        <v>5310.720951516013</v>
      </c>
      <c r="BH193" s="149">
        <f>+BG193+BH155+BH171</f>
        <v>5369.977198275843</v>
      </c>
      <c r="BI193" s="150">
        <f>+BH193+BI155+BI171</f>
        <v>5422.9942857717015</v>
      </c>
      <c r="BJ193" s="150">
        <f>+BI193+BJ155+BJ171</f>
        <v>5531.8779794936499</v>
      </c>
      <c r="BK193" s="151">
        <f>+BJ193+BK155+BK171</f>
        <v>5575.5368409981265</v>
      </c>
      <c r="BL193" s="112">
        <f>+BK193</f>
        <v>5575.5368409981265</v>
      </c>
      <c r="BM193" s="149">
        <f>+BL193+BM155+BM171</f>
        <v>5621.2841927306163</v>
      </c>
      <c r="BN193" s="150">
        <f>+BM193+BN155+BN171</f>
        <v>5664.1624752950856</v>
      </c>
      <c r="BO193" s="150">
        <f>+BN193+BO155+BO171</f>
        <v>5760.3077124243537</v>
      </c>
      <c r="BP193" s="151">
        <f>+BO193+BP155+BP171</f>
        <v>5794.4643016995542</v>
      </c>
      <c r="BQ193" s="112">
        <f>+BP193</f>
        <v>5794.4643016995542</v>
      </c>
      <c r="BR193" s="242"/>
      <c r="BS193" s="242"/>
      <c r="BT193" s="242"/>
      <c r="BU193" s="242"/>
      <c r="BV193" s="242"/>
      <c r="BW193" s="242"/>
      <c r="BX193" s="242"/>
      <c r="BY193" s="242"/>
      <c r="BZ193" s="242"/>
      <c r="CA193" s="242"/>
      <c r="CB193" s="242"/>
      <c r="CC193" s="242"/>
      <c r="CD193" s="242"/>
      <c r="CE193" s="242"/>
      <c r="CF193" s="242"/>
      <c r="CG193" s="242"/>
      <c r="CH193" s="242"/>
      <c r="CI193" s="242"/>
      <c r="CJ193" s="242"/>
      <c r="CK193" s="242"/>
      <c r="CL193" s="242"/>
      <c r="CM193" s="242"/>
      <c r="CN193" s="242"/>
      <c r="CO193" s="242"/>
      <c r="CP193" s="242"/>
      <c r="CQ193" s="242"/>
      <c r="CR193" s="242"/>
      <c r="CS193" s="242"/>
      <c r="CT193" s="242"/>
      <c r="CU193" s="242"/>
    </row>
    <row r="194" spans="1:99">
      <c r="A194" s="75"/>
      <c r="B194" s="75"/>
      <c r="C194" s="269" t="s">
        <v>185</v>
      </c>
      <c r="D194" s="75"/>
      <c r="E194" s="270"/>
      <c r="F194" s="271"/>
      <c r="G194" s="271"/>
      <c r="H194" s="272"/>
      <c r="I194" s="273"/>
      <c r="J194" s="270"/>
      <c r="K194" s="271"/>
      <c r="L194" s="271"/>
      <c r="M194" s="272"/>
      <c r="N194" s="273"/>
      <c r="O194" s="270"/>
      <c r="P194" s="271"/>
      <c r="Q194" s="271"/>
      <c r="R194" s="272"/>
      <c r="S194" s="273"/>
      <c r="T194" s="270"/>
      <c r="U194" s="271"/>
      <c r="V194" s="271"/>
      <c r="W194" s="272"/>
      <c r="X194" s="273">
        <f t="shared" ref="X194:AF194" si="279">+X193/X196</f>
        <v>0.43027361439155626</v>
      </c>
      <c r="Y194" s="270">
        <f t="shared" si="279"/>
        <v>0.43975748034115242</v>
      </c>
      <c r="Z194" s="271">
        <f t="shared" si="279"/>
        <v>0.43466486919669473</v>
      </c>
      <c r="AA194" s="271">
        <f t="shared" si="279"/>
        <v>0.44502626130893902</v>
      </c>
      <c r="AB194" s="272">
        <f t="shared" si="279"/>
        <v>0.30786124601380355</v>
      </c>
      <c r="AC194" s="273">
        <f t="shared" si="279"/>
        <v>0.30786124601380355</v>
      </c>
      <c r="AD194" s="270">
        <f t="shared" si="279"/>
        <v>0.3205201067866954</v>
      </c>
      <c r="AE194" s="271">
        <f t="shared" si="279"/>
        <v>0.32828185007440147</v>
      </c>
      <c r="AF194" s="271">
        <f t="shared" si="279"/>
        <v>0.34128774748959595</v>
      </c>
      <c r="AG194" s="272">
        <f t="shared" ref="AG194:AM194" si="280">+AG193/AG196</f>
        <v>0.35591136789016703</v>
      </c>
      <c r="AH194" s="273">
        <f t="shared" si="280"/>
        <v>0.35591136789016703</v>
      </c>
      <c r="AI194" s="270">
        <f t="shared" si="280"/>
        <v>0.37056502409349029</v>
      </c>
      <c r="AJ194" s="271">
        <f t="shared" si="280"/>
        <v>0.38254146428226948</v>
      </c>
      <c r="AK194" s="271">
        <f t="shared" si="280"/>
        <v>0.38281927377734426</v>
      </c>
      <c r="AL194" s="272">
        <f t="shared" si="280"/>
        <v>0.38318254291005316</v>
      </c>
      <c r="AM194" s="273">
        <f t="shared" si="280"/>
        <v>0.38318254291005316</v>
      </c>
      <c r="AN194" s="270">
        <f t="shared" ref="AN194:AR194" si="281">+AN193/AN196</f>
        <v>0.39125077561373278</v>
      </c>
      <c r="AO194" s="271">
        <f t="shared" si="281"/>
        <v>0.39896222475600462</v>
      </c>
      <c r="AP194" s="271">
        <f t="shared" si="281"/>
        <v>0.41979636024037914</v>
      </c>
      <c r="AQ194" s="272">
        <f t="shared" si="281"/>
        <v>0.42289120181050222</v>
      </c>
      <c r="AR194" s="273">
        <f t="shared" si="281"/>
        <v>0.42289120181050222</v>
      </c>
      <c r="AS194" s="270">
        <f t="shared" ref="AS194:AW194" si="282">+AS193/AS196</f>
        <v>0.44546650598679921</v>
      </c>
      <c r="AT194" s="271">
        <f t="shared" si="282"/>
        <v>0.44696811835799133</v>
      </c>
      <c r="AU194" s="271">
        <f t="shared" si="282"/>
        <v>0.42948105051162599</v>
      </c>
      <c r="AV194" s="272">
        <f t="shared" si="282"/>
        <v>0.45087857013465377</v>
      </c>
      <c r="AW194" s="273">
        <f t="shared" si="282"/>
        <v>0.45087857013465377</v>
      </c>
      <c r="AX194" s="270">
        <f t="shared" ref="AX194:BB194" si="283">+AX193/AX196</f>
        <v>0.45551011316556161</v>
      </c>
      <c r="AY194" s="271">
        <f t="shared" si="283"/>
        <v>0.45252930087057736</v>
      </c>
      <c r="AZ194" s="271">
        <f t="shared" si="283"/>
        <v>0.45477766624810639</v>
      </c>
      <c r="BA194" s="272">
        <f t="shared" si="283"/>
        <v>0.45115524872240209</v>
      </c>
      <c r="BB194" s="273">
        <f t="shared" si="283"/>
        <v>0.45115524872240209</v>
      </c>
      <c r="BC194" s="270">
        <f t="shared" ref="BC194:BL194" si="284">+BC193/BC196</f>
        <v>0.45116218292127991</v>
      </c>
      <c r="BD194" s="271">
        <f t="shared" si="284"/>
        <v>0.45069001179059537</v>
      </c>
      <c r="BE194" s="271">
        <f t="shared" si="284"/>
        <v>0.45376258455051965</v>
      </c>
      <c r="BF194" s="272">
        <f t="shared" si="284"/>
        <v>0.45326569655203491</v>
      </c>
      <c r="BG194" s="273">
        <f t="shared" si="284"/>
        <v>0.45326569655203491</v>
      </c>
      <c r="BH194" s="270">
        <f t="shared" si="284"/>
        <v>0.45272066991750404</v>
      </c>
      <c r="BI194" s="271">
        <f t="shared" si="284"/>
        <v>0.45185755500566022</v>
      </c>
      <c r="BJ194" s="271">
        <f t="shared" si="284"/>
        <v>0.4556925921659235</v>
      </c>
      <c r="BK194" s="272">
        <f t="shared" si="284"/>
        <v>0.45420358625518292</v>
      </c>
      <c r="BL194" s="273">
        <f t="shared" si="284"/>
        <v>0.45420358625518292</v>
      </c>
      <c r="BM194" s="270">
        <f>+BM193/BM196</f>
        <v>0.45297876202919407</v>
      </c>
      <c r="BN194" s="271">
        <f>+BN193/BN196</f>
        <v>0.45162197080328764</v>
      </c>
      <c r="BO194" s="271">
        <f>+BO193/BO196</f>
        <v>0.44106834982555387</v>
      </c>
      <c r="BP194" s="272">
        <f>+BP193/BP196</f>
        <v>0.45267441525629432</v>
      </c>
      <c r="BQ194" s="273">
        <f>+BQ193/BQ196</f>
        <v>0.45267441525629432</v>
      </c>
      <c r="BR194" s="75"/>
      <c r="BS194" s="75"/>
      <c r="BT194" s="75"/>
      <c r="BU194" s="75"/>
      <c r="BV194" s="75"/>
      <c r="BW194" s="75"/>
      <c r="BX194" s="75"/>
      <c r="BY194" s="75"/>
      <c r="BZ194" s="75"/>
      <c r="CA194" s="75"/>
      <c r="CB194" s="75"/>
      <c r="CC194" s="75"/>
      <c r="CD194" s="75"/>
      <c r="CE194" s="75"/>
      <c r="CF194" s="75"/>
      <c r="CG194" s="75"/>
      <c r="CH194" s="75"/>
      <c r="CI194" s="75"/>
      <c r="CJ194" s="75"/>
      <c r="CK194" s="75"/>
      <c r="CL194" s="75"/>
      <c r="CM194" s="75"/>
      <c r="CN194" s="75"/>
      <c r="CO194" s="75"/>
      <c r="CP194" s="75"/>
      <c r="CQ194" s="75"/>
      <c r="CR194" s="75"/>
      <c r="CS194" s="75"/>
      <c r="CT194" s="75"/>
      <c r="CU194" s="75"/>
    </row>
    <row r="195" spans="1:99">
      <c r="A195" s="50"/>
      <c r="B195" s="50"/>
      <c r="C195" s="100"/>
      <c r="D195" s="50"/>
      <c r="E195" s="225"/>
      <c r="F195" s="226"/>
      <c r="G195" s="226"/>
      <c r="H195" s="227"/>
      <c r="I195" s="228"/>
      <c r="J195" s="225"/>
      <c r="K195" s="226"/>
      <c r="L195" s="226"/>
      <c r="M195" s="227"/>
      <c r="N195" s="228"/>
      <c r="O195" s="225"/>
      <c r="P195" s="226"/>
      <c r="Q195" s="226"/>
      <c r="R195" s="227"/>
      <c r="S195" s="228"/>
      <c r="T195" s="225"/>
      <c r="U195" s="226"/>
      <c r="V195" s="226"/>
      <c r="W195" s="227"/>
      <c r="X195" s="1253"/>
      <c r="Y195" s="1254"/>
      <c r="Z195" s="1255"/>
      <c r="AA195" s="1255"/>
      <c r="AB195" s="1256"/>
      <c r="AC195" s="1253"/>
      <c r="AD195" s="1254"/>
      <c r="AE195" s="1255"/>
      <c r="AF195" s="1255"/>
      <c r="AG195" s="1256"/>
      <c r="AH195" s="1253"/>
      <c r="AI195" s="1254"/>
      <c r="AJ195" s="1255"/>
      <c r="AK195" s="1255"/>
      <c r="AL195" s="1256"/>
      <c r="AM195" s="1253"/>
      <c r="AN195" s="1254"/>
      <c r="AO195" s="1255"/>
      <c r="AP195" s="1255"/>
      <c r="AQ195" s="1256"/>
      <c r="AR195" s="1253"/>
      <c r="AS195" s="1254"/>
      <c r="AT195" s="1255"/>
      <c r="AU195" s="1255"/>
      <c r="AV195" s="1256"/>
      <c r="AW195" s="1253"/>
      <c r="AX195" s="225"/>
      <c r="AY195" s="226"/>
      <c r="AZ195" s="226"/>
      <c r="BA195" s="227"/>
      <c r="BB195" s="228"/>
      <c r="BC195" s="225"/>
      <c r="BD195" s="226"/>
      <c r="BE195" s="226"/>
      <c r="BF195" s="227"/>
      <c r="BG195" s="228"/>
      <c r="BH195" s="225"/>
      <c r="BI195" s="226"/>
      <c r="BJ195" s="226"/>
      <c r="BK195" s="227"/>
      <c r="BL195" s="228"/>
      <c r="BM195" s="225"/>
      <c r="BN195" s="226"/>
      <c r="BO195" s="226"/>
      <c r="BP195" s="227"/>
      <c r="BQ195" s="228"/>
      <c r="BR195" s="50"/>
      <c r="BS195" s="50"/>
      <c r="BT195" s="50"/>
      <c r="BU195" s="50"/>
      <c r="BV195" s="50"/>
      <c r="BW195" s="50"/>
      <c r="BX195" s="50"/>
      <c r="BY195" s="50"/>
      <c r="BZ195" s="50"/>
      <c r="CA195" s="50"/>
      <c r="CB195" s="50"/>
      <c r="CC195" s="50"/>
      <c r="CD195" s="50"/>
      <c r="CE195" s="50"/>
      <c r="CF195" s="50"/>
      <c r="CG195" s="50"/>
      <c r="CH195" s="50"/>
      <c r="CI195" s="50"/>
      <c r="CJ195" s="50"/>
      <c r="CK195" s="50"/>
      <c r="CL195" s="50"/>
      <c r="CM195" s="50"/>
      <c r="CN195" s="50"/>
      <c r="CO195" s="50"/>
      <c r="CP195" s="50"/>
      <c r="CQ195" s="50"/>
      <c r="CR195" s="50"/>
      <c r="CS195" s="50"/>
      <c r="CT195" s="50"/>
      <c r="CU195" s="50"/>
    </row>
    <row r="196" spans="1:99">
      <c r="A196" s="242"/>
      <c r="B196" s="242"/>
      <c r="C196" s="164" t="s">
        <v>870</v>
      </c>
      <c r="D196" s="109"/>
      <c r="E196" s="149"/>
      <c r="F196" s="150"/>
      <c r="G196" s="150"/>
      <c r="H196" s="151"/>
      <c r="I196" s="112"/>
      <c r="J196" s="149"/>
      <c r="K196" s="150"/>
      <c r="L196" s="150"/>
      <c r="M196" s="151"/>
      <c r="N196" s="112"/>
      <c r="O196" s="149"/>
      <c r="P196" s="150"/>
      <c r="Q196" s="150"/>
      <c r="R196" s="151"/>
      <c r="S196" s="112"/>
      <c r="T196" s="149"/>
      <c r="U196" s="150"/>
      <c r="V196" s="150"/>
      <c r="W196" s="151"/>
      <c r="X196" s="112">
        <f>+X193+X190+X187</f>
        <v>12828.967000000001</v>
      </c>
      <c r="Y196" s="149">
        <f>+Y193+Y190+Y187</f>
        <v>12746.678</v>
      </c>
      <c r="Z196" s="150">
        <f>+Z193+Z190+Z187</f>
        <v>12792.796</v>
      </c>
      <c r="AA196" s="150">
        <f t="shared" ref="AA196:AF196" si="285">+AA193+AA190+AA187</f>
        <v>12759.264999999999</v>
      </c>
      <c r="AB196" s="151">
        <f t="shared" si="285"/>
        <v>8937.7180000000008</v>
      </c>
      <c r="AC196" s="112">
        <f t="shared" si="285"/>
        <v>8937.7180000000008</v>
      </c>
      <c r="AD196" s="149">
        <f t="shared" si="285"/>
        <v>8780.119999999999</v>
      </c>
      <c r="AE196" s="150">
        <f t="shared" si="285"/>
        <v>8787.4520000000011</v>
      </c>
      <c r="AF196" s="150">
        <f t="shared" si="285"/>
        <v>8695.2139999999999</v>
      </c>
      <c r="AG196" s="151">
        <f t="shared" ref="AG196:AP196" si="286">+AG193+AG190+AG187</f>
        <v>9014.9270000000015</v>
      </c>
      <c r="AH196" s="112">
        <f t="shared" si="286"/>
        <v>9014.9270000000015</v>
      </c>
      <c r="AI196" s="149">
        <f t="shared" si="286"/>
        <v>9000.9789999999994</v>
      </c>
      <c r="AJ196" s="150">
        <f t="shared" si="286"/>
        <v>9040.5519999999997</v>
      </c>
      <c r="AK196" s="150">
        <f t="shared" si="286"/>
        <v>9121.8029999999999</v>
      </c>
      <c r="AL196" s="151">
        <f t="shared" si="286"/>
        <v>9081.146999999999</v>
      </c>
      <c r="AM196" s="112">
        <f t="shared" si="286"/>
        <v>9081.146999999999</v>
      </c>
      <c r="AN196" s="149">
        <f t="shared" si="286"/>
        <v>8955.8109999999997</v>
      </c>
      <c r="AO196" s="150">
        <f t="shared" si="286"/>
        <v>8884.39</v>
      </c>
      <c r="AP196" s="150">
        <f t="shared" si="286"/>
        <v>8793.273000000001</v>
      </c>
      <c r="AQ196" s="151">
        <f>+AQ193+AQ190+AQ187</f>
        <v>8925.7000000000007</v>
      </c>
      <c r="AR196" s="112">
        <f>+AR193+AR190+AR187</f>
        <v>8925.7000000000007</v>
      </c>
      <c r="AS196" s="149">
        <f t="shared" ref="AS196:AU196" si="287">+AS193+AS190+AS187</f>
        <v>9044.9</v>
      </c>
      <c r="AT196" s="150">
        <f t="shared" si="287"/>
        <v>9118.0999999999985</v>
      </c>
      <c r="AU196" s="150">
        <f t="shared" si="287"/>
        <v>9831.4</v>
      </c>
      <c r="AV196" s="151">
        <f>+AV193+AV190+AV187</f>
        <v>9936.6</v>
      </c>
      <c r="AW196" s="112">
        <f>+AW193+AW190+AW187</f>
        <v>9936.6</v>
      </c>
      <c r="AX196" s="149">
        <f>+AX193+AX190+AX187</f>
        <v>10053.29376002631</v>
      </c>
      <c r="AY196" s="150">
        <f>+AY193+AY190+AY187</f>
        <v>10328.915317543233</v>
      </c>
      <c r="AZ196" s="150">
        <f>+AZ193+AZ190+AZ187</f>
        <v>10600.35570341968</v>
      </c>
      <c r="BA196" s="151">
        <f>+BB196</f>
        <v>10867.68024846253</v>
      </c>
      <c r="BB196" s="112">
        <f>+BB193+BB190+BB187</f>
        <v>10867.68024846253</v>
      </c>
      <c r="BC196" s="149">
        <f>+BC193+BC190+BC187</f>
        <v>11086.42958052613</v>
      </c>
      <c r="BD196" s="150">
        <f>+BD193+BD190+BD187</f>
        <v>11299.632907283982</v>
      </c>
      <c r="BE196" s="150">
        <f>+BE193+BE190+BE187</f>
        <v>11531.17577055201</v>
      </c>
      <c r="BF196" s="151">
        <f>+BG196</f>
        <v>11716.573726876642</v>
      </c>
      <c r="BG196" s="112">
        <f>+BG193+BG190+BG187</f>
        <v>11716.573726876642</v>
      </c>
      <c r="BH196" s="149">
        <f>+BH193+BH190+BH187</f>
        <v>11861.568413155013</v>
      </c>
      <c r="BI196" s="150">
        <f>+BI193+BI190+BI187</f>
        <v>12001.557184772024</v>
      </c>
      <c r="BJ196" s="150">
        <f>+BJ193+BJ190+BJ187</f>
        <v>12139.495077592621</v>
      </c>
      <c r="BK196" s="151">
        <f>+BL196</f>
        <v>12275.413514383064</v>
      </c>
      <c r="BL196" s="112">
        <f>+BL193+BL190+BL187</f>
        <v>12275.413514383064</v>
      </c>
      <c r="BM196" s="149">
        <f>+BM193+BM190+BM187</f>
        <v>12409.597676388037</v>
      </c>
      <c r="BN196" s="150">
        <f>+BN193+BN190+BN187</f>
        <v>12541.822235132615</v>
      </c>
      <c r="BO196" s="150">
        <f>+BO193+BO190+BO187</f>
        <v>13059.898119424353</v>
      </c>
      <c r="BP196" s="151">
        <f>+BQ196</f>
        <v>12800.512037816088</v>
      </c>
      <c r="BQ196" s="112">
        <f>+BQ193+BQ190+BQ187</f>
        <v>12800.512037816088</v>
      </c>
      <c r="BR196" s="242"/>
      <c r="BS196" s="242"/>
      <c r="BT196" s="242"/>
      <c r="BU196" s="242"/>
      <c r="BV196" s="242"/>
      <c r="BW196" s="242"/>
      <c r="BX196" s="242"/>
      <c r="BY196" s="242"/>
      <c r="BZ196" s="242"/>
      <c r="CA196" s="242"/>
      <c r="CB196" s="242"/>
      <c r="CC196" s="242"/>
      <c r="CD196" s="242"/>
      <c r="CE196" s="242"/>
      <c r="CF196" s="242"/>
      <c r="CG196" s="242"/>
      <c r="CH196" s="242"/>
      <c r="CI196" s="242"/>
      <c r="CJ196" s="242"/>
      <c r="CK196" s="242"/>
      <c r="CL196" s="242"/>
      <c r="CM196" s="242"/>
      <c r="CN196" s="242"/>
      <c r="CO196" s="242"/>
      <c r="CP196" s="242"/>
      <c r="CQ196" s="242"/>
      <c r="CR196" s="242"/>
      <c r="CS196" s="242"/>
      <c r="CT196" s="242"/>
      <c r="CU196" s="242"/>
    </row>
    <row r="197" spans="1:99">
      <c r="A197" s="75"/>
      <c r="B197" s="75"/>
      <c r="C197" s="269" t="s">
        <v>185</v>
      </c>
      <c r="D197" s="75"/>
      <c r="E197" s="270"/>
      <c r="F197" s="271"/>
      <c r="G197" s="271"/>
      <c r="H197" s="272"/>
      <c r="I197" s="273"/>
      <c r="J197" s="270"/>
      <c r="K197" s="271"/>
      <c r="L197" s="271"/>
      <c r="M197" s="272"/>
      <c r="N197" s="273"/>
      <c r="O197" s="270"/>
      <c r="P197" s="271"/>
      <c r="Q197" s="271"/>
      <c r="R197" s="272"/>
      <c r="S197" s="273"/>
      <c r="T197" s="270"/>
      <c r="U197" s="271"/>
      <c r="V197" s="271"/>
      <c r="W197" s="272"/>
      <c r="X197" s="273">
        <f t="shared" ref="X197:AF197" si="288">(X187+X190+X193)/X196</f>
        <v>1</v>
      </c>
      <c r="Y197" s="270">
        <f t="shared" si="288"/>
        <v>1</v>
      </c>
      <c r="Z197" s="271">
        <f t="shared" si="288"/>
        <v>1</v>
      </c>
      <c r="AA197" s="271">
        <f t="shared" si="288"/>
        <v>1</v>
      </c>
      <c r="AB197" s="272">
        <f t="shared" si="288"/>
        <v>1</v>
      </c>
      <c r="AC197" s="273">
        <f t="shared" si="288"/>
        <v>1</v>
      </c>
      <c r="AD197" s="270">
        <f t="shared" si="288"/>
        <v>1</v>
      </c>
      <c r="AE197" s="271">
        <f t="shared" si="288"/>
        <v>1</v>
      </c>
      <c r="AF197" s="271">
        <f t="shared" si="288"/>
        <v>1</v>
      </c>
      <c r="AG197" s="272">
        <f t="shared" ref="AG197:AM197" si="289">(AG187+AG190+AG193)/AG196</f>
        <v>1</v>
      </c>
      <c r="AH197" s="273">
        <f t="shared" si="289"/>
        <v>1</v>
      </c>
      <c r="AI197" s="270">
        <f t="shared" si="289"/>
        <v>1</v>
      </c>
      <c r="AJ197" s="271">
        <f t="shared" si="289"/>
        <v>1</v>
      </c>
      <c r="AK197" s="271">
        <f t="shared" si="289"/>
        <v>1</v>
      </c>
      <c r="AL197" s="272">
        <f t="shared" si="289"/>
        <v>1</v>
      </c>
      <c r="AM197" s="273">
        <f t="shared" si="289"/>
        <v>1</v>
      </c>
      <c r="AN197" s="270">
        <f t="shared" ref="AN197:AR197" si="290">(AN187+AN190+AN193)/AN196</f>
        <v>1</v>
      </c>
      <c r="AO197" s="271">
        <f t="shared" si="290"/>
        <v>1</v>
      </c>
      <c r="AP197" s="271">
        <f t="shared" si="290"/>
        <v>1</v>
      </c>
      <c r="AQ197" s="272">
        <f t="shared" si="290"/>
        <v>1</v>
      </c>
      <c r="AR197" s="273">
        <f t="shared" si="290"/>
        <v>1</v>
      </c>
      <c r="AS197" s="270">
        <f t="shared" ref="AS197:AW197" si="291">(AS187+AS190+AS193)/AS196</f>
        <v>1</v>
      </c>
      <c r="AT197" s="271">
        <f t="shared" si="291"/>
        <v>1</v>
      </c>
      <c r="AU197" s="271">
        <f t="shared" si="291"/>
        <v>1</v>
      </c>
      <c r="AV197" s="272">
        <f t="shared" si="291"/>
        <v>1</v>
      </c>
      <c r="AW197" s="273">
        <f t="shared" si="291"/>
        <v>1</v>
      </c>
      <c r="AX197" s="270">
        <f t="shared" ref="AX197:BL197" si="292">(AX187+AX190+AX193)/AX196</f>
        <v>1</v>
      </c>
      <c r="AY197" s="271">
        <f t="shared" si="292"/>
        <v>1</v>
      </c>
      <c r="AZ197" s="271">
        <f t="shared" si="292"/>
        <v>1</v>
      </c>
      <c r="BA197" s="272">
        <f t="shared" si="292"/>
        <v>1</v>
      </c>
      <c r="BB197" s="273">
        <f t="shared" si="292"/>
        <v>1</v>
      </c>
      <c r="BC197" s="270">
        <f t="shared" si="292"/>
        <v>1</v>
      </c>
      <c r="BD197" s="271">
        <f t="shared" si="292"/>
        <v>1</v>
      </c>
      <c r="BE197" s="271">
        <f t="shared" si="292"/>
        <v>1</v>
      </c>
      <c r="BF197" s="272">
        <f t="shared" si="292"/>
        <v>1</v>
      </c>
      <c r="BG197" s="273">
        <f t="shared" si="292"/>
        <v>1</v>
      </c>
      <c r="BH197" s="270">
        <f t="shared" si="292"/>
        <v>1</v>
      </c>
      <c r="BI197" s="271">
        <f t="shared" si="292"/>
        <v>1</v>
      </c>
      <c r="BJ197" s="271">
        <f t="shared" si="292"/>
        <v>1</v>
      </c>
      <c r="BK197" s="272">
        <f t="shared" si="292"/>
        <v>1</v>
      </c>
      <c r="BL197" s="273">
        <f t="shared" si="292"/>
        <v>1</v>
      </c>
      <c r="BM197" s="270">
        <f>(BM187+BM190+BM193)/BM196</f>
        <v>1</v>
      </c>
      <c r="BN197" s="271">
        <f>(BN187+BN190+BN193)/BN196</f>
        <v>1</v>
      </c>
      <c r="BO197" s="271">
        <f>(BO187+BO190+BO193)/BO196</f>
        <v>1</v>
      </c>
      <c r="BP197" s="272">
        <f>(BP187+BP190+BP193)/BP196</f>
        <v>1</v>
      </c>
      <c r="BQ197" s="273">
        <f>(BQ187+BQ190+BQ193)/BQ196</f>
        <v>1</v>
      </c>
      <c r="BR197" s="75"/>
      <c r="BS197" s="75"/>
      <c r="BT197" s="75"/>
      <c r="BU197" s="75"/>
      <c r="BV197" s="75"/>
      <c r="BW197" s="75"/>
      <c r="BX197" s="75"/>
      <c r="BY197" s="75"/>
      <c r="BZ197" s="75"/>
      <c r="CA197" s="75"/>
      <c r="CB197" s="75"/>
      <c r="CC197" s="75"/>
      <c r="CD197" s="75"/>
      <c r="CE197" s="75"/>
      <c r="CF197" s="75"/>
      <c r="CG197" s="75"/>
      <c r="CH197" s="75"/>
      <c r="CI197" s="75"/>
      <c r="CJ197" s="75"/>
      <c r="CK197" s="75"/>
      <c r="CL197" s="75"/>
      <c r="CM197" s="75"/>
      <c r="CN197" s="75"/>
      <c r="CO197" s="75"/>
      <c r="CP197" s="75"/>
      <c r="CQ197" s="75"/>
      <c r="CR197" s="75"/>
      <c r="CS197" s="75"/>
      <c r="CT197" s="75"/>
      <c r="CU197" s="75"/>
    </row>
    <row r="198" spans="1:99">
      <c r="A198" s="50"/>
      <c r="B198" s="50"/>
      <c r="C198" s="50"/>
      <c r="D198" s="50"/>
      <c r="E198" s="225"/>
      <c r="F198" s="226"/>
      <c r="G198" s="226"/>
      <c r="H198" s="227"/>
      <c r="I198" s="228"/>
      <c r="J198" s="225"/>
      <c r="K198" s="226"/>
      <c r="L198" s="226"/>
      <c r="M198" s="227"/>
      <c r="N198" s="228"/>
      <c r="O198" s="225"/>
      <c r="P198" s="226"/>
      <c r="Q198" s="226"/>
      <c r="R198" s="227"/>
      <c r="S198" s="228"/>
      <c r="T198" s="225"/>
      <c r="U198" s="226"/>
      <c r="V198" s="226"/>
      <c r="W198" s="227"/>
      <c r="X198" s="228"/>
      <c r="Y198" s="225"/>
      <c r="Z198" s="226"/>
      <c r="AA198" s="226"/>
      <c r="AB198" s="227"/>
      <c r="AC198" s="228"/>
      <c r="AD198" s="225"/>
      <c r="AE198" s="226"/>
      <c r="AF198" s="226"/>
      <c r="AG198" s="227"/>
      <c r="AH198" s="228"/>
      <c r="AI198" s="225"/>
      <c r="AJ198" s="226"/>
      <c r="AK198" s="226"/>
      <c r="AL198" s="227"/>
      <c r="AM198" s="228"/>
      <c r="AN198" s="225"/>
      <c r="AO198" s="226"/>
      <c r="AP198" s="226"/>
      <c r="AQ198" s="227"/>
      <c r="AR198" s="228"/>
      <c r="AS198" s="225"/>
      <c r="AT198" s="226"/>
      <c r="AU198" s="226"/>
      <c r="AV198" s="227"/>
      <c r="AW198" s="228"/>
      <c r="AX198" s="225"/>
      <c r="AY198" s="226"/>
      <c r="AZ198" s="226"/>
      <c r="BA198" s="227"/>
      <c r="BB198" s="228"/>
      <c r="BC198" s="225"/>
      <c r="BD198" s="226"/>
      <c r="BE198" s="226"/>
      <c r="BF198" s="227"/>
      <c r="BG198" s="228"/>
      <c r="BH198" s="225"/>
      <c r="BI198" s="226"/>
      <c r="BJ198" s="226"/>
      <c r="BK198" s="227"/>
      <c r="BL198" s="228"/>
      <c r="BM198" s="225"/>
      <c r="BN198" s="226"/>
      <c r="BO198" s="226"/>
      <c r="BP198" s="227"/>
      <c r="BQ198" s="228"/>
      <c r="BR198" s="50"/>
      <c r="BS198" s="50"/>
      <c r="BT198" s="50"/>
      <c r="BU198" s="50"/>
      <c r="BV198" s="50"/>
      <c r="BW198" s="50"/>
      <c r="BX198" s="50"/>
      <c r="BY198" s="50"/>
      <c r="BZ198" s="50"/>
      <c r="CA198" s="50"/>
      <c r="CB198" s="50"/>
      <c r="CC198" s="50"/>
      <c r="CD198" s="50"/>
      <c r="CE198" s="50"/>
      <c r="CF198" s="50"/>
      <c r="CG198" s="50"/>
      <c r="CH198" s="50"/>
      <c r="CI198" s="50"/>
      <c r="CJ198" s="50"/>
      <c r="CK198" s="50"/>
      <c r="CL198" s="50"/>
      <c r="CM198" s="50"/>
      <c r="CN198" s="50"/>
      <c r="CO198" s="50"/>
      <c r="CP198" s="50"/>
      <c r="CQ198" s="50"/>
      <c r="CR198" s="50"/>
      <c r="CS198" s="50"/>
      <c r="CT198" s="50"/>
      <c r="CU198" s="50"/>
    </row>
    <row r="199" spans="1:99">
      <c r="A199" s="50"/>
      <c r="B199" s="50"/>
      <c r="C199" s="50"/>
      <c r="D199" s="50"/>
      <c r="E199" s="225"/>
      <c r="F199" s="226"/>
      <c r="G199" s="226"/>
      <c r="H199" s="227"/>
      <c r="I199" s="228"/>
      <c r="J199" s="225"/>
      <c r="K199" s="226"/>
      <c r="L199" s="226"/>
      <c r="M199" s="227"/>
      <c r="N199" s="228"/>
      <c r="O199" s="225"/>
      <c r="P199" s="226"/>
      <c r="Q199" s="226"/>
      <c r="R199" s="227"/>
      <c r="S199" s="228"/>
      <c r="T199" s="225"/>
      <c r="U199" s="226"/>
      <c r="V199" s="226"/>
      <c r="W199" s="227"/>
      <c r="X199" s="228"/>
      <c r="Y199" s="225"/>
      <c r="Z199" s="226"/>
      <c r="AA199" s="226"/>
      <c r="AB199" s="227"/>
      <c r="AC199" s="228"/>
      <c r="AD199" s="225"/>
      <c r="AE199" s="226"/>
      <c r="AF199" s="226"/>
      <c r="AG199" s="227"/>
      <c r="AH199" s="228"/>
      <c r="AI199" s="225"/>
      <c r="AJ199" s="226"/>
      <c r="AK199" s="226"/>
      <c r="AL199" s="227"/>
      <c r="AM199" s="228"/>
      <c r="AN199" s="225"/>
      <c r="AO199" s="226"/>
      <c r="AP199" s="226"/>
      <c r="AQ199" s="227"/>
      <c r="AR199" s="228"/>
      <c r="AS199" s="225"/>
      <c r="AT199" s="226"/>
      <c r="AU199" s="226"/>
      <c r="AV199" s="227"/>
      <c r="AW199" s="228"/>
      <c r="AX199" s="225"/>
      <c r="AY199" s="226"/>
      <c r="AZ199" s="226"/>
      <c r="BA199" s="227"/>
      <c r="BB199" s="228"/>
      <c r="BC199" s="225"/>
      <c r="BD199" s="226"/>
      <c r="BE199" s="226"/>
      <c r="BF199" s="227"/>
      <c r="BG199" s="228"/>
      <c r="BH199" s="225"/>
      <c r="BI199" s="226"/>
      <c r="BJ199" s="226"/>
      <c r="BK199" s="227"/>
      <c r="BL199" s="228"/>
      <c r="BM199" s="225"/>
      <c r="BN199" s="226"/>
      <c r="BO199" s="226"/>
      <c r="BP199" s="227"/>
      <c r="BQ199" s="228"/>
      <c r="BR199" s="50"/>
      <c r="BS199" s="50"/>
      <c r="BT199" s="50"/>
      <c r="BU199" s="50"/>
      <c r="BV199" s="50"/>
      <c r="BW199" s="50"/>
      <c r="BX199" s="50"/>
      <c r="BY199" s="50"/>
      <c r="BZ199" s="50"/>
      <c r="CA199" s="50"/>
      <c r="CB199" s="50"/>
      <c r="CC199" s="50"/>
      <c r="CD199" s="50"/>
      <c r="CE199" s="50"/>
      <c r="CF199" s="50"/>
      <c r="CG199" s="50"/>
      <c r="CH199" s="50"/>
      <c r="CI199" s="50"/>
      <c r="CJ199" s="50"/>
      <c r="CK199" s="50"/>
      <c r="CL199" s="50"/>
      <c r="CM199" s="50"/>
      <c r="CN199" s="50"/>
      <c r="CO199" s="50"/>
      <c r="CP199" s="50"/>
      <c r="CQ199" s="50"/>
      <c r="CR199" s="50"/>
      <c r="CS199" s="50"/>
      <c r="CT199" s="50"/>
      <c r="CU199" s="50"/>
    </row>
    <row r="200" spans="1:99">
      <c r="A200" s="50"/>
      <c r="B200" s="46" t="s">
        <v>187</v>
      </c>
      <c r="C200" s="46"/>
      <c r="D200" s="47"/>
      <c r="E200" s="225"/>
      <c r="F200" s="226"/>
      <c r="G200" s="226"/>
      <c r="H200" s="227"/>
      <c r="I200" s="228"/>
      <c r="J200" s="225"/>
      <c r="K200" s="226"/>
      <c r="L200" s="226"/>
      <c r="M200" s="227"/>
      <c r="N200" s="228"/>
      <c r="O200" s="225"/>
      <c r="P200" s="226"/>
      <c r="Q200" s="226"/>
      <c r="R200" s="227"/>
      <c r="S200" s="228"/>
      <c r="T200" s="225"/>
      <c r="U200" s="226"/>
      <c r="V200" s="226"/>
      <c r="W200" s="227"/>
      <c r="X200" s="228"/>
      <c r="Y200" s="225"/>
      <c r="Z200" s="226"/>
      <c r="AA200" s="226"/>
      <c r="AB200" s="227"/>
      <c r="AC200" s="228"/>
      <c r="AD200" s="225"/>
      <c r="AE200" s="226"/>
      <c r="AF200" s="226"/>
      <c r="AG200" s="227"/>
      <c r="AH200" s="228"/>
      <c r="AI200" s="225"/>
      <c r="AJ200" s="226"/>
      <c r="AK200" s="226"/>
      <c r="AL200" s="227"/>
      <c r="AM200" s="228"/>
      <c r="AN200" s="225"/>
      <c r="AO200" s="226"/>
      <c r="AP200" s="226"/>
      <c r="AQ200" s="227"/>
      <c r="AR200" s="228"/>
      <c r="AS200" s="225"/>
      <c r="AT200" s="226"/>
      <c r="AU200" s="226"/>
      <c r="AV200" s="227"/>
      <c r="AW200" s="228"/>
      <c r="AX200" s="225"/>
      <c r="AY200" s="226"/>
      <c r="AZ200" s="226"/>
      <c r="BA200" s="227"/>
      <c r="BB200" s="228"/>
      <c r="BC200" s="225"/>
      <c r="BD200" s="226"/>
      <c r="BE200" s="226"/>
      <c r="BF200" s="227"/>
      <c r="BG200" s="228"/>
      <c r="BH200" s="225"/>
      <c r="BI200" s="226"/>
      <c r="BJ200" s="226"/>
      <c r="BK200" s="227"/>
      <c r="BL200" s="228"/>
      <c r="BM200" s="225"/>
      <c r="BN200" s="226"/>
      <c r="BO200" s="226"/>
      <c r="BP200" s="227"/>
      <c r="BQ200" s="228"/>
      <c r="BR200" s="50"/>
      <c r="BS200" s="50"/>
      <c r="BT200" s="50"/>
      <c r="BU200" s="50"/>
      <c r="BV200" s="50"/>
      <c r="BW200" s="50"/>
      <c r="BX200" s="50"/>
      <c r="BY200" s="50"/>
      <c r="BZ200" s="50"/>
      <c r="CA200" s="50"/>
      <c r="CB200" s="50"/>
      <c r="CC200" s="50"/>
      <c r="CD200" s="50"/>
      <c r="CE200" s="50"/>
      <c r="CF200" s="50"/>
      <c r="CG200" s="50"/>
      <c r="CH200" s="50"/>
      <c r="CI200" s="50"/>
      <c r="CJ200" s="50"/>
      <c r="CK200" s="50"/>
      <c r="CL200" s="50"/>
      <c r="CM200" s="50"/>
      <c r="CN200" s="50"/>
      <c r="CO200" s="50"/>
      <c r="CP200" s="50"/>
      <c r="CQ200" s="50"/>
      <c r="CR200" s="50"/>
      <c r="CS200" s="50"/>
      <c r="CT200" s="50"/>
      <c r="CU200" s="50"/>
    </row>
    <row r="201" spans="1:99">
      <c r="A201" s="242"/>
      <c r="B201" s="242"/>
      <c r="C201" s="100" t="s">
        <v>188</v>
      </c>
      <c r="D201" s="109"/>
      <c r="E201" s="161"/>
      <c r="F201" s="160"/>
      <c r="G201" s="150"/>
      <c r="H201" s="144"/>
      <c r="I201" s="109"/>
      <c r="J201" s="161"/>
      <c r="K201" s="160"/>
      <c r="L201" s="160"/>
      <c r="M201" s="144"/>
      <c r="N201" s="109"/>
      <c r="O201" s="161"/>
      <c r="P201" s="160"/>
      <c r="Q201" s="160"/>
      <c r="R201" s="144"/>
      <c r="S201" s="109"/>
      <c r="T201" s="161"/>
      <c r="U201" s="160"/>
      <c r="V201" s="160"/>
      <c r="W201" s="144"/>
      <c r="X201" s="109">
        <f>X38+X13</f>
        <v>950</v>
      </c>
      <c r="Y201" s="161"/>
      <c r="Z201" s="160"/>
      <c r="AA201" s="160"/>
      <c r="AB201" s="144">
        <f>SUM(Y38:AB38)+SUM(Y13:AB13)</f>
        <v>949</v>
      </c>
      <c r="AC201" s="109">
        <f>AC38+AC13</f>
        <v>949</v>
      </c>
      <c r="AD201" s="161">
        <f>SUM(AD38,Z38:AB38)+SUM(AD13,Z13:AB13)</f>
        <v>988</v>
      </c>
      <c r="AE201" s="160">
        <f>SUM(AD38:AE38,AA38:AB38)+SUM(AD13:AE13,AA13:AB13)</f>
        <v>1008</v>
      </c>
      <c r="AF201" s="160">
        <f>SUM(AD38:AF38,AB38)+SUM(AD13:AF13,AB13)</f>
        <v>998</v>
      </c>
      <c r="AG201" s="144">
        <f>SUM(AD38:AG38)+SUM(AD13:AG13)</f>
        <v>1010.0000000000007</v>
      </c>
      <c r="AH201" s="109">
        <f>AH38+AH13</f>
        <v>1010.0000000000007</v>
      </c>
      <c r="AI201" s="161">
        <f>SUM(AI38,AE38:AG38)+SUM(AI13,AE13:AG13)</f>
        <v>1017.0000000000007</v>
      </c>
      <c r="AJ201" s="160">
        <f>SUM(AI38:AJ38,AF38:AG38)+SUM(AI13:AJ13,AF13:AG13)</f>
        <v>1019.0000000000007</v>
      </c>
      <c r="AK201" s="160">
        <f>SUM(AI38:AK38,AG38)+SUM(AI13:AK13,AG13)</f>
        <v>1056.0000000000007</v>
      </c>
      <c r="AL201" s="144">
        <f>SUM(AI38:AL38)+SUM(AI13:AL13)</f>
        <v>1038.8000000000002</v>
      </c>
      <c r="AM201" s="109">
        <f>AM38+AM13</f>
        <v>1038.8000000000002</v>
      </c>
      <c r="AN201" s="161">
        <f>SUM(AN38,AJ38:AL38)+SUM(AN13,AJ13:AL13)</f>
        <v>1038.0999999999999</v>
      </c>
      <c r="AO201" s="160">
        <f>SUM(AN38:AO38,AK38:AL38)+SUM(AN13:AO13,AK13:AL13)</f>
        <v>1082</v>
      </c>
      <c r="AP201" s="160">
        <f>SUM(AN38:AP38,AL38)+SUM(AN13:AP13,AL13)</f>
        <v>1107.8999999999999</v>
      </c>
      <c r="AQ201" s="144">
        <f>SUM(AN38:AQ38)+SUM(AN13:AQ13)</f>
        <v>1131.9999999999995</v>
      </c>
      <c r="AR201" s="109">
        <f>AR38+AR13</f>
        <v>1131.9999999999995</v>
      </c>
      <c r="AS201" s="161">
        <f>SUM(AS38,AO38:AQ38)+SUM(AS13,AO13:AQ13)</f>
        <v>1142.9999999999998</v>
      </c>
      <c r="AT201" s="160">
        <f>SUM(AS38:AT38,AP38:AQ38)+SUM(AS13:AT13,AP13:AQ13)</f>
        <v>1126.1999999999998</v>
      </c>
      <c r="AU201" s="160">
        <f>SUM(AS38:AU38,AQ38)+SUM(AS13:AU13,AQ13)</f>
        <v>1115.5999999999999</v>
      </c>
      <c r="AV201" s="144">
        <f>SUM(AS38:AV38)+SUM(AS13:AV13)</f>
        <v>1165.6999999999996</v>
      </c>
      <c r="AW201" s="109">
        <f>AW38+AW13</f>
        <v>1165.6999999999996</v>
      </c>
      <c r="AX201" s="161">
        <f>SUM(AX38,AT38:AV38)+SUM(AX13,AT13:AV13)</f>
        <v>1204.3597908162178</v>
      </c>
      <c r="AY201" s="160">
        <f>SUM(AX38:AY38,AU38:AV38)+SUM(AX13:AY13,AU13:AV13)</f>
        <v>1240.1746549086201</v>
      </c>
      <c r="AZ201" s="160">
        <f>SUM(AX38:AZ38,AV38)+SUM(AX13:AZ13,AV13)</f>
        <v>1280.8790423602522</v>
      </c>
      <c r="BA201" s="144">
        <f>SUM(AX38:BA38)+SUM(AX13:BA13)</f>
        <v>1298.5370271733541</v>
      </c>
      <c r="BB201" s="109">
        <f>BB38+BB13</f>
        <v>1298.5370271733541</v>
      </c>
      <c r="BC201" s="161">
        <f>SUM(BC38,AY38:BA38)+SUM(BC13,AY13:BA13)</f>
        <v>1321.5348792951354</v>
      </c>
      <c r="BD201" s="160">
        <f>SUM(BC38:BD38,AZ38:BA38)+SUM(BC13:BD13,AZ13:BA13)</f>
        <v>1345.2107964839101</v>
      </c>
      <c r="BE201" s="160">
        <f>SUM(BC38:BE38,BA38)+SUM(BC13:BE13,BA13)</f>
        <v>1364.8992580230563</v>
      </c>
      <c r="BF201" s="144">
        <f>SUM(BC38:BF38)+SUM(BC13:BF13)</f>
        <v>1386.5772482873692</v>
      </c>
      <c r="BG201" s="109">
        <f>BG38+BG13</f>
        <v>1386.5772482873692</v>
      </c>
      <c r="BH201" s="161">
        <f>SUM(BH38,BD38:BF38)+SUM(BH13,BD13:BF13)</f>
        <v>1411.0146363775448</v>
      </c>
      <c r="BI201" s="160">
        <f>SUM(BH38:BI38,BE38:BF38)+SUM(BH13:BI13,BE13:BF13)</f>
        <v>1436.5856415219312</v>
      </c>
      <c r="BJ201" s="160">
        <f>SUM(BH38:BJ38,BF38)+SUM(BH13:BJ13,BF13)</f>
        <v>1467.9720639792176</v>
      </c>
      <c r="BK201" s="144">
        <f>SUM(BH38:BK38)+SUM(BH13:BK13)</f>
        <v>1494.5099841625515</v>
      </c>
      <c r="BL201" s="109">
        <f>BL38+BL13</f>
        <v>1494.5099841625515</v>
      </c>
      <c r="BM201" s="161">
        <f>SUM(BM38,BI38:BK38)+SUM(BM13,BI13:BK13)</f>
        <v>1516.8116134086076</v>
      </c>
      <c r="BN201" s="160">
        <f>SUM(BM38:BN38,BJ38:BK38)+SUM(BM13:BN13,BJ13:BK13)</f>
        <v>1539.4370213496506</v>
      </c>
      <c r="BO201" s="160">
        <f>SUM(BM38:BO38,BK38)+SUM(BM13:BO13,BK13)</f>
        <v>1559.3415136185542</v>
      </c>
      <c r="BP201" s="144">
        <f>SUM(BM38:BP38)+SUM(BM13:BP13)</f>
        <v>1582.3628194552621</v>
      </c>
      <c r="BQ201" s="109">
        <f>BQ38+BQ13</f>
        <v>1582.3628194552621</v>
      </c>
      <c r="BR201" s="242"/>
      <c r="BS201" s="242"/>
      <c r="BT201" s="242"/>
      <c r="BU201" s="242"/>
      <c r="BV201" s="242"/>
      <c r="BW201" s="242"/>
      <c r="BX201" s="242"/>
      <c r="BY201" s="242"/>
      <c r="BZ201" s="242"/>
      <c r="CA201" s="242"/>
      <c r="CB201" s="242"/>
      <c r="CC201" s="242"/>
      <c r="CD201" s="242"/>
      <c r="CE201" s="242"/>
      <c r="CF201" s="242"/>
      <c r="CG201" s="242"/>
      <c r="CH201" s="242"/>
      <c r="CI201" s="242"/>
      <c r="CJ201" s="242"/>
      <c r="CK201" s="242"/>
      <c r="CL201" s="242"/>
      <c r="CM201" s="242"/>
      <c r="CN201" s="242"/>
      <c r="CO201" s="242"/>
      <c r="CP201" s="242"/>
      <c r="CQ201" s="242"/>
      <c r="CR201" s="242"/>
      <c r="CS201" s="242"/>
      <c r="CT201" s="242"/>
      <c r="CU201" s="242"/>
    </row>
    <row r="202" spans="1:99">
      <c r="A202" s="242"/>
      <c r="B202" s="242"/>
      <c r="C202" s="100" t="s">
        <v>189</v>
      </c>
      <c r="D202" s="109"/>
      <c r="E202" s="161"/>
      <c r="F202" s="160"/>
      <c r="G202" s="150"/>
      <c r="H202" s="144"/>
      <c r="I202" s="109"/>
      <c r="J202" s="161"/>
      <c r="K202" s="160"/>
      <c r="L202" s="160"/>
      <c r="M202" s="144"/>
      <c r="N202" s="109"/>
      <c r="O202" s="161"/>
      <c r="P202" s="160"/>
      <c r="Q202" s="160"/>
      <c r="R202" s="144"/>
      <c r="S202" s="109"/>
      <c r="T202" s="161"/>
      <c r="U202" s="160"/>
      <c r="V202" s="160"/>
      <c r="W202" s="144"/>
      <c r="X202" s="109">
        <f>+X22</f>
        <v>877</v>
      </c>
      <c r="Y202" s="161"/>
      <c r="Z202" s="160"/>
      <c r="AA202" s="160"/>
      <c r="AB202" s="144">
        <f>SUM(Y22:AB22)</f>
        <v>846</v>
      </c>
      <c r="AC202" s="109">
        <f>+AC22</f>
        <v>846</v>
      </c>
      <c r="AD202" s="161">
        <f>SUM(AD22,Z22:AB22)</f>
        <v>855</v>
      </c>
      <c r="AE202" s="160">
        <f>SUM(AD22:AE22,AA22:AB22)</f>
        <v>880</v>
      </c>
      <c r="AF202" s="160">
        <f>SUM(AD22:AF22,AB22)</f>
        <v>831</v>
      </c>
      <c r="AG202" s="144">
        <f>SUM(AD22:AG22)</f>
        <v>834.10000000000048</v>
      </c>
      <c r="AH202" s="109">
        <f>+AH22</f>
        <v>834.1000000000007</v>
      </c>
      <c r="AI202" s="161">
        <f>SUM(AI22,AE22:AG22)</f>
        <v>835.10000000000048</v>
      </c>
      <c r="AJ202" s="160">
        <f>SUM(AI22:AJ22,AF22:AG22)</f>
        <v>810.10000000000048</v>
      </c>
      <c r="AK202" s="160">
        <f>SUM(AI22:AK22,AG22)</f>
        <v>840.10000000000048</v>
      </c>
      <c r="AL202" s="144">
        <f>SUM(AI22:AL22)</f>
        <v>807.70000000000027</v>
      </c>
      <c r="AM202" s="109">
        <f>+AM22</f>
        <v>807.7</v>
      </c>
      <c r="AN202" s="161">
        <f>SUM(AN22,AJ22:AL22)</f>
        <v>815.00000000000023</v>
      </c>
      <c r="AO202" s="160">
        <f>SUM(AN22:AO22,AK22:AL22)</f>
        <v>874.70000000000016</v>
      </c>
      <c r="AP202" s="160">
        <f>SUM(AN22:AP22,AL22)</f>
        <v>924.40000000000009</v>
      </c>
      <c r="AQ202" s="144">
        <f>SUM(AN22:AQ22)</f>
        <v>929.3</v>
      </c>
      <c r="AR202" s="109">
        <f>+AR22</f>
        <v>929.2999999999995</v>
      </c>
      <c r="AS202" s="161">
        <f>SUM(AS22,AO22:AQ22)</f>
        <v>942.40000000000009</v>
      </c>
      <c r="AT202" s="160">
        <f>SUM(AS22:AT22,AP22:AQ22)</f>
        <v>925.70000000000027</v>
      </c>
      <c r="AU202" s="160">
        <f>SUM(AS22:AU22,AQ22)</f>
        <v>919.20000000000027</v>
      </c>
      <c r="AV202" s="144">
        <f>SUM(AS22:AV22)</f>
        <v>1000.0000000000005</v>
      </c>
      <c r="AW202" s="109">
        <f>+AW22</f>
        <v>999.99999999999966</v>
      </c>
      <c r="AX202" s="161">
        <f>SUM(AX22,AT22:AV22)</f>
        <v>997.87668598449727</v>
      </c>
      <c r="AY202" s="160">
        <f>SUM(AX22:AY22,AU22:AV22)</f>
        <v>999.13171992359685</v>
      </c>
      <c r="AZ202" s="160">
        <f>SUM(AX22:AZ22,AV22)</f>
        <v>1017.1534147195987</v>
      </c>
      <c r="BA202" s="144">
        <f>SUM(AX22:BA22)</f>
        <v>991.11486324174621</v>
      </c>
      <c r="BB202" s="109">
        <f>+BB22</f>
        <v>991.11486324174666</v>
      </c>
      <c r="BC202" s="161">
        <f>SUM(BC22,AY22:BA22)</f>
        <v>1012.0923865290372</v>
      </c>
      <c r="BD202" s="160">
        <f>SUM(BC22:BD22,AZ22:BA22)</f>
        <v>1029.9105257699641</v>
      </c>
      <c r="BE202" s="160">
        <f>SUM(BC22:BE22,BA22)</f>
        <v>1054.920663420563</v>
      </c>
      <c r="BF202" s="144">
        <f>SUM(BC22:BF22)</f>
        <v>1073.621643193331</v>
      </c>
      <c r="BG202" s="109">
        <f>+BG22</f>
        <v>1073.6216431933319</v>
      </c>
      <c r="BH202" s="161">
        <f>SUM(BH22,BD22:BF22)</f>
        <v>1094.8691499643508</v>
      </c>
      <c r="BI202" s="160">
        <f>SUM(BH22:BI22,BE22:BF22)</f>
        <v>1117.7710033735088</v>
      </c>
      <c r="BJ202" s="160">
        <f>SUM(BH22:BJ22,BF22)</f>
        <v>1148.5749696170624</v>
      </c>
      <c r="BK202" s="144">
        <f>SUM(BH22:BK22)</f>
        <v>1172.4805281856368</v>
      </c>
      <c r="BL202" s="109">
        <f>+BL22</f>
        <v>1172.4805281856368</v>
      </c>
      <c r="BM202" s="161">
        <f>SUM(BM22,BI22:BK22)</f>
        <v>1191.0021946967722</v>
      </c>
      <c r="BN202" s="160">
        <f>SUM(BM22:BN22,BJ22:BK22)</f>
        <v>1213.3842651840905</v>
      </c>
      <c r="BO202" s="160">
        <f>SUM(BM22:BO22,BK22)</f>
        <v>1240.8680882392562</v>
      </c>
      <c r="BP202" s="144">
        <f>SUM(BM22:BP22)</f>
        <v>1262.5702016232415</v>
      </c>
      <c r="BQ202" s="109">
        <f>+BQ22</f>
        <v>1262.5702016232419</v>
      </c>
      <c r="BR202" s="242"/>
      <c r="BS202" s="242"/>
      <c r="BT202" s="242"/>
      <c r="BU202" s="242"/>
      <c r="BV202" s="242"/>
      <c r="BW202" s="242"/>
      <c r="BX202" s="242"/>
      <c r="BY202" s="242"/>
      <c r="BZ202" s="242"/>
      <c r="CA202" s="242"/>
      <c r="CB202" s="242"/>
      <c r="CC202" s="242"/>
      <c r="CD202" s="242"/>
      <c r="CE202" s="242"/>
      <c r="CF202" s="242"/>
      <c r="CG202" s="242"/>
      <c r="CH202" s="242"/>
      <c r="CI202" s="242"/>
      <c r="CJ202" s="242"/>
      <c r="CK202" s="242"/>
      <c r="CL202" s="242"/>
      <c r="CM202" s="242"/>
      <c r="CN202" s="242"/>
      <c r="CO202" s="242"/>
      <c r="CP202" s="242"/>
      <c r="CQ202" s="242"/>
      <c r="CR202" s="242"/>
      <c r="CS202" s="242"/>
      <c r="CT202" s="242"/>
      <c r="CU202" s="242"/>
    </row>
    <row r="203" spans="1:99">
      <c r="A203" s="242"/>
      <c r="B203" s="242"/>
      <c r="C203" s="100" t="s">
        <v>190</v>
      </c>
      <c r="D203" s="109"/>
      <c r="E203" s="161"/>
      <c r="F203" s="160"/>
      <c r="G203" s="150"/>
      <c r="H203" s="144"/>
      <c r="I203" s="109"/>
      <c r="J203" s="161"/>
      <c r="K203" s="160"/>
      <c r="L203" s="160"/>
      <c r="M203" s="144"/>
      <c r="N203" s="109"/>
      <c r="O203" s="161"/>
      <c r="P203" s="160"/>
      <c r="Q203" s="160"/>
      <c r="R203" s="144"/>
      <c r="S203" s="109"/>
      <c r="T203" s="161"/>
      <c r="U203" s="160"/>
      <c r="V203" s="160"/>
      <c r="W203" s="144"/>
      <c r="X203" s="109">
        <f>+X23</f>
        <v>1438</v>
      </c>
      <c r="Y203" s="161"/>
      <c r="Z203" s="160"/>
      <c r="AA203" s="160"/>
      <c r="AB203" s="144">
        <f>SUM(Y23:AB23)</f>
        <v>1437</v>
      </c>
      <c r="AC203" s="109">
        <f>+AC23</f>
        <v>1437</v>
      </c>
      <c r="AD203" s="161">
        <f>SUM(AD23,Z23:AB23)</f>
        <v>1474</v>
      </c>
      <c r="AE203" s="160">
        <f>SUM(AD23:AE23,AA23:AB23)</f>
        <v>1504</v>
      </c>
      <c r="AF203" s="160">
        <f>SUM(AD23:AF23,AB23)</f>
        <v>1472</v>
      </c>
      <c r="AG203" s="144">
        <f>SUM(AD23:AG23)</f>
        <v>1491.9000000000005</v>
      </c>
      <c r="AH203" s="109">
        <f>+AH23</f>
        <v>1491.9000000000005</v>
      </c>
      <c r="AI203" s="161">
        <f>SUM(AI23,AE23:AG23)</f>
        <v>1499.9000000000005</v>
      </c>
      <c r="AJ203" s="160">
        <f>SUM(AI23:AJ23,AF23:AG23)</f>
        <v>1488.9000000000005</v>
      </c>
      <c r="AK203" s="160">
        <f>SUM(AI23:AK23,AG23)</f>
        <v>1534.9000000000005</v>
      </c>
      <c r="AL203" s="144">
        <f>SUM(AI23:AL23)</f>
        <v>1494.1000000000004</v>
      </c>
      <c r="AM203" s="109">
        <f>+AM23</f>
        <v>1494.1</v>
      </c>
      <c r="AN203" s="161">
        <f>SUM(AN23,AJ23:AL23)</f>
        <v>1489.7000000000003</v>
      </c>
      <c r="AO203" s="160">
        <f>SUM(AN23:AO23,AK23:AL23)</f>
        <v>1546.7000000000003</v>
      </c>
      <c r="AP203" s="160">
        <f>SUM(AN23:AP23,AL23)</f>
        <v>1579.8000000000002</v>
      </c>
      <c r="AQ203" s="144">
        <f>SUM(AN23:AQ23)</f>
        <v>1579.1999999999998</v>
      </c>
      <c r="AR203" s="109">
        <f>+AR23</f>
        <v>1579.1999999999994</v>
      </c>
      <c r="AS203" s="161">
        <f>SUM(AS23,AO23:AQ23)</f>
        <v>1592.2000000000003</v>
      </c>
      <c r="AT203" s="160">
        <f>SUM(AS23:AT23,AP23:AQ23)</f>
        <v>1572.1</v>
      </c>
      <c r="AU203" s="160">
        <f>SUM(AS23:AU23,AQ23)</f>
        <v>1566.5</v>
      </c>
      <c r="AV203" s="144">
        <f>SUM(AS23:AV23)</f>
        <v>1667.5000000000002</v>
      </c>
      <c r="AW203" s="109">
        <f>+AW23</f>
        <v>1667.4999999999995</v>
      </c>
      <c r="AX203" s="161">
        <f>SUM(AX23,AT23:AV23)</f>
        <v>1686.4594984844973</v>
      </c>
      <c r="AY203" s="160">
        <f>SUM(AX23:AY23,AU23:AV23)</f>
        <v>1702.4695474329815</v>
      </c>
      <c r="AZ203" s="160">
        <f>SUM(AX23:AZ23,AV23)</f>
        <v>1721.0274288788464</v>
      </c>
      <c r="BA203" s="144">
        <f>SUM(AX23:BA23)</f>
        <v>1716.8409048844528</v>
      </c>
      <c r="BB203" s="109">
        <f>+BB23</f>
        <v>1716.8409048844533</v>
      </c>
      <c r="BC203" s="161">
        <f>SUM(BC23,AY23:BA23)</f>
        <v>1748.7264737871735</v>
      </c>
      <c r="BD203" s="160">
        <f>SUM(BC23:BD23,AZ23:BA23)</f>
        <v>1781.6264614398945</v>
      </c>
      <c r="BE203" s="160">
        <f>SUM(BC23:BE23,BA23)</f>
        <v>1820.7088290926151</v>
      </c>
      <c r="BF203" s="144">
        <f>SUM(BC23:BF23)</f>
        <v>1852.4889254953359</v>
      </c>
      <c r="BG203" s="109">
        <f>+BG23</f>
        <v>1852.4889254953368</v>
      </c>
      <c r="BH203" s="161">
        <f>SUM(BH23,BD23:BF23)</f>
        <v>1887.6843584192711</v>
      </c>
      <c r="BI203" s="160">
        <f>SUM(BH23:BI23,BE23:BF23)</f>
        <v>1923.9940473369556</v>
      </c>
      <c r="BJ203" s="160">
        <f>SUM(BH23:BJ23,BF23)</f>
        <v>1967.0851746546405</v>
      </c>
      <c r="BK203" s="144">
        <f>SUM(BH23:BK23)</f>
        <v>2002.1746228660754</v>
      </c>
      <c r="BL203" s="109">
        <f>+BL23</f>
        <v>2002.1746228660754</v>
      </c>
      <c r="BM203" s="161">
        <f>SUM(BM23,BI23:BK23)</f>
        <v>2031.506813650607</v>
      </c>
      <c r="BN203" s="160">
        <f>SUM(BM23:BN23,BJ23:BK23)</f>
        <v>2061.6530970103568</v>
      </c>
      <c r="BO203" s="160">
        <f>SUM(BM23:BO23,BK23)</f>
        <v>2096.7798689271067</v>
      </c>
      <c r="BP203" s="144">
        <f>SUM(BM23:BP23)</f>
        <v>2126.0055603770752</v>
      </c>
      <c r="BQ203" s="109">
        <f>+BQ23</f>
        <v>2126.0055603770761</v>
      </c>
      <c r="BR203" s="242"/>
      <c r="BS203" s="242"/>
      <c r="BT203" s="242"/>
      <c r="BU203" s="242"/>
      <c r="BV203" s="242"/>
      <c r="BW203" s="242"/>
      <c r="BX203" s="242"/>
      <c r="BY203" s="242"/>
      <c r="BZ203" s="242"/>
      <c r="CA203" s="242"/>
      <c r="CB203" s="242"/>
      <c r="CC203" s="242"/>
      <c r="CD203" s="242"/>
      <c r="CE203" s="242"/>
      <c r="CF203" s="242"/>
      <c r="CG203" s="242"/>
      <c r="CH203" s="242"/>
      <c r="CI203" s="242"/>
      <c r="CJ203" s="242"/>
      <c r="CK203" s="242"/>
      <c r="CL203" s="242"/>
      <c r="CM203" s="242"/>
      <c r="CN203" s="242"/>
      <c r="CO203" s="242"/>
      <c r="CP203" s="242"/>
      <c r="CQ203" s="242"/>
      <c r="CR203" s="242"/>
      <c r="CS203" s="242"/>
      <c r="CT203" s="242"/>
      <c r="CU203" s="242"/>
    </row>
    <row r="204" spans="1:99">
      <c r="A204" s="242"/>
      <c r="B204" s="242"/>
      <c r="C204" s="100" t="s">
        <v>191</v>
      </c>
      <c r="D204" s="109"/>
      <c r="E204" s="161"/>
      <c r="F204" s="160"/>
      <c r="G204" s="150"/>
      <c r="H204" s="144"/>
      <c r="I204" s="109"/>
      <c r="J204" s="161"/>
      <c r="K204" s="160"/>
      <c r="L204" s="160"/>
      <c r="M204" s="144"/>
      <c r="N204" s="109"/>
      <c r="O204" s="161"/>
      <c r="P204" s="160"/>
      <c r="Q204" s="160"/>
      <c r="R204" s="144"/>
      <c r="S204" s="109"/>
      <c r="T204" s="161"/>
      <c r="U204" s="160"/>
      <c r="V204" s="160"/>
      <c r="W204" s="144"/>
      <c r="X204" s="109">
        <f>+SUM(X26:X26)</f>
        <v>291</v>
      </c>
      <c r="Y204" s="161"/>
      <c r="Z204" s="160"/>
      <c r="AA204" s="160"/>
      <c r="AB204" s="144">
        <f>SUM(Y26:AB26)</f>
        <v>292</v>
      </c>
      <c r="AC204" s="109">
        <f>+SUM(AC26:AC26)</f>
        <v>292</v>
      </c>
      <c r="AD204" s="161">
        <f>SUM(AD26:AD26,Z26:AB26)</f>
        <v>287</v>
      </c>
      <c r="AE204" s="160">
        <f>SUM(AD26:AE26,AA26:AB26)</f>
        <v>287</v>
      </c>
      <c r="AF204" s="160">
        <f>SUM(AD26:AF26,AB26:AB26)</f>
        <v>283</v>
      </c>
      <c r="AG204" s="144">
        <f>SUM(AD26:AG26)</f>
        <v>280.3</v>
      </c>
      <c r="AH204" s="109">
        <f>+SUM(AH26:AH26)</f>
        <v>280.3</v>
      </c>
      <c r="AI204" s="161">
        <f>SUM(AI26:AI26,AE26:AG26)</f>
        <v>280.3</v>
      </c>
      <c r="AJ204" s="160">
        <f>SUM(AI26:AJ26,AF26:AG26)</f>
        <v>276.3</v>
      </c>
      <c r="AK204" s="160">
        <f>SUM(AI26:AK26,AG26:AG26)</f>
        <v>276.3</v>
      </c>
      <c r="AL204" s="144">
        <f>SUM(AI26:AL26)</f>
        <v>276.2</v>
      </c>
      <c r="AM204" s="109">
        <f>+SUM(AM26:AM26)</f>
        <v>276.2</v>
      </c>
      <c r="AN204" s="161">
        <f>SUM(AN26:AN26,AJ26:AL26)</f>
        <v>273.39999999999998</v>
      </c>
      <c r="AO204" s="160">
        <f>SUM(AN26:AO26,AK26:AL26)</f>
        <v>270.8</v>
      </c>
      <c r="AP204" s="160">
        <f>SUM(AN26:AP26,AL26:AL26)</f>
        <v>266</v>
      </c>
      <c r="AQ204" s="144">
        <f>SUM(AN26:AQ26)</f>
        <v>256.89999999999998</v>
      </c>
      <c r="AR204" s="109">
        <f>+SUM(AR26:AR26)</f>
        <v>256.89999999999998</v>
      </c>
      <c r="AS204" s="161">
        <f>SUM(AS26:AS26,AO26:AQ26)</f>
        <v>249.7</v>
      </c>
      <c r="AT204" s="160">
        <f>SUM(AS26:AT26,AP26:AQ26)</f>
        <v>245.79999999999995</v>
      </c>
      <c r="AU204" s="160">
        <f>SUM(AS26:AU26,AQ26:AQ26)</f>
        <v>243.59999999999997</v>
      </c>
      <c r="AV204" s="144">
        <f>SUM(AS26:AV26)</f>
        <v>244.1</v>
      </c>
      <c r="AW204" s="109">
        <f>+SUM(AW26:AW26)</f>
        <v>244.1</v>
      </c>
      <c r="AX204" s="161">
        <f>SUM(AX26:AX26,AT26:AV26)</f>
        <v>247.57326373462334</v>
      </c>
      <c r="AY204" s="160">
        <f>SUM(AX26:AY26,AU26:AV26)</f>
        <v>247.73688757279712</v>
      </c>
      <c r="AZ204" s="160">
        <f>SUM(AX26:AZ26,AV26:AV26)</f>
        <v>247.36670948004209</v>
      </c>
      <c r="BA204" s="144">
        <f>SUM(AX26:BA26)</f>
        <v>255.25502652412712</v>
      </c>
      <c r="BB204" s="109">
        <f>+SUM(BB26:BB26)</f>
        <v>255.25502652412712</v>
      </c>
      <c r="BC204" s="161">
        <f>SUM(BC26:BC26,AY26:BA26)</f>
        <v>260.06078893023607</v>
      </c>
      <c r="BD204" s="160">
        <f>SUM(BC26:BD26,AZ26:BA26)</f>
        <v>266.30682219704732</v>
      </c>
      <c r="BE204" s="160">
        <f>SUM(BC26:BE26,BA26:BA26)</f>
        <v>283.66306076821024</v>
      </c>
      <c r="BF204" s="144">
        <f>SUM(BC26:BF26)</f>
        <v>290.78561238610087</v>
      </c>
      <c r="BG204" s="109">
        <f>+SUM(BG26:BG26)</f>
        <v>290.78561238610087</v>
      </c>
      <c r="BH204" s="161">
        <f>SUM(BH26:BH26,BD26:BF26)</f>
        <v>297.89749461894201</v>
      </c>
      <c r="BI204" s="160">
        <f>SUM(BH26:BI26,BE26:BF26)</f>
        <v>304.46147651807985</v>
      </c>
      <c r="BJ204" s="160">
        <f>SUM(BH26:BJ26,BF26:BF26)</f>
        <v>309.80113474201397</v>
      </c>
      <c r="BK204" s="144">
        <f>SUM(BH26:BK26)</f>
        <v>313.17032061028567</v>
      </c>
      <c r="BL204" s="109">
        <f>+SUM(BL26:BL26)</f>
        <v>313.17032061028567</v>
      </c>
      <c r="BM204" s="161">
        <f>SUM(BM26:BM26,BI26:BK26)</f>
        <v>316.57211215739449</v>
      </c>
      <c r="BN204" s="160">
        <f>SUM(BM26:BN26,BJ26:BK26)</f>
        <v>319.39997860706666</v>
      </c>
      <c r="BO204" s="160">
        <f>SUM(BM26:BO26,BK26:BK26)</f>
        <v>330.75019191575944</v>
      </c>
      <c r="BP204" s="144">
        <f>SUM(BM26:BP26)</f>
        <v>332.06055823300295</v>
      </c>
      <c r="BQ204" s="109">
        <f>+SUM(BQ26:BQ26)</f>
        <v>332.06055823300295</v>
      </c>
      <c r="BR204" s="242"/>
      <c r="BS204" s="242"/>
      <c r="BT204" s="242"/>
      <c r="BU204" s="242"/>
      <c r="BV204" s="242"/>
      <c r="BW204" s="242"/>
      <c r="BX204" s="242"/>
      <c r="BY204" s="242"/>
      <c r="BZ204" s="242"/>
      <c r="CA204" s="242"/>
      <c r="CB204" s="242"/>
      <c r="CC204" s="242"/>
      <c r="CD204" s="242"/>
      <c r="CE204" s="242"/>
      <c r="CF204" s="242"/>
      <c r="CG204" s="242"/>
      <c r="CH204" s="242"/>
      <c r="CI204" s="242"/>
      <c r="CJ204" s="242"/>
      <c r="CK204" s="242"/>
      <c r="CL204" s="242"/>
      <c r="CM204" s="242"/>
      <c r="CN204" s="242"/>
      <c r="CO204" s="242"/>
      <c r="CP204" s="242"/>
      <c r="CQ204" s="242"/>
      <c r="CR204" s="242"/>
      <c r="CS204" s="242"/>
      <c r="CT204" s="242"/>
      <c r="CU204" s="242"/>
    </row>
    <row r="205" spans="1:99">
      <c r="A205" s="242"/>
      <c r="B205" s="242"/>
      <c r="C205" s="100" t="s">
        <v>192</v>
      </c>
      <c r="D205" s="109"/>
      <c r="E205" s="161"/>
      <c r="F205" s="160"/>
      <c r="G205" s="150"/>
      <c r="H205" s="144"/>
      <c r="I205" s="109"/>
      <c r="J205" s="161"/>
      <c r="K205" s="160"/>
      <c r="L205" s="160"/>
      <c r="M205" s="144"/>
      <c r="N205" s="109"/>
      <c r="O205" s="161"/>
      <c r="P205" s="160"/>
      <c r="Q205" s="160"/>
      <c r="R205" s="144"/>
      <c r="S205" s="109"/>
      <c r="T205" s="161"/>
      <c r="U205" s="160"/>
      <c r="V205" s="160"/>
      <c r="W205" s="144"/>
      <c r="X205" s="109">
        <f>X38</f>
        <v>389</v>
      </c>
      <c r="Y205" s="161"/>
      <c r="Z205" s="160"/>
      <c r="AA205" s="160"/>
      <c r="AB205" s="144">
        <f>SUM(Y38:AB38)</f>
        <v>358</v>
      </c>
      <c r="AC205" s="109">
        <f>AC38</f>
        <v>358</v>
      </c>
      <c r="AD205" s="161">
        <f>SUM(AD38,Z38:AB38)</f>
        <v>369</v>
      </c>
      <c r="AE205" s="160">
        <f>SUM(AD38:AE38,AA38:AB38)</f>
        <v>384</v>
      </c>
      <c r="AF205" s="160">
        <f>SUM(AD38:AF38,AB38)</f>
        <v>357</v>
      </c>
      <c r="AG205" s="144">
        <f>SUM(AD38:AG38)</f>
        <v>352.20000000000078</v>
      </c>
      <c r="AH205" s="109">
        <f>AH38</f>
        <v>352.20000000000078</v>
      </c>
      <c r="AI205" s="161">
        <f>SUM(AI38,AE38:AG38)</f>
        <v>352.20000000000078</v>
      </c>
      <c r="AJ205" s="160">
        <f>SUM(AI38:AJ38,AF38:AG38)</f>
        <v>340.20000000000078</v>
      </c>
      <c r="AK205" s="160">
        <f>SUM(AI38:AK38,AG38)</f>
        <v>361.20000000000078</v>
      </c>
      <c r="AL205" s="144">
        <f>SUM(AI38:AL38)</f>
        <v>352.40000000000009</v>
      </c>
      <c r="AM205" s="109">
        <f>AM38</f>
        <v>352.40000000000009</v>
      </c>
      <c r="AN205" s="161">
        <f>SUM(AN38,AJ38:AL38)</f>
        <v>363.40000000000003</v>
      </c>
      <c r="AO205" s="160">
        <f>SUM(AN38:AO38,AK38:AL38)</f>
        <v>410</v>
      </c>
      <c r="AP205" s="160">
        <f>SUM(AN38:AP38,AL38)</f>
        <v>452.49999999999989</v>
      </c>
      <c r="AQ205" s="144">
        <f>SUM(AN38:AQ38)</f>
        <v>482.09999999999957</v>
      </c>
      <c r="AR205" s="109">
        <f>AR38</f>
        <v>482.09999999999957</v>
      </c>
      <c r="AS205" s="161">
        <f>SUM(AS38,AO38:AQ38)</f>
        <v>493.19999999999982</v>
      </c>
      <c r="AT205" s="160">
        <f>SUM(AS38:AT38,AP38:AQ38)</f>
        <v>479.79999999999984</v>
      </c>
      <c r="AU205" s="160">
        <f>SUM(AS38:AU38,AQ38)</f>
        <v>468.2999999999999</v>
      </c>
      <c r="AV205" s="144">
        <f>SUM(AS38:AV38)</f>
        <v>498.19999999999965</v>
      </c>
      <c r="AW205" s="109">
        <f>AW38</f>
        <v>498.19999999999965</v>
      </c>
      <c r="AX205" s="161">
        <f>SUM(AX38,AT38:AV38)</f>
        <v>515.77697831621765</v>
      </c>
      <c r="AY205" s="160">
        <f>SUM(AX38:AY38,AU38:AV38)</f>
        <v>536.8368273992354</v>
      </c>
      <c r="AZ205" s="160">
        <f>SUM(AX38:AZ38,AV38)</f>
        <v>577.00502820100485</v>
      </c>
      <c r="BA205" s="144">
        <f>SUM(AX38:BA38)</f>
        <v>572.81098553064771</v>
      </c>
      <c r="BB205" s="109">
        <f>BB38</f>
        <v>572.81098553064771</v>
      </c>
      <c r="BC205" s="161">
        <f>SUM(BC38,AY38:BA38)</f>
        <v>584.90079203699906</v>
      </c>
      <c r="BD205" s="160">
        <f>SUM(BC38:BD38,AZ38:BA38)</f>
        <v>593.49486081398004</v>
      </c>
      <c r="BE205" s="160">
        <f>SUM(BC38:BE38,BA38)</f>
        <v>599.11109235100412</v>
      </c>
      <c r="BF205" s="144">
        <f>SUM(BC38:BF38)</f>
        <v>607.70996598536442</v>
      </c>
      <c r="BG205" s="109">
        <f>BG38</f>
        <v>607.70996598536442</v>
      </c>
      <c r="BH205" s="161">
        <f>SUM(BH38,BD38:BF38)</f>
        <v>618.19942792262452</v>
      </c>
      <c r="BI205" s="160">
        <f>SUM(BH38:BI38,BE38:BF38)</f>
        <v>630.36259755848414</v>
      </c>
      <c r="BJ205" s="160">
        <f>SUM(BH38:BJ38,BF38)</f>
        <v>649.46185894163932</v>
      </c>
      <c r="BK205" s="144">
        <f>SUM(BH38:BK38)</f>
        <v>664.81588948211288</v>
      </c>
      <c r="BL205" s="109">
        <f>BL38</f>
        <v>664.81588948211288</v>
      </c>
      <c r="BM205" s="161">
        <f>SUM(BM38,BI38:BK38)</f>
        <v>676.30699445477308</v>
      </c>
      <c r="BN205" s="160">
        <f>SUM(BM38:BN38,BJ38:BK38)</f>
        <v>691.16818952338417</v>
      </c>
      <c r="BO205" s="160">
        <f>SUM(BM38:BO38,BK38)</f>
        <v>703.42973293070349</v>
      </c>
      <c r="BP205" s="144">
        <f>SUM(BM38:BP38)</f>
        <v>718.92746070142778</v>
      </c>
      <c r="BQ205" s="109">
        <f>BQ38</f>
        <v>718.92746070142778</v>
      </c>
      <c r="BR205" s="242"/>
      <c r="BS205" s="242"/>
      <c r="BT205" s="242"/>
      <c r="BU205" s="242"/>
      <c r="BV205" s="242"/>
      <c r="BW205" s="242"/>
      <c r="BX205" s="242"/>
      <c r="BY205" s="242"/>
      <c r="BZ205" s="242"/>
      <c r="CA205" s="242"/>
      <c r="CB205" s="242"/>
      <c r="CC205" s="242"/>
      <c r="CD205" s="242"/>
      <c r="CE205" s="242"/>
      <c r="CF205" s="242"/>
      <c r="CG205" s="242"/>
      <c r="CH205" s="242"/>
      <c r="CI205" s="242"/>
      <c r="CJ205" s="242"/>
      <c r="CK205" s="242"/>
      <c r="CL205" s="242"/>
      <c r="CM205" s="242"/>
      <c r="CN205" s="242"/>
      <c r="CO205" s="242"/>
      <c r="CP205" s="242"/>
      <c r="CQ205" s="242"/>
      <c r="CR205" s="242"/>
      <c r="CS205" s="242"/>
      <c r="CT205" s="242"/>
      <c r="CU205" s="242"/>
    </row>
    <row r="206" spans="1:99">
      <c r="A206" s="303"/>
      <c r="B206" s="303"/>
      <c r="C206" s="303"/>
      <c r="D206" s="303"/>
      <c r="E206" s="305"/>
      <c r="F206" s="306"/>
      <c r="G206" s="306"/>
      <c r="H206" s="307"/>
      <c r="I206" s="303"/>
      <c r="J206" s="305"/>
      <c r="K206" s="306"/>
      <c r="L206" s="306"/>
      <c r="M206" s="307"/>
      <c r="N206" s="303"/>
      <c r="O206" s="305"/>
      <c r="P206" s="306"/>
      <c r="Q206" s="306"/>
      <c r="R206" s="307"/>
      <c r="S206" s="303"/>
      <c r="T206" s="305"/>
      <c r="U206" s="306"/>
      <c r="V206" s="306"/>
      <c r="W206" s="307"/>
      <c r="X206" s="303"/>
      <c r="Y206" s="305"/>
      <c r="Z206" s="306"/>
      <c r="AA206" s="306"/>
      <c r="AB206" s="307"/>
      <c r="AC206" s="303"/>
      <c r="AD206" s="305"/>
      <c r="AE206" s="306"/>
      <c r="AF206" s="306"/>
      <c r="AG206" s="307"/>
      <c r="AH206" s="303"/>
      <c r="AI206" s="305"/>
      <c r="AJ206" s="306"/>
      <c r="AK206" s="306"/>
      <c r="AL206" s="307"/>
      <c r="AM206" s="303"/>
      <c r="AN206" s="305"/>
      <c r="AO206" s="306"/>
      <c r="AP206" s="306"/>
      <c r="AQ206" s="307"/>
      <c r="AR206" s="303"/>
      <c r="AS206" s="305"/>
      <c r="AT206" s="306"/>
      <c r="AU206" s="306"/>
      <c r="AV206" s="307"/>
      <c r="AW206" s="303"/>
      <c r="AX206" s="305"/>
      <c r="AY206" s="306"/>
      <c r="AZ206" s="306"/>
      <c r="BA206" s="307"/>
      <c r="BB206" s="303"/>
      <c r="BC206" s="305"/>
      <c r="BD206" s="306"/>
      <c r="BE206" s="306"/>
      <c r="BF206" s="307"/>
      <c r="BG206" s="303"/>
      <c r="BH206" s="305"/>
      <c r="BI206" s="306"/>
      <c r="BJ206" s="306"/>
      <c r="BK206" s="307"/>
      <c r="BL206" s="303"/>
      <c r="BM206" s="305"/>
      <c r="BN206" s="306"/>
      <c r="BO206" s="306"/>
      <c r="BP206" s="307"/>
      <c r="BQ206" s="303"/>
      <c r="BR206" s="303"/>
      <c r="BS206" s="303"/>
      <c r="BT206" s="303"/>
      <c r="BU206" s="303"/>
      <c r="BV206" s="303"/>
      <c r="BW206" s="303"/>
      <c r="BX206" s="303"/>
      <c r="BY206" s="303"/>
      <c r="BZ206" s="303"/>
      <c r="CA206" s="303"/>
      <c r="CB206" s="303"/>
      <c r="CC206" s="303"/>
      <c r="CD206" s="303"/>
      <c r="CE206" s="303"/>
      <c r="CF206" s="303"/>
      <c r="CG206" s="303"/>
      <c r="CH206" s="303"/>
      <c r="CI206" s="303"/>
      <c r="CJ206" s="303"/>
      <c r="CK206" s="303"/>
      <c r="CL206" s="303"/>
      <c r="CM206" s="303"/>
      <c r="CN206" s="303"/>
      <c r="CO206" s="303"/>
      <c r="CP206" s="303"/>
      <c r="CQ206" s="303"/>
      <c r="CR206" s="303"/>
      <c r="CS206" s="303"/>
      <c r="CT206" s="303"/>
      <c r="CU206" s="303"/>
    </row>
    <row r="207" spans="1:99">
      <c r="A207" s="303"/>
      <c r="B207" s="303"/>
      <c r="C207" s="164" t="s">
        <v>871</v>
      </c>
      <c r="D207" s="303"/>
      <c r="E207" s="305"/>
      <c r="F207" s="306"/>
      <c r="G207" s="306"/>
      <c r="H207" s="307"/>
      <c r="I207" s="303"/>
      <c r="J207" s="305"/>
      <c r="K207" s="306"/>
      <c r="L207" s="306"/>
      <c r="M207" s="307"/>
      <c r="N207" s="303"/>
      <c r="O207" s="305"/>
      <c r="P207" s="306"/>
      <c r="Q207" s="306"/>
      <c r="R207" s="307"/>
      <c r="S207" s="303"/>
      <c r="T207" s="305"/>
      <c r="U207" s="306"/>
      <c r="V207" s="306"/>
      <c r="W207" s="307"/>
      <c r="X207" s="303"/>
      <c r="Y207" s="305"/>
      <c r="Z207" s="306"/>
      <c r="AA207" s="306"/>
      <c r="AB207" s="307"/>
      <c r="AC207" s="303"/>
      <c r="AD207" s="305"/>
      <c r="AE207" s="306"/>
      <c r="AF207" s="306"/>
      <c r="AG207" s="307"/>
      <c r="AH207" s="303"/>
      <c r="AI207" s="305"/>
      <c r="AJ207" s="306"/>
      <c r="AK207" s="306"/>
      <c r="AL207" s="307"/>
      <c r="AM207" s="303"/>
      <c r="AN207" s="305"/>
      <c r="AO207" s="306"/>
      <c r="AP207" s="306"/>
      <c r="AQ207" s="307"/>
      <c r="AR207" s="303"/>
      <c r="AS207" s="305"/>
      <c r="AT207" s="306"/>
      <c r="AU207" s="306"/>
      <c r="AV207" s="307"/>
      <c r="AW207" s="303"/>
      <c r="AX207" s="305"/>
      <c r="AY207" s="306"/>
      <c r="AZ207" s="306"/>
      <c r="BA207" s="307"/>
      <c r="BB207" s="303"/>
      <c r="BC207" s="305"/>
      <c r="BD207" s="306"/>
      <c r="BE207" s="306"/>
      <c r="BF207" s="307"/>
      <c r="BG207" s="303"/>
      <c r="BH207" s="305"/>
      <c r="BI207" s="306"/>
      <c r="BJ207" s="306"/>
      <c r="BK207" s="307"/>
      <c r="BL207" s="303"/>
      <c r="BM207" s="305"/>
      <c r="BN207" s="306"/>
      <c r="BO207" s="306"/>
      <c r="BP207" s="307"/>
      <c r="BQ207" s="303"/>
      <c r="BR207" s="303"/>
      <c r="BS207" s="303"/>
      <c r="BT207" s="303"/>
      <c r="BU207" s="303"/>
      <c r="BV207" s="303"/>
      <c r="BW207" s="303"/>
      <c r="BX207" s="303"/>
      <c r="BY207" s="303"/>
      <c r="BZ207" s="303"/>
      <c r="CA207" s="303"/>
      <c r="CB207" s="303"/>
      <c r="CC207" s="303"/>
      <c r="CD207" s="303"/>
      <c r="CE207" s="303"/>
      <c r="CF207" s="303"/>
      <c r="CG207" s="303"/>
      <c r="CH207" s="303"/>
      <c r="CI207" s="303"/>
      <c r="CJ207" s="303"/>
      <c r="CK207" s="303"/>
      <c r="CL207" s="303"/>
      <c r="CM207" s="303"/>
      <c r="CN207" s="303"/>
      <c r="CO207" s="303"/>
      <c r="CP207" s="303"/>
      <c r="CQ207" s="303"/>
      <c r="CR207" s="303"/>
      <c r="CS207" s="303"/>
      <c r="CT207" s="303"/>
      <c r="CU207" s="303"/>
    </row>
    <row r="208" spans="1:99">
      <c r="A208" s="50"/>
      <c r="B208" s="50"/>
      <c r="C208" s="50" t="s">
        <v>193</v>
      </c>
      <c r="D208" s="50"/>
      <c r="E208" s="274"/>
      <c r="F208" s="275"/>
      <c r="G208" s="275"/>
      <c r="H208" s="276"/>
      <c r="I208" s="107"/>
      <c r="J208" s="274"/>
      <c r="K208" s="275"/>
      <c r="L208" s="275"/>
      <c r="M208" s="276"/>
      <c r="N208" s="107"/>
      <c r="O208" s="274"/>
      <c r="P208" s="275"/>
      <c r="Q208" s="275"/>
      <c r="R208" s="276"/>
      <c r="S208" s="107"/>
      <c r="T208" s="274"/>
      <c r="U208" s="275"/>
      <c r="V208" s="275"/>
      <c r="W208" s="276"/>
      <c r="X208" s="107">
        <f t="shared" ref="X208:AH208" si="293">X186/X196</f>
        <v>0.55774599778766287</v>
      </c>
      <c r="Y208" s="274">
        <f t="shared" si="293"/>
        <v>0.52762868882386449</v>
      </c>
      <c r="Z208" s="275">
        <f t="shared" si="293"/>
        <v>0.52871358223800335</v>
      </c>
      <c r="AA208" s="275">
        <f t="shared" si="293"/>
        <v>0.55081856204099544</v>
      </c>
      <c r="AB208" s="276">
        <f t="shared" si="293"/>
        <v>0.67769759573976251</v>
      </c>
      <c r="AC208" s="107">
        <f t="shared" si="293"/>
        <v>0.67769759573976251</v>
      </c>
      <c r="AD208" s="274">
        <f t="shared" si="293"/>
        <v>0.65147583404327059</v>
      </c>
      <c r="AE208" s="275">
        <f t="shared" si="293"/>
        <v>0.65484124408304023</v>
      </c>
      <c r="AF208" s="275">
        <f t="shared" si="293"/>
        <v>0.64333367758401361</v>
      </c>
      <c r="AG208" s="276">
        <f t="shared" si="293"/>
        <v>0.62796881217119116</v>
      </c>
      <c r="AH208" s="107">
        <f t="shared" si="293"/>
        <v>0.62796881217119116</v>
      </c>
      <c r="AI208" s="274">
        <f>AI186/AI196</f>
        <v>0.61318385477846349</v>
      </c>
      <c r="AJ208" s="275">
        <f>AJ186/AJ196</f>
        <v>0.59805396838600122</v>
      </c>
      <c r="AK208" s="275">
        <f>AK186/AK196</f>
        <v>0.61524941944043299</v>
      </c>
      <c r="AL208" s="276">
        <f>AL186/AL196</f>
        <v>0.61681745708994684</v>
      </c>
      <c r="AM208" s="107">
        <f>AM186/AM196</f>
        <v>0.61681745708994684</v>
      </c>
      <c r="AN208" s="274">
        <f t="shared" ref="AN208:AR208" si="294">AN186/AN196</f>
        <v>0.60874922438626722</v>
      </c>
      <c r="AO208" s="275">
        <f>AO186/AO196</f>
        <v>0.57137552493755905</v>
      </c>
      <c r="AP208" s="275">
        <f t="shared" si="294"/>
        <v>0.57016414707015239</v>
      </c>
      <c r="AQ208" s="276">
        <f t="shared" si="294"/>
        <v>0.5581186909710163</v>
      </c>
      <c r="AR208" s="107">
        <f t="shared" si="294"/>
        <v>0.5581186909710163</v>
      </c>
      <c r="AS208" s="274">
        <f t="shared" ref="AS208" si="295">AS186/AS196</f>
        <v>0.53852447235458656</v>
      </c>
      <c r="AT208" s="275">
        <f>AT186/AT196</f>
        <v>0.53134973294875032</v>
      </c>
      <c r="AU208" s="275">
        <f t="shared" ref="AU208:AW208" si="296">AU186/AU196</f>
        <v>0.55347152999572791</v>
      </c>
      <c r="AV208" s="276">
        <f t="shared" si="296"/>
        <v>0.54028540949620585</v>
      </c>
      <c r="AW208" s="107">
        <f t="shared" si="296"/>
        <v>0.54028540949620585</v>
      </c>
      <c r="AX208" s="274">
        <f t="shared" ref="AX208:BL208" si="297">AX186/AX196</f>
        <v>0.52705492224531714</v>
      </c>
      <c r="AY208" s="275">
        <f t="shared" si="297"/>
        <v>0.47620082165316019</v>
      </c>
      <c r="AZ208" s="275">
        <f t="shared" si="297"/>
        <v>0.4640068785062792</v>
      </c>
      <c r="BA208" s="276">
        <f t="shared" si="297"/>
        <v>0.52850634447149492</v>
      </c>
      <c r="BB208" s="107">
        <f t="shared" si="297"/>
        <v>0.52850634447149492</v>
      </c>
      <c r="BC208" s="274">
        <f t="shared" si="297"/>
        <v>0.51807824325055818</v>
      </c>
      <c r="BD208" s="275">
        <f t="shared" si="297"/>
        <v>0.50387813548613247</v>
      </c>
      <c r="BE208" s="275">
        <f t="shared" si="297"/>
        <v>0.54623741544948023</v>
      </c>
      <c r="BF208" s="276">
        <f t="shared" si="297"/>
        <v>0.53759399264917163</v>
      </c>
      <c r="BG208" s="107">
        <f t="shared" si="297"/>
        <v>0.53759399264917163</v>
      </c>
      <c r="BH208" s="274">
        <f t="shared" si="297"/>
        <v>0.5310224947161617</v>
      </c>
      <c r="BI208" s="275">
        <f t="shared" si="297"/>
        <v>0.50779164013255196</v>
      </c>
      <c r="BJ208" s="275">
        <f t="shared" si="297"/>
        <v>0.53540862823834434</v>
      </c>
      <c r="BK208" s="276">
        <f t="shared" si="297"/>
        <v>0.52948036327936721</v>
      </c>
      <c r="BL208" s="107">
        <f t="shared" si="297"/>
        <v>0.52948036327936721</v>
      </c>
      <c r="BM208" s="274">
        <f>BM186/BM196</f>
        <v>0.52375512699874915</v>
      </c>
      <c r="BN208" s="275">
        <f>BN186/BN196</f>
        <v>0.51823333843730512</v>
      </c>
      <c r="BO208" s="275">
        <f>BO186/BO196</f>
        <v>0.55893165017444602</v>
      </c>
      <c r="BP208" s="276">
        <f>BP186/BP196</f>
        <v>0.53119675110747255</v>
      </c>
      <c r="BQ208" s="107">
        <f>BQ186/BQ196</f>
        <v>0.53119675110747255</v>
      </c>
      <c r="BR208" s="50"/>
      <c r="BS208" s="50"/>
      <c r="BT208" s="50"/>
      <c r="BU208" s="50"/>
      <c r="BV208" s="50"/>
      <c r="BW208" s="50"/>
      <c r="BX208" s="50"/>
      <c r="BY208" s="50"/>
      <c r="BZ208" s="50"/>
      <c r="CA208" s="50"/>
      <c r="CB208" s="50"/>
      <c r="CC208" s="50"/>
      <c r="CD208" s="50"/>
      <c r="CE208" s="50"/>
      <c r="CF208" s="50"/>
      <c r="CG208" s="50"/>
      <c r="CH208" s="50"/>
      <c r="CI208" s="50"/>
      <c r="CJ208" s="50"/>
      <c r="CK208" s="50"/>
      <c r="CL208" s="50"/>
      <c r="CM208" s="50"/>
      <c r="CN208" s="50"/>
      <c r="CO208" s="50"/>
      <c r="CP208" s="50"/>
      <c r="CQ208" s="50"/>
      <c r="CR208" s="50"/>
      <c r="CS208" s="50"/>
      <c r="CT208" s="50"/>
      <c r="CU208" s="50"/>
    </row>
    <row r="209" spans="1:99">
      <c r="A209" s="50"/>
      <c r="B209" s="50"/>
      <c r="C209" s="50" t="s">
        <v>194</v>
      </c>
      <c r="D209" s="50"/>
      <c r="E209" s="274"/>
      <c r="F209" s="275"/>
      <c r="G209" s="275"/>
      <c r="H209" s="276"/>
      <c r="I209" s="107"/>
      <c r="J209" s="274"/>
      <c r="K209" s="275"/>
      <c r="L209" s="275"/>
      <c r="M209" s="276"/>
      <c r="N209" s="107"/>
      <c r="O209" s="274"/>
      <c r="P209" s="275"/>
      <c r="Q209" s="275"/>
      <c r="R209" s="276"/>
      <c r="S209" s="107"/>
      <c r="T209" s="274"/>
      <c r="U209" s="275"/>
      <c r="V209" s="275"/>
      <c r="W209" s="276"/>
      <c r="X209" s="107">
        <f t="shared" ref="X209:AH209" si="298">+X187/X196</f>
        <v>0.5697263856084438</v>
      </c>
      <c r="Y209" s="274">
        <f t="shared" si="298"/>
        <v>0.56024251965884753</v>
      </c>
      <c r="Z209" s="275">
        <f t="shared" si="298"/>
        <v>0.56533513080330522</v>
      </c>
      <c r="AA209" s="275">
        <f t="shared" si="298"/>
        <v>0.55497373869106104</v>
      </c>
      <c r="AB209" s="276">
        <f t="shared" si="298"/>
        <v>0.6921387539861964</v>
      </c>
      <c r="AC209" s="107">
        <f t="shared" si="298"/>
        <v>0.6921387539861964</v>
      </c>
      <c r="AD209" s="274">
        <f t="shared" si="298"/>
        <v>0.67947989321330471</v>
      </c>
      <c r="AE209" s="275">
        <f t="shared" si="298"/>
        <v>0.67171814992559842</v>
      </c>
      <c r="AF209" s="275">
        <f t="shared" si="298"/>
        <v>0.65871225251040411</v>
      </c>
      <c r="AG209" s="276">
        <f t="shared" si="298"/>
        <v>0.64408863210983291</v>
      </c>
      <c r="AH209" s="107">
        <f t="shared" si="298"/>
        <v>0.64408863210983291</v>
      </c>
      <c r="AI209" s="274">
        <f>+AI187/AI196</f>
        <v>0.62943497590650965</v>
      </c>
      <c r="AJ209" s="275">
        <f>+AJ187/AJ196</f>
        <v>0.61745853571773057</v>
      </c>
      <c r="AK209" s="275">
        <f>+AK187/AK196</f>
        <v>0.61718072622265585</v>
      </c>
      <c r="AL209" s="276">
        <f>+AL187/AL196</f>
        <v>0.61681745708994684</v>
      </c>
      <c r="AM209" s="107">
        <f>+AM187/AM196</f>
        <v>0.61681745708994684</v>
      </c>
      <c r="AN209" s="274">
        <f t="shared" ref="AN209:AR209" si="299">+AN187/AN196</f>
        <v>0.60874922438626722</v>
      </c>
      <c r="AO209" s="275">
        <f>+AO187/AO196</f>
        <v>0.60103777524399549</v>
      </c>
      <c r="AP209" s="275">
        <f t="shared" si="299"/>
        <v>0.58020363975962075</v>
      </c>
      <c r="AQ209" s="276">
        <f t="shared" si="299"/>
        <v>0.57710879818949778</v>
      </c>
      <c r="AR209" s="107">
        <f t="shared" si="299"/>
        <v>0.57710879818949778</v>
      </c>
      <c r="AS209" s="274">
        <f t="shared" ref="AS209" si="300">+AS187/AS196</f>
        <v>0.55453349401320084</v>
      </c>
      <c r="AT209" s="275">
        <f>+AT187/AT196</f>
        <v>0.55303188164200878</v>
      </c>
      <c r="AU209" s="275">
        <f t="shared" ref="AU209:AW209" si="301">+AU187/AU196</f>
        <v>0.57051894948837401</v>
      </c>
      <c r="AV209" s="276">
        <f t="shared" si="301"/>
        <v>0.54912142986534629</v>
      </c>
      <c r="AW209" s="107">
        <f t="shared" si="301"/>
        <v>0.54912142986534629</v>
      </c>
      <c r="AX209" s="274">
        <f t="shared" ref="AX209:BL209" si="302">+AX187/AX196</f>
        <v>0.54448988683443833</v>
      </c>
      <c r="AY209" s="275">
        <f t="shared" si="302"/>
        <v>0.5474706991294227</v>
      </c>
      <c r="AZ209" s="275">
        <f t="shared" si="302"/>
        <v>0.54522233375189366</v>
      </c>
      <c r="BA209" s="276">
        <f t="shared" si="302"/>
        <v>0.54884475127759802</v>
      </c>
      <c r="BB209" s="107">
        <f t="shared" si="302"/>
        <v>0.54884475127759802</v>
      </c>
      <c r="BC209" s="274">
        <f t="shared" si="302"/>
        <v>0.54883781707872004</v>
      </c>
      <c r="BD209" s="275">
        <f t="shared" si="302"/>
        <v>0.54930998820940469</v>
      </c>
      <c r="BE209" s="275">
        <f t="shared" si="302"/>
        <v>0.54623741544948023</v>
      </c>
      <c r="BF209" s="276">
        <f t="shared" si="302"/>
        <v>0.54673430344796514</v>
      </c>
      <c r="BG209" s="107">
        <f t="shared" si="302"/>
        <v>0.54673430344796514</v>
      </c>
      <c r="BH209" s="274">
        <f t="shared" si="302"/>
        <v>0.54727933008249596</v>
      </c>
      <c r="BI209" s="275">
        <f t="shared" si="302"/>
        <v>0.54814244499433973</v>
      </c>
      <c r="BJ209" s="275">
        <f t="shared" si="302"/>
        <v>0.5443074078340765</v>
      </c>
      <c r="BK209" s="276">
        <f t="shared" si="302"/>
        <v>0.54579641374481702</v>
      </c>
      <c r="BL209" s="107">
        <f t="shared" si="302"/>
        <v>0.54579641374481702</v>
      </c>
      <c r="BM209" s="274">
        <f>+BM187/BM196</f>
        <v>0.54702123797080593</v>
      </c>
      <c r="BN209" s="275">
        <f>+BN187/BN196</f>
        <v>0.5483780291967123</v>
      </c>
      <c r="BO209" s="275">
        <f>+BO187/BO196</f>
        <v>0.55893165017444602</v>
      </c>
      <c r="BP209" s="276">
        <f>+BP187/BP196</f>
        <v>0.54732558474370563</v>
      </c>
      <c r="BQ209" s="107">
        <f>+BQ187/BQ196</f>
        <v>0.54732558474370563</v>
      </c>
      <c r="BR209" s="50"/>
      <c r="BS209" s="50"/>
      <c r="BT209" s="50"/>
      <c r="BU209" s="50"/>
      <c r="BV209" s="50"/>
      <c r="BW209" s="50"/>
      <c r="BX209" s="50"/>
      <c r="BY209" s="50"/>
      <c r="BZ209" s="50"/>
      <c r="CA209" s="50"/>
      <c r="CB209" s="50"/>
      <c r="CC209" s="50"/>
      <c r="CD209" s="50"/>
      <c r="CE209" s="50"/>
      <c r="CF209" s="50"/>
      <c r="CG209" s="50"/>
      <c r="CH209" s="50"/>
      <c r="CI209" s="50"/>
      <c r="CJ209" s="50"/>
      <c r="CK209" s="50"/>
      <c r="CL209" s="50"/>
      <c r="CM209" s="50"/>
      <c r="CN209" s="50"/>
      <c r="CO209" s="50"/>
      <c r="CP209" s="50"/>
      <c r="CQ209" s="50"/>
      <c r="CR209" s="50"/>
      <c r="CS209" s="50"/>
      <c r="CT209" s="50"/>
      <c r="CU209" s="50"/>
    </row>
    <row r="210" spans="1:99">
      <c r="A210" s="50"/>
      <c r="B210" s="50"/>
      <c r="C210" s="50" t="s">
        <v>887</v>
      </c>
      <c r="D210" s="50"/>
      <c r="E210" s="225"/>
      <c r="F210" s="226"/>
      <c r="G210" s="226"/>
      <c r="H210" s="277"/>
      <c r="I210" s="108"/>
      <c r="J210" s="278"/>
      <c r="K210" s="279"/>
      <c r="L210" s="279"/>
      <c r="M210" s="277"/>
      <c r="N210" s="108"/>
      <c r="O210" s="278"/>
      <c r="P210" s="279"/>
      <c r="Q210" s="279"/>
      <c r="R210" s="277"/>
      <c r="S210" s="108"/>
      <c r="T210" s="278"/>
      <c r="U210" s="279"/>
      <c r="V210" s="279"/>
      <c r="W210" s="277"/>
      <c r="X210" s="108">
        <f t="shared" ref="X210:AH210" si="303">(X187-X183)/X203</f>
        <v>4.9304888734353272</v>
      </c>
      <c r="Y210" s="278"/>
      <c r="Z210" s="279"/>
      <c r="AA210" s="279"/>
      <c r="AB210" s="277">
        <f t="shared" si="303"/>
        <v>4.1657091162143356</v>
      </c>
      <c r="AC210" s="108">
        <f t="shared" si="303"/>
        <v>4.1657091162143356</v>
      </c>
      <c r="AD210" s="278">
        <f t="shared" si="303"/>
        <v>3.9564321573948438</v>
      </c>
      <c r="AE210" s="279">
        <f t="shared" si="303"/>
        <v>3.8046728723404262</v>
      </c>
      <c r="AF210" s="279">
        <f t="shared" si="303"/>
        <v>3.7805115489130445</v>
      </c>
      <c r="AG210" s="277">
        <f t="shared" si="303"/>
        <v>3.752101347275286</v>
      </c>
      <c r="AH210" s="108">
        <f t="shared" si="303"/>
        <v>3.752101347275286</v>
      </c>
      <c r="AI210" s="278">
        <f>(AI187-AI183)/AI203</f>
        <v>3.6851063404226929</v>
      </c>
      <c r="AJ210" s="279">
        <f>(AJ187-AJ183)/AJ203</f>
        <v>3.6275935254214504</v>
      </c>
      <c r="AK210" s="279">
        <f>(AK187-AK183)/AK203</f>
        <v>3.5659274219818871</v>
      </c>
      <c r="AL210" s="277">
        <f>(AL187-AL183)/AL203</f>
        <v>3.6107469379559585</v>
      </c>
      <c r="AM210" s="108">
        <f>(AM187-AM183)/AM203</f>
        <v>3.6107469379559598</v>
      </c>
      <c r="AN210" s="278">
        <f t="shared" ref="AN210:AR210" si="304">(AN187-AN183)/AN203</f>
        <v>3.5904839900651129</v>
      </c>
      <c r="AO210" s="279">
        <f>(AO187-AO183)/AO203</f>
        <v>3.3725344281373242</v>
      </c>
      <c r="AP210" s="279">
        <f t="shared" si="304"/>
        <v>3.1567033801747053</v>
      </c>
      <c r="AQ210" s="277">
        <f t="shared" si="304"/>
        <v>3.1668566362715307</v>
      </c>
      <c r="AR210" s="108">
        <f t="shared" si="304"/>
        <v>3.1668566362715316</v>
      </c>
      <c r="AS210" s="278">
        <f t="shared" ref="AS210" si="305">(AS187-AS183)/AS203</f>
        <v>3.0851651802537363</v>
      </c>
      <c r="AT210" s="279">
        <f>(AT187-AT183)/AT203</f>
        <v>3.1239743018891928</v>
      </c>
      <c r="AU210" s="279">
        <f t="shared" ref="AU210:AW210" si="306">(AU187-AU183)/AU203</f>
        <v>3.5000319182891797</v>
      </c>
      <c r="AV210" s="277">
        <f t="shared" si="306"/>
        <v>3.1760719640179902</v>
      </c>
      <c r="AW210" s="108">
        <f t="shared" si="306"/>
        <v>3.1760719640179915</v>
      </c>
      <c r="AX210" s="278">
        <f t="shared" ref="AX210:BL210" si="307">(AX187-AX183)/AX203</f>
        <v>3.2458038788533701</v>
      </c>
      <c r="AY210" s="279">
        <f t="shared" si="307"/>
        <v>3.3215152063485589</v>
      </c>
      <c r="AZ210" s="279">
        <f t="shared" si="307"/>
        <v>3.3581978870515328</v>
      </c>
      <c r="BA210" s="277">
        <f t="shared" si="307"/>
        <v>3.4742119936461537</v>
      </c>
      <c r="BB210" s="108">
        <f t="shared" si="307"/>
        <v>3.4742119936461529</v>
      </c>
      <c r="BC210" s="278">
        <f t="shared" si="307"/>
        <v>3.4794760080434606</v>
      </c>
      <c r="BD210" s="279">
        <f t="shared" si="307"/>
        <v>3.4838959531698483</v>
      </c>
      <c r="BE210" s="279">
        <f t="shared" si="307"/>
        <v>3.4476949086842188</v>
      </c>
      <c r="BF210" s="277">
        <f t="shared" si="307"/>
        <v>3.4579708883537714</v>
      </c>
      <c r="BG210" s="108">
        <f t="shared" si="307"/>
        <v>3.4579708883537696</v>
      </c>
      <c r="BH210" s="278">
        <f t="shared" si="307"/>
        <v>3.4389177332142364</v>
      </c>
      <c r="BI210" s="279">
        <f t="shared" si="307"/>
        <v>3.4192220646970615</v>
      </c>
      <c r="BJ210" s="279">
        <f t="shared" si="307"/>
        <v>3.3590904874055925</v>
      </c>
      <c r="BK210" s="277">
        <f t="shared" si="307"/>
        <v>3.3462998665891535</v>
      </c>
      <c r="BL210" s="108">
        <f t="shared" si="307"/>
        <v>3.3462998665891535</v>
      </c>
      <c r="BM210" s="278">
        <f>(BM187-BM183)/BM203</f>
        <v>3.341516473409635</v>
      </c>
      <c r="BN210" s="279">
        <f>(BN187-BN183)/BN203</f>
        <v>3.3359927379688452</v>
      </c>
      <c r="BO210" s="279">
        <f>(BO187-BO183)/BO203</f>
        <v>3.2963925155404858</v>
      </c>
      <c r="BP210" s="277">
        <f>(BP187-BP183)/BP203</f>
        <v>3.2954042391469187</v>
      </c>
      <c r="BQ210" s="108">
        <f>(BQ187-BQ183)/BQ203</f>
        <v>3.2954042391469174</v>
      </c>
      <c r="BR210" s="50"/>
      <c r="BS210" s="50"/>
      <c r="BT210" s="50"/>
      <c r="BU210" s="50"/>
      <c r="BV210" s="50"/>
      <c r="BW210" s="50"/>
      <c r="BX210" s="50"/>
      <c r="BY210" s="50"/>
      <c r="BZ210" s="50"/>
      <c r="CA210" s="50"/>
      <c r="CB210" s="50"/>
      <c r="CC210" s="50"/>
      <c r="CD210" s="50"/>
      <c r="CE210" s="50"/>
      <c r="CF210" s="50"/>
      <c r="CG210" s="50"/>
      <c r="CH210" s="50"/>
      <c r="CI210" s="50"/>
      <c r="CJ210" s="50"/>
      <c r="CK210" s="50"/>
      <c r="CL210" s="50"/>
      <c r="CM210" s="50"/>
      <c r="CN210" s="50"/>
      <c r="CO210" s="50"/>
      <c r="CP210" s="50"/>
      <c r="CQ210" s="50"/>
      <c r="CR210" s="50"/>
      <c r="CS210" s="50"/>
      <c r="CT210" s="50"/>
      <c r="CU210" s="50"/>
    </row>
    <row r="211" spans="1:99">
      <c r="A211" s="50"/>
      <c r="B211" s="50"/>
      <c r="C211" s="50" t="s">
        <v>888</v>
      </c>
      <c r="D211" s="50"/>
      <c r="E211" s="225"/>
      <c r="F211" s="226"/>
      <c r="G211" s="226"/>
      <c r="H211" s="276"/>
      <c r="I211" s="107"/>
      <c r="J211" s="274"/>
      <c r="K211" s="275"/>
      <c r="L211" s="275"/>
      <c r="M211" s="276"/>
      <c r="N211" s="107"/>
      <c r="O211" s="274"/>
      <c r="P211" s="275"/>
      <c r="Q211" s="275"/>
      <c r="R211" s="276"/>
      <c r="S211" s="107"/>
      <c r="T211" s="274"/>
      <c r="U211" s="275"/>
      <c r="V211" s="275"/>
      <c r="W211" s="276"/>
      <c r="X211" s="107">
        <f t="shared" ref="X211:AH211" si="308">X201/X187</f>
        <v>0.12997672322113515</v>
      </c>
      <c r="Y211" s="274"/>
      <c r="Z211" s="275"/>
      <c r="AA211" s="275"/>
      <c r="AB211" s="276">
        <f t="shared" si="308"/>
        <v>0.15340743122408623</v>
      </c>
      <c r="AC211" s="107">
        <f t="shared" si="308"/>
        <v>0.15340743122408623</v>
      </c>
      <c r="AD211" s="274">
        <f t="shared" si="308"/>
        <v>0.16560745501737789</v>
      </c>
      <c r="AE211" s="275">
        <f t="shared" si="308"/>
        <v>0.17076956933710402</v>
      </c>
      <c r="AF211" s="275">
        <f t="shared" si="308"/>
        <v>0.17424267290355333</v>
      </c>
      <c r="AG211" s="276">
        <f t="shared" si="308"/>
        <v>0.17394563114019476</v>
      </c>
      <c r="AH211" s="107">
        <f t="shared" si="308"/>
        <v>0.17394563114019476</v>
      </c>
      <c r="AI211" s="274">
        <f>AI201/AI187</f>
        <v>0.17950656346245406</v>
      </c>
      <c r="AJ211" s="275">
        <f>AJ201/AJ187</f>
        <v>0.18254562834569962</v>
      </c>
      <c r="AK211" s="275">
        <f>AK201/AK187</f>
        <v>0.18757323749098781</v>
      </c>
      <c r="AL211" s="276">
        <f>AL201/AL187</f>
        <v>0.18545330550700634</v>
      </c>
      <c r="AM211" s="107">
        <f>AM201/AM187</f>
        <v>0.18545330550700634</v>
      </c>
      <c r="AN211" s="274">
        <f t="shared" ref="AN211:AR211" si="309">AN201/AN187</f>
        <v>0.19041267329231601</v>
      </c>
      <c r="AO211" s="275">
        <f>AO201/AO187</f>
        <v>0.20262726284276686</v>
      </c>
      <c r="AP211" s="275">
        <f t="shared" si="309"/>
        <v>0.21715486166006354</v>
      </c>
      <c r="AQ211" s="276">
        <f t="shared" si="309"/>
        <v>0.21975888645143746</v>
      </c>
      <c r="AR211" s="107">
        <f t="shared" si="309"/>
        <v>0.21975888645143746</v>
      </c>
      <c r="AS211" s="274">
        <f t="shared" ref="AS211" si="310">AS201/AS187</f>
        <v>0.2278844428494527</v>
      </c>
      <c r="AT211" s="275">
        <f>AT201/AT187</f>
        <v>0.22333716733431166</v>
      </c>
      <c r="AU211" s="275">
        <f t="shared" ref="AU211:AW211" si="311">AU201/AU187</f>
        <v>0.198894633624532</v>
      </c>
      <c r="AV211" s="276">
        <f t="shared" si="311"/>
        <v>0.21363902939667173</v>
      </c>
      <c r="AW211" s="107">
        <f t="shared" si="311"/>
        <v>0.21363902939667173</v>
      </c>
      <c r="AX211" s="274">
        <f t="shared" ref="AX211:BL211" si="312">AX201/AX187</f>
        <v>0.22001792114201035</v>
      </c>
      <c r="AY211" s="275">
        <f t="shared" si="312"/>
        <v>0.21931445362009919</v>
      </c>
      <c r="AZ211" s="275">
        <f t="shared" si="312"/>
        <v>0.22162259911524856</v>
      </c>
      <c r="BA211" s="276">
        <f t="shared" si="312"/>
        <v>0.21770478293629134</v>
      </c>
      <c r="BB211" s="107">
        <f t="shared" si="312"/>
        <v>0.21770478293629134</v>
      </c>
      <c r="BC211" s="274">
        <f t="shared" si="312"/>
        <v>0.21719153708773689</v>
      </c>
      <c r="BD211" s="275">
        <f t="shared" si="312"/>
        <v>0.21672475145498657</v>
      </c>
      <c r="BE211" s="275">
        <f t="shared" si="312"/>
        <v>0.21669333866756713</v>
      </c>
      <c r="BF211" s="276">
        <f t="shared" si="312"/>
        <v>0.21645474801117467</v>
      </c>
      <c r="BG211" s="107">
        <f t="shared" si="312"/>
        <v>0.21645474801117467</v>
      </c>
      <c r="BH211" s="274">
        <f t="shared" si="312"/>
        <v>0.21736036507403653</v>
      </c>
      <c r="BI211" s="275">
        <f t="shared" si="312"/>
        <v>0.21837377913346923</v>
      </c>
      <c r="BJ211" s="275">
        <f t="shared" si="312"/>
        <v>0.22216360938976884</v>
      </c>
      <c r="BK211" s="276">
        <f t="shared" si="312"/>
        <v>0.22306529761949925</v>
      </c>
      <c r="BL211" s="107">
        <f t="shared" si="312"/>
        <v>0.22306529761949925</v>
      </c>
      <c r="BM211" s="274">
        <f>BM201/BM187</f>
        <v>0.22344454437177477</v>
      </c>
      <c r="BN211" s="275">
        <f>BN201/BN187</f>
        <v>0.22383151756637881</v>
      </c>
      <c r="BO211" s="275">
        <f>BO201/BO187</f>
        <v>0.21362041247180275</v>
      </c>
      <c r="BP211" s="276">
        <f>BP201/BP187</f>
        <v>0.22585669967649533</v>
      </c>
      <c r="BQ211" s="107">
        <f>BQ201/BQ187</f>
        <v>0.22585669967649533</v>
      </c>
      <c r="BR211" s="50"/>
      <c r="BS211" s="50"/>
      <c r="BT211" s="50"/>
      <c r="BU211" s="50"/>
      <c r="BV211" s="50"/>
      <c r="BW211" s="50"/>
      <c r="BX211" s="50"/>
      <c r="BY211" s="50"/>
      <c r="BZ211" s="50"/>
      <c r="CA211" s="50"/>
      <c r="CB211" s="50"/>
      <c r="CC211" s="50"/>
      <c r="CD211" s="50"/>
      <c r="CE211" s="50"/>
      <c r="CF211" s="50"/>
      <c r="CG211" s="50"/>
      <c r="CH211" s="50"/>
      <c r="CI211" s="50"/>
      <c r="CJ211" s="50"/>
      <c r="CK211" s="50"/>
      <c r="CL211" s="50"/>
      <c r="CM211" s="50"/>
      <c r="CN211" s="50"/>
      <c r="CO211" s="50"/>
      <c r="CP211" s="50"/>
      <c r="CQ211" s="50"/>
      <c r="CR211" s="50"/>
      <c r="CS211" s="50"/>
      <c r="CT211" s="50"/>
      <c r="CU211" s="50"/>
    </row>
    <row r="212" spans="1:99">
      <c r="A212" s="303"/>
      <c r="B212" s="303"/>
      <c r="C212" s="303"/>
      <c r="D212" s="303"/>
      <c r="E212" s="305"/>
      <c r="F212" s="306"/>
      <c r="G212" s="306"/>
      <c r="H212" s="307"/>
      <c r="I212" s="303"/>
      <c r="J212" s="305"/>
      <c r="K212" s="306"/>
      <c r="L212" s="306"/>
      <c r="M212" s="307"/>
      <c r="N212" s="303"/>
      <c r="O212" s="305"/>
      <c r="P212" s="306"/>
      <c r="Q212" s="306"/>
      <c r="R212" s="307"/>
      <c r="S212" s="303"/>
      <c r="T212" s="305"/>
      <c r="U212" s="306"/>
      <c r="V212" s="306"/>
      <c r="W212" s="307"/>
      <c r="X212" s="303"/>
      <c r="Y212" s="305"/>
      <c r="Z212" s="306"/>
      <c r="AA212" s="306"/>
      <c r="AB212" s="307"/>
      <c r="AC212" s="303"/>
      <c r="AD212" s="305"/>
      <c r="AE212" s="306"/>
      <c r="AF212" s="306"/>
      <c r="AG212" s="307"/>
      <c r="AH212" s="303"/>
      <c r="AI212" s="305"/>
      <c r="AJ212" s="306"/>
      <c r="AK212" s="306"/>
      <c r="AL212" s="307"/>
      <c r="AM212" s="303"/>
      <c r="AN212" s="305"/>
      <c r="AO212" s="306"/>
      <c r="AP212" s="306"/>
      <c r="AQ212" s="307"/>
      <c r="AR212" s="303"/>
      <c r="AS212" s="305"/>
      <c r="AT212" s="306"/>
      <c r="AU212" s="306"/>
      <c r="AV212" s="307"/>
      <c r="AW212" s="303"/>
      <c r="AX212" s="305"/>
      <c r="AY212" s="306"/>
      <c r="AZ212" s="306"/>
      <c r="BA212" s="307"/>
      <c r="BB212" s="303"/>
      <c r="BC212" s="305"/>
      <c r="BD212" s="306"/>
      <c r="BE212" s="306"/>
      <c r="BF212" s="307"/>
      <c r="BG212" s="303"/>
      <c r="BH212" s="305"/>
      <c r="BI212" s="306"/>
      <c r="BJ212" s="306"/>
      <c r="BK212" s="307"/>
      <c r="BL212" s="303"/>
      <c r="BM212" s="305"/>
      <c r="BN212" s="306"/>
      <c r="BO212" s="306"/>
      <c r="BP212" s="307"/>
      <c r="BQ212" s="303"/>
      <c r="BR212" s="303"/>
      <c r="BS212" s="303"/>
      <c r="BT212" s="303"/>
      <c r="BU212" s="303"/>
      <c r="BV212" s="303"/>
      <c r="BW212" s="303"/>
      <c r="BX212" s="303"/>
      <c r="BY212" s="303"/>
      <c r="BZ212" s="303"/>
      <c r="CA212" s="303"/>
      <c r="CB212" s="303"/>
      <c r="CC212" s="303"/>
      <c r="CD212" s="303"/>
      <c r="CE212" s="303"/>
      <c r="CF212" s="303"/>
      <c r="CG212" s="303"/>
      <c r="CH212" s="303"/>
      <c r="CI212" s="303"/>
      <c r="CJ212" s="303"/>
      <c r="CK212" s="303"/>
      <c r="CL212" s="303"/>
      <c r="CM212" s="303"/>
      <c r="CN212" s="303"/>
      <c r="CO212" s="303"/>
      <c r="CP212" s="303"/>
      <c r="CQ212" s="303"/>
      <c r="CR212" s="303"/>
      <c r="CS212" s="303"/>
      <c r="CT212" s="303"/>
      <c r="CU212" s="303"/>
    </row>
    <row r="213" spans="1:99">
      <c r="A213" s="303"/>
      <c r="B213" s="303"/>
      <c r="C213" s="164" t="s">
        <v>889</v>
      </c>
      <c r="D213" s="303"/>
      <c r="E213" s="305"/>
      <c r="F213" s="306"/>
      <c r="G213" s="306"/>
      <c r="H213" s="307"/>
      <c r="I213" s="303"/>
      <c r="J213" s="305"/>
      <c r="K213" s="306"/>
      <c r="L213" s="306"/>
      <c r="M213" s="307"/>
      <c r="N213" s="303"/>
      <c r="O213" s="305"/>
      <c r="P213" s="306"/>
      <c r="Q213" s="306"/>
      <c r="R213" s="307"/>
      <c r="S213" s="303"/>
      <c r="T213" s="305"/>
      <c r="U213" s="306"/>
      <c r="V213" s="306"/>
      <c r="W213" s="307"/>
      <c r="X213" s="303"/>
      <c r="Y213" s="305"/>
      <c r="Z213" s="306"/>
      <c r="AA213" s="306"/>
      <c r="AB213" s="307"/>
      <c r="AC213" s="303"/>
      <c r="AD213" s="305"/>
      <c r="AE213" s="306"/>
      <c r="AF213" s="306"/>
      <c r="AG213" s="307"/>
      <c r="AH213" s="303"/>
      <c r="AI213" s="305"/>
      <c r="AJ213" s="306"/>
      <c r="AK213" s="306"/>
      <c r="AL213" s="307"/>
      <c r="AM213" s="303"/>
      <c r="AN213" s="305"/>
      <c r="AO213" s="306"/>
      <c r="AP213" s="306"/>
      <c r="AQ213" s="307"/>
      <c r="AR213" s="303"/>
      <c r="AS213" s="305"/>
      <c r="AT213" s="306"/>
      <c r="AU213" s="306"/>
      <c r="AV213" s="307"/>
      <c r="AW213" s="303"/>
      <c r="AX213" s="305"/>
      <c r="AY213" s="306"/>
      <c r="AZ213" s="306"/>
      <c r="BA213" s="307"/>
      <c r="BB213" s="303"/>
      <c r="BC213" s="305"/>
      <c r="BD213" s="306"/>
      <c r="BE213" s="306"/>
      <c r="BF213" s="307"/>
      <c r="BG213" s="303"/>
      <c r="BH213" s="305"/>
      <c r="BI213" s="306"/>
      <c r="BJ213" s="306"/>
      <c r="BK213" s="307"/>
      <c r="BL213" s="303"/>
      <c r="BM213" s="305"/>
      <c r="BN213" s="306"/>
      <c r="BO213" s="306"/>
      <c r="BP213" s="307"/>
      <c r="BQ213" s="303"/>
      <c r="BR213" s="303"/>
      <c r="BS213" s="303"/>
      <c r="BT213" s="303"/>
      <c r="BU213" s="303"/>
      <c r="BV213" s="303"/>
      <c r="BW213" s="303"/>
      <c r="BX213" s="303"/>
      <c r="BY213" s="303"/>
      <c r="BZ213" s="303"/>
      <c r="CA213" s="303"/>
      <c r="CB213" s="303"/>
      <c r="CC213" s="303"/>
      <c r="CD213" s="303"/>
      <c r="CE213" s="303"/>
      <c r="CF213" s="303"/>
      <c r="CG213" s="303"/>
      <c r="CH213" s="303"/>
      <c r="CI213" s="303"/>
      <c r="CJ213" s="303"/>
      <c r="CK213" s="303"/>
      <c r="CL213" s="303"/>
      <c r="CM213" s="303"/>
      <c r="CN213" s="303"/>
      <c r="CO213" s="303"/>
      <c r="CP213" s="303"/>
      <c r="CQ213" s="303"/>
      <c r="CR213" s="303"/>
      <c r="CS213" s="303"/>
      <c r="CT213" s="303"/>
      <c r="CU213" s="303"/>
    </row>
    <row r="214" spans="1:99">
      <c r="A214" s="303"/>
      <c r="B214" s="303"/>
      <c r="C214" s="303" t="s">
        <v>891</v>
      </c>
      <c r="D214" s="303"/>
      <c r="E214" s="305"/>
      <c r="F214" s="306"/>
      <c r="G214" s="306"/>
      <c r="H214" s="277"/>
      <c r="I214" s="108"/>
      <c r="J214" s="278"/>
      <c r="K214" s="279"/>
      <c r="L214" s="279"/>
      <c r="M214" s="277"/>
      <c r="N214" s="108"/>
      <c r="O214" s="278"/>
      <c r="P214" s="279"/>
      <c r="Q214" s="279"/>
      <c r="R214" s="277"/>
      <c r="S214" s="108"/>
      <c r="T214" s="278"/>
      <c r="U214" s="279"/>
      <c r="V214" s="279"/>
      <c r="W214" s="277"/>
      <c r="X214" s="108">
        <f t="shared" ref="X214:AH214" si="313">(X201+X204)/X204</f>
        <v>4.2646048109965635</v>
      </c>
      <c r="Y214" s="278"/>
      <c r="Z214" s="279"/>
      <c r="AA214" s="279"/>
      <c r="AB214" s="277">
        <f t="shared" si="313"/>
        <v>4.25</v>
      </c>
      <c r="AC214" s="108">
        <f t="shared" si="313"/>
        <v>4.25</v>
      </c>
      <c r="AD214" s="278">
        <f t="shared" si="313"/>
        <v>4.4425087108013939</v>
      </c>
      <c r="AE214" s="279">
        <f t="shared" si="313"/>
        <v>4.5121951219512191</v>
      </c>
      <c r="AF214" s="279">
        <f t="shared" si="313"/>
        <v>4.5265017667844525</v>
      </c>
      <c r="AG214" s="277">
        <f t="shared" si="313"/>
        <v>4.6032821976453819</v>
      </c>
      <c r="AH214" s="108">
        <f t="shared" si="313"/>
        <v>4.6032821976453819</v>
      </c>
      <c r="AI214" s="278">
        <f>(AI201+AI204)/AI204</f>
        <v>4.6282554405993599</v>
      </c>
      <c r="AJ214" s="279">
        <f>(AJ201+AJ204)/AJ204</f>
        <v>4.6880202678248306</v>
      </c>
      <c r="AK214" s="279">
        <f>(AK201+AK204)/AK204</f>
        <v>4.821932681867537</v>
      </c>
      <c r="AL214" s="277">
        <f>(AL201+AL204)/AL204</f>
        <v>4.7610427226647367</v>
      </c>
      <c r="AM214" s="108">
        <f>(AM201+AM204)/AM204</f>
        <v>4.7610427226647367</v>
      </c>
      <c r="AN214" s="278">
        <f t="shared" ref="AN214:AR214" si="314">(AN201+AN204)/AN204</f>
        <v>4.7970007315288958</v>
      </c>
      <c r="AO214" s="279">
        <f>(AO201+AO204)/AO204</f>
        <v>4.9955686853766617</v>
      </c>
      <c r="AP214" s="279">
        <f t="shared" si="314"/>
        <v>5.1650375939849615</v>
      </c>
      <c r="AQ214" s="277">
        <f t="shared" si="314"/>
        <v>5.4063838069287655</v>
      </c>
      <c r="AR214" s="108">
        <f t="shared" si="314"/>
        <v>5.4063838069287655</v>
      </c>
      <c r="AS214" s="278">
        <f t="shared" ref="AS214" si="315">(AS201+AS204)/AS204</f>
        <v>5.5774929915899074</v>
      </c>
      <c r="AT214" s="279">
        <f>(AT201+AT204)/AT204</f>
        <v>5.5817737998372658</v>
      </c>
      <c r="AU214" s="279">
        <f t="shared" ref="AU214:AW214" si="316">(AU201+AU204)/AU204</f>
        <v>5.5796387520525448</v>
      </c>
      <c r="AV214" s="277">
        <f t="shared" si="316"/>
        <v>5.775501843506758</v>
      </c>
      <c r="AW214" s="108">
        <f t="shared" si="316"/>
        <v>5.775501843506758</v>
      </c>
      <c r="AX214" s="278">
        <f t="shared" ref="AX214:BL214" si="317">(AX201+AX204)/AX204</f>
        <v>5.8646601521042481</v>
      </c>
      <c r="AY214" s="279">
        <f t="shared" si="317"/>
        <v>6.0060153215745737</v>
      </c>
      <c r="AZ214" s="279">
        <f t="shared" si="317"/>
        <v>6.1780574882231498</v>
      </c>
      <c r="BA214" s="277">
        <f t="shared" si="317"/>
        <v>6.0872143238699916</v>
      </c>
      <c r="BB214" s="108">
        <f t="shared" si="317"/>
        <v>6.0872143238699916</v>
      </c>
      <c r="BC214" s="278">
        <f t="shared" si="317"/>
        <v>6.0816383535991285</v>
      </c>
      <c r="BD214" s="279">
        <f t="shared" si="317"/>
        <v>6.0513568724444982</v>
      </c>
      <c r="BE214" s="279">
        <f t="shared" si="317"/>
        <v>5.8116919218408816</v>
      </c>
      <c r="BF214" s="277">
        <f t="shared" si="317"/>
        <v>5.7683832666600177</v>
      </c>
      <c r="BG214" s="108">
        <f t="shared" si="317"/>
        <v>5.7683832666600177</v>
      </c>
      <c r="BH214" s="278">
        <f t="shared" si="317"/>
        <v>5.736577721751086</v>
      </c>
      <c r="BI214" s="279">
        <f t="shared" si="317"/>
        <v>5.7184479887281316</v>
      </c>
      <c r="BJ214" s="279">
        <f t="shared" si="317"/>
        <v>5.738433463782072</v>
      </c>
      <c r="BK214" s="277">
        <f t="shared" si="317"/>
        <v>5.7721954661928017</v>
      </c>
      <c r="BL214" s="108">
        <f t="shared" si="317"/>
        <v>5.7721954661928017</v>
      </c>
      <c r="BM214" s="278">
        <f>(BM201+BM204)/BM204</f>
        <v>5.7913620788380555</v>
      </c>
      <c r="BN214" s="279">
        <f>(BN201+BN204)/BN204</f>
        <v>5.8197780978673839</v>
      </c>
      <c r="BO214" s="279">
        <f>(BO201+BO204)/BO204</f>
        <v>5.7145596638556491</v>
      </c>
      <c r="BP214" s="277">
        <f>(BP201+BP204)/BP204</f>
        <v>5.7652838623036251</v>
      </c>
      <c r="BQ214" s="108">
        <f>(BQ201+BQ204)/BQ204</f>
        <v>5.7652838623036251</v>
      </c>
      <c r="BR214" s="303"/>
      <c r="BS214" s="303"/>
      <c r="BT214" s="303"/>
      <c r="BU214" s="303"/>
      <c r="BV214" s="303"/>
      <c r="BW214" s="303"/>
      <c r="BX214" s="303"/>
      <c r="BY214" s="303"/>
      <c r="BZ214" s="303"/>
      <c r="CA214" s="303"/>
      <c r="CB214" s="303"/>
      <c r="CC214" s="303"/>
      <c r="CD214" s="303"/>
      <c r="CE214" s="303"/>
      <c r="CF214" s="303"/>
      <c r="CG214" s="303"/>
      <c r="CH214" s="303"/>
      <c r="CI214" s="303"/>
      <c r="CJ214" s="303"/>
      <c r="CK214" s="303"/>
      <c r="CL214" s="303"/>
      <c r="CM214" s="303"/>
      <c r="CN214" s="303"/>
      <c r="CO214" s="303"/>
      <c r="CP214" s="303"/>
      <c r="CQ214" s="303"/>
      <c r="CR214" s="303"/>
      <c r="CS214" s="303"/>
      <c r="CT214" s="303"/>
      <c r="CU214" s="303"/>
    </row>
    <row r="215" spans="1:99">
      <c r="A215" s="303"/>
      <c r="B215" s="303"/>
      <c r="C215" s="303" t="s">
        <v>892</v>
      </c>
      <c r="D215" s="303"/>
      <c r="E215" s="305"/>
      <c r="F215" s="306"/>
      <c r="G215" s="306"/>
      <c r="H215" s="277"/>
      <c r="I215" s="108"/>
      <c r="J215" s="278"/>
      <c r="K215" s="279"/>
      <c r="L215" s="279"/>
      <c r="M215" s="277"/>
      <c r="N215" s="108"/>
      <c r="O215" s="278"/>
      <c r="P215" s="279"/>
      <c r="Q215" s="279"/>
      <c r="R215" s="277"/>
      <c r="S215" s="108"/>
      <c r="T215" s="278"/>
      <c r="U215" s="279"/>
      <c r="V215" s="279"/>
      <c r="W215" s="277"/>
      <c r="X215" s="108">
        <f t="shared" ref="X215:AH215" si="318">X202/X204</f>
        <v>3.0137457044673539</v>
      </c>
      <c r="Y215" s="278"/>
      <c r="Z215" s="279"/>
      <c r="AA215" s="279"/>
      <c r="AB215" s="277">
        <f t="shared" si="318"/>
        <v>2.8972602739726026</v>
      </c>
      <c r="AC215" s="108">
        <f t="shared" si="318"/>
        <v>2.8972602739726026</v>
      </c>
      <c r="AD215" s="278">
        <f t="shared" si="318"/>
        <v>2.9790940766550524</v>
      </c>
      <c r="AE215" s="279">
        <f t="shared" si="318"/>
        <v>3.0662020905923346</v>
      </c>
      <c r="AF215" s="279">
        <f t="shared" si="318"/>
        <v>2.9363957597173145</v>
      </c>
      <c r="AG215" s="277">
        <f t="shared" si="318"/>
        <v>2.97574027827328</v>
      </c>
      <c r="AH215" s="108">
        <f t="shared" si="318"/>
        <v>2.9757402782732809</v>
      </c>
      <c r="AI215" s="278">
        <f>AI202/AI204</f>
        <v>2.9793078844095628</v>
      </c>
      <c r="AJ215" s="279">
        <f>AJ202/AJ204</f>
        <v>2.9319580166485721</v>
      </c>
      <c r="AK215" s="279">
        <f>AK202/AK204</f>
        <v>3.0405356496561726</v>
      </c>
      <c r="AL215" s="277">
        <f>AL202/AL204</f>
        <v>2.9243301955105006</v>
      </c>
      <c r="AM215" s="108">
        <f>AM202/AM204</f>
        <v>2.9243301955105001</v>
      </c>
      <c r="AN215" s="278">
        <f t="shared" ref="AN215:AR215" si="319">AN202/AN204</f>
        <v>2.9809802487198254</v>
      </c>
      <c r="AO215" s="279">
        <f>AO202/AO204</f>
        <v>3.2300590841949783</v>
      </c>
      <c r="AP215" s="279">
        <f t="shared" si="319"/>
        <v>3.4751879699248125</v>
      </c>
      <c r="AQ215" s="277">
        <f t="shared" si="319"/>
        <v>3.6173608407940834</v>
      </c>
      <c r="AR215" s="108">
        <f t="shared" si="319"/>
        <v>3.6173608407940816</v>
      </c>
      <c r="AS215" s="278">
        <f t="shared" ref="AS215" si="320">AS202/AS204</f>
        <v>3.7741289547456955</v>
      </c>
      <c r="AT215" s="279">
        <f>AT202/AT204</f>
        <v>3.7660699755899123</v>
      </c>
      <c r="AU215" s="279">
        <f t="shared" ref="AU215:AW215" si="321">AU202/AU204</f>
        <v>3.773399014778327</v>
      </c>
      <c r="AV215" s="277">
        <f t="shared" si="321"/>
        <v>4.0966816878328576</v>
      </c>
      <c r="AW215" s="108">
        <f t="shared" si="321"/>
        <v>4.096681687832854</v>
      </c>
      <c r="AX215" s="278">
        <f t="shared" ref="AX215:BL215" si="322">AX202/AX204</f>
        <v>4.0306318660246481</v>
      </c>
      <c r="AY215" s="279">
        <f t="shared" si="322"/>
        <v>4.0330357328397595</v>
      </c>
      <c r="AZ215" s="279">
        <f t="shared" si="322"/>
        <v>4.1119252338264385</v>
      </c>
      <c r="BA215" s="277">
        <f t="shared" si="322"/>
        <v>3.8828417083025175</v>
      </c>
      <c r="BB215" s="108">
        <f t="shared" si="322"/>
        <v>3.8828417083025193</v>
      </c>
      <c r="BC215" s="278">
        <f t="shared" si="322"/>
        <v>3.8917531193083521</v>
      </c>
      <c r="BD215" s="279">
        <f t="shared" si="322"/>
        <v>3.867383183326436</v>
      </c>
      <c r="BE215" s="279">
        <f t="shared" si="322"/>
        <v>3.7189215281103198</v>
      </c>
      <c r="BF215" s="277">
        <f t="shared" si="322"/>
        <v>3.6921415553661987</v>
      </c>
      <c r="BG215" s="108">
        <f t="shared" si="322"/>
        <v>3.6921415553662018</v>
      </c>
      <c r="BH215" s="278">
        <f t="shared" si="322"/>
        <v>3.6753217792746513</v>
      </c>
      <c r="BI215" s="279">
        <f t="shared" si="322"/>
        <v>3.6713052047066856</v>
      </c>
      <c r="BJ215" s="279">
        <f t="shared" si="322"/>
        <v>3.7074588851120089</v>
      </c>
      <c r="BK215" s="277">
        <f t="shared" si="322"/>
        <v>3.7439069127009992</v>
      </c>
      <c r="BL215" s="108">
        <f t="shared" si="322"/>
        <v>3.7439069127009992</v>
      </c>
      <c r="BM215" s="278">
        <f>BM202/BM204</f>
        <v>3.7621829243904634</v>
      </c>
      <c r="BN215" s="279">
        <f>BN202/BN204</f>
        <v>3.7989491122565924</v>
      </c>
      <c r="BO215" s="279">
        <f>BO202/BO204</f>
        <v>3.7516776061472386</v>
      </c>
      <c r="BP215" s="277">
        <f>BP202/BP204</f>
        <v>3.8022287511102446</v>
      </c>
      <c r="BQ215" s="108">
        <f>BQ202/BQ204</f>
        <v>3.8022287511102459</v>
      </c>
      <c r="BR215" s="303"/>
      <c r="BS215" s="303"/>
      <c r="BT215" s="303"/>
      <c r="BU215" s="303"/>
      <c r="BV215" s="303"/>
      <c r="BW215" s="303"/>
      <c r="BX215" s="303"/>
      <c r="BY215" s="303"/>
      <c r="BZ215" s="303"/>
      <c r="CA215" s="303"/>
      <c r="CB215" s="303"/>
      <c r="CC215" s="303"/>
      <c r="CD215" s="303"/>
      <c r="CE215" s="303"/>
      <c r="CF215" s="303"/>
      <c r="CG215" s="303"/>
      <c r="CH215" s="303"/>
      <c r="CI215" s="303"/>
      <c r="CJ215" s="303"/>
      <c r="CK215" s="303"/>
      <c r="CL215" s="303"/>
      <c r="CM215" s="303"/>
      <c r="CN215" s="303"/>
      <c r="CO215" s="303"/>
      <c r="CP215" s="303"/>
      <c r="CQ215" s="303"/>
      <c r="CR215" s="303"/>
      <c r="CS215" s="303"/>
      <c r="CT215" s="303"/>
      <c r="CU215" s="303"/>
    </row>
    <row r="216" spans="1:99">
      <c r="A216" s="303"/>
      <c r="B216" s="303"/>
      <c r="C216" s="303"/>
      <c r="D216" s="303"/>
      <c r="E216" s="305"/>
      <c r="F216" s="306"/>
      <c r="G216" s="306"/>
      <c r="H216" s="307"/>
      <c r="I216" s="303"/>
      <c r="J216" s="305"/>
      <c r="K216" s="306"/>
      <c r="L216" s="306"/>
      <c r="M216" s="307"/>
      <c r="N216" s="303"/>
      <c r="O216" s="305"/>
      <c r="P216" s="306"/>
      <c r="Q216" s="306"/>
      <c r="R216" s="307"/>
      <c r="S216" s="303"/>
      <c r="T216" s="305"/>
      <c r="U216" s="306"/>
      <c r="V216" s="306"/>
      <c r="W216" s="307"/>
      <c r="X216" s="303"/>
      <c r="Y216" s="305"/>
      <c r="Z216" s="306"/>
      <c r="AA216" s="306"/>
      <c r="AB216" s="307"/>
      <c r="AC216" s="303"/>
      <c r="AD216" s="305"/>
      <c r="AE216" s="306"/>
      <c r="AF216" s="306"/>
      <c r="AG216" s="307"/>
      <c r="AH216" s="303"/>
      <c r="AI216" s="305"/>
      <c r="AJ216" s="306"/>
      <c r="AK216" s="306"/>
      <c r="AL216" s="307"/>
      <c r="AM216" s="303"/>
      <c r="AN216" s="305"/>
      <c r="AO216" s="306"/>
      <c r="AP216" s="306"/>
      <c r="AQ216" s="307"/>
      <c r="AR216" s="303"/>
      <c r="AS216" s="305"/>
      <c r="AT216" s="306"/>
      <c r="AU216" s="306"/>
      <c r="AV216" s="307"/>
      <c r="AW216" s="303"/>
      <c r="AX216" s="305"/>
      <c r="AY216" s="306"/>
      <c r="AZ216" s="306"/>
      <c r="BA216" s="307"/>
      <c r="BB216" s="303"/>
      <c r="BC216" s="305"/>
      <c r="BD216" s="306"/>
      <c r="BE216" s="306"/>
      <c r="BF216" s="307"/>
      <c r="BG216" s="303"/>
      <c r="BH216" s="305"/>
      <c r="BI216" s="306"/>
      <c r="BJ216" s="306"/>
      <c r="BK216" s="307"/>
      <c r="BL216" s="303"/>
      <c r="BM216" s="305"/>
      <c r="BN216" s="306"/>
      <c r="BO216" s="306"/>
      <c r="BP216" s="307"/>
      <c r="BQ216" s="303"/>
      <c r="BR216" s="303"/>
      <c r="BS216" s="303"/>
      <c r="BT216" s="303"/>
      <c r="BU216" s="303"/>
      <c r="BV216" s="303"/>
      <c r="BW216" s="303"/>
      <c r="BX216" s="303"/>
      <c r="BY216" s="303"/>
      <c r="BZ216" s="303"/>
      <c r="CA216" s="303"/>
      <c r="CB216" s="303"/>
      <c r="CC216" s="303"/>
      <c r="CD216" s="303"/>
      <c r="CE216" s="303"/>
      <c r="CF216" s="303"/>
      <c r="CG216" s="303"/>
      <c r="CH216" s="303"/>
      <c r="CI216" s="303"/>
      <c r="CJ216" s="303"/>
      <c r="CK216" s="303"/>
      <c r="CL216" s="303"/>
      <c r="CM216" s="303"/>
      <c r="CN216" s="303"/>
      <c r="CO216" s="303"/>
      <c r="CP216" s="303"/>
      <c r="CQ216" s="303"/>
      <c r="CR216" s="303"/>
      <c r="CS216" s="303"/>
      <c r="CT216" s="303"/>
      <c r="CU216" s="303"/>
    </row>
    <row r="217" spans="1:99">
      <c r="A217" s="303"/>
      <c r="B217" s="303"/>
      <c r="C217" s="303"/>
      <c r="D217" s="303"/>
      <c r="E217" s="305"/>
      <c r="F217" s="306"/>
      <c r="G217" s="306"/>
      <c r="H217" s="307"/>
      <c r="I217" s="303"/>
      <c r="J217" s="305"/>
      <c r="K217" s="306"/>
      <c r="L217" s="306"/>
      <c r="M217" s="307"/>
      <c r="N217" s="303"/>
      <c r="O217" s="229"/>
      <c r="P217" s="306"/>
      <c r="Q217" s="306"/>
      <c r="R217" s="307"/>
      <c r="S217" s="303"/>
      <c r="T217" s="305"/>
      <c r="U217" s="306"/>
      <c r="V217" s="306"/>
      <c r="W217" s="307"/>
      <c r="X217" s="303"/>
      <c r="Y217" s="305"/>
      <c r="Z217" s="306"/>
      <c r="AA217" s="306"/>
      <c r="AB217" s="307"/>
      <c r="AC217" s="303"/>
      <c r="AD217" s="305"/>
      <c r="AE217" s="306"/>
      <c r="AF217" s="306"/>
      <c r="AG217" s="307"/>
      <c r="AH217" s="303"/>
      <c r="AI217" s="305"/>
      <c r="AJ217" s="306"/>
      <c r="AK217" s="306"/>
      <c r="AL217" s="307"/>
      <c r="AM217" s="303"/>
      <c r="AN217" s="305"/>
      <c r="AO217" s="306"/>
      <c r="AP217" s="306"/>
      <c r="AQ217" s="307"/>
      <c r="AR217" s="303"/>
      <c r="AS217" s="305"/>
      <c r="AT217" s="306"/>
      <c r="AU217" s="306"/>
      <c r="AV217" s="307"/>
      <c r="AW217" s="303"/>
      <c r="AX217" s="305"/>
      <c r="AY217" s="306"/>
      <c r="AZ217" s="306"/>
      <c r="BA217" s="307"/>
      <c r="BB217" s="303"/>
      <c r="BC217" s="305"/>
      <c r="BD217" s="306"/>
      <c r="BE217" s="306"/>
      <c r="BF217" s="307"/>
      <c r="BG217" s="303"/>
      <c r="BH217" s="305"/>
      <c r="BI217" s="306"/>
      <c r="BJ217" s="306"/>
      <c r="BK217" s="307"/>
      <c r="BL217" s="303"/>
      <c r="BM217" s="305"/>
      <c r="BN217" s="306"/>
      <c r="BO217" s="306"/>
      <c r="BP217" s="307"/>
      <c r="BQ217" s="303"/>
      <c r="BR217" s="303"/>
      <c r="BS217" s="303"/>
      <c r="BT217" s="303"/>
      <c r="BU217" s="303"/>
      <c r="BV217" s="303"/>
      <c r="BW217" s="303"/>
      <c r="BX217" s="303"/>
      <c r="BY217" s="303"/>
      <c r="BZ217" s="303"/>
      <c r="CA217" s="303"/>
      <c r="CB217" s="303"/>
      <c r="CC217" s="303"/>
      <c r="CD217" s="303"/>
      <c r="CE217" s="303"/>
      <c r="CF217" s="303"/>
      <c r="CG217" s="303"/>
      <c r="CH217" s="303"/>
      <c r="CI217" s="303"/>
      <c r="CJ217" s="303"/>
      <c r="CK217" s="303"/>
      <c r="CL217" s="303"/>
      <c r="CM217" s="303"/>
      <c r="CN217" s="303"/>
      <c r="CO217" s="303"/>
      <c r="CP217" s="303"/>
      <c r="CQ217" s="303"/>
      <c r="CR217" s="303"/>
      <c r="CS217" s="303"/>
      <c r="CT217" s="303"/>
      <c r="CU217" s="303"/>
    </row>
    <row r="218" spans="1:99">
      <c r="A218" s="303"/>
      <c r="B218" s="358" t="s">
        <v>229</v>
      </c>
      <c r="C218" s="358"/>
      <c r="D218" s="359"/>
      <c r="E218" s="305"/>
      <c r="F218" s="306"/>
      <c r="G218" s="306"/>
      <c r="H218" s="307"/>
      <c r="I218" s="303"/>
      <c r="J218" s="305"/>
      <c r="K218" s="306"/>
      <c r="L218" s="306"/>
      <c r="M218" s="307"/>
      <c r="N218" s="303"/>
      <c r="O218" s="305"/>
      <c r="P218" s="306"/>
      <c r="Q218" s="306"/>
      <c r="R218" s="307"/>
      <c r="S218" s="303"/>
      <c r="T218" s="305"/>
      <c r="U218" s="306"/>
      <c r="V218" s="306"/>
      <c r="W218" s="307"/>
      <c r="X218" s="303"/>
      <c r="Y218" s="305"/>
      <c r="Z218" s="306"/>
      <c r="AA218" s="306"/>
      <c r="AB218" s="307"/>
      <c r="AC218" s="303"/>
      <c r="AD218" s="305"/>
      <c r="AE218" s="306"/>
      <c r="AF218" s="306"/>
      <c r="AG218" s="307"/>
      <c r="AH218" s="303"/>
      <c r="AI218" s="305"/>
      <c r="AJ218" s="306"/>
      <c r="AK218" s="306"/>
      <c r="AL218" s="307"/>
      <c r="AM218" s="303"/>
      <c r="AN218" s="305"/>
      <c r="AO218" s="306"/>
      <c r="AP218" s="306"/>
      <c r="AQ218" s="307"/>
      <c r="AR218" s="303"/>
      <c r="AS218" s="305"/>
      <c r="AT218" s="306"/>
      <c r="AU218" s="306"/>
      <c r="AV218" s="307"/>
      <c r="AW218" s="303"/>
      <c r="AX218" s="305"/>
      <c r="AY218" s="306"/>
      <c r="AZ218" s="306"/>
      <c r="BA218" s="307"/>
      <c r="BB218" s="303"/>
      <c r="BC218" s="305"/>
      <c r="BD218" s="306"/>
      <c r="BE218" s="306"/>
      <c r="BF218" s="307"/>
      <c r="BG218" s="303"/>
      <c r="BH218" s="305"/>
      <c r="BI218" s="306"/>
      <c r="BJ218" s="306"/>
      <c r="BK218" s="307"/>
      <c r="BL218" s="303"/>
      <c r="BM218" s="305"/>
      <c r="BN218" s="306"/>
      <c r="BO218" s="306"/>
      <c r="BP218" s="307"/>
      <c r="BQ218" s="303"/>
      <c r="BR218" s="303"/>
      <c r="BS218" s="303"/>
      <c r="BT218" s="303"/>
      <c r="BU218" s="303"/>
      <c r="BV218" s="303"/>
      <c r="BW218" s="303"/>
      <c r="BX218" s="303"/>
      <c r="BY218" s="303"/>
      <c r="BZ218" s="303"/>
      <c r="CA218" s="303"/>
      <c r="CB218" s="303"/>
      <c r="CC218" s="303"/>
      <c r="CD218" s="303"/>
      <c r="CE218" s="303"/>
      <c r="CF218" s="303"/>
      <c r="CG218" s="303"/>
      <c r="CH218" s="303"/>
      <c r="CI218" s="303"/>
      <c r="CJ218" s="303"/>
      <c r="CK218" s="303"/>
      <c r="CL218" s="303"/>
      <c r="CM218" s="303"/>
      <c r="CN218" s="303"/>
      <c r="CO218" s="303"/>
      <c r="CP218" s="303"/>
      <c r="CQ218" s="303"/>
      <c r="CR218" s="303"/>
      <c r="CS218" s="303"/>
      <c r="CT218" s="303"/>
      <c r="CU218" s="303"/>
    </row>
    <row r="219" spans="1:99">
      <c r="A219" s="242"/>
      <c r="B219" s="242"/>
      <c r="C219" s="164" t="s">
        <v>230</v>
      </c>
      <c r="D219" s="109"/>
      <c r="E219" s="367"/>
      <c r="F219" s="150"/>
      <c r="G219" s="150"/>
      <c r="H219" s="151"/>
      <c r="I219" s="154"/>
      <c r="J219" s="149"/>
      <c r="K219" s="150"/>
      <c r="L219" s="150"/>
      <c r="M219" s="151"/>
      <c r="N219" s="112"/>
      <c r="O219" s="149"/>
      <c r="P219" s="150"/>
      <c r="Q219" s="150"/>
      <c r="R219" s="151"/>
      <c r="S219" s="112"/>
      <c r="T219" s="149"/>
      <c r="U219" s="150"/>
      <c r="V219" s="150"/>
      <c r="W219" s="151"/>
      <c r="X219" s="112"/>
      <c r="Y219" s="149">
        <f>+X224</f>
        <v>8216</v>
      </c>
      <c r="Z219" s="150">
        <f>+Y224</f>
        <v>7869</v>
      </c>
      <c r="AA219" s="150">
        <f>+Z224</f>
        <v>7504</v>
      </c>
      <c r="AB219" s="151">
        <f>+AA224</f>
        <v>7125</v>
      </c>
      <c r="AC219" s="112">
        <f>+X224</f>
        <v>8216</v>
      </c>
      <c r="AD219" s="149">
        <f>+AC224</f>
        <v>6769</v>
      </c>
      <c r="AE219" s="150">
        <f>+AD224</f>
        <v>6892.45</v>
      </c>
      <c r="AF219" s="150">
        <f>+AE224</f>
        <v>7020.9</v>
      </c>
      <c r="AG219" s="151">
        <f>+AF224</f>
        <v>7123.3499999999995</v>
      </c>
      <c r="AH219" s="112">
        <f>+AC224</f>
        <v>6769</v>
      </c>
      <c r="AI219" s="1548">
        <f>+AH224</f>
        <v>7249</v>
      </c>
      <c r="AJ219" s="1549">
        <f>+AI224</f>
        <v>7390.3499999999995</v>
      </c>
      <c r="AK219" s="1549">
        <f>+AJ224</f>
        <v>7529.6999999999989</v>
      </c>
      <c r="AL219" s="1518">
        <f>+AK224</f>
        <v>7641.0499999999984</v>
      </c>
      <c r="AM219" s="1425">
        <f>+AH224</f>
        <v>7249</v>
      </c>
      <c r="AN219" s="1548">
        <f>+AM224</f>
        <v>7800</v>
      </c>
      <c r="AO219" s="1549">
        <f>+AN224</f>
        <v>8008.2749999999996</v>
      </c>
      <c r="AP219" s="1549">
        <f>+AO224</f>
        <v>8205.5499999999993</v>
      </c>
      <c r="AQ219" s="1518">
        <f>+AP224</f>
        <v>8388.7250000000004</v>
      </c>
      <c r="AR219" s="1425">
        <f>+AM224</f>
        <v>7800</v>
      </c>
      <c r="AS219" s="1548">
        <f>+AR224</f>
        <v>8608.4</v>
      </c>
      <c r="AT219" s="1549">
        <f>+AS224</f>
        <v>8860.5499999999993</v>
      </c>
      <c r="AU219" s="1549">
        <f>+AT224</f>
        <v>9105</v>
      </c>
      <c r="AV219" s="1518">
        <f>+AU224</f>
        <v>9331.0500000000011</v>
      </c>
      <c r="AW219" s="1425">
        <f>+AR224</f>
        <v>8608.4</v>
      </c>
      <c r="AX219" s="1548">
        <f>+AW224</f>
        <v>9574.2999999999993</v>
      </c>
      <c r="AY219" s="1549">
        <f>+AX224</f>
        <v>9794.5171874999996</v>
      </c>
      <c r="AZ219" s="1549">
        <f>+AY224</f>
        <v>10013.362172490615</v>
      </c>
      <c r="BA219" s="1518">
        <f>+AZ224</f>
        <v>10228.025985840752</v>
      </c>
      <c r="BB219" s="1425">
        <f>+AW224</f>
        <v>9574.2999999999993</v>
      </c>
      <c r="BC219" s="1548">
        <f>+BB224</f>
        <v>10438.573958357292</v>
      </c>
      <c r="BD219" s="1549">
        <f>+BC224</f>
        <v>10677.633100241863</v>
      </c>
      <c r="BE219" s="1549">
        <f>+BD224</f>
        <v>10911.146236820685</v>
      </c>
      <c r="BF219" s="1518">
        <f>+BE224</f>
        <v>11141.487820168701</v>
      </c>
      <c r="BG219" s="1425">
        <f>+BB224</f>
        <v>10438.573958357292</v>
      </c>
      <c r="BH219" s="1548">
        <f>+BG224</f>
        <v>11368.706676055288</v>
      </c>
      <c r="BI219" s="1549">
        <f>+BH224</f>
        <v>11607.567891786943</v>
      </c>
      <c r="BJ219" s="1549">
        <f>+BI224</f>
        <v>11841.423192857237</v>
      </c>
      <c r="BK219" s="1518">
        <f>+BJ224</f>
        <v>12073.227615131122</v>
      </c>
      <c r="BL219" s="1425">
        <f>+BG224</f>
        <v>11368.706676055288</v>
      </c>
      <c r="BM219" s="1548">
        <f>+BL224</f>
        <v>12303.012581374849</v>
      </c>
      <c r="BN219" s="1549">
        <f>+BM224</f>
        <v>12449.813272833107</v>
      </c>
      <c r="BO219" s="1549">
        <f>+BN224</f>
        <v>12594.654361030971</v>
      </c>
      <c r="BP219" s="1518">
        <f>+BO224</f>
        <v>12737.56583444327</v>
      </c>
      <c r="BQ219" s="1425">
        <f>+BL224</f>
        <v>12303.012581374849</v>
      </c>
      <c r="BR219" s="242"/>
      <c r="BS219" s="242"/>
      <c r="BT219" s="242"/>
      <c r="BU219" s="242"/>
      <c r="BV219" s="242"/>
      <c r="BW219" s="242"/>
      <c r="BX219" s="242"/>
      <c r="BY219" s="242"/>
      <c r="BZ219" s="242"/>
      <c r="CA219" s="242"/>
      <c r="CB219" s="242"/>
      <c r="CC219" s="242"/>
      <c r="CD219" s="242"/>
      <c r="CE219" s="242"/>
      <c r="CF219" s="242"/>
      <c r="CG219" s="242"/>
      <c r="CH219" s="242"/>
      <c r="CI219" s="242"/>
      <c r="CJ219" s="242"/>
      <c r="CK219" s="242"/>
      <c r="CL219" s="242"/>
      <c r="CM219" s="242"/>
      <c r="CN219" s="242"/>
      <c r="CO219" s="242"/>
      <c r="CP219" s="242"/>
      <c r="CQ219" s="242"/>
      <c r="CR219" s="242"/>
      <c r="CS219" s="242"/>
      <c r="CT219" s="242"/>
      <c r="CU219" s="242"/>
    </row>
    <row r="220" spans="1:99">
      <c r="A220" s="242"/>
      <c r="B220" s="242"/>
      <c r="C220" s="100" t="s">
        <v>231</v>
      </c>
      <c r="D220" s="109"/>
      <c r="E220" s="161"/>
      <c r="F220" s="160"/>
      <c r="G220" s="160"/>
      <c r="H220" s="144"/>
      <c r="I220" s="109"/>
      <c r="J220" s="161"/>
      <c r="K220" s="160"/>
      <c r="L220" s="160"/>
      <c r="M220" s="144"/>
      <c r="N220" s="109"/>
      <c r="O220" s="161"/>
      <c r="P220" s="160"/>
      <c r="Q220" s="160"/>
      <c r="R220" s="144"/>
      <c r="S220" s="109"/>
      <c r="T220" s="161"/>
      <c r="U220" s="160"/>
      <c r="V220" s="160"/>
      <c r="W220" s="144"/>
      <c r="X220" s="109"/>
      <c r="Y220" s="161">
        <f t="shared" ref="Y220:AG220" si="323">Y132</f>
        <v>217.75</v>
      </c>
      <c r="Z220" s="160">
        <f t="shared" si="323"/>
        <v>217.75</v>
      </c>
      <c r="AA220" s="160">
        <f t="shared" si="323"/>
        <v>217.75</v>
      </c>
      <c r="AB220" s="144">
        <f t="shared" si="323"/>
        <v>217.75</v>
      </c>
      <c r="AC220" s="109">
        <f>SUM(Y220:AB220)</f>
        <v>871</v>
      </c>
      <c r="AD220" s="161">
        <f t="shared" si="323"/>
        <v>259.5</v>
      </c>
      <c r="AE220" s="160">
        <f t="shared" si="323"/>
        <v>259.5</v>
      </c>
      <c r="AF220" s="160">
        <f t="shared" si="323"/>
        <v>259.5</v>
      </c>
      <c r="AG220" s="144">
        <f t="shared" si="323"/>
        <v>259.5</v>
      </c>
      <c r="AH220" s="109">
        <f>SUM(AD220:AG220)</f>
        <v>1038</v>
      </c>
      <c r="AI220" s="1485">
        <f>AI132</f>
        <v>262.07499999999999</v>
      </c>
      <c r="AJ220" s="1486">
        <f>AJ132</f>
        <v>262.07499999999999</v>
      </c>
      <c r="AK220" s="1486">
        <f>AK132</f>
        <v>262.07499999999999</v>
      </c>
      <c r="AL220" s="1487">
        <f>AL132</f>
        <v>262.07500000000005</v>
      </c>
      <c r="AM220" s="1382">
        <f>SUM(AI220:AL220)</f>
        <v>1048.3</v>
      </c>
      <c r="AN220" s="1485">
        <f>AN132</f>
        <v>264.57499999999999</v>
      </c>
      <c r="AO220" s="1486">
        <f>AO132</f>
        <v>264.57499999999999</v>
      </c>
      <c r="AP220" s="1486">
        <f>AP132</f>
        <v>264.57499999999999</v>
      </c>
      <c r="AQ220" s="1487">
        <f>AQ132</f>
        <v>264.57500000000005</v>
      </c>
      <c r="AR220" s="1382">
        <f>SUM(AN220:AQ220)</f>
        <v>1058.3</v>
      </c>
      <c r="AS220" s="1485">
        <f>AS132</f>
        <v>389.6</v>
      </c>
      <c r="AT220" s="1486">
        <f>AT132</f>
        <v>389.6</v>
      </c>
      <c r="AU220" s="1486">
        <f>AU132</f>
        <v>389.6</v>
      </c>
      <c r="AV220" s="1487">
        <f>AV132</f>
        <v>389.59999999999991</v>
      </c>
      <c r="AW220" s="1382">
        <f>SUM(AS220:AV220)</f>
        <v>1558.4</v>
      </c>
      <c r="AX220" s="1485">
        <f>AX132</f>
        <v>446.25</v>
      </c>
      <c r="AY220" s="1486">
        <f>AY132</f>
        <v>446.25</v>
      </c>
      <c r="AZ220" s="1486">
        <f>AZ132</f>
        <v>446.25</v>
      </c>
      <c r="BA220" s="1487">
        <f>BA132</f>
        <v>446.25</v>
      </c>
      <c r="BB220" s="1382">
        <f>SUM(AX220:BA220)</f>
        <v>1785</v>
      </c>
      <c r="BC220" s="1485">
        <f>BC132</f>
        <v>399.75</v>
      </c>
      <c r="BD220" s="1486">
        <f>BD132</f>
        <v>399.75</v>
      </c>
      <c r="BE220" s="1486">
        <f>BE132</f>
        <v>399.75</v>
      </c>
      <c r="BF220" s="1487">
        <f>BF132</f>
        <v>399.75</v>
      </c>
      <c r="BG220" s="1382">
        <f>SUM(BC220:BF220)</f>
        <v>1599</v>
      </c>
      <c r="BH220" s="1485">
        <f>BH132</f>
        <v>341</v>
      </c>
      <c r="BI220" s="1486">
        <f>BI132</f>
        <v>341</v>
      </c>
      <c r="BJ220" s="1486">
        <f>BJ132</f>
        <v>341</v>
      </c>
      <c r="BK220" s="1487">
        <f>BK132</f>
        <v>341</v>
      </c>
      <c r="BL220" s="1382">
        <f>SUM(BH220:BK220)</f>
        <v>1364</v>
      </c>
      <c r="BM220" s="1485">
        <f>BM132</f>
        <v>341</v>
      </c>
      <c r="BN220" s="1486">
        <f>BN132</f>
        <v>341</v>
      </c>
      <c r="BO220" s="1486">
        <f>BO132</f>
        <v>341</v>
      </c>
      <c r="BP220" s="1487">
        <f>BP132</f>
        <v>341</v>
      </c>
      <c r="BQ220" s="1382">
        <f>SUM(BM220:BP220)</f>
        <v>1364</v>
      </c>
      <c r="BR220" s="242"/>
      <c r="BS220" s="242"/>
      <c r="BT220" s="242"/>
      <c r="BU220" s="242"/>
      <c r="BV220" s="242"/>
      <c r="BW220" s="242"/>
      <c r="BX220" s="242"/>
      <c r="BY220" s="242"/>
      <c r="BZ220" s="242"/>
      <c r="CA220" s="242"/>
      <c r="CB220" s="242"/>
      <c r="CC220" s="242"/>
      <c r="CD220" s="242"/>
      <c r="CE220" s="242"/>
      <c r="CF220" s="242"/>
      <c r="CG220" s="242"/>
      <c r="CH220" s="242"/>
      <c r="CI220" s="242"/>
      <c r="CJ220" s="242"/>
      <c r="CK220" s="242"/>
      <c r="CL220" s="242"/>
      <c r="CM220" s="242"/>
      <c r="CN220" s="242"/>
      <c r="CO220" s="242"/>
      <c r="CP220" s="242"/>
      <c r="CQ220" s="242"/>
      <c r="CR220" s="242"/>
      <c r="CS220" s="242"/>
      <c r="CT220" s="242"/>
      <c r="CU220" s="242"/>
    </row>
    <row r="221" spans="1:99">
      <c r="A221" s="242"/>
      <c r="B221" s="242"/>
      <c r="C221" s="100" t="s">
        <v>79</v>
      </c>
      <c r="D221" s="109"/>
      <c r="E221" s="161"/>
      <c r="F221" s="160"/>
      <c r="G221" s="160"/>
      <c r="H221" s="144"/>
      <c r="I221" s="109"/>
      <c r="J221" s="161"/>
      <c r="K221" s="160"/>
      <c r="L221" s="160"/>
      <c r="M221" s="144"/>
      <c r="N221" s="109"/>
      <c r="O221" s="161"/>
      <c r="P221" s="160"/>
      <c r="Q221" s="160"/>
      <c r="R221" s="144"/>
      <c r="S221" s="109"/>
      <c r="T221" s="161"/>
      <c r="U221" s="160"/>
      <c r="V221" s="160"/>
      <c r="W221" s="144"/>
      <c r="X221" s="109"/>
      <c r="Y221" s="161">
        <f t="shared" ref="Y221:AG221" si="324">+-Y13</f>
        <v>-133</v>
      </c>
      <c r="Z221" s="160">
        <f t="shared" si="324"/>
        <v>-151</v>
      </c>
      <c r="AA221" s="160">
        <f t="shared" si="324"/>
        <v>-165</v>
      </c>
      <c r="AB221" s="144">
        <f t="shared" si="324"/>
        <v>-142</v>
      </c>
      <c r="AC221" s="109">
        <f>SUM(Y221:AB221)</f>
        <v>-591</v>
      </c>
      <c r="AD221" s="161">
        <f t="shared" si="324"/>
        <v>-161</v>
      </c>
      <c r="AE221" s="160">
        <f t="shared" si="324"/>
        <v>-156</v>
      </c>
      <c r="AF221" s="160">
        <f t="shared" si="324"/>
        <v>-182</v>
      </c>
      <c r="AG221" s="144">
        <f t="shared" si="324"/>
        <v>-158.79999999999995</v>
      </c>
      <c r="AH221" s="109">
        <f>SUM(AD221:AG221)</f>
        <v>-657.8</v>
      </c>
      <c r="AI221" s="1485">
        <f>+-AI13</f>
        <v>-168</v>
      </c>
      <c r="AJ221" s="1486">
        <f>+-AJ13</f>
        <v>-170</v>
      </c>
      <c r="AK221" s="1486">
        <f>+-AK13</f>
        <v>-198</v>
      </c>
      <c r="AL221" s="1487">
        <f>+-AL13</f>
        <v>-150.39999999999998</v>
      </c>
      <c r="AM221" s="1382">
        <f>SUM(AI221:AL221)</f>
        <v>-686.4</v>
      </c>
      <c r="AN221" s="1485">
        <f>+-AN13</f>
        <v>-156.30000000000001</v>
      </c>
      <c r="AO221" s="1486">
        <f>+-AO13</f>
        <v>-167.3</v>
      </c>
      <c r="AP221" s="1486">
        <f>+-AP13</f>
        <v>-181.4</v>
      </c>
      <c r="AQ221" s="1487">
        <f>+-AQ13</f>
        <v>-144.89999999999998</v>
      </c>
      <c r="AR221" s="1382">
        <f>SUM(AN221:AQ221)</f>
        <v>-649.9</v>
      </c>
      <c r="AS221" s="1485">
        <f>+-AS13</f>
        <v>-156.19999999999999</v>
      </c>
      <c r="AT221" s="1486">
        <f>+-AT13</f>
        <v>-163.9</v>
      </c>
      <c r="AU221" s="1486">
        <f>+-AU13</f>
        <v>-182.3</v>
      </c>
      <c r="AV221" s="1487">
        <f>+-AV13</f>
        <v>-165.09999999999997</v>
      </c>
      <c r="AW221" s="1382">
        <f>SUM(AS221:AV221)</f>
        <v>-667.5</v>
      </c>
      <c r="AX221" s="1485">
        <f>+-AX13</f>
        <v>-177.28281250000003</v>
      </c>
      <c r="AY221" s="1486">
        <f>+-AY13</f>
        <v>-178.65501500938464</v>
      </c>
      <c r="AZ221" s="1486">
        <f>+-AZ13</f>
        <v>-182.83618664986301</v>
      </c>
      <c r="BA221" s="1487">
        <f>+-BA13</f>
        <v>-186.95202748345889</v>
      </c>
      <c r="BB221" s="1382">
        <f>SUM(AX221:BA221)</f>
        <v>-725.72604164270649</v>
      </c>
      <c r="BC221" s="1485">
        <f>+-BC13</f>
        <v>-188.19085811542976</v>
      </c>
      <c r="BD221" s="1486">
        <f>+-BD13</f>
        <v>-193.73686342117853</v>
      </c>
      <c r="BE221" s="1486">
        <f>+-BE13</f>
        <v>-196.90841665198502</v>
      </c>
      <c r="BF221" s="1487">
        <f>+-BF13</f>
        <v>-200.03114411341156</v>
      </c>
      <c r="BG221" s="1382">
        <f>SUM(BC221:BF221)</f>
        <v>-778.86728230200481</v>
      </c>
      <c r="BH221" s="1485">
        <f>+-BH13</f>
        <v>-202.13878426834503</v>
      </c>
      <c r="BI221" s="1486">
        <f>+-BI13</f>
        <v>-207.14469892970538</v>
      </c>
      <c r="BJ221" s="1486">
        <f>+-BJ13</f>
        <v>-209.19557772611637</v>
      </c>
      <c r="BK221" s="1487">
        <f>+-BK13</f>
        <v>-211.21503375627199</v>
      </c>
      <c r="BL221" s="1382">
        <f>SUM(BH221:BK221)</f>
        <v>-829.69409468043875</v>
      </c>
      <c r="BM221" s="1485">
        <f>+-BM13</f>
        <v>-212.94930854174086</v>
      </c>
      <c r="BN221" s="1486">
        <f>+-BN13</f>
        <v>-214.90891180213728</v>
      </c>
      <c r="BO221" s="1486">
        <f>+-BO13</f>
        <v>-216.83852658770064</v>
      </c>
      <c r="BP221" s="1487">
        <f>+-BP13</f>
        <v>-218.73861182225542</v>
      </c>
      <c r="BQ221" s="1382">
        <f>SUM(BM221:BP221)</f>
        <v>-863.43535875383418</v>
      </c>
      <c r="BR221" s="242"/>
      <c r="BS221" s="242"/>
      <c r="BT221" s="242"/>
      <c r="BU221" s="242"/>
      <c r="BV221" s="242"/>
      <c r="BW221" s="242"/>
      <c r="BX221" s="242"/>
      <c r="BY221" s="242"/>
      <c r="BZ221" s="242"/>
      <c r="CA221" s="242"/>
      <c r="CB221" s="242"/>
      <c r="CC221" s="242"/>
      <c r="CD221" s="242"/>
      <c r="CE221" s="242"/>
      <c r="CF221" s="242"/>
      <c r="CG221" s="242"/>
      <c r="CH221" s="242"/>
      <c r="CI221" s="242"/>
      <c r="CJ221" s="242"/>
      <c r="CK221" s="242"/>
      <c r="CL221" s="242"/>
      <c r="CM221" s="242"/>
      <c r="CN221" s="242"/>
      <c r="CO221" s="242"/>
      <c r="CP221" s="242"/>
      <c r="CQ221" s="242"/>
      <c r="CR221" s="242"/>
      <c r="CS221" s="242"/>
      <c r="CT221" s="242"/>
      <c r="CU221" s="242"/>
    </row>
    <row r="222" spans="1:99">
      <c r="A222" s="242"/>
      <c r="B222" s="242"/>
      <c r="C222" s="100" t="s">
        <v>232</v>
      </c>
      <c r="D222" s="109"/>
      <c r="E222" s="161"/>
      <c r="F222" s="160"/>
      <c r="G222" s="160"/>
      <c r="H222" s="144"/>
      <c r="I222" s="109"/>
      <c r="J222" s="161"/>
      <c r="K222" s="160"/>
      <c r="L222" s="160"/>
      <c r="M222" s="144"/>
      <c r="N222" s="109"/>
      <c r="O222" s="161"/>
      <c r="P222" s="160"/>
      <c r="Q222" s="160"/>
      <c r="R222" s="144"/>
      <c r="S222" s="109"/>
      <c r="T222" s="161"/>
      <c r="U222" s="160"/>
      <c r="V222" s="160"/>
      <c r="W222" s="144"/>
      <c r="X222" s="109"/>
      <c r="Y222" s="161">
        <f t="shared" ref="Y222:AG222" si="325">+-Y158</f>
        <v>0</v>
      </c>
      <c r="Z222" s="160">
        <f t="shared" si="325"/>
        <v>0</v>
      </c>
      <c r="AA222" s="160">
        <f t="shared" si="325"/>
        <v>0</v>
      </c>
      <c r="AB222" s="144">
        <f t="shared" si="325"/>
        <v>0</v>
      </c>
      <c r="AC222" s="109">
        <f>SUM(Y222:AB222)</f>
        <v>0</v>
      </c>
      <c r="AD222" s="161">
        <f t="shared" si="325"/>
        <v>0</v>
      </c>
      <c r="AE222" s="160">
        <f t="shared" si="325"/>
        <v>0</v>
      </c>
      <c r="AF222" s="160">
        <f t="shared" si="325"/>
        <v>0</v>
      </c>
      <c r="AG222" s="144">
        <f t="shared" si="325"/>
        <v>0</v>
      </c>
      <c r="AH222" s="109">
        <f>SUM(AD222:AG222)</f>
        <v>0</v>
      </c>
      <c r="AI222" s="1485">
        <f>+-AI158</f>
        <v>0</v>
      </c>
      <c r="AJ222" s="1486">
        <f>+-AJ158</f>
        <v>0</v>
      </c>
      <c r="AK222" s="1486">
        <f>+-AK158</f>
        <v>0</v>
      </c>
      <c r="AL222" s="1487">
        <f>+-AL158</f>
        <v>0</v>
      </c>
      <c r="AM222" s="1382">
        <f>SUM(AI222:AL222)</f>
        <v>0</v>
      </c>
      <c r="AN222" s="1485">
        <f>+-AN158</f>
        <v>0</v>
      </c>
      <c r="AO222" s="1486">
        <f>+-AO158</f>
        <v>0</v>
      </c>
      <c r="AP222" s="1486">
        <f>+-AP158</f>
        <v>0</v>
      </c>
      <c r="AQ222" s="1487">
        <f>+-AQ158</f>
        <v>0</v>
      </c>
      <c r="AR222" s="1382">
        <f>SUM(AN222:AQ222)</f>
        <v>0</v>
      </c>
      <c r="AS222" s="1485">
        <f>+-AS158</f>
        <v>0</v>
      </c>
      <c r="AT222" s="1486">
        <f>+-AT158</f>
        <v>0</v>
      </c>
      <c r="AU222" s="1486">
        <f>+-AU158</f>
        <v>0</v>
      </c>
      <c r="AV222" s="1487">
        <f>+-AV158</f>
        <v>0</v>
      </c>
      <c r="AW222" s="1382">
        <f>SUM(AS222:AV222)</f>
        <v>0</v>
      </c>
      <c r="AX222" s="1485">
        <f>+-AX158</f>
        <v>0</v>
      </c>
      <c r="AY222" s="1486">
        <f>+-AY158</f>
        <v>0</v>
      </c>
      <c r="AZ222" s="1486">
        <f>+-AZ158</f>
        <v>0</v>
      </c>
      <c r="BA222" s="1487">
        <f>+-BA158</f>
        <v>0</v>
      </c>
      <c r="BB222" s="1382">
        <f>SUM(AX222:BA222)</f>
        <v>0</v>
      </c>
      <c r="BC222" s="1485">
        <f>+-BC158</f>
        <v>0</v>
      </c>
      <c r="BD222" s="1486">
        <f>+-BD158</f>
        <v>0</v>
      </c>
      <c r="BE222" s="1486">
        <f>+-BE158</f>
        <v>0</v>
      </c>
      <c r="BF222" s="1487">
        <f>+-BF158</f>
        <v>0</v>
      </c>
      <c r="BG222" s="1382">
        <f>SUM(BC222:BF222)</f>
        <v>0</v>
      </c>
      <c r="BH222" s="1485">
        <f>+-BH158</f>
        <v>0</v>
      </c>
      <c r="BI222" s="1486">
        <f>+-BI158</f>
        <v>0</v>
      </c>
      <c r="BJ222" s="1486">
        <f>+-BJ158</f>
        <v>0</v>
      </c>
      <c r="BK222" s="1487">
        <f>+-BK158</f>
        <v>0</v>
      </c>
      <c r="BL222" s="1382">
        <f>SUM(BH222:BK222)</f>
        <v>0</v>
      </c>
      <c r="BM222" s="1485">
        <f>+-BM158</f>
        <v>0</v>
      </c>
      <c r="BN222" s="1486">
        <f>+-BN158</f>
        <v>0</v>
      </c>
      <c r="BO222" s="1486">
        <f>+-BO158</f>
        <v>0</v>
      </c>
      <c r="BP222" s="1487">
        <f>+-BP158</f>
        <v>0</v>
      </c>
      <c r="BQ222" s="1382">
        <f>SUM(BM222:BP222)</f>
        <v>0</v>
      </c>
      <c r="BR222" s="242"/>
      <c r="BS222" s="242"/>
      <c r="BT222" s="242"/>
      <c r="BU222" s="242"/>
      <c r="BV222" s="242"/>
      <c r="BW222" s="242"/>
      <c r="BX222" s="242"/>
      <c r="BY222" s="242"/>
      <c r="BZ222" s="242"/>
      <c r="CA222" s="242"/>
      <c r="CB222" s="242"/>
      <c r="CC222" s="242"/>
      <c r="CD222" s="242"/>
      <c r="CE222" s="242"/>
      <c r="CF222" s="242"/>
      <c r="CG222" s="242"/>
      <c r="CH222" s="242"/>
      <c r="CI222" s="242"/>
      <c r="CJ222" s="242"/>
      <c r="CK222" s="242"/>
      <c r="CL222" s="242"/>
      <c r="CM222" s="242"/>
      <c r="CN222" s="242"/>
      <c r="CO222" s="242"/>
      <c r="CP222" s="242"/>
      <c r="CQ222" s="242"/>
      <c r="CR222" s="242"/>
      <c r="CS222" s="242"/>
      <c r="CT222" s="242"/>
      <c r="CU222" s="242"/>
    </row>
    <row r="223" spans="1:99">
      <c r="A223" s="242"/>
      <c r="B223" s="242"/>
      <c r="C223" s="100" t="s">
        <v>235</v>
      </c>
      <c r="D223" s="109"/>
      <c r="E223" s="171"/>
      <c r="F223" s="172"/>
      <c r="G223" s="172"/>
      <c r="H223" s="173"/>
      <c r="I223" s="109"/>
      <c r="J223" s="171"/>
      <c r="K223" s="172"/>
      <c r="L223" s="172"/>
      <c r="M223" s="173"/>
      <c r="N223" s="109"/>
      <c r="O223" s="171"/>
      <c r="P223" s="172"/>
      <c r="Q223" s="172"/>
      <c r="R223" s="173"/>
      <c r="S223" s="109"/>
      <c r="T223" s="171"/>
      <c r="U223" s="172"/>
      <c r="V223" s="172"/>
      <c r="W223" s="173"/>
      <c r="X223" s="109"/>
      <c r="Y223" s="1202">
        <f>AC223/4</f>
        <v>-431.75</v>
      </c>
      <c r="Z223" s="1203">
        <f>(AC223-Y223)/3</f>
        <v>-431.75</v>
      </c>
      <c r="AA223" s="1203">
        <f>(AC223-Y223-Z223)/2</f>
        <v>-431.75</v>
      </c>
      <c r="AB223" s="1205">
        <f>AC223-Y223-Z223-AA223</f>
        <v>-431.75</v>
      </c>
      <c r="AC223" s="109">
        <f>AC224-AC221-AC220-AC219</f>
        <v>-1727</v>
      </c>
      <c r="AD223" s="1202">
        <f>AH223/4</f>
        <v>24.950000000000045</v>
      </c>
      <c r="AE223" s="1203">
        <f>(AH223-AD223)/3</f>
        <v>24.950000000000045</v>
      </c>
      <c r="AF223" s="1203">
        <f>(AH223-AD223-AE223)/2</f>
        <v>24.950000000000045</v>
      </c>
      <c r="AG223" s="1205">
        <f>AH223-AD223-AE223-AF223</f>
        <v>24.950000000000045</v>
      </c>
      <c r="AH223" s="109">
        <f>AH224-AH221-AH220-AH219</f>
        <v>99.800000000000182</v>
      </c>
      <c r="AI223" s="1485">
        <f>AM223/4</f>
        <v>47.274999999999864</v>
      </c>
      <c r="AJ223" s="1488">
        <f>(AM223-AI223)/3</f>
        <v>47.274999999999864</v>
      </c>
      <c r="AK223" s="1488">
        <f>(AM223-AI223-AJ223)/2</f>
        <v>47.274999999999864</v>
      </c>
      <c r="AL223" s="1487">
        <f>AM223-AI223-AJ223-AK223</f>
        <v>47.274999999999864</v>
      </c>
      <c r="AM223" s="1382">
        <f>AM224-AM221-AM220-AM219</f>
        <v>189.09999999999945</v>
      </c>
      <c r="AN223" s="1550">
        <v>100</v>
      </c>
      <c r="AO223" s="1551">
        <v>100</v>
      </c>
      <c r="AP223" s="1551">
        <v>100</v>
      </c>
      <c r="AQ223" s="1552">
        <v>100</v>
      </c>
      <c r="AR223" s="1382">
        <f>SUM(AN223:AQ223)</f>
        <v>400</v>
      </c>
      <c r="AS223" s="1550">
        <f>AW223/4</f>
        <v>18.75</v>
      </c>
      <c r="AT223" s="1551">
        <f>AW223/4</f>
        <v>18.75</v>
      </c>
      <c r="AU223" s="1551">
        <f>AW223/4</f>
        <v>18.75</v>
      </c>
      <c r="AV223" s="1552">
        <f>AW223/4</f>
        <v>18.75</v>
      </c>
      <c r="AW223" s="1382">
        <v>75</v>
      </c>
      <c r="AX223" s="1900">
        <f>BB223/4</f>
        <v>-48.75</v>
      </c>
      <c r="AY223" s="1901">
        <f>BB223/4</f>
        <v>-48.75</v>
      </c>
      <c r="AZ223" s="1901">
        <f>BB223/4</f>
        <v>-48.75</v>
      </c>
      <c r="BA223" s="1902">
        <f>BB223/4</f>
        <v>-48.75</v>
      </c>
      <c r="BB223" s="1899">
        <v>-195</v>
      </c>
      <c r="BC223" s="1900">
        <f>BG223/4</f>
        <v>27.5</v>
      </c>
      <c r="BD223" s="1901">
        <f>BG223/4</f>
        <v>27.5</v>
      </c>
      <c r="BE223" s="1901">
        <f>BG223/4</f>
        <v>27.5</v>
      </c>
      <c r="BF223" s="1902">
        <f>BG223/4</f>
        <v>27.5</v>
      </c>
      <c r="BG223" s="1899">
        <v>110</v>
      </c>
      <c r="BH223" s="1900">
        <f>BL223/4</f>
        <v>100</v>
      </c>
      <c r="BI223" s="1901">
        <f>BL223/4</f>
        <v>100</v>
      </c>
      <c r="BJ223" s="1901">
        <f>BL223/4</f>
        <v>100</v>
      </c>
      <c r="BK223" s="1902">
        <f>BL223/4</f>
        <v>100</v>
      </c>
      <c r="BL223" s="1899">
        <v>400</v>
      </c>
      <c r="BM223" s="1900">
        <f>BQ223/4</f>
        <v>18.75</v>
      </c>
      <c r="BN223" s="1901">
        <f>BQ223/4</f>
        <v>18.75</v>
      </c>
      <c r="BO223" s="1901">
        <f>BQ223/4</f>
        <v>18.75</v>
      </c>
      <c r="BP223" s="1902">
        <f>BQ223/4</f>
        <v>18.75</v>
      </c>
      <c r="BQ223" s="1899">
        <v>75</v>
      </c>
      <c r="BR223" s="242"/>
      <c r="BS223" s="242"/>
      <c r="BT223" s="242"/>
      <c r="BU223" s="242"/>
      <c r="BV223" s="242"/>
      <c r="BW223" s="242"/>
      <c r="BX223" s="242"/>
      <c r="BY223" s="242"/>
      <c r="BZ223" s="242"/>
      <c r="CA223" s="242"/>
      <c r="CB223" s="242"/>
      <c r="CC223" s="242"/>
      <c r="CD223" s="242"/>
      <c r="CE223" s="242"/>
      <c r="CF223" s="242"/>
      <c r="CG223" s="242"/>
      <c r="CH223" s="242"/>
      <c r="CI223" s="242"/>
      <c r="CJ223" s="242"/>
      <c r="CK223" s="242"/>
      <c r="CL223" s="242"/>
      <c r="CM223" s="242"/>
      <c r="CN223" s="242"/>
      <c r="CO223" s="242"/>
      <c r="CP223" s="242"/>
      <c r="CQ223" s="242"/>
      <c r="CR223" s="242"/>
      <c r="CS223" s="242"/>
      <c r="CT223" s="242"/>
      <c r="CU223" s="242"/>
    </row>
    <row r="224" spans="1:99">
      <c r="A224" s="242"/>
      <c r="B224" s="242"/>
      <c r="C224" s="164" t="s">
        <v>236</v>
      </c>
      <c r="D224" s="109"/>
      <c r="E224" s="149"/>
      <c r="F224" s="150"/>
      <c r="G224" s="150"/>
      <c r="H224" s="151"/>
      <c r="I224" s="112"/>
      <c r="J224" s="149"/>
      <c r="K224" s="150"/>
      <c r="L224" s="150"/>
      <c r="M224" s="151"/>
      <c r="N224" s="112"/>
      <c r="O224" s="149"/>
      <c r="P224" s="150"/>
      <c r="Q224" s="150"/>
      <c r="R224" s="151"/>
      <c r="S224" s="112"/>
      <c r="T224" s="149"/>
      <c r="U224" s="150"/>
      <c r="V224" s="150"/>
      <c r="W224" s="151"/>
      <c r="X224" s="258">
        <f>'Utility Detail'!X30</f>
        <v>8216</v>
      </c>
      <c r="Y224" s="149">
        <f t="shared" ref="Y224:AG224" si="326">SUM(Y219:Y223)</f>
        <v>7869</v>
      </c>
      <c r="Z224" s="150">
        <f t="shared" si="326"/>
        <v>7504</v>
      </c>
      <c r="AA224" s="150">
        <f t="shared" si="326"/>
        <v>7125</v>
      </c>
      <c r="AB224" s="151">
        <f t="shared" si="326"/>
        <v>6769</v>
      </c>
      <c r="AC224" s="258">
        <f>'Utility Detail'!AC30</f>
        <v>6769</v>
      </c>
      <c r="AD224" s="149">
        <f t="shared" si="326"/>
        <v>6892.45</v>
      </c>
      <c r="AE224" s="150">
        <f t="shared" si="326"/>
        <v>7020.9</v>
      </c>
      <c r="AF224" s="150">
        <f t="shared" si="326"/>
        <v>7123.3499999999995</v>
      </c>
      <c r="AG224" s="151">
        <f t="shared" si="326"/>
        <v>7248.9999999999991</v>
      </c>
      <c r="AH224" s="258">
        <f>'Utility Detail'!$AH$30</f>
        <v>7249</v>
      </c>
      <c r="AI224" s="1548">
        <f>SUM(AI219:AI223)</f>
        <v>7390.3499999999995</v>
      </c>
      <c r="AJ224" s="1549">
        <f>SUM(AJ219:AJ223)</f>
        <v>7529.6999999999989</v>
      </c>
      <c r="AK224" s="1549">
        <f>SUM(AK219:AK223)</f>
        <v>7641.0499999999984</v>
      </c>
      <c r="AL224" s="1518">
        <f>SUM(AL219:AL223)</f>
        <v>7799.9999999999982</v>
      </c>
      <c r="AM224">
        <v>7800</v>
      </c>
      <c r="AN224" s="1548">
        <f t="shared" ref="AN224:AS224" si="327">SUM(AN219:AN223)</f>
        <v>8008.2749999999996</v>
      </c>
      <c r="AO224" s="1549">
        <f t="shared" si="327"/>
        <v>8205.5499999999993</v>
      </c>
      <c r="AP224" s="1549">
        <f t="shared" si="327"/>
        <v>8388.7250000000004</v>
      </c>
      <c r="AQ224" s="1518">
        <f t="shared" si="327"/>
        <v>8608.4000000000015</v>
      </c>
      <c r="AR224" s="1425">
        <f t="shared" si="327"/>
        <v>8608.4</v>
      </c>
      <c r="AS224" s="1548">
        <f t="shared" si="327"/>
        <v>8860.5499999999993</v>
      </c>
      <c r="AT224" s="1549">
        <f>SUM(AT219:AT223)</f>
        <v>9105</v>
      </c>
      <c r="AU224" s="1549">
        <f t="shared" ref="AU224:BL224" si="328">SUM(AU219:AU223)</f>
        <v>9331.0500000000011</v>
      </c>
      <c r="AV224" s="1518">
        <f t="shared" si="328"/>
        <v>9574.3000000000011</v>
      </c>
      <c r="AW224" s="1425">
        <f t="shared" si="328"/>
        <v>9574.2999999999993</v>
      </c>
      <c r="AX224" s="1548">
        <f t="shared" si="328"/>
        <v>9794.5171874999996</v>
      </c>
      <c r="AY224" s="1549">
        <f t="shared" si="328"/>
        <v>10013.362172490615</v>
      </c>
      <c r="AZ224" s="1549">
        <f t="shared" si="328"/>
        <v>10228.025985840752</v>
      </c>
      <c r="BA224" s="1518">
        <f t="shared" si="328"/>
        <v>10438.573958357292</v>
      </c>
      <c r="BB224" s="1425">
        <f t="shared" si="328"/>
        <v>10438.573958357292</v>
      </c>
      <c r="BC224" s="1548">
        <f t="shared" si="328"/>
        <v>10677.633100241863</v>
      </c>
      <c r="BD224" s="1549">
        <f t="shared" si="328"/>
        <v>10911.146236820685</v>
      </c>
      <c r="BE224" s="1549">
        <f t="shared" si="328"/>
        <v>11141.487820168701</v>
      </c>
      <c r="BF224" s="1518">
        <f t="shared" si="328"/>
        <v>11368.70667605529</v>
      </c>
      <c r="BG224" s="1425">
        <f t="shared" si="328"/>
        <v>11368.706676055288</v>
      </c>
      <c r="BH224" s="1548">
        <f t="shared" si="328"/>
        <v>11607.567891786943</v>
      </c>
      <c r="BI224" s="1549">
        <f t="shared" si="328"/>
        <v>11841.423192857237</v>
      </c>
      <c r="BJ224" s="1549">
        <f t="shared" si="328"/>
        <v>12073.227615131122</v>
      </c>
      <c r="BK224" s="1518">
        <f t="shared" si="328"/>
        <v>12303.012581374849</v>
      </c>
      <c r="BL224" s="1425">
        <f t="shared" si="328"/>
        <v>12303.012581374849</v>
      </c>
      <c r="BM224" s="1548">
        <f>SUM(BM219:BM223)</f>
        <v>12449.813272833107</v>
      </c>
      <c r="BN224" s="1549">
        <f>SUM(BN219:BN223)</f>
        <v>12594.654361030971</v>
      </c>
      <c r="BO224" s="1549">
        <f>SUM(BO219:BO223)</f>
        <v>12737.56583444327</v>
      </c>
      <c r="BP224" s="1518">
        <f>SUM(BP219:BP223)</f>
        <v>12878.577222621016</v>
      </c>
      <c r="BQ224" s="1425">
        <f>SUM(BQ219:BQ223)</f>
        <v>12878.577222621016</v>
      </c>
      <c r="BR224" s="242"/>
      <c r="BS224" s="242"/>
      <c r="BT224" s="242"/>
      <c r="BU224" s="242"/>
      <c r="BV224" s="242"/>
      <c r="BW224" s="242"/>
      <c r="BX224" s="242"/>
      <c r="BY224" s="242"/>
      <c r="BZ224" s="242"/>
      <c r="CA224" s="242"/>
      <c r="CB224" s="242"/>
      <c r="CC224" s="242"/>
      <c r="CD224" s="242"/>
      <c r="CE224" s="242"/>
      <c r="CF224" s="242"/>
      <c r="CG224" s="242"/>
      <c r="CH224" s="242"/>
      <c r="CI224" s="242"/>
      <c r="CJ224" s="242"/>
      <c r="CK224" s="242"/>
      <c r="CL224" s="242"/>
      <c r="CM224" s="242"/>
      <c r="CN224" s="242"/>
      <c r="CO224" s="242"/>
      <c r="CP224" s="242"/>
      <c r="CQ224" s="242"/>
      <c r="CR224" s="242"/>
      <c r="CS224" s="242"/>
      <c r="CT224" s="242"/>
      <c r="CU224" s="242"/>
    </row>
    <row r="225" spans="1:99">
      <c r="A225" s="546"/>
      <c r="B225" s="546"/>
      <c r="C225" s="574"/>
      <c r="D225" s="546"/>
      <c r="E225" s="149"/>
      <c r="F225" s="156"/>
      <c r="G225" s="156"/>
      <c r="H225" s="151"/>
      <c r="I225" s="573"/>
      <c r="J225" s="149"/>
      <c r="K225" s="156"/>
      <c r="L225" s="156"/>
      <c r="M225" s="151"/>
      <c r="N225" s="573"/>
      <c r="O225" s="149"/>
      <c r="P225" s="156"/>
      <c r="Q225" s="156"/>
      <c r="R225" s="151"/>
      <c r="S225" s="573"/>
      <c r="T225" s="149"/>
      <c r="U225" s="156"/>
      <c r="V225" s="156"/>
      <c r="W225" s="151"/>
      <c r="X225" s="573"/>
      <c r="Y225" s="256"/>
      <c r="Z225" s="572"/>
      <c r="AA225" s="572"/>
      <c r="AB225" s="575"/>
      <c r="AC225" s="573"/>
      <c r="AD225" s="256"/>
      <c r="AE225" s="572"/>
      <c r="AF225" s="572"/>
      <c r="AG225" s="575"/>
      <c r="AH225" s="573"/>
      <c r="AI225" s="1553"/>
      <c r="AJ225" s="1554"/>
      <c r="AK225" s="1554"/>
      <c r="AL225" s="1555"/>
      <c r="AM225" s="1556"/>
      <c r="AN225" s="1553"/>
      <c r="AO225" s="1554"/>
      <c r="AP225" s="1554"/>
      <c r="AQ225" s="1555"/>
      <c r="AR225" s="1556"/>
      <c r="AS225" s="1553"/>
      <c r="AT225" s="1554"/>
      <c r="AU225" s="1554"/>
      <c r="AV225" s="1555"/>
      <c r="AW225" s="1556"/>
      <c r="AX225" s="1553"/>
      <c r="AY225" s="1554"/>
      <c r="AZ225" s="1554"/>
      <c r="BA225" s="1555"/>
      <c r="BB225" s="1556"/>
      <c r="BC225" s="1553"/>
      <c r="BD225" s="1554"/>
      <c r="BE225" s="1554"/>
      <c r="BF225" s="1555"/>
      <c r="BG225" s="1556"/>
      <c r="BH225" s="1553"/>
      <c r="BI225" s="1554"/>
      <c r="BJ225" s="1554"/>
      <c r="BK225" s="1555"/>
      <c r="BL225" s="1556"/>
      <c r="BM225" s="1553"/>
      <c r="BN225" s="1554"/>
      <c r="BO225" s="1554"/>
      <c r="BP225" s="1555"/>
      <c r="BQ225" s="1556"/>
      <c r="BR225" s="546"/>
      <c r="BS225" s="546"/>
      <c r="BT225" s="546"/>
      <c r="BU225" s="546"/>
      <c r="BV225" s="546"/>
      <c r="BW225" s="546"/>
      <c r="BX225" s="546"/>
      <c r="BY225" s="546"/>
      <c r="BZ225" s="546"/>
      <c r="CA225" s="546"/>
      <c r="CB225" s="546"/>
      <c r="CC225" s="546"/>
      <c r="CD225" s="546"/>
      <c r="CE225" s="546"/>
      <c r="CF225" s="546"/>
      <c r="CG225" s="546"/>
      <c r="CH225" s="546"/>
      <c r="CI225" s="546"/>
      <c r="CJ225" s="546"/>
      <c r="CK225" s="546"/>
      <c r="CL225" s="546"/>
      <c r="CM225" s="546"/>
      <c r="CN225" s="546"/>
      <c r="CO225" s="546"/>
      <c r="CP225" s="546"/>
      <c r="CQ225" s="546"/>
      <c r="CR225" s="546"/>
      <c r="CS225" s="546"/>
      <c r="CT225" s="546"/>
      <c r="CU225" s="546"/>
    </row>
    <row r="226" spans="1:99" s="56" customFormat="1">
      <c r="A226" s="489"/>
      <c r="B226" s="489"/>
      <c r="C226" s="574" t="s">
        <v>349</v>
      </c>
      <c r="D226" s="489"/>
      <c r="E226" s="149"/>
      <c r="F226" s="156"/>
      <c r="G226" s="156"/>
      <c r="H226" s="151"/>
      <c r="I226" s="489"/>
      <c r="J226" s="149"/>
      <c r="K226" s="156"/>
      <c r="L226" s="156"/>
      <c r="M226" s="151"/>
      <c r="N226" s="489"/>
      <c r="O226" s="149"/>
      <c r="P226" s="156"/>
      <c r="Q226" s="156"/>
      <c r="R226" s="151"/>
      <c r="S226" s="489"/>
      <c r="T226" s="149"/>
      <c r="U226" s="156"/>
      <c r="V226" s="156"/>
      <c r="W226" s="151"/>
      <c r="X226" s="489"/>
      <c r="Y226" s="149"/>
      <c r="Z226" s="156"/>
      <c r="AA226" s="156"/>
      <c r="AB226" s="151"/>
      <c r="AC226" s="489">
        <f>AVERAGE(AC224,AC219)</f>
        <v>7492.5</v>
      </c>
      <c r="AD226" s="149"/>
      <c r="AE226" s="156"/>
      <c r="AF226" s="156"/>
      <c r="AG226" s="151"/>
      <c r="AH226" s="489">
        <f>AVERAGE(AH224,AH219)</f>
        <v>7009</v>
      </c>
      <c r="AI226" s="1548"/>
      <c r="AJ226" s="1557"/>
      <c r="AK226" s="1557"/>
      <c r="AL226" s="1518"/>
      <c r="AM226" s="1477">
        <f>AVERAGE(AM224,AM219)</f>
        <v>7524.5</v>
      </c>
      <c r="AN226" s="1548"/>
      <c r="AO226" s="1557"/>
      <c r="AP226" s="1557"/>
      <c r="AQ226" s="1518"/>
      <c r="AR226" s="1477">
        <f>AVERAGE(AR224,AR219)</f>
        <v>8204.2000000000007</v>
      </c>
      <c r="AS226" s="1548"/>
      <c r="AT226" s="1557"/>
      <c r="AU226" s="1557"/>
      <c r="AV226" s="1518"/>
      <c r="AW226" s="1477">
        <f>AVERAGE(AW224,AW219)</f>
        <v>9091.3499999999985</v>
      </c>
      <c r="AX226" s="1548"/>
      <c r="AY226" s="1557"/>
      <c r="AZ226" s="1557"/>
      <c r="BA226" s="1518"/>
      <c r="BB226" s="1477">
        <f>AVERAGE(BB224,BB219)</f>
        <v>10006.436979178645</v>
      </c>
      <c r="BC226" s="1548"/>
      <c r="BD226" s="1557"/>
      <c r="BE226" s="1557"/>
      <c r="BF226" s="1518"/>
      <c r="BG226" s="1477">
        <f>AVERAGE(BG224,BG219)</f>
        <v>10903.640317206289</v>
      </c>
      <c r="BH226" s="1548"/>
      <c r="BI226" s="1557"/>
      <c r="BJ226" s="1557"/>
      <c r="BK226" s="1518"/>
      <c r="BL226" s="1477">
        <f>AVERAGE(BL224,BL219)</f>
        <v>11835.859628715069</v>
      </c>
      <c r="BM226" s="1548"/>
      <c r="BN226" s="1557"/>
      <c r="BO226" s="1557"/>
      <c r="BP226" s="1518"/>
      <c r="BQ226" s="1477">
        <f>AVERAGE(BQ224,BQ219)</f>
        <v>12590.794901997931</v>
      </c>
      <c r="BR226" s="489"/>
      <c r="BS226" s="489"/>
      <c r="BT226" s="489"/>
      <c r="BU226" s="489"/>
      <c r="BV226" s="489"/>
      <c r="BW226" s="489"/>
      <c r="BX226" s="489"/>
      <c r="BY226" s="489"/>
      <c r="BZ226" s="489"/>
      <c r="CA226" s="489"/>
      <c r="CB226" s="489"/>
      <c r="CC226" s="489"/>
      <c r="CD226" s="489"/>
      <c r="CE226" s="489"/>
      <c r="CF226" s="489"/>
      <c r="CG226" s="489"/>
      <c r="CH226" s="489"/>
      <c r="CI226" s="489"/>
      <c r="CJ226" s="489"/>
      <c r="CK226" s="489"/>
      <c r="CL226" s="489"/>
      <c r="CM226" s="489"/>
      <c r="CN226" s="489"/>
      <c r="CO226" s="489"/>
      <c r="CP226" s="489"/>
      <c r="CQ226" s="489"/>
      <c r="CR226" s="489"/>
      <c r="CS226" s="489"/>
      <c r="CT226" s="489"/>
      <c r="CU226" s="489"/>
    </row>
    <row r="227" spans="1:99" s="56" customFormat="1">
      <c r="A227" s="489"/>
      <c r="B227" s="489"/>
      <c r="C227" s="574"/>
      <c r="D227" s="489"/>
      <c r="E227" s="149"/>
      <c r="F227" s="156"/>
      <c r="G227" s="156"/>
      <c r="H227" s="151"/>
      <c r="I227" s="489"/>
      <c r="J227" s="149"/>
      <c r="K227" s="156"/>
      <c r="L227" s="156"/>
      <c r="M227" s="151"/>
      <c r="N227" s="489"/>
      <c r="O227" s="149"/>
      <c r="P227" s="156"/>
      <c r="Q227" s="156"/>
      <c r="R227" s="151"/>
      <c r="S227" s="489"/>
      <c r="T227" s="149"/>
      <c r="U227" s="156"/>
      <c r="V227" s="156"/>
      <c r="W227" s="151"/>
      <c r="X227" s="489"/>
      <c r="Y227" s="149"/>
      <c r="Z227" s="156"/>
      <c r="AA227" s="156"/>
      <c r="AB227" s="151"/>
      <c r="AC227" s="489"/>
      <c r="AD227" s="149"/>
      <c r="AE227" s="156"/>
      <c r="AF227" s="156"/>
      <c r="AG227" s="151"/>
      <c r="AH227" s="489"/>
      <c r="AI227" s="1548"/>
      <c r="AJ227" s="1557"/>
      <c r="AK227" s="1557"/>
      <c r="AL227" s="1518"/>
      <c r="AM227" s="1477"/>
      <c r="AN227" s="1548"/>
      <c r="AO227" s="1557"/>
      <c r="AP227" s="1557"/>
      <c r="AQ227" s="1518"/>
      <c r="AR227" s="1477"/>
      <c r="AS227" s="1548"/>
      <c r="AT227" s="1557"/>
      <c r="AU227" s="1557"/>
      <c r="AV227" s="1518"/>
      <c r="AW227" s="1477"/>
      <c r="AX227" s="1548"/>
      <c r="AY227" s="1557"/>
      <c r="AZ227" s="1557"/>
      <c r="BA227" s="1518"/>
      <c r="BB227" s="1477"/>
      <c r="BC227" s="1548"/>
      <c r="BD227" s="1557"/>
      <c r="BE227" s="1557"/>
      <c r="BF227" s="1518"/>
      <c r="BG227" s="1477"/>
      <c r="BH227" s="1548"/>
      <c r="BI227" s="1557"/>
      <c r="BJ227" s="1557"/>
      <c r="BK227" s="1518"/>
      <c r="BL227" s="1477"/>
      <c r="BM227" s="1548"/>
      <c r="BN227" s="1557"/>
      <c r="BO227" s="1557"/>
      <c r="BP227" s="1518"/>
      <c r="BQ227" s="1477"/>
      <c r="BR227" s="489"/>
      <c r="BS227" s="489"/>
      <c r="BT227" s="489"/>
      <c r="BU227" s="489"/>
      <c r="BV227" s="489"/>
      <c r="BW227" s="489"/>
      <c r="BX227" s="489"/>
      <c r="BY227" s="489"/>
      <c r="BZ227" s="489"/>
      <c r="CA227" s="489"/>
      <c r="CB227" s="489"/>
      <c r="CC227" s="489"/>
      <c r="CD227" s="489"/>
      <c r="CE227" s="489"/>
      <c r="CF227" s="489"/>
      <c r="CG227" s="489"/>
      <c r="CH227" s="489"/>
      <c r="CI227" s="489"/>
      <c r="CJ227" s="489"/>
      <c r="CK227" s="489"/>
      <c r="CL227" s="489"/>
      <c r="CM227" s="489"/>
      <c r="CN227" s="489"/>
      <c r="CO227" s="489"/>
      <c r="CP227" s="489"/>
      <c r="CQ227" s="489"/>
      <c r="CR227" s="489"/>
      <c r="CS227" s="489"/>
      <c r="CT227" s="489"/>
      <c r="CU227" s="489"/>
    </row>
    <row r="228" spans="1:99" s="56" customFormat="1">
      <c r="A228" s="489"/>
      <c r="B228" s="489"/>
      <c r="C228" s="574" t="s">
        <v>1340</v>
      </c>
      <c r="D228" s="489"/>
      <c r="E228" s="149"/>
      <c r="F228" s="156"/>
      <c r="G228" s="156"/>
      <c r="H228" s="151"/>
      <c r="I228" s="489"/>
      <c r="J228" s="149"/>
      <c r="K228" s="156"/>
      <c r="L228" s="156"/>
      <c r="M228" s="151"/>
      <c r="N228" s="489"/>
      <c r="O228" s="149"/>
      <c r="P228" s="156"/>
      <c r="Q228" s="156"/>
      <c r="R228" s="151"/>
      <c r="S228" s="489"/>
      <c r="T228" s="149"/>
      <c r="U228" s="156"/>
      <c r="V228" s="156"/>
      <c r="W228" s="151"/>
      <c r="X228" s="489"/>
      <c r="Y228" s="149"/>
      <c r="Z228" s="156"/>
      <c r="AA228" s="156"/>
      <c r="AB228" s="151"/>
      <c r="AC228" s="489"/>
      <c r="AD228" s="149"/>
      <c r="AE228" s="156"/>
      <c r="AF228" s="156"/>
      <c r="AG228" s="151"/>
      <c r="AH228" s="489"/>
      <c r="AI228" s="1548"/>
      <c r="AJ228" s="1557"/>
      <c r="AK228" s="1557"/>
      <c r="AL228" s="1518"/>
      <c r="AM228" s="1477"/>
      <c r="AN228" s="1548"/>
      <c r="AO228" s="1557"/>
      <c r="AP228" s="1557"/>
      <c r="AQ228" s="1518"/>
      <c r="AR228" s="1477">
        <f>4559+2873+1166</f>
        <v>8598</v>
      </c>
      <c r="AS228" s="1548"/>
      <c r="AT228" s="1557"/>
      <c r="AU228" s="1557"/>
      <c r="AV228" s="1518"/>
      <c r="AW228" s="1477">
        <f>4784+3378+1411</f>
        <v>9573</v>
      </c>
      <c r="AX228" s="1548"/>
      <c r="AY228" s="1557"/>
      <c r="AZ228" s="1557"/>
      <c r="BA228" s="1518"/>
      <c r="BB228" s="1477">
        <f>4904+3871+1692</f>
        <v>10467</v>
      </c>
      <c r="BC228" s="1548"/>
      <c r="BD228" s="1557"/>
      <c r="BE228" s="1557"/>
      <c r="BF228" s="1518"/>
      <c r="BG228" s="1477">
        <f>5138+4340+1947</f>
        <v>11425</v>
      </c>
      <c r="BH228" s="1548"/>
      <c r="BI228" s="1557"/>
      <c r="BJ228" s="1557"/>
      <c r="BK228" s="1518"/>
      <c r="BL228" s="1477">
        <f>5398+4866+2150</f>
        <v>12414</v>
      </c>
      <c r="BM228" s="1548"/>
      <c r="BN228" s="1557"/>
      <c r="BO228" s="1557"/>
      <c r="BP228" s="1518"/>
      <c r="BQ228" s="1477"/>
      <c r="BR228" s="489"/>
      <c r="BS228" s="489"/>
      <c r="BT228" s="489"/>
      <c r="BU228" s="489"/>
      <c r="BV228" s="489"/>
      <c r="BW228" s="489"/>
      <c r="BX228" s="489"/>
      <c r="BY228" s="489"/>
      <c r="BZ228" s="489"/>
      <c r="CA228" s="489"/>
      <c r="CB228" s="489"/>
      <c r="CC228" s="489"/>
      <c r="CD228" s="489"/>
      <c r="CE228" s="489"/>
      <c r="CF228" s="489"/>
      <c r="CG228" s="489"/>
      <c r="CH228" s="489"/>
      <c r="CI228" s="489"/>
      <c r="CJ228" s="489"/>
      <c r="CK228" s="489"/>
      <c r="CL228" s="489"/>
      <c r="CM228" s="489"/>
      <c r="CN228" s="489"/>
      <c r="CO228" s="489"/>
      <c r="CP228" s="489"/>
      <c r="CQ228" s="489"/>
      <c r="CR228" s="489"/>
      <c r="CS228" s="489"/>
      <c r="CT228" s="489"/>
      <c r="CU228" s="489"/>
    </row>
    <row r="229" spans="1:99">
      <c r="A229" s="546"/>
      <c r="B229" s="546"/>
      <c r="C229" s="574"/>
      <c r="D229" s="546"/>
      <c r="E229" s="149"/>
      <c r="F229" s="156"/>
      <c r="G229" s="156"/>
      <c r="H229" s="151"/>
      <c r="I229" s="573"/>
      <c r="J229" s="149"/>
      <c r="K229" s="156"/>
      <c r="L229" s="156"/>
      <c r="M229" s="151"/>
      <c r="O229" s="149"/>
      <c r="P229" s="156"/>
      <c r="Q229" s="156"/>
      <c r="R229" s="151"/>
      <c r="S229" s="489"/>
      <c r="T229" s="149"/>
      <c r="U229" s="156"/>
      <c r="V229" s="156"/>
      <c r="W229" s="151"/>
      <c r="X229" s="489"/>
      <c r="Y229" s="149"/>
      <c r="Z229" s="156"/>
      <c r="AA229" s="156"/>
      <c r="AB229" s="151"/>
      <c r="AC229" s="489"/>
      <c r="AD229" s="149"/>
      <c r="AE229" s="156"/>
      <c r="AF229" s="156"/>
      <c r="AG229" s="151"/>
      <c r="AH229" s="489"/>
      <c r="AI229" s="1548"/>
      <c r="AJ229" s="1557"/>
      <c r="AK229" s="1557"/>
      <c r="AL229" s="1518"/>
      <c r="AM229" s="1477"/>
      <c r="AN229" s="1548"/>
      <c r="AO229" s="1557"/>
      <c r="AP229" s="1557"/>
      <c r="AQ229" s="1518"/>
      <c r="AR229" s="1477"/>
      <c r="AS229" s="1548"/>
      <c r="AT229" s="1557"/>
      <c r="AU229" s="1557"/>
      <c r="AV229" s="1518"/>
      <c r="AW229" s="1477"/>
      <c r="AX229" s="1548"/>
      <c r="AY229" s="1557"/>
      <c r="AZ229" s="1557"/>
      <c r="BA229" s="1518"/>
      <c r="BB229" s="1477"/>
      <c r="BC229" s="1548"/>
      <c r="BD229" s="1557"/>
      <c r="BE229" s="1557"/>
      <c r="BF229" s="1518"/>
      <c r="BG229" s="1477"/>
      <c r="BH229" s="1548"/>
      <c r="BI229" s="1557"/>
      <c r="BJ229" s="1557"/>
      <c r="BK229" s="1518"/>
      <c r="BL229" s="1477"/>
      <c r="BM229" s="1548"/>
      <c r="BN229" s="1557"/>
      <c r="BO229" s="1557"/>
      <c r="BP229" s="1518"/>
      <c r="BQ229" s="1477"/>
      <c r="BR229" s="546"/>
      <c r="BS229" s="546"/>
      <c r="BT229" s="546"/>
      <c r="BU229" s="546"/>
      <c r="BV229" s="546"/>
      <c r="BW229" s="546"/>
      <c r="BX229" s="546"/>
      <c r="BY229" s="546"/>
      <c r="BZ229" s="546"/>
      <c r="CA229" s="546"/>
      <c r="CB229" s="546"/>
      <c r="CC229" s="546"/>
      <c r="CD229" s="546"/>
      <c r="CE229" s="546"/>
      <c r="CF229" s="546"/>
      <c r="CG229" s="546"/>
      <c r="CH229" s="546"/>
      <c r="CI229" s="546"/>
      <c r="CJ229" s="546"/>
      <c r="CK229" s="546"/>
      <c r="CL229" s="546"/>
      <c r="CM229" s="546"/>
      <c r="CN229" s="546"/>
      <c r="CO229" s="546"/>
      <c r="CP229" s="546"/>
      <c r="CQ229" s="546"/>
      <c r="CR229" s="546"/>
      <c r="CS229" s="546"/>
      <c r="CT229" s="546"/>
      <c r="CU229" s="546"/>
    </row>
    <row r="230" spans="1:99">
      <c r="A230" s="242"/>
      <c r="B230" s="242"/>
      <c r="C230" s="164" t="s">
        <v>237</v>
      </c>
      <c r="D230" s="109"/>
      <c r="E230" s="161"/>
      <c r="F230" s="162"/>
      <c r="G230" s="162"/>
      <c r="H230" s="144"/>
      <c r="I230" s="109"/>
      <c r="J230" s="161"/>
      <c r="K230" s="162"/>
      <c r="L230" s="162"/>
      <c r="M230" s="144"/>
      <c r="N230" s="109"/>
      <c r="O230" s="161"/>
      <c r="P230" s="162"/>
      <c r="Q230" s="162"/>
      <c r="R230" s="144"/>
      <c r="S230" s="109"/>
      <c r="T230" s="161"/>
      <c r="U230" s="162"/>
      <c r="V230" s="162"/>
      <c r="W230" s="144"/>
      <c r="X230" s="109"/>
      <c r="Y230" s="161"/>
      <c r="Z230" s="162"/>
      <c r="AA230" s="162"/>
      <c r="AB230" s="144"/>
      <c r="AC230" s="109"/>
      <c r="AD230" s="161"/>
      <c r="AE230" s="162"/>
      <c r="AF230" s="162"/>
      <c r="AG230" s="144"/>
      <c r="AH230" s="109"/>
      <c r="AI230" s="1485"/>
      <c r="AJ230" s="1488"/>
      <c r="AK230" s="1488"/>
      <c r="AL230" s="1487"/>
      <c r="AM230" s="1519"/>
      <c r="AN230" s="1485"/>
      <c r="AO230" s="1488"/>
      <c r="AP230" s="1488"/>
      <c r="AQ230" s="1487"/>
      <c r="AR230" s="1519"/>
      <c r="AS230" s="1485"/>
      <c r="AT230" s="1488"/>
      <c r="AU230" s="1488"/>
      <c r="AV230" s="1487"/>
      <c r="AW230" s="1519"/>
      <c r="AX230" s="1485"/>
      <c r="AY230" s="1488"/>
      <c r="AZ230" s="1488"/>
      <c r="BA230" s="1487"/>
      <c r="BB230" s="1519"/>
      <c r="BC230" s="1485"/>
      <c r="BD230" s="1488"/>
      <c r="BE230" s="1488"/>
      <c r="BF230" s="1487"/>
      <c r="BG230" s="1519"/>
      <c r="BH230" s="1485"/>
      <c r="BI230" s="1488"/>
      <c r="BJ230" s="1488"/>
      <c r="BK230" s="1487"/>
      <c r="BL230" s="1519"/>
      <c r="BM230" s="1485"/>
      <c r="BN230" s="1488"/>
      <c r="BO230" s="1488"/>
      <c r="BP230" s="1487"/>
      <c r="BQ230" s="1519"/>
      <c r="BR230" s="242"/>
      <c r="BS230" s="242"/>
      <c r="BT230" s="242"/>
      <c r="BU230" s="242"/>
      <c r="BV230" s="242"/>
      <c r="BW230" s="242"/>
      <c r="BX230" s="242"/>
      <c r="BY230" s="242"/>
      <c r="BZ230" s="242"/>
      <c r="CA230" s="242"/>
      <c r="CB230" s="242"/>
      <c r="CC230" s="242"/>
      <c r="CD230" s="242"/>
      <c r="CE230" s="242"/>
      <c r="CF230" s="242"/>
      <c r="CG230" s="242"/>
      <c r="CH230" s="242"/>
      <c r="CI230" s="242"/>
      <c r="CJ230" s="242"/>
      <c r="CK230" s="242"/>
      <c r="CL230" s="242"/>
      <c r="CM230" s="242"/>
      <c r="CN230" s="242"/>
      <c r="CO230" s="242"/>
      <c r="CP230" s="242"/>
      <c r="CQ230" s="242"/>
      <c r="CR230" s="242"/>
      <c r="CS230" s="242"/>
      <c r="CT230" s="242"/>
      <c r="CU230" s="242"/>
    </row>
    <row r="231" spans="1:99">
      <c r="A231" s="303"/>
      <c r="B231" s="303"/>
      <c r="C231" s="100" t="s">
        <v>238</v>
      </c>
      <c r="D231" s="303"/>
      <c r="E231" s="368"/>
      <c r="F231" s="230"/>
      <c r="G231" s="230"/>
      <c r="H231" s="231"/>
      <c r="I231" s="114"/>
      <c r="J231" s="229"/>
      <c r="K231" s="230"/>
      <c r="L231" s="230"/>
      <c r="M231" s="233"/>
      <c r="N231" s="114"/>
      <c r="O231" s="229"/>
      <c r="P231" s="230"/>
      <c r="Q231" s="230"/>
      <c r="R231" s="231"/>
      <c r="S231" s="114"/>
      <c r="T231" s="368"/>
      <c r="U231" s="230"/>
      <c r="V231" s="230"/>
      <c r="W231" s="231"/>
      <c r="X231" s="66">
        <v>0.47499999999999998</v>
      </c>
      <c r="Y231" s="1215">
        <f>X231</f>
        <v>0.47499999999999998</v>
      </c>
      <c r="Z231" s="230">
        <f>Y231</f>
        <v>0.47499999999999998</v>
      </c>
      <c r="AA231" s="230">
        <f>Z231</f>
        <v>0.47499999999999998</v>
      </c>
      <c r="AB231" s="231">
        <f>AA231</f>
        <v>0.47499999999999998</v>
      </c>
      <c r="AC231" s="66">
        <v>0.47499999999999998</v>
      </c>
      <c r="AD231" s="229">
        <f>AC231</f>
        <v>0.47499999999999998</v>
      </c>
      <c r="AE231" s="230">
        <f>AD231</f>
        <v>0.47499999999999998</v>
      </c>
      <c r="AF231" s="230">
        <f>AE231</f>
        <v>0.47499999999999998</v>
      </c>
      <c r="AG231" s="231">
        <f>AF231</f>
        <v>0.47499999999999998</v>
      </c>
      <c r="AH231" s="1508">
        <f>((4152*0.485)+(3097*0.4))/(4152+3097)</f>
        <v>0.44868533590840121</v>
      </c>
      <c r="AI231" s="1558">
        <f t="shared" ref="AI231:BL231" si="329">AH231</f>
        <v>0.44868533590840121</v>
      </c>
      <c r="AJ231" s="1559">
        <v>0.44868533590840121</v>
      </c>
      <c r="AK231" s="1560">
        <f t="shared" si="329"/>
        <v>0.44868533590840121</v>
      </c>
      <c r="AL231" s="1561">
        <f t="shared" si="329"/>
        <v>0.44868533590840121</v>
      </c>
      <c r="AM231" s="1562">
        <f>AL231</f>
        <v>0.44868533590840121</v>
      </c>
      <c r="AN231" s="1558">
        <f t="shared" si="329"/>
        <v>0.44868533590840121</v>
      </c>
      <c r="AO231" s="1560">
        <f t="shared" si="329"/>
        <v>0.44868533590840121</v>
      </c>
      <c r="AP231" s="1560">
        <f t="shared" si="329"/>
        <v>0.44868533590840121</v>
      </c>
      <c r="AQ231" s="1561">
        <f t="shared" si="329"/>
        <v>0.44868533590840121</v>
      </c>
      <c r="AR231" s="1562">
        <f>AQ231</f>
        <v>0.44868533590840121</v>
      </c>
      <c r="AS231" s="1558">
        <f t="shared" si="329"/>
        <v>0.44868533590840121</v>
      </c>
      <c r="AT231" s="1560">
        <f t="shared" si="329"/>
        <v>0.44868533590840121</v>
      </c>
      <c r="AU231" s="1560">
        <f t="shared" si="329"/>
        <v>0.44868533590840121</v>
      </c>
      <c r="AV231" s="1561">
        <f t="shared" si="329"/>
        <v>0.44868533590840121</v>
      </c>
      <c r="AW231" s="1562">
        <f t="shared" si="329"/>
        <v>0.44868533590840121</v>
      </c>
      <c r="AX231" s="1558">
        <f t="shared" si="329"/>
        <v>0.44868533590840121</v>
      </c>
      <c r="AY231" s="1560">
        <f t="shared" si="329"/>
        <v>0.44868533590840121</v>
      </c>
      <c r="AZ231" s="1560">
        <f t="shared" si="329"/>
        <v>0.44868533590840121</v>
      </c>
      <c r="BA231" s="1561">
        <f t="shared" si="329"/>
        <v>0.44868533590840121</v>
      </c>
      <c r="BB231" s="1562">
        <f t="shared" si="329"/>
        <v>0.44868533590840121</v>
      </c>
      <c r="BC231" s="1558">
        <f t="shared" si="329"/>
        <v>0.44868533590840121</v>
      </c>
      <c r="BD231" s="1560">
        <f t="shared" si="329"/>
        <v>0.44868533590840121</v>
      </c>
      <c r="BE231" s="1560">
        <f t="shared" si="329"/>
        <v>0.44868533590840121</v>
      </c>
      <c r="BF231" s="1561">
        <f t="shared" si="329"/>
        <v>0.44868533590840121</v>
      </c>
      <c r="BG231" s="1562">
        <f t="shared" si="329"/>
        <v>0.44868533590840121</v>
      </c>
      <c r="BH231" s="1558">
        <f t="shared" si="329"/>
        <v>0.44868533590840121</v>
      </c>
      <c r="BI231" s="1560">
        <f t="shared" si="329"/>
        <v>0.44868533590840121</v>
      </c>
      <c r="BJ231" s="1560">
        <f t="shared" si="329"/>
        <v>0.44868533590840121</v>
      </c>
      <c r="BK231" s="1561">
        <f t="shared" si="329"/>
        <v>0.44868533590840121</v>
      </c>
      <c r="BL231" s="1562">
        <f t="shared" si="329"/>
        <v>0.44868533590840121</v>
      </c>
      <c r="BM231" s="1558">
        <f>BL231</f>
        <v>0.44868533590840121</v>
      </c>
      <c r="BN231" s="1560">
        <f>BM231</f>
        <v>0.44868533590840121</v>
      </c>
      <c r="BO231" s="1560">
        <f>BN231</f>
        <v>0.44868533590840121</v>
      </c>
      <c r="BP231" s="1561">
        <f>BO231</f>
        <v>0.44868533590840121</v>
      </c>
      <c r="BQ231" s="1562">
        <f>BP231</f>
        <v>0.44868533590840121</v>
      </c>
      <c r="BR231" s="303"/>
      <c r="BS231" s="303"/>
      <c r="BT231" s="303"/>
      <c r="BU231" s="303"/>
      <c r="BV231" s="303"/>
      <c r="BW231" s="303"/>
      <c r="BX231" s="303"/>
      <c r="BY231" s="303"/>
      <c r="BZ231" s="303"/>
      <c r="CA231" s="303"/>
      <c r="CB231" s="303"/>
      <c r="CC231" s="303"/>
      <c r="CD231" s="303"/>
      <c r="CE231" s="303"/>
      <c r="CF231" s="303"/>
      <c r="CG231" s="303"/>
      <c r="CH231" s="303"/>
      <c r="CI231" s="303"/>
      <c r="CJ231" s="303"/>
      <c r="CK231" s="303"/>
      <c r="CL231" s="303"/>
      <c r="CM231" s="303"/>
      <c r="CN231" s="303"/>
      <c r="CO231" s="303"/>
      <c r="CP231" s="303"/>
      <c r="CQ231" s="303"/>
      <c r="CR231" s="303"/>
      <c r="CS231" s="303"/>
      <c r="CT231" s="303"/>
      <c r="CU231" s="303"/>
    </row>
    <row r="232" spans="1:99">
      <c r="A232" s="303"/>
      <c r="B232" s="303"/>
      <c r="C232" s="100" t="s">
        <v>239</v>
      </c>
      <c r="D232" s="303"/>
      <c r="E232" s="355"/>
      <c r="F232" s="353"/>
      <c r="G232" s="353"/>
      <c r="H232" s="354"/>
      <c r="I232" s="369"/>
      <c r="J232" s="355"/>
      <c r="K232" s="353"/>
      <c r="L232" s="353"/>
      <c r="M232" s="354"/>
      <c r="N232" s="369"/>
      <c r="O232" s="355"/>
      <c r="P232" s="353"/>
      <c r="Q232" s="353"/>
      <c r="R232" s="354"/>
      <c r="S232" s="369"/>
      <c r="T232" s="355"/>
      <c r="U232" s="353"/>
      <c r="V232" s="353"/>
      <c r="W232" s="354"/>
      <c r="X232" s="369">
        <f t="shared" ref="X232:AG232" si="330">+X194</f>
        <v>0.43027361439155626</v>
      </c>
      <c r="Y232" s="355">
        <f t="shared" si="330"/>
        <v>0.43975748034115242</v>
      </c>
      <c r="Z232" s="353">
        <f t="shared" si="330"/>
        <v>0.43466486919669473</v>
      </c>
      <c r="AA232" s="353">
        <f t="shared" si="330"/>
        <v>0.44502626130893902</v>
      </c>
      <c r="AB232" s="354">
        <f t="shared" si="330"/>
        <v>0.30786124601380355</v>
      </c>
      <c r="AC232" s="369">
        <f>+AC194</f>
        <v>0.30786124601380355</v>
      </c>
      <c r="AD232" s="355">
        <f t="shared" si="330"/>
        <v>0.3205201067866954</v>
      </c>
      <c r="AE232" s="353">
        <f t="shared" si="330"/>
        <v>0.32828185007440147</v>
      </c>
      <c r="AF232" s="353">
        <f t="shared" si="330"/>
        <v>0.34128774748959595</v>
      </c>
      <c r="AG232" s="354">
        <f t="shared" si="330"/>
        <v>0.35591136789016703</v>
      </c>
      <c r="AH232" s="369">
        <f>+AH194</f>
        <v>0.35591136789016703</v>
      </c>
      <c r="AI232" s="1563">
        <f>+AI194</f>
        <v>0.37056502409349029</v>
      </c>
      <c r="AJ232" s="1564">
        <f>+AJ194</f>
        <v>0.38254146428226948</v>
      </c>
      <c r="AK232" s="1564">
        <f t="shared" ref="AK232:BL232" si="331">+AK194</f>
        <v>0.38281927377734426</v>
      </c>
      <c r="AL232" s="1565">
        <f t="shared" si="331"/>
        <v>0.38318254291005316</v>
      </c>
      <c r="AM232" s="1566">
        <f>+AM194</f>
        <v>0.38318254291005316</v>
      </c>
      <c r="AN232" s="1563">
        <f t="shared" si="331"/>
        <v>0.39125077561373278</v>
      </c>
      <c r="AO232" s="1564">
        <f t="shared" si="331"/>
        <v>0.39896222475600462</v>
      </c>
      <c r="AP232" s="1564">
        <f t="shared" si="331"/>
        <v>0.41979636024037914</v>
      </c>
      <c r="AQ232" s="1565">
        <f t="shared" si="331"/>
        <v>0.42289120181050222</v>
      </c>
      <c r="AR232" s="1566">
        <f t="shared" ref="AR232:AZ232" si="332">+AR194</f>
        <v>0.42289120181050222</v>
      </c>
      <c r="AS232" s="1563">
        <f t="shared" si="332"/>
        <v>0.44546650598679921</v>
      </c>
      <c r="AT232" s="1564">
        <f t="shared" si="332"/>
        <v>0.44696811835799133</v>
      </c>
      <c r="AU232" s="1564">
        <f>+AU194</f>
        <v>0.42948105051162599</v>
      </c>
      <c r="AV232" s="1565">
        <f t="shared" si="332"/>
        <v>0.45087857013465377</v>
      </c>
      <c r="AW232" s="1566">
        <f t="shared" si="332"/>
        <v>0.45087857013465377</v>
      </c>
      <c r="AX232" s="1563">
        <f t="shared" si="332"/>
        <v>0.45551011316556161</v>
      </c>
      <c r="AY232" s="1564">
        <f t="shared" si="332"/>
        <v>0.45252930087057736</v>
      </c>
      <c r="AZ232" s="1564">
        <f t="shared" si="332"/>
        <v>0.45477766624810639</v>
      </c>
      <c r="BA232" s="1565">
        <f t="shared" si="331"/>
        <v>0.45115524872240209</v>
      </c>
      <c r="BB232" s="1566">
        <f t="shared" si="331"/>
        <v>0.45115524872240209</v>
      </c>
      <c r="BC232" s="1563">
        <f t="shared" si="331"/>
        <v>0.45116218292127991</v>
      </c>
      <c r="BD232" s="1564">
        <f t="shared" si="331"/>
        <v>0.45069001179059537</v>
      </c>
      <c r="BE232" s="1564">
        <f t="shared" si="331"/>
        <v>0.45376258455051965</v>
      </c>
      <c r="BF232" s="1565">
        <f t="shared" si="331"/>
        <v>0.45326569655203491</v>
      </c>
      <c r="BG232" s="1566">
        <f t="shared" si="331"/>
        <v>0.45326569655203491</v>
      </c>
      <c r="BH232" s="1563">
        <f t="shared" si="331"/>
        <v>0.45272066991750404</v>
      </c>
      <c r="BI232" s="1564">
        <f t="shared" si="331"/>
        <v>0.45185755500566022</v>
      </c>
      <c r="BJ232" s="1564">
        <f t="shared" si="331"/>
        <v>0.4556925921659235</v>
      </c>
      <c r="BK232" s="1565">
        <f t="shared" si="331"/>
        <v>0.45420358625518292</v>
      </c>
      <c r="BL232" s="1566">
        <f t="shared" si="331"/>
        <v>0.45420358625518292</v>
      </c>
      <c r="BM232" s="1563">
        <f>+BM194</f>
        <v>0.45297876202919407</v>
      </c>
      <c r="BN232" s="1564">
        <f>+BN194</f>
        <v>0.45162197080328764</v>
      </c>
      <c r="BO232" s="1564">
        <f>+BO194</f>
        <v>0.44106834982555387</v>
      </c>
      <c r="BP232" s="1565">
        <f>+BP194</f>
        <v>0.45267441525629432</v>
      </c>
      <c r="BQ232" s="1566">
        <f>+BQ194</f>
        <v>0.45267441525629432</v>
      </c>
      <c r="BR232" s="303"/>
      <c r="BS232" s="303"/>
      <c r="BT232" s="303"/>
      <c r="BU232" s="303"/>
      <c r="BV232" s="303"/>
      <c r="BW232" s="303"/>
      <c r="BX232" s="303"/>
      <c r="BY232" s="303"/>
      <c r="BZ232" s="303"/>
      <c r="CA232" s="303"/>
      <c r="CB232" s="303"/>
      <c r="CC232" s="303"/>
      <c r="CD232" s="303"/>
      <c r="CE232" s="303"/>
      <c r="CF232" s="303"/>
      <c r="CG232" s="303"/>
      <c r="CH232" s="303"/>
      <c r="CI232" s="303"/>
      <c r="CJ232" s="303"/>
      <c r="CK232" s="303"/>
      <c r="CL232" s="303"/>
      <c r="CM232" s="303"/>
      <c r="CN232" s="303"/>
      <c r="CO232" s="303"/>
      <c r="CP232" s="303"/>
      <c r="CQ232" s="303"/>
      <c r="CR232" s="303"/>
      <c r="CS232" s="303"/>
      <c r="CT232" s="303"/>
      <c r="CU232" s="303"/>
    </row>
    <row r="233" spans="1:99">
      <c r="A233" s="303"/>
      <c r="B233" s="303"/>
      <c r="C233" s="303"/>
      <c r="D233" s="303"/>
      <c r="E233" s="305"/>
      <c r="F233" s="306"/>
      <c r="G233" s="306"/>
      <c r="H233" s="307"/>
      <c r="I233" s="114"/>
      <c r="J233" s="229"/>
      <c r="K233" s="230"/>
      <c r="L233" s="230"/>
      <c r="M233" s="231"/>
      <c r="N233" s="114"/>
      <c r="O233" s="229"/>
      <c r="P233" s="230"/>
      <c r="Q233" s="230"/>
      <c r="R233" s="231"/>
      <c r="S233" s="114"/>
      <c r="T233" s="229"/>
      <c r="U233" s="230"/>
      <c r="V233" s="230"/>
      <c r="W233" s="231"/>
      <c r="X233" s="114"/>
      <c r="Y233" s="229"/>
      <c r="Z233" s="230"/>
      <c r="AA233" s="230"/>
      <c r="AB233" s="231"/>
      <c r="AC233" s="114"/>
      <c r="AD233" s="229"/>
      <c r="AE233" s="230"/>
      <c r="AF233" s="230"/>
      <c r="AG233" s="231"/>
      <c r="AH233" s="114"/>
      <c r="AI233" s="1558"/>
      <c r="AJ233" s="1560"/>
      <c r="AK233" s="1560"/>
      <c r="AL233" s="1561"/>
      <c r="AM233" s="1562"/>
      <c r="AN233" s="1558"/>
      <c r="AO233" s="1560"/>
      <c r="AP233" s="1560"/>
      <c r="AQ233" s="1561"/>
      <c r="AR233" s="1562"/>
      <c r="AS233" s="1558"/>
      <c r="AT233" s="1560"/>
      <c r="AU233" s="1560"/>
      <c r="AV233" s="1561"/>
      <c r="AW233" s="1562"/>
      <c r="AX233" s="1558"/>
      <c r="AY233" s="1560"/>
      <c r="AZ233" s="1560"/>
      <c r="BA233" s="1561"/>
      <c r="BB233" s="1562"/>
      <c r="BC233" s="1558"/>
      <c r="BD233" s="1560"/>
      <c r="BE233" s="1560"/>
      <c r="BF233" s="1561"/>
      <c r="BG233" s="1562"/>
      <c r="BH233" s="1558"/>
      <c r="BI233" s="1560"/>
      <c r="BJ233" s="1560"/>
      <c r="BK233" s="1561"/>
      <c r="BL233" s="1562"/>
      <c r="BM233" s="1558"/>
      <c r="BN233" s="1560"/>
      <c r="BO233" s="1560"/>
      <c r="BP233" s="1561"/>
      <c r="BQ233" s="1562"/>
      <c r="BR233" s="303"/>
      <c r="BS233" s="303"/>
      <c r="BT233" s="303"/>
      <c r="BU233" s="303"/>
      <c r="BV233" s="303"/>
      <c r="BW233" s="303"/>
      <c r="BX233" s="303"/>
      <c r="BY233" s="303"/>
      <c r="BZ233" s="303"/>
      <c r="CA233" s="303"/>
      <c r="CB233" s="303"/>
      <c r="CC233" s="303"/>
      <c r="CD233" s="303"/>
      <c r="CE233" s="303"/>
      <c r="CF233" s="303"/>
      <c r="CG233" s="303"/>
      <c r="CH233" s="303"/>
      <c r="CI233" s="303"/>
      <c r="CJ233" s="303"/>
      <c r="CK233" s="303"/>
      <c r="CL233" s="303"/>
      <c r="CM233" s="303"/>
      <c r="CN233" s="303"/>
      <c r="CO233" s="303"/>
      <c r="CP233" s="303"/>
      <c r="CQ233" s="303"/>
      <c r="CR233" s="303"/>
      <c r="CS233" s="303"/>
      <c r="CT233" s="303"/>
      <c r="CU233" s="303"/>
    </row>
    <row r="234" spans="1:99">
      <c r="A234" s="303"/>
      <c r="B234" s="303"/>
      <c r="C234" s="164" t="s">
        <v>241</v>
      </c>
      <c r="D234" s="303"/>
      <c r="E234" s="305"/>
      <c r="F234" s="306"/>
      <c r="G234" s="306"/>
      <c r="H234" s="307"/>
      <c r="I234" s="66"/>
      <c r="J234" s="368"/>
      <c r="K234" s="232"/>
      <c r="L234" s="232"/>
      <c r="M234" s="233"/>
      <c r="N234" s="66"/>
      <c r="O234" s="368"/>
      <c r="P234" s="232"/>
      <c r="Q234" s="232"/>
      <c r="R234" s="233"/>
      <c r="S234" s="66"/>
      <c r="T234" s="368"/>
      <c r="U234" s="232"/>
      <c r="V234" s="232"/>
      <c r="W234" s="233"/>
      <c r="X234" s="66"/>
      <c r="Y234" s="368"/>
      <c r="Z234" s="232"/>
      <c r="AA234" s="232"/>
      <c r="AB234" s="233"/>
      <c r="AC234" s="66"/>
      <c r="AD234" s="368"/>
      <c r="AE234" s="232"/>
      <c r="AF234" s="232"/>
      <c r="AG234" s="233"/>
      <c r="AH234" s="66"/>
      <c r="AI234" s="1567"/>
      <c r="AJ234" s="1568"/>
      <c r="AK234" s="1568"/>
      <c r="AL234" s="1569"/>
      <c r="AM234" s="1570"/>
      <c r="AN234" s="1567"/>
      <c r="AO234" s="1568"/>
      <c r="AP234" s="1568"/>
      <c r="AQ234" s="1569"/>
      <c r="AR234" s="1570"/>
      <c r="AS234" s="1567"/>
      <c r="AT234" s="1568"/>
      <c r="AU234" s="1568"/>
      <c r="AV234" s="1569"/>
      <c r="AW234" s="1570"/>
      <c r="AX234" s="1567"/>
      <c r="AY234" s="1568"/>
      <c r="AZ234" s="1568"/>
      <c r="BA234" s="1569"/>
      <c r="BB234" s="1570"/>
      <c r="BC234" s="1567"/>
      <c r="BD234" s="1568"/>
      <c r="BE234" s="1568"/>
      <c r="BF234" s="1569"/>
      <c r="BG234" s="1570"/>
      <c r="BH234" s="1567"/>
      <c r="BI234" s="1568"/>
      <c r="BJ234" s="1568"/>
      <c r="BK234" s="1569"/>
      <c r="BL234" s="1570"/>
      <c r="BM234" s="1567"/>
      <c r="BN234" s="1568"/>
      <c r="BO234" s="1568"/>
      <c r="BP234" s="1569"/>
      <c r="BQ234" s="1570"/>
      <c r="BR234" s="303"/>
      <c r="BS234" s="303"/>
      <c r="BT234" s="303"/>
      <c r="BU234" s="303"/>
      <c r="BV234" s="303"/>
      <c r="BW234" s="303"/>
      <c r="BX234" s="303"/>
      <c r="BY234" s="303"/>
      <c r="BZ234" s="303"/>
      <c r="CA234" s="303"/>
      <c r="CB234" s="303"/>
      <c r="CC234" s="303"/>
      <c r="CD234" s="303"/>
      <c r="CE234" s="303"/>
      <c r="CF234" s="303"/>
      <c r="CG234" s="303"/>
      <c r="CH234" s="303"/>
      <c r="CI234" s="303"/>
      <c r="CJ234" s="303"/>
      <c r="CK234" s="303"/>
      <c r="CL234" s="303"/>
      <c r="CM234" s="303"/>
      <c r="CN234" s="303"/>
      <c r="CO234" s="303"/>
      <c r="CP234" s="303"/>
      <c r="CQ234" s="303"/>
      <c r="CR234" s="303"/>
      <c r="CS234" s="303"/>
      <c r="CT234" s="303"/>
      <c r="CU234" s="303"/>
    </row>
    <row r="235" spans="1:99">
      <c r="A235" s="303"/>
      <c r="B235" s="303"/>
      <c r="C235" s="303" t="s">
        <v>242</v>
      </c>
      <c r="D235" s="303"/>
      <c r="E235" s="305"/>
      <c r="F235" s="306"/>
      <c r="G235" s="306"/>
      <c r="H235" s="307"/>
      <c r="I235" s="66"/>
      <c r="J235" s="229"/>
      <c r="K235" s="230"/>
      <c r="L235" s="230"/>
      <c r="M235" s="233"/>
      <c r="N235" s="114"/>
      <c r="O235" s="229"/>
      <c r="P235" s="230"/>
      <c r="Q235" s="230"/>
      <c r="R235" s="231"/>
      <c r="S235" s="114"/>
      <c r="T235" s="368"/>
      <c r="U235" s="230"/>
      <c r="V235" s="230"/>
      <c r="W235" s="231"/>
      <c r="X235" s="1257">
        <f>+AVERAGE(10.2%,11.49%,9.96%,9.96%)</f>
        <v>0.10402500000000001</v>
      </c>
      <c r="Y235" s="1215">
        <f>X235</f>
        <v>0.10402500000000001</v>
      </c>
      <c r="Z235" s="230">
        <f t="shared" ref="Z235:BL235" si="333">Y235</f>
        <v>0.10402500000000001</v>
      </c>
      <c r="AA235" s="230">
        <f t="shared" si="333"/>
        <v>0.10402500000000001</v>
      </c>
      <c r="AB235" s="231">
        <f t="shared" si="333"/>
        <v>0.10402500000000001</v>
      </c>
      <c r="AC235" s="1257">
        <f>+AVERAGE(10.2%,11.49%,9.96%,9.96%)</f>
        <v>0.10402500000000001</v>
      </c>
      <c r="AD235" s="229">
        <f t="shared" si="333"/>
        <v>0.10402500000000001</v>
      </c>
      <c r="AE235" s="230">
        <f t="shared" si="333"/>
        <v>0.10402500000000001</v>
      </c>
      <c r="AF235" s="230">
        <f t="shared" si="333"/>
        <v>0.10402500000000001</v>
      </c>
      <c r="AG235" s="231">
        <f t="shared" si="333"/>
        <v>0.10402500000000001</v>
      </c>
      <c r="AH235" s="114">
        <f t="shared" si="333"/>
        <v>0.10402500000000001</v>
      </c>
      <c r="AI235" s="1558">
        <f t="shared" si="333"/>
        <v>0.10402500000000001</v>
      </c>
      <c r="AJ235" s="1559">
        <v>0.1047</v>
      </c>
      <c r="AK235" s="1560">
        <f t="shared" si="333"/>
        <v>0.1047</v>
      </c>
      <c r="AL235" s="1561">
        <f t="shared" si="333"/>
        <v>0.1047</v>
      </c>
      <c r="AM235" s="1562">
        <f t="shared" si="333"/>
        <v>0.1047</v>
      </c>
      <c r="AN235" s="1558">
        <f t="shared" si="333"/>
        <v>0.1047</v>
      </c>
      <c r="AO235" s="1560">
        <f t="shared" si="333"/>
        <v>0.1047</v>
      </c>
      <c r="AP235" s="1560">
        <f t="shared" si="333"/>
        <v>0.1047</v>
      </c>
      <c r="AQ235" s="1561">
        <f t="shared" si="333"/>
        <v>0.1047</v>
      </c>
      <c r="AR235" s="1562">
        <f t="shared" si="333"/>
        <v>0.1047</v>
      </c>
      <c r="AS235" s="1558">
        <f t="shared" si="333"/>
        <v>0.1047</v>
      </c>
      <c r="AT235" s="1560">
        <f t="shared" si="333"/>
        <v>0.1047</v>
      </c>
      <c r="AU235" s="1560">
        <f t="shared" si="333"/>
        <v>0.1047</v>
      </c>
      <c r="AV235" s="1561">
        <f t="shared" si="333"/>
        <v>0.1047</v>
      </c>
      <c r="AW235" s="1562">
        <f t="shared" si="333"/>
        <v>0.1047</v>
      </c>
      <c r="AX235" s="1558">
        <f t="shared" si="333"/>
        <v>0.1047</v>
      </c>
      <c r="AY235" s="1560">
        <f t="shared" si="333"/>
        <v>0.1047</v>
      </c>
      <c r="AZ235" s="1560">
        <f t="shared" si="333"/>
        <v>0.1047</v>
      </c>
      <c r="BA235" s="1561">
        <f t="shared" si="333"/>
        <v>0.1047</v>
      </c>
      <c r="BB235" s="1562">
        <f t="shared" si="333"/>
        <v>0.1047</v>
      </c>
      <c r="BC235" s="1558">
        <f t="shared" si="333"/>
        <v>0.1047</v>
      </c>
      <c r="BD235" s="1560">
        <f t="shared" si="333"/>
        <v>0.1047</v>
      </c>
      <c r="BE235" s="1560">
        <f t="shared" si="333"/>
        <v>0.1047</v>
      </c>
      <c r="BF235" s="1561">
        <f t="shared" si="333"/>
        <v>0.1047</v>
      </c>
      <c r="BG235" s="1562">
        <f t="shared" si="333"/>
        <v>0.1047</v>
      </c>
      <c r="BH235" s="1558">
        <f t="shared" si="333"/>
        <v>0.1047</v>
      </c>
      <c r="BI235" s="1560">
        <f t="shared" si="333"/>
        <v>0.1047</v>
      </c>
      <c r="BJ235" s="1560">
        <f t="shared" si="333"/>
        <v>0.1047</v>
      </c>
      <c r="BK235" s="1561">
        <f t="shared" si="333"/>
        <v>0.1047</v>
      </c>
      <c r="BL235" s="1562">
        <f t="shared" si="333"/>
        <v>0.1047</v>
      </c>
      <c r="BM235" s="1558">
        <f>BL235</f>
        <v>0.1047</v>
      </c>
      <c r="BN235" s="1560">
        <f>BM235</f>
        <v>0.1047</v>
      </c>
      <c r="BO235" s="1560">
        <f>BN235</f>
        <v>0.1047</v>
      </c>
      <c r="BP235" s="1561">
        <f>BO235</f>
        <v>0.1047</v>
      </c>
      <c r="BQ235" s="1562">
        <f>BP235</f>
        <v>0.1047</v>
      </c>
      <c r="BR235" s="303"/>
      <c r="BS235" s="303"/>
      <c r="BT235" s="303"/>
      <c r="BU235" s="303"/>
      <c r="BV235" s="303"/>
      <c r="BW235" s="303"/>
      <c r="BX235" s="303"/>
      <c r="BY235" s="303"/>
      <c r="BZ235" s="303"/>
      <c r="CA235" s="303"/>
      <c r="CB235" s="303"/>
      <c r="CC235" s="303"/>
      <c r="CD235" s="303"/>
      <c r="CE235" s="303"/>
      <c r="CF235" s="303"/>
      <c r="CG235" s="303"/>
      <c r="CH235" s="303"/>
      <c r="CI235" s="303"/>
      <c r="CJ235" s="303"/>
      <c r="CK235" s="303"/>
      <c r="CL235" s="303"/>
      <c r="CM235" s="303"/>
      <c r="CN235" s="303"/>
      <c r="CO235" s="303"/>
      <c r="CP235" s="303"/>
      <c r="CQ235" s="303"/>
      <c r="CR235" s="303"/>
      <c r="CS235" s="303"/>
      <c r="CT235" s="303"/>
      <c r="CU235" s="303"/>
    </row>
    <row r="236" spans="1:99">
      <c r="A236" s="303"/>
      <c r="B236" s="303"/>
      <c r="C236" s="303" t="s">
        <v>243</v>
      </c>
      <c r="D236" s="303"/>
      <c r="E236" s="305"/>
      <c r="F236" s="306"/>
      <c r="G236" s="306"/>
      <c r="H236" s="307"/>
      <c r="I236" s="369"/>
      <c r="J236" s="355"/>
      <c r="K236" s="353"/>
      <c r="L236" s="353"/>
      <c r="M236" s="354"/>
      <c r="N236" s="369"/>
      <c r="O236" s="355"/>
      <c r="P236" s="353"/>
      <c r="Q236" s="353"/>
      <c r="R236" s="354"/>
      <c r="S236" s="369"/>
      <c r="T236" s="355"/>
      <c r="U236" s="353"/>
      <c r="V236" s="353"/>
      <c r="W236" s="354"/>
      <c r="X236" s="369">
        <f t="shared" ref="X236:AH236" si="334">X205/(X232*(AVERAGE(X224,X219)))</f>
        <v>0.11003844790255912</v>
      </c>
      <c r="Y236" s="355">
        <f t="shared" si="334"/>
        <v>0</v>
      </c>
      <c r="Z236" s="353">
        <f t="shared" si="334"/>
        <v>0</v>
      </c>
      <c r="AA236" s="353">
        <f t="shared" si="334"/>
        <v>0</v>
      </c>
      <c r="AB236" s="354">
        <f t="shared" si="334"/>
        <v>0.1673904608327976</v>
      </c>
      <c r="AC236" s="369">
        <f t="shared" si="334"/>
        <v>0.15520340759498763</v>
      </c>
      <c r="AD236" s="355">
        <f t="shared" si="334"/>
        <v>0.16854050314510366</v>
      </c>
      <c r="AE236" s="353">
        <f t="shared" si="334"/>
        <v>0.16814448891792821</v>
      </c>
      <c r="AF236" s="353">
        <f t="shared" si="334"/>
        <v>0.14791001831482761</v>
      </c>
      <c r="AG236" s="354">
        <f t="shared" si="334"/>
        <v>0.13770499787809728</v>
      </c>
      <c r="AH236" s="369">
        <f t="shared" si="334"/>
        <v>0.14118593424548945</v>
      </c>
      <c r="AI236" s="1563">
        <f>AI205/(AI232*(AVERAGE(AI224,AI219)))</f>
        <v>0.12984736094135502</v>
      </c>
      <c r="AJ236" s="1564">
        <f>AJ205/(AJ232*(AVERAGE(AJ224,AJ219)))</f>
        <v>0.11921077475472011</v>
      </c>
      <c r="AK236" s="1564">
        <f t="shared" ref="AK236:BL236" si="335">AK205/(AK232*(AVERAGE(AK224,AK219)))</f>
        <v>0.12438754335400257</v>
      </c>
      <c r="AL236" s="1565">
        <f t="shared" si="335"/>
        <v>0.11911963415729583</v>
      </c>
      <c r="AM236" s="1566">
        <f t="shared" si="335"/>
        <v>0.12222288703598329</v>
      </c>
      <c r="AN236" s="1563">
        <f t="shared" si="335"/>
        <v>0.11751010785041363</v>
      </c>
      <c r="AO236" s="1564">
        <f t="shared" si="335"/>
        <v>0.1267641924587401</v>
      </c>
      <c r="AP236" s="1564">
        <f t="shared" si="335"/>
        <v>0.12991270555834469</v>
      </c>
      <c r="AQ236" s="1565">
        <f t="shared" si="335"/>
        <v>0.13414145386194046</v>
      </c>
      <c r="AR236" s="1566">
        <f t="shared" si="335"/>
        <v>0.13895438062048307</v>
      </c>
      <c r="AS236" s="1563">
        <f>AS205/(AS232*(AVERAGE(AS224,AS219)))</f>
        <v>0.12675678231293722</v>
      </c>
      <c r="AT236" s="1564">
        <f t="shared" si="335"/>
        <v>0.11950145013034816</v>
      </c>
      <c r="AU236" s="1564">
        <f>AU205/(AU232*(AVERAGE(AU224,AU219)))</f>
        <v>0.11828843049884018</v>
      </c>
      <c r="AV236" s="1565">
        <f t="shared" si="335"/>
        <v>0.11689324170036752</v>
      </c>
      <c r="AW236" s="1566">
        <f t="shared" si="335"/>
        <v>0.12153902594114427</v>
      </c>
      <c r="AX236" s="1563">
        <f t="shared" si="335"/>
        <v>0.11692054351354809</v>
      </c>
      <c r="AY236" s="1564">
        <f t="shared" si="335"/>
        <v>0.11978091046140046</v>
      </c>
      <c r="AZ236" s="1564">
        <f t="shared" si="335"/>
        <v>0.1253632294994137</v>
      </c>
      <c r="BA236" s="1565">
        <f t="shared" si="335"/>
        <v>0.12287012132693119</v>
      </c>
      <c r="BB236" s="1566">
        <f t="shared" si="335"/>
        <v>0.12688370734970625</v>
      </c>
      <c r="BC236" s="1563">
        <f t="shared" si="335"/>
        <v>0.12279017093036897</v>
      </c>
      <c r="BD236" s="1564">
        <f t="shared" si="335"/>
        <v>0.12199469277629252</v>
      </c>
      <c r="BE236" s="1564">
        <f t="shared" si="335"/>
        <v>0.11974246728265107</v>
      </c>
      <c r="BF236" s="1565">
        <f t="shared" si="335"/>
        <v>0.11912262474545639</v>
      </c>
      <c r="BG236" s="1566">
        <f t="shared" si="335"/>
        <v>0.12296230313510424</v>
      </c>
      <c r="BH236" s="1563">
        <f t="shared" si="335"/>
        <v>0.11886353950360456</v>
      </c>
      <c r="BI236" s="1564">
        <f t="shared" si="335"/>
        <v>0.11898568702924711</v>
      </c>
      <c r="BJ236" s="1564">
        <f t="shared" si="335"/>
        <v>0.11919214470893169</v>
      </c>
      <c r="BK236" s="1565">
        <f t="shared" si="335"/>
        <v>0.12009200809245089</v>
      </c>
      <c r="BL236" s="1566">
        <f t="shared" si="335"/>
        <v>0.12366620282654227</v>
      </c>
      <c r="BM236" s="1563">
        <f>BM205/(BM232*(AVERAGE(BM224,BM219)))</f>
        <v>0.12063442199783908</v>
      </c>
      <c r="BN236" s="1564">
        <f>BN205/(BN232*(AVERAGE(BN224,BN219)))</f>
        <v>0.12221566396637136</v>
      </c>
      <c r="BO236" s="1564">
        <f>BO205/(BO232*(AVERAGE(BO224,BO219)))</f>
        <v>0.12591328884651382</v>
      </c>
      <c r="BP236" s="1565">
        <f>BP205/(BP232*(AVERAGE(BP224,BP219)))</f>
        <v>0.12399819947724113</v>
      </c>
      <c r="BQ236" s="1566">
        <f>BQ205/(BQ232*(AVERAGE(BQ224,BQ219)))</f>
        <v>0.12613800960745425</v>
      </c>
      <c r="BR236" s="303"/>
      <c r="BS236" s="303"/>
      <c r="BT236" s="303"/>
      <c r="BU236" s="303"/>
      <c r="BV236" s="303"/>
      <c r="BW236" s="303"/>
      <c r="BX236" s="303"/>
      <c r="BY236" s="303"/>
      <c r="BZ236" s="303"/>
      <c r="CA236" s="303"/>
      <c r="CB236" s="303"/>
      <c r="CC236" s="303"/>
      <c r="CD236" s="303"/>
      <c r="CE236" s="303"/>
      <c r="CF236" s="303"/>
      <c r="CG236" s="303"/>
      <c r="CH236" s="303"/>
      <c r="CI236" s="303"/>
      <c r="CJ236" s="303"/>
      <c r="CK236" s="303"/>
      <c r="CL236" s="303"/>
      <c r="CM236" s="303"/>
      <c r="CN236" s="303"/>
      <c r="CO236" s="303"/>
      <c r="CP236" s="303"/>
      <c r="CQ236" s="303"/>
      <c r="CR236" s="303"/>
      <c r="CS236" s="303"/>
      <c r="CT236" s="303"/>
      <c r="CU236" s="303"/>
    </row>
    <row r="237" spans="1:99">
      <c r="A237" s="303"/>
      <c r="B237" s="303"/>
      <c r="C237" s="303" t="s">
        <v>254</v>
      </c>
      <c r="D237" s="303"/>
      <c r="E237" s="305"/>
      <c r="F237" s="306"/>
      <c r="G237" s="306"/>
      <c r="H237" s="307"/>
      <c r="I237" s="369"/>
      <c r="J237" s="355"/>
      <c r="K237" s="353"/>
      <c r="L237" s="353"/>
      <c r="M237" s="354"/>
      <c r="N237" s="369"/>
      <c r="O237" s="355"/>
      <c r="P237" s="353"/>
      <c r="Q237" s="353"/>
      <c r="R237" s="354"/>
      <c r="S237" s="369"/>
      <c r="T237" s="355"/>
      <c r="U237" s="353"/>
      <c r="V237" s="353"/>
      <c r="W237" s="354"/>
      <c r="X237" s="1566">
        <f>(X205-X19)/(X232*(AVERAGE(X224,X219)))</f>
        <v>0.10834119677809806</v>
      </c>
      <c r="Y237" s="355"/>
      <c r="Z237" s="353"/>
      <c r="AA237" s="353"/>
      <c r="AB237" s="354"/>
      <c r="AC237" s="1566">
        <f>(AC205-AC19)/(AC232*(AVERAGE(AC224,AC219)))</f>
        <v>0.1517351750230326</v>
      </c>
      <c r="AD237" s="355"/>
      <c r="AE237" s="353"/>
      <c r="AF237" s="353"/>
      <c r="AG237" s="354"/>
      <c r="AH237" s="1566">
        <f>(AH205-AH19)/(AH232*(AVERAGE(AH224,AH219)))</f>
        <v>0.13649577118281989</v>
      </c>
      <c r="AI237" s="1563"/>
      <c r="AJ237" s="1564"/>
      <c r="AK237" s="1564"/>
      <c r="AL237" s="1565"/>
      <c r="AM237" s="1566">
        <f>(AM205-AM19)/(AM232*(AVERAGE(AM224,AM219)))</f>
        <v>0.11684702225432114</v>
      </c>
      <c r="AN237" s="1563"/>
      <c r="AO237" s="1564"/>
      <c r="AP237" s="1564"/>
      <c r="AQ237" s="1565"/>
      <c r="AR237" s="1566">
        <f>(AR205-AR19)/(AR232*(AVERAGE(AR224,AR219)))</f>
        <v>0.13460214841270604</v>
      </c>
      <c r="AS237" s="1563"/>
      <c r="AT237" s="1564"/>
      <c r="AU237" s="1564"/>
      <c r="AV237" s="1565"/>
      <c r="AW237" s="1566">
        <f>(AW205-AW19)/(AW232*(AVERAGE(AW224,AW219)))</f>
        <v>0.11831880285318139</v>
      </c>
      <c r="AX237" s="1563"/>
      <c r="AY237" s="1564"/>
      <c r="AZ237" s="1564"/>
      <c r="BA237" s="1565"/>
      <c r="BB237" s="1566">
        <f>(BB205-BB19)/(BB232*(AVERAGE(BB224,BB219)))</f>
        <v>0.11977182363814712</v>
      </c>
      <c r="BC237" s="1563"/>
      <c r="BD237" s="1564"/>
      <c r="BE237" s="1564"/>
      <c r="BF237" s="1565"/>
      <c r="BG237" s="1566">
        <f>(BG205-BG19)/(BG232*(AVERAGE(BG224,BG219)))</f>
        <v>0.11714293275200145</v>
      </c>
      <c r="BH237" s="1563"/>
      <c r="BI237" s="1564"/>
      <c r="BJ237" s="1564"/>
      <c r="BK237" s="1565"/>
      <c r="BL237" s="1566">
        <f>(BL205-BL19)/(BL232*(AVERAGE(BL224,BL219)))</f>
        <v>0.11910251519716566</v>
      </c>
      <c r="BM237" s="1563"/>
      <c r="BN237" s="1564"/>
      <c r="BO237" s="1564"/>
      <c r="BP237" s="1565"/>
      <c r="BQ237" s="1566">
        <f>(BQ205-BQ19)/(BQ232*(AVERAGE(BQ224,BQ219)))</f>
        <v>0.1218334653576425</v>
      </c>
      <c r="BR237" s="303"/>
      <c r="BS237" s="303"/>
      <c r="BT237" s="303"/>
      <c r="BU237" s="303"/>
      <c r="BV237" s="303"/>
      <c r="BW237" s="303"/>
      <c r="BX237" s="303"/>
      <c r="BY237" s="303"/>
      <c r="BZ237" s="303"/>
      <c r="CA237" s="303"/>
      <c r="CB237" s="303"/>
      <c r="CC237" s="303"/>
      <c r="CD237" s="303"/>
      <c r="CE237" s="303"/>
      <c r="CF237" s="303"/>
      <c r="CG237" s="303"/>
      <c r="CH237" s="303"/>
      <c r="CI237" s="303"/>
      <c r="CJ237" s="303"/>
      <c r="CK237" s="303"/>
      <c r="CL237" s="303"/>
      <c r="CM237" s="303"/>
      <c r="CN237" s="303"/>
      <c r="CO237" s="303"/>
      <c r="CP237" s="303"/>
      <c r="CQ237" s="303"/>
      <c r="CR237" s="303"/>
      <c r="CS237" s="303"/>
      <c r="CT237" s="303"/>
      <c r="CU237" s="303"/>
    </row>
    <row r="238" spans="1:99">
      <c r="A238" s="303"/>
      <c r="B238" s="303"/>
      <c r="C238" s="303"/>
      <c r="D238" s="303"/>
      <c r="E238" s="509"/>
      <c r="F238" s="510"/>
      <c r="G238" s="510"/>
      <c r="H238" s="511"/>
      <c r="I238" s="154"/>
      <c r="J238" s="512"/>
      <c r="K238" s="513"/>
      <c r="L238" s="513"/>
      <c r="M238" s="514"/>
      <c r="N238" s="154"/>
      <c r="O238" s="512"/>
      <c r="P238" s="513"/>
      <c r="Q238" s="513"/>
      <c r="R238" s="514"/>
      <c r="S238" s="154"/>
      <c r="T238" s="512"/>
      <c r="U238" s="513"/>
      <c r="V238" s="513"/>
      <c r="W238" s="514"/>
      <c r="X238" s="154"/>
      <c r="Y238" s="512"/>
      <c r="Z238" s="513"/>
      <c r="AA238" s="513"/>
      <c r="AB238" s="514"/>
      <c r="AC238" s="369"/>
      <c r="AD238" s="512"/>
      <c r="AE238" s="513"/>
      <c r="AF238" s="513"/>
      <c r="AG238" s="514"/>
      <c r="AH238" s="369"/>
      <c r="AI238" s="512"/>
      <c r="AJ238" s="513"/>
      <c r="AK238" s="513"/>
      <c r="AL238" s="514"/>
      <c r="AM238" s="369"/>
      <c r="AN238" s="512"/>
      <c r="AO238" s="513"/>
      <c r="AP238" s="513"/>
      <c r="AQ238" s="514"/>
      <c r="AR238" s="369"/>
      <c r="AS238" s="512"/>
      <c r="AT238" s="513"/>
      <c r="AU238" s="513"/>
      <c r="AV238" s="514"/>
      <c r="AW238" s="369"/>
      <c r="AX238" s="512"/>
      <c r="AY238" s="513"/>
      <c r="AZ238" s="513"/>
      <c r="BA238" s="514"/>
      <c r="BB238" s="369"/>
      <c r="BC238" s="512"/>
      <c r="BD238" s="513"/>
      <c r="BE238" s="513"/>
      <c r="BF238" s="514"/>
      <c r="BG238" s="369"/>
      <c r="BH238" s="512"/>
      <c r="BI238" s="513"/>
      <c r="BJ238" s="513"/>
      <c r="BK238" s="514"/>
      <c r="BL238" s="369"/>
      <c r="BM238" s="512"/>
      <c r="BN238" s="513"/>
      <c r="BO238" s="513"/>
      <c r="BP238" s="514"/>
      <c r="BQ238" s="369"/>
      <c r="BR238" s="303"/>
      <c r="BS238" s="303"/>
      <c r="BT238" s="303"/>
      <c r="BU238" s="303"/>
      <c r="BV238" s="303"/>
      <c r="BW238" s="303"/>
      <c r="BX238" s="303"/>
      <c r="BY238" s="303"/>
      <c r="BZ238" s="303"/>
      <c r="CA238" s="303"/>
      <c r="CB238" s="303"/>
      <c r="CC238" s="303"/>
      <c r="CD238" s="303"/>
      <c r="CE238" s="303"/>
      <c r="CF238" s="303"/>
      <c r="CG238" s="303"/>
      <c r="CH238" s="303"/>
      <c r="CI238" s="303"/>
      <c r="CJ238" s="303"/>
      <c r="CK238" s="303"/>
      <c r="CL238" s="303"/>
      <c r="CM238" s="303"/>
      <c r="CN238" s="303"/>
      <c r="CO238" s="303"/>
      <c r="CP238" s="303"/>
      <c r="CQ238" s="303"/>
      <c r="CR238" s="303"/>
      <c r="CS238" s="303"/>
      <c r="CT238" s="303"/>
      <c r="CU238" s="303"/>
    </row>
  </sheetData>
  <phoneticPr fontId="40" type="noConversion"/>
  <pageMargins left="0.5" right="0.5" top="0.5" bottom="0.5" header="0" footer="0"/>
  <pageSetup scale="55" fitToHeight="4" orientation="landscape" r:id="rId1"/>
  <headerFooter alignWithMargins="0"/>
  <rowBreaks count="4" manualBreakCount="4">
    <brk id="61" max="44" man="1"/>
    <brk id="100" max="44" man="1"/>
    <brk id="148" max="44" man="1"/>
    <brk id="192" max="44" man="1"/>
  </rowBreaks>
  <ignoredErrors>
    <ignoredError sqref="E502:I65537 J356:W65537 A1:D18 E1:W5 AC236 Y158:AA200 Y229:AA65537 AD158:AF222 Y206:AA209 Y212:AA213 AC158:AC192 X236 AX32:BA34 AA21 AB20:AB21 X21:Y21 Z20:Z21 X132:X135 BR45:IV51 AT21:AU21 AC21:AF21 CG131:DH152 CG229:DH65537 DI229:IV65537 C21:C49 X55:X128 Y131:AB135 AC55:AF63 Y55:AB74 AC38:AC52 AA23:AB44 AC23:AC36 X38:Z44 X23:Z36 AD23:AF52 X158:X192 AG64:AG68 AG46:AI47 AN46:AN47 AS46:AV47 AT23:AU24 BB23:BB31 AX23:BA30 BR229:CF65537 AT55:AU55 X137:AF156 AB229:AB65537 AC233:AC234 X194:X223 AC194:AC223 AX142:BA142 AX193:BB193 AX187:BA187 AX186:BB186 AX194:BA194 AG180:AH182 AX171:BA171 AX132:BA132 AQ131:AR131 AX129:BA129 AC132 AC134:AN135 AH225 AC131:AF131 AC126 AC229:AC230 AH238:BB65537 X229:X230 AC225 X232:X234 A229:D65537 AG114:AH117 AH65:AN68 X5:AF5 X8:AF18 BR1:IV7 AI99:AJ100 AI83:AN84 AC95:AF125 AC94 AK144:AN145 AK138:AM141 AG154:AH154 AG198:AH222 AU58 AX74:BB74 AI92:AJ92 AX88:BB88 AI97 AT107:AU108 AK180:AK182 AH229:AH230 AK46:AL47 AS97:BB97 AX159:BB160 AX170:BB170 AK198:AN199 AT10:AU10 AX5:BB5 X6:BB6 X1:BB4 AK153:AN154 AX147:BB149 AD229:AG65537 AM46:AM47 AX57:BA57 AH233:AH236 X46:AB52 A20:B52 D20:D52 AS16:AU18 AT11:AU11 BS52:IV52 AC75 AC69 AC70 AC71 AC72 AC73 AC74 AC78:AF78 AC76 AC77 AC82:AF93 AC79 AC80 AC81 AS99:BB100 AU92 AX101:BB101 AN114:AN117 AX109:BB113 AT123 AY137:BB137 AX143:BB143 AN152 AX166:BB166 AX172:BB173 AX155:BB156 AX195:BB197 AN180:AN182 AT128 AN200:AN218 AT91 AX89:BB89 AC133:AM133 AP133:BB133 AS138:BB141 AX150:BB151 AP46:AP47 AP66:BB68 AQ84:BB84 AP134:BB135 AT144:BB144 AP198:BB199 AP154:BB154 AP116:AU117 AT152 AP181:BB182 AP200:BB200 A55:D129 AC127:AF129 BR55:CF129 Y91:AB129 DI55:IV129 CG55:DH129 AX8:BB8 AX158:BB158 AX162:BB165 AX161:BB161 AX183:BA183 AX179:BB179 AX178:BB178 AZ177:BB177 AX185:BB185 AX176:BB176 AX167:BB167 AX168:BB168 AX174:BB174 AX175:BB175 AX169:BB169 AD224:AG226 A131:D226 X225:X226 AB158:AB226 BR131:CF226 DI131:IV226 CG180:DH226 Y216:AA226 AT153 AP65 AS65:BB65 AT93 AT106:AU106 AP114 AS114:AT114 AS83:AT83 AX9:BB9 AP180:AQ180 AS180:BB180 BR20:BS44 BV20:IV44 BR8:BS18 BV9:IV18 BV8:IV8 Y7:AB7 AT7:AV7 AD7:AG7 AX7:BA7 AT15:AU15 AT32:AU32 AT49:AU49 AX82:BB82 AX69:BB69 AX77:BB77 AX75:BB75 AX81:BB81 AX78:BB78 AX70:BB70 AX71:BB71 AX72:BB72 AX73:BB73 AX76:BB76 AX79:BB79 AX80:BB80 AP216:AR218 AP201:AR215 AX201:BB215 AT131 AX146:BB146 AX12:BB12 AC65:AF68 AD64:AF64 AC238:AC65537 X238:X65537 AX90:BB90 AX96:BB96 AX118:BB122 AX13:BB13 AX14:BB14 AT27:AU30 AT95:AU95 AX94:BB94 AT105 AU103 AT125 AX124:BB124 AX127:BB127 AX136:BB136 AV145:BB145 AX188:BB188 AX190:BB190 AX216:BB218 AX11:BB11 AX93:BB93 AU61 AX59:BB60 AX64:BB64 AX62:BB63 AX83:BB83 AX91:BB91 AX85:BB85 AX86:BB86 AX87:BB87 AX102:BB102 AX105:BB105 AX104:BB104 AP115:AT115 AX115:BB115 AX114:BB114 AX123:BB123 AX128:BB128 AV131 AX125:BB125 AX152:BB152 AX153:BB153 AX189:BB189 AX191:BB192 AX184:BB184 AT34:AU45 AT33:AU33 AW46:AW47 AX49:BA49 AY126:BB126 AX21:BB21 AX10:BB10 AX16:BB18 AX15:BB15 AX55:BB55 AX58:BB58 AX61:BB61 AX92:BB92 AX95:BB95 AX107:BB108 AX116:BB117 AX106:BB106 AX103:BB103 AX131:BB131 Y76:AB89 BB49 BB36:BB47 AX36:BA47 BB33:BB34" formulaRange="1"/>
    <ignoredError sqref="Y75:AB75 AD75:AF75" formula="1" formulaRange="1"/>
    <ignoredError sqref="AG75 AI75:AL75 AN75:AQ75" formula="1"/>
  </ignoredError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DE83"/>
  <sheetViews>
    <sheetView zoomScale="80" zoomScaleNormal="80" workbookViewId="0">
      <pane xSplit="4" ySplit="5" topLeftCell="X6" activePane="bottomRight" state="frozen"/>
      <selection activeCell="S89" sqref="S89"/>
      <selection pane="topRight" activeCell="S89" sqref="S89"/>
      <selection pane="bottomLeft" activeCell="S89" sqref="S89"/>
      <selection pane="bottomRight" activeCell="X6" sqref="X6"/>
    </sheetView>
  </sheetViews>
  <sheetFormatPr defaultRowHeight="12.75" outlineLevelCol="1"/>
  <cols>
    <col min="1" max="2" width="2.7109375" customWidth="1"/>
    <col min="3" max="3" width="39.7109375" customWidth="1"/>
    <col min="4" max="4" width="2.7109375" customWidth="1"/>
    <col min="5" max="8" width="9" hidden="1" customWidth="1" outlineLevel="1"/>
    <col min="9" max="9" width="9" hidden="1" customWidth="1" outlineLevel="1" collapsed="1"/>
    <col min="10" max="13" width="9" hidden="1" customWidth="1" outlineLevel="1"/>
    <col min="14" max="14" width="9" hidden="1" customWidth="1" outlineLevel="1" collapsed="1"/>
    <col min="15" max="18" width="9" hidden="1" customWidth="1" outlineLevel="1"/>
    <col min="19" max="19" width="9" hidden="1" customWidth="1" outlineLevel="1" collapsed="1"/>
    <col min="20" max="23" width="9" hidden="1" customWidth="1" outlineLevel="1"/>
    <col min="24" max="24" width="10" bestFit="1" customWidth="1" collapsed="1"/>
    <col min="25" max="28" width="9" hidden="1" customWidth="1" outlineLevel="1"/>
    <col min="29" max="29" width="9" customWidth="1" collapsed="1"/>
    <col min="30" max="33" width="9" hidden="1" customWidth="1" outlineLevel="1"/>
    <col min="34" max="34" width="9" customWidth="1" collapsed="1"/>
    <col min="35" max="38" width="9" hidden="1" customWidth="1" outlineLevel="1"/>
    <col min="39" max="39" width="9" customWidth="1" collapsed="1"/>
    <col min="40" max="43" width="9" hidden="1" customWidth="1" outlineLevel="1"/>
    <col min="44" max="44" width="9.7109375" customWidth="1" collapsed="1"/>
    <col min="45" max="48" width="9" hidden="1" customWidth="1" outlineLevel="1"/>
    <col min="49" max="49" width="9" customWidth="1" collapsed="1"/>
    <col min="50" max="53" width="9" hidden="1" customWidth="1" outlineLevel="1"/>
    <col min="54" max="54" width="9" customWidth="1" collapsed="1"/>
    <col min="55" max="58" width="9" hidden="1" customWidth="1" outlineLevel="1"/>
    <col min="59" max="59" width="9" customWidth="1" collapsed="1"/>
    <col min="60" max="63" width="9" hidden="1" customWidth="1" outlineLevel="1"/>
    <col min="64" max="64" width="9" customWidth="1" collapsed="1"/>
    <col min="65" max="68" width="9" hidden="1" customWidth="1" outlineLevel="1"/>
    <col min="69" max="69" width="9" customWidth="1" collapsed="1"/>
    <col min="70" max="70" width="9" customWidth="1"/>
    <col min="71" max="71" width="42.85546875" bestFit="1" customWidth="1"/>
    <col min="75" max="76" width="9" customWidth="1"/>
  </cols>
  <sheetData>
    <row r="1" spans="1:70" ht="15" customHeight="1">
      <c r="A1" s="32"/>
      <c r="B1" s="32"/>
      <c r="C1" s="32"/>
      <c r="D1" s="33"/>
      <c r="E1" s="34"/>
      <c r="F1" s="34"/>
      <c r="G1" s="34"/>
      <c r="H1" s="34"/>
      <c r="I1" s="34"/>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c r="AW1" s="34"/>
      <c r="AX1" s="34"/>
      <c r="AY1" s="34"/>
      <c r="AZ1" s="34"/>
      <c r="BA1" s="34"/>
      <c r="BB1" s="34"/>
      <c r="BC1" s="34"/>
      <c r="BD1" s="34"/>
      <c r="BE1" s="34"/>
      <c r="BF1" s="34"/>
      <c r="BG1" s="34"/>
      <c r="BH1" s="34"/>
      <c r="BI1" s="34"/>
      <c r="BJ1" s="34"/>
      <c r="BK1" s="34"/>
      <c r="BL1" s="34"/>
      <c r="BM1" s="34"/>
      <c r="BN1" s="34"/>
      <c r="BO1" s="34"/>
      <c r="BP1" s="34"/>
      <c r="BQ1" s="34"/>
    </row>
    <row r="2" spans="1:70" ht="15" customHeight="1">
      <c r="A2" s="32"/>
      <c r="B2" s="32" t="str">
        <f>Cover!$B$2</f>
        <v>American Electric Power Company</v>
      </c>
      <c r="C2" s="32"/>
      <c r="D2" s="33"/>
      <c r="E2" s="34"/>
      <c r="F2" s="34"/>
      <c r="G2" s="34"/>
      <c r="H2" s="34"/>
      <c r="I2" s="34"/>
      <c r="J2" s="34"/>
      <c r="K2" s="34"/>
      <c r="L2" s="34"/>
      <c r="M2" s="34"/>
      <c r="N2" s="34"/>
      <c r="O2" s="34"/>
      <c r="P2" s="34"/>
      <c r="Q2" s="34"/>
      <c r="R2" s="34"/>
      <c r="S2" s="34"/>
      <c r="T2" s="34"/>
      <c r="U2" s="34"/>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c r="AW2" s="34"/>
      <c r="AX2" s="34"/>
      <c r="AY2" s="34"/>
      <c r="AZ2" s="34"/>
      <c r="BA2" s="34"/>
      <c r="BB2" s="34"/>
      <c r="BC2" s="34"/>
      <c r="BD2" s="34"/>
      <c r="BE2" s="34"/>
      <c r="BF2" s="34"/>
      <c r="BG2" s="34"/>
      <c r="BH2" s="34"/>
      <c r="BI2" s="34"/>
      <c r="BJ2" s="34"/>
      <c r="BK2" s="34"/>
      <c r="BL2" s="34"/>
      <c r="BM2" s="34"/>
      <c r="BN2" s="34"/>
      <c r="BO2" s="34"/>
      <c r="BP2" s="34"/>
      <c r="BQ2" s="34"/>
    </row>
    <row r="3" spans="1:70" ht="15" customHeight="1">
      <c r="A3" s="35"/>
      <c r="B3" s="36" t="s">
        <v>627</v>
      </c>
      <c r="C3" s="36"/>
      <c r="D3" s="3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c r="AW3" s="34"/>
      <c r="AX3" s="34"/>
      <c r="AY3" s="34"/>
      <c r="AZ3" s="34"/>
      <c r="BA3" s="34"/>
      <c r="BB3" s="34"/>
      <c r="BC3" s="34"/>
      <c r="BD3" s="34"/>
      <c r="BE3" s="34"/>
      <c r="BF3" s="34"/>
      <c r="BG3" s="34"/>
      <c r="BH3" s="34"/>
      <c r="BI3" s="34"/>
      <c r="BJ3" s="34"/>
      <c r="BK3" s="34"/>
      <c r="BL3" s="34"/>
      <c r="BM3" s="34"/>
      <c r="BN3" s="34"/>
      <c r="BO3" s="34"/>
      <c r="BP3" s="34"/>
      <c r="BQ3" s="34"/>
    </row>
    <row r="4" spans="1:70">
      <c r="A4" s="38"/>
      <c r="B4" s="39" t="s">
        <v>828</v>
      </c>
      <c r="C4" s="39"/>
      <c r="D4" s="38"/>
      <c r="E4" s="41"/>
      <c r="F4" s="41"/>
      <c r="G4" s="41"/>
      <c r="H4" s="41"/>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c r="BA4" s="41"/>
      <c r="BB4" s="41"/>
      <c r="BC4" s="41"/>
      <c r="BD4" s="41"/>
      <c r="BE4" s="41"/>
      <c r="BF4" s="41"/>
      <c r="BG4" s="41"/>
      <c r="BH4" s="41"/>
      <c r="BI4" s="41"/>
      <c r="BJ4" s="41"/>
      <c r="BK4" s="41"/>
      <c r="BL4" s="41"/>
      <c r="BM4" s="41"/>
      <c r="BN4" s="41"/>
      <c r="BO4" s="41"/>
      <c r="BP4" s="41"/>
      <c r="BQ4" s="41"/>
    </row>
    <row r="5" spans="1:70">
      <c r="B5" s="281" t="s">
        <v>859</v>
      </c>
      <c r="C5" s="281"/>
      <c r="D5" s="282"/>
      <c r="E5" s="131" t="s">
        <v>937</v>
      </c>
      <c r="F5" s="132" t="s">
        <v>938</v>
      </c>
      <c r="G5" s="132" t="s">
        <v>939</v>
      </c>
      <c r="H5" s="133" t="s">
        <v>940</v>
      </c>
      <c r="I5" s="283">
        <v>2009</v>
      </c>
      <c r="J5" s="131" t="s">
        <v>941</v>
      </c>
      <c r="K5" s="132" t="s">
        <v>942</v>
      </c>
      <c r="L5" s="132" t="s">
        <v>943</v>
      </c>
      <c r="M5" s="133" t="s">
        <v>944</v>
      </c>
      <c r="N5" s="283" t="s">
        <v>829</v>
      </c>
      <c r="O5" s="131" t="s">
        <v>945</v>
      </c>
      <c r="P5" s="132" t="s">
        <v>946</v>
      </c>
      <c r="Q5" s="132" t="s">
        <v>353</v>
      </c>
      <c r="R5" s="133" t="s">
        <v>76</v>
      </c>
      <c r="S5" s="283">
        <v>2011</v>
      </c>
      <c r="T5" s="131" t="s">
        <v>91</v>
      </c>
      <c r="U5" s="132" t="s">
        <v>92</v>
      </c>
      <c r="V5" s="132" t="s">
        <v>790</v>
      </c>
      <c r="W5" s="133" t="s">
        <v>644</v>
      </c>
      <c r="X5" s="284" t="s">
        <v>645</v>
      </c>
      <c r="Y5" s="131" t="s">
        <v>646</v>
      </c>
      <c r="Z5" s="132" t="s">
        <v>619</v>
      </c>
      <c r="AA5" s="132" t="s">
        <v>620</v>
      </c>
      <c r="AB5" s="133" t="s">
        <v>246</v>
      </c>
      <c r="AC5" s="284" t="s">
        <v>247</v>
      </c>
      <c r="AD5" s="131" t="s">
        <v>274</v>
      </c>
      <c r="AE5" s="132" t="s">
        <v>275</v>
      </c>
      <c r="AF5" s="132" t="s">
        <v>276</v>
      </c>
      <c r="AG5" s="133" t="s">
        <v>1060</v>
      </c>
      <c r="AH5" s="284" t="s">
        <v>1061</v>
      </c>
      <c r="AI5" s="131" t="s">
        <v>1062</v>
      </c>
      <c r="AJ5" s="132" t="s">
        <v>1063</v>
      </c>
      <c r="AK5" s="132" t="s">
        <v>1122</v>
      </c>
      <c r="AL5" s="133" t="s">
        <v>1123</v>
      </c>
      <c r="AM5" s="284" t="s">
        <v>1124</v>
      </c>
      <c r="AN5" s="131" t="s">
        <v>1131</v>
      </c>
      <c r="AO5" s="132" t="s">
        <v>1137</v>
      </c>
      <c r="AP5" s="132" t="s">
        <v>1274</v>
      </c>
      <c r="AQ5" s="133" t="s">
        <v>1291</v>
      </c>
      <c r="AR5" s="284" t="s">
        <v>1292</v>
      </c>
      <c r="AS5" s="131" t="s">
        <v>1320</v>
      </c>
      <c r="AT5" s="132" t="s">
        <v>1324</v>
      </c>
      <c r="AU5" s="132" t="s">
        <v>1330</v>
      </c>
      <c r="AV5" s="133" t="s">
        <v>1354</v>
      </c>
      <c r="AW5" s="284" t="s">
        <v>1353</v>
      </c>
      <c r="AX5" s="131" t="s">
        <v>69</v>
      </c>
      <c r="AY5" s="132" t="s">
        <v>70</v>
      </c>
      <c r="AZ5" s="132" t="s">
        <v>71</v>
      </c>
      <c r="BA5" s="133" t="s">
        <v>72</v>
      </c>
      <c r="BB5" s="284" t="s">
        <v>73</v>
      </c>
      <c r="BC5" s="126" t="s">
        <v>1067</v>
      </c>
      <c r="BD5" s="127" t="s">
        <v>1068</v>
      </c>
      <c r="BE5" s="127" t="s">
        <v>1069</v>
      </c>
      <c r="BF5" s="128" t="s">
        <v>1070</v>
      </c>
      <c r="BG5" s="130" t="s">
        <v>1065</v>
      </c>
      <c r="BH5" s="126" t="s">
        <v>1071</v>
      </c>
      <c r="BI5" s="127" t="s">
        <v>1072</v>
      </c>
      <c r="BJ5" s="127" t="s">
        <v>1073</v>
      </c>
      <c r="BK5" s="128" t="s">
        <v>1074</v>
      </c>
      <c r="BL5" s="130" t="s">
        <v>1066</v>
      </c>
      <c r="BM5" s="126" t="s">
        <v>1278</v>
      </c>
      <c r="BN5" s="127" t="s">
        <v>1279</v>
      </c>
      <c r="BO5" s="127" t="s">
        <v>1280</v>
      </c>
      <c r="BP5" s="128" t="s">
        <v>1281</v>
      </c>
      <c r="BQ5" s="130" t="s">
        <v>1282</v>
      </c>
    </row>
    <row r="6" spans="1:70">
      <c r="E6" s="578"/>
      <c r="F6" s="579"/>
      <c r="G6" s="579"/>
      <c r="H6" s="580"/>
      <c r="I6" s="561"/>
      <c r="J6" s="578"/>
      <c r="K6" s="579"/>
      <c r="L6" s="579"/>
      <c r="M6" s="580"/>
      <c r="N6" s="561"/>
      <c r="O6" s="578"/>
      <c r="P6" s="579"/>
      <c r="Q6" s="579"/>
      <c r="R6" s="580"/>
      <c r="S6" s="561"/>
      <c r="T6" s="578"/>
      <c r="U6" s="579"/>
      <c r="V6" s="579"/>
      <c r="W6" s="580"/>
      <c r="X6" s="561"/>
      <c r="Y6" s="578"/>
      <c r="Z6" s="579"/>
      <c r="AA6" s="579"/>
      <c r="AB6" s="580"/>
      <c r="AC6" s="561"/>
      <c r="AD6" s="578"/>
      <c r="AE6" s="579"/>
      <c r="AF6" s="579"/>
      <c r="AG6" s="580"/>
      <c r="AH6" s="561"/>
      <c r="AI6" s="578"/>
      <c r="AJ6" s="579"/>
      <c r="AK6" s="579"/>
      <c r="AL6" s="580"/>
      <c r="AM6" s="561"/>
      <c r="AN6" s="578"/>
      <c r="AO6" s="579"/>
      <c r="AP6" s="579"/>
      <c r="AQ6" s="580"/>
      <c r="AR6" s="561"/>
      <c r="AS6" s="578"/>
      <c r="AT6" s="579"/>
      <c r="AU6" s="579"/>
      <c r="AV6" s="580"/>
      <c r="AW6" s="561"/>
      <c r="AX6" s="578"/>
      <c r="AY6" s="579"/>
      <c r="AZ6" s="579"/>
      <c r="BA6" s="580"/>
      <c r="BB6" s="561"/>
      <c r="BC6" s="578"/>
      <c r="BD6" s="579"/>
      <c r="BE6" s="579"/>
      <c r="BF6" s="580"/>
      <c r="BG6" s="561"/>
      <c r="BH6" s="578"/>
      <c r="BI6" s="579"/>
      <c r="BJ6" s="579"/>
      <c r="BK6" s="580"/>
      <c r="BL6" s="561"/>
      <c r="BM6" s="578"/>
      <c r="BN6" s="579"/>
      <c r="BO6" s="579"/>
      <c r="BP6" s="580"/>
      <c r="BQ6" s="561"/>
      <c r="BR6" s="561"/>
    </row>
    <row r="7" spans="1:70">
      <c r="B7" s="46" t="s">
        <v>947</v>
      </c>
      <c r="C7" s="46"/>
      <c r="D7" s="47"/>
      <c r="E7" s="578"/>
      <c r="F7" s="579"/>
      <c r="G7" s="579"/>
      <c r="H7" s="580"/>
      <c r="I7" s="561"/>
      <c r="J7" s="578"/>
      <c r="K7" s="579"/>
      <c r="L7" s="579"/>
      <c r="M7" s="580"/>
      <c r="N7" s="561"/>
      <c r="O7" s="578"/>
      <c r="P7" s="579"/>
      <c r="Q7" s="579"/>
      <c r="R7" s="580"/>
      <c r="S7" s="561"/>
      <c r="T7" s="578"/>
      <c r="U7" s="579"/>
      <c r="V7" s="579"/>
      <c r="W7" s="580"/>
      <c r="X7" s="561"/>
      <c r="Y7" s="578"/>
      <c r="Z7" s="579"/>
      <c r="AA7" s="579"/>
      <c r="AB7" s="580"/>
      <c r="AC7" s="561"/>
      <c r="AD7" s="578"/>
      <c r="AE7" s="579"/>
      <c r="AF7" s="579"/>
      <c r="AG7" s="580"/>
      <c r="AH7" s="561"/>
      <c r="AI7" s="578"/>
      <c r="AJ7" s="579"/>
      <c r="AK7" s="579"/>
      <c r="AL7" s="580"/>
      <c r="AM7" s="561"/>
      <c r="AN7" s="578"/>
      <c r="AO7" s="579"/>
      <c r="AP7" s="579"/>
      <c r="AQ7" s="580"/>
      <c r="AR7" s="561"/>
      <c r="AS7" s="578"/>
      <c r="AT7" s="579"/>
      <c r="AU7" s="579"/>
      <c r="AV7" s="580"/>
      <c r="AW7" s="561"/>
      <c r="AX7" s="578"/>
      <c r="AY7" s="579"/>
      <c r="AZ7" s="579"/>
      <c r="BA7" s="580"/>
      <c r="BB7" s="561"/>
      <c r="BC7" s="578"/>
      <c r="BD7" s="579"/>
      <c r="BE7" s="579"/>
      <c r="BF7" s="580"/>
      <c r="BG7" s="561"/>
      <c r="BH7" s="578"/>
      <c r="BI7" s="579"/>
      <c r="BJ7" s="579"/>
      <c r="BK7" s="580"/>
      <c r="BL7" s="561"/>
      <c r="BM7" s="578"/>
      <c r="BN7" s="579"/>
      <c r="BO7" s="579"/>
      <c r="BP7" s="580"/>
      <c r="BQ7" s="561"/>
      <c r="BR7" s="561"/>
    </row>
    <row r="8" spans="1:70" s="50" customFormat="1">
      <c r="C8" s="50" t="s">
        <v>948</v>
      </c>
      <c r="E8" s="161"/>
      <c r="F8" s="162"/>
      <c r="G8" s="162"/>
      <c r="H8" s="144"/>
      <c r="I8" s="546"/>
      <c r="J8" s="161"/>
      <c r="K8" s="162"/>
      <c r="L8" s="162"/>
      <c r="M8" s="144"/>
      <c r="N8" s="546"/>
      <c r="O8" s="161"/>
      <c r="P8" s="162"/>
      <c r="Q8" s="162"/>
      <c r="R8" s="144"/>
      <c r="S8" s="546"/>
      <c r="T8" s="161"/>
      <c r="U8" s="162"/>
      <c r="V8" s="162"/>
      <c r="W8" s="144"/>
      <c r="X8" s="544">
        <v>24</v>
      </c>
      <c r="Y8" s="142">
        <v>8</v>
      </c>
      <c r="Z8" s="159">
        <v>19</v>
      </c>
      <c r="AA8" s="159">
        <v>26</v>
      </c>
      <c r="AB8" s="1205">
        <f>AC8-Z8-AA8-Y8</f>
        <v>25</v>
      </c>
      <c r="AC8" s="544">
        <v>78</v>
      </c>
      <c r="AD8" s="142">
        <v>28</v>
      </c>
      <c r="AE8" s="159">
        <v>57</v>
      </c>
      <c r="AF8" s="159">
        <v>55</v>
      </c>
      <c r="AG8" s="1205">
        <f>AH8-AE8-AF8-AD8</f>
        <v>52</v>
      </c>
      <c r="AH8" s="544">
        <v>192</v>
      </c>
      <c r="AI8" s="142">
        <v>58</v>
      </c>
      <c r="AJ8" s="159">
        <v>99</v>
      </c>
      <c r="AK8" s="159">
        <v>88</v>
      </c>
      <c r="AL8" s="1205">
        <f>AM8-AJ8-AK8-AI8</f>
        <v>84.199999999999989</v>
      </c>
      <c r="AM8" s="544">
        <v>329.2</v>
      </c>
      <c r="AN8" s="142">
        <v>88.6</v>
      </c>
      <c r="AO8" s="159">
        <v>161.69999999999999</v>
      </c>
      <c r="AP8" s="159">
        <v>132.4</v>
      </c>
      <c r="AQ8" s="1205">
        <f>AR8-AO8-AP8-AN8</f>
        <v>130.09999999999997</v>
      </c>
      <c r="AR8" s="544">
        <v>512.79999999999995</v>
      </c>
      <c r="AS8" s="142">
        <v>156.1</v>
      </c>
      <c r="AT8" s="159">
        <v>247.3</v>
      </c>
      <c r="AU8" s="159">
        <v>178.5</v>
      </c>
      <c r="AV8" s="1205">
        <f>AW8-AT8-AU8-AS8</f>
        <v>184.8000000000001</v>
      </c>
      <c r="AW8" s="544">
        <v>766.7</v>
      </c>
      <c r="AX8" s="161">
        <f t="shared" ref="AX8:BL8" si="0">+AX15+AX17</f>
        <v>161.90985997493686</v>
      </c>
      <c r="AY8" s="162">
        <f t="shared" si="0"/>
        <v>246.33119202047598</v>
      </c>
      <c r="AZ8" s="162">
        <f t="shared" si="0"/>
        <v>187.17826797824301</v>
      </c>
      <c r="BA8" s="144">
        <f t="shared" si="0"/>
        <v>186.26942170435464</v>
      </c>
      <c r="BB8" s="546">
        <f t="shared" si="0"/>
        <v>781.68874167801062</v>
      </c>
      <c r="BC8" s="161">
        <f t="shared" si="0"/>
        <v>185.67853574618306</v>
      </c>
      <c r="BD8" s="162">
        <f t="shared" si="0"/>
        <v>279.62740937452998</v>
      </c>
      <c r="BE8" s="162">
        <f t="shared" si="0"/>
        <v>211.64839951536709</v>
      </c>
      <c r="BF8" s="144">
        <f t="shared" si="0"/>
        <v>211.28275624015936</v>
      </c>
      <c r="BG8" s="546">
        <f t="shared" si="0"/>
        <v>888.23710087623942</v>
      </c>
      <c r="BH8" s="161">
        <f t="shared" si="0"/>
        <v>211.840960416889</v>
      </c>
      <c r="BI8" s="162">
        <f t="shared" si="0"/>
        <v>319.50814873141564</v>
      </c>
      <c r="BJ8" s="162">
        <f t="shared" si="0"/>
        <v>237.29199696380297</v>
      </c>
      <c r="BK8" s="144">
        <f t="shared" si="0"/>
        <v>236.97379038951556</v>
      </c>
      <c r="BL8" s="546">
        <f t="shared" si="0"/>
        <v>1005.6148965016233</v>
      </c>
      <c r="BM8" s="161">
        <f>+BM15+BM17</f>
        <v>231.6916770957782</v>
      </c>
      <c r="BN8" s="162">
        <f>+BN15+BN17</f>
        <v>348.06690701340574</v>
      </c>
      <c r="BO8" s="162">
        <f>+BO15+BO17</f>
        <v>258.61899012730362</v>
      </c>
      <c r="BP8" s="144">
        <f>+BP15+BP17</f>
        <v>259.20457091650326</v>
      </c>
      <c r="BQ8" s="546">
        <f>+BQ15+BQ17</f>
        <v>1097.582145152991</v>
      </c>
      <c r="BR8" s="546"/>
    </row>
    <row r="9" spans="1:70">
      <c r="A9" s="50"/>
      <c r="B9" s="50"/>
      <c r="C9" s="50" t="s">
        <v>352</v>
      </c>
      <c r="D9" s="50"/>
      <c r="E9" s="161"/>
      <c r="F9" s="162"/>
      <c r="G9" s="162"/>
      <c r="H9" s="144"/>
      <c r="I9" s="546"/>
      <c r="J9" s="161"/>
      <c r="K9" s="162"/>
      <c r="L9" s="162"/>
      <c r="M9" s="144"/>
      <c r="N9" s="546"/>
      <c r="O9" s="161"/>
      <c r="P9" s="162"/>
      <c r="Q9" s="162"/>
      <c r="R9" s="144"/>
      <c r="S9" s="546"/>
      <c r="T9" s="161"/>
      <c r="U9" s="162"/>
      <c r="V9" s="172"/>
      <c r="W9" s="144"/>
      <c r="X9" s="544">
        <v>0</v>
      </c>
      <c r="Y9" s="1236">
        <f>AC9/4</f>
        <v>0</v>
      </c>
      <c r="Z9" s="1237">
        <f>AC9/4</f>
        <v>0</v>
      </c>
      <c r="AA9" s="1237">
        <f>AC9/4</f>
        <v>0</v>
      </c>
      <c r="AB9" s="1221">
        <f>AC9/4</f>
        <v>0</v>
      </c>
      <c r="AC9" s="544">
        <v>0</v>
      </c>
      <c r="AD9" s="1236">
        <f>AH9/4</f>
        <v>0</v>
      </c>
      <c r="AE9" s="1237">
        <f>AH9/4</f>
        <v>0</v>
      </c>
      <c r="AF9" s="1237">
        <f>AH9/4</f>
        <v>0</v>
      </c>
      <c r="AG9" s="1221">
        <f>AH9/4</f>
        <v>0</v>
      </c>
      <c r="AH9" s="544">
        <v>0</v>
      </c>
      <c r="AI9" s="1202">
        <f>AM9/4</f>
        <v>0</v>
      </c>
      <c r="AJ9" s="1203">
        <f>(AM9-AI9)/3</f>
        <v>0</v>
      </c>
      <c r="AK9" s="1203">
        <f>(AM9-SUM(AI9:AJ9))/2</f>
        <v>0</v>
      </c>
      <c r="AL9" s="1221">
        <f>(AM9-SUM(AI9:AK9))/1</f>
        <v>0</v>
      </c>
      <c r="AM9" s="544">
        <v>0</v>
      </c>
      <c r="AN9" s="1202">
        <f>AR9/4</f>
        <v>0</v>
      </c>
      <c r="AO9" s="1203">
        <f>+AR9/4</f>
        <v>0</v>
      </c>
      <c r="AP9" s="1203">
        <f>(AR9-SUM(AN9:AO9))/2</f>
        <v>0</v>
      </c>
      <c r="AQ9" s="1221">
        <f>(AR9-SUM(AN9:AP9))/1</f>
        <v>0</v>
      </c>
      <c r="AR9" s="544">
        <v>0</v>
      </c>
      <c r="AS9" s="142">
        <v>0</v>
      </c>
      <c r="AT9" s="159">
        <v>0</v>
      </c>
      <c r="AU9" s="159">
        <v>0</v>
      </c>
      <c r="AV9" s="1221">
        <f>(AW9-SUM(AS9:AU9))/1</f>
        <v>0</v>
      </c>
      <c r="AW9" s="544">
        <v>0</v>
      </c>
      <c r="AX9" s="171">
        <v>0</v>
      </c>
      <c r="AY9" s="172">
        <v>0</v>
      </c>
      <c r="AZ9" s="172">
        <v>0</v>
      </c>
      <c r="BA9" s="173">
        <v>0</v>
      </c>
      <c r="BB9" s="577">
        <v>0</v>
      </c>
      <c r="BC9" s="171">
        <v>0</v>
      </c>
      <c r="BD9" s="172">
        <v>0</v>
      </c>
      <c r="BE9" s="172">
        <v>0</v>
      </c>
      <c r="BF9" s="173">
        <v>0</v>
      </c>
      <c r="BG9" s="577">
        <v>0</v>
      </c>
      <c r="BH9" s="171">
        <v>0</v>
      </c>
      <c r="BI9" s="172">
        <v>0</v>
      </c>
      <c r="BJ9" s="172">
        <v>0</v>
      </c>
      <c r="BK9" s="173">
        <v>0</v>
      </c>
      <c r="BL9" s="577">
        <v>0</v>
      </c>
      <c r="BM9" s="171">
        <v>0</v>
      </c>
      <c r="BN9" s="172">
        <v>0</v>
      </c>
      <c r="BO9" s="172">
        <v>0</v>
      </c>
      <c r="BP9" s="173">
        <v>0</v>
      </c>
      <c r="BQ9" s="577">
        <v>0</v>
      </c>
      <c r="BR9" s="577"/>
    </row>
    <row r="10" spans="1:70">
      <c r="A10" s="56"/>
      <c r="B10" s="56"/>
      <c r="C10" s="56" t="s">
        <v>950</v>
      </c>
      <c r="D10" s="56"/>
      <c r="E10" s="149"/>
      <c r="F10" s="156"/>
      <c r="G10" s="156"/>
      <c r="H10" s="151"/>
      <c r="I10" s="112"/>
      <c r="J10" s="149"/>
      <c r="K10" s="150"/>
      <c r="L10" s="150"/>
      <c r="M10" s="151"/>
      <c r="N10" s="112"/>
      <c r="O10" s="149"/>
      <c r="P10" s="150"/>
      <c r="Q10" s="150"/>
      <c r="R10" s="151"/>
      <c r="S10" s="112"/>
      <c r="T10" s="149"/>
      <c r="U10" s="150"/>
      <c r="V10" s="150"/>
      <c r="W10" s="151"/>
      <c r="X10" s="112">
        <f t="shared" ref="X10:AF10" si="1">+X8-X9</f>
        <v>24</v>
      </c>
      <c r="Y10" s="149">
        <f t="shared" si="1"/>
        <v>8</v>
      </c>
      <c r="Z10" s="150">
        <f t="shared" si="1"/>
        <v>19</v>
      </c>
      <c r="AA10" s="150">
        <f t="shared" si="1"/>
        <v>26</v>
      </c>
      <c r="AB10" s="151">
        <f t="shared" si="1"/>
        <v>25</v>
      </c>
      <c r="AC10" s="112">
        <f t="shared" si="1"/>
        <v>78</v>
      </c>
      <c r="AD10" s="149">
        <f t="shared" si="1"/>
        <v>28</v>
      </c>
      <c r="AE10" s="150">
        <f t="shared" si="1"/>
        <v>57</v>
      </c>
      <c r="AF10" s="150">
        <f t="shared" si="1"/>
        <v>55</v>
      </c>
      <c r="AG10" s="151">
        <f t="shared" ref="AG10:AM10" si="2">+AG8-AG9</f>
        <v>52</v>
      </c>
      <c r="AH10" s="112">
        <f t="shared" si="2"/>
        <v>192</v>
      </c>
      <c r="AI10" s="149">
        <f t="shared" si="2"/>
        <v>58</v>
      </c>
      <c r="AJ10" s="150">
        <f t="shared" si="2"/>
        <v>99</v>
      </c>
      <c r="AK10" s="150">
        <f t="shared" si="2"/>
        <v>88</v>
      </c>
      <c r="AL10" s="151">
        <f t="shared" si="2"/>
        <v>84.199999999999989</v>
      </c>
      <c r="AM10" s="112">
        <f t="shared" si="2"/>
        <v>329.2</v>
      </c>
      <c r="AN10" s="149">
        <f t="shared" ref="AN10:AU10" si="3">+AN8-AN9</f>
        <v>88.6</v>
      </c>
      <c r="AO10" s="150">
        <f t="shared" si="3"/>
        <v>161.69999999999999</v>
      </c>
      <c r="AP10" s="150">
        <f t="shared" si="3"/>
        <v>132.4</v>
      </c>
      <c r="AQ10" s="151">
        <f t="shared" si="3"/>
        <v>130.09999999999997</v>
      </c>
      <c r="AR10" s="112">
        <f t="shared" si="3"/>
        <v>512.79999999999995</v>
      </c>
      <c r="AS10" s="149">
        <f>+AS8-AS9</f>
        <v>156.1</v>
      </c>
      <c r="AT10" s="150">
        <f t="shared" si="3"/>
        <v>247.3</v>
      </c>
      <c r="AU10" s="150">
        <f t="shared" si="3"/>
        <v>178.5</v>
      </c>
      <c r="AV10" s="151">
        <f t="shared" ref="AV10:AW10" si="4">+AV8-AV9</f>
        <v>184.8000000000001</v>
      </c>
      <c r="AW10" s="112">
        <f t="shared" si="4"/>
        <v>766.7</v>
      </c>
      <c r="AX10" s="149">
        <f t="shared" ref="AX10:BL10" si="5">+AX8-AX9</f>
        <v>161.90985997493686</v>
      </c>
      <c r="AY10" s="150">
        <f t="shared" si="5"/>
        <v>246.33119202047598</v>
      </c>
      <c r="AZ10" s="150">
        <f t="shared" si="5"/>
        <v>187.17826797824301</v>
      </c>
      <c r="BA10" s="151">
        <f t="shared" si="5"/>
        <v>186.26942170435464</v>
      </c>
      <c r="BB10" s="112">
        <f t="shared" si="5"/>
        <v>781.68874167801062</v>
      </c>
      <c r="BC10" s="149">
        <f t="shared" si="5"/>
        <v>185.67853574618306</v>
      </c>
      <c r="BD10" s="150">
        <f t="shared" si="5"/>
        <v>279.62740937452998</v>
      </c>
      <c r="BE10" s="150">
        <f t="shared" si="5"/>
        <v>211.64839951536709</v>
      </c>
      <c r="BF10" s="151">
        <f t="shared" si="5"/>
        <v>211.28275624015936</v>
      </c>
      <c r="BG10" s="112">
        <f t="shared" si="5"/>
        <v>888.23710087623942</v>
      </c>
      <c r="BH10" s="149">
        <f t="shared" si="5"/>
        <v>211.840960416889</v>
      </c>
      <c r="BI10" s="150">
        <f t="shared" si="5"/>
        <v>319.50814873141564</v>
      </c>
      <c r="BJ10" s="150">
        <f t="shared" si="5"/>
        <v>237.29199696380297</v>
      </c>
      <c r="BK10" s="151">
        <f t="shared" si="5"/>
        <v>236.97379038951556</v>
      </c>
      <c r="BL10" s="112">
        <f t="shared" si="5"/>
        <v>1005.6148965016233</v>
      </c>
      <c r="BM10" s="149">
        <f>+BM8-BM9</f>
        <v>231.6916770957782</v>
      </c>
      <c r="BN10" s="150">
        <f>+BN8-BN9</f>
        <v>348.06690701340574</v>
      </c>
      <c r="BO10" s="150">
        <f>+BO8-BO9</f>
        <v>258.61899012730362</v>
      </c>
      <c r="BP10" s="151">
        <f>+BP8-BP9</f>
        <v>259.20457091650326</v>
      </c>
      <c r="BQ10" s="112">
        <f>+BQ8-BQ9</f>
        <v>1097.582145152991</v>
      </c>
      <c r="BR10" s="112"/>
    </row>
    <row r="11" spans="1:70">
      <c r="E11" s="161"/>
      <c r="F11" s="162"/>
      <c r="G11" s="162"/>
      <c r="H11" s="144"/>
      <c r="I11" s="109"/>
      <c r="J11" s="161"/>
      <c r="K11" s="162"/>
      <c r="L11" s="162"/>
      <c r="M11" s="144"/>
      <c r="N11" s="109"/>
      <c r="O11" s="161"/>
      <c r="P11" s="162"/>
      <c r="Q11" s="162"/>
      <c r="R11" s="144"/>
      <c r="S11" s="109"/>
      <c r="T11" s="161"/>
      <c r="U11" s="162"/>
      <c r="V11" s="579"/>
      <c r="W11" s="144"/>
      <c r="X11" s="498"/>
      <c r="Y11" s="1236"/>
      <c r="Z11" s="1237"/>
      <c r="AA11" s="1237"/>
      <c r="AB11" s="1221"/>
      <c r="AC11" s="498"/>
      <c r="AD11" s="1236"/>
      <c r="AE11" s="1237"/>
      <c r="AF11" s="1237"/>
      <c r="AG11" s="1221"/>
      <c r="AH11" s="498"/>
      <c r="AI11" s="1236"/>
      <c r="AJ11" s="1237"/>
      <c r="AK11" s="1237"/>
      <c r="AL11" s="1221"/>
      <c r="AM11" s="498"/>
      <c r="AN11" s="1236"/>
      <c r="AO11" s="1237"/>
      <c r="AP11" s="1237"/>
      <c r="AQ11" s="1221"/>
      <c r="AR11" s="498"/>
      <c r="AS11" s="578"/>
      <c r="AT11" s="1237"/>
      <c r="AU11" s="1237"/>
      <c r="AV11" s="1221"/>
      <c r="AW11" s="498"/>
      <c r="AX11" s="578"/>
      <c r="AY11" s="579"/>
      <c r="AZ11" s="579"/>
      <c r="BA11" s="580"/>
      <c r="BB11" s="561"/>
      <c r="BC11" s="578"/>
      <c r="BD11" s="579"/>
      <c r="BE11" s="579"/>
      <c r="BF11" s="580"/>
      <c r="BG11" s="561"/>
      <c r="BH11" s="578"/>
      <c r="BI11" s="579"/>
      <c r="BJ11" s="579"/>
      <c r="BK11" s="580"/>
      <c r="BL11" s="561"/>
      <c r="BM11" s="578"/>
      <c r="BN11" s="579"/>
      <c r="BO11" s="579"/>
      <c r="BP11" s="580"/>
      <c r="BQ11" s="561"/>
      <c r="BR11" s="561"/>
    </row>
    <row r="12" spans="1:70">
      <c r="C12" s="553" t="s">
        <v>1010</v>
      </c>
      <c r="D12" s="568"/>
      <c r="E12" s="161"/>
      <c r="F12" s="162"/>
      <c r="G12" s="162"/>
      <c r="H12" s="144"/>
      <c r="I12" s="546"/>
      <c r="J12" s="161"/>
      <c r="K12" s="162"/>
      <c r="L12" s="162"/>
      <c r="M12" s="144"/>
      <c r="N12" s="546"/>
      <c r="O12" s="161"/>
      <c r="P12" s="162"/>
      <c r="Q12" s="162"/>
      <c r="R12" s="144"/>
      <c r="S12" s="546"/>
      <c r="T12" s="161"/>
      <c r="U12" s="162"/>
      <c r="V12" s="172"/>
      <c r="W12" s="144"/>
      <c r="X12" s="544">
        <v>0</v>
      </c>
      <c r="Y12" s="1236">
        <f>AC12/4</f>
        <v>0</v>
      </c>
      <c r="Z12" s="1237">
        <f>AC12/4</f>
        <v>0</v>
      </c>
      <c r="AA12" s="1237">
        <f>AC12/4</f>
        <v>0</v>
      </c>
      <c r="AB12" s="1221">
        <f>AC12/4</f>
        <v>0</v>
      </c>
      <c r="AC12" s="544">
        <v>0</v>
      </c>
      <c r="AD12" s="1236">
        <f>AH12/4</f>
        <v>0</v>
      </c>
      <c r="AE12" s="1237">
        <f>AH12/4</f>
        <v>0</v>
      </c>
      <c r="AF12" s="1237">
        <f>AH12/4</f>
        <v>0</v>
      </c>
      <c r="AG12" s="1221">
        <f>AH12/4</f>
        <v>0</v>
      </c>
      <c r="AH12" s="544">
        <v>0</v>
      </c>
      <c r="AI12" s="1202">
        <f>AM12/4</f>
        <v>9.5500000000000007</v>
      </c>
      <c r="AJ12" s="1203">
        <f>(AM12-AI12)/3</f>
        <v>9.5500000000000007</v>
      </c>
      <c r="AK12" s="1203">
        <f>(AM12-SUM(AI12:AJ12))/2</f>
        <v>9.5500000000000007</v>
      </c>
      <c r="AL12" s="1221">
        <f>(AM12-SUM(AI12:AK12))/1</f>
        <v>9.5500000000000007</v>
      </c>
      <c r="AM12" s="544">
        <v>38.200000000000003</v>
      </c>
      <c r="AN12" s="142">
        <v>11.7</v>
      </c>
      <c r="AO12" s="159">
        <v>8.8000000000000007</v>
      </c>
      <c r="AP12" s="159">
        <v>12.2</v>
      </c>
      <c r="AQ12" s="1205">
        <f>AR12-AO12-AP12-AN12</f>
        <v>22.599999999999998</v>
      </c>
      <c r="AR12" s="544">
        <v>55.3</v>
      </c>
      <c r="AS12" s="142">
        <v>14</v>
      </c>
      <c r="AT12" s="159">
        <v>17.399999999999999</v>
      </c>
      <c r="AU12" s="159">
        <v>23.1</v>
      </c>
      <c r="AV12" s="1205">
        <f>AW12-AT12-AU12-AS12</f>
        <v>19.900000000000006</v>
      </c>
      <c r="AW12" s="544">
        <v>74.400000000000006</v>
      </c>
      <c r="AX12" s="171">
        <f>AS12</f>
        <v>14</v>
      </c>
      <c r="AY12" s="172">
        <f>AT12</f>
        <v>17.399999999999999</v>
      </c>
      <c r="AZ12" s="172">
        <f>AU12</f>
        <v>23.1</v>
      </c>
      <c r="BA12" s="173">
        <f>AV12</f>
        <v>19.900000000000006</v>
      </c>
      <c r="BB12" s="577">
        <f>SUM(AX12:BA12)</f>
        <v>74.400000000000006</v>
      </c>
      <c r="BC12" s="171">
        <f>AX12</f>
        <v>14</v>
      </c>
      <c r="BD12" s="172">
        <f>AY12</f>
        <v>17.399999999999999</v>
      </c>
      <c r="BE12" s="172">
        <f>AZ12</f>
        <v>23.1</v>
      </c>
      <c r="BF12" s="173">
        <f>BA12</f>
        <v>19.900000000000006</v>
      </c>
      <c r="BG12" s="577">
        <f>SUM(BC12:BF12)</f>
        <v>74.400000000000006</v>
      </c>
      <c r="BH12" s="171">
        <f>BC12</f>
        <v>14</v>
      </c>
      <c r="BI12" s="172">
        <f>BD12</f>
        <v>17.399999999999999</v>
      </c>
      <c r="BJ12" s="172">
        <f>BE12</f>
        <v>23.1</v>
      </c>
      <c r="BK12" s="173">
        <f>BF12</f>
        <v>19.900000000000006</v>
      </c>
      <c r="BL12" s="577">
        <f>SUM(BH12:BK12)</f>
        <v>74.400000000000006</v>
      </c>
      <c r="BM12" s="171">
        <f>BH12</f>
        <v>14</v>
      </c>
      <c r="BN12" s="172">
        <f>BI12</f>
        <v>17.399999999999999</v>
      </c>
      <c r="BO12" s="172">
        <f>BJ12</f>
        <v>23.1</v>
      </c>
      <c r="BP12" s="173">
        <f>BK12</f>
        <v>19.900000000000006</v>
      </c>
      <c r="BQ12" s="577">
        <f>SUM(BM12:BP12)</f>
        <v>74.400000000000006</v>
      </c>
      <c r="BR12" s="577"/>
    </row>
    <row r="13" spans="1:70">
      <c r="C13" s="50" t="s">
        <v>1016</v>
      </c>
      <c r="D13" s="568"/>
      <c r="E13" s="161"/>
      <c r="F13" s="162"/>
      <c r="G13" s="162"/>
      <c r="H13" s="144"/>
      <c r="I13" s="546"/>
      <c r="J13" s="161"/>
      <c r="K13" s="162"/>
      <c r="L13" s="162"/>
      <c r="M13" s="144"/>
      <c r="N13" s="546"/>
      <c r="O13" s="161"/>
      <c r="P13" s="162"/>
      <c r="Q13" s="162"/>
      <c r="R13" s="144"/>
      <c r="S13" s="546"/>
      <c r="T13" s="161"/>
      <c r="U13" s="162"/>
      <c r="V13" s="162"/>
      <c r="W13" s="144"/>
      <c r="X13" s="544">
        <v>3</v>
      </c>
      <c r="Y13" s="1236">
        <f>AC13/4</f>
        <v>2.5</v>
      </c>
      <c r="Z13" s="1237">
        <f>AC13/4</f>
        <v>2.5</v>
      </c>
      <c r="AA13" s="1237">
        <f>AC13/4</f>
        <v>2.5</v>
      </c>
      <c r="AB13" s="1221">
        <f>AC13/4</f>
        <v>2.5</v>
      </c>
      <c r="AC13" s="544">
        <v>10</v>
      </c>
      <c r="AD13" s="1236">
        <f>AH13/4</f>
        <v>6</v>
      </c>
      <c r="AE13" s="1237">
        <f>AH13/4</f>
        <v>6</v>
      </c>
      <c r="AF13" s="1237">
        <f>AH13/4</f>
        <v>6</v>
      </c>
      <c r="AG13" s="1221">
        <f>AH13/4</f>
        <v>6</v>
      </c>
      <c r="AH13" s="544">
        <v>24</v>
      </c>
      <c r="AI13" s="1202">
        <f>AM13/4</f>
        <v>10.75</v>
      </c>
      <c r="AJ13" s="1203">
        <f>(AM13-AI13)/3</f>
        <v>10.75</v>
      </c>
      <c r="AK13" s="1203">
        <f>(AM13-SUM(AI13:AJ13))/2</f>
        <v>10.75</v>
      </c>
      <c r="AL13" s="1221">
        <f>(AM13-SUM(AI13:AK13))/1</f>
        <v>10.75</v>
      </c>
      <c r="AM13" s="544">
        <v>43</v>
      </c>
      <c r="AN13" s="142">
        <v>15.5</v>
      </c>
      <c r="AO13" s="159">
        <v>15.8</v>
      </c>
      <c r="AP13" s="159">
        <v>17.100000000000001</v>
      </c>
      <c r="AQ13" s="1205">
        <f>AR13-AO13-AP13-AN13</f>
        <v>18.699999999999996</v>
      </c>
      <c r="AR13" s="544">
        <v>67.099999999999994</v>
      </c>
      <c r="AS13" s="142">
        <v>24.6</v>
      </c>
      <c r="AT13" s="159">
        <v>24</v>
      </c>
      <c r="AU13" s="159">
        <v>26.1</v>
      </c>
      <c r="AV13" s="1205">
        <f>AW13-AT13-AU13-AS13</f>
        <v>27.5</v>
      </c>
      <c r="AW13" s="544">
        <v>102.2</v>
      </c>
      <c r="AX13" s="161">
        <f t="shared" ref="AX13:BL13" si="6">+AX59</f>
        <v>26.910112936344973</v>
      </c>
      <c r="AY13" s="162">
        <f t="shared" si="6"/>
        <v>28.270225872689942</v>
      </c>
      <c r="AZ13" s="162">
        <f t="shared" si="6"/>
        <v>29.630338809034914</v>
      </c>
      <c r="BA13" s="144">
        <f t="shared" si="6"/>
        <v>30.990451745379882</v>
      </c>
      <c r="BB13" s="546">
        <f t="shared" si="6"/>
        <v>115.80112936344972</v>
      </c>
      <c r="BC13" s="161">
        <f t="shared" si="6"/>
        <v>32.377515400410687</v>
      </c>
      <c r="BD13" s="162">
        <f t="shared" si="6"/>
        <v>33.764579055441487</v>
      </c>
      <c r="BE13" s="162">
        <f t="shared" si="6"/>
        <v>35.151642710472288</v>
      </c>
      <c r="BF13" s="144">
        <f t="shared" si="6"/>
        <v>36.538706365503089</v>
      </c>
      <c r="BG13" s="546">
        <f t="shared" si="6"/>
        <v>137.83244353182755</v>
      </c>
      <c r="BH13" s="161">
        <f t="shared" si="6"/>
        <v>37.707469199178654</v>
      </c>
      <c r="BI13" s="162">
        <f t="shared" si="6"/>
        <v>38.876232032854219</v>
      </c>
      <c r="BJ13" s="162">
        <f t="shared" si="6"/>
        <v>40.044994866529784</v>
      </c>
      <c r="BK13" s="144">
        <f t="shared" si="6"/>
        <v>41.213757700205342</v>
      </c>
      <c r="BL13" s="546">
        <f t="shared" si="6"/>
        <v>157.84245379876799</v>
      </c>
      <c r="BM13" s="161">
        <f>+BM59</f>
        <v>42.561293634496927</v>
      </c>
      <c r="BN13" s="162">
        <f>+BN59</f>
        <v>43.908829568788505</v>
      </c>
      <c r="BO13" s="162">
        <f>+BO59</f>
        <v>45.25636550308009</v>
      </c>
      <c r="BP13" s="144">
        <f>+BP59</f>
        <v>46.603901437371668</v>
      </c>
      <c r="BQ13" s="546">
        <f>+BQ59</f>
        <v>178.33039014373716</v>
      </c>
      <c r="BR13" s="546"/>
    </row>
    <row r="14" spans="1:70">
      <c r="C14" s="541" t="s">
        <v>1017</v>
      </c>
      <c r="D14" s="568"/>
      <c r="E14" s="161"/>
      <c r="F14" s="162"/>
      <c r="G14" s="162"/>
      <c r="H14" s="144"/>
      <c r="I14" s="546"/>
      <c r="J14" s="161"/>
      <c r="K14" s="162"/>
      <c r="L14" s="162"/>
      <c r="M14" s="144"/>
      <c r="N14" s="546"/>
      <c r="O14" s="161"/>
      <c r="P14" s="162"/>
      <c r="Q14" s="162"/>
      <c r="R14" s="144"/>
      <c r="S14" s="546"/>
      <c r="T14" s="161"/>
      <c r="U14" s="162"/>
      <c r="V14" s="172"/>
      <c r="W14" s="144"/>
      <c r="X14" s="1246">
        <v>0</v>
      </c>
      <c r="Y14" s="1236">
        <f>AC14/4</f>
        <v>0</v>
      </c>
      <c r="Z14" s="1237">
        <f>AC14/4</f>
        <v>0</v>
      </c>
      <c r="AA14" s="1237">
        <f>AC14/4</f>
        <v>0</v>
      </c>
      <c r="AB14" s="1221">
        <f>AC14/4</f>
        <v>0</v>
      </c>
      <c r="AC14" s="544">
        <v>0</v>
      </c>
      <c r="AD14" s="1236">
        <f>AH14/4</f>
        <v>0</v>
      </c>
      <c r="AE14" s="1237">
        <f>AH14/4</f>
        <v>0</v>
      </c>
      <c r="AF14" s="1237">
        <f>AH14/4</f>
        <v>0</v>
      </c>
      <c r="AG14" s="1221">
        <f>AH14/4</f>
        <v>0</v>
      </c>
      <c r="AH14" s="544">
        <v>0</v>
      </c>
      <c r="AI14" s="1202">
        <f>AM14/4</f>
        <v>16.5</v>
      </c>
      <c r="AJ14" s="1203">
        <f>(AM14-AI14)/3</f>
        <v>16.5</v>
      </c>
      <c r="AK14" s="1203">
        <f>(AM14-SUM(AI14:AJ14))/2</f>
        <v>16.5</v>
      </c>
      <c r="AL14" s="1221">
        <f>(AM14-SUM(AI14:AK14))/1</f>
        <v>16.5</v>
      </c>
      <c r="AM14" s="544">
        <v>66</v>
      </c>
      <c r="AN14" s="142">
        <v>21.2</v>
      </c>
      <c r="AO14" s="159">
        <v>21.8</v>
      </c>
      <c r="AP14" s="159">
        <v>22.7</v>
      </c>
      <c r="AQ14" s="1205">
        <f>AR14-AO14-AP14-AN14</f>
        <v>23.000000000000004</v>
      </c>
      <c r="AR14" s="544">
        <v>88.7</v>
      </c>
      <c r="AS14" s="142">
        <v>28</v>
      </c>
      <c r="AT14" s="159">
        <v>28.4</v>
      </c>
      <c r="AU14" s="159">
        <v>28.6</v>
      </c>
      <c r="AV14" s="1205">
        <f>AW14-AT14-AU14-AS14</f>
        <v>28.999999999999993</v>
      </c>
      <c r="AW14" s="544">
        <v>114</v>
      </c>
      <c r="AX14" s="171">
        <f>AS14</f>
        <v>28</v>
      </c>
      <c r="AY14" s="172">
        <f>AT14</f>
        <v>28.4</v>
      </c>
      <c r="AZ14" s="172">
        <f>AU14</f>
        <v>28.6</v>
      </c>
      <c r="BA14" s="173">
        <f>AV14</f>
        <v>28.999999999999993</v>
      </c>
      <c r="BB14" s="577">
        <f>SUM(AX14:BA14)</f>
        <v>114</v>
      </c>
      <c r="BC14" s="171">
        <f>AX14</f>
        <v>28</v>
      </c>
      <c r="BD14" s="172">
        <f>AY14</f>
        <v>28.4</v>
      </c>
      <c r="BE14" s="172">
        <f>AZ14</f>
        <v>28.6</v>
      </c>
      <c r="BF14" s="173">
        <f>BA14</f>
        <v>28.999999999999993</v>
      </c>
      <c r="BG14" s="577">
        <f>SUM(BC14:BF14)</f>
        <v>114</v>
      </c>
      <c r="BH14" s="171">
        <f>BC14</f>
        <v>28</v>
      </c>
      <c r="BI14" s="172">
        <f>BD14</f>
        <v>28.4</v>
      </c>
      <c r="BJ14" s="172">
        <f>BE14</f>
        <v>28.6</v>
      </c>
      <c r="BK14" s="173">
        <f>BF14</f>
        <v>28.999999999999993</v>
      </c>
      <c r="BL14" s="577">
        <f>SUM(BH14:BK14)</f>
        <v>114</v>
      </c>
      <c r="BM14" s="171">
        <f>BH14</f>
        <v>28</v>
      </c>
      <c r="BN14" s="172">
        <f>BI14</f>
        <v>28.4</v>
      </c>
      <c r="BO14" s="172">
        <f>BJ14</f>
        <v>28.6</v>
      </c>
      <c r="BP14" s="173">
        <f>BK14</f>
        <v>28.999999999999993</v>
      </c>
      <c r="BQ14" s="577">
        <f>SUM(BM14:BP14)</f>
        <v>114</v>
      </c>
      <c r="BR14" s="577"/>
    </row>
    <row r="15" spans="1:70">
      <c r="C15" s="545" t="s">
        <v>1018</v>
      </c>
      <c r="D15" s="568"/>
      <c r="E15" s="149"/>
      <c r="F15" s="156"/>
      <c r="G15" s="156"/>
      <c r="H15" s="151"/>
      <c r="I15" s="489"/>
      <c r="J15" s="149"/>
      <c r="K15" s="156"/>
      <c r="L15" s="156"/>
      <c r="M15" s="151"/>
      <c r="N15" s="489"/>
      <c r="O15" s="149"/>
      <c r="P15" s="156"/>
      <c r="Q15" s="150"/>
      <c r="R15" s="151"/>
      <c r="S15" s="489"/>
      <c r="T15" s="149"/>
      <c r="U15" s="156"/>
      <c r="V15" s="150"/>
      <c r="W15" s="151"/>
      <c r="X15" s="489">
        <f>SUM(X12:X14,X9)</f>
        <v>3</v>
      </c>
      <c r="Y15" s="149">
        <f t="shared" ref="Y15:AF15" si="7">SUM(Y12:Y14,Y9)</f>
        <v>2.5</v>
      </c>
      <c r="Z15" s="150">
        <f t="shared" si="7"/>
        <v>2.5</v>
      </c>
      <c r="AA15" s="150">
        <f t="shared" si="7"/>
        <v>2.5</v>
      </c>
      <c r="AB15" s="151">
        <f t="shared" si="7"/>
        <v>2.5</v>
      </c>
      <c r="AC15" s="112">
        <f t="shared" si="7"/>
        <v>10</v>
      </c>
      <c r="AD15" s="149">
        <f t="shared" si="7"/>
        <v>6</v>
      </c>
      <c r="AE15" s="150">
        <f t="shared" si="7"/>
        <v>6</v>
      </c>
      <c r="AF15" s="150">
        <f t="shared" si="7"/>
        <v>6</v>
      </c>
      <c r="AG15" s="151">
        <f t="shared" ref="AG15:AM15" si="8">SUM(AG12:AG14,AG9)</f>
        <v>6</v>
      </c>
      <c r="AH15" s="112">
        <f t="shared" si="8"/>
        <v>24</v>
      </c>
      <c r="AI15" s="149">
        <f t="shared" si="8"/>
        <v>36.799999999999997</v>
      </c>
      <c r="AJ15" s="150">
        <f t="shared" si="8"/>
        <v>36.799999999999997</v>
      </c>
      <c r="AK15" s="150">
        <f t="shared" si="8"/>
        <v>36.799999999999997</v>
      </c>
      <c r="AL15" s="151">
        <f t="shared" si="8"/>
        <v>36.799999999999997</v>
      </c>
      <c r="AM15" s="112">
        <f t="shared" si="8"/>
        <v>147.19999999999999</v>
      </c>
      <c r="AN15" s="149">
        <f t="shared" ref="AN15:AU15" si="9">SUM(AN12:AN14,AN9)</f>
        <v>48.4</v>
      </c>
      <c r="AO15" s="150">
        <f t="shared" si="9"/>
        <v>46.400000000000006</v>
      </c>
      <c r="AP15" s="150">
        <f t="shared" si="9"/>
        <v>52</v>
      </c>
      <c r="AQ15" s="151">
        <f t="shared" si="9"/>
        <v>64.3</v>
      </c>
      <c r="AR15" s="112">
        <f t="shared" si="9"/>
        <v>211.1</v>
      </c>
      <c r="AS15" s="149">
        <f t="shared" si="9"/>
        <v>66.599999999999994</v>
      </c>
      <c r="AT15" s="150">
        <f t="shared" si="9"/>
        <v>69.8</v>
      </c>
      <c r="AU15" s="150">
        <f t="shared" si="9"/>
        <v>77.800000000000011</v>
      </c>
      <c r="AV15" s="151">
        <f t="shared" ref="AV15:AW15" si="10">SUM(AV12:AV14,AV9)</f>
        <v>76.400000000000006</v>
      </c>
      <c r="AW15" s="112">
        <f t="shared" si="10"/>
        <v>290.60000000000002</v>
      </c>
      <c r="AX15" s="149">
        <f t="shared" ref="AX15:BL15" si="11">SUM(AX12:AX14,AX9)</f>
        <v>68.910112936344973</v>
      </c>
      <c r="AY15" s="150">
        <f t="shared" si="11"/>
        <v>74.070225872689946</v>
      </c>
      <c r="AZ15" s="150">
        <f t="shared" si="11"/>
        <v>81.330338809034913</v>
      </c>
      <c r="BA15" s="151">
        <f t="shared" si="11"/>
        <v>79.890451745379892</v>
      </c>
      <c r="BB15" s="112">
        <f t="shared" si="11"/>
        <v>304.2011293634497</v>
      </c>
      <c r="BC15" s="149">
        <f t="shared" si="11"/>
        <v>74.377515400410687</v>
      </c>
      <c r="BD15" s="150">
        <f t="shared" si="11"/>
        <v>79.564579055441484</v>
      </c>
      <c r="BE15" s="150">
        <f t="shared" si="11"/>
        <v>86.851642710472291</v>
      </c>
      <c r="BF15" s="151">
        <f t="shared" si="11"/>
        <v>85.438706365503094</v>
      </c>
      <c r="BG15" s="112">
        <f t="shared" si="11"/>
        <v>326.23244353182758</v>
      </c>
      <c r="BH15" s="149">
        <f t="shared" si="11"/>
        <v>79.707469199178661</v>
      </c>
      <c r="BI15" s="150">
        <f t="shared" si="11"/>
        <v>84.676232032854216</v>
      </c>
      <c r="BJ15" s="150">
        <f t="shared" si="11"/>
        <v>91.744994866529794</v>
      </c>
      <c r="BK15" s="151">
        <f t="shared" si="11"/>
        <v>90.11375770020534</v>
      </c>
      <c r="BL15" s="112">
        <f t="shared" si="11"/>
        <v>346.242453798768</v>
      </c>
      <c r="BM15" s="149">
        <f>SUM(BM12:BM14,BM9)</f>
        <v>84.561293634496934</v>
      </c>
      <c r="BN15" s="150">
        <f>SUM(BN12:BN14,BN9)</f>
        <v>89.708829568788502</v>
      </c>
      <c r="BO15" s="150">
        <f>SUM(BO12:BO14,BO9)</f>
        <v>96.956365503080093</v>
      </c>
      <c r="BP15" s="151">
        <f>SUM(BP12:BP14,BP9)</f>
        <v>95.503901437371667</v>
      </c>
      <c r="BQ15" s="112">
        <f>SUM(BQ12:BQ14,BQ9)</f>
        <v>366.73039014373717</v>
      </c>
      <c r="BR15" s="112"/>
    </row>
    <row r="16" spans="1:70">
      <c r="C16" s="75"/>
      <c r="E16" s="161"/>
      <c r="F16" s="162"/>
      <c r="G16" s="162"/>
      <c r="H16" s="144"/>
      <c r="I16" s="109"/>
      <c r="J16" s="161"/>
      <c r="K16" s="162"/>
      <c r="L16" s="162"/>
      <c r="M16" s="144"/>
      <c r="N16" s="109"/>
      <c r="O16" s="161"/>
      <c r="P16" s="160"/>
      <c r="Q16" s="160"/>
      <c r="R16" s="144"/>
      <c r="S16" s="109"/>
      <c r="T16" s="161"/>
      <c r="U16" s="160"/>
      <c r="V16" s="579"/>
      <c r="W16" s="144"/>
      <c r="X16" s="498"/>
      <c r="Y16" s="1236"/>
      <c r="Z16" s="1237"/>
      <c r="AA16" s="1237"/>
      <c r="AB16" s="1221"/>
      <c r="AC16" s="498"/>
      <c r="AD16" s="1236"/>
      <c r="AE16" s="1237"/>
      <c r="AF16" s="1237"/>
      <c r="AG16" s="1221"/>
      <c r="AH16" s="498"/>
      <c r="AI16" s="1236"/>
      <c r="AJ16" s="1237"/>
      <c r="AK16" s="1237"/>
      <c r="AL16" s="1221"/>
      <c r="AM16" s="498"/>
      <c r="AN16" s="1236"/>
      <c r="AO16" s="1237"/>
      <c r="AP16" s="1237"/>
      <c r="AQ16" s="1221"/>
      <c r="AR16" s="498"/>
      <c r="AS16" s="578"/>
      <c r="AT16" s="1237"/>
      <c r="AU16" s="1237"/>
      <c r="AV16" s="1221"/>
      <c r="AW16" s="498"/>
      <c r="AX16" s="578"/>
      <c r="AY16" s="579"/>
      <c r="AZ16" s="579"/>
      <c r="BA16" s="580"/>
      <c r="BB16" s="109"/>
      <c r="BC16" s="578"/>
      <c r="BD16" s="579"/>
      <c r="BE16" s="579"/>
      <c r="BF16" s="580"/>
      <c r="BG16" s="109"/>
      <c r="BH16" s="578"/>
      <c r="BI16" s="579"/>
      <c r="BJ16" s="579"/>
      <c r="BK16" s="580"/>
      <c r="BL16" s="109"/>
      <c r="BM16" s="578"/>
      <c r="BN16" s="579"/>
      <c r="BO16" s="579"/>
      <c r="BP16" s="580"/>
      <c r="BQ16" s="109"/>
      <c r="BR16" s="109"/>
    </row>
    <row r="17" spans="1:109">
      <c r="C17" s="56" t="s">
        <v>195</v>
      </c>
      <c r="E17" s="149"/>
      <c r="F17" s="156"/>
      <c r="G17" s="156"/>
      <c r="H17" s="151"/>
      <c r="I17" s="112"/>
      <c r="J17" s="149"/>
      <c r="K17" s="150"/>
      <c r="L17" s="150"/>
      <c r="M17" s="151"/>
      <c r="N17" s="112"/>
      <c r="O17" s="149"/>
      <c r="P17" s="150"/>
      <c r="Q17" s="150"/>
      <c r="R17" s="151"/>
      <c r="S17" s="112"/>
      <c r="T17" s="149"/>
      <c r="U17" s="150"/>
      <c r="V17" s="150"/>
      <c r="W17" s="151"/>
      <c r="X17" s="112">
        <f>X8-X15</f>
        <v>21</v>
      </c>
      <c r="Y17" s="149">
        <f t="shared" ref="Y17:AF17" si="12">Y8-Y15</f>
        <v>5.5</v>
      </c>
      <c r="Z17" s="150">
        <f t="shared" si="12"/>
        <v>16.5</v>
      </c>
      <c r="AA17" s="150">
        <f t="shared" si="12"/>
        <v>23.5</v>
      </c>
      <c r="AB17" s="151">
        <f t="shared" si="12"/>
        <v>22.5</v>
      </c>
      <c r="AC17" s="112">
        <f t="shared" si="12"/>
        <v>68</v>
      </c>
      <c r="AD17" s="149">
        <f t="shared" si="12"/>
        <v>22</v>
      </c>
      <c r="AE17" s="150">
        <f t="shared" si="12"/>
        <v>51</v>
      </c>
      <c r="AF17" s="150">
        <f t="shared" si="12"/>
        <v>49</v>
      </c>
      <c r="AG17" s="151">
        <f t="shared" ref="AG17:AM17" si="13">AG8-AG15</f>
        <v>46</v>
      </c>
      <c r="AH17" s="112">
        <f t="shared" si="13"/>
        <v>168</v>
      </c>
      <c r="AI17" s="149">
        <f t="shared" si="13"/>
        <v>21.200000000000003</v>
      </c>
      <c r="AJ17" s="150">
        <f t="shared" si="13"/>
        <v>62.2</v>
      </c>
      <c r="AK17" s="150">
        <f t="shared" si="13"/>
        <v>51.2</v>
      </c>
      <c r="AL17" s="151">
        <f t="shared" si="13"/>
        <v>47.399999999999991</v>
      </c>
      <c r="AM17" s="112">
        <f t="shared" si="13"/>
        <v>182</v>
      </c>
      <c r="AN17" s="149">
        <f t="shared" ref="AN17:AU17" si="14">AN8-AN15</f>
        <v>40.199999999999996</v>
      </c>
      <c r="AO17" s="150">
        <f t="shared" si="14"/>
        <v>115.29999999999998</v>
      </c>
      <c r="AP17" s="150">
        <f t="shared" si="14"/>
        <v>80.400000000000006</v>
      </c>
      <c r="AQ17" s="151">
        <f t="shared" si="14"/>
        <v>65.799999999999969</v>
      </c>
      <c r="AR17" s="112">
        <f t="shared" si="14"/>
        <v>301.69999999999993</v>
      </c>
      <c r="AS17" s="149">
        <f t="shared" si="14"/>
        <v>89.5</v>
      </c>
      <c r="AT17" s="150">
        <f t="shared" si="14"/>
        <v>177.5</v>
      </c>
      <c r="AU17" s="150">
        <f t="shared" si="14"/>
        <v>100.69999999999999</v>
      </c>
      <c r="AV17" s="151">
        <f t="shared" ref="AV17:AW17" si="15">AV8-AV15</f>
        <v>108.40000000000009</v>
      </c>
      <c r="AW17" s="112">
        <f t="shared" si="15"/>
        <v>476.1</v>
      </c>
      <c r="AX17" s="149">
        <f t="shared" ref="AX17:BL17" si="16">+AX21-AX19</f>
        <v>92.999747038591906</v>
      </c>
      <c r="AY17" s="150">
        <f t="shared" si="16"/>
        <v>172.26096614778604</v>
      </c>
      <c r="AZ17" s="150">
        <f t="shared" si="16"/>
        <v>105.8479291692081</v>
      </c>
      <c r="BA17" s="151">
        <f t="shared" si="16"/>
        <v>106.37896995897475</v>
      </c>
      <c r="BB17" s="112">
        <f t="shared" si="16"/>
        <v>477.48761231456092</v>
      </c>
      <c r="BC17" s="149">
        <f t="shared" si="16"/>
        <v>111.30102034577239</v>
      </c>
      <c r="BD17" s="150">
        <f t="shared" si="16"/>
        <v>200.06283031908848</v>
      </c>
      <c r="BE17" s="150">
        <f t="shared" si="16"/>
        <v>124.79675680489481</v>
      </c>
      <c r="BF17" s="151">
        <f t="shared" si="16"/>
        <v>125.84404987465626</v>
      </c>
      <c r="BG17" s="112">
        <f t="shared" si="16"/>
        <v>562.00465734441184</v>
      </c>
      <c r="BH17" s="149">
        <f t="shared" si="16"/>
        <v>132.13349121771034</v>
      </c>
      <c r="BI17" s="150">
        <f t="shared" si="16"/>
        <v>234.83191669856146</v>
      </c>
      <c r="BJ17" s="150">
        <f t="shared" si="16"/>
        <v>145.54700209727318</v>
      </c>
      <c r="BK17" s="151">
        <f t="shared" si="16"/>
        <v>146.8600326893102</v>
      </c>
      <c r="BL17" s="112">
        <f t="shared" si="16"/>
        <v>659.37244270285532</v>
      </c>
      <c r="BM17" s="149">
        <f>+BM21-BM19</f>
        <v>147.13038346128127</v>
      </c>
      <c r="BN17" s="150">
        <f>+BN21-BN19</f>
        <v>258.35807744461727</v>
      </c>
      <c r="BO17" s="150">
        <f>+BO21-BO19</f>
        <v>161.66262462422355</v>
      </c>
      <c r="BP17" s="151">
        <f>+BP21-BP19</f>
        <v>163.70066947913159</v>
      </c>
      <c r="BQ17" s="112">
        <f>+BQ21-BQ19</f>
        <v>730.85175500925379</v>
      </c>
      <c r="BR17" s="112"/>
    </row>
    <row r="18" spans="1:109">
      <c r="C18" s="56"/>
      <c r="E18" s="149"/>
      <c r="F18" s="156"/>
      <c r="G18" s="156"/>
      <c r="H18" s="151"/>
      <c r="I18" s="112"/>
      <c r="J18" s="149"/>
      <c r="K18" s="150"/>
      <c r="L18" s="150"/>
      <c r="M18" s="151"/>
      <c r="N18" s="112"/>
      <c r="O18" s="149"/>
      <c r="P18" s="150"/>
      <c r="Q18" s="150"/>
      <c r="R18" s="151"/>
      <c r="S18" s="112"/>
      <c r="T18" s="149"/>
      <c r="U18" s="150"/>
      <c r="V18" s="150"/>
      <c r="W18" s="151"/>
      <c r="X18" s="112"/>
      <c r="Y18" s="149"/>
      <c r="Z18" s="150"/>
      <c r="AA18" s="150"/>
      <c r="AB18" s="151"/>
      <c r="AC18" s="112"/>
      <c r="AD18" s="149"/>
      <c r="AE18" s="150"/>
      <c r="AF18" s="150"/>
      <c r="AG18" s="151"/>
      <c r="AH18" s="112"/>
      <c r="AI18" s="149"/>
      <c r="AJ18" s="150"/>
      <c r="AK18" s="150"/>
      <c r="AL18" s="151"/>
      <c r="AM18" s="112"/>
      <c r="AN18" s="149"/>
      <c r="AO18" s="150"/>
      <c r="AP18" s="150"/>
      <c r="AQ18" s="151"/>
      <c r="AR18" s="112"/>
      <c r="AS18" s="149"/>
      <c r="AT18" s="150"/>
      <c r="AU18" s="150"/>
      <c r="AV18" s="151"/>
      <c r="AW18" s="112"/>
      <c r="AX18" s="149"/>
      <c r="AY18" s="150"/>
      <c r="AZ18" s="150"/>
      <c r="BA18" s="151"/>
      <c r="BB18" s="112"/>
      <c r="BC18" s="149"/>
      <c r="BD18" s="150"/>
      <c r="BE18" s="150"/>
      <c r="BF18" s="151"/>
      <c r="BG18" s="112"/>
      <c r="BH18" s="149"/>
      <c r="BI18" s="150"/>
      <c r="BJ18" s="150"/>
      <c r="BK18" s="151"/>
      <c r="BL18" s="112"/>
      <c r="BM18" s="149"/>
      <c r="BN18" s="150"/>
      <c r="BO18" s="150"/>
      <c r="BP18" s="151"/>
      <c r="BQ18" s="112"/>
      <c r="BR18" s="112"/>
    </row>
    <row r="19" spans="1:109" s="50" customFormat="1">
      <c r="C19" s="553" t="s">
        <v>121</v>
      </c>
      <c r="D19" s="546"/>
      <c r="E19" s="161"/>
      <c r="F19" s="162"/>
      <c r="G19" s="162"/>
      <c r="H19" s="144"/>
      <c r="I19" s="546"/>
      <c r="J19" s="161"/>
      <c r="K19" s="162"/>
      <c r="L19" s="162"/>
      <c r="M19" s="144"/>
      <c r="N19" s="546"/>
      <c r="O19" s="161"/>
      <c r="P19" s="162"/>
      <c r="Q19" s="162"/>
      <c r="R19" s="144"/>
      <c r="S19" s="546"/>
      <c r="T19" s="161"/>
      <c r="U19" s="162"/>
      <c r="V19" s="172"/>
      <c r="W19" s="144"/>
      <c r="X19" s="1216">
        <f t="shared" ref="X19:AJ19" si="17">X30+X28+X24-X17</f>
        <v>42</v>
      </c>
      <c r="Y19" s="1202">
        <f>Y30+Y28+Y24-Y17</f>
        <v>16.25</v>
      </c>
      <c r="Z19" s="1203">
        <f t="shared" si="17"/>
        <v>12.25</v>
      </c>
      <c r="AA19" s="1203">
        <f t="shared" si="17"/>
        <v>8.25</v>
      </c>
      <c r="AB19" s="1205">
        <f t="shared" si="17"/>
        <v>14.25</v>
      </c>
      <c r="AC19" s="1216">
        <f t="shared" si="17"/>
        <v>51</v>
      </c>
      <c r="AD19" s="1202">
        <f>AD30+AD28+AD24-AD17</f>
        <v>23.5</v>
      </c>
      <c r="AE19" s="1203">
        <f t="shared" si="17"/>
        <v>17.5</v>
      </c>
      <c r="AF19" s="1203">
        <f t="shared" si="17"/>
        <v>15.5</v>
      </c>
      <c r="AG19" s="1205">
        <f t="shared" si="17"/>
        <v>12.5</v>
      </c>
      <c r="AH19" s="1216">
        <f t="shared" si="17"/>
        <v>69</v>
      </c>
      <c r="AI19" s="1202">
        <f>AI30+AI28+AI24-AI17</f>
        <v>46.924999999999997</v>
      </c>
      <c r="AJ19" s="1203">
        <f t="shared" si="17"/>
        <v>34.924999999999997</v>
      </c>
      <c r="AK19" s="1203">
        <f t="shared" ref="AK19:AP19" si="18">AK30+AK28+AK24-AK17</f>
        <v>26.924999999999997</v>
      </c>
      <c r="AL19" s="1205">
        <f t="shared" si="18"/>
        <v>28.924999999999997</v>
      </c>
      <c r="AM19" s="1216">
        <f t="shared" si="18"/>
        <v>137.69999999999999</v>
      </c>
      <c r="AN19" s="1202">
        <f t="shared" si="18"/>
        <v>35.9</v>
      </c>
      <c r="AO19" s="1203">
        <f t="shared" si="18"/>
        <v>38.5</v>
      </c>
      <c r="AP19" s="1203">
        <f t="shared" si="18"/>
        <v>36</v>
      </c>
      <c r="AQ19" s="1205">
        <f t="shared" ref="AQ19:AW19" si="19">AQ30+AQ28+AQ24-AQ17</f>
        <v>38.600000000000051</v>
      </c>
      <c r="AR19" s="1216">
        <f t="shared" si="19"/>
        <v>149.00000000000006</v>
      </c>
      <c r="AS19" s="1202">
        <f t="shared" si="19"/>
        <v>35.999999999999986</v>
      </c>
      <c r="AT19" s="1203">
        <f t="shared" si="19"/>
        <v>35.099999999999994</v>
      </c>
      <c r="AU19" s="1203">
        <f t="shared" si="19"/>
        <v>31.300000000000011</v>
      </c>
      <c r="AV19" s="1205">
        <f t="shared" si="19"/>
        <v>36.199999999999932</v>
      </c>
      <c r="AW19" s="1216">
        <f t="shared" si="19"/>
        <v>138.60000000000002</v>
      </c>
      <c r="AX19" s="171">
        <f>AS19</f>
        <v>35.999999999999986</v>
      </c>
      <c r="AY19" s="172">
        <f>AT19</f>
        <v>35.099999999999994</v>
      </c>
      <c r="AZ19" s="172">
        <f>AU19</f>
        <v>31.300000000000011</v>
      </c>
      <c r="BA19" s="173">
        <f>AV19</f>
        <v>36.199999999999932</v>
      </c>
      <c r="BB19" s="577">
        <f>SUM(AX19:BA19)</f>
        <v>138.59999999999991</v>
      </c>
      <c r="BC19" s="171">
        <f>AX19</f>
        <v>35.999999999999986</v>
      </c>
      <c r="BD19" s="172">
        <f>AY19</f>
        <v>35.099999999999994</v>
      </c>
      <c r="BE19" s="172">
        <f>AZ19</f>
        <v>31.300000000000011</v>
      </c>
      <c r="BF19" s="173">
        <f>BA19</f>
        <v>36.199999999999932</v>
      </c>
      <c r="BG19" s="577">
        <f>SUM(BC19:BF19)</f>
        <v>138.59999999999991</v>
      </c>
      <c r="BH19" s="171">
        <f>BC19</f>
        <v>35.999999999999986</v>
      </c>
      <c r="BI19" s="172">
        <f>BD19</f>
        <v>35.099999999999994</v>
      </c>
      <c r="BJ19" s="172">
        <f>BE19</f>
        <v>31.300000000000011</v>
      </c>
      <c r="BK19" s="173">
        <f>BF19</f>
        <v>36.199999999999932</v>
      </c>
      <c r="BL19" s="577">
        <f>SUM(BH19:BK19)</f>
        <v>138.59999999999991</v>
      </c>
      <c r="BM19" s="171">
        <f>BH19</f>
        <v>35.999999999999986</v>
      </c>
      <c r="BN19" s="172">
        <f>BI19</f>
        <v>35.099999999999994</v>
      </c>
      <c r="BO19" s="172">
        <f>BJ19</f>
        <v>31.300000000000011</v>
      </c>
      <c r="BP19" s="173">
        <f>BK19</f>
        <v>36.199999999999932</v>
      </c>
      <c r="BQ19" s="577">
        <f>SUM(BM19:BP19)</f>
        <v>138.59999999999991</v>
      </c>
      <c r="BR19" s="577"/>
    </row>
    <row r="20" spans="1:109">
      <c r="A20" s="50"/>
      <c r="C20" s="553"/>
      <c r="D20" s="568"/>
      <c r="E20" s="161"/>
      <c r="F20" s="162"/>
      <c r="G20" s="162"/>
      <c r="H20" s="144"/>
      <c r="I20" s="546"/>
      <c r="J20" s="161"/>
      <c r="K20" s="162"/>
      <c r="L20" s="162"/>
      <c r="M20" s="144"/>
      <c r="N20" s="546"/>
      <c r="O20" s="161"/>
      <c r="P20" s="162"/>
      <c r="Q20" s="162"/>
      <c r="R20" s="144"/>
      <c r="S20" s="546"/>
      <c r="T20" s="161"/>
      <c r="U20" s="162"/>
      <c r="V20" s="579"/>
      <c r="W20" s="144"/>
      <c r="X20" s="1246"/>
      <c r="Y20" s="1236"/>
      <c r="Z20" s="1237"/>
      <c r="AA20" s="1237"/>
      <c r="AB20" s="1221"/>
      <c r="AC20" s="498"/>
      <c r="AD20" s="1236"/>
      <c r="AE20" s="1237"/>
      <c r="AF20" s="1237"/>
      <c r="AG20" s="1221"/>
      <c r="AH20" s="498"/>
      <c r="AI20" s="1236"/>
      <c r="AJ20" s="1237"/>
      <c r="AK20" s="1237"/>
      <c r="AL20" s="1221"/>
      <c r="AM20" s="498"/>
      <c r="AN20" s="1236"/>
      <c r="AO20" s="1237"/>
      <c r="AP20" s="1237"/>
      <c r="AQ20" s="1221"/>
      <c r="AR20" s="498"/>
      <c r="AS20" s="578"/>
      <c r="AT20" s="1237"/>
      <c r="AU20" s="1237"/>
      <c r="AV20" s="1221"/>
      <c r="AW20" s="498"/>
      <c r="AX20" s="578"/>
      <c r="AY20" s="579"/>
      <c r="AZ20" s="579"/>
      <c r="BA20" s="580"/>
      <c r="BB20" s="561"/>
      <c r="BC20" s="578"/>
      <c r="BD20" s="579"/>
      <c r="BE20" s="579"/>
      <c r="BF20" s="580"/>
      <c r="BG20" s="561"/>
      <c r="BH20" s="578"/>
      <c r="BI20" s="579"/>
      <c r="BJ20" s="579"/>
      <c r="BK20" s="580"/>
      <c r="BL20" s="561"/>
      <c r="BM20" s="578"/>
      <c r="BN20" s="579"/>
      <c r="BO20" s="579"/>
      <c r="BP20" s="580"/>
      <c r="BQ20" s="561"/>
      <c r="BR20" s="561"/>
    </row>
    <row r="21" spans="1:109">
      <c r="C21" s="545" t="s">
        <v>3</v>
      </c>
      <c r="D21" s="568"/>
      <c r="E21" s="149"/>
      <c r="F21" s="156"/>
      <c r="G21" s="156"/>
      <c r="H21" s="151"/>
      <c r="I21" s="489"/>
      <c r="J21" s="149"/>
      <c r="K21" s="156"/>
      <c r="L21" s="156"/>
      <c r="M21" s="151"/>
      <c r="N21" s="489"/>
      <c r="O21" s="149"/>
      <c r="P21" s="150"/>
      <c r="Q21" s="150"/>
      <c r="R21" s="151"/>
      <c r="S21" s="489"/>
      <c r="T21" s="149"/>
      <c r="U21" s="150"/>
      <c r="V21" s="150"/>
      <c r="W21" s="151"/>
      <c r="X21" s="489">
        <f>X17+X19</f>
        <v>63</v>
      </c>
      <c r="Y21" s="149">
        <f t="shared" ref="Y21:AF21" si="20">Y17+Y19</f>
        <v>21.75</v>
      </c>
      <c r="Z21" s="150">
        <f t="shared" si="20"/>
        <v>28.75</v>
      </c>
      <c r="AA21" s="150">
        <f t="shared" si="20"/>
        <v>31.75</v>
      </c>
      <c r="AB21" s="151">
        <f t="shared" si="20"/>
        <v>36.75</v>
      </c>
      <c r="AC21" s="112">
        <f t="shared" si="20"/>
        <v>119</v>
      </c>
      <c r="AD21" s="149">
        <f t="shared" si="20"/>
        <v>45.5</v>
      </c>
      <c r="AE21" s="150">
        <f t="shared" si="20"/>
        <v>68.5</v>
      </c>
      <c r="AF21" s="150">
        <f t="shared" si="20"/>
        <v>64.5</v>
      </c>
      <c r="AG21" s="151">
        <f t="shared" ref="AG21:AM21" si="21">AG17+AG19</f>
        <v>58.5</v>
      </c>
      <c r="AH21" s="112">
        <f t="shared" si="21"/>
        <v>237</v>
      </c>
      <c r="AI21" s="149">
        <f t="shared" si="21"/>
        <v>68.125</v>
      </c>
      <c r="AJ21" s="150">
        <f t="shared" si="21"/>
        <v>97.125</v>
      </c>
      <c r="AK21" s="150">
        <f t="shared" si="21"/>
        <v>78.125</v>
      </c>
      <c r="AL21" s="151">
        <f t="shared" si="21"/>
        <v>76.324999999999989</v>
      </c>
      <c r="AM21" s="112">
        <f t="shared" si="21"/>
        <v>319.7</v>
      </c>
      <c r="AN21" s="149">
        <f t="shared" ref="AN21:AT21" si="22">AN17+AN19</f>
        <v>76.099999999999994</v>
      </c>
      <c r="AO21" s="150">
        <f t="shared" si="22"/>
        <v>153.79999999999998</v>
      </c>
      <c r="AP21" s="150">
        <f t="shared" si="22"/>
        <v>116.4</v>
      </c>
      <c r="AQ21" s="151">
        <f t="shared" si="22"/>
        <v>104.40000000000002</v>
      </c>
      <c r="AR21" s="112">
        <f t="shared" si="22"/>
        <v>450.7</v>
      </c>
      <c r="AS21" s="149">
        <f t="shared" si="22"/>
        <v>125.49999999999999</v>
      </c>
      <c r="AT21" s="150">
        <f t="shared" si="22"/>
        <v>212.6</v>
      </c>
      <c r="AU21" s="150">
        <f>AU17+AU19</f>
        <v>132</v>
      </c>
      <c r="AV21" s="151">
        <f t="shared" ref="AV21:AW21" si="23">AV17+AV19</f>
        <v>144.60000000000002</v>
      </c>
      <c r="AW21" s="112">
        <f t="shared" si="23"/>
        <v>614.70000000000005</v>
      </c>
      <c r="AX21" s="149">
        <f t="shared" ref="AX21:BL21" si="24">+AX26+AX24</f>
        <v>128.99974703859189</v>
      </c>
      <c r="AY21" s="150">
        <f t="shared" si="24"/>
        <v>207.36096614778603</v>
      </c>
      <c r="AZ21" s="150">
        <f t="shared" si="24"/>
        <v>137.14792916920811</v>
      </c>
      <c r="BA21" s="151">
        <f t="shared" si="24"/>
        <v>142.57896995897468</v>
      </c>
      <c r="BB21" s="112">
        <f t="shared" si="24"/>
        <v>616.08761231456083</v>
      </c>
      <c r="BC21" s="149">
        <f t="shared" si="24"/>
        <v>147.30102034577237</v>
      </c>
      <c r="BD21" s="150">
        <f t="shared" si="24"/>
        <v>235.16283031908847</v>
      </c>
      <c r="BE21" s="150">
        <f t="shared" si="24"/>
        <v>156.09675680489482</v>
      </c>
      <c r="BF21" s="151">
        <f t="shared" si="24"/>
        <v>162.0440498746562</v>
      </c>
      <c r="BG21" s="112">
        <f t="shared" si="24"/>
        <v>700.60465734441175</v>
      </c>
      <c r="BH21" s="149">
        <f t="shared" si="24"/>
        <v>168.13349121771034</v>
      </c>
      <c r="BI21" s="150">
        <f t="shared" si="24"/>
        <v>269.93191669856145</v>
      </c>
      <c r="BJ21" s="150">
        <f t="shared" si="24"/>
        <v>176.84700209727319</v>
      </c>
      <c r="BK21" s="151">
        <f t="shared" si="24"/>
        <v>183.06003268931013</v>
      </c>
      <c r="BL21" s="112">
        <f t="shared" si="24"/>
        <v>797.97244270285523</v>
      </c>
      <c r="BM21" s="149">
        <f>+BM26+BM24</f>
        <v>183.13038346128127</v>
      </c>
      <c r="BN21" s="150">
        <f>+BN26+BN24</f>
        <v>293.45807744461729</v>
      </c>
      <c r="BO21" s="150">
        <f>+BO26+BO24</f>
        <v>192.96262462422357</v>
      </c>
      <c r="BP21" s="151">
        <f>+BP26+BP24</f>
        <v>199.90066947913152</v>
      </c>
      <c r="BQ21" s="112">
        <f>+BQ26+BQ24</f>
        <v>869.4517550092537</v>
      </c>
      <c r="BR21" s="112"/>
    </row>
    <row r="22" spans="1:109">
      <c r="C22" s="545" t="s">
        <v>4</v>
      </c>
      <c r="D22" s="568"/>
      <c r="E22" s="149"/>
      <c r="F22" s="156"/>
      <c r="G22" s="156"/>
      <c r="H22" s="151"/>
      <c r="I22" s="489"/>
      <c r="J22" s="149"/>
      <c r="K22" s="156"/>
      <c r="L22" s="156"/>
      <c r="M22" s="151"/>
      <c r="N22" s="489"/>
      <c r="O22" s="149"/>
      <c r="P22" s="150"/>
      <c r="Q22" s="150"/>
      <c r="R22" s="151"/>
      <c r="S22" s="489"/>
      <c r="T22" s="149"/>
      <c r="U22" s="150"/>
      <c r="V22" s="150"/>
      <c r="W22" s="151"/>
      <c r="X22" s="489">
        <f t="shared" ref="X22:AF22" si="25">+X21+X13</f>
        <v>66</v>
      </c>
      <c r="Y22" s="149">
        <f t="shared" si="25"/>
        <v>24.25</v>
      </c>
      <c r="Z22" s="150">
        <f t="shared" si="25"/>
        <v>31.25</v>
      </c>
      <c r="AA22" s="150">
        <f t="shared" si="25"/>
        <v>34.25</v>
      </c>
      <c r="AB22" s="151">
        <f t="shared" si="25"/>
        <v>39.25</v>
      </c>
      <c r="AC22" s="112">
        <f t="shared" si="25"/>
        <v>129</v>
      </c>
      <c r="AD22" s="149">
        <f t="shared" si="25"/>
        <v>51.5</v>
      </c>
      <c r="AE22" s="150">
        <f t="shared" si="25"/>
        <v>74.5</v>
      </c>
      <c r="AF22" s="150">
        <f t="shared" si="25"/>
        <v>70.5</v>
      </c>
      <c r="AG22" s="151">
        <f t="shared" ref="AG22:AM22" si="26">+AG21+AG13</f>
        <v>64.5</v>
      </c>
      <c r="AH22" s="112">
        <f t="shared" si="26"/>
        <v>261</v>
      </c>
      <c r="AI22" s="149">
        <f t="shared" si="26"/>
        <v>78.875</v>
      </c>
      <c r="AJ22" s="150">
        <f t="shared" si="26"/>
        <v>107.875</v>
      </c>
      <c r="AK22" s="150">
        <f t="shared" si="26"/>
        <v>88.875</v>
      </c>
      <c r="AL22" s="151">
        <f t="shared" si="26"/>
        <v>87.074999999999989</v>
      </c>
      <c r="AM22" s="112">
        <f t="shared" si="26"/>
        <v>362.7</v>
      </c>
      <c r="AN22" s="149">
        <f t="shared" ref="AN22:AT22" si="27">+AN21+AN13</f>
        <v>91.6</v>
      </c>
      <c r="AO22" s="150">
        <f t="shared" si="27"/>
        <v>169.6</v>
      </c>
      <c r="AP22" s="150">
        <f t="shared" si="27"/>
        <v>133.5</v>
      </c>
      <c r="AQ22" s="151">
        <f t="shared" si="27"/>
        <v>123.10000000000002</v>
      </c>
      <c r="AR22" s="112">
        <f t="shared" si="27"/>
        <v>517.79999999999995</v>
      </c>
      <c r="AS22" s="149">
        <f>+AS21+AS13</f>
        <v>150.1</v>
      </c>
      <c r="AT22" s="150">
        <f t="shared" si="27"/>
        <v>236.6</v>
      </c>
      <c r="AU22" s="150">
        <f>+AU21+AU13</f>
        <v>158.1</v>
      </c>
      <c r="AV22" s="151">
        <f t="shared" ref="AV22:AW22" si="28">+AV21+AV13</f>
        <v>172.10000000000002</v>
      </c>
      <c r="AW22" s="112">
        <f t="shared" si="28"/>
        <v>716.90000000000009</v>
      </c>
      <c r="AX22" s="149">
        <f t="shared" ref="AX22:BL22" si="29">+AX21+AX13</f>
        <v>155.90985997493686</v>
      </c>
      <c r="AY22" s="150">
        <f t="shared" si="29"/>
        <v>235.63119202047596</v>
      </c>
      <c r="AZ22" s="150">
        <f t="shared" si="29"/>
        <v>166.77826797824304</v>
      </c>
      <c r="BA22" s="151">
        <f t="shared" si="29"/>
        <v>173.56942170435457</v>
      </c>
      <c r="BB22" s="112">
        <f t="shared" si="29"/>
        <v>731.88874167801055</v>
      </c>
      <c r="BC22" s="149">
        <f t="shared" si="29"/>
        <v>179.67853574618306</v>
      </c>
      <c r="BD22" s="150">
        <f t="shared" si="29"/>
        <v>268.92740937452993</v>
      </c>
      <c r="BE22" s="150">
        <f t="shared" si="29"/>
        <v>191.24839951536711</v>
      </c>
      <c r="BF22" s="151">
        <f t="shared" si="29"/>
        <v>198.58275624015928</v>
      </c>
      <c r="BG22" s="112">
        <f t="shared" si="29"/>
        <v>838.43710087623936</v>
      </c>
      <c r="BH22" s="149">
        <f t="shared" si="29"/>
        <v>205.840960416889</v>
      </c>
      <c r="BI22" s="150">
        <f t="shared" si="29"/>
        <v>308.80814873141566</v>
      </c>
      <c r="BJ22" s="150">
        <f t="shared" si="29"/>
        <v>216.89199696380297</v>
      </c>
      <c r="BK22" s="151">
        <f t="shared" si="29"/>
        <v>224.27379038951548</v>
      </c>
      <c r="BL22" s="112">
        <f t="shared" si="29"/>
        <v>955.81489650162325</v>
      </c>
      <c r="BM22" s="149">
        <f>+BM21+BM13</f>
        <v>225.6916770957782</v>
      </c>
      <c r="BN22" s="150">
        <f>+BN21+BN13</f>
        <v>337.36690701340581</v>
      </c>
      <c r="BO22" s="150">
        <f>+BO21+BO13</f>
        <v>238.21899012730364</v>
      </c>
      <c r="BP22" s="151">
        <f>+BP21+BP13</f>
        <v>246.50457091650318</v>
      </c>
      <c r="BQ22" s="112">
        <f>+BQ21+BQ13</f>
        <v>1047.7821451529908</v>
      </c>
      <c r="BR22" s="112"/>
    </row>
    <row r="23" spans="1:109">
      <c r="C23" s="545"/>
      <c r="D23" s="568"/>
      <c r="E23" s="149"/>
      <c r="F23" s="156"/>
      <c r="G23" s="156"/>
      <c r="H23" s="151"/>
      <c r="I23" s="489"/>
      <c r="J23" s="149"/>
      <c r="K23" s="156"/>
      <c r="L23" s="156"/>
      <c r="M23" s="151"/>
      <c r="N23" s="489"/>
      <c r="O23" s="149"/>
      <c r="P23" s="150"/>
      <c r="Q23" s="150"/>
      <c r="R23" s="151"/>
      <c r="S23" s="489"/>
      <c r="T23" s="149"/>
      <c r="U23" s="150"/>
      <c r="V23" s="150"/>
      <c r="W23" s="151"/>
      <c r="X23" s="489"/>
      <c r="Y23" s="149"/>
      <c r="Z23" s="150"/>
      <c r="AA23" s="150"/>
      <c r="AB23" s="151"/>
      <c r="AC23" s="112"/>
      <c r="AD23" s="149"/>
      <c r="AE23" s="150"/>
      <c r="AF23" s="150"/>
      <c r="AG23" s="151"/>
      <c r="AH23" s="112"/>
      <c r="AI23" s="149"/>
      <c r="AJ23" s="150"/>
      <c r="AK23" s="150"/>
      <c r="AL23" s="151"/>
      <c r="AM23" s="112"/>
      <c r="AN23" s="149"/>
      <c r="AO23" s="150"/>
      <c r="AP23" s="150"/>
      <c r="AQ23" s="151"/>
      <c r="AR23" s="112"/>
      <c r="AS23" s="149"/>
      <c r="AT23" s="150"/>
      <c r="AU23" s="150"/>
      <c r="AV23" s="151"/>
      <c r="AW23" s="112"/>
      <c r="AX23" s="149"/>
      <c r="AY23" s="150"/>
      <c r="AZ23" s="150"/>
      <c r="BA23" s="151"/>
      <c r="BB23" s="112"/>
      <c r="BC23" s="149"/>
      <c r="BD23" s="150"/>
      <c r="BE23" s="150"/>
      <c r="BF23" s="151"/>
      <c r="BG23" s="112"/>
      <c r="BH23" s="149"/>
      <c r="BI23" s="150"/>
      <c r="BJ23" s="150"/>
      <c r="BK23" s="151"/>
      <c r="BL23" s="112"/>
      <c r="BM23" s="149"/>
      <c r="BN23" s="150"/>
      <c r="BO23" s="150"/>
      <c r="BP23" s="151"/>
      <c r="BQ23" s="112"/>
      <c r="BR23" s="112"/>
    </row>
    <row r="24" spans="1:109" s="50" customFormat="1">
      <c r="A24" s="546"/>
      <c r="B24" s="546"/>
      <c r="C24" s="553" t="s">
        <v>6</v>
      </c>
      <c r="D24" s="546"/>
      <c r="E24" s="161"/>
      <c r="F24" s="162"/>
      <c r="G24" s="162"/>
      <c r="H24" s="144"/>
      <c r="I24" s="546"/>
      <c r="J24" s="161"/>
      <c r="K24" s="162"/>
      <c r="L24" s="162"/>
      <c r="M24" s="144"/>
      <c r="N24" s="546"/>
      <c r="O24" s="161"/>
      <c r="P24" s="162"/>
      <c r="Q24" s="162"/>
      <c r="R24" s="144"/>
      <c r="S24" s="546"/>
      <c r="T24" s="161"/>
      <c r="U24" s="162"/>
      <c r="V24" s="162"/>
      <c r="W24" s="144"/>
      <c r="X24" s="544">
        <v>3</v>
      </c>
      <c r="Y24" s="1236">
        <f>AC24/4</f>
        <v>2.5</v>
      </c>
      <c r="Z24" s="1237">
        <f>AC24/4</f>
        <v>2.5</v>
      </c>
      <c r="AA24" s="1237">
        <f>AC24/4</f>
        <v>2.5</v>
      </c>
      <c r="AB24" s="1221">
        <f>AC24/4</f>
        <v>2.5</v>
      </c>
      <c r="AC24" s="544">
        <v>10</v>
      </c>
      <c r="AD24" s="1202">
        <f>AH24/4</f>
        <v>5.75</v>
      </c>
      <c r="AE24" s="1203">
        <f>AH24/4</f>
        <v>5.75</v>
      </c>
      <c r="AF24" s="1203">
        <f>AH24/4</f>
        <v>5.75</v>
      </c>
      <c r="AG24" s="1221">
        <f>AH24/4</f>
        <v>5.75</v>
      </c>
      <c r="AH24" s="544">
        <v>23</v>
      </c>
      <c r="AI24" s="1202">
        <f>AM24/4</f>
        <v>9.3000000000000007</v>
      </c>
      <c r="AJ24" s="1203">
        <f>(AM24-AI24)/3</f>
        <v>9.3000000000000007</v>
      </c>
      <c r="AK24" s="1203">
        <f>(AM24-SUM(AI24:AJ24))/2</f>
        <v>9.3000000000000007</v>
      </c>
      <c r="AL24" s="1221">
        <f>(AM24-SUM(AI24:AK24))/1</f>
        <v>9.3000000000000007</v>
      </c>
      <c r="AM24" s="544">
        <v>37.200000000000003</v>
      </c>
      <c r="AN24" s="142">
        <v>11.8</v>
      </c>
      <c r="AO24" s="159">
        <v>11.6</v>
      </c>
      <c r="AP24" s="159">
        <v>12.2</v>
      </c>
      <c r="AQ24" s="1221">
        <f>(AR24-SUM(AN24:AP24))/1</f>
        <v>14.700000000000003</v>
      </c>
      <c r="AR24" s="544">
        <v>50.3</v>
      </c>
      <c r="AS24" s="142">
        <v>17.3</v>
      </c>
      <c r="AT24" s="159">
        <v>17.100000000000001</v>
      </c>
      <c r="AU24" s="159">
        <v>17.899999999999999</v>
      </c>
      <c r="AV24" s="1221">
        <f>(AW24-SUM(AS24:AU24))/1</f>
        <v>20.499999999999993</v>
      </c>
      <c r="AW24" s="544">
        <v>72.8</v>
      </c>
      <c r="AX24" s="161">
        <f t="shared" ref="AX24:BL24" si="30">+AX80</f>
        <v>31.663475222575251</v>
      </c>
      <c r="AY24" s="162">
        <f t="shared" si="30"/>
        <v>33.294429919700505</v>
      </c>
      <c r="AZ24" s="162">
        <f>+AZ80</f>
        <v>34.795721340388397</v>
      </c>
      <c r="BA24" s="144">
        <f t="shared" si="30"/>
        <v>36.159786984638913</v>
      </c>
      <c r="BB24" s="546">
        <f t="shared" si="30"/>
        <v>135.91341346730309</v>
      </c>
      <c r="BC24" s="161">
        <f t="shared" si="30"/>
        <v>37.930254066261099</v>
      </c>
      <c r="BD24" s="162">
        <f t="shared" si="30"/>
        <v>39.574997585254948</v>
      </c>
      <c r="BE24" s="162">
        <f t="shared" si="30"/>
        <v>41.089892541620458</v>
      </c>
      <c r="BF24" s="144">
        <f t="shared" si="30"/>
        <v>42.467376435357622</v>
      </c>
      <c r="BG24" s="546">
        <f t="shared" si="30"/>
        <v>161.06252062849413</v>
      </c>
      <c r="BH24" s="161">
        <f t="shared" si="30"/>
        <v>40.426540475398681</v>
      </c>
      <c r="BI24" s="162">
        <f t="shared" si="30"/>
        <v>41.55346996718513</v>
      </c>
      <c r="BJ24" s="162">
        <f t="shared" si="30"/>
        <v>42.559052500552696</v>
      </c>
      <c r="BK24" s="144">
        <f t="shared" si="30"/>
        <v>43.436138075501361</v>
      </c>
      <c r="BL24" s="546">
        <f t="shared" si="30"/>
        <v>167.97520101863788</v>
      </c>
      <c r="BM24" s="161">
        <f>+BM80</f>
        <v>44.972339666877119</v>
      </c>
      <c r="BN24" s="162">
        <f>+BN80</f>
        <v>46.389932274679992</v>
      </c>
      <c r="BO24" s="162">
        <f>+BO80</f>
        <v>47.685015898909981</v>
      </c>
      <c r="BP24" s="144">
        <f>+BP80</f>
        <v>48.850440539567074</v>
      </c>
      <c r="BQ24" s="546">
        <f>+BQ80</f>
        <v>187.89772838003418</v>
      </c>
      <c r="BR24" s="546"/>
      <c r="BW24" s="546"/>
      <c r="BX24" s="546"/>
      <c r="BY24" s="546"/>
      <c r="BZ24" s="546"/>
      <c r="CA24" s="546"/>
      <c r="CB24" s="546"/>
      <c r="CC24" s="546"/>
      <c r="CD24" s="546"/>
      <c r="CE24" s="546"/>
      <c r="CF24" s="546"/>
      <c r="CG24" s="546"/>
      <c r="CH24" s="546"/>
      <c r="CI24" s="546"/>
      <c r="CJ24" s="546"/>
      <c r="CK24" s="546"/>
      <c r="CL24" s="546"/>
      <c r="CM24" s="546"/>
      <c r="CN24" s="546"/>
      <c r="CO24" s="546"/>
      <c r="CP24" s="546"/>
      <c r="CQ24" s="546"/>
      <c r="CR24" s="546"/>
      <c r="CS24" s="546"/>
      <c r="CT24" s="546"/>
      <c r="CU24" s="546"/>
      <c r="CV24" s="546"/>
      <c r="CW24" s="546"/>
      <c r="CX24" s="546"/>
      <c r="CY24" s="546"/>
      <c r="CZ24" s="546"/>
      <c r="DA24" s="546"/>
      <c r="DB24" s="546"/>
      <c r="DC24" s="546"/>
      <c r="DD24" s="546"/>
      <c r="DE24" s="546"/>
    </row>
    <row r="25" spans="1:109">
      <c r="A25" s="50"/>
      <c r="C25" s="553"/>
      <c r="D25" s="568"/>
      <c r="E25" s="161"/>
      <c r="F25" s="162"/>
      <c r="G25" s="162"/>
      <c r="H25" s="144"/>
      <c r="I25" s="546"/>
      <c r="J25" s="161"/>
      <c r="K25" s="162"/>
      <c r="L25" s="162"/>
      <c r="M25" s="144"/>
      <c r="N25" s="546"/>
      <c r="O25" s="161"/>
      <c r="P25" s="162"/>
      <c r="Q25" s="160"/>
      <c r="R25" s="144"/>
      <c r="S25" s="546"/>
      <c r="T25" s="161"/>
      <c r="U25" s="162"/>
      <c r="V25" s="579"/>
      <c r="W25" s="144"/>
      <c r="X25" s="1246"/>
      <c r="Y25" s="1236"/>
      <c r="Z25" s="1237"/>
      <c r="AA25" s="1237"/>
      <c r="AB25" s="1221"/>
      <c r="AC25" s="498"/>
      <c r="AD25" s="1236"/>
      <c r="AE25" s="1237"/>
      <c r="AF25" s="1237"/>
      <c r="AG25" s="1221"/>
      <c r="AH25" s="498"/>
      <c r="AI25" s="1236"/>
      <c r="AJ25" s="1237"/>
      <c r="AK25" s="1237"/>
      <c r="AL25" s="1221"/>
      <c r="AM25" s="498"/>
      <c r="AN25" s="1236"/>
      <c r="AO25" s="1237"/>
      <c r="AP25" s="1237"/>
      <c r="AQ25" s="1221"/>
      <c r="AR25" s="498"/>
      <c r="AS25" s="1236"/>
      <c r="AT25" s="1237"/>
      <c r="AU25" s="1237"/>
      <c r="AV25" s="1221"/>
      <c r="AW25" s="498"/>
      <c r="AX25" s="171"/>
      <c r="AY25" s="579"/>
      <c r="AZ25" s="579"/>
      <c r="BA25" s="580"/>
      <c r="BB25" s="109"/>
      <c r="BC25" s="171"/>
      <c r="BD25" s="579"/>
      <c r="BE25" s="579"/>
      <c r="BF25" s="580"/>
      <c r="BG25" s="109"/>
      <c r="BH25" s="171"/>
      <c r="BI25" s="579"/>
      <c r="BJ25" s="579"/>
      <c r="BK25" s="580"/>
      <c r="BL25" s="109"/>
      <c r="BM25" s="171"/>
      <c r="BN25" s="579"/>
      <c r="BO25" s="579"/>
      <c r="BP25" s="580"/>
      <c r="BQ25" s="109"/>
      <c r="BR25" s="109"/>
    </row>
    <row r="26" spans="1:109">
      <c r="C26" s="545" t="s">
        <v>7</v>
      </c>
      <c r="D26" s="546"/>
      <c r="E26" s="149"/>
      <c r="F26" s="156"/>
      <c r="G26" s="156"/>
      <c r="H26" s="151"/>
      <c r="I26" s="489"/>
      <c r="J26" s="149"/>
      <c r="K26" s="156"/>
      <c r="L26" s="156"/>
      <c r="M26" s="151"/>
      <c r="N26" s="489"/>
      <c r="O26" s="149"/>
      <c r="P26" s="156"/>
      <c r="Q26" s="150"/>
      <c r="R26" s="151"/>
      <c r="S26" s="489"/>
      <c r="T26" s="149"/>
      <c r="U26" s="156"/>
      <c r="V26" s="150"/>
      <c r="W26" s="151"/>
      <c r="X26" s="489">
        <f>X21-X24</f>
        <v>60</v>
      </c>
      <c r="Y26" s="149">
        <f t="shared" ref="Y26:AF26" si="31">Y21-Y24</f>
        <v>19.25</v>
      </c>
      <c r="Z26" s="150">
        <f t="shared" si="31"/>
        <v>26.25</v>
      </c>
      <c r="AA26" s="150">
        <f t="shared" si="31"/>
        <v>29.25</v>
      </c>
      <c r="AB26" s="151">
        <f t="shared" si="31"/>
        <v>34.25</v>
      </c>
      <c r="AC26" s="112">
        <f t="shared" si="31"/>
        <v>109</v>
      </c>
      <c r="AD26" s="149">
        <f t="shared" si="31"/>
        <v>39.75</v>
      </c>
      <c r="AE26" s="150">
        <f t="shared" si="31"/>
        <v>62.75</v>
      </c>
      <c r="AF26" s="150">
        <f t="shared" si="31"/>
        <v>58.75</v>
      </c>
      <c r="AG26" s="151">
        <f t="shared" ref="AG26:AM26" si="32">AG21-AG24</f>
        <v>52.75</v>
      </c>
      <c r="AH26" s="112">
        <f t="shared" si="32"/>
        <v>214</v>
      </c>
      <c r="AI26" s="149">
        <f t="shared" si="32"/>
        <v>58.825000000000003</v>
      </c>
      <c r="AJ26" s="150">
        <f t="shared" si="32"/>
        <v>87.825000000000003</v>
      </c>
      <c r="AK26" s="150">
        <f t="shared" si="32"/>
        <v>68.825000000000003</v>
      </c>
      <c r="AL26" s="151">
        <f t="shared" si="32"/>
        <v>67.024999999999991</v>
      </c>
      <c r="AM26" s="112">
        <f t="shared" si="32"/>
        <v>282.5</v>
      </c>
      <c r="AN26" s="149">
        <f t="shared" ref="AN26:AU26" si="33">AN21-AN24</f>
        <v>64.3</v>
      </c>
      <c r="AO26" s="150">
        <f t="shared" si="33"/>
        <v>142.19999999999999</v>
      </c>
      <c r="AP26" s="150">
        <f t="shared" si="33"/>
        <v>104.2</v>
      </c>
      <c r="AQ26" s="151">
        <f t="shared" si="33"/>
        <v>89.700000000000017</v>
      </c>
      <c r="AR26" s="112">
        <f t="shared" si="33"/>
        <v>400.4</v>
      </c>
      <c r="AS26" s="149">
        <f t="shared" si="33"/>
        <v>108.19999999999999</v>
      </c>
      <c r="AT26" s="150">
        <f t="shared" si="33"/>
        <v>195.5</v>
      </c>
      <c r="AU26" s="150">
        <f t="shared" si="33"/>
        <v>114.1</v>
      </c>
      <c r="AV26" s="151">
        <f t="shared" ref="AV26:AW26" si="34">AV21-AV24</f>
        <v>124.10000000000002</v>
      </c>
      <c r="AW26" s="112">
        <f t="shared" si="34"/>
        <v>541.90000000000009</v>
      </c>
      <c r="AX26" s="149">
        <f t="shared" ref="AX26:BL26" si="35">+AX30+AX28</f>
        <v>97.336271816016634</v>
      </c>
      <c r="AY26" s="150">
        <f t="shared" si="35"/>
        <v>174.06653622808551</v>
      </c>
      <c r="AZ26" s="150">
        <f t="shared" si="35"/>
        <v>102.35220782881972</v>
      </c>
      <c r="BA26" s="151">
        <f t="shared" si="35"/>
        <v>106.41918297433577</v>
      </c>
      <c r="BB26" s="112">
        <f t="shared" si="35"/>
        <v>480.17419884725768</v>
      </c>
      <c r="BC26" s="149">
        <f t="shared" si="35"/>
        <v>109.37076627951126</v>
      </c>
      <c r="BD26" s="150">
        <f t="shared" si="35"/>
        <v>195.58783273383352</v>
      </c>
      <c r="BE26" s="150">
        <f t="shared" si="35"/>
        <v>115.00686426327438</v>
      </c>
      <c r="BF26" s="151">
        <f t="shared" si="35"/>
        <v>119.57667343929856</v>
      </c>
      <c r="BG26" s="112">
        <f t="shared" si="35"/>
        <v>539.54213671591765</v>
      </c>
      <c r="BH26" s="149">
        <f t="shared" si="35"/>
        <v>127.70695074231168</v>
      </c>
      <c r="BI26" s="150">
        <f t="shared" si="35"/>
        <v>228.37844673137633</v>
      </c>
      <c r="BJ26" s="150">
        <f t="shared" si="35"/>
        <v>134.28794959672049</v>
      </c>
      <c r="BK26" s="151">
        <f t="shared" si="35"/>
        <v>139.62389461380877</v>
      </c>
      <c r="BL26" s="112">
        <f t="shared" si="35"/>
        <v>629.99724168421733</v>
      </c>
      <c r="BM26" s="149">
        <f>+BM30+BM28</f>
        <v>138.15804379440414</v>
      </c>
      <c r="BN26" s="150">
        <f>+BN30+BN28</f>
        <v>247.06814516993728</v>
      </c>
      <c r="BO26" s="150">
        <f>+BO30+BO28</f>
        <v>145.27760872531357</v>
      </c>
      <c r="BP26" s="151">
        <f>+BP30+BP28</f>
        <v>151.05022893956445</v>
      </c>
      <c r="BQ26" s="112">
        <f>+BQ30+BQ28</f>
        <v>681.55402662921949</v>
      </c>
      <c r="BR26" s="112"/>
    </row>
    <row r="27" spans="1:109">
      <c r="C27" s="553"/>
      <c r="D27" s="568"/>
      <c r="E27" s="161"/>
      <c r="F27" s="162"/>
      <c r="G27" s="162"/>
      <c r="H27" s="144"/>
      <c r="I27" s="546"/>
      <c r="J27" s="161"/>
      <c r="K27" s="162"/>
      <c r="L27" s="162"/>
      <c r="M27" s="144"/>
      <c r="N27" s="546"/>
      <c r="O27" s="161"/>
      <c r="P27" s="162"/>
      <c r="Q27" s="160"/>
      <c r="R27" s="144"/>
      <c r="S27" s="546"/>
      <c r="T27" s="161"/>
      <c r="U27" s="162"/>
      <c r="V27" s="579"/>
      <c r="W27" s="144"/>
      <c r="X27" s="1246"/>
      <c r="Y27" s="1236"/>
      <c r="Z27" s="1237"/>
      <c r="AA27" s="1237"/>
      <c r="AB27" s="1221"/>
      <c r="AC27" s="498"/>
      <c r="AD27" s="1236"/>
      <c r="AE27" s="1237"/>
      <c r="AF27" s="1237"/>
      <c r="AG27" s="1221"/>
      <c r="AH27" s="498"/>
      <c r="AI27" s="1236"/>
      <c r="AJ27" s="1237"/>
      <c r="AK27" s="1237"/>
      <c r="AL27" s="1221"/>
      <c r="AM27" s="498"/>
      <c r="AN27" s="1236"/>
      <c r="AO27" s="1237"/>
      <c r="AP27" s="1237"/>
      <c r="AQ27" s="1221"/>
      <c r="AR27" s="498"/>
      <c r="AS27" s="1236"/>
      <c r="AT27" s="1237"/>
      <c r="AU27" s="1237"/>
      <c r="AV27" s="1221"/>
      <c r="AW27" s="498"/>
      <c r="AX27" s="578"/>
      <c r="AY27" s="579"/>
      <c r="AZ27" s="579"/>
      <c r="BA27" s="580"/>
      <c r="BB27" s="109"/>
      <c r="BC27" s="578"/>
      <c r="BD27" s="579"/>
      <c r="BE27" s="579"/>
      <c r="BF27" s="580"/>
      <c r="BG27" s="109"/>
      <c r="BH27" s="578"/>
      <c r="BI27" s="579"/>
      <c r="BJ27" s="579"/>
      <c r="BK27" s="580"/>
      <c r="BL27" s="109"/>
      <c r="BM27" s="578"/>
      <c r="BN27" s="579"/>
      <c r="BO27" s="579"/>
      <c r="BP27" s="580"/>
      <c r="BQ27" s="109"/>
      <c r="BR27" s="109"/>
    </row>
    <row r="28" spans="1:109">
      <c r="C28" s="553" t="s">
        <v>8</v>
      </c>
      <c r="D28" s="568"/>
      <c r="E28" s="161"/>
      <c r="F28" s="162"/>
      <c r="G28" s="162"/>
      <c r="H28" s="144"/>
      <c r="I28" s="546"/>
      <c r="J28" s="161"/>
      <c r="K28" s="162"/>
      <c r="L28" s="162"/>
      <c r="M28" s="144"/>
      <c r="N28" s="546"/>
      <c r="O28" s="161"/>
      <c r="P28" s="162"/>
      <c r="Q28" s="162"/>
      <c r="R28" s="144"/>
      <c r="S28" s="546"/>
      <c r="T28" s="161"/>
      <c r="U28" s="162"/>
      <c r="V28" s="162"/>
      <c r="W28" s="144"/>
      <c r="X28" s="544">
        <v>17</v>
      </c>
      <c r="Y28" s="1236">
        <f>AC28/4</f>
        <v>7.25</v>
      </c>
      <c r="Z28" s="1237">
        <f>AC28/4</f>
        <v>7.25</v>
      </c>
      <c r="AA28" s="1237">
        <f>AC28/4</f>
        <v>7.25</v>
      </c>
      <c r="AB28" s="1221">
        <f>AC28/4</f>
        <v>7.25</v>
      </c>
      <c r="AC28" s="544">
        <v>29</v>
      </c>
      <c r="AD28" s="1202">
        <f>AH28/4</f>
        <v>15.75</v>
      </c>
      <c r="AE28" s="1203">
        <f>AH28/4</f>
        <v>15.75</v>
      </c>
      <c r="AF28" s="1203">
        <f>AH28/4</f>
        <v>15.75</v>
      </c>
      <c r="AG28" s="1221">
        <f>AH28/4</f>
        <v>15.75</v>
      </c>
      <c r="AH28" s="544">
        <v>63</v>
      </c>
      <c r="AI28" s="1202">
        <f>AM28/4</f>
        <v>22.824999999999999</v>
      </c>
      <c r="AJ28" s="1203">
        <f>(AM28-AI28)/3</f>
        <v>22.824999999999999</v>
      </c>
      <c r="AK28" s="1203">
        <f>(AM28-SUM(AI28:AJ28))/2</f>
        <v>22.824999999999999</v>
      </c>
      <c r="AL28" s="1221">
        <f>(AM28-SUM(AI28:AK28))/1</f>
        <v>22.825000000000003</v>
      </c>
      <c r="AM28" s="544">
        <v>91.3</v>
      </c>
      <c r="AN28" s="142">
        <v>20.399999999999999</v>
      </c>
      <c r="AO28" s="159">
        <v>47.6</v>
      </c>
      <c r="AP28" s="159">
        <v>35.200000000000003</v>
      </c>
      <c r="AQ28" s="1221">
        <f>(AR28-SUM(AN28:AP28))/1</f>
        <v>30.899999999999991</v>
      </c>
      <c r="AR28" s="544">
        <v>134.1</v>
      </c>
      <c r="AS28" s="142">
        <v>36.4</v>
      </c>
      <c r="AT28" s="159">
        <v>67.099999999999994</v>
      </c>
      <c r="AU28" s="159">
        <v>38.6</v>
      </c>
      <c r="AV28" s="1221">
        <f>(AW28-SUM(AS28:AU28))/1</f>
        <v>47.700000000000017</v>
      </c>
      <c r="AW28" s="544">
        <v>189.8</v>
      </c>
      <c r="AX28" s="161">
        <f t="shared" ref="AX28:BK28" si="36">AX30/(1-AX41)-AX30</f>
        <v>23.360705235843994</v>
      </c>
      <c r="AY28" s="162">
        <f t="shared" si="36"/>
        <v>41.775968694740527</v>
      </c>
      <c r="AZ28" s="162">
        <f t="shared" si="36"/>
        <v>24.56452987891673</v>
      </c>
      <c r="BA28" s="144">
        <f t="shared" si="36"/>
        <v>25.540603913840584</v>
      </c>
      <c r="BB28" s="546">
        <f>SUM(AX28:BA28)</f>
        <v>115.24180772334184</v>
      </c>
      <c r="BC28" s="161">
        <f t="shared" si="36"/>
        <v>26.248983907082703</v>
      </c>
      <c r="BD28" s="162">
        <f t="shared" si="36"/>
        <v>46.941079856120041</v>
      </c>
      <c r="BE28" s="162">
        <f t="shared" si="36"/>
        <v>27.601647423185852</v>
      </c>
      <c r="BF28" s="144">
        <f t="shared" si="36"/>
        <v>28.698401625431657</v>
      </c>
      <c r="BG28" s="546">
        <f>SUM(BC28:BF28)</f>
        <v>129.49011281182027</v>
      </c>
      <c r="BH28" s="161">
        <f t="shared" si="36"/>
        <v>30.649668178154798</v>
      </c>
      <c r="BI28" s="162">
        <f t="shared" si="36"/>
        <v>54.81082721553031</v>
      </c>
      <c r="BJ28" s="162">
        <f t="shared" si="36"/>
        <v>32.22910790321292</v>
      </c>
      <c r="BK28" s="144">
        <f t="shared" si="36"/>
        <v>33.509734707314109</v>
      </c>
      <c r="BL28" s="546">
        <f>SUM(BH28:BK28)</f>
        <v>151.19933800421214</v>
      </c>
      <c r="BM28" s="161">
        <f>BM30/(1-BM41)-BM30</f>
        <v>33.157930510656982</v>
      </c>
      <c r="BN28" s="162">
        <f>BN30/(1-BN41)-BN30</f>
        <v>59.296354840784943</v>
      </c>
      <c r="BO28" s="162">
        <f>BO30/(1-BO41)-BO30</f>
        <v>34.866626094075258</v>
      </c>
      <c r="BP28" s="144">
        <f>BP30/(1-BP41)-BP30</f>
        <v>36.252054945495459</v>
      </c>
      <c r="BQ28" s="546">
        <f>SUM(BM28:BP28)</f>
        <v>163.57296639101264</v>
      </c>
      <c r="BR28" s="546"/>
    </row>
    <row r="29" spans="1:109">
      <c r="C29" s="553"/>
      <c r="D29" s="568"/>
      <c r="E29" s="161"/>
      <c r="F29" s="162"/>
      <c r="G29" s="162"/>
      <c r="H29" s="144"/>
      <c r="I29" s="546"/>
      <c r="J29" s="161"/>
      <c r="K29" s="162"/>
      <c r="L29" s="162"/>
      <c r="M29" s="144"/>
      <c r="N29" s="546"/>
      <c r="O29" s="161"/>
      <c r="P29" s="162"/>
      <c r="Q29" s="160"/>
      <c r="R29" s="144"/>
      <c r="S29" s="546"/>
      <c r="T29" s="161"/>
      <c r="U29" s="162"/>
      <c r="V29" s="579"/>
      <c r="W29" s="144"/>
      <c r="X29" s="1246"/>
      <c r="Y29" s="1236"/>
      <c r="Z29" s="1237"/>
      <c r="AA29" s="1237"/>
      <c r="AB29" s="1221"/>
      <c r="AC29" s="498"/>
      <c r="AD29" s="1236"/>
      <c r="AE29" s="1237"/>
      <c r="AF29" s="1237"/>
      <c r="AG29" s="1221"/>
      <c r="AH29" s="498"/>
      <c r="AI29" s="1236"/>
      <c r="AJ29" s="1237"/>
      <c r="AK29" s="1237"/>
      <c r="AL29" s="1221"/>
      <c r="AM29" s="498"/>
      <c r="AN29" s="1236"/>
      <c r="AO29" s="1237"/>
      <c r="AP29" s="1237"/>
      <c r="AQ29" s="1221"/>
      <c r="AR29" s="498"/>
      <c r="AS29" s="578"/>
      <c r="AT29" s="1237"/>
      <c r="AU29" s="1237"/>
      <c r="AV29" s="1221"/>
      <c r="AW29" s="498"/>
      <c r="AX29" s="578"/>
      <c r="AY29" s="579"/>
      <c r="AZ29" s="579"/>
      <c r="BA29" s="580"/>
      <c r="BB29" s="109"/>
      <c r="BC29" s="578"/>
      <c r="BD29" s="579"/>
      <c r="BE29" s="579"/>
      <c r="BF29" s="580"/>
      <c r="BG29" s="109"/>
      <c r="BH29" s="578"/>
      <c r="BI29" s="579"/>
      <c r="BJ29" s="579"/>
      <c r="BK29" s="580"/>
      <c r="BL29" s="109"/>
      <c r="BM29" s="578"/>
      <c r="BN29" s="579"/>
      <c r="BO29" s="579"/>
      <c r="BP29" s="580"/>
      <c r="BQ29" s="109"/>
      <c r="BR29" s="109"/>
    </row>
    <row r="30" spans="1:109">
      <c r="A30" s="489"/>
      <c r="B30" s="489"/>
      <c r="C30" s="545" t="s">
        <v>12</v>
      </c>
      <c r="D30" s="489"/>
      <c r="E30" s="149"/>
      <c r="F30" s="156"/>
      <c r="G30" s="156"/>
      <c r="H30" s="151"/>
      <c r="I30" s="489"/>
      <c r="J30" s="149"/>
      <c r="K30" s="156"/>
      <c r="L30" s="156"/>
      <c r="M30" s="151"/>
      <c r="N30" s="489"/>
      <c r="O30" s="149"/>
      <c r="P30" s="156"/>
      <c r="Q30" s="156"/>
      <c r="R30" s="151"/>
      <c r="S30" s="489"/>
      <c r="T30" s="149"/>
      <c r="U30" s="156"/>
      <c r="V30" s="156"/>
      <c r="W30" s="151"/>
      <c r="X30" s="573">
        <v>43</v>
      </c>
      <c r="Y30" s="256">
        <v>12</v>
      </c>
      <c r="Z30" s="572">
        <v>19</v>
      </c>
      <c r="AA30" s="572">
        <v>22</v>
      </c>
      <c r="AB30" s="151">
        <f>AC30-Z30-AA30-Y30</f>
        <v>27</v>
      </c>
      <c r="AC30" s="573">
        <v>80</v>
      </c>
      <c r="AD30" s="256">
        <v>24</v>
      </c>
      <c r="AE30" s="572">
        <v>47</v>
      </c>
      <c r="AF30" s="572">
        <v>43</v>
      </c>
      <c r="AG30" s="151">
        <f>AH30-AE30-AF30-AD30</f>
        <v>37</v>
      </c>
      <c r="AH30" s="573">
        <v>151</v>
      </c>
      <c r="AI30" s="256">
        <v>36</v>
      </c>
      <c r="AJ30" s="572">
        <v>65</v>
      </c>
      <c r="AK30" s="572">
        <v>46</v>
      </c>
      <c r="AL30" s="151">
        <f>AM30-AJ30-AK30-AI30</f>
        <v>44.199999999999989</v>
      </c>
      <c r="AM30" s="573">
        <v>191.2</v>
      </c>
      <c r="AN30" s="256">
        <v>43.9</v>
      </c>
      <c r="AO30" s="572">
        <v>94.6</v>
      </c>
      <c r="AP30" s="572">
        <v>69</v>
      </c>
      <c r="AQ30" s="151">
        <f>AR30-AO30-AP30-AN30</f>
        <v>58.800000000000018</v>
      </c>
      <c r="AR30" s="573">
        <v>266.3</v>
      </c>
      <c r="AS30" s="256">
        <v>71.8</v>
      </c>
      <c r="AT30" s="572">
        <v>128.4</v>
      </c>
      <c r="AU30" s="572">
        <v>75.5</v>
      </c>
      <c r="AV30" s="151">
        <f>AW30-AT30-AU30-AS30</f>
        <v>76.40000000000002</v>
      </c>
      <c r="AW30" s="573">
        <v>352.1</v>
      </c>
      <c r="AX30" s="149">
        <f>+AX78</f>
        <v>73.975566580172639</v>
      </c>
      <c r="AY30" s="156">
        <f>+AY78</f>
        <v>132.29056753334498</v>
      </c>
      <c r="AZ30" s="156">
        <f>+AZ78</f>
        <v>77.787677949902985</v>
      </c>
      <c r="BA30" s="151">
        <f>+BA78</f>
        <v>80.878579060495184</v>
      </c>
      <c r="BB30" s="489">
        <f>SUM(AX30:BA30)</f>
        <v>364.93239112391586</v>
      </c>
      <c r="BC30" s="149">
        <f>+BC78</f>
        <v>83.121782372428555</v>
      </c>
      <c r="BD30" s="156">
        <f>+BD78</f>
        <v>148.64675287771348</v>
      </c>
      <c r="BE30" s="156">
        <f>+BE78</f>
        <v>87.405216840088528</v>
      </c>
      <c r="BF30" s="151">
        <f>+BF78</f>
        <v>90.878271813866903</v>
      </c>
      <c r="BG30" s="489">
        <f>SUM(BC30:BF30)</f>
        <v>410.05202390409744</v>
      </c>
      <c r="BH30" s="149">
        <f>+BH78</f>
        <v>97.057282564156878</v>
      </c>
      <c r="BI30" s="156">
        <f>+BI78</f>
        <v>173.56761951584602</v>
      </c>
      <c r="BJ30" s="156">
        <f>+BJ78</f>
        <v>102.05884169350757</v>
      </c>
      <c r="BK30" s="151">
        <f>+BK78</f>
        <v>106.11415990649466</v>
      </c>
      <c r="BL30" s="489">
        <f>SUM(BH30:BK30)</f>
        <v>478.79790368000516</v>
      </c>
      <c r="BM30" s="149">
        <f>+BM78</f>
        <v>105.00011328374715</v>
      </c>
      <c r="BN30" s="156">
        <f>+BN78</f>
        <v>187.77179032915234</v>
      </c>
      <c r="BO30" s="156">
        <f>+BO78</f>
        <v>110.41098263123831</v>
      </c>
      <c r="BP30" s="151">
        <f>+BP78</f>
        <v>114.79817399406899</v>
      </c>
      <c r="BQ30" s="489">
        <f>SUM(BM30:BP30)</f>
        <v>517.98106023820685</v>
      </c>
      <c r="BR30" s="489"/>
      <c r="BS30" s="489"/>
      <c r="BT30" s="667"/>
      <c r="BU30" s="489"/>
      <c r="BV30" s="489"/>
      <c r="BW30" s="489"/>
      <c r="BX30" s="489"/>
      <c r="BY30" s="489"/>
      <c r="BZ30" s="489"/>
      <c r="CA30" s="489"/>
      <c r="CB30" s="489"/>
      <c r="CC30" s="489"/>
      <c r="CD30" s="489"/>
      <c r="CE30" s="489"/>
      <c r="CF30" s="489"/>
      <c r="CG30" s="489"/>
      <c r="CH30" s="489"/>
      <c r="CI30" s="489"/>
      <c r="CJ30" s="489"/>
      <c r="CK30" s="489"/>
      <c r="CL30" s="489"/>
      <c r="CM30" s="489"/>
      <c r="CN30" s="489"/>
      <c r="CO30" s="489"/>
      <c r="CP30" s="489"/>
      <c r="CQ30" s="489"/>
      <c r="CR30" s="489"/>
      <c r="CS30" s="489"/>
      <c r="CT30" s="489"/>
      <c r="CU30" s="489"/>
      <c r="CV30" s="489"/>
      <c r="CW30" s="489"/>
      <c r="CX30" s="489"/>
      <c r="CY30" s="489"/>
      <c r="CZ30" s="489"/>
    </row>
    <row r="31" spans="1:109">
      <c r="C31" s="50" t="s">
        <v>614</v>
      </c>
      <c r="E31" s="161"/>
      <c r="F31" s="162"/>
      <c r="G31" s="162"/>
      <c r="H31" s="144"/>
      <c r="I31" s="546"/>
      <c r="J31" s="161"/>
      <c r="K31" s="162"/>
      <c r="L31" s="162"/>
      <c r="M31" s="144"/>
      <c r="N31" s="546"/>
      <c r="O31" s="142"/>
      <c r="P31" s="159"/>
      <c r="Q31" s="159"/>
      <c r="R31" s="158"/>
      <c r="S31" s="546"/>
      <c r="T31" s="142"/>
      <c r="U31" s="159"/>
      <c r="V31" s="159"/>
      <c r="W31" s="158"/>
      <c r="X31" s="544">
        <f>SUM(T31:W31)</f>
        <v>0</v>
      </c>
      <c r="Y31" s="142">
        <v>0</v>
      </c>
      <c r="Z31" s="159">
        <v>0</v>
      </c>
      <c r="AA31" s="159">
        <v>0</v>
      </c>
      <c r="AB31" s="1221">
        <f>AC31-SUM(Y31:AA31)</f>
        <v>0</v>
      </c>
      <c r="AC31" s="145">
        <v>0</v>
      </c>
      <c r="AD31" s="142">
        <v>0</v>
      </c>
      <c r="AE31" s="159">
        <v>0</v>
      </c>
      <c r="AF31" s="159">
        <v>0</v>
      </c>
      <c r="AG31" s="1221">
        <f>AH31-SUM(AD31:AF31)</f>
        <v>0</v>
      </c>
      <c r="AH31" s="145">
        <v>0</v>
      </c>
      <c r="AI31" s="142">
        <v>0</v>
      </c>
      <c r="AJ31" s="159">
        <v>0</v>
      </c>
      <c r="AK31" s="159">
        <v>0</v>
      </c>
      <c r="AL31" s="1221">
        <f>AM31-SUM(AI31:AK31)</f>
        <v>0</v>
      </c>
      <c r="AM31" s="145">
        <v>0</v>
      </c>
      <c r="AN31" s="142">
        <v>0</v>
      </c>
      <c r="AO31" s="159">
        <v>0</v>
      </c>
      <c r="AP31" s="159">
        <v>0</v>
      </c>
      <c r="AQ31" s="1221">
        <f>AR31-SUM(AN31:AP31)</f>
        <v>0</v>
      </c>
      <c r="AR31" s="145">
        <v>0</v>
      </c>
      <c r="AS31" s="142">
        <v>0</v>
      </c>
      <c r="AT31" s="159">
        <v>0</v>
      </c>
      <c r="AU31" s="159">
        <v>0</v>
      </c>
      <c r="AV31" s="1221">
        <f>AW31-SUM(AS31:AU31)</f>
        <v>2.1</v>
      </c>
      <c r="AW31" s="145">
        <v>2.1</v>
      </c>
      <c r="AX31" s="171">
        <v>0</v>
      </c>
      <c r="AY31" s="172">
        <v>0</v>
      </c>
      <c r="AZ31" s="172">
        <v>0</v>
      </c>
      <c r="BA31" s="173">
        <v>0</v>
      </c>
      <c r="BB31" s="561">
        <f>SUM(AX31:BA31)</f>
        <v>0</v>
      </c>
      <c r="BC31" s="171">
        <v>0</v>
      </c>
      <c r="BD31" s="172">
        <v>0</v>
      </c>
      <c r="BE31" s="172">
        <v>0</v>
      </c>
      <c r="BF31" s="173">
        <v>0</v>
      </c>
      <c r="BG31" s="561">
        <f>SUM(BC31:BF31)</f>
        <v>0</v>
      </c>
      <c r="BH31" s="171">
        <v>0</v>
      </c>
      <c r="BI31" s="172">
        <v>0</v>
      </c>
      <c r="BJ31" s="172">
        <v>0</v>
      </c>
      <c r="BK31" s="173">
        <v>0</v>
      </c>
      <c r="BL31" s="561">
        <f>SUM(BH31:BK31)</f>
        <v>0</v>
      </c>
      <c r="BM31" s="171">
        <v>0</v>
      </c>
      <c r="BN31" s="172">
        <v>0</v>
      </c>
      <c r="BO31" s="172">
        <v>0</v>
      </c>
      <c r="BP31" s="173">
        <v>0</v>
      </c>
      <c r="BQ31" s="561">
        <f>SUM(BM31:BP31)</f>
        <v>0</v>
      </c>
      <c r="BR31" s="577"/>
    </row>
    <row r="32" spans="1:109">
      <c r="A32" s="568"/>
      <c r="B32" s="568"/>
      <c r="C32" s="545" t="s">
        <v>16</v>
      </c>
      <c r="D32" s="568"/>
      <c r="E32" s="149"/>
      <c r="F32" s="156"/>
      <c r="G32" s="156"/>
      <c r="H32" s="151"/>
      <c r="I32" s="489"/>
      <c r="J32" s="149"/>
      <c r="K32" s="156"/>
      <c r="L32" s="156"/>
      <c r="M32" s="151"/>
      <c r="N32" s="489"/>
      <c r="O32" s="149"/>
      <c r="P32" s="156"/>
      <c r="Q32" s="156"/>
      <c r="R32" s="151"/>
      <c r="S32" s="489"/>
      <c r="T32" s="149"/>
      <c r="U32" s="156"/>
      <c r="V32" s="156"/>
      <c r="W32" s="151"/>
      <c r="X32" s="489">
        <f t="shared" ref="X32:AF32" si="37">SUM(X30:X31)</f>
        <v>43</v>
      </c>
      <c r="Y32" s="149">
        <f t="shared" si="37"/>
        <v>12</v>
      </c>
      <c r="Z32" s="156">
        <f t="shared" si="37"/>
        <v>19</v>
      </c>
      <c r="AA32" s="156">
        <f t="shared" si="37"/>
        <v>22</v>
      </c>
      <c r="AB32" s="151">
        <f t="shared" si="37"/>
        <v>27</v>
      </c>
      <c r="AC32" s="489">
        <f t="shared" si="37"/>
        <v>80</v>
      </c>
      <c r="AD32" s="149">
        <f t="shared" si="37"/>
        <v>24</v>
      </c>
      <c r="AE32" s="156">
        <f t="shared" si="37"/>
        <v>47</v>
      </c>
      <c r="AF32" s="156">
        <f t="shared" si="37"/>
        <v>43</v>
      </c>
      <c r="AG32" s="151">
        <f t="shared" ref="AG32:AM32" si="38">SUM(AG30:AG31)</f>
        <v>37</v>
      </c>
      <c r="AH32" s="489">
        <f t="shared" si="38"/>
        <v>151</v>
      </c>
      <c r="AI32" s="149">
        <f t="shared" si="38"/>
        <v>36</v>
      </c>
      <c r="AJ32" s="156">
        <f t="shared" si="38"/>
        <v>65</v>
      </c>
      <c r="AK32" s="156">
        <f t="shared" si="38"/>
        <v>46</v>
      </c>
      <c r="AL32" s="151">
        <f t="shared" si="38"/>
        <v>44.199999999999989</v>
      </c>
      <c r="AM32" s="489">
        <f t="shared" si="38"/>
        <v>191.2</v>
      </c>
      <c r="AN32" s="149">
        <f t="shared" ref="AN32:AU32" si="39">SUM(AN30:AN31)</f>
        <v>43.9</v>
      </c>
      <c r="AO32" s="156">
        <f t="shared" si="39"/>
        <v>94.6</v>
      </c>
      <c r="AP32" s="156">
        <f t="shared" si="39"/>
        <v>69</v>
      </c>
      <c r="AQ32" s="151">
        <f t="shared" si="39"/>
        <v>58.800000000000018</v>
      </c>
      <c r="AR32" s="489">
        <f t="shared" si="39"/>
        <v>266.3</v>
      </c>
      <c r="AS32" s="149">
        <f>SUM(AS30:AS31)</f>
        <v>71.8</v>
      </c>
      <c r="AT32" s="156">
        <f t="shared" si="39"/>
        <v>128.4</v>
      </c>
      <c r="AU32" s="156">
        <f t="shared" si="39"/>
        <v>75.5</v>
      </c>
      <c r="AV32" s="151">
        <f t="shared" ref="AV32:AW32" si="40">SUM(AV30:AV31)</f>
        <v>78.500000000000014</v>
      </c>
      <c r="AW32" s="489">
        <f t="shared" si="40"/>
        <v>354.20000000000005</v>
      </c>
      <c r="AX32" s="149">
        <f t="shared" ref="AX32:BL32" si="41">SUM(AX30:AX31)</f>
        <v>73.975566580172639</v>
      </c>
      <c r="AY32" s="156">
        <f t="shared" si="41"/>
        <v>132.29056753334498</v>
      </c>
      <c r="AZ32" s="156">
        <f t="shared" si="41"/>
        <v>77.787677949902985</v>
      </c>
      <c r="BA32" s="151">
        <f t="shared" si="41"/>
        <v>80.878579060495184</v>
      </c>
      <c r="BB32" s="489">
        <f t="shared" si="41"/>
        <v>364.93239112391586</v>
      </c>
      <c r="BC32" s="149">
        <f t="shared" si="41"/>
        <v>83.121782372428555</v>
      </c>
      <c r="BD32" s="156">
        <f t="shared" si="41"/>
        <v>148.64675287771348</v>
      </c>
      <c r="BE32" s="156">
        <f t="shared" si="41"/>
        <v>87.405216840088528</v>
      </c>
      <c r="BF32" s="151">
        <f t="shared" si="41"/>
        <v>90.878271813866903</v>
      </c>
      <c r="BG32" s="489">
        <f t="shared" si="41"/>
        <v>410.05202390409744</v>
      </c>
      <c r="BH32" s="149">
        <f t="shared" si="41"/>
        <v>97.057282564156878</v>
      </c>
      <c r="BI32" s="156">
        <f t="shared" si="41"/>
        <v>173.56761951584602</v>
      </c>
      <c r="BJ32" s="156">
        <f t="shared" si="41"/>
        <v>102.05884169350757</v>
      </c>
      <c r="BK32" s="151">
        <f t="shared" si="41"/>
        <v>106.11415990649466</v>
      </c>
      <c r="BL32" s="489">
        <f t="shared" si="41"/>
        <v>478.79790368000516</v>
      </c>
      <c r="BM32" s="149">
        <f>SUM(BM30:BM31)</f>
        <v>105.00011328374715</v>
      </c>
      <c r="BN32" s="156">
        <f>SUM(BN30:BN31)</f>
        <v>187.77179032915234</v>
      </c>
      <c r="BO32" s="156">
        <f>SUM(BO30:BO31)</f>
        <v>110.41098263123831</v>
      </c>
      <c r="BP32" s="151">
        <f>SUM(BP30:BP31)</f>
        <v>114.79817399406899</v>
      </c>
      <c r="BQ32" s="489">
        <f>SUM(BQ30:BQ31)</f>
        <v>517.98106023820685</v>
      </c>
      <c r="BR32" s="489"/>
      <c r="BS32" s="568"/>
      <c r="BT32" s="568"/>
      <c r="BU32" s="568"/>
      <c r="BV32" s="568"/>
      <c r="BW32" s="568"/>
      <c r="BX32" s="568"/>
      <c r="BY32" s="568"/>
      <c r="BZ32" s="568"/>
      <c r="CA32" s="568"/>
      <c r="CB32" s="568"/>
      <c r="CC32" s="568"/>
      <c r="CD32" s="568"/>
      <c r="CE32" s="568"/>
      <c r="CF32" s="568"/>
      <c r="CG32" s="568"/>
      <c r="CH32" s="568"/>
      <c r="CI32" s="568"/>
      <c r="CJ32" s="568"/>
      <c r="CK32" s="568"/>
      <c r="CL32" s="568"/>
      <c r="CM32" s="568"/>
      <c r="CN32" s="568"/>
      <c r="CO32" s="568"/>
      <c r="CP32" s="568"/>
      <c r="CQ32" s="568"/>
      <c r="CR32" s="568"/>
      <c r="CS32" s="568"/>
      <c r="CT32" s="568"/>
      <c r="CU32" s="568"/>
      <c r="CV32" s="568"/>
      <c r="CW32" s="568"/>
      <c r="CX32" s="568"/>
      <c r="CY32" s="568"/>
      <c r="CZ32" s="568"/>
    </row>
    <row r="33" spans="1:104">
      <c r="E33" s="161"/>
      <c r="F33" s="162"/>
      <c r="G33" s="162"/>
      <c r="H33" s="144"/>
      <c r="I33" s="109"/>
      <c r="J33" s="161"/>
      <c r="K33" s="162"/>
      <c r="L33" s="162"/>
      <c r="M33" s="144"/>
      <c r="N33" s="109"/>
      <c r="O33" s="161"/>
      <c r="P33" s="222"/>
      <c r="Q33" s="581"/>
      <c r="R33" s="144"/>
      <c r="S33" s="109"/>
      <c r="T33" s="161"/>
      <c r="U33" s="222"/>
      <c r="V33" s="579"/>
      <c r="W33" s="144"/>
      <c r="X33" s="498"/>
      <c r="Y33" s="1236"/>
      <c r="Z33" s="1237"/>
      <c r="AA33" s="1237"/>
      <c r="AB33" s="1221"/>
      <c r="AC33" s="498"/>
      <c r="AD33" s="1236"/>
      <c r="AE33" s="1237"/>
      <c r="AF33" s="1237"/>
      <c r="AG33" s="1221"/>
      <c r="AH33" s="498"/>
      <c r="AI33" s="1236"/>
      <c r="AJ33" s="1237"/>
      <c r="AK33" s="1237"/>
      <c r="AL33" s="1221"/>
      <c r="AM33" s="498"/>
      <c r="AN33" s="1236"/>
      <c r="AO33" s="1237"/>
      <c r="AP33" s="1237"/>
      <c r="AQ33" s="1221"/>
      <c r="AR33" s="498"/>
      <c r="AS33" s="1236"/>
      <c r="AT33" s="1237"/>
      <c r="AU33" s="1237"/>
      <c r="AV33" s="1221"/>
      <c r="AW33" s="498"/>
      <c r="AX33" s="578"/>
      <c r="AY33" s="579"/>
      <c r="AZ33" s="579"/>
      <c r="BA33" s="580"/>
      <c r="BB33" s="109"/>
      <c r="BC33" s="578"/>
      <c r="BD33" s="579"/>
      <c r="BE33" s="579"/>
      <c r="BF33" s="580"/>
      <c r="BG33" s="109"/>
      <c r="BH33" s="578"/>
      <c r="BI33" s="579"/>
      <c r="BJ33" s="579"/>
      <c r="BK33" s="580"/>
      <c r="BL33" s="109"/>
      <c r="BM33" s="578"/>
      <c r="BN33" s="579"/>
      <c r="BO33" s="579"/>
      <c r="BP33" s="580"/>
      <c r="BQ33" s="109"/>
      <c r="BR33" s="109"/>
    </row>
    <row r="34" spans="1:104">
      <c r="C34" s="113" t="s">
        <v>898</v>
      </c>
      <c r="E34" s="161"/>
      <c r="F34" s="162"/>
      <c r="G34" s="162"/>
      <c r="H34" s="144"/>
      <c r="I34" s="109"/>
      <c r="J34" s="161"/>
      <c r="K34" s="160"/>
      <c r="L34" s="160"/>
      <c r="M34" s="144"/>
      <c r="N34" s="109"/>
      <c r="O34" s="161"/>
      <c r="P34" s="160"/>
      <c r="Q34" s="160"/>
      <c r="R34" s="144"/>
      <c r="S34" s="109"/>
      <c r="T34" s="161"/>
      <c r="U34" s="160"/>
      <c r="V34" s="160"/>
      <c r="W34" s="144"/>
      <c r="X34" s="498">
        <f>+AEP!X51</f>
        <v>484.68246900000003</v>
      </c>
      <c r="Y34" s="1236">
        <f>+AEP!Y51</f>
        <v>485.823668</v>
      </c>
      <c r="Z34" s="1238">
        <f>+AEP!Z51</f>
        <v>486.293026</v>
      </c>
      <c r="AA34" s="1238">
        <f>+AEP!AA51</f>
        <v>486.93274700000001</v>
      </c>
      <c r="AB34" s="1221">
        <f>+AEP!AB51</f>
        <v>487</v>
      </c>
      <c r="AC34" s="498">
        <f>+AEP!AC51</f>
        <v>486.61955499999999</v>
      </c>
      <c r="AD34" s="1236">
        <f>+AEP!AD51</f>
        <v>487.86708900000002</v>
      </c>
      <c r="AE34" s="1238">
        <f>+AEP!AE51</f>
        <v>488.29157600000002</v>
      </c>
      <c r="AF34" s="1238">
        <f>+AEP!AF51</f>
        <v>488.912892</v>
      </c>
      <c r="AG34" s="1221">
        <f>+AEP!AG51</f>
        <v>489</v>
      </c>
      <c r="AH34" s="498">
        <f>+AEP!AH51</f>
        <v>488.59299700000003</v>
      </c>
      <c r="AI34" s="1236">
        <f>+AEP!AI51</f>
        <v>489.59798599999999</v>
      </c>
      <c r="AJ34" s="1238">
        <f>+AEP!AJ51</f>
        <v>490.20748200000003</v>
      </c>
      <c r="AK34" s="1238">
        <f>+AEP!AK51</f>
        <v>490.64892900000001</v>
      </c>
      <c r="AL34" s="1221">
        <f>+AEP!AL51</f>
        <v>491</v>
      </c>
      <c r="AM34" s="498">
        <f>+AEP!AM51</f>
        <v>490.34052200000002</v>
      </c>
      <c r="AN34" s="1236">
        <f>+AEP!AN51</f>
        <v>491.10839199999998</v>
      </c>
      <c r="AO34" s="1238">
        <f>+AEP!AO51</f>
        <v>491.459541</v>
      </c>
      <c r="AP34" s="1238">
        <f>+AEP!AP51</f>
        <v>491.69780900000001</v>
      </c>
      <c r="AQ34" s="1221">
        <f>+AEP!AQ51</f>
        <v>492</v>
      </c>
      <c r="AR34" s="498">
        <f>+AEP!AR51</f>
        <v>491.49545799999999</v>
      </c>
      <c r="AS34" s="1236">
        <f>+AEP!AS51</f>
        <v>491.712042</v>
      </c>
      <c r="AT34" s="1238">
        <f>+AEP!AT51</f>
        <v>491.790752</v>
      </c>
      <c r="AU34" s="1238">
        <f>+AEP!AU51</f>
        <v>491.84072200000003</v>
      </c>
      <c r="AV34" s="1221">
        <f>+AEP!AV51</f>
        <v>492</v>
      </c>
      <c r="AW34" s="498">
        <f>+AEP!AW51</f>
        <v>491.81465100000003</v>
      </c>
      <c r="AX34" s="161">
        <f>+AEP!AX51</f>
        <v>492.18707302903601</v>
      </c>
      <c r="AY34" s="160">
        <f>+AEP!AY51</f>
        <v>492.550023087108</v>
      </c>
      <c r="AZ34" s="160">
        <f>+AEP!AZ51</f>
        <v>492.91297314517999</v>
      </c>
      <c r="BA34" s="144">
        <f>+AEP!BA51</f>
        <v>493.27592320325198</v>
      </c>
      <c r="BB34" s="109">
        <f>+AEP!BB51</f>
        <v>492.731498116144</v>
      </c>
      <c r="BC34" s="161">
        <f>+AEP!BC51</f>
        <v>493.63887326132397</v>
      </c>
      <c r="BD34" s="160">
        <f>+AEP!BD51</f>
        <v>494.00182331939595</v>
      </c>
      <c r="BE34" s="160">
        <f>+AEP!BE51</f>
        <v>494.36477337746794</v>
      </c>
      <c r="BF34" s="144">
        <f>+AEP!BF51</f>
        <v>494.72772343553993</v>
      </c>
      <c r="BG34" s="109">
        <f>+AEP!BG51</f>
        <v>494.18329834843195</v>
      </c>
      <c r="BH34" s="161">
        <f>+AEP!BH51</f>
        <v>495.81657360975595</v>
      </c>
      <c r="BI34" s="160">
        <f>+AEP!BI51</f>
        <v>497.631323900116</v>
      </c>
      <c r="BJ34" s="160">
        <f>+AEP!BJ51</f>
        <v>499.44607419047605</v>
      </c>
      <c r="BK34" s="144">
        <f>+AEP!BK51</f>
        <v>501.26082448083611</v>
      </c>
      <c r="BL34" s="109">
        <f>+AEP!BL51</f>
        <v>498.53869904529603</v>
      </c>
      <c r="BM34" s="161">
        <f>+AEP!BM51</f>
        <v>503.48389358652719</v>
      </c>
      <c r="BN34" s="160">
        <f>+AEP!BN51</f>
        <v>506.11528150754918</v>
      </c>
      <c r="BO34" s="160">
        <f>+AEP!BO51</f>
        <v>508.74666942857129</v>
      </c>
      <c r="BP34" s="144">
        <f>+AEP!BP51</f>
        <v>511.37805734959335</v>
      </c>
      <c r="BQ34" s="109">
        <f>+AEP!BQ51</f>
        <v>507.43097546806024</v>
      </c>
      <c r="BR34" s="109"/>
    </row>
    <row r="35" spans="1:104">
      <c r="C35" s="100" t="s">
        <v>901</v>
      </c>
      <c r="E35" s="161"/>
      <c r="F35" s="162"/>
      <c r="G35" s="162"/>
      <c r="H35" s="144"/>
      <c r="I35" s="109"/>
      <c r="J35" s="161"/>
      <c r="K35" s="160"/>
      <c r="L35" s="160"/>
      <c r="M35" s="144"/>
      <c r="N35" s="109"/>
      <c r="O35" s="161"/>
      <c r="P35" s="160"/>
      <c r="Q35" s="160"/>
      <c r="R35" s="144"/>
      <c r="S35" s="109"/>
      <c r="T35" s="161"/>
      <c r="U35" s="160"/>
      <c r="V35" s="160"/>
      <c r="W35" s="144"/>
      <c r="X35" s="498">
        <f>+AEP!X52</f>
        <v>485.08469400000001</v>
      </c>
      <c r="Y35" s="1236">
        <f>+AEP!Y52</f>
        <v>486.34403600000002</v>
      </c>
      <c r="Z35" s="1238">
        <f>+AEP!Z52</f>
        <v>486.86361499999998</v>
      </c>
      <c r="AA35" s="1238">
        <f>+AEP!AA52</f>
        <v>487.25890500000003</v>
      </c>
      <c r="AB35" s="1221">
        <f>+AEP!AB52</f>
        <v>487</v>
      </c>
      <c r="AC35" s="498">
        <f>+AEP!AC52</f>
        <v>487.04095599999999</v>
      </c>
      <c r="AD35" s="1236">
        <f>+AEP!AD52</f>
        <v>488.27116699999999</v>
      </c>
      <c r="AE35" s="1238">
        <f>+AEP!AE52</f>
        <v>488.53822700000001</v>
      </c>
      <c r="AF35" s="1238">
        <f>+AEP!AF52</f>
        <v>488.97064699999999</v>
      </c>
      <c r="AG35" s="1221">
        <f>+AEP!AG52</f>
        <v>489</v>
      </c>
      <c r="AH35" s="498">
        <f>+AEP!AH52</f>
        <v>488.89983999999998</v>
      </c>
      <c r="AI35" s="1236">
        <f>+AEP!AI52</f>
        <v>489.93672600000002</v>
      </c>
      <c r="AJ35" s="1238">
        <f>+AEP!AJ52</f>
        <v>490.48444999999998</v>
      </c>
      <c r="AK35" s="1238">
        <f>+AEP!AK52</f>
        <v>490.80033500000002</v>
      </c>
      <c r="AL35" s="1221">
        <f>+AEP!AL52</f>
        <v>491</v>
      </c>
      <c r="AM35" s="498">
        <f>+AEP!AM52</f>
        <v>490.574568</v>
      </c>
      <c r="AN35" s="1236">
        <f>+AEP!AN52</f>
        <v>491.33230500000002</v>
      </c>
      <c r="AO35" s="1238">
        <f>+AEP!AO52</f>
        <v>491.64139999999998</v>
      </c>
      <c r="AP35" s="1238">
        <f>+AEP!AP52</f>
        <v>491.81385799999998</v>
      </c>
      <c r="AQ35" s="1221">
        <f>+AEP!AQ52</f>
        <v>492</v>
      </c>
      <c r="AR35" s="498">
        <f>+AEP!AR52</f>
        <v>491.66200700000002</v>
      </c>
      <c r="AS35" s="1236">
        <f>+AEP!AS52</f>
        <v>492.03197499999999</v>
      </c>
      <c r="AT35" s="1238">
        <f>+AEP!AT52</f>
        <v>492.64210000000003</v>
      </c>
      <c r="AU35" s="1238">
        <f>+AEP!AU52</f>
        <v>492.98630700000001</v>
      </c>
      <c r="AV35" s="1221">
        <f>+AEP!AV52</f>
        <v>492</v>
      </c>
      <c r="AW35" s="498">
        <f>+AEP!AW52</f>
        <v>492.61106699999999</v>
      </c>
      <c r="AX35" s="161">
        <f>+AEP!AX52</f>
        <v>492.18707302903601</v>
      </c>
      <c r="AY35" s="160">
        <f>+AEP!AY52</f>
        <v>492.550023087108</v>
      </c>
      <c r="AZ35" s="160">
        <f>+AEP!AZ52</f>
        <v>492.91297314517999</v>
      </c>
      <c r="BA35" s="144">
        <f>+AEP!BA52</f>
        <v>493.27592320325198</v>
      </c>
      <c r="BB35" s="109">
        <f>+AEP!BB52</f>
        <v>492.731498116144</v>
      </c>
      <c r="BC35" s="161">
        <f>+AEP!BC52</f>
        <v>493.63887326132397</v>
      </c>
      <c r="BD35" s="160">
        <f>+AEP!BD52</f>
        <v>494.00182331939595</v>
      </c>
      <c r="BE35" s="160">
        <f>+AEP!BE52</f>
        <v>494.36477337746794</v>
      </c>
      <c r="BF35" s="144">
        <f>+AEP!BF52</f>
        <v>494.72772343553993</v>
      </c>
      <c r="BG35" s="109">
        <f>+AEP!BG52</f>
        <v>494.18329834843195</v>
      </c>
      <c r="BH35" s="161">
        <f>+AEP!BH52</f>
        <v>495.81657360975595</v>
      </c>
      <c r="BI35" s="160">
        <f>+AEP!BI52</f>
        <v>497.631323900116</v>
      </c>
      <c r="BJ35" s="160">
        <f>+AEP!BJ52</f>
        <v>499.44607419047605</v>
      </c>
      <c r="BK35" s="144">
        <f>+AEP!BK52</f>
        <v>501.26082448083611</v>
      </c>
      <c r="BL35" s="109">
        <f>+AEP!BL52</f>
        <v>498.53869904529603</v>
      </c>
      <c r="BM35" s="161">
        <f>+AEP!BM52</f>
        <v>503.48389358652719</v>
      </c>
      <c r="BN35" s="160">
        <f>+AEP!BN52</f>
        <v>506.11528150754918</v>
      </c>
      <c r="BO35" s="160">
        <f>+AEP!BO52</f>
        <v>508.74666942857129</v>
      </c>
      <c r="BP35" s="144">
        <f>+AEP!BP52</f>
        <v>511.37805734959335</v>
      </c>
      <c r="BQ35" s="109">
        <f>+AEP!BQ52</f>
        <v>507.43097546806024</v>
      </c>
      <c r="BR35" s="109"/>
      <c r="BT35" s="75"/>
    </row>
    <row r="36" spans="1:104">
      <c r="C36" s="56"/>
      <c r="E36" s="578"/>
      <c r="F36" s="579"/>
      <c r="G36" s="579"/>
      <c r="H36" s="580"/>
      <c r="I36" s="561"/>
      <c r="J36" s="578"/>
      <c r="K36" s="579"/>
      <c r="L36" s="579"/>
      <c r="M36" s="580"/>
      <c r="N36" s="561"/>
      <c r="O36" s="578"/>
      <c r="P36" s="579"/>
      <c r="Q36" s="579"/>
      <c r="R36" s="580"/>
      <c r="S36" s="561"/>
      <c r="T36" s="578"/>
      <c r="U36" s="579"/>
      <c r="V36" s="579"/>
      <c r="W36" s="580"/>
      <c r="X36" s="498"/>
      <c r="Y36" s="1236"/>
      <c r="Z36" s="1237"/>
      <c r="AA36" s="1237"/>
      <c r="AB36" s="1221"/>
      <c r="AC36" s="498"/>
      <c r="AD36" s="1236"/>
      <c r="AE36" s="1237"/>
      <c r="AF36" s="1237"/>
      <c r="AG36" s="1221"/>
      <c r="AH36" s="498"/>
      <c r="AI36" s="1236"/>
      <c r="AJ36" s="1237"/>
      <c r="AK36" s="1237"/>
      <c r="AL36" s="1221"/>
      <c r="AM36" s="561"/>
      <c r="AN36" s="1236"/>
      <c r="AO36" s="1237"/>
      <c r="AP36" s="1237"/>
      <c r="AQ36" s="1221"/>
      <c r="AR36" s="561"/>
      <c r="AS36" s="1236"/>
      <c r="AT36" s="1237"/>
      <c r="AU36" s="1237"/>
      <c r="AV36" s="1221"/>
      <c r="AW36" s="561"/>
      <c r="AX36" s="578"/>
      <c r="AY36" s="579"/>
      <c r="AZ36" s="579"/>
      <c r="BA36" s="580"/>
      <c r="BB36" s="561"/>
      <c r="BC36" s="578"/>
      <c r="BD36" s="579"/>
      <c r="BE36" s="579"/>
      <c r="BF36" s="580"/>
      <c r="BG36" s="561"/>
      <c r="BH36" s="578"/>
      <c r="BI36" s="579"/>
      <c r="BJ36" s="579"/>
      <c r="BK36" s="580"/>
      <c r="BL36" s="561"/>
      <c r="BM36" s="578"/>
      <c r="BN36" s="579"/>
      <c r="BO36" s="579"/>
      <c r="BP36" s="580"/>
      <c r="BQ36" s="561"/>
      <c r="BR36" s="561"/>
    </row>
    <row r="37" spans="1:104">
      <c r="C37" t="s">
        <v>196</v>
      </c>
      <c r="E37" s="215"/>
      <c r="F37" s="756"/>
      <c r="G37" s="756"/>
      <c r="H37" s="217"/>
      <c r="I37" s="86"/>
      <c r="J37" s="215"/>
      <c r="K37" s="216"/>
      <c r="L37" s="216"/>
      <c r="M37" s="217"/>
      <c r="N37" s="86"/>
      <c r="O37" s="215"/>
      <c r="P37" s="216"/>
      <c r="Q37" s="216"/>
      <c r="R37" s="217"/>
      <c r="S37" s="86"/>
      <c r="T37" s="215"/>
      <c r="U37" s="216"/>
      <c r="V37" s="216"/>
      <c r="W37" s="217"/>
      <c r="X37" s="86">
        <f t="shared" ref="X37:AQ37" si="42">X30/X35</f>
        <v>8.8644314141150773E-2</v>
      </c>
      <c r="Y37" s="215">
        <f t="shared" si="42"/>
        <v>2.4673891549479184E-2</v>
      </c>
      <c r="Z37" s="216">
        <f t="shared" si="42"/>
        <v>3.9025302804770082E-2</v>
      </c>
      <c r="AA37" s="216">
        <f t="shared" si="42"/>
        <v>4.515053449869736E-2</v>
      </c>
      <c r="AB37" s="217">
        <f t="shared" si="42"/>
        <v>5.5441478439425054E-2</v>
      </c>
      <c r="AC37" s="86">
        <f t="shared" si="42"/>
        <v>0.16425723343069326</v>
      </c>
      <c r="AD37" s="215">
        <f t="shared" si="42"/>
        <v>4.915301500897349E-2</v>
      </c>
      <c r="AE37" s="216">
        <f t="shared" si="42"/>
        <v>9.6205368182989706E-2</v>
      </c>
      <c r="AF37" s="216">
        <f t="shared" si="42"/>
        <v>8.7939839055410626E-2</v>
      </c>
      <c r="AG37" s="217">
        <f t="shared" ref="AG37:AL37" si="43">AG30/AG35</f>
        <v>7.5664621676891614E-2</v>
      </c>
      <c r="AH37" s="86">
        <f t="shared" si="43"/>
        <v>0.30885671797315378</v>
      </c>
      <c r="AI37" s="215">
        <f t="shared" si="43"/>
        <v>7.3478876127363438E-2</v>
      </c>
      <c r="AJ37" s="216">
        <f t="shared" si="43"/>
        <v>0.13252204019923569</v>
      </c>
      <c r="AK37" s="216">
        <f t="shared" si="43"/>
        <v>9.3724467404856196E-2</v>
      </c>
      <c r="AL37" s="217">
        <f t="shared" si="43"/>
        <v>9.0020366598777976E-2</v>
      </c>
      <c r="AM37" s="86">
        <f t="shared" si="42"/>
        <v>0.38974706899196615</v>
      </c>
      <c r="AN37" s="215">
        <f t="shared" si="42"/>
        <v>8.934889799277497E-2</v>
      </c>
      <c r="AO37" s="216">
        <f t="shared" si="42"/>
        <v>0.1924166679209684</v>
      </c>
      <c r="AP37" s="216">
        <f t="shared" si="42"/>
        <v>0.14029698203420693</v>
      </c>
      <c r="AQ37" s="217">
        <f t="shared" si="42"/>
        <v>0.11951219512195126</v>
      </c>
      <c r="AR37" s="86">
        <f t="shared" ref="AR37:AV37" si="44">AR30/AR35</f>
        <v>0.54163225184898212</v>
      </c>
      <c r="AS37" s="215">
        <f t="shared" si="44"/>
        <v>0.14592547567665698</v>
      </c>
      <c r="AT37" s="216">
        <f t="shared" si="44"/>
        <v>0.26063545929184695</v>
      </c>
      <c r="AU37" s="216">
        <f t="shared" si="44"/>
        <v>0.1531482698970785</v>
      </c>
      <c r="AV37" s="217">
        <f t="shared" si="44"/>
        <v>0.1552845528455285</v>
      </c>
      <c r="AW37" s="86">
        <f t="shared" ref="AW37" si="45">AW30/AW35</f>
        <v>0.7147626669134497</v>
      </c>
      <c r="AX37" s="215">
        <f t="shared" ref="AX37:BL37" si="46">AX30/AX35</f>
        <v>0.15029969422989811</v>
      </c>
      <c r="AY37" s="216">
        <f t="shared" si="46"/>
        <v>0.26858300950673036</v>
      </c>
      <c r="AZ37" s="216">
        <f t="shared" si="46"/>
        <v>0.15781219441954475</v>
      </c>
      <c r="BA37" s="217">
        <f t="shared" si="46"/>
        <v>0.16396214624724254</v>
      </c>
      <c r="BB37" s="86">
        <f t="shared" si="46"/>
        <v>0.74063134286961285</v>
      </c>
      <c r="BC37" s="215">
        <f t="shared" si="46"/>
        <v>0.16838581172359435</v>
      </c>
      <c r="BD37" s="216">
        <f t="shared" si="46"/>
        <v>0.30090324743924318</v>
      </c>
      <c r="BE37" s="216">
        <f t="shared" si="46"/>
        <v>0.17680308457850219</v>
      </c>
      <c r="BF37" s="217">
        <f t="shared" si="46"/>
        <v>0.18369350959913974</v>
      </c>
      <c r="BG37" s="86">
        <f t="shared" si="46"/>
        <v>0.82975694499287511</v>
      </c>
      <c r="BH37" s="215">
        <f t="shared" si="46"/>
        <v>0.19575239661219571</v>
      </c>
      <c r="BI37" s="216">
        <f t="shared" si="46"/>
        <v>0.34878756858698934</v>
      </c>
      <c r="BJ37" s="216">
        <f t="shared" si="46"/>
        <v>0.20434406629169924</v>
      </c>
      <c r="BK37" s="217">
        <f t="shared" si="46"/>
        <v>0.21169450059537129</v>
      </c>
      <c r="BL37" s="86">
        <f t="shared" si="46"/>
        <v>0.96040268207243573</v>
      </c>
      <c r="BM37" s="215">
        <f>BM30/BM35</f>
        <v>0.2085471146570097</v>
      </c>
      <c r="BN37" s="216">
        <f>BN30/BN35</f>
        <v>0.37100596877818548</v>
      </c>
      <c r="BO37" s="216">
        <f>BO30/BO35</f>
        <v>0.21702546525808786</v>
      </c>
      <c r="BP37" s="217">
        <f>BP30/BP35</f>
        <v>0.22448787613033916</v>
      </c>
      <c r="BQ37" s="86">
        <f>BQ30/BQ35</f>
        <v>1.0207911721597507</v>
      </c>
      <c r="BR37" s="86"/>
    </row>
    <row r="38" spans="1:104">
      <c r="C38" s="178" t="s">
        <v>197</v>
      </c>
      <c r="D38" s="179"/>
      <c r="E38" s="180"/>
      <c r="F38" s="105"/>
      <c r="G38" s="105"/>
      <c r="H38" s="106"/>
      <c r="I38" s="181"/>
      <c r="J38" s="180"/>
      <c r="K38" s="105"/>
      <c r="L38" s="105"/>
      <c r="M38" s="106"/>
      <c r="N38" s="181"/>
      <c r="O38" s="180"/>
      <c r="P38" s="105"/>
      <c r="Q38" s="105"/>
      <c r="R38" s="106"/>
      <c r="S38" s="181"/>
      <c r="T38" s="180"/>
      <c r="U38" s="105"/>
      <c r="V38" s="105"/>
      <c r="W38" s="106"/>
      <c r="X38" s="181">
        <f t="shared" ref="X38:AF38" si="47">X32/X35</f>
        <v>8.8644314141150773E-2</v>
      </c>
      <c r="Y38" s="180">
        <f t="shared" si="47"/>
        <v>2.4673891549479184E-2</v>
      </c>
      <c r="Z38" s="105">
        <f t="shared" si="47"/>
        <v>3.9025302804770082E-2</v>
      </c>
      <c r="AA38" s="105">
        <f t="shared" si="47"/>
        <v>4.515053449869736E-2</v>
      </c>
      <c r="AB38" s="106">
        <f t="shared" si="47"/>
        <v>5.5441478439425054E-2</v>
      </c>
      <c r="AC38" s="181">
        <f t="shared" si="47"/>
        <v>0.16425723343069326</v>
      </c>
      <c r="AD38" s="180">
        <f t="shared" si="47"/>
        <v>4.915301500897349E-2</v>
      </c>
      <c r="AE38" s="105">
        <f t="shared" si="47"/>
        <v>9.6205368182989706E-2</v>
      </c>
      <c r="AF38" s="105">
        <f t="shared" si="47"/>
        <v>8.7939839055410626E-2</v>
      </c>
      <c r="AG38" s="106">
        <f t="shared" ref="AG38:AL38" si="48">AG32/AG35</f>
        <v>7.5664621676891614E-2</v>
      </c>
      <c r="AH38" s="181">
        <f t="shared" si="48"/>
        <v>0.30885671797315378</v>
      </c>
      <c r="AI38" s="180">
        <f t="shared" si="48"/>
        <v>7.3478876127363438E-2</v>
      </c>
      <c r="AJ38" s="105">
        <f t="shared" si="48"/>
        <v>0.13252204019923569</v>
      </c>
      <c r="AK38" s="105">
        <f t="shared" si="48"/>
        <v>9.3724467404856196E-2</v>
      </c>
      <c r="AL38" s="106">
        <f t="shared" si="48"/>
        <v>9.0020366598777976E-2</v>
      </c>
      <c r="AM38" s="181">
        <f t="shared" ref="AM38:AR38" si="49">AM32/AM35</f>
        <v>0.38974706899196615</v>
      </c>
      <c r="AN38" s="180">
        <f t="shared" si="49"/>
        <v>8.934889799277497E-2</v>
      </c>
      <c r="AO38" s="105">
        <f t="shared" si="49"/>
        <v>0.1924166679209684</v>
      </c>
      <c r="AP38" s="105">
        <f t="shared" si="49"/>
        <v>0.14029698203420693</v>
      </c>
      <c r="AQ38" s="106">
        <f t="shared" si="49"/>
        <v>0.11951219512195126</v>
      </c>
      <c r="AR38" s="181">
        <f t="shared" si="49"/>
        <v>0.54163225184898212</v>
      </c>
      <c r="AS38" s="180">
        <f>AS32/AS35</f>
        <v>0.14592547567665698</v>
      </c>
      <c r="AT38" s="105">
        <f t="shared" ref="AT38:BB38" si="50">AT32/AT35</f>
        <v>0.26063545929184695</v>
      </c>
      <c r="AU38" s="105">
        <f t="shared" si="50"/>
        <v>0.1531482698970785</v>
      </c>
      <c r="AV38" s="106">
        <f t="shared" si="50"/>
        <v>0.15955284552845531</v>
      </c>
      <c r="AW38" s="181">
        <f t="shared" si="50"/>
        <v>0.71902566492684994</v>
      </c>
      <c r="AX38" s="180">
        <f t="shared" si="50"/>
        <v>0.15029969422989811</v>
      </c>
      <c r="AY38" s="105">
        <f t="shared" si="50"/>
        <v>0.26858300950673036</v>
      </c>
      <c r="AZ38" s="105">
        <f t="shared" si="50"/>
        <v>0.15781219441954475</v>
      </c>
      <c r="BA38" s="106">
        <f t="shared" si="50"/>
        <v>0.16396214624724254</v>
      </c>
      <c r="BB38" s="181">
        <f t="shared" si="50"/>
        <v>0.74063134286961285</v>
      </c>
      <c r="BC38" s="180">
        <f t="shared" ref="BC38:BL38" si="51">BC32/BC35</f>
        <v>0.16838581172359435</v>
      </c>
      <c r="BD38" s="105">
        <f t="shared" si="51"/>
        <v>0.30090324743924318</v>
      </c>
      <c r="BE38" s="105">
        <f t="shared" si="51"/>
        <v>0.17680308457850219</v>
      </c>
      <c r="BF38" s="106">
        <f t="shared" si="51"/>
        <v>0.18369350959913974</v>
      </c>
      <c r="BG38" s="181">
        <f t="shared" si="51"/>
        <v>0.82975694499287511</v>
      </c>
      <c r="BH38" s="180">
        <f t="shared" si="51"/>
        <v>0.19575239661219571</v>
      </c>
      <c r="BI38" s="105">
        <f t="shared" si="51"/>
        <v>0.34878756858698934</v>
      </c>
      <c r="BJ38" s="105">
        <f t="shared" si="51"/>
        <v>0.20434406629169924</v>
      </c>
      <c r="BK38" s="106">
        <f t="shared" si="51"/>
        <v>0.21169450059537129</v>
      </c>
      <c r="BL38" s="181">
        <f t="shared" si="51"/>
        <v>0.96040268207243573</v>
      </c>
      <c r="BM38" s="180">
        <f>BM32/BM35</f>
        <v>0.2085471146570097</v>
      </c>
      <c r="BN38" s="105">
        <f>BN32/BN35</f>
        <v>0.37100596877818548</v>
      </c>
      <c r="BO38" s="105">
        <f>BO32/BO35</f>
        <v>0.21702546525808786</v>
      </c>
      <c r="BP38" s="106">
        <f>BP32/BP35</f>
        <v>0.22448787613033916</v>
      </c>
      <c r="BQ38" s="772">
        <f>BQ32/BQ35</f>
        <v>1.0207911721597507</v>
      </c>
      <c r="BR38" s="1015"/>
    </row>
    <row r="39" spans="1:104" s="50" customFormat="1">
      <c r="A39" s="490"/>
      <c r="B39" s="490"/>
      <c r="C39" s="757"/>
      <c r="D39" s="490"/>
      <c r="E39" s="182"/>
      <c r="F39" s="183"/>
      <c r="G39" s="183"/>
      <c r="H39" s="184"/>
      <c r="I39" s="490"/>
      <c r="J39" s="182"/>
      <c r="K39" s="186"/>
      <c r="L39" s="186"/>
      <c r="M39" s="184"/>
      <c r="N39" s="185"/>
      <c r="O39" s="182"/>
      <c r="P39" s="186"/>
      <c r="Q39" s="186"/>
      <c r="R39" s="184"/>
      <c r="S39" s="185"/>
      <c r="T39" s="182"/>
      <c r="U39" s="183"/>
      <c r="V39" s="183"/>
      <c r="W39" s="184"/>
      <c r="X39" s="185"/>
      <c r="Y39" s="182"/>
      <c r="Z39" s="183"/>
      <c r="AA39" s="183"/>
      <c r="AB39" s="184"/>
      <c r="AC39" s="185"/>
      <c r="AD39" s="182"/>
      <c r="AE39" s="183"/>
      <c r="AF39" s="183"/>
      <c r="AG39" s="184"/>
      <c r="AH39" s="185"/>
      <c r="AI39" s="182"/>
      <c r="AJ39" s="183"/>
      <c r="AK39" s="183"/>
      <c r="AL39" s="184"/>
      <c r="AM39" s="185"/>
      <c r="AN39" s="182"/>
      <c r="AO39" s="183"/>
      <c r="AP39" s="183"/>
      <c r="AQ39" s="184"/>
      <c r="AR39" s="185"/>
      <c r="AS39" s="182"/>
      <c r="AT39" s="183"/>
      <c r="AU39" s="183"/>
      <c r="AV39" s="184"/>
      <c r="AW39" s="185"/>
      <c r="AX39" s="182"/>
      <c r="AY39" s="183"/>
      <c r="AZ39" s="183"/>
      <c r="BA39" s="184"/>
      <c r="BB39" s="185"/>
      <c r="BC39" s="182"/>
      <c r="BD39" s="183"/>
      <c r="BE39" s="183"/>
      <c r="BF39" s="184"/>
      <c r="BG39" s="185"/>
      <c r="BH39" s="182"/>
      <c r="BI39" s="183"/>
      <c r="BJ39" s="183"/>
      <c r="BK39" s="184"/>
      <c r="BL39" s="185"/>
      <c r="BM39" s="182"/>
      <c r="BN39" s="183"/>
      <c r="BO39" s="183"/>
      <c r="BP39" s="184"/>
      <c r="BQ39" s="185"/>
      <c r="BR39" s="185"/>
    </row>
    <row r="40" spans="1:104" s="50" customFormat="1">
      <c r="E40" s="225"/>
      <c r="F40" s="604"/>
      <c r="G40" s="604"/>
      <c r="H40" s="227"/>
      <c r="I40" s="228"/>
      <c r="J40" s="225"/>
      <c r="K40" s="226"/>
      <c r="L40" s="226"/>
      <c r="M40" s="227"/>
      <c r="N40" s="228"/>
      <c r="O40" s="225"/>
      <c r="P40" s="226"/>
      <c r="Q40" s="226"/>
      <c r="R40" s="227"/>
      <c r="S40" s="228"/>
      <c r="T40" s="225"/>
      <c r="U40" s="226"/>
      <c r="V40" s="226"/>
      <c r="W40" s="227"/>
      <c r="X40" s="228"/>
      <c r="Y40" s="225"/>
      <c r="Z40" s="226"/>
      <c r="AA40" s="226"/>
      <c r="AB40" s="227"/>
      <c r="AC40" s="228"/>
      <c r="AD40" s="225"/>
      <c r="AE40" s="226"/>
      <c r="AF40" s="226"/>
      <c r="AG40" s="227"/>
      <c r="AH40" s="228"/>
      <c r="AI40" s="225"/>
      <c r="AJ40" s="226"/>
      <c r="AK40" s="226"/>
      <c r="AL40" s="227"/>
      <c r="AM40" s="228"/>
      <c r="AN40" s="225"/>
      <c r="AO40" s="226"/>
      <c r="AP40" s="226"/>
      <c r="AQ40" s="227"/>
      <c r="AR40" s="228"/>
      <c r="AS40" s="225"/>
      <c r="AT40" s="226"/>
      <c r="AU40" s="226"/>
      <c r="AV40" s="227"/>
      <c r="AW40" s="228"/>
      <c r="AX40" s="225"/>
      <c r="AY40" s="226"/>
      <c r="AZ40" s="226"/>
      <c r="BA40" s="227"/>
      <c r="BB40" s="228"/>
      <c r="BC40" s="225"/>
      <c r="BD40" s="226"/>
      <c r="BE40" s="226"/>
      <c r="BF40" s="227"/>
      <c r="BG40" s="228"/>
      <c r="BH40" s="225"/>
      <c r="BI40" s="226"/>
      <c r="BJ40" s="226"/>
      <c r="BK40" s="227"/>
      <c r="BL40" s="228"/>
      <c r="BM40" s="225"/>
      <c r="BN40" s="226"/>
      <c r="BO40" s="226"/>
      <c r="BP40" s="227"/>
      <c r="BQ40" s="228"/>
      <c r="BR40" s="228"/>
    </row>
    <row r="41" spans="1:104" s="50" customFormat="1">
      <c r="C41" s="50" t="s">
        <v>285</v>
      </c>
      <c r="E41" s="225"/>
      <c r="F41" s="604"/>
      <c r="G41" s="604"/>
      <c r="H41" s="227"/>
      <c r="I41" s="228"/>
      <c r="J41" s="225"/>
      <c r="K41" s="226"/>
      <c r="L41" s="226"/>
      <c r="M41" s="227"/>
      <c r="N41" s="228"/>
      <c r="O41" s="368"/>
      <c r="P41" s="698"/>
      <c r="Q41" s="698"/>
      <c r="R41" s="233"/>
      <c r="S41" s="758"/>
      <c r="T41" s="368"/>
      <c r="U41" s="698"/>
      <c r="V41" s="698"/>
      <c r="W41" s="233"/>
      <c r="X41" s="1247"/>
      <c r="Y41" s="1215"/>
      <c r="Z41" s="1248"/>
      <c r="AA41" s="1248"/>
      <c r="AB41" s="1213"/>
      <c r="AC41" s="1247"/>
      <c r="AD41" s="1215"/>
      <c r="AE41" s="1248"/>
      <c r="AF41" s="1248"/>
      <c r="AG41" s="1213"/>
      <c r="AH41" s="1247"/>
      <c r="AI41" s="1215"/>
      <c r="AJ41" s="1248"/>
      <c r="AK41" s="1248"/>
      <c r="AL41" s="1213"/>
      <c r="AM41" s="758"/>
      <c r="AN41" s="1215"/>
      <c r="AO41" s="1248"/>
      <c r="AP41" s="1248"/>
      <c r="AQ41" s="1213"/>
      <c r="AR41" s="758"/>
      <c r="AS41" s="1215"/>
      <c r="AT41" s="1248"/>
      <c r="AU41" s="1248"/>
      <c r="AV41" s="1213"/>
      <c r="AW41" s="758"/>
      <c r="AX41" s="1215">
        <f t="shared" ref="AX41:BA41" si="52">AY41</f>
        <v>0.24</v>
      </c>
      <c r="AY41" s="1248">
        <f t="shared" si="52"/>
        <v>0.24</v>
      </c>
      <c r="AZ41" s="1248">
        <f t="shared" si="52"/>
        <v>0.24</v>
      </c>
      <c r="BA41" s="1213">
        <f t="shared" si="52"/>
        <v>0.24</v>
      </c>
      <c r="BB41" s="758">
        <v>0.24</v>
      </c>
      <c r="BC41" s="1215">
        <f>BD41</f>
        <v>0.24</v>
      </c>
      <c r="BD41" s="1248">
        <f>BE41</f>
        <v>0.24</v>
      </c>
      <c r="BE41" s="1248">
        <f>BF41</f>
        <v>0.24</v>
      </c>
      <c r="BF41" s="1213">
        <f>BG41</f>
        <v>0.24</v>
      </c>
      <c r="BG41" s="758">
        <v>0.24</v>
      </c>
      <c r="BH41" s="1215">
        <f>BI41</f>
        <v>0.24</v>
      </c>
      <c r="BI41" s="1248">
        <f>BJ41</f>
        <v>0.24</v>
      </c>
      <c r="BJ41" s="1248">
        <f>BK41</f>
        <v>0.24</v>
      </c>
      <c r="BK41" s="1213">
        <f>BL41</f>
        <v>0.24</v>
      </c>
      <c r="BL41" s="758">
        <v>0.24</v>
      </c>
      <c r="BM41" s="1215">
        <f>BN41</f>
        <v>0.24</v>
      </c>
      <c r="BN41" s="1248">
        <f>BO41</f>
        <v>0.24</v>
      </c>
      <c r="BO41" s="1248">
        <f>BP41</f>
        <v>0.24</v>
      </c>
      <c r="BP41" s="1213">
        <f>BQ41</f>
        <v>0.24</v>
      </c>
      <c r="BQ41" s="758">
        <v>0.24</v>
      </c>
      <c r="BR41" s="758"/>
    </row>
    <row r="42" spans="1:104" s="50" customFormat="1">
      <c r="E42" s="225"/>
      <c r="F42" s="604"/>
      <c r="G42" s="604"/>
      <c r="H42" s="227"/>
      <c r="I42" s="228"/>
      <c r="J42" s="225"/>
      <c r="K42" s="226"/>
      <c r="L42" s="226"/>
      <c r="M42" s="227"/>
      <c r="N42" s="228"/>
      <c r="O42" s="225"/>
      <c r="P42" s="226"/>
      <c r="Q42" s="226"/>
      <c r="R42" s="227"/>
      <c r="S42" s="228"/>
      <c r="T42" s="225"/>
      <c r="U42" s="226"/>
      <c r="V42" s="226"/>
      <c r="W42" s="227"/>
      <c r="X42" s="228"/>
      <c r="Y42" s="225"/>
      <c r="Z42" s="226"/>
      <c r="AA42" s="226"/>
      <c r="AB42" s="227"/>
      <c r="AC42" s="228"/>
      <c r="AD42" s="225"/>
      <c r="AE42" s="226"/>
      <c r="AF42" s="226"/>
      <c r="AG42" s="227"/>
      <c r="AH42" s="228"/>
      <c r="AI42" s="225"/>
      <c r="AJ42" s="226"/>
      <c r="AK42" s="226"/>
      <c r="AL42" s="227"/>
      <c r="AM42" s="228"/>
      <c r="AN42" s="225"/>
      <c r="AO42" s="226"/>
      <c r="AP42" s="226"/>
      <c r="AQ42" s="227"/>
      <c r="AR42" s="228"/>
      <c r="AS42" s="225"/>
      <c r="AT42" s="226"/>
      <c r="AU42" s="226"/>
      <c r="AV42" s="227"/>
      <c r="AW42" s="228"/>
      <c r="AX42" s="225"/>
      <c r="AY42" s="226"/>
      <c r="AZ42" s="226"/>
      <c r="BA42" s="227"/>
      <c r="BB42" s="228"/>
      <c r="BC42" s="225"/>
      <c r="BD42" s="226"/>
      <c r="BE42" s="226"/>
      <c r="BF42" s="227"/>
      <c r="BG42" s="228"/>
      <c r="BH42" s="225"/>
      <c r="BI42" s="226"/>
      <c r="BJ42" s="226"/>
      <c r="BK42" s="227"/>
      <c r="BL42" s="228"/>
      <c r="BM42" s="225"/>
      <c r="BN42" s="226"/>
      <c r="BO42" s="226"/>
      <c r="BP42" s="227"/>
      <c r="BQ42" s="228"/>
      <c r="BR42" s="228"/>
    </row>
    <row r="43" spans="1:104">
      <c r="A43" s="541"/>
      <c r="B43" s="554" t="s">
        <v>131</v>
      </c>
      <c r="C43" s="555"/>
      <c r="D43" s="645"/>
      <c r="E43" s="289"/>
      <c r="F43" s="542"/>
      <c r="G43" s="542"/>
      <c r="H43" s="291"/>
      <c r="I43" s="543"/>
      <c r="J43" s="289"/>
      <c r="K43" s="542"/>
      <c r="L43" s="542"/>
      <c r="M43" s="291"/>
      <c r="N43" s="543"/>
      <c r="O43" s="289"/>
      <c r="P43" s="542"/>
      <c r="Q43" s="542"/>
      <c r="R43" s="291"/>
      <c r="S43" s="543"/>
      <c r="T43" s="289"/>
      <c r="U43" s="542"/>
      <c r="V43" s="542"/>
      <c r="W43" s="291"/>
      <c r="X43" s="543"/>
      <c r="Y43" s="289"/>
      <c r="Z43" s="542"/>
      <c r="AA43" s="542"/>
      <c r="AB43" s="291"/>
      <c r="AC43" s="543"/>
      <c r="AD43" s="289"/>
      <c r="AE43" s="542"/>
      <c r="AF43" s="542"/>
      <c r="AG43" s="291"/>
      <c r="AH43" s="543"/>
      <c r="AI43" s="289"/>
      <c r="AJ43" s="542"/>
      <c r="AK43" s="542"/>
      <c r="AL43" s="291"/>
      <c r="AM43" s="543"/>
      <c r="AN43" s="289"/>
      <c r="AO43" s="542"/>
      <c r="AP43" s="542"/>
      <c r="AQ43" s="291"/>
      <c r="AR43" s="543"/>
      <c r="AS43" s="289"/>
      <c r="AT43" s="542"/>
      <c r="AU43" s="542"/>
      <c r="AV43" s="291"/>
      <c r="AW43" s="543"/>
      <c r="AX43" s="289"/>
      <c r="AY43" s="542"/>
      <c r="AZ43" s="542"/>
      <c r="BA43" s="291"/>
      <c r="BB43" s="543"/>
      <c r="BC43" s="289"/>
      <c r="BD43" s="542"/>
      <c r="BE43" s="542"/>
      <c r="BF43" s="291"/>
      <c r="BG43" s="543"/>
      <c r="BH43" s="289"/>
      <c r="BI43" s="542"/>
      <c r="BJ43" s="542"/>
      <c r="BK43" s="291"/>
      <c r="BL43" s="543"/>
      <c r="BM43" s="289"/>
      <c r="BN43" s="542"/>
      <c r="BO43" s="542"/>
      <c r="BP43" s="291"/>
      <c r="BQ43" s="543"/>
      <c r="BR43" s="543"/>
      <c r="BS43" s="56" t="s">
        <v>821</v>
      </c>
      <c r="BT43" s="563" t="s">
        <v>853</v>
      </c>
      <c r="BU43" s="563" t="s">
        <v>850</v>
      </c>
      <c r="BV43" s="563" t="s">
        <v>137</v>
      </c>
      <c r="BW43" s="563" t="s">
        <v>139</v>
      </c>
      <c r="BX43" s="563" t="s">
        <v>145</v>
      </c>
      <c r="BY43" s="563" t="s">
        <v>138</v>
      </c>
      <c r="BZ43" s="541"/>
      <c r="CA43" s="541"/>
      <c r="CB43" s="541"/>
      <c r="CC43" s="541"/>
      <c r="CD43" s="541"/>
      <c r="CE43" s="541"/>
      <c r="CF43" s="541"/>
      <c r="CG43" s="541"/>
      <c r="CH43" s="541"/>
      <c r="CI43" s="541"/>
      <c r="CJ43" s="541"/>
      <c r="CK43" s="541"/>
      <c r="CL43" s="541"/>
      <c r="CM43" s="541"/>
      <c r="CN43" s="541"/>
      <c r="CO43" s="541"/>
      <c r="CP43" s="541"/>
      <c r="CQ43" s="541"/>
      <c r="CR43" s="541"/>
      <c r="CS43" s="541"/>
      <c r="CT43" s="541"/>
      <c r="CU43" s="541"/>
      <c r="CV43" s="541"/>
      <c r="CW43" s="541"/>
      <c r="CX43" s="541"/>
      <c r="CY43" s="541"/>
      <c r="CZ43" s="541"/>
    </row>
    <row r="44" spans="1:104" s="50" customFormat="1">
      <c r="E44" s="225"/>
      <c r="F44" s="604"/>
      <c r="G44" s="604"/>
      <c r="H44" s="227"/>
      <c r="I44" s="228"/>
      <c r="J44" s="225"/>
      <c r="K44" s="226"/>
      <c r="L44" s="226"/>
      <c r="M44" s="227"/>
      <c r="N44" s="228"/>
      <c r="O44" s="225"/>
      <c r="P44" s="226"/>
      <c r="Q44" s="226"/>
      <c r="R44" s="227"/>
      <c r="S44" s="228"/>
      <c r="T44" s="225"/>
      <c r="U44" s="226"/>
      <c r="V44" s="226"/>
      <c r="W44" s="227"/>
      <c r="X44" s="228"/>
      <c r="Y44" s="225"/>
      <c r="Z44" s="226"/>
      <c r="AA44" s="226"/>
      <c r="AB44" s="227"/>
      <c r="AC44" s="228"/>
      <c r="AD44" s="225"/>
      <c r="AE44" s="226"/>
      <c r="AF44" s="226"/>
      <c r="AG44" s="227"/>
      <c r="AH44" s="228"/>
      <c r="AI44" s="225"/>
      <c r="AJ44" s="226"/>
      <c r="AK44" s="226"/>
      <c r="AL44" s="227"/>
      <c r="AM44" s="228"/>
      <c r="AN44" s="225"/>
      <c r="AO44" s="226"/>
      <c r="AP44" s="226"/>
      <c r="AQ44" s="227"/>
      <c r="AR44" s="228"/>
      <c r="AS44" s="225"/>
      <c r="AT44" s="226"/>
      <c r="AU44" s="226"/>
      <c r="AV44" s="227"/>
      <c r="AW44" s="228"/>
      <c r="AX44" s="225"/>
      <c r="AY44" s="226"/>
      <c r="AZ44" s="226"/>
      <c r="BA44" s="227"/>
      <c r="BB44" s="228"/>
      <c r="BC44" s="225"/>
      <c r="BD44" s="226"/>
      <c r="BE44" s="226"/>
      <c r="BF44" s="227"/>
      <c r="BG44" s="228"/>
      <c r="BH44" s="225"/>
      <c r="BI44" s="226"/>
      <c r="BJ44" s="226"/>
      <c r="BK44" s="227"/>
      <c r="BL44" s="228"/>
      <c r="BM44" s="225"/>
      <c r="BN44" s="226"/>
      <c r="BO44" s="226"/>
      <c r="BP44" s="227"/>
      <c r="BQ44" s="228"/>
      <c r="BR44" s="228"/>
      <c r="BS44" s="553" t="s">
        <v>142</v>
      </c>
      <c r="BT44" s="675">
        <v>9.9599999999999994E-2</v>
      </c>
      <c r="BU44" s="695">
        <v>0.45</v>
      </c>
      <c r="BV44" s="641">
        <v>2013</v>
      </c>
      <c r="BW44" s="577">
        <f>1500</f>
        <v>1500</v>
      </c>
      <c r="BX44" s="82">
        <v>0.5</v>
      </c>
      <c r="BY44" s="546">
        <f t="shared" ref="BY44:BY50" si="53">+BX44*BW44</f>
        <v>750</v>
      </c>
    </row>
    <row r="45" spans="1:104" s="50" customFormat="1">
      <c r="C45" s="56" t="s">
        <v>146</v>
      </c>
      <c r="E45" s="225"/>
      <c r="F45" s="604"/>
      <c r="G45" s="604"/>
      <c r="H45" s="227"/>
      <c r="I45" s="228"/>
      <c r="J45" s="225"/>
      <c r="K45" s="226"/>
      <c r="L45" s="226"/>
      <c r="M45" s="227"/>
      <c r="N45" s="228"/>
      <c r="O45" s="225"/>
      <c r="P45" s="226"/>
      <c r="Q45" s="226"/>
      <c r="R45" s="227"/>
      <c r="S45" s="228"/>
      <c r="T45" s="225"/>
      <c r="U45" s="226"/>
      <c r="V45" s="226"/>
      <c r="W45" s="227"/>
      <c r="X45" s="228"/>
      <c r="Y45" s="225"/>
      <c r="Z45" s="226"/>
      <c r="AA45" s="226"/>
      <c r="AB45" s="227"/>
      <c r="AC45" s="228"/>
      <c r="AD45" s="225"/>
      <c r="AE45" s="226"/>
      <c r="AF45" s="226"/>
      <c r="AG45" s="227"/>
      <c r="AH45" s="228"/>
      <c r="AI45" s="225"/>
      <c r="AJ45" s="226"/>
      <c r="AK45" s="226"/>
      <c r="AL45" s="227"/>
      <c r="AM45" s="228"/>
      <c r="AN45" s="225"/>
      <c r="AO45" s="226"/>
      <c r="AP45" s="226"/>
      <c r="AQ45" s="227"/>
      <c r="AR45" s="228"/>
      <c r="AS45" s="225"/>
      <c r="AT45" s="226"/>
      <c r="AU45" s="226"/>
      <c r="AV45" s="227"/>
      <c r="AW45" s="228"/>
      <c r="AX45" s="225"/>
      <c r="AY45" s="226"/>
      <c r="AZ45" s="226"/>
      <c r="BA45" s="227"/>
      <c r="BB45" s="228"/>
      <c r="BC45" s="225"/>
      <c r="BD45" s="226"/>
      <c r="BE45" s="226"/>
      <c r="BF45" s="227"/>
      <c r="BG45" s="228"/>
      <c r="BH45" s="225"/>
      <c r="BI45" s="226"/>
      <c r="BJ45" s="226"/>
      <c r="BK45" s="227"/>
      <c r="BL45" s="228"/>
      <c r="BM45" s="225"/>
      <c r="BN45" s="226"/>
      <c r="BO45" s="226"/>
      <c r="BP45" s="227"/>
      <c r="BQ45" s="228"/>
      <c r="BR45" s="228"/>
      <c r="BS45" s="553" t="s">
        <v>143</v>
      </c>
      <c r="BT45" s="675">
        <v>9.6000000000000002E-2</v>
      </c>
      <c r="BU45" s="695">
        <v>0.45</v>
      </c>
      <c r="BV45" s="641" t="s">
        <v>144</v>
      </c>
      <c r="BW45" s="577">
        <f>3260-BW44</f>
        <v>1760</v>
      </c>
      <c r="BX45" s="82">
        <v>0.5</v>
      </c>
      <c r="BY45" s="546">
        <f t="shared" si="53"/>
        <v>880</v>
      </c>
    </row>
    <row r="46" spans="1:104">
      <c r="A46" s="553"/>
      <c r="B46" s="553"/>
      <c r="C46" s="553" t="s">
        <v>142</v>
      </c>
      <c r="D46" s="553"/>
      <c r="E46" s="161"/>
      <c r="F46" s="162"/>
      <c r="G46" s="162"/>
      <c r="H46" s="144"/>
      <c r="I46" s="577"/>
      <c r="J46" s="161"/>
      <c r="K46" s="162"/>
      <c r="L46" s="162"/>
      <c r="M46" s="144"/>
      <c r="N46" s="577"/>
      <c r="O46" s="161"/>
      <c r="P46" s="162"/>
      <c r="Q46" s="162"/>
      <c r="R46" s="144"/>
      <c r="S46" s="577"/>
      <c r="T46" s="161"/>
      <c r="U46" s="162"/>
      <c r="V46" s="162"/>
      <c r="W46" s="144"/>
      <c r="X46" s="577">
        <v>150</v>
      </c>
      <c r="Y46" s="1202">
        <f t="shared" ref="Y46:Y52" si="54">AC46/4</f>
        <v>37.5</v>
      </c>
      <c r="Z46" s="1203">
        <f t="shared" ref="Z46:Z52" si="55">AC46/4</f>
        <v>37.5</v>
      </c>
      <c r="AA46" s="1203">
        <f t="shared" ref="AA46:AA52" si="56">AC46/4</f>
        <v>37.5</v>
      </c>
      <c r="AB46" s="1205">
        <f t="shared" ref="AB46:AB52" si="57">AC46/4</f>
        <v>37.5</v>
      </c>
      <c r="AC46" s="577">
        <v>150</v>
      </c>
      <c r="AD46" s="161">
        <f t="shared" ref="AD46:AD52" si="58">AH46/4</f>
        <v>0</v>
      </c>
      <c r="AE46" s="162">
        <f t="shared" ref="AE46:AE52" si="59">AH46/4</f>
        <v>0</v>
      </c>
      <c r="AF46" s="162">
        <f t="shared" ref="AF46:AF52" si="60">AH46/4</f>
        <v>0</v>
      </c>
      <c r="AG46" s="144">
        <f t="shared" ref="AG46:AG52" si="61">AH46/4</f>
        <v>0</v>
      </c>
      <c r="AH46" s="577">
        <v>0</v>
      </c>
      <c r="AI46" s="161">
        <f t="shared" ref="AI46:AI52" si="62">AM46/4</f>
        <v>0</v>
      </c>
      <c r="AJ46" s="162">
        <f t="shared" ref="AJ46:AJ52" si="63">AM46/4</f>
        <v>0</v>
      </c>
      <c r="AK46" s="162">
        <f t="shared" ref="AK46:AK52" si="64">AM46/4</f>
        <v>0</v>
      </c>
      <c r="AL46" s="144">
        <f>AM46/4</f>
        <v>0</v>
      </c>
      <c r="AM46" s="577">
        <v>0</v>
      </c>
      <c r="AN46" s="161">
        <f t="shared" ref="AN46:AN52" si="65">AR46/4</f>
        <v>0</v>
      </c>
      <c r="AO46" s="162">
        <f t="shared" ref="AO46:AO52" si="66">AR46/4</f>
        <v>0</v>
      </c>
      <c r="AP46" s="1488">
        <f t="shared" ref="AP46:AP52" si="67">AR46/4</f>
        <v>0</v>
      </c>
      <c r="AQ46" s="1487">
        <f t="shared" ref="AQ46:AQ52" si="68">AR46/4</f>
        <v>0</v>
      </c>
      <c r="AR46" s="1639">
        <v>0</v>
      </c>
      <c r="AS46" s="161">
        <f t="shared" ref="AS46:AS52" si="69">AW46/4</f>
        <v>0</v>
      </c>
      <c r="AT46" s="162">
        <f t="shared" ref="AT46:AT52" si="70">AW46/4</f>
        <v>0</v>
      </c>
      <c r="AU46" s="162">
        <f t="shared" ref="AU46:AU52" si="71">AW46/4</f>
        <v>0</v>
      </c>
      <c r="AV46" s="144">
        <f t="shared" ref="AV46:AV52" si="72">AW46/4</f>
        <v>0</v>
      </c>
      <c r="AW46" s="577">
        <v>0</v>
      </c>
      <c r="AX46" s="161">
        <f t="shared" ref="AX46:AX52" si="73">BB46/4</f>
        <v>0</v>
      </c>
      <c r="AY46" s="162">
        <f t="shared" ref="AY46:AY52" si="74">BB46/4</f>
        <v>0</v>
      </c>
      <c r="AZ46" s="162">
        <f t="shared" ref="AZ46:AZ52" si="75">BB46/4</f>
        <v>0</v>
      </c>
      <c r="BA46" s="144">
        <f t="shared" ref="BA46:BA52" si="76">BB46/4</f>
        <v>0</v>
      </c>
      <c r="BB46" s="577">
        <v>0</v>
      </c>
      <c r="BC46" s="161">
        <f t="shared" ref="BC46:BC51" si="77">BG46/4</f>
        <v>0</v>
      </c>
      <c r="BD46" s="162">
        <f t="shared" ref="BD46:BD51" si="78">BG46/4</f>
        <v>0</v>
      </c>
      <c r="BE46" s="162">
        <f t="shared" ref="BE46:BE51" si="79">BG46/4</f>
        <v>0</v>
      </c>
      <c r="BF46" s="144">
        <f t="shared" ref="BF46:BF51" si="80">BG46/4</f>
        <v>0</v>
      </c>
      <c r="BG46" s="1216">
        <v>0</v>
      </c>
      <c r="BH46" s="161">
        <f t="shared" ref="BH46:BH51" si="81">BL46/4</f>
        <v>0</v>
      </c>
      <c r="BI46" s="162">
        <f t="shared" ref="BI46:BI51" si="82">BL46/4</f>
        <v>0</v>
      </c>
      <c r="BJ46" s="162">
        <f t="shared" ref="BJ46:BJ51" si="83">BL46/4</f>
        <v>0</v>
      </c>
      <c r="BK46" s="144">
        <f t="shared" ref="BK46:BK51" si="84">BL46/4</f>
        <v>0</v>
      </c>
      <c r="BL46" s="1216">
        <v>0</v>
      </c>
      <c r="BM46" s="161">
        <f t="shared" ref="BM46:BM52" si="85">BQ46/4</f>
        <v>0</v>
      </c>
      <c r="BN46" s="162">
        <f t="shared" ref="BN46:BN52" si="86">BQ46/4</f>
        <v>0</v>
      </c>
      <c r="BO46" s="162">
        <f t="shared" ref="BO46:BO52" si="87">BQ46/4</f>
        <v>0</v>
      </c>
      <c r="BP46" s="144">
        <f t="shared" ref="BP46:BP52" si="88">BQ46/4</f>
        <v>0</v>
      </c>
      <c r="BQ46" s="1216">
        <v>0</v>
      </c>
      <c r="BR46" s="546"/>
      <c r="BS46" s="553" t="s">
        <v>134</v>
      </c>
      <c r="BT46" s="675">
        <v>0.12540000000000001</v>
      </c>
      <c r="BU46" s="695">
        <v>0.45</v>
      </c>
      <c r="BV46" s="641" t="s">
        <v>141</v>
      </c>
      <c r="BW46" s="577">
        <v>347</v>
      </c>
      <c r="BX46" s="82">
        <v>0.5</v>
      </c>
      <c r="BY46" s="546">
        <f t="shared" si="53"/>
        <v>173.5</v>
      </c>
      <c r="BZ46" s="553"/>
      <c r="CB46" s="553"/>
      <c r="CC46" s="553"/>
      <c r="CD46" s="553"/>
      <c r="CE46" s="553"/>
      <c r="CF46" s="553"/>
      <c r="CG46" s="553"/>
      <c r="CH46" s="553"/>
      <c r="CI46" s="553"/>
      <c r="CJ46" s="553"/>
      <c r="CK46" s="553"/>
      <c r="CL46" s="553"/>
      <c r="CM46" s="553"/>
      <c r="CN46" s="553"/>
      <c r="CO46" s="553"/>
      <c r="CP46" s="553"/>
      <c r="CQ46" s="553"/>
      <c r="CR46" s="553"/>
      <c r="CS46" s="553"/>
      <c r="CT46" s="553"/>
      <c r="CU46" s="553"/>
      <c r="CV46" s="553"/>
      <c r="CW46" s="553"/>
      <c r="CX46" s="553"/>
      <c r="CY46" s="553"/>
      <c r="CZ46" s="553"/>
    </row>
    <row r="47" spans="1:104">
      <c r="A47" s="553"/>
      <c r="B47" s="553"/>
      <c r="C47" s="1117" t="s">
        <v>1317</v>
      </c>
      <c r="D47" s="553"/>
      <c r="E47" s="161"/>
      <c r="F47" s="162"/>
      <c r="G47" s="162"/>
      <c r="H47" s="144"/>
      <c r="I47" s="546"/>
      <c r="J47" s="161"/>
      <c r="K47" s="162"/>
      <c r="L47" s="162"/>
      <c r="M47" s="144"/>
      <c r="N47" s="577"/>
      <c r="O47" s="161"/>
      <c r="P47" s="162"/>
      <c r="Q47" s="162"/>
      <c r="R47" s="144"/>
      <c r="S47" s="577"/>
      <c r="T47" s="161"/>
      <c r="U47" s="162"/>
      <c r="V47" s="162"/>
      <c r="W47" s="144"/>
      <c r="X47" s="544">
        <v>392</v>
      </c>
      <c r="Y47" s="161">
        <f t="shared" si="54"/>
        <v>210.75</v>
      </c>
      <c r="Z47" s="162">
        <f t="shared" si="55"/>
        <v>210.75</v>
      </c>
      <c r="AA47" s="162">
        <f t="shared" si="56"/>
        <v>210.75</v>
      </c>
      <c r="AB47" s="144">
        <f t="shared" si="57"/>
        <v>210.75</v>
      </c>
      <c r="AC47" s="544">
        <v>843</v>
      </c>
      <c r="AD47" s="161">
        <f>AH47/4</f>
        <v>237</v>
      </c>
      <c r="AE47" s="162">
        <f>AH47/4</f>
        <v>237</v>
      </c>
      <c r="AF47" s="162">
        <f>AH47/4</f>
        <v>237</v>
      </c>
      <c r="AG47" s="144">
        <f>AH47-AD47-AE47-AF47</f>
        <v>237</v>
      </c>
      <c r="AH47" s="544">
        <v>948</v>
      </c>
      <c r="AI47" s="161">
        <f t="shared" si="62"/>
        <v>280.32499999999999</v>
      </c>
      <c r="AJ47" s="162">
        <f t="shared" si="63"/>
        <v>280.32499999999999</v>
      </c>
      <c r="AK47" s="162">
        <f t="shared" si="64"/>
        <v>280.32499999999999</v>
      </c>
      <c r="AL47" s="144">
        <f>AM47-AI47-AJ47-AK47</f>
        <v>280.32499999999987</v>
      </c>
      <c r="AM47" s="544">
        <v>1121.3</v>
      </c>
      <c r="AN47" s="161">
        <f t="shared" si="65"/>
        <v>282.43175505050505</v>
      </c>
      <c r="AO47" s="162">
        <f t="shared" si="66"/>
        <v>282.43175505050505</v>
      </c>
      <c r="AP47" s="1488">
        <f t="shared" si="67"/>
        <v>282.43175505050505</v>
      </c>
      <c r="AQ47" s="1487">
        <f t="shared" si="68"/>
        <v>282.43175505050505</v>
      </c>
      <c r="AR47" s="1484">
        <f>AR53-SUM(AR46,AR48:AR52)</f>
        <v>1129.7270202020202</v>
      </c>
      <c r="AS47" s="161">
        <f t="shared" si="69"/>
        <v>390.16250000000002</v>
      </c>
      <c r="AT47" s="162">
        <f>AW47/4</f>
        <v>390.16250000000002</v>
      </c>
      <c r="AU47" s="162">
        <f>AW47/4</f>
        <v>390.16250000000002</v>
      </c>
      <c r="AV47" s="144">
        <f t="shared" si="72"/>
        <v>390.16250000000002</v>
      </c>
      <c r="AW47" s="546">
        <f>AW53-SUM(AW46,AW48:AW52)</f>
        <v>1560.65</v>
      </c>
      <c r="AX47" s="161">
        <f>BB47/4</f>
        <v>356.7941649222488</v>
      </c>
      <c r="AY47" s="162">
        <f>BB47/4</f>
        <v>356.7941649222488</v>
      </c>
      <c r="AZ47" s="162">
        <f>BB47/4</f>
        <v>356.7941649222488</v>
      </c>
      <c r="BA47" s="144">
        <f>BB47/4</f>
        <v>356.7941649222488</v>
      </c>
      <c r="BB47" s="546">
        <f>BB53-SUM(BB46,BB48:BB52)</f>
        <v>1427.1766596889952</v>
      </c>
      <c r="BC47" s="161">
        <f>BG47/4</f>
        <v>356.84763755980862</v>
      </c>
      <c r="BD47" s="162">
        <f>BG47/4</f>
        <v>356.84763755980862</v>
      </c>
      <c r="BE47" s="162">
        <f>BG47/4</f>
        <v>356.84763755980862</v>
      </c>
      <c r="BF47" s="144">
        <f>BG47/4</f>
        <v>356.84763755980862</v>
      </c>
      <c r="BG47" s="546">
        <f>BG53-SUM(BG46,BG48:BG52)</f>
        <v>1427.3905502392345</v>
      </c>
      <c r="BH47" s="161">
        <f>BL47/4</f>
        <v>313.36724357057415</v>
      </c>
      <c r="BI47" s="162">
        <f>BL47/4</f>
        <v>313.36724357057415</v>
      </c>
      <c r="BJ47" s="162">
        <f>BL47/4</f>
        <v>313.36724357057415</v>
      </c>
      <c r="BK47" s="144">
        <f>BL47/4</f>
        <v>313.36724357057415</v>
      </c>
      <c r="BL47" s="546">
        <f>BL53-SUM(BL46,BL48:BL52)</f>
        <v>1253.4689742822966</v>
      </c>
      <c r="BM47" s="161">
        <f t="shared" si="85"/>
        <v>265</v>
      </c>
      <c r="BN47" s="162">
        <f t="shared" si="86"/>
        <v>265</v>
      </c>
      <c r="BO47" s="162">
        <f t="shared" si="87"/>
        <v>265</v>
      </c>
      <c r="BP47" s="144">
        <f t="shared" si="88"/>
        <v>265</v>
      </c>
      <c r="BQ47" s="546">
        <f>BQ53-SUM(BQ46,BQ48:BQ52)</f>
        <v>1060</v>
      </c>
      <c r="BR47" s="577"/>
      <c r="BS47" s="553" t="s">
        <v>133</v>
      </c>
      <c r="BT47" s="675">
        <f>AVERAGE(11.49%, 11.2%)</f>
        <v>0.11345</v>
      </c>
      <c r="BU47" s="695">
        <v>0.45</v>
      </c>
      <c r="BV47" s="641" t="s">
        <v>140</v>
      </c>
      <c r="BW47" s="577">
        <v>4300</v>
      </c>
      <c r="BX47" s="82">
        <v>1</v>
      </c>
      <c r="BY47" s="546">
        <f t="shared" si="53"/>
        <v>4300</v>
      </c>
      <c r="BZ47" s="553"/>
      <c r="CA47" s="553"/>
      <c r="CB47" s="553"/>
      <c r="CC47" s="553"/>
      <c r="CD47" s="553"/>
      <c r="CE47" s="553"/>
      <c r="CF47" s="553"/>
      <c r="CG47" s="553"/>
      <c r="CH47" s="553"/>
      <c r="CI47" s="553"/>
      <c r="CJ47" s="553"/>
      <c r="CK47" s="553"/>
      <c r="CL47" s="553"/>
      <c r="CM47" s="553"/>
      <c r="CN47" s="553"/>
      <c r="CO47" s="553"/>
      <c r="CP47" s="553"/>
      <c r="CQ47" s="553"/>
      <c r="CR47" s="553"/>
      <c r="CS47" s="553"/>
      <c r="CT47" s="553"/>
      <c r="CU47" s="553"/>
      <c r="CV47" s="553"/>
      <c r="CW47" s="553"/>
      <c r="CX47" s="553"/>
      <c r="CY47" s="553"/>
      <c r="CZ47" s="553"/>
    </row>
    <row r="48" spans="1:104">
      <c r="A48" s="553"/>
      <c r="B48" s="553"/>
      <c r="C48" s="553" t="s">
        <v>136</v>
      </c>
      <c r="D48" s="553"/>
      <c r="E48" s="161"/>
      <c r="F48" s="162"/>
      <c r="G48" s="162"/>
      <c r="H48" s="144"/>
      <c r="I48" s="546"/>
      <c r="J48" s="161"/>
      <c r="K48" s="162"/>
      <c r="L48" s="162"/>
      <c r="M48" s="144"/>
      <c r="N48" s="546"/>
      <c r="O48" s="161"/>
      <c r="P48" s="162"/>
      <c r="Q48" s="162"/>
      <c r="R48" s="144"/>
      <c r="S48" s="546"/>
      <c r="T48" s="161"/>
      <c r="U48" s="162"/>
      <c r="V48" s="162"/>
      <c r="W48" s="144"/>
      <c r="X48" s="577">
        <v>0</v>
      </c>
      <c r="Y48" s="161">
        <f t="shared" si="54"/>
        <v>4.9406249999999998</v>
      </c>
      <c r="Z48" s="162">
        <f t="shared" si="55"/>
        <v>4.9406249999999998</v>
      </c>
      <c r="AA48" s="162">
        <f t="shared" si="56"/>
        <v>4.9406249999999998</v>
      </c>
      <c r="AB48" s="144">
        <f t="shared" si="57"/>
        <v>4.9406249999999998</v>
      </c>
      <c r="AC48" s="1216">
        <f>($BY48/2)</f>
        <v>19.762499999999999</v>
      </c>
      <c r="AD48" s="1202">
        <f>AH48/4</f>
        <v>4.9406249999999998</v>
      </c>
      <c r="AE48" s="1203">
        <f>AH48/4</f>
        <v>4.9406249999999998</v>
      </c>
      <c r="AF48" s="1203">
        <f>AH48/4</f>
        <v>4.9406249999999998</v>
      </c>
      <c r="AG48" s="1205">
        <f>AH48/4</f>
        <v>4.9406249999999998</v>
      </c>
      <c r="AH48" s="1216">
        <f>($BY48/2)</f>
        <v>19.762499999999999</v>
      </c>
      <c r="AI48" s="1202">
        <f t="shared" si="62"/>
        <v>4.9406249999999998</v>
      </c>
      <c r="AJ48" s="1203">
        <f t="shared" si="63"/>
        <v>4.9406249999999998</v>
      </c>
      <c r="AK48" s="1203">
        <f t="shared" si="64"/>
        <v>4.9406249999999998</v>
      </c>
      <c r="AL48" s="1205">
        <f>AM48/4</f>
        <v>4.9406249999999998</v>
      </c>
      <c r="AM48" s="1216">
        <f>($BY48/2)</f>
        <v>19.762499999999999</v>
      </c>
      <c r="AN48" s="161">
        <f t="shared" si="65"/>
        <v>0</v>
      </c>
      <c r="AO48" s="1203">
        <f t="shared" si="66"/>
        <v>0</v>
      </c>
      <c r="AP48" s="1488">
        <f t="shared" si="67"/>
        <v>0</v>
      </c>
      <c r="AQ48" s="1487">
        <f t="shared" si="68"/>
        <v>0</v>
      </c>
      <c r="AR48" s="1484">
        <v>0</v>
      </c>
      <c r="AS48" s="161">
        <f t="shared" si="69"/>
        <v>0</v>
      </c>
      <c r="AT48" s="1203">
        <f t="shared" si="70"/>
        <v>0</v>
      </c>
      <c r="AU48" s="162">
        <f t="shared" si="71"/>
        <v>0</v>
      </c>
      <c r="AV48" s="144">
        <f t="shared" si="72"/>
        <v>0</v>
      </c>
      <c r="AW48" s="546">
        <v>0</v>
      </c>
      <c r="AX48" s="161">
        <f t="shared" si="73"/>
        <v>0</v>
      </c>
      <c r="AY48" s="162">
        <f t="shared" si="74"/>
        <v>0</v>
      </c>
      <c r="AZ48" s="162">
        <f t="shared" si="75"/>
        <v>0</v>
      </c>
      <c r="BA48" s="144">
        <f t="shared" si="76"/>
        <v>0</v>
      </c>
      <c r="BB48" s="546">
        <v>0</v>
      </c>
      <c r="BC48" s="161">
        <f t="shared" si="77"/>
        <v>0</v>
      </c>
      <c r="BD48" s="162">
        <f t="shared" si="78"/>
        <v>0</v>
      </c>
      <c r="BE48" s="162">
        <f t="shared" si="79"/>
        <v>0</v>
      </c>
      <c r="BF48" s="144">
        <f t="shared" si="80"/>
        <v>0</v>
      </c>
      <c r="BG48" s="546">
        <v>0</v>
      </c>
      <c r="BH48" s="161">
        <f t="shared" si="81"/>
        <v>0</v>
      </c>
      <c r="BI48" s="162">
        <f t="shared" si="82"/>
        <v>0</v>
      </c>
      <c r="BJ48" s="162">
        <f t="shared" si="83"/>
        <v>0</v>
      </c>
      <c r="BK48" s="144">
        <f t="shared" si="84"/>
        <v>0</v>
      </c>
      <c r="BL48" s="546">
        <v>0</v>
      </c>
      <c r="BM48" s="161">
        <f t="shared" si="85"/>
        <v>0</v>
      </c>
      <c r="BN48" s="162">
        <f t="shared" si="86"/>
        <v>0</v>
      </c>
      <c r="BO48" s="162">
        <f t="shared" si="87"/>
        <v>0</v>
      </c>
      <c r="BP48" s="144">
        <f t="shared" si="88"/>
        <v>0</v>
      </c>
      <c r="BQ48" s="546">
        <v>0</v>
      </c>
      <c r="BR48" s="546"/>
      <c r="BS48" s="1117" t="s">
        <v>1290</v>
      </c>
      <c r="BT48" s="675">
        <v>0.128</v>
      </c>
      <c r="BU48" s="695">
        <v>0.45</v>
      </c>
      <c r="BV48" s="641">
        <v>2014</v>
      </c>
      <c r="BW48" s="577">
        <v>158.1</v>
      </c>
      <c r="BX48" s="82">
        <v>0.25</v>
      </c>
      <c r="BY48" s="546">
        <f t="shared" si="53"/>
        <v>39.524999999999999</v>
      </c>
      <c r="BZ48" s="553"/>
      <c r="CA48" s="553"/>
      <c r="CB48" s="553"/>
      <c r="CC48" s="553"/>
      <c r="CD48" s="553"/>
      <c r="CE48" s="553"/>
      <c r="CF48" s="553"/>
      <c r="CG48" s="553"/>
      <c r="CH48" s="553"/>
      <c r="CI48" s="553"/>
      <c r="CJ48" s="553"/>
      <c r="CK48" s="553"/>
      <c r="CL48" s="553"/>
      <c r="CM48" s="553"/>
      <c r="CN48" s="553"/>
      <c r="CO48" s="553"/>
      <c r="CP48" s="553"/>
      <c r="CQ48" s="553"/>
      <c r="CR48" s="553"/>
      <c r="CS48" s="553"/>
      <c r="CT48" s="553"/>
      <c r="CU48" s="553"/>
      <c r="CV48" s="553"/>
      <c r="CW48" s="553"/>
      <c r="CX48" s="553"/>
      <c r="CY48" s="553"/>
      <c r="CZ48" s="553"/>
    </row>
    <row r="49" spans="1:104">
      <c r="A49" s="553"/>
      <c r="B49" s="553"/>
      <c r="C49" s="553" t="s">
        <v>143</v>
      </c>
      <c r="D49" s="553"/>
      <c r="E49" s="161"/>
      <c r="F49" s="162"/>
      <c r="G49" s="162"/>
      <c r="H49" s="144"/>
      <c r="I49" s="546"/>
      <c r="J49" s="161"/>
      <c r="K49" s="162"/>
      <c r="L49" s="162"/>
      <c r="M49" s="144"/>
      <c r="N49" s="546"/>
      <c r="O49" s="161"/>
      <c r="P49" s="162"/>
      <c r="Q49" s="162"/>
      <c r="R49" s="144"/>
      <c r="S49" s="546"/>
      <c r="T49" s="161"/>
      <c r="U49" s="162"/>
      <c r="V49" s="162"/>
      <c r="W49" s="144"/>
      <c r="X49" s="577">
        <v>0</v>
      </c>
      <c r="Y49" s="161">
        <f t="shared" si="54"/>
        <v>0</v>
      </c>
      <c r="Z49" s="162">
        <f t="shared" si="55"/>
        <v>0</v>
      </c>
      <c r="AA49" s="162">
        <f t="shared" si="56"/>
        <v>0</v>
      </c>
      <c r="AB49" s="144">
        <f t="shared" si="57"/>
        <v>0</v>
      </c>
      <c r="AC49" s="1216"/>
      <c r="AD49" s="1202">
        <f>AH49/4</f>
        <v>55</v>
      </c>
      <c r="AE49" s="1203">
        <f>AH49/4</f>
        <v>55</v>
      </c>
      <c r="AF49" s="1203">
        <f>AH49/4</f>
        <v>55</v>
      </c>
      <c r="AG49" s="1205">
        <f>AH49/4</f>
        <v>55</v>
      </c>
      <c r="AH49" s="1216">
        <f>($BY45/4)</f>
        <v>220</v>
      </c>
      <c r="AI49" s="1202">
        <f t="shared" si="62"/>
        <v>55</v>
      </c>
      <c r="AJ49" s="1203">
        <f t="shared" si="63"/>
        <v>55</v>
      </c>
      <c r="AK49" s="1203">
        <f t="shared" si="64"/>
        <v>55</v>
      </c>
      <c r="AL49" s="1205">
        <f>AM49/4</f>
        <v>55</v>
      </c>
      <c r="AM49" s="1216">
        <f>($BY45/4)</f>
        <v>220</v>
      </c>
      <c r="AN49" s="161">
        <f t="shared" si="65"/>
        <v>0</v>
      </c>
      <c r="AO49" s="1203">
        <f t="shared" si="66"/>
        <v>0</v>
      </c>
      <c r="AP49" s="1488">
        <f t="shared" si="67"/>
        <v>0</v>
      </c>
      <c r="AQ49" s="1487">
        <f t="shared" si="68"/>
        <v>0</v>
      </c>
      <c r="AR49" s="1484">
        <v>0</v>
      </c>
      <c r="AS49" s="161">
        <f t="shared" si="69"/>
        <v>0</v>
      </c>
      <c r="AT49" s="1203">
        <f t="shared" si="70"/>
        <v>0</v>
      </c>
      <c r="AU49" s="162">
        <f t="shared" si="71"/>
        <v>0</v>
      </c>
      <c r="AV49" s="144">
        <f t="shared" si="72"/>
        <v>0</v>
      </c>
      <c r="AW49" s="546">
        <v>0</v>
      </c>
      <c r="AX49" s="161">
        <f t="shared" si="73"/>
        <v>0</v>
      </c>
      <c r="AY49" s="162">
        <f t="shared" si="74"/>
        <v>0</v>
      </c>
      <c r="AZ49" s="162">
        <f t="shared" si="75"/>
        <v>0</v>
      </c>
      <c r="BA49" s="144">
        <f t="shared" si="76"/>
        <v>0</v>
      </c>
      <c r="BB49" s="546">
        <v>0</v>
      </c>
      <c r="BC49" s="161">
        <f t="shared" si="77"/>
        <v>0</v>
      </c>
      <c r="BD49" s="162">
        <f t="shared" si="78"/>
        <v>0</v>
      </c>
      <c r="BE49" s="162">
        <f t="shared" si="79"/>
        <v>0</v>
      </c>
      <c r="BF49" s="144">
        <f t="shared" si="80"/>
        <v>0</v>
      </c>
      <c r="BG49" s="546">
        <v>0</v>
      </c>
      <c r="BH49" s="161">
        <f t="shared" si="81"/>
        <v>0</v>
      </c>
      <c r="BI49" s="162">
        <f t="shared" si="82"/>
        <v>0</v>
      </c>
      <c r="BJ49" s="162">
        <f t="shared" si="83"/>
        <v>0</v>
      </c>
      <c r="BK49" s="144">
        <f t="shared" si="84"/>
        <v>0</v>
      </c>
      <c r="BL49" s="1216">
        <v>0</v>
      </c>
      <c r="BM49" s="161">
        <f t="shared" si="85"/>
        <v>110</v>
      </c>
      <c r="BN49" s="162">
        <f t="shared" si="86"/>
        <v>110</v>
      </c>
      <c r="BO49" s="162">
        <f t="shared" si="87"/>
        <v>110</v>
      </c>
      <c r="BP49" s="144">
        <f t="shared" si="88"/>
        <v>110</v>
      </c>
      <c r="BQ49" s="1216">
        <f>($BY45/2-AW49)</f>
        <v>440</v>
      </c>
      <c r="BR49" s="546"/>
      <c r="BS49" s="553" t="s">
        <v>135</v>
      </c>
      <c r="BT49" s="675">
        <v>0.1143</v>
      </c>
      <c r="BU49" s="695">
        <v>0.45</v>
      </c>
      <c r="BV49" s="641">
        <v>2026</v>
      </c>
      <c r="BW49" s="577">
        <v>1600</v>
      </c>
      <c r="BX49" s="82">
        <v>0.22</v>
      </c>
      <c r="BY49" s="546">
        <f t="shared" si="53"/>
        <v>352</v>
      </c>
      <c r="BZ49" s="553"/>
      <c r="CA49" s="553"/>
      <c r="CB49" s="553"/>
      <c r="CC49" s="553"/>
      <c r="CD49" s="553"/>
      <c r="CE49" s="553"/>
      <c r="CF49" s="553"/>
      <c r="CG49" s="553"/>
      <c r="CH49" s="553"/>
      <c r="CI49" s="553"/>
      <c r="CJ49" s="553"/>
      <c r="CK49" s="553"/>
      <c r="CL49" s="553"/>
      <c r="CM49" s="553"/>
      <c r="CN49" s="553"/>
      <c r="CO49" s="553"/>
      <c r="CP49" s="553"/>
      <c r="CQ49" s="553"/>
      <c r="CR49" s="553"/>
      <c r="CS49" s="553"/>
      <c r="CT49" s="553"/>
      <c r="CU49" s="553"/>
      <c r="CV49" s="553"/>
      <c r="CW49" s="553"/>
      <c r="CX49" s="553"/>
      <c r="CY49" s="553"/>
      <c r="CZ49" s="553"/>
    </row>
    <row r="50" spans="1:104">
      <c r="A50" s="553"/>
      <c r="B50" s="553"/>
      <c r="C50" s="553" t="s">
        <v>134</v>
      </c>
      <c r="D50" s="553"/>
      <c r="E50" s="161"/>
      <c r="F50" s="162"/>
      <c r="G50" s="162"/>
      <c r="H50" s="144"/>
      <c r="I50" s="546"/>
      <c r="J50" s="161"/>
      <c r="K50" s="162"/>
      <c r="L50" s="162"/>
      <c r="M50" s="144"/>
      <c r="N50" s="546"/>
      <c r="O50" s="161"/>
      <c r="P50" s="162"/>
      <c r="Q50" s="162"/>
      <c r="R50" s="144"/>
      <c r="S50" s="546"/>
      <c r="T50" s="161"/>
      <c r="U50" s="162"/>
      <c r="V50" s="162"/>
      <c r="W50" s="144"/>
      <c r="X50" s="577">
        <v>0</v>
      </c>
      <c r="Y50" s="161">
        <f t="shared" si="54"/>
        <v>0</v>
      </c>
      <c r="Z50" s="162">
        <f t="shared" si="55"/>
        <v>0</v>
      </c>
      <c r="AA50" s="162">
        <f t="shared" si="56"/>
        <v>0</v>
      </c>
      <c r="AB50" s="144">
        <f t="shared" si="57"/>
        <v>0</v>
      </c>
      <c r="AC50" s="577">
        <v>0</v>
      </c>
      <c r="AD50" s="161">
        <f t="shared" si="58"/>
        <v>0</v>
      </c>
      <c r="AE50" s="162">
        <f t="shared" si="59"/>
        <v>0</v>
      </c>
      <c r="AF50" s="162">
        <f t="shared" si="60"/>
        <v>0</v>
      </c>
      <c r="AG50" s="144">
        <f t="shared" si="61"/>
        <v>0</v>
      </c>
      <c r="AH50" s="577">
        <v>0</v>
      </c>
      <c r="AI50" s="161">
        <f t="shared" si="62"/>
        <v>30.362499999999997</v>
      </c>
      <c r="AJ50" s="162">
        <f t="shared" si="63"/>
        <v>30.362499999999997</v>
      </c>
      <c r="AK50" s="162">
        <f t="shared" si="64"/>
        <v>30.362499999999997</v>
      </c>
      <c r="AL50" s="144">
        <f>AM50/4</f>
        <v>30.362499999999997</v>
      </c>
      <c r="AM50" s="546">
        <f>($BY46*0.7)</f>
        <v>121.44999999999999</v>
      </c>
      <c r="AN50" s="161">
        <f t="shared" si="65"/>
        <v>4.3375000000000004</v>
      </c>
      <c r="AO50" s="162">
        <f t="shared" si="66"/>
        <v>4.3375000000000004</v>
      </c>
      <c r="AP50" s="1488">
        <f t="shared" si="67"/>
        <v>4.3375000000000004</v>
      </c>
      <c r="AQ50" s="1487">
        <f t="shared" si="68"/>
        <v>4.3375000000000004</v>
      </c>
      <c r="AR50" s="1484">
        <f>($BY46*0.1)</f>
        <v>17.350000000000001</v>
      </c>
      <c r="AS50" s="161">
        <f t="shared" si="69"/>
        <v>4.3375000000000004</v>
      </c>
      <c r="AT50" s="162">
        <f t="shared" si="70"/>
        <v>4.3375000000000004</v>
      </c>
      <c r="AU50" s="162">
        <f t="shared" si="71"/>
        <v>4.3375000000000004</v>
      </c>
      <c r="AV50" s="144">
        <f t="shared" si="72"/>
        <v>4.3375000000000004</v>
      </c>
      <c r="AW50" s="546">
        <f>($BY46*0.1)</f>
        <v>17.350000000000001</v>
      </c>
      <c r="AX50" s="161">
        <f t="shared" si="73"/>
        <v>0</v>
      </c>
      <c r="AY50" s="162">
        <f t="shared" si="74"/>
        <v>0</v>
      </c>
      <c r="AZ50" s="162">
        <f t="shared" si="75"/>
        <v>0</v>
      </c>
      <c r="BA50" s="144">
        <f t="shared" si="76"/>
        <v>0</v>
      </c>
      <c r="BB50" s="546">
        <v>0</v>
      </c>
      <c r="BC50" s="161">
        <f t="shared" si="77"/>
        <v>0</v>
      </c>
      <c r="BD50" s="162">
        <f t="shared" si="78"/>
        <v>0</v>
      </c>
      <c r="BE50" s="162">
        <f t="shared" si="79"/>
        <v>0</v>
      </c>
      <c r="BF50" s="144">
        <f t="shared" si="80"/>
        <v>0</v>
      </c>
      <c r="BG50" s="546">
        <v>0</v>
      </c>
      <c r="BH50" s="161">
        <f t="shared" si="81"/>
        <v>0</v>
      </c>
      <c r="BI50" s="162">
        <f t="shared" si="82"/>
        <v>0</v>
      </c>
      <c r="BJ50" s="162">
        <f t="shared" si="83"/>
        <v>0</v>
      </c>
      <c r="BK50" s="144">
        <f t="shared" si="84"/>
        <v>0</v>
      </c>
      <c r="BL50" s="1216">
        <v>0</v>
      </c>
      <c r="BM50" s="161">
        <f t="shared" si="85"/>
        <v>0</v>
      </c>
      <c r="BN50" s="162">
        <f t="shared" si="86"/>
        <v>0</v>
      </c>
      <c r="BO50" s="162">
        <f t="shared" si="87"/>
        <v>0</v>
      </c>
      <c r="BP50" s="144">
        <f t="shared" si="88"/>
        <v>0</v>
      </c>
      <c r="BQ50" s="1216">
        <v>0</v>
      </c>
      <c r="BR50" s="546"/>
      <c r="BS50" s="553" t="s">
        <v>1011</v>
      </c>
      <c r="BT50" s="675">
        <f>(310.5/613)*11.1%+(72/613)*10.5%+(26/613)*10.4%+(204/613)*10.4%</f>
        <v>0.10757830342577487</v>
      </c>
      <c r="BU50" s="695">
        <v>0.45</v>
      </c>
      <c r="BV50" s="641" t="s">
        <v>1289</v>
      </c>
      <c r="BW50" s="577">
        <f>310.5+72+26+204</f>
        <v>612.5</v>
      </c>
      <c r="BX50" s="82">
        <v>0.86499999999999999</v>
      </c>
      <c r="BY50" s="546">
        <f t="shared" si="53"/>
        <v>529.8125</v>
      </c>
      <c r="BZ50" s="553"/>
      <c r="CA50" s="553"/>
      <c r="CB50" s="553"/>
      <c r="CC50" s="553"/>
      <c r="CD50" s="553"/>
      <c r="CE50" s="553"/>
      <c r="CF50" s="553"/>
      <c r="CG50" s="553"/>
      <c r="CH50" s="553"/>
      <c r="CI50" s="553"/>
      <c r="CJ50" s="553"/>
      <c r="CK50" s="553"/>
      <c r="CL50" s="553"/>
      <c r="CM50" s="553"/>
      <c r="CN50" s="553"/>
      <c r="CO50" s="553"/>
      <c r="CP50" s="553"/>
      <c r="CQ50" s="553"/>
      <c r="CR50" s="553"/>
      <c r="CS50" s="553"/>
      <c r="CT50" s="553"/>
      <c r="CU50" s="553"/>
      <c r="CV50" s="553"/>
      <c r="CW50" s="553"/>
      <c r="CX50" s="553"/>
      <c r="CY50" s="553"/>
      <c r="CZ50" s="553"/>
    </row>
    <row r="51" spans="1:104">
      <c r="A51" s="553"/>
      <c r="B51" s="553"/>
      <c r="C51" s="553" t="s">
        <v>135</v>
      </c>
      <c r="D51" s="553"/>
      <c r="E51" s="161"/>
      <c r="F51" s="162"/>
      <c r="G51" s="162"/>
      <c r="H51" s="144"/>
      <c r="I51" s="546"/>
      <c r="J51" s="161"/>
      <c r="K51" s="162"/>
      <c r="L51" s="162"/>
      <c r="M51" s="144"/>
      <c r="N51" s="546"/>
      <c r="O51" s="161"/>
      <c r="P51" s="162"/>
      <c r="Q51" s="162"/>
      <c r="R51" s="144"/>
      <c r="S51" s="546"/>
      <c r="T51" s="161"/>
      <c r="U51" s="162"/>
      <c r="V51" s="162"/>
      <c r="W51" s="144"/>
      <c r="X51" s="577">
        <v>0</v>
      </c>
      <c r="Y51" s="161">
        <f t="shared" si="54"/>
        <v>0</v>
      </c>
      <c r="Z51" s="162">
        <f t="shared" si="55"/>
        <v>0</v>
      </c>
      <c r="AA51" s="162">
        <f t="shared" si="56"/>
        <v>0</v>
      </c>
      <c r="AB51" s="144">
        <f t="shared" si="57"/>
        <v>0</v>
      </c>
      <c r="AC51" s="577">
        <v>0</v>
      </c>
      <c r="AD51" s="161">
        <f t="shared" si="58"/>
        <v>0</v>
      </c>
      <c r="AE51" s="162">
        <f t="shared" si="59"/>
        <v>0</v>
      </c>
      <c r="AF51" s="162">
        <f t="shared" si="60"/>
        <v>0</v>
      </c>
      <c r="AG51" s="144">
        <f t="shared" si="61"/>
        <v>0</v>
      </c>
      <c r="AH51" s="577">
        <v>0</v>
      </c>
      <c r="AI51" s="161">
        <f t="shared" si="62"/>
        <v>0</v>
      </c>
      <c r="AJ51" s="162">
        <f t="shared" si="63"/>
        <v>0</v>
      </c>
      <c r="AK51" s="162">
        <f t="shared" si="64"/>
        <v>0</v>
      </c>
      <c r="AL51" s="144">
        <f>AM51/4</f>
        <v>0</v>
      </c>
      <c r="AM51" s="577">
        <v>0</v>
      </c>
      <c r="AN51" s="161">
        <f t="shared" si="65"/>
        <v>0</v>
      </c>
      <c r="AO51" s="162">
        <f t="shared" si="66"/>
        <v>0</v>
      </c>
      <c r="AP51" s="1488">
        <f t="shared" si="67"/>
        <v>0</v>
      </c>
      <c r="AQ51" s="1487">
        <f t="shared" si="68"/>
        <v>0</v>
      </c>
      <c r="AR51" s="1484">
        <v>0</v>
      </c>
      <c r="AS51" s="161">
        <f t="shared" si="69"/>
        <v>0</v>
      </c>
      <c r="AT51" s="162">
        <f t="shared" si="70"/>
        <v>0</v>
      </c>
      <c r="AU51" s="162">
        <f t="shared" si="71"/>
        <v>0</v>
      </c>
      <c r="AV51" s="144">
        <f t="shared" si="72"/>
        <v>0</v>
      </c>
      <c r="AW51" s="546">
        <v>0</v>
      </c>
      <c r="AX51" s="161">
        <f t="shared" si="73"/>
        <v>0</v>
      </c>
      <c r="AY51" s="162">
        <f t="shared" si="74"/>
        <v>0</v>
      </c>
      <c r="AZ51" s="162">
        <f t="shared" si="75"/>
        <v>0</v>
      </c>
      <c r="BA51" s="144">
        <f t="shared" si="76"/>
        <v>0</v>
      </c>
      <c r="BB51" s="546">
        <v>0</v>
      </c>
      <c r="BC51" s="161">
        <f t="shared" si="77"/>
        <v>0</v>
      </c>
      <c r="BD51" s="162">
        <f t="shared" si="78"/>
        <v>0</v>
      </c>
      <c r="BE51" s="162">
        <f t="shared" si="79"/>
        <v>0</v>
      </c>
      <c r="BF51" s="144">
        <f t="shared" si="80"/>
        <v>0</v>
      </c>
      <c r="BG51" s="546">
        <v>0</v>
      </c>
      <c r="BH51" s="161">
        <f t="shared" si="81"/>
        <v>0</v>
      </c>
      <c r="BI51" s="162">
        <f t="shared" si="82"/>
        <v>0</v>
      </c>
      <c r="BJ51" s="162">
        <f t="shared" si="83"/>
        <v>0</v>
      </c>
      <c r="BK51" s="144">
        <f t="shared" si="84"/>
        <v>0</v>
      </c>
      <c r="BL51" s="1216">
        <v>0</v>
      </c>
      <c r="BM51" s="161">
        <f t="shared" si="85"/>
        <v>0</v>
      </c>
      <c r="BN51" s="162">
        <f t="shared" si="86"/>
        <v>0</v>
      </c>
      <c r="BO51" s="162">
        <f t="shared" si="87"/>
        <v>0</v>
      </c>
      <c r="BP51" s="144">
        <f t="shared" si="88"/>
        <v>0</v>
      </c>
      <c r="BQ51" s="1216">
        <v>0</v>
      </c>
      <c r="BR51" s="546"/>
      <c r="BS51" s="553"/>
      <c r="BT51" s="674">
        <f>SUMPRODUCT(BY44:BY50,BT44:BT50)/SUM(BY44:BY50)</f>
        <v>0.10976211618898919</v>
      </c>
      <c r="BU51" s="674">
        <f>SUMPRODUCT(BY44:BY50,BU44:BU50)/SUM(BY44:BY50)</f>
        <v>0.45</v>
      </c>
      <c r="BV51" s="553"/>
      <c r="BW51" s="577"/>
      <c r="BX51" s="560"/>
      <c r="BY51" s="546"/>
      <c r="BZ51" s="553"/>
      <c r="CA51" s="553"/>
      <c r="CB51" s="553"/>
      <c r="CC51" s="553"/>
      <c r="CD51" s="553"/>
      <c r="CE51" s="553"/>
      <c r="CF51" s="553"/>
      <c r="CG51" s="553"/>
      <c r="CH51" s="553"/>
      <c r="CI51" s="553"/>
      <c r="CJ51" s="553"/>
      <c r="CK51" s="553"/>
      <c r="CL51" s="553"/>
      <c r="CM51" s="553"/>
      <c r="CN51" s="553"/>
      <c r="CO51" s="553"/>
      <c r="CP51" s="553"/>
      <c r="CQ51" s="553"/>
      <c r="CR51" s="553"/>
      <c r="CS51" s="553"/>
      <c r="CT51" s="553"/>
      <c r="CU51" s="553"/>
      <c r="CV51" s="553"/>
      <c r="CW51" s="553"/>
      <c r="CX51" s="553"/>
      <c r="CY51" s="553"/>
      <c r="CZ51" s="553"/>
    </row>
    <row r="52" spans="1:104">
      <c r="A52" s="553"/>
      <c r="B52" s="553"/>
      <c r="C52" s="553" t="s">
        <v>1011</v>
      </c>
      <c r="D52" s="553"/>
      <c r="E52" s="161"/>
      <c r="F52" s="162"/>
      <c r="G52" s="162"/>
      <c r="H52" s="144"/>
      <c r="I52" s="546"/>
      <c r="J52" s="161"/>
      <c r="K52" s="162"/>
      <c r="L52" s="162"/>
      <c r="M52" s="144"/>
      <c r="N52" s="546"/>
      <c r="O52" s="161"/>
      <c r="P52" s="162"/>
      <c r="Q52" s="162"/>
      <c r="R52" s="144"/>
      <c r="S52" s="546"/>
      <c r="T52" s="161"/>
      <c r="U52" s="162"/>
      <c r="V52" s="162"/>
      <c r="W52" s="144"/>
      <c r="X52" s="577">
        <v>0</v>
      </c>
      <c r="Y52" s="161">
        <f t="shared" si="54"/>
        <v>0</v>
      </c>
      <c r="Z52" s="162">
        <f t="shared" si="55"/>
        <v>0</v>
      </c>
      <c r="AA52" s="162">
        <f t="shared" si="56"/>
        <v>0</v>
      </c>
      <c r="AB52" s="144">
        <f t="shared" si="57"/>
        <v>0</v>
      </c>
      <c r="AC52" s="577">
        <v>0</v>
      </c>
      <c r="AD52" s="161">
        <f t="shared" si="58"/>
        <v>0</v>
      </c>
      <c r="AE52" s="162">
        <f t="shared" si="59"/>
        <v>0</v>
      </c>
      <c r="AF52" s="162">
        <f t="shared" si="60"/>
        <v>0</v>
      </c>
      <c r="AG52" s="144">
        <f t="shared" si="61"/>
        <v>0</v>
      </c>
      <c r="AH52" s="577">
        <v>0</v>
      </c>
      <c r="AI52" s="161">
        <f t="shared" si="62"/>
        <v>50.981426103136627</v>
      </c>
      <c r="AJ52" s="162">
        <f t="shared" si="63"/>
        <v>50.981426103136627</v>
      </c>
      <c r="AK52" s="162">
        <f t="shared" si="64"/>
        <v>50.981426103136627</v>
      </c>
      <c r="AL52" s="144">
        <f>AM52/4</f>
        <v>50.981426103136627</v>
      </c>
      <c r="AM52" s="546">
        <f>64/627*BY50+(2/3*266/627*BY50)</f>
        <v>203.92570441254651</v>
      </c>
      <c r="AN52" s="161">
        <f t="shared" si="65"/>
        <v>18.730744949494952</v>
      </c>
      <c r="AO52" s="162">
        <f t="shared" si="66"/>
        <v>18.730744949494952</v>
      </c>
      <c r="AP52" s="1488">
        <f t="shared" si="67"/>
        <v>18.730744949494952</v>
      </c>
      <c r="AQ52" s="1487">
        <f t="shared" si="68"/>
        <v>18.730744949494952</v>
      </c>
      <c r="AR52" s="1484">
        <f>(266/627*BY50*1/3)</f>
        <v>74.922979797979806</v>
      </c>
      <c r="AS52" s="161">
        <f t="shared" si="69"/>
        <v>0</v>
      </c>
      <c r="AT52" s="162">
        <f t="shared" si="70"/>
        <v>0</v>
      </c>
      <c r="AU52" s="162">
        <f t="shared" si="71"/>
        <v>0</v>
      </c>
      <c r="AV52" s="144">
        <f t="shared" si="72"/>
        <v>0</v>
      </c>
      <c r="AW52" s="546">
        <f>(266/627*CD50*1/3)</f>
        <v>0</v>
      </c>
      <c r="AX52" s="161">
        <f t="shared" si="73"/>
        <v>21.705835077751196</v>
      </c>
      <c r="AY52" s="162">
        <f t="shared" si="74"/>
        <v>21.705835077751196</v>
      </c>
      <c r="AZ52" s="162">
        <f t="shared" si="75"/>
        <v>21.705835077751196</v>
      </c>
      <c r="BA52" s="144">
        <f t="shared" si="76"/>
        <v>21.705835077751196</v>
      </c>
      <c r="BB52" s="546">
        <f>(1/3*72/627*BY50)+(225/627*BY50*0.35)</f>
        <v>86.823340311004785</v>
      </c>
      <c r="BC52" s="161">
        <f>BG52/4</f>
        <v>29.152362440191389</v>
      </c>
      <c r="BD52" s="162">
        <f>BG52/4</f>
        <v>29.152362440191389</v>
      </c>
      <c r="BE52" s="162">
        <f>BG52/4</f>
        <v>29.152362440191389</v>
      </c>
      <c r="BF52" s="144">
        <f>BG52/4</f>
        <v>29.152362440191389</v>
      </c>
      <c r="BG52" s="546">
        <f>(2/3*72/627*BY50)+(225/627*BY50*0.4)</f>
        <v>116.60944976076556</v>
      </c>
      <c r="BH52" s="161">
        <f>BL52/4</f>
        <v>11.882756429425838</v>
      </c>
      <c r="BI52" s="162">
        <f>BL52/4</f>
        <v>11.882756429425838</v>
      </c>
      <c r="BJ52" s="162">
        <f>BL52/4</f>
        <v>11.882756429425838</v>
      </c>
      <c r="BK52" s="144">
        <f>BL52/4</f>
        <v>11.882756429425838</v>
      </c>
      <c r="BL52" s="546">
        <f>(225/627*BY50*0.25)</f>
        <v>47.531025717703351</v>
      </c>
      <c r="BM52" s="161">
        <f t="shared" si="85"/>
        <v>0</v>
      </c>
      <c r="BN52" s="162">
        <f t="shared" si="86"/>
        <v>0</v>
      </c>
      <c r="BO52" s="162">
        <f t="shared" si="87"/>
        <v>0</v>
      </c>
      <c r="BP52" s="144">
        <f t="shared" si="88"/>
        <v>0</v>
      </c>
      <c r="BQ52" s="1855">
        <v>0</v>
      </c>
      <c r="BR52" s="546"/>
      <c r="BS52" s="553"/>
      <c r="BV52" s="553"/>
      <c r="BW52" s="553"/>
      <c r="BX52" s="553"/>
      <c r="BY52" s="553"/>
      <c r="BZ52" s="553"/>
      <c r="CA52" s="553"/>
      <c r="CB52" s="553"/>
      <c r="CC52" s="553"/>
      <c r="CD52" s="553"/>
      <c r="CE52" s="553"/>
      <c r="CF52" s="553"/>
      <c r="CG52" s="553"/>
      <c r="CH52" s="553"/>
      <c r="CI52" s="553"/>
      <c r="CJ52" s="553"/>
      <c r="CK52" s="553"/>
      <c r="CL52" s="553"/>
      <c r="CM52" s="553"/>
      <c r="CN52" s="553"/>
      <c r="CO52" s="553"/>
      <c r="CP52" s="553"/>
      <c r="CQ52" s="553"/>
      <c r="CR52" s="553"/>
      <c r="CS52" s="553"/>
      <c r="CT52" s="553"/>
      <c r="CU52" s="553"/>
      <c r="CV52" s="553"/>
      <c r="CW52" s="553"/>
      <c r="CX52" s="553"/>
      <c r="CY52" s="553"/>
      <c r="CZ52" s="553"/>
    </row>
    <row r="53" spans="1:104">
      <c r="A53" s="553"/>
      <c r="B53" s="553"/>
      <c r="C53" s="545" t="s">
        <v>1316</v>
      </c>
      <c r="D53" s="553"/>
      <c r="E53" s="149"/>
      <c r="F53" s="156"/>
      <c r="G53" s="156"/>
      <c r="H53" s="151"/>
      <c r="I53" s="489"/>
      <c r="J53" s="149"/>
      <c r="K53" s="156"/>
      <c r="L53" s="156"/>
      <c r="M53" s="151"/>
      <c r="N53" s="489"/>
      <c r="O53" s="149"/>
      <c r="P53" s="156"/>
      <c r="Q53" s="156"/>
      <c r="R53" s="151"/>
      <c r="S53" s="489"/>
      <c r="T53" s="149"/>
      <c r="U53" s="156"/>
      <c r="V53" s="156"/>
      <c r="W53" s="151"/>
      <c r="X53" s="489">
        <f t="shared" ref="X53:AQ53" si="89">SUM(X46:X52)</f>
        <v>542</v>
      </c>
      <c r="Y53" s="149">
        <f t="shared" si="89"/>
        <v>253.19062500000001</v>
      </c>
      <c r="Z53" s="156">
        <f t="shared" si="89"/>
        <v>253.19062500000001</v>
      </c>
      <c r="AA53" s="156">
        <f t="shared" si="89"/>
        <v>253.19062500000001</v>
      </c>
      <c r="AB53" s="151">
        <f t="shared" si="89"/>
        <v>253.19062500000001</v>
      </c>
      <c r="AC53" s="489">
        <f t="shared" si="89"/>
        <v>1012.7625</v>
      </c>
      <c r="AD53" s="149">
        <f t="shared" si="89"/>
        <v>296.94062500000001</v>
      </c>
      <c r="AE53" s="156">
        <f t="shared" si="89"/>
        <v>296.94062500000001</v>
      </c>
      <c r="AF53" s="156">
        <f t="shared" si="89"/>
        <v>296.94062500000001</v>
      </c>
      <c r="AG53" s="151">
        <f t="shared" si="89"/>
        <v>296.94062500000001</v>
      </c>
      <c r="AH53" s="489">
        <f t="shared" si="89"/>
        <v>1187.7625</v>
      </c>
      <c r="AI53" s="149">
        <f t="shared" si="89"/>
        <v>421.60955110313665</v>
      </c>
      <c r="AJ53" s="156">
        <f t="shared" si="89"/>
        <v>421.60955110313665</v>
      </c>
      <c r="AK53" s="156">
        <f t="shared" si="89"/>
        <v>421.60955110313665</v>
      </c>
      <c r="AL53" s="151">
        <f t="shared" si="89"/>
        <v>421.60955110313654</v>
      </c>
      <c r="AM53" s="489">
        <f t="shared" si="89"/>
        <v>1686.4382044125466</v>
      </c>
      <c r="AN53" s="149">
        <f t="shared" si="89"/>
        <v>305.5</v>
      </c>
      <c r="AO53" s="156">
        <f t="shared" si="89"/>
        <v>305.5</v>
      </c>
      <c r="AP53" s="1557">
        <f t="shared" si="89"/>
        <v>305.5</v>
      </c>
      <c r="AQ53" s="1518">
        <f t="shared" si="89"/>
        <v>305.5</v>
      </c>
      <c r="AR53" s="1639">
        <v>1222</v>
      </c>
      <c r="AS53" s="149">
        <f>SUM(AS46:AS52)</f>
        <v>394.5</v>
      </c>
      <c r="AT53" s="156">
        <f>SUM(AT46:AT52)</f>
        <v>394.5</v>
      </c>
      <c r="AU53" s="156">
        <f>SUM(AU46:AU52)</f>
        <v>394.5</v>
      </c>
      <c r="AV53" s="151">
        <f>SUM(AV46:AV52)</f>
        <v>394.5</v>
      </c>
      <c r="AW53" s="577">
        <v>1578</v>
      </c>
      <c r="AX53" s="149">
        <f>SUM(AX46:AX52)</f>
        <v>378.5</v>
      </c>
      <c r="AY53" s="156">
        <f>SUM(AY46:AY52)</f>
        <v>378.5</v>
      </c>
      <c r="AZ53" s="156">
        <f>SUM(AZ46:AZ52)</f>
        <v>378.5</v>
      </c>
      <c r="BA53" s="151">
        <f>SUM(BA46:BA52)</f>
        <v>378.5</v>
      </c>
      <c r="BB53" s="577">
        <v>1514</v>
      </c>
      <c r="BC53" s="149">
        <f>SUM(BC46:BC52)</f>
        <v>386</v>
      </c>
      <c r="BD53" s="156">
        <f>SUM(BD46:BD52)</f>
        <v>386</v>
      </c>
      <c r="BE53" s="156">
        <f>SUM(BE46:BE52)</f>
        <v>386</v>
      </c>
      <c r="BF53" s="151">
        <f>SUM(BF46:BF52)</f>
        <v>386</v>
      </c>
      <c r="BG53" s="577">
        <v>1544</v>
      </c>
      <c r="BH53" s="149">
        <f>SUM(BH46:BH52)</f>
        <v>325.25</v>
      </c>
      <c r="BI53" s="156">
        <f>SUM(BI46:BI52)</f>
        <v>325.25</v>
      </c>
      <c r="BJ53" s="156">
        <f>SUM(BJ46:BJ52)</f>
        <v>325.25</v>
      </c>
      <c r="BK53" s="151">
        <f>SUM(BK46:BK52)</f>
        <v>325.25</v>
      </c>
      <c r="BL53" s="577">
        <v>1301</v>
      </c>
      <c r="BM53" s="149">
        <f>SUM(BM46:BM52)</f>
        <v>375</v>
      </c>
      <c r="BN53" s="156">
        <f>SUM(BN46:BN52)</f>
        <v>375</v>
      </c>
      <c r="BO53" s="156">
        <f>SUM(BO46:BO52)</f>
        <v>375</v>
      </c>
      <c r="BP53" s="151">
        <f>SUM(BP46:BP52)</f>
        <v>375</v>
      </c>
      <c r="BQ53" s="577">
        <v>1500</v>
      </c>
      <c r="BR53" s="489"/>
      <c r="BS53" s="1116" t="s">
        <v>1318</v>
      </c>
      <c r="BT53" s="1118">
        <f>AW53+BB53+BG53+BL53</f>
        <v>5937</v>
      </c>
      <c r="BZ53" s="553"/>
      <c r="CA53" s="553"/>
      <c r="CB53" s="553"/>
      <c r="CC53" s="553"/>
      <c r="CD53" s="553"/>
      <c r="CE53" s="553"/>
      <c r="CF53" s="553"/>
      <c r="CG53" s="553"/>
      <c r="CH53" s="553"/>
      <c r="CI53" s="553"/>
      <c r="CJ53" s="553"/>
      <c r="CK53" s="553"/>
      <c r="CL53" s="553"/>
      <c r="CM53" s="553"/>
      <c r="CN53" s="553"/>
      <c r="CO53" s="553"/>
      <c r="CP53" s="553"/>
      <c r="CQ53" s="553"/>
      <c r="CR53" s="553"/>
      <c r="CS53" s="553"/>
      <c r="CT53" s="553"/>
      <c r="CU53" s="553"/>
      <c r="CV53" s="553"/>
      <c r="CW53" s="553"/>
      <c r="CX53" s="553"/>
      <c r="CY53" s="553"/>
      <c r="CZ53" s="553"/>
    </row>
    <row r="54" spans="1:104">
      <c r="A54" s="553"/>
      <c r="B54" s="553"/>
      <c r="C54" s="553"/>
      <c r="D54" s="553"/>
      <c r="E54" s="225"/>
      <c r="F54" s="604"/>
      <c r="G54" s="604"/>
      <c r="H54" s="227"/>
      <c r="I54" s="546"/>
      <c r="J54" s="161"/>
      <c r="K54" s="162"/>
      <c r="L54" s="162"/>
      <c r="M54" s="144"/>
      <c r="N54" s="546"/>
      <c r="O54" s="161"/>
      <c r="P54" s="162"/>
      <c r="Q54" s="162"/>
      <c r="R54" s="144"/>
      <c r="S54" s="546"/>
      <c r="T54" s="161"/>
      <c r="U54" s="162"/>
      <c r="V54" s="162"/>
      <c r="W54" s="144"/>
      <c r="X54" s="546"/>
      <c r="Y54" s="161"/>
      <c r="Z54" s="162"/>
      <c r="AA54" s="162"/>
      <c r="AB54" s="144"/>
      <c r="AC54" s="546"/>
      <c r="AD54" s="161"/>
      <c r="AE54" s="162"/>
      <c r="AF54" s="162"/>
      <c r="AG54" s="144"/>
      <c r="AH54" s="546"/>
      <c r="AI54" s="161"/>
      <c r="AJ54" s="162"/>
      <c r="AK54" s="162"/>
      <c r="AL54" s="144"/>
      <c r="AM54" s="546"/>
      <c r="AN54" s="161"/>
      <c r="AO54" s="162"/>
      <c r="AP54" s="1488"/>
      <c r="AQ54" s="1487"/>
      <c r="AR54" s="1484"/>
      <c r="AS54" s="161"/>
      <c r="AT54" s="162"/>
      <c r="AU54" s="162"/>
      <c r="AV54" s="144"/>
      <c r="AW54" s="546"/>
      <c r="AX54" s="161"/>
      <c r="AY54" s="162"/>
      <c r="AZ54" s="162"/>
      <c r="BA54" s="144"/>
      <c r="BB54" s="546"/>
      <c r="BC54" s="161"/>
      <c r="BD54" s="162"/>
      <c r="BE54" s="162"/>
      <c r="BF54" s="144"/>
      <c r="BG54" s="546"/>
      <c r="BH54" s="161"/>
      <c r="BI54" s="162"/>
      <c r="BJ54" s="162"/>
      <c r="BK54" s="144"/>
      <c r="BL54" s="1216"/>
      <c r="BM54" s="161"/>
      <c r="BN54" s="162"/>
      <c r="BO54" s="162"/>
      <c r="BP54" s="144"/>
      <c r="BQ54" s="1216"/>
      <c r="BR54" s="546"/>
      <c r="BS54" s="1117" t="s">
        <v>1114</v>
      </c>
      <c r="BT54" s="577">
        <f>8200-2700</f>
        <v>5500</v>
      </c>
      <c r="BU54" s="553"/>
      <c r="BV54" s="553"/>
      <c r="BW54" s="553"/>
      <c r="BX54" s="553"/>
      <c r="BY54" s="553"/>
      <c r="BZ54" s="553"/>
      <c r="CA54" s="553"/>
      <c r="CB54" s="553"/>
      <c r="CC54" s="553"/>
      <c r="CD54" s="553"/>
      <c r="CE54" s="553"/>
      <c r="CF54" s="553"/>
      <c r="CG54" s="553"/>
      <c r="CH54" s="553"/>
      <c r="CI54" s="553"/>
      <c r="CJ54" s="553"/>
      <c r="CK54" s="553"/>
      <c r="CL54" s="553"/>
      <c r="CM54" s="553"/>
      <c r="CN54" s="553"/>
      <c r="CO54" s="553"/>
      <c r="CP54" s="553"/>
      <c r="CQ54" s="553"/>
      <c r="CR54" s="553"/>
      <c r="CS54" s="553"/>
      <c r="CT54" s="553"/>
      <c r="CU54" s="553"/>
      <c r="CV54" s="553"/>
      <c r="CW54" s="553"/>
      <c r="CX54" s="553"/>
      <c r="CY54" s="553"/>
      <c r="CZ54" s="553"/>
    </row>
    <row r="55" spans="1:104">
      <c r="A55" s="553"/>
      <c r="B55" s="553"/>
      <c r="C55" s="553" t="s">
        <v>147</v>
      </c>
      <c r="D55" s="553"/>
      <c r="E55" s="161"/>
      <c r="F55" s="162"/>
      <c r="G55" s="162"/>
      <c r="H55" s="144"/>
      <c r="I55" s="546"/>
      <c r="J55" s="161"/>
      <c r="K55" s="162"/>
      <c r="L55" s="162"/>
      <c r="M55" s="144"/>
      <c r="N55" s="546"/>
      <c r="O55" s="161"/>
      <c r="P55" s="162"/>
      <c r="Q55" s="162"/>
      <c r="R55" s="144"/>
      <c r="S55" s="546"/>
      <c r="T55" s="161"/>
      <c r="U55" s="162"/>
      <c r="V55" s="162"/>
      <c r="W55" s="144"/>
      <c r="X55" s="544">
        <v>748</v>
      </c>
      <c r="Y55" s="142">
        <v>921</v>
      </c>
      <c r="Z55" s="159">
        <v>1079</v>
      </c>
      <c r="AA55" s="159">
        <v>1296</v>
      </c>
      <c r="AB55" s="158">
        <v>1636</v>
      </c>
      <c r="AC55" s="546">
        <f>+AB55</f>
        <v>1636</v>
      </c>
      <c r="AD55" s="142">
        <v>1842</v>
      </c>
      <c r="AE55" s="159">
        <v>2079</v>
      </c>
      <c r="AF55" s="159">
        <v>2378</v>
      </c>
      <c r="AG55" s="158">
        <v>2714</v>
      </c>
      <c r="AH55" s="546">
        <f>+AG55</f>
        <v>2714</v>
      </c>
      <c r="AI55" s="142">
        <v>2952</v>
      </c>
      <c r="AJ55" s="159">
        <v>3241</v>
      </c>
      <c r="AK55" s="159">
        <v>3594</v>
      </c>
      <c r="AL55" s="158">
        <v>3977.6</v>
      </c>
      <c r="AM55" s="546">
        <f>+AL55</f>
        <v>3977.6</v>
      </c>
      <c r="AN55" s="142">
        <v>4230.5</v>
      </c>
      <c r="AO55" s="159">
        <v>4529.6000000000004</v>
      </c>
      <c r="AP55" s="1764">
        <v>4896.3999999999996</v>
      </c>
      <c r="AQ55" s="158">
        <v>5354</v>
      </c>
      <c r="AR55" s="546">
        <f>+AQ55</f>
        <v>5354</v>
      </c>
      <c r="AS55" s="142">
        <v>5665.4</v>
      </c>
      <c r="AT55" s="159">
        <v>6012.1</v>
      </c>
      <c r="AU55" s="159">
        <v>6394.2</v>
      </c>
      <c r="AV55" s="158">
        <v>7110.2</v>
      </c>
      <c r="AW55" s="546">
        <f>+AV55</f>
        <v>7110.2</v>
      </c>
      <c r="AX55" s="161">
        <f>+AW55+AX53</f>
        <v>7488.7</v>
      </c>
      <c r="AY55" s="162">
        <f>+AX55+AY53</f>
        <v>7867.2</v>
      </c>
      <c r="AZ55" s="162">
        <f>+AY55+AZ53</f>
        <v>8245.7000000000007</v>
      </c>
      <c r="BA55" s="144">
        <f>+AZ55+BA53</f>
        <v>8624.2000000000007</v>
      </c>
      <c r="BB55" s="546">
        <f>+BA55</f>
        <v>8624.2000000000007</v>
      </c>
      <c r="BC55" s="161">
        <f>+BB55+BC53</f>
        <v>9010.2000000000007</v>
      </c>
      <c r="BD55" s="162">
        <f>+BC55+BD53</f>
        <v>9396.2000000000007</v>
      </c>
      <c r="BE55" s="162">
        <f>+BD55+BE53</f>
        <v>9782.2000000000007</v>
      </c>
      <c r="BF55" s="144">
        <f>+BE55+BF53</f>
        <v>10168.200000000001</v>
      </c>
      <c r="BG55" s="546">
        <f>+BF55</f>
        <v>10168.200000000001</v>
      </c>
      <c r="BH55" s="161">
        <f>+BG55+BH53</f>
        <v>10493.45</v>
      </c>
      <c r="BI55" s="162">
        <f>+BH55+BI53</f>
        <v>10818.7</v>
      </c>
      <c r="BJ55" s="162">
        <f>+BI55+BJ53</f>
        <v>11143.95</v>
      </c>
      <c r="BK55" s="144">
        <f>+BJ55+BK53</f>
        <v>11469.2</v>
      </c>
      <c r="BL55" s="1216">
        <f>+BK55</f>
        <v>11469.2</v>
      </c>
      <c r="BM55" s="161">
        <f>+BL55+BM53</f>
        <v>11844.2</v>
      </c>
      <c r="BN55" s="162">
        <f>+BM55+BN53</f>
        <v>12219.2</v>
      </c>
      <c r="BO55" s="162">
        <f>+BN55+BO53</f>
        <v>12594.2</v>
      </c>
      <c r="BP55" s="144">
        <f>+BO55+BP53</f>
        <v>12969.2</v>
      </c>
      <c r="BQ55" s="1216">
        <f>+BP55</f>
        <v>12969.2</v>
      </c>
      <c r="BR55" s="546"/>
      <c r="BX55" s="695"/>
      <c r="BZ55" s="553"/>
      <c r="CA55" s="553"/>
      <c r="CB55" s="553"/>
      <c r="CC55" s="553"/>
      <c r="CD55" s="553"/>
      <c r="CE55" s="553"/>
      <c r="CF55" s="553"/>
      <c r="CG55" s="553"/>
      <c r="CH55" s="553"/>
      <c r="CI55" s="553"/>
      <c r="CJ55" s="553"/>
      <c r="CK55" s="553"/>
      <c r="CL55" s="553"/>
      <c r="CM55" s="553"/>
      <c r="CN55" s="553"/>
      <c r="CO55" s="553"/>
      <c r="CP55" s="553"/>
      <c r="CQ55" s="553"/>
      <c r="CR55" s="553"/>
      <c r="CS55" s="553"/>
      <c r="CT55" s="553"/>
      <c r="CU55" s="553"/>
      <c r="CV55" s="553"/>
      <c r="CW55" s="553"/>
      <c r="CX55" s="553"/>
      <c r="CY55" s="553"/>
      <c r="CZ55" s="553"/>
    </row>
    <row r="56" spans="1:104">
      <c r="A56" s="553"/>
      <c r="B56" s="553"/>
      <c r="C56" s="1117" t="s">
        <v>1217</v>
      </c>
      <c r="D56" s="553"/>
      <c r="E56" s="161"/>
      <c r="F56" s="162"/>
      <c r="G56" s="162"/>
      <c r="H56" s="144"/>
      <c r="I56" s="546"/>
      <c r="J56" s="161"/>
      <c r="K56" s="162"/>
      <c r="L56" s="162"/>
      <c r="M56" s="144"/>
      <c r="N56" s="546"/>
      <c r="O56" s="161"/>
      <c r="P56" s="162"/>
      <c r="Q56" s="162"/>
      <c r="R56" s="144"/>
      <c r="S56" s="546"/>
      <c r="T56" s="161"/>
      <c r="U56" s="162"/>
      <c r="V56" s="162"/>
      <c r="W56" s="144"/>
      <c r="X56" s="544">
        <f>X55-X46</f>
        <v>598</v>
      </c>
      <c r="Y56" s="142"/>
      <c r="Z56" s="159"/>
      <c r="AA56" s="159"/>
      <c r="AB56" s="158"/>
      <c r="AC56" s="546">
        <f>X56+AC47</f>
        <v>1441</v>
      </c>
      <c r="AD56" s="142"/>
      <c r="AE56" s="159"/>
      <c r="AF56" s="159"/>
      <c r="AG56" s="158"/>
      <c r="AH56" s="546">
        <f>AC56+AH47</f>
        <v>2389</v>
      </c>
      <c r="AI56" s="142"/>
      <c r="AJ56" s="159"/>
      <c r="AK56" s="159"/>
      <c r="AL56" s="158"/>
      <c r="AM56" s="546">
        <f>AH56+AM47</f>
        <v>3510.3</v>
      </c>
      <c r="AN56" s="142"/>
      <c r="AO56" s="159"/>
      <c r="AP56" s="1764"/>
      <c r="AQ56" s="1487"/>
      <c r="AR56" s="546">
        <f>AM56+AR47</f>
        <v>4640.0270202020201</v>
      </c>
      <c r="AS56" s="142"/>
      <c r="AT56" s="159"/>
      <c r="AU56" s="162"/>
      <c r="AV56" s="1487"/>
      <c r="AW56" s="546">
        <f>AR56+AW47</f>
        <v>6200.6770202020198</v>
      </c>
      <c r="AX56" s="161"/>
      <c r="AY56" s="162"/>
      <c r="AZ56" s="162"/>
      <c r="BA56" s="144"/>
      <c r="BB56" s="546">
        <f>AW56+BB47</f>
        <v>7627.8536798910154</v>
      </c>
      <c r="BC56" s="161"/>
      <c r="BD56" s="162"/>
      <c r="BE56" s="162"/>
      <c r="BF56" s="144"/>
      <c r="BG56" s="546">
        <f>BB56+BG47</f>
        <v>9055.2442301302508</v>
      </c>
      <c r="BH56" s="161"/>
      <c r="BI56" s="162"/>
      <c r="BJ56" s="162"/>
      <c r="BK56" s="144"/>
      <c r="BL56" s="1216">
        <f>BG56+BL47</f>
        <v>10308.713204412546</v>
      </c>
      <c r="BM56" s="161"/>
      <c r="BN56" s="162"/>
      <c r="BO56" s="162"/>
      <c r="BP56" s="144"/>
      <c r="BQ56" s="1216">
        <f>BL56+BQ47</f>
        <v>11368.713204412546</v>
      </c>
      <c r="BR56" s="546"/>
      <c r="BS56" s="553"/>
      <c r="BT56" s="1267">
        <f>SUM(X53,AC53,AH53,AM53,AR53,AW53,BB53,BG53,BL53)</f>
        <v>11587.963204412546</v>
      </c>
      <c r="BU56" s="553"/>
      <c r="BV56" s="553"/>
      <c r="BW56" s="553"/>
      <c r="BX56" s="695"/>
      <c r="BY56" s="553"/>
      <c r="BZ56" s="553"/>
      <c r="CA56" s="553"/>
      <c r="CB56" s="553"/>
      <c r="CC56" s="553"/>
      <c r="CD56" s="553"/>
      <c r="CE56" s="553"/>
      <c r="CF56" s="553"/>
      <c r="CG56" s="553"/>
      <c r="CH56" s="553"/>
      <c r="CI56" s="553"/>
      <c r="CJ56" s="553"/>
      <c r="CK56" s="553"/>
      <c r="CL56" s="553"/>
      <c r="CM56" s="553"/>
      <c r="CN56" s="553"/>
      <c r="CO56" s="553"/>
      <c r="CP56" s="553"/>
      <c r="CQ56" s="553"/>
      <c r="CR56" s="553"/>
      <c r="CS56" s="553"/>
      <c r="CT56" s="553"/>
      <c r="CU56" s="553"/>
      <c r="CV56" s="553"/>
      <c r="CW56" s="553"/>
      <c r="CX56" s="553"/>
      <c r="CY56" s="553"/>
      <c r="CZ56" s="553"/>
    </row>
    <row r="57" spans="1:104">
      <c r="A57" s="553"/>
      <c r="B57" s="553"/>
      <c r="C57" s="553"/>
      <c r="D57" s="553"/>
      <c r="E57" s="225"/>
      <c r="F57" s="604"/>
      <c r="G57" s="604"/>
      <c r="H57" s="227"/>
      <c r="I57" s="571"/>
      <c r="J57" s="225"/>
      <c r="K57" s="604"/>
      <c r="L57" s="604"/>
      <c r="M57" s="227"/>
      <c r="N57" s="571"/>
      <c r="O57" s="161"/>
      <c r="P57" s="162"/>
      <c r="Q57" s="162"/>
      <c r="R57" s="144"/>
      <c r="S57" s="546"/>
      <c r="T57" s="161"/>
      <c r="U57" s="162"/>
      <c r="V57" s="162"/>
      <c r="W57" s="144"/>
      <c r="X57" s="546"/>
      <c r="Y57" s="161"/>
      <c r="Z57" s="162"/>
      <c r="AA57" s="162"/>
      <c r="AB57" s="144"/>
      <c r="AC57" s="546"/>
      <c r="AD57" s="161"/>
      <c r="AE57" s="162"/>
      <c r="AF57" s="162"/>
      <c r="AG57" s="144"/>
      <c r="AH57" s="546"/>
      <c r="AI57" s="161"/>
      <c r="AJ57" s="162"/>
      <c r="AK57" s="162"/>
      <c r="AL57" s="144"/>
      <c r="AM57" s="546"/>
      <c r="AN57" s="161"/>
      <c r="AO57" s="162"/>
      <c r="AP57" s="1488"/>
      <c r="AQ57" s="1487"/>
      <c r="AR57" s="1484"/>
      <c r="AS57" s="161"/>
      <c r="AT57" s="162"/>
      <c r="AU57" s="162"/>
      <c r="AV57" s="1487"/>
      <c r="AW57" s="1484"/>
      <c r="AX57" s="161"/>
      <c r="AY57" s="162"/>
      <c r="AZ57" s="162"/>
      <c r="BA57" s="144"/>
      <c r="BB57" s="546"/>
      <c r="BC57" s="161"/>
      <c r="BD57" s="162"/>
      <c r="BE57" s="162"/>
      <c r="BF57" s="144"/>
      <c r="BG57" s="546"/>
      <c r="BH57" s="161"/>
      <c r="BI57" s="162"/>
      <c r="BJ57" s="162"/>
      <c r="BK57" s="144"/>
      <c r="BL57" s="1216"/>
      <c r="BM57" s="161"/>
      <c r="BN57" s="162"/>
      <c r="BO57" s="162"/>
      <c r="BP57" s="144"/>
      <c r="BQ57" s="1216"/>
      <c r="BR57" s="546"/>
      <c r="BS57" s="553"/>
      <c r="BT57" s="553"/>
      <c r="BU57" s="553"/>
      <c r="BV57" s="553"/>
      <c r="BW57" s="553"/>
      <c r="BX57" s="695"/>
      <c r="BY57" s="553"/>
      <c r="BZ57" s="553"/>
      <c r="CA57" s="553"/>
      <c r="CB57" s="553"/>
      <c r="CC57" s="553"/>
      <c r="CD57" s="553"/>
      <c r="CE57" s="553"/>
      <c r="CF57" s="553"/>
      <c r="CG57" s="553"/>
      <c r="CH57" s="553"/>
      <c r="CI57" s="553"/>
      <c r="CJ57" s="553"/>
      <c r="CK57" s="553"/>
      <c r="CL57" s="553"/>
      <c r="CM57" s="553"/>
      <c r="CN57" s="553"/>
      <c r="CO57" s="553"/>
      <c r="CP57" s="553"/>
      <c r="CQ57" s="553"/>
      <c r="CR57" s="553"/>
      <c r="CS57" s="553"/>
      <c r="CT57" s="553"/>
      <c r="CU57" s="553"/>
      <c r="CV57" s="553"/>
      <c r="CW57" s="553"/>
      <c r="CX57" s="553"/>
      <c r="CY57" s="553"/>
      <c r="CZ57" s="553"/>
    </row>
    <row r="58" spans="1:104">
      <c r="A58" s="553"/>
      <c r="B58" s="553"/>
      <c r="C58" s="553" t="s">
        <v>221</v>
      </c>
      <c r="D58" s="553"/>
      <c r="E58" s="768"/>
      <c r="F58" s="769"/>
      <c r="G58" s="769"/>
      <c r="H58" s="770"/>
      <c r="I58" s="771"/>
      <c r="J58" s="768"/>
      <c r="K58" s="769"/>
      <c r="L58" s="769"/>
      <c r="M58" s="770"/>
      <c r="N58" s="771"/>
      <c r="O58" s="768"/>
      <c r="P58" s="769"/>
      <c r="Q58" s="769"/>
      <c r="R58" s="770"/>
      <c r="S58" s="771"/>
      <c r="T58" s="768"/>
      <c r="U58" s="769"/>
      <c r="V58" s="769"/>
      <c r="W58" s="770"/>
      <c r="X58" s="1263">
        <f>X59/X55</f>
        <v>4.0106951871657758E-3</v>
      </c>
      <c r="Y58" s="1264">
        <f>Y59/Y55*4</f>
        <v>1.0857763300760043E-2</v>
      </c>
      <c r="Z58" s="1265">
        <f>Z59/Z55*4</f>
        <v>9.2678405931417972E-3</v>
      </c>
      <c r="AA58" s="1265">
        <f>AA59/AA55*4</f>
        <v>7.716049382716049E-3</v>
      </c>
      <c r="AB58" s="1266">
        <f>AB59/AB55*4</f>
        <v>6.1124694376528121E-3</v>
      </c>
      <c r="AC58" s="1263">
        <f>AC59/AC55</f>
        <v>6.1124694376528121E-3</v>
      </c>
      <c r="AD58" s="1264">
        <f>AD59/AD55*4</f>
        <v>1.3029315960912053E-2</v>
      </c>
      <c r="AE58" s="1265">
        <f>AE59/AE55*4</f>
        <v>1.1544011544011544E-2</v>
      </c>
      <c r="AF58" s="1265">
        <f>AF59/AF55*4</f>
        <v>1.0092514718250631E-2</v>
      </c>
      <c r="AG58" s="1266">
        <f>AG59/AG55*4</f>
        <v>8.8430361090641122E-3</v>
      </c>
      <c r="AH58" s="1263">
        <f>AH59/AH55</f>
        <v>8.8430361090641122E-3</v>
      </c>
      <c r="AI58" s="1264">
        <f>AI59/AI55*4</f>
        <v>1.4566395663956639E-2</v>
      </c>
      <c r="AJ58" s="1265">
        <f>AJ59/AJ55*4</f>
        <v>1.3267510027769207E-2</v>
      </c>
      <c r="AK58" s="1265">
        <f>AK59/AK55*4</f>
        <v>1.1964385086254869E-2</v>
      </c>
      <c r="AL58" s="1266">
        <f>AL59/AL55*4</f>
        <v>1.081053901850362E-2</v>
      </c>
      <c r="AM58" s="1263">
        <f>AM59/AM55</f>
        <v>1.081053901850362E-2</v>
      </c>
      <c r="AN58" s="1264">
        <f>AN59/AN55*4</f>
        <v>1.4655478075877556E-2</v>
      </c>
      <c r="AO58" s="1265">
        <f>AO59/AO55*4</f>
        <v>1.3952666902154715E-2</v>
      </c>
      <c r="AP58" s="1867">
        <f>AP59/AP55*4</f>
        <v>1.3969446940609429E-2</v>
      </c>
      <c r="AQ58" s="1266">
        <f>AQ59/AQ55*4</f>
        <v>1.3970862906238323E-2</v>
      </c>
      <c r="AR58" s="1263">
        <f>AR59/AR55</f>
        <v>1.2532685842360851E-2</v>
      </c>
      <c r="AS58" s="1264">
        <f>AS59/AS55*4</f>
        <v>1.7368588272672719E-2</v>
      </c>
      <c r="AT58" s="1265">
        <f>AT59/AT55*4</f>
        <v>1.5967798273481812E-2</v>
      </c>
      <c r="AU58" s="1265">
        <f>AU59/AU55*4</f>
        <v>1.632729661255513E-2</v>
      </c>
      <c r="AV58" s="1266">
        <f>AV59/AV55*4</f>
        <v>1.5470732187561531E-2</v>
      </c>
      <c r="AW58" s="1263">
        <f>AW59/AW55</f>
        <v>1.4373716632443533E-2</v>
      </c>
      <c r="AX58" s="1264">
        <f>AW58</f>
        <v>1.4373716632443533E-2</v>
      </c>
      <c r="AY58" s="1265">
        <f>AX58</f>
        <v>1.4373716632443533E-2</v>
      </c>
      <c r="AZ58" s="1265">
        <f>AY58</f>
        <v>1.4373716632443533E-2</v>
      </c>
      <c r="BA58" s="1266">
        <f>AZ58</f>
        <v>1.4373716632443533E-2</v>
      </c>
      <c r="BB58" s="1263">
        <f>BB59/BB55</f>
        <v>1.3427463343086862E-2</v>
      </c>
      <c r="BC58" s="1264">
        <f>BA58</f>
        <v>1.4373716632443533E-2</v>
      </c>
      <c r="BD58" s="1265">
        <f>BC58</f>
        <v>1.4373716632443533E-2</v>
      </c>
      <c r="BE58" s="1265">
        <f>BD58</f>
        <v>1.4373716632443533E-2</v>
      </c>
      <c r="BF58" s="1266">
        <f>BE58</f>
        <v>1.4373716632443533E-2</v>
      </c>
      <c r="BG58" s="1263">
        <f>BG59/BG55</f>
        <v>1.3555245130094564E-2</v>
      </c>
      <c r="BH58" s="1264">
        <f>BF58</f>
        <v>1.4373716632443533E-2</v>
      </c>
      <c r="BI58" s="1265">
        <f>BH58</f>
        <v>1.4373716632443533E-2</v>
      </c>
      <c r="BJ58" s="1265">
        <f>BI58</f>
        <v>1.4373716632443533E-2</v>
      </c>
      <c r="BK58" s="1266">
        <f>BJ58</f>
        <v>1.4373716632443533E-2</v>
      </c>
      <c r="BL58" s="1263">
        <f>BL59/BL55</f>
        <v>1.3762289767269556E-2</v>
      </c>
      <c r="BM58" s="1264">
        <f>BK58</f>
        <v>1.4373716632443533E-2</v>
      </c>
      <c r="BN58" s="1265">
        <f>BM58</f>
        <v>1.4373716632443533E-2</v>
      </c>
      <c r="BO58" s="1265">
        <f>BN58</f>
        <v>1.4373716632443533E-2</v>
      </c>
      <c r="BP58" s="1266">
        <f>BO58</f>
        <v>1.4373716632443533E-2</v>
      </c>
      <c r="BQ58" s="1263">
        <f>BQ59/BQ55</f>
        <v>1.3750299952482586E-2</v>
      </c>
      <c r="BR58" s="771"/>
      <c r="BS58" s="553"/>
      <c r="BT58" s="553"/>
      <c r="BU58" s="553"/>
      <c r="BV58" s="553"/>
      <c r="BW58" s="553"/>
      <c r="BX58" s="695"/>
      <c r="BY58" s="553"/>
      <c r="BZ58" s="553"/>
      <c r="CA58" s="553"/>
      <c r="CB58" s="553"/>
      <c r="CC58" s="553"/>
      <c r="CD58" s="553"/>
      <c r="CE58" s="553"/>
      <c r="CF58" s="553"/>
      <c r="CG58" s="553"/>
      <c r="CH58" s="553"/>
      <c r="CI58" s="553"/>
      <c r="CJ58" s="553"/>
      <c r="CK58" s="553"/>
      <c r="CL58" s="553"/>
      <c r="CM58" s="553"/>
      <c r="CN58" s="553"/>
      <c r="CO58" s="553"/>
      <c r="CP58" s="553"/>
      <c r="CQ58" s="553"/>
      <c r="CR58" s="553"/>
      <c r="CS58" s="553"/>
      <c r="CT58" s="553"/>
      <c r="CU58" s="553"/>
      <c r="CV58" s="553"/>
      <c r="CW58" s="553"/>
      <c r="CX58" s="553"/>
      <c r="CY58" s="553"/>
      <c r="CZ58" s="553"/>
    </row>
    <row r="59" spans="1:104">
      <c r="A59" s="553"/>
      <c r="B59" s="553"/>
      <c r="C59" s="553" t="s">
        <v>79</v>
      </c>
      <c r="D59" s="553"/>
      <c r="E59" s="161"/>
      <c r="F59" s="162"/>
      <c r="G59" s="162"/>
      <c r="H59" s="144"/>
      <c r="I59" s="546"/>
      <c r="J59" s="161"/>
      <c r="K59" s="162"/>
      <c r="L59" s="162"/>
      <c r="M59" s="144"/>
      <c r="N59" s="546"/>
      <c r="O59" s="161"/>
      <c r="P59" s="162"/>
      <c r="Q59" s="162"/>
      <c r="R59" s="144"/>
      <c r="S59" s="546"/>
      <c r="T59" s="161"/>
      <c r="U59" s="162"/>
      <c r="V59" s="162"/>
      <c r="W59" s="144"/>
      <c r="X59" s="546">
        <f t="shared" ref="X59:AP59" si="90">X13</f>
        <v>3</v>
      </c>
      <c r="Y59" s="161">
        <f t="shared" si="90"/>
        <v>2.5</v>
      </c>
      <c r="Z59" s="162">
        <f t="shared" si="90"/>
        <v>2.5</v>
      </c>
      <c r="AA59" s="162">
        <f t="shared" si="90"/>
        <v>2.5</v>
      </c>
      <c r="AB59" s="144">
        <f t="shared" si="90"/>
        <v>2.5</v>
      </c>
      <c r="AC59" s="546">
        <f t="shared" si="90"/>
        <v>10</v>
      </c>
      <c r="AD59" s="161">
        <f t="shared" si="90"/>
        <v>6</v>
      </c>
      <c r="AE59" s="162">
        <f t="shared" si="90"/>
        <v>6</v>
      </c>
      <c r="AF59" s="162">
        <f t="shared" si="90"/>
        <v>6</v>
      </c>
      <c r="AG59" s="144">
        <f t="shared" si="90"/>
        <v>6</v>
      </c>
      <c r="AH59" s="546">
        <f t="shared" si="90"/>
        <v>24</v>
      </c>
      <c r="AI59" s="161">
        <f t="shared" si="90"/>
        <v>10.75</v>
      </c>
      <c r="AJ59" s="162">
        <f t="shared" si="90"/>
        <v>10.75</v>
      </c>
      <c r="AK59" s="162">
        <f t="shared" si="90"/>
        <v>10.75</v>
      </c>
      <c r="AL59" s="144">
        <f t="shared" si="90"/>
        <v>10.75</v>
      </c>
      <c r="AM59" s="546">
        <f t="shared" si="90"/>
        <v>43</v>
      </c>
      <c r="AN59" s="161">
        <f t="shared" si="90"/>
        <v>15.5</v>
      </c>
      <c r="AO59" s="162">
        <f t="shared" si="90"/>
        <v>15.8</v>
      </c>
      <c r="AP59" s="1488">
        <f t="shared" si="90"/>
        <v>17.100000000000001</v>
      </c>
      <c r="AQ59" s="144">
        <f t="shared" ref="AQ59:AW59" si="91">AQ13</f>
        <v>18.699999999999996</v>
      </c>
      <c r="AR59" s="546">
        <f t="shared" si="91"/>
        <v>67.099999999999994</v>
      </c>
      <c r="AS59" s="161">
        <f t="shared" si="91"/>
        <v>24.6</v>
      </c>
      <c r="AT59" s="162">
        <f t="shared" si="91"/>
        <v>24</v>
      </c>
      <c r="AU59" s="162">
        <f t="shared" si="91"/>
        <v>26.1</v>
      </c>
      <c r="AV59" s="144">
        <f t="shared" si="91"/>
        <v>27.5</v>
      </c>
      <c r="AW59" s="546">
        <f t="shared" si="91"/>
        <v>102.2</v>
      </c>
      <c r="AX59" s="161">
        <f>+AX58*AX55/4</f>
        <v>26.910112936344973</v>
      </c>
      <c r="AY59" s="162">
        <f>+AY58*AY55/4</f>
        <v>28.270225872689942</v>
      </c>
      <c r="AZ59" s="162">
        <f>+AZ58*AZ55/4</f>
        <v>29.630338809034914</v>
      </c>
      <c r="BA59" s="144">
        <f>+BA58*BA55/4</f>
        <v>30.990451745379882</v>
      </c>
      <c r="BB59" s="546">
        <f>SUM(AX59:BA59)</f>
        <v>115.80112936344972</v>
      </c>
      <c r="BC59" s="161">
        <f>+BC58*BC55/4</f>
        <v>32.377515400410687</v>
      </c>
      <c r="BD59" s="162">
        <f>+BD58*BD55/4</f>
        <v>33.764579055441487</v>
      </c>
      <c r="BE59" s="162">
        <f>+BE58*BE55/4</f>
        <v>35.151642710472288</v>
      </c>
      <c r="BF59" s="144">
        <f>+BF58*BF55/4</f>
        <v>36.538706365503089</v>
      </c>
      <c r="BG59" s="546">
        <f>SUM(BC59:BF59)</f>
        <v>137.83244353182755</v>
      </c>
      <c r="BH59" s="161">
        <f>+BH58*BH55/4</f>
        <v>37.707469199178654</v>
      </c>
      <c r="BI59" s="162">
        <f>+BI58*BI55/4</f>
        <v>38.876232032854219</v>
      </c>
      <c r="BJ59" s="162">
        <f>+BJ58*BJ55/4</f>
        <v>40.044994866529784</v>
      </c>
      <c r="BK59" s="144">
        <f>+BK58*BK55/4</f>
        <v>41.213757700205342</v>
      </c>
      <c r="BL59" s="1216">
        <f>SUM(BH59:BK59)</f>
        <v>157.84245379876799</v>
      </c>
      <c r="BM59" s="161">
        <f>+BM58*BM55/4</f>
        <v>42.561293634496927</v>
      </c>
      <c r="BN59" s="162">
        <f>+BN58*BN55/4</f>
        <v>43.908829568788505</v>
      </c>
      <c r="BO59" s="162">
        <f>+BO58*BO55/4</f>
        <v>45.25636550308009</v>
      </c>
      <c r="BP59" s="144">
        <f>+BP58*BP55/4</f>
        <v>46.603901437371668</v>
      </c>
      <c r="BQ59" s="1216">
        <f>SUM(BM59:BP59)</f>
        <v>178.33039014373716</v>
      </c>
      <c r="BR59" s="546"/>
      <c r="BS59" s="553"/>
      <c r="BT59" s="553"/>
      <c r="BU59" s="553"/>
      <c r="BV59" s="553"/>
      <c r="BW59" s="553"/>
      <c r="BX59" s="695"/>
      <c r="BY59" s="553"/>
      <c r="BZ59" s="553"/>
      <c r="CA59" s="553"/>
      <c r="CB59" s="553"/>
      <c r="CC59" s="553"/>
      <c r="CD59" s="553"/>
      <c r="CE59" s="553"/>
      <c r="CF59" s="553"/>
      <c r="CG59" s="553"/>
      <c r="CH59" s="553"/>
      <c r="CI59" s="553"/>
      <c r="CJ59" s="553"/>
      <c r="CK59" s="553"/>
      <c r="CL59" s="553"/>
      <c r="CM59" s="553"/>
      <c r="CN59" s="553"/>
      <c r="CO59" s="553"/>
      <c r="CP59" s="553"/>
      <c r="CQ59" s="553"/>
      <c r="CR59" s="553"/>
      <c r="CS59" s="553"/>
      <c r="CT59" s="553"/>
      <c r="CU59" s="553"/>
      <c r="CV59" s="553"/>
      <c r="CW59" s="553"/>
      <c r="CX59" s="553"/>
      <c r="CY59" s="553"/>
      <c r="CZ59" s="553"/>
    </row>
    <row r="60" spans="1:104">
      <c r="A60" s="553"/>
      <c r="B60" s="553"/>
      <c r="C60" s="569" t="s">
        <v>1366</v>
      </c>
      <c r="D60" s="553"/>
      <c r="E60" s="225"/>
      <c r="F60" s="604"/>
      <c r="G60" s="604"/>
      <c r="H60" s="227"/>
      <c r="I60" s="571"/>
      <c r="J60" s="225"/>
      <c r="K60" s="604"/>
      <c r="L60" s="604"/>
      <c r="M60" s="227"/>
      <c r="N60" s="571"/>
      <c r="O60" s="161"/>
      <c r="P60" s="162"/>
      <c r="Q60" s="162"/>
      <c r="R60" s="144"/>
      <c r="S60" s="546"/>
      <c r="T60" s="161"/>
      <c r="U60" s="162"/>
      <c r="V60" s="162"/>
      <c r="W60" s="144"/>
      <c r="X60" s="546"/>
      <c r="Y60" s="161"/>
      <c r="Z60" s="162"/>
      <c r="AA60" s="162"/>
      <c r="AB60" s="144"/>
      <c r="AC60" s="546"/>
      <c r="AD60" s="161"/>
      <c r="AE60" s="162"/>
      <c r="AF60" s="162"/>
      <c r="AG60" s="144"/>
      <c r="AH60" s="546"/>
      <c r="AI60" s="161"/>
      <c r="AJ60" s="162"/>
      <c r="AK60" s="162"/>
      <c r="AL60" s="144"/>
      <c r="AM60" s="546"/>
      <c r="AN60" s="161"/>
      <c r="AO60" s="162"/>
      <c r="AP60" s="1488"/>
      <c r="AQ60" s="1905">
        <f>AQ55-AQ59-AQ61</f>
        <v>82.699999999999818</v>
      </c>
      <c r="AR60" s="546"/>
      <c r="AS60" s="1906">
        <f>AS55-AS59-AS61</f>
        <v>96.099999999999454</v>
      </c>
      <c r="AT60" s="1907">
        <f>AT55-AT59-AT61</f>
        <v>113</v>
      </c>
      <c r="AU60" s="1907">
        <f>AU55-AU59-AU61</f>
        <v>130.49999999999909</v>
      </c>
      <c r="AV60" s="1905">
        <f>AV55-AV59-AV61</f>
        <v>149.09999999999945</v>
      </c>
      <c r="AW60" s="1225">
        <f>SUM(AS60:AV60)</f>
        <v>488.699999999998</v>
      </c>
      <c r="AX60" s="161">
        <f>AS60</f>
        <v>96.099999999999454</v>
      </c>
      <c r="AY60" s="162">
        <f>AT60</f>
        <v>113</v>
      </c>
      <c r="AZ60" s="162">
        <f>AU60</f>
        <v>130.49999999999909</v>
      </c>
      <c r="BA60" s="144">
        <f>AV60</f>
        <v>149.09999999999945</v>
      </c>
      <c r="BB60" s="1225">
        <f>SUM(AX60:BA60)</f>
        <v>488.699999999998</v>
      </c>
      <c r="BC60" s="161">
        <f>AX60</f>
        <v>96.099999999999454</v>
      </c>
      <c r="BD60" s="162">
        <f>AY60</f>
        <v>113</v>
      </c>
      <c r="BE60" s="162">
        <f>AZ60</f>
        <v>130.49999999999909</v>
      </c>
      <c r="BF60" s="144">
        <f>BA60</f>
        <v>149.09999999999945</v>
      </c>
      <c r="BG60" s="1225">
        <f>SUM(BC60:BF60)</f>
        <v>488.699999999998</v>
      </c>
      <c r="BH60" s="161">
        <f>BC60</f>
        <v>96.099999999999454</v>
      </c>
      <c r="BI60" s="162">
        <f>BD60</f>
        <v>113</v>
      </c>
      <c r="BJ60" s="162">
        <f>BE60</f>
        <v>130.49999999999909</v>
      </c>
      <c r="BK60" s="144">
        <f>BF60</f>
        <v>149.09999999999945</v>
      </c>
      <c r="BL60" s="1225">
        <f>SUM(BH60:BK60)</f>
        <v>488.699999999998</v>
      </c>
      <c r="BM60" s="161">
        <f>BH60</f>
        <v>96.099999999999454</v>
      </c>
      <c r="BN60" s="162">
        <f>BI60</f>
        <v>113</v>
      </c>
      <c r="BO60" s="162">
        <f>BJ60</f>
        <v>130.49999999999909</v>
      </c>
      <c r="BP60" s="144">
        <f>BK60</f>
        <v>149.09999999999945</v>
      </c>
      <c r="BQ60" s="1225">
        <f>SUM(BM60:BP60)</f>
        <v>488.699999999998</v>
      </c>
      <c r="BR60" s="546"/>
      <c r="BS60" s="553"/>
      <c r="BT60" s="553"/>
      <c r="BU60" s="553"/>
      <c r="BV60" s="553"/>
      <c r="BW60" s="553"/>
      <c r="BX60" s="695"/>
      <c r="BY60" s="553"/>
      <c r="BZ60" s="553"/>
      <c r="CA60" s="553"/>
      <c r="CB60" s="553"/>
      <c r="CC60" s="553"/>
      <c r="CD60" s="553"/>
      <c r="CE60" s="553"/>
      <c r="CF60" s="553"/>
      <c r="CG60" s="553"/>
      <c r="CH60" s="553"/>
      <c r="CI60" s="553"/>
      <c r="CJ60" s="553"/>
      <c r="CK60" s="553"/>
      <c r="CL60" s="553"/>
      <c r="CM60" s="553"/>
      <c r="CN60" s="553"/>
      <c r="CO60" s="553"/>
      <c r="CP60" s="553"/>
      <c r="CQ60" s="553"/>
      <c r="CR60" s="553"/>
      <c r="CS60" s="553"/>
      <c r="CT60" s="553"/>
      <c r="CU60" s="553"/>
      <c r="CV60" s="553"/>
      <c r="CW60" s="553"/>
      <c r="CX60" s="553"/>
      <c r="CY60" s="553"/>
      <c r="CZ60" s="553"/>
    </row>
    <row r="61" spans="1:104">
      <c r="A61" s="553"/>
      <c r="B61" s="553"/>
      <c r="C61" s="545" t="s">
        <v>576</v>
      </c>
      <c r="D61" s="553"/>
      <c r="E61" s="161"/>
      <c r="F61" s="162"/>
      <c r="G61" s="162"/>
      <c r="H61" s="144"/>
      <c r="I61" s="546"/>
      <c r="J61" s="161"/>
      <c r="K61" s="162"/>
      <c r="L61" s="162"/>
      <c r="M61" s="144"/>
      <c r="N61" s="546"/>
      <c r="O61" s="161"/>
      <c r="P61" s="162"/>
      <c r="Q61" s="162"/>
      <c r="R61" s="144"/>
      <c r="S61" s="546"/>
      <c r="T61" s="161"/>
      <c r="U61" s="162"/>
      <c r="V61" s="162"/>
      <c r="W61" s="144"/>
      <c r="X61" s="145">
        <f>462+104+164</f>
        <v>730</v>
      </c>
      <c r="Y61" s="1236">
        <f>+X61+Y53-Y59</f>
        <v>980.69062499999995</v>
      </c>
      <c r="Z61" s="1238">
        <f>+Y61+Z53-Z59</f>
        <v>1231.3812499999999</v>
      </c>
      <c r="AA61" s="1238">
        <f>+Z61+AA53-AA59</f>
        <v>1482.0718749999999</v>
      </c>
      <c r="AB61" s="1221">
        <f>+AA61+AB53-AB59</f>
        <v>1732.7624999999998</v>
      </c>
      <c r="AC61" s="781">
        <f>850+245+77+292</f>
        <v>1464</v>
      </c>
      <c r="AD61" s="161">
        <f>+AC61+AD53-AD59</f>
        <v>1754.940625</v>
      </c>
      <c r="AE61" s="162">
        <f>+AD61+AE53-AE59</f>
        <v>2045.8812499999999</v>
      </c>
      <c r="AF61" s="162">
        <f>+AE61+AF53-AF59</f>
        <v>2336.8218750000001</v>
      </c>
      <c r="AG61" s="144">
        <f>+AF61+AG53-AG59</f>
        <v>2627.7625000000003</v>
      </c>
      <c r="AH61" s="781">
        <f>1299+26+311+281+339</f>
        <v>2256</v>
      </c>
      <c r="AI61" s="1485">
        <f>+AH61+AI53-AI59</f>
        <v>2666.8595511031367</v>
      </c>
      <c r="AJ61" s="1488">
        <f>+AI61+AJ53-AJ59</f>
        <v>3077.7191022062734</v>
      </c>
      <c r="AK61" s="1488">
        <f>+AJ61+AK53-AK59</f>
        <v>3488.5786533094101</v>
      </c>
      <c r="AL61" s="1487">
        <f>+AK61+AL53-AL59</f>
        <v>3899.4382044125468</v>
      </c>
      <c r="AM61" s="1484">
        <f>+AL61</f>
        <v>3899.4382044125468</v>
      </c>
      <c r="AN61" s="1485">
        <f>+AM61+AN53-AN59</f>
        <v>4189.4382044125468</v>
      </c>
      <c r="AO61" s="1488">
        <f>+AN61+AO53-AO59</f>
        <v>4479.1382044125467</v>
      </c>
      <c r="AP61" s="1488">
        <f>+AO61+AP53-AP59</f>
        <v>4767.5382044125463</v>
      </c>
      <c r="AQ61" s="158">
        <v>5252.6</v>
      </c>
      <c r="AR61" s="1484">
        <f>+AQ61</f>
        <v>5252.6</v>
      </c>
      <c r="AS61" s="142">
        <v>5544.7</v>
      </c>
      <c r="AT61" s="159">
        <v>5875.1</v>
      </c>
      <c r="AU61" s="159">
        <v>6237.6</v>
      </c>
      <c r="AV61" s="158">
        <v>6933.6</v>
      </c>
      <c r="AW61" s="1484">
        <f>+AV61</f>
        <v>6933.6</v>
      </c>
      <c r="AX61" s="1485">
        <f>+AV61+AX53-AX59-AX60</f>
        <v>7189.0898870636556</v>
      </c>
      <c r="AY61" s="1488">
        <f>+AX61+AY53-AY59-AY60</f>
        <v>7426.3196611909652</v>
      </c>
      <c r="AZ61" s="1488">
        <f>+AY61+AZ53-AZ59-AZ60</f>
        <v>7644.6893223819316</v>
      </c>
      <c r="BA61" s="1487">
        <f>+AZ61+BA53-BA59-BA60</f>
        <v>7843.0988706365524</v>
      </c>
      <c r="BB61" s="1484">
        <f>+BA61</f>
        <v>7843.0988706365524</v>
      </c>
      <c r="BC61" s="1485">
        <f>+BA61+BC53-BC59-BC60</f>
        <v>8100.6213552361432</v>
      </c>
      <c r="BD61" s="1488">
        <f>+BC61+BD53-BD59-BD60</f>
        <v>8339.8567761807026</v>
      </c>
      <c r="BE61" s="1488">
        <f>+BD61+BE53-BE59-BE60</f>
        <v>8560.2051334702301</v>
      </c>
      <c r="BF61" s="1487">
        <f>+BE61+BF53-BF59-BF60</f>
        <v>8760.5664271047281</v>
      </c>
      <c r="BG61" s="1484">
        <f>+BF61</f>
        <v>8760.5664271047281</v>
      </c>
      <c r="BH61" s="1485">
        <f>+BF61+BH53-BH59-BH60</f>
        <v>8952.0089579055493</v>
      </c>
      <c r="BI61" s="1488">
        <f>+BH61+BI53-BI59-BI60</f>
        <v>9125.3827258726942</v>
      </c>
      <c r="BJ61" s="1488">
        <f>+BI61+BJ53-BJ59-BJ60</f>
        <v>9280.087731006166</v>
      </c>
      <c r="BK61" s="1487">
        <f>+BJ61+BK53-BK59-BK60</f>
        <v>9415.0239733059607</v>
      </c>
      <c r="BL61" s="1484">
        <f>+BK61</f>
        <v>9415.0239733059607</v>
      </c>
      <c r="BM61" s="1485">
        <f>+BK61+BM53-BM59-BM60</f>
        <v>9651.3626796714634</v>
      </c>
      <c r="BN61" s="1488">
        <f>+BM61+BN53-BN59-BN60</f>
        <v>9869.4538501026746</v>
      </c>
      <c r="BO61" s="1488">
        <f>+BN61+BO53-BO59-BO60</f>
        <v>10068.697484599594</v>
      </c>
      <c r="BP61" s="1487">
        <f>+BO61+BP53-BP59-BP60</f>
        <v>10247.993583162224</v>
      </c>
      <c r="BQ61" s="1484">
        <f>+BP61</f>
        <v>10247.993583162224</v>
      </c>
      <c r="BR61" s="546"/>
      <c r="BS61" s="553"/>
      <c r="BT61" s="553"/>
      <c r="BU61" s="553"/>
      <c r="BV61" s="553"/>
      <c r="BW61" s="553"/>
      <c r="BX61" s="695"/>
      <c r="BY61" s="553"/>
      <c r="BZ61" s="553"/>
      <c r="CA61" s="553"/>
      <c r="CB61" s="553"/>
      <c r="CC61" s="553"/>
      <c r="CD61" s="553"/>
      <c r="CE61" s="553"/>
      <c r="CF61" s="553"/>
      <c r="CG61" s="553"/>
      <c r="CH61" s="553"/>
      <c r="CI61" s="553"/>
      <c r="CJ61" s="553"/>
      <c r="CK61" s="553"/>
      <c r="CL61" s="553"/>
      <c r="CM61" s="553"/>
      <c r="CN61" s="553"/>
      <c r="CO61" s="553"/>
      <c r="CP61" s="553"/>
      <c r="CQ61" s="553"/>
      <c r="CR61" s="553"/>
      <c r="CS61" s="553"/>
      <c r="CT61" s="553"/>
      <c r="CU61" s="553"/>
      <c r="CV61" s="553"/>
      <c r="CW61" s="553"/>
      <c r="CX61" s="553"/>
      <c r="CY61" s="553"/>
      <c r="CZ61" s="553"/>
    </row>
    <row r="62" spans="1:104">
      <c r="A62" s="553"/>
      <c r="B62" s="553"/>
      <c r="C62" s="1117" t="s">
        <v>1319</v>
      </c>
      <c r="D62" s="553"/>
      <c r="E62" s="225"/>
      <c r="F62" s="604"/>
      <c r="G62" s="604"/>
      <c r="H62" s="227"/>
      <c r="I62" s="571"/>
      <c r="J62" s="225"/>
      <c r="K62" s="604"/>
      <c r="L62" s="604"/>
      <c r="M62" s="227"/>
      <c r="N62" s="571"/>
      <c r="O62" s="161"/>
      <c r="P62" s="162"/>
      <c r="Q62" s="162"/>
      <c r="R62" s="144"/>
      <c r="S62" s="546"/>
      <c r="T62" s="161"/>
      <c r="U62" s="162"/>
      <c r="V62" s="162"/>
      <c r="W62" s="144"/>
      <c r="X62" s="546"/>
      <c r="Y62" s="161"/>
      <c r="Z62" s="162"/>
      <c r="AA62" s="162"/>
      <c r="AB62" s="144"/>
      <c r="AC62" s="546">
        <f>AVERAGE(X61,AC61)</f>
        <v>1097</v>
      </c>
      <c r="AD62" s="161"/>
      <c r="AE62" s="162"/>
      <c r="AF62" s="162"/>
      <c r="AG62" s="144"/>
      <c r="AH62" s="546">
        <f>AVERAGE(AC61,AH61)</f>
        <v>1860</v>
      </c>
      <c r="AI62" s="161"/>
      <c r="AJ62" s="162"/>
      <c r="AK62" s="162"/>
      <c r="AL62" s="144"/>
      <c r="AM62" s="546">
        <f>AVERAGE(AH61,AM61)</f>
        <v>3077.7191022062734</v>
      </c>
      <c r="AN62" s="161"/>
      <c r="AO62" s="162"/>
      <c r="AP62" s="1488"/>
      <c r="AQ62" s="1487"/>
      <c r="AR62" s="1484">
        <f>AVERAGE(AM61,AR61)</f>
        <v>4576.0191022062736</v>
      </c>
      <c r="AS62" s="161"/>
      <c r="AT62" s="162"/>
      <c r="AU62" s="162"/>
      <c r="AV62" s="1487"/>
      <c r="AW62" s="1484">
        <f>AVERAGE(AR61,AW61)</f>
        <v>6093.1</v>
      </c>
      <c r="AX62" s="161"/>
      <c r="AY62" s="162"/>
      <c r="AZ62" s="162"/>
      <c r="BA62" s="144"/>
      <c r="BB62" s="546">
        <f>AVERAGE(AW61,BB61)</f>
        <v>7388.3494353182759</v>
      </c>
      <c r="BC62" s="161"/>
      <c r="BD62" s="162"/>
      <c r="BE62" s="162"/>
      <c r="BF62" s="144"/>
      <c r="BG62" s="546">
        <f>AVERAGE(BB61,BG61)</f>
        <v>8301.8326488706407</v>
      </c>
      <c r="BH62" s="161"/>
      <c r="BI62" s="162"/>
      <c r="BJ62" s="162"/>
      <c r="BK62" s="144"/>
      <c r="BL62" s="546">
        <f>AVERAGE(BG61,BL61)</f>
        <v>9087.7952002053444</v>
      </c>
      <c r="BM62" s="161"/>
      <c r="BN62" s="162"/>
      <c r="BO62" s="162"/>
      <c r="BP62" s="144"/>
      <c r="BQ62" s="546">
        <f>AVERAGE(BL61,BQ61)</f>
        <v>9831.5087782340925</v>
      </c>
      <c r="BR62" s="546"/>
      <c r="BS62" s="553"/>
      <c r="BT62" s="553"/>
      <c r="BU62" s="553"/>
      <c r="BV62" s="553"/>
      <c r="BW62" s="553"/>
      <c r="BX62" s="553"/>
      <c r="BY62" s="553"/>
      <c r="BZ62" s="553"/>
      <c r="CA62" s="553"/>
      <c r="CB62" s="553"/>
      <c r="CC62" s="553"/>
      <c r="CD62" s="553"/>
      <c r="CE62" s="553"/>
      <c r="CF62" s="553"/>
      <c r="CG62" s="553"/>
      <c r="CH62" s="553"/>
      <c r="CI62" s="553"/>
      <c r="CJ62" s="553"/>
      <c r="CK62" s="553"/>
      <c r="CL62" s="553"/>
      <c r="CM62" s="553"/>
      <c r="CN62" s="553"/>
      <c r="CO62" s="553"/>
      <c r="CP62" s="553"/>
      <c r="CQ62" s="553"/>
      <c r="CR62" s="553"/>
      <c r="CS62" s="553"/>
      <c r="CT62" s="553"/>
      <c r="CU62" s="553"/>
      <c r="CV62" s="553"/>
      <c r="CW62" s="553"/>
      <c r="CX62" s="553"/>
      <c r="CY62" s="553"/>
      <c r="CZ62" s="553"/>
    </row>
    <row r="63" spans="1:104">
      <c r="A63" s="553"/>
      <c r="B63" s="553"/>
      <c r="C63" s="553"/>
      <c r="D63" s="553"/>
      <c r="E63" s="225"/>
      <c r="F63" s="604"/>
      <c r="G63" s="604"/>
      <c r="H63" s="227"/>
      <c r="I63" s="571"/>
      <c r="J63" s="225"/>
      <c r="K63" s="604"/>
      <c r="L63" s="604"/>
      <c r="M63" s="227"/>
      <c r="N63" s="571"/>
      <c r="O63" s="161"/>
      <c r="P63" s="162"/>
      <c r="Q63" s="162"/>
      <c r="R63" s="144"/>
      <c r="S63" s="546"/>
      <c r="T63" s="161"/>
      <c r="U63" s="162"/>
      <c r="V63" s="162"/>
      <c r="W63" s="144"/>
      <c r="X63" s="546"/>
      <c r="Y63" s="161"/>
      <c r="Z63" s="162"/>
      <c r="AA63" s="162"/>
      <c r="AB63" s="144"/>
      <c r="AC63" s="546"/>
      <c r="AD63" s="161"/>
      <c r="AE63" s="162"/>
      <c r="AF63" s="162"/>
      <c r="AG63" s="144"/>
      <c r="AH63" s="546"/>
      <c r="AI63" s="161"/>
      <c r="AJ63" s="162"/>
      <c r="AK63" s="162"/>
      <c r="AL63" s="144"/>
      <c r="AM63" s="546"/>
      <c r="AN63" s="161"/>
      <c r="AO63" s="162"/>
      <c r="AP63" s="1488"/>
      <c r="AQ63" s="1487"/>
      <c r="AR63" s="1484"/>
      <c r="AS63" s="161"/>
      <c r="AT63" s="162"/>
      <c r="AU63" s="162"/>
      <c r="AV63" s="1487"/>
      <c r="AW63" s="1484"/>
      <c r="AX63" s="161"/>
      <c r="AY63" s="162"/>
      <c r="AZ63" s="162"/>
      <c r="BA63" s="144"/>
      <c r="BB63" s="546"/>
      <c r="BC63" s="161"/>
      <c r="BD63" s="162"/>
      <c r="BE63" s="162"/>
      <c r="BF63" s="144"/>
      <c r="BG63" s="546"/>
      <c r="BH63" s="161"/>
      <c r="BI63" s="162"/>
      <c r="BJ63" s="162"/>
      <c r="BK63" s="144"/>
      <c r="BL63" s="546"/>
      <c r="BM63" s="161"/>
      <c r="BN63" s="162"/>
      <c r="BO63" s="162"/>
      <c r="BP63" s="144"/>
      <c r="BQ63" s="546"/>
      <c r="BR63" s="546"/>
      <c r="BS63" s="553"/>
      <c r="BT63" s="553"/>
      <c r="BU63" s="553"/>
      <c r="BV63" s="553"/>
      <c r="BW63" s="553"/>
      <c r="BX63" s="553"/>
      <c r="BY63" s="553"/>
      <c r="BZ63" s="553"/>
      <c r="CA63" s="553"/>
      <c r="CB63" s="553"/>
      <c r="CC63" s="553"/>
      <c r="CD63" s="553"/>
      <c r="CE63" s="553"/>
      <c r="CF63" s="553"/>
      <c r="CG63" s="553"/>
      <c r="CH63" s="553"/>
      <c r="CI63" s="553"/>
      <c r="CJ63" s="553"/>
      <c r="CK63" s="553"/>
      <c r="CL63" s="553"/>
      <c r="CM63" s="553"/>
      <c r="CN63" s="553"/>
      <c r="CO63" s="553"/>
      <c r="CP63" s="553"/>
      <c r="CQ63" s="553"/>
      <c r="CR63" s="553"/>
      <c r="CS63" s="553"/>
      <c r="CT63" s="553"/>
      <c r="CU63" s="553"/>
      <c r="CV63" s="553"/>
      <c r="CW63" s="553"/>
      <c r="CX63" s="553"/>
      <c r="CY63" s="553"/>
      <c r="CZ63" s="553"/>
    </row>
    <row r="64" spans="1:104">
      <c r="A64" s="541"/>
      <c r="B64" s="554" t="s">
        <v>148</v>
      </c>
      <c r="C64" s="555"/>
      <c r="D64" s="645"/>
      <c r="E64" s="289"/>
      <c r="F64" s="542"/>
      <c r="G64" s="542"/>
      <c r="H64" s="291"/>
      <c r="I64" s="543"/>
      <c r="J64" s="289"/>
      <c r="K64" s="542"/>
      <c r="L64" s="542"/>
      <c r="M64" s="291"/>
      <c r="N64" s="543"/>
      <c r="O64" s="289"/>
      <c r="P64" s="542"/>
      <c r="Q64" s="542"/>
      <c r="R64" s="291"/>
      <c r="S64" s="543"/>
      <c r="T64" s="289"/>
      <c r="U64" s="542"/>
      <c r="V64" s="542"/>
      <c r="W64" s="291"/>
      <c r="X64" s="543"/>
      <c r="Y64" s="289"/>
      <c r="Z64" s="542"/>
      <c r="AA64" s="542"/>
      <c r="AB64" s="291"/>
      <c r="AC64" s="543"/>
      <c r="AD64" s="289"/>
      <c r="AE64" s="542"/>
      <c r="AF64" s="542"/>
      <c r="AG64" s="291"/>
      <c r="AH64" s="543"/>
      <c r="AI64" s="289"/>
      <c r="AJ64" s="542"/>
      <c r="AK64" s="542"/>
      <c r="AL64" s="291"/>
      <c r="AM64" s="543"/>
      <c r="AN64" s="289"/>
      <c r="AO64" s="542"/>
      <c r="AP64" s="1811"/>
      <c r="AQ64" s="1725"/>
      <c r="AR64" s="1812"/>
      <c r="AS64" s="289"/>
      <c r="AT64" s="542"/>
      <c r="AU64" s="542"/>
      <c r="AV64" s="291"/>
      <c r="AW64" s="543"/>
      <c r="AX64" s="289"/>
      <c r="AY64" s="542"/>
      <c r="AZ64" s="542"/>
      <c r="BA64" s="291"/>
      <c r="BB64" s="543"/>
      <c r="BC64" s="289"/>
      <c r="BD64" s="542"/>
      <c r="BE64" s="542"/>
      <c r="BF64" s="291"/>
      <c r="BG64" s="543"/>
      <c r="BH64" s="289"/>
      <c r="BI64" s="542"/>
      <c r="BJ64" s="542"/>
      <c r="BK64" s="291"/>
      <c r="BL64" s="543"/>
      <c r="BM64" s="289"/>
      <c r="BN64" s="542"/>
      <c r="BO64" s="542"/>
      <c r="BP64" s="291"/>
      <c r="BQ64" s="543"/>
      <c r="BR64" s="543"/>
      <c r="BS64" s="541"/>
      <c r="BT64" s="541"/>
      <c r="BU64" s="541"/>
      <c r="BV64" s="541"/>
      <c r="BW64" s="541"/>
      <c r="BX64" s="541"/>
      <c r="BY64" s="541"/>
      <c r="BZ64" s="541"/>
      <c r="CA64" s="541"/>
      <c r="CB64" s="541"/>
      <c r="CC64" s="541"/>
      <c r="CD64" s="541"/>
      <c r="CE64" s="541"/>
      <c r="CF64" s="541"/>
      <c r="CG64" s="541"/>
      <c r="CH64" s="541"/>
      <c r="CI64" s="541"/>
      <c r="CJ64" s="541"/>
      <c r="CK64" s="541"/>
      <c r="CL64" s="541"/>
      <c r="CM64" s="541"/>
      <c r="CN64" s="541"/>
      <c r="CO64" s="541"/>
      <c r="CP64" s="541"/>
      <c r="CQ64" s="541"/>
      <c r="CR64" s="541"/>
      <c r="CS64" s="541"/>
      <c r="CT64" s="541"/>
      <c r="CU64" s="541"/>
      <c r="CV64" s="541"/>
      <c r="CW64" s="541"/>
      <c r="CX64" s="541"/>
      <c r="CY64" s="541"/>
      <c r="CZ64" s="541"/>
    </row>
    <row r="65" spans="1:104">
      <c r="A65" s="553"/>
      <c r="B65" s="553"/>
      <c r="C65" s="553"/>
      <c r="D65" s="553"/>
      <c r="E65" s="225"/>
      <c r="F65" s="604"/>
      <c r="G65" s="604"/>
      <c r="H65" s="227"/>
      <c r="I65" s="571"/>
      <c r="J65" s="225"/>
      <c r="K65" s="604"/>
      <c r="L65" s="604"/>
      <c r="M65" s="227"/>
      <c r="N65" s="571"/>
      <c r="O65" s="161"/>
      <c r="P65" s="162"/>
      <c r="Q65" s="162"/>
      <c r="R65" s="144"/>
      <c r="S65" s="546"/>
      <c r="T65" s="161"/>
      <c r="U65" s="162"/>
      <c r="V65" s="162"/>
      <c r="W65" s="144"/>
      <c r="X65" s="546"/>
      <c r="Y65" s="161"/>
      <c r="Z65" s="162"/>
      <c r="AA65" s="162"/>
      <c r="AB65" s="144"/>
      <c r="AC65" s="546"/>
      <c r="AD65" s="161"/>
      <c r="AE65" s="162"/>
      <c r="AF65" s="162"/>
      <c r="AG65" s="144"/>
      <c r="AH65" s="546"/>
      <c r="AI65" s="161"/>
      <c r="AJ65" s="162"/>
      <c r="AK65" s="162"/>
      <c r="AL65" s="144"/>
      <c r="AM65" s="546"/>
      <c r="AN65" s="161"/>
      <c r="AO65" s="162"/>
      <c r="AP65" s="1488"/>
      <c r="AQ65" s="1487"/>
      <c r="AR65" s="1484"/>
      <c r="AS65" s="161"/>
      <c r="AT65" s="162"/>
      <c r="AU65" s="162"/>
      <c r="AV65" s="144"/>
      <c r="AW65" s="546"/>
      <c r="AX65" s="161"/>
      <c r="AY65" s="162"/>
      <c r="AZ65" s="162"/>
      <c r="BA65" s="144"/>
      <c r="BB65" s="546"/>
      <c r="BC65" s="161"/>
      <c r="BD65" s="162"/>
      <c r="BE65" s="162"/>
      <c r="BF65" s="144"/>
      <c r="BG65" s="546"/>
      <c r="BH65" s="161"/>
      <c r="BI65" s="162"/>
      <c r="BJ65" s="162"/>
      <c r="BK65" s="144"/>
      <c r="BL65" s="546"/>
      <c r="BM65" s="161"/>
      <c r="BN65" s="162"/>
      <c r="BO65" s="162"/>
      <c r="BP65" s="144"/>
      <c r="BQ65" s="546"/>
      <c r="BR65" s="546"/>
      <c r="BS65" s="553"/>
      <c r="BT65" s="553"/>
      <c r="BU65" s="553"/>
      <c r="BV65" s="553"/>
      <c r="BW65" s="553"/>
      <c r="BX65" s="553"/>
      <c r="BY65" s="553"/>
      <c r="BZ65" s="553"/>
      <c r="CA65" s="553"/>
      <c r="CB65" s="553"/>
      <c r="CC65" s="553"/>
      <c r="CD65" s="553"/>
      <c r="CE65" s="553"/>
      <c r="CF65" s="553"/>
      <c r="CG65" s="553"/>
      <c r="CH65" s="553"/>
      <c r="CI65" s="553"/>
      <c r="CJ65" s="553"/>
      <c r="CK65" s="553"/>
      <c r="CL65" s="553"/>
      <c r="CM65" s="553"/>
      <c r="CN65" s="553"/>
      <c r="CO65" s="553"/>
      <c r="CP65" s="553"/>
      <c r="CQ65" s="553"/>
      <c r="CR65" s="553"/>
      <c r="CS65" s="553"/>
      <c r="CT65" s="553"/>
      <c r="CU65" s="553"/>
      <c r="CV65" s="553"/>
      <c r="CW65" s="553"/>
      <c r="CX65" s="553"/>
      <c r="CY65" s="553"/>
      <c r="CZ65" s="553"/>
    </row>
    <row r="66" spans="1:104">
      <c r="A66" s="553"/>
      <c r="B66" s="553"/>
      <c r="C66" s="545" t="s">
        <v>293</v>
      </c>
      <c r="D66" s="553"/>
      <c r="E66" s="225"/>
      <c r="F66" s="604"/>
      <c r="G66" s="604"/>
      <c r="H66" s="227"/>
      <c r="I66" s="571"/>
      <c r="J66" s="225"/>
      <c r="K66" s="604"/>
      <c r="L66" s="604"/>
      <c r="M66" s="227"/>
      <c r="N66" s="571"/>
      <c r="O66" s="161"/>
      <c r="P66" s="162"/>
      <c r="Q66" s="162"/>
      <c r="R66" s="144"/>
      <c r="S66" s="546"/>
      <c r="T66" s="161"/>
      <c r="U66" s="162"/>
      <c r="V66" s="162"/>
      <c r="W66" s="144"/>
      <c r="X66" s="546"/>
      <c r="Y66" s="161"/>
      <c r="Z66" s="162"/>
      <c r="AA66" s="162"/>
      <c r="AB66" s="144"/>
      <c r="AC66" s="546"/>
      <c r="AD66" s="161"/>
      <c r="AE66" s="162"/>
      <c r="AF66" s="162"/>
      <c r="AG66" s="144"/>
      <c r="AH66" s="546"/>
      <c r="AI66" s="161"/>
      <c r="AJ66" s="162"/>
      <c r="AK66" s="162"/>
      <c r="AL66" s="144"/>
      <c r="AM66" s="546"/>
      <c r="AN66" s="161"/>
      <c r="AO66" s="162"/>
      <c r="AP66" s="1488"/>
      <c r="AQ66" s="1487"/>
      <c r="AR66" s="1484"/>
      <c r="AS66" s="161"/>
      <c r="AT66" s="162"/>
      <c r="AU66" s="162"/>
      <c r="AV66" s="144"/>
      <c r="AW66" s="546"/>
      <c r="AX66" s="161"/>
      <c r="AY66" s="162"/>
      <c r="AZ66" s="162"/>
      <c r="BA66" s="144"/>
      <c r="BB66" s="546"/>
      <c r="BC66" s="161"/>
      <c r="BD66" s="162"/>
      <c r="BE66" s="162"/>
      <c r="BF66" s="144"/>
      <c r="BG66" s="546"/>
      <c r="BH66" s="161"/>
      <c r="BI66" s="162"/>
      <c r="BJ66" s="162"/>
      <c r="BK66" s="144"/>
      <c r="BL66" s="546"/>
      <c r="BM66" s="161"/>
      <c r="BN66" s="162"/>
      <c r="BO66" s="162"/>
      <c r="BP66" s="144"/>
      <c r="BQ66" s="546"/>
      <c r="BR66" s="546"/>
      <c r="BS66" s="553"/>
      <c r="BT66" s="553"/>
      <c r="BU66" s="553"/>
      <c r="BV66" s="553"/>
      <c r="BW66" s="553"/>
      <c r="BX66" s="553"/>
      <c r="BY66" s="553"/>
      <c r="BZ66" s="553"/>
      <c r="CA66" s="553"/>
      <c r="CB66" s="553"/>
      <c r="CC66" s="553"/>
      <c r="CD66" s="553"/>
      <c r="CE66" s="553"/>
      <c r="CF66" s="553"/>
      <c r="CG66" s="553"/>
      <c r="CH66" s="553"/>
      <c r="CI66" s="553"/>
      <c r="CJ66" s="553"/>
      <c r="CK66" s="553"/>
      <c r="CL66" s="553"/>
      <c r="CM66" s="553"/>
      <c r="CN66" s="553"/>
      <c r="CO66" s="553"/>
      <c r="CP66" s="553"/>
      <c r="CQ66" s="553"/>
      <c r="CR66" s="553"/>
      <c r="CS66" s="553"/>
      <c r="CT66" s="553"/>
      <c r="CU66" s="553"/>
      <c r="CV66" s="553"/>
      <c r="CW66" s="553"/>
      <c r="CX66" s="553"/>
      <c r="CY66" s="553"/>
      <c r="CZ66" s="553"/>
    </row>
    <row r="67" spans="1:104">
      <c r="A67" s="553"/>
      <c r="B67" s="553"/>
      <c r="C67" s="553" t="s">
        <v>853</v>
      </c>
      <c r="D67" s="553"/>
      <c r="E67" s="182"/>
      <c r="F67" s="183"/>
      <c r="G67" s="183"/>
      <c r="H67" s="184"/>
      <c r="I67" s="767"/>
      <c r="J67" s="182"/>
      <c r="K67" s="183"/>
      <c r="L67" s="671"/>
      <c r="M67" s="231"/>
      <c r="N67" s="759"/>
      <c r="O67" s="229"/>
      <c r="P67" s="671"/>
      <c r="Q67" s="671"/>
      <c r="R67" s="231"/>
      <c r="S67" s="759"/>
      <c r="T67" s="229"/>
      <c r="U67" s="671"/>
      <c r="V67" s="671"/>
      <c r="W67" s="231"/>
      <c r="X67" s="759">
        <f t="shared" ref="X67:BQ67" si="92">+$BT$51</f>
        <v>0.10976211618898919</v>
      </c>
      <c r="Y67" s="229">
        <f t="shared" si="92"/>
        <v>0.10976211618898919</v>
      </c>
      <c r="Z67" s="671">
        <f t="shared" si="92"/>
        <v>0.10976211618898919</v>
      </c>
      <c r="AA67" s="671">
        <f t="shared" si="92"/>
        <v>0.10976211618898919</v>
      </c>
      <c r="AB67" s="231">
        <f t="shared" si="92"/>
        <v>0.10976211618898919</v>
      </c>
      <c r="AC67" s="759">
        <f t="shared" si="92"/>
        <v>0.10976211618898919</v>
      </c>
      <c r="AD67" s="229">
        <f t="shared" si="92"/>
        <v>0.10976211618898919</v>
      </c>
      <c r="AE67" s="671">
        <f t="shared" si="92"/>
        <v>0.10976211618898919</v>
      </c>
      <c r="AF67" s="671">
        <f t="shared" si="92"/>
        <v>0.10976211618898919</v>
      </c>
      <c r="AG67" s="231">
        <f t="shared" si="92"/>
        <v>0.10976211618898919</v>
      </c>
      <c r="AH67" s="759">
        <f t="shared" si="92"/>
        <v>0.10976211618898919</v>
      </c>
      <c r="AI67" s="229">
        <f t="shared" si="92"/>
        <v>0.10976211618898919</v>
      </c>
      <c r="AJ67" s="671">
        <f t="shared" si="92"/>
        <v>0.10976211618898919</v>
      </c>
      <c r="AK67" s="671">
        <f t="shared" si="92"/>
        <v>0.10976211618898919</v>
      </c>
      <c r="AL67" s="231">
        <f t="shared" si="92"/>
        <v>0.10976211618898919</v>
      </c>
      <c r="AM67" s="759">
        <f t="shared" si="92"/>
        <v>0.10976211618898919</v>
      </c>
      <c r="AN67" s="229">
        <f t="shared" si="92"/>
        <v>0.10976211618898919</v>
      </c>
      <c r="AO67" s="671">
        <f t="shared" si="92"/>
        <v>0.10976211618898919</v>
      </c>
      <c r="AP67" s="1868">
        <f t="shared" si="92"/>
        <v>0.10976211618898919</v>
      </c>
      <c r="AQ67" s="1561">
        <f t="shared" si="92"/>
        <v>0.10976211618898919</v>
      </c>
      <c r="AR67" s="759">
        <f t="shared" si="92"/>
        <v>0.10976211618898919</v>
      </c>
      <c r="AS67" s="229">
        <f t="shared" si="92"/>
        <v>0.10976211618898919</v>
      </c>
      <c r="AT67" s="671">
        <f t="shared" si="92"/>
        <v>0.10976211618898919</v>
      </c>
      <c r="AU67" s="671">
        <f t="shared" si="92"/>
        <v>0.10976211618898919</v>
      </c>
      <c r="AV67" s="1561">
        <f t="shared" si="92"/>
        <v>0.10976211618898919</v>
      </c>
      <c r="AW67" s="759">
        <f t="shared" si="92"/>
        <v>0.10976211618898919</v>
      </c>
      <c r="AX67" s="229">
        <f t="shared" si="92"/>
        <v>0.10976211618898919</v>
      </c>
      <c r="AY67" s="671">
        <f t="shared" si="92"/>
        <v>0.10976211618898919</v>
      </c>
      <c r="AZ67" s="671">
        <f t="shared" si="92"/>
        <v>0.10976211618898919</v>
      </c>
      <c r="BA67" s="231">
        <f t="shared" si="92"/>
        <v>0.10976211618898919</v>
      </c>
      <c r="BB67" s="759">
        <f t="shared" si="92"/>
        <v>0.10976211618898919</v>
      </c>
      <c r="BC67" s="229">
        <f t="shared" si="92"/>
        <v>0.10976211618898919</v>
      </c>
      <c r="BD67" s="671">
        <f t="shared" si="92"/>
        <v>0.10976211618898919</v>
      </c>
      <c r="BE67" s="671">
        <f t="shared" si="92"/>
        <v>0.10976211618898919</v>
      </c>
      <c r="BF67" s="231">
        <f t="shared" si="92"/>
        <v>0.10976211618898919</v>
      </c>
      <c r="BG67" s="759">
        <f t="shared" si="92"/>
        <v>0.10976211618898919</v>
      </c>
      <c r="BH67" s="229">
        <f t="shared" si="92"/>
        <v>0.10976211618898919</v>
      </c>
      <c r="BI67" s="671">
        <f t="shared" si="92"/>
        <v>0.10976211618898919</v>
      </c>
      <c r="BJ67" s="671">
        <f t="shared" si="92"/>
        <v>0.10976211618898919</v>
      </c>
      <c r="BK67" s="231">
        <f t="shared" si="92"/>
        <v>0.10976211618898919</v>
      </c>
      <c r="BL67" s="759">
        <f t="shared" si="92"/>
        <v>0.10976211618898919</v>
      </c>
      <c r="BM67" s="229">
        <f t="shared" si="92"/>
        <v>0.10976211618898919</v>
      </c>
      <c r="BN67" s="671">
        <f t="shared" si="92"/>
        <v>0.10976211618898919</v>
      </c>
      <c r="BO67" s="671">
        <f t="shared" si="92"/>
        <v>0.10976211618898919</v>
      </c>
      <c r="BP67" s="231">
        <f t="shared" si="92"/>
        <v>0.10976211618898919</v>
      </c>
      <c r="BQ67" s="759">
        <f t="shared" si="92"/>
        <v>0.10976211618898919</v>
      </c>
      <c r="BR67" s="759"/>
      <c r="BS67" s="553"/>
      <c r="BT67" s="553"/>
      <c r="BU67" s="553"/>
      <c r="BV67" s="553"/>
      <c r="BW67" s="553"/>
      <c r="BX67" s="553"/>
      <c r="BY67" s="553"/>
      <c r="BZ67" s="553"/>
      <c r="CA67" s="553"/>
      <c r="CB67" s="553"/>
      <c r="CC67" s="553"/>
      <c r="CD67" s="553"/>
      <c r="CE67" s="553"/>
      <c r="CF67" s="553"/>
      <c r="CG67" s="553"/>
      <c r="CH67" s="553"/>
      <c r="CI67" s="553"/>
      <c r="CJ67" s="553"/>
      <c r="CK67" s="553"/>
      <c r="CL67" s="553"/>
      <c r="CM67" s="553"/>
      <c r="CN67" s="553"/>
      <c r="CO67" s="553"/>
      <c r="CP67" s="553"/>
      <c r="CQ67" s="553"/>
      <c r="CR67" s="553"/>
      <c r="CS67" s="553"/>
      <c r="CT67" s="553"/>
      <c r="CU67" s="553"/>
      <c r="CV67" s="553"/>
      <c r="CW67" s="553"/>
      <c r="CX67" s="553"/>
      <c r="CY67" s="553"/>
      <c r="CZ67" s="553"/>
    </row>
    <row r="68" spans="1:104">
      <c r="A68" s="553"/>
      <c r="B68" s="553"/>
      <c r="C68" s="1117" t="s">
        <v>1212</v>
      </c>
      <c r="D68" s="553"/>
      <c r="E68" s="768"/>
      <c r="F68" s="769"/>
      <c r="G68" s="769"/>
      <c r="H68" s="770"/>
      <c r="I68" s="771"/>
      <c r="J68" s="768"/>
      <c r="K68" s="769"/>
      <c r="L68" s="698"/>
      <c r="M68" s="233"/>
      <c r="N68" s="758"/>
      <c r="O68" s="368"/>
      <c r="P68" s="698"/>
      <c r="Q68" s="698"/>
      <c r="R68" s="233"/>
      <c r="S68" s="758"/>
      <c r="T68" s="368"/>
      <c r="U68" s="698"/>
      <c r="V68" s="698"/>
      <c r="W68" s="233"/>
      <c r="X68" s="1247">
        <f>X80/(X61*X76)</f>
        <v>8.21917808219178E-3</v>
      </c>
      <c r="Y68" s="1215">
        <f>Y80/(Y61*Y76)*4</f>
        <v>2.0393791365141276E-2</v>
      </c>
      <c r="Z68" s="1248">
        <f t="shared" ref="Z68:AF68" si="93">Z80/(Z61*Z76)*4</f>
        <v>1.6241923449784541E-2</v>
      </c>
      <c r="AA68" s="1248">
        <f t="shared" si="93"/>
        <v>1.3494622182206921E-2</v>
      </c>
      <c r="AB68" s="1213">
        <f t="shared" si="93"/>
        <v>1.1542262716327254E-2</v>
      </c>
      <c r="AC68" s="1247">
        <f>AC80/(AC61*AC76)</f>
        <v>1.3661202185792349E-2</v>
      </c>
      <c r="AD68" s="1215">
        <f t="shared" si="93"/>
        <v>2.6099361720345562E-2</v>
      </c>
      <c r="AE68" s="1248">
        <f t="shared" si="93"/>
        <v>2.2387824400660748E-2</v>
      </c>
      <c r="AF68" s="1248">
        <f t="shared" si="93"/>
        <v>1.9600479890922073E-2</v>
      </c>
      <c r="AG68" s="1213">
        <f>AG80/(AG61*AG76)*4</f>
        <v>1.7430353835098989E-2</v>
      </c>
      <c r="AH68" s="1247">
        <f>AH80/(AH61*AH76)</f>
        <v>2.030267294751964E-2</v>
      </c>
      <c r="AI68" s="1215">
        <f>AI80/(AI61*AI76)*4</f>
        <v>3.5748048873437278E-2</v>
      </c>
      <c r="AJ68" s="1248">
        <f>AJ80/(AJ61*AJ76)*4</f>
        <v>3.097586959871897E-2</v>
      </c>
      <c r="AK68" s="1248">
        <f>AK80/(AK61*AK76)*4</f>
        <v>2.7327755812811955E-2</v>
      </c>
      <c r="AL68" s="1213">
        <f>AL80/(AL61*AL76)*4</f>
        <v>2.4448400147372058E-2</v>
      </c>
      <c r="AM68" s="1247">
        <f>AM80/(AM61*AM76)</f>
        <v>2.4448400147372058E-2</v>
      </c>
      <c r="AN68" s="1264">
        <f>AL68</f>
        <v>2.4448400147372058E-2</v>
      </c>
      <c r="AO68" s="1248">
        <f>AO80/(AO61*AO76)*4</f>
        <v>1.8723063623416282E-2</v>
      </c>
      <c r="AP68" s="1867">
        <f>AO68</f>
        <v>1.8723063623416282E-2</v>
      </c>
      <c r="AQ68" s="1866">
        <f>AP68</f>
        <v>1.8723063623416282E-2</v>
      </c>
      <c r="AR68" s="1247">
        <f>AR80/(AR61*AR76)</f>
        <v>1.7308006559634506E-2</v>
      </c>
      <c r="AS68" s="1264">
        <f>AQ68</f>
        <v>1.8723063623416282E-2</v>
      </c>
      <c r="AT68" s="1248">
        <f>AT80/(AT61*AT76)*4</f>
        <v>2.1635889723321092E-2</v>
      </c>
      <c r="AU68" s="1248">
        <f>AU80/(AU61*AU76)*4</f>
        <v>2.1331894232743575E-2</v>
      </c>
      <c r="AV68" s="1866">
        <f>AU68</f>
        <v>2.1331894232743575E-2</v>
      </c>
      <c r="AW68" s="1247">
        <f>AW80/(AW61*AW76)</f>
        <v>1.9512212468763043E-2</v>
      </c>
      <c r="AX68" s="1264">
        <f>AV68</f>
        <v>2.1331894232743575E-2</v>
      </c>
      <c r="AY68" s="1265">
        <f t="shared" ref="AY68:BB69" si="94">AX68</f>
        <v>2.1331894232743575E-2</v>
      </c>
      <c r="AZ68" s="1265">
        <f t="shared" si="94"/>
        <v>2.1331894232743575E-2</v>
      </c>
      <c r="BA68" s="1266">
        <f t="shared" si="94"/>
        <v>2.1331894232743575E-2</v>
      </c>
      <c r="BB68" s="1247">
        <f t="shared" si="94"/>
        <v>2.1331894232743575E-2</v>
      </c>
      <c r="BC68" s="1264">
        <f>BA68</f>
        <v>2.1331894232743575E-2</v>
      </c>
      <c r="BD68" s="1265">
        <f t="shared" ref="BD68:BG69" si="95">BC68</f>
        <v>2.1331894232743575E-2</v>
      </c>
      <c r="BE68" s="1265">
        <f t="shared" si="95"/>
        <v>2.1331894232743575E-2</v>
      </c>
      <c r="BF68" s="1266">
        <f t="shared" si="95"/>
        <v>2.1331894232743575E-2</v>
      </c>
      <c r="BG68" s="1247">
        <f t="shared" si="95"/>
        <v>2.1331894232743575E-2</v>
      </c>
      <c r="BH68" s="1264">
        <f>BF68</f>
        <v>2.1331894232743575E-2</v>
      </c>
      <c r="BI68" s="1265">
        <f t="shared" ref="BI68:BL69" si="96">BH68</f>
        <v>2.1331894232743575E-2</v>
      </c>
      <c r="BJ68" s="1265">
        <f t="shared" si="96"/>
        <v>2.1331894232743575E-2</v>
      </c>
      <c r="BK68" s="1266">
        <f t="shared" si="96"/>
        <v>2.1331894232743575E-2</v>
      </c>
      <c r="BL68" s="1247">
        <f t="shared" si="96"/>
        <v>2.1331894232743575E-2</v>
      </c>
      <c r="BM68" s="1264">
        <f>BK68</f>
        <v>2.1331894232743575E-2</v>
      </c>
      <c r="BN68" s="1265">
        <f t="shared" ref="BN68:BQ69" si="97">BM68</f>
        <v>2.1331894232743575E-2</v>
      </c>
      <c r="BO68" s="1265">
        <f t="shared" si="97"/>
        <v>2.1331894232743575E-2</v>
      </c>
      <c r="BP68" s="1266">
        <f t="shared" si="97"/>
        <v>2.1331894232743575E-2</v>
      </c>
      <c r="BQ68" s="1247">
        <f t="shared" si="97"/>
        <v>2.1331894232743575E-2</v>
      </c>
      <c r="BR68" s="758"/>
      <c r="BS68" s="553"/>
      <c r="BT68" s="553"/>
      <c r="BU68" s="553"/>
      <c r="BV68" s="553"/>
      <c r="BW68" s="553"/>
      <c r="BX68" s="553"/>
      <c r="BY68" s="553"/>
      <c r="BZ68" s="553"/>
      <c r="CA68" s="553"/>
      <c r="CB68" s="553"/>
      <c r="CC68" s="553"/>
      <c r="CD68" s="553"/>
      <c r="CE68" s="553"/>
      <c r="CF68" s="553"/>
      <c r="CG68" s="553"/>
      <c r="CH68" s="553"/>
      <c r="CI68" s="553"/>
      <c r="CJ68" s="553"/>
      <c r="CK68" s="553"/>
      <c r="CL68" s="553"/>
      <c r="CM68" s="553"/>
      <c r="CN68" s="553"/>
      <c r="CO68" s="553"/>
      <c r="CP68" s="553"/>
      <c r="CQ68" s="553"/>
      <c r="CR68" s="553"/>
      <c r="CS68" s="553"/>
      <c r="CT68" s="553"/>
      <c r="CU68" s="553"/>
      <c r="CV68" s="553"/>
      <c r="CW68" s="553"/>
      <c r="CX68" s="553"/>
      <c r="CY68" s="553"/>
      <c r="CZ68" s="553"/>
    </row>
    <row r="69" spans="1:104">
      <c r="A69" s="553"/>
      <c r="B69" s="553"/>
      <c r="C69" s="1117" t="s">
        <v>1213</v>
      </c>
      <c r="D69" s="553"/>
      <c r="E69" s="768"/>
      <c r="F69" s="769"/>
      <c r="G69" s="769"/>
      <c r="H69" s="770"/>
      <c r="I69" s="771"/>
      <c r="J69" s="768"/>
      <c r="K69" s="769"/>
      <c r="L69" s="698"/>
      <c r="M69" s="233"/>
      <c r="N69" s="758"/>
      <c r="O69" s="368"/>
      <c r="P69" s="698"/>
      <c r="Q69" s="698"/>
      <c r="R69" s="233"/>
      <c r="S69" s="758"/>
      <c r="T69" s="368"/>
      <c r="U69" s="698"/>
      <c r="V69" s="698"/>
      <c r="W69" s="233"/>
      <c r="X69" s="1247"/>
      <c r="Y69" s="1215"/>
      <c r="Z69" s="1248"/>
      <c r="AA69" s="1248"/>
      <c r="AB69" s="1213"/>
      <c r="AC69" s="1247"/>
      <c r="AD69" s="1215"/>
      <c r="AE69" s="1248"/>
      <c r="AF69" s="1248"/>
      <c r="AG69" s="1213"/>
      <c r="AH69" s="1247"/>
      <c r="AI69" s="1215"/>
      <c r="AJ69" s="1248"/>
      <c r="AK69" s="1248"/>
      <c r="AL69" s="1213"/>
      <c r="AM69" s="1247"/>
      <c r="AN69" s="1264"/>
      <c r="AO69" s="1248"/>
      <c r="AP69" s="1248">
        <v>4.5999999999999999E-2</v>
      </c>
      <c r="AQ69" s="1866">
        <f>AP69</f>
        <v>4.5999999999999999E-2</v>
      </c>
      <c r="AR69" s="1247">
        <f>AQ69</f>
        <v>4.5999999999999999E-2</v>
      </c>
      <c r="AS69" s="1903">
        <v>0.05</v>
      </c>
      <c r="AT69" s="1248">
        <f>+AS69</f>
        <v>0.05</v>
      </c>
      <c r="AU69" s="1265">
        <f t="shared" ref="AU69" si="98">AT69</f>
        <v>0.05</v>
      </c>
      <c r="AV69" s="1866">
        <f>AU69</f>
        <v>0.05</v>
      </c>
      <c r="AW69" s="1247">
        <f>AV69</f>
        <v>0.05</v>
      </c>
      <c r="AX69" s="1264">
        <f>AW69</f>
        <v>0.05</v>
      </c>
      <c r="AY69" s="1265">
        <f t="shared" si="94"/>
        <v>0.05</v>
      </c>
      <c r="AZ69" s="1265">
        <f t="shared" si="94"/>
        <v>0.05</v>
      </c>
      <c r="BA69" s="1266">
        <f t="shared" si="94"/>
        <v>0.05</v>
      </c>
      <c r="BB69" s="1247">
        <f t="shared" si="94"/>
        <v>0.05</v>
      </c>
      <c r="BC69" s="1264">
        <f>BB69</f>
        <v>0.05</v>
      </c>
      <c r="BD69" s="1265">
        <f t="shared" si="95"/>
        <v>0.05</v>
      </c>
      <c r="BE69" s="1265">
        <f t="shared" si="95"/>
        <v>0.05</v>
      </c>
      <c r="BF69" s="1266">
        <f t="shared" si="95"/>
        <v>0.05</v>
      </c>
      <c r="BG69" s="1247">
        <f t="shared" si="95"/>
        <v>0.05</v>
      </c>
      <c r="BH69" s="1264">
        <f>BG69</f>
        <v>0.05</v>
      </c>
      <c r="BI69" s="1265">
        <f t="shared" si="96"/>
        <v>0.05</v>
      </c>
      <c r="BJ69" s="1265">
        <f t="shared" si="96"/>
        <v>0.05</v>
      </c>
      <c r="BK69" s="1266">
        <f t="shared" si="96"/>
        <v>0.05</v>
      </c>
      <c r="BL69" s="1247">
        <f t="shared" si="96"/>
        <v>0.05</v>
      </c>
      <c r="BM69" s="1264">
        <f>BL69</f>
        <v>0.05</v>
      </c>
      <c r="BN69" s="1265">
        <f t="shared" si="97"/>
        <v>0.05</v>
      </c>
      <c r="BO69" s="1265">
        <f t="shared" si="97"/>
        <v>0.05</v>
      </c>
      <c r="BP69" s="1266">
        <f t="shared" si="97"/>
        <v>0.05</v>
      </c>
      <c r="BQ69" s="1247">
        <f t="shared" si="97"/>
        <v>0.05</v>
      </c>
      <c r="BR69" s="758"/>
      <c r="BS69" s="553"/>
      <c r="BT69" s="553"/>
      <c r="BU69" s="553"/>
      <c r="BV69" s="553"/>
      <c r="BW69" s="553"/>
      <c r="BX69" s="553"/>
      <c r="BY69" s="553"/>
      <c r="BZ69" s="553"/>
      <c r="CA69" s="553"/>
      <c r="CB69" s="553"/>
      <c r="CC69" s="553"/>
      <c r="CD69" s="553"/>
      <c r="CE69" s="553"/>
      <c r="CF69" s="553"/>
      <c r="CG69" s="553"/>
      <c r="CH69" s="553"/>
      <c r="CI69" s="553"/>
      <c r="CJ69" s="553"/>
      <c r="CK69" s="553"/>
      <c r="CL69" s="553"/>
      <c r="CM69" s="553"/>
      <c r="CN69" s="553"/>
      <c r="CO69" s="553"/>
      <c r="CP69" s="553"/>
      <c r="CQ69" s="553"/>
      <c r="CR69" s="553"/>
      <c r="CS69" s="553"/>
      <c r="CT69" s="553"/>
      <c r="CU69" s="553"/>
      <c r="CV69" s="553"/>
      <c r="CW69" s="553"/>
      <c r="CX69" s="553"/>
      <c r="CY69" s="553"/>
      <c r="CZ69" s="553"/>
    </row>
    <row r="70" spans="1:104">
      <c r="A70" s="553"/>
      <c r="B70" s="553"/>
      <c r="C70" s="553"/>
      <c r="D70" s="553"/>
      <c r="E70" s="182"/>
      <c r="F70" s="183"/>
      <c r="G70" s="183"/>
      <c r="H70" s="184"/>
      <c r="I70" s="767"/>
      <c r="J70" s="182"/>
      <c r="K70" s="183"/>
      <c r="L70" s="671"/>
      <c r="M70" s="231"/>
      <c r="N70" s="759"/>
      <c r="O70" s="229"/>
      <c r="P70" s="671"/>
      <c r="Q70" s="671"/>
      <c r="R70" s="231"/>
      <c r="S70" s="759"/>
      <c r="T70" s="368"/>
      <c r="U70" s="698"/>
      <c r="V70" s="698"/>
      <c r="W70" s="233"/>
      <c r="X70" s="758"/>
      <c r="Y70" s="368"/>
      <c r="Z70" s="698"/>
      <c r="AA70" s="698"/>
      <c r="AB70" s="233"/>
      <c r="AC70" s="758"/>
      <c r="AD70" s="368"/>
      <c r="AE70" s="698"/>
      <c r="AF70" s="698"/>
      <c r="AG70" s="233"/>
      <c r="AH70" s="758"/>
      <c r="AI70" s="368"/>
      <c r="AJ70" s="698"/>
      <c r="AK70" s="698"/>
      <c r="AL70" s="233"/>
      <c r="AM70" s="758"/>
      <c r="AN70" s="368"/>
      <c r="AO70" s="698"/>
      <c r="AP70" s="698"/>
      <c r="AQ70" s="1569"/>
      <c r="AR70" s="758"/>
      <c r="AS70" s="368"/>
      <c r="AT70" s="698"/>
      <c r="AU70" s="698"/>
      <c r="AV70" s="1569"/>
      <c r="AW70" s="758"/>
      <c r="AX70" s="368"/>
      <c r="AY70" s="698"/>
      <c r="AZ70" s="698"/>
      <c r="BA70" s="233"/>
      <c r="BB70" s="758"/>
      <c r="BC70" s="368"/>
      <c r="BD70" s="698"/>
      <c r="BE70" s="698"/>
      <c r="BF70" s="233"/>
      <c r="BG70" s="758"/>
      <c r="BH70" s="368"/>
      <c r="BI70" s="698"/>
      <c r="BJ70" s="698"/>
      <c r="BK70" s="233"/>
      <c r="BL70" s="758"/>
      <c r="BM70" s="368"/>
      <c r="BN70" s="698"/>
      <c r="BO70" s="698"/>
      <c r="BP70" s="233"/>
      <c r="BQ70" s="758"/>
      <c r="BR70" s="758"/>
      <c r="BS70" s="553"/>
      <c r="BT70" s="553"/>
      <c r="BU70" s="553"/>
      <c r="BV70" s="553"/>
      <c r="BW70" s="553"/>
      <c r="BX70" s="553"/>
      <c r="BY70" s="553"/>
      <c r="BZ70" s="553"/>
      <c r="CA70" s="553"/>
      <c r="CB70" s="553"/>
      <c r="CC70" s="553"/>
      <c r="CD70" s="553"/>
      <c r="CE70" s="553"/>
      <c r="CF70" s="553"/>
      <c r="CG70" s="553"/>
      <c r="CH70" s="553"/>
      <c r="CI70" s="553"/>
      <c r="CJ70" s="553"/>
      <c r="CK70" s="553"/>
      <c r="CL70" s="553"/>
      <c r="CM70" s="553"/>
      <c r="CN70" s="553"/>
      <c r="CO70" s="553"/>
      <c r="CP70" s="553"/>
      <c r="CQ70" s="553"/>
      <c r="CR70" s="553"/>
      <c r="CS70" s="553"/>
      <c r="CT70" s="553"/>
      <c r="CU70" s="553"/>
      <c r="CV70" s="553"/>
      <c r="CW70" s="553"/>
      <c r="CX70" s="553"/>
      <c r="CY70" s="553"/>
      <c r="CZ70" s="553"/>
    </row>
    <row r="71" spans="1:104">
      <c r="A71" s="553"/>
      <c r="B71" s="553"/>
      <c r="C71" s="1117" t="s">
        <v>1210</v>
      </c>
      <c r="D71" s="553"/>
      <c r="E71" s="182"/>
      <c r="F71" s="183"/>
      <c r="G71" s="183"/>
      <c r="H71" s="184"/>
      <c r="I71" s="767"/>
      <c r="J71" s="182"/>
      <c r="K71" s="183"/>
      <c r="L71" s="671"/>
      <c r="M71" s="231"/>
      <c r="N71" s="759"/>
      <c r="O71" s="229"/>
      <c r="P71" s="671"/>
      <c r="Q71" s="671"/>
      <c r="R71" s="231"/>
      <c r="S71" s="759"/>
      <c r="T71" s="368"/>
      <c r="U71" s="698"/>
      <c r="V71" s="698"/>
      <c r="W71" s="233"/>
      <c r="X71" s="498">
        <f t="shared" ref="X71:AO71" si="99">X61*X76</f>
        <v>365</v>
      </c>
      <c r="Y71" s="1236">
        <f t="shared" si="99"/>
        <v>490.34531249999998</v>
      </c>
      <c r="Z71" s="1238">
        <f t="shared" si="99"/>
        <v>615.69062499999995</v>
      </c>
      <c r="AA71" s="1238">
        <f t="shared" si="99"/>
        <v>741.03593749999993</v>
      </c>
      <c r="AB71" s="1221">
        <f t="shared" si="99"/>
        <v>866.38124999999991</v>
      </c>
      <c r="AC71" s="498">
        <f t="shared" si="99"/>
        <v>732</v>
      </c>
      <c r="AD71" s="1236">
        <f t="shared" si="99"/>
        <v>881.24760469029104</v>
      </c>
      <c r="AE71" s="1238">
        <f t="shared" si="99"/>
        <v>1027.344130826807</v>
      </c>
      <c r="AF71" s="1238">
        <f t="shared" si="99"/>
        <v>1173.4406569633231</v>
      </c>
      <c r="AG71" s="1221">
        <f t="shared" si="99"/>
        <v>1319.5371830998392</v>
      </c>
      <c r="AH71" s="498">
        <f t="shared" si="99"/>
        <v>1132.855760394342</v>
      </c>
      <c r="AI71" s="1236">
        <f t="shared" si="99"/>
        <v>1040.6162342370972</v>
      </c>
      <c r="AJ71" s="1238">
        <f t="shared" si="99"/>
        <v>1200.9348077039438</v>
      </c>
      <c r="AK71" s="1238">
        <f t="shared" si="99"/>
        <v>1361.2533811707906</v>
      </c>
      <c r="AL71" s="1221">
        <f t="shared" si="99"/>
        <v>1521.5719546376374</v>
      </c>
      <c r="AM71" s="498">
        <f t="shared" si="99"/>
        <v>1521.5719546376374</v>
      </c>
      <c r="AN71" s="1236">
        <f t="shared" si="99"/>
        <v>2317.9410854741113</v>
      </c>
      <c r="AO71" s="1238">
        <f t="shared" si="99"/>
        <v>2478.2269041680306</v>
      </c>
      <c r="AP71" s="1486">
        <f>AO71</f>
        <v>2478.2269041680306</v>
      </c>
      <c r="AQ71" s="1487">
        <f>AP71</f>
        <v>2478.2269041680306</v>
      </c>
      <c r="AR71" s="109">
        <f>AQ71</f>
        <v>2478.2269041680306</v>
      </c>
      <c r="AS71" s="1236">
        <f>AQ71</f>
        <v>2478.2269041680306</v>
      </c>
      <c r="AT71" s="1486">
        <f>AS71</f>
        <v>2478.2269041680306</v>
      </c>
      <c r="AU71" s="160">
        <f t="shared" ref="AU71:BL71" si="100">AT71</f>
        <v>2478.2269041680306</v>
      </c>
      <c r="AV71" s="1487">
        <f>AU71</f>
        <v>2478.2269041680306</v>
      </c>
      <c r="AW71" s="109">
        <f>AV71</f>
        <v>2478.2269041680306</v>
      </c>
      <c r="AX71" s="161">
        <f t="shared" si="100"/>
        <v>2478.2269041680306</v>
      </c>
      <c r="AY71" s="160">
        <f t="shared" si="100"/>
        <v>2478.2269041680306</v>
      </c>
      <c r="AZ71" s="160">
        <f t="shared" si="100"/>
        <v>2478.2269041680306</v>
      </c>
      <c r="BA71" s="144">
        <f t="shared" si="100"/>
        <v>2478.2269041680306</v>
      </c>
      <c r="BB71" s="109">
        <f t="shared" si="100"/>
        <v>2478.2269041680306</v>
      </c>
      <c r="BC71" s="161">
        <f t="shared" si="100"/>
        <v>2478.2269041680306</v>
      </c>
      <c r="BD71" s="160">
        <f t="shared" si="100"/>
        <v>2478.2269041680306</v>
      </c>
      <c r="BE71" s="160">
        <f t="shared" si="100"/>
        <v>2478.2269041680306</v>
      </c>
      <c r="BF71" s="144">
        <f t="shared" si="100"/>
        <v>2478.2269041680306</v>
      </c>
      <c r="BG71" s="109">
        <f t="shared" si="100"/>
        <v>2478.2269041680306</v>
      </c>
      <c r="BH71" s="161">
        <f t="shared" si="100"/>
        <v>2478.2269041680306</v>
      </c>
      <c r="BI71" s="160">
        <f t="shared" si="100"/>
        <v>2478.2269041680306</v>
      </c>
      <c r="BJ71" s="160">
        <f t="shared" si="100"/>
        <v>2478.2269041680306</v>
      </c>
      <c r="BK71" s="144">
        <f t="shared" si="100"/>
        <v>2478.2269041680306</v>
      </c>
      <c r="BL71" s="498">
        <f t="shared" si="100"/>
        <v>2478.2269041680306</v>
      </c>
      <c r="BM71" s="161">
        <f>BL71</f>
        <v>2478.2269041680306</v>
      </c>
      <c r="BN71" s="160">
        <f>BM71</f>
        <v>2478.2269041680306</v>
      </c>
      <c r="BO71" s="160">
        <f>BN71</f>
        <v>2478.2269041680306</v>
      </c>
      <c r="BP71" s="144">
        <f>BO71</f>
        <v>2478.2269041680306</v>
      </c>
      <c r="BQ71" s="498">
        <f>BP71</f>
        <v>2478.2269041680306</v>
      </c>
      <c r="BR71" s="758"/>
      <c r="BS71" s="553"/>
      <c r="BT71" s="553"/>
      <c r="BU71" s="553"/>
      <c r="BV71" s="553"/>
      <c r="BW71" s="553"/>
      <c r="BX71" s="553"/>
      <c r="BY71" s="553"/>
      <c r="BZ71" s="553"/>
      <c r="CA71" s="553"/>
      <c r="CB71" s="553"/>
      <c r="CC71" s="553"/>
      <c r="CD71" s="553"/>
      <c r="CE71" s="553"/>
      <c r="CF71" s="553"/>
      <c r="CG71" s="553"/>
      <c r="CH71" s="553"/>
      <c r="CI71" s="553"/>
      <c r="CJ71" s="553"/>
      <c r="CK71" s="553"/>
      <c r="CL71" s="553"/>
      <c r="CM71" s="553"/>
      <c r="CN71" s="553"/>
      <c r="CO71" s="553"/>
      <c r="CP71" s="553"/>
      <c r="CQ71" s="553"/>
      <c r="CR71" s="553"/>
      <c r="CS71" s="553"/>
      <c r="CT71" s="553"/>
      <c r="CU71" s="553"/>
      <c r="CV71" s="553"/>
      <c r="CW71" s="553"/>
      <c r="CX71" s="553"/>
      <c r="CY71" s="553"/>
      <c r="CZ71" s="553"/>
    </row>
    <row r="72" spans="1:104">
      <c r="A72" s="553"/>
      <c r="B72" s="553"/>
      <c r="C72" s="1117" t="s">
        <v>1211</v>
      </c>
      <c r="D72" s="553"/>
      <c r="E72" s="182"/>
      <c r="F72" s="183"/>
      <c r="G72" s="183"/>
      <c r="H72" s="184"/>
      <c r="I72" s="767"/>
      <c r="J72" s="182"/>
      <c r="K72" s="183"/>
      <c r="L72" s="671"/>
      <c r="M72" s="231"/>
      <c r="N72" s="759"/>
      <c r="O72" s="229"/>
      <c r="P72" s="671"/>
      <c r="Q72" s="671"/>
      <c r="R72" s="231"/>
      <c r="S72" s="759"/>
      <c r="T72" s="368"/>
      <c r="U72" s="698"/>
      <c r="V72" s="698"/>
      <c r="W72" s="233"/>
      <c r="X72" s="758"/>
      <c r="Y72" s="368"/>
      <c r="Z72" s="698"/>
      <c r="AA72" s="698"/>
      <c r="AB72" s="233"/>
      <c r="AC72" s="758"/>
      <c r="AD72" s="368"/>
      <c r="AE72" s="698"/>
      <c r="AF72" s="698"/>
      <c r="AG72" s="233"/>
      <c r="AH72" s="758"/>
      <c r="AI72" s="368"/>
      <c r="AJ72" s="698"/>
      <c r="AK72" s="698"/>
      <c r="AL72" s="233"/>
      <c r="AM72" s="758"/>
      <c r="AN72" s="368"/>
      <c r="AO72" s="698"/>
      <c r="AP72" s="1486">
        <f>AP76*AP61-AP71</f>
        <v>159.56655198939052</v>
      </c>
      <c r="AQ72" s="1487">
        <f>AQ76*AQ61-AQ71</f>
        <v>427.942551377992</v>
      </c>
      <c r="AR72" s="109">
        <f>AQ72</f>
        <v>427.942551377992</v>
      </c>
      <c r="AS72" s="161">
        <f>AS76*AS61-AS71</f>
        <v>505.39737593603695</v>
      </c>
      <c r="AT72" s="1486">
        <f>AT76*AT61-AT71</f>
        <v>683.18687981296216</v>
      </c>
      <c r="AU72" s="160">
        <f>AU76*AU61-AU71</f>
        <v>878.24951648180331</v>
      </c>
      <c r="AV72" s="1487">
        <f>AV76*AV61-AV71</f>
        <v>1252.7697788859787</v>
      </c>
      <c r="AW72" s="109">
        <f>AV72</f>
        <v>1252.7697788859787</v>
      </c>
      <c r="AX72" s="161">
        <f>AX76*AX61-AX71</f>
        <v>1475.7725337169804</v>
      </c>
      <c r="AY72" s="160">
        <f>AY76*AY61-AY71</f>
        <v>1606.2489094870007</v>
      </c>
      <c r="AZ72" s="160">
        <f>AZ76*AZ61-AZ71</f>
        <v>1726.3522231420325</v>
      </c>
      <c r="BA72" s="144">
        <f>BA76*BA61-BA71</f>
        <v>1835.4774746820735</v>
      </c>
      <c r="BB72" s="109">
        <f>BA72</f>
        <v>1835.4774746820735</v>
      </c>
      <c r="BC72" s="161">
        <f>BC76*BC61-BC71</f>
        <v>1977.1148412118487</v>
      </c>
      <c r="BD72" s="160">
        <f>BD76*BD61-BD71</f>
        <v>2108.6943227313564</v>
      </c>
      <c r="BE72" s="160">
        <f>BE76*BE61-BE71</f>
        <v>2229.8859192405966</v>
      </c>
      <c r="BF72" s="144">
        <f>BF76*BF61-BF71</f>
        <v>2340.08463073957</v>
      </c>
      <c r="BG72" s="109">
        <f>BF72</f>
        <v>2340.08463073957</v>
      </c>
      <c r="BH72" s="161">
        <f>BH76*BH61-BH71</f>
        <v>2176.8177539428548</v>
      </c>
      <c r="BI72" s="160">
        <f>BI76*BI61-BI71</f>
        <v>2266.9721132857708</v>
      </c>
      <c r="BJ72" s="160">
        <f>BJ76*BJ61-BJ71</f>
        <v>2347.4187159551761</v>
      </c>
      <c r="BK72" s="144">
        <f>BK76*BK61-BK71</f>
        <v>2417.5855619510689</v>
      </c>
      <c r="BL72" s="498">
        <f>BK72</f>
        <v>2417.5855619510689</v>
      </c>
      <c r="BM72" s="161">
        <f>BM76*BM61-BM71</f>
        <v>2540.4816892611302</v>
      </c>
      <c r="BN72" s="160">
        <f>BN76*BN61-BN71</f>
        <v>2653.8890978853601</v>
      </c>
      <c r="BO72" s="160">
        <f>BO76*BO61-BO71</f>
        <v>2757.4957878237587</v>
      </c>
      <c r="BP72" s="144">
        <f>BP76*BP61-BP71</f>
        <v>2850.729759076326</v>
      </c>
      <c r="BQ72" s="498">
        <f>BP72</f>
        <v>2850.729759076326</v>
      </c>
      <c r="BR72" s="758"/>
      <c r="BS72" s="553"/>
      <c r="BT72" s="553"/>
      <c r="BU72" s="553"/>
      <c r="BV72" s="553"/>
      <c r="BW72" s="553"/>
      <c r="BX72" s="553"/>
      <c r="BY72" s="553"/>
      <c r="BZ72" s="553"/>
      <c r="CA72" s="553"/>
      <c r="CB72" s="553"/>
      <c r="CC72" s="553"/>
      <c r="CD72" s="553"/>
      <c r="CE72" s="553"/>
      <c r="CF72" s="553"/>
      <c r="CG72" s="553"/>
      <c r="CH72" s="553"/>
      <c r="CI72" s="553"/>
      <c r="CJ72" s="553"/>
      <c r="CK72" s="553"/>
      <c r="CL72" s="553"/>
      <c r="CM72" s="553"/>
      <c r="CN72" s="553"/>
      <c r="CO72" s="553"/>
      <c r="CP72" s="553"/>
      <c r="CQ72" s="553"/>
      <c r="CR72" s="553"/>
      <c r="CS72" s="553"/>
      <c r="CT72" s="553"/>
      <c r="CU72" s="553"/>
      <c r="CV72" s="553"/>
      <c r="CW72" s="553"/>
      <c r="CX72" s="553"/>
      <c r="CY72" s="553"/>
      <c r="CZ72" s="553"/>
    </row>
    <row r="73" spans="1:104" s="1898" customFormat="1">
      <c r="A73" s="553"/>
      <c r="B73" s="553"/>
      <c r="C73" s="569" t="s">
        <v>1368</v>
      </c>
      <c r="D73" s="553"/>
      <c r="E73" s="182"/>
      <c r="F73" s="183"/>
      <c r="G73" s="183"/>
      <c r="H73" s="184"/>
      <c r="I73" s="767"/>
      <c r="J73" s="182"/>
      <c r="K73" s="183"/>
      <c r="L73" s="671"/>
      <c r="M73" s="231"/>
      <c r="N73" s="759"/>
      <c r="O73" s="229"/>
      <c r="P73" s="671"/>
      <c r="Q73" s="671"/>
      <c r="R73" s="231"/>
      <c r="S73" s="759"/>
      <c r="T73" s="368"/>
      <c r="U73" s="698"/>
      <c r="V73" s="698"/>
      <c r="W73" s="233"/>
      <c r="X73" s="758"/>
      <c r="Y73" s="368"/>
      <c r="Z73" s="698"/>
      <c r="AA73" s="698"/>
      <c r="AB73" s="233"/>
      <c r="AC73" s="758"/>
      <c r="AD73" s="368"/>
      <c r="AE73" s="698"/>
      <c r="AF73" s="698"/>
      <c r="AG73" s="233"/>
      <c r="AH73" s="758"/>
      <c r="AI73" s="368"/>
      <c r="AJ73" s="698"/>
      <c r="AK73" s="698"/>
      <c r="AL73" s="233"/>
      <c r="AM73" s="758"/>
      <c r="AN73" s="368"/>
      <c r="AO73" s="698"/>
      <c r="AP73" s="1486"/>
      <c r="AQ73" s="1487"/>
      <c r="AR73" s="109"/>
      <c r="AS73" s="161"/>
      <c r="AT73" s="1486"/>
      <c r="AU73" s="160"/>
      <c r="AV73" s="1487"/>
      <c r="AW73" s="109">
        <f>AW72-AR72</f>
        <v>824.82722750798666</v>
      </c>
      <c r="AX73" s="161"/>
      <c r="AY73" s="160"/>
      <c r="AZ73" s="160"/>
      <c r="BA73" s="144"/>
      <c r="BB73" s="109">
        <f>BB72-AW72</f>
        <v>582.70769579609487</v>
      </c>
      <c r="BC73" s="161"/>
      <c r="BD73" s="160"/>
      <c r="BE73" s="160"/>
      <c r="BF73" s="144"/>
      <c r="BG73" s="109">
        <f>BG72-BB72</f>
        <v>504.60715605749647</v>
      </c>
      <c r="BH73" s="161"/>
      <c r="BI73" s="160"/>
      <c r="BJ73" s="160"/>
      <c r="BK73" s="144"/>
      <c r="BL73" s="109">
        <f>BL72-BG72</f>
        <v>77.500931211498937</v>
      </c>
      <c r="BM73" s="161"/>
      <c r="BN73" s="160"/>
      <c r="BO73" s="160"/>
      <c r="BP73" s="144"/>
      <c r="BQ73" s="109">
        <f>BQ72-BL72</f>
        <v>433.14419712525705</v>
      </c>
      <c r="BR73" s="758"/>
      <c r="BS73" s="553"/>
      <c r="BT73" s="553"/>
      <c r="BU73" s="553"/>
      <c r="BV73" s="553"/>
      <c r="BW73" s="553"/>
      <c r="BX73" s="553"/>
      <c r="BY73" s="553"/>
      <c r="BZ73" s="553"/>
      <c r="CA73" s="553"/>
      <c r="CB73" s="553"/>
      <c r="CC73" s="553"/>
      <c r="CD73" s="553"/>
      <c r="CE73" s="553"/>
      <c r="CF73" s="553"/>
      <c r="CG73" s="553"/>
      <c r="CH73" s="553"/>
      <c r="CI73" s="553"/>
      <c r="CJ73" s="553"/>
      <c r="CK73" s="553"/>
      <c r="CL73" s="553"/>
      <c r="CM73" s="553"/>
      <c r="CN73" s="553"/>
      <c r="CO73" s="553"/>
      <c r="CP73" s="553"/>
      <c r="CQ73" s="553"/>
      <c r="CR73" s="553"/>
      <c r="CS73" s="553"/>
      <c r="CT73" s="553"/>
      <c r="CU73" s="553"/>
      <c r="CV73" s="553"/>
      <c r="CW73" s="553"/>
      <c r="CX73" s="553"/>
      <c r="CY73" s="553"/>
      <c r="CZ73" s="553"/>
    </row>
    <row r="74" spans="1:104">
      <c r="A74" s="553"/>
      <c r="B74" s="553"/>
      <c r="C74" s="553"/>
      <c r="D74" s="553"/>
      <c r="E74" s="182"/>
      <c r="F74" s="183"/>
      <c r="G74" s="183"/>
      <c r="H74" s="184"/>
      <c r="I74" s="767"/>
      <c r="J74" s="182"/>
      <c r="K74" s="183"/>
      <c r="L74" s="671"/>
      <c r="M74" s="231"/>
      <c r="N74" s="759"/>
      <c r="O74" s="229"/>
      <c r="P74" s="671"/>
      <c r="Q74" s="671"/>
      <c r="R74" s="231"/>
      <c r="S74" s="759"/>
      <c r="T74" s="368"/>
      <c r="U74" s="698"/>
      <c r="V74" s="698"/>
      <c r="W74" s="233"/>
      <c r="X74" s="758"/>
      <c r="Y74" s="368"/>
      <c r="Z74" s="698"/>
      <c r="AA74" s="698"/>
      <c r="AB74" s="233"/>
      <c r="AC74" s="758"/>
      <c r="AD74" s="368"/>
      <c r="AE74" s="698"/>
      <c r="AF74" s="698"/>
      <c r="AG74" s="233"/>
      <c r="AH74" s="758"/>
      <c r="AI74" s="368"/>
      <c r="AJ74" s="698"/>
      <c r="AK74" s="698"/>
      <c r="AL74" s="233"/>
      <c r="AM74" s="758"/>
      <c r="AN74" s="368"/>
      <c r="AO74" s="698"/>
      <c r="AP74" s="698"/>
      <c r="AQ74" s="1569"/>
      <c r="AR74" s="758"/>
      <c r="AS74" s="368"/>
      <c r="AT74" s="698"/>
      <c r="AU74" s="698"/>
      <c r="AV74" s="1569"/>
      <c r="AW74" s="758"/>
      <c r="AX74" s="368"/>
      <c r="AY74" s="698"/>
      <c r="AZ74" s="698"/>
      <c r="BA74" s="233"/>
      <c r="BB74" s="758"/>
      <c r="BC74" s="368"/>
      <c r="BD74" s="698"/>
      <c r="BE74" s="698"/>
      <c r="BF74" s="233"/>
      <c r="BG74" s="758"/>
      <c r="BH74" s="368"/>
      <c r="BI74" s="698"/>
      <c r="BJ74" s="698"/>
      <c r="BK74" s="233"/>
      <c r="BL74" s="758"/>
      <c r="BM74" s="368"/>
      <c r="BN74" s="698"/>
      <c r="BO74" s="698"/>
      <c r="BP74" s="233"/>
      <c r="BQ74" s="758"/>
      <c r="BR74" s="758"/>
      <c r="BS74" s="553"/>
      <c r="BT74" s="553"/>
      <c r="BU74" s="553"/>
      <c r="BV74" s="553"/>
      <c r="BW74" s="553"/>
      <c r="BX74" s="553"/>
      <c r="BY74" s="553"/>
      <c r="BZ74" s="553"/>
      <c r="CA74" s="553"/>
      <c r="CB74" s="553"/>
      <c r="CC74" s="553"/>
      <c r="CD74" s="553"/>
      <c r="CE74" s="553"/>
      <c r="CF74" s="553"/>
      <c r="CG74" s="553"/>
      <c r="CH74" s="553"/>
      <c r="CI74" s="553"/>
      <c r="CJ74" s="553"/>
      <c r="CK74" s="553"/>
      <c r="CL74" s="553"/>
      <c r="CM74" s="553"/>
      <c r="CN74" s="553"/>
      <c r="CO74" s="553"/>
      <c r="CP74" s="553"/>
      <c r="CQ74" s="553"/>
      <c r="CR74" s="553"/>
      <c r="CS74" s="553"/>
      <c r="CT74" s="553"/>
      <c r="CU74" s="553"/>
      <c r="CV74" s="553"/>
      <c r="CW74" s="553"/>
      <c r="CX74" s="553"/>
      <c r="CY74" s="553"/>
      <c r="CZ74" s="553"/>
    </row>
    <row r="75" spans="1:104">
      <c r="A75" s="553"/>
      <c r="B75" s="553"/>
      <c r="C75" s="553" t="s">
        <v>237</v>
      </c>
      <c r="D75" s="553"/>
      <c r="E75" s="182"/>
      <c r="F75" s="183"/>
      <c r="G75" s="183"/>
      <c r="H75" s="184"/>
      <c r="I75" s="767"/>
      <c r="J75" s="182"/>
      <c r="K75" s="183"/>
      <c r="L75" s="671"/>
      <c r="M75" s="231"/>
      <c r="N75" s="759"/>
      <c r="O75" s="229"/>
      <c r="P75" s="671"/>
      <c r="Q75" s="671"/>
      <c r="R75" s="231"/>
      <c r="S75" s="759"/>
      <c r="T75" s="229"/>
      <c r="U75" s="671"/>
      <c r="V75" s="671"/>
      <c r="W75" s="231"/>
      <c r="X75">
        <v>0.5</v>
      </c>
      <c r="Y75" s="229">
        <f>AC75</f>
        <v>0.5</v>
      </c>
      <c r="Z75" s="671">
        <f>AC75</f>
        <v>0.5</v>
      </c>
      <c r="AA75" s="671">
        <f>AC75</f>
        <v>0.5</v>
      </c>
      <c r="AB75" s="231">
        <f>AC75</f>
        <v>0.5</v>
      </c>
      <c r="AC75">
        <v>0.5</v>
      </c>
      <c r="AD75" s="229">
        <f>AH75</f>
        <v>0.49784762393867826</v>
      </c>
      <c r="AE75" s="671">
        <f>AH75</f>
        <v>0.49784762393867826</v>
      </c>
      <c r="AF75" s="671">
        <f>AH75</f>
        <v>0.49784762393867826</v>
      </c>
      <c r="AG75" s="231">
        <f>AH75</f>
        <v>0.49784762393867826</v>
      </c>
      <c r="AH75" s="759">
        <f>(AC78/AC67)/AC61</f>
        <v>0.49784762393867826</v>
      </c>
      <c r="AI75" s="229">
        <f>AM75</f>
        <v>0.6097971361833997</v>
      </c>
      <c r="AJ75" s="671">
        <f>AM75</f>
        <v>0.6097971361833997</v>
      </c>
      <c r="AK75" s="671">
        <f>AM75</f>
        <v>0.6097971361833997</v>
      </c>
      <c r="AL75" s="231">
        <f>AM75</f>
        <v>0.6097971361833997</v>
      </c>
      <c r="AM75" s="759">
        <f>(AH78/AH67)/AH61</f>
        <v>0.6097971361833997</v>
      </c>
      <c r="AN75" s="229">
        <f>AR75</f>
        <v>0.44671791959295926</v>
      </c>
      <c r="AO75" s="671">
        <f>AR75</f>
        <v>0.44671791959295926</v>
      </c>
      <c r="AP75" s="671">
        <f>AR75</f>
        <v>0.44671791959295926</v>
      </c>
      <c r="AQ75" s="231">
        <f>AR75</f>
        <v>0.44671791959295926</v>
      </c>
      <c r="AR75" s="759">
        <f>(AM78/AM67)/AM61</f>
        <v>0.44671791959295926</v>
      </c>
      <c r="AS75" s="229">
        <f>AW75</f>
        <v>0.46189617470664457</v>
      </c>
      <c r="AT75" s="671">
        <f>AW75</f>
        <v>0.46189617470664457</v>
      </c>
      <c r="AU75" s="671">
        <f>AW75</f>
        <v>0.46189617470664457</v>
      </c>
      <c r="AV75" s="231">
        <f>AW75</f>
        <v>0.46189617470664457</v>
      </c>
      <c r="AW75" s="759">
        <f>(AR78/AR67)/AR61</f>
        <v>0.46189617470664457</v>
      </c>
      <c r="AX75" s="229">
        <f>BB75</f>
        <v>0.45</v>
      </c>
      <c r="AY75" s="671">
        <f>BB75</f>
        <v>0.45</v>
      </c>
      <c r="AZ75" s="671">
        <f>BB75</f>
        <v>0.45</v>
      </c>
      <c r="BA75" s="231">
        <f>BB75</f>
        <v>0.45</v>
      </c>
      <c r="BB75" s="759">
        <f>$BU$51</f>
        <v>0.45</v>
      </c>
      <c r="BC75" s="229">
        <f>BG75</f>
        <v>0.45</v>
      </c>
      <c r="BD75" s="671">
        <f>BG75</f>
        <v>0.45</v>
      </c>
      <c r="BE75" s="671">
        <f>BG75</f>
        <v>0.45</v>
      </c>
      <c r="BF75" s="231">
        <f>BG75</f>
        <v>0.45</v>
      </c>
      <c r="BG75" s="759">
        <f>$BU$51</f>
        <v>0.45</v>
      </c>
      <c r="BH75" s="229">
        <f>BL75</f>
        <v>0.48</v>
      </c>
      <c r="BI75" s="671">
        <f>BL75</f>
        <v>0.48</v>
      </c>
      <c r="BJ75" s="671">
        <f>BL75</f>
        <v>0.48</v>
      </c>
      <c r="BK75" s="231">
        <f>BL75</f>
        <v>0.48</v>
      </c>
      <c r="BL75" s="1908">
        <v>0.48</v>
      </c>
      <c r="BM75" s="229">
        <f>BQ75</f>
        <v>0.48</v>
      </c>
      <c r="BN75" s="671">
        <f>BQ75</f>
        <v>0.48</v>
      </c>
      <c r="BO75" s="671">
        <f>BQ75</f>
        <v>0.48</v>
      </c>
      <c r="BP75" s="231">
        <f>BQ75</f>
        <v>0.48</v>
      </c>
      <c r="BQ75" s="1908">
        <f>BL75</f>
        <v>0.48</v>
      </c>
      <c r="BR75" s="759"/>
      <c r="BS75" s="553"/>
      <c r="BT75" s="553"/>
      <c r="BU75" s="553"/>
      <c r="BV75" s="553"/>
      <c r="BW75" s="553"/>
      <c r="BX75" s="553"/>
      <c r="BY75" s="553"/>
      <c r="BZ75" s="553"/>
      <c r="CA75" s="553"/>
      <c r="CB75" s="553"/>
      <c r="CC75" s="553"/>
      <c r="CD75" s="553"/>
      <c r="CE75" s="553"/>
      <c r="CF75" s="553"/>
      <c r="CG75" s="553"/>
      <c r="CH75" s="553"/>
      <c r="CI75" s="553"/>
      <c r="CJ75" s="553"/>
      <c r="CK75" s="553"/>
      <c r="CL75" s="553"/>
      <c r="CM75" s="553"/>
      <c r="CN75" s="553"/>
      <c r="CO75" s="553"/>
      <c r="CP75" s="553"/>
      <c r="CQ75" s="553"/>
      <c r="CR75" s="553"/>
      <c r="CS75" s="553"/>
      <c r="CT75" s="553"/>
      <c r="CU75" s="553"/>
      <c r="CV75" s="553"/>
      <c r="CW75" s="553"/>
      <c r="CX75" s="553"/>
      <c r="CY75" s="553"/>
      <c r="CZ75" s="553"/>
    </row>
    <row r="76" spans="1:104">
      <c r="A76" s="553"/>
      <c r="B76" s="553"/>
      <c r="C76" s="553" t="s">
        <v>295</v>
      </c>
      <c r="D76" s="553"/>
      <c r="E76" s="182"/>
      <c r="F76" s="183"/>
      <c r="G76" s="183"/>
      <c r="H76" s="184"/>
      <c r="I76" s="767"/>
      <c r="J76" s="182"/>
      <c r="K76" s="183"/>
      <c r="L76" s="671"/>
      <c r="M76" s="231"/>
      <c r="N76" s="759"/>
      <c r="O76" s="229"/>
      <c r="P76" s="671"/>
      <c r="Q76" s="671"/>
      <c r="R76" s="231"/>
      <c r="S76" s="759"/>
      <c r="T76" s="229"/>
      <c r="U76" s="671"/>
      <c r="V76" s="671"/>
      <c r="W76" s="231"/>
      <c r="X76" s="759">
        <f>(1-X75)</f>
        <v>0.5</v>
      </c>
      <c r="Y76" s="229">
        <f>(1-Y75)</f>
        <v>0.5</v>
      </c>
      <c r="Z76" s="671">
        <f>(1-Z75)</f>
        <v>0.5</v>
      </c>
      <c r="AA76" s="671">
        <f>(1-AA75)</f>
        <v>0.5</v>
      </c>
      <c r="AB76" s="231">
        <f>(1-AB75)</f>
        <v>0.5</v>
      </c>
      <c r="AC76" s="759">
        <f t="shared" ref="AC76:AH76" si="101">(1-AC75)</f>
        <v>0.5</v>
      </c>
      <c r="AD76" s="229">
        <f t="shared" si="101"/>
        <v>0.50215237606132179</v>
      </c>
      <c r="AE76" s="671">
        <f t="shared" si="101"/>
        <v>0.50215237606132179</v>
      </c>
      <c r="AF76" s="671">
        <f t="shared" si="101"/>
        <v>0.50215237606132179</v>
      </c>
      <c r="AG76" s="231">
        <f t="shared" si="101"/>
        <v>0.50215237606132179</v>
      </c>
      <c r="AH76" s="759">
        <f t="shared" si="101"/>
        <v>0.50215237606132179</v>
      </c>
      <c r="AI76" s="229">
        <f t="shared" ref="AI76:AN76" si="102">(1-AI75)</f>
        <v>0.3902028638166003</v>
      </c>
      <c r="AJ76" s="671">
        <f t="shared" si="102"/>
        <v>0.3902028638166003</v>
      </c>
      <c r="AK76" s="671">
        <f t="shared" si="102"/>
        <v>0.3902028638166003</v>
      </c>
      <c r="AL76" s="231">
        <f t="shared" si="102"/>
        <v>0.3902028638166003</v>
      </c>
      <c r="AM76" s="759">
        <f t="shared" si="102"/>
        <v>0.3902028638166003</v>
      </c>
      <c r="AN76" s="229">
        <f t="shared" si="102"/>
        <v>0.55328208040704074</v>
      </c>
      <c r="AO76" s="671">
        <f t="shared" ref="AO76:AT76" si="103">(1-AO75)</f>
        <v>0.55328208040704074</v>
      </c>
      <c r="AP76" s="1868">
        <f t="shared" si="103"/>
        <v>0.55328208040704074</v>
      </c>
      <c r="AQ76" s="1561">
        <f t="shared" si="103"/>
        <v>0.55328208040704074</v>
      </c>
      <c r="AR76" s="759">
        <f t="shared" si="103"/>
        <v>0.55328208040704074</v>
      </c>
      <c r="AS76" s="229">
        <f t="shared" si="103"/>
        <v>0.53810382529335543</v>
      </c>
      <c r="AT76" s="671">
        <f t="shared" si="103"/>
        <v>0.53810382529335543</v>
      </c>
      <c r="AU76" s="671">
        <f>(1-AU75)</f>
        <v>0.53810382529335543</v>
      </c>
      <c r="AV76" s="1561">
        <f t="shared" ref="AV76:AW76" si="104">(1-AV75)</f>
        <v>0.53810382529335543</v>
      </c>
      <c r="AW76" s="759">
        <f t="shared" si="104"/>
        <v>0.53810382529335543</v>
      </c>
      <c r="AX76" s="229">
        <f t="shared" ref="AX76:BL76" si="105">(1-AX75)</f>
        <v>0.55000000000000004</v>
      </c>
      <c r="AY76" s="671">
        <f t="shared" si="105"/>
        <v>0.55000000000000004</v>
      </c>
      <c r="AZ76" s="671">
        <f t="shared" si="105"/>
        <v>0.55000000000000004</v>
      </c>
      <c r="BA76" s="231">
        <f t="shared" si="105"/>
        <v>0.55000000000000004</v>
      </c>
      <c r="BB76" s="759">
        <f t="shared" si="105"/>
        <v>0.55000000000000004</v>
      </c>
      <c r="BC76" s="229">
        <f t="shared" si="105"/>
        <v>0.55000000000000004</v>
      </c>
      <c r="BD76" s="671">
        <f t="shared" si="105"/>
        <v>0.55000000000000004</v>
      </c>
      <c r="BE76" s="671">
        <f t="shared" si="105"/>
        <v>0.55000000000000004</v>
      </c>
      <c r="BF76" s="231">
        <f t="shared" si="105"/>
        <v>0.55000000000000004</v>
      </c>
      <c r="BG76" s="759">
        <f t="shared" si="105"/>
        <v>0.55000000000000004</v>
      </c>
      <c r="BH76" s="229">
        <f t="shared" si="105"/>
        <v>0.52</v>
      </c>
      <c r="BI76" s="671">
        <f t="shared" si="105"/>
        <v>0.52</v>
      </c>
      <c r="BJ76" s="671">
        <f t="shared" si="105"/>
        <v>0.52</v>
      </c>
      <c r="BK76" s="231">
        <f t="shared" si="105"/>
        <v>0.52</v>
      </c>
      <c r="BL76" s="759">
        <f t="shared" si="105"/>
        <v>0.52</v>
      </c>
      <c r="BM76" s="229">
        <f>(1-BM75)</f>
        <v>0.52</v>
      </c>
      <c r="BN76" s="671">
        <f>(1-BN75)</f>
        <v>0.52</v>
      </c>
      <c r="BO76" s="671">
        <f>(1-BO75)</f>
        <v>0.52</v>
      </c>
      <c r="BP76" s="231">
        <f>(1-BP75)</f>
        <v>0.52</v>
      </c>
      <c r="BQ76" s="759">
        <f>(1-BQ75)</f>
        <v>0.52</v>
      </c>
      <c r="BR76" s="759"/>
      <c r="BS76" s="553"/>
      <c r="BT76" s="553"/>
      <c r="BU76" s="553"/>
      <c r="BV76" s="553"/>
      <c r="BW76" s="553"/>
      <c r="BX76" s="553"/>
      <c r="BY76" s="553"/>
      <c r="BZ76" s="553"/>
      <c r="CA76" s="553"/>
      <c r="CB76" s="553"/>
      <c r="CC76" s="553"/>
      <c r="CD76" s="553"/>
      <c r="CE76" s="553"/>
      <c r="CF76" s="553"/>
      <c r="CG76" s="553"/>
      <c r="CH76" s="553"/>
      <c r="CI76" s="553"/>
      <c r="CJ76" s="553"/>
      <c r="CK76" s="553"/>
      <c r="CL76" s="553"/>
      <c r="CM76" s="553"/>
      <c r="CN76" s="553"/>
      <c r="CO76" s="553"/>
      <c r="CP76" s="553"/>
      <c r="CQ76" s="553"/>
      <c r="CR76" s="553"/>
      <c r="CS76" s="553"/>
      <c r="CT76" s="553"/>
      <c r="CU76" s="553"/>
      <c r="CV76" s="553"/>
      <c r="CW76" s="553"/>
      <c r="CX76" s="553"/>
      <c r="CY76" s="553"/>
      <c r="CZ76" s="553"/>
    </row>
    <row r="77" spans="1:104">
      <c r="A77" s="553"/>
      <c r="B77" s="553"/>
      <c r="C77" s="553"/>
      <c r="D77" s="553"/>
      <c r="E77" s="225"/>
      <c r="F77" s="604"/>
      <c r="G77" s="604"/>
      <c r="H77" s="227"/>
      <c r="I77" s="571"/>
      <c r="J77" s="229"/>
      <c r="K77" s="671"/>
      <c r="L77" s="671"/>
      <c r="M77" s="231"/>
      <c r="N77" s="758"/>
      <c r="O77" s="368"/>
      <c r="P77" s="698"/>
      <c r="Q77" s="698"/>
      <c r="R77" s="233"/>
      <c r="S77" s="758"/>
      <c r="T77" s="368"/>
      <c r="U77" s="698"/>
      <c r="V77" s="698"/>
      <c r="W77" s="233"/>
      <c r="X77" s="758"/>
      <c r="Y77" s="368"/>
      <c r="Z77" s="698"/>
      <c r="AA77" s="698"/>
      <c r="AB77" s="233"/>
      <c r="AC77" s="758"/>
      <c r="AD77" s="368"/>
      <c r="AE77" s="698"/>
      <c r="AF77" s="698"/>
      <c r="AG77" s="233"/>
      <c r="AH77" s="758"/>
      <c r="AI77" s="368"/>
      <c r="AJ77" s="698"/>
      <c r="AK77" s="698"/>
      <c r="AL77" s="233"/>
      <c r="AM77" s="758"/>
      <c r="AN77" s="368"/>
      <c r="AO77" s="698"/>
      <c r="AP77" s="698"/>
      <c r="AQ77" s="1569"/>
      <c r="AR77" s="758"/>
      <c r="AS77" s="368"/>
      <c r="AT77" s="698"/>
      <c r="AU77" s="698"/>
      <c r="AV77" s="1569"/>
      <c r="AW77" s="758"/>
      <c r="AX77" s="368"/>
      <c r="AY77" s="698"/>
      <c r="AZ77" s="698"/>
      <c r="BA77" s="233"/>
      <c r="BB77" s="758"/>
      <c r="BC77" s="368"/>
      <c r="BD77" s="698"/>
      <c r="BE77" s="698"/>
      <c r="BF77" s="233"/>
      <c r="BG77" s="758"/>
      <c r="BH77" s="368"/>
      <c r="BI77" s="698"/>
      <c r="BJ77" s="698"/>
      <c r="BK77" s="233"/>
      <c r="BL77" s="758"/>
      <c r="BM77" s="368"/>
      <c r="BN77" s="698"/>
      <c r="BO77" s="698"/>
      <c r="BP77" s="233"/>
      <c r="BQ77" s="758"/>
      <c r="BR77" s="758"/>
      <c r="BS77" s="553"/>
      <c r="BT77" s="553"/>
      <c r="BU77" s="553"/>
      <c r="BV77" s="553"/>
      <c r="BW77" s="553"/>
      <c r="BX77" s="553"/>
      <c r="BY77" s="553"/>
      <c r="BZ77" s="553"/>
      <c r="CA77" s="553"/>
      <c r="CB77" s="553"/>
      <c r="CC77" s="553"/>
      <c r="CD77" s="553"/>
      <c r="CE77" s="553"/>
      <c r="CF77" s="553"/>
      <c r="CG77" s="553"/>
      <c r="CH77" s="553"/>
      <c r="CI77" s="553"/>
      <c r="CJ77" s="553"/>
      <c r="CK77" s="553"/>
      <c r="CL77" s="553"/>
      <c r="CM77" s="553"/>
      <c r="CN77" s="553"/>
      <c r="CO77" s="553"/>
      <c r="CP77" s="553"/>
      <c r="CQ77" s="553"/>
      <c r="CR77" s="553"/>
      <c r="CS77" s="553"/>
      <c r="CT77" s="553"/>
      <c r="CU77" s="553"/>
      <c r="CV77" s="553"/>
      <c r="CW77" s="553"/>
      <c r="CX77" s="553"/>
      <c r="CY77" s="553"/>
      <c r="CZ77" s="553"/>
    </row>
    <row r="78" spans="1:104">
      <c r="A78" s="553"/>
      <c r="B78" s="553"/>
      <c r="C78" s="553" t="s">
        <v>78</v>
      </c>
      <c r="D78" s="553"/>
      <c r="E78" s="161"/>
      <c r="F78" s="162"/>
      <c r="G78" s="162"/>
      <c r="H78" s="144"/>
      <c r="I78" s="546"/>
      <c r="J78" s="161"/>
      <c r="K78" s="162"/>
      <c r="L78" s="162"/>
      <c r="M78" s="144"/>
      <c r="N78" s="546"/>
      <c r="O78" s="161"/>
      <c r="P78" s="162"/>
      <c r="Q78" s="162"/>
      <c r="R78" s="144"/>
      <c r="S78" s="546"/>
      <c r="T78" s="161"/>
      <c r="U78" s="162"/>
      <c r="V78" s="162"/>
      <c r="W78" s="144"/>
      <c r="X78" s="546">
        <f>X61*X67*X75</f>
        <v>40.063172408981053</v>
      </c>
      <c r="Y78" s="256">
        <f>Y30</f>
        <v>12</v>
      </c>
      <c r="Z78" s="572">
        <f>Z30</f>
        <v>19</v>
      </c>
      <c r="AA78" s="572">
        <f>AA30</f>
        <v>22</v>
      </c>
      <c r="AB78" s="151">
        <f>AB30</f>
        <v>27</v>
      </c>
      <c r="AC78" s="573">
        <f>SUM(Y78:AB78)</f>
        <v>80</v>
      </c>
      <c r="AD78" s="256">
        <f>AD30</f>
        <v>24</v>
      </c>
      <c r="AE78" s="572">
        <f>AE30</f>
        <v>47</v>
      </c>
      <c r="AF78" s="572">
        <f>AF30</f>
        <v>43</v>
      </c>
      <c r="AG78" s="151">
        <f>AG30</f>
        <v>37</v>
      </c>
      <c r="AH78" s="573">
        <f>SUM(AD78:AG78)</f>
        <v>151</v>
      </c>
      <c r="AI78" s="256">
        <f>AI32</f>
        <v>36</v>
      </c>
      <c r="AJ78" s="572">
        <f>AJ32</f>
        <v>65</v>
      </c>
      <c r="AK78" s="572">
        <f>AK32</f>
        <v>46</v>
      </c>
      <c r="AL78" s="151">
        <f>AL32</f>
        <v>44.199999999999989</v>
      </c>
      <c r="AM78" s="573">
        <f>SUM(AI78:AL78)</f>
        <v>191.2</v>
      </c>
      <c r="AN78" s="256">
        <f>AN32</f>
        <v>43.9</v>
      </c>
      <c r="AO78" s="572">
        <f>AO32</f>
        <v>94.6</v>
      </c>
      <c r="AP78" s="572">
        <f>AP32</f>
        <v>69</v>
      </c>
      <c r="AQ78" s="151">
        <f>AQ32</f>
        <v>58.800000000000018</v>
      </c>
      <c r="AR78" s="573">
        <f>SUM(AN78:AQ78)</f>
        <v>266.3</v>
      </c>
      <c r="AS78" s="256">
        <f>AS30</f>
        <v>71.8</v>
      </c>
      <c r="AT78" s="572">
        <f>AT32</f>
        <v>128.4</v>
      </c>
      <c r="AU78" s="572">
        <f>AU32</f>
        <v>75.5</v>
      </c>
      <c r="AV78" s="151">
        <f>AV32</f>
        <v>78.500000000000014</v>
      </c>
      <c r="AW78" s="573">
        <f>SUM(AS78:AV78)</f>
        <v>354.2</v>
      </c>
      <c r="AX78" s="161">
        <f>BB78*AS79</f>
        <v>73.975566580172639</v>
      </c>
      <c r="AY78" s="162">
        <f>BB78*AT79</f>
        <v>132.29056753334498</v>
      </c>
      <c r="AZ78" s="162">
        <f>BB78*AU79</f>
        <v>77.787677949902985</v>
      </c>
      <c r="BA78" s="144">
        <f>BB78*AV79</f>
        <v>80.878579060495184</v>
      </c>
      <c r="BB78" s="546">
        <f>BB62*BB67*BB75</f>
        <v>364.93239112391575</v>
      </c>
      <c r="BC78" s="161">
        <f>BG78*AS79</f>
        <v>83.121782372428555</v>
      </c>
      <c r="BD78" s="162">
        <f>BG78*AT79</f>
        <v>148.64675287771348</v>
      </c>
      <c r="BE78" s="162">
        <f>BG78*AU79</f>
        <v>87.405216840088528</v>
      </c>
      <c r="BF78" s="144">
        <f>BG78*AV79</f>
        <v>90.878271813866903</v>
      </c>
      <c r="BG78" s="546">
        <f>BG62*BG67*BG75</f>
        <v>410.05202390409744</v>
      </c>
      <c r="BH78" s="161">
        <f>BL78*AS79</f>
        <v>97.057282564156878</v>
      </c>
      <c r="BI78" s="162">
        <f>BL78*AT79</f>
        <v>173.56761951584602</v>
      </c>
      <c r="BJ78" s="162">
        <f>BL78*AU79</f>
        <v>102.05884169350757</v>
      </c>
      <c r="BK78" s="144">
        <f>BL78*AV79</f>
        <v>106.11415990649466</v>
      </c>
      <c r="BL78" s="546">
        <f>BL62*BL67*BL75</f>
        <v>478.79790368000511</v>
      </c>
      <c r="BM78" s="161">
        <f>BQ78*AS79</f>
        <v>105.00011328374715</v>
      </c>
      <c r="BN78" s="162">
        <f>BQ78*AT79</f>
        <v>187.77179032915234</v>
      </c>
      <c r="BO78" s="162">
        <f>BQ78*AU79</f>
        <v>110.41098263123831</v>
      </c>
      <c r="BP78" s="144">
        <f>BQ78*AV79</f>
        <v>114.79817399406899</v>
      </c>
      <c r="BQ78" s="546">
        <f>BQ62*BQ67*BQ75</f>
        <v>517.98106023820674</v>
      </c>
      <c r="BR78" s="546"/>
      <c r="BS78" s="553"/>
      <c r="BT78" s="553"/>
      <c r="BU78" s="553"/>
      <c r="BV78" s="553"/>
      <c r="BW78" s="553"/>
      <c r="BX78" s="553"/>
      <c r="BY78" s="553"/>
      <c r="BZ78" s="553"/>
      <c r="CA78" s="553"/>
      <c r="CB78" s="553"/>
      <c r="CC78" s="553"/>
      <c r="CD78" s="553"/>
      <c r="CE78" s="553"/>
      <c r="CF78" s="553"/>
      <c r="CG78" s="553"/>
      <c r="CH78" s="553"/>
      <c r="CI78" s="553"/>
      <c r="CJ78" s="553"/>
      <c r="CK78" s="553"/>
      <c r="CL78" s="553"/>
      <c r="CM78" s="553"/>
      <c r="CN78" s="553"/>
      <c r="CO78" s="553"/>
      <c r="CP78" s="553"/>
      <c r="CQ78" s="553"/>
      <c r="CR78" s="553"/>
      <c r="CS78" s="553"/>
      <c r="CT78" s="553"/>
      <c r="CU78" s="553"/>
      <c r="CV78" s="553"/>
      <c r="CW78" s="553"/>
      <c r="CX78" s="553"/>
      <c r="CY78" s="553"/>
      <c r="CZ78" s="553"/>
    </row>
    <row r="79" spans="1:104">
      <c r="A79" s="553"/>
      <c r="B79" s="553"/>
      <c r="C79" s="553"/>
      <c r="D79" s="553"/>
      <c r="E79" s="225"/>
      <c r="F79" s="604"/>
      <c r="G79" s="604"/>
      <c r="H79" s="227"/>
      <c r="I79" s="571"/>
      <c r="J79" s="225"/>
      <c r="K79" s="604"/>
      <c r="L79" s="604"/>
      <c r="M79" s="227"/>
      <c r="N79" s="571"/>
      <c r="O79" s="225"/>
      <c r="P79" s="604"/>
      <c r="Q79" s="604"/>
      <c r="R79" s="227"/>
      <c r="S79" s="571"/>
      <c r="T79" s="225"/>
      <c r="U79" s="604"/>
      <c r="V79" s="604"/>
      <c r="W79" s="227"/>
      <c r="X79" s="571"/>
      <c r="Y79" s="483">
        <f>Y78/$AC$78</f>
        <v>0.15</v>
      </c>
      <c r="Z79" s="651">
        <f>Z78/$AC$78</f>
        <v>0.23749999999999999</v>
      </c>
      <c r="AA79" s="651">
        <f>AA78/$AC$78</f>
        <v>0.27500000000000002</v>
      </c>
      <c r="AB79" s="485">
        <f>AB78/$AC$78</f>
        <v>0.33750000000000002</v>
      </c>
      <c r="AC79" s="571"/>
      <c r="AD79" s="483">
        <f>AD78/$AH$78</f>
        <v>0.15894039735099338</v>
      </c>
      <c r="AE79" s="651">
        <f>AE78/$AH$78</f>
        <v>0.31125827814569534</v>
      </c>
      <c r="AF79" s="651">
        <f>AF78/$AH$78</f>
        <v>0.28476821192052981</v>
      </c>
      <c r="AG79" s="485">
        <f>AG78/$AH$78</f>
        <v>0.24503311258278146</v>
      </c>
      <c r="AH79" s="571"/>
      <c r="AI79" s="274">
        <f>AI78/$AM$78</f>
        <v>0.1882845188284519</v>
      </c>
      <c r="AJ79" s="651">
        <f>AJ78/$AM$78</f>
        <v>0.33995815899581594</v>
      </c>
      <c r="AK79" s="651">
        <f>AK78/$AM$78</f>
        <v>0.24058577405857742</v>
      </c>
      <c r="AL79" s="276">
        <f>AL78/$AM$78</f>
        <v>0.23117154811715476</v>
      </c>
      <c r="AM79" s="571"/>
      <c r="AN79" s="274">
        <f>AN78/$AR$78</f>
        <v>0.16485167104769055</v>
      </c>
      <c r="AO79" s="651">
        <f>AO78/$AR$78</f>
        <v>0.35523845287269995</v>
      </c>
      <c r="AP79" s="651">
        <f>AP78/$AR$78</f>
        <v>0.25910627112279383</v>
      </c>
      <c r="AQ79" s="276">
        <f>AQ78/$AR$78</f>
        <v>0.22080360495681567</v>
      </c>
      <c r="AR79" s="571"/>
      <c r="AS79" s="483">
        <f>AS78/AW78</f>
        <v>0.20271033314511575</v>
      </c>
      <c r="AT79" s="651">
        <f>AT78/$AW$78</f>
        <v>0.36250705815923212</v>
      </c>
      <c r="AU79" s="651">
        <f>AU78/AW78</f>
        <v>0.21315640880858272</v>
      </c>
      <c r="AV79" s="276">
        <f>AV78/$AW$78</f>
        <v>0.2216261998870695</v>
      </c>
      <c r="AW79" s="571"/>
      <c r="AX79" s="225"/>
      <c r="AY79" s="604"/>
      <c r="AZ79" s="604"/>
      <c r="BA79" s="227"/>
      <c r="BB79" s="571"/>
      <c r="BC79" s="225"/>
      <c r="BD79" s="604"/>
      <c r="BE79" s="604"/>
      <c r="BF79" s="227"/>
      <c r="BG79" s="571"/>
      <c r="BH79" s="225"/>
      <c r="BI79" s="604"/>
      <c r="BJ79" s="604"/>
      <c r="BK79" s="227"/>
      <c r="BL79" s="571"/>
      <c r="BM79" s="225"/>
      <c r="BN79" s="604"/>
      <c r="BO79" s="604"/>
      <c r="BP79" s="227"/>
      <c r="BQ79" s="571"/>
      <c r="BR79" s="571"/>
      <c r="BS79" s="553"/>
      <c r="BT79" s="553"/>
      <c r="BU79" s="553"/>
      <c r="BV79" s="553"/>
      <c r="BW79" s="553"/>
      <c r="BX79" s="553"/>
      <c r="BY79" s="553"/>
      <c r="BZ79" s="553"/>
      <c r="CA79" s="553"/>
      <c r="CB79" s="553"/>
      <c r="CC79" s="553"/>
      <c r="CD79" s="553"/>
      <c r="CE79" s="553"/>
      <c r="CF79" s="553"/>
      <c r="CG79" s="553"/>
      <c r="CH79" s="553"/>
      <c r="CI79" s="553"/>
      <c r="CJ79" s="553"/>
      <c r="CK79" s="553"/>
      <c r="CL79" s="553"/>
      <c r="CM79" s="553"/>
      <c r="CN79" s="553"/>
      <c r="CO79" s="553"/>
      <c r="CP79" s="553"/>
      <c r="CQ79" s="553"/>
      <c r="CR79" s="553"/>
      <c r="CS79" s="553"/>
      <c r="CT79" s="553"/>
      <c r="CU79" s="553"/>
      <c r="CV79" s="553"/>
      <c r="CW79" s="553"/>
      <c r="CX79" s="553"/>
      <c r="CY79" s="553"/>
      <c r="CZ79" s="553"/>
    </row>
    <row r="80" spans="1:104">
      <c r="A80" s="553"/>
      <c r="B80" s="553"/>
      <c r="C80" s="553" t="s">
        <v>149</v>
      </c>
      <c r="D80" s="553"/>
      <c r="E80" s="161"/>
      <c r="F80" s="162"/>
      <c r="G80" s="162"/>
      <c r="H80" s="144"/>
      <c r="I80" s="546"/>
      <c r="J80" s="161"/>
      <c r="K80" s="162"/>
      <c r="L80" s="162"/>
      <c r="M80" s="144"/>
      <c r="N80" s="546"/>
      <c r="O80" s="161"/>
      <c r="P80" s="162"/>
      <c r="Q80" s="162"/>
      <c r="R80" s="144"/>
      <c r="S80" s="546"/>
      <c r="T80" s="161"/>
      <c r="U80" s="162"/>
      <c r="V80" s="162"/>
      <c r="W80" s="144"/>
      <c r="X80" s="546">
        <f>X24</f>
        <v>3</v>
      </c>
      <c r="Y80" s="161">
        <f t="shared" ref="Y80:AH80" si="106">Y24</f>
        <v>2.5</v>
      </c>
      <c r="Z80" s="162">
        <f t="shared" si="106"/>
        <v>2.5</v>
      </c>
      <c r="AA80" s="162">
        <f t="shared" si="106"/>
        <v>2.5</v>
      </c>
      <c r="AB80" s="144">
        <f t="shared" si="106"/>
        <v>2.5</v>
      </c>
      <c r="AC80" s="546">
        <f t="shared" si="106"/>
        <v>10</v>
      </c>
      <c r="AD80" s="161">
        <f t="shared" si="106"/>
        <v>5.75</v>
      </c>
      <c r="AE80" s="162">
        <f t="shared" si="106"/>
        <v>5.75</v>
      </c>
      <c r="AF80" s="162">
        <f t="shared" si="106"/>
        <v>5.75</v>
      </c>
      <c r="AG80" s="144">
        <f t="shared" si="106"/>
        <v>5.75</v>
      </c>
      <c r="AH80" s="546">
        <f t="shared" si="106"/>
        <v>23</v>
      </c>
      <c r="AI80" s="161">
        <f t="shared" ref="AI80:AN80" si="107">AI24</f>
        <v>9.3000000000000007</v>
      </c>
      <c r="AJ80" s="162">
        <f t="shared" si="107"/>
        <v>9.3000000000000007</v>
      </c>
      <c r="AK80" s="162">
        <f t="shared" si="107"/>
        <v>9.3000000000000007</v>
      </c>
      <c r="AL80" s="144">
        <f t="shared" si="107"/>
        <v>9.3000000000000007</v>
      </c>
      <c r="AM80" s="546">
        <f t="shared" si="107"/>
        <v>37.200000000000003</v>
      </c>
      <c r="AN80" s="161">
        <f t="shared" si="107"/>
        <v>11.8</v>
      </c>
      <c r="AO80" s="162">
        <f>AO24</f>
        <v>11.6</v>
      </c>
      <c r="AP80" s="1488">
        <f>(AP71*AP68+AP72*AP69)/4</f>
        <v>13.435015347877993</v>
      </c>
      <c r="AQ80" s="1487">
        <f>(AQ71*AQ68+AQ72*AQ69)/4</f>
        <v>16.521339340846907</v>
      </c>
      <c r="AR80" s="546">
        <f t="shared" ref="AR80" si="108">AR24</f>
        <v>50.3</v>
      </c>
      <c r="AS80" s="161">
        <f t="shared" ref="AS80" si="109">AS24</f>
        <v>17.3</v>
      </c>
      <c r="AT80" s="162">
        <f>AT24</f>
        <v>17.100000000000001</v>
      </c>
      <c r="AU80" s="162">
        <f t="shared" ref="AU80:AW80" si="110">AU24</f>
        <v>17.899999999999999</v>
      </c>
      <c r="AV80" s="1487">
        <f t="shared" si="110"/>
        <v>20.499999999999993</v>
      </c>
      <c r="AW80" s="546">
        <f t="shared" si="110"/>
        <v>72.8</v>
      </c>
      <c r="AX80" s="161">
        <f>(AX71*AX68+AX72*AX69)/4</f>
        <v>31.663475222575251</v>
      </c>
      <c r="AY80" s="162">
        <f>(AY71*AY68+AY72*AY69)/4</f>
        <v>33.294429919700505</v>
      </c>
      <c r="AZ80" s="162">
        <f>(AZ71*AZ68+AZ72*AZ69)/4</f>
        <v>34.795721340388397</v>
      </c>
      <c r="BA80" s="144">
        <f>(BA71*BA68+BA72*BA69)/4</f>
        <v>36.159786984638913</v>
      </c>
      <c r="BB80" s="546">
        <f>SUM(AX80:BA80)</f>
        <v>135.91341346730309</v>
      </c>
      <c r="BC80" s="161">
        <f>(BC71*BC68+BC72*BC69)/4</f>
        <v>37.930254066261099</v>
      </c>
      <c r="BD80" s="162">
        <f>(BD71*BD68+BD72*BD69)/4</f>
        <v>39.574997585254948</v>
      </c>
      <c r="BE80" s="162">
        <f>(BE71*BE68+BE72*BE69)/4</f>
        <v>41.089892541620458</v>
      </c>
      <c r="BF80" s="144">
        <f>(BF71*BF68+BF72*BF69)/4</f>
        <v>42.467376435357622</v>
      </c>
      <c r="BG80" s="546">
        <f>SUM(BC80:BF80)</f>
        <v>161.06252062849413</v>
      </c>
      <c r="BH80" s="161">
        <f>(BH71*BH68+BH72*BH69)/4</f>
        <v>40.426540475398681</v>
      </c>
      <c r="BI80" s="162">
        <f>(BI71*BI68+BI72*BI69)/4</f>
        <v>41.55346996718513</v>
      </c>
      <c r="BJ80" s="162">
        <f>(BJ71*BJ68+BJ72*BJ69)/4</f>
        <v>42.559052500552696</v>
      </c>
      <c r="BK80" s="144">
        <f>(BK71*BK68+BK72*BK69)/4</f>
        <v>43.436138075501361</v>
      </c>
      <c r="BL80" s="546">
        <f>SUM(BH80:BK80)</f>
        <v>167.97520101863788</v>
      </c>
      <c r="BM80" s="161">
        <f>(BM71*BM68+BM72*BM69)/4</f>
        <v>44.972339666877119</v>
      </c>
      <c r="BN80" s="162">
        <f>(BN71*BN68+BN72*BN69)/4</f>
        <v>46.389932274679992</v>
      </c>
      <c r="BO80" s="162">
        <f>(BO71*BO68+BO72*BO69)/4</f>
        <v>47.685015898909981</v>
      </c>
      <c r="BP80" s="144">
        <f>(BP71*BP68+BP72*BP69)/4</f>
        <v>48.850440539567074</v>
      </c>
      <c r="BQ80" s="546">
        <f>SUM(BM80:BP80)</f>
        <v>187.89772838003418</v>
      </c>
      <c r="BR80" s="546"/>
      <c r="BS80" s="553"/>
      <c r="BT80" s="553"/>
      <c r="BU80" s="553"/>
      <c r="BV80" s="553"/>
      <c r="BW80" s="553"/>
      <c r="BX80" s="553"/>
      <c r="BY80" s="553"/>
      <c r="BZ80" s="553"/>
      <c r="CA80" s="553"/>
      <c r="CB80" s="553"/>
      <c r="CC80" s="553"/>
      <c r="CD80" s="553"/>
      <c r="CE80" s="553"/>
      <c r="CF80" s="553"/>
      <c r="CG80" s="553"/>
      <c r="CH80" s="553"/>
      <c r="CI80" s="553"/>
      <c r="CJ80" s="553"/>
      <c r="CK80" s="553"/>
      <c r="CL80" s="553"/>
      <c r="CM80" s="553"/>
      <c r="CN80" s="553"/>
      <c r="CO80" s="553"/>
      <c r="CP80" s="553"/>
      <c r="CQ80" s="553"/>
      <c r="CR80" s="553"/>
      <c r="CS80" s="553"/>
      <c r="CT80" s="553"/>
      <c r="CU80" s="553"/>
      <c r="CV80" s="553"/>
      <c r="CW80" s="553"/>
      <c r="CX80" s="553"/>
      <c r="CY80" s="553"/>
      <c r="CZ80" s="553"/>
    </row>
    <row r="81" spans="1:104">
      <c r="A81" s="553"/>
      <c r="B81" s="553"/>
      <c r="C81" s="553"/>
      <c r="D81" s="553"/>
      <c r="E81" s="225"/>
      <c r="F81" s="604"/>
      <c r="G81" s="604"/>
      <c r="H81" s="227"/>
      <c r="I81" s="571"/>
      <c r="J81" s="225"/>
      <c r="K81" s="604"/>
      <c r="L81" s="604"/>
      <c r="M81" s="227"/>
      <c r="N81" s="571"/>
      <c r="O81" s="225"/>
      <c r="P81" s="604"/>
      <c r="Q81" s="604"/>
      <c r="R81" s="227"/>
      <c r="S81" s="571"/>
      <c r="T81" s="225"/>
      <c r="U81" s="604"/>
      <c r="V81" s="604"/>
      <c r="W81" s="227"/>
      <c r="X81" s="571"/>
      <c r="Y81" s="225"/>
      <c r="Z81" s="604"/>
      <c r="AA81" s="604"/>
      <c r="AB81" s="227"/>
      <c r="AC81" s="571"/>
      <c r="AD81" s="225"/>
      <c r="AE81" s="604"/>
      <c r="AF81" s="604"/>
      <c r="AG81" s="227"/>
      <c r="AH81" s="571"/>
      <c r="AI81" s="225"/>
      <c r="AJ81" s="604"/>
      <c r="AK81" s="604"/>
      <c r="AL81" s="227"/>
      <c r="AM81" s="571"/>
      <c r="AN81" s="225"/>
      <c r="AO81" s="604"/>
      <c r="AP81" s="604"/>
      <c r="AQ81" s="227"/>
      <c r="AR81" s="571"/>
      <c r="AS81" s="225"/>
      <c r="AT81" s="604"/>
      <c r="AU81" s="604"/>
      <c r="AV81" s="227"/>
      <c r="AW81" s="571"/>
      <c r="AX81" s="225"/>
      <c r="AY81" s="604"/>
      <c r="AZ81" s="604"/>
      <c r="BA81" s="227"/>
      <c r="BB81" s="571"/>
      <c r="BC81" s="225"/>
      <c r="BD81" s="604"/>
      <c r="BE81" s="604"/>
      <c r="BF81" s="227"/>
      <c r="BG81" s="571"/>
      <c r="BH81" s="225"/>
      <c r="BI81" s="604"/>
      <c r="BJ81" s="604"/>
      <c r="BK81" s="227"/>
      <c r="BL81" s="571"/>
      <c r="BM81" s="225"/>
      <c r="BN81" s="604"/>
      <c r="BO81" s="604"/>
      <c r="BP81" s="227"/>
      <c r="BQ81" s="571"/>
      <c r="BR81" s="571"/>
      <c r="BS81" s="553"/>
      <c r="BT81" s="553"/>
      <c r="BU81" s="553"/>
      <c r="BV81" s="553"/>
      <c r="BW81" s="553"/>
      <c r="BX81" s="553"/>
      <c r="BY81" s="553"/>
      <c r="BZ81" s="553"/>
      <c r="CA81" s="553"/>
      <c r="CB81" s="553"/>
      <c r="CC81" s="553"/>
      <c r="CD81" s="553"/>
      <c r="CE81" s="553"/>
      <c r="CF81" s="553"/>
      <c r="CG81" s="553"/>
      <c r="CH81" s="553"/>
      <c r="CI81" s="553"/>
      <c r="CJ81" s="553"/>
      <c r="CK81" s="553"/>
      <c r="CL81" s="553"/>
      <c r="CM81" s="553"/>
      <c r="CN81" s="553"/>
      <c r="CO81" s="553"/>
      <c r="CP81" s="553"/>
      <c r="CQ81" s="553"/>
      <c r="CR81" s="553"/>
      <c r="CS81" s="553"/>
      <c r="CT81" s="553"/>
      <c r="CU81" s="553"/>
      <c r="CV81" s="553"/>
      <c r="CW81" s="553"/>
      <c r="CX81" s="553"/>
      <c r="CY81" s="553"/>
      <c r="CZ81" s="553"/>
    </row>
    <row r="82" spans="1:104">
      <c r="A82" s="553"/>
      <c r="B82" s="553"/>
      <c r="C82" s="553"/>
      <c r="D82" s="553"/>
      <c r="E82" s="225"/>
      <c r="F82" s="604"/>
      <c r="G82" s="604"/>
      <c r="H82" s="227"/>
      <c r="I82" s="571"/>
      <c r="J82" s="225"/>
      <c r="K82" s="604"/>
      <c r="L82" s="604"/>
      <c r="M82" s="227"/>
      <c r="N82" s="571"/>
      <c r="O82" s="225"/>
      <c r="P82" s="604"/>
      <c r="Q82" s="604"/>
      <c r="R82" s="227"/>
      <c r="S82" s="571"/>
      <c r="T82" s="225"/>
      <c r="U82" s="604"/>
      <c r="V82" s="604"/>
      <c r="W82" s="227"/>
      <c r="X82" s="571"/>
      <c r="Y82" s="225"/>
      <c r="Z82" s="604"/>
      <c r="AA82" s="604"/>
      <c r="AB82" s="227"/>
      <c r="AC82" s="571"/>
      <c r="AD82" s="225"/>
      <c r="AE82" s="604"/>
      <c r="AF82" s="604"/>
      <c r="AG82" s="227"/>
      <c r="AH82" s="571"/>
      <c r="AI82" s="225"/>
      <c r="AJ82" s="604"/>
      <c r="AK82" s="604"/>
      <c r="AL82" s="227"/>
      <c r="AM82" s="571"/>
      <c r="AN82" s="225"/>
      <c r="AO82" s="604"/>
      <c r="AP82" s="604"/>
      <c r="AQ82" s="227"/>
      <c r="AR82" s="571"/>
      <c r="AS82" s="225"/>
      <c r="AT82" s="604"/>
      <c r="AU82" s="604"/>
      <c r="AV82" s="227"/>
      <c r="AW82" s="571"/>
      <c r="AX82" s="225"/>
      <c r="AY82" s="604"/>
      <c r="AZ82" s="604"/>
      <c r="BA82" s="227"/>
      <c r="BB82" s="571"/>
      <c r="BC82" s="225"/>
      <c r="BD82" s="604"/>
      <c r="BE82" s="604"/>
      <c r="BF82" s="227"/>
      <c r="BG82" s="571"/>
      <c r="BH82" s="225"/>
      <c r="BI82" s="604"/>
      <c r="BJ82" s="604"/>
      <c r="BK82" s="227"/>
      <c r="BL82" s="571"/>
      <c r="BM82" s="225"/>
      <c r="BN82" s="604"/>
      <c r="BO82" s="604"/>
      <c r="BP82" s="227"/>
      <c r="BQ82" s="571"/>
      <c r="BR82" s="571"/>
      <c r="BS82" s="553"/>
      <c r="BT82" s="553"/>
      <c r="BU82" s="553"/>
      <c r="BV82" s="553"/>
      <c r="BW82" s="553"/>
      <c r="BX82" s="553"/>
      <c r="BY82" s="553"/>
      <c r="BZ82" s="553"/>
      <c r="CA82" s="553"/>
      <c r="CB82" s="553"/>
      <c r="CC82" s="553"/>
      <c r="CD82" s="553"/>
      <c r="CE82" s="553"/>
      <c r="CF82" s="553"/>
      <c r="CG82" s="553"/>
      <c r="CH82" s="553"/>
      <c r="CI82" s="553"/>
      <c r="CJ82" s="553"/>
      <c r="CK82" s="553"/>
      <c r="CL82" s="553"/>
      <c r="CM82" s="553"/>
      <c r="CN82" s="553"/>
      <c r="CO82" s="553"/>
      <c r="CP82" s="553"/>
      <c r="CQ82" s="553"/>
      <c r="CR82" s="553"/>
      <c r="CS82" s="553"/>
      <c r="CT82" s="553"/>
      <c r="CU82" s="553"/>
      <c r="CV82" s="553"/>
      <c r="CW82" s="553"/>
      <c r="CX82" s="553"/>
      <c r="CY82" s="553"/>
      <c r="CZ82" s="553"/>
    </row>
    <row r="83" spans="1:104">
      <c r="B83" s="112"/>
      <c r="C83" s="164"/>
      <c r="D83" s="112"/>
      <c r="E83" s="370"/>
      <c r="F83" s="371"/>
      <c r="G83" s="371"/>
      <c r="H83" s="372"/>
      <c r="I83" s="112"/>
      <c r="J83" s="370"/>
      <c r="K83" s="371"/>
      <c r="L83" s="371"/>
      <c r="M83" s="372"/>
      <c r="N83" s="112"/>
      <c r="O83" s="370"/>
      <c r="P83" s="371"/>
      <c r="Q83" s="371"/>
      <c r="R83" s="372"/>
      <c r="S83" s="112"/>
      <c r="T83" s="370"/>
      <c r="U83" s="371"/>
      <c r="V83" s="371"/>
      <c r="W83" s="372"/>
      <c r="X83" s="112"/>
      <c r="Y83" s="370"/>
      <c r="Z83" s="371"/>
      <c r="AA83" s="371"/>
      <c r="AB83" s="372"/>
      <c r="AC83" s="112"/>
      <c r="AD83" s="370"/>
      <c r="AE83" s="371"/>
      <c r="AF83" s="371"/>
      <c r="AG83" s="372"/>
      <c r="AH83" s="112"/>
      <c r="AI83" s="370"/>
      <c r="AJ83" s="371"/>
      <c r="AK83" s="371"/>
      <c r="AL83" s="372"/>
      <c r="AM83" s="1904"/>
      <c r="AN83" s="370"/>
      <c r="AO83" s="371"/>
      <c r="AP83" s="371"/>
      <c r="AQ83" s="372"/>
      <c r="AR83" s="1904"/>
      <c r="AS83" s="370"/>
      <c r="AT83" s="371"/>
      <c r="AU83" s="371"/>
      <c r="AV83" s="372"/>
      <c r="AW83" s="1904"/>
      <c r="AX83" s="370"/>
      <c r="AY83" s="371"/>
      <c r="AZ83" s="371"/>
      <c r="BA83" s="372"/>
      <c r="BB83" s="1904"/>
      <c r="BC83" s="370"/>
      <c r="BD83" s="371"/>
      <c r="BE83" s="371"/>
      <c r="BF83" s="372"/>
      <c r="BG83" s="112"/>
      <c r="BH83" s="370"/>
      <c r="BI83" s="371"/>
      <c r="BJ83" s="371"/>
      <c r="BK83" s="372"/>
      <c r="BL83" s="112"/>
      <c r="BM83" s="370"/>
      <c r="BN83" s="371"/>
      <c r="BO83" s="371"/>
      <c r="BP83" s="372"/>
      <c r="BQ83" s="112"/>
      <c r="BR83" s="112"/>
    </row>
  </sheetData>
  <phoneticPr fontId="40" type="noConversion"/>
  <pageMargins left="0.5" right="0.5" top="0.5" bottom="0.5" header="0" footer="0"/>
  <pageSetup scale="59" fitToHeight="4" orientation="landscape"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IV403"/>
  <sheetViews>
    <sheetView zoomScale="80" zoomScaleNormal="80" workbookViewId="0">
      <pane xSplit="4" ySplit="5" topLeftCell="I6" activePane="bottomRight" state="frozen"/>
      <selection activeCell="S89" sqref="S89"/>
      <selection pane="topRight" activeCell="S89" sqref="S89"/>
      <selection pane="bottomLeft" activeCell="S89" sqref="S89"/>
      <selection pane="bottomRight" activeCell="I6" sqref="I6"/>
    </sheetView>
  </sheetViews>
  <sheetFormatPr defaultRowHeight="12.75" outlineLevelRow="1" outlineLevelCol="1"/>
  <cols>
    <col min="1" max="2" width="2.7109375" customWidth="1"/>
    <col min="3" max="3" width="41.42578125" customWidth="1"/>
    <col min="4" max="4" width="3.5703125" customWidth="1"/>
    <col min="5" max="8" width="9" hidden="1" customWidth="1" outlineLevel="1"/>
    <col min="9" max="9" width="10.5703125" bestFit="1" customWidth="1" collapsed="1"/>
    <col min="10" max="13" width="9" hidden="1" customWidth="1" outlineLevel="1"/>
    <col min="14" max="14" width="9" customWidth="1" collapsed="1"/>
    <col min="15" max="18" width="9" hidden="1" customWidth="1" outlineLevel="1"/>
    <col min="19" max="19" width="9" customWidth="1" collapsed="1"/>
    <col min="20" max="23" width="9" hidden="1" customWidth="1" outlineLevel="1"/>
    <col min="24" max="24" width="9" customWidth="1" collapsed="1"/>
    <col min="25" max="28" width="9" hidden="1" customWidth="1" outlineLevel="1"/>
    <col min="29" max="29" width="9.140625" customWidth="1" collapsed="1"/>
    <col min="30" max="33" width="9.140625" hidden="1" customWidth="1" outlineLevel="1"/>
    <col min="34" max="34" width="9.140625" customWidth="1" collapsed="1"/>
    <col min="35" max="38" width="9.140625" hidden="1" customWidth="1" outlineLevel="1"/>
    <col min="39" max="39" width="9.140625" customWidth="1" collapsed="1"/>
    <col min="40" max="43" width="9.85546875" hidden="1" customWidth="1" outlineLevel="1"/>
    <col min="44" max="44" width="9.140625" customWidth="1" collapsed="1"/>
    <col min="45" max="48" width="9.85546875" hidden="1" customWidth="1" outlineLevel="1"/>
    <col min="49" max="49" width="10.28515625" bestFit="1" customWidth="1" collapsed="1"/>
    <col min="50" max="53" width="9.140625" hidden="1" customWidth="1" outlineLevel="1"/>
    <col min="54" max="54" width="9.140625" customWidth="1" collapsed="1"/>
    <col min="55" max="58" width="9.140625" hidden="1" customWidth="1" outlineLevel="1"/>
    <col min="59" max="59" width="9.140625" customWidth="1" collapsed="1"/>
    <col min="60" max="63" width="9.140625" hidden="1" customWidth="1" outlineLevel="1"/>
    <col min="64" max="64" width="9.140625" customWidth="1" collapsed="1"/>
    <col min="65" max="68" width="9.140625" hidden="1" customWidth="1" outlineLevel="1"/>
    <col min="69" max="69" width="9.140625" customWidth="1" collapsed="1"/>
    <col min="70" max="70" width="2.7109375" customWidth="1"/>
    <col min="71" max="71" width="9" customWidth="1"/>
    <col min="72" max="72" width="36.7109375" bestFit="1" customWidth="1"/>
    <col min="73" max="83" width="9" customWidth="1"/>
    <col min="89" max="92" width="9.140625" customWidth="1"/>
    <col min="93" max="93" width="9.7109375" customWidth="1"/>
    <col min="94" max="94" width="11.42578125" customWidth="1"/>
    <col min="95" max="96" width="12.42578125" customWidth="1"/>
    <col min="97" max="97" width="11.5703125" customWidth="1"/>
    <col min="98" max="98" width="11.28515625" customWidth="1"/>
    <col min="99" max="99" width="11.5703125" customWidth="1"/>
    <col min="100" max="101" width="11.42578125" customWidth="1"/>
    <col min="102" max="104" width="9.7109375" customWidth="1"/>
    <col min="107" max="107" width="9.7109375" bestFit="1" customWidth="1"/>
    <col min="114" max="114" width="10.5703125" bestFit="1" customWidth="1"/>
    <col min="116" max="116" width="9.7109375" bestFit="1" customWidth="1"/>
  </cols>
  <sheetData>
    <row r="1" spans="1:110" ht="15" customHeight="1">
      <c r="A1" s="32"/>
      <c r="B1" s="32"/>
      <c r="C1" s="32"/>
      <c r="D1" s="33"/>
      <c r="E1" s="34"/>
      <c r="F1" s="34"/>
      <c r="G1" s="34"/>
      <c r="H1" s="34"/>
      <c r="I1" s="34"/>
      <c r="J1" s="34"/>
      <c r="K1" s="34"/>
      <c r="L1" s="34"/>
      <c r="M1" s="34"/>
      <c r="N1" s="644"/>
      <c r="O1" s="644"/>
      <c r="P1" s="644"/>
      <c r="Q1" s="644"/>
      <c r="R1" s="644"/>
      <c r="S1" s="644"/>
      <c r="T1" s="644"/>
      <c r="U1" s="644"/>
      <c r="V1" s="644"/>
      <c r="W1" s="644"/>
      <c r="X1" s="644"/>
      <c r="Y1" s="644"/>
      <c r="Z1" s="644"/>
      <c r="AA1" s="644"/>
      <c r="AB1" s="644"/>
      <c r="AC1" s="644"/>
      <c r="AD1" s="644"/>
      <c r="AE1" s="644"/>
      <c r="AF1" s="644"/>
      <c r="AG1" s="644"/>
      <c r="AH1" s="644"/>
      <c r="AI1" s="644"/>
      <c r="AJ1" s="644"/>
      <c r="AK1" s="644"/>
      <c r="AL1" s="644"/>
      <c r="AM1" s="644"/>
      <c r="AN1" s="644"/>
      <c r="AO1" s="644"/>
      <c r="AP1" s="644"/>
      <c r="AQ1" s="644"/>
      <c r="AR1" s="644"/>
      <c r="AS1" s="644"/>
      <c r="AT1" s="644"/>
      <c r="AU1" s="644"/>
      <c r="AV1" s="644"/>
      <c r="AW1" s="644"/>
      <c r="AX1" s="644"/>
      <c r="AY1" s="644"/>
      <c r="AZ1" s="644"/>
      <c r="BA1" s="644"/>
      <c r="BB1" s="644"/>
      <c r="BC1" s="644"/>
      <c r="BD1" s="644"/>
      <c r="BE1" s="644"/>
      <c r="BF1" s="644"/>
      <c r="BG1" s="644"/>
      <c r="BH1" s="644"/>
      <c r="BI1" s="644"/>
      <c r="BJ1" s="644"/>
      <c r="BK1" s="644"/>
      <c r="BL1" s="644"/>
      <c r="BM1" s="644"/>
      <c r="BN1" s="644"/>
      <c r="BO1" s="644"/>
      <c r="BP1" s="644"/>
      <c r="BQ1" s="644"/>
      <c r="BR1" s="121"/>
      <c r="BS1" s="121"/>
      <c r="BT1" s="121"/>
      <c r="BU1" s="121"/>
      <c r="BV1" s="121"/>
      <c r="BW1" s="121"/>
      <c r="BX1" s="121"/>
      <c r="BY1" s="121"/>
      <c r="BZ1" s="121"/>
      <c r="CA1" s="121"/>
      <c r="CB1" s="121"/>
      <c r="CC1" s="121"/>
      <c r="CD1" s="121"/>
      <c r="CE1" s="121"/>
      <c r="CF1" s="121"/>
      <c r="CG1" s="121"/>
      <c r="CH1" s="121"/>
      <c r="CI1" s="121"/>
      <c r="CJ1" s="121"/>
      <c r="CK1" s="121"/>
      <c r="CL1" s="121"/>
      <c r="CM1" s="121"/>
      <c r="CN1" s="121"/>
      <c r="CO1" s="121"/>
      <c r="CP1" s="121"/>
      <c r="CQ1" s="121"/>
      <c r="CR1" s="121"/>
      <c r="CS1" s="121"/>
      <c r="CT1" s="121"/>
      <c r="CU1" s="121"/>
      <c r="CV1" s="121"/>
      <c r="CW1" s="121"/>
      <c r="CX1" s="121"/>
      <c r="CY1" s="121"/>
      <c r="CZ1" s="121"/>
      <c r="DA1" s="121"/>
      <c r="DB1" s="121"/>
      <c r="DC1" s="121"/>
      <c r="DD1" s="121"/>
      <c r="DE1" s="121"/>
      <c r="DF1" s="121"/>
    </row>
    <row r="2" spans="1:110" ht="15" customHeight="1">
      <c r="A2" s="32"/>
      <c r="B2" s="32" t="str">
        <f>Cover!$B$2</f>
        <v>American Electric Power Company</v>
      </c>
      <c r="C2" s="32"/>
      <c r="D2" s="33"/>
      <c r="E2" s="34"/>
      <c r="F2" s="34"/>
      <c r="G2" s="34"/>
      <c r="H2" s="34"/>
      <c r="I2" s="34"/>
      <c r="J2" s="34"/>
      <c r="K2" s="34"/>
      <c r="L2" s="34"/>
      <c r="M2" s="34"/>
      <c r="N2" s="34"/>
      <c r="O2" s="34"/>
      <c r="P2" s="34"/>
      <c r="Q2" s="34"/>
      <c r="R2" s="34"/>
      <c r="S2" s="34"/>
      <c r="T2" s="34"/>
      <c r="U2" s="34"/>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c r="AW2" s="34"/>
      <c r="AX2" s="34"/>
      <c r="AY2" s="34"/>
      <c r="AZ2" s="34"/>
      <c r="BA2" s="34"/>
      <c r="BB2" s="34"/>
      <c r="BC2" s="34"/>
      <c r="BD2" s="34"/>
      <c r="BE2" s="34"/>
      <c r="BF2" s="34"/>
      <c r="BG2" s="34"/>
      <c r="BH2" s="34"/>
      <c r="BI2" s="34"/>
      <c r="BJ2" s="34"/>
      <c r="BK2" s="34"/>
      <c r="BL2" s="34"/>
      <c r="BM2" s="34"/>
      <c r="BN2" s="34"/>
      <c r="BO2" s="34"/>
      <c r="BP2" s="34"/>
      <c r="BQ2" s="34"/>
      <c r="BR2" s="121"/>
      <c r="BS2" s="121"/>
      <c r="BT2" s="121"/>
      <c r="BU2" s="121"/>
      <c r="BV2" s="121"/>
      <c r="BW2" s="121"/>
      <c r="BX2" s="121"/>
      <c r="BY2" s="121"/>
      <c r="BZ2" s="121"/>
      <c r="CA2" s="121"/>
      <c r="CB2" s="121"/>
      <c r="CC2" s="121"/>
      <c r="CD2" s="121"/>
      <c r="CE2" s="121"/>
      <c r="CF2" s="121"/>
      <c r="CG2" s="121"/>
      <c r="CH2" s="121"/>
      <c r="CI2" s="121"/>
      <c r="CJ2" s="121"/>
      <c r="CK2" s="121"/>
      <c r="CL2" s="121"/>
      <c r="CM2" s="121"/>
      <c r="CN2" s="121"/>
      <c r="CO2" s="121"/>
      <c r="CP2" s="121"/>
      <c r="CQ2" s="121"/>
      <c r="CR2" s="121"/>
      <c r="CS2" s="121"/>
      <c r="CT2" s="121"/>
      <c r="CU2" s="121"/>
      <c r="CV2" s="121"/>
      <c r="CW2" s="121"/>
      <c r="CX2" s="121"/>
      <c r="CY2" s="121"/>
      <c r="CZ2" s="121"/>
    </row>
    <row r="3" spans="1:110" ht="15" customHeight="1">
      <c r="A3" s="35"/>
      <c r="B3" s="36" t="s">
        <v>124</v>
      </c>
      <c r="C3" s="36"/>
      <c r="D3" s="3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c r="AW3" s="34"/>
      <c r="AX3" s="34"/>
      <c r="AY3" s="34"/>
      <c r="AZ3" s="34"/>
      <c r="BA3" s="34"/>
      <c r="BB3" s="34"/>
      <c r="BC3" s="34"/>
      <c r="BD3" s="34"/>
      <c r="BE3" s="34"/>
      <c r="BF3" s="34"/>
      <c r="BG3" s="34"/>
      <c r="BH3" s="34"/>
      <c r="BI3" s="34"/>
      <c r="BJ3" s="34"/>
      <c r="BK3" s="34"/>
      <c r="BL3" s="34"/>
      <c r="BM3" s="34"/>
      <c r="BN3" s="34"/>
      <c r="BO3" s="34"/>
      <c r="BP3" s="34"/>
      <c r="BQ3" s="34"/>
      <c r="BR3" s="121"/>
      <c r="BS3" s="121"/>
      <c r="BT3" s="121"/>
      <c r="BU3" s="121"/>
      <c r="BV3" s="121"/>
      <c r="BW3" s="121"/>
      <c r="BX3" s="121"/>
      <c r="BY3" s="121"/>
      <c r="BZ3" s="121"/>
      <c r="CA3" s="121"/>
      <c r="CB3" s="121"/>
      <c r="CC3" s="121"/>
      <c r="CD3" s="121"/>
      <c r="CE3" s="121"/>
      <c r="CF3" s="121"/>
      <c r="CG3" s="121"/>
      <c r="CH3" s="121"/>
      <c r="CI3" s="121"/>
      <c r="CJ3" s="121"/>
      <c r="CK3" s="121"/>
      <c r="CL3" s="121"/>
      <c r="CM3" s="121"/>
      <c r="CN3" s="121"/>
      <c r="CO3" s="121"/>
      <c r="CP3" s="121"/>
      <c r="CQ3" s="121"/>
      <c r="CR3" s="121"/>
      <c r="CS3" s="121"/>
      <c r="CT3" s="121"/>
      <c r="CU3" s="121"/>
      <c r="CV3" s="121"/>
      <c r="CW3" s="121"/>
      <c r="CX3" s="121"/>
      <c r="CY3" s="121"/>
      <c r="CZ3" s="121"/>
    </row>
    <row r="4" spans="1:110">
      <c r="A4" s="38"/>
      <c r="B4" s="39" t="s">
        <v>828</v>
      </c>
      <c r="C4" s="39"/>
      <c r="D4" s="280"/>
      <c r="E4" s="41"/>
      <c r="F4" s="41"/>
      <c r="G4" s="41"/>
      <c r="H4" s="41"/>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c r="BA4" s="41"/>
      <c r="BB4" s="41"/>
      <c r="BC4" s="41"/>
      <c r="BD4" s="41"/>
      <c r="BE4" s="41"/>
      <c r="BF4" s="41"/>
      <c r="BG4" s="41"/>
      <c r="BH4" s="41"/>
      <c r="BI4" s="41"/>
      <c r="BJ4" s="41"/>
      <c r="BK4" s="41"/>
      <c r="BL4" s="41"/>
      <c r="BM4" s="41"/>
      <c r="BN4" s="41"/>
      <c r="BO4" s="41"/>
      <c r="BP4" s="41"/>
      <c r="BQ4" s="41"/>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c r="CV4" s="122"/>
      <c r="CW4" s="122"/>
      <c r="CX4" s="122"/>
      <c r="CY4" s="122"/>
      <c r="CZ4" s="122"/>
    </row>
    <row r="5" spans="1:110">
      <c r="B5" s="281" t="s">
        <v>859</v>
      </c>
      <c r="C5" s="281"/>
      <c r="D5" s="282"/>
      <c r="E5" s="131" t="s">
        <v>937</v>
      </c>
      <c r="F5" s="132" t="s">
        <v>938</v>
      </c>
      <c r="G5" s="132" t="s">
        <v>939</v>
      </c>
      <c r="H5" s="133" t="s">
        <v>940</v>
      </c>
      <c r="I5" s="283">
        <v>2009</v>
      </c>
      <c r="J5" s="131" t="s">
        <v>941</v>
      </c>
      <c r="K5" s="132" t="s">
        <v>942</v>
      </c>
      <c r="L5" s="132" t="s">
        <v>943</v>
      </c>
      <c r="M5" s="133" t="s">
        <v>944</v>
      </c>
      <c r="N5" s="283" t="s">
        <v>829</v>
      </c>
      <c r="O5" s="131" t="s">
        <v>945</v>
      </c>
      <c r="P5" s="132" t="s">
        <v>946</v>
      </c>
      <c r="Q5" s="132" t="s">
        <v>353</v>
      </c>
      <c r="R5" s="133" t="s">
        <v>76</v>
      </c>
      <c r="S5" s="283">
        <v>2011</v>
      </c>
      <c r="T5" s="131" t="s">
        <v>91</v>
      </c>
      <c r="U5" s="132" t="s">
        <v>92</v>
      </c>
      <c r="V5" s="132" t="s">
        <v>790</v>
      </c>
      <c r="W5" s="133" t="s">
        <v>644</v>
      </c>
      <c r="X5" s="284" t="s">
        <v>645</v>
      </c>
      <c r="Y5" s="131" t="s">
        <v>646</v>
      </c>
      <c r="Z5" s="132" t="s">
        <v>619</v>
      </c>
      <c r="AA5" s="132" t="s">
        <v>620</v>
      </c>
      <c r="AB5" s="133" t="s">
        <v>246</v>
      </c>
      <c r="AC5" s="284" t="s">
        <v>247</v>
      </c>
      <c r="AD5" s="131" t="s">
        <v>274</v>
      </c>
      <c r="AE5" s="132" t="s">
        <v>275</v>
      </c>
      <c r="AF5" s="132" t="s">
        <v>276</v>
      </c>
      <c r="AG5" s="133" t="s">
        <v>1060</v>
      </c>
      <c r="AH5" s="284" t="s">
        <v>1061</v>
      </c>
      <c r="AI5" s="131" t="s">
        <v>1062</v>
      </c>
      <c r="AJ5" s="132" t="s">
        <v>1063</v>
      </c>
      <c r="AK5" s="132" t="s">
        <v>1122</v>
      </c>
      <c r="AL5" s="133" t="s">
        <v>1123</v>
      </c>
      <c r="AM5" s="284" t="s">
        <v>1124</v>
      </c>
      <c r="AN5" s="131" t="s">
        <v>1131</v>
      </c>
      <c r="AO5" s="132" t="s">
        <v>1137</v>
      </c>
      <c r="AP5" s="132" t="s">
        <v>1274</v>
      </c>
      <c r="AQ5" s="133" t="s">
        <v>1291</v>
      </c>
      <c r="AR5" s="284" t="s">
        <v>1292</v>
      </c>
      <c r="AS5" s="131" t="s">
        <v>1320</v>
      </c>
      <c r="AT5" s="132" t="s">
        <v>1324</v>
      </c>
      <c r="AU5" s="132" t="s">
        <v>1330</v>
      </c>
      <c r="AV5" s="133" t="s">
        <v>1354</v>
      </c>
      <c r="AW5" s="284" t="s">
        <v>1353</v>
      </c>
      <c r="AX5" s="131" t="s">
        <v>69</v>
      </c>
      <c r="AY5" s="132" t="s">
        <v>70</v>
      </c>
      <c r="AZ5" s="132" t="s">
        <v>71</v>
      </c>
      <c r="BA5" s="133" t="s">
        <v>72</v>
      </c>
      <c r="BB5" s="284" t="s">
        <v>73</v>
      </c>
      <c r="BC5" s="126" t="s">
        <v>1067</v>
      </c>
      <c r="BD5" s="127" t="s">
        <v>1068</v>
      </c>
      <c r="BE5" s="127" t="s">
        <v>1069</v>
      </c>
      <c r="BF5" s="128" t="s">
        <v>1070</v>
      </c>
      <c r="BG5" s="130" t="s">
        <v>1065</v>
      </c>
      <c r="BH5" s="126" t="s">
        <v>1071</v>
      </c>
      <c r="BI5" s="127" t="s">
        <v>1072</v>
      </c>
      <c r="BJ5" s="127" t="s">
        <v>1073</v>
      </c>
      <c r="BK5" s="128" t="s">
        <v>1074</v>
      </c>
      <c r="BL5" s="130" t="s">
        <v>1066</v>
      </c>
      <c r="BM5" s="126" t="s">
        <v>1278</v>
      </c>
      <c r="BN5" s="127" t="s">
        <v>1279</v>
      </c>
      <c r="BO5" s="127" t="s">
        <v>1280</v>
      </c>
      <c r="BP5" s="128" t="s">
        <v>1281</v>
      </c>
      <c r="BQ5" s="130" t="s">
        <v>1282</v>
      </c>
      <c r="BR5" s="285"/>
      <c r="BS5" s="285"/>
      <c r="BT5" s="285"/>
      <c r="BU5" s="285"/>
      <c r="BV5" s="285"/>
      <c r="BW5" s="285"/>
      <c r="BX5" s="285"/>
      <c r="BY5" s="285"/>
      <c r="BZ5" s="285"/>
      <c r="CA5" s="285"/>
      <c r="CB5" s="285"/>
      <c r="CC5" s="285"/>
      <c r="CD5" s="285"/>
      <c r="CE5" s="285"/>
      <c r="CF5" s="285"/>
      <c r="CG5" s="285"/>
      <c r="CH5" s="285"/>
      <c r="CI5" s="285"/>
      <c r="CJ5" s="285"/>
      <c r="CK5" s="285"/>
      <c r="CL5" s="285"/>
      <c r="CM5" s="285"/>
      <c r="CN5" s="285"/>
      <c r="CO5" s="285"/>
      <c r="CP5" s="285"/>
      <c r="CQ5" s="285"/>
      <c r="CR5" s="285"/>
      <c r="CS5" s="285"/>
      <c r="CT5" s="285"/>
      <c r="CU5" s="285"/>
      <c r="CV5" s="285"/>
      <c r="CW5" s="285"/>
      <c r="CX5" s="285"/>
      <c r="CY5" s="285"/>
      <c r="CZ5" s="285"/>
    </row>
    <row r="6" spans="1:110">
      <c r="E6" s="578"/>
      <c r="F6" s="579"/>
      <c r="G6" s="579"/>
      <c r="H6" s="580"/>
      <c r="I6" s="561"/>
      <c r="J6" s="578"/>
      <c r="K6" s="579"/>
      <c r="L6" s="579"/>
      <c r="M6" s="580"/>
      <c r="N6" s="561"/>
      <c r="O6" s="578"/>
      <c r="P6" s="579"/>
      <c r="Q6" s="579"/>
      <c r="R6" s="580"/>
      <c r="S6" s="561"/>
      <c r="T6" s="578"/>
      <c r="U6" s="579"/>
      <c r="V6" s="579"/>
      <c r="W6" s="580"/>
      <c r="X6" s="561"/>
      <c r="Y6" s="578"/>
      <c r="Z6" s="579"/>
      <c r="AA6" s="579"/>
      <c r="AB6" s="580"/>
      <c r="AC6" s="561"/>
      <c r="AD6" s="578"/>
      <c r="AE6" s="579"/>
      <c r="AF6" s="579"/>
      <c r="AG6" s="580"/>
      <c r="AH6" s="561"/>
      <c r="AI6" s="578"/>
      <c r="AJ6" s="579"/>
      <c r="AK6" s="579"/>
      <c r="AL6" s="580"/>
      <c r="AM6" s="561"/>
      <c r="AN6" s="578"/>
      <c r="AO6" s="579"/>
      <c r="AP6" s="579"/>
      <c r="AQ6" s="580"/>
      <c r="AR6" s="561"/>
      <c r="AS6" s="578"/>
      <c r="AT6" s="579"/>
      <c r="AU6" s="579"/>
      <c r="AV6" s="580"/>
      <c r="AW6" s="561"/>
      <c r="AX6" s="578"/>
      <c r="AY6" s="579"/>
      <c r="AZ6" s="579"/>
      <c r="BA6" s="580"/>
      <c r="BB6" s="561"/>
      <c r="BC6" s="578"/>
      <c r="BD6" s="579"/>
      <c r="BE6" s="579"/>
      <c r="BF6" s="580"/>
      <c r="BG6" s="561"/>
      <c r="BH6" s="578"/>
      <c r="BI6" s="579"/>
      <c r="BJ6" s="579"/>
      <c r="BK6" s="580"/>
      <c r="BL6" s="561"/>
      <c r="BM6" s="578"/>
      <c r="BN6" s="579"/>
      <c r="BO6" s="579"/>
      <c r="BP6" s="580"/>
      <c r="BQ6" s="561"/>
    </row>
    <row r="7" spans="1:110">
      <c r="B7" s="46" t="s">
        <v>947</v>
      </c>
      <c r="C7" s="46"/>
      <c r="D7" s="47"/>
      <c r="E7" s="578"/>
      <c r="F7" s="579"/>
      <c r="G7" s="579"/>
      <c r="H7" s="580"/>
      <c r="I7" s="561"/>
      <c r="J7" s="578"/>
      <c r="K7" s="579"/>
      <c r="L7" s="579"/>
      <c r="M7" s="580"/>
      <c r="N7" s="561"/>
      <c r="O7" s="578"/>
      <c r="P7" s="579"/>
      <c r="Q7" s="579"/>
      <c r="R7" s="580"/>
      <c r="S7" s="561"/>
      <c r="T7" s="578"/>
      <c r="U7" s="579"/>
      <c r="V7" s="579"/>
      <c r="W7" s="580"/>
      <c r="X7" s="561"/>
      <c r="Y7" s="578"/>
      <c r="Z7" s="579"/>
      <c r="AA7" s="579"/>
      <c r="AB7" s="580"/>
      <c r="AC7" s="561"/>
      <c r="AD7" s="578"/>
      <c r="AE7" s="579"/>
      <c r="AF7" s="579"/>
      <c r="AG7" s="580"/>
      <c r="AH7" s="561"/>
      <c r="AI7" s="578"/>
      <c r="AJ7" s="579"/>
      <c r="AK7" s="579"/>
      <c r="AL7" s="580"/>
      <c r="AM7" s="561"/>
      <c r="AN7" s="578"/>
      <c r="AO7" s="579"/>
      <c r="AP7" s="579"/>
      <c r="AQ7" s="580"/>
      <c r="AR7" s="561"/>
      <c r="AS7" s="578"/>
      <c r="AT7" s="579"/>
      <c r="AU7" s="579"/>
      <c r="AV7" s="580"/>
      <c r="AW7" s="561"/>
      <c r="AX7" s="578"/>
      <c r="AY7" s="579"/>
      <c r="AZ7" s="579"/>
      <c r="BA7" s="580"/>
      <c r="BB7" s="561"/>
      <c r="BC7" s="578"/>
      <c r="BD7" s="579"/>
      <c r="BE7" s="579"/>
      <c r="BF7" s="580"/>
      <c r="BG7" s="561"/>
      <c r="BH7" s="578"/>
      <c r="BI7" s="579"/>
      <c r="BJ7" s="579"/>
      <c r="BK7" s="580"/>
      <c r="BL7" s="561"/>
      <c r="BM7" s="578"/>
      <c r="BN7" s="579"/>
      <c r="BO7" s="579"/>
      <c r="BP7" s="580"/>
      <c r="BQ7" s="561"/>
      <c r="BU7" s="568"/>
      <c r="BV7" s="568"/>
      <c r="BW7" s="568"/>
      <c r="BX7" s="568"/>
    </row>
    <row r="8" spans="1:110" s="56" customFormat="1">
      <c r="A8" s="111"/>
      <c r="B8" s="111"/>
      <c r="C8" s="56" t="s">
        <v>948</v>
      </c>
      <c r="D8" s="112"/>
      <c r="E8" s="256"/>
      <c r="F8" s="257"/>
      <c r="G8" s="257"/>
      <c r="H8" s="153"/>
      <c r="I8" s="258"/>
      <c r="J8" s="256"/>
      <c r="K8" s="257"/>
      <c r="L8" s="257"/>
      <c r="M8" s="153"/>
      <c r="N8" s="258"/>
      <c r="O8" s="256"/>
      <c r="P8" s="257"/>
      <c r="Q8" s="257"/>
      <c r="R8" s="153"/>
      <c r="S8" s="258"/>
      <c r="T8" s="256"/>
      <c r="U8" s="257"/>
      <c r="V8" s="257"/>
      <c r="W8" s="153"/>
      <c r="X8" s="258">
        <v>3467</v>
      </c>
      <c r="Y8" s="256">
        <v>920</v>
      </c>
      <c r="Z8" s="257">
        <v>892</v>
      </c>
      <c r="AA8" s="257">
        <v>1001</v>
      </c>
      <c r="AB8" s="153">
        <f>AC8-SUM(Y8:AA8)</f>
        <v>852</v>
      </c>
      <c r="AC8" s="258">
        <v>3665</v>
      </c>
      <c r="AD8" s="256">
        <v>1251</v>
      </c>
      <c r="AE8" s="257">
        <v>913</v>
      </c>
      <c r="AF8" s="257">
        <v>901</v>
      </c>
      <c r="AG8" s="153">
        <f>AH8-SUM(AD8:AF8)</f>
        <v>785</v>
      </c>
      <c r="AH8" s="258">
        <v>3850</v>
      </c>
      <c r="AI8" s="256">
        <v>1170</v>
      </c>
      <c r="AJ8" s="257">
        <v>801</v>
      </c>
      <c r="AK8" s="257">
        <v>835</v>
      </c>
      <c r="AL8" s="153">
        <f>AM8-SUM(AI8:AK8)</f>
        <v>606.69999999999982</v>
      </c>
      <c r="AM8" s="258">
        <v>3412.7</v>
      </c>
      <c r="AN8" s="256">
        <v>748</v>
      </c>
      <c r="AO8" s="257">
        <v>683.8</v>
      </c>
      <c r="AP8" s="257">
        <v>859.4</v>
      </c>
      <c r="AQ8" s="153">
        <f>AR8-SUM(AN8:AP8)</f>
        <v>694.80000000000018</v>
      </c>
      <c r="AR8" s="258">
        <v>2986</v>
      </c>
      <c r="AS8" s="256">
        <v>591.4</v>
      </c>
      <c r="AT8" s="257">
        <v>410.6</v>
      </c>
      <c r="AU8" s="257">
        <v>465.5</v>
      </c>
      <c r="AV8" s="153">
        <f>AW8-SUM(AS8:AU8)</f>
        <v>407.59999999999991</v>
      </c>
      <c r="AW8" s="258">
        <v>1875.1</v>
      </c>
      <c r="AX8" s="149">
        <f>AX220+AX231+AX238+AX99</f>
        <v>628.46427484344827</v>
      </c>
      <c r="AY8" s="150">
        <f>AY220+AY231+AY238+AY99</f>
        <v>518.89322871097386</v>
      </c>
      <c r="AZ8" s="150">
        <f>AZ220+AZ231+AZ238+AZ99</f>
        <v>546.46380958025043</v>
      </c>
      <c r="BA8" s="151">
        <f>BA220+BA231+BA238+BA99</f>
        <v>500.00165907080037</v>
      </c>
      <c r="BB8" s="112">
        <f>SUM(AX8:BA8)</f>
        <v>2193.822972205473</v>
      </c>
      <c r="BC8" s="149">
        <f>BC220+BC231+BC238+BC99</f>
        <v>554.93413223666425</v>
      </c>
      <c r="BD8" s="150">
        <f>BD220+BD231+BD238+BD99</f>
        <v>401.77626462017707</v>
      </c>
      <c r="BE8" s="150">
        <f>BE220+BE231+BE238+BE99</f>
        <v>454.26659364747832</v>
      </c>
      <c r="BF8" s="151">
        <f>BF220+BF231+BF238+BF99</f>
        <v>531.43396219624174</v>
      </c>
      <c r="BG8" s="112">
        <f>SUM(BC8:BF8)</f>
        <v>1942.4109527005612</v>
      </c>
      <c r="BH8" s="149">
        <f>BH220+BH231+BH238+BH99</f>
        <v>544.49321242577344</v>
      </c>
      <c r="BI8" s="150">
        <f>BI220+BI231+BI238+BI99</f>
        <v>401.88915841884261</v>
      </c>
      <c r="BJ8" s="150">
        <f>BJ220+BJ231+BJ238+BJ99</f>
        <v>558.15361877790554</v>
      </c>
      <c r="BK8" s="151">
        <f>BK220+BK231+BK238+BK99</f>
        <v>521.1744434943455</v>
      </c>
      <c r="BL8" s="112">
        <f>SUM(BH8:BK8)</f>
        <v>2025.7104331168671</v>
      </c>
      <c r="BM8" s="149">
        <f>BM220+BM231+BM238+BM99</f>
        <v>527.36899423577074</v>
      </c>
      <c r="BN8" s="150">
        <f>BN220+BN231+BN238+BN99</f>
        <v>450.70995953421811</v>
      </c>
      <c r="BO8" s="150">
        <f>BO220+BO231+BO238+BO99</f>
        <v>484.51469899728829</v>
      </c>
      <c r="BP8" s="151">
        <f>BP220+BP231+BP238+BP99</f>
        <v>478.11482917531754</v>
      </c>
      <c r="BQ8" s="112">
        <f>SUM(BM8:BP8)</f>
        <v>1940.7084819425945</v>
      </c>
      <c r="BR8" s="111"/>
      <c r="BS8" s="111"/>
      <c r="BT8"/>
      <c r="BU8" s="568"/>
      <c r="BV8" s="568"/>
      <c r="BW8" s="568"/>
      <c r="BX8" s="568"/>
      <c r="BY8" s="111"/>
      <c r="BZ8" s="111"/>
      <c r="CA8" s="111"/>
      <c r="CB8" s="111"/>
      <c r="CC8" s="111"/>
      <c r="CD8" s="111"/>
      <c r="CE8" s="111"/>
      <c r="CF8" s="111"/>
      <c r="CG8" s="111"/>
      <c r="CH8" s="111"/>
      <c r="CI8" s="111"/>
      <c r="CJ8" s="111"/>
      <c r="CK8" s="111"/>
      <c r="CL8" s="111"/>
      <c r="CM8" s="111"/>
      <c r="CN8" s="111"/>
      <c r="CO8" s="111"/>
      <c r="CP8" s="111"/>
      <c r="CQ8" s="111"/>
      <c r="CR8" s="111"/>
      <c r="CS8" s="111"/>
      <c r="CT8" s="111"/>
      <c r="CU8" s="111"/>
      <c r="CV8" s="111"/>
      <c r="CW8" s="111"/>
      <c r="CX8" s="111"/>
      <c r="CY8" s="111"/>
      <c r="CZ8" s="111"/>
    </row>
    <row r="9" spans="1:110">
      <c r="A9" s="242"/>
      <c r="B9" s="242"/>
      <c r="C9" s="50" t="s">
        <v>585</v>
      </c>
      <c r="D9" s="109"/>
      <c r="E9" s="142"/>
      <c r="F9" s="143"/>
      <c r="G9" s="143"/>
      <c r="H9" s="157"/>
      <c r="I9" s="145"/>
      <c r="J9" s="142"/>
      <c r="K9" s="143"/>
      <c r="L9" s="143"/>
      <c r="M9" s="157"/>
      <c r="N9" s="145"/>
      <c r="O9" s="142"/>
      <c r="P9" s="143"/>
      <c r="Q9" s="143"/>
      <c r="R9" s="157"/>
      <c r="S9" s="145"/>
      <c r="T9" s="142"/>
      <c r="U9" s="143"/>
      <c r="V9" s="143"/>
      <c r="W9" s="157"/>
      <c r="X9" s="145">
        <v>2065</v>
      </c>
      <c r="Y9" s="142">
        <v>568</v>
      </c>
      <c r="Z9" s="143">
        <v>548</v>
      </c>
      <c r="AA9" s="143">
        <v>648</v>
      </c>
      <c r="AB9" s="157">
        <f>AC9-SUM(Y9:AA9)</f>
        <v>541</v>
      </c>
      <c r="AC9" s="145">
        <v>2305</v>
      </c>
      <c r="AD9" s="142">
        <v>805</v>
      </c>
      <c r="AE9" s="143">
        <v>560</v>
      </c>
      <c r="AF9" s="143">
        <v>529</v>
      </c>
      <c r="AG9" s="157">
        <f>AH9-SUM(AD9:AF9)</f>
        <v>542</v>
      </c>
      <c r="AH9" s="145">
        <v>2436</v>
      </c>
      <c r="AI9" s="142">
        <v>716</v>
      </c>
      <c r="AJ9" s="143">
        <v>491</v>
      </c>
      <c r="AK9" s="143">
        <v>564</v>
      </c>
      <c r="AL9" s="157">
        <f>AM9-SUM(AI9:AK9)</f>
        <v>393.80000000000018</v>
      </c>
      <c r="AM9" s="145">
        <f>1018.3+1146.5</f>
        <v>2164.8000000000002</v>
      </c>
      <c r="AN9" s="142">
        <v>479.5</v>
      </c>
      <c r="AO9" s="143">
        <v>443.7</v>
      </c>
      <c r="AP9" s="143">
        <v>567.4</v>
      </c>
      <c r="AQ9" s="157">
        <f>AR9-SUM(AN9:AP9)</f>
        <v>458</v>
      </c>
      <c r="AR9" s="145">
        <v>1948.6</v>
      </c>
      <c r="AS9" s="142">
        <v>405.2</v>
      </c>
      <c r="AT9" s="143">
        <v>302.89999999999998</v>
      </c>
      <c r="AU9" s="143">
        <v>354.6</v>
      </c>
      <c r="AV9" s="157">
        <f>AW9-SUM(AS9:AU9)</f>
        <v>314.50000000000023</v>
      </c>
      <c r="AW9" s="145">
        <v>1377.2</v>
      </c>
      <c r="AX9" s="161">
        <f>AX221+AX100</f>
        <v>519.52863589128719</v>
      </c>
      <c r="AY9" s="160">
        <f>AY221+AY100</f>
        <v>415.07583501000778</v>
      </c>
      <c r="AZ9" s="160">
        <f>AZ221+AZ100</f>
        <v>443.41702216434112</v>
      </c>
      <c r="BA9" s="144">
        <f>BA221+BA100</f>
        <v>403.6454488310078</v>
      </c>
      <c r="BB9" s="109">
        <f>SUM(AX9:BA9)</f>
        <v>1781.6669418966439</v>
      </c>
      <c r="BC9" s="161">
        <f>BC221+BC100</f>
        <v>443.99861998283546</v>
      </c>
      <c r="BD9" s="160">
        <f>BD221+BD100</f>
        <v>318.44300997474636</v>
      </c>
      <c r="BE9" s="160">
        <f>BE221+BE100</f>
        <v>366.63903545847887</v>
      </c>
      <c r="BF9" s="144">
        <f>BF221+BF100</f>
        <v>440.33998879463678</v>
      </c>
      <c r="BG9" s="109">
        <f>SUM(BC9:BF9)</f>
        <v>1569.4206542106976</v>
      </c>
      <c r="BH9" s="161">
        <f>BH221+BH100</f>
        <v>439.80528034190155</v>
      </c>
      <c r="BI9" s="160">
        <f>BI221+BI100</f>
        <v>318.959709912959</v>
      </c>
      <c r="BJ9" s="160">
        <f>BJ221+BJ100</f>
        <v>452.6478943108358</v>
      </c>
      <c r="BK9" s="144">
        <f>BK221+BK100</f>
        <v>430.03802590562236</v>
      </c>
      <c r="BL9" s="109">
        <f>SUM(BH9:BK9)</f>
        <v>1641.4509104713188</v>
      </c>
      <c r="BM9" s="161">
        <f>BM221+BM100</f>
        <v>413.91770993373035</v>
      </c>
      <c r="BN9" s="160">
        <f>BN221+BN100</f>
        <v>342.10452362247446</v>
      </c>
      <c r="BO9" s="160">
        <f>BO221+BO100</f>
        <v>373.80326308554464</v>
      </c>
      <c r="BP9" s="144">
        <f>BP221+BP100</f>
        <v>374.12154904852582</v>
      </c>
      <c r="BQ9" s="109">
        <f>SUM(BM9:BP9)</f>
        <v>1503.9470456902752</v>
      </c>
      <c r="BR9" s="242"/>
      <c r="BS9" s="242"/>
      <c r="BU9" s="568"/>
      <c r="BV9" s="568"/>
      <c r="BW9" s="568"/>
      <c r="BX9" s="568"/>
      <c r="BY9" s="242"/>
      <c r="BZ9" s="242"/>
      <c r="CA9" s="242"/>
      <c r="CB9" s="242"/>
      <c r="CC9" s="242"/>
      <c r="CD9" s="242"/>
      <c r="CE9" s="242"/>
      <c r="CF9" s="242"/>
      <c r="CG9" s="242"/>
      <c r="CH9" s="242"/>
      <c r="CI9" s="242"/>
      <c r="CJ9" s="242"/>
      <c r="CK9" s="242"/>
      <c r="CL9" s="242"/>
      <c r="CM9" s="242"/>
      <c r="CN9" s="242"/>
      <c r="CO9" s="242"/>
      <c r="CP9" s="242"/>
      <c r="CQ9" s="242"/>
      <c r="CR9" s="242"/>
      <c r="CS9" s="242"/>
      <c r="CT9" s="242"/>
      <c r="CU9" s="242"/>
      <c r="CV9" s="242"/>
      <c r="CW9" s="242"/>
      <c r="CX9" s="242"/>
      <c r="CY9" s="242"/>
      <c r="CZ9" s="242"/>
    </row>
    <row r="10" spans="1:110">
      <c r="A10" s="111"/>
      <c r="B10" s="111"/>
      <c r="C10" s="56" t="s">
        <v>950</v>
      </c>
      <c r="D10" s="112"/>
      <c r="E10" s="149"/>
      <c r="F10" s="150"/>
      <c r="G10" s="150"/>
      <c r="H10" s="151"/>
      <c r="I10" s="112"/>
      <c r="J10" s="149"/>
      <c r="K10" s="150"/>
      <c r="L10" s="150"/>
      <c r="M10" s="151"/>
      <c r="N10" s="112"/>
      <c r="O10" s="149"/>
      <c r="P10" s="150"/>
      <c r="Q10" s="150"/>
      <c r="R10" s="151"/>
      <c r="S10" s="112"/>
      <c r="T10" s="149"/>
      <c r="U10" s="150"/>
      <c r="V10" s="150"/>
      <c r="W10" s="151"/>
      <c r="X10" s="112">
        <f t="shared" ref="X10:BL10" si="0">+X8-X9</f>
        <v>1402</v>
      </c>
      <c r="Y10" s="149">
        <f t="shared" si="0"/>
        <v>352</v>
      </c>
      <c r="Z10" s="150">
        <f t="shared" si="0"/>
        <v>344</v>
      </c>
      <c r="AA10" s="150">
        <f t="shared" si="0"/>
        <v>353</v>
      </c>
      <c r="AB10" s="151">
        <f t="shared" si="0"/>
        <v>311</v>
      </c>
      <c r="AC10" s="112">
        <f t="shared" si="0"/>
        <v>1360</v>
      </c>
      <c r="AD10" s="149">
        <f t="shared" si="0"/>
        <v>446</v>
      </c>
      <c r="AE10" s="150">
        <f t="shared" si="0"/>
        <v>353</v>
      </c>
      <c r="AF10" s="150">
        <f t="shared" si="0"/>
        <v>372</v>
      </c>
      <c r="AG10" s="151">
        <f t="shared" si="0"/>
        <v>243</v>
      </c>
      <c r="AH10" s="112">
        <f t="shared" si="0"/>
        <v>1414</v>
      </c>
      <c r="AI10" s="149">
        <f t="shared" si="0"/>
        <v>454</v>
      </c>
      <c r="AJ10" s="150">
        <f t="shared" si="0"/>
        <v>310</v>
      </c>
      <c r="AK10" s="150">
        <f t="shared" si="0"/>
        <v>271</v>
      </c>
      <c r="AL10" s="151">
        <f t="shared" si="0"/>
        <v>212.89999999999964</v>
      </c>
      <c r="AM10" s="112">
        <f t="shared" si="0"/>
        <v>1247.8999999999996</v>
      </c>
      <c r="AN10" s="149">
        <f t="shared" ref="AN10:AS10" si="1">+AN8-AN9</f>
        <v>268.5</v>
      </c>
      <c r="AO10" s="150">
        <f t="shared" si="1"/>
        <v>240.09999999999997</v>
      </c>
      <c r="AP10" s="150">
        <f t="shared" si="1"/>
        <v>292</v>
      </c>
      <c r="AQ10" s="151">
        <f t="shared" si="1"/>
        <v>236.80000000000018</v>
      </c>
      <c r="AR10" s="112">
        <f t="shared" si="1"/>
        <v>1037.4000000000001</v>
      </c>
      <c r="AS10" s="149">
        <f t="shared" si="1"/>
        <v>186.2</v>
      </c>
      <c r="AT10" s="150">
        <f t="shared" si="0"/>
        <v>107.70000000000005</v>
      </c>
      <c r="AU10" s="150">
        <f t="shared" si="0"/>
        <v>110.89999999999998</v>
      </c>
      <c r="AV10" s="151">
        <f t="shared" si="0"/>
        <v>93.099999999999682</v>
      </c>
      <c r="AW10" s="112">
        <f t="shared" si="0"/>
        <v>497.89999999999986</v>
      </c>
      <c r="AX10" s="149">
        <f t="shared" si="0"/>
        <v>108.93563895216107</v>
      </c>
      <c r="AY10" s="150">
        <f t="shared" si="0"/>
        <v>103.81739370096608</v>
      </c>
      <c r="AZ10" s="150">
        <f t="shared" si="0"/>
        <v>103.04678741590931</v>
      </c>
      <c r="BA10" s="151">
        <f t="shared" si="0"/>
        <v>96.356210239792574</v>
      </c>
      <c r="BB10" s="112">
        <f t="shared" si="0"/>
        <v>412.15603030882903</v>
      </c>
      <c r="BC10" s="149">
        <f t="shared" si="0"/>
        <v>110.93551225382879</v>
      </c>
      <c r="BD10" s="150">
        <f t="shared" si="0"/>
        <v>83.333254645430713</v>
      </c>
      <c r="BE10" s="150">
        <f t="shared" si="0"/>
        <v>87.627558188999444</v>
      </c>
      <c r="BF10" s="151">
        <f t="shared" si="0"/>
        <v>91.093973401604956</v>
      </c>
      <c r="BG10" s="112">
        <f t="shared" si="0"/>
        <v>372.99029848986356</v>
      </c>
      <c r="BH10" s="149">
        <f t="shared" si="0"/>
        <v>104.68793208387189</v>
      </c>
      <c r="BI10" s="150">
        <f t="shared" si="0"/>
        <v>82.929448505883613</v>
      </c>
      <c r="BJ10" s="150">
        <f t="shared" si="0"/>
        <v>105.50572446706974</v>
      </c>
      <c r="BK10" s="151">
        <f t="shared" si="0"/>
        <v>91.136417588723134</v>
      </c>
      <c r="BL10" s="112">
        <f t="shared" si="0"/>
        <v>384.25952264554826</v>
      </c>
      <c r="BM10" s="149">
        <f>+BM8-BM9</f>
        <v>113.45128430204039</v>
      </c>
      <c r="BN10" s="150">
        <f>+BN8-BN9</f>
        <v>108.60543591174365</v>
      </c>
      <c r="BO10" s="150">
        <f>+BO8-BO9</f>
        <v>110.71143591174365</v>
      </c>
      <c r="BP10" s="151">
        <f>+BP8-BP9</f>
        <v>103.99328012679172</v>
      </c>
      <c r="BQ10" s="112">
        <f>+BQ8-BQ9</f>
        <v>436.7614362523193</v>
      </c>
      <c r="BR10" s="111"/>
      <c r="BS10" s="242"/>
      <c r="BU10" s="568"/>
      <c r="BV10" s="568"/>
      <c r="BW10" s="568"/>
      <c r="BX10" s="568"/>
      <c r="BY10" s="111"/>
      <c r="BZ10" s="111"/>
      <c r="CA10" s="111"/>
      <c r="CB10" s="111"/>
      <c r="CC10" s="111"/>
      <c r="CD10" s="111"/>
      <c r="CE10" s="111"/>
      <c r="CF10" s="111"/>
      <c r="CG10" s="111"/>
      <c r="CH10" s="111"/>
      <c r="CI10" s="111"/>
      <c r="CJ10" s="111"/>
      <c r="CK10" s="111"/>
      <c r="CL10" s="111"/>
      <c r="CM10" s="111"/>
      <c r="CN10" s="111"/>
      <c r="CO10" s="111"/>
      <c r="CP10" s="111"/>
      <c r="CQ10" s="111"/>
      <c r="CR10" s="111"/>
      <c r="CS10" s="111"/>
      <c r="CT10" s="111"/>
      <c r="CU10" s="111"/>
      <c r="CV10" s="111"/>
      <c r="CW10" s="111"/>
      <c r="CX10" s="111"/>
      <c r="CY10" s="111"/>
      <c r="CZ10" s="111"/>
    </row>
    <row r="11" spans="1:110">
      <c r="A11" s="496"/>
      <c r="B11" s="496"/>
      <c r="C11" s="50"/>
      <c r="D11" s="561"/>
      <c r="E11" s="578"/>
      <c r="F11" s="579"/>
      <c r="G11" s="579"/>
      <c r="H11" s="580"/>
      <c r="I11" s="561"/>
      <c r="J11" s="578"/>
      <c r="K11" s="579"/>
      <c r="L11" s="579"/>
      <c r="M11" s="580"/>
      <c r="N11" s="561"/>
      <c r="O11" s="578"/>
      <c r="P11" s="579"/>
      <c r="Q11" s="579"/>
      <c r="R11" s="580"/>
      <c r="S11" s="561"/>
      <c r="T11" s="578"/>
      <c r="U11" s="579"/>
      <c r="V11" s="579"/>
      <c r="W11" s="580"/>
      <c r="X11" s="561"/>
      <c r="Y11" s="578"/>
      <c r="Z11" s="579"/>
      <c r="AA11" s="1285"/>
      <c r="AB11" s="1286"/>
      <c r="AC11" s="782"/>
      <c r="AD11" s="1284"/>
      <c r="AE11" s="1285"/>
      <c r="AF11" s="1285"/>
      <c r="AG11" s="1286"/>
      <c r="AH11" s="782"/>
      <c r="AI11" s="1284"/>
      <c r="AJ11" s="1285"/>
      <c r="AK11" s="1285"/>
      <c r="AL11" s="1286"/>
      <c r="AM11" s="782"/>
      <c r="AN11" s="1284"/>
      <c r="AO11" s="1285"/>
      <c r="AP11" s="1285"/>
      <c r="AQ11" s="1286"/>
      <c r="AR11" s="782"/>
      <c r="AS11" s="1284"/>
      <c r="AT11" s="1285"/>
      <c r="AU11" s="1285"/>
      <c r="AV11" s="1286"/>
      <c r="AW11" s="782"/>
      <c r="AX11" s="578"/>
      <c r="AY11" s="579"/>
      <c r="AZ11" s="579"/>
      <c r="BA11" s="580"/>
      <c r="BB11" s="496"/>
      <c r="BC11" s="578"/>
      <c r="BD11" s="579"/>
      <c r="BE11" s="579"/>
      <c r="BF11" s="580"/>
      <c r="BG11" s="496"/>
      <c r="BH11" s="578"/>
      <c r="BI11" s="579"/>
      <c r="BJ11" s="579"/>
      <c r="BK11" s="580"/>
      <c r="BL11" s="496"/>
      <c r="BM11" s="578"/>
      <c r="BN11" s="579"/>
      <c r="BO11" s="579"/>
      <c r="BP11" s="580"/>
      <c r="BQ11" s="496"/>
      <c r="BR11" s="496"/>
      <c r="BS11" s="496"/>
      <c r="BU11" s="568"/>
      <c r="BV11" s="568"/>
      <c r="BW11" s="568"/>
      <c r="BX11" s="568"/>
      <c r="BY11" s="496"/>
      <c r="BZ11" s="496"/>
      <c r="CA11" s="496"/>
      <c r="CB11" s="496"/>
      <c r="CC11" s="496"/>
      <c r="CD11" s="496"/>
      <c r="CE11" s="496"/>
      <c r="CF11" s="496"/>
      <c r="CG11" s="496"/>
      <c r="CH11" s="496"/>
      <c r="CI11" s="496"/>
      <c r="CJ11" s="496"/>
      <c r="CK11" s="496"/>
      <c r="CL11" s="496"/>
      <c r="CM11" s="496"/>
      <c r="CN11" s="496"/>
      <c r="CO11" s="496"/>
      <c r="CP11" s="496"/>
      <c r="CQ11" s="496"/>
      <c r="CR11" s="496"/>
      <c r="CS11" s="496"/>
      <c r="CT11" s="496"/>
      <c r="CU11" s="496"/>
      <c r="CV11" s="496"/>
      <c r="CW11" s="496"/>
      <c r="CX11" s="496"/>
      <c r="CY11" s="496"/>
      <c r="CZ11" s="496"/>
    </row>
    <row r="12" spans="1:110">
      <c r="A12" s="496"/>
      <c r="B12" s="496"/>
      <c r="C12" s="50" t="s">
        <v>1010</v>
      </c>
      <c r="D12" s="561"/>
      <c r="E12" s="142"/>
      <c r="F12" s="143"/>
      <c r="G12" s="143"/>
      <c r="H12" s="157"/>
      <c r="I12" s="145"/>
      <c r="J12" s="142"/>
      <c r="K12" s="143"/>
      <c r="L12" s="143"/>
      <c r="M12" s="157"/>
      <c r="N12" s="145"/>
      <c r="O12" s="142"/>
      <c r="P12" s="143"/>
      <c r="Q12" s="143"/>
      <c r="R12" s="157"/>
      <c r="S12" s="145"/>
      <c r="T12" s="142"/>
      <c r="U12" s="143"/>
      <c r="V12" s="143"/>
      <c r="W12" s="157"/>
      <c r="X12" s="145">
        <v>507</v>
      </c>
      <c r="Y12" s="142">
        <v>124</v>
      </c>
      <c r="Z12" s="143">
        <v>112</v>
      </c>
      <c r="AA12" s="143">
        <v>106</v>
      </c>
      <c r="AB12" s="157">
        <f>AC12-SUM(Y12:AA12)</f>
        <v>181</v>
      </c>
      <c r="AC12" s="145">
        <v>523</v>
      </c>
      <c r="AD12" s="142">
        <v>116</v>
      </c>
      <c r="AE12" s="143">
        <v>125</v>
      </c>
      <c r="AF12" s="143">
        <v>122</v>
      </c>
      <c r="AG12" s="157">
        <f>AH12-SUM(AD12:AF12)</f>
        <v>187</v>
      </c>
      <c r="AH12" s="145">
        <v>550</v>
      </c>
      <c r="AI12" s="142">
        <v>100</v>
      </c>
      <c r="AJ12" s="143">
        <v>116</v>
      </c>
      <c r="AK12" s="143">
        <v>61</v>
      </c>
      <c r="AL12" s="157">
        <f>AM12-SUM(AI12:AK12)</f>
        <v>131.19999999999999</v>
      </c>
      <c r="AM12" s="145">
        <v>408.2</v>
      </c>
      <c r="AN12" s="142">
        <v>93.6</v>
      </c>
      <c r="AO12" s="143">
        <v>100.8</v>
      </c>
      <c r="AP12" s="143">
        <v>95.8</v>
      </c>
      <c r="AQ12" s="157">
        <f>AR12-SUM(AN12:AP12)</f>
        <v>128.19999999999999</v>
      </c>
      <c r="AR12" s="145">
        <v>418.4</v>
      </c>
      <c r="AS12" s="142">
        <v>86.3</v>
      </c>
      <c r="AT12" s="143">
        <v>68.599999999999994</v>
      </c>
      <c r="AU12" s="143">
        <v>56.5</v>
      </c>
      <c r="AV12" s="157">
        <f>AW12-SUM(AS12:AU12)</f>
        <v>59.200000000000045</v>
      </c>
      <c r="AW12" s="145">
        <v>270.60000000000002</v>
      </c>
      <c r="AX12" s="578">
        <f>AX289</f>
        <v>78.295000000000016</v>
      </c>
      <c r="AY12" s="581">
        <f>AY289</f>
        <v>69.224999999999994</v>
      </c>
      <c r="AZ12" s="581">
        <f>AZ289</f>
        <v>45.825000000000003</v>
      </c>
      <c r="BA12" s="580">
        <f>BA289</f>
        <v>47.985000000000042</v>
      </c>
      <c r="BB12" s="561">
        <f>SUM(AX12:BA12)</f>
        <v>241.33000000000007</v>
      </c>
      <c r="BC12" s="578">
        <f>BC289</f>
        <v>63.261000000000017</v>
      </c>
      <c r="BD12" s="581">
        <f>BD289</f>
        <v>56.004999999999995</v>
      </c>
      <c r="BE12" s="581">
        <f>BE289</f>
        <v>46.45</v>
      </c>
      <c r="BF12" s="580">
        <f>BF289</f>
        <v>48.610000000000042</v>
      </c>
      <c r="BG12" s="561">
        <f>SUM(BC12:BF12)</f>
        <v>214.32600000000005</v>
      </c>
      <c r="BH12" s="578">
        <f>BH289</f>
        <v>63.886000000000017</v>
      </c>
      <c r="BI12" s="581">
        <f>BI289</f>
        <v>56.629999999999995</v>
      </c>
      <c r="BJ12" s="581">
        <f>BJ289</f>
        <v>47.075000000000003</v>
      </c>
      <c r="BK12" s="580">
        <f>BK289</f>
        <v>49.235000000000042</v>
      </c>
      <c r="BL12" s="561">
        <f>SUM(BH12:BK12)</f>
        <v>216.82600000000005</v>
      </c>
      <c r="BM12" s="578">
        <f>BM289</f>
        <v>64.511000000000024</v>
      </c>
      <c r="BN12" s="581">
        <f>BN289</f>
        <v>57.1624074074074</v>
      </c>
      <c r="BO12" s="581">
        <f>BO289</f>
        <v>47.167592592592598</v>
      </c>
      <c r="BP12" s="580">
        <f>BP289</f>
        <v>49.235000000000042</v>
      </c>
      <c r="BQ12" s="561">
        <f>SUM(BM12:BP12)</f>
        <v>218.07600000000005</v>
      </c>
      <c r="BR12" s="496"/>
      <c r="BS12" s="496"/>
      <c r="BU12" s="568"/>
      <c r="BV12" s="568"/>
      <c r="BW12" s="568"/>
      <c r="BX12" s="568"/>
      <c r="BY12" s="496"/>
      <c r="BZ12" s="496"/>
      <c r="CA12" s="496"/>
      <c r="CB12" s="496"/>
      <c r="CC12" s="496"/>
      <c r="CD12" s="496"/>
      <c r="CE12" s="496"/>
      <c r="CF12" s="496"/>
      <c r="CG12" s="496"/>
      <c r="CH12" s="496"/>
      <c r="CI12" s="496"/>
      <c r="CJ12" s="496"/>
      <c r="CK12" s="496"/>
      <c r="CL12" s="496"/>
      <c r="CM12" s="496"/>
      <c r="CN12" s="496"/>
      <c r="CO12" s="496"/>
      <c r="CP12" s="496"/>
      <c r="CQ12" s="496"/>
      <c r="CR12" s="496"/>
      <c r="CS12" s="496"/>
      <c r="CT12" s="496"/>
      <c r="CU12" s="496"/>
      <c r="CV12" s="496"/>
      <c r="CW12" s="496"/>
      <c r="CX12" s="496"/>
      <c r="CY12" s="496"/>
      <c r="CZ12" s="496"/>
    </row>
    <row r="13" spans="1:110">
      <c r="A13" s="496"/>
      <c r="B13" s="496"/>
      <c r="C13" s="50" t="s">
        <v>1016</v>
      </c>
      <c r="D13" s="561"/>
      <c r="E13" s="142"/>
      <c r="F13" s="143"/>
      <c r="G13" s="143"/>
      <c r="H13" s="157"/>
      <c r="I13" s="145"/>
      <c r="J13" s="142"/>
      <c r="K13" s="143"/>
      <c r="L13" s="143"/>
      <c r="M13" s="157"/>
      <c r="N13" s="145"/>
      <c r="O13" s="142"/>
      <c r="P13" s="143"/>
      <c r="Q13" s="143"/>
      <c r="R13" s="157"/>
      <c r="S13" s="145"/>
      <c r="T13" s="142"/>
      <c r="U13" s="143"/>
      <c r="V13" s="143"/>
      <c r="W13" s="157"/>
      <c r="X13" s="145">
        <v>349</v>
      </c>
      <c r="Y13" s="142">
        <v>62</v>
      </c>
      <c r="Z13" s="143">
        <v>61</v>
      </c>
      <c r="AA13" s="143">
        <v>57</v>
      </c>
      <c r="AB13" s="157">
        <f>AC13-SUM(Y13:AA13)</f>
        <v>56</v>
      </c>
      <c r="AC13" s="145">
        <v>236</v>
      </c>
      <c r="AD13" s="142">
        <v>57</v>
      </c>
      <c r="AE13" s="143">
        <v>56</v>
      </c>
      <c r="AF13" s="143">
        <v>56</v>
      </c>
      <c r="AG13" s="157">
        <f>AH13-SUM(AD13:AF13)</f>
        <v>58</v>
      </c>
      <c r="AH13" s="145">
        <v>227</v>
      </c>
      <c r="AI13" s="142">
        <v>50</v>
      </c>
      <c r="AJ13" s="143">
        <v>51</v>
      </c>
      <c r="AK13" s="143">
        <v>51</v>
      </c>
      <c r="AL13" s="157">
        <f>AM13-SUM(AI13:AK13)</f>
        <v>49.400000000000006</v>
      </c>
      <c r="AM13" s="145">
        <v>201.4</v>
      </c>
      <c r="AN13" s="142">
        <v>48.7</v>
      </c>
      <c r="AO13" s="143">
        <v>50.6</v>
      </c>
      <c r="AP13" s="143">
        <v>50.5</v>
      </c>
      <c r="AQ13" s="157">
        <f>AR13-SUM(AN13:AP13)</f>
        <v>4.7999999999999829</v>
      </c>
      <c r="AR13" s="145">
        <v>154.6</v>
      </c>
      <c r="AS13" s="142">
        <v>5.7</v>
      </c>
      <c r="AT13" s="143">
        <f>5.6</f>
        <v>5.6</v>
      </c>
      <c r="AU13" s="143">
        <v>6.2</v>
      </c>
      <c r="AV13" s="157">
        <f>AW13-SUM(AS13:AU13)</f>
        <v>6.6999999999999993</v>
      </c>
      <c r="AW13" s="145">
        <v>24.2</v>
      </c>
      <c r="AX13" s="578">
        <f>AX315</f>
        <v>5.6960000000000006</v>
      </c>
      <c r="AY13" s="581">
        <f>AY315</f>
        <v>6.7286233333333341</v>
      </c>
      <c r="AZ13" s="581">
        <f>AZ315</f>
        <v>7.7509204333333344</v>
      </c>
      <c r="BA13" s="580">
        <f>BA315</f>
        <v>8.7629945623333345</v>
      </c>
      <c r="BB13" s="561">
        <f>SUM(AX13:BA13)</f>
        <v>28.938538329000004</v>
      </c>
      <c r="BC13" s="578">
        <f>BC315</f>
        <v>9.1386156090198547</v>
      </c>
      <c r="BD13" s="581">
        <f>BD315</f>
        <v>10.0084472277</v>
      </c>
      <c r="BE13" s="581">
        <f>BE315</f>
        <v>10.870138447835927</v>
      </c>
      <c r="BF13" s="580">
        <f>BF315</f>
        <v>11.72376545208993</v>
      </c>
      <c r="BG13" s="561">
        <f>SUM(BC13:BF13)</f>
        <v>41.74096673664571</v>
      </c>
      <c r="BH13" s="578">
        <f>BH315</f>
        <v>12.569403710161909</v>
      </c>
      <c r="BI13" s="581">
        <f>BI315</f>
        <v>13.407127985461695</v>
      </c>
      <c r="BJ13" s="581">
        <f>BJ315</f>
        <v>14.237012341718927</v>
      </c>
      <c r="BK13" s="580">
        <f>BK315</f>
        <v>15.059130149531073</v>
      </c>
      <c r="BL13" s="561">
        <f>SUM(BH13:BK13)</f>
        <v>55.272674186873601</v>
      </c>
      <c r="BM13" s="578">
        <f>BM315</f>
        <v>15.873554092850179</v>
      </c>
      <c r="BN13" s="581">
        <f>BN315</f>
        <v>15.900473574244305</v>
      </c>
      <c r="BO13" s="581">
        <f>BO315</f>
        <v>15.927141127216371</v>
      </c>
      <c r="BP13" s="580">
        <f>BP315</f>
        <v>15.953559109461496</v>
      </c>
      <c r="BQ13" s="561">
        <f>SUM(BM13:BP13)</f>
        <v>63.654727903772354</v>
      </c>
      <c r="BR13" s="496"/>
      <c r="BS13" s="496"/>
      <c r="BU13" s="568"/>
      <c r="BV13" s="568"/>
      <c r="BW13" s="568"/>
      <c r="BX13" s="568"/>
      <c r="BY13" s="496"/>
      <c r="BZ13" s="496"/>
      <c r="CA13" s="496"/>
      <c r="CB13" s="496"/>
      <c r="CC13" s="496"/>
      <c r="CD13" s="496"/>
      <c r="CE13" s="496"/>
      <c r="CF13" s="496"/>
      <c r="CG13" s="496"/>
      <c r="CH13" s="496"/>
      <c r="CI13" s="496"/>
      <c r="CJ13" s="496"/>
      <c r="CK13" s="496"/>
      <c r="CL13" s="496"/>
      <c r="CM13" s="496"/>
      <c r="CN13" s="496"/>
      <c r="CO13" s="496"/>
      <c r="CP13" s="496"/>
      <c r="CQ13" s="496"/>
      <c r="CR13" s="496"/>
      <c r="CS13" s="496"/>
      <c r="CT13" s="496"/>
      <c r="CU13" s="496"/>
      <c r="CV13" s="496"/>
      <c r="CW13" s="496"/>
      <c r="CX13" s="496"/>
      <c r="CY13" s="496"/>
      <c r="CZ13" s="496"/>
    </row>
    <row r="14" spans="1:110">
      <c r="A14" s="496"/>
      <c r="B14" s="496"/>
      <c r="C14" t="s">
        <v>1017</v>
      </c>
      <c r="D14" s="561"/>
      <c r="E14" s="142"/>
      <c r="F14" s="143"/>
      <c r="G14" s="143"/>
      <c r="H14" s="157"/>
      <c r="I14" s="145"/>
      <c r="J14" s="142"/>
      <c r="K14" s="143"/>
      <c r="L14" s="143"/>
      <c r="M14" s="157"/>
      <c r="N14" s="145"/>
      <c r="O14" s="142"/>
      <c r="P14" s="143"/>
      <c r="Q14" s="143"/>
      <c r="R14" s="157"/>
      <c r="S14" s="145"/>
      <c r="T14" s="142"/>
      <c r="U14" s="143"/>
      <c r="V14" s="143"/>
      <c r="W14" s="157"/>
      <c r="X14" s="145">
        <v>62</v>
      </c>
      <c r="Y14" s="142">
        <v>16</v>
      </c>
      <c r="Z14" s="143">
        <v>17</v>
      </c>
      <c r="AA14" s="143">
        <v>11</v>
      </c>
      <c r="AB14" s="157">
        <f>AC14-SUM(Y14:AA14)</f>
        <v>10</v>
      </c>
      <c r="AC14" s="145">
        <v>54</v>
      </c>
      <c r="AD14" s="142">
        <v>12</v>
      </c>
      <c r="AE14" s="143">
        <v>13</v>
      </c>
      <c r="AF14" s="143">
        <v>12</v>
      </c>
      <c r="AG14" s="157">
        <f>AH14-SUM(AD14:AF14)</f>
        <v>13</v>
      </c>
      <c r="AH14" s="145">
        <v>50</v>
      </c>
      <c r="AI14" s="142">
        <v>9</v>
      </c>
      <c r="AJ14" s="143">
        <v>11</v>
      </c>
      <c r="AK14" s="143">
        <v>10</v>
      </c>
      <c r="AL14" s="157">
        <f>AM14-SUM(AI14:AK14)</f>
        <v>10.700000000000003</v>
      </c>
      <c r="AM14" s="145">
        <v>40.700000000000003</v>
      </c>
      <c r="AN14" s="142">
        <v>9.9</v>
      </c>
      <c r="AO14" s="143">
        <v>10.4</v>
      </c>
      <c r="AP14" s="143">
        <v>8.6999999999999993</v>
      </c>
      <c r="AQ14" s="157">
        <f>AR14-SUM(AN14:AP14)</f>
        <v>8.6000000000000014</v>
      </c>
      <c r="AR14" s="145">
        <v>37.6</v>
      </c>
      <c r="AS14" s="142">
        <v>2</v>
      </c>
      <c r="AT14" s="143">
        <v>3.7</v>
      </c>
      <c r="AU14" s="143">
        <v>3.2</v>
      </c>
      <c r="AV14" s="157">
        <f>AW14-SUM(AS14:AU14)</f>
        <v>3.1999999999999993</v>
      </c>
      <c r="AW14" s="145">
        <v>12.1</v>
      </c>
      <c r="AX14" s="578">
        <f>AX298</f>
        <v>7.1608647803670378</v>
      </c>
      <c r="AY14" s="581">
        <f>AY298</f>
        <v>8.9330253075422767</v>
      </c>
      <c r="AZ14" s="581">
        <f>AZ298</f>
        <v>7.4728192476555568</v>
      </c>
      <c r="BA14" s="580">
        <f>BA298</f>
        <v>7.3869247735445756</v>
      </c>
      <c r="BB14" s="561">
        <f>SUM(AX14:BA14)</f>
        <v>30.953634109109448</v>
      </c>
      <c r="BC14" s="578">
        <f>BC298</f>
        <v>7.304082075974379</v>
      </c>
      <c r="BD14" s="581">
        <f>BD298</f>
        <v>9.1116858136931231</v>
      </c>
      <c r="BE14" s="581">
        <f>BE298</f>
        <v>7.6222756326086678</v>
      </c>
      <c r="BF14" s="580">
        <f>BF298</f>
        <v>7.5346632690154669</v>
      </c>
      <c r="BG14" s="561">
        <f>SUM(BC14:BF14)</f>
        <v>31.572706791291637</v>
      </c>
      <c r="BH14" s="578">
        <f>BH298</f>
        <v>7.4501637174938669</v>
      </c>
      <c r="BI14" s="581">
        <f>BI298</f>
        <v>9.2939195299669866</v>
      </c>
      <c r="BJ14" s="581">
        <f>BJ298</f>
        <v>7.7747211452608411</v>
      </c>
      <c r="BK14" s="580">
        <f>BK298</f>
        <v>7.6853565343957762</v>
      </c>
      <c r="BL14" s="561">
        <f>SUM(BH14:BK14)</f>
        <v>32.204160927117471</v>
      </c>
      <c r="BM14" s="578">
        <f>BM298</f>
        <v>7.5991669918437443</v>
      </c>
      <c r="BN14" s="581">
        <f>BN298</f>
        <v>9.4797979205663268</v>
      </c>
      <c r="BO14" s="581">
        <f>BO298</f>
        <v>7.9302155681660578</v>
      </c>
      <c r="BP14" s="580">
        <f>BP298</f>
        <v>7.8390636650836916</v>
      </c>
      <c r="BQ14" s="561">
        <f>SUM(BM14:BP14)</f>
        <v>32.84824414565982</v>
      </c>
      <c r="BR14" s="496"/>
      <c r="BS14" s="496"/>
      <c r="BU14" s="568"/>
      <c r="BV14" s="568"/>
      <c r="BW14" s="568"/>
      <c r="BX14" s="568"/>
      <c r="BY14" s="496"/>
      <c r="BZ14" s="496"/>
      <c r="CA14" s="496"/>
      <c r="CB14" s="496"/>
      <c r="CC14" s="496"/>
      <c r="CD14" s="496"/>
      <c r="CE14" s="496"/>
      <c r="CF14" s="496"/>
      <c r="CG14" s="496"/>
      <c r="CH14" s="496"/>
      <c r="CI14" s="496"/>
      <c r="CJ14" s="496"/>
      <c r="CK14" s="496"/>
      <c r="CL14" s="496"/>
      <c r="CM14" s="496"/>
      <c r="CN14" s="496"/>
      <c r="CO14" s="496"/>
      <c r="CP14" s="496"/>
      <c r="CQ14" s="496"/>
      <c r="CR14" s="496"/>
      <c r="CS14" s="496"/>
      <c r="CT14" s="496"/>
      <c r="CU14" s="496"/>
      <c r="CV14" s="496"/>
      <c r="CW14" s="496"/>
      <c r="CX14" s="496"/>
      <c r="CY14" s="496"/>
      <c r="CZ14" s="496"/>
    </row>
    <row r="15" spans="1:110">
      <c r="A15" s="496"/>
      <c r="B15" s="496"/>
      <c r="C15" s="56" t="s">
        <v>1018</v>
      </c>
      <c r="D15" s="561"/>
      <c r="E15" s="149"/>
      <c r="F15" s="150"/>
      <c r="G15" s="150"/>
      <c r="H15" s="151"/>
      <c r="I15" s="112"/>
      <c r="J15" s="149"/>
      <c r="K15" s="150"/>
      <c r="L15" s="150"/>
      <c r="M15" s="151"/>
      <c r="N15" s="112"/>
      <c r="O15" s="149"/>
      <c r="P15" s="150"/>
      <c r="Q15" s="150"/>
      <c r="R15" s="151"/>
      <c r="S15" s="112"/>
      <c r="T15" s="149"/>
      <c r="U15" s="150"/>
      <c r="V15" s="150"/>
      <c r="W15" s="151"/>
      <c r="X15" s="112">
        <f t="shared" ref="X15:BL15" si="2">SUM(X12:X14,X9)</f>
        <v>2983</v>
      </c>
      <c r="Y15" s="149">
        <f t="shared" si="2"/>
        <v>770</v>
      </c>
      <c r="Z15" s="150">
        <f t="shared" si="2"/>
        <v>738</v>
      </c>
      <c r="AA15" s="150">
        <f t="shared" si="2"/>
        <v>822</v>
      </c>
      <c r="AB15" s="151">
        <f t="shared" si="2"/>
        <v>788</v>
      </c>
      <c r="AC15" s="112">
        <f t="shared" si="2"/>
        <v>3118</v>
      </c>
      <c r="AD15" s="149">
        <f t="shared" si="2"/>
        <v>990</v>
      </c>
      <c r="AE15" s="150">
        <f t="shared" si="2"/>
        <v>754</v>
      </c>
      <c r="AF15" s="150">
        <f t="shared" si="2"/>
        <v>719</v>
      </c>
      <c r="AG15" s="151">
        <f t="shared" si="2"/>
        <v>800</v>
      </c>
      <c r="AH15" s="112">
        <f t="shared" si="2"/>
        <v>3263</v>
      </c>
      <c r="AI15" s="149">
        <f t="shared" si="2"/>
        <v>875</v>
      </c>
      <c r="AJ15" s="150">
        <f t="shared" si="2"/>
        <v>669</v>
      </c>
      <c r="AK15" s="150">
        <f t="shared" si="2"/>
        <v>686</v>
      </c>
      <c r="AL15" s="151">
        <f t="shared" si="2"/>
        <v>585.10000000000014</v>
      </c>
      <c r="AM15" s="112">
        <f t="shared" si="2"/>
        <v>2815.1000000000004</v>
      </c>
      <c r="AN15" s="149">
        <f t="shared" ref="AN15:AS15" si="3">SUM(AN12:AN14,AN9)</f>
        <v>631.70000000000005</v>
      </c>
      <c r="AO15" s="150">
        <f t="shared" si="3"/>
        <v>605.5</v>
      </c>
      <c r="AP15" s="150">
        <f t="shared" si="3"/>
        <v>722.4</v>
      </c>
      <c r="AQ15" s="151">
        <f t="shared" si="3"/>
        <v>599.59999999999991</v>
      </c>
      <c r="AR15" s="112">
        <f t="shared" si="3"/>
        <v>2559.1999999999998</v>
      </c>
      <c r="AS15" s="149">
        <f t="shared" si="3"/>
        <v>499.2</v>
      </c>
      <c r="AT15" s="150">
        <f t="shared" si="2"/>
        <v>380.79999999999995</v>
      </c>
      <c r="AU15" s="150">
        <f t="shared" si="2"/>
        <v>420.5</v>
      </c>
      <c r="AV15" s="151">
        <f t="shared" si="2"/>
        <v>383.60000000000025</v>
      </c>
      <c r="AW15" s="112">
        <f t="shared" si="2"/>
        <v>1684.1000000000001</v>
      </c>
      <c r="AX15" s="149">
        <f t="shared" si="2"/>
        <v>610.68050067165427</v>
      </c>
      <c r="AY15" s="150">
        <f t="shared" si="2"/>
        <v>499.96248365088337</v>
      </c>
      <c r="AZ15" s="150">
        <f t="shared" si="2"/>
        <v>504.46576184533001</v>
      </c>
      <c r="BA15" s="151">
        <f t="shared" si="2"/>
        <v>467.78036816688575</v>
      </c>
      <c r="BB15" s="112">
        <f t="shared" si="2"/>
        <v>2082.8891143347537</v>
      </c>
      <c r="BC15" s="149">
        <f t="shared" si="2"/>
        <v>523.70231766782967</v>
      </c>
      <c r="BD15" s="150">
        <f t="shared" si="2"/>
        <v>393.56814301613952</v>
      </c>
      <c r="BE15" s="150">
        <f t="shared" si="2"/>
        <v>431.58144953892349</v>
      </c>
      <c r="BF15" s="151">
        <f t="shared" si="2"/>
        <v>508.20841751574221</v>
      </c>
      <c r="BG15" s="112">
        <f t="shared" si="2"/>
        <v>1857.0603277386351</v>
      </c>
      <c r="BH15" s="149">
        <f t="shared" si="2"/>
        <v>523.7108477695574</v>
      </c>
      <c r="BI15" s="150">
        <f t="shared" si="2"/>
        <v>398.29075742838768</v>
      </c>
      <c r="BJ15" s="150">
        <f t="shared" si="2"/>
        <v>521.73462779781562</v>
      </c>
      <c r="BK15" s="151">
        <f t="shared" si="2"/>
        <v>502.01751258954926</v>
      </c>
      <c r="BL15" s="112">
        <f t="shared" si="2"/>
        <v>1945.7537455853098</v>
      </c>
      <c r="BM15" s="149">
        <f>SUM(BM12:BM14,BM9)</f>
        <v>501.90143101842432</v>
      </c>
      <c r="BN15" s="150">
        <f>SUM(BN12:BN14,BN9)</f>
        <v>424.64720252469249</v>
      </c>
      <c r="BO15" s="150">
        <f>SUM(BO12:BO14,BO9)</f>
        <v>444.8282123735197</v>
      </c>
      <c r="BP15" s="151">
        <f>SUM(BP12:BP14,BP9)</f>
        <v>447.14917182307101</v>
      </c>
      <c r="BQ15" s="112">
        <f>SUM(BQ12:BQ14,BQ9)</f>
        <v>1818.5260177397074</v>
      </c>
      <c r="BR15" s="496"/>
      <c r="BS15" s="496"/>
      <c r="BU15" s="568"/>
      <c r="BV15" s="568"/>
      <c r="BW15" s="568"/>
      <c r="BX15" s="568"/>
      <c r="BY15" s="496"/>
      <c r="BZ15" s="496"/>
      <c r="CA15" s="496"/>
      <c r="CB15" s="496"/>
      <c r="CC15" s="496"/>
      <c r="CD15" s="496"/>
      <c r="CE15" s="496"/>
      <c r="CF15" s="496"/>
      <c r="CG15" s="496"/>
      <c r="CH15" s="496"/>
      <c r="CI15" s="496"/>
      <c r="CJ15" s="496"/>
      <c r="CK15" s="496"/>
      <c r="CL15" s="496"/>
      <c r="CM15" s="496"/>
      <c r="CN15" s="496"/>
      <c r="CO15" s="496"/>
      <c r="CP15" s="496"/>
      <c r="CQ15" s="496"/>
      <c r="CR15" s="496"/>
      <c r="CS15" s="496"/>
      <c r="CT15" s="496"/>
      <c r="CU15" s="496"/>
      <c r="CV15" s="496"/>
      <c r="CW15" s="496"/>
      <c r="CX15" s="496"/>
      <c r="CY15" s="496"/>
      <c r="CZ15" s="496"/>
    </row>
    <row r="16" spans="1:110">
      <c r="A16" s="496"/>
      <c r="B16" s="496"/>
      <c r="C16" s="50"/>
      <c r="D16" s="561"/>
      <c r="E16" s="578"/>
      <c r="F16" s="579"/>
      <c r="G16" s="579"/>
      <c r="H16" s="144"/>
      <c r="I16" s="145"/>
      <c r="J16" s="578"/>
      <c r="K16" s="579"/>
      <c r="L16" s="579"/>
      <c r="M16" s="144"/>
      <c r="N16" s="145"/>
      <c r="O16" s="578"/>
      <c r="P16" s="579"/>
      <c r="Q16" s="579"/>
      <c r="R16" s="144"/>
      <c r="S16" s="145"/>
      <c r="T16" s="578"/>
      <c r="U16" s="579"/>
      <c r="V16" s="579"/>
      <c r="W16" s="144"/>
      <c r="X16" s="145"/>
      <c r="Y16" s="578"/>
      <c r="Z16" s="579"/>
      <c r="AA16" s="579"/>
      <c r="AB16" s="144"/>
      <c r="AC16" s="145"/>
      <c r="AD16" s="578"/>
      <c r="AE16" s="579"/>
      <c r="AF16" s="579"/>
      <c r="AG16" s="144"/>
      <c r="AH16" s="145"/>
      <c r="AI16" s="578"/>
      <c r="AJ16" s="579"/>
      <c r="AK16" s="579"/>
      <c r="AL16" s="144"/>
      <c r="AM16" s="145"/>
      <c r="AN16" s="578"/>
      <c r="AO16" s="579"/>
      <c r="AP16" s="579"/>
      <c r="AQ16" s="144"/>
      <c r="AR16" s="145"/>
      <c r="AS16" s="578"/>
      <c r="AT16" s="579"/>
      <c r="AU16" s="579"/>
      <c r="AV16" s="144"/>
      <c r="AW16" s="145"/>
      <c r="AX16" s="578"/>
      <c r="AY16" s="579"/>
      <c r="AZ16" s="579"/>
      <c r="BA16" s="580"/>
      <c r="BB16" s="496"/>
      <c r="BC16" s="578"/>
      <c r="BD16" s="579"/>
      <c r="BE16" s="579"/>
      <c r="BF16" s="580"/>
      <c r="BG16" s="496"/>
      <c r="BH16" s="578"/>
      <c r="BI16" s="579"/>
      <c r="BJ16" s="579"/>
      <c r="BK16" s="580"/>
      <c r="BL16" s="496"/>
      <c r="BM16" s="578"/>
      <c r="BN16" s="579"/>
      <c r="BO16" s="579"/>
      <c r="BP16" s="580"/>
      <c r="BQ16" s="496"/>
      <c r="BR16" s="496"/>
      <c r="BS16" s="496"/>
      <c r="BU16" s="568"/>
      <c r="BV16" s="568"/>
      <c r="BW16" s="568"/>
      <c r="BX16" s="568"/>
      <c r="BY16" s="496"/>
      <c r="BZ16" s="496"/>
      <c r="CA16" s="496"/>
      <c r="CB16" s="496"/>
      <c r="CC16" s="496"/>
      <c r="CD16" s="496"/>
      <c r="CE16" s="496"/>
      <c r="CF16" s="496"/>
      <c r="CG16" s="496"/>
      <c r="CH16" s="496"/>
      <c r="CI16" s="496"/>
      <c r="CJ16" s="496"/>
      <c r="CK16" s="496"/>
      <c r="CL16" s="496"/>
      <c r="CM16" s="496"/>
      <c r="CN16" s="496"/>
      <c r="CO16" s="496"/>
      <c r="CP16" s="496"/>
      <c r="CQ16" s="496"/>
      <c r="CR16" s="496"/>
      <c r="CS16" s="496"/>
      <c r="CT16" s="496"/>
      <c r="CU16" s="496"/>
      <c r="CV16" s="496"/>
      <c r="CW16" s="496"/>
      <c r="CX16" s="496"/>
      <c r="CY16" s="496"/>
      <c r="CZ16" s="496"/>
    </row>
    <row r="17" spans="1:109">
      <c r="A17" s="496"/>
      <c r="B17" s="496"/>
      <c r="C17" s="56" t="s">
        <v>195</v>
      </c>
      <c r="D17" s="561"/>
      <c r="E17" s="149"/>
      <c r="F17" s="150"/>
      <c r="G17" s="150"/>
      <c r="H17" s="151"/>
      <c r="I17" s="112"/>
      <c r="J17" s="149"/>
      <c r="K17" s="150"/>
      <c r="L17" s="150"/>
      <c r="M17" s="151"/>
      <c r="N17" s="112"/>
      <c r="O17" s="149"/>
      <c r="P17" s="150"/>
      <c r="Q17" s="150"/>
      <c r="R17" s="151"/>
      <c r="S17" s="112"/>
      <c r="T17" s="149"/>
      <c r="U17" s="150"/>
      <c r="V17" s="150"/>
      <c r="W17" s="151"/>
      <c r="X17" s="112">
        <f t="shared" ref="X17:BL17" si="4">+X8-X15</f>
        <v>484</v>
      </c>
      <c r="Y17" s="149">
        <f t="shared" si="4"/>
        <v>150</v>
      </c>
      <c r="Z17" s="150">
        <f t="shared" si="4"/>
        <v>154</v>
      </c>
      <c r="AA17" s="150">
        <f t="shared" si="4"/>
        <v>179</v>
      </c>
      <c r="AB17" s="151">
        <f t="shared" si="4"/>
        <v>64</v>
      </c>
      <c r="AC17" s="112">
        <f t="shared" si="4"/>
        <v>547</v>
      </c>
      <c r="AD17" s="149">
        <f t="shared" si="4"/>
        <v>261</v>
      </c>
      <c r="AE17" s="150">
        <f t="shared" si="4"/>
        <v>159</v>
      </c>
      <c r="AF17" s="150">
        <f t="shared" si="4"/>
        <v>182</v>
      </c>
      <c r="AG17" s="151">
        <f t="shared" si="4"/>
        <v>-15</v>
      </c>
      <c r="AH17" s="112">
        <f t="shared" si="4"/>
        <v>587</v>
      </c>
      <c r="AI17" s="149">
        <f t="shared" si="4"/>
        <v>295</v>
      </c>
      <c r="AJ17" s="150">
        <f t="shared" si="4"/>
        <v>132</v>
      </c>
      <c r="AK17" s="150">
        <f t="shared" si="4"/>
        <v>149</v>
      </c>
      <c r="AL17" s="151">
        <f t="shared" si="4"/>
        <v>21.599999999999682</v>
      </c>
      <c r="AM17" s="112">
        <f t="shared" si="4"/>
        <v>597.59999999999945</v>
      </c>
      <c r="AN17" s="149">
        <f t="shared" ref="AN17:AS17" si="5">+AN8-AN15</f>
        <v>116.29999999999995</v>
      </c>
      <c r="AO17" s="150">
        <f t="shared" si="5"/>
        <v>78.299999999999955</v>
      </c>
      <c r="AP17" s="150">
        <f t="shared" si="5"/>
        <v>137</v>
      </c>
      <c r="AQ17" s="151">
        <f t="shared" si="5"/>
        <v>95.200000000000273</v>
      </c>
      <c r="AR17" s="112">
        <f t="shared" si="5"/>
        <v>426.80000000000018</v>
      </c>
      <c r="AS17" s="149">
        <f t="shared" si="5"/>
        <v>92.199999999999989</v>
      </c>
      <c r="AT17" s="150">
        <f t="shared" si="4"/>
        <v>29.800000000000068</v>
      </c>
      <c r="AU17" s="150">
        <f t="shared" si="4"/>
        <v>45</v>
      </c>
      <c r="AV17" s="151">
        <f t="shared" si="4"/>
        <v>23.999999999999659</v>
      </c>
      <c r="AW17" s="112">
        <f t="shared" si="4"/>
        <v>190.99999999999977</v>
      </c>
      <c r="AX17" s="149">
        <f t="shared" si="4"/>
        <v>17.783774171793993</v>
      </c>
      <c r="AY17" s="150">
        <f t="shared" si="4"/>
        <v>18.930745060090487</v>
      </c>
      <c r="AZ17" s="150">
        <f t="shared" si="4"/>
        <v>41.998047734920419</v>
      </c>
      <c r="BA17" s="151">
        <f t="shared" si="4"/>
        <v>32.221290903914621</v>
      </c>
      <c r="BB17" s="112">
        <f t="shared" si="4"/>
        <v>110.93385787071929</v>
      </c>
      <c r="BC17" s="149">
        <f t="shared" si="4"/>
        <v>31.231814568834579</v>
      </c>
      <c r="BD17" s="150">
        <f t="shared" si="4"/>
        <v>8.208121604037558</v>
      </c>
      <c r="BE17" s="150">
        <f t="shared" si="4"/>
        <v>22.685144108554823</v>
      </c>
      <c r="BF17" s="151">
        <f t="shared" si="4"/>
        <v>23.225544680499524</v>
      </c>
      <c r="BG17" s="112">
        <f t="shared" si="4"/>
        <v>85.350624961926087</v>
      </c>
      <c r="BH17" s="149">
        <f t="shared" si="4"/>
        <v>20.782364656216032</v>
      </c>
      <c r="BI17" s="150">
        <f t="shared" si="4"/>
        <v>3.5984009904549339</v>
      </c>
      <c r="BJ17" s="150">
        <f t="shared" si="4"/>
        <v>36.418990980089916</v>
      </c>
      <c r="BK17" s="151">
        <f t="shared" si="4"/>
        <v>19.156930904796241</v>
      </c>
      <c r="BL17" s="112">
        <f t="shared" si="4"/>
        <v>79.956687531557236</v>
      </c>
      <c r="BM17" s="149">
        <f>+BM8-BM15</f>
        <v>25.467563217346424</v>
      </c>
      <c r="BN17" s="150">
        <f>+BN8-BN15</f>
        <v>26.062757009525626</v>
      </c>
      <c r="BO17" s="150">
        <f>+BO8-BO15</f>
        <v>39.686486623768587</v>
      </c>
      <c r="BP17" s="151">
        <f>+BP8-BP15</f>
        <v>30.965657352246524</v>
      </c>
      <c r="BQ17" s="112">
        <f>+BQ8-BQ15</f>
        <v>122.1824642028871</v>
      </c>
      <c r="BR17" s="496"/>
      <c r="BS17" s="496"/>
      <c r="BU17" s="568"/>
      <c r="BV17" s="568"/>
      <c r="BW17" s="568"/>
      <c r="BX17" s="568"/>
      <c r="BY17" s="496"/>
      <c r="BZ17" s="496"/>
      <c r="CA17" s="496"/>
      <c r="CB17" s="496"/>
      <c r="CC17" s="496"/>
      <c r="CD17" s="496"/>
      <c r="CE17" s="496"/>
      <c r="CF17" s="496"/>
      <c r="CG17" s="496"/>
      <c r="CH17" s="496"/>
      <c r="CI17" s="496"/>
      <c r="CJ17" s="496"/>
      <c r="CK17" s="496"/>
      <c r="CL17" s="496"/>
      <c r="CM17" s="496"/>
      <c r="CN17" s="496"/>
      <c r="CO17" s="496"/>
      <c r="CP17" s="496"/>
      <c r="CQ17" s="496"/>
      <c r="CR17" s="496"/>
      <c r="CS17" s="496"/>
      <c r="CT17" s="496"/>
      <c r="CU17" s="496"/>
      <c r="CV17" s="496"/>
      <c r="CW17" s="496"/>
      <c r="CX17" s="496"/>
      <c r="CY17" s="496"/>
      <c r="CZ17" s="496"/>
    </row>
    <row r="18" spans="1:109">
      <c r="A18" s="496"/>
      <c r="B18" s="496"/>
      <c r="C18" s="50"/>
      <c r="D18" s="561"/>
      <c r="E18" s="578"/>
      <c r="F18" s="581"/>
      <c r="G18" s="581"/>
      <c r="H18" s="580"/>
      <c r="I18" s="561"/>
      <c r="J18" s="578"/>
      <c r="K18" s="581"/>
      <c r="L18" s="581"/>
      <c r="M18" s="580"/>
      <c r="N18" s="561"/>
      <c r="O18" s="578"/>
      <c r="P18" s="581"/>
      <c r="Q18" s="581"/>
      <c r="R18" s="580"/>
      <c r="S18" s="561"/>
      <c r="T18" s="578"/>
      <c r="U18" s="581"/>
      <c r="V18" s="581"/>
      <c r="W18" s="580"/>
      <c r="X18" s="561"/>
      <c r="Y18" s="578"/>
      <c r="Z18" s="581"/>
      <c r="AA18" s="581"/>
      <c r="AB18" s="580"/>
      <c r="AC18" s="561"/>
      <c r="AD18" s="578"/>
      <c r="AE18" s="581"/>
      <c r="AF18" s="581"/>
      <c r="AG18" s="580"/>
      <c r="AH18" s="561"/>
      <c r="AI18" s="578"/>
      <c r="AJ18" s="581"/>
      <c r="AK18" s="581"/>
      <c r="AL18" s="580"/>
      <c r="AM18" s="561"/>
      <c r="AN18" s="578"/>
      <c r="AO18" s="581"/>
      <c r="AP18" s="581"/>
      <c r="AQ18" s="580"/>
      <c r="AR18" s="561"/>
      <c r="AS18" s="578"/>
      <c r="AT18" s="581"/>
      <c r="AU18" s="581"/>
      <c r="AV18" s="580"/>
      <c r="AW18" s="561"/>
      <c r="AX18" s="578"/>
      <c r="AY18" s="579"/>
      <c r="AZ18" s="579"/>
      <c r="BA18" s="580"/>
      <c r="BB18" s="496"/>
      <c r="BC18" s="578"/>
      <c r="BD18" s="579"/>
      <c r="BE18" s="579"/>
      <c r="BF18" s="580"/>
      <c r="BG18" s="496"/>
      <c r="BH18" s="578"/>
      <c r="BI18" s="579"/>
      <c r="BJ18" s="579"/>
      <c r="BK18" s="580"/>
      <c r="BL18" s="496"/>
      <c r="BM18" s="578"/>
      <c r="BN18" s="579"/>
      <c r="BO18" s="579"/>
      <c r="BP18" s="580"/>
      <c r="BQ18" s="496"/>
      <c r="BR18" s="496"/>
      <c r="BS18" s="496"/>
      <c r="BU18" s="568"/>
      <c r="BV18" s="568"/>
      <c r="BW18" s="568"/>
      <c r="BX18" s="568"/>
      <c r="BY18" s="496"/>
      <c r="BZ18" s="496"/>
      <c r="CA18" s="496"/>
      <c r="CB18" s="496"/>
      <c r="CC18" s="496"/>
      <c r="CD18" s="496"/>
      <c r="CE18" s="496"/>
      <c r="CF18" s="496"/>
      <c r="CG18" s="496"/>
      <c r="CH18" s="496"/>
      <c r="CI18" s="496"/>
      <c r="CJ18" s="496"/>
      <c r="CK18" s="496"/>
      <c r="CL18" s="496"/>
      <c r="CM18" s="496"/>
      <c r="CN18" s="496"/>
      <c r="CO18" s="496"/>
      <c r="CP18" s="496"/>
      <c r="CQ18" s="496"/>
      <c r="CR18" s="496"/>
      <c r="CS18" s="496"/>
      <c r="CT18" s="496"/>
      <c r="CU18" s="496"/>
      <c r="CV18" s="496"/>
      <c r="CW18" s="496"/>
      <c r="CX18" s="496"/>
      <c r="CY18" s="496"/>
      <c r="CZ18" s="496"/>
    </row>
    <row r="19" spans="1:109">
      <c r="A19" s="496"/>
      <c r="B19" s="496"/>
      <c r="C19" s="50" t="s">
        <v>1</v>
      </c>
      <c r="D19" s="561"/>
      <c r="E19" s="142"/>
      <c r="F19" s="143"/>
      <c r="G19" s="143"/>
      <c r="H19" s="144"/>
      <c r="I19" s="145"/>
      <c r="J19" s="142"/>
      <c r="K19" s="143"/>
      <c r="L19" s="143"/>
      <c r="M19" s="144"/>
      <c r="N19" s="145"/>
      <c r="O19" s="142"/>
      <c r="P19" s="143"/>
      <c r="Q19" s="143"/>
      <c r="R19" s="144"/>
      <c r="S19" s="145"/>
      <c r="T19" s="142"/>
      <c r="U19" s="143"/>
      <c r="V19" s="143"/>
      <c r="W19" s="144"/>
      <c r="X19" s="145">
        <v>-287</v>
      </c>
      <c r="Y19" s="142">
        <v>0</v>
      </c>
      <c r="Z19" s="143">
        <v>-154</v>
      </c>
      <c r="AA19" s="143">
        <v>0</v>
      </c>
      <c r="AB19" s="144">
        <f>+AC19-SUM(Y19:AA19)</f>
        <v>0</v>
      </c>
      <c r="AC19" s="145">
        <v>-154</v>
      </c>
      <c r="AD19" s="142">
        <v>0</v>
      </c>
      <c r="AE19" s="143">
        <v>0</v>
      </c>
      <c r="AF19" s="143">
        <v>0</v>
      </c>
      <c r="AG19" s="144">
        <f>+AH19-SUM(AD19:AF19)</f>
        <v>0</v>
      </c>
      <c r="AH19" s="145">
        <v>0</v>
      </c>
      <c r="AI19" s="142">
        <v>0</v>
      </c>
      <c r="AJ19" s="143">
        <v>0</v>
      </c>
      <c r="AK19" s="143">
        <v>0</v>
      </c>
      <c r="AL19" s="144">
        <f>+AM19-SUM(AI19:AK19)</f>
        <v>0</v>
      </c>
      <c r="AM19" s="145">
        <v>0</v>
      </c>
      <c r="AN19" s="142">
        <v>0</v>
      </c>
      <c r="AO19" s="143">
        <v>0.2</v>
      </c>
      <c r="AP19" s="143">
        <f>0.3-2254.4</f>
        <v>-2254.1</v>
      </c>
      <c r="AQ19" s="144">
        <f>+AR19-SUM(AN19:AP19)</f>
        <v>-3.4000000000000909</v>
      </c>
      <c r="AR19" s="145">
        <v>-2257.3000000000002</v>
      </c>
      <c r="AS19" s="142">
        <f>226.5-11.2</f>
        <v>215.3</v>
      </c>
      <c r="AT19" s="143">
        <f>-1.9-0.1</f>
        <v>-2</v>
      </c>
      <c r="AU19" s="143">
        <v>2.5</v>
      </c>
      <c r="AV19" s="144">
        <f>+AW19-SUM(AS19:AU19)</f>
        <v>-42.900000000000006</v>
      </c>
      <c r="AW19" s="145">
        <f>-53.5+226.4</f>
        <v>172.9</v>
      </c>
      <c r="AX19" s="1906">
        <v>0</v>
      </c>
      <c r="AY19" s="1911">
        <v>0</v>
      </c>
      <c r="AZ19" s="1911">
        <v>0</v>
      </c>
      <c r="BA19" s="1905">
        <v>0</v>
      </c>
      <c r="BB19" s="561">
        <f>SUM(AX19:BA19)</f>
        <v>0</v>
      </c>
      <c r="BC19" s="578">
        <f>AX19</f>
        <v>0</v>
      </c>
      <c r="BD19" s="581">
        <f>AY19</f>
        <v>0</v>
      </c>
      <c r="BE19" s="581">
        <f>AZ19</f>
        <v>0</v>
      </c>
      <c r="BF19" s="144">
        <f>BA19</f>
        <v>0</v>
      </c>
      <c r="BG19" s="561">
        <f>SUM(BC19:BF19)</f>
        <v>0</v>
      </c>
      <c r="BH19" s="578">
        <f>BC19</f>
        <v>0</v>
      </c>
      <c r="BI19" s="581">
        <f>BD19</f>
        <v>0</v>
      </c>
      <c r="BJ19" s="581">
        <f>BE19</f>
        <v>0</v>
      </c>
      <c r="BK19" s="144">
        <f>BF19</f>
        <v>0</v>
      </c>
      <c r="BL19" s="561">
        <f>SUM(BH19:BK19)</f>
        <v>0</v>
      </c>
      <c r="BM19" s="578">
        <f>BH19</f>
        <v>0</v>
      </c>
      <c r="BN19" s="581">
        <f>BI19</f>
        <v>0</v>
      </c>
      <c r="BO19" s="581">
        <f>BJ19</f>
        <v>0</v>
      </c>
      <c r="BP19" s="144">
        <f>BK19</f>
        <v>0</v>
      </c>
      <c r="BQ19" s="561">
        <f>SUM(BM19:BP19)</f>
        <v>0</v>
      </c>
      <c r="BR19" s="496"/>
      <c r="BS19" s="496"/>
      <c r="BU19" s="568"/>
      <c r="BV19" s="568"/>
      <c r="BW19" s="568"/>
      <c r="BX19" s="568"/>
      <c r="BY19" s="496"/>
      <c r="BZ19" s="496"/>
      <c r="CA19" s="496"/>
      <c r="CB19" s="496"/>
      <c r="CC19" s="496"/>
      <c r="CD19" s="496"/>
      <c r="CE19" s="496"/>
      <c r="CF19" s="496"/>
      <c r="CG19" s="496"/>
      <c r="CH19" s="496"/>
      <c r="CI19" s="496"/>
      <c r="CJ19" s="496"/>
      <c r="CK19" s="496"/>
      <c r="CL19" s="496"/>
      <c r="CM19" s="496"/>
      <c r="CN19" s="496"/>
      <c r="CO19" s="496"/>
      <c r="CP19" s="496"/>
      <c r="CQ19" s="496"/>
      <c r="CR19" s="496"/>
      <c r="CS19" s="496"/>
      <c r="CT19" s="496"/>
      <c r="CU19" s="496"/>
      <c r="CV19" s="496"/>
      <c r="CW19" s="496"/>
      <c r="CX19" s="496"/>
      <c r="CY19" s="496"/>
      <c r="CZ19" s="496"/>
    </row>
    <row r="20" spans="1:109">
      <c r="A20" s="496"/>
      <c r="B20" s="496"/>
      <c r="C20" s="56" t="s">
        <v>2</v>
      </c>
      <c r="D20" s="109"/>
      <c r="E20" s="152"/>
      <c r="F20" s="155"/>
      <c r="G20" s="155"/>
      <c r="H20" s="153"/>
      <c r="I20" s="154"/>
      <c r="J20" s="152"/>
      <c r="K20" s="155"/>
      <c r="L20" s="155"/>
      <c r="M20" s="153"/>
      <c r="N20" s="154"/>
      <c r="O20" s="152"/>
      <c r="P20" s="155"/>
      <c r="Q20" s="155"/>
      <c r="R20" s="153"/>
      <c r="S20" s="154"/>
      <c r="T20" s="152"/>
      <c r="U20" s="155"/>
      <c r="V20" s="155"/>
      <c r="W20" s="153"/>
      <c r="X20" s="154">
        <f t="shared" ref="X20:BL20" si="6">SUM(X19:X19)</f>
        <v>-287</v>
      </c>
      <c r="Y20" s="152">
        <f t="shared" si="6"/>
        <v>0</v>
      </c>
      <c r="Z20" s="155">
        <f t="shared" si="6"/>
        <v>-154</v>
      </c>
      <c r="AA20" s="155">
        <f t="shared" si="6"/>
        <v>0</v>
      </c>
      <c r="AB20" s="153">
        <f t="shared" si="6"/>
        <v>0</v>
      </c>
      <c r="AC20" s="154">
        <f t="shared" si="6"/>
        <v>-154</v>
      </c>
      <c r="AD20" s="152">
        <f t="shared" si="6"/>
        <v>0</v>
      </c>
      <c r="AE20" s="155">
        <f t="shared" si="6"/>
        <v>0</v>
      </c>
      <c r="AF20" s="155">
        <f t="shared" si="6"/>
        <v>0</v>
      </c>
      <c r="AG20" s="153">
        <f t="shared" si="6"/>
        <v>0</v>
      </c>
      <c r="AH20" s="154">
        <f t="shared" si="6"/>
        <v>0</v>
      </c>
      <c r="AI20" s="152">
        <f t="shared" si="6"/>
        <v>0</v>
      </c>
      <c r="AJ20" s="155">
        <f t="shared" si="6"/>
        <v>0</v>
      </c>
      <c r="AK20" s="155">
        <f t="shared" si="6"/>
        <v>0</v>
      </c>
      <c r="AL20" s="153">
        <f t="shared" si="6"/>
        <v>0</v>
      </c>
      <c r="AM20" s="154">
        <f t="shared" si="6"/>
        <v>0</v>
      </c>
      <c r="AN20" s="152">
        <f t="shared" ref="AN20:AS20" si="7">SUM(AN19:AN19)</f>
        <v>0</v>
      </c>
      <c r="AO20" s="155">
        <f t="shared" si="7"/>
        <v>0.2</v>
      </c>
      <c r="AP20" s="155">
        <f t="shared" si="7"/>
        <v>-2254.1</v>
      </c>
      <c r="AQ20" s="153">
        <f t="shared" si="7"/>
        <v>-3.4000000000000909</v>
      </c>
      <c r="AR20" s="154">
        <f t="shared" si="7"/>
        <v>-2257.3000000000002</v>
      </c>
      <c r="AS20" s="152">
        <f t="shared" si="7"/>
        <v>215.3</v>
      </c>
      <c r="AT20" s="155">
        <f t="shared" si="6"/>
        <v>-2</v>
      </c>
      <c r="AU20" s="155">
        <f t="shared" si="6"/>
        <v>2.5</v>
      </c>
      <c r="AV20" s="153">
        <f t="shared" si="6"/>
        <v>-42.900000000000006</v>
      </c>
      <c r="AW20" s="154">
        <f t="shared" si="6"/>
        <v>172.9</v>
      </c>
      <c r="AX20" s="149">
        <v>0</v>
      </c>
      <c r="AY20" s="150">
        <f t="shared" si="6"/>
        <v>0</v>
      </c>
      <c r="AZ20" s="150">
        <f t="shared" si="6"/>
        <v>0</v>
      </c>
      <c r="BA20" s="151">
        <f t="shared" si="6"/>
        <v>0</v>
      </c>
      <c r="BB20" s="112">
        <f t="shared" si="6"/>
        <v>0</v>
      </c>
      <c r="BC20" s="149">
        <f t="shared" si="6"/>
        <v>0</v>
      </c>
      <c r="BD20" s="150">
        <f t="shared" si="6"/>
        <v>0</v>
      </c>
      <c r="BE20" s="150">
        <f t="shared" si="6"/>
        <v>0</v>
      </c>
      <c r="BF20" s="151">
        <f t="shared" si="6"/>
        <v>0</v>
      </c>
      <c r="BG20" s="112">
        <f t="shared" si="6"/>
        <v>0</v>
      </c>
      <c r="BH20" s="149">
        <f t="shared" si="6"/>
        <v>0</v>
      </c>
      <c r="BI20" s="150">
        <f t="shared" si="6"/>
        <v>0</v>
      </c>
      <c r="BJ20" s="150">
        <f t="shared" si="6"/>
        <v>0</v>
      </c>
      <c r="BK20" s="151">
        <f t="shared" si="6"/>
        <v>0</v>
      </c>
      <c r="BL20" s="112">
        <f t="shared" si="6"/>
        <v>0</v>
      </c>
      <c r="BM20" s="149">
        <f>SUM(BM19:BM19)</f>
        <v>0</v>
      </c>
      <c r="BN20" s="150">
        <f>SUM(BN19:BN19)</f>
        <v>0</v>
      </c>
      <c r="BO20" s="150">
        <f>SUM(BO19:BO19)</f>
        <v>0</v>
      </c>
      <c r="BP20" s="151">
        <f>SUM(BP19:BP19)</f>
        <v>0</v>
      </c>
      <c r="BQ20" s="112">
        <f>SUM(BQ19:BQ19)</f>
        <v>0</v>
      </c>
      <c r="BR20" s="242"/>
      <c r="BS20" s="242"/>
      <c r="BU20" s="568"/>
      <c r="BV20" s="568"/>
      <c r="BW20" s="568"/>
      <c r="BX20" s="568"/>
      <c r="BY20" s="242"/>
      <c r="BZ20" s="242"/>
      <c r="CA20" s="242"/>
      <c r="CB20" s="242"/>
      <c r="CC20" s="242"/>
      <c r="CD20" s="242"/>
      <c r="CE20" s="242"/>
      <c r="CF20" s="242"/>
      <c r="CG20" s="242"/>
      <c r="CH20" s="242"/>
      <c r="CI20" s="242"/>
      <c r="CJ20" s="242"/>
      <c r="CK20" s="242"/>
      <c r="CL20" s="242"/>
      <c r="CM20" s="242"/>
      <c r="CN20" s="242"/>
      <c r="CO20" s="242"/>
      <c r="CP20" s="242"/>
      <c r="CQ20" s="242"/>
      <c r="CR20" s="242"/>
      <c r="CS20" s="242"/>
      <c r="CT20" s="242"/>
      <c r="CU20" s="242"/>
      <c r="CV20" s="242"/>
      <c r="CW20" s="242"/>
      <c r="CX20" s="242"/>
      <c r="CY20" s="242"/>
      <c r="CZ20" s="242"/>
    </row>
    <row r="21" spans="1:109">
      <c r="A21" s="496"/>
      <c r="B21" s="496"/>
      <c r="C21" s="50"/>
      <c r="D21" s="561"/>
      <c r="E21" s="171"/>
      <c r="F21" s="579"/>
      <c r="G21" s="579"/>
      <c r="H21" s="173"/>
      <c r="I21" s="64"/>
      <c r="J21" s="171"/>
      <c r="K21" s="579"/>
      <c r="L21" s="579"/>
      <c r="M21" s="173"/>
      <c r="N21" s="64"/>
      <c r="O21" s="171"/>
      <c r="P21" s="579"/>
      <c r="Q21" s="579"/>
      <c r="R21" s="173"/>
      <c r="S21" s="64"/>
      <c r="T21" s="171"/>
      <c r="U21" s="579"/>
      <c r="V21" s="579"/>
      <c r="W21" s="173"/>
      <c r="X21" s="64"/>
      <c r="Y21" s="171"/>
      <c r="Z21" s="579"/>
      <c r="AA21" s="579"/>
      <c r="AB21" s="173"/>
      <c r="AC21" s="64"/>
      <c r="AD21" s="171"/>
      <c r="AE21" s="579"/>
      <c r="AF21" s="579"/>
      <c r="AG21" s="173"/>
      <c r="AH21" s="64"/>
      <c r="AI21" s="171"/>
      <c r="AJ21" s="579"/>
      <c r="AK21" s="579"/>
      <c r="AL21" s="173"/>
      <c r="AM21" s="64"/>
      <c r="AN21" s="171"/>
      <c r="AO21" s="579"/>
      <c r="AP21" s="579"/>
      <c r="AQ21" s="173"/>
      <c r="AR21" s="64"/>
      <c r="AS21" s="171"/>
      <c r="AT21" s="579"/>
      <c r="AU21" s="579"/>
      <c r="AV21" s="173"/>
      <c r="AW21" s="64"/>
      <c r="AX21" s="578"/>
      <c r="AY21" s="579"/>
      <c r="AZ21" s="579"/>
      <c r="BA21" s="580"/>
      <c r="BB21" s="496"/>
      <c r="BC21" s="578"/>
      <c r="BD21" s="579"/>
      <c r="BE21" s="579"/>
      <c r="BF21" s="580"/>
      <c r="BG21" s="496"/>
      <c r="BH21" s="578"/>
      <c r="BI21" s="579"/>
      <c r="BJ21" s="579"/>
      <c r="BK21" s="580"/>
      <c r="BL21" s="496"/>
      <c r="BM21" s="578"/>
      <c r="BN21" s="579"/>
      <c r="BO21" s="579"/>
      <c r="BP21" s="580"/>
      <c r="BQ21" s="496"/>
      <c r="BR21" s="496"/>
      <c r="BS21" s="496"/>
      <c r="BU21" s="568"/>
      <c r="BV21" s="568"/>
      <c r="BW21" s="568"/>
      <c r="BX21" s="568"/>
      <c r="BY21" s="496"/>
      <c r="BZ21" s="496"/>
      <c r="CA21" s="496"/>
      <c r="CB21" s="496"/>
      <c r="CC21" s="496"/>
      <c r="CD21" s="496"/>
      <c r="CE21" s="496"/>
      <c r="CF21" s="496"/>
      <c r="CG21" s="496"/>
      <c r="CH21" s="496"/>
      <c r="CI21" s="496"/>
      <c r="CJ21" s="496"/>
      <c r="CK21" s="496"/>
      <c r="CL21" s="496"/>
      <c r="CM21" s="496"/>
      <c r="CN21" s="496"/>
      <c r="CO21" s="496"/>
      <c r="CP21" s="496"/>
      <c r="CQ21" s="496"/>
      <c r="CR21" s="496"/>
      <c r="CS21" s="496"/>
      <c r="CT21" s="496"/>
      <c r="CU21" s="496"/>
      <c r="CV21" s="496"/>
      <c r="CW21" s="496"/>
      <c r="CX21" s="496"/>
      <c r="CY21" s="496"/>
      <c r="CZ21" s="496"/>
    </row>
    <row r="22" spans="1:109">
      <c r="A22" s="496"/>
      <c r="B22" s="496"/>
      <c r="C22" s="56" t="s">
        <v>3</v>
      </c>
      <c r="D22" s="561"/>
      <c r="E22" s="149"/>
      <c r="F22" s="150"/>
      <c r="G22" s="150"/>
      <c r="H22" s="151"/>
      <c r="I22" s="112"/>
      <c r="J22" s="149"/>
      <c r="K22" s="150"/>
      <c r="L22" s="150"/>
      <c r="M22" s="151"/>
      <c r="N22" s="112"/>
      <c r="O22" s="149"/>
      <c r="P22" s="150"/>
      <c r="Q22" s="150"/>
      <c r="R22" s="151"/>
      <c r="S22" s="112"/>
      <c r="T22" s="149"/>
      <c r="U22" s="150"/>
      <c r="V22" s="150"/>
      <c r="W22" s="151"/>
      <c r="X22" s="112">
        <f t="shared" ref="X22:BL22" si="8">X17+X20</f>
        <v>197</v>
      </c>
      <c r="Y22" s="149">
        <f t="shared" si="8"/>
        <v>150</v>
      </c>
      <c r="Z22" s="150">
        <f t="shared" si="8"/>
        <v>0</v>
      </c>
      <c r="AA22" s="150">
        <f t="shared" si="8"/>
        <v>179</v>
      </c>
      <c r="AB22" s="151">
        <f t="shared" si="8"/>
        <v>64</v>
      </c>
      <c r="AC22" s="112">
        <f t="shared" si="8"/>
        <v>393</v>
      </c>
      <c r="AD22" s="149">
        <f t="shared" si="8"/>
        <v>261</v>
      </c>
      <c r="AE22" s="150">
        <f t="shared" si="8"/>
        <v>159</v>
      </c>
      <c r="AF22" s="150">
        <f t="shared" si="8"/>
        <v>182</v>
      </c>
      <c r="AG22" s="151">
        <f t="shared" si="8"/>
        <v>-15</v>
      </c>
      <c r="AH22" s="112">
        <f t="shared" si="8"/>
        <v>587</v>
      </c>
      <c r="AI22" s="149">
        <f t="shared" si="8"/>
        <v>295</v>
      </c>
      <c r="AJ22" s="150">
        <f t="shared" si="8"/>
        <v>132</v>
      </c>
      <c r="AK22" s="150">
        <f t="shared" si="8"/>
        <v>149</v>
      </c>
      <c r="AL22" s="151">
        <f t="shared" si="8"/>
        <v>21.599999999999682</v>
      </c>
      <c r="AM22" s="112">
        <f t="shared" si="8"/>
        <v>597.59999999999945</v>
      </c>
      <c r="AN22" s="149">
        <f t="shared" ref="AN22:AS22" si="9">AN17+AN20</f>
        <v>116.29999999999995</v>
      </c>
      <c r="AO22" s="150">
        <f t="shared" si="9"/>
        <v>78.499999999999957</v>
      </c>
      <c r="AP22" s="150">
        <f t="shared" si="9"/>
        <v>-2117.1</v>
      </c>
      <c r="AQ22" s="151">
        <f t="shared" si="9"/>
        <v>91.800000000000182</v>
      </c>
      <c r="AR22" s="112">
        <f t="shared" si="9"/>
        <v>-1830.5</v>
      </c>
      <c r="AS22" s="149">
        <f t="shared" si="9"/>
        <v>307.5</v>
      </c>
      <c r="AT22" s="150">
        <f t="shared" si="8"/>
        <v>27.800000000000068</v>
      </c>
      <c r="AU22" s="150">
        <f t="shared" si="8"/>
        <v>47.5</v>
      </c>
      <c r="AV22" s="151">
        <f t="shared" si="8"/>
        <v>-18.900000000000347</v>
      </c>
      <c r="AW22" s="112">
        <f t="shared" si="8"/>
        <v>363.89999999999975</v>
      </c>
      <c r="AX22" s="149">
        <f t="shared" si="8"/>
        <v>17.783774171793993</v>
      </c>
      <c r="AY22" s="150">
        <f t="shared" si="8"/>
        <v>18.930745060090487</v>
      </c>
      <c r="AZ22" s="150">
        <f t="shared" si="8"/>
        <v>41.998047734920419</v>
      </c>
      <c r="BA22" s="151">
        <f t="shared" si="8"/>
        <v>32.221290903914621</v>
      </c>
      <c r="BB22" s="112">
        <f t="shared" si="8"/>
        <v>110.93385787071929</v>
      </c>
      <c r="BC22" s="149">
        <f t="shared" si="8"/>
        <v>31.231814568834579</v>
      </c>
      <c r="BD22" s="150">
        <f t="shared" si="8"/>
        <v>8.208121604037558</v>
      </c>
      <c r="BE22" s="150">
        <f t="shared" si="8"/>
        <v>22.685144108554823</v>
      </c>
      <c r="BF22" s="151">
        <f t="shared" si="8"/>
        <v>23.225544680499524</v>
      </c>
      <c r="BG22" s="112">
        <f t="shared" si="8"/>
        <v>85.350624961926087</v>
      </c>
      <c r="BH22" s="149">
        <f t="shared" si="8"/>
        <v>20.782364656216032</v>
      </c>
      <c r="BI22" s="150">
        <f t="shared" si="8"/>
        <v>3.5984009904549339</v>
      </c>
      <c r="BJ22" s="150">
        <f t="shared" si="8"/>
        <v>36.418990980089916</v>
      </c>
      <c r="BK22" s="151">
        <f t="shared" si="8"/>
        <v>19.156930904796241</v>
      </c>
      <c r="BL22" s="112">
        <f t="shared" si="8"/>
        <v>79.956687531557236</v>
      </c>
      <c r="BM22" s="149">
        <f>BM17+BM20</f>
        <v>25.467563217346424</v>
      </c>
      <c r="BN22" s="150">
        <f>BN17+BN20</f>
        <v>26.062757009525626</v>
      </c>
      <c r="BO22" s="150">
        <f>BO17+BO20</f>
        <v>39.686486623768587</v>
      </c>
      <c r="BP22" s="151">
        <f>BP17+BP20</f>
        <v>30.965657352246524</v>
      </c>
      <c r="BQ22" s="112">
        <f>BQ17+BQ20</f>
        <v>122.1824642028871</v>
      </c>
      <c r="BR22" s="496"/>
      <c r="BS22" s="496"/>
      <c r="BU22" s="568"/>
      <c r="BV22" s="568"/>
      <c r="BW22" s="568"/>
      <c r="BX22" s="568"/>
      <c r="BY22" s="496"/>
      <c r="BZ22" s="496"/>
      <c r="CA22" s="496"/>
      <c r="CB22" s="496"/>
      <c r="CC22" s="496"/>
      <c r="CD22" s="496"/>
      <c r="CE22" s="496"/>
      <c r="CF22" s="496"/>
      <c r="CG22" s="496"/>
      <c r="CH22" s="496"/>
      <c r="CI22" s="496"/>
      <c r="CJ22" s="496"/>
      <c r="CK22" s="496"/>
      <c r="CL22" s="496"/>
      <c r="CM22" s="496"/>
      <c r="CN22" s="496"/>
      <c r="CO22" s="496"/>
      <c r="CP22" s="496"/>
      <c r="CQ22" s="496"/>
      <c r="CR22" s="496"/>
      <c r="CS22" s="496"/>
      <c r="CT22" s="496"/>
      <c r="CU22" s="496"/>
      <c r="CV22" s="496"/>
      <c r="CW22" s="496"/>
      <c r="CX22" s="496"/>
      <c r="CY22" s="496"/>
      <c r="CZ22" s="496"/>
    </row>
    <row r="23" spans="1:109">
      <c r="A23" s="496"/>
      <c r="B23" s="496"/>
      <c r="C23" s="56" t="s">
        <v>4</v>
      </c>
      <c r="D23" s="561"/>
      <c r="E23" s="149"/>
      <c r="F23" s="150"/>
      <c r="G23" s="150"/>
      <c r="H23" s="151"/>
      <c r="I23" s="112"/>
      <c r="J23" s="149"/>
      <c r="K23" s="150"/>
      <c r="L23" s="150"/>
      <c r="M23" s="151"/>
      <c r="N23" s="112"/>
      <c r="O23" s="149"/>
      <c r="P23" s="150"/>
      <c r="Q23" s="150"/>
      <c r="R23" s="151"/>
      <c r="S23" s="112"/>
      <c r="T23" s="149"/>
      <c r="U23" s="150"/>
      <c r="V23" s="150"/>
      <c r="W23" s="151"/>
      <c r="X23" s="112">
        <f t="shared" ref="X23:BL23" si="10">+X22+X13</f>
        <v>546</v>
      </c>
      <c r="Y23" s="149">
        <f t="shared" si="10"/>
        <v>212</v>
      </c>
      <c r="Z23" s="150">
        <f t="shared" si="10"/>
        <v>61</v>
      </c>
      <c r="AA23" s="150">
        <f t="shared" si="10"/>
        <v>236</v>
      </c>
      <c r="AB23" s="151">
        <f t="shared" si="10"/>
        <v>120</v>
      </c>
      <c r="AC23" s="112">
        <f t="shared" si="10"/>
        <v>629</v>
      </c>
      <c r="AD23" s="149">
        <f t="shared" si="10"/>
        <v>318</v>
      </c>
      <c r="AE23" s="150">
        <f t="shared" si="10"/>
        <v>215</v>
      </c>
      <c r="AF23" s="150">
        <f t="shared" si="10"/>
        <v>238</v>
      </c>
      <c r="AG23" s="151">
        <f t="shared" si="10"/>
        <v>43</v>
      </c>
      <c r="AH23" s="112">
        <f t="shared" si="10"/>
        <v>814</v>
      </c>
      <c r="AI23" s="149">
        <f t="shared" si="10"/>
        <v>345</v>
      </c>
      <c r="AJ23" s="150">
        <f t="shared" si="10"/>
        <v>183</v>
      </c>
      <c r="AK23" s="150">
        <f t="shared" si="10"/>
        <v>200</v>
      </c>
      <c r="AL23" s="151">
        <f t="shared" si="10"/>
        <v>70.999999999999687</v>
      </c>
      <c r="AM23" s="112">
        <f t="shared" si="10"/>
        <v>798.99999999999943</v>
      </c>
      <c r="AN23" s="149">
        <f t="shared" ref="AN23:AS23" si="11">+AN22+AN13</f>
        <v>164.99999999999994</v>
      </c>
      <c r="AO23" s="150">
        <f t="shared" si="11"/>
        <v>129.09999999999997</v>
      </c>
      <c r="AP23" s="150">
        <f t="shared" si="11"/>
        <v>-2066.6</v>
      </c>
      <c r="AQ23" s="151">
        <f t="shared" si="11"/>
        <v>96.600000000000165</v>
      </c>
      <c r="AR23" s="112">
        <f t="shared" si="11"/>
        <v>-1675.9</v>
      </c>
      <c r="AS23" s="149">
        <f t="shared" si="11"/>
        <v>313.2</v>
      </c>
      <c r="AT23" s="150">
        <f t="shared" si="10"/>
        <v>33.40000000000007</v>
      </c>
      <c r="AU23" s="150">
        <f t="shared" si="10"/>
        <v>53.7</v>
      </c>
      <c r="AV23" s="151">
        <f t="shared" si="10"/>
        <v>-12.200000000000347</v>
      </c>
      <c r="AW23" s="112">
        <f t="shared" si="10"/>
        <v>388.09999999999974</v>
      </c>
      <c r="AX23" s="149">
        <f t="shared" si="10"/>
        <v>23.479774171793995</v>
      </c>
      <c r="AY23" s="150">
        <f t="shared" si="10"/>
        <v>25.659368393423822</v>
      </c>
      <c r="AZ23" s="150">
        <f t="shared" si="10"/>
        <v>49.748968168253754</v>
      </c>
      <c r="BA23" s="151">
        <f t="shared" si="10"/>
        <v>40.984285466247954</v>
      </c>
      <c r="BB23" s="112">
        <f t="shared" si="10"/>
        <v>139.8723961997193</v>
      </c>
      <c r="BC23" s="149">
        <f t="shared" si="10"/>
        <v>40.370430177854431</v>
      </c>
      <c r="BD23" s="150">
        <f t="shared" si="10"/>
        <v>18.216568831737558</v>
      </c>
      <c r="BE23" s="150">
        <f t="shared" si="10"/>
        <v>33.55528255639075</v>
      </c>
      <c r="BF23" s="151">
        <f t="shared" si="10"/>
        <v>34.949310132589453</v>
      </c>
      <c r="BG23" s="112">
        <f t="shared" si="10"/>
        <v>127.09159169857179</v>
      </c>
      <c r="BH23" s="149">
        <f t="shared" si="10"/>
        <v>33.351768366377939</v>
      </c>
      <c r="BI23" s="150">
        <f t="shared" si="10"/>
        <v>17.005528975916629</v>
      </c>
      <c r="BJ23" s="150">
        <f t="shared" si="10"/>
        <v>50.656003321808839</v>
      </c>
      <c r="BK23" s="151">
        <f t="shared" si="10"/>
        <v>34.216061054327312</v>
      </c>
      <c r="BL23" s="112">
        <f t="shared" si="10"/>
        <v>135.22936171843082</v>
      </c>
      <c r="BM23" s="149">
        <f>+BM22+BM13</f>
        <v>41.341117310196601</v>
      </c>
      <c r="BN23" s="150">
        <f>+BN22+BN13</f>
        <v>41.963230583769928</v>
      </c>
      <c r="BO23" s="150">
        <f>+BO22+BO13</f>
        <v>55.613627750984961</v>
      </c>
      <c r="BP23" s="151">
        <f>+BP22+BP13</f>
        <v>46.919216461708018</v>
      </c>
      <c r="BQ23" s="112">
        <f>+BQ22+BQ13</f>
        <v>185.83719210665947</v>
      </c>
      <c r="BR23" s="496"/>
      <c r="BS23" s="496"/>
      <c r="BU23" s="568"/>
      <c r="BV23" s="568"/>
      <c r="BW23" s="568"/>
      <c r="BX23" s="568"/>
      <c r="BY23" s="496"/>
      <c r="BZ23" s="496"/>
      <c r="CA23" s="496"/>
      <c r="CB23" s="496"/>
      <c r="CC23" s="496"/>
      <c r="CD23" s="496"/>
      <c r="CE23" s="496"/>
      <c r="CF23" s="496"/>
      <c r="CG23" s="496"/>
      <c r="CH23" s="496"/>
      <c r="CI23" s="496"/>
      <c r="CJ23" s="496"/>
      <c r="CK23" s="496"/>
      <c r="CL23" s="496"/>
      <c r="CM23" s="496"/>
      <c r="CN23" s="496"/>
      <c r="CO23" s="496"/>
      <c r="CP23" s="496"/>
      <c r="CQ23" s="496"/>
      <c r="CR23" s="496"/>
      <c r="CS23" s="496"/>
      <c r="CT23" s="496"/>
      <c r="CU23" s="496"/>
      <c r="CV23" s="496"/>
      <c r="CW23" s="496"/>
      <c r="CX23" s="496"/>
      <c r="CY23" s="496"/>
      <c r="CZ23" s="496"/>
    </row>
    <row r="24" spans="1:109">
      <c r="A24" s="496"/>
      <c r="B24" s="496"/>
      <c r="C24" s="50"/>
      <c r="D24" s="561"/>
      <c r="E24" s="171"/>
      <c r="F24" s="579"/>
      <c r="G24" s="579"/>
      <c r="H24" s="173"/>
      <c r="I24" s="64"/>
      <c r="J24" s="171"/>
      <c r="K24" s="579"/>
      <c r="L24" s="579"/>
      <c r="M24" s="173"/>
      <c r="N24" s="64"/>
      <c r="O24" s="171"/>
      <c r="P24" s="579"/>
      <c r="Q24" s="579"/>
      <c r="R24" s="173"/>
      <c r="S24" s="64"/>
      <c r="T24" s="171"/>
      <c r="U24" s="579"/>
      <c r="V24" s="579"/>
      <c r="W24" s="173"/>
      <c r="X24" s="64"/>
      <c r="Y24" s="171"/>
      <c r="Z24" s="579"/>
      <c r="AA24" s="579"/>
      <c r="AB24" s="173"/>
      <c r="AC24" s="64"/>
      <c r="AD24" s="171"/>
      <c r="AE24" s="579"/>
      <c r="AF24" s="579"/>
      <c r="AG24" s="173"/>
      <c r="AH24" s="64"/>
      <c r="AI24" s="171"/>
      <c r="AJ24" s="579"/>
      <c r="AK24" s="579"/>
      <c r="AL24" s="173"/>
      <c r="AM24" s="64"/>
      <c r="AN24" s="171"/>
      <c r="AO24" s="579"/>
      <c r="AP24" s="579"/>
      <c r="AQ24" s="173"/>
      <c r="AR24" s="64"/>
      <c r="AS24" s="171"/>
      <c r="AT24" s="579"/>
      <c r="AU24" s="579"/>
      <c r="AV24" s="173"/>
      <c r="AW24" s="64"/>
      <c r="AX24" s="578"/>
      <c r="AY24" s="579"/>
      <c r="AZ24" s="579"/>
      <c r="BA24" s="580"/>
      <c r="BB24" s="496"/>
      <c r="BC24" s="578"/>
      <c r="BD24" s="579"/>
      <c r="BE24" s="579"/>
      <c r="BF24" s="580"/>
      <c r="BG24" s="496"/>
      <c r="BH24" s="578"/>
      <c r="BI24" s="579"/>
      <c r="BJ24" s="579"/>
      <c r="BK24" s="580"/>
      <c r="BL24" s="496"/>
      <c r="BM24" s="578"/>
      <c r="BN24" s="579"/>
      <c r="BO24" s="579"/>
      <c r="BP24" s="580"/>
      <c r="BQ24" s="496"/>
      <c r="BR24" s="496"/>
      <c r="BS24" s="496"/>
      <c r="BU24" s="568"/>
      <c r="BV24" s="568"/>
      <c r="BW24" s="568"/>
      <c r="BX24" s="568"/>
      <c r="BY24" s="496"/>
      <c r="BZ24" s="496"/>
      <c r="CA24" s="496"/>
      <c r="CB24" s="496"/>
      <c r="CC24" s="496"/>
      <c r="CD24" s="496"/>
      <c r="CE24" s="496"/>
      <c r="CF24" s="496"/>
      <c r="CG24" s="496"/>
      <c r="CH24" s="496"/>
      <c r="CI24" s="496"/>
      <c r="CJ24" s="496"/>
      <c r="CK24" s="496"/>
      <c r="CL24" s="496"/>
      <c r="CM24" s="496"/>
      <c r="CN24" s="496"/>
      <c r="CO24" s="496"/>
      <c r="CP24" s="496"/>
      <c r="CQ24" s="496"/>
      <c r="CR24" s="496"/>
      <c r="CS24" s="496"/>
      <c r="CT24" s="496"/>
      <c r="CU24" s="496"/>
      <c r="CV24" s="496"/>
      <c r="CW24" s="496"/>
      <c r="CX24" s="496"/>
      <c r="CY24" s="496"/>
      <c r="CZ24" s="496"/>
    </row>
    <row r="25" spans="1:109" s="570" customFormat="1">
      <c r="A25" s="568"/>
      <c r="B25" s="568"/>
      <c r="C25" s="569" t="s">
        <v>342</v>
      </c>
      <c r="D25" s="568"/>
      <c r="E25" s="142"/>
      <c r="F25" s="159"/>
      <c r="G25" s="159"/>
      <c r="H25" s="157"/>
      <c r="I25" s="544"/>
      <c r="J25" s="142"/>
      <c r="K25" s="159"/>
      <c r="L25" s="159"/>
      <c r="M25" s="157"/>
      <c r="N25" s="544"/>
      <c r="O25" s="142"/>
      <c r="P25" s="159"/>
      <c r="Q25" s="159"/>
      <c r="R25" s="157"/>
      <c r="S25" s="544"/>
      <c r="T25" s="142"/>
      <c r="U25" s="159"/>
      <c r="V25" s="159"/>
      <c r="W25" s="157"/>
      <c r="X25" s="544">
        <v>1</v>
      </c>
      <c r="Y25" s="142">
        <v>0</v>
      </c>
      <c r="Z25" s="159">
        <v>2</v>
      </c>
      <c r="AA25" s="159">
        <v>0</v>
      </c>
      <c r="AB25" s="157">
        <f>AC25-SUM(Y25:AA25)</f>
        <v>0</v>
      </c>
      <c r="AC25" s="544">
        <v>2</v>
      </c>
      <c r="AD25" s="142">
        <v>1</v>
      </c>
      <c r="AE25" s="159">
        <v>1</v>
      </c>
      <c r="AF25" s="159">
        <v>2</v>
      </c>
      <c r="AG25" s="157">
        <f>AH25-SUM(AD25:AF25)</f>
        <v>1</v>
      </c>
      <c r="AH25" s="544">
        <v>5</v>
      </c>
      <c r="AI25" s="142">
        <v>1</v>
      </c>
      <c r="AJ25" s="159">
        <v>1</v>
      </c>
      <c r="AK25" s="159">
        <v>0</v>
      </c>
      <c r="AL25" s="157">
        <f>AM25-SUM(AI25:AK25)</f>
        <v>1</v>
      </c>
      <c r="AM25" s="544">
        <f>2.8+0.2</f>
        <v>3</v>
      </c>
      <c r="AN25" s="142">
        <f>0.5+0.2</f>
        <v>0.7</v>
      </c>
      <c r="AO25" s="159">
        <v>0</v>
      </c>
      <c r="AP25" s="159">
        <v>0</v>
      </c>
      <c r="AQ25" s="157">
        <f>AR25-SUM(AN25:AP25)</f>
        <v>1.0999999999999999</v>
      </c>
      <c r="AR25" s="544">
        <f>1.4+0.4</f>
        <v>1.7999999999999998</v>
      </c>
      <c r="AS25" s="142">
        <v>2.2000000000000002</v>
      </c>
      <c r="AT25" s="159">
        <v>3</v>
      </c>
      <c r="AU25" s="159">
        <v>2.7</v>
      </c>
      <c r="AV25" s="157">
        <f>AW25-SUM(AS25:AU25)</f>
        <v>2.4000000000000004</v>
      </c>
      <c r="AW25" s="544">
        <v>10.3</v>
      </c>
      <c r="AX25" s="578">
        <f>AS25</f>
        <v>2.2000000000000002</v>
      </c>
      <c r="AY25" s="581">
        <f>AT25</f>
        <v>3</v>
      </c>
      <c r="AZ25" s="581">
        <f>AU25</f>
        <v>2.7</v>
      </c>
      <c r="BA25" s="580">
        <f>AV25</f>
        <v>2.4000000000000004</v>
      </c>
      <c r="BB25" s="568">
        <f>SUM(AX25:BA25)</f>
        <v>10.3</v>
      </c>
      <c r="BC25" s="578">
        <f>AX25</f>
        <v>2.2000000000000002</v>
      </c>
      <c r="BD25" s="581">
        <f>AY25</f>
        <v>3</v>
      </c>
      <c r="BE25" s="581">
        <f>AZ25</f>
        <v>2.7</v>
      </c>
      <c r="BF25" s="580">
        <f>BA25</f>
        <v>2.4000000000000004</v>
      </c>
      <c r="BG25" s="568">
        <f>SUM(BC25:BF25)</f>
        <v>10.3</v>
      </c>
      <c r="BH25" s="578">
        <f>BC25</f>
        <v>2.2000000000000002</v>
      </c>
      <c r="BI25" s="581">
        <f>BD25</f>
        <v>3</v>
      </c>
      <c r="BJ25" s="581">
        <f>BE25</f>
        <v>2.7</v>
      </c>
      <c r="BK25" s="580">
        <f>BF25</f>
        <v>2.4000000000000004</v>
      </c>
      <c r="BL25" s="568">
        <f>SUM(BH25:BK25)</f>
        <v>10.3</v>
      </c>
      <c r="BM25" s="578">
        <f>BH25</f>
        <v>2.2000000000000002</v>
      </c>
      <c r="BN25" s="581">
        <f>BI25</f>
        <v>3</v>
      </c>
      <c r="BO25" s="581">
        <f>BJ25</f>
        <v>2.7</v>
      </c>
      <c r="BP25" s="580">
        <f>BK25</f>
        <v>2.4000000000000004</v>
      </c>
      <c r="BQ25" s="568">
        <f>SUM(BM25:BP25)</f>
        <v>10.3</v>
      </c>
      <c r="BR25"/>
      <c r="BS25"/>
      <c r="BT25"/>
      <c r="BU25" s="568"/>
      <c r="BV25" s="568"/>
      <c r="BW25" s="568"/>
      <c r="BX25" s="568"/>
      <c r="BY25" s="568"/>
      <c r="BZ25" s="568"/>
      <c r="CA25" s="568"/>
      <c r="CB25" s="568"/>
      <c r="CC25" s="568"/>
      <c r="CD25" s="568"/>
      <c r="CE25" s="568"/>
      <c r="CF25" s="568"/>
      <c r="CG25" s="568"/>
      <c r="CH25" s="568"/>
      <c r="CI25" s="568"/>
      <c r="CJ25" s="568"/>
      <c r="CK25" s="568"/>
      <c r="CL25" s="568"/>
      <c r="CM25" s="568"/>
      <c r="CN25" s="568"/>
      <c r="CO25" s="568"/>
      <c r="CP25" s="568"/>
      <c r="CQ25" s="568"/>
      <c r="CR25" s="568"/>
      <c r="CS25" s="568"/>
      <c r="CT25" s="568"/>
      <c r="CU25" s="568"/>
      <c r="CV25" s="568"/>
      <c r="CW25" s="568"/>
      <c r="CX25" s="568"/>
      <c r="CY25" s="568"/>
      <c r="CZ25" s="568"/>
      <c r="DA25" s="568"/>
      <c r="DB25" s="568"/>
      <c r="DC25" s="568"/>
      <c r="DD25" s="568"/>
      <c r="DE25" s="568"/>
    </row>
    <row r="26" spans="1:109">
      <c r="A26" s="496"/>
      <c r="B26" s="496"/>
      <c r="C26" s="50" t="s">
        <v>5</v>
      </c>
      <c r="D26" s="561"/>
      <c r="E26" s="142"/>
      <c r="F26" s="143"/>
      <c r="G26" s="143"/>
      <c r="H26" s="157"/>
      <c r="I26" s="145"/>
      <c r="J26" s="142"/>
      <c r="K26" s="143"/>
      <c r="L26" s="143"/>
      <c r="M26" s="157"/>
      <c r="N26" s="145"/>
      <c r="O26" s="142"/>
      <c r="P26" s="143"/>
      <c r="Q26" s="143"/>
      <c r="R26" s="157"/>
      <c r="S26" s="145"/>
      <c r="T26" s="142"/>
      <c r="U26" s="143"/>
      <c r="V26" s="143"/>
      <c r="W26" s="157"/>
      <c r="X26" s="145">
        <v>83</v>
      </c>
      <c r="Y26" s="142">
        <v>19</v>
      </c>
      <c r="Z26" s="143">
        <v>15</v>
      </c>
      <c r="AA26" s="143">
        <v>10</v>
      </c>
      <c r="AB26" s="157">
        <f>AC26-SUM(Y26:AA26)</f>
        <v>11</v>
      </c>
      <c r="AC26" s="145">
        <v>55</v>
      </c>
      <c r="AD26" s="142">
        <v>12</v>
      </c>
      <c r="AE26" s="143">
        <v>11</v>
      </c>
      <c r="AF26" s="143">
        <v>12</v>
      </c>
      <c r="AG26" s="157">
        <f>AH26-SUM(AD26:AF26)</f>
        <v>11</v>
      </c>
      <c r="AH26" s="145">
        <v>46</v>
      </c>
      <c r="AI26" s="142">
        <v>11</v>
      </c>
      <c r="AJ26" s="143">
        <v>10</v>
      </c>
      <c r="AK26" s="143">
        <v>10</v>
      </c>
      <c r="AL26" s="157">
        <f>AM26-SUM(AI26:AK26)</f>
        <v>9</v>
      </c>
      <c r="AM26" s="145">
        <v>40</v>
      </c>
      <c r="AN26" s="142">
        <v>9</v>
      </c>
      <c r="AO26" s="143">
        <v>8.6</v>
      </c>
      <c r="AP26" s="143">
        <v>9.5</v>
      </c>
      <c r="AQ26" s="157">
        <f>AR26-SUM(AN26:AP26)</f>
        <v>8.6999999999999957</v>
      </c>
      <c r="AR26" s="145">
        <v>35.799999999999997</v>
      </c>
      <c r="AS26" s="142">
        <v>6.5</v>
      </c>
      <c r="AT26" s="143">
        <v>4.2</v>
      </c>
      <c r="AU26" s="143">
        <v>4</v>
      </c>
      <c r="AV26" s="157">
        <f>AW26-SUM(AS26:AU26)</f>
        <v>3.8000000000000007</v>
      </c>
      <c r="AW26" s="145">
        <v>18.5</v>
      </c>
      <c r="AX26" s="578">
        <f>AS26+AX332+AX334+AX335</f>
        <v>5.6943633342500002</v>
      </c>
      <c r="AY26" s="581">
        <f>AT26+AY332+AY334+AY335</f>
        <v>4.3852959054839999</v>
      </c>
      <c r="AZ26" s="581">
        <f>AU26+AZ332+AZ334+AZ335</f>
        <v>6.2280557486964945</v>
      </c>
      <c r="BA26" s="580">
        <f>AV26+BA332+BA334+BA335</f>
        <v>5.0451510051577557</v>
      </c>
      <c r="BB26" s="561">
        <f>SUM(AX26:BA26)</f>
        <v>21.352865993588249</v>
      </c>
      <c r="BC26" s="578">
        <f>AX26+BC332+BC334+BC335</f>
        <v>6.3841019679879025</v>
      </c>
      <c r="BD26" s="581">
        <f>AY26+BD332+BD334+BD335</f>
        <v>4.9849454767477575</v>
      </c>
      <c r="BE26" s="581">
        <f>AZ26+BE332+BE334+BE335</f>
        <v>7.8068149247434562</v>
      </c>
      <c r="BF26" s="580">
        <f>BA26+BF332+BF334+BF335</f>
        <v>5.8185387566360482</v>
      </c>
      <c r="BG26" s="561">
        <f>SUM(BC26:BF26)</f>
        <v>24.994401126115164</v>
      </c>
      <c r="BH26" s="578">
        <f>BC26+BH332+BH334+BH335</f>
        <v>8.0599175855089467</v>
      </c>
      <c r="BI26" s="581">
        <f>BD26+BI332+BI334+BI335</f>
        <v>6.7169409297528029</v>
      </c>
      <c r="BJ26" s="581">
        <f>BE26+BJ332+BJ334+BJ335</f>
        <v>10.534879156761715</v>
      </c>
      <c r="BK26" s="580">
        <f>BF26+BK332+BK334+BK335</f>
        <v>7.9167517235175806</v>
      </c>
      <c r="BL26" s="561">
        <f>SUM(BH26:BK26)</f>
        <v>33.228489395541047</v>
      </c>
      <c r="BM26" s="578">
        <f>BH26+BM332+BM334+BM335</f>
        <v>10.061199676165977</v>
      </c>
      <c r="BN26" s="581">
        <f>BI26+BN332+BN334+BN335</f>
        <v>8.5958994330471974</v>
      </c>
      <c r="BO26" s="581">
        <f>BJ26+BO332+BO334+BO335</f>
        <v>13.162405379949895</v>
      </c>
      <c r="BP26" s="580">
        <f>BK26+BP332+BP334+BP335</f>
        <v>9.8952850865345958</v>
      </c>
      <c r="BQ26" s="561">
        <f>SUM(BM26:BP26)</f>
        <v>41.714789575697665</v>
      </c>
      <c r="BR26" s="496"/>
      <c r="BU26" s="568"/>
      <c r="BV26" s="568"/>
      <c r="BW26" s="568"/>
      <c r="BX26" s="568"/>
      <c r="BY26" s="568"/>
      <c r="BZ26" s="568"/>
      <c r="CA26" s="568"/>
      <c r="CB26" s="568"/>
      <c r="CC26" s="568"/>
      <c r="CD26" s="568"/>
      <c r="CE26" s="496"/>
      <c r="CF26" s="496"/>
      <c r="CG26" s="496"/>
      <c r="CH26" s="496"/>
      <c r="CI26" s="496"/>
      <c r="CJ26" s="496"/>
      <c r="CK26" s="496"/>
      <c r="CL26" s="496"/>
      <c r="CM26" s="496"/>
      <c r="CN26" s="496"/>
      <c r="CO26" s="496"/>
      <c r="CP26" s="496"/>
      <c r="CQ26" s="496"/>
      <c r="CR26" s="496"/>
      <c r="CS26" s="496"/>
      <c r="CT26" s="496"/>
      <c r="CU26" s="496"/>
      <c r="CV26" s="496"/>
      <c r="CW26" s="496"/>
      <c r="CX26" s="496"/>
      <c r="CY26" s="496"/>
      <c r="CZ26" s="496"/>
    </row>
    <row r="27" spans="1:109">
      <c r="A27" s="496"/>
      <c r="B27" s="496"/>
      <c r="C27" s="56" t="s">
        <v>6</v>
      </c>
      <c r="D27" s="561"/>
      <c r="E27" s="149"/>
      <c r="F27" s="150"/>
      <c r="G27" s="150"/>
      <c r="H27" s="151"/>
      <c r="I27" s="112"/>
      <c r="J27" s="149"/>
      <c r="K27" s="150"/>
      <c r="L27" s="150"/>
      <c r="M27" s="151"/>
      <c r="N27" s="112"/>
      <c r="O27" s="149"/>
      <c r="P27" s="150"/>
      <c r="Q27" s="150"/>
      <c r="R27" s="151"/>
      <c r="S27" s="112"/>
      <c r="T27" s="149"/>
      <c r="U27" s="150"/>
      <c r="V27" s="150"/>
      <c r="W27" s="151"/>
      <c r="X27" s="112">
        <f>X26-X25</f>
        <v>82</v>
      </c>
      <c r="Y27" s="149">
        <f t="shared" ref="Y27:AM27" si="12">Y26-Y25</f>
        <v>19</v>
      </c>
      <c r="Z27" s="150">
        <f t="shared" si="12"/>
        <v>13</v>
      </c>
      <c r="AA27" s="150">
        <f t="shared" si="12"/>
        <v>10</v>
      </c>
      <c r="AB27" s="151">
        <f>AB26-AB25</f>
        <v>11</v>
      </c>
      <c r="AC27" s="112">
        <f t="shared" si="12"/>
        <v>53</v>
      </c>
      <c r="AD27" s="149">
        <f t="shared" si="12"/>
        <v>11</v>
      </c>
      <c r="AE27" s="150">
        <f t="shared" si="12"/>
        <v>10</v>
      </c>
      <c r="AF27" s="150">
        <f t="shared" si="12"/>
        <v>10</v>
      </c>
      <c r="AG27" s="151">
        <f t="shared" si="12"/>
        <v>10</v>
      </c>
      <c r="AH27" s="112">
        <f t="shared" si="12"/>
        <v>41</v>
      </c>
      <c r="AI27" s="149">
        <f t="shared" si="12"/>
        <v>10</v>
      </c>
      <c r="AJ27" s="150">
        <f t="shared" si="12"/>
        <v>9</v>
      </c>
      <c r="AK27" s="150">
        <f t="shared" si="12"/>
        <v>10</v>
      </c>
      <c r="AL27" s="151">
        <f t="shared" si="12"/>
        <v>8</v>
      </c>
      <c r="AM27" s="112">
        <f t="shared" si="12"/>
        <v>37</v>
      </c>
      <c r="AN27" s="149">
        <f t="shared" ref="AN27:AS27" si="13">AN26-AN25</f>
        <v>8.3000000000000007</v>
      </c>
      <c r="AO27" s="150">
        <f t="shared" si="13"/>
        <v>8.6</v>
      </c>
      <c r="AP27" s="150">
        <f t="shared" si="13"/>
        <v>9.5</v>
      </c>
      <c r="AQ27" s="151">
        <f t="shared" si="13"/>
        <v>7.5999999999999961</v>
      </c>
      <c r="AR27" s="112">
        <f t="shared" si="13"/>
        <v>34</v>
      </c>
      <c r="AS27" s="149">
        <f t="shared" si="13"/>
        <v>4.3</v>
      </c>
      <c r="AT27" s="150">
        <f t="shared" ref="AT27:BL27" si="14">AT26-AT25</f>
        <v>1.2000000000000002</v>
      </c>
      <c r="AU27" s="150">
        <f t="shared" si="14"/>
        <v>1.2999999999999998</v>
      </c>
      <c r="AV27" s="151">
        <f t="shared" si="14"/>
        <v>1.4000000000000004</v>
      </c>
      <c r="AW27" s="112">
        <f t="shared" si="14"/>
        <v>8.1999999999999993</v>
      </c>
      <c r="AX27" s="149">
        <f t="shared" si="14"/>
        <v>3.49436333425</v>
      </c>
      <c r="AY27" s="150">
        <f t="shared" si="14"/>
        <v>1.3852959054839999</v>
      </c>
      <c r="AZ27" s="150">
        <f t="shared" si="14"/>
        <v>3.5280557486964943</v>
      </c>
      <c r="BA27" s="151">
        <f t="shared" si="14"/>
        <v>2.6451510051577554</v>
      </c>
      <c r="BB27" s="112">
        <f t="shared" si="14"/>
        <v>11.052865993588249</v>
      </c>
      <c r="BC27" s="149">
        <f t="shared" si="14"/>
        <v>4.1841019679879023</v>
      </c>
      <c r="BD27" s="150">
        <f t="shared" si="14"/>
        <v>1.9849454767477575</v>
      </c>
      <c r="BE27" s="150">
        <f t="shared" si="14"/>
        <v>5.106814924743456</v>
      </c>
      <c r="BF27" s="151">
        <f t="shared" si="14"/>
        <v>3.4185387566360479</v>
      </c>
      <c r="BG27" s="112">
        <f t="shared" si="14"/>
        <v>14.694401126115164</v>
      </c>
      <c r="BH27" s="149">
        <f t="shared" si="14"/>
        <v>5.8599175855089465</v>
      </c>
      <c r="BI27" s="150">
        <f t="shared" si="14"/>
        <v>3.7169409297528029</v>
      </c>
      <c r="BJ27" s="150">
        <f t="shared" si="14"/>
        <v>7.8348791567617146</v>
      </c>
      <c r="BK27" s="151">
        <f t="shared" si="14"/>
        <v>5.5167517235175803</v>
      </c>
      <c r="BL27" s="112">
        <f t="shared" si="14"/>
        <v>22.928489395541046</v>
      </c>
      <c r="BM27" s="149">
        <f>BM26-BM25</f>
        <v>7.8611996761659766</v>
      </c>
      <c r="BN27" s="150">
        <f>BN26-BN25</f>
        <v>5.5958994330471974</v>
      </c>
      <c r="BO27" s="150">
        <f>BO26-BO25</f>
        <v>10.462405379949896</v>
      </c>
      <c r="BP27" s="151">
        <f>BP26-BP25</f>
        <v>7.4952850865345955</v>
      </c>
      <c r="BQ27" s="112">
        <f>BQ26-BQ25</f>
        <v>31.414789575697665</v>
      </c>
      <c r="BR27" s="496"/>
      <c r="BS27" s="496"/>
      <c r="BU27" s="568"/>
      <c r="BV27" s="568"/>
      <c r="BW27" s="568"/>
      <c r="BX27" s="568"/>
      <c r="BY27" s="496"/>
      <c r="BZ27" s="496"/>
      <c r="CA27" s="496"/>
      <c r="CB27" s="496"/>
      <c r="CC27" s="496"/>
      <c r="CD27" s="496"/>
      <c r="CE27" s="496"/>
      <c r="CF27" s="496"/>
      <c r="CG27" s="496"/>
      <c r="CH27" s="496"/>
      <c r="CI27" s="496"/>
      <c r="CJ27" s="496"/>
      <c r="CK27" s="496"/>
      <c r="CL27" s="496"/>
      <c r="CM27" s="496"/>
      <c r="CN27" s="496"/>
      <c r="CO27" s="496"/>
      <c r="CP27" s="496"/>
      <c r="CQ27" s="496"/>
      <c r="CR27" s="496"/>
      <c r="CS27" s="496"/>
      <c r="CT27" s="496"/>
      <c r="CU27" s="496"/>
      <c r="CV27" s="496"/>
      <c r="CW27" s="496"/>
      <c r="CX27" s="496"/>
      <c r="CY27" s="496"/>
      <c r="CZ27" s="496"/>
    </row>
    <row r="28" spans="1:109">
      <c r="A28" s="496"/>
      <c r="B28" s="496"/>
      <c r="C28" s="50"/>
      <c r="D28" s="561"/>
      <c r="E28" s="171"/>
      <c r="F28" s="579"/>
      <c r="G28" s="579"/>
      <c r="H28" s="173"/>
      <c r="I28" s="64"/>
      <c r="J28" s="171"/>
      <c r="K28" s="579"/>
      <c r="L28" s="579"/>
      <c r="M28" s="173"/>
      <c r="N28" s="64"/>
      <c r="O28" s="171"/>
      <c r="P28" s="579"/>
      <c r="Q28" s="579"/>
      <c r="R28" s="173"/>
      <c r="S28" s="64"/>
      <c r="T28" s="171"/>
      <c r="U28" s="579"/>
      <c r="V28" s="579"/>
      <c r="W28" s="173"/>
      <c r="X28" s="64"/>
      <c r="Y28" s="171"/>
      <c r="Z28" s="579"/>
      <c r="AA28" s="579"/>
      <c r="AB28" s="173"/>
      <c r="AC28" s="64"/>
      <c r="AD28" s="171"/>
      <c r="AE28" s="579"/>
      <c r="AF28" s="579"/>
      <c r="AG28" s="173"/>
      <c r="AH28" s="64"/>
      <c r="AI28" s="171"/>
      <c r="AJ28" s="579"/>
      <c r="AK28" s="579"/>
      <c r="AL28" s="173"/>
      <c r="AM28" s="64"/>
      <c r="AN28" s="171"/>
      <c r="AO28" s="579"/>
      <c r="AP28" s="579"/>
      <c r="AQ28" s="173"/>
      <c r="AR28" s="64"/>
      <c r="AS28" s="171"/>
      <c r="AT28" s="579"/>
      <c r="AU28" s="579"/>
      <c r="AV28" s="173"/>
      <c r="AW28" s="64"/>
      <c r="AX28" s="578"/>
      <c r="AY28" s="579"/>
      <c r="AZ28" s="579"/>
      <c r="BA28" s="580"/>
      <c r="BB28" s="496"/>
      <c r="BC28" s="578"/>
      <c r="BD28" s="579"/>
      <c r="BE28" s="579"/>
      <c r="BF28" s="580"/>
      <c r="BG28" s="496"/>
      <c r="BH28" s="578"/>
      <c r="BI28" s="579"/>
      <c r="BJ28" s="579"/>
      <c r="BK28" s="580"/>
      <c r="BL28" s="496"/>
      <c r="BM28" s="578"/>
      <c r="BN28" s="579"/>
      <c r="BO28" s="579"/>
      <c r="BP28" s="580"/>
      <c r="BQ28" s="496"/>
      <c r="BR28" s="496"/>
      <c r="BS28" s="496"/>
      <c r="BU28" s="568"/>
      <c r="BV28" s="568"/>
      <c r="BW28" s="568"/>
      <c r="BX28" s="568"/>
      <c r="BY28" s="496"/>
      <c r="BZ28" s="496"/>
      <c r="CA28" s="496"/>
      <c r="CB28" s="496"/>
      <c r="CC28" s="496"/>
      <c r="CD28" s="496"/>
      <c r="CE28" s="496"/>
      <c r="CF28" s="496"/>
      <c r="CG28" s="496"/>
      <c r="CH28" s="496"/>
      <c r="CI28" s="496"/>
      <c r="CJ28" s="496"/>
      <c r="CK28" s="496"/>
      <c r="CL28" s="496"/>
      <c r="CM28" s="496"/>
      <c r="CN28" s="496"/>
      <c r="CO28" s="496"/>
      <c r="CP28" s="496"/>
      <c r="CQ28" s="496"/>
      <c r="CR28" s="496"/>
      <c r="CS28" s="496"/>
      <c r="CT28" s="496"/>
      <c r="CU28" s="496"/>
      <c r="CV28" s="496"/>
      <c r="CW28" s="496"/>
      <c r="CX28" s="496"/>
      <c r="CY28" s="496"/>
      <c r="CZ28" s="496"/>
    </row>
    <row r="29" spans="1:109">
      <c r="A29" s="496"/>
      <c r="B29" s="496"/>
      <c r="C29" s="56" t="s">
        <v>7</v>
      </c>
      <c r="D29" s="109"/>
      <c r="E29" s="149"/>
      <c r="F29" s="150"/>
      <c r="G29" s="150"/>
      <c r="H29" s="151"/>
      <c r="I29" s="112"/>
      <c r="J29" s="149"/>
      <c r="K29" s="150"/>
      <c r="L29" s="150"/>
      <c r="M29" s="151"/>
      <c r="N29" s="112"/>
      <c r="O29" s="149"/>
      <c r="P29" s="150"/>
      <c r="Q29" s="150"/>
      <c r="R29" s="151"/>
      <c r="S29" s="112"/>
      <c r="T29" s="149"/>
      <c r="U29" s="150"/>
      <c r="V29" s="150"/>
      <c r="W29" s="151"/>
      <c r="X29" s="112">
        <f t="shared" ref="X29:BL29" si="15">+X22-X27</f>
        <v>115</v>
      </c>
      <c r="Y29" s="149">
        <f t="shared" si="15"/>
        <v>131</v>
      </c>
      <c r="Z29" s="150">
        <f t="shared" si="15"/>
        <v>-13</v>
      </c>
      <c r="AA29" s="150">
        <f t="shared" si="15"/>
        <v>169</v>
      </c>
      <c r="AB29" s="151">
        <f t="shared" si="15"/>
        <v>53</v>
      </c>
      <c r="AC29" s="112">
        <f t="shared" si="15"/>
        <v>340</v>
      </c>
      <c r="AD29" s="149">
        <f t="shared" si="15"/>
        <v>250</v>
      </c>
      <c r="AE29" s="150">
        <f t="shared" si="15"/>
        <v>149</v>
      </c>
      <c r="AF29" s="150">
        <f t="shared" si="15"/>
        <v>172</v>
      </c>
      <c r="AG29" s="151">
        <f t="shared" si="15"/>
        <v>-25</v>
      </c>
      <c r="AH29" s="112">
        <f t="shared" si="15"/>
        <v>546</v>
      </c>
      <c r="AI29" s="149">
        <f t="shared" si="15"/>
        <v>285</v>
      </c>
      <c r="AJ29" s="150">
        <f t="shared" si="15"/>
        <v>123</v>
      </c>
      <c r="AK29" s="150">
        <f t="shared" si="15"/>
        <v>139</v>
      </c>
      <c r="AL29" s="151">
        <f t="shared" si="15"/>
        <v>13.599999999999682</v>
      </c>
      <c r="AM29" s="112">
        <f t="shared" si="15"/>
        <v>560.59999999999945</v>
      </c>
      <c r="AN29" s="149">
        <f t="shared" ref="AN29:AS29" si="16">+AN22-AN27</f>
        <v>107.99999999999996</v>
      </c>
      <c r="AO29" s="150">
        <f t="shared" si="16"/>
        <v>69.899999999999963</v>
      </c>
      <c r="AP29" s="150">
        <f t="shared" si="16"/>
        <v>-2126.6</v>
      </c>
      <c r="AQ29" s="151">
        <f t="shared" si="16"/>
        <v>84.200000000000188</v>
      </c>
      <c r="AR29" s="112">
        <f t="shared" si="16"/>
        <v>-1864.5</v>
      </c>
      <c r="AS29" s="149">
        <f t="shared" si="16"/>
        <v>303.2</v>
      </c>
      <c r="AT29" s="150">
        <f t="shared" si="15"/>
        <v>26.600000000000069</v>
      </c>
      <c r="AU29" s="150">
        <f t="shared" si="15"/>
        <v>46.2</v>
      </c>
      <c r="AV29" s="151">
        <f t="shared" si="15"/>
        <v>-20.300000000000345</v>
      </c>
      <c r="AW29" s="112">
        <f t="shared" si="15"/>
        <v>355.69999999999976</v>
      </c>
      <c r="AX29" s="149">
        <f t="shared" si="15"/>
        <v>14.289410837543993</v>
      </c>
      <c r="AY29" s="150">
        <f t="shared" si="15"/>
        <v>17.545449154606487</v>
      </c>
      <c r="AZ29" s="150">
        <f t="shared" si="15"/>
        <v>38.469991986223924</v>
      </c>
      <c r="BA29" s="151">
        <f t="shared" si="15"/>
        <v>29.576139898756864</v>
      </c>
      <c r="BB29" s="112">
        <f t="shared" si="15"/>
        <v>99.880991877131038</v>
      </c>
      <c r="BC29" s="149">
        <f t="shared" si="15"/>
        <v>27.047712600846676</v>
      </c>
      <c r="BD29" s="150">
        <f t="shared" si="15"/>
        <v>6.2231761272898005</v>
      </c>
      <c r="BE29" s="150">
        <f t="shared" si="15"/>
        <v>17.578329183811366</v>
      </c>
      <c r="BF29" s="151">
        <f t="shared" si="15"/>
        <v>19.807005923863478</v>
      </c>
      <c r="BG29" s="112">
        <f t="shared" si="15"/>
        <v>70.65622383581092</v>
      </c>
      <c r="BH29" s="149">
        <f t="shared" si="15"/>
        <v>14.922447070707086</v>
      </c>
      <c r="BI29" s="150">
        <f t="shared" si="15"/>
        <v>-0.11853993929786899</v>
      </c>
      <c r="BJ29" s="150">
        <f t="shared" si="15"/>
        <v>28.5841118233282</v>
      </c>
      <c r="BK29" s="151">
        <f t="shared" si="15"/>
        <v>13.640179181278661</v>
      </c>
      <c r="BL29" s="112">
        <f t="shared" si="15"/>
        <v>57.028198136016186</v>
      </c>
      <c r="BM29" s="149">
        <f>+BM22-BM27</f>
        <v>17.606363541180446</v>
      </c>
      <c r="BN29" s="150">
        <f>+BN22-BN27</f>
        <v>20.466857576478429</v>
      </c>
      <c r="BO29" s="150">
        <f>+BO22-BO27</f>
        <v>29.224081243818691</v>
      </c>
      <c r="BP29" s="151">
        <f>+BP22-BP27</f>
        <v>23.47037226571193</v>
      </c>
      <c r="BQ29" s="112">
        <f>+BQ22-BQ27</f>
        <v>90.767674627189436</v>
      </c>
      <c r="BR29" s="496"/>
      <c r="BS29" s="496"/>
      <c r="BU29" s="568"/>
      <c r="BV29" s="568"/>
      <c r="BW29" s="568"/>
      <c r="BX29" s="568"/>
      <c r="BY29" s="496"/>
      <c r="BZ29" s="496"/>
      <c r="CA29" s="496"/>
      <c r="CB29" s="496"/>
      <c r="CC29" s="496"/>
      <c r="CD29" s="496"/>
      <c r="CE29" s="496"/>
      <c r="CF29" s="496"/>
      <c r="CG29" s="496"/>
      <c r="CH29" s="496"/>
      <c r="CI29" s="496"/>
      <c r="CJ29" s="496"/>
      <c r="CK29" s="496"/>
      <c r="CL29" s="496"/>
      <c r="CM29" s="496"/>
      <c r="CN29" s="496"/>
      <c r="CO29" s="496"/>
      <c r="CP29" s="496"/>
      <c r="CQ29" s="496"/>
      <c r="CR29" s="496"/>
      <c r="CS29" s="496"/>
      <c r="CT29" s="496"/>
      <c r="CU29" s="496"/>
      <c r="CV29" s="496"/>
      <c r="CW29" s="496"/>
      <c r="CX29" s="496"/>
      <c r="CY29" s="496"/>
      <c r="CZ29" s="496"/>
    </row>
    <row r="30" spans="1:109">
      <c r="A30" s="496"/>
      <c r="B30" s="496"/>
      <c r="C30" s="50"/>
      <c r="D30" s="561"/>
      <c r="E30" s="578"/>
      <c r="F30" s="579"/>
      <c r="G30" s="579"/>
      <c r="H30" s="580"/>
      <c r="I30" s="561"/>
      <c r="J30" s="578"/>
      <c r="K30" s="579"/>
      <c r="L30" s="579"/>
      <c r="M30" s="580"/>
      <c r="N30" s="561"/>
      <c r="O30" s="578"/>
      <c r="P30" s="579"/>
      <c r="Q30" s="579"/>
      <c r="R30" s="580"/>
      <c r="S30" s="561"/>
      <c r="T30" s="578"/>
      <c r="U30" s="579"/>
      <c r="V30" s="579"/>
      <c r="W30" s="580"/>
      <c r="X30" s="561"/>
      <c r="Y30" s="578"/>
      <c r="Z30" s="579"/>
      <c r="AA30" s="579"/>
      <c r="AB30" s="580"/>
      <c r="AC30" s="561"/>
      <c r="AD30" s="578"/>
      <c r="AE30" s="579"/>
      <c r="AF30" s="579"/>
      <c r="AG30" s="580"/>
      <c r="AH30" s="561"/>
      <c r="AI30" s="578"/>
      <c r="AJ30" s="579"/>
      <c r="AK30" s="579"/>
      <c r="AL30" s="580"/>
      <c r="AM30" s="561"/>
      <c r="AN30" s="578"/>
      <c r="AO30" s="579"/>
      <c r="AP30" s="579"/>
      <c r="AQ30" s="580"/>
      <c r="AR30" s="561"/>
      <c r="AS30" s="578"/>
      <c r="AT30" s="579"/>
      <c r="AU30" s="579"/>
      <c r="AV30" s="580"/>
      <c r="AW30" s="561"/>
      <c r="AX30" s="578"/>
      <c r="AY30" s="579"/>
      <c r="AZ30" s="579"/>
      <c r="BA30" s="580"/>
      <c r="BB30" s="496"/>
      <c r="BC30" s="578"/>
      <c r="BD30" s="579"/>
      <c r="BE30" s="579"/>
      <c r="BF30" s="580"/>
      <c r="BG30" s="496"/>
      <c r="BH30" s="578"/>
      <c r="BI30" s="579"/>
      <c r="BJ30" s="579"/>
      <c r="BK30" s="580"/>
      <c r="BL30" s="496"/>
      <c r="BM30" s="578"/>
      <c r="BN30" s="579"/>
      <c r="BO30" s="579"/>
      <c r="BP30" s="580"/>
      <c r="BQ30" s="496"/>
      <c r="BR30" s="496"/>
      <c r="BS30" s="496"/>
      <c r="BU30" s="568"/>
      <c r="BV30" s="568"/>
      <c r="BW30" s="568"/>
      <c r="BX30" s="568"/>
      <c r="BY30" s="568"/>
      <c r="CG30" s="496"/>
      <c r="CH30" s="496"/>
      <c r="CI30" s="496"/>
      <c r="CJ30" s="496"/>
      <c r="CK30" s="496"/>
      <c r="CL30" s="496"/>
      <c r="CM30" s="496"/>
      <c r="CN30" s="496"/>
      <c r="CO30" s="496"/>
      <c r="CP30" s="496"/>
      <c r="CQ30" s="496"/>
      <c r="CR30" s="496"/>
      <c r="CS30" s="496"/>
      <c r="CT30" s="496"/>
      <c r="CU30" s="496"/>
      <c r="CV30" s="496"/>
      <c r="CW30" s="496"/>
      <c r="CX30" s="496"/>
      <c r="CY30" s="496"/>
      <c r="CZ30" s="496"/>
    </row>
    <row r="31" spans="1:109">
      <c r="A31" s="496"/>
      <c r="B31" s="496"/>
      <c r="C31" s="50" t="s">
        <v>8</v>
      </c>
      <c r="D31" s="561"/>
      <c r="E31" s="142"/>
      <c r="F31" s="143"/>
      <c r="G31" s="143"/>
      <c r="H31" s="157"/>
      <c r="I31" s="145"/>
      <c r="J31" s="142"/>
      <c r="K31" s="143"/>
      <c r="L31" s="143"/>
      <c r="M31" s="157"/>
      <c r="N31" s="145"/>
      <c r="O31" s="142"/>
      <c r="P31" s="143"/>
      <c r="Q31" s="143"/>
      <c r="R31" s="157"/>
      <c r="S31" s="145"/>
      <c r="T31" s="142"/>
      <c r="U31" s="143"/>
      <c r="V31" s="143"/>
      <c r="W31" s="157"/>
      <c r="X31" s="145">
        <v>15</v>
      </c>
      <c r="Y31" s="142">
        <v>46</v>
      </c>
      <c r="Z31" s="143">
        <v>-4</v>
      </c>
      <c r="AA31" s="143">
        <v>57</v>
      </c>
      <c r="AB31" s="157">
        <f>AC31-SUM(Y31:AA31)</f>
        <v>13</v>
      </c>
      <c r="AC31" s="145">
        <v>112</v>
      </c>
      <c r="AD31" s="142">
        <v>87</v>
      </c>
      <c r="AE31" s="143">
        <v>51</v>
      </c>
      <c r="AF31" s="143">
        <v>55</v>
      </c>
      <c r="AG31" s="157">
        <f>AH31-SUM(AD31:AF31)</f>
        <v>-14</v>
      </c>
      <c r="AH31" s="145">
        <v>179</v>
      </c>
      <c r="AI31" s="142">
        <v>98</v>
      </c>
      <c r="AJ31" s="143">
        <v>41</v>
      </c>
      <c r="AK31" s="143">
        <v>48</v>
      </c>
      <c r="AL31" s="157">
        <f>AM31-SUM(AI31:AK31)</f>
        <v>7.5999999999999943</v>
      </c>
      <c r="AM31" s="145">
        <v>194.6</v>
      </c>
      <c r="AN31" s="142">
        <v>37.299999999999997</v>
      </c>
      <c r="AO31" s="143">
        <v>20.2</v>
      </c>
      <c r="AP31" s="143">
        <v>-757.4</v>
      </c>
      <c r="AQ31" s="157">
        <f>AR31-SUM(AN31:AP31)</f>
        <v>33.399999999999977</v>
      </c>
      <c r="AR31" s="145">
        <v>-666.5</v>
      </c>
      <c r="AS31" s="142">
        <v>117</v>
      </c>
      <c r="AT31" s="143">
        <v>0.2</v>
      </c>
      <c r="AU31" s="143">
        <v>12.5</v>
      </c>
      <c r="AV31" s="157">
        <f>AW31-SUM(AS31:AU31)</f>
        <v>60</v>
      </c>
      <c r="AW31" s="145">
        <v>189.7</v>
      </c>
      <c r="AX31" s="578">
        <f>AX29*AX302-AX307</f>
        <v>1.8695919343438918</v>
      </c>
      <c r="AY31" s="581">
        <f>AY29*AY302-AY307</f>
        <v>2.6510411304388901</v>
      </c>
      <c r="AZ31" s="581">
        <f>AZ29*AZ302-AZ307</f>
        <v>5.9951647433604087</v>
      </c>
      <c r="BA31" s="580">
        <f>BA29*BA302-BA307</f>
        <v>3.8606402423683139</v>
      </c>
      <c r="BB31" s="561">
        <f>SUM(AX31:BA31)</f>
        <v>14.376438050511505</v>
      </c>
      <c r="BC31" s="578">
        <f>BC29*BC302-BC307</f>
        <v>3.2538176908698686</v>
      </c>
      <c r="BD31" s="581">
        <f>BD29*BD302-BD307</f>
        <v>-1.744071062783781</v>
      </c>
      <c r="BE31" s="581">
        <f>BE29*BE302-BE307</f>
        <v>-0.43131899588527212</v>
      </c>
      <c r="BF31" s="580">
        <f>BF29*BF302-BF307</f>
        <v>0.10356342172723476</v>
      </c>
      <c r="BG31" s="561">
        <f>SUM(BC31:BF31)</f>
        <v>1.1819910539280503</v>
      </c>
      <c r="BH31" s="578">
        <f>BH29*BH302-BH307</f>
        <v>-1.0687307030302993</v>
      </c>
      <c r="BI31" s="581">
        <f>BI29*BI302-BI307</f>
        <v>-4.6785675854314883</v>
      </c>
      <c r="BJ31" s="581">
        <f>BJ29*BJ302-BJ307</f>
        <v>1.1340480331543228</v>
      </c>
      <c r="BK31" s="580">
        <f>BK29*BK302-BK307</f>
        <v>-2.4524958009375664</v>
      </c>
      <c r="BL31" s="561">
        <f>SUM(BH31:BK31)</f>
        <v>-7.0657460562450307</v>
      </c>
      <c r="BM31" s="578">
        <f>BM29*BM302-BM307</f>
        <v>-1.5006115545611385</v>
      </c>
      <c r="BN31" s="581">
        <f>BN29*BN302-BN307</f>
        <v>-0.81409298608962199</v>
      </c>
      <c r="BO31" s="581">
        <f>BO29*BO302-BO307</f>
        <v>0.3931875699117704</v>
      </c>
      <c r="BP31" s="580">
        <f>BP29*BP302-BP307</f>
        <v>-0.98770258483385209</v>
      </c>
      <c r="BQ31" s="561">
        <f>SUM(BM31:BP31)</f>
        <v>-2.9092195555728422</v>
      </c>
      <c r="BR31" s="496"/>
      <c r="BS31" s="496"/>
      <c r="BU31" s="568"/>
      <c r="BV31" s="568"/>
      <c r="BW31" s="568"/>
      <c r="BX31" s="568"/>
      <c r="BY31" s="568"/>
      <c r="CG31" s="496"/>
      <c r="CH31" s="496"/>
      <c r="CI31" s="496"/>
      <c r="CJ31" s="496"/>
      <c r="CK31" s="496"/>
      <c r="CL31" s="496"/>
      <c r="CM31" s="496"/>
      <c r="CN31" s="496"/>
      <c r="CO31" s="496"/>
      <c r="CP31" s="496"/>
      <c r="CQ31" s="496"/>
      <c r="CR31" s="496"/>
      <c r="CS31" s="496"/>
      <c r="CT31" s="496"/>
      <c r="CU31" s="496"/>
      <c r="CV31" s="496"/>
      <c r="CW31" s="496"/>
      <c r="CX31" s="496"/>
      <c r="CY31" s="496"/>
      <c r="CZ31" s="496"/>
    </row>
    <row r="32" spans="1:109">
      <c r="A32" s="496"/>
      <c r="B32" s="496"/>
      <c r="C32" s="50"/>
      <c r="D32" s="561"/>
      <c r="E32" s="142"/>
      <c r="F32" s="143"/>
      <c r="G32" s="143"/>
      <c r="H32" s="158"/>
      <c r="I32" s="832"/>
      <c r="J32" s="142"/>
      <c r="K32" s="143"/>
      <c r="L32" s="143"/>
      <c r="M32" s="158"/>
      <c r="N32" s="832"/>
      <c r="O32" s="142"/>
      <c r="P32" s="143"/>
      <c r="Q32" s="143"/>
      <c r="R32" s="158"/>
      <c r="S32" s="832"/>
      <c r="T32" s="142"/>
      <c r="U32" s="143"/>
      <c r="V32" s="143"/>
      <c r="W32" s="158"/>
      <c r="X32" s="832"/>
      <c r="Y32" s="142"/>
      <c r="Z32" s="143"/>
      <c r="AA32" s="143"/>
      <c r="AB32" s="158"/>
      <c r="AC32" s="832"/>
      <c r="AD32" s="142"/>
      <c r="AE32" s="143"/>
      <c r="AF32" s="143"/>
      <c r="AG32" s="158"/>
      <c r="AH32" s="832"/>
      <c r="AI32" s="142"/>
      <c r="AJ32" s="143"/>
      <c r="AK32" s="143"/>
      <c r="AL32" s="158"/>
      <c r="AM32" s="832"/>
      <c r="AN32" s="142"/>
      <c r="AO32" s="143"/>
      <c r="AP32" s="143"/>
      <c r="AQ32" s="158"/>
      <c r="AR32" s="832"/>
      <c r="AS32" s="142"/>
      <c r="AT32" s="143"/>
      <c r="AU32" s="143"/>
      <c r="AV32" s="158"/>
      <c r="AW32" s="832"/>
      <c r="AX32" s="578"/>
      <c r="AY32" s="579"/>
      <c r="AZ32" s="579"/>
      <c r="BA32" s="580"/>
      <c r="BB32" s="496"/>
      <c r="BC32" s="578"/>
      <c r="BD32" s="579"/>
      <c r="BE32" s="579"/>
      <c r="BF32" s="580"/>
      <c r="BG32" s="496"/>
      <c r="BH32" s="578"/>
      <c r="BI32" s="579"/>
      <c r="BJ32" s="579"/>
      <c r="BK32" s="580"/>
      <c r="BL32" s="496"/>
      <c r="BM32" s="578"/>
      <c r="BN32" s="579"/>
      <c r="BO32" s="579"/>
      <c r="BP32" s="580"/>
      <c r="BQ32" s="496"/>
      <c r="BR32" s="496"/>
      <c r="BS32" s="496"/>
      <c r="BU32" s="568"/>
      <c r="BV32" s="568"/>
      <c r="BW32" s="568"/>
      <c r="BX32" s="568"/>
      <c r="BY32" s="568"/>
      <c r="CG32" s="496"/>
      <c r="CH32" s="496"/>
      <c r="CI32" s="496"/>
      <c r="CJ32" s="496"/>
      <c r="CK32" s="496"/>
      <c r="CL32" s="496"/>
      <c r="CM32" s="496"/>
      <c r="CN32" s="496"/>
      <c r="CO32" s="496"/>
      <c r="CP32" s="496"/>
      <c r="CQ32" s="496"/>
      <c r="CR32" s="496"/>
      <c r="CS32" s="496"/>
      <c r="CT32" s="496"/>
      <c r="CU32" s="496"/>
      <c r="CV32" s="496"/>
      <c r="CW32" s="496"/>
      <c r="CX32" s="496"/>
      <c r="CY32" s="496"/>
      <c r="CZ32" s="496"/>
    </row>
    <row r="33" spans="1:104">
      <c r="A33" s="496"/>
      <c r="B33" s="496"/>
      <c r="C33" s="56" t="s">
        <v>10</v>
      </c>
      <c r="D33" s="109"/>
      <c r="E33" s="149"/>
      <c r="F33" s="150"/>
      <c r="G33" s="150"/>
      <c r="H33" s="151"/>
      <c r="I33" s="112"/>
      <c r="J33" s="149"/>
      <c r="K33" s="150"/>
      <c r="L33" s="150"/>
      <c r="M33" s="151"/>
      <c r="N33" s="112"/>
      <c r="O33" s="149"/>
      <c r="P33" s="150"/>
      <c r="Q33" s="150"/>
      <c r="R33" s="151"/>
      <c r="S33" s="112"/>
      <c r="T33" s="149"/>
      <c r="U33" s="150"/>
      <c r="V33" s="150"/>
      <c r="W33" s="151"/>
      <c r="X33" s="112">
        <f>+X29-X31</f>
        <v>100</v>
      </c>
      <c r="Y33" s="149">
        <f>+Y29-Y31</f>
        <v>85</v>
      </c>
      <c r="Z33" s="150">
        <f>+Z29-Z31</f>
        <v>-9</v>
      </c>
      <c r="AA33" s="150">
        <f>+AA29-AA31</f>
        <v>112</v>
      </c>
      <c r="AB33" s="151">
        <f>+AC33-SUM(Y33:AA33)</f>
        <v>40</v>
      </c>
      <c r="AC33" s="112">
        <f>+AC29-AC31</f>
        <v>228</v>
      </c>
      <c r="AD33" s="149">
        <f>+AD29-AD31</f>
        <v>163</v>
      </c>
      <c r="AE33" s="150">
        <f>+AE29-AE31</f>
        <v>98</v>
      </c>
      <c r="AF33" s="150">
        <f>+AF29-AF31</f>
        <v>117</v>
      </c>
      <c r="AG33" s="151">
        <f>+AH33-SUM(AD33:AF33)</f>
        <v>-11</v>
      </c>
      <c r="AH33" s="112">
        <f>+AH29-AH31</f>
        <v>367</v>
      </c>
      <c r="AI33" s="149">
        <f>+AI29-AI31</f>
        <v>187</v>
      </c>
      <c r="AJ33" s="150">
        <f>+AJ29-AJ31</f>
        <v>82</v>
      </c>
      <c r="AK33" s="150">
        <f>+AK29-AK31</f>
        <v>91</v>
      </c>
      <c r="AL33" s="151">
        <f>+AM33-SUM(AI33:AK33)</f>
        <v>5.9999999999994316</v>
      </c>
      <c r="AM33" s="112">
        <f>+AM29-AM31</f>
        <v>365.99999999999943</v>
      </c>
      <c r="AN33" s="149">
        <f>+AN29-AN31</f>
        <v>70.69999999999996</v>
      </c>
      <c r="AO33" s="150">
        <f>+AO29-AO31</f>
        <v>49.69999999999996</v>
      </c>
      <c r="AP33" s="150">
        <f>+AP29-AP31</f>
        <v>-1369.1999999999998</v>
      </c>
      <c r="AQ33" s="151">
        <f>+AR33-SUM(AN33:AP33)</f>
        <v>50.799999999999955</v>
      </c>
      <c r="AR33" s="112">
        <f>+AR29-AR31</f>
        <v>-1198</v>
      </c>
      <c r="AS33" s="149">
        <f>+AS29-AS31</f>
        <v>186.2</v>
      </c>
      <c r="AT33" s="150">
        <f t="shared" ref="AT33:BL33" si="17">+AT29-AT31</f>
        <v>26.40000000000007</v>
      </c>
      <c r="AU33" s="150">
        <f t="shared" si="17"/>
        <v>33.700000000000003</v>
      </c>
      <c r="AV33" s="151">
        <f>+AW33-SUM(AS33:AU33)</f>
        <v>-80.300000000000296</v>
      </c>
      <c r="AW33" s="112">
        <f>+AW29-AW31</f>
        <v>165.99999999999977</v>
      </c>
      <c r="AX33" s="149">
        <f t="shared" si="17"/>
        <v>12.419818903200103</v>
      </c>
      <c r="AY33" s="150">
        <f t="shared" si="17"/>
        <v>14.894408024167596</v>
      </c>
      <c r="AZ33" s="150">
        <f t="shared" si="17"/>
        <v>32.474827242863512</v>
      </c>
      <c r="BA33" s="151">
        <f t="shared" si="17"/>
        <v>25.715499656388552</v>
      </c>
      <c r="BB33" s="112">
        <f t="shared" si="17"/>
        <v>85.504553826619528</v>
      </c>
      <c r="BC33" s="149">
        <f t="shared" si="17"/>
        <v>23.793894909976807</v>
      </c>
      <c r="BD33" s="150">
        <f t="shared" si="17"/>
        <v>7.9672471900735813</v>
      </c>
      <c r="BE33" s="150">
        <f t="shared" si="17"/>
        <v>18.00964817969664</v>
      </c>
      <c r="BF33" s="151">
        <f t="shared" si="17"/>
        <v>19.703442502136244</v>
      </c>
      <c r="BG33" s="112">
        <f t="shared" si="17"/>
        <v>69.474232781882876</v>
      </c>
      <c r="BH33" s="149">
        <f t="shared" si="17"/>
        <v>15.991177773737386</v>
      </c>
      <c r="BI33" s="150">
        <f t="shared" si="17"/>
        <v>4.5600276461336193</v>
      </c>
      <c r="BJ33" s="150">
        <f t="shared" si="17"/>
        <v>27.450063790173878</v>
      </c>
      <c r="BK33" s="151">
        <f t="shared" si="17"/>
        <v>16.092674982216227</v>
      </c>
      <c r="BL33" s="112">
        <f t="shared" si="17"/>
        <v>64.093944192261219</v>
      </c>
      <c r="BM33" s="149">
        <f>+BM29-BM31</f>
        <v>19.106975095741586</v>
      </c>
      <c r="BN33" s="150">
        <f>+BN29-BN31</f>
        <v>21.280950562568052</v>
      </c>
      <c r="BO33" s="150">
        <f>+BO29-BO31</f>
        <v>28.830893673906921</v>
      </c>
      <c r="BP33" s="151">
        <f>+BP29-BP31</f>
        <v>24.458074850545781</v>
      </c>
      <c r="BQ33" s="112">
        <f>+BQ29-BQ31</f>
        <v>93.676894182762283</v>
      </c>
      <c r="BR33" s="582"/>
      <c r="BS33" s="582"/>
      <c r="BU33" s="568"/>
      <c r="BV33" s="568"/>
      <c r="BW33" s="568"/>
      <c r="BX33" s="568"/>
      <c r="BY33" s="583"/>
      <c r="CG33" s="582"/>
      <c r="CH33" s="582"/>
      <c r="CI33" s="582"/>
      <c r="CJ33" s="582"/>
      <c r="CK33" s="582"/>
      <c r="CL33" s="582"/>
      <c r="CM33" s="496"/>
      <c r="CN33" s="496"/>
      <c r="CO33" s="496"/>
      <c r="CP33" s="496"/>
      <c r="CQ33" s="496"/>
      <c r="CR33" s="496"/>
      <c r="CS33" s="496"/>
      <c r="CT33" s="496"/>
      <c r="CU33" s="496"/>
      <c r="CV33" s="496"/>
      <c r="CW33" s="496"/>
      <c r="CX33" s="496"/>
      <c r="CY33" s="496"/>
      <c r="CZ33" s="496"/>
    </row>
    <row r="34" spans="1:104">
      <c r="C34" s="50" t="s">
        <v>130</v>
      </c>
      <c r="D34" s="561"/>
      <c r="E34" s="142"/>
      <c r="F34" s="143"/>
      <c r="G34" s="143"/>
      <c r="H34" s="157"/>
      <c r="I34" s="145"/>
      <c r="J34" s="142"/>
      <c r="K34" s="143"/>
      <c r="L34" s="143"/>
      <c r="M34" s="157"/>
      <c r="N34" s="145"/>
      <c r="O34" s="142"/>
      <c r="P34" s="143"/>
      <c r="Q34" s="143"/>
      <c r="R34" s="157"/>
      <c r="S34" s="145"/>
      <c r="T34" s="142"/>
      <c r="U34" s="143"/>
      <c r="V34" s="143"/>
      <c r="W34" s="157"/>
      <c r="X34" s="145">
        <v>0</v>
      </c>
      <c r="Y34" s="142">
        <v>0</v>
      </c>
      <c r="Z34" s="143">
        <v>0</v>
      </c>
      <c r="AA34" s="143">
        <v>0</v>
      </c>
      <c r="AB34" s="157">
        <f>AC34-SUM(Y34:AA34)</f>
        <v>0</v>
      </c>
      <c r="AC34" s="145">
        <v>0</v>
      </c>
      <c r="AD34" s="142">
        <v>0</v>
      </c>
      <c r="AE34" s="143">
        <v>0</v>
      </c>
      <c r="AF34" s="143">
        <v>0</v>
      </c>
      <c r="AG34" s="157">
        <f>AH34-SUM(AD34:AF34)</f>
        <v>0</v>
      </c>
      <c r="AH34" s="145">
        <v>0</v>
      </c>
      <c r="AI34" s="142">
        <v>0</v>
      </c>
      <c r="AJ34" s="143">
        <v>0</v>
      </c>
      <c r="AK34" s="143">
        <v>0</v>
      </c>
      <c r="AL34" s="157">
        <f>AM34-SUM(AI34:AK34)</f>
        <v>0</v>
      </c>
      <c r="AM34" s="145">
        <v>0</v>
      </c>
      <c r="AN34" s="142">
        <v>0</v>
      </c>
      <c r="AO34" s="143">
        <v>0</v>
      </c>
      <c r="AP34" s="143">
        <v>0</v>
      </c>
      <c r="AQ34" s="157">
        <f>AR34-SUM(AN34:AP34)</f>
        <v>0</v>
      </c>
      <c r="AR34" s="145">
        <v>0</v>
      </c>
      <c r="AS34" s="142">
        <v>0</v>
      </c>
      <c r="AT34" s="143">
        <f>AO34</f>
        <v>0</v>
      </c>
      <c r="AU34" s="143">
        <f>AP34</f>
        <v>0</v>
      </c>
      <c r="AV34" s="157">
        <f>AW34-SUM(AS34:AU34)</f>
        <v>0</v>
      </c>
      <c r="AW34" s="145">
        <v>0</v>
      </c>
      <c r="AX34" s="578">
        <f>AS34</f>
        <v>0</v>
      </c>
      <c r="AY34" s="581">
        <f>AT34</f>
        <v>0</v>
      </c>
      <c r="AZ34" s="581">
        <f>AU34</f>
        <v>0</v>
      </c>
      <c r="BA34" s="580">
        <f>AV34</f>
        <v>0</v>
      </c>
      <c r="BB34" s="561">
        <f>SUM(AX34:BA34)</f>
        <v>0</v>
      </c>
      <c r="BC34" s="578">
        <f>AX34</f>
        <v>0</v>
      </c>
      <c r="BD34" s="581">
        <f>AY34</f>
        <v>0</v>
      </c>
      <c r="BE34" s="581">
        <f>AZ34</f>
        <v>0</v>
      </c>
      <c r="BF34" s="580">
        <f>BA34</f>
        <v>0</v>
      </c>
      <c r="BG34" s="561">
        <f>SUM(BC34:BF34)</f>
        <v>0</v>
      </c>
      <c r="BH34" s="578">
        <f>BC34</f>
        <v>0</v>
      </c>
      <c r="BI34" s="581">
        <f>BD34</f>
        <v>0</v>
      </c>
      <c r="BJ34" s="581">
        <f>BE34</f>
        <v>0</v>
      </c>
      <c r="BK34" s="580">
        <f>BF34</f>
        <v>0</v>
      </c>
      <c r="BL34" s="561">
        <f>SUM(BH34:BK34)</f>
        <v>0</v>
      </c>
      <c r="BM34" s="578">
        <f>BH34</f>
        <v>0</v>
      </c>
      <c r="BN34" s="581">
        <f>BI34</f>
        <v>0</v>
      </c>
      <c r="BO34" s="581">
        <f>BJ34</f>
        <v>0</v>
      </c>
      <c r="BP34" s="580">
        <f>BK34</f>
        <v>0</v>
      </c>
      <c r="BQ34" s="561">
        <f>SUM(BM34:BP34)</f>
        <v>0</v>
      </c>
      <c r="BU34" s="568"/>
      <c r="BV34" s="568"/>
      <c r="BW34" s="568"/>
      <c r="BX34" s="568"/>
      <c r="BY34" s="491"/>
    </row>
    <row r="35" spans="1:104">
      <c r="A35" s="496"/>
      <c r="B35" s="496"/>
      <c r="C35" s="50"/>
      <c r="D35" s="561"/>
      <c r="E35" s="142"/>
      <c r="F35" s="143"/>
      <c r="G35" s="143"/>
      <c r="H35" s="158"/>
      <c r="I35" s="145"/>
      <c r="J35" s="142"/>
      <c r="K35" s="143"/>
      <c r="L35" s="143"/>
      <c r="M35" s="158"/>
      <c r="N35" s="145"/>
      <c r="O35" s="142"/>
      <c r="P35" s="143"/>
      <c r="Q35" s="143"/>
      <c r="R35" s="158"/>
      <c r="S35" s="145"/>
      <c r="T35" s="142"/>
      <c r="U35" s="143"/>
      <c r="V35" s="143"/>
      <c r="W35" s="158"/>
      <c r="X35" s="145"/>
      <c r="Y35" s="142"/>
      <c r="Z35" s="143"/>
      <c r="AA35" s="143"/>
      <c r="AB35" s="158"/>
      <c r="AC35" s="145"/>
      <c r="AD35" s="142"/>
      <c r="AE35" s="143"/>
      <c r="AF35" s="143"/>
      <c r="AG35" s="158"/>
      <c r="AH35" s="145"/>
      <c r="AI35" s="142"/>
      <c r="AJ35" s="143"/>
      <c r="AK35" s="143"/>
      <c r="AL35" s="158"/>
      <c r="AM35" s="145"/>
      <c r="AN35" s="142"/>
      <c r="AO35" s="143"/>
      <c r="AP35" s="143"/>
      <c r="AQ35" s="158"/>
      <c r="AR35" s="145"/>
      <c r="AS35" s="142"/>
      <c r="AT35" s="143"/>
      <c r="AU35" s="143"/>
      <c r="AV35" s="158"/>
      <c r="AW35" s="145"/>
      <c r="AX35" s="578"/>
      <c r="AY35" s="579"/>
      <c r="AZ35" s="579"/>
      <c r="BA35" s="580"/>
      <c r="BB35" s="496"/>
      <c r="BC35" s="578"/>
      <c r="BD35" s="579"/>
      <c r="BE35" s="579"/>
      <c r="BF35" s="580"/>
      <c r="BG35" s="496"/>
      <c r="BH35" s="578"/>
      <c r="BI35" s="579"/>
      <c r="BJ35" s="579"/>
      <c r="BK35" s="580"/>
      <c r="BL35" s="496"/>
      <c r="BM35" s="578"/>
      <c r="BN35" s="579"/>
      <c r="BO35" s="579"/>
      <c r="BP35" s="580"/>
      <c r="BQ35" s="496"/>
      <c r="BR35" s="496"/>
      <c r="BS35" s="496"/>
      <c r="BU35" s="568"/>
      <c r="BV35" s="568"/>
      <c r="BW35" s="568"/>
      <c r="BX35" s="568"/>
      <c r="BY35" s="568"/>
      <c r="CG35" s="496"/>
      <c r="CH35" s="496"/>
      <c r="CI35" s="496"/>
      <c r="CJ35" s="496"/>
      <c r="CK35" s="496"/>
      <c r="CL35" s="496"/>
      <c r="CM35" s="496"/>
      <c r="CN35" s="496"/>
      <c r="CO35" s="496"/>
      <c r="CP35" s="496"/>
      <c r="CQ35" s="496"/>
      <c r="CR35" s="496"/>
      <c r="CS35" s="496"/>
      <c r="CT35" s="496"/>
      <c r="CU35" s="496"/>
      <c r="CV35" s="496"/>
      <c r="CW35" s="496"/>
      <c r="CX35" s="496"/>
      <c r="CY35" s="496"/>
      <c r="CZ35" s="496"/>
    </row>
    <row r="36" spans="1:104">
      <c r="A36" s="111"/>
      <c r="B36" s="111"/>
      <c r="C36" s="56" t="s">
        <v>12</v>
      </c>
      <c r="D36" s="112"/>
      <c r="E36" s="149"/>
      <c r="F36" s="150"/>
      <c r="G36" s="150"/>
      <c r="H36" s="151"/>
      <c r="I36" s="112"/>
      <c r="J36" s="149"/>
      <c r="K36" s="150"/>
      <c r="L36" s="150"/>
      <c r="M36" s="151"/>
      <c r="N36" s="112"/>
      <c r="O36" s="149"/>
      <c r="P36" s="150"/>
      <c r="Q36" s="150"/>
      <c r="R36" s="151"/>
      <c r="S36" s="112"/>
      <c r="T36" s="149"/>
      <c r="U36" s="150"/>
      <c r="V36" s="150"/>
      <c r="W36" s="151"/>
      <c r="X36" s="112">
        <f t="shared" ref="X36:BL36" si="18">X33-X34</f>
        <v>100</v>
      </c>
      <c r="Y36" s="149">
        <f t="shared" si="18"/>
        <v>85</v>
      </c>
      <c r="Z36" s="150">
        <f t="shared" si="18"/>
        <v>-9</v>
      </c>
      <c r="AA36" s="150">
        <f t="shared" si="18"/>
        <v>112</v>
      </c>
      <c r="AB36" s="151">
        <f t="shared" si="18"/>
        <v>40</v>
      </c>
      <c r="AC36" s="112">
        <f t="shared" si="18"/>
        <v>228</v>
      </c>
      <c r="AD36" s="149">
        <f t="shared" si="18"/>
        <v>163</v>
      </c>
      <c r="AE36" s="150">
        <f t="shared" si="18"/>
        <v>98</v>
      </c>
      <c r="AF36" s="150">
        <f t="shared" si="18"/>
        <v>117</v>
      </c>
      <c r="AG36" s="151">
        <f t="shared" si="18"/>
        <v>-11</v>
      </c>
      <c r="AH36" s="112">
        <f t="shared" si="18"/>
        <v>367</v>
      </c>
      <c r="AI36" s="149">
        <f t="shared" si="18"/>
        <v>187</v>
      </c>
      <c r="AJ36" s="150">
        <f t="shared" si="18"/>
        <v>82</v>
      </c>
      <c r="AK36" s="150">
        <f t="shared" si="18"/>
        <v>91</v>
      </c>
      <c r="AL36" s="151">
        <f t="shared" si="18"/>
        <v>5.9999999999994316</v>
      </c>
      <c r="AM36" s="112">
        <f t="shared" si="18"/>
        <v>365.99999999999943</v>
      </c>
      <c r="AN36" s="149">
        <f t="shared" ref="AN36:AS36" si="19">AN33-AN34</f>
        <v>70.69999999999996</v>
      </c>
      <c r="AO36" s="150">
        <f t="shared" si="19"/>
        <v>49.69999999999996</v>
      </c>
      <c r="AP36" s="150">
        <f t="shared" si="19"/>
        <v>-1369.1999999999998</v>
      </c>
      <c r="AQ36" s="151">
        <f t="shared" si="19"/>
        <v>50.799999999999955</v>
      </c>
      <c r="AR36" s="112">
        <f t="shared" si="19"/>
        <v>-1198</v>
      </c>
      <c r="AS36" s="149">
        <f t="shared" si="19"/>
        <v>186.2</v>
      </c>
      <c r="AT36" s="150">
        <f t="shared" si="18"/>
        <v>26.40000000000007</v>
      </c>
      <c r="AU36" s="150">
        <f t="shared" si="18"/>
        <v>33.700000000000003</v>
      </c>
      <c r="AV36" s="151">
        <f t="shared" si="18"/>
        <v>-80.300000000000296</v>
      </c>
      <c r="AW36" s="112">
        <f t="shared" si="18"/>
        <v>165.99999999999977</v>
      </c>
      <c r="AX36" s="149">
        <f t="shared" si="18"/>
        <v>12.419818903200103</v>
      </c>
      <c r="AY36" s="150">
        <f t="shared" si="18"/>
        <v>14.894408024167596</v>
      </c>
      <c r="AZ36" s="150">
        <f t="shared" si="18"/>
        <v>32.474827242863512</v>
      </c>
      <c r="BA36" s="151">
        <f t="shared" si="18"/>
        <v>25.715499656388552</v>
      </c>
      <c r="BB36" s="112">
        <f t="shared" si="18"/>
        <v>85.504553826619528</v>
      </c>
      <c r="BC36" s="149">
        <f t="shared" si="18"/>
        <v>23.793894909976807</v>
      </c>
      <c r="BD36" s="150">
        <f t="shared" si="18"/>
        <v>7.9672471900735813</v>
      </c>
      <c r="BE36" s="150">
        <f t="shared" si="18"/>
        <v>18.00964817969664</v>
      </c>
      <c r="BF36" s="151">
        <f t="shared" si="18"/>
        <v>19.703442502136244</v>
      </c>
      <c r="BG36" s="112">
        <f t="shared" si="18"/>
        <v>69.474232781882876</v>
      </c>
      <c r="BH36" s="149">
        <f t="shared" si="18"/>
        <v>15.991177773737386</v>
      </c>
      <c r="BI36" s="150">
        <f t="shared" si="18"/>
        <v>4.5600276461336193</v>
      </c>
      <c r="BJ36" s="150">
        <f t="shared" si="18"/>
        <v>27.450063790173878</v>
      </c>
      <c r="BK36" s="151">
        <f t="shared" si="18"/>
        <v>16.092674982216227</v>
      </c>
      <c r="BL36" s="112">
        <f t="shared" si="18"/>
        <v>64.093944192261219</v>
      </c>
      <c r="BM36" s="149">
        <f>BM33-BM34</f>
        <v>19.106975095741586</v>
      </c>
      <c r="BN36" s="150">
        <f>BN33-BN34</f>
        <v>21.280950562568052</v>
      </c>
      <c r="BO36" s="150">
        <f>BO33-BO34</f>
        <v>28.830893673906921</v>
      </c>
      <c r="BP36" s="151">
        <f>BP33-BP34</f>
        <v>24.458074850545781</v>
      </c>
      <c r="BQ36" s="112">
        <f>BQ33-BQ34</f>
        <v>93.676894182762283</v>
      </c>
      <c r="BR36" s="111"/>
      <c r="BS36" s="111"/>
      <c r="BU36" s="489"/>
      <c r="BV36" s="489"/>
      <c r="BW36" s="489"/>
      <c r="BX36" s="489"/>
      <c r="BY36" s="489"/>
      <c r="CG36" s="111"/>
      <c r="CH36" s="111"/>
      <c r="CI36" s="111"/>
      <c r="CJ36" s="111"/>
      <c r="CK36" s="111"/>
      <c r="CL36" s="111"/>
      <c r="CM36" s="111"/>
      <c r="CN36" s="111"/>
      <c r="CO36" s="111"/>
      <c r="CP36" s="111"/>
      <c r="CQ36" s="111"/>
      <c r="CR36" s="111"/>
      <c r="CS36" s="111"/>
      <c r="CT36" s="111"/>
      <c r="CU36" s="111"/>
      <c r="CV36" s="111"/>
      <c r="CW36" s="111"/>
      <c r="CX36" s="111"/>
      <c r="CY36" s="111"/>
      <c r="CZ36" s="111"/>
    </row>
    <row r="37" spans="1:104">
      <c r="A37" s="496"/>
      <c r="B37" s="496"/>
      <c r="C37" s="50" t="s">
        <v>13</v>
      </c>
      <c r="D37" s="561"/>
      <c r="E37" s="142"/>
      <c r="F37" s="159"/>
      <c r="G37" s="159"/>
      <c r="H37" s="157"/>
      <c r="I37" s="145"/>
      <c r="J37" s="142"/>
      <c r="K37" s="159"/>
      <c r="L37" s="159"/>
      <c r="M37" s="157"/>
      <c r="N37" s="145"/>
      <c r="O37" s="142"/>
      <c r="P37" s="159"/>
      <c r="Q37" s="159"/>
      <c r="R37" s="157"/>
      <c r="S37" s="145"/>
      <c r="T37" s="142"/>
      <c r="U37" s="159"/>
      <c r="V37" s="159"/>
      <c r="W37" s="157"/>
      <c r="X37" s="145">
        <v>184</v>
      </c>
      <c r="Y37" s="142">
        <v>4</v>
      </c>
      <c r="Z37" s="143">
        <v>99</v>
      </c>
      <c r="AA37" s="159">
        <v>0</v>
      </c>
      <c r="AB37" s="157">
        <f>AC37-SUM(Y37:AA37)</f>
        <v>0</v>
      </c>
      <c r="AC37" s="145">
        <f>99+4</f>
        <v>103</v>
      </c>
      <c r="AD37" s="142">
        <v>0</v>
      </c>
      <c r="AE37" s="159">
        <v>0</v>
      </c>
      <c r="AF37" s="159">
        <v>0</v>
      </c>
      <c r="AG37" s="157">
        <f>AH37-SUM(AD37:AF37)</f>
        <v>41</v>
      </c>
      <c r="AH37" s="145">
        <f>6+35</f>
        <v>41</v>
      </c>
      <c r="AI37" s="142">
        <v>-4</v>
      </c>
      <c r="AJ37" s="143">
        <v>-1</v>
      </c>
      <c r="AK37" s="159">
        <v>2</v>
      </c>
      <c r="AL37" s="157">
        <f>AM37-SUM(AI37:AK37)</f>
        <v>3</v>
      </c>
      <c r="AM37" s="145">
        <v>0</v>
      </c>
      <c r="AN37" s="142">
        <v>0</v>
      </c>
      <c r="AO37" s="143">
        <v>-3.7</v>
      </c>
      <c r="AP37" s="143">
        <f>2.1-10.1+1458.2</f>
        <v>1450.2</v>
      </c>
      <c r="AQ37" s="157">
        <f>AR37-SUM(AN37:AP37)</f>
        <v>-3.3000000000001819</v>
      </c>
      <c r="AR37" s="145">
        <f>-6.5-10.4+1460.1</f>
        <v>1443.1999999999998</v>
      </c>
      <c r="AS37" s="142">
        <f>2-127.1+7.2</f>
        <v>-117.89999999999999</v>
      </c>
      <c r="AT37" s="143">
        <f>0.7-2.3-3</f>
        <v>-4.5999999999999996</v>
      </c>
      <c r="AU37" s="143">
        <f>0.1-1.7</f>
        <v>-1.5999999999999999</v>
      </c>
      <c r="AV37" s="157">
        <f>AW37-SUM(AS37:AU37)</f>
        <v>104.79999999999997</v>
      </c>
      <c r="AW37" s="1530">
        <f>3.1-129.4+30.3+76.7</f>
        <v>-19.300000000000011</v>
      </c>
      <c r="AX37" s="171">
        <v>0</v>
      </c>
      <c r="AY37" s="172">
        <v>0</v>
      </c>
      <c r="AZ37" s="172">
        <v>0</v>
      </c>
      <c r="BA37" s="173">
        <v>0</v>
      </c>
      <c r="BB37" s="561">
        <f>SUM(AX37:BA37)</f>
        <v>0</v>
      </c>
      <c r="BC37" s="171">
        <v>0</v>
      </c>
      <c r="BD37" s="172">
        <v>0</v>
      </c>
      <c r="BE37" s="172">
        <v>0</v>
      </c>
      <c r="BF37" s="173">
        <v>0</v>
      </c>
      <c r="BG37" s="561">
        <f>SUM(BC37:BF37)</f>
        <v>0</v>
      </c>
      <c r="BH37" s="171">
        <v>0</v>
      </c>
      <c r="BI37" s="172">
        <v>0</v>
      </c>
      <c r="BJ37" s="172">
        <v>0</v>
      </c>
      <c r="BK37" s="173">
        <v>0</v>
      </c>
      <c r="BL37" s="561">
        <f>SUM(BH37:BK37)</f>
        <v>0</v>
      </c>
      <c r="BM37" s="171">
        <v>0</v>
      </c>
      <c r="BN37" s="172">
        <v>0</v>
      </c>
      <c r="BO37" s="172">
        <v>0</v>
      </c>
      <c r="BP37" s="173">
        <v>0</v>
      </c>
      <c r="BQ37" s="561">
        <f>SUM(BM37:BP37)</f>
        <v>0</v>
      </c>
      <c r="BR37" s="496"/>
      <c r="BS37" s="496"/>
      <c r="BU37" s="568"/>
      <c r="BV37" s="568"/>
      <c r="BW37" s="568"/>
      <c r="BX37" s="568"/>
      <c r="BY37" s="568"/>
      <c r="CG37" s="496"/>
      <c r="CH37" s="496"/>
      <c r="CI37" s="496"/>
      <c r="CJ37" s="496"/>
      <c r="CK37" s="496"/>
      <c r="CL37" s="496"/>
      <c r="CM37" s="496"/>
      <c r="CN37" s="496"/>
      <c r="CO37" s="496"/>
      <c r="CP37" s="496"/>
      <c r="CQ37" s="496"/>
      <c r="CR37" s="496"/>
      <c r="CS37" s="496"/>
      <c r="CT37" s="496"/>
      <c r="CU37" s="496"/>
      <c r="CV37" s="496"/>
      <c r="CW37" s="496"/>
      <c r="CX37" s="496"/>
      <c r="CY37" s="496"/>
      <c r="CZ37" s="496"/>
    </row>
    <row r="38" spans="1:104">
      <c r="A38" s="496"/>
      <c r="B38" s="496"/>
      <c r="C38" s="56" t="s">
        <v>16</v>
      </c>
      <c r="D38" s="561"/>
      <c r="E38" s="149"/>
      <c r="F38" s="150"/>
      <c r="G38" s="150"/>
      <c r="H38" s="151"/>
      <c r="I38" s="112"/>
      <c r="J38" s="149"/>
      <c r="K38" s="150"/>
      <c r="L38" s="150"/>
      <c r="M38" s="151"/>
      <c r="N38" s="112"/>
      <c r="O38" s="149"/>
      <c r="P38" s="150"/>
      <c r="Q38" s="150"/>
      <c r="R38" s="151"/>
      <c r="S38" s="112"/>
      <c r="T38" s="149"/>
      <c r="U38" s="150"/>
      <c r="V38" s="150"/>
      <c r="W38" s="151"/>
      <c r="X38" s="112">
        <f t="shared" ref="X38:BL38" si="20">X36+X37</f>
        <v>284</v>
      </c>
      <c r="Y38" s="149">
        <f t="shared" si="20"/>
        <v>89</v>
      </c>
      <c r="Z38" s="150">
        <f t="shared" si="20"/>
        <v>90</v>
      </c>
      <c r="AA38" s="150">
        <f t="shared" si="20"/>
        <v>112</v>
      </c>
      <c r="AB38" s="151">
        <f t="shared" si="20"/>
        <v>40</v>
      </c>
      <c r="AC38" s="112">
        <f t="shared" si="20"/>
        <v>331</v>
      </c>
      <c r="AD38" s="149">
        <f t="shared" si="20"/>
        <v>163</v>
      </c>
      <c r="AE38" s="150">
        <f t="shared" si="20"/>
        <v>98</v>
      </c>
      <c r="AF38" s="150">
        <f t="shared" si="20"/>
        <v>117</v>
      </c>
      <c r="AG38" s="151">
        <f t="shared" si="20"/>
        <v>30</v>
      </c>
      <c r="AH38" s="112">
        <f t="shared" si="20"/>
        <v>408</v>
      </c>
      <c r="AI38" s="149">
        <f t="shared" si="20"/>
        <v>183</v>
      </c>
      <c r="AJ38" s="150">
        <f t="shared" si="20"/>
        <v>81</v>
      </c>
      <c r="AK38" s="150">
        <f t="shared" si="20"/>
        <v>93</v>
      </c>
      <c r="AL38" s="151">
        <f t="shared" si="20"/>
        <v>8.9999999999994316</v>
      </c>
      <c r="AM38" s="112">
        <f t="shared" si="20"/>
        <v>365.99999999999943</v>
      </c>
      <c r="AN38" s="149">
        <f t="shared" ref="AN38:AS38" si="21">AN36+AN37</f>
        <v>70.69999999999996</v>
      </c>
      <c r="AO38" s="150">
        <f t="shared" si="21"/>
        <v>45.999999999999957</v>
      </c>
      <c r="AP38" s="150">
        <f t="shared" si="21"/>
        <v>81.000000000000227</v>
      </c>
      <c r="AQ38" s="151">
        <f t="shared" si="21"/>
        <v>47.499999999999773</v>
      </c>
      <c r="AR38" s="112">
        <f t="shared" si="21"/>
        <v>245.19999999999982</v>
      </c>
      <c r="AS38" s="149">
        <f t="shared" si="21"/>
        <v>68.3</v>
      </c>
      <c r="AT38" s="150">
        <f t="shared" si="20"/>
        <v>21.800000000000068</v>
      </c>
      <c r="AU38" s="150">
        <f t="shared" si="20"/>
        <v>32.1</v>
      </c>
      <c r="AV38" s="151">
        <f t="shared" si="20"/>
        <v>24.499999999999673</v>
      </c>
      <c r="AW38" s="112">
        <f t="shared" si="20"/>
        <v>146.69999999999976</v>
      </c>
      <c r="AX38" s="149">
        <f t="shared" si="20"/>
        <v>12.419818903200103</v>
      </c>
      <c r="AY38" s="150">
        <f t="shared" si="20"/>
        <v>14.894408024167596</v>
      </c>
      <c r="AZ38" s="150">
        <f t="shared" si="20"/>
        <v>32.474827242863512</v>
      </c>
      <c r="BA38" s="151">
        <f t="shared" si="20"/>
        <v>25.715499656388552</v>
      </c>
      <c r="BB38" s="112">
        <f t="shared" si="20"/>
        <v>85.504553826619528</v>
      </c>
      <c r="BC38" s="149">
        <f t="shared" si="20"/>
        <v>23.793894909976807</v>
      </c>
      <c r="BD38" s="150">
        <f t="shared" si="20"/>
        <v>7.9672471900735813</v>
      </c>
      <c r="BE38" s="150">
        <f t="shared" si="20"/>
        <v>18.00964817969664</v>
      </c>
      <c r="BF38" s="151">
        <f t="shared" si="20"/>
        <v>19.703442502136244</v>
      </c>
      <c r="BG38" s="112">
        <f t="shared" si="20"/>
        <v>69.474232781882876</v>
      </c>
      <c r="BH38" s="149">
        <f t="shared" si="20"/>
        <v>15.991177773737386</v>
      </c>
      <c r="BI38" s="150">
        <f t="shared" si="20"/>
        <v>4.5600276461336193</v>
      </c>
      <c r="BJ38" s="150">
        <f t="shared" si="20"/>
        <v>27.450063790173878</v>
      </c>
      <c r="BK38" s="151">
        <f t="shared" si="20"/>
        <v>16.092674982216227</v>
      </c>
      <c r="BL38" s="112">
        <f t="shared" si="20"/>
        <v>64.093944192261219</v>
      </c>
      <c r="BM38" s="149">
        <f>BM36+BM37</f>
        <v>19.106975095741586</v>
      </c>
      <c r="BN38" s="150">
        <f>BN36+BN37</f>
        <v>21.280950562568052</v>
      </c>
      <c r="BO38" s="150">
        <f>BO36+BO37</f>
        <v>28.830893673906921</v>
      </c>
      <c r="BP38" s="151">
        <f>BP36+BP37</f>
        <v>24.458074850545781</v>
      </c>
      <c r="BQ38" s="112">
        <f>BQ36+BQ37</f>
        <v>93.676894182762283</v>
      </c>
      <c r="BR38" s="496"/>
      <c r="BS38" s="496"/>
      <c r="BU38" s="496"/>
      <c r="BV38" s="496"/>
      <c r="BW38" s="496"/>
      <c r="BX38" s="496"/>
      <c r="BY38" s="496"/>
      <c r="CG38" s="496"/>
      <c r="CH38" s="496"/>
      <c r="CI38" s="496"/>
      <c r="CJ38" s="496"/>
      <c r="CK38" s="496"/>
      <c r="CL38" s="496"/>
      <c r="CM38" s="496"/>
      <c r="CN38" s="496"/>
      <c r="CO38" s="496"/>
      <c r="CP38" s="496"/>
      <c r="CQ38" s="496"/>
      <c r="CR38" s="496"/>
      <c r="CS38" s="496"/>
      <c r="CT38" s="496"/>
      <c r="CU38" s="496"/>
      <c r="CV38" s="496"/>
      <c r="CW38" s="496"/>
      <c r="CX38" s="496"/>
      <c r="CY38" s="496"/>
      <c r="CZ38" s="496"/>
    </row>
    <row r="39" spans="1:104">
      <c r="A39" s="496"/>
      <c r="B39" s="496"/>
      <c r="C39" s="50"/>
      <c r="D39" s="561"/>
      <c r="E39" s="578"/>
      <c r="F39" s="579"/>
      <c r="G39" s="579"/>
      <c r="H39" s="580"/>
      <c r="I39" s="775"/>
      <c r="J39" s="578"/>
      <c r="K39" s="579"/>
      <c r="L39" s="579"/>
      <c r="M39" s="580"/>
      <c r="N39" s="775"/>
      <c r="O39" s="578"/>
      <c r="P39" s="579"/>
      <c r="Q39" s="579"/>
      <c r="R39" s="580"/>
      <c r="S39" s="775"/>
      <c r="T39" s="578"/>
      <c r="U39" s="579"/>
      <c r="V39" s="579"/>
      <c r="W39" s="580"/>
      <c r="X39" s="775"/>
      <c r="Y39" s="578"/>
      <c r="Z39" s="579"/>
      <c r="AA39" s="579"/>
      <c r="AB39" s="580"/>
      <c r="AC39" s="775"/>
      <c r="AD39" s="578"/>
      <c r="AE39" s="579"/>
      <c r="AF39" s="579"/>
      <c r="AG39" s="580"/>
      <c r="AH39" s="775"/>
      <c r="AI39" s="578"/>
      <c r="AJ39" s="579"/>
      <c r="AK39" s="579"/>
      <c r="AL39" s="580"/>
      <c r="AM39" s="775"/>
      <c r="AN39" s="578"/>
      <c r="AO39" s="579"/>
      <c r="AP39" s="579"/>
      <c r="AQ39" s="580"/>
      <c r="AR39" s="775"/>
      <c r="AS39" s="578"/>
      <c r="AT39" s="579"/>
      <c r="AU39" s="579"/>
      <c r="AV39" s="580"/>
      <c r="AW39" s="775"/>
      <c r="AX39" s="578"/>
      <c r="AY39" s="579"/>
      <c r="AZ39" s="579"/>
      <c r="BA39" s="580"/>
      <c r="BB39" s="496"/>
      <c r="BC39" s="578"/>
      <c r="BD39" s="579"/>
      <c r="BE39" s="579"/>
      <c r="BF39" s="580"/>
      <c r="BG39" s="496"/>
      <c r="BH39" s="578"/>
      <c r="BI39" s="579"/>
      <c r="BJ39" s="579"/>
      <c r="BK39" s="580"/>
      <c r="BL39" s="496"/>
      <c r="BM39" s="578"/>
      <c r="BN39" s="579"/>
      <c r="BO39" s="579"/>
      <c r="BP39" s="580"/>
      <c r="BQ39" s="496"/>
      <c r="BR39" s="496"/>
      <c r="BS39" s="496"/>
      <c r="BT39" s="496"/>
      <c r="BU39" s="584"/>
      <c r="BV39" s="496"/>
      <c r="BW39" s="496"/>
      <c r="BX39" s="496"/>
      <c r="BY39" s="496"/>
      <c r="CG39" s="496"/>
      <c r="CH39" s="496"/>
      <c r="CI39" s="496"/>
      <c r="CJ39" s="496"/>
      <c r="CK39" s="496"/>
      <c r="CL39" s="496"/>
      <c r="CM39" s="496"/>
      <c r="CN39" s="496"/>
      <c r="CO39" s="496"/>
      <c r="CP39" s="496"/>
      <c r="CQ39" s="496"/>
      <c r="CR39" s="496"/>
      <c r="CS39" s="496"/>
      <c r="CT39" s="496"/>
      <c r="CU39" s="496"/>
      <c r="CV39" s="496"/>
      <c r="CW39" s="496"/>
      <c r="CX39" s="496"/>
      <c r="CY39" s="496"/>
      <c r="CZ39" s="496"/>
    </row>
    <row r="40" spans="1:104">
      <c r="A40" s="496"/>
      <c r="B40" s="496"/>
      <c r="C40" s="50" t="s">
        <v>898</v>
      </c>
      <c r="D40" s="561"/>
      <c r="E40" s="161"/>
      <c r="F40" s="160"/>
      <c r="G40" s="160"/>
      <c r="H40" s="144"/>
      <c r="I40" s="109"/>
      <c r="J40" s="161"/>
      <c r="K40" s="160"/>
      <c r="L40" s="160"/>
      <c r="M40" s="144"/>
      <c r="N40" s="109"/>
      <c r="O40" s="161"/>
      <c r="P40" s="160"/>
      <c r="Q40" s="160"/>
      <c r="R40" s="144"/>
      <c r="S40" s="109"/>
      <c r="T40" s="161"/>
      <c r="U40" s="160"/>
      <c r="V40" s="160"/>
      <c r="W40" s="144"/>
      <c r="X40" s="109">
        <f>+AEP!X51</f>
        <v>484.68246900000003</v>
      </c>
      <c r="Y40" s="161">
        <f>+AEP!Y51</f>
        <v>485.823668</v>
      </c>
      <c r="Z40" s="160">
        <f>+AEP!Z51</f>
        <v>486.293026</v>
      </c>
      <c r="AA40" s="160">
        <f>+AEP!AA51</f>
        <v>486.93274700000001</v>
      </c>
      <c r="AB40" s="144">
        <f>+AEP!AB51</f>
        <v>487</v>
      </c>
      <c r="AC40" s="109">
        <f>+AEP!AC51</f>
        <v>486.61955499999999</v>
      </c>
      <c r="AD40" s="161">
        <f>+AEP!AD51</f>
        <v>487.86708900000002</v>
      </c>
      <c r="AE40" s="160">
        <f>+AEP!AE51</f>
        <v>488.29157600000002</v>
      </c>
      <c r="AF40" s="160">
        <f>+AEP!AF51</f>
        <v>488.912892</v>
      </c>
      <c r="AG40" s="144">
        <f>+AEP!AG51</f>
        <v>489</v>
      </c>
      <c r="AH40" s="109">
        <f>+AEP!AH51</f>
        <v>488.59299700000003</v>
      </c>
      <c r="AI40" s="161">
        <f>+AEP!AI51</f>
        <v>489.59798599999999</v>
      </c>
      <c r="AJ40" s="160">
        <f>+AEP!AJ51</f>
        <v>490.20748200000003</v>
      </c>
      <c r="AK40" s="160">
        <f>+AEP!AK51</f>
        <v>490.64892900000001</v>
      </c>
      <c r="AL40" s="144">
        <f>+AEP!AL51</f>
        <v>491</v>
      </c>
      <c r="AM40" s="109">
        <f>+AEP!AM51</f>
        <v>490.34052200000002</v>
      </c>
      <c r="AN40" s="161">
        <f>+AEP!AN51</f>
        <v>491.10839199999998</v>
      </c>
      <c r="AO40" s="160">
        <f>+AEP!AO51</f>
        <v>491.459541</v>
      </c>
      <c r="AP40" s="160">
        <f>+AEP!AP51</f>
        <v>491.69780900000001</v>
      </c>
      <c r="AQ40" s="144">
        <f>+AEP!AQ51</f>
        <v>492</v>
      </c>
      <c r="AR40" s="109">
        <f>+AEP!AR51</f>
        <v>491.49545799999999</v>
      </c>
      <c r="AS40" s="161">
        <f>+AEP!AS51</f>
        <v>491.712042</v>
      </c>
      <c r="AT40" s="160">
        <f>+AEP!AT51</f>
        <v>491.790752</v>
      </c>
      <c r="AU40" s="160">
        <f>+AEP!AU51</f>
        <v>491.84072200000003</v>
      </c>
      <c r="AV40" s="144">
        <f>+AEP!AV51</f>
        <v>492</v>
      </c>
      <c r="AW40" s="109">
        <f>+AEP!AW51</f>
        <v>491.81465100000003</v>
      </c>
      <c r="AX40" s="161">
        <f>+AEP!AX51</f>
        <v>492.18707302903601</v>
      </c>
      <c r="AY40" s="160">
        <f>+AEP!AY51</f>
        <v>492.550023087108</v>
      </c>
      <c r="AZ40" s="160">
        <f>+AEP!AZ51</f>
        <v>492.91297314517999</v>
      </c>
      <c r="BA40" s="144">
        <f>+AEP!BA51</f>
        <v>493.27592320325198</v>
      </c>
      <c r="BB40" s="109">
        <f>+AEP!BB51</f>
        <v>492.731498116144</v>
      </c>
      <c r="BC40" s="161">
        <f>+AEP!BC51</f>
        <v>493.63887326132397</v>
      </c>
      <c r="BD40" s="160">
        <f>+AEP!BD51</f>
        <v>494.00182331939595</v>
      </c>
      <c r="BE40" s="160">
        <f>+AEP!BE51</f>
        <v>494.36477337746794</v>
      </c>
      <c r="BF40" s="144">
        <f>+AEP!BF51</f>
        <v>494.72772343553993</v>
      </c>
      <c r="BG40" s="109">
        <f>+AEP!BG51</f>
        <v>494.18329834843195</v>
      </c>
      <c r="BH40" s="161">
        <f>+AEP!BH51</f>
        <v>495.81657360975595</v>
      </c>
      <c r="BI40" s="160">
        <f>+AEP!BI51</f>
        <v>497.631323900116</v>
      </c>
      <c r="BJ40" s="160">
        <f>+AEP!BJ51</f>
        <v>499.44607419047605</v>
      </c>
      <c r="BK40" s="144">
        <f>+AEP!BK51</f>
        <v>501.26082448083611</v>
      </c>
      <c r="BL40" s="109">
        <f>+AEP!BL51</f>
        <v>498.53869904529603</v>
      </c>
      <c r="BM40" s="161">
        <f>+AEP!BM51</f>
        <v>503.48389358652719</v>
      </c>
      <c r="BN40" s="160">
        <f>+AEP!BN51</f>
        <v>506.11528150754918</v>
      </c>
      <c r="BO40" s="160">
        <f>+AEP!BO51</f>
        <v>508.74666942857129</v>
      </c>
      <c r="BP40" s="144">
        <f>+AEP!BP51</f>
        <v>511.37805734959335</v>
      </c>
      <c r="BQ40" s="109">
        <f>+AEP!BQ51</f>
        <v>507.43097546806024</v>
      </c>
      <c r="BR40" s="496"/>
      <c r="BS40" s="496"/>
      <c r="BT40" s="496"/>
      <c r="BU40" s="496"/>
      <c r="BV40" s="496"/>
      <c r="BW40" s="496"/>
      <c r="BX40" s="496"/>
      <c r="BY40" s="496"/>
      <c r="BZ40" s="496"/>
      <c r="CA40" s="496"/>
      <c r="CB40" s="496"/>
      <c r="CC40" s="496"/>
      <c r="CD40" s="496"/>
      <c r="CE40" s="496"/>
      <c r="CF40" s="496"/>
      <c r="CG40" s="496"/>
      <c r="CH40" s="496"/>
      <c r="CI40" s="496"/>
      <c r="CJ40" s="496"/>
      <c r="CK40" s="496"/>
      <c r="CL40" s="496"/>
      <c r="CM40" s="496"/>
      <c r="CN40" s="496"/>
      <c r="CO40" s="496"/>
      <c r="CP40" s="496"/>
      <c r="CQ40" s="496"/>
      <c r="CR40" s="496"/>
      <c r="CS40" s="496"/>
      <c r="CT40" s="496"/>
      <c r="CU40" s="496"/>
      <c r="CV40" s="496"/>
      <c r="CW40" s="496"/>
      <c r="CX40" s="496"/>
      <c r="CY40" s="496"/>
      <c r="CZ40" s="496"/>
    </row>
    <row r="41" spans="1:104">
      <c r="A41" s="496"/>
      <c r="B41" s="496"/>
      <c r="C41" s="50" t="s">
        <v>901</v>
      </c>
      <c r="D41" s="561"/>
      <c r="E41" s="161"/>
      <c r="F41" s="160"/>
      <c r="G41" s="160"/>
      <c r="H41" s="144"/>
      <c r="I41" s="109"/>
      <c r="J41" s="161"/>
      <c r="K41" s="160"/>
      <c r="L41" s="160"/>
      <c r="M41" s="144"/>
      <c r="N41" s="109"/>
      <c r="O41" s="161"/>
      <c r="P41" s="160"/>
      <c r="Q41" s="160"/>
      <c r="R41" s="144"/>
      <c r="S41" s="109"/>
      <c r="T41" s="161"/>
      <c r="U41" s="160"/>
      <c r="V41" s="160"/>
      <c r="W41" s="144"/>
      <c r="X41" s="109">
        <f>+AEP!X52</f>
        <v>485.08469400000001</v>
      </c>
      <c r="Y41" s="161">
        <f>+AEP!Y52</f>
        <v>486.34403600000002</v>
      </c>
      <c r="Z41" s="160">
        <f>+AEP!Z52</f>
        <v>486.86361499999998</v>
      </c>
      <c r="AA41" s="160">
        <f>+AEP!AA52</f>
        <v>487.25890500000003</v>
      </c>
      <c r="AB41" s="144">
        <f>+AEP!AB52</f>
        <v>487</v>
      </c>
      <c r="AC41" s="109">
        <f>+AEP!AC52</f>
        <v>487.04095599999999</v>
      </c>
      <c r="AD41" s="161">
        <f>+AEP!AD52</f>
        <v>488.27116699999999</v>
      </c>
      <c r="AE41" s="160">
        <f>+AEP!AE52</f>
        <v>488.53822700000001</v>
      </c>
      <c r="AF41" s="160">
        <f>+AEP!AF52</f>
        <v>488.97064699999999</v>
      </c>
      <c r="AG41" s="144">
        <f>+AEP!AG52</f>
        <v>489</v>
      </c>
      <c r="AH41" s="109">
        <f>+AEP!AH52</f>
        <v>488.89983999999998</v>
      </c>
      <c r="AI41" s="161">
        <f>+AEP!AI52</f>
        <v>489.93672600000002</v>
      </c>
      <c r="AJ41" s="160">
        <f>+AEP!AJ52</f>
        <v>490.48444999999998</v>
      </c>
      <c r="AK41" s="160">
        <f>+AEP!AK52</f>
        <v>490.80033500000002</v>
      </c>
      <c r="AL41" s="144">
        <f>+AEP!AL52</f>
        <v>491</v>
      </c>
      <c r="AM41" s="109">
        <f>+AEP!AM52</f>
        <v>490.574568</v>
      </c>
      <c r="AN41" s="161">
        <f>+AEP!AN52</f>
        <v>491.33230500000002</v>
      </c>
      <c r="AO41" s="160">
        <f>+AEP!AO52</f>
        <v>491.64139999999998</v>
      </c>
      <c r="AP41" s="160">
        <f>+AEP!AP52</f>
        <v>491.81385799999998</v>
      </c>
      <c r="AQ41" s="144">
        <f>+AEP!AQ52</f>
        <v>492</v>
      </c>
      <c r="AR41" s="109">
        <f>+AEP!AR52</f>
        <v>491.66200700000002</v>
      </c>
      <c r="AS41" s="161">
        <f>+AEP!AS52</f>
        <v>492.03197499999999</v>
      </c>
      <c r="AT41" s="160">
        <f>+AEP!AT52</f>
        <v>492.64210000000003</v>
      </c>
      <c r="AU41" s="160">
        <f>+AEP!AU52</f>
        <v>492.98630700000001</v>
      </c>
      <c r="AV41" s="144">
        <f>+AEP!AV52</f>
        <v>492</v>
      </c>
      <c r="AW41" s="109">
        <f>+AEP!AW52</f>
        <v>492.61106699999999</v>
      </c>
      <c r="AX41" s="161">
        <f>+AEP!AX52</f>
        <v>492.18707302903601</v>
      </c>
      <c r="AY41" s="160">
        <f>+AEP!AY52</f>
        <v>492.550023087108</v>
      </c>
      <c r="AZ41" s="160">
        <f>+AEP!AZ52</f>
        <v>492.91297314517999</v>
      </c>
      <c r="BA41" s="144">
        <f>+AEP!BA52</f>
        <v>493.27592320325198</v>
      </c>
      <c r="BB41" s="109">
        <f>+AEP!BB52</f>
        <v>492.731498116144</v>
      </c>
      <c r="BC41" s="161">
        <f>+AEP!BC52</f>
        <v>493.63887326132397</v>
      </c>
      <c r="BD41" s="160">
        <f>+AEP!BD52</f>
        <v>494.00182331939595</v>
      </c>
      <c r="BE41" s="160">
        <f>+AEP!BE52</f>
        <v>494.36477337746794</v>
      </c>
      <c r="BF41" s="144">
        <f>+AEP!BF52</f>
        <v>494.72772343553993</v>
      </c>
      <c r="BG41" s="109">
        <f>+AEP!BG52</f>
        <v>494.18329834843195</v>
      </c>
      <c r="BH41" s="161">
        <f>+AEP!BH52</f>
        <v>495.81657360975595</v>
      </c>
      <c r="BI41" s="160">
        <f>+AEP!BI52</f>
        <v>497.631323900116</v>
      </c>
      <c r="BJ41" s="160">
        <f>+AEP!BJ52</f>
        <v>499.44607419047605</v>
      </c>
      <c r="BK41" s="144">
        <f>+AEP!BK52</f>
        <v>501.26082448083611</v>
      </c>
      <c r="BL41" s="109">
        <f>+AEP!BL52</f>
        <v>498.53869904529603</v>
      </c>
      <c r="BM41" s="161">
        <f>+AEP!BM52</f>
        <v>503.48389358652719</v>
      </c>
      <c r="BN41" s="160">
        <f>+AEP!BN52</f>
        <v>506.11528150754918</v>
      </c>
      <c r="BO41" s="160">
        <f>+AEP!BO52</f>
        <v>508.74666942857129</v>
      </c>
      <c r="BP41" s="144">
        <f>+AEP!BP52</f>
        <v>511.37805734959335</v>
      </c>
      <c r="BQ41" s="109">
        <f>+AEP!BQ52</f>
        <v>507.43097546806024</v>
      </c>
      <c r="BR41" s="496"/>
      <c r="BS41" s="496"/>
      <c r="BT41" s="496"/>
      <c r="BU41" s="496"/>
      <c r="BV41" s="496"/>
      <c r="BW41" s="496"/>
      <c r="BX41" s="496"/>
      <c r="BY41" s="496"/>
      <c r="BZ41" s="496"/>
      <c r="CA41" s="496"/>
      <c r="CB41" s="496"/>
      <c r="CC41" s="496"/>
      <c r="CD41" s="496"/>
      <c r="CE41" s="496"/>
      <c r="CF41" s="496"/>
      <c r="CG41" s="496"/>
      <c r="CH41" s="496"/>
      <c r="CI41" s="496"/>
      <c r="CJ41" s="496"/>
      <c r="CK41" s="496"/>
      <c r="CL41" s="496"/>
      <c r="CM41" s="496"/>
      <c r="CN41" s="496"/>
      <c r="CO41" s="496"/>
      <c r="CP41" s="496"/>
      <c r="CQ41" s="496"/>
      <c r="CR41" s="496"/>
      <c r="CS41" s="496"/>
      <c r="CT41" s="496"/>
      <c r="CU41" s="496"/>
      <c r="CV41" s="496"/>
      <c r="CW41" s="496"/>
      <c r="CX41" s="496"/>
      <c r="CY41" s="496"/>
      <c r="CZ41" s="496"/>
    </row>
    <row r="42" spans="1:104">
      <c r="A42" s="496"/>
      <c r="B42" s="496"/>
      <c r="C42" s="112"/>
      <c r="D42" s="561"/>
      <c r="E42" s="578"/>
      <c r="F42" s="579"/>
      <c r="G42" s="579"/>
      <c r="H42" s="580"/>
      <c r="I42" s="561"/>
      <c r="J42" s="578"/>
      <c r="K42" s="579"/>
      <c r="L42" s="579"/>
      <c r="M42" s="580"/>
      <c r="N42" s="561"/>
      <c r="O42" s="578"/>
      <c r="P42" s="579"/>
      <c r="Q42" s="579"/>
      <c r="R42" s="580"/>
      <c r="S42" s="561"/>
      <c r="T42" s="578"/>
      <c r="U42" s="579"/>
      <c r="V42" s="579"/>
      <c r="W42" s="580"/>
      <c r="X42" s="561"/>
      <c r="Y42" s="578"/>
      <c r="Z42" s="579"/>
      <c r="AA42" s="579"/>
      <c r="AB42" s="580"/>
      <c r="AC42" s="561"/>
      <c r="AD42" s="578"/>
      <c r="AE42" s="579"/>
      <c r="AF42" s="579"/>
      <c r="AG42" s="580"/>
      <c r="AH42" s="561"/>
      <c r="AI42" s="578"/>
      <c r="AJ42" s="579"/>
      <c r="AK42" s="579"/>
      <c r="AL42" s="580"/>
      <c r="AM42" s="561"/>
      <c r="AN42" s="578"/>
      <c r="AO42" s="579"/>
      <c r="AP42" s="579"/>
      <c r="AQ42" s="580"/>
      <c r="AR42" s="561"/>
      <c r="AS42" s="578"/>
      <c r="AT42" s="579"/>
      <c r="AU42" s="579"/>
      <c r="AV42" s="580"/>
      <c r="AW42" s="561"/>
      <c r="AX42" s="578"/>
      <c r="AY42" s="579"/>
      <c r="AZ42" s="579"/>
      <c r="BA42" s="580"/>
      <c r="BB42" s="496"/>
      <c r="BC42" s="578"/>
      <c r="BD42" s="579"/>
      <c r="BE42" s="579"/>
      <c r="BF42" s="580"/>
      <c r="BG42" s="496"/>
      <c r="BH42" s="578"/>
      <c r="BI42" s="579"/>
      <c r="BJ42" s="579"/>
      <c r="BK42" s="580"/>
      <c r="BL42" s="496"/>
      <c r="BM42" s="578"/>
      <c r="BN42" s="579"/>
      <c r="BO42" s="579"/>
      <c r="BP42" s="580"/>
      <c r="BQ42" s="496"/>
      <c r="BR42" s="496"/>
      <c r="BS42" s="496"/>
      <c r="BT42" s="496"/>
      <c r="BU42" s="496"/>
      <c r="BV42" s="496"/>
      <c r="BW42" s="496"/>
      <c r="BX42" s="496"/>
      <c r="BY42" s="496"/>
      <c r="BZ42" s="496"/>
      <c r="CA42" s="496"/>
      <c r="CB42" s="496"/>
      <c r="CC42" s="496"/>
      <c r="CD42" s="496"/>
      <c r="CE42" s="496"/>
      <c r="CF42" s="496"/>
      <c r="CG42" s="496"/>
      <c r="CH42" s="496"/>
      <c r="CI42" s="496"/>
      <c r="CJ42" s="496"/>
      <c r="CK42" s="496"/>
      <c r="CL42" s="496"/>
      <c r="CM42" s="496"/>
      <c r="CN42" s="496"/>
      <c r="CO42" s="496"/>
      <c r="CP42" s="496"/>
      <c r="CQ42" s="496"/>
      <c r="CR42" s="496"/>
      <c r="CS42" s="496"/>
      <c r="CT42" s="496"/>
      <c r="CU42" s="496"/>
      <c r="CV42" s="496"/>
      <c r="CW42" s="496"/>
      <c r="CX42" s="496"/>
      <c r="CY42" s="496"/>
      <c r="CZ42" s="496"/>
    </row>
    <row r="43" spans="1:104">
      <c r="A43" s="50"/>
      <c r="B43" s="50"/>
      <c r="C43" s="50" t="s">
        <v>196</v>
      </c>
      <c r="D43" s="50"/>
      <c r="E43" s="174"/>
      <c r="F43" s="175"/>
      <c r="G43" s="175"/>
      <c r="H43" s="176"/>
      <c r="I43" s="177"/>
      <c r="J43" s="174"/>
      <c r="K43" s="175"/>
      <c r="L43" s="175"/>
      <c r="M43" s="176"/>
      <c r="N43" s="177"/>
      <c r="O43" s="174"/>
      <c r="P43" s="175"/>
      <c r="Q43" s="175"/>
      <c r="R43" s="176"/>
      <c r="S43" s="177"/>
      <c r="T43" s="174"/>
      <c r="U43" s="175"/>
      <c r="V43" s="175"/>
      <c r="W43" s="176"/>
      <c r="X43" s="177">
        <f t="shared" ref="X43:AM43" si="22">+X36/X41</f>
        <v>0.20614956777011809</v>
      </c>
      <c r="Y43" s="174">
        <f t="shared" si="22"/>
        <v>0.17477339847547754</v>
      </c>
      <c r="Z43" s="175">
        <f t="shared" si="22"/>
        <v>-1.8485669749627932E-2</v>
      </c>
      <c r="AA43" s="175">
        <f t="shared" si="22"/>
        <v>0.22985726653882291</v>
      </c>
      <c r="AB43" s="176">
        <f t="shared" si="22"/>
        <v>8.2135523613963035E-2</v>
      </c>
      <c r="AC43" s="177">
        <f t="shared" si="22"/>
        <v>0.46813311527747575</v>
      </c>
      <c r="AD43" s="174">
        <f t="shared" si="22"/>
        <v>0.33383089360261159</v>
      </c>
      <c r="AE43" s="175">
        <f t="shared" si="22"/>
        <v>0.20059842727517002</v>
      </c>
      <c r="AF43" s="175">
        <f t="shared" si="22"/>
        <v>0.23927816673216379</v>
      </c>
      <c r="AG43" s="176">
        <f t="shared" si="22"/>
        <v>-2.2494887525562373E-2</v>
      </c>
      <c r="AH43" s="177">
        <f t="shared" si="22"/>
        <v>0.75066500328574459</v>
      </c>
      <c r="AI43" s="174">
        <f t="shared" si="22"/>
        <v>0.3816819398838045</v>
      </c>
      <c r="AJ43" s="175">
        <f t="shared" si="22"/>
        <v>0.16718165071288194</v>
      </c>
      <c r="AK43" s="175">
        <f t="shared" si="22"/>
        <v>0.18541144638786769</v>
      </c>
      <c r="AL43" s="176">
        <f t="shared" si="22"/>
        <v>1.2219959266801287E-2</v>
      </c>
      <c r="AM43" s="177">
        <f t="shared" si="22"/>
        <v>0.74606395005784198</v>
      </c>
      <c r="AN43" s="174">
        <f t="shared" ref="AN43:AS43" si="23">+AN36/AN41</f>
        <v>0.1438944666990703</v>
      </c>
      <c r="AO43" s="175">
        <f t="shared" si="23"/>
        <v>0.10108994075763343</v>
      </c>
      <c r="AP43" s="175">
        <f t="shared" si="23"/>
        <v>-2.7839801130613928</v>
      </c>
      <c r="AQ43" s="176">
        <f t="shared" si="23"/>
        <v>0.10325203252032511</v>
      </c>
      <c r="AR43" s="177">
        <f t="shared" si="23"/>
        <v>-2.4366332621670317</v>
      </c>
      <c r="AS43" s="174">
        <f t="shared" si="23"/>
        <v>0.37843069040380961</v>
      </c>
      <c r="AT43" s="175">
        <f t="shared" ref="AT43:BL43" si="24">+AT36/AT41</f>
        <v>5.3588599106735024E-2</v>
      </c>
      <c r="AU43" s="175">
        <f t="shared" si="24"/>
        <v>6.8358896629556895E-2</v>
      </c>
      <c r="AV43" s="176">
        <f t="shared" si="24"/>
        <v>-0.16321138211382175</v>
      </c>
      <c r="AW43" s="177">
        <f t="shared" si="24"/>
        <v>0.33697984296402295</v>
      </c>
      <c r="AX43" s="174">
        <f t="shared" si="24"/>
        <v>2.5233939661937058E-2</v>
      </c>
      <c r="AY43" s="175">
        <f t="shared" si="24"/>
        <v>3.0239381435443573E-2</v>
      </c>
      <c r="AZ43" s="175">
        <f t="shared" si="24"/>
        <v>6.5883490620358545E-2</v>
      </c>
      <c r="BA43" s="176">
        <f t="shared" si="24"/>
        <v>5.2132079525382805E-2</v>
      </c>
      <c r="BB43" s="177">
        <f t="shared" si="24"/>
        <v>0.17353173919980422</v>
      </c>
      <c r="BC43" s="174">
        <f t="shared" si="24"/>
        <v>4.8201015355167798E-2</v>
      </c>
      <c r="BD43" s="175">
        <f t="shared" si="24"/>
        <v>1.6127971221924768E-2</v>
      </c>
      <c r="BE43" s="175">
        <f t="shared" si="24"/>
        <v>3.6429877591511825E-2</v>
      </c>
      <c r="BF43" s="176">
        <f t="shared" si="24"/>
        <v>3.9826841247766635E-2</v>
      </c>
      <c r="BG43" s="177">
        <f t="shared" si="24"/>
        <v>0.14058393517965259</v>
      </c>
      <c r="BH43" s="174">
        <f t="shared" si="24"/>
        <v>3.2252204998543706E-2</v>
      </c>
      <c r="BI43" s="175">
        <f t="shared" si="24"/>
        <v>9.1634658574043116E-3</v>
      </c>
      <c r="BJ43" s="175">
        <f t="shared" si="24"/>
        <v>5.4961016231163971E-2</v>
      </c>
      <c r="BK43" s="176">
        <f t="shared" si="24"/>
        <v>3.2104393952756369E-2</v>
      </c>
      <c r="BL43" s="177">
        <f t="shared" si="24"/>
        <v>0.12856362869121579</v>
      </c>
      <c r="BM43" s="174">
        <f>+BM36/BM41</f>
        <v>3.7949525971197565E-2</v>
      </c>
      <c r="BN43" s="175">
        <f>+BN36/BN41</f>
        <v>4.2047634877135448E-2</v>
      </c>
      <c r="BO43" s="175">
        <f>+BO36/BO41</f>
        <v>5.6670432272883542E-2</v>
      </c>
      <c r="BP43" s="176">
        <f>+BP36/BP41</f>
        <v>4.7827775359210435E-2</v>
      </c>
      <c r="BQ43" s="177">
        <f>+BQ36/BQ41</f>
        <v>0.18461012179312394</v>
      </c>
      <c r="BR43" s="50"/>
      <c r="BS43" s="50"/>
      <c r="BT43" s="50"/>
      <c r="BU43" s="50"/>
      <c r="BV43" s="50"/>
      <c r="BW43" s="50"/>
      <c r="BX43" s="50"/>
      <c r="BY43" s="50"/>
      <c r="BZ43" s="50"/>
      <c r="CA43" s="50"/>
      <c r="CB43" s="50"/>
      <c r="CC43" s="50"/>
      <c r="CD43" s="50"/>
      <c r="CE43" s="50"/>
      <c r="CF43" s="50"/>
      <c r="CG43" s="50"/>
      <c r="CH43" s="50"/>
      <c r="CI43" s="50"/>
      <c r="CJ43" s="50"/>
      <c r="CK43" s="50"/>
      <c r="CL43" s="50"/>
      <c r="CM43" s="50"/>
      <c r="CN43" s="50"/>
      <c r="CO43" s="50"/>
      <c r="CP43" s="50"/>
      <c r="CQ43" s="50"/>
      <c r="CR43" s="50"/>
      <c r="CS43" s="50"/>
      <c r="CT43" s="50"/>
      <c r="CU43" s="50"/>
      <c r="CV43" s="50"/>
      <c r="CW43" s="50"/>
      <c r="CX43" s="50"/>
      <c r="CY43" s="50"/>
      <c r="CZ43" s="50"/>
    </row>
    <row r="44" spans="1:104">
      <c r="A44" s="50"/>
      <c r="C44" s="178" t="s">
        <v>197</v>
      </c>
      <c r="D44" s="179"/>
      <c r="E44" s="180"/>
      <c r="F44" s="105"/>
      <c r="G44" s="105"/>
      <c r="H44" s="106"/>
      <c r="I44" s="181"/>
      <c r="J44" s="180"/>
      <c r="K44" s="105"/>
      <c r="L44" s="105"/>
      <c r="M44" s="106"/>
      <c r="N44" s="181"/>
      <c r="O44" s="180"/>
      <c r="P44" s="105"/>
      <c r="Q44" s="105"/>
      <c r="R44" s="106"/>
      <c r="S44" s="181"/>
      <c r="T44" s="180"/>
      <c r="U44" s="105"/>
      <c r="V44" s="105"/>
      <c r="W44" s="106"/>
      <c r="X44" s="181">
        <f t="shared" ref="X44:BL44" si="25">+X38/X41</f>
        <v>0.58546477246713535</v>
      </c>
      <c r="Y44" s="180">
        <f t="shared" si="25"/>
        <v>0.1829980289919706</v>
      </c>
      <c r="Z44" s="105">
        <f t="shared" si="25"/>
        <v>0.18485669749627934</v>
      </c>
      <c r="AA44" s="105">
        <f t="shared" si="25"/>
        <v>0.22985726653882291</v>
      </c>
      <c r="AB44" s="106">
        <f t="shared" si="25"/>
        <v>8.2135523613963035E-2</v>
      </c>
      <c r="AC44" s="181">
        <f t="shared" si="25"/>
        <v>0.67961430331949335</v>
      </c>
      <c r="AD44" s="180">
        <f t="shared" si="25"/>
        <v>0.33383089360261159</v>
      </c>
      <c r="AE44" s="105">
        <f t="shared" si="25"/>
        <v>0.20059842727517002</v>
      </c>
      <c r="AF44" s="105">
        <f t="shared" si="25"/>
        <v>0.23927816673216379</v>
      </c>
      <c r="AG44" s="106">
        <f t="shared" si="25"/>
        <v>6.1349693251533742E-2</v>
      </c>
      <c r="AH44" s="181">
        <f t="shared" si="25"/>
        <v>0.83452676114600488</v>
      </c>
      <c r="AI44" s="180">
        <f t="shared" si="25"/>
        <v>0.37351762031409746</v>
      </c>
      <c r="AJ44" s="105">
        <f t="shared" si="25"/>
        <v>0.16514285009443216</v>
      </c>
      <c r="AK44" s="105">
        <f t="shared" si="25"/>
        <v>0.18948642323155707</v>
      </c>
      <c r="AL44" s="106">
        <f t="shared" si="25"/>
        <v>1.8329938900202507E-2</v>
      </c>
      <c r="AM44" s="181">
        <f t="shared" si="25"/>
        <v>0.74606395005784198</v>
      </c>
      <c r="AN44" s="180">
        <f t="shared" ref="AN44:AS44" si="26">+AN38/AN41</f>
        <v>0.1438944666990703</v>
      </c>
      <c r="AO44" s="105">
        <f t="shared" si="26"/>
        <v>9.3564130278694924E-2</v>
      </c>
      <c r="AP44" s="105">
        <f t="shared" si="26"/>
        <v>0.16469645717059123</v>
      </c>
      <c r="AQ44" s="106">
        <f t="shared" si="26"/>
        <v>9.6544715447154011E-2</v>
      </c>
      <c r="AR44" s="181">
        <f t="shared" si="26"/>
        <v>0.49871659088760911</v>
      </c>
      <c r="AS44" s="180">
        <f t="shared" si="26"/>
        <v>0.13881211683448011</v>
      </c>
      <c r="AT44" s="105">
        <f t="shared" si="25"/>
        <v>4.4251191686622129E-2</v>
      </c>
      <c r="AU44" s="105">
        <f t="shared" si="25"/>
        <v>6.5113370380082386E-2</v>
      </c>
      <c r="AV44" s="106">
        <f t="shared" si="25"/>
        <v>4.9796747967479009E-2</v>
      </c>
      <c r="AW44" s="181">
        <f t="shared" si="25"/>
        <v>0.2978008612218202</v>
      </c>
      <c r="AX44" s="180">
        <f t="shared" si="25"/>
        <v>2.5233939661937058E-2</v>
      </c>
      <c r="AY44" s="105">
        <f t="shared" si="25"/>
        <v>3.0239381435443573E-2</v>
      </c>
      <c r="AZ44" s="105">
        <f t="shared" si="25"/>
        <v>6.5883490620358545E-2</v>
      </c>
      <c r="BA44" s="106">
        <f t="shared" si="25"/>
        <v>5.2132079525382805E-2</v>
      </c>
      <c r="BB44" s="181">
        <f t="shared" si="25"/>
        <v>0.17353173919980422</v>
      </c>
      <c r="BC44" s="180">
        <f t="shared" si="25"/>
        <v>4.8201015355167798E-2</v>
      </c>
      <c r="BD44" s="105">
        <f t="shared" si="25"/>
        <v>1.6127971221924768E-2</v>
      </c>
      <c r="BE44" s="105">
        <f>+BE38/BE41</f>
        <v>3.6429877591511825E-2</v>
      </c>
      <c r="BF44" s="106">
        <f t="shared" si="25"/>
        <v>3.9826841247766635E-2</v>
      </c>
      <c r="BG44" s="181">
        <f t="shared" si="25"/>
        <v>0.14058393517965259</v>
      </c>
      <c r="BH44" s="180">
        <f t="shared" si="25"/>
        <v>3.2252204998543706E-2</v>
      </c>
      <c r="BI44" s="105">
        <f t="shared" si="25"/>
        <v>9.1634658574043116E-3</v>
      </c>
      <c r="BJ44" s="105">
        <f t="shared" si="25"/>
        <v>5.4961016231163971E-2</v>
      </c>
      <c r="BK44" s="106">
        <f t="shared" si="25"/>
        <v>3.2104393952756369E-2</v>
      </c>
      <c r="BL44" s="181">
        <f t="shared" si="25"/>
        <v>0.12856362869121579</v>
      </c>
      <c r="BM44" s="180">
        <f>+BM38/BM41</f>
        <v>3.7949525971197565E-2</v>
      </c>
      <c r="BN44" s="105">
        <f>+BN38/BN41</f>
        <v>4.2047634877135448E-2</v>
      </c>
      <c r="BO44" s="105">
        <f>+BO38/BO41</f>
        <v>5.6670432272883542E-2</v>
      </c>
      <c r="BP44" s="106">
        <f>+BP38/BP41</f>
        <v>4.7827775359210435E-2</v>
      </c>
      <c r="BQ44" s="181">
        <f>+BQ38/BQ41</f>
        <v>0.18461012179312394</v>
      </c>
      <c r="BR44" s="287"/>
      <c r="BS44" s="50"/>
      <c r="BT44" s="50"/>
      <c r="BU44" s="50"/>
      <c r="BV44" s="50"/>
      <c r="BW44" s="50"/>
      <c r="BX44" s="50"/>
      <c r="BY44" s="50"/>
      <c r="BZ44" s="50"/>
      <c r="CA44" s="50"/>
      <c r="CB44" s="50"/>
      <c r="CC44" s="50"/>
      <c r="CD44" s="50"/>
      <c r="CE44" s="50"/>
      <c r="CF44" s="50"/>
      <c r="CG44" s="50"/>
      <c r="CH44" s="50"/>
      <c r="CI44" s="50"/>
      <c r="CJ44" s="50"/>
      <c r="CK44" s="50"/>
      <c r="CL44" s="50"/>
      <c r="CM44" s="50"/>
      <c r="CN44" s="50"/>
      <c r="CO44" s="50"/>
      <c r="CP44" s="50"/>
      <c r="CQ44" s="50"/>
      <c r="CR44" s="50"/>
      <c r="CS44" s="50"/>
      <c r="CT44" s="50"/>
      <c r="CU44" s="50"/>
      <c r="CV44" s="50"/>
      <c r="CW44" s="50"/>
      <c r="CX44" s="50"/>
      <c r="CY44" s="50"/>
      <c r="CZ44" s="50"/>
    </row>
    <row r="45" spans="1:104">
      <c r="A45" s="50"/>
      <c r="B45" s="50"/>
      <c r="C45" s="75" t="s">
        <v>22</v>
      </c>
      <c r="D45" s="50"/>
      <c r="E45" s="274"/>
      <c r="F45" s="275"/>
      <c r="G45" s="275"/>
      <c r="H45" s="276"/>
      <c r="I45" s="107"/>
      <c r="J45" s="274"/>
      <c r="K45" s="275"/>
      <c r="L45" s="275"/>
      <c r="M45" s="276"/>
      <c r="N45" s="288"/>
      <c r="O45" s="274"/>
      <c r="P45" s="275"/>
      <c r="Q45" s="275"/>
      <c r="R45" s="276"/>
      <c r="S45" s="288"/>
      <c r="T45" s="274"/>
      <c r="U45" s="275"/>
      <c r="V45" s="275"/>
      <c r="W45" s="276"/>
      <c r="X45" s="288"/>
      <c r="Y45" s="274"/>
      <c r="Z45" s="275"/>
      <c r="AA45" s="275"/>
      <c r="AB45" s="276"/>
      <c r="AC45" s="288">
        <f>AC44/X44-1</f>
        <v>0.16081160691464658</v>
      </c>
      <c r="AD45" s="274"/>
      <c r="AE45" s="275"/>
      <c r="AF45" s="275"/>
      <c r="AG45" s="276"/>
      <c r="AH45" s="288">
        <f>AH44/AC44-1</f>
        <v>0.22794172675569135</v>
      </c>
      <c r="AI45" s="274"/>
      <c r="AJ45" s="275"/>
      <c r="AK45" s="275"/>
      <c r="AL45" s="276"/>
      <c r="AM45" s="288">
        <f>AM44/AH44-1</f>
        <v>-0.10600356418370849</v>
      </c>
      <c r="AN45" s="274"/>
      <c r="AO45" s="275"/>
      <c r="AP45" s="275"/>
      <c r="AQ45" s="276"/>
      <c r="AR45" s="288">
        <f>AR44/AM44-1</f>
        <v>-0.33153640401879247</v>
      </c>
      <c r="AS45" s="274"/>
      <c r="AT45" s="275"/>
      <c r="AU45" s="275"/>
      <c r="AV45" s="276"/>
      <c r="AW45" s="288">
        <f>AW44/AR44-1</f>
        <v>-0.40286554194678337</v>
      </c>
      <c r="AX45" s="274"/>
      <c r="AY45" s="275"/>
      <c r="AZ45" s="275"/>
      <c r="BA45" s="276"/>
      <c r="BB45" s="288">
        <f>BB44/AW44-1</f>
        <v>-0.41728933056863382</v>
      </c>
      <c r="BC45" s="274"/>
      <c r="BD45" s="275"/>
      <c r="BE45" s="275"/>
      <c r="BF45" s="276"/>
      <c r="BG45" s="288">
        <f>BG44/BB44-1</f>
        <v>-0.18986615458406475</v>
      </c>
      <c r="BH45" s="274"/>
      <c r="BI45" s="275"/>
      <c r="BJ45" s="275"/>
      <c r="BK45" s="276"/>
      <c r="BL45" s="288">
        <f>BL44/BG44-1</f>
        <v>-8.5502703229042631E-2</v>
      </c>
      <c r="BM45" s="274"/>
      <c r="BN45" s="275"/>
      <c r="BO45" s="275"/>
      <c r="BP45" s="276"/>
      <c r="BQ45" s="288">
        <f>BQ44/BL44-1</f>
        <v>0.43594361541023896</v>
      </c>
      <c r="BR45" s="50"/>
      <c r="BS45" s="50"/>
      <c r="BT45" s="50"/>
      <c r="BU45" s="50"/>
      <c r="BV45" s="50"/>
      <c r="BW45" s="50"/>
      <c r="BX45" s="50"/>
      <c r="BY45" s="50"/>
      <c r="BZ45" s="50"/>
      <c r="CA45" s="50"/>
      <c r="CB45" s="50"/>
      <c r="CC45" s="50"/>
      <c r="CD45" s="50"/>
      <c r="CE45" s="50"/>
      <c r="CF45" s="50"/>
      <c r="CG45" s="50"/>
      <c r="CH45" s="50"/>
      <c r="CI45" s="50"/>
      <c r="CJ45" s="50"/>
      <c r="CK45" s="50"/>
      <c r="CL45" s="50"/>
      <c r="CM45" s="50"/>
      <c r="CN45" s="50"/>
      <c r="CO45" s="50"/>
      <c r="CP45" s="50"/>
      <c r="CQ45" s="50"/>
      <c r="CR45" s="50"/>
      <c r="CS45" s="50"/>
      <c r="CT45" s="50"/>
      <c r="CU45" s="50"/>
      <c r="CV45" s="50"/>
      <c r="CW45" s="50"/>
      <c r="CX45" s="50"/>
      <c r="CY45" s="50"/>
      <c r="CZ45" s="50"/>
    </row>
    <row r="46" spans="1:104">
      <c r="C46" s="56"/>
      <c r="E46" s="289"/>
      <c r="F46" s="290"/>
      <c r="G46" s="290"/>
      <c r="H46" s="291"/>
      <c r="I46" s="191"/>
      <c r="J46" s="289"/>
      <c r="K46" s="290"/>
      <c r="L46" s="290"/>
      <c r="M46" s="291"/>
      <c r="N46" s="191"/>
      <c r="O46" s="289"/>
      <c r="P46" s="290"/>
      <c r="Q46" s="290"/>
      <c r="R46" s="291"/>
      <c r="S46" s="85"/>
      <c r="T46" s="289"/>
      <c r="U46" s="290"/>
      <c r="V46" s="290"/>
      <c r="W46" s="291"/>
      <c r="X46" s="191"/>
      <c r="Y46" s="289"/>
      <c r="Z46" s="290"/>
      <c r="AA46" s="290"/>
      <c r="AB46" s="291"/>
      <c r="AC46" s="191"/>
      <c r="AD46" s="289"/>
      <c r="AE46" s="290"/>
      <c r="AF46" s="290"/>
      <c r="AG46" s="291"/>
      <c r="AH46" s="191"/>
      <c r="AI46" s="289"/>
      <c r="AJ46" s="290"/>
      <c r="AK46" s="290"/>
      <c r="AL46" s="291"/>
      <c r="AM46" s="191"/>
      <c r="AN46" s="289"/>
      <c r="AO46" s="290"/>
      <c r="AP46" s="290"/>
      <c r="AQ46" s="291"/>
      <c r="AR46" s="191"/>
      <c r="AS46" s="289"/>
      <c r="AT46" s="290"/>
      <c r="AU46" s="290"/>
      <c r="AV46" s="291"/>
      <c r="AW46" s="191"/>
      <c r="AX46" s="289"/>
      <c r="AY46" s="290"/>
      <c r="AZ46" s="290"/>
      <c r="BA46" s="291"/>
      <c r="BB46" s="191"/>
      <c r="BC46" s="289"/>
      <c r="BD46" s="290"/>
      <c r="BE46" s="290"/>
      <c r="BF46" s="291"/>
      <c r="BG46" s="191"/>
      <c r="BH46" s="289"/>
      <c r="BI46" s="290"/>
      <c r="BJ46" s="290"/>
      <c r="BK46" s="291"/>
      <c r="BL46" s="191"/>
      <c r="BM46" s="289"/>
      <c r="BN46" s="290"/>
      <c r="BO46" s="290"/>
      <c r="BP46" s="291"/>
      <c r="BQ46" s="191"/>
    </row>
    <row r="47" spans="1:104">
      <c r="C47" s="1272" t="s">
        <v>1022</v>
      </c>
      <c r="E47" s="289"/>
      <c r="F47" s="290"/>
      <c r="G47" s="290"/>
      <c r="H47" s="291"/>
      <c r="I47" s="191"/>
      <c r="J47" s="289"/>
      <c r="K47" s="290"/>
      <c r="L47" s="290"/>
      <c r="M47" s="291"/>
      <c r="N47" s="191"/>
      <c r="O47" s="289"/>
      <c r="P47" s="290"/>
      <c r="Q47" s="290"/>
      <c r="R47" s="291"/>
      <c r="S47" s="85"/>
      <c r="T47" s="289"/>
      <c r="U47" s="290"/>
      <c r="V47" s="290"/>
      <c r="W47" s="291"/>
      <c r="X47" s="191"/>
      <c r="Y47" s="289"/>
      <c r="Z47" s="290"/>
      <c r="AA47" s="290"/>
      <c r="AB47" s="291"/>
      <c r="AC47" s="191"/>
      <c r="AD47" s="289"/>
      <c r="AE47" s="290"/>
      <c r="AF47" s="290"/>
      <c r="AG47" s="291"/>
      <c r="AH47" s="191"/>
      <c r="AI47" s="289"/>
      <c r="AJ47" s="290"/>
      <c r="AK47" s="290"/>
      <c r="AL47" s="291"/>
      <c r="AM47" s="1354"/>
      <c r="AN47" s="1355"/>
      <c r="AO47" s="290"/>
      <c r="AP47" s="1356"/>
      <c r="AQ47" s="1357"/>
      <c r="AR47" s="1354"/>
      <c r="AS47" s="1355"/>
      <c r="AT47" s="290"/>
      <c r="AU47" s="1356"/>
      <c r="AV47" s="1357"/>
      <c r="AW47" s="191"/>
      <c r="AX47" s="289"/>
      <c r="AY47" s="290"/>
      <c r="AZ47" s="290"/>
      <c r="BA47" s="291"/>
      <c r="BB47" s="191"/>
      <c r="BC47" s="289"/>
      <c r="BD47" s="290"/>
      <c r="BE47" s="290"/>
      <c r="BF47" s="291"/>
      <c r="BG47" s="191"/>
      <c r="BH47" s="289"/>
      <c r="BI47" s="290"/>
      <c r="BJ47" s="290"/>
      <c r="BK47" s="291"/>
      <c r="BL47" s="191"/>
      <c r="BM47" s="289"/>
      <c r="BN47" s="290"/>
      <c r="BO47" s="290"/>
      <c r="BP47" s="291"/>
      <c r="BQ47" s="191"/>
    </row>
    <row r="48" spans="1:104">
      <c r="C48" s="1272" t="s">
        <v>1023</v>
      </c>
      <c r="E48" s="289"/>
      <c r="F48" s="290"/>
      <c r="G48" s="290"/>
      <c r="H48" s="291"/>
      <c r="I48" s="191"/>
      <c r="J48" s="289"/>
      <c r="K48" s="290"/>
      <c r="L48" s="290"/>
      <c r="M48" s="291"/>
      <c r="N48" s="191"/>
      <c r="O48" s="289"/>
      <c r="P48" s="290"/>
      <c r="Q48" s="290"/>
      <c r="R48" s="291"/>
      <c r="S48" s="85"/>
      <c r="T48" s="289"/>
      <c r="U48" s="290"/>
      <c r="V48" s="290"/>
      <c r="W48" s="291"/>
      <c r="X48" s="191"/>
      <c r="Y48" s="289"/>
      <c r="Z48" s="290"/>
      <c r="AA48" s="290"/>
      <c r="AB48" s="291"/>
      <c r="AC48" s="191"/>
      <c r="AD48" s="289"/>
      <c r="AE48" s="290"/>
      <c r="AF48" s="290"/>
      <c r="AG48" s="291"/>
      <c r="AH48" s="191"/>
      <c r="AI48" s="289"/>
      <c r="AJ48" s="290"/>
      <c r="AK48" s="290"/>
      <c r="AL48" s="291"/>
      <c r="AM48" s="1354"/>
      <c r="AN48" s="1355"/>
      <c r="AO48" s="290"/>
      <c r="AP48" s="1356"/>
      <c r="AQ48" s="1357"/>
      <c r="AR48" s="1354"/>
      <c r="AS48" s="1355"/>
      <c r="AT48" s="290"/>
      <c r="AU48" s="1356"/>
      <c r="AV48" s="1357"/>
      <c r="AW48" s="191"/>
      <c r="AX48" s="289"/>
      <c r="AY48" s="290"/>
      <c r="AZ48" s="290"/>
      <c r="BA48" s="291"/>
      <c r="BB48" s="191"/>
      <c r="BC48" s="289"/>
      <c r="BD48" s="290"/>
      <c r="BE48" s="290"/>
      <c r="BF48" s="291"/>
      <c r="BG48" s="191"/>
      <c r="BH48" s="289"/>
      <c r="BI48" s="290"/>
      <c r="BJ48" s="290"/>
      <c r="BK48" s="291"/>
      <c r="BL48" s="191"/>
      <c r="BM48" s="289"/>
      <c r="BN48" s="290"/>
      <c r="BO48" s="290"/>
      <c r="BP48" s="291"/>
      <c r="BQ48" s="191"/>
    </row>
    <row r="49" spans="1:110">
      <c r="C49" s="56"/>
      <c r="E49" s="289"/>
      <c r="F49" s="290"/>
      <c r="G49" s="290"/>
      <c r="H49" s="291"/>
      <c r="I49" s="191"/>
      <c r="J49" s="289"/>
      <c r="K49" s="290"/>
      <c r="L49" s="290"/>
      <c r="M49" s="291"/>
      <c r="N49" s="191"/>
      <c r="O49" s="289"/>
      <c r="P49" s="290"/>
      <c r="Q49" s="290"/>
      <c r="R49" s="291"/>
      <c r="S49" s="682"/>
      <c r="T49" s="679"/>
      <c r="U49" s="680"/>
      <c r="V49" s="680"/>
      <c r="W49" s="681"/>
      <c r="X49" s="682"/>
      <c r="Y49" s="679"/>
      <c r="Z49" s="680"/>
      <c r="AA49" s="680"/>
      <c r="AB49" s="681"/>
      <c r="AC49" s="682"/>
      <c r="AD49" s="679"/>
      <c r="AE49" s="680"/>
      <c r="AF49" s="680"/>
      <c r="AG49" s="681"/>
      <c r="AH49" s="682"/>
      <c r="AI49" s="679"/>
      <c r="AJ49" s="680"/>
      <c r="AK49" s="680"/>
      <c r="AL49" s="681"/>
      <c r="AM49" s="682"/>
      <c r="AN49" s="679"/>
      <c r="AO49" s="680"/>
      <c r="AP49" s="680"/>
      <c r="AQ49" s="681"/>
      <c r="AR49" s="682"/>
      <c r="AS49" s="679"/>
      <c r="AT49" s="680"/>
      <c r="AU49" s="680"/>
      <c r="AV49" s="681"/>
      <c r="AW49" s="682"/>
      <c r="AX49" s="679"/>
      <c r="AY49" s="680"/>
      <c r="AZ49" s="680"/>
      <c r="BA49" s="681"/>
      <c r="BB49" s="682"/>
      <c r="BC49" s="679"/>
      <c r="BD49" s="680"/>
      <c r="BE49" s="680"/>
      <c r="BF49" s="681"/>
      <c r="BG49" s="682"/>
      <c r="BH49" s="679"/>
      <c r="BI49" s="680"/>
      <c r="BJ49" s="680"/>
      <c r="BK49" s="681"/>
      <c r="BL49" s="682"/>
      <c r="BM49" s="679"/>
      <c r="BN49" s="680"/>
      <c r="BO49" s="680"/>
      <c r="BP49" s="681"/>
      <c r="BQ49" s="682"/>
    </row>
    <row r="50" spans="1:110">
      <c r="A50" s="541"/>
      <c r="B50" s="554" t="s">
        <v>972</v>
      </c>
      <c r="C50" s="555"/>
      <c r="D50" s="656"/>
      <c r="E50" s="316"/>
      <c r="F50" s="317"/>
      <c r="G50" s="317"/>
      <c r="H50" s="318"/>
      <c r="I50" s="657"/>
      <c r="J50" s="316"/>
      <c r="K50" s="317"/>
      <c r="L50" s="317"/>
      <c r="M50" s="318"/>
      <c r="N50" s="657"/>
      <c r="O50" s="316"/>
      <c r="P50" s="317"/>
      <c r="Q50" s="317"/>
      <c r="R50" s="318"/>
      <c r="S50" s="657"/>
      <c r="T50" s="316"/>
      <c r="U50" s="317"/>
      <c r="V50" s="317"/>
      <c r="W50" s="318"/>
      <c r="X50" s="657"/>
      <c r="Y50" s="316"/>
      <c r="Z50" s="317"/>
      <c r="AA50" s="317"/>
      <c r="AB50" s="318"/>
      <c r="AC50" s="657"/>
      <c r="AD50" s="316"/>
      <c r="AE50" s="317"/>
      <c r="AF50" s="317"/>
      <c r="AG50" s="318"/>
      <c r="AH50" s="657"/>
      <c r="AI50" s="316"/>
      <c r="AJ50" s="317"/>
      <c r="AK50" s="317"/>
      <c r="AL50" s="318"/>
      <c r="AM50" s="657"/>
      <c r="AN50" s="316"/>
      <c r="AO50" s="317"/>
      <c r="AP50" s="317"/>
      <c r="AQ50" s="318"/>
      <c r="AR50" s="657"/>
      <c r="AS50" s="316"/>
      <c r="AT50" s="317"/>
      <c r="AU50" s="317"/>
      <c r="AV50" s="318"/>
      <c r="AW50" s="657"/>
      <c r="AX50" s="316"/>
      <c r="AY50" s="317"/>
      <c r="AZ50" s="317"/>
      <c r="BA50" s="318"/>
      <c r="BB50" s="657"/>
      <c r="BC50" s="316"/>
      <c r="BD50" s="317"/>
      <c r="BE50" s="317"/>
      <c r="BF50" s="318"/>
      <c r="BG50" s="657"/>
      <c r="BH50" s="316"/>
      <c r="BI50" s="317"/>
      <c r="BJ50" s="317"/>
      <c r="BK50" s="318"/>
      <c r="BL50" s="657"/>
      <c r="BM50" s="316"/>
      <c r="BN50" s="317"/>
      <c r="BO50" s="317"/>
      <c r="BP50" s="318"/>
      <c r="BQ50" s="657"/>
      <c r="BR50" s="541"/>
      <c r="BS50" s="541"/>
      <c r="BT50" s="541"/>
      <c r="BU50" s="541"/>
      <c r="BV50" s="541"/>
      <c r="BW50" s="541"/>
      <c r="BX50" s="541"/>
      <c r="BY50" s="541"/>
      <c r="BZ50" s="541"/>
      <c r="CA50" s="541"/>
      <c r="CB50" s="541"/>
      <c r="CC50" s="541"/>
      <c r="CD50" s="541"/>
      <c r="CE50" s="541"/>
      <c r="CF50" s="541"/>
      <c r="CG50" s="541"/>
      <c r="CH50" s="541"/>
      <c r="CI50" s="541"/>
      <c r="CJ50" s="541"/>
      <c r="CK50" s="541"/>
      <c r="CL50" s="541"/>
      <c r="CM50" s="541"/>
      <c r="CN50" s="541"/>
      <c r="CO50" s="541"/>
      <c r="CP50" s="541"/>
      <c r="CQ50" s="541"/>
      <c r="CR50" s="541"/>
      <c r="CS50" s="541"/>
      <c r="CT50" s="541"/>
      <c r="CU50" s="541"/>
      <c r="CV50" s="541"/>
      <c r="CW50" s="541"/>
      <c r="CX50" s="541"/>
      <c r="CY50" s="541"/>
      <c r="CZ50" s="541"/>
      <c r="DA50" s="541"/>
      <c r="DB50" s="541"/>
      <c r="DC50" s="541"/>
      <c r="DD50" s="541"/>
      <c r="DE50" s="541"/>
      <c r="DF50" s="541"/>
    </row>
    <row r="51" spans="1:110">
      <c r="A51" s="541"/>
      <c r="B51" s="541"/>
      <c r="C51" s="658"/>
      <c r="D51" s="659"/>
      <c r="E51" s="294"/>
      <c r="F51" s="295"/>
      <c r="G51" s="295"/>
      <c r="H51" s="296"/>
      <c r="I51" s="660"/>
      <c r="J51" s="298"/>
      <c r="K51" s="299"/>
      <c r="L51" s="299"/>
      <c r="M51" s="300"/>
      <c r="N51" s="661"/>
      <c r="O51" s="298"/>
      <c r="P51" s="299"/>
      <c r="Q51" s="299"/>
      <c r="R51" s="300"/>
      <c r="S51" s="662"/>
      <c r="T51" s="298"/>
      <c r="U51" s="299"/>
      <c r="V51" s="299"/>
      <c r="W51" s="300"/>
      <c r="X51" s="662"/>
      <c r="Y51" s="298"/>
      <c r="Z51" s="299"/>
      <c r="AA51" s="299"/>
      <c r="AB51" s="300"/>
      <c r="AC51" s="662"/>
      <c r="AD51" s="298"/>
      <c r="AE51" s="299"/>
      <c r="AF51" s="299"/>
      <c r="AG51" s="300"/>
      <c r="AH51" s="662"/>
      <c r="AI51" s="298"/>
      <c r="AJ51" s="299"/>
      <c r="AK51" s="299"/>
      <c r="AL51" s="300"/>
      <c r="AM51" s="662"/>
      <c r="AN51" s="298"/>
      <c r="AO51" s="299"/>
      <c r="AP51" s="299"/>
      <c r="AQ51" s="300"/>
      <c r="AR51" s="662"/>
      <c r="AS51" s="298"/>
      <c r="AT51" s="299"/>
      <c r="AU51" s="299"/>
      <c r="AV51" s="300"/>
      <c r="AW51" s="662"/>
      <c r="AX51" s="298"/>
      <c r="AY51" s="299"/>
      <c r="AZ51" s="299"/>
      <c r="BA51" s="300"/>
      <c r="BB51" s="662"/>
      <c r="BC51" s="298"/>
      <c r="BD51" s="299"/>
      <c r="BE51" s="299"/>
      <c r="BF51" s="300"/>
      <c r="BG51" s="662"/>
      <c r="BH51" s="298"/>
      <c r="BI51" s="299"/>
      <c r="BJ51" s="299"/>
      <c r="BK51" s="300"/>
      <c r="BL51" s="662"/>
      <c r="BM51" s="298"/>
      <c r="BN51" s="299"/>
      <c r="BO51" s="299"/>
      <c r="BP51" s="300"/>
      <c r="BQ51" s="662"/>
      <c r="BR51" s="1016"/>
      <c r="BS51" s="541"/>
      <c r="BV51" s="541"/>
      <c r="BW51" s="541"/>
      <c r="BX51" s="541"/>
      <c r="BY51" s="541"/>
      <c r="BZ51" s="541"/>
      <c r="CA51" s="541"/>
      <c r="CB51" s="541"/>
      <c r="CC51" s="541"/>
      <c r="CD51" s="541"/>
      <c r="CE51" s="541"/>
      <c r="CF51" s="541"/>
      <c r="CG51" s="541"/>
      <c r="CH51" s="541"/>
      <c r="CI51" s="541"/>
      <c r="CJ51" s="541"/>
      <c r="CK51" s="541"/>
      <c r="CL51" s="541"/>
      <c r="CM51" s="541"/>
      <c r="CN51" s="541"/>
      <c r="CO51" s="541"/>
      <c r="CP51" s="541"/>
      <c r="CQ51" s="541"/>
      <c r="CR51" s="541"/>
      <c r="CS51" s="541"/>
      <c r="CT51" s="541"/>
      <c r="CU51" s="541"/>
      <c r="CV51" s="541"/>
      <c r="CW51" s="541"/>
      <c r="CX51" s="541"/>
      <c r="CY51" s="541"/>
      <c r="CZ51" s="541"/>
      <c r="DA51" s="541"/>
      <c r="DB51" s="541"/>
      <c r="DC51" s="541"/>
      <c r="DD51" s="541"/>
      <c r="DE51" s="541"/>
      <c r="DF51" s="541"/>
    </row>
    <row r="52" spans="1:110">
      <c r="A52" s="541"/>
      <c r="B52" s="545"/>
      <c r="C52" s="878" t="s">
        <v>615</v>
      </c>
      <c r="D52" s="541"/>
      <c r="E52" s="665"/>
      <c r="F52" s="665"/>
      <c r="G52" s="665"/>
      <c r="H52" s="666"/>
      <c r="I52" s="489"/>
      <c r="J52" s="149"/>
      <c r="K52" s="156"/>
      <c r="L52" s="156"/>
      <c r="M52" s="151"/>
      <c r="N52" s="667"/>
      <c r="O52" s="679"/>
      <c r="P52" s="680"/>
      <c r="Q52" s="680"/>
      <c r="R52" s="681"/>
      <c r="S52" s="682"/>
      <c r="T52" s="679"/>
      <c r="U52" s="680"/>
      <c r="V52" s="680"/>
      <c r="W52" s="681"/>
      <c r="X52" s="682">
        <f>AVERAGE('Market Prices'!O8:R8)</f>
        <v>2.752091517857143</v>
      </c>
      <c r="Y52" s="679">
        <f>+'Market Prices'!S8</f>
        <v>3.4791000000000003</v>
      </c>
      <c r="Z52" s="680">
        <f>+'Market Prices'!T8</f>
        <v>4.0243281250000011</v>
      </c>
      <c r="AA52" s="680">
        <f>+'Market Prices'!U8</f>
        <v>3.5578281250000003</v>
      </c>
      <c r="AB52" s="681">
        <f>+'Market Prices'!V8</f>
        <v>3.8364218749999996</v>
      </c>
      <c r="AC52" s="682">
        <f>AVERAGE(Y52:AB52)</f>
        <v>3.7244195312500001</v>
      </c>
      <c r="AD52" s="679">
        <f>+'Market Prices'!W8</f>
        <v>5.1762950819672131</v>
      </c>
      <c r="AE52" s="680">
        <f>+'Market Prices'!X8</f>
        <v>4.6069687499999992</v>
      </c>
      <c r="AF52" s="680">
        <f>+'Market Prices'!Y8</f>
        <v>3.9690625000000006</v>
      </c>
      <c r="AG52" s="681">
        <f>+'Market Prices'!AA8</f>
        <v>2.8932580645161292</v>
      </c>
      <c r="AH52" s="682">
        <f>AVERAGE(AD52:AG52)</f>
        <v>4.161396099120835</v>
      </c>
      <c r="AI52" s="679">
        <f>+'Market Prices'!AA8</f>
        <v>2.8932580645161292</v>
      </c>
      <c r="AJ52" s="680">
        <f>+'Market Prices'!AB8</f>
        <v>2.7407301587301576</v>
      </c>
      <c r="AK52" s="680">
        <f>+'Market Prices'!AC8</f>
        <v>2.7644218749999996</v>
      </c>
      <c r="AL52" s="681">
        <f>+'Market Prices'!AD8</f>
        <v>2.1331111111111114</v>
      </c>
      <c r="AM52" s="682">
        <f>AVERAGE(AI52:AL52)</f>
        <v>2.6328803023393492</v>
      </c>
      <c r="AN52" s="679">
        <f>+'Market Prices'!AE8</f>
        <v>1.9876885245901643</v>
      </c>
      <c r="AO52" s="680">
        <f>+'Market Prices'!AF8</f>
        <v>2.135984375</v>
      </c>
      <c r="AP52" s="680">
        <f>+'Market Prices'!AG8</f>
        <v>2.8751562499999994</v>
      </c>
      <c r="AQ52" s="681">
        <f>+'Market Prices'!AH8</f>
        <v>3.0312419354838709</v>
      </c>
      <c r="AR52" s="682">
        <f>AVERAGE(AN52:AQ52)</f>
        <v>2.5075177712685086</v>
      </c>
      <c r="AS52" s="679">
        <f>+'Market Prices'!AI8</f>
        <v>3.0098387096774188</v>
      </c>
      <c r="AT52" s="680">
        <f>+'Market Prices'!AJ8</f>
        <v>3.076171875</v>
      </c>
      <c r="AU52" s="680">
        <f>+'Market Prices'!AK8</f>
        <v>2.9540158730158725</v>
      </c>
      <c r="AV52" s="681">
        <f>+'Market Prices'!AM8</f>
        <v>3.1108032786885249</v>
      </c>
      <c r="AW52" s="682">
        <f>AVERAGE(AS52:AV52)</f>
        <v>3.0377074340954544</v>
      </c>
      <c r="AX52" s="679">
        <f>+'Market Prices'!AM8</f>
        <v>3.1108032786885249</v>
      </c>
      <c r="AY52" s="680">
        <f>+'Market Prices'!AN8</f>
        <v>2.6796666666666664</v>
      </c>
      <c r="AZ52" s="680">
        <f>+'Market Prices'!AO8</f>
        <v>2.8149999999999999</v>
      </c>
      <c r="BA52" s="681">
        <f>+'Market Prices'!AP8</f>
        <v>2.9016666666666668</v>
      </c>
      <c r="BB52" s="682">
        <f>AVERAGE(AX52:BA52)</f>
        <v>2.8767841530054645</v>
      </c>
      <c r="BC52" s="679">
        <f>+'Market Prices'!AQ8</f>
        <v>2.9026943643004919</v>
      </c>
      <c r="BD52" s="680">
        <f>+'Market Prices'!AR8</f>
        <v>2.5441789597993276</v>
      </c>
      <c r="BE52" s="680">
        <f>+'Market Prices'!AS8</f>
        <v>2.5777897789713125</v>
      </c>
      <c r="BF52" s="681">
        <f>+'Market Prices'!AT8</f>
        <v>3.0133368969288674</v>
      </c>
      <c r="BG52" s="682">
        <f>AVERAGE(BC52:BF52)</f>
        <v>2.7594999999999996</v>
      </c>
      <c r="BH52" s="679">
        <f>+'Market Prices'!AU8</f>
        <v>2.9460848852381236</v>
      </c>
      <c r="BI52" s="680">
        <f>+'Market Prices'!AW8</f>
        <v>2.6163235091335033</v>
      </c>
      <c r="BJ52" s="680">
        <f>+'Market Prices'!AX8</f>
        <v>3.0583813422987949</v>
      </c>
      <c r="BK52" s="681">
        <f>+'Market Prices'!AY8</f>
        <v>3.0034129674466312</v>
      </c>
      <c r="BL52" s="682">
        <f>AVERAGE(BH52:BK52)</f>
        <v>2.9060506760292633</v>
      </c>
      <c r="BM52" s="679">
        <f>BN52</f>
        <v>2.75</v>
      </c>
      <c r="BN52" s="680">
        <f>BO52</f>
        <v>2.75</v>
      </c>
      <c r="BO52" s="680">
        <f>BP52</f>
        <v>2.75</v>
      </c>
      <c r="BP52" s="681">
        <f>BQ52</f>
        <v>2.75</v>
      </c>
      <c r="BQ52" s="1862">
        <f>BU54</f>
        <v>2.75</v>
      </c>
      <c r="BR52" s="1016"/>
      <c r="BS52" s="541"/>
      <c r="CB52" s="541"/>
      <c r="CC52" s="541"/>
      <c r="CD52" s="541"/>
      <c r="CE52" s="541"/>
      <c r="CF52" s="541"/>
      <c r="CG52" s="541"/>
      <c r="CH52" s="541"/>
      <c r="CI52" s="541"/>
      <c r="CJ52" s="541"/>
      <c r="CK52" s="541"/>
      <c r="CL52" s="541"/>
      <c r="CM52" s="541"/>
      <c r="CN52" s="541"/>
      <c r="CO52" s="541"/>
      <c r="CP52" s="541"/>
      <c r="CQ52" s="541"/>
      <c r="CR52" s="541"/>
      <c r="CS52" s="541"/>
      <c r="CT52" s="541"/>
      <c r="CU52" s="541"/>
      <c r="CV52" s="541"/>
      <c r="CW52" s="541"/>
      <c r="CX52" s="541"/>
      <c r="CY52" s="541"/>
      <c r="CZ52" s="541"/>
      <c r="DA52" s="541"/>
      <c r="DB52" s="541"/>
      <c r="DC52" s="541"/>
      <c r="DD52" s="541"/>
      <c r="DE52" s="541"/>
      <c r="DF52" s="541"/>
    </row>
    <row r="53" spans="1:110">
      <c r="A53" s="541"/>
      <c r="B53" s="541"/>
      <c r="C53" s="673"/>
      <c r="D53" s="541"/>
      <c r="E53" s="289"/>
      <c r="F53" s="542"/>
      <c r="G53" s="542"/>
      <c r="H53" s="291"/>
      <c r="I53" s="543"/>
      <c r="J53" s="229"/>
      <c r="K53" s="671"/>
      <c r="L53" s="671"/>
      <c r="M53" s="231"/>
      <c r="N53" s="674"/>
      <c r="O53" s="229"/>
      <c r="P53" s="671"/>
      <c r="Q53" s="671"/>
      <c r="R53" s="231"/>
      <c r="S53" s="675"/>
      <c r="T53" s="229"/>
      <c r="U53" s="671"/>
      <c r="V53" s="671"/>
      <c r="W53" s="231"/>
      <c r="X53" s="675"/>
      <c r="Y53" s="229"/>
      <c r="Z53" s="671"/>
      <c r="AA53" s="671"/>
      <c r="AB53" s="231"/>
      <c r="AC53" s="675"/>
      <c r="AD53" s="229"/>
      <c r="AE53" s="671"/>
      <c r="AF53" s="671"/>
      <c r="AG53" s="231"/>
      <c r="AH53" s="675"/>
      <c r="AI53" s="229"/>
      <c r="AJ53" s="671"/>
      <c r="AK53" s="671"/>
      <c r="AL53" s="231"/>
      <c r="AM53" s="675"/>
      <c r="AN53" s="229"/>
      <c r="AO53" s="671"/>
      <c r="AP53" s="671"/>
      <c r="AQ53" s="231"/>
      <c r="AR53" s="675"/>
      <c r="AS53" s="229"/>
      <c r="AT53" s="671"/>
      <c r="AU53" s="671"/>
      <c r="AV53" s="231"/>
      <c r="AW53" s="675"/>
      <c r="AX53" s="229"/>
      <c r="AY53" s="671"/>
      <c r="AZ53" s="671"/>
      <c r="BA53" s="231"/>
      <c r="BB53" s="675"/>
      <c r="BC53" s="229"/>
      <c r="BD53" s="671"/>
      <c r="BE53" s="671"/>
      <c r="BF53" s="231"/>
      <c r="BG53" s="675"/>
      <c r="BH53" s="229"/>
      <c r="BI53" s="671"/>
      <c r="BJ53" s="671"/>
      <c r="BK53" s="231"/>
      <c r="BL53" s="675"/>
      <c r="BM53" s="229"/>
      <c r="BN53" s="671"/>
      <c r="BO53" s="671"/>
      <c r="BP53" s="231"/>
      <c r="BQ53" s="675"/>
      <c r="BR53" s="1016"/>
      <c r="BS53" s="541"/>
      <c r="BT53" s="872" t="s">
        <v>1283</v>
      </c>
      <c r="BU53" s="873">
        <f>'Market Prices'!$BP$8</f>
        <v>2.8552499999999994</v>
      </c>
      <c r="CB53" s="541"/>
      <c r="CC53" s="541"/>
      <c r="CD53" s="541"/>
      <c r="CE53" s="541"/>
      <c r="CF53" s="541"/>
      <c r="CG53" s="541"/>
      <c r="CH53" s="541"/>
      <c r="CI53" s="541"/>
      <c r="CJ53" s="541"/>
      <c r="CK53" s="541"/>
      <c r="CL53" s="541"/>
      <c r="CM53" s="541"/>
      <c r="CN53" s="541"/>
      <c r="CO53" s="541"/>
      <c r="CP53" s="541"/>
      <c r="CQ53" s="541"/>
      <c r="CR53" s="541"/>
      <c r="CS53" s="541"/>
      <c r="CT53" s="541"/>
      <c r="CU53" s="541"/>
      <c r="CV53" s="541"/>
      <c r="CW53" s="541"/>
      <c r="CX53" s="541"/>
      <c r="CY53" s="541"/>
      <c r="CZ53" s="541"/>
      <c r="DA53" s="541"/>
      <c r="DB53" s="541"/>
      <c r="DC53" s="541"/>
      <c r="DD53" s="541"/>
      <c r="DE53" s="541"/>
      <c r="DF53" s="541"/>
    </row>
    <row r="54" spans="1:110" s="50" customFormat="1">
      <c r="A54" s="553"/>
      <c r="B54" s="553"/>
      <c r="C54" s="673" t="s">
        <v>616</v>
      </c>
      <c r="D54" s="553"/>
      <c r="E54" s="225"/>
      <c r="F54" s="604"/>
      <c r="G54" s="604"/>
      <c r="H54" s="227"/>
      <c r="I54" s="571"/>
      <c r="J54" s="229"/>
      <c r="K54" s="671"/>
      <c r="L54" s="671"/>
      <c r="M54" s="231"/>
      <c r="N54" s="655"/>
      <c r="O54" s="676"/>
      <c r="P54" s="677"/>
      <c r="Q54" s="677"/>
      <c r="R54" s="678"/>
      <c r="S54" s="655"/>
      <c r="T54" s="676"/>
      <c r="U54" s="677"/>
      <c r="V54" s="677"/>
      <c r="W54" s="678"/>
      <c r="X54" s="808">
        <v>0</v>
      </c>
      <c r="Y54" s="679">
        <f>+Z54</f>
        <v>0</v>
      </c>
      <c r="Z54" s="680">
        <f>+AA54</f>
        <v>0</v>
      </c>
      <c r="AA54" s="680">
        <f>+AB54</f>
        <v>0</v>
      </c>
      <c r="AB54" s="681">
        <f>+AC54</f>
        <v>0</v>
      </c>
      <c r="AC54" s="808">
        <v>0</v>
      </c>
      <c r="AD54" s="679">
        <f>+AE54</f>
        <v>0</v>
      </c>
      <c r="AE54" s="680">
        <f>+AF54</f>
        <v>0</v>
      </c>
      <c r="AF54" s="680">
        <f>+AG54</f>
        <v>0</v>
      </c>
      <c r="AG54" s="681">
        <f>+AH54</f>
        <v>0</v>
      </c>
      <c r="AH54" s="808">
        <v>0</v>
      </c>
      <c r="AI54" s="679">
        <f>+AJ54</f>
        <v>0</v>
      </c>
      <c r="AJ54" s="680">
        <f>+AK54</f>
        <v>0</v>
      </c>
      <c r="AK54" s="680">
        <f>+AL54</f>
        <v>0</v>
      </c>
      <c r="AL54" s="681">
        <f>+AM54</f>
        <v>0</v>
      </c>
      <c r="AM54" s="808">
        <v>0</v>
      </c>
      <c r="AN54" s="676">
        <f t="shared" ref="AN54:AQ55" si="27">+AO54</f>
        <v>0</v>
      </c>
      <c r="AO54" s="680">
        <f t="shared" si="27"/>
        <v>0</v>
      </c>
      <c r="AP54" s="680">
        <f t="shared" si="27"/>
        <v>0</v>
      </c>
      <c r="AQ54" s="681">
        <f t="shared" si="27"/>
        <v>0</v>
      </c>
      <c r="AR54" s="808">
        <v>0</v>
      </c>
      <c r="AS54" s="676">
        <f t="shared" ref="AS54:AU55" si="28">+AT54</f>
        <v>0</v>
      </c>
      <c r="AT54" s="680">
        <f t="shared" si="28"/>
        <v>0</v>
      </c>
      <c r="AU54" s="680">
        <f t="shared" si="28"/>
        <v>0</v>
      </c>
      <c r="AV54" s="681">
        <f t="shared" ref="AV54:AV55" si="29">+AW54</f>
        <v>0</v>
      </c>
      <c r="AW54" s="808">
        <v>0</v>
      </c>
      <c r="AX54" s="679">
        <f t="shared" ref="AX54:BA55" si="30">+AY54</f>
        <v>0</v>
      </c>
      <c r="AY54" s="680">
        <f t="shared" si="30"/>
        <v>0</v>
      </c>
      <c r="AZ54" s="680">
        <f t="shared" si="30"/>
        <v>0</v>
      </c>
      <c r="BA54" s="681">
        <f t="shared" si="30"/>
        <v>0</v>
      </c>
      <c r="BB54" s="808">
        <v>0</v>
      </c>
      <c r="BC54" s="679">
        <f t="shared" ref="BC54:BF55" si="31">+BD54</f>
        <v>0</v>
      </c>
      <c r="BD54" s="680">
        <f t="shared" si="31"/>
        <v>0</v>
      </c>
      <c r="BE54" s="680">
        <f t="shared" si="31"/>
        <v>0</v>
      </c>
      <c r="BF54" s="681">
        <f t="shared" si="31"/>
        <v>0</v>
      </c>
      <c r="BG54" s="808">
        <v>0</v>
      </c>
      <c r="BH54" s="679">
        <f t="shared" ref="BH54:BK55" si="32">+BI54</f>
        <v>0</v>
      </c>
      <c r="BI54" s="680">
        <f t="shared" si="32"/>
        <v>0</v>
      </c>
      <c r="BJ54" s="680">
        <f t="shared" si="32"/>
        <v>0</v>
      </c>
      <c r="BK54" s="681">
        <f t="shared" si="32"/>
        <v>0</v>
      </c>
      <c r="BL54" s="1496">
        <v>0</v>
      </c>
      <c r="BM54" s="679">
        <f t="shared" ref="BM54:BP55" si="33">+BN54</f>
        <v>0</v>
      </c>
      <c r="BN54" s="680">
        <f t="shared" si="33"/>
        <v>0</v>
      </c>
      <c r="BO54" s="680">
        <f t="shared" si="33"/>
        <v>0</v>
      </c>
      <c r="BP54" s="681">
        <f t="shared" si="33"/>
        <v>0</v>
      </c>
      <c r="BQ54" s="1496">
        <v>0</v>
      </c>
      <c r="BR54" s="673"/>
      <c r="BS54" s="553"/>
      <c r="BT54" s="874" t="s">
        <v>755</v>
      </c>
      <c r="BU54" s="875">
        <f>+Valuation!CF27</f>
        <v>2.75</v>
      </c>
      <c r="CB54" s="553"/>
      <c r="CC54" s="553"/>
      <c r="CD54" s="553"/>
      <c r="CE54" s="553"/>
      <c r="CF54" s="553"/>
      <c r="CG54" s="553"/>
      <c r="CH54" s="553"/>
      <c r="CI54" s="553"/>
      <c r="CJ54" s="553"/>
      <c r="CK54" s="553"/>
      <c r="CL54" s="553"/>
      <c r="CM54" s="553"/>
      <c r="CN54" s="553"/>
      <c r="CO54" s="553"/>
      <c r="CP54" s="553"/>
      <c r="CQ54" s="553"/>
      <c r="CR54" s="553"/>
      <c r="CS54" s="553"/>
      <c r="CT54" s="553"/>
      <c r="CU54" s="553"/>
      <c r="CV54" s="553"/>
      <c r="CW54" s="553"/>
      <c r="CX54" s="553"/>
      <c r="CY54" s="553"/>
      <c r="CZ54" s="553"/>
      <c r="DA54" s="553"/>
      <c r="DB54" s="553"/>
      <c r="DC54" s="553"/>
      <c r="DD54" s="553"/>
      <c r="DE54" s="553"/>
      <c r="DF54" s="553"/>
    </row>
    <row r="55" spans="1:110">
      <c r="A55" s="541"/>
      <c r="B55" s="545"/>
      <c r="C55" s="876" t="s">
        <v>756</v>
      </c>
      <c r="D55" s="541"/>
      <c r="E55" s="665"/>
      <c r="F55" s="665"/>
      <c r="G55" s="665"/>
      <c r="H55" s="666"/>
      <c r="I55" s="489"/>
      <c r="J55" s="149"/>
      <c r="K55" s="156"/>
      <c r="L55" s="156"/>
      <c r="M55" s="151"/>
      <c r="N55" s="808"/>
      <c r="O55" s="679"/>
      <c r="P55" s="680"/>
      <c r="Q55" s="680"/>
      <c r="R55" s="681"/>
      <c r="S55" s="808"/>
      <c r="T55" s="679"/>
      <c r="U55" s="680"/>
      <c r="V55" s="680"/>
      <c r="W55" s="681"/>
      <c r="X55" s="808"/>
      <c r="Y55" s="679"/>
      <c r="Z55" s="680"/>
      <c r="AA55" s="680"/>
      <c r="AB55" s="681"/>
      <c r="AC55" s="808"/>
      <c r="AD55" s="679"/>
      <c r="AE55" s="680"/>
      <c r="AF55" s="680"/>
      <c r="AG55" s="681"/>
      <c r="AH55" s="808"/>
      <c r="AI55" s="679"/>
      <c r="AJ55" s="680"/>
      <c r="AK55" s="680"/>
      <c r="AL55" s="681"/>
      <c r="AM55" s="808"/>
      <c r="AN55" s="679">
        <f t="shared" si="27"/>
        <v>0</v>
      </c>
      <c r="AO55" s="680">
        <f t="shared" si="27"/>
        <v>0</v>
      </c>
      <c r="AP55" s="680">
        <f t="shared" si="27"/>
        <v>0</v>
      </c>
      <c r="AQ55" s="681">
        <f t="shared" si="27"/>
        <v>0</v>
      </c>
      <c r="AR55" s="808">
        <v>0</v>
      </c>
      <c r="AS55" s="679">
        <f t="shared" si="28"/>
        <v>0</v>
      </c>
      <c r="AT55" s="680">
        <f t="shared" si="28"/>
        <v>0</v>
      </c>
      <c r="AU55" s="680">
        <f t="shared" si="28"/>
        <v>0</v>
      </c>
      <c r="AV55" s="681">
        <f t="shared" si="29"/>
        <v>0</v>
      </c>
      <c r="AW55" s="808">
        <v>0</v>
      </c>
      <c r="AX55" s="679">
        <f t="shared" si="30"/>
        <v>0</v>
      </c>
      <c r="AY55" s="680">
        <f t="shared" si="30"/>
        <v>0</v>
      </c>
      <c r="AZ55" s="680">
        <f t="shared" si="30"/>
        <v>0</v>
      </c>
      <c r="BA55" s="681">
        <f t="shared" si="30"/>
        <v>0</v>
      </c>
      <c r="BB55" s="808">
        <v>0</v>
      </c>
      <c r="BC55" s="679">
        <f t="shared" si="31"/>
        <v>0</v>
      </c>
      <c r="BD55" s="680">
        <f t="shared" si="31"/>
        <v>0</v>
      </c>
      <c r="BE55" s="680">
        <f t="shared" si="31"/>
        <v>0</v>
      </c>
      <c r="BF55" s="681">
        <f t="shared" si="31"/>
        <v>0</v>
      </c>
      <c r="BG55" s="808">
        <v>0</v>
      </c>
      <c r="BH55" s="679">
        <f t="shared" si="32"/>
        <v>0</v>
      </c>
      <c r="BI55" s="680">
        <f t="shared" si="32"/>
        <v>0</v>
      </c>
      <c r="BJ55" s="680">
        <f t="shared" si="32"/>
        <v>0</v>
      </c>
      <c r="BK55" s="681">
        <f t="shared" si="32"/>
        <v>0</v>
      </c>
      <c r="BL55" s="1496">
        <v>0</v>
      </c>
      <c r="BM55" s="679">
        <f t="shared" si="33"/>
        <v>0</v>
      </c>
      <c r="BN55" s="680">
        <f t="shared" si="33"/>
        <v>0</v>
      </c>
      <c r="BO55" s="680">
        <f t="shared" si="33"/>
        <v>0</v>
      </c>
      <c r="BP55" s="681">
        <f t="shared" si="33"/>
        <v>0</v>
      </c>
      <c r="BQ55" s="1496">
        <v>0</v>
      </c>
      <c r="BR55" s="1016"/>
      <c r="BS55" s="541"/>
      <c r="CB55" s="541"/>
      <c r="CC55" s="541"/>
      <c r="CD55" s="541"/>
      <c r="CE55" s="541"/>
      <c r="CF55" s="541"/>
      <c r="CG55" s="541"/>
      <c r="CH55" s="541"/>
      <c r="CI55" s="541"/>
      <c r="CJ55" s="541"/>
      <c r="CK55" s="541"/>
      <c r="CL55" s="541"/>
      <c r="CM55" s="541"/>
      <c r="CN55" s="541"/>
      <c r="CO55" s="541"/>
      <c r="CP55" s="541"/>
      <c r="CQ55" s="541"/>
      <c r="CR55" s="541"/>
      <c r="CS55" s="541"/>
      <c r="CT55" s="541"/>
      <c r="CU55" s="541"/>
      <c r="CV55" s="541"/>
      <c r="CW55" s="541"/>
      <c r="CX55" s="541"/>
      <c r="CY55" s="541"/>
      <c r="CZ55" s="541"/>
      <c r="DA55" s="541"/>
      <c r="DB55" s="541"/>
      <c r="DC55" s="541"/>
      <c r="DD55" s="541"/>
      <c r="DE55" s="541"/>
      <c r="DF55" s="541"/>
    </row>
    <row r="56" spans="1:110">
      <c r="A56" s="541"/>
      <c r="B56" s="541"/>
      <c r="C56" s="673"/>
      <c r="D56" s="541"/>
      <c r="E56" s="289"/>
      <c r="F56" s="542"/>
      <c r="G56" s="542"/>
      <c r="H56" s="291"/>
      <c r="I56" s="543"/>
      <c r="J56" s="229"/>
      <c r="K56" s="671"/>
      <c r="L56" s="671"/>
      <c r="M56" s="231"/>
      <c r="N56" s="674"/>
      <c r="O56" s="229"/>
      <c r="P56" s="671"/>
      <c r="Q56" s="671"/>
      <c r="R56" s="231"/>
      <c r="S56" s="675"/>
      <c r="T56" s="229"/>
      <c r="U56" s="671"/>
      <c r="V56" s="671"/>
      <c r="W56" s="231"/>
      <c r="X56" s="675"/>
      <c r="Y56" s="229"/>
      <c r="Z56" s="671"/>
      <c r="AA56" s="671"/>
      <c r="AB56" s="231"/>
      <c r="AC56" s="675"/>
      <c r="AD56" s="229"/>
      <c r="AE56" s="671"/>
      <c r="AF56" s="671"/>
      <c r="AG56" s="231"/>
      <c r="AH56" s="675"/>
      <c r="AI56" s="229"/>
      <c r="AJ56" s="671"/>
      <c r="AK56" s="671"/>
      <c r="AL56" s="231"/>
      <c r="AM56" s="675"/>
      <c r="AN56" s="229"/>
      <c r="AO56" s="671"/>
      <c r="AP56" s="671"/>
      <c r="AQ56" s="231"/>
      <c r="AR56" s="675"/>
      <c r="AS56" s="229"/>
      <c r="AT56" s="671"/>
      <c r="AU56" s="671"/>
      <c r="AV56" s="231"/>
      <c r="AW56" s="675"/>
      <c r="AX56" s="229"/>
      <c r="AY56" s="671"/>
      <c r="AZ56" s="671"/>
      <c r="BA56" s="231"/>
      <c r="BB56" s="675"/>
      <c r="BC56" s="229"/>
      <c r="BD56" s="671"/>
      <c r="BE56" s="671"/>
      <c r="BF56" s="231"/>
      <c r="BG56" s="675"/>
      <c r="BH56" s="229"/>
      <c r="BI56" s="671"/>
      <c r="BJ56" s="671"/>
      <c r="BK56" s="231"/>
      <c r="BL56" s="675"/>
      <c r="BM56" s="229"/>
      <c r="BN56" s="671"/>
      <c r="BO56" s="671"/>
      <c r="BP56" s="231"/>
      <c r="BQ56" s="675"/>
      <c r="BR56" s="1016"/>
      <c r="BS56" s="541"/>
      <c r="BT56" s="50"/>
      <c r="BU56" s="50"/>
      <c r="CB56" s="541"/>
      <c r="CC56" s="541"/>
      <c r="CD56" s="541"/>
      <c r="CE56" s="541"/>
      <c r="CF56" s="541"/>
      <c r="CG56" s="541"/>
      <c r="CH56" s="541"/>
      <c r="CI56" s="541"/>
      <c r="CJ56" s="541"/>
      <c r="CK56" s="541"/>
      <c r="CL56" s="541"/>
      <c r="CM56" s="541"/>
      <c r="CN56" s="541"/>
      <c r="CO56" s="541"/>
      <c r="CP56" s="541"/>
      <c r="CQ56" s="541"/>
      <c r="CR56" s="541"/>
      <c r="CS56" s="541"/>
      <c r="CT56" s="541"/>
      <c r="CU56" s="541"/>
      <c r="CV56" s="541"/>
      <c r="CW56" s="541"/>
      <c r="CX56" s="541"/>
      <c r="CY56" s="541"/>
      <c r="CZ56" s="541"/>
      <c r="DA56" s="541"/>
      <c r="DB56" s="541"/>
      <c r="DC56" s="541"/>
      <c r="DD56" s="541"/>
      <c r="DE56" s="541"/>
      <c r="DF56" s="541"/>
    </row>
    <row r="57" spans="1:110" s="50" customFormat="1">
      <c r="A57" s="553"/>
      <c r="B57" s="553"/>
      <c r="C57" s="877" t="s">
        <v>757</v>
      </c>
      <c r="D57" s="553"/>
      <c r="E57" s="225"/>
      <c r="F57" s="604"/>
      <c r="G57" s="604"/>
      <c r="H57" s="227"/>
      <c r="I57" s="571"/>
      <c r="J57" s="229"/>
      <c r="K57" s="671"/>
      <c r="L57" s="671"/>
      <c r="M57" s="231"/>
      <c r="N57" s="655"/>
      <c r="O57" s="676"/>
      <c r="P57" s="677"/>
      <c r="Q57" s="677"/>
      <c r="R57" s="678"/>
      <c r="S57" s="655"/>
      <c r="T57" s="676"/>
      <c r="U57" s="677"/>
      <c r="V57" s="677"/>
      <c r="W57" s="678"/>
      <c r="X57" s="655"/>
      <c r="Y57" s="676"/>
      <c r="Z57" s="677"/>
      <c r="AA57" s="677"/>
      <c r="AB57" s="678"/>
      <c r="AC57" s="655"/>
      <c r="AD57" s="676"/>
      <c r="AE57" s="677"/>
      <c r="AF57" s="677"/>
      <c r="AG57" s="678"/>
      <c r="AH57" s="655"/>
      <c r="AI57" s="676"/>
      <c r="AJ57" s="680"/>
      <c r="AK57" s="680"/>
      <c r="AL57" s="681"/>
      <c r="AM57" s="655"/>
      <c r="AN57" s="676"/>
      <c r="AO57" s="680"/>
      <c r="AP57" s="680"/>
      <c r="AQ57" s="681"/>
      <c r="AR57" s="655"/>
      <c r="AS57" s="676"/>
      <c r="AT57" s="680"/>
      <c r="AU57" s="680"/>
      <c r="AV57" s="681"/>
      <c r="AW57" s="655"/>
      <c r="AX57" s="676"/>
      <c r="AY57" s="680"/>
      <c r="AZ57" s="680"/>
      <c r="BA57" s="681"/>
      <c r="BB57" s="655"/>
      <c r="BC57" s="676"/>
      <c r="BD57" s="680"/>
      <c r="BE57" s="680"/>
      <c r="BF57" s="681"/>
      <c r="BG57" s="655"/>
      <c r="BH57" s="676"/>
      <c r="BI57" s="680"/>
      <c r="BJ57" s="680"/>
      <c r="BK57" s="681"/>
      <c r="BL57" s="655"/>
      <c r="BM57" s="676"/>
      <c r="BN57" s="680"/>
      <c r="BO57" s="680"/>
      <c r="BP57" s="681"/>
      <c r="BQ57" s="655"/>
      <c r="BR57" s="673"/>
      <c r="BS57" s="553"/>
      <c r="CB57" s="553"/>
      <c r="CC57" s="553"/>
      <c r="CD57" s="553"/>
      <c r="CE57" s="553"/>
      <c r="CF57" s="553"/>
      <c r="CG57" s="553"/>
      <c r="CH57" s="553"/>
      <c r="CI57" s="553"/>
      <c r="CJ57" s="553"/>
      <c r="CK57" s="553"/>
      <c r="CL57" s="553"/>
      <c r="CM57" s="553"/>
      <c r="CN57" s="553"/>
      <c r="CO57" s="553"/>
      <c r="CP57" s="553"/>
      <c r="CQ57" s="553"/>
      <c r="CR57" s="553"/>
      <c r="CS57" s="553"/>
      <c r="CT57" s="553"/>
      <c r="CU57" s="553"/>
      <c r="CV57" s="553"/>
      <c r="CW57" s="553"/>
      <c r="CX57" s="553"/>
      <c r="CY57" s="553"/>
      <c r="CZ57" s="553"/>
      <c r="DA57" s="553"/>
      <c r="DB57" s="553"/>
      <c r="DC57" s="553"/>
      <c r="DD57" s="553"/>
      <c r="DE57" s="553"/>
      <c r="DF57" s="553"/>
    </row>
    <row r="58" spans="1:110">
      <c r="A58" s="541"/>
      <c r="B58" s="541"/>
      <c r="C58" s="673" t="s">
        <v>979</v>
      </c>
      <c r="D58" s="541"/>
      <c r="E58" s="289"/>
      <c r="F58" s="542"/>
      <c r="G58" s="542"/>
      <c r="H58" s="291"/>
      <c r="I58" s="543"/>
      <c r="J58" s="229"/>
      <c r="K58" s="671"/>
      <c r="L58" s="671"/>
      <c r="M58" s="231"/>
      <c r="N58" s="674"/>
      <c r="O58" s="679"/>
      <c r="P58" s="680"/>
      <c r="Q58" s="680"/>
      <c r="R58" s="681"/>
      <c r="S58" s="682"/>
      <c r="T58" s="679"/>
      <c r="U58" s="680"/>
      <c r="V58" s="680"/>
      <c r="W58" s="681"/>
      <c r="X58" s="682">
        <f>AVERAGE('Market Prices'!O59:R59)</f>
        <v>0.22804792906745996</v>
      </c>
      <c r="Y58" s="679">
        <f>+'Market Prices'!S59</f>
        <v>0.819599999999999</v>
      </c>
      <c r="Z58" s="680">
        <f>+'Market Prices'!T59</f>
        <v>0.11882812499999851</v>
      </c>
      <c r="AA58" s="680">
        <f>+'Market Prices'!U59</f>
        <v>-1.3265625000001169E-2</v>
      </c>
      <c r="AB58" s="681">
        <f>+'Market Prices'!V59</f>
        <v>0.14118750000000091</v>
      </c>
      <c r="AC58" s="682">
        <f>AVERAGE(Y58:AB58)</f>
        <v>0.26658749999999931</v>
      </c>
      <c r="AD58" s="679">
        <f>+'Market Prices'!W59</f>
        <v>7.5181639344262283</v>
      </c>
      <c r="AE58" s="680">
        <f>+'Market Prices'!X59</f>
        <v>-0.89420312500000065</v>
      </c>
      <c r="AF58" s="680">
        <f>+'Market Prices'!Y59</f>
        <v>-1.4395156250000012</v>
      </c>
      <c r="AG58" s="681">
        <f>+'Market Prices'!Z59</f>
        <v>-1.017578125</v>
      </c>
      <c r="AH58" s="682">
        <f>AVERAGE(AD58:AG58)</f>
        <v>1.0417167648565566</v>
      </c>
      <c r="AI58" s="679">
        <f>+'Market Prices'!AA59</f>
        <v>3.554258064516127</v>
      </c>
      <c r="AJ58" s="680">
        <f>+'Market Prices'!AB59</f>
        <v>-1.1179206349206339</v>
      </c>
      <c r="AK58" s="680">
        <f>+'Market Prices'!AC59</f>
        <v>-1.3916093749999998</v>
      </c>
      <c r="AL58" s="681">
        <f>+'Market Prices'!AD59</f>
        <v>-0.84366666666666723</v>
      </c>
      <c r="AM58" s="682">
        <f>AVERAGE(AI58:AL58)</f>
        <v>5.0265346982206582E-2</v>
      </c>
      <c r="AN58" s="679">
        <f>+'Market Prices'!AE59</f>
        <v>-0.15401639344262286</v>
      </c>
      <c r="AO58" s="680">
        <f>+'Market Prices'!AF59</f>
        <v>-0.55339062499999958</v>
      </c>
      <c r="AP58" s="680">
        <f>+'Market Prices'!AG59</f>
        <v>-1.5273593749999999</v>
      </c>
      <c r="AQ58" s="681">
        <f>+'Market Prices'!AH59</f>
        <v>-0.79788709677419334</v>
      </c>
      <c r="AR58" s="682">
        <f>AVERAGE(AN58:AQ58)</f>
        <v>-0.75816337255420385</v>
      </c>
      <c r="AS58" s="679">
        <f>+'Market Prices'!AI59</f>
        <v>-1.6838709677418517E-2</v>
      </c>
      <c r="AT58" s="680">
        <f>+'Market Prices'!AJ59</f>
        <v>-0.56160937500000019</v>
      </c>
      <c r="AU58" s="680">
        <f>+'Market Prices'!AK59</f>
        <v>-1.2109841269841268</v>
      </c>
      <c r="AV58" s="681">
        <f>+'Market Prices'!AM59</f>
        <v>3.4441967213114757</v>
      </c>
      <c r="AW58" s="682">
        <f>AVERAGE(AS58:AV58)</f>
        <v>0.41369112741248254</v>
      </c>
      <c r="AX58" s="679">
        <f>+'Market Prices'!AM59</f>
        <v>3.4441967213114757</v>
      </c>
      <c r="AY58" s="680">
        <f>+'Market Prices'!AN59</f>
        <v>0</v>
      </c>
      <c r="AZ58" s="680">
        <f>+'Market Prices'!AO59</f>
        <v>0</v>
      </c>
      <c r="BA58" s="681">
        <f>+'Market Prices'!AP59</f>
        <v>0</v>
      </c>
      <c r="BB58" s="682">
        <f>AVERAGE(AX58:BA58)</f>
        <v>0.86104918032786892</v>
      </c>
      <c r="BC58" s="679">
        <f>+'Market Prices'!AQ59</f>
        <v>0</v>
      </c>
      <c r="BD58" s="680">
        <f>+'Market Prices'!AR59</f>
        <v>0</v>
      </c>
      <c r="BE58" s="680">
        <f>+'Market Prices'!AS59</f>
        <v>0</v>
      </c>
      <c r="BF58" s="681">
        <f>+'Market Prices'!AT59</f>
        <v>0</v>
      </c>
      <c r="BG58" s="682">
        <f>AVERAGE(BC58:BF58)</f>
        <v>0</v>
      </c>
      <c r="BH58" s="679">
        <f>'Market Prices'!AU59</f>
        <v>0</v>
      </c>
      <c r="BI58" s="680">
        <f>'Market Prices'!AV59</f>
        <v>0</v>
      </c>
      <c r="BJ58" s="680">
        <f>'Market Prices'!AW59</f>
        <v>0</v>
      </c>
      <c r="BK58" s="681">
        <f>'Market Prices'!AX59</f>
        <v>0</v>
      </c>
      <c r="BL58" s="682">
        <f>AVERAGE(BH58:BK58)</f>
        <v>0</v>
      </c>
      <c r="BM58" s="679">
        <f>'Market Prices'!AY59</f>
        <v>-0.25</v>
      </c>
      <c r="BN58" s="680">
        <f>'Market Prices'!AZ59</f>
        <v>-0.25</v>
      </c>
      <c r="BO58" s="680">
        <f>'Market Prices'!BA59</f>
        <v>-0.25</v>
      </c>
      <c r="BP58" s="681">
        <f>'Market Prices'!BB59</f>
        <v>-0.25</v>
      </c>
      <c r="BQ58" s="682">
        <f>AVERAGE(BM58:BP58)</f>
        <v>-0.25</v>
      </c>
      <c r="BR58" s="1016"/>
      <c r="BS58" s="541"/>
      <c r="BT58" s="541"/>
      <c r="BU58" s="541"/>
      <c r="BV58" s="541"/>
      <c r="BW58" s="541"/>
      <c r="BX58" s="541"/>
      <c r="BY58" s="541"/>
      <c r="BZ58" s="541"/>
      <c r="CA58" s="541"/>
      <c r="CB58" s="541"/>
      <c r="CC58" s="541"/>
      <c r="CD58" s="541"/>
      <c r="CE58" s="541"/>
      <c r="CF58" s="541"/>
      <c r="CG58" s="541"/>
      <c r="CH58" s="541"/>
      <c r="CI58" s="541"/>
      <c r="CJ58" s="541"/>
      <c r="CK58" s="541"/>
      <c r="CL58" s="541"/>
      <c r="CM58" s="541"/>
      <c r="CN58" s="541"/>
      <c r="CO58" s="541"/>
      <c r="CP58" s="541"/>
      <c r="CQ58" s="541"/>
      <c r="CR58" s="541"/>
      <c r="CS58" s="541"/>
      <c r="CT58" s="541"/>
      <c r="CU58" s="541"/>
      <c r="CV58" s="541"/>
      <c r="CW58" s="541"/>
      <c r="CX58" s="541"/>
      <c r="CY58" s="541"/>
      <c r="CZ58" s="541"/>
      <c r="DA58" s="541"/>
      <c r="DB58" s="541"/>
      <c r="DC58" s="541"/>
      <c r="DD58" s="541"/>
      <c r="DE58" s="541"/>
      <c r="DF58" s="541"/>
    </row>
    <row r="59" spans="1:110">
      <c r="A59" s="541"/>
      <c r="B59" s="541"/>
      <c r="C59" s="673"/>
      <c r="D59" s="541"/>
      <c r="E59" s="289"/>
      <c r="F59" s="542"/>
      <c r="G59" s="542"/>
      <c r="H59" s="291"/>
      <c r="I59" s="543"/>
      <c r="J59" s="229"/>
      <c r="K59" s="671"/>
      <c r="L59" s="671"/>
      <c r="M59" s="231"/>
      <c r="N59" s="674"/>
      <c r="O59" s="229"/>
      <c r="P59" s="671"/>
      <c r="Q59" s="671"/>
      <c r="R59" s="231"/>
      <c r="S59" s="675"/>
      <c r="T59" s="229"/>
      <c r="U59" s="671"/>
      <c r="V59" s="671"/>
      <c r="W59" s="231"/>
      <c r="X59" s="675"/>
      <c r="Y59" s="229"/>
      <c r="Z59" s="671"/>
      <c r="AA59" s="671"/>
      <c r="AB59" s="231"/>
      <c r="AC59" s="675"/>
      <c r="AD59" s="229"/>
      <c r="AE59" s="671"/>
      <c r="AF59" s="671"/>
      <c r="AG59" s="231"/>
      <c r="AH59" s="675"/>
      <c r="AI59" s="229"/>
      <c r="AJ59" s="671"/>
      <c r="AK59" s="671"/>
      <c r="AL59" s="231"/>
      <c r="AM59" s="675"/>
      <c r="AN59" s="229"/>
      <c r="AO59" s="671"/>
      <c r="AP59" s="671"/>
      <c r="AQ59" s="231"/>
      <c r="AR59" s="675"/>
      <c r="AS59" s="229"/>
      <c r="AT59" s="671"/>
      <c r="AU59" s="671"/>
      <c r="AV59" s="231"/>
      <c r="AW59" s="675"/>
      <c r="AX59" s="229"/>
      <c r="AY59" s="671"/>
      <c r="AZ59" s="671"/>
      <c r="BA59" s="231"/>
      <c r="BB59" s="675"/>
      <c r="BC59" s="229"/>
      <c r="BD59" s="671"/>
      <c r="BE59" s="671"/>
      <c r="BF59" s="231"/>
      <c r="BG59" s="675"/>
      <c r="BH59" s="229"/>
      <c r="BI59" s="671"/>
      <c r="BJ59" s="671"/>
      <c r="BK59" s="231"/>
      <c r="BL59" s="675"/>
      <c r="BM59" s="229"/>
      <c r="BN59" s="671"/>
      <c r="BO59" s="671"/>
      <c r="BP59" s="231"/>
      <c r="BQ59" s="675"/>
      <c r="BR59" s="1016"/>
      <c r="BS59" s="541"/>
      <c r="BT59" s="541"/>
      <c r="BU59" s="541"/>
      <c r="BV59" s="541"/>
      <c r="BW59" s="541"/>
      <c r="BX59" s="541"/>
      <c r="BY59" s="541"/>
      <c r="BZ59" s="541"/>
      <c r="CA59" s="541"/>
      <c r="CB59" s="541"/>
      <c r="CC59" s="541"/>
      <c r="CD59" s="541"/>
      <c r="CE59" s="541"/>
      <c r="CF59" s="541"/>
      <c r="CG59" s="541"/>
      <c r="CH59" s="541"/>
      <c r="CI59" s="541"/>
      <c r="CJ59" s="541"/>
      <c r="CK59" s="541"/>
      <c r="CL59" s="541"/>
      <c r="CM59" s="541"/>
      <c r="CN59" s="541"/>
      <c r="CO59" s="541"/>
      <c r="CP59" s="541"/>
      <c r="CQ59" s="541"/>
      <c r="CR59" s="541"/>
      <c r="CS59" s="541"/>
      <c r="CT59" s="541"/>
      <c r="CU59" s="541"/>
      <c r="CV59" s="541"/>
      <c r="CW59" s="541"/>
      <c r="CX59" s="541"/>
      <c r="CY59" s="541"/>
      <c r="CZ59" s="541"/>
      <c r="DA59" s="541"/>
      <c r="DB59" s="541"/>
      <c r="DC59" s="541"/>
      <c r="DD59" s="541"/>
      <c r="DE59" s="541"/>
      <c r="DF59" s="541"/>
    </row>
    <row r="60" spans="1:110">
      <c r="A60" s="541"/>
      <c r="B60" s="541"/>
      <c r="C60" s="877" t="s">
        <v>763</v>
      </c>
      <c r="D60" s="541"/>
      <c r="E60" s="289"/>
      <c r="F60" s="542"/>
      <c r="G60" s="542"/>
      <c r="H60" s="291"/>
      <c r="I60" s="543"/>
      <c r="J60" s="229"/>
      <c r="K60" s="671"/>
      <c r="L60" s="671"/>
      <c r="M60" s="231"/>
      <c r="N60" s="674"/>
      <c r="O60" s="161"/>
      <c r="P60" s="162"/>
      <c r="Q60" s="162"/>
      <c r="R60" s="144"/>
      <c r="S60" s="546"/>
      <c r="T60" s="161"/>
      <c r="U60" s="162"/>
      <c r="V60" s="162"/>
      <c r="W60" s="144"/>
      <c r="X60" s="546"/>
      <c r="Y60" s="161"/>
      <c r="Z60" s="162"/>
      <c r="AA60" s="162"/>
      <c r="AB60" s="144"/>
      <c r="AC60" s="546"/>
      <c r="AD60" s="161"/>
      <c r="AE60" s="162"/>
      <c r="AF60" s="162"/>
      <c r="AG60" s="144"/>
      <c r="AH60" s="546"/>
      <c r="AI60" s="161"/>
      <c r="AJ60" s="162"/>
      <c r="AK60" s="162"/>
      <c r="AL60" s="144"/>
      <c r="AM60" s="546"/>
      <c r="AN60" s="161"/>
      <c r="AO60" s="162"/>
      <c r="AP60" s="162"/>
      <c r="AQ60" s="144"/>
      <c r="AR60" s="546"/>
      <c r="AS60" s="161"/>
      <c r="AT60" s="162"/>
      <c r="AU60" s="162"/>
      <c r="AV60" s="144"/>
      <c r="AW60" s="546"/>
      <c r="AX60" s="161"/>
      <c r="AY60" s="162"/>
      <c r="AZ60" s="162"/>
      <c r="BA60" s="144"/>
      <c r="BB60" s="546"/>
      <c r="BC60" s="161"/>
      <c r="BD60" s="162"/>
      <c r="BE60" s="162"/>
      <c r="BF60" s="144"/>
      <c r="BG60" s="546"/>
      <c r="BH60" s="161"/>
      <c r="BI60" s="162"/>
      <c r="BJ60" s="162"/>
      <c r="BK60" s="144"/>
      <c r="BL60" s="546"/>
      <c r="BM60" s="161"/>
      <c r="BN60" s="162"/>
      <c r="BO60" s="162"/>
      <c r="BP60" s="144"/>
      <c r="BQ60" s="546"/>
      <c r="BR60" s="1016"/>
      <c r="BS60" s="541"/>
      <c r="BT60" s="541"/>
      <c r="BU60" s="541"/>
      <c r="BV60" s="541"/>
      <c r="BW60" s="541"/>
      <c r="BX60" s="541"/>
      <c r="BY60" s="541"/>
      <c r="BZ60" s="541"/>
      <c r="CA60" s="541"/>
      <c r="CB60" s="541"/>
      <c r="CC60" s="541"/>
      <c r="CD60" s="541"/>
      <c r="CE60" s="541"/>
      <c r="CF60" s="541"/>
      <c r="CG60" s="541"/>
      <c r="CH60" s="541"/>
      <c r="CI60" s="541"/>
      <c r="CJ60" s="541"/>
      <c r="CK60" s="541"/>
      <c r="CL60" s="541"/>
      <c r="CM60" s="541"/>
      <c r="CN60" s="541"/>
      <c r="CO60" s="541"/>
      <c r="CP60" s="541"/>
      <c r="CQ60" s="541"/>
      <c r="CR60" s="541"/>
      <c r="CS60" s="541"/>
      <c r="CT60" s="541"/>
      <c r="CU60" s="541"/>
      <c r="CV60" s="541"/>
      <c r="CW60" s="541"/>
      <c r="CX60" s="541"/>
      <c r="CY60" s="541"/>
      <c r="CZ60" s="541"/>
      <c r="DA60" s="541"/>
      <c r="DB60" s="541"/>
      <c r="DC60" s="541"/>
      <c r="DD60" s="541"/>
      <c r="DE60" s="541"/>
      <c r="DF60" s="541"/>
    </row>
    <row r="61" spans="1:110">
      <c r="A61" s="541"/>
      <c r="B61" s="541"/>
      <c r="C61" s="683" t="s">
        <v>761</v>
      </c>
      <c r="D61" s="541"/>
      <c r="E61" s="229"/>
      <c r="F61" s="671"/>
      <c r="G61" s="671"/>
      <c r="H61" s="231"/>
      <c r="I61" s="546"/>
      <c r="J61" s="161"/>
      <c r="K61" s="162"/>
      <c r="L61" s="162"/>
      <c r="M61" s="144"/>
      <c r="N61" s="577"/>
      <c r="O61" s="676"/>
      <c r="P61" s="677"/>
      <c r="Q61" s="677"/>
      <c r="R61" s="678"/>
      <c r="S61" s="655"/>
      <c r="T61" s="676"/>
      <c r="U61" s="677"/>
      <c r="V61" s="677"/>
      <c r="W61" s="678"/>
      <c r="X61" s="655">
        <f>((X66)*(X$52+X$58+X54)/1000)+X55</f>
        <v>37.907885032893716</v>
      </c>
      <c r="Y61" s="676">
        <f>((Y66)*(Y$52+Y$58+Y54)/1000)+Y55</f>
        <v>38.017161944444446</v>
      </c>
      <c r="Z61" s="677">
        <f>((Z66)*(Z$52+Z$58+Z54)/1000)+Z55</f>
        <v>41.806956083984382</v>
      </c>
      <c r="AA61" s="677">
        <f>((AA66)*(AA$52+AA$58+AA54)/1000)+AA55</f>
        <v>41.772417763671875</v>
      </c>
      <c r="AB61" s="678">
        <f>((AB66)*(AB$52+AB$58+AB54)/1000)+AB55</f>
        <v>36.018476103515624</v>
      </c>
      <c r="AC61" s="655">
        <f>AVERAGE(Y61:AB61)</f>
        <v>39.403752973904076</v>
      </c>
      <c r="AD61" s="676">
        <f>((AD66)*(AD$52+AD$58+AD54)/1000)+AD55</f>
        <v>79.351583283730164</v>
      </c>
      <c r="AE61" s="677">
        <f>((AE66)*(AE$52+AE$58+AE54)/1000)+AE55</f>
        <v>50.487840683593753</v>
      </c>
      <c r="AF61" s="677">
        <f>((AF66)*(AF$52+AF$58+AF54)/1000)+AF55</f>
        <v>38.234623320312501</v>
      </c>
      <c r="AG61" s="678">
        <f>((AG66)*(AG$52+AG$58+AG54)/1000)+AG55</f>
        <v>12.540566745765766</v>
      </c>
      <c r="AH61" s="655">
        <f>AVERAGE(AD61:AG61)</f>
        <v>45.153653508350544</v>
      </c>
      <c r="AI61" s="676">
        <f>((AI66)*(AI$52+AI$58+AI54)/1000)+AI55</f>
        <v>43.107304533730151</v>
      </c>
      <c r="AJ61" s="677">
        <f>((AJ66)*(AJ$52+AJ$58+AJ54)/1000)+AJ55</f>
        <v>36.571755771484376</v>
      </c>
      <c r="AK61" s="677">
        <f>((AK66)*(AK$52+AK$58+AK54)/1000)+AK55</f>
        <v>35.906114451923074</v>
      </c>
      <c r="AL61" s="678">
        <f>((AL66)*(AL$52+AL$58+AL54)/1000)+AL55</f>
        <v>30.830603544921878</v>
      </c>
      <c r="AM61" s="655">
        <f>AVERAGE(AI61:AL61)</f>
        <v>36.603944575514873</v>
      </c>
      <c r="AN61" s="1572">
        <f>((AN66)*(AN$52+AN$58+AN54)/1000)+AN55</f>
        <v>27.466274697265618</v>
      </c>
      <c r="AO61" s="1573">
        <f>((AO66)*(AO$52+AO$58+AO54)/1000)+AO55</f>
        <v>31.331062939453115</v>
      </c>
      <c r="AP61" s="1573">
        <f>((AP66)*(AP$52+AP$58+AP54)/1000)+AP55</f>
        <v>37.764263886718759</v>
      </c>
      <c r="AQ61" s="1574">
        <f>((AQ66)*(AQ$52+AQ$58+AQ54)/1000)+AQ55</f>
        <v>32.442105446428577</v>
      </c>
      <c r="AR61" s="1482">
        <f>AVERAGE(AN61:AQ61)</f>
        <v>32.250926742466518</v>
      </c>
      <c r="AS61" s="1572">
        <f>((AS66)*(AS$52+AS$58+AS54)/1000)+AS55</f>
        <v>30.987138056640639</v>
      </c>
      <c r="AT61" s="1573">
        <f>((AT66)*(AT$52+AT$58+AT54)/1000)+AT55</f>
        <v>33.05749094726562</v>
      </c>
      <c r="AU61" s="1573">
        <f>((AU66)*(AU$52+AU$58+AU54)/1000)+AU55</f>
        <v>36.590803630952379</v>
      </c>
      <c r="AV61" s="1574">
        <f>((AV66)*(AV$52+AV$58+AV54)/1000)+AV55</f>
        <v>39.582188720703115</v>
      </c>
      <c r="AW61" s="1482">
        <f>AVERAGE(AS61:AV61)</f>
        <v>35.05440533889044</v>
      </c>
      <c r="AX61" s="676">
        <f>((AX66)*(AX$52+AX$58+AX54)/1000)+AX55</f>
        <v>39.582188720703115</v>
      </c>
      <c r="AY61" s="677">
        <f>((AY66)*(AY$52+AY$58+AY54)/1000)+AY55</f>
        <v>35.416666666666664</v>
      </c>
      <c r="AZ61" s="677">
        <f>((AZ66)*(AZ$52+AZ$58+AZ54)/1000)+AZ55</f>
        <v>37.699999999999996</v>
      </c>
      <c r="BA61" s="678">
        <f>((BA66)*(BA$52+BA$58+BA54)/1000)+BA55</f>
        <v>34.06666666666667</v>
      </c>
      <c r="BB61" s="655">
        <f>AVERAGE(AX61:BA61)</f>
        <v>36.69138051350911</v>
      </c>
      <c r="BC61" s="676">
        <f>((BC66)*(BC$52+BC$58+BC54)/1000)+BC55</f>
        <v>37.104731797582922</v>
      </c>
      <c r="BD61" s="677">
        <f>((BD66)*(BD$52+BD$58+BD54)/1000)+BD55</f>
        <v>31.217090858976206</v>
      </c>
      <c r="BE61" s="677">
        <f>((BE66)*(BE$52+BE$58+BE54)/1000)+BE55</f>
        <v>33.846064219263162</v>
      </c>
      <c r="BF61" s="678">
        <f>((BF66)*(BF$52+BF$58+BF54)/1000)+BF55</f>
        <v>36.098779790577716</v>
      </c>
      <c r="BG61" s="655">
        <f>AVERAGE(BC61:BF61)</f>
        <v>34.5666666666</v>
      </c>
      <c r="BH61" s="676">
        <f>((BH66)*(BH$52+BH$58+BH54)/1000)+BH55</f>
        <v>36.757952834841532</v>
      </c>
      <c r="BI61" s="677">
        <f>((BI66)*(BI$52+BI$58+BI54)/1000)+BI55</f>
        <v>31.333888126925316</v>
      </c>
      <c r="BJ61" s="677">
        <f>((BJ66)*(BJ$52+BJ$58+BJ54)/1000)+BJ55</f>
        <v>39.194974438784563</v>
      </c>
      <c r="BK61" s="678">
        <f>((BK66)*(BK$52+BK$58+BK54)/1000)+BK55</f>
        <v>35.118661702295199</v>
      </c>
      <c r="BL61" s="655">
        <f>AVERAGE(BH61:BK61)</f>
        <v>35.601369275711647</v>
      </c>
      <c r="BM61" s="676">
        <f>((BM66)*(BM$52+BM$58+BM54)/1000)+BM55</f>
        <v>36.037500000000009</v>
      </c>
      <c r="BN61" s="677">
        <f>((BN66)*(BN$52+BN$58+BN54)/1000)+BN55</f>
        <v>36.037500000000009</v>
      </c>
      <c r="BO61" s="677">
        <f>((BO66)*(BO$52+BO$58+BO54)/1000)+BO55</f>
        <v>36.037500000000009</v>
      </c>
      <c r="BP61" s="678">
        <f>((BP66)*(BP$52+BP$58+BP54)/1000)+BP55</f>
        <v>36.037500000000009</v>
      </c>
      <c r="BQ61" s="655">
        <f>AVERAGE(BM61:BP61)</f>
        <v>36.037500000000009</v>
      </c>
      <c r="BR61" s="1016"/>
      <c r="BS61" s="807"/>
      <c r="BT61" s="541"/>
      <c r="BU61" s="541"/>
      <c r="BV61" s="541"/>
      <c r="BW61" s="541"/>
      <c r="BX61" s="541"/>
      <c r="BY61" s="541"/>
      <c r="BZ61" s="541"/>
      <c r="CA61" s="541"/>
      <c r="CB61" s="541"/>
      <c r="CC61" s="541"/>
      <c r="CD61" s="541"/>
      <c r="CE61" s="541"/>
      <c r="CF61" s="541"/>
      <c r="CG61" s="541"/>
      <c r="CH61" s="541"/>
      <c r="CI61" s="541"/>
      <c r="CJ61" s="541"/>
      <c r="CK61" s="541"/>
      <c r="CL61" s="541"/>
      <c r="CM61" s="541"/>
      <c r="CN61" s="541"/>
      <c r="CO61" s="541"/>
      <c r="CP61" s="541"/>
      <c r="CQ61" s="541"/>
      <c r="CR61" s="541"/>
      <c r="CS61" s="541"/>
      <c r="CT61" s="541"/>
      <c r="CU61" s="541"/>
      <c r="CV61" s="541"/>
      <c r="CW61" s="541"/>
      <c r="CX61" s="541"/>
      <c r="CY61" s="541"/>
      <c r="CZ61" s="541"/>
      <c r="DA61" s="541"/>
      <c r="DB61" s="541"/>
      <c r="DC61" s="541"/>
      <c r="DD61" s="541"/>
      <c r="DE61" s="541"/>
      <c r="DF61" s="541"/>
    </row>
    <row r="62" spans="1:110">
      <c r="A62" s="541"/>
      <c r="B62" s="541"/>
      <c r="C62" s="683" t="s">
        <v>762</v>
      </c>
      <c r="D62" s="541"/>
      <c r="E62" s="229"/>
      <c r="F62" s="671"/>
      <c r="G62" s="671"/>
      <c r="H62" s="231"/>
      <c r="I62" s="546"/>
      <c r="J62" s="161"/>
      <c r="K62" s="162"/>
      <c r="L62" s="162"/>
      <c r="M62" s="144"/>
      <c r="N62" s="684"/>
      <c r="O62" s="676"/>
      <c r="P62" s="677"/>
      <c r="Q62" s="677"/>
      <c r="R62" s="678"/>
      <c r="S62" s="655"/>
      <c r="T62" s="676"/>
      <c r="U62" s="677"/>
      <c r="V62" s="677"/>
      <c r="W62" s="678"/>
      <c r="X62" s="655">
        <f>((X67)*(X$52+X$58+X54)/1000)+X55</f>
        <v>25.816218683880468</v>
      </c>
      <c r="Y62" s="676">
        <f>((Y67)*(Y$52+Y$58+Y54)/1000)+Y55</f>
        <v>30.712843264895323</v>
      </c>
      <c r="Z62" s="677">
        <f>((Z67)*(Z$52+Z$58+Z54)/1000)+Z55</f>
        <v>28.683858509157513</v>
      </c>
      <c r="AA62" s="677">
        <f>((AA67)*(AA$52+AA$58+AA54)/1000)+AA55</f>
        <v>26.28979776539855</v>
      </c>
      <c r="AB62" s="678">
        <f>((AB67)*(AB$52+AB$58+AB54)/1000)+AB55</f>
        <v>28.58454812028986</v>
      </c>
      <c r="AC62" s="655">
        <f>AVERAGE(Y62:AB62)</f>
        <v>28.567761914935311</v>
      </c>
      <c r="AD62" s="676">
        <f>((AD67)*(AD$52+AD$58+AD54)/1000)+AD55</f>
        <v>55.582024361513675</v>
      </c>
      <c r="AE62" s="677">
        <f>((AE67)*(AE$52+AE$58+AE54)/1000)+AE55</f>
        <v>30.848939755952369</v>
      </c>
      <c r="AF62" s="677">
        <f>((AF67)*(AF$52+AF$58+AF54)/1000)+AF55</f>
        <v>26.474229680253622</v>
      </c>
      <c r="AG62" s="678">
        <f>((AG67)*(AG$52+AG$58+AG54)/1000)+AG55</f>
        <v>9.7957514805235206</v>
      </c>
      <c r="AH62" s="655">
        <f>AVERAGE(AD62:AG62)</f>
        <v>30.675236319560799</v>
      </c>
      <c r="AI62" s="676">
        <f>((AI67)*(AI$52+AI$58+AI54)/1000)+AI55</f>
        <v>33.672197658071667</v>
      </c>
      <c r="AJ62" s="677">
        <f>((AJ67)*(AJ$52+AJ$58+AJ54)/1000)+AJ55</f>
        <v>24.408332260531143</v>
      </c>
      <c r="AK62" s="677">
        <f>((AK67)*(AK$52+AK$58+AK54)/1000)+AK55</f>
        <v>22.758183921195634</v>
      </c>
      <c r="AL62" s="678">
        <f>((AL67)*(AL$52+AL$58+AL54)/1000)+AL55</f>
        <v>22.005480128297094</v>
      </c>
      <c r="AM62" s="655">
        <f>AVERAGE(AI62:AL62)</f>
        <v>25.711048492023885</v>
      </c>
      <c r="AN62" s="1572">
        <f>((AN67)*(AN$52+AN$58+AN54)/1000)+AN55</f>
        <v>21.940509499422674</v>
      </c>
      <c r="AO62" s="1573">
        <f>((AO67)*(AO$52+AO$58+AO54)/1000)+AO55</f>
        <v>21.194626118131868</v>
      </c>
      <c r="AP62" s="1573">
        <f>((AP67)*(AP$52+AP$58+AP54)/1000)+AP55</f>
        <v>22.397125852355067</v>
      </c>
      <c r="AQ62" s="1574">
        <f>((AQ67)*(AQ$52+AQ$58+AQ54)/1000)+AQ55</f>
        <v>25.119274915036236</v>
      </c>
      <c r="AR62" s="1482">
        <f>AVERAGE(AN62:AQ62)</f>
        <v>22.662884096236461</v>
      </c>
      <c r="AS62" s="1572">
        <f>((AS67)*(AS$52+AS$58+AS54)/1000)+AS55</f>
        <v>25.609943032206107</v>
      </c>
      <c r="AT62" s="1573">
        <f>((AT67)*(AT$52+AT$58+AT54)/1000)+AT55</f>
        <v>22.558270758241754</v>
      </c>
      <c r="AU62" s="1573">
        <f>((AU67)*(AU$52+AU$58+AU54)/1000)+AU55</f>
        <v>22.753793536231882</v>
      </c>
      <c r="AV62" s="1574">
        <f>((AV67)*(AV$52+AV$58+AV54)/1000)+AV55</f>
        <v>34.436698074516897</v>
      </c>
      <c r="AW62" s="1482">
        <f>AVERAGE(AS62:AV62)</f>
        <v>26.339676350299161</v>
      </c>
      <c r="AX62" s="676">
        <f>((AX67)*(AX$52+AX$58+AX54)/1000)+AX55</f>
        <v>34.436698074516897</v>
      </c>
      <c r="AY62" s="677">
        <f>((AY67)*(AY$52+AY$58+AY54)/1000)+AY55</f>
        <v>25.55</v>
      </c>
      <c r="AZ62" s="677">
        <f>((AZ67)*(AZ$52+AZ$58+AZ54)/1000)+AZ55</f>
        <v>25.216666666666669</v>
      </c>
      <c r="BA62" s="678">
        <f>((BA67)*(BA$52+BA$58+BA54)/1000)+BA55</f>
        <v>25.316666666666663</v>
      </c>
      <c r="BB62" s="655">
        <f>AVERAGE(AX62:BA62)</f>
        <v>27.630007851962556</v>
      </c>
      <c r="BC62" s="676">
        <f>((BC67)*(BC$52+BC$58+BC54)/1000)+BC55</f>
        <v>30.065523917280853</v>
      </c>
      <c r="BD62" s="677">
        <f>((BD67)*(BD$52+BD$58+BD54)/1000)+BD55</f>
        <v>21.597016408139442</v>
      </c>
      <c r="BE62" s="677">
        <f>((BE67)*(BE$52+BE$58+BE54)/1000)+BE55</f>
        <v>21.984059712944806</v>
      </c>
      <c r="BF62" s="678">
        <f>((BF67)*(BF$52+BF$58+BF54)/1000)+BF55</f>
        <v>28.678033294834901</v>
      </c>
      <c r="BG62" s="655">
        <f>AVERAGE(BC62:BF62)</f>
        <v>25.581158333300003</v>
      </c>
      <c r="BH62" s="676">
        <f>((BH67)*(BH$52+BH$58+BH54)/1000)+BH55</f>
        <v>29.607950419373289</v>
      </c>
      <c r="BI62" s="677">
        <f>((BI67)*(BI$52+BI$58+BI54)/1000)+BI55</f>
        <v>21.549300013324395</v>
      </c>
      <c r="BJ62" s="677">
        <f>((BJ67)*(BJ$52+BJ$58+BJ54)/1000)+BJ55</f>
        <v>25.30740735323139</v>
      </c>
      <c r="BK62" s="678">
        <f>((BK67)*(BK$52+BK$58+BK54)/1000)+BK55</f>
        <v>27.733989652742736</v>
      </c>
      <c r="BL62" s="655">
        <f>AVERAGE(BH62:BK62)</f>
        <v>26.04966185966795</v>
      </c>
      <c r="BM62" s="676">
        <f>((BM67)*(BM$52+BM$58+BM54)/1000)+BM55</f>
        <v>24.652542559116636</v>
      </c>
      <c r="BN62" s="677">
        <f>((BN67)*(BN$52+BN$58+BN54)/1000)+BN55</f>
        <v>20.204139212869443</v>
      </c>
      <c r="BO62" s="677">
        <f>((BO67)*(BO$52+BO$58+BO54)/1000)+BO55</f>
        <v>20.298065443561722</v>
      </c>
      <c r="BP62" s="678">
        <f>((BP67)*(BP$52+BP$58+BP54)/1000)+BP55</f>
        <v>22.651445725230079</v>
      </c>
      <c r="BQ62" s="655">
        <f>AVERAGE(BM62:BP62)</f>
        <v>21.951548235194469</v>
      </c>
      <c r="BR62" s="1016"/>
      <c r="BS62" s="807"/>
      <c r="BT62" s="541"/>
      <c r="BU62" s="541"/>
      <c r="BV62" s="541"/>
      <c r="BW62" s="541"/>
      <c r="BX62" s="541"/>
      <c r="BY62" s="541"/>
      <c r="BZ62" s="541"/>
      <c r="CA62" s="541"/>
      <c r="CB62" s="541"/>
      <c r="CC62" s="541"/>
      <c r="CD62" s="541"/>
      <c r="CE62" s="541"/>
      <c r="CF62" s="541"/>
      <c r="CG62" s="541"/>
      <c r="CH62" s="541"/>
      <c r="CI62" s="541"/>
      <c r="CJ62" s="541"/>
      <c r="CK62" s="541"/>
      <c r="CL62" s="541"/>
      <c r="CM62" s="541"/>
      <c r="CN62" s="541"/>
      <c r="CO62" s="541"/>
      <c r="CP62" s="541"/>
      <c r="CQ62" s="541"/>
      <c r="CR62" s="541"/>
      <c r="CS62" s="541"/>
      <c r="CT62" s="541"/>
      <c r="CU62" s="541"/>
      <c r="CV62" s="541"/>
      <c r="CW62" s="541"/>
      <c r="CX62" s="541"/>
      <c r="CY62" s="541"/>
      <c r="CZ62" s="541"/>
      <c r="DA62" s="541"/>
      <c r="DB62" s="541"/>
      <c r="DC62" s="541"/>
      <c r="DD62" s="541"/>
      <c r="DE62" s="541"/>
      <c r="DF62" s="541"/>
    </row>
    <row r="63" spans="1:110">
      <c r="A63" s="541"/>
      <c r="B63" s="545"/>
      <c r="C63" s="685" t="s">
        <v>764</v>
      </c>
      <c r="D63" s="545"/>
      <c r="E63" s="664"/>
      <c r="F63" s="665"/>
      <c r="G63" s="665"/>
      <c r="H63" s="666"/>
      <c r="I63" s="489"/>
      <c r="J63" s="149"/>
      <c r="K63" s="156"/>
      <c r="L63" s="156"/>
      <c r="M63" s="151"/>
      <c r="N63" s="686"/>
      <c r="O63" s="668"/>
      <c r="P63" s="669"/>
      <c r="Q63" s="669"/>
      <c r="R63" s="670"/>
      <c r="S63" s="667"/>
      <c r="T63" s="668"/>
      <c r="U63" s="669"/>
      <c r="V63" s="669"/>
      <c r="W63" s="670"/>
      <c r="X63" s="667">
        <f>(X61*47.5%)+(X62*52.5%)</f>
        <v>31.55976019966176</v>
      </c>
      <c r="Y63" s="668">
        <f>(Y61*47.5%)+(Y62*52.5%)</f>
        <v>34.182394637681156</v>
      </c>
      <c r="Z63" s="669">
        <f>(Z61*47.5%)+(Z62*52.5%)</f>
        <v>34.917329857200279</v>
      </c>
      <c r="AA63" s="669">
        <f>(AA61*47.5%)+(AA62*52.5%)</f>
        <v>33.644042264578374</v>
      </c>
      <c r="AB63" s="670">
        <f>(AB61*47.5%)+(AB62*52.5%)</f>
        <v>32.115663912322098</v>
      </c>
      <c r="AC63" s="667">
        <f>AVERAGE(Y63:AB63)</f>
        <v>33.714857667945473</v>
      </c>
      <c r="AD63" s="668">
        <f>(AD61*47.5%)+(AD62*52.5%)</f>
        <v>66.872564849566501</v>
      </c>
      <c r="AE63" s="669">
        <f>(AE61*47.5%)+(AE62*52.5%)</f>
        <v>40.177417696582026</v>
      </c>
      <c r="AF63" s="669">
        <f>(AF61*47.5%)+(AF62*52.5%)</f>
        <v>32.060416659281586</v>
      </c>
      <c r="AG63" s="670">
        <f>(AG61*47.5%)+(AG62*52.5%)</f>
        <v>11.099538731513586</v>
      </c>
      <c r="AH63" s="667">
        <f>AVERAGE(AD63:AG63)</f>
        <v>37.552484484235919</v>
      </c>
      <c r="AI63" s="668">
        <f>(AI61*47.5%)+(AI62*52.5%)</f>
        <v>38.153873424009447</v>
      </c>
      <c r="AJ63" s="669">
        <f>(AJ61*47.5%)+(AJ62*52.5%)</f>
        <v>30.185958428233931</v>
      </c>
      <c r="AK63" s="669">
        <f>(AK61*47.5%)+(AK62*52.5%)</f>
        <v>29.003450923291169</v>
      </c>
      <c r="AL63" s="670">
        <f>(AL61*47.5%)+(AL62*52.5%)</f>
        <v>26.197413751193867</v>
      </c>
      <c r="AM63" s="667">
        <f>AVERAGE(AI63:AL63)</f>
        <v>30.885174131682103</v>
      </c>
      <c r="AN63" s="1575">
        <f>(AN61*47.5%)+(AN62*52.5%)</f>
        <v>24.565247968398072</v>
      </c>
      <c r="AO63" s="1576">
        <f>(AO61*47.5%)+(AO62*52.5%)</f>
        <v>26.00943360825946</v>
      </c>
      <c r="AP63" s="1576">
        <f>(AP61*47.5%)+(AP62*52.5%)</f>
        <v>29.69651641867782</v>
      </c>
      <c r="AQ63" s="1577">
        <f>(AQ61*47.5%)+(AQ62*52.5%)</f>
        <v>28.597619417447596</v>
      </c>
      <c r="AR63" s="1578">
        <f>AVERAGE(AN63:AQ63)</f>
        <v>27.21720435319574</v>
      </c>
      <c r="AS63" s="1575">
        <f>(AS61*47.5%)+(AS62*52.5%)</f>
        <v>28.164110668812508</v>
      </c>
      <c r="AT63" s="1576">
        <f>(AT61*47.5%)+(AT62*52.5%)</f>
        <v>27.545400348028089</v>
      </c>
      <c r="AU63" s="1576">
        <f>(AU61*47.5%)+(AU62*52.5%)</f>
        <v>29.326373331224119</v>
      </c>
      <c r="AV63" s="1577">
        <f>(AV61*47.5%)+(AV62*52.5%)</f>
        <v>36.880806131455351</v>
      </c>
      <c r="AW63" s="1578">
        <f>AVERAGE(AS63:AV63)</f>
        <v>30.479172619880018</v>
      </c>
      <c r="AX63" s="668">
        <f>(AX61*47.5%)+(AX62*52.5%)</f>
        <v>36.880806131455351</v>
      </c>
      <c r="AY63" s="669">
        <f>(AY61*47.5%)+(AY62*52.5%)</f>
        <v>30.236666666666665</v>
      </c>
      <c r="AZ63" s="669">
        <f>(AZ61*47.5%)+(AZ62*52.5%)</f>
        <v>31.146250000000002</v>
      </c>
      <c r="BA63" s="670">
        <f>(BA61*47.5%)+(BA62*52.5%)</f>
        <v>29.472916666666666</v>
      </c>
      <c r="BB63" s="667">
        <f>AVERAGE(AX63:BA63)</f>
        <v>31.93415986619717</v>
      </c>
      <c r="BC63" s="668">
        <f>(BC61*47.5%)+(BC62*52.5%)</f>
        <v>33.409147660424338</v>
      </c>
      <c r="BD63" s="669">
        <f>(BD61*47.5%)+(BD62*52.5%)</f>
        <v>26.166551772286908</v>
      </c>
      <c r="BE63" s="669">
        <f>(BE61*47.5%)+(BE62*52.5%)</f>
        <v>27.618511853446023</v>
      </c>
      <c r="BF63" s="670">
        <f>(BF61*47.5%)+(BF62*52.5%)</f>
        <v>32.202887880312737</v>
      </c>
      <c r="BG63" s="667">
        <f>AVERAGE(BC63:BF63)</f>
        <v>29.849274791617503</v>
      </c>
      <c r="BH63" s="668">
        <f>(BH61*47.5%)+(BH62*52.5%)</f>
        <v>33.004201566720702</v>
      </c>
      <c r="BI63" s="669">
        <f>(BI61*47.5%)+(BI62*52.5%)</f>
        <v>26.196979367284833</v>
      </c>
      <c r="BJ63" s="669">
        <f>(BJ61*47.5%)+(BJ62*52.5%)</f>
        <v>31.904001718869146</v>
      </c>
      <c r="BK63" s="670">
        <f>(BK61*47.5%)+(BK62*52.5%)</f>
        <v>31.241708876280157</v>
      </c>
      <c r="BL63" s="667">
        <f>AVERAGE(BH63:BK63)</f>
        <v>30.586722882288708</v>
      </c>
      <c r="BM63" s="668">
        <f>(BM61*47.5%)+(BM62*52.5%)</f>
        <v>30.060397343536238</v>
      </c>
      <c r="BN63" s="669">
        <f>(BN61*47.5%)+(BN62*52.5%)</f>
        <v>27.724985586756461</v>
      </c>
      <c r="BO63" s="669">
        <f>(BO61*47.5%)+(BO62*52.5%)</f>
        <v>27.774296857869906</v>
      </c>
      <c r="BP63" s="670">
        <f>(BP61*47.5%)+(BP62*52.5%)</f>
        <v>29.009821505745798</v>
      </c>
      <c r="BQ63" s="667">
        <f>AVERAGE(BM63:BP63)</f>
        <v>28.642375323477104</v>
      </c>
      <c r="BR63" s="1016"/>
      <c r="BS63" s="807"/>
      <c r="BT63" s="541"/>
      <c r="BU63" s="541"/>
      <c r="BV63" s="541"/>
      <c r="BW63" s="541"/>
      <c r="BX63" s="541"/>
      <c r="BY63" s="541"/>
      <c r="BZ63" s="541"/>
      <c r="CA63" s="541"/>
      <c r="CB63" s="541"/>
      <c r="CC63" s="541"/>
      <c r="CD63" s="541"/>
      <c r="CE63" s="541"/>
      <c r="CF63" s="541"/>
      <c r="CG63" s="541"/>
      <c r="CH63" s="541"/>
      <c r="CI63" s="541"/>
      <c r="CJ63" s="541"/>
      <c r="CK63" s="541"/>
      <c r="CL63" s="541"/>
      <c r="CM63" s="541"/>
      <c r="CN63" s="541"/>
      <c r="CO63" s="541"/>
      <c r="CP63" s="541"/>
      <c r="CQ63" s="541"/>
      <c r="CR63" s="541"/>
      <c r="CS63" s="541"/>
      <c r="CT63" s="541"/>
      <c r="CU63" s="541"/>
      <c r="CV63" s="541"/>
      <c r="CW63" s="541"/>
      <c r="CX63" s="541"/>
      <c r="CY63" s="541"/>
      <c r="CZ63" s="541"/>
      <c r="DA63" s="541"/>
      <c r="DB63" s="541"/>
      <c r="DC63" s="541"/>
      <c r="DD63" s="541"/>
      <c r="DE63" s="541"/>
      <c r="DF63" s="541"/>
    </row>
    <row r="64" spans="1:110">
      <c r="A64" s="541"/>
      <c r="B64" s="541"/>
      <c r="C64" s="683"/>
      <c r="D64" s="541"/>
      <c r="E64" s="229"/>
      <c r="F64" s="671"/>
      <c r="G64" s="671"/>
      <c r="H64" s="231"/>
      <c r="I64" s="546"/>
      <c r="J64" s="161"/>
      <c r="K64" s="162"/>
      <c r="L64" s="162"/>
      <c r="M64" s="144"/>
      <c r="N64" s="577"/>
      <c r="O64" s="161"/>
      <c r="P64" s="162"/>
      <c r="Q64" s="162"/>
      <c r="R64" s="144"/>
      <c r="S64" s="546"/>
      <c r="T64" s="161"/>
      <c r="U64" s="162"/>
      <c r="V64" s="162"/>
      <c r="W64" s="144"/>
      <c r="X64" s="546"/>
      <c r="Y64" s="161"/>
      <c r="Z64" s="162"/>
      <c r="AA64" s="162"/>
      <c r="AB64" s="144"/>
      <c r="AC64" s="655"/>
      <c r="AD64" s="161"/>
      <c r="AE64" s="162"/>
      <c r="AF64" s="162"/>
      <c r="AG64" s="144"/>
      <c r="AH64" s="655"/>
      <c r="AI64" s="161"/>
      <c r="AJ64" s="162"/>
      <c r="AK64" s="162"/>
      <c r="AL64" s="144"/>
      <c r="AM64" s="546"/>
      <c r="AN64" s="676"/>
      <c r="AO64" s="677"/>
      <c r="AP64" s="677"/>
      <c r="AQ64" s="678"/>
      <c r="AR64" s="655"/>
      <c r="AS64" s="676"/>
      <c r="AT64" s="677"/>
      <c r="AU64" s="677"/>
      <c r="AV64" s="678"/>
      <c r="AW64" s="655"/>
      <c r="AX64" s="676"/>
      <c r="AY64" s="677"/>
      <c r="AZ64" s="677"/>
      <c r="BA64" s="678"/>
      <c r="BB64" s="655"/>
      <c r="BC64" s="676"/>
      <c r="BD64" s="677"/>
      <c r="BE64" s="677"/>
      <c r="BF64" s="678"/>
      <c r="BG64" s="655"/>
      <c r="BH64" s="676"/>
      <c r="BI64" s="677"/>
      <c r="BJ64" s="677"/>
      <c r="BK64" s="678"/>
      <c r="BL64" s="655"/>
      <c r="BM64" s="676"/>
      <c r="BN64" s="677"/>
      <c r="BO64" s="677"/>
      <c r="BP64" s="678"/>
      <c r="BQ64" s="655"/>
      <c r="BR64" s="1016"/>
      <c r="BS64" s="807"/>
      <c r="BT64" s="807"/>
      <c r="BU64" s="541"/>
      <c r="CB64" s="541"/>
      <c r="CC64" s="541"/>
      <c r="CD64" s="541"/>
      <c r="CE64" s="541"/>
      <c r="CF64" s="541"/>
      <c r="CG64" s="541"/>
      <c r="CH64" s="541"/>
      <c r="CI64" s="541"/>
      <c r="CJ64" s="541"/>
      <c r="CK64" s="541"/>
      <c r="CL64" s="541"/>
      <c r="CM64" s="541"/>
      <c r="CN64" s="541"/>
      <c r="CO64" s="541"/>
      <c r="CP64" s="541"/>
      <c r="CQ64" s="541"/>
      <c r="CR64" s="541"/>
      <c r="CS64" s="541"/>
      <c r="CT64" s="541"/>
      <c r="CU64" s="541"/>
      <c r="CV64" s="541"/>
      <c r="CW64" s="541"/>
      <c r="CX64" s="541"/>
      <c r="CY64" s="541"/>
      <c r="CZ64" s="541"/>
      <c r="DA64" s="541"/>
      <c r="DB64" s="541"/>
      <c r="DC64" s="541"/>
      <c r="DD64" s="541"/>
      <c r="DE64" s="541"/>
      <c r="DF64" s="541"/>
    </row>
    <row r="65" spans="1:256">
      <c r="A65" s="541"/>
      <c r="B65" s="541"/>
      <c r="C65" s="877" t="s">
        <v>758</v>
      </c>
      <c r="D65" s="541"/>
      <c r="E65" s="289"/>
      <c r="F65" s="542"/>
      <c r="G65" s="542"/>
      <c r="H65" s="291"/>
      <c r="I65" s="543"/>
      <c r="J65" s="229"/>
      <c r="K65" s="671"/>
      <c r="L65" s="671"/>
      <c r="M65" s="231"/>
      <c r="N65" s="674"/>
      <c r="O65" s="229"/>
      <c r="P65" s="671"/>
      <c r="Q65" s="671"/>
      <c r="R65" s="231"/>
      <c r="S65" s="675"/>
      <c r="T65" s="229"/>
      <c r="U65" s="671"/>
      <c r="V65" s="671"/>
      <c r="W65" s="231"/>
      <c r="X65" s="675"/>
      <c r="Y65" s="229"/>
      <c r="Z65" s="671"/>
      <c r="AA65" s="671"/>
      <c r="AB65" s="231"/>
      <c r="AC65" s="675"/>
      <c r="AD65" s="229"/>
      <c r="AE65" s="671"/>
      <c r="AF65" s="671"/>
      <c r="AG65" s="231"/>
      <c r="AH65" s="675"/>
      <c r="AI65" s="229"/>
      <c r="AJ65" s="671"/>
      <c r="AK65" s="671"/>
      <c r="AL65" s="144"/>
      <c r="AM65" s="1010"/>
      <c r="AN65" s="776"/>
      <c r="AO65" s="672"/>
      <c r="AP65" s="672"/>
      <c r="AQ65" s="678"/>
      <c r="AR65" s="1010"/>
      <c r="AS65" s="776"/>
      <c r="AT65" s="672"/>
      <c r="AU65" s="672"/>
      <c r="AV65" s="678"/>
      <c r="AW65" s="1010"/>
      <c r="AX65" s="776"/>
      <c r="AY65" s="672"/>
      <c r="AZ65" s="672"/>
      <c r="BA65" s="678"/>
      <c r="BB65" s="1010"/>
      <c r="BC65" s="776"/>
      <c r="BD65" s="672"/>
      <c r="BE65" s="672"/>
      <c r="BF65" s="678"/>
      <c r="BG65" s="1010"/>
      <c r="BH65" s="776"/>
      <c r="BI65" s="672"/>
      <c r="BJ65" s="672"/>
      <c r="BK65" s="678"/>
      <c r="BL65" s="1010"/>
      <c r="BM65" s="776"/>
      <c r="BN65" s="672"/>
      <c r="BO65" s="672"/>
      <c r="BP65" s="678"/>
      <c r="BQ65" s="1010"/>
      <c r="BR65" s="1016"/>
      <c r="BS65" s="1011"/>
      <c r="BT65" s="1011"/>
      <c r="BU65" s="541"/>
      <c r="BV65" s="541"/>
      <c r="BW65" s="541"/>
      <c r="BX65" s="541"/>
      <c r="BY65" s="541"/>
      <c r="BZ65" s="541"/>
      <c r="CA65" s="541"/>
      <c r="CB65" s="541"/>
      <c r="CC65" s="541"/>
      <c r="CD65" s="541"/>
      <c r="CE65" s="541"/>
      <c r="CF65" s="541"/>
      <c r="CG65" s="541"/>
      <c r="CH65" s="541"/>
      <c r="CI65" s="541"/>
      <c r="CJ65" s="541"/>
      <c r="CK65" s="541"/>
      <c r="CL65" s="541"/>
      <c r="CM65" s="541"/>
      <c r="CN65" s="541"/>
      <c r="CO65" s="541"/>
      <c r="CP65" s="541"/>
      <c r="CQ65" s="541"/>
      <c r="CR65" s="541"/>
      <c r="CS65" s="541"/>
      <c r="CT65" s="541"/>
      <c r="CU65" s="541"/>
      <c r="CV65" s="541"/>
      <c r="CW65" s="541"/>
      <c r="CX65" s="541"/>
      <c r="CY65" s="541"/>
      <c r="CZ65" s="541"/>
      <c r="DA65" s="541"/>
      <c r="DB65" s="541"/>
      <c r="DC65" s="541"/>
      <c r="DD65" s="541"/>
      <c r="DE65" s="541"/>
      <c r="DF65" s="541"/>
    </row>
    <row r="66" spans="1:256">
      <c r="A66" s="541"/>
      <c r="B66" s="541"/>
      <c r="C66" s="673" t="s">
        <v>759</v>
      </c>
      <c r="D66" s="541"/>
      <c r="E66" s="289"/>
      <c r="F66" s="542"/>
      <c r="G66" s="542"/>
      <c r="H66" s="291"/>
      <c r="I66" s="543"/>
      <c r="J66" s="229"/>
      <c r="K66" s="671"/>
      <c r="L66" s="671"/>
      <c r="M66" s="231"/>
      <c r="N66" s="674"/>
      <c r="O66" s="161"/>
      <c r="P66" s="162"/>
      <c r="Q66" s="162"/>
      <c r="R66" s="144"/>
      <c r="S66" s="546"/>
      <c r="T66" s="161"/>
      <c r="U66" s="162"/>
      <c r="V66" s="162"/>
      <c r="W66" s="144"/>
      <c r="X66" s="546">
        <f>AVERAGE('Market Prices'!O84:R84)</f>
        <v>12720.171558419286</v>
      </c>
      <c r="Y66" s="161">
        <f>+'Market Prices'!S84</f>
        <v>8843.8741816001238</v>
      </c>
      <c r="Z66" s="162">
        <f>+'Market Prices'!T84</f>
        <v>10090.605702834497</v>
      </c>
      <c r="AA66" s="162">
        <f>+'Market Prices'!U84</f>
        <v>11784.929103005486</v>
      </c>
      <c r="AB66" s="144">
        <f>+'Market Prices'!V84</f>
        <v>9055.3075246398785</v>
      </c>
      <c r="AC66" s="546">
        <f>AVERAGE(Y66:AB66)</f>
        <v>9943.6791280199977</v>
      </c>
      <c r="AD66" s="161">
        <f>+'Market Prices'!W84</f>
        <v>6250.8834115149521</v>
      </c>
      <c r="AE66" s="162">
        <f>+'Market Prices'!X84</f>
        <v>13598.445413206973</v>
      </c>
      <c r="AF66" s="162">
        <f>+'Market Prices'!Y84</f>
        <v>15115.206481521522</v>
      </c>
      <c r="AG66" s="144">
        <f>+'Market Prices'!AA84</f>
        <v>6685.8777350899572</v>
      </c>
      <c r="AH66" s="546">
        <f>AVERAGE(AD66:AG66)</f>
        <v>10412.60326033335</v>
      </c>
      <c r="AI66" s="161">
        <f>+'Market Prices'!AA84</f>
        <v>6685.8777350899572</v>
      </c>
      <c r="AJ66" s="162">
        <f>+'Market Prices'!AB84</f>
        <v>22536.074157139941</v>
      </c>
      <c r="AK66" s="162">
        <f>+'Market Prices'!AC84</f>
        <v>26155.148246335953</v>
      </c>
      <c r="AL66" s="144">
        <f>+'Market Prices'!AD84</f>
        <v>23909.989823722273</v>
      </c>
      <c r="AM66" s="546">
        <f>AVERAGE(AI66:AL66)</f>
        <v>19821.772490572032</v>
      </c>
      <c r="AN66" s="161">
        <f>+'Market Prices'!AE84</f>
        <v>14978.836309235272</v>
      </c>
      <c r="AO66" s="162">
        <f>+'Market Prices'!AF84</f>
        <v>19797.287168266088</v>
      </c>
      <c r="AP66" s="162">
        <f>+'Market Prices'!AG84</f>
        <v>28019.254671976272</v>
      </c>
      <c r="AQ66" s="144">
        <f>+'Market Prices'!AH84</f>
        <v>14526.175995021027</v>
      </c>
      <c r="AR66" s="546">
        <f>AVERAGE(AN66:AQ66)</f>
        <v>19330.388536124665</v>
      </c>
      <c r="AS66" s="161">
        <f>+'Market Prices'!AI84</f>
        <v>10353.203493698842</v>
      </c>
      <c r="AT66" s="162">
        <f>+'Market Prices'!AJ84</f>
        <v>13146.418491195038</v>
      </c>
      <c r="AU66" s="162">
        <f>+'Market Prices'!AK84</f>
        <v>20992.620308985443</v>
      </c>
      <c r="AV66" s="144">
        <f>+'Market Prices'!AM84</f>
        <v>6038.4727262704982</v>
      </c>
      <c r="AW66" s="546">
        <f>AVERAGE(AS66:AV66)</f>
        <v>12632.678755037454</v>
      </c>
      <c r="AX66" s="161">
        <f>+'Market Prices'!AM84</f>
        <v>6038.4727262704982</v>
      </c>
      <c r="AY66" s="162">
        <f>+'Market Prices'!AN84</f>
        <v>13216.818012190572</v>
      </c>
      <c r="AZ66" s="162">
        <f>+'Market Prices'!AO84</f>
        <v>13392.53996447602</v>
      </c>
      <c r="BA66" s="144">
        <f>+'Market Prices'!AP84</f>
        <v>11740.379092475589</v>
      </c>
      <c r="BB66" s="546">
        <f>AVERAGE(AX66:BA66)</f>
        <v>11097.05244885317</v>
      </c>
      <c r="BC66" s="161">
        <f>+'Market Prices'!AQ84</f>
        <v>12782.858661912423</v>
      </c>
      <c r="BD66" s="162">
        <f>+'Market Prices'!AR84</f>
        <v>12270.005904552587</v>
      </c>
      <c r="BE66" s="162">
        <f>+'Market Prices'!AS84</f>
        <v>13129.877577825491</v>
      </c>
      <c r="BF66" s="144">
        <f>+'Market Prices'!AT84</f>
        <v>11979.669391553554</v>
      </c>
      <c r="BG66" s="546">
        <f>AVERAGE(BC66:BF66)</f>
        <v>12540.602883961015</v>
      </c>
      <c r="BH66" s="161">
        <f>+'Market Prices'!AU84</f>
        <v>12476.88178267494</v>
      </c>
      <c r="BI66" s="162">
        <f>+'Market Prices'!AV84</f>
        <v>11976.304924654652</v>
      </c>
      <c r="BJ66" s="162">
        <f>+'Market Prices'!AW84</f>
        <v>12815.594280772109</v>
      </c>
      <c r="BK66" s="144">
        <f>+'Market Prices'!AX84</f>
        <v>11692.918051210097</v>
      </c>
      <c r="BL66" s="546">
        <f>AVERAGE(BH66:BK66)</f>
        <v>12240.424759827951</v>
      </c>
      <c r="BM66" s="161">
        <f>+'Market Prices'!AY84</f>
        <v>14415.000000000002</v>
      </c>
      <c r="BN66" s="162">
        <f>+'Market Prices'!AZ84</f>
        <v>14415.000000000002</v>
      </c>
      <c r="BO66" s="162">
        <f>+'Market Prices'!BA84</f>
        <v>14415.000000000002</v>
      </c>
      <c r="BP66" s="144">
        <f>+'Market Prices'!BB84</f>
        <v>14415.000000000002</v>
      </c>
      <c r="BQ66" s="546">
        <f>AVERAGE(BM66:BP66)</f>
        <v>14415.000000000002</v>
      </c>
      <c r="BR66" s="1016"/>
      <c r="BS66" s="541"/>
      <c r="BT66" s="541"/>
      <c r="BU66" s="541"/>
      <c r="BV66" s="541"/>
      <c r="BW66" s="541"/>
      <c r="BX66" s="541"/>
      <c r="BY66" s="541"/>
      <c r="BZ66" s="541"/>
      <c r="CA66" s="541"/>
      <c r="CB66" s="541"/>
      <c r="CC66" s="541"/>
      <c r="CD66" s="541"/>
      <c r="CE66" s="541"/>
      <c r="CF66" s="541"/>
      <c r="CG66" s="541"/>
      <c r="CH66" s="541"/>
      <c r="CI66" s="541"/>
      <c r="CJ66" s="541"/>
      <c r="CK66" s="541"/>
      <c r="CL66" s="541"/>
      <c r="CM66" s="541"/>
      <c r="CN66" s="541"/>
      <c r="CO66" s="541"/>
      <c r="CP66" s="541"/>
      <c r="CQ66" s="541"/>
      <c r="CR66" s="541"/>
      <c r="CS66" s="541"/>
      <c r="CT66" s="541"/>
      <c r="CU66" s="541"/>
      <c r="CV66" s="541"/>
      <c r="CW66" s="541"/>
      <c r="CX66" s="541"/>
      <c r="CY66" s="541"/>
      <c r="CZ66" s="541"/>
      <c r="DA66" s="541"/>
      <c r="DB66" s="541"/>
      <c r="DC66" s="541"/>
      <c r="DD66" s="541"/>
      <c r="DE66" s="541"/>
      <c r="DF66" s="541"/>
    </row>
    <row r="67" spans="1:256">
      <c r="A67" s="541"/>
      <c r="B67" s="541"/>
      <c r="C67" s="673" t="s">
        <v>760</v>
      </c>
      <c r="D67" s="541"/>
      <c r="E67" s="289"/>
      <c r="F67" s="542"/>
      <c r="G67" s="542"/>
      <c r="H67" s="291"/>
      <c r="I67" s="543"/>
      <c r="J67" s="229"/>
      <c r="K67" s="671"/>
      <c r="L67" s="671"/>
      <c r="M67" s="231"/>
      <c r="N67" s="674"/>
      <c r="O67" s="161"/>
      <c r="P67" s="162"/>
      <c r="Q67" s="162"/>
      <c r="R67" s="144"/>
      <c r="S67" s="546"/>
      <c r="T67" s="161"/>
      <c r="U67" s="162"/>
      <c r="V67" s="162"/>
      <c r="W67" s="144"/>
      <c r="X67" s="546">
        <f>AVERAGE('Market Prices'!O102:R102)</f>
        <v>8662.7552648658366</v>
      </c>
      <c r="Y67" s="161">
        <f>+'Market Prices'!S102</f>
        <v>7144.68170956227</v>
      </c>
      <c r="Z67" s="162">
        <f>+'Market Prices'!T102</f>
        <v>6923.1901425772967</v>
      </c>
      <c r="AA67" s="162">
        <f>+'Market Prices'!U102</f>
        <v>7416.937285038297</v>
      </c>
      <c r="AB67" s="144">
        <f>+'Market Prices'!V102</f>
        <v>7186.3638244491658</v>
      </c>
      <c r="AC67" s="546">
        <f>AVERAGE(Y67:AB67)</f>
        <v>7167.7932404067578</v>
      </c>
      <c r="AD67" s="161">
        <f>+'Market Prices'!W102</f>
        <v>4378.4476589144797</v>
      </c>
      <c r="AE67" s="162">
        <f>+'Market Prices'!X102</f>
        <v>8308.8842312669221</v>
      </c>
      <c r="AF67" s="162">
        <f>+'Market Prices'!Y102</f>
        <v>10465.996871575519</v>
      </c>
      <c r="AG67" s="144">
        <f>+'Market Prices'!AA102</f>
        <v>5222.5069289009616</v>
      </c>
      <c r="AH67" s="546">
        <f>AVERAGE(AD67:AG67)</f>
        <v>7093.9589226644712</v>
      </c>
      <c r="AI67" s="161">
        <f>+'Market Prices'!AA102</f>
        <v>5222.5069289009616</v>
      </c>
      <c r="AJ67" s="162">
        <f>+'Market Prices'!AB102</f>
        <v>15040.786920718157</v>
      </c>
      <c r="AK67" s="162">
        <f>+'Market Prices'!AC102</f>
        <v>16577.780229416356</v>
      </c>
      <c r="AL67" s="144">
        <f>+'Market Prices'!AD102</f>
        <v>17065.861366193356</v>
      </c>
      <c r="AM67" s="546">
        <f>AVERAGE(AI67:AL67)</f>
        <v>13476.733861307208</v>
      </c>
      <c r="AN67" s="161">
        <f>+'Market Prices'!AE102</f>
        <v>11965.339455583016</v>
      </c>
      <c r="AO67" s="162">
        <f>+'Market Prices'!AF102</f>
        <v>13392.335283854029</v>
      </c>
      <c r="AP67" s="162">
        <f>+'Market Prices'!AG102</f>
        <v>16617.582565885587</v>
      </c>
      <c r="AQ67" s="144">
        <f>+'Market Prices'!AH102</f>
        <v>11247.328225526811</v>
      </c>
      <c r="AR67" s="546">
        <f>AVERAGE(AN67:AQ67)</f>
        <v>13305.646382712363</v>
      </c>
      <c r="AS67" s="161">
        <f>+'Market Prices'!AI102</f>
        <v>8556.6131079873394</v>
      </c>
      <c r="AT67" s="162">
        <f>+'Market Prices'!AJ102</f>
        <v>8971.0519258287495</v>
      </c>
      <c r="AU67" s="162">
        <f>+'Market Prices'!AK102</f>
        <v>13054.147515117875</v>
      </c>
      <c r="AV67" s="144">
        <f>+'Market Prices'!AM102</f>
        <v>5253.5008504221041</v>
      </c>
      <c r="AW67" s="546">
        <f>AVERAGE(AS67:AV67)</f>
        <v>8958.8283498390174</v>
      </c>
      <c r="AX67" s="161">
        <f>+'Market Prices'!AM102</f>
        <v>5253.5008504221041</v>
      </c>
      <c r="AY67" s="162">
        <f>+'Market Prices'!AN102</f>
        <v>9534.7680059708928</v>
      </c>
      <c r="AZ67" s="162">
        <f>+'Market Prices'!AO102</f>
        <v>8957.9632918886928</v>
      </c>
      <c r="BA67" s="144">
        <f>+'Market Prices'!AP102</f>
        <v>8724.870763928775</v>
      </c>
      <c r="BB67" s="546">
        <f>AVERAGE(AX67:BA67)</f>
        <v>8117.7757280526166</v>
      </c>
      <c r="BC67" s="161">
        <f>+'Market Prices'!AQ102</f>
        <v>10357.798701457919</v>
      </c>
      <c r="BD67" s="162">
        <f>+'Market Prices'!AR102</f>
        <v>8488.7960907604192</v>
      </c>
      <c r="BE67" s="162">
        <f>+'Market Prices'!AS102</f>
        <v>8528.2593221072202</v>
      </c>
      <c r="BF67" s="144">
        <f>+'Market Prices'!AT102</f>
        <v>9517.0351924681836</v>
      </c>
      <c r="BG67" s="546">
        <f>AVERAGE(BC67:BF67)</f>
        <v>9222.9723266984365</v>
      </c>
      <c r="BH67" s="161">
        <f>+'Market Prices'!AU102</f>
        <v>10049.931204538312</v>
      </c>
      <c r="BI67" s="162">
        <f>+'Market Prices'!AV102</f>
        <v>8236.4814359143529</v>
      </c>
      <c r="BJ67" s="162">
        <f>+'Market Prices'!AW102</f>
        <v>8274.7716915541296</v>
      </c>
      <c r="BK67" s="144">
        <f>+'Market Prices'!AX102</f>
        <v>9234.1579241168911</v>
      </c>
      <c r="BL67" s="546">
        <f>AVERAGE(BH67:BK67)</f>
        <v>8948.8355640309201</v>
      </c>
      <c r="BM67" s="161">
        <f>+'Market Prices'!AY102</f>
        <v>9861.0170236466547</v>
      </c>
      <c r="BN67" s="162">
        <f>+'Market Prices'!AZ102</f>
        <v>8081.6556851477762</v>
      </c>
      <c r="BO67" s="162">
        <f>+'Market Prices'!BA102</f>
        <v>8119.2261774246881</v>
      </c>
      <c r="BP67" s="144">
        <f>+'Market Prices'!BB102</f>
        <v>9060.5782900920312</v>
      </c>
      <c r="BQ67" s="546">
        <f>AVERAGE(BM67:BP67)</f>
        <v>8780.6192940777873</v>
      </c>
      <c r="BR67" s="1016"/>
      <c r="BS67" s="541"/>
      <c r="BT67" s="541"/>
      <c r="BU67" s="541"/>
      <c r="BV67" s="541"/>
      <c r="BW67" s="541"/>
      <c r="BX67" s="541"/>
      <c r="BY67" s="541"/>
      <c r="BZ67" s="541"/>
      <c r="CA67" s="541"/>
      <c r="CB67" s="541"/>
      <c r="CC67" s="541"/>
      <c r="CD67" s="541"/>
      <c r="CE67" s="541"/>
      <c r="CF67" s="541"/>
      <c r="CG67" s="541"/>
      <c r="CH67" s="541"/>
      <c r="CI67" s="541"/>
      <c r="CJ67" s="541"/>
      <c r="CK67" s="541"/>
      <c r="CL67" s="541"/>
      <c r="CM67" s="541"/>
      <c r="CN67" s="541"/>
      <c r="CO67" s="541"/>
      <c r="CP67" s="541"/>
      <c r="CQ67" s="541"/>
      <c r="CR67" s="541"/>
      <c r="CS67" s="541"/>
      <c r="CT67" s="541"/>
      <c r="CU67" s="541"/>
      <c r="CV67" s="541"/>
      <c r="CW67" s="541"/>
      <c r="CX67" s="541"/>
      <c r="CY67" s="541"/>
      <c r="CZ67" s="541"/>
      <c r="DA67" s="541"/>
      <c r="DB67" s="541"/>
      <c r="DC67" s="541"/>
      <c r="DD67" s="541"/>
      <c r="DE67" s="541"/>
      <c r="DF67" s="541"/>
    </row>
    <row r="68" spans="1:256">
      <c r="A68" s="541"/>
      <c r="B68" s="541"/>
      <c r="C68" s="673"/>
      <c r="D68" s="541"/>
      <c r="E68" s="289"/>
      <c r="F68" s="542"/>
      <c r="G68" s="542"/>
      <c r="H68" s="291"/>
      <c r="I68" s="543"/>
      <c r="J68" s="229"/>
      <c r="K68" s="671"/>
      <c r="L68" s="671"/>
      <c r="M68" s="231"/>
      <c r="N68" s="674"/>
      <c r="O68" s="161"/>
      <c r="P68" s="162"/>
      <c r="Q68" s="162"/>
      <c r="R68" s="144"/>
      <c r="S68" s="546"/>
      <c r="T68" s="161"/>
      <c r="U68" s="162"/>
      <c r="V68" s="162"/>
      <c r="W68" s="144"/>
      <c r="X68" s="546"/>
      <c r="Y68" s="161"/>
      <c r="Z68" s="162"/>
      <c r="AA68" s="162"/>
      <c r="AB68" s="144"/>
      <c r="AC68" s="546"/>
      <c r="AD68" s="161"/>
      <c r="AE68" s="162"/>
      <c r="AF68" s="162"/>
      <c r="AG68" s="144"/>
      <c r="AH68" s="546"/>
      <c r="AI68" s="161"/>
      <c r="AJ68" s="162"/>
      <c r="AK68" s="162"/>
      <c r="AL68" s="144"/>
      <c r="AM68" s="546"/>
      <c r="AN68" s="161"/>
      <c r="AO68" s="162"/>
      <c r="AP68" s="162"/>
      <c r="AQ68" s="144"/>
      <c r="AR68" s="546"/>
      <c r="AS68" s="161"/>
      <c r="AT68" s="162"/>
      <c r="AU68" s="162"/>
      <c r="AV68" s="144"/>
      <c r="AW68" s="546"/>
      <c r="AX68" s="161"/>
      <c r="AY68" s="162"/>
      <c r="AZ68" s="162"/>
      <c r="BA68" s="144"/>
      <c r="BB68" s="546"/>
      <c r="BC68" s="161"/>
      <c r="BD68" s="162"/>
      <c r="BE68" s="162"/>
      <c r="BF68" s="144"/>
      <c r="BG68" s="546"/>
      <c r="BH68" s="161"/>
      <c r="BI68" s="162"/>
      <c r="BJ68" s="162"/>
      <c r="BK68" s="144"/>
      <c r="BL68" s="546"/>
      <c r="BM68" s="161"/>
      <c r="BN68" s="162"/>
      <c r="BO68" s="162"/>
      <c r="BP68" s="144"/>
      <c r="BQ68" s="546"/>
      <c r="BR68" s="1016"/>
      <c r="BS68" s="541"/>
      <c r="BT68" s="541"/>
      <c r="BU68" s="541"/>
      <c r="BV68" s="541"/>
      <c r="BW68" s="541"/>
      <c r="BX68" s="541"/>
      <c r="BY68" s="541"/>
      <c r="BZ68" s="541"/>
      <c r="CA68" s="541"/>
      <c r="CB68" s="541"/>
      <c r="CC68" s="541"/>
      <c r="CD68" s="541"/>
      <c r="CE68" s="541"/>
      <c r="CF68" s="541"/>
      <c r="CG68" s="541"/>
      <c r="CH68" s="541"/>
      <c r="CI68" s="541"/>
      <c r="CJ68" s="541"/>
      <c r="CK68" s="541"/>
      <c r="CL68" s="541"/>
      <c r="CM68" s="541"/>
      <c r="CN68" s="541"/>
      <c r="CO68" s="541"/>
      <c r="CP68" s="541"/>
      <c r="CQ68" s="541"/>
      <c r="CR68" s="541"/>
      <c r="CS68" s="541"/>
      <c r="CT68" s="541"/>
      <c r="CU68" s="541"/>
      <c r="CV68" s="541"/>
      <c r="CW68" s="541"/>
      <c r="CX68" s="541"/>
      <c r="CY68" s="541"/>
      <c r="CZ68" s="541"/>
      <c r="DA68" s="541"/>
      <c r="DB68" s="541"/>
      <c r="DC68" s="541"/>
      <c r="DD68" s="541"/>
      <c r="DE68" s="541"/>
      <c r="DF68" s="541"/>
    </row>
    <row r="69" spans="1:256">
      <c r="A69" s="541"/>
      <c r="B69" s="541"/>
      <c r="C69" s="877" t="s">
        <v>251</v>
      </c>
      <c r="D69" s="541"/>
      <c r="E69" s="289"/>
      <c r="F69" s="542"/>
      <c r="G69" s="542"/>
      <c r="H69" s="291"/>
      <c r="I69" s="543"/>
      <c r="J69" s="229"/>
      <c r="K69" s="671"/>
      <c r="L69" s="671"/>
      <c r="M69" s="231"/>
      <c r="N69" s="674"/>
      <c r="O69" s="161"/>
      <c r="P69" s="162"/>
      <c r="Q69" s="162"/>
      <c r="R69" s="144"/>
      <c r="S69" s="546"/>
      <c r="T69" s="161"/>
      <c r="U69" s="162"/>
      <c r="V69" s="162"/>
      <c r="W69" s="144"/>
      <c r="X69" s="546"/>
      <c r="Y69" s="161"/>
      <c r="Z69" s="162"/>
      <c r="AA69" s="162"/>
      <c r="AB69" s="144"/>
      <c r="AC69" s="546"/>
      <c r="AD69" s="161"/>
      <c r="AE69" s="162"/>
      <c r="AF69" s="162"/>
      <c r="AG69" s="144"/>
      <c r="AH69" s="546"/>
      <c r="AI69" s="161"/>
      <c r="AJ69" s="162"/>
      <c r="AK69" s="162"/>
      <c r="AL69" s="144"/>
      <c r="AM69" s="546"/>
      <c r="AN69" s="161"/>
      <c r="AO69" s="162"/>
      <c r="AP69" s="162"/>
      <c r="AQ69" s="144"/>
      <c r="AR69" s="546"/>
      <c r="AS69" s="161"/>
      <c r="AT69" s="162"/>
      <c r="AU69" s="162"/>
      <c r="AV69" s="144"/>
      <c r="AW69" s="546"/>
      <c r="AX69" s="161"/>
      <c r="AY69" s="162"/>
      <c r="AZ69" s="162"/>
      <c r="BA69" s="144"/>
      <c r="BB69" s="546"/>
      <c r="BC69" s="161"/>
      <c r="BD69" s="162"/>
      <c r="BE69" s="162"/>
      <c r="BF69" s="144"/>
      <c r="BG69" s="546"/>
      <c r="BH69" s="161"/>
      <c r="BI69" s="162"/>
      <c r="BJ69" s="162"/>
      <c r="BK69" s="144"/>
      <c r="BL69" s="546"/>
      <c r="BM69" s="161"/>
      <c r="BN69" s="162"/>
      <c r="BO69" s="162"/>
      <c r="BP69" s="144"/>
      <c r="BQ69" s="546"/>
      <c r="BR69" s="1016"/>
      <c r="BS69" s="541"/>
      <c r="BT69" s="541"/>
      <c r="BU69" s="541"/>
      <c r="BV69" s="541"/>
      <c r="BW69" s="541"/>
      <c r="BX69" s="541"/>
      <c r="BY69" s="541"/>
      <c r="BZ69" s="541"/>
      <c r="CA69" s="541"/>
      <c r="CB69" s="541"/>
      <c r="CC69" s="541"/>
      <c r="CD69" s="541"/>
      <c r="CE69" s="541"/>
      <c r="CF69" s="541"/>
      <c r="CG69" s="541"/>
      <c r="CH69" s="541"/>
      <c r="CI69" s="541"/>
      <c r="CJ69" s="541"/>
      <c r="CK69" s="541"/>
      <c r="CL69" s="541"/>
      <c r="CM69" s="541"/>
      <c r="CN69" s="541"/>
      <c r="CO69" s="541"/>
      <c r="CP69" s="541"/>
      <c r="CQ69" s="541"/>
      <c r="CR69" s="541"/>
      <c r="CS69" s="541"/>
      <c r="CT69" s="541"/>
      <c r="CU69" s="541"/>
      <c r="CV69" s="541"/>
      <c r="CW69" s="541"/>
      <c r="CX69" s="541"/>
      <c r="CY69" s="541"/>
      <c r="CZ69" s="541"/>
      <c r="DA69" s="541"/>
      <c r="DB69" s="541"/>
      <c r="DC69" s="541"/>
      <c r="DD69" s="541"/>
      <c r="DE69" s="541"/>
      <c r="DF69" s="541"/>
    </row>
    <row r="70" spans="1:256">
      <c r="A70" s="541"/>
      <c r="B70" s="541"/>
      <c r="C70" s="673" t="s">
        <v>980</v>
      </c>
      <c r="D70" s="541"/>
      <c r="E70" s="289"/>
      <c r="F70" s="542"/>
      <c r="G70" s="542"/>
      <c r="H70" s="291"/>
      <c r="I70" s="543"/>
      <c r="J70" s="229"/>
      <c r="K70" s="671"/>
      <c r="L70" s="671"/>
      <c r="M70" s="231"/>
      <c r="N70" s="674"/>
      <c r="O70" s="687"/>
      <c r="P70" s="688"/>
      <c r="Q70" s="688"/>
      <c r="R70" s="689"/>
      <c r="S70" s="690"/>
      <c r="T70" s="687"/>
      <c r="U70" s="688"/>
      <c r="V70" s="688"/>
      <c r="W70" s="689"/>
      <c r="X70" s="690">
        <f>AVERAGE('Market Prices'!O116:R116)</f>
        <v>55.435000000000002</v>
      </c>
      <c r="Y70" s="687">
        <f>+'Market Prices'!S116</f>
        <v>16.46</v>
      </c>
      <c r="Z70" s="688">
        <f>+'Market Prices'!T116</f>
        <v>20.216666666666669</v>
      </c>
      <c r="AA70" s="688">
        <f>+'Market Prices'!U116</f>
        <v>27.73</v>
      </c>
      <c r="AB70" s="689">
        <f>+'Market Prices'!V116</f>
        <v>27.73</v>
      </c>
      <c r="AC70" s="690">
        <f>AVERAGE(Y70:AB70)</f>
        <v>23.034166666666668</v>
      </c>
      <c r="AD70" s="687">
        <f>'Market Prices'!W116</f>
        <v>27.73</v>
      </c>
      <c r="AE70" s="688">
        <f>'Market Prices'!X116</f>
        <v>60.483333333333327</v>
      </c>
      <c r="AF70" s="688">
        <f>'Market Prices'!Y116</f>
        <v>125.99</v>
      </c>
      <c r="AG70" s="689">
        <f>+'Market Prices'!Z116</f>
        <v>125.99</v>
      </c>
      <c r="AH70" s="690">
        <f>AVERAGE(AD70:AG70)</f>
        <v>85.048333333333332</v>
      </c>
      <c r="AI70" s="687">
        <f>+'Market Prices'!AA116</f>
        <v>125.99</v>
      </c>
      <c r="AJ70" s="688">
        <f>+'Market Prices'!AB116</f>
        <v>129.32666666666668</v>
      </c>
      <c r="AK70" s="688">
        <f>+'Market Prices'!AC116</f>
        <v>136</v>
      </c>
      <c r="AL70" s="689">
        <f>+'Market Prices'!AD116</f>
        <v>136</v>
      </c>
      <c r="AM70" s="690">
        <f>AVERAGE(AI70:AL70)</f>
        <v>131.82916666666665</v>
      </c>
      <c r="AN70" s="687">
        <f>+'Market Prices'!AE116</f>
        <v>136</v>
      </c>
      <c r="AO70" s="688">
        <f>+'Market Prices'!AF116</f>
        <v>110.45666666666666</v>
      </c>
      <c r="AP70" s="688">
        <f>+'Market Prices'!AG116</f>
        <v>59.37</v>
      </c>
      <c r="AQ70" s="689">
        <f>+'Market Prices'!AH116</f>
        <v>59.37</v>
      </c>
      <c r="AR70" s="690">
        <f>AVERAGE(AN70:AQ70)</f>
        <v>91.299166666666665</v>
      </c>
      <c r="AS70" s="687">
        <f>+'Market Prices'!AI116</f>
        <v>59.37</v>
      </c>
      <c r="AT70" s="688">
        <f>+'Market Prices'!AJ116</f>
        <v>79.58</v>
      </c>
      <c r="AU70" s="688">
        <f>+'Market Prices'!AK116</f>
        <v>120</v>
      </c>
      <c r="AV70" s="689">
        <f>+'Market Prices'!AM116</f>
        <v>120</v>
      </c>
      <c r="AW70" s="690">
        <f>AVERAGE(AS70:AV70)</f>
        <v>94.737499999999997</v>
      </c>
      <c r="AX70" s="687">
        <f>+'Market Prices'!AM116</f>
        <v>120</v>
      </c>
      <c r="AY70" s="688">
        <f>+'Market Prices'!AN116</f>
        <v>134.92333333333335</v>
      </c>
      <c r="AZ70" s="688">
        <f>+'Market Prices'!AO116</f>
        <v>164.77</v>
      </c>
      <c r="BA70" s="689">
        <f>+'Market Prices'!AP116</f>
        <v>164.77</v>
      </c>
      <c r="BB70" s="690">
        <f>AVERAGE(AX70:BA70)</f>
        <v>146.11583333333334</v>
      </c>
      <c r="BC70" s="687">
        <f>+'Market Prices'!AQ116</f>
        <v>164.77</v>
      </c>
      <c r="BD70" s="688">
        <f>+'Market Prices'!AR116</f>
        <v>143.18</v>
      </c>
      <c r="BE70" s="688">
        <f>+'Market Prices'!AS116</f>
        <v>100</v>
      </c>
      <c r="BF70" s="689">
        <f>+'Market Prices'!AT116</f>
        <v>100</v>
      </c>
      <c r="BG70" s="690">
        <f>AVERAGE(BC70:BF70)</f>
        <v>126.98750000000001</v>
      </c>
      <c r="BH70" s="687">
        <f>'Market Prices'!AU116</f>
        <v>100</v>
      </c>
      <c r="BI70" s="688">
        <f>'Market Prices'!AV116</f>
        <v>100</v>
      </c>
      <c r="BJ70" s="688">
        <f>'Market Prices'!AW116</f>
        <v>76.53</v>
      </c>
      <c r="BK70" s="689">
        <f>'Market Prices'!AX116</f>
        <v>76.53</v>
      </c>
      <c r="BL70" s="1432">
        <f>AVERAGE(BH70:BK70)</f>
        <v>88.264999999999986</v>
      </c>
      <c r="BM70" s="1288">
        <f>BN70</f>
        <v>150</v>
      </c>
      <c r="BN70" s="1111">
        <f>BO70</f>
        <v>150</v>
      </c>
      <c r="BO70" s="1111">
        <f>BP70</f>
        <v>150</v>
      </c>
      <c r="BP70" s="1112">
        <f>BQ70</f>
        <v>150</v>
      </c>
      <c r="BQ70" s="1432">
        <f>Valuation!$CF$29</f>
        <v>150</v>
      </c>
      <c r="BR70" s="1016"/>
      <c r="BS70" s="541"/>
      <c r="BT70" s="541"/>
      <c r="BU70" s="541"/>
      <c r="BV70" s="541"/>
      <c r="BW70" s="541"/>
      <c r="BX70" s="541"/>
      <c r="BY70" s="541"/>
      <c r="BZ70" s="541"/>
      <c r="CA70" s="541"/>
      <c r="CB70" s="541"/>
      <c r="CC70" s="541"/>
      <c r="CD70" s="541"/>
      <c r="CE70" s="541"/>
      <c r="CF70" s="541"/>
      <c r="CG70" s="541"/>
      <c r="CH70" s="541"/>
      <c r="CI70" s="541"/>
      <c r="CJ70" s="541"/>
      <c r="CK70" s="541"/>
      <c r="CL70" s="541"/>
      <c r="CM70" s="541"/>
      <c r="CN70" s="541"/>
      <c r="CO70" s="541"/>
      <c r="CP70" s="541"/>
      <c r="CQ70" s="541"/>
      <c r="CR70" s="541"/>
      <c r="CS70" s="541"/>
      <c r="CT70" s="541"/>
      <c r="CU70" s="541"/>
      <c r="CV70" s="541"/>
      <c r="CW70" s="541"/>
      <c r="CX70" s="541"/>
      <c r="CY70" s="541"/>
      <c r="CZ70" s="541"/>
      <c r="DA70" s="541"/>
      <c r="DB70" s="541"/>
      <c r="DC70" s="541"/>
      <c r="DD70" s="541"/>
      <c r="DE70" s="541"/>
      <c r="DF70" s="541"/>
    </row>
    <row r="71" spans="1:256">
      <c r="A71" s="541"/>
      <c r="B71" s="541"/>
      <c r="C71" s="673"/>
      <c r="D71" s="541"/>
      <c r="E71" s="289"/>
      <c r="F71" s="542"/>
      <c r="G71" s="542"/>
      <c r="H71" s="291"/>
      <c r="I71" s="543"/>
      <c r="J71" s="229"/>
      <c r="K71" s="671"/>
      <c r="L71" s="671"/>
      <c r="M71" s="231"/>
      <c r="N71" s="674"/>
      <c r="O71" s="687"/>
      <c r="P71" s="688"/>
      <c r="Q71" s="688"/>
      <c r="R71" s="689"/>
      <c r="S71" s="690"/>
      <c r="T71" s="687"/>
      <c r="U71" s="688"/>
      <c r="V71" s="688"/>
      <c r="W71" s="689"/>
      <c r="X71" s="690"/>
      <c r="Y71" s="687"/>
      <c r="Z71" s="688"/>
      <c r="AA71" s="688"/>
      <c r="AB71" s="689"/>
      <c r="AC71" s="690"/>
      <c r="AD71" s="687"/>
      <c r="AE71" s="688"/>
      <c r="AF71" s="688"/>
      <c r="AG71" s="689"/>
      <c r="AH71" s="690"/>
      <c r="AI71" s="687"/>
      <c r="AJ71" s="688"/>
      <c r="AK71" s="688"/>
      <c r="AL71" s="689"/>
      <c r="AM71" s="690"/>
      <c r="AN71" s="687"/>
      <c r="AO71" s="688"/>
      <c r="AP71" s="688"/>
      <c r="AQ71" s="689"/>
      <c r="AR71" s="690"/>
      <c r="AS71" s="687"/>
      <c r="AT71" s="688"/>
      <c r="AU71" s="688"/>
      <c r="AV71" s="689"/>
      <c r="AW71" s="690"/>
      <c r="AX71" s="687"/>
      <c r="AY71" s="688"/>
      <c r="AZ71" s="688"/>
      <c r="BA71" s="689"/>
      <c r="BB71" s="690"/>
      <c r="BC71" s="687"/>
      <c r="BD71" s="688"/>
      <c r="BE71" s="688"/>
      <c r="BF71" s="689"/>
      <c r="BG71" s="690"/>
      <c r="BH71" s="687"/>
      <c r="BI71" s="688"/>
      <c r="BJ71" s="688"/>
      <c r="BK71" s="689"/>
      <c r="BL71" s="690"/>
      <c r="BM71" s="687"/>
      <c r="BN71" s="688"/>
      <c r="BO71" s="688"/>
      <c r="BP71" s="689"/>
      <c r="BQ71" s="690"/>
      <c r="BR71" s="1016"/>
      <c r="BS71" s="541"/>
      <c r="BT71" s="541"/>
      <c r="BU71" s="541"/>
      <c r="BV71" s="541"/>
      <c r="BW71" s="541"/>
      <c r="BX71" s="541"/>
      <c r="BY71" s="541"/>
      <c r="BZ71" s="541"/>
      <c r="CA71" s="541"/>
      <c r="CB71" s="541"/>
      <c r="CC71" s="541"/>
      <c r="CD71" s="541"/>
      <c r="CE71" s="541"/>
      <c r="CF71" s="541"/>
      <c r="CG71" s="541"/>
      <c r="CH71" s="541"/>
      <c r="CI71" s="541"/>
      <c r="CJ71" s="541"/>
      <c r="CK71" s="541"/>
      <c r="CL71" s="541"/>
      <c r="CM71" s="541"/>
      <c r="CN71" s="541"/>
      <c r="CO71" s="541"/>
      <c r="CP71" s="541"/>
      <c r="CQ71" s="541"/>
      <c r="CR71" s="541"/>
      <c r="CS71" s="541"/>
      <c r="CT71" s="541"/>
      <c r="CU71" s="541"/>
      <c r="CV71" s="541"/>
      <c r="CW71" s="541"/>
      <c r="CX71" s="541"/>
      <c r="CY71" s="541"/>
      <c r="CZ71" s="541"/>
      <c r="DA71" s="541"/>
      <c r="DB71" s="541"/>
      <c r="DC71" s="541"/>
      <c r="DD71" s="541"/>
      <c r="DE71" s="541"/>
      <c r="DF71" s="541"/>
    </row>
    <row r="72" spans="1:256">
      <c r="A72" s="541"/>
      <c r="B72" s="541"/>
      <c r="C72" s="877" t="s">
        <v>765</v>
      </c>
      <c r="D72" s="541"/>
      <c r="E72" s="289"/>
      <c r="F72" s="542"/>
      <c r="G72" s="542"/>
      <c r="H72" s="291"/>
      <c r="I72" s="543"/>
      <c r="J72" s="229"/>
      <c r="K72" s="671"/>
      <c r="L72" s="671"/>
      <c r="M72" s="231"/>
      <c r="N72" s="674"/>
      <c r="O72" s="687"/>
      <c r="P72" s="688"/>
      <c r="Q72" s="688"/>
      <c r="R72" s="689"/>
      <c r="S72" s="690"/>
      <c r="T72" s="687"/>
      <c r="U72" s="688"/>
      <c r="V72" s="688"/>
      <c r="W72" s="689"/>
      <c r="X72" s="690"/>
      <c r="Y72" s="687"/>
      <c r="Z72" s="688"/>
      <c r="AA72" s="688"/>
      <c r="AB72" s="689"/>
      <c r="AC72" s="690"/>
      <c r="AD72" s="687"/>
      <c r="AE72" s="688"/>
      <c r="AF72" s="688"/>
      <c r="AG72" s="689"/>
      <c r="AH72" s="690"/>
      <c r="AI72" s="687"/>
      <c r="AJ72" s="688"/>
      <c r="AK72" s="688"/>
      <c r="AL72" s="689"/>
      <c r="AM72" s="690"/>
      <c r="AN72" s="687"/>
      <c r="AO72" s="688"/>
      <c r="AP72" s="688"/>
      <c r="AQ72" s="689"/>
      <c r="AR72" s="690"/>
      <c r="AS72" s="687"/>
      <c r="AT72" s="688"/>
      <c r="AU72" s="688"/>
      <c r="AV72" s="689"/>
      <c r="AW72" s="690"/>
      <c r="AX72" s="687"/>
      <c r="AY72" s="688"/>
      <c r="AZ72" s="688"/>
      <c r="BA72" s="689"/>
      <c r="BB72" s="690"/>
      <c r="BC72" s="687"/>
      <c r="BD72" s="688"/>
      <c r="BE72" s="688"/>
      <c r="BF72" s="689"/>
      <c r="BG72" s="690"/>
      <c r="BH72" s="687"/>
      <c r="BI72" s="688"/>
      <c r="BJ72" s="688"/>
      <c r="BK72" s="689"/>
      <c r="BL72" s="690"/>
      <c r="BM72" s="687"/>
      <c r="BN72" s="688"/>
      <c r="BO72" s="688"/>
      <c r="BP72" s="689"/>
      <c r="BQ72" s="690"/>
      <c r="BR72" s="1016"/>
      <c r="BS72" s="541"/>
      <c r="BT72" s="541"/>
      <c r="BU72" s="541"/>
      <c r="BV72" s="541"/>
      <c r="BW72" s="541"/>
      <c r="BX72" s="541"/>
      <c r="BY72" s="541"/>
      <c r="BZ72" s="541"/>
      <c r="CA72" s="541"/>
      <c r="CB72" s="541"/>
      <c r="CC72" s="541"/>
      <c r="CD72" s="541"/>
      <c r="CE72" s="541"/>
      <c r="CF72" s="541"/>
      <c r="CG72" s="541"/>
      <c r="CH72" s="541"/>
      <c r="CI72" s="541"/>
      <c r="CJ72" s="541"/>
      <c r="CK72" s="541"/>
      <c r="CL72" s="541"/>
      <c r="CM72" s="541"/>
      <c r="CN72" s="541"/>
      <c r="CO72" s="541"/>
      <c r="CP72" s="541"/>
      <c r="CQ72" s="541"/>
      <c r="CR72" s="541"/>
      <c r="CS72" s="541"/>
      <c r="CT72" s="541"/>
      <c r="CU72" s="541"/>
      <c r="CV72" s="541"/>
      <c r="CW72" s="541"/>
      <c r="CX72" s="541"/>
      <c r="CY72" s="541"/>
      <c r="CZ72" s="541"/>
      <c r="DA72" s="541"/>
      <c r="DB72" s="541"/>
      <c r="DC72" s="541"/>
      <c r="DD72" s="541"/>
      <c r="DE72" s="541"/>
      <c r="DF72" s="541"/>
      <c r="DG72" s="541"/>
      <c r="DH72" s="541"/>
      <c r="DI72" s="541"/>
      <c r="DJ72" s="541"/>
      <c r="DK72" s="541"/>
      <c r="DL72" s="541"/>
      <c r="DM72" s="541"/>
      <c r="DN72" s="541"/>
      <c r="DO72" s="541"/>
      <c r="DP72" s="541"/>
      <c r="DQ72" s="541"/>
      <c r="DR72" s="541"/>
      <c r="DS72" s="541"/>
      <c r="DT72" s="541"/>
      <c r="DU72" s="541"/>
      <c r="DV72" s="541"/>
      <c r="DW72" s="541"/>
      <c r="DX72" s="541"/>
      <c r="DY72" s="541"/>
      <c r="DZ72" s="541"/>
      <c r="EA72" s="541"/>
      <c r="EB72" s="541"/>
      <c r="EC72" s="541"/>
      <c r="ED72" s="541"/>
      <c r="EE72" s="541"/>
      <c r="EF72" s="541"/>
      <c r="EG72" s="541"/>
      <c r="EH72" s="541"/>
      <c r="EI72" s="541"/>
      <c r="EJ72" s="541"/>
      <c r="EK72" s="541"/>
      <c r="EL72" s="541"/>
      <c r="EM72" s="541"/>
      <c r="EN72" s="541"/>
      <c r="EO72" s="541"/>
      <c r="EP72" s="541"/>
      <c r="EQ72" s="541"/>
      <c r="ER72" s="541"/>
      <c r="ES72" s="541"/>
      <c r="ET72" s="541"/>
      <c r="EU72" s="541"/>
      <c r="EV72" s="541"/>
      <c r="EW72" s="541"/>
      <c r="EX72" s="541"/>
      <c r="EY72" s="541"/>
      <c r="EZ72" s="541"/>
      <c r="FA72" s="541"/>
      <c r="FB72" s="541"/>
      <c r="FC72" s="541"/>
      <c r="FD72" s="541"/>
      <c r="FE72" s="541"/>
      <c r="FF72" s="541"/>
      <c r="FG72" s="541"/>
      <c r="FH72" s="541"/>
      <c r="FI72" s="541"/>
      <c r="FJ72" s="541"/>
      <c r="FK72" s="541"/>
      <c r="FL72" s="541"/>
      <c r="FM72" s="541"/>
      <c r="FN72" s="541"/>
      <c r="FO72" s="541"/>
      <c r="FP72" s="541"/>
      <c r="FQ72" s="541"/>
      <c r="FR72" s="541"/>
      <c r="FS72" s="541"/>
      <c r="FT72" s="541"/>
      <c r="FU72" s="541"/>
      <c r="FV72" s="541"/>
      <c r="FW72" s="541"/>
      <c r="FX72" s="541"/>
      <c r="FY72" s="541"/>
      <c r="FZ72" s="541"/>
      <c r="GA72" s="541"/>
      <c r="GB72" s="541"/>
      <c r="GC72" s="541"/>
      <c r="GD72" s="541"/>
      <c r="GE72" s="541"/>
      <c r="GF72" s="541"/>
      <c r="GG72" s="541"/>
      <c r="GH72" s="541"/>
      <c r="GI72" s="541"/>
      <c r="GJ72" s="541"/>
      <c r="GK72" s="541"/>
      <c r="GL72" s="541"/>
      <c r="GM72" s="541"/>
      <c r="GN72" s="541"/>
      <c r="GO72" s="541"/>
      <c r="GP72" s="541"/>
      <c r="GQ72" s="541"/>
      <c r="GR72" s="541"/>
      <c r="GS72" s="541"/>
      <c r="GT72" s="541"/>
      <c r="GU72" s="541"/>
      <c r="GV72" s="541"/>
      <c r="GW72" s="541"/>
      <c r="GX72" s="541"/>
      <c r="GY72" s="541"/>
      <c r="GZ72" s="541"/>
      <c r="HA72" s="541"/>
      <c r="HB72" s="541"/>
      <c r="HC72" s="541"/>
      <c r="HD72" s="541"/>
      <c r="HE72" s="541"/>
      <c r="HF72" s="541"/>
      <c r="HG72" s="541"/>
      <c r="HH72" s="541"/>
      <c r="HI72" s="541"/>
      <c r="HJ72" s="541"/>
      <c r="HK72" s="541"/>
      <c r="HL72" s="541"/>
      <c r="HM72" s="541"/>
      <c r="HN72" s="541"/>
      <c r="HO72" s="541"/>
      <c r="HP72" s="541"/>
      <c r="HQ72" s="541"/>
      <c r="HR72" s="541"/>
      <c r="HS72" s="541"/>
      <c r="HT72" s="541"/>
      <c r="HU72" s="541"/>
      <c r="HV72" s="541"/>
      <c r="HW72" s="541"/>
      <c r="HX72" s="541"/>
      <c r="HY72" s="541"/>
      <c r="HZ72" s="541"/>
      <c r="IA72" s="541"/>
      <c r="IB72" s="541"/>
      <c r="IC72" s="541"/>
      <c r="ID72" s="541"/>
      <c r="IE72" s="541"/>
      <c r="IF72" s="541"/>
      <c r="IG72" s="541"/>
      <c r="IH72" s="541"/>
      <c r="II72" s="541"/>
      <c r="IJ72" s="541"/>
      <c r="IK72" s="541"/>
      <c r="IL72" s="541"/>
      <c r="IM72" s="541"/>
      <c r="IN72" s="541"/>
      <c r="IO72" s="541"/>
      <c r="IP72" s="541"/>
      <c r="IQ72" s="541"/>
      <c r="IR72" s="541"/>
      <c r="IS72" s="541"/>
      <c r="IT72" s="541"/>
      <c r="IU72" s="541"/>
      <c r="IV72" s="541"/>
    </row>
    <row r="73" spans="1:256">
      <c r="A73" s="541"/>
      <c r="B73" s="541"/>
      <c r="C73" s="879" t="s">
        <v>766</v>
      </c>
      <c r="D73" s="541"/>
      <c r="E73" s="289"/>
      <c r="F73" s="542"/>
      <c r="G73" s="542"/>
      <c r="H73" s="291"/>
      <c r="I73" s="543"/>
      <c r="J73" s="229"/>
      <c r="K73" s="671"/>
      <c r="L73" s="671"/>
      <c r="M73" s="231"/>
      <c r="N73" s="674"/>
      <c r="O73" s="834"/>
      <c r="P73" s="880"/>
      <c r="Q73" s="880"/>
      <c r="R73" s="835"/>
      <c r="S73" s="881"/>
      <c r="T73" s="834"/>
      <c r="U73" s="880"/>
      <c r="V73" s="880"/>
      <c r="W73" s="835"/>
      <c r="X73" s="881">
        <f>AVERAGE('Market Prices'!O11:R11)</f>
        <v>66.117307692307691</v>
      </c>
      <c r="Y73" s="834">
        <f>+'Market Prices'!S11</f>
        <v>62.246153846153859</v>
      </c>
      <c r="Z73" s="880">
        <f>+'Market Prices'!T11</f>
        <v>64.961538461538467</v>
      </c>
      <c r="AA73" s="880">
        <f>+'Market Prices'!U11</f>
        <v>68.230769230769226</v>
      </c>
      <c r="AB73" s="835">
        <f>+'Market Prices'!V11</f>
        <v>68.615384615384613</v>
      </c>
      <c r="AC73" s="881">
        <f>AVERAGE(Y73:AB73)</f>
        <v>66.013461538461542</v>
      </c>
      <c r="AD73" s="834">
        <f>+'Market Prices'!W11</f>
        <v>68.453846153846143</v>
      </c>
      <c r="AE73" s="880">
        <f>+'Market Prices'!X11</f>
        <v>67.120769230769227</v>
      </c>
      <c r="AF73" s="880">
        <f>+'Market Prices'!Y11</f>
        <v>63.607692307692297</v>
      </c>
      <c r="AG73" s="835">
        <f>+'Market Prices'!Z11</f>
        <v>53.301576923076922</v>
      </c>
      <c r="AH73" s="881">
        <f>AVERAGE(AD73:AG73)</f>
        <v>63.120971153846142</v>
      </c>
      <c r="AI73" s="834">
        <f>+'Market Prices'!AA11</f>
        <v>50.83815384615383</v>
      </c>
      <c r="AJ73" s="880">
        <f>+'Market Prices'!AB11</f>
        <v>50.215538461538465</v>
      </c>
      <c r="AK73" s="880">
        <f>+'Market Prices'!AC11</f>
        <v>48.245384615384616</v>
      </c>
      <c r="AL73" s="835">
        <f>+'Market Prices'!AD11</f>
        <v>43.988653846153852</v>
      </c>
      <c r="AM73" s="881">
        <f>AVERAGE(AI73:AL73)</f>
        <v>48.321932692307691</v>
      </c>
      <c r="AN73" s="834">
        <f>+'Market Prices'!AE11</f>
        <v>40.261730769230766</v>
      </c>
      <c r="AO73" s="880">
        <f>+'Market Prices'!AF11</f>
        <v>39.132692307692309</v>
      </c>
      <c r="AP73" s="880">
        <f>+'Market Prices'!AG11</f>
        <v>38.882142857142867</v>
      </c>
      <c r="AQ73" s="835">
        <f>+'Market Prices'!AH11</f>
        <v>42.651346153846148</v>
      </c>
      <c r="AR73" s="881">
        <f>AVERAGE(AN73:AQ73)</f>
        <v>40.231978021978023</v>
      </c>
      <c r="AS73" s="834">
        <f>+'Market Prices'!AI11</f>
        <v>47.554807692307698</v>
      </c>
      <c r="AT73" s="880">
        <f>+'Market Prices'!AJ11</f>
        <v>49.838461538461537</v>
      </c>
      <c r="AU73" s="880">
        <f>+'Market Prices'!AK11</f>
        <v>50.339038461538472</v>
      </c>
      <c r="AV73" s="835">
        <f>+'Market Prices'!AM11</f>
        <v>57.807500000000005</v>
      </c>
      <c r="AW73" s="881">
        <f>AVERAGE(AS73:AV73)</f>
        <v>51.384951923076926</v>
      </c>
      <c r="AX73" s="834">
        <f>+'Market Prices'!AM11</f>
        <v>57.807500000000005</v>
      </c>
      <c r="AY73" s="880">
        <f>+'Market Prices'!AN11</f>
        <v>46.55</v>
      </c>
      <c r="AZ73" s="880">
        <f>+'Market Prices'!AO11</f>
        <v>46.55</v>
      </c>
      <c r="BA73" s="835">
        <f>+'Market Prices'!AP11</f>
        <v>46.55</v>
      </c>
      <c r="BB73" s="881">
        <f>AVERAGE(AX73:BA73)</f>
        <v>49.364374999999995</v>
      </c>
      <c r="BC73" s="834">
        <f>+'Market Prices'!AQ11</f>
        <v>45.746572016741645</v>
      </c>
      <c r="BD73" s="880">
        <f>+'Market Prices'!AR11</f>
        <v>45.746572016741645</v>
      </c>
      <c r="BE73" s="880">
        <f>+'Market Prices'!AS11</f>
        <v>45.746572016741645</v>
      </c>
      <c r="BF73" s="835">
        <f>+'Market Prices'!AT11</f>
        <v>52.760283949775072</v>
      </c>
      <c r="BG73" s="881">
        <f>AVERAGE(BC73:BF73)</f>
        <v>47.5</v>
      </c>
      <c r="BH73" s="834">
        <f>'Market Prices'!AU11</f>
        <v>45.746572016741645</v>
      </c>
      <c r="BI73" s="880">
        <f>'Market Prices'!AV11</f>
        <v>45.746572016741645</v>
      </c>
      <c r="BJ73" s="880">
        <f>'Market Prices'!AW11</f>
        <v>45.746572016741645</v>
      </c>
      <c r="BK73" s="835">
        <f>'Market Prices'!AX11</f>
        <v>52.760283949775072</v>
      </c>
      <c r="BL73" s="881">
        <f>AVERAGE(BH73:BK73)</f>
        <v>47.5</v>
      </c>
      <c r="BM73" s="834">
        <f>'Market Prices'!AY11</f>
        <v>45.746572016741645</v>
      </c>
      <c r="BN73" s="880">
        <f>'Market Prices'!AZ11</f>
        <v>45.746572016741645</v>
      </c>
      <c r="BO73" s="880">
        <f>'Market Prices'!BA11</f>
        <v>45.746572016741645</v>
      </c>
      <c r="BP73" s="835">
        <f>'Market Prices'!BB11</f>
        <v>52.760283949775072</v>
      </c>
      <c r="BQ73" s="881">
        <f>AVERAGE(BM73:BP73)</f>
        <v>47.5</v>
      </c>
      <c r="BR73" s="1016"/>
      <c r="BS73" s="541"/>
      <c r="BT73" s="541"/>
      <c r="BU73" s="541"/>
      <c r="BV73" s="541"/>
      <c r="BW73" s="541"/>
      <c r="BX73" s="541"/>
      <c r="BY73" s="541"/>
      <c r="BZ73" s="541"/>
      <c r="CA73" s="541"/>
      <c r="CB73" s="541"/>
      <c r="CC73" s="541"/>
      <c r="CD73" s="541"/>
      <c r="CE73" s="541"/>
      <c r="CF73" s="541"/>
      <c r="CG73" s="541"/>
      <c r="CH73" s="541"/>
      <c r="CI73" s="541"/>
      <c r="CJ73" s="541"/>
      <c r="CK73" s="541"/>
      <c r="CL73" s="541"/>
      <c r="CM73" s="541"/>
      <c r="CN73" s="541"/>
      <c r="CO73" s="541"/>
      <c r="CP73" s="541"/>
      <c r="CQ73" s="541"/>
      <c r="CR73" s="541"/>
      <c r="CS73" s="541"/>
      <c r="CT73" s="541"/>
      <c r="CU73" s="541"/>
      <c r="CV73" s="541"/>
      <c r="CW73" s="541"/>
      <c r="CX73" s="541"/>
      <c r="CY73" s="541"/>
      <c r="CZ73" s="541"/>
      <c r="DA73" s="541"/>
      <c r="DB73" s="541"/>
      <c r="DC73" s="541"/>
      <c r="DD73" s="541"/>
      <c r="DE73" s="541"/>
      <c r="DF73" s="541"/>
      <c r="DG73" s="541"/>
      <c r="DH73" s="541"/>
      <c r="DI73" s="541"/>
      <c r="DJ73" s="541"/>
      <c r="DK73" s="541"/>
      <c r="DL73" s="541"/>
      <c r="DM73" s="541"/>
      <c r="DN73" s="541"/>
      <c r="DO73" s="541"/>
      <c r="DP73" s="541"/>
      <c r="DQ73" s="541"/>
      <c r="DR73" s="541"/>
      <c r="DS73" s="541"/>
      <c r="DT73" s="541"/>
      <c r="DU73" s="541"/>
      <c r="DV73" s="541"/>
      <c r="DW73" s="541"/>
      <c r="DX73" s="541"/>
      <c r="DY73" s="541"/>
      <c r="DZ73" s="541"/>
      <c r="EA73" s="541"/>
      <c r="EB73" s="541"/>
      <c r="EC73" s="541"/>
      <c r="ED73" s="541"/>
      <c r="EE73" s="541"/>
      <c r="EF73" s="541"/>
      <c r="EG73" s="541"/>
      <c r="EH73" s="541"/>
      <c r="EI73" s="541"/>
      <c r="EJ73" s="541"/>
      <c r="EK73" s="541"/>
      <c r="EL73" s="541"/>
      <c r="EM73" s="541"/>
      <c r="EN73" s="541"/>
      <c r="EO73" s="541"/>
      <c r="EP73" s="541"/>
      <c r="EQ73" s="541"/>
      <c r="ER73" s="541"/>
      <c r="ES73" s="541"/>
      <c r="ET73" s="541"/>
      <c r="EU73" s="541"/>
      <c r="EV73" s="541"/>
      <c r="EW73" s="541"/>
      <c r="EX73" s="541"/>
      <c r="EY73" s="541"/>
      <c r="EZ73" s="541"/>
      <c r="FA73" s="541"/>
      <c r="FB73" s="541"/>
      <c r="FC73" s="541"/>
      <c r="FD73" s="541"/>
      <c r="FE73" s="541"/>
      <c r="FF73" s="541"/>
      <c r="FG73" s="541"/>
      <c r="FH73" s="541"/>
      <c r="FI73" s="541"/>
      <c r="FJ73" s="541"/>
      <c r="FK73" s="541"/>
      <c r="FL73" s="541"/>
      <c r="FM73" s="541"/>
      <c r="FN73" s="541"/>
      <c r="FO73" s="541"/>
      <c r="FP73" s="541"/>
      <c r="FQ73" s="541"/>
      <c r="FR73" s="541"/>
      <c r="FS73" s="541"/>
      <c r="FT73" s="541"/>
      <c r="FU73" s="541"/>
      <c r="FV73" s="541"/>
      <c r="FW73" s="541"/>
      <c r="FX73" s="541"/>
      <c r="FY73" s="541"/>
      <c r="FZ73" s="541"/>
      <c r="GA73" s="541"/>
      <c r="GB73" s="541"/>
      <c r="GC73" s="541"/>
      <c r="GD73" s="541"/>
      <c r="GE73" s="541"/>
      <c r="GF73" s="541"/>
      <c r="GG73" s="541"/>
      <c r="GH73" s="541"/>
      <c r="GI73" s="541"/>
      <c r="GJ73" s="541"/>
      <c r="GK73" s="541"/>
      <c r="GL73" s="541"/>
      <c r="GM73" s="541"/>
      <c r="GN73" s="541"/>
      <c r="GO73" s="541"/>
      <c r="GP73" s="541"/>
      <c r="GQ73" s="541"/>
      <c r="GR73" s="541"/>
      <c r="GS73" s="541"/>
      <c r="GT73" s="541"/>
      <c r="GU73" s="541"/>
      <c r="GV73" s="541"/>
      <c r="GW73" s="541"/>
      <c r="GX73" s="541"/>
      <c r="GY73" s="541"/>
      <c r="GZ73" s="541"/>
      <c r="HA73" s="541"/>
      <c r="HB73" s="541"/>
      <c r="HC73" s="541"/>
      <c r="HD73" s="541"/>
      <c r="HE73" s="541"/>
      <c r="HF73" s="541"/>
      <c r="HG73" s="541"/>
      <c r="HH73" s="541"/>
      <c r="HI73" s="541"/>
      <c r="HJ73" s="541"/>
      <c r="HK73" s="541"/>
      <c r="HL73" s="541"/>
      <c r="HM73" s="541"/>
      <c r="HN73" s="541"/>
      <c r="HO73" s="541"/>
      <c r="HP73" s="541"/>
      <c r="HQ73" s="541"/>
      <c r="HR73" s="541"/>
      <c r="HS73" s="541"/>
      <c r="HT73" s="541"/>
      <c r="HU73" s="541"/>
      <c r="HV73" s="541"/>
      <c r="HW73" s="541"/>
      <c r="HX73" s="541"/>
      <c r="HY73" s="541"/>
      <c r="HZ73" s="541"/>
      <c r="IA73" s="541"/>
      <c r="IB73" s="541"/>
      <c r="IC73" s="541"/>
      <c r="ID73" s="541"/>
      <c r="IE73" s="541"/>
      <c r="IF73" s="541"/>
      <c r="IG73" s="541"/>
      <c r="IH73" s="541"/>
      <c r="II73" s="541"/>
      <c r="IJ73" s="541"/>
      <c r="IK73" s="541"/>
      <c r="IL73" s="541"/>
      <c r="IM73" s="541"/>
      <c r="IN73" s="541"/>
      <c r="IO73" s="541"/>
      <c r="IP73" s="541"/>
      <c r="IQ73" s="541"/>
      <c r="IR73" s="541"/>
      <c r="IS73" s="541"/>
      <c r="IT73" s="541"/>
      <c r="IU73" s="541"/>
      <c r="IV73" s="541"/>
    </row>
    <row r="74" spans="1:256">
      <c r="A74" s="541"/>
      <c r="B74" s="541"/>
      <c r="C74" s="879" t="s">
        <v>767</v>
      </c>
      <c r="D74" s="541"/>
      <c r="E74" s="289"/>
      <c r="F74" s="542"/>
      <c r="G74" s="542"/>
      <c r="H74" s="291"/>
      <c r="I74" s="543"/>
      <c r="J74" s="229"/>
      <c r="K74" s="671"/>
      <c r="L74" s="671"/>
      <c r="M74" s="231"/>
      <c r="N74" s="674"/>
      <c r="O74" s="834"/>
      <c r="P74" s="880"/>
      <c r="Q74" s="880"/>
      <c r="R74" s="835"/>
      <c r="S74" s="881"/>
      <c r="T74" s="834"/>
      <c r="U74" s="880"/>
      <c r="V74" s="880"/>
      <c r="W74" s="835"/>
      <c r="X74" s="881">
        <f>AVERAGE('Market Prices'!O72:R72)</f>
        <v>5</v>
      </c>
      <c r="Y74" s="834">
        <f>+'Market Prices'!S72</f>
        <v>5</v>
      </c>
      <c r="Z74" s="880">
        <f>+'Market Prices'!T72</f>
        <v>5</v>
      </c>
      <c r="AA74" s="880">
        <f>+'Market Prices'!U72</f>
        <v>5</v>
      </c>
      <c r="AB74" s="835">
        <f>+'Market Prices'!V72</f>
        <v>5</v>
      </c>
      <c r="AC74" s="881">
        <f>AVERAGE(Y74:AB74)</f>
        <v>5</v>
      </c>
      <c r="AD74" s="834">
        <f>+'Market Prices'!W72</f>
        <v>5</v>
      </c>
      <c r="AE74" s="880">
        <f>+'Market Prices'!X72</f>
        <v>5</v>
      </c>
      <c r="AF74" s="880">
        <f>+'Market Prices'!Y72</f>
        <v>5</v>
      </c>
      <c r="AG74" s="835">
        <f>+'Market Prices'!Z72</f>
        <v>5</v>
      </c>
      <c r="AH74" s="881">
        <f>AVERAGE(AD74:AG74)</f>
        <v>5</v>
      </c>
      <c r="AI74" s="834">
        <f>+'Market Prices'!AA72</f>
        <v>5</v>
      </c>
      <c r="AJ74" s="880">
        <f>+'Market Prices'!AB72</f>
        <v>5</v>
      </c>
      <c r="AK74" s="880">
        <f>+'Market Prices'!AC72</f>
        <v>5</v>
      </c>
      <c r="AL74" s="835">
        <f>+'Market Prices'!AD72</f>
        <v>5</v>
      </c>
      <c r="AM74" s="881">
        <f>AVERAGE(AI74:AL74)</f>
        <v>5</v>
      </c>
      <c r="AN74" s="834">
        <f>+'Market Prices'!AE72</f>
        <v>5</v>
      </c>
      <c r="AO74" s="880">
        <f>+'Market Prices'!AF72</f>
        <v>5</v>
      </c>
      <c r="AP74" s="880">
        <f>+'Market Prices'!AG72</f>
        <v>5</v>
      </c>
      <c r="AQ74" s="835">
        <f>+'Market Prices'!AH72</f>
        <v>5</v>
      </c>
      <c r="AR74" s="881">
        <f>AVERAGE(AN74:AQ74)</f>
        <v>5</v>
      </c>
      <c r="AS74" s="834">
        <f>+'Market Prices'!AI72</f>
        <v>5</v>
      </c>
      <c r="AT74" s="880">
        <f>+'Market Prices'!AJ72</f>
        <v>5</v>
      </c>
      <c r="AU74" s="880">
        <f>+'Market Prices'!AK72</f>
        <v>5</v>
      </c>
      <c r="AV74" s="835">
        <f>+'Market Prices'!AM72</f>
        <v>5</v>
      </c>
      <c r="AW74" s="881">
        <f>AVERAGE(AS74:AV74)</f>
        <v>5</v>
      </c>
      <c r="AX74" s="834">
        <f>+'Market Prices'!AM72</f>
        <v>5</v>
      </c>
      <c r="AY74" s="880">
        <f>+'Market Prices'!AN72</f>
        <v>5</v>
      </c>
      <c r="AZ74" s="880">
        <f>+'Market Prices'!AO72</f>
        <v>5</v>
      </c>
      <c r="BA74" s="835">
        <f>+'Market Prices'!AP72</f>
        <v>5</v>
      </c>
      <c r="BB74" s="881">
        <f>AVERAGE(AX74:BA74)</f>
        <v>5</v>
      </c>
      <c r="BC74" s="834">
        <f>+'Market Prices'!AQ72</f>
        <v>5</v>
      </c>
      <c r="BD74" s="880">
        <f>+'Market Prices'!AR72</f>
        <v>5</v>
      </c>
      <c r="BE74" s="880">
        <f>+'Market Prices'!AS72</f>
        <v>5</v>
      </c>
      <c r="BF74" s="835">
        <f>+'Market Prices'!AT72</f>
        <v>5</v>
      </c>
      <c r="BG74" s="881">
        <f>AVERAGE(BC74:BF74)</f>
        <v>5</v>
      </c>
      <c r="BH74" s="834">
        <f>'Market Prices'!AU72</f>
        <v>5</v>
      </c>
      <c r="BI74" s="880">
        <f>'Market Prices'!AV72</f>
        <v>5</v>
      </c>
      <c r="BJ74" s="880">
        <f>'Market Prices'!AW72</f>
        <v>5</v>
      </c>
      <c r="BK74" s="835">
        <f>'Market Prices'!AX72</f>
        <v>5</v>
      </c>
      <c r="BL74" s="881">
        <f>AVERAGE(BH74:BK74)</f>
        <v>5</v>
      </c>
      <c r="BM74" s="834">
        <f>'Market Prices'!AY72</f>
        <v>5</v>
      </c>
      <c r="BN74" s="880">
        <f>'Market Prices'!AZ72</f>
        <v>5</v>
      </c>
      <c r="BO74" s="880">
        <f>'Market Prices'!BA72</f>
        <v>5</v>
      </c>
      <c r="BP74" s="835">
        <f>'Market Prices'!BB72</f>
        <v>5</v>
      </c>
      <c r="BQ74" s="881">
        <f>AVERAGE(BM74:BP74)</f>
        <v>5</v>
      </c>
      <c r="BR74" s="1016"/>
      <c r="BS74" s="541"/>
      <c r="BT74" s="541"/>
      <c r="BU74" s="541"/>
      <c r="BV74" s="541"/>
      <c r="BW74" s="541"/>
      <c r="BX74" s="541"/>
      <c r="BY74" s="541"/>
      <c r="BZ74" s="541"/>
      <c r="CA74" s="541"/>
      <c r="CB74" s="541"/>
      <c r="CC74" s="541"/>
      <c r="CD74" s="541"/>
      <c r="CE74" s="541"/>
      <c r="CF74" s="541"/>
      <c r="CG74" s="541"/>
      <c r="CH74" s="541"/>
      <c r="CI74" s="541"/>
      <c r="CJ74" s="541"/>
      <c r="CK74" s="541"/>
      <c r="CL74" s="541"/>
      <c r="CM74" s="541"/>
      <c r="CN74" s="541"/>
      <c r="CO74" s="541"/>
      <c r="CP74" s="541"/>
      <c r="CQ74" s="541"/>
      <c r="CR74" s="541"/>
      <c r="CS74" s="541"/>
      <c r="CT74" s="541"/>
      <c r="CU74" s="541"/>
      <c r="CV74" s="541"/>
      <c r="CW74" s="541"/>
      <c r="CX74" s="541"/>
      <c r="CY74" s="541"/>
      <c r="CZ74" s="541"/>
      <c r="DA74" s="541"/>
      <c r="DB74" s="541"/>
      <c r="DC74" s="541"/>
      <c r="DD74" s="541"/>
      <c r="DE74" s="541"/>
      <c r="DF74" s="541"/>
      <c r="DG74" s="541"/>
      <c r="DH74" s="541"/>
      <c r="DI74" s="541"/>
      <c r="DJ74" s="541"/>
      <c r="DK74" s="541"/>
      <c r="DL74" s="541"/>
      <c r="DM74" s="541"/>
      <c r="DN74" s="541"/>
      <c r="DO74" s="541"/>
      <c r="DP74" s="541"/>
      <c r="DQ74" s="541"/>
      <c r="DR74" s="541"/>
      <c r="DS74" s="541"/>
      <c r="DT74" s="541"/>
      <c r="DU74" s="541"/>
      <c r="DV74" s="541"/>
      <c r="DW74" s="541"/>
      <c r="DX74" s="541"/>
      <c r="DY74" s="541"/>
      <c r="DZ74" s="541"/>
      <c r="EA74" s="541"/>
      <c r="EB74" s="541"/>
      <c r="EC74" s="541"/>
      <c r="ED74" s="541"/>
      <c r="EE74" s="541"/>
      <c r="EF74" s="541"/>
      <c r="EG74" s="541"/>
      <c r="EH74" s="541"/>
      <c r="EI74" s="541"/>
      <c r="EJ74" s="541"/>
      <c r="EK74" s="541"/>
      <c r="EL74" s="541"/>
      <c r="EM74" s="541"/>
      <c r="EN74" s="541"/>
      <c r="EO74" s="541"/>
      <c r="EP74" s="541"/>
      <c r="EQ74" s="541"/>
      <c r="ER74" s="541"/>
      <c r="ES74" s="541"/>
      <c r="ET74" s="541"/>
      <c r="EU74" s="541"/>
      <c r="EV74" s="541"/>
      <c r="EW74" s="541"/>
      <c r="EX74" s="541"/>
      <c r="EY74" s="541"/>
      <c r="EZ74" s="541"/>
      <c r="FA74" s="541"/>
      <c r="FB74" s="541"/>
      <c r="FC74" s="541"/>
      <c r="FD74" s="541"/>
      <c r="FE74" s="541"/>
      <c r="FF74" s="541"/>
      <c r="FG74" s="541"/>
      <c r="FH74" s="541"/>
      <c r="FI74" s="541"/>
      <c r="FJ74" s="541"/>
      <c r="FK74" s="541"/>
      <c r="FL74" s="541"/>
      <c r="FM74" s="541"/>
      <c r="FN74" s="541"/>
      <c r="FO74" s="541"/>
      <c r="FP74" s="541"/>
      <c r="FQ74" s="541"/>
      <c r="FR74" s="541"/>
      <c r="FS74" s="541"/>
      <c r="FT74" s="541"/>
      <c r="FU74" s="541"/>
      <c r="FV74" s="541"/>
      <c r="FW74" s="541"/>
      <c r="FX74" s="541"/>
      <c r="FY74" s="541"/>
      <c r="FZ74" s="541"/>
      <c r="GA74" s="541"/>
      <c r="GB74" s="541"/>
      <c r="GC74" s="541"/>
      <c r="GD74" s="541"/>
      <c r="GE74" s="541"/>
      <c r="GF74" s="541"/>
      <c r="GG74" s="541"/>
      <c r="GH74" s="541"/>
      <c r="GI74" s="541"/>
      <c r="GJ74" s="541"/>
      <c r="GK74" s="541"/>
      <c r="GL74" s="541"/>
      <c r="GM74" s="541"/>
      <c r="GN74" s="541"/>
      <c r="GO74" s="541"/>
      <c r="GP74" s="541"/>
      <c r="GQ74" s="541"/>
      <c r="GR74" s="541"/>
      <c r="GS74" s="541"/>
      <c r="GT74" s="541"/>
      <c r="GU74" s="541"/>
      <c r="GV74" s="541"/>
      <c r="GW74" s="541"/>
      <c r="GX74" s="541"/>
      <c r="GY74" s="541"/>
      <c r="GZ74" s="541"/>
      <c r="HA74" s="541"/>
      <c r="HB74" s="541"/>
      <c r="HC74" s="541"/>
      <c r="HD74" s="541"/>
      <c r="HE74" s="541"/>
      <c r="HF74" s="541"/>
      <c r="HG74" s="541"/>
      <c r="HH74" s="541"/>
      <c r="HI74" s="541"/>
      <c r="HJ74" s="541"/>
      <c r="HK74" s="541"/>
      <c r="HL74" s="541"/>
      <c r="HM74" s="541"/>
      <c r="HN74" s="541"/>
      <c r="HO74" s="541"/>
      <c r="HP74" s="541"/>
      <c r="HQ74" s="541"/>
      <c r="HR74" s="541"/>
      <c r="HS74" s="541"/>
      <c r="HT74" s="541"/>
      <c r="HU74" s="541"/>
      <c r="HV74" s="541"/>
      <c r="HW74" s="541"/>
      <c r="HX74" s="541"/>
      <c r="HY74" s="541"/>
      <c r="HZ74" s="541"/>
      <c r="IA74" s="541"/>
      <c r="IB74" s="541"/>
      <c r="IC74" s="541"/>
      <c r="ID74" s="541"/>
      <c r="IE74" s="541"/>
      <c r="IF74" s="541"/>
      <c r="IG74" s="541"/>
      <c r="IH74" s="541"/>
      <c r="II74" s="541"/>
      <c r="IJ74" s="541"/>
      <c r="IK74" s="541"/>
      <c r="IL74" s="541"/>
      <c r="IM74" s="541"/>
      <c r="IN74" s="541"/>
      <c r="IO74" s="541"/>
      <c r="IP74" s="541"/>
      <c r="IQ74" s="541"/>
      <c r="IR74" s="541"/>
      <c r="IS74" s="541"/>
      <c r="IT74" s="541"/>
      <c r="IU74" s="541"/>
      <c r="IV74" s="541"/>
    </row>
    <row r="75" spans="1:256">
      <c r="A75" s="541"/>
      <c r="B75" s="541"/>
      <c r="C75" s="879" t="s">
        <v>768</v>
      </c>
      <c r="D75" s="541"/>
      <c r="E75" s="289"/>
      <c r="F75" s="542"/>
      <c r="G75" s="542"/>
      <c r="H75" s="291"/>
      <c r="I75" s="543"/>
      <c r="J75" s="229"/>
      <c r="K75" s="671"/>
      <c r="L75" s="671"/>
      <c r="M75" s="231"/>
      <c r="N75" s="674"/>
      <c r="O75" s="834"/>
      <c r="P75" s="880"/>
      <c r="Q75" s="880"/>
      <c r="R75" s="835"/>
      <c r="S75" s="881"/>
      <c r="T75" s="834"/>
      <c r="U75" s="880"/>
      <c r="V75" s="880"/>
      <c r="W75" s="835"/>
      <c r="X75" s="881">
        <f>AVERAGE('Market Prices'!O121:R121)</f>
        <v>55.435000000000002</v>
      </c>
      <c r="Y75" s="834">
        <f>+Y73+Y74</f>
        <v>67.246153846153859</v>
      </c>
      <c r="Z75" s="880">
        <f>+Z73+Z74</f>
        <v>69.961538461538467</v>
      </c>
      <c r="AA75" s="880">
        <f>+AA73+AA74</f>
        <v>73.230769230769226</v>
      </c>
      <c r="AB75" s="835">
        <f>+AB73+AB74</f>
        <v>73.615384615384613</v>
      </c>
      <c r="AC75" s="881">
        <f>AVERAGE(Y75:AB75)</f>
        <v>71.013461538461542</v>
      </c>
      <c r="AD75" s="834">
        <f>+AD73+AD74</f>
        <v>73.453846153846143</v>
      </c>
      <c r="AE75" s="880">
        <f>+AE73+AE74</f>
        <v>72.120769230769227</v>
      </c>
      <c r="AF75" s="880">
        <f>+AF73+AF74</f>
        <v>68.607692307692304</v>
      </c>
      <c r="AG75" s="835">
        <f>+AG73+AG74</f>
        <v>58.301576923076922</v>
      </c>
      <c r="AH75" s="881">
        <f>AVERAGE(AD75:AG75)</f>
        <v>68.120971153846142</v>
      </c>
      <c r="AI75" s="834">
        <f>+AI73+AI74</f>
        <v>55.83815384615383</v>
      </c>
      <c r="AJ75" s="880">
        <f>+AJ73+AJ74</f>
        <v>55.215538461538465</v>
      </c>
      <c r="AK75" s="880">
        <f>+AK73+AK74</f>
        <v>53.245384615384616</v>
      </c>
      <c r="AL75" s="835">
        <f>+AL73+AL74</f>
        <v>48.988653846153852</v>
      </c>
      <c r="AM75" s="881">
        <f>AVERAGE(AI75:AL75)</f>
        <v>53.321932692307691</v>
      </c>
      <c r="AN75" s="834">
        <f>+AN73+AN74</f>
        <v>45.261730769230766</v>
      </c>
      <c r="AO75" s="880">
        <f>+AO73+AO74</f>
        <v>44.132692307692309</v>
      </c>
      <c r="AP75" s="880">
        <f>+AP73+AP74</f>
        <v>43.882142857142867</v>
      </c>
      <c r="AQ75" s="835">
        <f>+AQ73+AQ74</f>
        <v>47.651346153846148</v>
      </c>
      <c r="AR75" s="881">
        <f>AVERAGE(AN75:AQ75)</f>
        <v>45.231978021978023</v>
      </c>
      <c r="AS75" s="834">
        <f>+AS73+AS74</f>
        <v>52.554807692307698</v>
      </c>
      <c r="AT75" s="880">
        <f>+AT73+AT74</f>
        <v>54.838461538461537</v>
      </c>
      <c r="AU75" s="880">
        <f>+AU73+AU74</f>
        <v>55.339038461538472</v>
      </c>
      <c r="AV75" s="835">
        <f>+AV73+AV74</f>
        <v>62.807500000000005</v>
      </c>
      <c r="AW75" s="881">
        <f>AVERAGE(AS75:AV75)</f>
        <v>56.384951923076926</v>
      </c>
      <c r="AX75" s="834">
        <f>+AX73+AX74</f>
        <v>62.807500000000005</v>
      </c>
      <c r="AY75" s="880">
        <f>+AY73+AY74</f>
        <v>51.55</v>
      </c>
      <c r="AZ75" s="880">
        <f>+AZ73+AZ74</f>
        <v>51.55</v>
      </c>
      <c r="BA75" s="835">
        <f>+BA73+BA74</f>
        <v>51.55</v>
      </c>
      <c r="BB75" s="881">
        <f>AVERAGE(AX75:BA75)</f>
        <v>54.364374999999995</v>
      </c>
      <c r="BC75" s="834">
        <f>+BC73+BC74</f>
        <v>50.746572016741645</v>
      </c>
      <c r="BD75" s="880">
        <f>+BD73+BD74</f>
        <v>50.746572016741645</v>
      </c>
      <c r="BE75" s="880">
        <f>+BE73+BE74</f>
        <v>50.746572016741645</v>
      </c>
      <c r="BF75" s="835">
        <f>+BF73+BF74</f>
        <v>57.760283949775072</v>
      </c>
      <c r="BG75" s="881">
        <f>AVERAGE(BC75:BF75)</f>
        <v>52.5</v>
      </c>
      <c r="BH75" s="834">
        <f>+BH73+BH74</f>
        <v>50.746572016741645</v>
      </c>
      <c r="BI75" s="880">
        <f>+BI73+BI74</f>
        <v>50.746572016741645</v>
      </c>
      <c r="BJ75" s="880">
        <f>+BJ73+BJ74</f>
        <v>50.746572016741645</v>
      </c>
      <c r="BK75" s="835">
        <f>+BK73+BK74</f>
        <v>57.760283949775072</v>
      </c>
      <c r="BL75" s="881">
        <f>AVERAGE(BH75:BK75)</f>
        <v>52.5</v>
      </c>
      <c r="BM75" s="834">
        <f>+BM73+BM74</f>
        <v>50.746572016741645</v>
      </c>
      <c r="BN75" s="880">
        <f>+BN73+BN74</f>
        <v>50.746572016741645</v>
      </c>
      <c r="BO75" s="880">
        <f>+BO73+BO74</f>
        <v>50.746572016741645</v>
      </c>
      <c r="BP75" s="835">
        <f>+BP73+BP74</f>
        <v>57.760283949775072</v>
      </c>
      <c r="BQ75" s="881">
        <f>AVERAGE(BM75:BP75)</f>
        <v>52.5</v>
      </c>
      <c r="BR75" s="1016"/>
      <c r="BS75" s="541"/>
      <c r="BT75" s="541"/>
      <c r="BU75" s="541"/>
      <c r="BV75" s="541"/>
      <c r="BW75" s="541"/>
      <c r="BX75" s="541"/>
      <c r="BY75" s="541"/>
      <c r="BZ75" s="541"/>
      <c r="CA75" s="541"/>
      <c r="CB75" s="541"/>
      <c r="CC75" s="541"/>
      <c r="CD75" s="541"/>
      <c r="CE75" s="541"/>
      <c r="CF75" s="541"/>
      <c r="CG75" s="541"/>
      <c r="CH75" s="541"/>
      <c r="CI75" s="541"/>
      <c r="CJ75" s="541"/>
      <c r="CK75" s="541"/>
      <c r="CL75" s="541"/>
      <c r="CM75" s="541"/>
      <c r="CN75" s="541"/>
      <c r="CO75" s="541"/>
      <c r="CP75" s="541"/>
      <c r="CQ75" s="541"/>
      <c r="CR75" s="541"/>
      <c r="CS75" s="541"/>
      <c r="CT75" s="541"/>
      <c r="CU75" s="541"/>
      <c r="CV75" s="541"/>
      <c r="CW75" s="541"/>
      <c r="CX75" s="541"/>
      <c r="CY75" s="541"/>
      <c r="CZ75" s="541"/>
      <c r="DA75" s="541"/>
      <c r="DB75" s="541"/>
      <c r="DC75" s="541"/>
      <c r="DD75" s="541"/>
      <c r="DE75" s="541"/>
      <c r="DF75" s="541"/>
      <c r="DG75" s="541"/>
      <c r="DH75" s="541"/>
      <c r="DI75" s="541"/>
      <c r="DJ75" s="541"/>
      <c r="DK75" s="541"/>
      <c r="DL75" s="541"/>
      <c r="DM75" s="541"/>
      <c r="DN75" s="541"/>
      <c r="DO75" s="541"/>
      <c r="DP75" s="541"/>
      <c r="DQ75" s="541"/>
      <c r="DR75" s="541"/>
      <c r="DS75" s="541"/>
      <c r="DT75" s="541"/>
      <c r="DU75" s="541"/>
      <c r="DV75" s="541"/>
      <c r="DW75" s="541"/>
      <c r="DX75" s="541"/>
      <c r="DY75" s="541"/>
      <c r="DZ75" s="541"/>
      <c r="EA75" s="541"/>
      <c r="EB75" s="541"/>
      <c r="EC75" s="541"/>
      <c r="ED75" s="541"/>
      <c r="EE75" s="541"/>
      <c r="EF75" s="541"/>
      <c r="EG75" s="541"/>
      <c r="EH75" s="541"/>
      <c r="EI75" s="541"/>
      <c r="EJ75" s="541"/>
      <c r="EK75" s="541"/>
      <c r="EL75" s="541"/>
      <c r="EM75" s="541"/>
      <c r="EN75" s="541"/>
      <c r="EO75" s="541"/>
      <c r="EP75" s="541"/>
      <c r="EQ75" s="541"/>
      <c r="ER75" s="541"/>
      <c r="ES75" s="541"/>
      <c r="ET75" s="541"/>
      <c r="EU75" s="541"/>
      <c r="EV75" s="541"/>
      <c r="EW75" s="541"/>
      <c r="EX75" s="541"/>
      <c r="EY75" s="541"/>
      <c r="EZ75" s="541"/>
      <c r="FA75" s="541"/>
      <c r="FB75" s="541"/>
      <c r="FC75" s="541"/>
      <c r="FD75" s="541"/>
      <c r="FE75" s="541"/>
      <c r="FF75" s="541"/>
      <c r="FG75" s="541"/>
      <c r="FH75" s="541"/>
      <c r="FI75" s="541"/>
      <c r="FJ75" s="541"/>
      <c r="FK75" s="541"/>
      <c r="FL75" s="541"/>
      <c r="FM75" s="541"/>
      <c r="FN75" s="541"/>
      <c r="FO75" s="541"/>
      <c r="FP75" s="541"/>
      <c r="FQ75" s="541"/>
      <c r="FR75" s="541"/>
      <c r="FS75" s="541"/>
      <c r="FT75" s="541"/>
      <c r="FU75" s="541"/>
      <c r="FV75" s="541"/>
      <c r="FW75" s="541"/>
      <c r="FX75" s="541"/>
      <c r="FY75" s="541"/>
      <c r="FZ75" s="541"/>
      <c r="GA75" s="541"/>
      <c r="GB75" s="541"/>
      <c r="GC75" s="541"/>
      <c r="GD75" s="541"/>
      <c r="GE75" s="541"/>
      <c r="GF75" s="541"/>
      <c r="GG75" s="541"/>
      <c r="GH75" s="541"/>
      <c r="GI75" s="541"/>
      <c r="GJ75" s="541"/>
      <c r="GK75" s="541"/>
      <c r="GL75" s="541"/>
      <c r="GM75" s="541"/>
      <c r="GN75" s="541"/>
      <c r="GO75" s="541"/>
      <c r="GP75" s="541"/>
      <c r="GQ75" s="541"/>
      <c r="GR75" s="541"/>
      <c r="GS75" s="541"/>
      <c r="GT75" s="541"/>
      <c r="GU75" s="541"/>
      <c r="GV75" s="541"/>
      <c r="GW75" s="541"/>
      <c r="GX75" s="541"/>
      <c r="GY75" s="541"/>
      <c r="GZ75" s="541"/>
      <c r="HA75" s="541"/>
      <c r="HB75" s="541"/>
      <c r="HC75" s="541"/>
      <c r="HD75" s="541"/>
      <c r="HE75" s="541"/>
      <c r="HF75" s="541"/>
      <c r="HG75" s="541"/>
      <c r="HH75" s="541"/>
      <c r="HI75" s="541"/>
      <c r="HJ75" s="541"/>
      <c r="HK75" s="541"/>
      <c r="HL75" s="541"/>
      <c r="HM75" s="541"/>
      <c r="HN75" s="541"/>
      <c r="HO75" s="541"/>
      <c r="HP75" s="541"/>
      <c r="HQ75" s="541"/>
      <c r="HR75" s="541"/>
      <c r="HS75" s="541"/>
      <c r="HT75" s="541"/>
      <c r="HU75" s="541"/>
      <c r="HV75" s="541"/>
      <c r="HW75" s="541"/>
      <c r="HX75" s="541"/>
      <c r="HY75" s="541"/>
      <c r="HZ75" s="541"/>
      <c r="IA75" s="541"/>
      <c r="IB75" s="541"/>
      <c r="IC75" s="541"/>
      <c r="ID75" s="541"/>
      <c r="IE75" s="541"/>
      <c r="IF75" s="541"/>
      <c r="IG75" s="541"/>
      <c r="IH75" s="541"/>
      <c r="II75" s="541"/>
      <c r="IJ75" s="541"/>
      <c r="IK75" s="541"/>
      <c r="IL75" s="541"/>
      <c r="IM75" s="541"/>
      <c r="IN75" s="541"/>
      <c r="IO75" s="541"/>
      <c r="IP75" s="541"/>
      <c r="IQ75" s="541"/>
      <c r="IR75" s="541"/>
      <c r="IS75" s="541"/>
      <c r="IT75" s="541"/>
      <c r="IU75" s="541"/>
      <c r="IV75" s="541"/>
    </row>
    <row r="76" spans="1:256">
      <c r="A76" s="541"/>
      <c r="B76" s="541"/>
      <c r="C76" s="879"/>
      <c r="D76" s="541"/>
      <c r="E76" s="289"/>
      <c r="F76" s="542"/>
      <c r="G76" s="542"/>
      <c r="H76" s="291"/>
      <c r="I76" s="543"/>
      <c r="J76" s="229"/>
      <c r="K76" s="671"/>
      <c r="L76" s="671"/>
      <c r="M76" s="231"/>
      <c r="N76" s="674"/>
      <c r="O76" s="834"/>
      <c r="P76" s="880"/>
      <c r="Q76" s="880"/>
      <c r="R76" s="835"/>
      <c r="S76" s="881"/>
      <c r="T76" s="834"/>
      <c r="U76" s="880"/>
      <c r="V76" s="880"/>
      <c r="W76" s="835"/>
      <c r="X76" s="881"/>
      <c r="Y76" s="834"/>
      <c r="Z76" s="880"/>
      <c r="AA76" s="880"/>
      <c r="AB76" s="835"/>
      <c r="AC76" s="881"/>
      <c r="AD76" s="834"/>
      <c r="AE76" s="880"/>
      <c r="AF76" s="880"/>
      <c r="AG76" s="835"/>
      <c r="AH76" s="881"/>
      <c r="AI76" s="834"/>
      <c r="AJ76" s="880"/>
      <c r="AK76" s="880"/>
      <c r="AL76" s="835"/>
      <c r="AM76" s="881"/>
      <c r="AN76" s="834"/>
      <c r="AO76" s="880"/>
      <c r="AP76" s="880"/>
      <c r="AQ76" s="835"/>
      <c r="AR76" s="881"/>
      <c r="AS76" s="834"/>
      <c r="AT76" s="880"/>
      <c r="AU76" s="880"/>
      <c r="AV76" s="835"/>
      <c r="AW76" s="881"/>
      <c r="AX76" s="834"/>
      <c r="AY76" s="880"/>
      <c r="AZ76" s="880"/>
      <c r="BA76" s="835"/>
      <c r="BB76" s="881"/>
      <c r="BC76" s="834"/>
      <c r="BD76" s="880"/>
      <c r="BE76" s="880"/>
      <c r="BF76" s="835"/>
      <c r="BG76" s="881"/>
      <c r="BH76" s="834"/>
      <c r="BI76" s="880"/>
      <c r="BJ76" s="880"/>
      <c r="BK76" s="835"/>
      <c r="BL76" s="881"/>
      <c r="BM76" s="834"/>
      <c r="BN76" s="880"/>
      <c r="BO76" s="880"/>
      <c r="BP76" s="835"/>
      <c r="BQ76" s="881"/>
      <c r="BR76" s="1016"/>
      <c r="BS76" s="541"/>
      <c r="BT76" s="541"/>
      <c r="BU76" s="541"/>
      <c r="BV76" s="541"/>
      <c r="BW76" s="541"/>
      <c r="BX76" s="541"/>
      <c r="BY76" s="541"/>
      <c r="BZ76" s="541"/>
      <c r="CA76" s="541"/>
      <c r="CB76" s="541"/>
      <c r="CC76" s="541"/>
      <c r="CD76" s="541"/>
      <c r="CE76" s="541"/>
      <c r="CF76" s="541"/>
      <c r="CG76" s="541"/>
      <c r="CH76" s="541"/>
      <c r="CI76" s="541"/>
      <c r="CJ76" s="541"/>
      <c r="CK76" s="541"/>
      <c r="CL76" s="541"/>
      <c r="CM76" s="541"/>
      <c r="CN76" s="541"/>
      <c r="CO76" s="541"/>
      <c r="CP76" s="541"/>
      <c r="CQ76" s="541"/>
      <c r="CR76" s="541"/>
      <c r="CS76" s="541"/>
      <c r="CT76" s="541"/>
      <c r="CU76" s="541"/>
      <c r="CV76" s="541"/>
      <c r="CW76" s="541"/>
      <c r="CX76" s="541"/>
      <c r="CY76" s="541"/>
      <c r="CZ76" s="541"/>
      <c r="DA76" s="541"/>
      <c r="DB76" s="541"/>
      <c r="DC76" s="541"/>
      <c r="DD76" s="541"/>
      <c r="DE76" s="541"/>
      <c r="DF76" s="541"/>
      <c r="DG76" s="541"/>
      <c r="DH76" s="541"/>
      <c r="DI76" s="541"/>
      <c r="DJ76" s="541"/>
      <c r="DK76" s="541"/>
      <c r="DL76" s="541"/>
      <c r="DM76" s="541"/>
      <c r="DN76" s="541"/>
      <c r="DO76" s="541"/>
      <c r="DP76" s="541"/>
      <c r="DQ76" s="541"/>
      <c r="DR76" s="541"/>
      <c r="DS76" s="541"/>
      <c r="DT76" s="541"/>
      <c r="DU76" s="541"/>
      <c r="DV76" s="541"/>
      <c r="DW76" s="541"/>
      <c r="DX76" s="541"/>
      <c r="DY76" s="541"/>
      <c r="DZ76" s="541"/>
      <c r="EA76" s="541"/>
      <c r="EB76" s="541"/>
      <c r="EC76" s="541"/>
      <c r="ED76" s="541"/>
      <c r="EE76" s="541"/>
      <c r="EF76" s="541"/>
      <c r="EG76" s="541"/>
      <c r="EH76" s="541"/>
      <c r="EI76" s="541"/>
      <c r="EJ76" s="541"/>
      <c r="EK76" s="541"/>
      <c r="EL76" s="541"/>
      <c r="EM76" s="541"/>
      <c r="EN76" s="541"/>
      <c r="EO76" s="541"/>
      <c r="EP76" s="541"/>
      <c r="EQ76" s="541"/>
      <c r="ER76" s="541"/>
      <c r="ES76" s="541"/>
      <c r="ET76" s="541"/>
      <c r="EU76" s="541"/>
      <c r="EV76" s="541"/>
      <c r="EW76" s="541"/>
      <c r="EX76" s="541"/>
      <c r="EY76" s="541"/>
      <c r="EZ76" s="541"/>
      <c r="FA76" s="541"/>
      <c r="FB76" s="541"/>
      <c r="FC76" s="541"/>
      <c r="FD76" s="541"/>
      <c r="FE76" s="541"/>
      <c r="FF76" s="541"/>
      <c r="FG76" s="541"/>
      <c r="FH76" s="541"/>
      <c r="FI76" s="541"/>
      <c r="FJ76" s="541"/>
      <c r="FK76" s="541"/>
      <c r="FL76" s="541"/>
      <c r="FM76" s="541"/>
      <c r="FN76" s="541"/>
      <c r="FO76" s="541"/>
      <c r="FP76" s="541"/>
      <c r="FQ76" s="541"/>
      <c r="FR76" s="541"/>
      <c r="FS76" s="541"/>
      <c r="FT76" s="541"/>
      <c r="FU76" s="541"/>
      <c r="FV76" s="541"/>
      <c r="FW76" s="541"/>
      <c r="FX76" s="541"/>
      <c r="FY76" s="541"/>
      <c r="FZ76" s="541"/>
      <c r="GA76" s="541"/>
      <c r="GB76" s="541"/>
      <c r="GC76" s="541"/>
      <c r="GD76" s="541"/>
      <c r="GE76" s="541"/>
      <c r="GF76" s="541"/>
      <c r="GG76" s="541"/>
      <c r="GH76" s="541"/>
      <c r="GI76" s="541"/>
      <c r="GJ76" s="541"/>
      <c r="GK76" s="541"/>
      <c r="GL76" s="541"/>
      <c r="GM76" s="541"/>
      <c r="GN76" s="541"/>
      <c r="GO76" s="541"/>
      <c r="GP76" s="541"/>
      <c r="GQ76" s="541"/>
      <c r="GR76" s="541"/>
      <c r="GS76" s="541"/>
      <c r="GT76" s="541"/>
      <c r="GU76" s="541"/>
      <c r="GV76" s="541"/>
      <c r="GW76" s="541"/>
      <c r="GX76" s="541"/>
      <c r="GY76" s="541"/>
      <c r="GZ76" s="541"/>
      <c r="HA76" s="541"/>
      <c r="HB76" s="541"/>
      <c r="HC76" s="541"/>
      <c r="HD76" s="541"/>
      <c r="HE76" s="541"/>
      <c r="HF76" s="541"/>
      <c r="HG76" s="541"/>
      <c r="HH76" s="541"/>
      <c r="HI76" s="541"/>
      <c r="HJ76" s="541"/>
      <c r="HK76" s="541"/>
      <c r="HL76" s="541"/>
      <c r="HM76" s="541"/>
      <c r="HN76" s="541"/>
      <c r="HO76" s="541"/>
      <c r="HP76" s="541"/>
      <c r="HQ76" s="541"/>
      <c r="HR76" s="541"/>
      <c r="HS76" s="541"/>
      <c r="HT76" s="541"/>
      <c r="HU76" s="541"/>
      <c r="HV76" s="541"/>
      <c r="HW76" s="541"/>
      <c r="HX76" s="541"/>
      <c r="HY76" s="541"/>
      <c r="HZ76" s="541"/>
      <c r="IA76" s="541"/>
      <c r="IB76" s="541"/>
      <c r="IC76" s="541"/>
      <c r="ID76" s="541"/>
      <c r="IE76" s="541"/>
      <c r="IF76" s="541"/>
      <c r="IG76" s="541"/>
      <c r="IH76" s="541"/>
      <c r="II76" s="541"/>
      <c r="IJ76" s="541"/>
      <c r="IK76" s="541"/>
      <c r="IL76" s="541"/>
      <c r="IM76" s="541"/>
      <c r="IN76" s="541"/>
      <c r="IO76" s="541"/>
      <c r="IP76" s="541"/>
      <c r="IQ76" s="541"/>
      <c r="IR76" s="541"/>
      <c r="IS76" s="541"/>
      <c r="IT76" s="541"/>
      <c r="IU76" s="541"/>
      <c r="IV76" s="541"/>
    </row>
    <row r="77" spans="1:256">
      <c r="A77" s="1385"/>
      <c r="B77" s="541"/>
      <c r="C77" s="1386" t="s">
        <v>1054</v>
      </c>
      <c r="D77" s="1387"/>
      <c r="E77" s="1388"/>
      <c r="F77" s="1389"/>
      <c r="G77" s="1389"/>
      <c r="H77" s="1389"/>
      <c r="I77" s="1390"/>
      <c r="J77" s="1389"/>
      <c r="K77" s="1389"/>
      <c r="L77" s="1389"/>
      <c r="M77" s="1391"/>
      <c r="N77" s="1392"/>
      <c r="O77" s="1388"/>
      <c r="P77" s="1389"/>
      <c r="Q77" s="1389"/>
      <c r="R77" s="1391"/>
      <c r="S77" s="1387"/>
      <c r="T77" s="1393"/>
      <c r="U77" s="1394"/>
      <c r="V77" s="1394"/>
      <c r="W77" s="1395"/>
      <c r="X77" s="1396"/>
      <c r="Y77" s="1397"/>
      <c r="Z77" s="1398"/>
      <c r="AA77" s="1398"/>
      <c r="AB77" s="1399"/>
      <c r="AC77" s="1396"/>
      <c r="AD77" s="1397"/>
      <c r="AE77" s="1398"/>
      <c r="AF77" s="1398"/>
      <c r="AG77" s="1399"/>
      <c r="AH77" s="1396"/>
      <c r="AI77" s="1397"/>
      <c r="AJ77" s="1398"/>
      <c r="AK77" s="1398"/>
      <c r="AL77" s="1399"/>
      <c r="AM77" s="1396"/>
      <c r="AN77" s="1397"/>
      <c r="AO77" s="1398"/>
      <c r="AP77" s="1398"/>
      <c r="AQ77" s="1399"/>
      <c r="AR77" s="1396"/>
      <c r="AS77" s="1397"/>
      <c r="AT77" s="1398"/>
      <c r="AU77" s="1398"/>
      <c r="AV77" s="1399"/>
      <c r="AW77" s="1396"/>
      <c r="AX77" s="1397"/>
      <c r="AY77" s="1398"/>
      <c r="AZ77" s="1398"/>
      <c r="BA77" s="1399"/>
      <c r="BB77" s="1396"/>
      <c r="BC77" s="1397"/>
      <c r="BD77" s="1398"/>
      <c r="BE77" s="1398"/>
      <c r="BF77" s="1399"/>
      <c r="BG77" s="1396"/>
      <c r="BH77" s="1400"/>
      <c r="BI77" s="1401"/>
      <c r="BJ77" s="1401"/>
      <c r="BK77" s="1402"/>
      <c r="BL77" s="1396"/>
      <c r="BM77" s="1400"/>
      <c r="BN77" s="1401"/>
      <c r="BO77" s="1401"/>
      <c r="BP77" s="1402"/>
      <c r="BQ77" s="1396"/>
      <c r="BR77" s="1016"/>
      <c r="BS77" s="541"/>
      <c r="BT77" s="541"/>
      <c r="BU77" s="541"/>
      <c r="BV77" s="541"/>
      <c r="BW77" s="541"/>
      <c r="BX77" s="541"/>
      <c r="BY77" s="541"/>
      <c r="BZ77" s="541"/>
      <c r="CA77" s="541"/>
      <c r="CB77" s="541"/>
      <c r="CC77" s="541"/>
      <c r="CD77" s="541"/>
      <c r="CE77" s="541"/>
      <c r="CF77" s="541"/>
      <c r="CG77" s="541"/>
      <c r="CH77" s="541"/>
      <c r="CI77" s="541"/>
      <c r="CJ77" s="541"/>
      <c r="CK77" s="541"/>
      <c r="CL77" s="541"/>
      <c r="CM77" s="541"/>
      <c r="CN77" s="541"/>
      <c r="CO77" s="541"/>
      <c r="CP77" s="541"/>
      <c r="CQ77" s="541"/>
      <c r="CR77" s="541"/>
      <c r="CS77" s="541"/>
      <c r="CT77" s="541"/>
      <c r="CU77" s="541"/>
      <c r="CV77" s="541"/>
      <c r="CW77" s="541"/>
      <c r="CX77" s="541"/>
      <c r="CY77" s="541"/>
      <c r="CZ77" s="541"/>
      <c r="DA77" s="541"/>
      <c r="DB77" s="541"/>
      <c r="DC77" s="541"/>
      <c r="DD77" s="541"/>
      <c r="DE77" s="541"/>
      <c r="DF77" s="541"/>
      <c r="DG77" s="541"/>
      <c r="DH77" s="541"/>
      <c r="DI77" s="541"/>
      <c r="DJ77" s="541"/>
      <c r="DK77" s="541"/>
      <c r="DL77" s="541"/>
      <c r="DM77" s="541"/>
      <c r="DN77" s="541"/>
      <c r="DO77" s="541"/>
      <c r="DP77" s="541"/>
      <c r="DQ77" s="541"/>
      <c r="DR77" s="541"/>
      <c r="DS77" s="541"/>
      <c r="DT77" s="541"/>
      <c r="DU77" s="541"/>
      <c r="DV77" s="541"/>
      <c r="DW77" s="541"/>
      <c r="DX77" s="541"/>
      <c r="DY77" s="541"/>
      <c r="DZ77" s="541"/>
      <c r="EA77" s="541"/>
      <c r="EB77" s="541"/>
      <c r="EC77" s="541"/>
      <c r="ED77" s="541"/>
      <c r="EE77" s="541"/>
      <c r="EF77" s="541"/>
      <c r="EG77" s="541"/>
      <c r="EH77" s="541"/>
      <c r="EI77" s="541"/>
      <c r="EJ77" s="541"/>
      <c r="EK77" s="541"/>
      <c r="EL77" s="541"/>
      <c r="EM77" s="541"/>
      <c r="EN77" s="541"/>
      <c r="EO77" s="541"/>
      <c r="EP77" s="541"/>
      <c r="EQ77" s="541"/>
      <c r="ER77" s="541"/>
      <c r="ES77" s="541"/>
      <c r="ET77" s="541"/>
      <c r="EU77" s="541"/>
      <c r="EV77" s="541"/>
      <c r="EW77" s="541"/>
      <c r="EX77" s="541"/>
      <c r="EY77" s="541"/>
      <c r="EZ77" s="541"/>
      <c r="FA77" s="541"/>
      <c r="FB77" s="541"/>
      <c r="FC77" s="541"/>
      <c r="FD77" s="541"/>
      <c r="FE77" s="541"/>
      <c r="FF77" s="541"/>
      <c r="FG77" s="541"/>
      <c r="FH77" s="541"/>
      <c r="FI77" s="541"/>
      <c r="FJ77" s="541"/>
      <c r="FK77" s="541"/>
      <c r="FL77" s="541"/>
      <c r="FM77" s="541"/>
      <c r="FN77" s="541"/>
      <c r="FO77" s="541"/>
      <c r="FP77" s="541"/>
      <c r="FQ77" s="541"/>
      <c r="FR77" s="541"/>
      <c r="FS77" s="541"/>
      <c r="FT77" s="541"/>
      <c r="FU77" s="541"/>
      <c r="FV77" s="541"/>
      <c r="FW77" s="541"/>
      <c r="FX77" s="541"/>
      <c r="FY77" s="541"/>
      <c r="FZ77" s="541"/>
      <c r="GA77" s="541"/>
      <c r="GB77" s="541"/>
      <c r="GC77" s="541"/>
      <c r="GD77" s="541"/>
      <c r="GE77" s="541"/>
      <c r="GF77" s="541"/>
      <c r="GG77" s="541"/>
      <c r="GH77" s="541"/>
      <c r="GI77" s="541"/>
      <c r="GJ77" s="541"/>
      <c r="GK77" s="541"/>
      <c r="GL77" s="541"/>
      <c r="GM77" s="541"/>
      <c r="GN77" s="541"/>
      <c r="GO77" s="541"/>
      <c r="GP77" s="541"/>
      <c r="GQ77" s="541"/>
      <c r="GR77" s="541"/>
      <c r="GS77" s="541"/>
      <c r="GT77" s="541"/>
      <c r="GU77" s="541"/>
      <c r="GV77" s="541"/>
      <c r="GW77" s="541"/>
      <c r="GX77" s="541"/>
      <c r="GY77" s="541"/>
      <c r="GZ77" s="541"/>
      <c r="HA77" s="541"/>
      <c r="HB77" s="541"/>
      <c r="HC77" s="541"/>
      <c r="HD77" s="541"/>
      <c r="HE77" s="541"/>
      <c r="HF77" s="541"/>
      <c r="HG77" s="541"/>
      <c r="HH77" s="541"/>
      <c r="HI77" s="541"/>
      <c r="HJ77" s="541"/>
      <c r="HK77" s="541"/>
      <c r="HL77" s="541"/>
      <c r="HM77" s="541"/>
      <c r="HN77" s="541"/>
      <c r="HO77" s="541"/>
      <c r="HP77" s="541"/>
      <c r="HQ77" s="541"/>
      <c r="HR77" s="541"/>
      <c r="HS77" s="541"/>
      <c r="HT77" s="541"/>
      <c r="HU77" s="541"/>
      <c r="HV77" s="541"/>
      <c r="HW77" s="541"/>
      <c r="HX77" s="541"/>
      <c r="HY77" s="541"/>
      <c r="HZ77" s="541"/>
      <c r="IA77" s="541"/>
      <c r="IB77" s="541"/>
      <c r="IC77" s="541"/>
      <c r="ID77" s="541"/>
      <c r="IE77" s="541"/>
      <c r="IF77" s="541"/>
      <c r="IG77" s="541"/>
      <c r="IH77" s="541"/>
      <c r="II77" s="541"/>
      <c r="IJ77" s="541"/>
      <c r="IK77" s="541"/>
      <c r="IL77" s="541"/>
      <c r="IM77" s="541"/>
      <c r="IN77" s="541"/>
      <c r="IO77" s="541"/>
      <c r="IP77" s="541"/>
      <c r="IQ77" s="541"/>
      <c r="IR77" s="541"/>
      <c r="IS77" s="541"/>
      <c r="IT77" s="541"/>
      <c r="IU77" s="541"/>
      <c r="IV77" s="541"/>
    </row>
    <row r="78" spans="1:256">
      <c r="A78" s="1385"/>
      <c r="B78" s="541"/>
      <c r="C78" s="1403" t="s">
        <v>1055</v>
      </c>
      <c r="D78" s="1387"/>
      <c r="E78" s="1388"/>
      <c r="F78" s="1389"/>
      <c r="G78" s="1389"/>
      <c r="H78" s="1389"/>
      <c r="J78" s="1389"/>
      <c r="K78" s="1389"/>
      <c r="L78" s="1389"/>
      <c r="M78" s="1391"/>
      <c r="N78" s="1392"/>
      <c r="O78" s="1388"/>
      <c r="P78" s="1389"/>
      <c r="Q78" s="1389"/>
      <c r="R78" s="1391"/>
      <c r="S78" s="1387"/>
      <c r="T78" s="1393"/>
      <c r="U78" s="1394"/>
      <c r="V78" s="1394"/>
      <c r="W78" s="1395"/>
      <c r="X78" s="1392" t="s">
        <v>1057</v>
      </c>
      <c r="Y78" s="1397"/>
      <c r="Z78" s="1398"/>
      <c r="AA78" s="1398"/>
      <c r="AB78" s="1399"/>
      <c r="AC78" s="1396"/>
      <c r="AD78" s="1397"/>
      <c r="AE78" s="1398"/>
      <c r="AF78" s="1398"/>
      <c r="AG78" s="1399"/>
      <c r="AH78" s="1396"/>
      <c r="AI78" s="1397"/>
      <c r="AJ78" s="1398"/>
      <c r="AK78" s="1398"/>
      <c r="AL78" s="1399"/>
      <c r="AM78" s="1396"/>
      <c r="AN78" s="1397"/>
      <c r="AO78" s="1398"/>
      <c r="AP78" s="1398"/>
      <c r="AQ78" s="1399"/>
      <c r="AR78" s="1396"/>
      <c r="AS78" s="1397"/>
      <c r="AT78" s="1398"/>
      <c r="AU78" s="1398"/>
      <c r="AV78" s="1399"/>
      <c r="AW78" s="1396"/>
      <c r="AX78" s="1397"/>
      <c r="AY78" s="1398"/>
      <c r="AZ78" s="1398"/>
      <c r="BA78" s="1399"/>
      <c r="BB78" s="1396"/>
      <c r="BC78" s="1397"/>
      <c r="BD78" s="1398"/>
      <c r="BE78" s="1398"/>
      <c r="BF78" s="1399"/>
      <c r="BG78" s="1396"/>
      <c r="BH78" s="1397">
        <f>BI78</f>
        <v>0</v>
      </c>
      <c r="BI78" s="1398">
        <f>BJ78</f>
        <v>0</v>
      </c>
      <c r="BJ78" s="1398">
        <f>BK78</f>
        <v>0</v>
      </c>
      <c r="BK78" s="1399">
        <f>BL78</f>
        <v>0</v>
      </c>
      <c r="BL78" s="1396">
        <f>Valuation!$CF$31</f>
        <v>0</v>
      </c>
      <c r="BM78" s="1397">
        <f>BN78</f>
        <v>0</v>
      </c>
      <c r="BN78" s="1398">
        <f>BO78</f>
        <v>0</v>
      </c>
      <c r="BO78" s="1398">
        <f>BP78</f>
        <v>0</v>
      </c>
      <c r="BP78" s="1399">
        <f>BQ78</f>
        <v>0</v>
      </c>
      <c r="BQ78" s="1396">
        <f>Valuation!$CF$31</f>
        <v>0</v>
      </c>
      <c r="BR78" s="1016"/>
      <c r="BS78" s="541"/>
      <c r="BT78" s="541"/>
      <c r="BU78" s="541"/>
      <c r="BV78" s="541"/>
      <c r="BW78" s="541"/>
      <c r="BX78" s="541"/>
      <c r="BY78" s="541"/>
      <c r="BZ78" s="541"/>
      <c r="CA78" s="541"/>
      <c r="CB78" s="541"/>
      <c r="CC78" s="541"/>
      <c r="CD78" s="541"/>
      <c r="CE78" s="541"/>
      <c r="CF78" s="541"/>
      <c r="CG78" s="541"/>
      <c r="CH78" s="541"/>
      <c r="CI78" s="541"/>
      <c r="CJ78" s="541"/>
      <c r="CK78" s="541"/>
      <c r="CL78" s="541"/>
      <c r="CM78" s="541"/>
      <c r="CN78" s="541"/>
      <c r="CO78" s="541"/>
      <c r="CP78" s="541"/>
      <c r="CQ78" s="541"/>
      <c r="CR78" s="541"/>
      <c r="CS78" s="541"/>
      <c r="CT78" s="541"/>
      <c r="CU78" s="541"/>
      <c r="CV78" s="541"/>
      <c r="CW78" s="541"/>
      <c r="CX78" s="541"/>
      <c r="CY78" s="541"/>
      <c r="CZ78" s="541"/>
      <c r="DA78" s="541"/>
      <c r="DB78" s="541"/>
      <c r="DC78" s="541"/>
      <c r="DD78" s="541"/>
      <c r="DE78" s="541"/>
      <c r="DF78" s="541"/>
      <c r="DG78" s="541"/>
      <c r="DH78" s="541"/>
      <c r="DI78" s="541"/>
      <c r="DJ78" s="541"/>
      <c r="DK78" s="541"/>
      <c r="DL78" s="541"/>
      <c r="DM78" s="541"/>
      <c r="DN78" s="541"/>
      <c r="DO78" s="541"/>
      <c r="DP78" s="541"/>
      <c r="DQ78" s="541"/>
      <c r="DR78" s="541"/>
      <c r="DS78" s="541"/>
      <c r="DT78" s="541"/>
      <c r="DU78" s="541"/>
      <c r="DV78" s="541"/>
      <c r="DW78" s="541"/>
      <c r="DX78" s="541"/>
      <c r="DY78" s="541"/>
      <c r="DZ78" s="541"/>
      <c r="EA78" s="541"/>
      <c r="EB78" s="541"/>
      <c r="EC78" s="541"/>
      <c r="ED78" s="541"/>
      <c r="EE78" s="541"/>
      <c r="EF78" s="541"/>
      <c r="EG78" s="541"/>
      <c r="EH78" s="541"/>
      <c r="EI78" s="541"/>
      <c r="EJ78" s="541"/>
      <c r="EK78" s="541"/>
      <c r="EL78" s="541"/>
      <c r="EM78" s="541"/>
      <c r="EN78" s="541"/>
      <c r="EO78" s="541"/>
      <c r="EP78" s="541"/>
      <c r="EQ78" s="541"/>
      <c r="ER78" s="541"/>
      <c r="ES78" s="541"/>
      <c r="ET78" s="541"/>
      <c r="EU78" s="541"/>
      <c r="EV78" s="541"/>
      <c r="EW78" s="541"/>
      <c r="EX78" s="541"/>
      <c r="EY78" s="541"/>
      <c r="EZ78" s="541"/>
      <c r="FA78" s="541"/>
      <c r="FB78" s="541"/>
      <c r="FC78" s="541"/>
      <c r="FD78" s="541"/>
      <c r="FE78" s="541"/>
      <c r="FF78" s="541"/>
      <c r="FG78" s="541"/>
      <c r="FH78" s="541"/>
      <c r="FI78" s="541"/>
      <c r="FJ78" s="541"/>
      <c r="FK78" s="541"/>
      <c r="FL78" s="541"/>
      <c r="FM78" s="541"/>
      <c r="FN78" s="541"/>
      <c r="FO78" s="541"/>
      <c r="FP78" s="541"/>
      <c r="FQ78" s="541"/>
      <c r="FR78" s="541"/>
      <c r="FS78" s="541"/>
      <c r="FT78" s="541"/>
      <c r="FU78" s="541"/>
      <c r="FV78" s="541"/>
      <c r="FW78" s="541"/>
      <c r="FX78" s="541"/>
      <c r="FY78" s="541"/>
      <c r="FZ78" s="541"/>
      <c r="GA78" s="541"/>
      <c r="GB78" s="541"/>
      <c r="GC78" s="541"/>
      <c r="GD78" s="541"/>
      <c r="GE78" s="541"/>
      <c r="GF78" s="541"/>
      <c r="GG78" s="541"/>
      <c r="GH78" s="541"/>
      <c r="GI78" s="541"/>
      <c r="GJ78" s="541"/>
      <c r="GK78" s="541"/>
      <c r="GL78" s="541"/>
      <c r="GM78" s="541"/>
      <c r="GN78" s="541"/>
      <c r="GO78" s="541"/>
      <c r="GP78" s="541"/>
      <c r="GQ78" s="541"/>
      <c r="GR78" s="541"/>
      <c r="GS78" s="541"/>
      <c r="GT78" s="541"/>
      <c r="GU78" s="541"/>
      <c r="GV78" s="541"/>
      <c r="GW78" s="541"/>
      <c r="GX78" s="541"/>
      <c r="GY78" s="541"/>
      <c r="GZ78" s="541"/>
      <c r="HA78" s="541"/>
      <c r="HB78" s="541"/>
      <c r="HC78" s="541"/>
      <c r="HD78" s="541"/>
      <c r="HE78" s="541"/>
      <c r="HF78" s="541"/>
      <c r="HG78" s="541"/>
      <c r="HH78" s="541"/>
      <c r="HI78" s="541"/>
      <c r="HJ78" s="541"/>
      <c r="HK78" s="541"/>
      <c r="HL78" s="541"/>
      <c r="HM78" s="541"/>
      <c r="HN78" s="541"/>
      <c r="HO78" s="541"/>
      <c r="HP78" s="541"/>
      <c r="HQ78" s="541"/>
      <c r="HR78" s="541"/>
      <c r="HS78" s="541"/>
      <c r="HT78" s="541"/>
      <c r="HU78" s="541"/>
      <c r="HV78" s="541"/>
      <c r="HW78" s="541"/>
      <c r="HX78" s="541"/>
      <c r="HY78" s="541"/>
      <c r="HZ78" s="541"/>
      <c r="IA78" s="541"/>
      <c r="IB78" s="541"/>
      <c r="IC78" s="541"/>
      <c r="ID78" s="541"/>
      <c r="IE78" s="541"/>
      <c r="IF78" s="541"/>
      <c r="IG78" s="541"/>
      <c r="IH78" s="541"/>
      <c r="II78" s="541"/>
      <c r="IJ78" s="541"/>
      <c r="IK78" s="541"/>
      <c r="IL78" s="541"/>
      <c r="IM78" s="541"/>
      <c r="IN78" s="541"/>
      <c r="IO78" s="541"/>
      <c r="IP78" s="541"/>
      <c r="IQ78" s="541"/>
      <c r="IR78" s="541"/>
      <c r="IS78" s="541"/>
      <c r="IT78" s="541"/>
      <c r="IU78" s="541"/>
      <c r="IV78" s="541"/>
    </row>
    <row r="79" spans="1:256">
      <c r="A79" s="1385"/>
      <c r="B79" s="541"/>
      <c r="C79" s="1403" t="s">
        <v>1056</v>
      </c>
      <c r="D79" s="1387"/>
      <c r="E79" s="1388"/>
      <c r="F79" s="1389"/>
      <c r="G79" s="1389"/>
      <c r="H79" s="1389"/>
      <c r="J79" s="1389"/>
      <c r="K79" s="1389"/>
      <c r="L79" s="1389"/>
      <c r="M79" s="1391"/>
      <c r="O79" s="1388"/>
      <c r="P79" s="1389"/>
      <c r="Q79" s="1389"/>
      <c r="R79" s="1391"/>
      <c r="S79" s="1387"/>
      <c r="T79" s="1393"/>
      <c r="U79" s="1394"/>
      <c r="V79" s="1394"/>
      <c r="W79" s="1395"/>
      <c r="X79" s="1404">
        <v>0.6</v>
      </c>
      <c r="Y79" s="1397"/>
      <c r="Z79" s="1398"/>
      <c r="AA79" s="1398"/>
      <c r="AB79" s="1399"/>
      <c r="AC79" s="1396"/>
      <c r="AD79" s="1397"/>
      <c r="AE79" s="1398"/>
      <c r="AF79" s="1398"/>
      <c r="AG79" s="1399"/>
      <c r="AH79" s="1396"/>
      <c r="AI79" s="1397"/>
      <c r="AJ79" s="1398"/>
      <c r="AK79" s="1398"/>
      <c r="AL79" s="1399"/>
      <c r="AM79" s="1396"/>
      <c r="AN79" s="1397"/>
      <c r="AO79" s="1398"/>
      <c r="AP79" s="1398"/>
      <c r="AQ79" s="1399"/>
      <c r="AR79" s="1396"/>
      <c r="AS79" s="1397"/>
      <c r="AT79" s="1398"/>
      <c r="AU79" s="1398"/>
      <c r="AV79" s="1399"/>
      <c r="AW79" s="1396"/>
      <c r="AX79" s="1397"/>
      <c r="AY79" s="1398"/>
      <c r="AZ79" s="1398"/>
      <c r="BA79" s="1399"/>
      <c r="BB79" s="1396"/>
      <c r="BC79" s="1397"/>
      <c r="BD79" s="1398"/>
      <c r="BE79" s="1398"/>
      <c r="BF79" s="1399"/>
      <c r="BG79" s="1396"/>
      <c r="BH79" s="1397">
        <f t="shared" ref="BH79:BQ79" si="34">$X$79*BH$78</f>
        <v>0</v>
      </c>
      <c r="BI79" s="1398">
        <f t="shared" si="34"/>
        <v>0</v>
      </c>
      <c r="BJ79" s="1398">
        <f t="shared" si="34"/>
        <v>0</v>
      </c>
      <c r="BK79" s="1399">
        <f t="shared" si="34"/>
        <v>0</v>
      </c>
      <c r="BL79" s="1396">
        <f t="shared" si="34"/>
        <v>0</v>
      </c>
      <c r="BM79" s="1397">
        <f t="shared" si="34"/>
        <v>0</v>
      </c>
      <c r="BN79" s="1398">
        <f t="shared" si="34"/>
        <v>0</v>
      </c>
      <c r="BO79" s="1398">
        <f t="shared" si="34"/>
        <v>0</v>
      </c>
      <c r="BP79" s="1399">
        <f t="shared" si="34"/>
        <v>0</v>
      </c>
      <c r="BQ79" s="1396">
        <f t="shared" si="34"/>
        <v>0</v>
      </c>
      <c r="BR79" s="1016"/>
      <c r="BS79" s="541"/>
      <c r="BT79" s="541"/>
      <c r="BU79" s="541"/>
      <c r="BV79" s="541"/>
      <c r="BW79" s="541"/>
      <c r="BX79" s="541"/>
      <c r="BY79" s="541"/>
      <c r="BZ79" s="541"/>
      <c r="CA79" s="541"/>
      <c r="CB79" s="541"/>
      <c r="CC79" s="541"/>
      <c r="CD79" s="541"/>
      <c r="CE79" s="541"/>
      <c r="CF79" s="541"/>
      <c r="CG79" s="541"/>
      <c r="CH79" s="541"/>
      <c r="CI79" s="541"/>
      <c r="CJ79" s="541"/>
      <c r="CK79" s="541"/>
      <c r="CL79" s="541"/>
      <c r="CM79" s="541"/>
      <c r="CN79" s="541"/>
      <c r="CO79" s="541"/>
      <c r="CP79" s="541"/>
      <c r="CQ79" s="541"/>
      <c r="CR79" s="541"/>
      <c r="CS79" s="541"/>
      <c r="CT79" s="541"/>
      <c r="CU79" s="541"/>
      <c r="CV79" s="541"/>
      <c r="CW79" s="541"/>
      <c r="CX79" s="541"/>
      <c r="CY79" s="541"/>
      <c r="CZ79" s="541"/>
      <c r="DA79" s="541"/>
      <c r="DB79" s="541"/>
      <c r="DC79" s="541"/>
      <c r="DD79" s="541"/>
      <c r="DE79" s="541"/>
      <c r="DF79" s="541"/>
      <c r="DG79" s="541"/>
      <c r="DH79" s="541"/>
      <c r="DI79" s="541"/>
      <c r="DJ79" s="541"/>
      <c r="DK79" s="541"/>
      <c r="DL79" s="541"/>
      <c r="DM79" s="541"/>
      <c r="DN79" s="541"/>
      <c r="DO79" s="541"/>
      <c r="DP79" s="541"/>
      <c r="DQ79" s="541"/>
      <c r="DR79" s="541"/>
      <c r="DS79" s="541"/>
      <c r="DT79" s="541"/>
      <c r="DU79" s="541"/>
      <c r="DV79" s="541"/>
      <c r="DW79" s="541"/>
      <c r="DX79" s="541"/>
      <c r="DY79" s="541"/>
      <c r="DZ79" s="541"/>
      <c r="EA79" s="541"/>
      <c r="EB79" s="541"/>
      <c r="EC79" s="541"/>
      <c r="ED79" s="541"/>
      <c r="EE79" s="541"/>
      <c r="EF79" s="541"/>
      <c r="EG79" s="541"/>
      <c r="EH79" s="541"/>
      <c r="EI79" s="541"/>
      <c r="EJ79" s="541"/>
      <c r="EK79" s="541"/>
      <c r="EL79" s="541"/>
      <c r="EM79" s="541"/>
      <c r="EN79" s="541"/>
      <c r="EO79" s="541"/>
      <c r="EP79" s="541"/>
      <c r="EQ79" s="541"/>
      <c r="ER79" s="541"/>
      <c r="ES79" s="541"/>
      <c r="ET79" s="541"/>
      <c r="EU79" s="541"/>
      <c r="EV79" s="541"/>
      <c r="EW79" s="541"/>
      <c r="EX79" s="541"/>
      <c r="EY79" s="541"/>
      <c r="EZ79" s="541"/>
      <c r="FA79" s="541"/>
      <c r="FB79" s="541"/>
      <c r="FC79" s="541"/>
      <c r="FD79" s="541"/>
      <c r="FE79" s="541"/>
      <c r="FF79" s="541"/>
      <c r="FG79" s="541"/>
      <c r="FH79" s="541"/>
      <c r="FI79" s="541"/>
      <c r="FJ79" s="541"/>
      <c r="FK79" s="541"/>
      <c r="FL79" s="541"/>
      <c r="FM79" s="541"/>
      <c r="FN79" s="541"/>
      <c r="FO79" s="541"/>
      <c r="FP79" s="541"/>
      <c r="FQ79" s="541"/>
      <c r="FR79" s="541"/>
      <c r="FS79" s="541"/>
      <c r="FT79" s="541"/>
      <c r="FU79" s="541"/>
      <c r="FV79" s="541"/>
      <c r="FW79" s="541"/>
      <c r="FX79" s="541"/>
      <c r="FY79" s="541"/>
      <c r="FZ79" s="541"/>
      <c r="GA79" s="541"/>
      <c r="GB79" s="541"/>
      <c r="GC79" s="541"/>
      <c r="GD79" s="541"/>
      <c r="GE79" s="541"/>
      <c r="GF79" s="541"/>
      <c r="GG79" s="541"/>
      <c r="GH79" s="541"/>
      <c r="GI79" s="541"/>
      <c r="GJ79" s="541"/>
      <c r="GK79" s="541"/>
      <c r="GL79" s="541"/>
      <c r="GM79" s="541"/>
      <c r="GN79" s="541"/>
      <c r="GO79" s="541"/>
      <c r="GP79" s="541"/>
      <c r="GQ79" s="541"/>
      <c r="GR79" s="541"/>
      <c r="GS79" s="541"/>
      <c r="GT79" s="541"/>
      <c r="GU79" s="541"/>
      <c r="GV79" s="541"/>
      <c r="GW79" s="541"/>
      <c r="GX79" s="541"/>
      <c r="GY79" s="541"/>
      <c r="GZ79" s="541"/>
      <c r="HA79" s="541"/>
      <c r="HB79" s="541"/>
      <c r="HC79" s="541"/>
      <c r="HD79" s="541"/>
      <c r="HE79" s="541"/>
      <c r="HF79" s="541"/>
      <c r="HG79" s="541"/>
      <c r="HH79" s="541"/>
      <c r="HI79" s="541"/>
      <c r="HJ79" s="541"/>
      <c r="HK79" s="541"/>
      <c r="HL79" s="541"/>
      <c r="HM79" s="541"/>
      <c r="HN79" s="541"/>
      <c r="HO79" s="541"/>
      <c r="HP79" s="541"/>
      <c r="HQ79" s="541"/>
      <c r="HR79" s="541"/>
      <c r="HS79" s="541"/>
      <c r="HT79" s="541"/>
      <c r="HU79" s="541"/>
      <c r="HV79" s="541"/>
      <c r="HW79" s="541"/>
      <c r="HX79" s="541"/>
      <c r="HY79" s="541"/>
      <c r="HZ79" s="541"/>
      <c r="IA79" s="541"/>
      <c r="IB79" s="541"/>
      <c r="IC79" s="541"/>
      <c r="ID79" s="541"/>
      <c r="IE79" s="541"/>
      <c r="IF79" s="541"/>
      <c r="IG79" s="541"/>
      <c r="IH79" s="541"/>
      <c r="II79" s="541"/>
      <c r="IJ79" s="541"/>
      <c r="IK79" s="541"/>
      <c r="IL79" s="541"/>
      <c r="IM79" s="541"/>
      <c r="IN79" s="541"/>
      <c r="IO79" s="541"/>
      <c r="IP79" s="541"/>
      <c r="IQ79" s="541"/>
      <c r="IR79" s="541"/>
      <c r="IS79" s="541"/>
      <c r="IT79" s="541"/>
      <c r="IU79" s="541"/>
      <c r="IV79" s="541"/>
    </row>
    <row r="80" spans="1:256">
      <c r="A80" s="1385"/>
      <c r="B80" s="541"/>
      <c r="C80" s="1403" t="s">
        <v>1058</v>
      </c>
      <c r="D80" s="1387"/>
      <c r="E80" s="1388"/>
      <c r="F80" s="1389"/>
      <c r="G80" s="1389"/>
      <c r="H80" s="1389"/>
      <c r="J80" s="1389"/>
      <c r="K80" s="1389"/>
      <c r="L80" s="1389"/>
      <c r="M80" s="1391"/>
      <c r="N80" s="1392"/>
      <c r="O80" s="1388"/>
      <c r="P80" s="1389"/>
      <c r="Q80" s="1389"/>
      <c r="R80" s="1391"/>
      <c r="S80" s="1387"/>
      <c r="T80" s="1393"/>
      <c r="U80" s="1394"/>
      <c r="V80" s="1394"/>
      <c r="W80" s="1395"/>
      <c r="X80" s="1404">
        <v>0.4</v>
      </c>
      <c r="Y80" s="1397"/>
      <c r="Z80" s="1398"/>
      <c r="AA80" s="1398"/>
      <c r="AB80" s="1399"/>
      <c r="AC80" s="1396"/>
      <c r="AD80" s="1397"/>
      <c r="AE80" s="1398"/>
      <c r="AF80" s="1398"/>
      <c r="AG80" s="1399"/>
      <c r="AH80" s="1396"/>
      <c r="AI80" s="1397"/>
      <c r="AJ80" s="1398"/>
      <c r="AK80" s="1398"/>
      <c r="AL80" s="1399"/>
      <c r="AM80" s="1396"/>
      <c r="AN80" s="1397"/>
      <c r="AO80" s="1398"/>
      <c r="AP80" s="1398"/>
      <c r="AQ80" s="1399"/>
      <c r="AR80" s="1396"/>
      <c r="AS80" s="1397"/>
      <c r="AT80" s="1398"/>
      <c r="AU80" s="1398"/>
      <c r="AV80" s="1399"/>
      <c r="AW80" s="1396"/>
      <c r="AX80" s="1397"/>
      <c r="AY80" s="1398"/>
      <c r="AZ80" s="1398"/>
      <c r="BA80" s="1399"/>
      <c r="BB80" s="1396"/>
      <c r="BC80" s="1397"/>
      <c r="BD80" s="1398"/>
      <c r="BE80" s="1398"/>
      <c r="BF80" s="1399"/>
      <c r="BG80" s="1396"/>
      <c r="BH80" s="1397">
        <f t="shared" ref="BH80:BQ80" si="35">$X$80*BH$78</f>
        <v>0</v>
      </c>
      <c r="BI80" s="1398">
        <f t="shared" si="35"/>
        <v>0</v>
      </c>
      <c r="BJ80" s="1398">
        <f t="shared" si="35"/>
        <v>0</v>
      </c>
      <c r="BK80" s="1399">
        <f t="shared" si="35"/>
        <v>0</v>
      </c>
      <c r="BL80" s="1396">
        <f t="shared" si="35"/>
        <v>0</v>
      </c>
      <c r="BM80" s="1397">
        <f t="shared" si="35"/>
        <v>0</v>
      </c>
      <c r="BN80" s="1398">
        <f t="shared" si="35"/>
        <v>0</v>
      </c>
      <c r="BO80" s="1398">
        <f t="shared" si="35"/>
        <v>0</v>
      </c>
      <c r="BP80" s="1399">
        <f t="shared" si="35"/>
        <v>0</v>
      </c>
      <c r="BQ80" s="1396">
        <f t="shared" si="35"/>
        <v>0</v>
      </c>
      <c r="BR80" s="1016"/>
      <c r="BS80" s="541"/>
      <c r="BT80" s="541"/>
      <c r="BU80" s="541"/>
      <c r="BV80" s="541"/>
      <c r="BW80" s="541"/>
      <c r="BX80" s="541"/>
      <c r="BY80" s="541"/>
      <c r="BZ80" s="541"/>
      <c r="CA80" s="541"/>
      <c r="CB80" s="541"/>
      <c r="CC80" s="541"/>
      <c r="CD80" s="541"/>
      <c r="CE80" s="541"/>
      <c r="CF80" s="541"/>
      <c r="CG80" s="541"/>
      <c r="CH80" s="541"/>
      <c r="CI80" s="541"/>
      <c r="CJ80" s="541"/>
      <c r="CK80" s="541"/>
      <c r="CL80" s="541"/>
      <c r="CM80" s="541"/>
      <c r="CN80" s="541"/>
      <c r="CO80" s="541"/>
      <c r="CP80" s="541"/>
      <c r="CQ80" s="541"/>
      <c r="CR80" s="541"/>
      <c r="CS80" s="541"/>
      <c r="CT80" s="541"/>
      <c r="CU80" s="541"/>
      <c r="CV80" s="541"/>
      <c r="CW80" s="541"/>
      <c r="CX80" s="541"/>
      <c r="CY80" s="541"/>
      <c r="CZ80" s="541"/>
      <c r="DA80" s="541"/>
      <c r="DB80" s="541"/>
      <c r="DC80" s="541"/>
      <c r="DD80" s="541"/>
      <c r="DE80" s="541"/>
      <c r="DF80" s="541"/>
      <c r="DG80" s="541"/>
      <c r="DH80" s="541"/>
      <c r="DI80" s="541"/>
      <c r="DJ80" s="541"/>
      <c r="DK80" s="541"/>
      <c r="DL80" s="541"/>
      <c r="DM80" s="541"/>
      <c r="DN80" s="541"/>
      <c r="DO80" s="541"/>
      <c r="DP80" s="541"/>
      <c r="DQ80" s="541"/>
      <c r="DR80" s="541"/>
      <c r="DS80" s="541"/>
      <c r="DT80" s="541"/>
      <c r="DU80" s="541"/>
      <c r="DV80" s="541"/>
      <c r="DW80" s="541"/>
      <c r="DX80" s="541"/>
      <c r="DY80" s="541"/>
      <c r="DZ80" s="541"/>
      <c r="EA80" s="541"/>
      <c r="EB80" s="541"/>
      <c r="EC80" s="541"/>
      <c r="ED80" s="541"/>
      <c r="EE80" s="541"/>
      <c r="EF80" s="541"/>
      <c r="EG80" s="541"/>
      <c r="EH80" s="541"/>
      <c r="EI80" s="541"/>
      <c r="EJ80" s="541"/>
      <c r="EK80" s="541"/>
      <c r="EL80" s="541"/>
      <c r="EM80" s="541"/>
      <c r="EN80" s="541"/>
      <c r="EO80" s="541"/>
      <c r="EP80" s="541"/>
      <c r="EQ80" s="541"/>
      <c r="ER80" s="541"/>
      <c r="ES80" s="541"/>
      <c r="ET80" s="541"/>
      <c r="EU80" s="541"/>
      <c r="EV80" s="541"/>
      <c r="EW80" s="541"/>
      <c r="EX80" s="541"/>
      <c r="EY80" s="541"/>
      <c r="EZ80" s="541"/>
      <c r="FA80" s="541"/>
      <c r="FB80" s="541"/>
      <c r="FC80" s="541"/>
      <c r="FD80" s="541"/>
      <c r="FE80" s="541"/>
      <c r="FF80" s="541"/>
      <c r="FG80" s="541"/>
      <c r="FH80" s="541"/>
      <c r="FI80" s="541"/>
      <c r="FJ80" s="541"/>
      <c r="FK80" s="541"/>
      <c r="FL80" s="541"/>
      <c r="FM80" s="541"/>
      <c r="FN80" s="541"/>
      <c r="FO80" s="541"/>
      <c r="FP80" s="541"/>
      <c r="FQ80" s="541"/>
      <c r="FR80" s="541"/>
      <c r="FS80" s="541"/>
      <c r="FT80" s="541"/>
      <c r="FU80" s="541"/>
      <c r="FV80" s="541"/>
      <c r="FW80" s="541"/>
      <c r="FX80" s="541"/>
      <c r="FY80" s="541"/>
      <c r="FZ80" s="541"/>
      <c r="GA80" s="541"/>
      <c r="GB80" s="541"/>
      <c r="GC80" s="541"/>
      <c r="GD80" s="541"/>
      <c r="GE80" s="541"/>
      <c r="GF80" s="541"/>
      <c r="GG80" s="541"/>
      <c r="GH80" s="541"/>
      <c r="GI80" s="541"/>
      <c r="GJ80" s="541"/>
      <c r="GK80" s="541"/>
      <c r="GL80" s="541"/>
      <c r="GM80" s="541"/>
      <c r="GN80" s="541"/>
      <c r="GO80" s="541"/>
      <c r="GP80" s="541"/>
      <c r="GQ80" s="541"/>
      <c r="GR80" s="541"/>
      <c r="GS80" s="541"/>
      <c r="GT80" s="541"/>
      <c r="GU80" s="541"/>
      <c r="GV80" s="541"/>
      <c r="GW80" s="541"/>
      <c r="GX80" s="541"/>
      <c r="GY80" s="541"/>
      <c r="GZ80" s="541"/>
      <c r="HA80" s="541"/>
      <c r="HB80" s="541"/>
      <c r="HC80" s="541"/>
      <c r="HD80" s="541"/>
      <c r="HE80" s="541"/>
      <c r="HF80" s="541"/>
      <c r="HG80" s="541"/>
      <c r="HH80" s="541"/>
      <c r="HI80" s="541"/>
      <c r="HJ80" s="541"/>
      <c r="HK80" s="541"/>
      <c r="HL80" s="541"/>
      <c r="HM80" s="541"/>
      <c r="HN80" s="541"/>
      <c r="HO80" s="541"/>
      <c r="HP80" s="541"/>
      <c r="HQ80" s="541"/>
      <c r="HR80" s="541"/>
      <c r="HS80" s="541"/>
      <c r="HT80" s="541"/>
      <c r="HU80" s="541"/>
      <c r="HV80" s="541"/>
      <c r="HW80" s="541"/>
      <c r="HX80" s="541"/>
      <c r="HY80" s="541"/>
      <c r="HZ80" s="541"/>
      <c r="IA80" s="541"/>
      <c r="IB80" s="541"/>
      <c r="IC80" s="541"/>
      <c r="ID80" s="541"/>
      <c r="IE80" s="541"/>
      <c r="IF80" s="541"/>
      <c r="IG80" s="541"/>
      <c r="IH80" s="541"/>
      <c r="II80" s="541"/>
      <c r="IJ80" s="541"/>
      <c r="IK80" s="541"/>
      <c r="IL80" s="541"/>
      <c r="IM80" s="541"/>
      <c r="IN80" s="541"/>
      <c r="IO80" s="541"/>
      <c r="IP80" s="541"/>
      <c r="IQ80" s="541"/>
      <c r="IR80" s="541"/>
      <c r="IS80" s="541"/>
      <c r="IT80" s="541"/>
      <c r="IU80" s="541"/>
      <c r="IV80" s="541"/>
    </row>
    <row r="81" spans="1:256">
      <c r="A81" s="1385"/>
      <c r="B81" s="541"/>
      <c r="C81" s="1403" t="s">
        <v>1059</v>
      </c>
      <c r="D81" s="1387"/>
      <c r="E81" s="1388"/>
      <c r="F81" s="1389"/>
      <c r="G81" s="1389"/>
      <c r="H81" s="1389"/>
      <c r="J81" s="1389"/>
      <c r="K81" s="1389"/>
      <c r="L81" s="1389"/>
      <c r="M81" s="1391"/>
      <c r="N81" s="1392"/>
      <c r="O81" s="1388"/>
      <c r="P81" s="1389"/>
      <c r="Q81" s="1389"/>
      <c r="R81" s="1391"/>
      <c r="S81" s="1387"/>
      <c r="T81" s="1393"/>
      <c r="U81" s="1394"/>
      <c r="V81" s="1394"/>
      <c r="W81" s="1395"/>
      <c r="X81" s="1404">
        <v>1</v>
      </c>
      <c r="Y81" s="1397"/>
      <c r="Z81" s="1398"/>
      <c r="AA81" s="1398"/>
      <c r="AB81" s="1399"/>
      <c r="AC81" s="1396"/>
      <c r="AD81" s="1397"/>
      <c r="AE81" s="1398"/>
      <c r="AF81" s="1398"/>
      <c r="AG81" s="1399"/>
      <c r="AH81" s="1396"/>
      <c r="AI81" s="1397"/>
      <c r="AJ81" s="1398"/>
      <c r="AK81" s="1398"/>
      <c r="AL81" s="1399"/>
      <c r="AM81" s="1396"/>
      <c r="AN81" s="1397"/>
      <c r="AO81" s="1398"/>
      <c r="AP81" s="1398"/>
      <c r="AQ81" s="1399"/>
      <c r="AR81" s="1396"/>
      <c r="AS81" s="1397"/>
      <c r="AT81" s="1398"/>
      <c r="AU81" s="1398"/>
      <c r="AV81" s="1399"/>
      <c r="AW81" s="1396"/>
      <c r="AX81" s="1397"/>
      <c r="AY81" s="1398"/>
      <c r="AZ81" s="1398"/>
      <c r="BA81" s="1399"/>
      <c r="BB81" s="1396"/>
      <c r="BC81" s="1397"/>
      <c r="BD81" s="1398"/>
      <c r="BE81" s="1398"/>
      <c r="BF81" s="1399"/>
      <c r="BG81" s="1396"/>
      <c r="BH81" s="1397">
        <f t="shared" ref="BH81:BQ81" si="36">$X$81*BH$78</f>
        <v>0</v>
      </c>
      <c r="BI81" s="1398">
        <f t="shared" si="36"/>
        <v>0</v>
      </c>
      <c r="BJ81" s="1398">
        <f t="shared" si="36"/>
        <v>0</v>
      </c>
      <c r="BK81" s="1399">
        <f t="shared" si="36"/>
        <v>0</v>
      </c>
      <c r="BL81" s="1396">
        <f t="shared" si="36"/>
        <v>0</v>
      </c>
      <c r="BM81" s="1397">
        <f t="shared" si="36"/>
        <v>0</v>
      </c>
      <c r="BN81" s="1398">
        <f t="shared" si="36"/>
        <v>0</v>
      </c>
      <c r="BO81" s="1398">
        <f t="shared" si="36"/>
        <v>0</v>
      </c>
      <c r="BP81" s="1399">
        <f t="shared" si="36"/>
        <v>0</v>
      </c>
      <c r="BQ81" s="1396">
        <f t="shared" si="36"/>
        <v>0</v>
      </c>
      <c r="BR81" s="1016"/>
      <c r="BS81" s="541"/>
      <c r="BT81" s="541"/>
      <c r="BU81" s="541"/>
      <c r="BV81" s="541"/>
      <c r="BW81" s="541"/>
      <c r="BX81" s="541"/>
      <c r="BY81" s="541"/>
      <c r="BZ81" s="541"/>
      <c r="CA81" s="541"/>
      <c r="CB81" s="541"/>
      <c r="CC81" s="541"/>
      <c r="CD81" s="541"/>
      <c r="CE81" s="541"/>
      <c r="CF81" s="541"/>
      <c r="CG81" s="541"/>
      <c r="CH81" s="541"/>
      <c r="CI81" s="541"/>
      <c r="CJ81" s="541"/>
      <c r="CK81" s="541"/>
      <c r="CL81" s="541"/>
      <c r="CM81" s="541"/>
      <c r="CN81" s="541"/>
      <c r="CO81" s="541"/>
      <c r="CP81" s="541"/>
      <c r="CQ81" s="541"/>
      <c r="CR81" s="541"/>
      <c r="CS81" s="541"/>
      <c r="CT81" s="541"/>
      <c r="CU81" s="541"/>
      <c r="CV81" s="541"/>
      <c r="CW81" s="541"/>
      <c r="CX81" s="541"/>
      <c r="CY81" s="541"/>
      <c r="CZ81" s="541"/>
      <c r="DA81" s="541"/>
      <c r="DB81" s="541"/>
      <c r="DC81" s="541"/>
      <c r="DD81" s="541"/>
      <c r="DE81" s="541"/>
      <c r="DF81" s="541"/>
      <c r="DG81" s="541"/>
      <c r="DH81" s="541"/>
      <c r="DI81" s="541"/>
      <c r="DJ81" s="541"/>
      <c r="DK81" s="541"/>
      <c r="DL81" s="541"/>
      <c r="DM81" s="541"/>
      <c r="DN81" s="541"/>
      <c r="DO81" s="541"/>
      <c r="DP81" s="541"/>
      <c r="DQ81" s="541"/>
      <c r="DR81" s="541"/>
      <c r="DS81" s="541"/>
      <c r="DT81" s="541"/>
      <c r="DU81" s="541"/>
      <c r="DV81" s="541"/>
      <c r="DW81" s="541"/>
      <c r="DX81" s="541"/>
      <c r="DY81" s="541"/>
      <c r="DZ81" s="541"/>
      <c r="EA81" s="541"/>
      <c r="EB81" s="541"/>
      <c r="EC81" s="541"/>
      <c r="ED81" s="541"/>
      <c r="EE81" s="541"/>
      <c r="EF81" s="541"/>
      <c r="EG81" s="541"/>
      <c r="EH81" s="541"/>
      <c r="EI81" s="541"/>
      <c r="EJ81" s="541"/>
      <c r="EK81" s="541"/>
      <c r="EL81" s="541"/>
      <c r="EM81" s="541"/>
      <c r="EN81" s="541"/>
      <c r="EO81" s="541"/>
      <c r="EP81" s="541"/>
      <c r="EQ81" s="541"/>
      <c r="ER81" s="541"/>
      <c r="ES81" s="541"/>
      <c r="ET81" s="541"/>
      <c r="EU81" s="541"/>
      <c r="EV81" s="541"/>
      <c r="EW81" s="541"/>
      <c r="EX81" s="541"/>
      <c r="EY81" s="541"/>
      <c r="EZ81" s="541"/>
      <c r="FA81" s="541"/>
      <c r="FB81" s="541"/>
      <c r="FC81" s="541"/>
      <c r="FD81" s="541"/>
      <c r="FE81" s="541"/>
      <c r="FF81" s="541"/>
      <c r="FG81" s="541"/>
      <c r="FH81" s="541"/>
      <c r="FI81" s="541"/>
      <c r="FJ81" s="541"/>
      <c r="FK81" s="541"/>
      <c r="FL81" s="541"/>
      <c r="FM81" s="541"/>
      <c r="FN81" s="541"/>
      <c r="FO81" s="541"/>
      <c r="FP81" s="541"/>
      <c r="FQ81" s="541"/>
      <c r="FR81" s="541"/>
      <c r="FS81" s="541"/>
      <c r="FT81" s="541"/>
      <c r="FU81" s="541"/>
      <c r="FV81" s="541"/>
      <c r="FW81" s="541"/>
      <c r="FX81" s="541"/>
      <c r="FY81" s="541"/>
      <c r="FZ81" s="541"/>
      <c r="GA81" s="541"/>
      <c r="GB81" s="541"/>
      <c r="GC81" s="541"/>
      <c r="GD81" s="541"/>
      <c r="GE81" s="541"/>
      <c r="GF81" s="541"/>
      <c r="GG81" s="541"/>
      <c r="GH81" s="541"/>
      <c r="GI81" s="541"/>
      <c r="GJ81" s="541"/>
      <c r="GK81" s="541"/>
      <c r="GL81" s="541"/>
      <c r="GM81" s="541"/>
      <c r="GN81" s="541"/>
      <c r="GO81" s="541"/>
      <c r="GP81" s="541"/>
      <c r="GQ81" s="541"/>
      <c r="GR81" s="541"/>
      <c r="GS81" s="541"/>
      <c r="GT81" s="541"/>
      <c r="GU81" s="541"/>
      <c r="GV81" s="541"/>
      <c r="GW81" s="541"/>
      <c r="GX81" s="541"/>
      <c r="GY81" s="541"/>
      <c r="GZ81" s="541"/>
      <c r="HA81" s="541"/>
      <c r="HB81" s="541"/>
      <c r="HC81" s="541"/>
      <c r="HD81" s="541"/>
      <c r="HE81" s="541"/>
      <c r="HF81" s="541"/>
      <c r="HG81" s="541"/>
      <c r="HH81" s="541"/>
      <c r="HI81" s="541"/>
      <c r="HJ81" s="541"/>
      <c r="HK81" s="541"/>
      <c r="HL81" s="541"/>
      <c r="HM81" s="541"/>
      <c r="HN81" s="541"/>
      <c r="HO81" s="541"/>
      <c r="HP81" s="541"/>
      <c r="HQ81" s="541"/>
      <c r="HR81" s="541"/>
      <c r="HS81" s="541"/>
      <c r="HT81" s="541"/>
      <c r="HU81" s="541"/>
      <c r="HV81" s="541"/>
      <c r="HW81" s="541"/>
      <c r="HX81" s="541"/>
      <c r="HY81" s="541"/>
      <c r="HZ81" s="541"/>
      <c r="IA81" s="541"/>
      <c r="IB81" s="541"/>
      <c r="IC81" s="541"/>
      <c r="ID81" s="541"/>
      <c r="IE81" s="541"/>
      <c r="IF81" s="541"/>
      <c r="IG81" s="541"/>
      <c r="IH81" s="541"/>
      <c r="II81" s="541"/>
      <c r="IJ81" s="541"/>
      <c r="IK81" s="541"/>
      <c r="IL81" s="541"/>
      <c r="IM81" s="541"/>
      <c r="IN81" s="541"/>
      <c r="IO81" s="541"/>
      <c r="IP81" s="541"/>
      <c r="IQ81" s="541"/>
      <c r="IR81" s="541"/>
      <c r="IS81" s="541"/>
      <c r="IT81" s="541"/>
      <c r="IU81" s="541"/>
      <c r="IV81" s="541"/>
    </row>
    <row r="82" spans="1:256">
      <c r="A82" s="541"/>
      <c r="B82" s="541"/>
      <c r="C82" s="691"/>
      <c r="D82" s="692"/>
      <c r="E82" s="316"/>
      <c r="F82" s="317"/>
      <c r="G82" s="317"/>
      <c r="H82" s="318"/>
      <c r="I82" s="657"/>
      <c r="J82" s="320"/>
      <c r="K82" s="321"/>
      <c r="L82" s="321"/>
      <c r="M82" s="322"/>
      <c r="N82" s="693"/>
      <c r="O82" s="320"/>
      <c r="P82" s="321"/>
      <c r="Q82" s="321"/>
      <c r="R82" s="322"/>
      <c r="S82" s="694"/>
      <c r="T82" s="320"/>
      <c r="U82" s="321"/>
      <c r="V82" s="321"/>
      <c r="W82" s="322"/>
      <c r="X82" s="694"/>
      <c r="Y82" s="320"/>
      <c r="Z82" s="321"/>
      <c r="AA82" s="321"/>
      <c r="AB82" s="322"/>
      <c r="AC82" s="694"/>
      <c r="AD82" s="320"/>
      <c r="AE82" s="321"/>
      <c r="AF82" s="321"/>
      <c r="AG82" s="322"/>
      <c r="AH82" s="694"/>
      <c r="AI82" s="320"/>
      <c r="AJ82" s="321"/>
      <c r="AK82" s="321"/>
      <c r="AL82" s="322"/>
      <c r="AM82" s="694"/>
      <c r="AN82" s="320"/>
      <c r="AO82" s="321"/>
      <c r="AP82" s="321"/>
      <c r="AQ82" s="322"/>
      <c r="AR82" s="694"/>
      <c r="AS82" s="320"/>
      <c r="AT82" s="321"/>
      <c r="AU82" s="321"/>
      <c r="AV82" s="322"/>
      <c r="AW82" s="694"/>
      <c r="AX82" s="320"/>
      <c r="AY82" s="321"/>
      <c r="AZ82" s="321"/>
      <c r="BA82" s="322"/>
      <c r="BB82" s="694"/>
      <c r="BC82" s="320"/>
      <c r="BD82" s="321"/>
      <c r="BE82" s="321"/>
      <c r="BF82" s="322"/>
      <c r="BG82" s="694"/>
      <c r="BH82" s="320"/>
      <c r="BI82" s="321"/>
      <c r="BJ82" s="321"/>
      <c r="BK82" s="322"/>
      <c r="BL82" s="694"/>
      <c r="BM82" s="320"/>
      <c r="BN82" s="321"/>
      <c r="BO82" s="321"/>
      <c r="BP82" s="322"/>
      <c r="BQ82" s="694"/>
      <c r="BR82" s="1016"/>
      <c r="BS82" s="541"/>
      <c r="BT82" s="541"/>
      <c r="BU82" s="541"/>
      <c r="BV82" s="541"/>
      <c r="BW82" s="541"/>
      <c r="BX82" s="541"/>
      <c r="BY82" s="541"/>
      <c r="BZ82" s="541"/>
      <c r="CA82" s="541"/>
      <c r="CB82" s="541"/>
      <c r="CC82" s="541"/>
      <c r="CD82" s="541"/>
      <c r="CE82" s="541"/>
      <c r="CF82" s="541"/>
      <c r="CG82" s="541"/>
      <c r="CH82" s="541"/>
      <c r="CI82" s="541"/>
      <c r="CJ82" s="541"/>
      <c r="CK82" s="541"/>
      <c r="CL82" s="541"/>
      <c r="CM82" s="541"/>
      <c r="CN82" s="541"/>
      <c r="CO82" s="541"/>
      <c r="CP82" s="541"/>
      <c r="CQ82" s="541"/>
      <c r="CR82" s="541"/>
      <c r="CS82" s="541"/>
      <c r="CT82" s="541"/>
      <c r="CU82" s="541"/>
      <c r="CV82" s="541"/>
      <c r="CW82" s="541"/>
      <c r="CX82" s="541"/>
      <c r="CY82" s="541"/>
      <c r="CZ82" s="541"/>
      <c r="DA82" s="541"/>
      <c r="DB82" s="541"/>
      <c r="DC82" s="541"/>
      <c r="DD82" s="541"/>
      <c r="DE82" s="541"/>
      <c r="DF82" s="541"/>
      <c r="DG82" s="541"/>
      <c r="DH82" s="541"/>
      <c r="DI82" s="541"/>
      <c r="DJ82" s="541"/>
      <c r="DK82" s="541"/>
      <c r="DL82" s="541"/>
      <c r="DM82" s="541"/>
      <c r="DN82" s="541"/>
      <c r="DO82" s="541"/>
      <c r="DP82" s="541"/>
      <c r="DQ82" s="541"/>
      <c r="DR82" s="541"/>
      <c r="DS82" s="541"/>
      <c r="DT82" s="541"/>
      <c r="DU82" s="541"/>
      <c r="DV82" s="541"/>
      <c r="DW82" s="541"/>
      <c r="DX82" s="541"/>
      <c r="DY82" s="541"/>
      <c r="DZ82" s="541"/>
      <c r="EA82" s="541"/>
      <c r="EB82" s="541"/>
      <c r="EC82" s="541"/>
      <c r="ED82" s="541"/>
      <c r="EE82" s="541"/>
      <c r="EF82" s="541"/>
      <c r="EG82" s="541"/>
      <c r="EH82" s="541"/>
      <c r="EI82" s="541"/>
      <c r="EJ82" s="541"/>
      <c r="EK82" s="541"/>
      <c r="EL82" s="541"/>
      <c r="EM82" s="541"/>
      <c r="EN82" s="541"/>
      <c r="EO82" s="541"/>
      <c r="EP82" s="541"/>
      <c r="EQ82" s="541"/>
      <c r="ER82" s="541"/>
      <c r="ES82" s="541"/>
      <c r="ET82" s="541"/>
      <c r="EU82" s="541"/>
      <c r="EV82" s="541"/>
      <c r="EW82" s="541"/>
      <c r="EX82" s="541"/>
      <c r="EY82" s="541"/>
      <c r="EZ82" s="541"/>
      <c r="FA82" s="541"/>
      <c r="FB82" s="541"/>
      <c r="FC82" s="541"/>
      <c r="FD82" s="541"/>
      <c r="FE82" s="541"/>
      <c r="FF82" s="541"/>
      <c r="FG82" s="541"/>
      <c r="FH82" s="541"/>
      <c r="FI82" s="541"/>
      <c r="FJ82" s="541"/>
      <c r="FK82" s="541"/>
      <c r="FL82" s="541"/>
      <c r="FM82" s="541"/>
      <c r="FN82" s="541"/>
      <c r="FO82" s="541"/>
      <c r="FP82" s="541"/>
      <c r="FQ82" s="541"/>
      <c r="FR82" s="541"/>
      <c r="FS82" s="541"/>
      <c r="FT82" s="541"/>
      <c r="FU82" s="541"/>
      <c r="FV82" s="541"/>
      <c r="FW82" s="541"/>
      <c r="FX82" s="541"/>
      <c r="FY82" s="541"/>
      <c r="FZ82" s="541"/>
      <c r="GA82" s="541"/>
      <c r="GB82" s="541"/>
      <c r="GC82" s="541"/>
      <c r="GD82" s="541"/>
      <c r="GE82" s="541"/>
      <c r="GF82" s="541"/>
      <c r="GG82" s="541"/>
      <c r="GH82" s="541"/>
      <c r="GI82" s="541"/>
      <c r="GJ82" s="541"/>
      <c r="GK82" s="541"/>
      <c r="GL82" s="541"/>
      <c r="GM82" s="541"/>
      <c r="GN82" s="541"/>
      <c r="GO82" s="541"/>
      <c r="GP82" s="541"/>
      <c r="GQ82" s="541"/>
      <c r="GR82" s="541"/>
      <c r="GS82" s="541"/>
      <c r="GT82" s="541"/>
      <c r="GU82" s="541"/>
      <c r="GV82" s="541"/>
      <c r="GW82" s="541"/>
      <c r="GX82" s="541"/>
      <c r="GY82" s="541"/>
      <c r="GZ82" s="541"/>
      <c r="HA82" s="541"/>
      <c r="HB82" s="541"/>
      <c r="HC82" s="541"/>
      <c r="HD82" s="541"/>
      <c r="HE82" s="541"/>
      <c r="HF82" s="541"/>
      <c r="HG82" s="541"/>
      <c r="HH82" s="541"/>
      <c r="HI82" s="541"/>
      <c r="HJ82" s="541"/>
      <c r="HK82" s="541"/>
      <c r="HL82" s="541"/>
      <c r="HM82" s="541"/>
      <c r="HN82" s="541"/>
      <c r="HO82" s="541"/>
      <c r="HP82" s="541"/>
      <c r="HQ82" s="541"/>
      <c r="HR82" s="541"/>
      <c r="HS82" s="541"/>
      <c r="HT82" s="541"/>
      <c r="HU82" s="541"/>
      <c r="HV82" s="541"/>
      <c r="HW82" s="541"/>
      <c r="HX82" s="541"/>
      <c r="HY82" s="541"/>
      <c r="HZ82" s="541"/>
      <c r="IA82" s="541"/>
      <c r="IB82" s="541"/>
      <c r="IC82" s="541"/>
      <c r="ID82" s="541"/>
      <c r="IE82" s="541"/>
      <c r="IF82" s="541"/>
      <c r="IG82" s="541"/>
      <c r="IH82" s="541"/>
      <c r="II82" s="541"/>
      <c r="IJ82" s="541"/>
      <c r="IK82" s="541"/>
      <c r="IL82" s="541"/>
      <c r="IM82" s="541"/>
      <c r="IN82" s="541"/>
      <c r="IO82" s="541"/>
      <c r="IP82" s="541"/>
      <c r="IQ82" s="541"/>
      <c r="IR82" s="541"/>
      <c r="IS82" s="541"/>
      <c r="IT82" s="541"/>
      <c r="IU82" s="541"/>
      <c r="IV82" s="541"/>
    </row>
    <row r="83" spans="1:256">
      <c r="A83" s="541"/>
      <c r="B83" s="541"/>
      <c r="C83" s="545"/>
      <c r="D83" s="541"/>
      <c r="E83" s="289"/>
      <c r="F83" s="542"/>
      <c r="G83" s="542"/>
      <c r="H83" s="291"/>
      <c r="I83" s="543"/>
      <c r="J83" s="289"/>
      <c r="K83" s="542"/>
      <c r="L83" s="542"/>
      <c r="M83" s="291"/>
      <c r="N83" s="543"/>
      <c r="O83" s="289"/>
      <c r="P83" s="542"/>
      <c r="Q83" s="542"/>
      <c r="R83" s="291"/>
      <c r="S83" s="543"/>
      <c r="T83" s="289"/>
      <c r="U83" s="542"/>
      <c r="V83" s="542"/>
      <c r="W83" s="291"/>
      <c r="X83" s="543"/>
      <c r="Y83" s="289"/>
      <c r="Z83" s="542"/>
      <c r="AA83" s="542"/>
      <c r="AB83" s="291"/>
      <c r="AC83" s="543"/>
      <c r="AD83" s="289"/>
      <c r="AE83" s="542"/>
      <c r="AF83" s="542"/>
      <c r="AG83" s="291"/>
      <c r="AH83" s="543"/>
      <c r="AI83" s="289"/>
      <c r="AJ83" s="542"/>
      <c r="AK83" s="542"/>
      <c r="AL83" s="291"/>
      <c r="AM83" s="543"/>
      <c r="AN83" s="289"/>
      <c r="AO83" s="542"/>
      <c r="AP83" s="542"/>
      <c r="AQ83" s="291"/>
      <c r="AR83" s="543"/>
      <c r="AS83" s="289"/>
      <c r="AT83" s="542"/>
      <c r="AU83" s="542"/>
      <c r="AV83" s="291"/>
      <c r="AW83" s="543"/>
      <c r="AX83" s="289"/>
      <c r="AY83" s="542"/>
      <c r="AZ83" s="542"/>
      <c r="BA83" s="291"/>
      <c r="BB83" s="543"/>
      <c r="BC83" s="289"/>
      <c r="BD83" s="542"/>
      <c r="BE83" s="542"/>
      <c r="BF83" s="291"/>
      <c r="BG83" s="543"/>
      <c r="BH83" s="289"/>
      <c r="BI83" s="542"/>
      <c r="BJ83" s="542"/>
      <c r="BK83" s="291"/>
      <c r="BL83" s="543"/>
      <c r="BM83" s="289"/>
      <c r="BN83" s="542"/>
      <c r="BO83" s="542"/>
      <c r="BP83" s="291"/>
      <c r="BQ83" s="543"/>
      <c r="BR83" s="541"/>
      <c r="BS83" s="541"/>
      <c r="BT83" s="541"/>
      <c r="BU83" s="541"/>
      <c r="BV83" s="541"/>
      <c r="BW83" s="541"/>
      <c r="BX83" s="541"/>
      <c r="BY83" s="541"/>
      <c r="BZ83" s="541"/>
      <c r="CA83" s="541"/>
      <c r="CB83" s="541"/>
      <c r="CC83" s="541"/>
      <c r="CD83" s="541"/>
      <c r="CE83" s="541"/>
      <c r="CF83" s="541"/>
      <c r="CG83" s="541"/>
      <c r="CH83" s="541"/>
      <c r="CI83" s="541"/>
      <c r="CJ83" s="541"/>
      <c r="CK83" s="541"/>
      <c r="CL83" s="541"/>
      <c r="CM83" s="541"/>
      <c r="CN83" s="541"/>
      <c r="CO83" s="541"/>
      <c r="CP83" s="541"/>
      <c r="CQ83" s="541"/>
      <c r="CR83" s="541"/>
      <c r="CS83" s="541"/>
      <c r="CT83" s="541"/>
      <c r="CU83" s="541"/>
      <c r="CV83" s="541"/>
      <c r="CW83" s="541"/>
      <c r="CX83" s="541"/>
      <c r="CY83" s="541"/>
      <c r="CZ83" s="541"/>
      <c r="DA83" s="541"/>
      <c r="DB83" s="541"/>
      <c r="DC83" s="541"/>
      <c r="DD83" s="541"/>
      <c r="DE83" s="541"/>
      <c r="DF83" s="541"/>
      <c r="DG83" s="541"/>
      <c r="DH83" s="541"/>
      <c r="DI83" s="541"/>
      <c r="DJ83" s="541"/>
      <c r="DK83" s="541"/>
      <c r="DL83" s="541"/>
      <c r="DM83" s="541"/>
      <c r="DN83" s="541"/>
      <c r="DO83" s="541"/>
      <c r="DP83" s="541"/>
      <c r="DQ83" s="541"/>
      <c r="DR83" s="541"/>
      <c r="DS83" s="541"/>
      <c r="DT83" s="541"/>
      <c r="DU83" s="541"/>
      <c r="DV83" s="541"/>
      <c r="DW83" s="541"/>
      <c r="DX83" s="541"/>
      <c r="DY83" s="541"/>
      <c r="DZ83" s="541"/>
      <c r="EA83" s="541"/>
      <c r="EB83" s="541"/>
      <c r="EC83" s="541"/>
      <c r="ED83" s="541"/>
      <c r="EE83" s="541"/>
      <c r="EF83" s="541"/>
      <c r="EG83" s="541"/>
      <c r="EH83" s="541"/>
      <c r="EI83" s="541"/>
      <c r="EJ83" s="541"/>
      <c r="EK83" s="541"/>
      <c r="EL83" s="541"/>
      <c r="EM83" s="541"/>
      <c r="EN83" s="541"/>
      <c r="EO83" s="541"/>
      <c r="EP83" s="541"/>
      <c r="EQ83" s="541"/>
      <c r="ER83" s="541"/>
      <c r="ES83" s="541"/>
      <c r="ET83" s="541"/>
      <c r="EU83" s="541"/>
      <c r="EV83" s="541"/>
      <c r="EW83" s="541"/>
      <c r="EX83" s="541"/>
      <c r="EY83" s="541"/>
      <c r="EZ83" s="541"/>
      <c r="FA83" s="541"/>
      <c r="FB83" s="541"/>
      <c r="FC83" s="541"/>
      <c r="FD83" s="541"/>
      <c r="FE83" s="541"/>
      <c r="FF83" s="541"/>
      <c r="FG83" s="541"/>
      <c r="FH83" s="541"/>
      <c r="FI83" s="541"/>
      <c r="FJ83" s="541"/>
      <c r="FK83" s="541"/>
      <c r="FL83" s="541"/>
      <c r="FM83" s="541"/>
      <c r="FN83" s="541"/>
      <c r="FO83" s="541"/>
      <c r="FP83" s="541"/>
      <c r="FQ83" s="541"/>
      <c r="FR83" s="541"/>
      <c r="FS83" s="541"/>
      <c r="FT83" s="541"/>
      <c r="FU83" s="541"/>
      <c r="FV83" s="541"/>
      <c r="FW83" s="541"/>
      <c r="FX83" s="541"/>
      <c r="FY83" s="541"/>
      <c r="FZ83" s="541"/>
      <c r="GA83" s="541"/>
      <c r="GB83" s="541"/>
      <c r="GC83" s="541"/>
      <c r="GD83" s="541"/>
      <c r="GE83" s="541"/>
      <c r="GF83" s="541"/>
      <c r="GG83" s="541"/>
      <c r="GH83" s="541"/>
      <c r="GI83" s="541"/>
      <c r="GJ83" s="541"/>
      <c r="GK83" s="541"/>
      <c r="GL83" s="541"/>
      <c r="GM83" s="541"/>
      <c r="GN83" s="541"/>
      <c r="GO83" s="541"/>
      <c r="GP83" s="541"/>
      <c r="GQ83" s="541"/>
      <c r="GR83" s="541"/>
      <c r="GS83" s="541"/>
      <c r="GT83" s="541"/>
      <c r="GU83" s="541"/>
      <c r="GV83" s="541"/>
      <c r="GW83" s="541"/>
      <c r="GX83" s="541"/>
      <c r="GY83" s="541"/>
      <c r="GZ83" s="541"/>
      <c r="HA83" s="541"/>
      <c r="HB83" s="541"/>
      <c r="HC83" s="541"/>
      <c r="HD83" s="541"/>
      <c r="HE83" s="541"/>
      <c r="HF83" s="541"/>
      <c r="HG83" s="541"/>
      <c r="HH83" s="541"/>
      <c r="HI83" s="541"/>
      <c r="HJ83" s="541"/>
      <c r="HK83" s="541"/>
      <c r="HL83" s="541"/>
      <c r="HM83" s="541"/>
      <c r="HN83" s="541"/>
      <c r="HO83" s="541"/>
      <c r="HP83" s="541"/>
      <c r="HQ83" s="541"/>
      <c r="HR83" s="541"/>
      <c r="HS83" s="541"/>
      <c r="HT83" s="541"/>
      <c r="HU83" s="541"/>
      <c r="HV83" s="541"/>
      <c r="HW83" s="541"/>
      <c r="HX83" s="541"/>
      <c r="HY83" s="541"/>
      <c r="HZ83" s="541"/>
      <c r="IA83" s="541"/>
      <c r="IB83" s="541"/>
      <c r="IC83" s="541"/>
      <c r="ID83" s="541"/>
      <c r="IE83" s="541"/>
      <c r="IF83" s="541"/>
      <c r="IG83" s="541"/>
      <c r="IH83" s="541"/>
      <c r="II83" s="541"/>
      <c r="IJ83" s="541"/>
      <c r="IK83" s="541"/>
      <c r="IL83" s="541"/>
      <c r="IM83" s="541"/>
      <c r="IN83" s="541"/>
      <c r="IO83" s="541"/>
      <c r="IP83" s="541"/>
      <c r="IQ83" s="541"/>
      <c r="IR83" s="541"/>
      <c r="IS83" s="541"/>
      <c r="IT83" s="541"/>
      <c r="IU83" s="541"/>
      <c r="IV83" s="541"/>
    </row>
    <row r="84" spans="1:256">
      <c r="C84" s="56"/>
      <c r="E84" s="289"/>
      <c r="F84" s="290"/>
      <c r="G84" s="290"/>
      <c r="H84" s="291"/>
      <c r="I84" s="191"/>
      <c r="J84" s="289"/>
      <c r="K84" s="290"/>
      <c r="L84" s="290"/>
      <c r="M84" s="291"/>
      <c r="N84" s="191"/>
      <c r="O84" s="289"/>
      <c r="P84" s="290"/>
      <c r="Q84" s="290"/>
      <c r="R84" s="291"/>
      <c r="S84" s="191"/>
      <c r="T84" s="289"/>
      <c r="U84" s="290"/>
      <c r="V84" s="290"/>
      <c r="W84" s="291"/>
      <c r="X84" s="191"/>
      <c r="Y84" s="289"/>
      <c r="Z84" s="290"/>
      <c r="AA84" s="290"/>
      <c r="AB84" s="291"/>
      <c r="AC84" s="191"/>
      <c r="AD84" s="289"/>
      <c r="AE84" s="290"/>
      <c r="AF84" s="290"/>
      <c r="AG84" s="291"/>
      <c r="AH84" s="191"/>
      <c r="AI84" s="289"/>
      <c r="AJ84" s="290"/>
      <c r="AK84" s="290"/>
      <c r="AL84" s="291"/>
      <c r="AM84" s="191"/>
      <c r="AN84" s="289"/>
      <c r="AO84" s="290"/>
      <c r="AP84" s="290"/>
      <c r="AQ84" s="291"/>
      <c r="AR84" s="191"/>
      <c r="AS84" s="289"/>
      <c r="AT84" s="290"/>
      <c r="AU84" s="290"/>
      <c r="AV84" s="291"/>
      <c r="AW84" s="191"/>
      <c r="AX84" s="289"/>
      <c r="AY84" s="290"/>
      <c r="AZ84" s="290"/>
      <c r="BA84" s="291"/>
      <c r="BB84" s="191"/>
      <c r="BC84" s="289"/>
      <c r="BD84" s="290"/>
      <c r="BE84" s="290"/>
      <c r="BF84" s="291"/>
      <c r="BG84" s="191"/>
      <c r="BH84" s="289"/>
      <c r="BI84" s="290"/>
      <c r="BJ84" s="290"/>
      <c r="BK84" s="291"/>
      <c r="BL84" s="543"/>
      <c r="BM84" s="289"/>
      <c r="BN84" s="290"/>
      <c r="BO84" s="290"/>
      <c r="BP84" s="291"/>
      <c r="BQ84" s="543"/>
      <c r="BR84" s="541"/>
      <c r="BS84" s="541"/>
      <c r="BT84" s="541"/>
      <c r="BU84" s="541"/>
      <c r="BV84" s="541"/>
      <c r="BW84" s="541"/>
      <c r="BX84" s="541"/>
      <c r="BY84" s="541"/>
      <c r="BZ84" s="541"/>
      <c r="CA84" s="541"/>
      <c r="CB84" s="541"/>
      <c r="CC84" s="541"/>
      <c r="CD84" s="541"/>
      <c r="CE84" s="541"/>
      <c r="CF84" s="541"/>
      <c r="CG84" s="541"/>
      <c r="CH84" s="541"/>
      <c r="CI84" s="541"/>
      <c r="CJ84" s="541"/>
      <c r="CK84" s="541"/>
      <c r="CL84" s="541"/>
      <c r="CM84" s="541"/>
      <c r="CN84" s="541"/>
      <c r="CO84" s="541"/>
      <c r="CP84" s="541"/>
      <c r="CQ84" s="541"/>
      <c r="CR84" s="541"/>
      <c r="CS84" s="541"/>
      <c r="CT84" s="541"/>
      <c r="CU84" s="541"/>
      <c r="CV84" s="541"/>
      <c r="CW84" s="541"/>
      <c r="CX84" s="541"/>
      <c r="CY84" s="541"/>
      <c r="CZ84" s="541"/>
      <c r="DA84" s="541"/>
      <c r="DB84" s="541"/>
      <c r="DC84" s="541"/>
      <c r="DD84" s="541"/>
      <c r="DE84" s="541"/>
      <c r="DF84" s="541"/>
      <c r="DG84" s="541"/>
      <c r="DH84" s="541"/>
      <c r="DI84" s="541"/>
      <c r="DJ84" s="541"/>
      <c r="DK84" s="541"/>
      <c r="DL84" s="541"/>
      <c r="DM84" s="541"/>
      <c r="DN84" s="541"/>
      <c r="DO84" s="541"/>
      <c r="DP84" s="541"/>
      <c r="DQ84" s="541"/>
      <c r="DR84" s="541"/>
      <c r="DS84" s="541"/>
      <c r="DT84" s="541"/>
      <c r="DU84" s="541"/>
      <c r="DV84" s="541"/>
      <c r="DW84" s="541"/>
      <c r="DX84" s="541"/>
      <c r="DY84" s="541"/>
      <c r="DZ84" s="541"/>
      <c r="EA84" s="541"/>
      <c r="EB84" s="541"/>
      <c r="EC84" s="541"/>
      <c r="ED84" s="541"/>
      <c r="EE84" s="541"/>
      <c r="EF84" s="541"/>
      <c r="EG84" s="541"/>
      <c r="EH84" s="541"/>
      <c r="EI84" s="541"/>
      <c r="EJ84" s="541"/>
      <c r="EK84" s="541"/>
      <c r="EL84" s="541"/>
      <c r="EM84" s="541"/>
      <c r="EN84" s="541"/>
      <c r="EO84" s="541"/>
      <c r="EP84" s="541"/>
      <c r="EQ84" s="541"/>
      <c r="ER84" s="541"/>
      <c r="ES84" s="541"/>
      <c r="ET84" s="541"/>
      <c r="EU84" s="541"/>
      <c r="EV84" s="541"/>
      <c r="EW84" s="541"/>
      <c r="EX84" s="541"/>
      <c r="EY84" s="541"/>
      <c r="EZ84" s="541"/>
      <c r="FA84" s="541"/>
      <c r="FB84" s="541"/>
      <c r="FC84" s="541"/>
      <c r="FD84" s="541"/>
      <c r="FE84" s="541"/>
      <c r="FF84" s="541"/>
      <c r="FG84" s="541"/>
      <c r="FH84" s="541"/>
      <c r="FI84" s="541"/>
      <c r="FJ84" s="541"/>
      <c r="FK84" s="541"/>
      <c r="FL84" s="541"/>
      <c r="FM84" s="541"/>
      <c r="FN84" s="541"/>
      <c r="FO84" s="541"/>
      <c r="FP84" s="541"/>
      <c r="FQ84" s="541"/>
      <c r="FR84" s="541"/>
      <c r="FS84" s="541"/>
      <c r="FT84" s="541"/>
      <c r="FU84" s="541"/>
      <c r="FV84" s="541"/>
      <c r="FW84" s="541"/>
      <c r="FX84" s="541"/>
      <c r="FY84" s="541"/>
      <c r="FZ84" s="541"/>
      <c r="GA84" s="541"/>
      <c r="GB84" s="541"/>
      <c r="GC84" s="541"/>
      <c r="GD84" s="541"/>
      <c r="GE84" s="541"/>
      <c r="GF84" s="541"/>
      <c r="GG84" s="541"/>
      <c r="GH84" s="541"/>
      <c r="GI84" s="541"/>
      <c r="GJ84" s="541"/>
      <c r="GK84" s="541"/>
      <c r="GL84" s="541"/>
      <c r="GM84" s="541"/>
      <c r="GN84" s="541"/>
      <c r="GO84" s="541"/>
      <c r="GP84" s="541"/>
      <c r="GQ84" s="541"/>
      <c r="GR84" s="541"/>
      <c r="GS84" s="541"/>
      <c r="GT84" s="541"/>
      <c r="GU84" s="541"/>
      <c r="GV84" s="541"/>
      <c r="GW84" s="541"/>
      <c r="GX84" s="541"/>
      <c r="GY84" s="541"/>
      <c r="GZ84" s="541"/>
      <c r="HA84" s="541"/>
      <c r="HB84" s="541"/>
      <c r="HC84" s="541"/>
      <c r="HD84" s="541"/>
      <c r="HE84" s="541"/>
      <c r="HF84" s="541"/>
      <c r="HG84" s="541"/>
      <c r="HH84" s="541"/>
      <c r="HI84" s="541"/>
      <c r="HJ84" s="541"/>
      <c r="HK84" s="541"/>
      <c r="HL84" s="541"/>
      <c r="HM84" s="541"/>
      <c r="HN84" s="541"/>
      <c r="HO84" s="541"/>
      <c r="HP84" s="541"/>
      <c r="HQ84" s="541"/>
      <c r="HR84" s="541"/>
      <c r="HS84" s="541"/>
      <c r="HT84" s="541"/>
      <c r="HU84" s="541"/>
      <c r="HV84" s="541"/>
      <c r="HW84" s="541"/>
      <c r="HX84" s="541"/>
      <c r="HY84" s="541"/>
      <c r="HZ84" s="541"/>
      <c r="IA84" s="541"/>
      <c r="IB84" s="541"/>
      <c r="IC84" s="541"/>
      <c r="ID84" s="541"/>
      <c r="IE84" s="541"/>
      <c r="IF84" s="541"/>
      <c r="IG84" s="541"/>
      <c r="IH84" s="541"/>
      <c r="II84" s="541"/>
      <c r="IJ84" s="541"/>
      <c r="IK84" s="541"/>
      <c r="IL84" s="541"/>
      <c r="IM84" s="541"/>
      <c r="IN84" s="541"/>
      <c r="IO84" s="541"/>
      <c r="IP84" s="541"/>
      <c r="IQ84" s="541"/>
      <c r="IR84" s="541"/>
      <c r="IS84" s="541"/>
      <c r="IT84" s="541"/>
      <c r="IU84" s="541"/>
      <c r="IV84" s="541"/>
    </row>
    <row r="85" spans="1:256">
      <c r="A85" s="765"/>
      <c r="B85" s="46" t="s">
        <v>1268</v>
      </c>
      <c r="C85" s="46"/>
      <c r="D85" s="47"/>
      <c r="E85" s="305"/>
      <c r="F85" s="306"/>
      <c r="G85" s="306"/>
      <c r="H85" s="307"/>
      <c r="I85" s="303"/>
      <c r="J85" s="305"/>
      <c r="K85" s="306"/>
      <c r="L85" s="306"/>
      <c r="M85" s="307"/>
      <c r="N85" s="303"/>
      <c r="O85" s="305"/>
      <c r="P85" s="306"/>
      <c r="Q85" s="306"/>
      <c r="R85" s="307"/>
      <c r="S85" s="303"/>
      <c r="T85" s="305"/>
      <c r="U85" s="306"/>
      <c r="V85" s="306"/>
      <c r="W85" s="307"/>
      <c r="X85" s="303"/>
      <c r="Y85" s="305"/>
      <c r="Z85" s="306"/>
      <c r="AA85" s="306"/>
      <c r="AB85" s="307"/>
      <c r="AC85" s="303"/>
      <c r="AD85" s="305"/>
      <c r="AE85" s="306"/>
      <c r="AF85" s="306"/>
      <c r="AG85" s="307"/>
      <c r="AH85" s="303"/>
      <c r="AI85" s="305"/>
      <c r="AJ85" s="306"/>
      <c r="AK85" s="306"/>
      <c r="AL85" s="307"/>
      <c r="AM85" s="303"/>
      <c r="AN85" s="305"/>
      <c r="AO85" s="306"/>
      <c r="AP85" s="306"/>
      <c r="AQ85" s="307"/>
      <c r="AR85" s="303"/>
      <c r="AS85" s="305"/>
      <c r="AT85" s="306"/>
      <c r="AU85" s="306"/>
      <c r="AV85" s="307"/>
      <c r="AW85" s="303"/>
      <c r="AX85" s="305"/>
      <c r="AY85" s="306"/>
      <c r="AZ85" s="306"/>
      <c r="BA85" s="307"/>
      <c r="BB85" s="303"/>
      <c r="BC85" s="305"/>
      <c r="BD85" s="306"/>
      <c r="BE85" s="306"/>
      <c r="BF85" s="307"/>
      <c r="BG85" s="303"/>
      <c r="BH85" s="305"/>
      <c r="BI85" s="306"/>
      <c r="BJ85" s="306"/>
      <c r="BK85" s="307"/>
      <c r="BL85" s="303"/>
      <c r="BM85" s="305"/>
      <c r="BN85" s="306"/>
      <c r="BO85" s="306"/>
      <c r="BP85" s="307"/>
      <c r="BQ85" s="303"/>
      <c r="BR85" s="303"/>
      <c r="BS85" s="303"/>
      <c r="BT85" s="303"/>
      <c r="BU85" s="303"/>
      <c r="BV85" s="303"/>
      <c r="BW85" s="303"/>
      <c r="BX85" s="303"/>
      <c r="BY85" s="303"/>
      <c r="BZ85" s="303"/>
      <c r="CA85" s="303"/>
      <c r="CB85" s="303"/>
      <c r="CC85" s="303"/>
      <c r="CD85" s="303"/>
      <c r="CE85" s="303"/>
      <c r="CF85" s="303"/>
      <c r="CG85" s="303"/>
      <c r="CH85" s="303"/>
      <c r="CI85" s="303"/>
      <c r="CJ85" s="303"/>
      <c r="CK85" s="303"/>
      <c r="CL85" s="303"/>
      <c r="CM85" s="303"/>
      <c r="CN85" s="303"/>
      <c r="CO85" s="303"/>
      <c r="CP85" s="303"/>
      <c r="CQ85" s="303"/>
      <c r="CR85" s="303"/>
      <c r="CS85" s="303"/>
      <c r="CT85" s="303"/>
      <c r="CU85" s="303"/>
      <c r="CV85" s="303"/>
      <c r="CW85" s="303"/>
      <c r="CX85" s="303"/>
      <c r="CY85" s="303"/>
      <c r="CZ85" s="303"/>
    </row>
    <row r="86" spans="1:256">
      <c r="A86" s="765"/>
      <c r="C86" s="56"/>
      <c r="E86" s="305"/>
      <c r="F86" s="306"/>
      <c r="G86" s="306"/>
      <c r="H86" s="307"/>
      <c r="I86" s="303"/>
      <c r="J86" s="305"/>
      <c r="K86" s="306"/>
      <c r="L86" s="306"/>
      <c r="M86" s="307"/>
      <c r="N86" s="303"/>
      <c r="O86" s="305"/>
      <c r="P86" s="306"/>
      <c r="Q86" s="306"/>
      <c r="R86" s="307"/>
      <c r="S86" s="303"/>
      <c r="T86" s="305"/>
      <c r="U86" s="306"/>
      <c r="V86" s="306"/>
      <c r="W86" s="307"/>
      <c r="X86" s="303"/>
      <c r="Y86" s="305"/>
      <c r="Z86" s="306"/>
      <c r="AA86" s="306"/>
      <c r="AB86" s="307"/>
      <c r="AC86" s="303"/>
      <c r="AD86" s="305"/>
      <c r="AE86" s="306"/>
      <c r="AF86" s="306"/>
      <c r="AG86" s="307"/>
      <c r="AH86" s="303"/>
      <c r="AI86" s="305"/>
      <c r="AJ86" s="306"/>
      <c r="AK86" s="306"/>
      <c r="AL86" s="307"/>
      <c r="AM86" s="303"/>
      <c r="AN86" s="305"/>
      <c r="AO86" s="306"/>
      <c r="AP86" s="306"/>
      <c r="AQ86" s="307"/>
      <c r="AR86" s="303"/>
      <c r="AS86" s="305"/>
      <c r="AT86" s="306"/>
      <c r="AU86" s="306"/>
      <c r="AV86" s="307"/>
      <c r="AW86" s="303"/>
      <c r="AX86" s="305"/>
      <c r="AY86" s="306"/>
      <c r="AZ86" s="306"/>
      <c r="BA86" s="307"/>
      <c r="BB86" s="303"/>
      <c r="BC86" s="305"/>
      <c r="BD86" s="306"/>
      <c r="BE86" s="306"/>
      <c r="BF86" s="307"/>
      <c r="BG86" s="303"/>
      <c r="BH86" s="305"/>
      <c r="BI86" s="306"/>
      <c r="BJ86" s="306"/>
      <c r="BK86" s="307"/>
      <c r="BL86" s="303"/>
      <c r="BM86" s="305"/>
      <c r="BN86" s="306"/>
      <c r="BO86" s="306"/>
      <c r="BP86" s="307"/>
      <c r="BQ86" s="303"/>
      <c r="BR86" s="303"/>
      <c r="BS86" s="303"/>
      <c r="BT86" s="303"/>
      <c r="BU86" s="303"/>
      <c r="BV86" s="303"/>
      <c r="BW86" s="303"/>
      <c r="BX86" s="303"/>
      <c r="BY86" s="303"/>
      <c r="BZ86" s="303"/>
      <c r="CA86" s="303"/>
      <c r="CB86" s="303"/>
      <c r="CC86" s="303"/>
      <c r="CD86" s="303"/>
      <c r="CE86" s="303"/>
      <c r="CF86" s="303"/>
      <c r="CG86" s="303"/>
      <c r="CH86" s="303"/>
      <c r="CI86" s="303"/>
      <c r="CJ86" s="303"/>
      <c r="CK86" s="303"/>
      <c r="CL86" s="303"/>
      <c r="CM86" s="303"/>
      <c r="CN86" s="303"/>
      <c r="CO86" s="303"/>
      <c r="CP86" s="303"/>
      <c r="CQ86" s="303"/>
      <c r="CR86" s="303"/>
      <c r="CS86" s="303"/>
      <c r="CT86" s="303"/>
      <c r="CU86" s="303"/>
      <c r="CV86" s="303"/>
      <c r="CW86" s="303"/>
      <c r="CX86" s="303"/>
      <c r="CY86" s="303"/>
      <c r="CZ86" s="303"/>
    </row>
    <row r="87" spans="1:256">
      <c r="A87" s="765"/>
      <c r="B87" s="496"/>
      <c r="C87" s="515" t="s">
        <v>205</v>
      </c>
      <c r="D87" s="561"/>
      <c r="E87" s="305"/>
      <c r="F87" s="306"/>
      <c r="G87" s="306"/>
      <c r="H87" s="307"/>
      <c r="I87" s="303"/>
      <c r="J87" s="305"/>
      <c r="K87" s="306"/>
      <c r="L87" s="306"/>
      <c r="M87" s="307"/>
      <c r="N87" s="303"/>
      <c r="O87" s="305"/>
      <c r="P87" s="306"/>
      <c r="Q87" s="306"/>
      <c r="R87" s="307"/>
      <c r="S87" s="303"/>
      <c r="T87" s="305"/>
      <c r="U87" s="306"/>
      <c r="V87" s="306"/>
      <c r="W87" s="307"/>
      <c r="X87" s="303"/>
      <c r="Y87" s="305"/>
      <c r="Z87" s="306"/>
      <c r="AA87" s="306"/>
      <c r="AB87" s="307"/>
      <c r="AC87" s="303"/>
      <c r="AD87" s="305"/>
      <c r="AE87" s="306"/>
      <c r="AF87" s="306"/>
      <c r="AG87" s="307"/>
      <c r="AH87" s="303"/>
      <c r="AI87" s="305"/>
      <c r="AJ87" s="306"/>
      <c r="AK87" s="306"/>
      <c r="AL87" s="307"/>
      <c r="AM87" s="303"/>
      <c r="AN87" s="305"/>
      <c r="AO87" s="306"/>
      <c r="AP87" s="306"/>
      <c r="AQ87" s="307"/>
      <c r="AR87" s="303"/>
      <c r="AS87" s="305"/>
      <c r="AT87" s="306"/>
      <c r="AU87" s="306"/>
      <c r="AV87" s="307"/>
      <c r="AW87" s="303"/>
      <c r="AX87" s="305"/>
      <c r="AY87" s="306"/>
      <c r="AZ87" s="306"/>
      <c r="BA87" s="307"/>
      <c r="BB87" s="303"/>
      <c r="BC87" s="305"/>
      <c r="BD87" s="306"/>
      <c r="BE87" s="306"/>
      <c r="BF87" s="307"/>
      <c r="BG87" s="303"/>
      <c r="BH87" s="305"/>
      <c r="BI87" s="306"/>
      <c r="BJ87" s="306"/>
      <c r="BK87" s="307"/>
      <c r="BL87" s="303"/>
      <c r="BM87" s="305"/>
      <c r="BN87" s="306"/>
      <c r="BO87" s="306"/>
      <c r="BP87" s="307"/>
      <c r="BQ87" s="303"/>
      <c r="BR87" s="303"/>
      <c r="BS87" s="303"/>
      <c r="BT87" s="303"/>
      <c r="BU87" s="303"/>
      <c r="BV87" s="303"/>
      <c r="BW87" s="303"/>
      <c r="BX87" s="303"/>
      <c r="BY87" s="303"/>
      <c r="BZ87" s="303"/>
      <c r="CA87" s="303"/>
      <c r="CB87" s="303"/>
      <c r="CC87" s="303"/>
      <c r="CD87" s="303"/>
      <c r="CE87" s="303"/>
      <c r="CF87" s="303"/>
      <c r="CG87" s="303"/>
      <c r="CH87" s="303"/>
      <c r="CI87" s="303"/>
      <c r="CJ87" s="303"/>
      <c r="CK87" s="303"/>
      <c r="CL87" s="303"/>
      <c r="CM87" s="303"/>
      <c r="CN87" s="303"/>
      <c r="CO87" s="303"/>
      <c r="CP87" s="303"/>
      <c r="CQ87" s="303"/>
      <c r="CR87" s="303"/>
      <c r="CS87" s="303"/>
      <c r="CT87" s="303"/>
      <c r="CU87" s="303"/>
      <c r="CV87" s="303"/>
      <c r="CW87" s="303"/>
      <c r="CX87" s="303"/>
      <c r="CY87" s="303"/>
      <c r="CZ87" s="303"/>
    </row>
    <row r="88" spans="1:256">
      <c r="A88" s="765"/>
      <c r="B88" s="496"/>
      <c r="C88" s="1272" t="s">
        <v>206</v>
      </c>
      <c r="D88" s="561"/>
      <c r="E88" s="305"/>
      <c r="F88" s="306"/>
      <c r="G88" s="306"/>
      <c r="H88" s="307"/>
      <c r="I88" s="303"/>
      <c r="J88" s="305"/>
      <c r="K88" s="306"/>
      <c r="L88" s="306"/>
      <c r="M88" s="307"/>
      <c r="N88" s="303"/>
      <c r="O88" s="305"/>
      <c r="P88" s="306"/>
      <c r="Q88" s="306"/>
      <c r="R88" s="307"/>
      <c r="S88" s="303"/>
      <c r="T88" s="305"/>
      <c r="U88" s="306"/>
      <c r="V88" s="306"/>
      <c r="W88" s="307"/>
      <c r="X88" s="326">
        <v>14485</v>
      </c>
      <c r="Y88" s="323">
        <v>4264</v>
      </c>
      <c r="Z88" s="324">
        <v>3000</v>
      </c>
      <c r="AA88" s="324">
        <v>3742</v>
      </c>
      <c r="AB88" s="1273">
        <f>AC88-SUM(Y88:AA88)</f>
        <v>3480</v>
      </c>
      <c r="AC88" s="326">
        <v>14486</v>
      </c>
      <c r="AD88" s="323">
        <v>4731</v>
      </c>
      <c r="AE88" s="324">
        <v>2945</v>
      </c>
      <c r="AF88" s="324">
        <v>3513</v>
      </c>
      <c r="AG88" s="1273">
        <f>AH88-SUM(AD88:AF88)</f>
        <v>3448</v>
      </c>
      <c r="AH88" s="326">
        <v>14637</v>
      </c>
      <c r="AI88" s="323">
        <v>4491</v>
      </c>
      <c r="AJ88" s="324">
        <v>2970</v>
      </c>
      <c r="AK88" s="324">
        <v>3788</v>
      </c>
      <c r="AL88" s="1273">
        <f>AM88-SUM(AI88:AK88)</f>
        <v>2925</v>
      </c>
      <c r="AM88" s="326">
        <v>14174</v>
      </c>
      <c r="AN88" s="323">
        <v>3843</v>
      </c>
      <c r="AO88" s="324">
        <v>2986</v>
      </c>
      <c r="AP88" s="324">
        <v>4380</v>
      </c>
      <c r="AQ88" s="1273">
        <f>AR88-SUM(AN88:AP88)</f>
        <v>3105</v>
      </c>
      <c r="AR88" s="326">
        <v>14314</v>
      </c>
      <c r="AS88" s="323">
        <v>3693</v>
      </c>
      <c r="AT88" s="324">
        <v>2861</v>
      </c>
      <c r="AU88" s="324">
        <v>3644</v>
      </c>
      <c r="AV88" s="1273">
        <f>AW88-SUM(AS88:AU88)</f>
        <v>3341</v>
      </c>
      <c r="AW88" s="326">
        <v>13539</v>
      </c>
      <c r="AX88" s="149"/>
      <c r="AY88" s="156"/>
      <c r="AZ88" s="156"/>
      <c r="BA88" s="151"/>
      <c r="BB88" s="112"/>
      <c r="BC88" s="149"/>
      <c r="BD88" s="156"/>
      <c r="BE88" s="156"/>
      <c r="BF88" s="151"/>
      <c r="BG88" s="112"/>
      <c r="BH88" s="149"/>
      <c r="BI88" s="156"/>
      <c r="BJ88" s="156"/>
      <c r="BK88" s="151"/>
      <c r="BL88" s="112"/>
      <c r="BM88" s="149"/>
      <c r="BN88" s="156"/>
      <c r="BO88" s="156"/>
      <c r="BP88" s="151"/>
      <c r="BQ88" s="112"/>
      <c r="BR88" s="496"/>
      <c r="BS88" s="496"/>
      <c r="BT88" s="496"/>
      <c r="BU88" s="496"/>
      <c r="BV88" s="496"/>
      <c r="BW88" s="1206"/>
      <c r="BX88" s="1206"/>
      <c r="BY88" s="1206"/>
      <c r="BZ88" s="1206"/>
      <c r="CA88" s="1206"/>
      <c r="CB88" s="496"/>
      <c r="CC88" s="496"/>
      <c r="CD88" s="496"/>
      <c r="CE88" s="496"/>
      <c r="CF88" s="496"/>
      <c r="CG88" s="496"/>
      <c r="CH88" s="496"/>
      <c r="CI88" s="496"/>
      <c r="CJ88" s="496"/>
      <c r="CK88" s="496"/>
      <c r="CL88" s="496"/>
      <c r="CM88" s="496"/>
      <c r="CN88" s="496"/>
      <c r="CO88" s="496"/>
      <c r="CP88" s="496"/>
      <c r="CQ88" s="496"/>
      <c r="CR88" s="496"/>
      <c r="CS88" s="496"/>
      <c r="CT88" s="496"/>
      <c r="CU88" s="496"/>
      <c r="CV88" s="496"/>
      <c r="CW88" s="496"/>
      <c r="CX88" s="496"/>
      <c r="CY88" s="496"/>
      <c r="CZ88" s="496"/>
    </row>
    <row r="89" spans="1:256">
      <c r="A89" s="765"/>
      <c r="B89" s="496"/>
      <c r="C89" s="1272" t="s">
        <v>328</v>
      </c>
      <c r="D89" s="561"/>
      <c r="E89" s="305"/>
      <c r="F89" s="306"/>
      <c r="G89" s="306"/>
      <c r="H89" s="307"/>
      <c r="I89" s="303"/>
      <c r="J89" s="305"/>
      <c r="K89" s="306"/>
      <c r="L89" s="306"/>
      <c r="M89" s="307"/>
      <c r="N89" s="303"/>
      <c r="O89" s="305"/>
      <c r="P89" s="306"/>
      <c r="Q89" s="306"/>
      <c r="R89" s="307"/>
      <c r="S89" s="303"/>
      <c r="T89" s="305"/>
      <c r="U89" s="306"/>
      <c r="V89" s="306"/>
      <c r="W89" s="307"/>
      <c r="X89" s="326">
        <v>14176</v>
      </c>
      <c r="Y89" s="323">
        <v>3386</v>
      </c>
      <c r="Z89" s="324">
        <v>3506</v>
      </c>
      <c r="AA89" s="324">
        <v>3820</v>
      </c>
      <c r="AB89" s="1273">
        <f>AC89-SUM(Y89:AA89)</f>
        <v>3476</v>
      </c>
      <c r="AC89" s="326">
        <v>14188</v>
      </c>
      <c r="AD89" s="323">
        <v>3579</v>
      </c>
      <c r="AE89" s="324">
        <v>3545</v>
      </c>
      <c r="AF89" s="324">
        <v>3714</v>
      </c>
      <c r="AG89" s="1273">
        <f>AH89-SUM(AD89:AF89)</f>
        <v>3562</v>
      </c>
      <c r="AH89" s="326">
        <v>14400</v>
      </c>
      <c r="AI89" s="323">
        <v>3595</v>
      </c>
      <c r="AJ89" s="324">
        <v>3550</v>
      </c>
      <c r="AK89" s="324">
        <v>3929</v>
      </c>
      <c r="AL89" s="1273">
        <f>AM89-SUM(AI89:AK89)</f>
        <v>3397</v>
      </c>
      <c r="AM89" s="326">
        <v>14471</v>
      </c>
      <c r="AN89" s="323">
        <v>3411</v>
      </c>
      <c r="AO89" s="324">
        <v>3633</v>
      </c>
      <c r="AP89" s="324">
        <v>4114</v>
      </c>
      <c r="AQ89" s="1273">
        <f>AR89-SUM(AN89:AP89)</f>
        <v>3514</v>
      </c>
      <c r="AR89" s="326">
        <v>14672</v>
      </c>
      <c r="AS89" s="323">
        <v>3428</v>
      </c>
      <c r="AT89" s="324">
        <v>3555</v>
      </c>
      <c r="AU89" s="324">
        <v>3806</v>
      </c>
      <c r="AV89" s="1273">
        <f>AW89-SUM(AS89:AU89)</f>
        <v>3598</v>
      </c>
      <c r="AW89" s="326">
        <v>14387</v>
      </c>
      <c r="AX89" s="149"/>
      <c r="AY89" s="156"/>
      <c r="AZ89" s="156"/>
      <c r="BA89" s="151"/>
      <c r="BB89" s="112"/>
      <c r="BC89" s="149"/>
      <c r="BD89" s="156"/>
      <c r="BE89" s="156"/>
      <c r="BF89" s="151"/>
      <c r="BG89" s="112"/>
      <c r="BH89" s="149"/>
      <c r="BI89" s="156"/>
      <c r="BJ89" s="156"/>
      <c r="BK89" s="151"/>
      <c r="BL89" s="112"/>
      <c r="BM89" s="149"/>
      <c r="BN89" s="156"/>
      <c r="BO89" s="156"/>
      <c r="BP89" s="151"/>
      <c r="BQ89" s="112"/>
      <c r="BR89" s="496"/>
      <c r="BS89" s="496"/>
      <c r="BT89" s="496"/>
      <c r="BU89" s="496"/>
      <c r="BV89" s="496"/>
      <c r="BW89" s="496"/>
      <c r="BX89" s="496"/>
      <c r="BY89" s="496"/>
      <c r="BZ89" s="496"/>
      <c r="CA89" s="496"/>
      <c r="CB89" s="496"/>
      <c r="CC89" s="496"/>
      <c r="CD89" s="496"/>
      <c r="CE89" s="496"/>
      <c r="CF89" s="496"/>
      <c r="CG89" s="496"/>
      <c r="CH89" s="496"/>
      <c r="CI89" s="496"/>
      <c r="CJ89" s="496"/>
      <c r="CK89" s="496"/>
      <c r="CL89" s="496"/>
      <c r="CM89" s="496"/>
      <c r="CN89" s="496"/>
      <c r="CO89" s="496"/>
      <c r="CP89" s="496"/>
      <c r="CQ89" s="496"/>
      <c r="CR89" s="496"/>
      <c r="CS89" s="496"/>
      <c r="CT89" s="496"/>
      <c r="CU89" s="496"/>
      <c r="CV89" s="496"/>
      <c r="CW89" s="496"/>
      <c r="CX89" s="496"/>
      <c r="CY89" s="496"/>
      <c r="CZ89" s="496"/>
    </row>
    <row r="90" spans="1:256">
      <c r="A90" s="765"/>
      <c r="B90" s="496"/>
      <c r="C90" s="1272" t="s">
        <v>329</v>
      </c>
      <c r="D90" s="561"/>
      <c r="E90" s="305"/>
      <c r="F90" s="306"/>
      <c r="G90" s="306"/>
      <c r="H90" s="307"/>
      <c r="I90" s="303"/>
      <c r="J90" s="305"/>
      <c r="K90" s="306"/>
      <c r="L90" s="306"/>
      <c r="M90" s="307"/>
      <c r="N90" s="303"/>
      <c r="O90" s="305"/>
      <c r="P90" s="306"/>
      <c r="Q90" s="306"/>
      <c r="R90" s="307"/>
      <c r="S90" s="303"/>
      <c r="T90" s="305"/>
      <c r="U90" s="306"/>
      <c r="V90" s="306"/>
      <c r="W90" s="307"/>
      <c r="X90" s="326">
        <v>18122</v>
      </c>
      <c r="Y90" s="323">
        <v>4082</v>
      </c>
      <c r="Z90" s="324">
        <v>4203</v>
      </c>
      <c r="AA90" s="324">
        <v>4012</v>
      </c>
      <c r="AB90" s="1273">
        <f>AC90-SUM(Y90:AA90)</f>
        <v>3618</v>
      </c>
      <c r="AC90" s="326">
        <v>15915</v>
      </c>
      <c r="AD90" s="323">
        <v>3473</v>
      </c>
      <c r="AE90" s="324">
        <v>3702</v>
      </c>
      <c r="AF90" s="324">
        <v>3647</v>
      </c>
      <c r="AG90" s="1273">
        <f>AH90-SUM(AD90:AF90)</f>
        <v>3719</v>
      </c>
      <c r="AH90" s="326">
        <v>14541</v>
      </c>
      <c r="AI90" s="323">
        <v>3544</v>
      </c>
      <c r="AJ90" s="324">
        <v>3826</v>
      </c>
      <c r="AK90" s="324">
        <v>3711</v>
      </c>
      <c r="AL90" s="1273">
        <f>AM90-SUM(AI90:AK90)</f>
        <v>3570</v>
      </c>
      <c r="AM90" s="326">
        <v>14651</v>
      </c>
      <c r="AN90" s="323">
        <v>3495</v>
      </c>
      <c r="AO90" s="324">
        <v>3566</v>
      </c>
      <c r="AP90" s="324">
        <v>3610</v>
      </c>
      <c r="AQ90" s="1273">
        <f>AR90-SUM(AN90:AP90)</f>
        <v>3608</v>
      </c>
      <c r="AR90" s="326">
        <v>14279</v>
      </c>
      <c r="AS90" s="323">
        <v>3569</v>
      </c>
      <c r="AT90" s="324">
        <v>3690</v>
      </c>
      <c r="AU90" s="324">
        <v>3708</v>
      </c>
      <c r="AV90" s="1273">
        <f>AW90-SUM(AS90:AU90)</f>
        <v>3697</v>
      </c>
      <c r="AW90" s="326">
        <v>14664</v>
      </c>
      <c r="AX90" s="149"/>
      <c r="AY90" s="156"/>
      <c r="AZ90" s="156"/>
      <c r="BA90" s="151"/>
      <c r="BB90" s="112"/>
      <c r="BC90" s="149"/>
      <c r="BD90" s="156"/>
      <c r="BE90" s="156"/>
      <c r="BF90" s="151"/>
      <c r="BG90" s="112"/>
      <c r="BH90" s="149"/>
      <c r="BI90" s="156"/>
      <c r="BJ90" s="156"/>
      <c r="BK90" s="151"/>
      <c r="BL90" s="112"/>
      <c r="BM90" s="149"/>
      <c r="BN90" s="156"/>
      <c r="BO90" s="156"/>
      <c r="BP90" s="151"/>
      <c r="BQ90" s="112"/>
      <c r="BR90" s="496"/>
      <c r="BS90" s="496"/>
      <c r="BT90" s="496"/>
      <c r="BU90" s="496"/>
      <c r="BV90" s="496"/>
      <c r="BW90" s="496"/>
      <c r="BX90" s="496"/>
      <c r="BY90" s="496"/>
      <c r="BZ90" s="496"/>
      <c r="CA90" s="496"/>
      <c r="CB90" s="496"/>
      <c r="CC90" s="496"/>
      <c r="CD90" s="496"/>
      <c r="CE90" s="496"/>
      <c r="CF90" s="496"/>
      <c r="CG90" s="496"/>
      <c r="CH90" s="496"/>
      <c r="CI90" s="496"/>
      <c r="CJ90" s="496"/>
      <c r="CK90" s="496"/>
      <c r="CL90" s="496"/>
      <c r="CM90" s="496"/>
      <c r="CN90" s="496"/>
      <c r="CO90" s="496"/>
      <c r="CP90" s="496"/>
      <c r="CQ90" s="496"/>
      <c r="CR90" s="496"/>
      <c r="CS90" s="496"/>
      <c r="CT90" s="496"/>
      <c r="CU90" s="496"/>
      <c r="CV90" s="496"/>
      <c r="CW90" s="496"/>
      <c r="CX90" s="496"/>
      <c r="CY90" s="496"/>
      <c r="CZ90" s="496"/>
    </row>
    <row r="91" spans="1:256">
      <c r="A91" s="765"/>
      <c r="B91" s="496"/>
      <c r="C91" s="541" t="s">
        <v>924</v>
      </c>
      <c r="D91" s="561"/>
      <c r="E91" s="305"/>
      <c r="F91" s="306"/>
      <c r="G91" s="306"/>
      <c r="H91" s="307"/>
      <c r="I91" s="303"/>
      <c r="J91" s="305"/>
      <c r="K91" s="306"/>
      <c r="L91" s="306"/>
      <c r="M91" s="307"/>
      <c r="N91" s="303"/>
      <c r="O91" s="305"/>
      <c r="P91" s="306"/>
      <c r="Q91" s="306"/>
      <c r="R91" s="307"/>
      <c r="S91" s="303"/>
      <c r="T91" s="305"/>
      <c r="U91" s="306"/>
      <c r="V91" s="306"/>
      <c r="W91" s="307"/>
      <c r="X91" s="326">
        <v>120</v>
      </c>
      <c r="Y91" s="323">
        <v>35</v>
      </c>
      <c r="Z91" s="324">
        <v>27</v>
      </c>
      <c r="AA91" s="324">
        <v>29</v>
      </c>
      <c r="AB91" s="1273">
        <f>AC91-SUM(Y91:AA91)</f>
        <v>34</v>
      </c>
      <c r="AC91" s="326">
        <v>125</v>
      </c>
      <c r="AD91" s="323">
        <v>34</v>
      </c>
      <c r="AE91" s="324">
        <v>28</v>
      </c>
      <c r="AF91" s="324">
        <v>26</v>
      </c>
      <c r="AG91" s="1273">
        <f>AH91-SUM(AD91:AF91)</f>
        <v>35</v>
      </c>
      <c r="AH91" s="326">
        <v>123</v>
      </c>
      <c r="AI91" s="323">
        <v>32</v>
      </c>
      <c r="AJ91" s="324">
        <v>28</v>
      </c>
      <c r="AK91" s="324">
        <v>28</v>
      </c>
      <c r="AL91" s="1273">
        <f>AM91-SUM(AI91:AK91)</f>
        <v>32</v>
      </c>
      <c r="AM91" s="326">
        <v>120</v>
      </c>
      <c r="AN91" s="323">
        <v>33</v>
      </c>
      <c r="AO91" s="324">
        <v>29</v>
      </c>
      <c r="AP91" s="324">
        <v>27</v>
      </c>
      <c r="AQ91" s="1273">
        <f>AR91-SUM(AN91:AP91)</f>
        <v>34</v>
      </c>
      <c r="AR91" s="326">
        <v>123</v>
      </c>
      <c r="AS91" s="323">
        <v>32</v>
      </c>
      <c r="AT91" s="324">
        <v>27</v>
      </c>
      <c r="AU91" s="324">
        <v>28</v>
      </c>
      <c r="AV91" s="1273">
        <f>AW91-SUM(AS91:AU91)</f>
        <v>32</v>
      </c>
      <c r="AW91" s="326">
        <v>119</v>
      </c>
      <c r="AX91" s="149"/>
      <c r="AY91" s="156"/>
      <c r="AZ91" s="156"/>
      <c r="BA91" s="151"/>
      <c r="BB91" s="112"/>
      <c r="BC91" s="149"/>
      <c r="BD91" s="156"/>
      <c r="BE91" s="156"/>
      <c r="BF91" s="151"/>
      <c r="BG91" s="112"/>
      <c r="BH91" s="149"/>
      <c r="BI91" s="156"/>
      <c r="BJ91" s="156"/>
      <c r="BK91" s="151"/>
      <c r="BL91" s="112"/>
      <c r="BM91" s="149"/>
      <c r="BN91" s="156"/>
      <c r="BO91" s="156"/>
      <c r="BP91" s="151"/>
      <c r="BQ91" s="112"/>
      <c r="BR91" s="496"/>
      <c r="BS91" s="496"/>
      <c r="BT91" s="496"/>
      <c r="BU91" s="496"/>
      <c r="BV91" s="496"/>
      <c r="BW91" s="496"/>
      <c r="BX91" s="496"/>
      <c r="BY91" s="496"/>
      <c r="BZ91" s="496"/>
      <c r="CA91" s="496"/>
      <c r="CB91" s="496"/>
      <c r="CC91" s="496"/>
      <c r="CD91" s="496"/>
      <c r="CE91" s="496"/>
      <c r="CF91" s="496"/>
      <c r="CG91" s="496"/>
      <c r="CH91" s="496"/>
      <c r="CI91" s="496"/>
      <c r="CJ91" s="496"/>
      <c r="CK91" s="496"/>
      <c r="CL91" s="496"/>
      <c r="CM91" s="496"/>
      <c r="CN91" s="496"/>
      <c r="CO91" s="496"/>
      <c r="CP91" s="496"/>
      <c r="CQ91" s="496"/>
      <c r="CR91" s="496"/>
      <c r="CS91" s="496"/>
      <c r="CT91" s="496"/>
      <c r="CU91" s="496"/>
      <c r="CV91" s="496"/>
      <c r="CW91" s="496"/>
      <c r="CX91" s="496"/>
      <c r="CY91" s="496"/>
      <c r="CZ91" s="496"/>
    </row>
    <row r="92" spans="1:256">
      <c r="A92" s="765"/>
      <c r="B92" s="496"/>
      <c r="C92" s="56" t="s">
        <v>306</v>
      </c>
      <c r="D92" s="561"/>
      <c r="E92" s="305"/>
      <c r="F92" s="306"/>
      <c r="G92" s="306"/>
      <c r="H92" s="307"/>
      <c r="I92" s="303"/>
      <c r="J92" s="305"/>
      <c r="K92" s="306"/>
      <c r="L92" s="306"/>
      <c r="M92" s="307"/>
      <c r="N92" s="303"/>
      <c r="O92" s="305"/>
      <c r="P92" s="306"/>
      <c r="Q92" s="306"/>
      <c r="R92" s="307"/>
      <c r="S92" s="303"/>
      <c r="T92" s="305"/>
      <c r="U92" s="306"/>
      <c r="V92" s="306"/>
      <c r="W92" s="307"/>
      <c r="X92" s="120">
        <f t="shared" ref="X92:AF92" si="37">SUM(X88:X91)</f>
        <v>46903</v>
      </c>
      <c r="Y92" s="338">
        <f t="shared" si="37"/>
        <v>11767</v>
      </c>
      <c r="Z92" s="339">
        <f t="shared" si="37"/>
        <v>10736</v>
      </c>
      <c r="AA92" s="339">
        <f t="shared" si="37"/>
        <v>11603</v>
      </c>
      <c r="AB92" s="327">
        <f t="shared" si="37"/>
        <v>10608</v>
      </c>
      <c r="AC92" s="120">
        <f t="shared" si="37"/>
        <v>44714</v>
      </c>
      <c r="AD92" s="338">
        <f t="shared" si="37"/>
        <v>11817</v>
      </c>
      <c r="AE92" s="339">
        <f t="shared" si="37"/>
        <v>10220</v>
      </c>
      <c r="AF92" s="150">
        <f t="shared" si="37"/>
        <v>10900</v>
      </c>
      <c r="AG92" s="327">
        <f t="shared" ref="AG92:AM92" si="38">SUM(AG88:AG91)</f>
        <v>10764</v>
      </c>
      <c r="AH92" s="120">
        <f t="shared" si="38"/>
        <v>43701</v>
      </c>
      <c r="AI92" s="149">
        <f t="shared" si="38"/>
        <v>11662</v>
      </c>
      <c r="AJ92" s="339">
        <f t="shared" si="38"/>
        <v>10374</v>
      </c>
      <c r="AK92" s="150">
        <f t="shared" si="38"/>
        <v>11456</v>
      </c>
      <c r="AL92" s="327">
        <f t="shared" si="38"/>
        <v>9924</v>
      </c>
      <c r="AM92" s="120">
        <f t="shared" si="38"/>
        <v>43416</v>
      </c>
      <c r="AN92" s="149">
        <f t="shared" ref="AN92:AU92" si="39">SUM(AN88:AN91)</f>
        <v>10782</v>
      </c>
      <c r="AO92" s="339">
        <f t="shared" si="39"/>
        <v>10214</v>
      </c>
      <c r="AP92" s="339">
        <f t="shared" si="39"/>
        <v>12131</v>
      </c>
      <c r="AQ92" s="327">
        <f t="shared" si="39"/>
        <v>10261</v>
      </c>
      <c r="AR92" s="120">
        <f t="shared" si="39"/>
        <v>43388</v>
      </c>
      <c r="AS92" s="149">
        <f t="shared" si="39"/>
        <v>10722</v>
      </c>
      <c r="AT92" s="339">
        <f t="shared" si="39"/>
        <v>10133</v>
      </c>
      <c r="AU92" s="339">
        <f t="shared" si="39"/>
        <v>11186</v>
      </c>
      <c r="AV92" s="327">
        <f t="shared" ref="AV92:AW92" si="40">SUM(AV88:AV91)</f>
        <v>10668</v>
      </c>
      <c r="AW92" s="120">
        <f t="shared" si="40"/>
        <v>42709</v>
      </c>
      <c r="AX92" s="149">
        <f>AS92*(1+AX94)</f>
        <v>10722</v>
      </c>
      <c r="AY92" s="150">
        <f>AT92*(1+AY94)</f>
        <v>10133</v>
      </c>
      <c r="AZ92" s="150">
        <f>AU92*(1+AZ94)</f>
        <v>11186</v>
      </c>
      <c r="BA92" s="151">
        <f>AV92*(1+BA94)</f>
        <v>10668</v>
      </c>
      <c r="BB92" s="112">
        <f>SUM(AX92:BA92)</f>
        <v>42709</v>
      </c>
      <c r="BC92" s="149">
        <f>AX92*(1+BC94)</f>
        <v>10722</v>
      </c>
      <c r="BD92" s="150">
        <f>AY92*(1+BD94)</f>
        <v>10133</v>
      </c>
      <c r="BE92" s="150">
        <f>AZ92*(1+BE94)</f>
        <v>11186</v>
      </c>
      <c r="BF92" s="151">
        <f>BA92*(1+BF94)</f>
        <v>10668</v>
      </c>
      <c r="BG92" s="112">
        <f>SUM(BC92:BF92)</f>
        <v>42709</v>
      </c>
      <c r="BH92" s="149">
        <f>BC92*(1+BH94)</f>
        <v>10722</v>
      </c>
      <c r="BI92" s="150">
        <f>BD92*(1+BI94)</f>
        <v>10133</v>
      </c>
      <c r="BJ92" s="150">
        <f>BE92*(1+BJ94)</f>
        <v>11186</v>
      </c>
      <c r="BK92" s="151">
        <f>BF92*(1+BK94)</f>
        <v>10668</v>
      </c>
      <c r="BL92" s="112">
        <f>SUM(BH92:BK92)</f>
        <v>42709</v>
      </c>
      <c r="BM92" s="149">
        <f>BH92*(1+BM94)</f>
        <v>10722</v>
      </c>
      <c r="BN92" s="150">
        <f>BI92*(1+BN94)</f>
        <v>10133</v>
      </c>
      <c r="BO92" s="150">
        <f>BJ92*(1+BO94)</f>
        <v>11186</v>
      </c>
      <c r="BP92" s="151">
        <f>BK92*(1+BP94)</f>
        <v>10668</v>
      </c>
      <c r="BQ92" s="112">
        <f>SUM(BM92:BP92)</f>
        <v>42709</v>
      </c>
      <c r="BR92" s="496"/>
      <c r="BS92" s="1274"/>
      <c r="BT92" s="496"/>
      <c r="BU92" s="496"/>
      <c r="BV92" s="496"/>
      <c r="BW92" s="496"/>
      <c r="BX92" s="496"/>
      <c r="BY92" s="496"/>
      <c r="BZ92" s="496"/>
      <c r="CA92" s="496"/>
      <c r="CB92" s="496"/>
      <c r="CC92" s="496"/>
      <c r="CD92" s="496"/>
      <c r="CE92" s="496"/>
      <c r="CF92" s="496"/>
      <c r="CG92" s="496"/>
      <c r="CH92" s="496"/>
      <c r="CI92" s="496"/>
      <c r="CJ92" s="496"/>
      <c r="CK92" s="496"/>
      <c r="CL92" s="496"/>
      <c r="CM92" s="496"/>
      <c r="CN92" s="496"/>
      <c r="CO92" s="496"/>
      <c r="CP92" s="496"/>
      <c r="CQ92" s="496"/>
      <c r="CR92" s="496"/>
      <c r="CS92" s="496"/>
      <c r="CT92" s="496"/>
      <c r="CU92" s="496"/>
      <c r="CV92" s="496"/>
      <c r="CW92" s="496"/>
      <c r="CX92" s="496"/>
      <c r="CY92" s="496"/>
      <c r="CZ92" s="496"/>
      <c r="DA92" s="570"/>
      <c r="DB92" s="570"/>
      <c r="DC92" s="570"/>
      <c r="DD92" s="570"/>
      <c r="DE92" s="570"/>
      <c r="DF92" s="570"/>
      <c r="DG92" s="570"/>
      <c r="DH92" s="570"/>
      <c r="DI92" s="570"/>
      <c r="DJ92" s="570"/>
      <c r="DK92" s="570"/>
      <c r="DL92" s="570"/>
      <c r="DM92" s="570"/>
      <c r="DN92" s="570"/>
      <c r="DO92" s="570"/>
      <c r="DP92" s="570"/>
      <c r="DQ92" s="570"/>
      <c r="DR92" s="570"/>
      <c r="DS92" s="570"/>
      <c r="DT92" s="570"/>
      <c r="DU92" s="570"/>
      <c r="DV92" s="570"/>
      <c r="DW92" s="570"/>
      <c r="DX92" s="570"/>
      <c r="DY92" s="570"/>
      <c r="DZ92" s="570"/>
      <c r="EA92" s="570"/>
      <c r="EB92" s="570"/>
      <c r="EC92" s="570"/>
      <c r="ED92" s="570"/>
      <c r="EE92" s="570"/>
      <c r="EF92" s="570"/>
      <c r="EG92" s="570"/>
      <c r="EH92" s="570"/>
      <c r="EI92" s="570"/>
      <c r="EJ92" s="570"/>
      <c r="EK92" s="570"/>
      <c r="EL92" s="570"/>
      <c r="EM92" s="570"/>
      <c r="EN92" s="570"/>
      <c r="EO92" s="570"/>
      <c r="EP92" s="570"/>
      <c r="EQ92" s="570"/>
      <c r="ER92" s="570"/>
      <c r="ES92" s="570"/>
      <c r="ET92" s="570"/>
      <c r="EU92" s="570"/>
      <c r="EV92" s="570"/>
      <c r="EW92" s="570"/>
      <c r="EX92" s="570"/>
      <c r="EY92" s="570"/>
      <c r="EZ92" s="570"/>
      <c r="FA92" s="570"/>
      <c r="FB92" s="570"/>
      <c r="FC92" s="570"/>
      <c r="FD92" s="570"/>
      <c r="FE92" s="570"/>
      <c r="FF92" s="570"/>
      <c r="FG92" s="570"/>
      <c r="FH92" s="570"/>
      <c r="FI92" s="570"/>
      <c r="FJ92" s="570"/>
      <c r="FK92" s="570"/>
      <c r="FL92" s="570"/>
      <c r="FM92" s="570"/>
      <c r="FN92" s="570"/>
      <c r="FO92" s="570"/>
      <c r="FP92" s="570"/>
      <c r="FQ92" s="570"/>
      <c r="FR92" s="570"/>
      <c r="FS92" s="570"/>
      <c r="FT92" s="570"/>
      <c r="FU92" s="570"/>
      <c r="FV92" s="570"/>
      <c r="FW92" s="570"/>
      <c r="FX92" s="570"/>
      <c r="FY92" s="570"/>
      <c r="FZ92" s="570"/>
      <c r="GA92" s="570"/>
      <c r="GB92" s="570"/>
      <c r="GC92" s="570"/>
      <c r="GD92" s="570"/>
      <c r="GE92" s="570"/>
      <c r="GF92" s="570"/>
      <c r="GG92" s="570"/>
      <c r="GH92" s="570"/>
      <c r="GI92" s="570"/>
      <c r="GJ92" s="570"/>
      <c r="GK92" s="570"/>
      <c r="GL92" s="570"/>
      <c r="GM92" s="570"/>
      <c r="GN92" s="570"/>
      <c r="GO92" s="570"/>
      <c r="GP92" s="570"/>
      <c r="GQ92" s="570"/>
      <c r="GR92" s="570"/>
      <c r="GS92" s="570"/>
      <c r="GT92" s="570"/>
      <c r="GU92" s="570"/>
      <c r="GV92" s="570"/>
      <c r="GW92" s="570"/>
      <c r="GX92" s="570"/>
      <c r="GY92" s="570"/>
      <c r="GZ92" s="570"/>
      <c r="HA92" s="570"/>
      <c r="HB92" s="570"/>
      <c r="HC92" s="570"/>
      <c r="HD92" s="570"/>
      <c r="HE92" s="570"/>
      <c r="HF92" s="570"/>
      <c r="HG92" s="570"/>
      <c r="HH92" s="570"/>
      <c r="HI92" s="570"/>
      <c r="HJ92" s="570"/>
      <c r="HK92" s="570"/>
      <c r="HL92" s="570"/>
      <c r="HM92" s="570"/>
      <c r="HN92" s="570"/>
      <c r="HO92" s="570"/>
      <c r="HP92" s="570"/>
      <c r="HQ92" s="570"/>
      <c r="HR92" s="570"/>
      <c r="HS92" s="570"/>
      <c r="HT92" s="570"/>
      <c r="HU92" s="570"/>
      <c r="HV92" s="570"/>
      <c r="HW92" s="570"/>
      <c r="HX92" s="570"/>
      <c r="HY92" s="570"/>
      <c r="HZ92" s="570"/>
      <c r="IA92" s="570"/>
      <c r="IB92" s="570"/>
      <c r="IC92" s="570"/>
      <c r="ID92" s="570"/>
      <c r="IE92" s="570"/>
      <c r="IF92" s="570"/>
      <c r="IG92" s="570"/>
      <c r="IH92" s="570"/>
      <c r="II92" s="570"/>
      <c r="IJ92" s="570"/>
      <c r="IK92" s="570"/>
      <c r="IL92" s="570"/>
      <c r="IM92" s="570"/>
      <c r="IN92" s="570"/>
      <c r="IO92" s="570"/>
      <c r="IP92" s="570"/>
      <c r="IQ92" s="570"/>
      <c r="IR92" s="570"/>
      <c r="IS92" s="570"/>
      <c r="IT92" s="570"/>
      <c r="IU92" s="570"/>
      <c r="IV92" s="570"/>
    </row>
    <row r="93" spans="1:256">
      <c r="A93" s="765"/>
      <c r="C93" s="56"/>
      <c r="E93" s="305"/>
      <c r="F93" s="306"/>
      <c r="G93" s="306"/>
      <c r="H93" s="307"/>
      <c r="I93" s="303"/>
      <c r="J93" s="305"/>
      <c r="K93" s="306"/>
      <c r="L93" s="306"/>
      <c r="M93" s="307"/>
      <c r="N93" s="303"/>
      <c r="O93" s="305"/>
      <c r="P93" s="306"/>
      <c r="Q93" s="306"/>
      <c r="R93" s="307"/>
      <c r="S93" s="303"/>
      <c r="T93" s="305"/>
      <c r="U93" s="306"/>
      <c r="V93" s="306"/>
      <c r="W93" s="307"/>
      <c r="X93" s="191"/>
      <c r="Y93" s="289"/>
      <c r="Z93" s="290"/>
      <c r="AA93" s="290"/>
      <c r="AB93" s="291"/>
      <c r="AC93" s="191"/>
      <c r="AD93" s="289"/>
      <c r="AE93" s="290"/>
      <c r="AF93" s="290"/>
      <c r="AG93" s="291"/>
      <c r="AH93" s="191"/>
      <c r="AI93" s="289"/>
      <c r="AJ93" s="290"/>
      <c r="AK93" s="290"/>
      <c r="AL93" s="291"/>
      <c r="AM93" s="191"/>
      <c r="AN93" s="289"/>
      <c r="AO93" s="290"/>
      <c r="AP93" s="290"/>
      <c r="AQ93" s="291"/>
      <c r="AR93" s="191"/>
      <c r="AS93" s="289"/>
      <c r="AT93" s="290"/>
      <c r="AU93" s="290"/>
      <c r="AV93" s="291"/>
      <c r="AW93" s="191"/>
      <c r="AX93" s="289"/>
      <c r="AY93" s="290"/>
      <c r="AZ93" s="290"/>
      <c r="BA93" s="291"/>
      <c r="BB93" s="191"/>
      <c r="BC93" s="289"/>
      <c r="BD93" s="290"/>
      <c r="BE93" s="290"/>
      <c r="BF93" s="291"/>
      <c r="BG93" s="191"/>
      <c r="BH93" s="289"/>
      <c r="BI93" s="290"/>
      <c r="BJ93" s="290"/>
      <c r="BK93" s="291"/>
      <c r="BL93" s="191"/>
      <c r="BM93" s="289"/>
      <c r="BN93" s="290"/>
      <c r="BO93" s="290"/>
      <c r="BP93" s="291"/>
      <c r="BQ93" s="191"/>
    </row>
    <row r="94" spans="1:256">
      <c r="A94" s="765"/>
      <c r="B94" s="1272"/>
      <c r="C94" s="1272" t="s">
        <v>209</v>
      </c>
      <c r="D94" s="1272"/>
      <c r="E94" s="305"/>
      <c r="F94" s="306"/>
      <c r="G94" s="306"/>
      <c r="H94" s="307"/>
      <c r="I94" s="303"/>
      <c r="J94" s="305"/>
      <c r="K94" s="306"/>
      <c r="L94" s="306"/>
      <c r="M94" s="307"/>
      <c r="N94" s="303"/>
      <c r="O94" s="305"/>
      <c r="P94" s="306"/>
      <c r="Q94" s="306"/>
      <c r="R94" s="307"/>
      <c r="S94" s="303"/>
      <c r="T94" s="305"/>
      <c r="U94" s="306"/>
      <c r="V94" s="306"/>
      <c r="W94" s="307"/>
      <c r="X94" s="1214"/>
      <c r="Y94" s="1215"/>
      <c r="Z94" s="1275"/>
      <c r="AA94" s="1275"/>
      <c r="AB94" s="1213"/>
      <c r="AC94" s="1214">
        <f>+AC92/X92-1</f>
        <v>-4.6670788648913719E-2</v>
      </c>
      <c r="AD94" s="1215"/>
      <c r="AE94" s="1212"/>
      <c r="AF94" s="1212"/>
      <c r="AG94" s="1213"/>
      <c r="AH94" s="1214">
        <f>+AH92/AC92-1</f>
        <v>-2.2655096837679523E-2</v>
      </c>
      <c r="AI94" s="368"/>
      <c r="AJ94" s="232"/>
      <c r="AK94" s="232"/>
      <c r="AL94" s="233"/>
      <c r="AM94" s="1214">
        <f>+AM92/AH92-1</f>
        <v>-6.5215898949680939E-3</v>
      </c>
      <c r="AN94" s="368"/>
      <c r="AO94" s="232"/>
      <c r="AP94" s="232"/>
      <c r="AQ94" s="233"/>
      <c r="AR94" s="1214">
        <f>+AR92/AM92-1</f>
        <v>-6.4492353049572237E-4</v>
      </c>
      <c r="AS94" s="368"/>
      <c r="AT94" s="232"/>
      <c r="AU94" s="232"/>
      <c r="AV94" s="233"/>
      <c r="AW94" s="1214">
        <f>+AW92/AR92-1</f>
        <v>-1.564948833778923E-2</v>
      </c>
      <c r="AX94" s="368">
        <v>0</v>
      </c>
      <c r="AY94" s="232">
        <v>0</v>
      </c>
      <c r="AZ94" s="232">
        <v>0</v>
      </c>
      <c r="BA94" s="233">
        <v>0</v>
      </c>
      <c r="BB94" s="1214">
        <f>+BB92/AW92-1</f>
        <v>0</v>
      </c>
      <c r="BC94" s="1215">
        <f>+AX94</f>
        <v>0</v>
      </c>
      <c r="BD94" s="1212">
        <f>+AY94</f>
        <v>0</v>
      </c>
      <c r="BE94" s="1212">
        <f>+AZ94</f>
        <v>0</v>
      </c>
      <c r="BF94" s="1213">
        <f>+BA94</f>
        <v>0</v>
      </c>
      <c r="BG94" s="1214">
        <f>+BG92/BB92-1</f>
        <v>0</v>
      </c>
      <c r="BH94" s="1215">
        <f>+BC94</f>
        <v>0</v>
      </c>
      <c r="BI94" s="1212">
        <f>+BD94</f>
        <v>0</v>
      </c>
      <c r="BJ94" s="1212">
        <f>+BE94</f>
        <v>0</v>
      </c>
      <c r="BK94" s="1213">
        <f>+BF94</f>
        <v>0</v>
      </c>
      <c r="BL94" s="1214">
        <f>+BL92/BG92-1</f>
        <v>0</v>
      </c>
      <c r="BM94" s="1215">
        <f>+BH94</f>
        <v>0</v>
      </c>
      <c r="BN94" s="1212">
        <f>+BI94</f>
        <v>0</v>
      </c>
      <c r="BO94" s="1212">
        <f>+BJ94</f>
        <v>0</v>
      </c>
      <c r="BP94" s="1213">
        <f>+BK94</f>
        <v>0</v>
      </c>
      <c r="BQ94" s="1214">
        <f>+BQ92/BL92-1</f>
        <v>0</v>
      </c>
      <c r="BR94" s="1272"/>
      <c r="BS94" s="1272"/>
      <c r="BT94" s="1272"/>
      <c r="BU94" s="1272"/>
      <c r="BV94" s="1272"/>
      <c r="BW94" s="1272"/>
      <c r="BX94" s="1272"/>
      <c r="BY94" s="1272"/>
      <c r="BZ94" s="1272"/>
      <c r="CA94" s="1272"/>
      <c r="CB94" s="1272"/>
      <c r="CC94" s="1272"/>
      <c r="CD94" s="1272"/>
      <c r="CE94" s="1272"/>
      <c r="CF94" s="1272"/>
      <c r="CG94" s="1272"/>
      <c r="CH94" s="1272"/>
      <c r="CI94" s="1272"/>
      <c r="CJ94" s="1272"/>
      <c r="CK94" s="1272"/>
      <c r="CL94" s="1272"/>
      <c r="CM94" s="1272"/>
      <c r="CN94" s="1272"/>
      <c r="CO94" s="1272"/>
      <c r="CP94" s="1272"/>
      <c r="CQ94" s="1272"/>
      <c r="CR94" s="1272"/>
      <c r="CS94" s="1272"/>
      <c r="CT94" s="1272"/>
      <c r="CU94" s="1272"/>
      <c r="CV94" s="1272"/>
      <c r="CW94" s="1272"/>
      <c r="CX94" s="1272"/>
      <c r="CY94" s="1272"/>
      <c r="CZ94" s="1272"/>
    </row>
    <row r="95" spans="1:256">
      <c r="A95" s="765"/>
      <c r="B95" s="1272"/>
      <c r="C95" s="1272"/>
      <c r="D95" s="1272"/>
      <c r="E95" s="305"/>
      <c r="F95" s="306"/>
      <c r="G95" s="306"/>
      <c r="H95" s="307"/>
      <c r="I95" s="303"/>
      <c r="J95" s="305"/>
      <c r="K95" s="306"/>
      <c r="L95" s="306"/>
      <c r="M95" s="307"/>
      <c r="N95" s="303"/>
      <c r="O95" s="305"/>
      <c r="P95" s="306"/>
      <c r="Q95" s="306"/>
      <c r="R95" s="307"/>
      <c r="S95" s="303"/>
      <c r="T95" s="305"/>
      <c r="U95" s="306"/>
      <c r="V95" s="306"/>
      <c r="W95" s="307"/>
      <c r="X95" s="1214"/>
      <c r="Y95" s="1215"/>
      <c r="Z95" s="1275"/>
      <c r="AA95" s="1275"/>
      <c r="AB95" s="1213"/>
      <c r="AC95" s="1214"/>
      <c r="AD95" s="1215"/>
      <c r="AE95" s="1212"/>
      <c r="AF95" s="1212"/>
      <c r="AG95" s="1213"/>
      <c r="AH95" s="1214"/>
      <c r="AI95" s="368"/>
      <c r="AJ95" s="232"/>
      <c r="AK95" s="232"/>
      <c r="AL95" s="233"/>
      <c r="AM95" s="1214"/>
      <c r="AN95" s="368"/>
      <c r="AO95" s="232"/>
      <c r="AP95" s="232"/>
      <c r="AQ95" s="233"/>
      <c r="AR95" s="1214"/>
      <c r="AS95" s="368"/>
      <c r="AT95" s="232"/>
      <c r="AU95" s="232"/>
      <c r="AV95" s="233"/>
      <c r="AW95" s="1214"/>
      <c r="AX95" s="368"/>
      <c r="AY95" s="232"/>
      <c r="AZ95" s="232"/>
      <c r="BA95" s="233"/>
      <c r="BB95" s="1214"/>
      <c r="BC95" s="1215"/>
      <c r="BD95" s="1212"/>
      <c r="BE95" s="1212"/>
      <c r="BF95" s="1213"/>
      <c r="BG95" s="1214"/>
      <c r="BH95" s="1215"/>
      <c r="BI95" s="1212"/>
      <c r="BJ95" s="1212"/>
      <c r="BK95" s="1213"/>
      <c r="BL95" s="1214"/>
      <c r="BM95" s="1215"/>
      <c r="BN95" s="1212"/>
      <c r="BO95" s="1212"/>
      <c r="BP95" s="1213"/>
      <c r="BQ95" s="1214"/>
      <c r="BR95" s="1272"/>
      <c r="BS95" s="1272"/>
      <c r="BT95" s="1272"/>
      <c r="BU95" s="1272"/>
      <c r="BV95" s="1272"/>
      <c r="BW95" s="1272"/>
      <c r="BX95" s="1272"/>
      <c r="BY95" s="1272"/>
      <c r="BZ95" s="1272"/>
      <c r="CA95" s="1272"/>
      <c r="CB95" s="1272"/>
      <c r="CC95" s="1272"/>
      <c r="CD95" s="1272"/>
      <c r="CE95" s="1272"/>
      <c r="CF95" s="1272"/>
      <c r="CG95" s="1272"/>
      <c r="CH95" s="1272"/>
      <c r="CI95" s="1272"/>
      <c r="CJ95" s="1272"/>
      <c r="CK95" s="1272"/>
      <c r="CL95" s="1272"/>
      <c r="CM95" s="1272"/>
      <c r="CN95" s="1272"/>
      <c r="CO95" s="1272"/>
      <c r="CP95" s="1272"/>
      <c r="CQ95" s="1272"/>
      <c r="CR95" s="1272"/>
      <c r="CS95" s="1272"/>
      <c r="CT95" s="1272"/>
      <c r="CU95" s="1272"/>
      <c r="CV95" s="1272"/>
      <c r="CW95" s="1272"/>
      <c r="CX95" s="1272"/>
      <c r="CY95" s="1272"/>
      <c r="CZ95" s="1272"/>
    </row>
    <row r="96" spans="1:256">
      <c r="A96" s="765"/>
      <c r="B96" s="1272"/>
      <c r="C96" s="1272" t="s">
        <v>1266</v>
      </c>
      <c r="D96" s="1272"/>
      <c r="E96" s="305"/>
      <c r="F96" s="306"/>
      <c r="G96" s="306"/>
      <c r="H96" s="307"/>
      <c r="I96" s="303"/>
      <c r="J96" s="305"/>
      <c r="K96" s="306"/>
      <c r="L96" s="306"/>
      <c r="M96" s="307"/>
      <c r="N96" s="303"/>
      <c r="O96" s="305"/>
      <c r="P96" s="306"/>
      <c r="Q96" s="306"/>
      <c r="R96" s="307"/>
      <c r="S96" s="303"/>
      <c r="T96" s="305"/>
      <c r="U96" s="306"/>
      <c r="V96" s="306"/>
      <c r="W96" s="307"/>
      <c r="X96" s="1214"/>
      <c r="Y96" s="1215"/>
      <c r="Z96" s="1275"/>
      <c r="AA96" s="1275"/>
      <c r="AB96" s="1213"/>
      <c r="AC96" s="1214"/>
      <c r="AD96" s="1215"/>
      <c r="AE96" s="1212"/>
      <c r="AF96" s="1212"/>
      <c r="AG96" s="1213"/>
      <c r="AH96" s="1214"/>
      <c r="AI96" s="368"/>
      <c r="AJ96" s="232"/>
      <c r="AK96" s="232"/>
      <c r="AL96" s="233"/>
      <c r="AM96" s="1214"/>
      <c r="AN96" s="368"/>
      <c r="AO96" s="232"/>
      <c r="AP96" s="232"/>
      <c r="AQ96" s="233"/>
      <c r="AR96" s="1214"/>
      <c r="AS96" s="368"/>
      <c r="AT96" s="232"/>
      <c r="AU96" s="232"/>
      <c r="AV96" s="233"/>
      <c r="AW96" s="1214"/>
      <c r="AX96" s="1271">
        <f>AX61*0.6+AX62*0.4</f>
        <v>37.523992462228627</v>
      </c>
      <c r="AY96" s="1287">
        <f t="shared" ref="AY96:BL96" si="41">AY61*0.6+AY62*0.4</f>
        <v>31.47</v>
      </c>
      <c r="AZ96" s="1287">
        <f t="shared" si="41"/>
        <v>32.706666666666663</v>
      </c>
      <c r="BA96" s="1278">
        <f t="shared" si="41"/>
        <v>30.566666666666666</v>
      </c>
      <c r="BB96" s="1280">
        <f t="shared" si="41"/>
        <v>33.06683144889049</v>
      </c>
      <c r="BC96" s="1271">
        <f t="shared" si="41"/>
        <v>34.289048645462096</v>
      </c>
      <c r="BD96" s="1287">
        <f t="shared" si="41"/>
        <v>27.369061078641501</v>
      </c>
      <c r="BE96" s="1287">
        <f t="shared" si="41"/>
        <v>29.101262416735818</v>
      </c>
      <c r="BF96" s="1278">
        <f t="shared" si="41"/>
        <v>33.130481192280591</v>
      </c>
      <c r="BG96" s="1280">
        <f t="shared" si="41"/>
        <v>30.97246333328</v>
      </c>
      <c r="BH96" s="1271">
        <f t="shared" si="41"/>
        <v>33.897951868654232</v>
      </c>
      <c r="BI96" s="1287">
        <f t="shared" si="41"/>
        <v>27.420052881484949</v>
      </c>
      <c r="BJ96" s="1287">
        <f t="shared" si="41"/>
        <v>33.639947604563289</v>
      </c>
      <c r="BK96" s="1278">
        <f t="shared" si="41"/>
        <v>32.164792882474217</v>
      </c>
      <c r="BL96" s="1280">
        <f t="shared" si="41"/>
        <v>31.780686309294168</v>
      </c>
      <c r="BM96" s="1271">
        <f>BM61*0.6+BM62*0.4</f>
        <v>31.483517023646662</v>
      </c>
      <c r="BN96" s="1287">
        <f>BN61*0.6+BN62*0.4</f>
        <v>29.704155685147782</v>
      </c>
      <c r="BO96" s="1287">
        <f>BO61*0.6+BO62*0.4</f>
        <v>29.741726177424695</v>
      </c>
      <c r="BP96" s="1278">
        <f>BP61*0.6+BP62*0.4</f>
        <v>30.683078290092038</v>
      </c>
      <c r="BQ96" s="1280">
        <f>BQ61*0.6+BQ62*0.4</f>
        <v>30.403119294077793</v>
      </c>
      <c r="BR96" s="1272"/>
      <c r="BS96" s="1272"/>
      <c r="BT96" s="1272"/>
      <c r="BU96" s="1272"/>
      <c r="BV96" s="1272"/>
      <c r="BW96" s="1272"/>
      <c r="BX96" s="1272"/>
      <c r="BY96" s="1272"/>
      <c r="BZ96" s="1272"/>
      <c r="CA96" s="1272"/>
      <c r="CB96" s="1272"/>
      <c r="CC96" s="1272"/>
      <c r="CD96" s="1272"/>
      <c r="CE96" s="1272"/>
      <c r="CF96" s="1272"/>
      <c r="CG96" s="1272"/>
      <c r="CH96" s="1272"/>
      <c r="CI96" s="1272"/>
      <c r="CJ96" s="1272"/>
      <c r="CK96" s="1272"/>
      <c r="CL96" s="1272"/>
      <c r="CM96" s="1272"/>
      <c r="CN96" s="1272"/>
      <c r="CO96" s="1272"/>
      <c r="CP96" s="1272"/>
      <c r="CQ96" s="1272"/>
      <c r="CR96" s="1272"/>
      <c r="CS96" s="1272"/>
      <c r="CT96" s="1272"/>
      <c r="CU96" s="1272"/>
      <c r="CV96" s="1272"/>
      <c r="CW96" s="1272"/>
      <c r="CX96" s="1272"/>
      <c r="CY96" s="1272"/>
      <c r="CZ96" s="1272"/>
    </row>
    <row r="97" spans="1:104">
      <c r="A97" s="765"/>
      <c r="B97" s="1272"/>
      <c r="C97" s="1272" t="s">
        <v>1267</v>
      </c>
      <c r="D97" s="1272"/>
      <c r="E97" s="305"/>
      <c r="F97" s="306"/>
      <c r="G97" s="306"/>
      <c r="H97" s="307"/>
      <c r="I97" s="303"/>
      <c r="J97" s="305"/>
      <c r="K97" s="306"/>
      <c r="L97" s="306"/>
      <c r="M97" s="307"/>
      <c r="N97" s="303"/>
      <c r="O97" s="305"/>
      <c r="P97" s="306"/>
      <c r="Q97" s="306"/>
      <c r="R97" s="307"/>
      <c r="S97" s="303"/>
      <c r="T97" s="305"/>
      <c r="U97" s="306"/>
      <c r="V97" s="306"/>
      <c r="W97" s="307"/>
      <c r="X97" s="1214"/>
      <c r="Y97" s="1215"/>
      <c r="Z97" s="1275"/>
      <c r="AA97" s="1275"/>
      <c r="AB97" s="1213"/>
      <c r="AC97" s="1214"/>
      <c r="AD97" s="1215"/>
      <c r="AE97" s="1212"/>
      <c r="AF97" s="1212"/>
      <c r="AG97" s="1213"/>
      <c r="AH97" s="1214"/>
      <c r="AI97" s="368"/>
      <c r="AJ97" s="232"/>
      <c r="AK97" s="232"/>
      <c r="AL97" s="233"/>
      <c r="AM97" s="1214"/>
      <c r="AN97" s="368"/>
      <c r="AO97" s="232"/>
      <c r="AP97" s="232"/>
      <c r="AQ97" s="233"/>
      <c r="AR97" s="1214"/>
      <c r="AS97" s="368"/>
      <c r="AT97" s="232"/>
      <c r="AU97" s="232"/>
      <c r="AV97" s="233"/>
      <c r="AW97" s="1214"/>
      <c r="AX97" s="1271">
        <f>AY97</f>
        <v>2</v>
      </c>
      <c r="AY97" s="1287">
        <f>AZ97</f>
        <v>2</v>
      </c>
      <c r="AZ97" s="1287">
        <f>BA97</f>
        <v>2</v>
      </c>
      <c r="BA97" s="1278">
        <f>BB97</f>
        <v>2</v>
      </c>
      <c r="BB97">
        <v>2</v>
      </c>
      <c r="BC97" s="1271">
        <f>BD97</f>
        <v>2</v>
      </c>
      <c r="BD97" s="1287">
        <f>BE97</f>
        <v>2</v>
      </c>
      <c r="BE97" s="1287">
        <f>BF97</f>
        <v>2</v>
      </c>
      <c r="BF97" s="1278">
        <f>BG97</f>
        <v>2</v>
      </c>
      <c r="BG97">
        <v>2</v>
      </c>
      <c r="BH97" s="1271">
        <f>BI97</f>
        <v>2</v>
      </c>
      <c r="BI97" s="1287">
        <f>BJ97</f>
        <v>2</v>
      </c>
      <c r="BJ97" s="1287">
        <f>BK97</f>
        <v>2</v>
      </c>
      <c r="BK97" s="1278">
        <f>BL97</f>
        <v>2</v>
      </c>
      <c r="BL97">
        <v>2</v>
      </c>
      <c r="BM97" s="1271">
        <f>BN97</f>
        <v>2</v>
      </c>
      <c r="BN97" s="1287">
        <f>BO97</f>
        <v>2</v>
      </c>
      <c r="BO97" s="1287">
        <f>BP97</f>
        <v>2</v>
      </c>
      <c r="BP97" s="1278">
        <f>BQ97</f>
        <v>2</v>
      </c>
      <c r="BQ97">
        <v>2</v>
      </c>
      <c r="BR97" s="1272"/>
      <c r="BS97" s="1272"/>
      <c r="BT97" s="1272"/>
      <c r="BU97" s="1272"/>
      <c r="BV97" s="1272"/>
      <c r="BW97" s="1272"/>
      <c r="BX97" s="1272"/>
      <c r="BY97" s="1272"/>
      <c r="BZ97" s="1272"/>
      <c r="CA97" s="1272"/>
      <c r="CB97" s="1272"/>
      <c r="CC97" s="1272"/>
      <c r="CD97" s="1272"/>
      <c r="CE97" s="1272"/>
      <c r="CF97" s="1272"/>
      <c r="CG97" s="1272"/>
      <c r="CH97" s="1272"/>
      <c r="CI97" s="1272"/>
      <c r="CJ97" s="1272"/>
      <c r="CK97" s="1272"/>
      <c r="CL97" s="1272"/>
      <c r="CM97" s="1272"/>
      <c r="CN97" s="1272"/>
      <c r="CO97" s="1272"/>
      <c r="CP97" s="1272"/>
      <c r="CQ97" s="1272"/>
      <c r="CR97" s="1272"/>
      <c r="CS97" s="1272"/>
      <c r="CT97" s="1272"/>
      <c r="CU97" s="1272"/>
      <c r="CV97" s="1272"/>
      <c r="CW97" s="1272"/>
      <c r="CX97" s="1272"/>
      <c r="CY97" s="1272"/>
      <c r="CZ97" s="1272"/>
    </row>
    <row r="98" spans="1:104">
      <c r="A98" s="765"/>
      <c r="B98" s="1272"/>
      <c r="C98" s="1272"/>
      <c r="D98" s="1272"/>
      <c r="E98" s="305"/>
      <c r="F98" s="306"/>
      <c r="G98" s="306"/>
      <c r="H98" s="307"/>
      <c r="I98" s="303"/>
      <c r="J98" s="305"/>
      <c r="K98" s="306"/>
      <c r="L98" s="306"/>
      <c r="M98" s="307"/>
      <c r="N98" s="303"/>
      <c r="O98" s="305"/>
      <c r="P98" s="306"/>
      <c r="Q98" s="306"/>
      <c r="R98" s="307"/>
      <c r="S98" s="303"/>
      <c r="T98" s="305"/>
      <c r="U98" s="306"/>
      <c r="V98" s="306"/>
      <c r="W98" s="307"/>
      <c r="X98" s="1214"/>
      <c r="Y98" s="1215"/>
      <c r="Z98" s="1275"/>
      <c r="AA98" s="1275"/>
      <c r="AB98" s="1213"/>
      <c r="AC98" s="1214"/>
      <c r="AD98" s="1215"/>
      <c r="AE98" s="1212"/>
      <c r="AF98" s="1212"/>
      <c r="AG98" s="1213"/>
      <c r="AH98" s="1214"/>
      <c r="AI98" s="368"/>
      <c r="AJ98" s="232"/>
      <c r="AK98" s="232"/>
      <c r="AL98" s="233"/>
      <c r="AM98" s="1214"/>
      <c r="AN98" s="368"/>
      <c r="AO98" s="232"/>
      <c r="AP98" s="232"/>
      <c r="AQ98" s="233"/>
      <c r="AR98" s="1214"/>
      <c r="AS98" s="368"/>
      <c r="AT98" s="232"/>
      <c r="AU98" s="232"/>
      <c r="AV98" s="233"/>
      <c r="AW98" s="1214"/>
      <c r="AX98" s="368"/>
      <c r="AY98" s="232"/>
      <c r="AZ98" s="232"/>
      <c r="BA98" s="233"/>
      <c r="BB98" s="1214"/>
      <c r="BC98" s="1215"/>
      <c r="BD98" s="1212"/>
      <c r="BE98" s="1212"/>
      <c r="BF98" s="1213"/>
      <c r="BG98" s="1214"/>
      <c r="BH98" s="1215"/>
      <c r="BI98" s="1212"/>
      <c r="BJ98" s="1212"/>
      <c r="BK98" s="1213"/>
      <c r="BL98" s="1214"/>
      <c r="BM98" s="1215"/>
      <c r="BN98" s="1212"/>
      <c r="BO98" s="1212"/>
      <c r="BP98" s="1213"/>
      <c r="BQ98" s="1214"/>
      <c r="BR98" s="1272"/>
      <c r="BS98" s="1272"/>
      <c r="BT98" s="1272"/>
      <c r="BU98" s="1272"/>
      <c r="BV98" s="1272"/>
      <c r="BW98" s="1272"/>
      <c r="BX98" s="1272"/>
      <c r="BY98" s="1272"/>
      <c r="BZ98" s="1272"/>
      <c r="CA98" s="1272"/>
      <c r="CB98" s="1272"/>
      <c r="CC98" s="1272"/>
      <c r="CD98" s="1272"/>
      <c r="CE98" s="1272"/>
      <c r="CF98" s="1272"/>
      <c r="CG98" s="1272"/>
      <c r="CH98" s="1272"/>
      <c r="CI98" s="1272"/>
      <c r="CJ98" s="1272"/>
      <c r="CK98" s="1272"/>
      <c r="CL98" s="1272"/>
      <c r="CM98" s="1272"/>
      <c r="CN98" s="1272"/>
      <c r="CO98" s="1272"/>
      <c r="CP98" s="1272"/>
      <c r="CQ98" s="1272"/>
      <c r="CR98" s="1272"/>
      <c r="CS98" s="1272"/>
      <c r="CT98" s="1272"/>
      <c r="CU98" s="1272"/>
      <c r="CV98" s="1272"/>
      <c r="CW98" s="1272"/>
      <c r="CX98" s="1272"/>
      <c r="CY98" s="1272"/>
      <c r="CZ98" s="1272"/>
    </row>
    <row r="99" spans="1:104">
      <c r="A99" s="765"/>
      <c r="B99" s="1272"/>
      <c r="C99" s="1272" t="s">
        <v>1264</v>
      </c>
      <c r="D99" s="1272"/>
      <c r="E99" s="305"/>
      <c r="F99" s="306"/>
      <c r="G99" s="306"/>
      <c r="H99" s="307"/>
      <c r="I99" s="303"/>
      <c r="J99" s="305"/>
      <c r="K99" s="306"/>
      <c r="L99" s="306"/>
      <c r="M99" s="307"/>
      <c r="N99" s="303"/>
      <c r="O99" s="305"/>
      <c r="P99" s="306"/>
      <c r="Q99" s="306"/>
      <c r="R99" s="307"/>
      <c r="S99" s="303"/>
      <c r="T99" s="305"/>
      <c r="U99" s="306"/>
      <c r="V99" s="306"/>
      <c r="W99" s="307"/>
      <c r="X99" s="1214"/>
      <c r="Y99" s="1215"/>
      <c r="Z99" s="1275"/>
      <c r="AA99" s="1275"/>
      <c r="AB99" s="1213"/>
      <c r="AC99" s="1214"/>
      <c r="AD99" s="1215"/>
      <c r="AE99" s="1212"/>
      <c r="AF99" s="1212"/>
      <c r="AG99" s="1213"/>
      <c r="AH99" s="1214"/>
      <c r="AI99" s="368"/>
      <c r="AJ99" s="232"/>
      <c r="AK99" s="232"/>
      <c r="AL99" s="233"/>
      <c r="AM99" s="1214"/>
      <c r="AN99" s="368"/>
      <c r="AO99" s="232"/>
      <c r="AP99" s="232"/>
      <c r="AQ99" s="233"/>
      <c r="AR99" s="1214"/>
      <c r="AS99" s="368"/>
      <c r="AT99" s="232"/>
      <c r="AU99" s="232"/>
      <c r="AV99" s="233"/>
      <c r="AW99" s="1214"/>
      <c r="AX99" s="1202">
        <f t="shared" ref="AX99:BK99" si="42">AX92*(AX96+AX97)/1000</f>
        <v>423.77624718001533</v>
      </c>
      <c r="AY99" s="1204">
        <f t="shared" si="42"/>
        <v>339.15151000000003</v>
      </c>
      <c r="AZ99" s="1204">
        <f t="shared" si="42"/>
        <v>388.22877333333332</v>
      </c>
      <c r="BA99" s="1205">
        <f t="shared" si="42"/>
        <v>347.42119999999994</v>
      </c>
      <c r="BB99" s="1206">
        <f>SUM(AX99:BA99)</f>
        <v>1498.5777305133486</v>
      </c>
      <c r="BC99" s="1202">
        <f t="shared" si="42"/>
        <v>389.09117957664461</v>
      </c>
      <c r="BD99" s="1204">
        <f t="shared" si="42"/>
        <v>297.59669590987431</v>
      </c>
      <c r="BE99" s="1204">
        <f t="shared" si="42"/>
        <v>347.89872139360688</v>
      </c>
      <c r="BF99" s="1205">
        <f t="shared" si="42"/>
        <v>374.77197335924933</v>
      </c>
      <c r="BG99" s="1206">
        <f>SUM(BC99:BF99)</f>
        <v>1409.3585702393752</v>
      </c>
      <c r="BH99" s="1202">
        <f t="shared" si="42"/>
        <v>384.89783993571064</v>
      </c>
      <c r="BI99" s="1204">
        <f t="shared" si="42"/>
        <v>298.11339584808695</v>
      </c>
      <c r="BJ99" s="1204">
        <f t="shared" si="42"/>
        <v>398.66845390464493</v>
      </c>
      <c r="BK99" s="1205">
        <f t="shared" si="42"/>
        <v>364.47001047023497</v>
      </c>
      <c r="BL99" s="1206">
        <f>SUM(BH99:BK99)</f>
        <v>1446.1497001586774</v>
      </c>
      <c r="BM99" s="1202">
        <f>BM92*(BM96+BM97)/1000</f>
        <v>359.01026952753949</v>
      </c>
      <c r="BN99" s="1204">
        <f>BN92*(BN96+BN97)/1000</f>
        <v>321.25820955760247</v>
      </c>
      <c r="BO99" s="1204">
        <f>BO92*(BO96+BO97)/1000</f>
        <v>355.06294902067265</v>
      </c>
      <c r="BP99" s="1205">
        <f>BP92*(BP96+BP97)/1000</f>
        <v>348.66307919870189</v>
      </c>
      <c r="BQ99" s="1206">
        <f>SUM(BM99:BP99)</f>
        <v>1383.9945073045164</v>
      </c>
      <c r="BR99" s="1272"/>
      <c r="BS99" s="1272"/>
      <c r="BT99" s="1272"/>
      <c r="BU99" s="1272"/>
      <c r="BV99" s="1272"/>
      <c r="BW99" s="1272"/>
      <c r="BX99" s="1272"/>
      <c r="BY99" s="1272"/>
      <c r="BZ99" s="1272"/>
      <c r="CA99" s="1272"/>
      <c r="CB99" s="1272"/>
      <c r="CC99" s="1272"/>
      <c r="CD99" s="1272"/>
      <c r="CE99" s="1272"/>
      <c r="CF99" s="1272"/>
      <c r="CG99" s="1272"/>
      <c r="CH99" s="1272"/>
      <c r="CI99" s="1272"/>
      <c r="CJ99" s="1272"/>
      <c r="CK99" s="1272"/>
      <c r="CL99" s="1272"/>
      <c r="CM99" s="1272"/>
      <c r="CN99" s="1272"/>
      <c r="CO99" s="1272"/>
      <c r="CP99" s="1272"/>
      <c r="CQ99" s="1272"/>
      <c r="CR99" s="1272"/>
      <c r="CS99" s="1272"/>
      <c r="CT99" s="1272"/>
      <c r="CU99" s="1272"/>
      <c r="CV99" s="1272"/>
      <c r="CW99" s="1272"/>
      <c r="CX99" s="1272"/>
      <c r="CY99" s="1272"/>
      <c r="CZ99" s="1272"/>
    </row>
    <row r="100" spans="1:104">
      <c r="A100" s="765"/>
      <c r="B100" s="1272"/>
      <c r="C100" s="1272" t="s">
        <v>1265</v>
      </c>
      <c r="D100" s="1272"/>
      <c r="E100" s="305"/>
      <c r="F100" s="306"/>
      <c r="G100" s="306"/>
      <c r="H100" s="307"/>
      <c r="I100" s="303"/>
      <c r="J100" s="305"/>
      <c r="K100" s="306"/>
      <c r="L100" s="306"/>
      <c r="M100" s="307"/>
      <c r="N100" s="303"/>
      <c r="O100" s="305"/>
      <c r="P100" s="306"/>
      <c r="Q100" s="306"/>
      <c r="R100" s="307"/>
      <c r="S100" s="303"/>
      <c r="T100" s="305"/>
      <c r="U100" s="306"/>
      <c r="V100" s="306"/>
      <c r="W100" s="307"/>
      <c r="X100" s="1214"/>
      <c r="Y100" s="1215"/>
      <c r="Z100" s="1275"/>
      <c r="AA100" s="1275"/>
      <c r="AB100" s="1213"/>
      <c r="AC100" s="1214"/>
      <c r="AD100" s="1215"/>
      <c r="AE100" s="1212"/>
      <c r="AF100" s="1212"/>
      <c r="AG100" s="1213"/>
      <c r="AH100" s="1214"/>
      <c r="AI100" s="368"/>
      <c r="AJ100" s="232"/>
      <c r="AK100" s="232"/>
      <c r="AL100" s="233"/>
      <c r="AM100" s="1214"/>
      <c r="AN100" s="368"/>
      <c r="AO100" s="232"/>
      <c r="AP100" s="232"/>
      <c r="AQ100" s="233"/>
      <c r="AR100" s="1214"/>
      <c r="AS100" s="368"/>
      <c r="AT100" s="232"/>
      <c r="AU100" s="232"/>
      <c r="AV100" s="233"/>
      <c r="AW100" s="1214"/>
      <c r="AX100" s="1202">
        <f>AX92*AX96/1000</f>
        <v>402.33224718001532</v>
      </c>
      <c r="AY100" s="1204">
        <f>AY92*AY96/1000</f>
        <v>318.88551000000001</v>
      </c>
      <c r="AZ100" s="1204">
        <f>AZ92*AZ96/1000</f>
        <v>365.85677333333331</v>
      </c>
      <c r="BA100" s="1205">
        <f>BA92*BA96/1000</f>
        <v>326.08519999999999</v>
      </c>
      <c r="BB100" s="1206">
        <f>SUM(AX100:BA100)</f>
        <v>1413.1597305133487</v>
      </c>
      <c r="BC100" s="1202">
        <f>BC92*BC96/1000</f>
        <v>367.64717957664459</v>
      </c>
      <c r="BD100" s="1204">
        <f>BD92*BD96/1000</f>
        <v>277.33069590987435</v>
      </c>
      <c r="BE100" s="1204">
        <f>BE92*BE96/1000</f>
        <v>325.52672139360686</v>
      </c>
      <c r="BF100" s="1205">
        <f>BF92*BF96/1000</f>
        <v>353.43597335924937</v>
      </c>
      <c r="BG100" s="1206">
        <f>SUM(BC100:BF100)</f>
        <v>1323.9405702393751</v>
      </c>
      <c r="BH100" s="1202">
        <f>BH92*BH96/1000</f>
        <v>363.45383993571068</v>
      </c>
      <c r="BI100" s="1204">
        <f>BI92*BI96/1000</f>
        <v>277.84739584808699</v>
      </c>
      <c r="BJ100" s="1204">
        <f>BJ92*BJ96/1000</f>
        <v>376.29645390464492</v>
      </c>
      <c r="BK100" s="1205">
        <f>BK92*BK96/1000</f>
        <v>343.13401047023495</v>
      </c>
      <c r="BL100" s="1206">
        <f>SUM(BH100:BK100)</f>
        <v>1360.7317001586775</v>
      </c>
      <c r="BM100" s="1202">
        <f>BM92*BM96/1000</f>
        <v>337.56626952753948</v>
      </c>
      <c r="BN100" s="1204">
        <f>BN92*BN96/1000</f>
        <v>300.99220955760245</v>
      </c>
      <c r="BO100" s="1204">
        <f>BO92*BO96/1000</f>
        <v>332.69094902067263</v>
      </c>
      <c r="BP100" s="1205">
        <f>BP92*BP96/1000</f>
        <v>327.32707919870182</v>
      </c>
      <c r="BQ100" s="1206">
        <f>SUM(BM100:BP100)</f>
        <v>1298.5765073045163</v>
      </c>
      <c r="BR100" s="1272"/>
      <c r="BS100" s="1272"/>
      <c r="BT100" s="1272"/>
      <c r="BU100" s="1272"/>
      <c r="BV100" s="1272"/>
      <c r="BW100" s="1272"/>
      <c r="BX100" s="1272"/>
      <c r="BY100" s="1272"/>
      <c r="BZ100" s="1272"/>
      <c r="CA100" s="1272"/>
      <c r="CB100" s="1272"/>
      <c r="CC100" s="1272"/>
      <c r="CD100" s="1272"/>
      <c r="CE100" s="1272"/>
      <c r="CF100" s="1272"/>
      <c r="CG100" s="1272"/>
      <c r="CH100" s="1272"/>
      <c r="CI100" s="1272"/>
      <c r="CJ100" s="1272"/>
      <c r="CK100" s="1272"/>
      <c r="CL100" s="1272"/>
      <c r="CM100" s="1272"/>
      <c r="CN100" s="1272"/>
      <c r="CO100" s="1272"/>
      <c r="CP100" s="1272"/>
      <c r="CQ100" s="1272"/>
      <c r="CR100" s="1272"/>
      <c r="CS100" s="1272"/>
      <c r="CT100" s="1272"/>
      <c r="CU100" s="1272"/>
      <c r="CV100" s="1272"/>
      <c r="CW100" s="1272"/>
      <c r="CX100" s="1272"/>
      <c r="CY100" s="1272"/>
      <c r="CZ100" s="1272"/>
    </row>
    <row r="101" spans="1:104" s="1240" customFormat="1">
      <c r="A101" s="1840"/>
      <c r="B101" s="347"/>
      <c r="C101" s="347" t="s">
        <v>950</v>
      </c>
      <c r="D101" s="347"/>
      <c r="E101" s="1841"/>
      <c r="F101" s="1842"/>
      <c r="G101" s="1842"/>
      <c r="H101" s="1843"/>
      <c r="I101" s="347"/>
      <c r="J101" s="1841"/>
      <c r="K101" s="1842"/>
      <c r="L101" s="1842"/>
      <c r="M101" s="1843"/>
      <c r="N101" s="347"/>
      <c r="O101" s="1841"/>
      <c r="P101" s="1842"/>
      <c r="Q101" s="1842"/>
      <c r="R101" s="1843"/>
      <c r="S101" s="347"/>
      <c r="T101" s="1841"/>
      <c r="U101" s="1842"/>
      <c r="V101" s="1842"/>
      <c r="W101" s="1843"/>
      <c r="X101" s="347"/>
      <c r="Y101" s="1841"/>
      <c r="Z101" s="1842"/>
      <c r="AA101" s="1842"/>
      <c r="AB101" s="1843"/>
      <c r="AC101" s="347"/>
      <c r="AD101" s="1841"/>
      <c r="AE101" s="1842"/>
      <c r="AF101" s="1842"/>
      <c r="AG101" s="1843"/>
      <c r="AH101" s="347"/>
      <c r="AI101" s="1841"/>
      <c r="AJ101" s="1842"/>
      <c r="AK101" s="1842"/>
      <c r="AL101" s="1843"/>
      <c r="AM101" s="347"/>
      <c r="AN101" s="1841"/>
      <c r="AO101" s="1842"/>
      <c r="AP101" s="1842"/>
      <c r="AQ101" s="1843"/>
      <c r="AR101" s="347"/>
      <c r="AS101" s="1841"/>
      <c r="AT101" s="1842"/>
      <c r="AU101" s="1842"/>
      <c r="AV101" s="1843"/>
      <c r="AW101" s="347"/>
      <c r="AX101" s="1841">
        <f t="shared" ref="AX101:BL101" si="43">AX99-AX100</f>
        <v>21.444000000000017</v>
      </c>
      <c r="AY101" s="1842">
        <f t="shared" si="43"/>
        <v>20.26600000000002</v>
      </c>
      <c r="AZ101" s="1842">
        <f t="shared" si="43"/>
        <v>22.372000000000014</v>
      </c>
      <c r="BA101" s="1843">
        <f t="shared" si="43"/>
        <v>21.335999999999956</v>
      </c>
      <c r="BB101" s="347">
        <f t="shared" si="43"/>
        <v>85.417999999999893</v>
      </c>
      <c r="BC101" s="1841">
        <f t="shared" si="43"/>
        <v>21.444000000000017</v>
      </c>
      <c r="BD101" s="1842">
        <f t="shared" si="43"/>
        <v>20.265999999999963</v>
      </c>
      <c r="BE101" s="1842">
        <f t="shared" si="43"/>
        <v>22.372000000000014</v>
      </c>
      <c r="BF101" s="1843">
        <f t="shared" si="43"/>
        <v>21.335999999999956</v>
      </c>
      <c r="BG101" s="347">
        <f t="shared" si="43"/>
        <v>85.41800000000012</v>
      </c>
      <c r="BH101" s="1841">
        <f t="shared" si="43"/>
        <v>21.44399999999996</v>
      </c>
      <c r="BI101" s="1842">
        <f t="shared" si="43"/>
        <v>20.265999999999963</v>
      </c>
      <c r="BJ101" s="1842">
        <f t="shared" si="43"/>
        <v>22.372000000000014</v>
      </c>
      <c r="BK101" s="1843">
        <f t="shared" si="43"/>
        <v>21.336000000000013</v>
      </c>
      <c r="BL101" s="347">
        <f t="shared" si="43"/>
        <v>85.417999999999893</v>
      </c>
      <c r="BM101" s="1841">
        <f>BM99-BM100</f>
        <v>21.444000000000017</v>
      </c>
      <c r="BN101" s="1842">
        <f>BN99-BN100</f>
        <v>20.26600000000002</v>
      </c>
      <c r="BO101" s="1842">
        <f>BO99-BO100</f>
        <v>22.372000000000014</v>
      </c>
      <c r="BP101" s="1843">
        <f>BP99-BP100</f>
        <v>21.33600000000007</v>
      </c>
      <c r="BQ101" s="347">
        <f>BQ99-BQ100</f>
        <v>85.41800000000012</v>
      </c>
      <c r="BR101" s="347"/>
      <c r="BS101" s="347"/>
      <c r="BT101" s="347"/>
      <c r="BU101" s="347"/>
      <c r="BV101" s="347"/>
      <c r="BW101" s="347"/>
      <c r="BX101" s="347"/>
      <c r="BY101" s="347"/>
      <c r="BZ101" s="347"/>
      <c r="CA101" s="347"/>
      <c r="CB101" s="347"/>
      <c r="CC101" s="347"/>
      <c r="CD101" s="347"/>
      <c r="CE101" s="347"/>
      <c r="CF101" s="347"/>
      <c r="CG101" s="347"/>
      <c r="CH101" s="347"/>
      <c r="CI101" s="347"/>
      <c r="CJ101" s="347"/>
      <c r="CK101" s="347"/>
      <c r="CL101" s="347"/>
      <c r="CM101" s="347"/>
      <c r="CN101" s="347"/>
      <c r="CO101" s="347"/>
      <c r="CP101" s="347"/>
      <c r="CQ101" s="347"/>
      <c r="CR101" s="347"/>
      <c r="CS101" s="347"/>
      <c r="CT101" s="347"/>
      <c r="CU101" s="347"/>
      <c r="CV101" s="347"/>
      <c r="CW101" s="347"/>
      <c r="CX101" s="347"/>
      <c r="CY101" s="347"/>
      <c r="CZ101" s="347"/>
    </row>
    <row r="102" spans="1:104" s="1240" customFormat="1">
      <c r="A102" s="1840"/>
      <c r="B102" s="347"/>
      <c r="C102" s="347"/>
      <c r="D102" s="347"/>
      <c r="E102" s="1841"/>
      <c r="F102" s="1842"/>
      <c r="G102" s="1842"/>
      <c r="H102" s="1843"/>
      <c r="I102" s="347"/>
      <c r="J102" s="1841"/>
      <c r="K102" s="1842"/>
      <c r="L102" s="1842"/>
      <c r="M102" s="1843"/>
      <c r="N102" s="347"/>
      <c r="O102" s="1841"/>
      <c r="P102" s="1842"/>
      <c r="Q102" s="1842"/>
      <c r="R102" s="1843"/>
      <c r="S102" s="347"/>
      <c r="T102" s="1841"/>
      <c r="U102" s="1842"/>
      <c r="V102" s="1842"/>
      <c r="W102" s="1843"/>
      <c r="X102" s="347"/>
      <c r="Y102" s="1841"/>
      <c r="Z102" s="1842"/>
      <c r="AA102" s="1842"/>
      <c r="AB102" s="1843"/>
      <c r="AC102" s="347"/>
      <c r="AD102" s="1841"/>
      <c r="AE102" s="1842"/>
      <c r="AF102" s="1842"/>
      <c r="AG102" s="1843"/>
      <c r="AH102" s="347"/>
      <c r="AI102" s="1841"/>
      <c r="AJ102" s="1842"/>
      <c r="AK102" s="1842"/>
      <c r="AL102" s="1843"/>
      <c r="AM102" s="347"/>
      <c r="AN102" s="1841"/>
      <c r="AO102" s="1842"/>
      <c r="AP102" s="1842"/>
      <c r="AQ102" s="1843"/>
      <c r="AR102" s="347"/>
      <c r="AS102" s="1841"/>
      <c r="AT102" s="1842"/>
      <c r="AU102" s="1842"/>
      <c r="AV102" s="1843"/>
      <c r="AW102" s="347"/>
      <c r="AX102" s="1841"/>
      <c r="AY102" s="1842"/>
      <c r="AZ102" s="1842"/>
      <c r="BA102" s="1843"/>
      <c r="BB102" s="347"/>
      <c r="BC102" s="1841"/>
      <c r="BD102" s="1842"/>
      <c r="BE102" s="1842"/>
      <c r="BF102" s="1843"/>
      <c r="BG102" s="347"/>
      <c r="BH102" s="1841"/>
      <c r="BI102" s="1842"/>
      <c r="BJ102" s="1842"/>
      <c r="BK102" s="1843"/>
      <c r="BL102" s="347"/>
      <c r="BM102" s="1841"/>
      <c r="BN102" s="1842"/>
      <c r="BO102" s="1842"/>
      <c r="BP102" s="1843"/>
      <c r="BQ102" s="347"/>
      <c r="BR102" s="347"/>
      <c r="BS102" s="347"/>
      <c r="BT102" s="347"/>
      <c r="BU102" s="347"/>
      <c r="BV102" s="347"/>
      <c r="BW102" s="347"/>
      <c r="BX102" s="347"/>
      <c r="BY102" s="347"/>
      <c r="BZ102" s="347"/>
      <c r="CA102" s="347"/>
      <c r="CB102" s="347"/>
      <c r="CC102" s="347"/>
      <c r="CD102" s="347"/>
      <c r="CE102" s="347"/>
      <c r="CF102" s="347"/>
      <c r="CG102" s="347"/>
      <c r="CH102" s="347"/>
      <c r="CI102" s="347"/>
      <c r="CJ102" s="347"/>
      <c r="CK102" s="347"/>
      <c r="CL102" s="347"/>
      <c r="CM102" s="347"/>
      <c r="CN102" s="347"/>
      <c r="CO102" s="347"/>
      <c r="CP102" s="347"/>
      <c r="CQ102" s="347"/>
      <c r="CR102" s="347"/>
      <c r="CS102" s="347"/>
      <c r="CT102" s="347"/>
      <c r="CU102" s="347"/>
      <c r="CV102" s="347"/>
      <c r="CW102" s="347"/>
      <c r="CX102" s="347"/>
      <c r="CY102" s="347"/>
      <c r="CZ102" s="347"/>
    </row>
    <row r="103" spans="1:104" s="1240" customFormat="1" outlineLevel="1">
      <c r="A103"/>
      <c r="B103" s="46" t="s">
        <v>953</v>
      </c>
      <c r="C103" s="46"/>
      <c r="D103"/>
      <c r="E103" s="289"/>
      <c r="F103" s="290"/>
      <c r="G103" s="290"/>
      <c r="H103" s="291"/>
      <c r="I103" s="191"/>
      <c r="J103" s="289"/>
      <c r="K103" s="290"/>
      <c r="L103" s="290"/>
      <c r="M103" s="291"/>
      <c r="N103" s="191"/>
      <c r="O103" s="289"/>
      <c r="P103" s="290"/>
      <c r="Q103" s="290"/>
      <c r="R103" s="291"/>
      <c r="S103" s="191"/>
      <c r="T103" s="289"/>
      <c r="U103" s="290"/>
      <c r="V103" s="290"/>
      <c r="W103" s="291"/>
      <c r="X103" s="191"/>
      <c r="Y103" s="289"/>
      <c r="Z103" s="290"/>
      <c r="AA103" s="290"/>
      <c r="AB103" s="291"/>
      <c r="AC103" s="191"/>
      <c r="AD103" s="289"/>
      <c r="AE103" s="290"/>
      <c r="AF103" s="290"/>
      <c r="AG103" s="291"/>
      <c r="AH103" s="191"/>
      <c r="AI103" s="289"/>
      <c r="AJ103" s="290"/>
      <c r="AK103" s="290"/>
      <c r="AL103" s="291"/>
      <c r="AM103" s="191"/>
      <c r="AN103" s="289"/>
      <c r="AO103" s="290"/>
      <c r="AP103" s="290"/>
      <c r="AQ103" s="291"/>
      <c r="AR103" s="191"/>
      <c r="AS103" s="289"/>
      <c r="AT103" s="290"/>
      <c r="AU103" s="290"/>
      <c r="AV103" s="291"/>
      <c r="AW103" s="191"/>
      <c r="AX103" s="289"/>
      <c r="AY103" s="290"/>
      <c r="AZ103" s="290"/>
      <c r="BA103" s="291"/>
      <c r="BB103" s="191"/>
      <c r="BC103" s="289"/>
      <c r="BD103" s="290"/>
      <c r="BE103" s="290"/>
      <c r="BF103" s="291"/>
      <c r="BG103" s="191"/>
      <c r="BH103" s="289"/>
      <c r="BI103" s="290"/>
      <c r="BJ103" s="290"/>
      <c r="BK103" s="291"/>
      <c r="BL103" s="191"/>
      <c r="BM103" s="289"/>
      <c r="BN103" s="290"/>
      <c r="BO103" s="290"/>
      <c r="BP103" s="291"/>
      <c r="BQ103" s="191"/>
    </row>
    <row r="104" spans="1:104" s="1240" customFormat="1" outlineLevel="1">
      <c r="C104" s="56"/>
      <c r="E104" s="289"/>
      <c r="F104" s="290"/>
      <c r="G104" s="290"/>
      <c r="H104" s="291"/>
      <c r="I104" s="191"/>
      <c r="J104" s="289"/>
      <c r="K104" s="290"/>
      <c r="L104" s="290"/>
      <c r="M104" s="291"/>
      <c r="N104" s="191"/>
      <c r="O104" s="289"/>
      <c r="P104" s="290"/>
      <c r="Q104" s="290"/>
      <c r="R104" s="291"/>
      <c r="S104" s="191"/>
      <c r="T104" s="289"/>
      <c r="U104" s="290"/>
      <c r="V104" s="290"/>
      <c r="W104" s="291"/>
      <c r="X104" s="191"/>
      <c r="Y104" s="289"/>
      <c r="Z104" s="290"/>
      <c r="AA104" s="290"/>
      <c r="AB104" s="291"/>
      <c r="AC104" s="191"/>
      <c r="AD104" s="289"/>
      <c r="AE104" s="290"/>
      <c r="AF104" s="290"/>
      <c r="AG104" s="291"/>
      <c r="AH104" s="191"/>
      <c r="AI104" s="289"/>
      <c r="AJ104" s="290"/>
      <c r="AK104" s="290"/>
      <c r="AL104" s="291"/>
      <c r="AM104" s="191"/>
      <c r="AN104" s="289"/>
      <c r="AO104" s="290"/>
      <c r="AP104" s="290"/>
      <c r="AQ104" s="291"/>
      <c r="AR104" s="191"/>
      <c r="AS104" s="289"/>
      <c r="AT104" s="290"/>
      <c r="AU104" s="290"/>
      <c r="AV104" s="291"/>
      <c r="AW104" s="191"/>
      <c r="AX104" s="289"/>
      <c r="AY104" s="290"/>
      <c r="AZ104" s="290"/>
      <c r="BA104" s="291"/>
      <c r="BB104" s="191"/>
      <c r="BC104" s="289"/>
      <c r="BD104" s="290"/>
      <c r="BE104" s="290"/>
      <c r="BF104" s="291"/>
      <c r="BG104" s="191"/>
      <c r="BH104" s="289"/>
      <c r="BI104" s="290"/>
      <c r="BJ104" s="290"/>
      <c r="BK104" s="291"/>
      <c r="BL104" s="191"/>
      <c r="BM104" s="289"/>
      <c r="BN104" s="290"/>
      <c r="BO104" s="290"/>
      <c r="BP104" s="291"/>
      <c r="BQ104" s="191"/>
    </row>
    <row r="105" spans="1:104" s="1240" customFormat="1" outlineLevel="1">
      <c r="C105" s="1272" t="s">
        <v>379</v>
      </c>
      <c r="D105" s="1116"/>
      <c r="E105" s="1209"/>
      <c r="F105" s="1822"/>
      <c r="G105" s="1822"/>
      <c r="H105" s="1281"/>
      <c r="I105" s="1279"/>
      <c r="J105" s="1209"/>
      <c r="K105" s="1822"/>
      <c r="L105" s="1822"/>
      <c r="M105" s="1281"/>
      <c r="N105" s="1279"/>
      <c r="O105" s="1209"/>
      <c r="P105" s="1822"/>
      <c r="Q105" s="1822"/>
      <c r="R105" s="1281"/>
      <c r="S105" s="1279"/>
      <c r="T105" s="1209"/>
      <c r="U105" s="1822"/>
      <c r="V105" s="1822"/>
      <c r="W105" s="1281"/>
      <c r="X105" s="1279"/>
      <c r="Y105" s="1209"/>
      <c r="Z105" s="1822"/>
      <c r="AA105" s="1822"/>
      <c r="AB105" s="1281"/>
      <c r="AC105" s="1279"/>
      <c r="AD105" s="1209"/>
      <c r="AE105" s="1822"/>
      <c r="AF105" s="1822"/>
      <c r="AG105" s="1281"/>
      <c r="AH105" s="1279"/>
      <c r="AI105" s="1209"/>
      <c r="AJ105" s="1822"/>
      <c r="AK105" s="1822"/>
      <c r="AL105" s="1281"/>
      <c r="AM105" s="1279"/>
      <c r="AN105" s="1209"/>
      <c r="AO105" s="1822"/>
      <c r="AP105" s="1822"/>
      <c r="AQ105" s="1281"/>
      <c r="AR105" s="1279"/>
      <c r="AS105" s="1209"/>
      <c r="AT105" s="1822"/>
      <c r="AU105" s="1822"/>
      <c r="AV105" s="1281"/>
      <c r="AW105" s="1279"/>
      <c r="AX105" s="1209"/>
      <c r="AY105" s="1822"/>
      <c r="AZ105" s="1822"/>
      <c r="BA105" s="1281"/>
      <c r="BB105" s="1279"/>
      <c r="BC105" s="1209"/>
      <c r="BD105" s="1822"/>
      <c r="BE105" s="1822"/>
      <c r="BF105" s="1281"/>
      <c r="BG105" s="1279"/>
      <c r="BH105" s="1209"/>
      <c r="BI105" s="1822"/>
      <c r="BJ105" s="1822"/>
      <c r="BK105" s="1281"/>
      <c r="BL105" s="1279"/>
      <c r="BM105" s="1209"/>
      <c r="BN105" s="1822"/>
      <c r="BO105" s="1822"/>
      <c r="BP105" s="1281"/>
      <c r="BQ105" s="1279"/>
      <c r="BR105" s="1116"/>
      <c r="BS105" s="1116"/>
      <c r="BT105" t="s">
        <v>177</v>
      </c>
      <c r="BU105"/>
      <c r="BV105" t="s">
        <v>169</v>
      </c>
      <c r="BW105" t="s">
        <v>170</v>
      </c>
      <c r="BX105" t="s">
        <v>171</v>
      </c>
      <c r="BY105" t="s">
        <v>48</v>
      </c>
      <c r="BZ105" s="1116"/>
    </row>
    <row r="106" spans="1:104" s="56" customFormat="1" outlineLevel="1">
      <c r="C106" s="1272" t="s">
        <v>964</v>
      </c>
      <c r="D106" s="1272"/>
      <c r="E106" s="1209"/>
      <c r="F106" s="1822"/>
      <c r="G106" s="1822"/>
      <c r="H106" s="1281"/>
      <c r="I106" s="1280"/>
      <c r="J106" s="1271"/>
      <c r="K106" s="1287"/>
      <c r="L106" s="1287"/>
      <c r="M106" s="1278"/>
      <c r="N106" s="1280"/>
      <c r="O106" s="1271"/>
      <c r="P106" s="1287"/>
      <c r="Q106" s="1287"/>
      <c r="R106" s="1278"/>
      <c r="S106" s="1280"/>
      <c r="T106" s="1271"/>
      <c r="U106" s="1287"/>
      <c r="V106" s="1287"/>
      <c r="W106" s="1278"/>
      <c r="X106" s="1280">
        <f>X107/(X108+X166)*1000</f>
        <v>65.434714877147712</v>
      </c>
      <c r="Y106" s="1271">
        <f>Y107/(Y108+Y166)*1000</f>
        <v>62.725006786402567</v>
      </c>
      <c r="Z106" s="1287">
        <f>Z107/(Z108+Z166)*1000</f>
        <v>60.815984840729449</v>
      </c>
      <c r="AA106" s="1287">
        <f>AA107/(AA108+AA166)*1000</f>
        <v>68.247534557814106</v>
      </c>
      <c r="AB106" s="1278">
        <f>AB107/(AB108+AB166)*1000</f>
        <v>58.088810632624984</v>
      </c>
      <c r="AC106" s="1280">
        <f>AC107/(AC108+AC163)*1000</f>
        <v>44.526904735240109</v>
      </c>
      <c r="AD106" s="1271">
        <f>AD107/(AD108+AD166)*1000</f>
        <v>101.20436838826946</v>
      </c>
      <c r="AE106" s="1287">
        <f>AE107/(AE108+AE166)*1000</f>
        <v>73.860582205027995</v>
      </c>
      <c r="AF106" s="1287">
        <f>AF107/(AF108+AF166)*1000</f>
        <v>72.889796896747242</v>
      </c>
      <c r="AG106" s="1278">
        <f>AG107/(AG108+AG166)*1000</f>
        <v>63.505538916699869</v>
      </c>
      <c r="AH106" s="1280">
        <f>AH107/(AH108+AH163)*1000</f>
        <v>52.678023464734586</v>
      </c>
      <c r="AI106" s="1271">
        <f>AI107/(AI108+AI166)*1000</f>
        <v>95.521087247467037</v>
      </c>
      <c r="AJ106" s="1287">
        <f>AJ107/(AJ108+AJ166)*1000</f>
        <v>65.395205884804355</v>
      </c>
      <c r="AK106" s="1287">
        <f>AK107/(AK108+AK166)*1000</f>
        <v>68.171032351824763</v>
      </c>
      <c r="AL106" s="1278">
        <f>AL107/(AL108+AL166)*1000</f>
        <v>52.817792675059245</v>
      </c>
      <c r="AM106" s="1280">
        <f>AM107/(AM108+AM166)*1000</f>
        <v>69.653538519359941</v>
      </c>
      <c r="AN106" s="1271">
        <f t="shared" ref="AN106:BL106" si="44">AN107/(AN108+AN166)*1000</f>
        <v>43.53656220854581</v>
      </c>
      <c r="AO106" s="1287">
        <f t="shared" si="44"/>
        <v>44.711269392157455</v>
      </c>
      <c r="AP106" s="1287">
        <f t="shared" si="44"/>
        <v>48.361605537913</v>
      </c>
      <c r="AQ106" s="1278">
        <f>AQ107/(AQ108+AQ166)*1000</f>
        <v>60.487559503265516</v>
      </c>
      <c r="AR106" s="1280">
        <f>AR107/(AR108+AR166)*1000</f>
        <v>64.98710334633958</v>
      </c>
      <c r="AS106" s="1271">
        <f>AS107/(AS108+AS166)*1000</f>
        <v>50.945589072307776</v>
      </c>
      <c r="AT106" s="1287">
        <f t="shared" si="44"/>
        <v>52.562240695140204</v>
      </c>
      <c r="AU106" s="1287">
        <f t="shared" si="44"/>
        <v>58.095237500857181</v>
      </c>
      <c r="AV106" s="1278">
        <f t="shared" si="44"/>
        <v>64.549037918581277</v>
      </c>
      <c r="AW106" s="1280">
        <f t="shared" si="44"/>
        <v>56.537446429424215</v>
      </c>
      <c r="AX106" s="1271">
        <f t="shared" si="44"/>
        <v>61.454433304958954</v>
      </c>
      <c r="AY106" s="1287">
        <f t="shared" si="44"/>
        <v>60.891350084080386</v>
      </c>
      <c r="AZ106" s="1287">
        <f t="shared" si="44"/>
        <v>59.922265324772958</v>
      </c>
      <c r="BA106" s="1278">
        <f t="shared" si="44"/>
        <v>59.885793647718295</v>
      </c>
      <c r="BB106" s="1280">
        <f t="shared" si="44"/>
        <v>60.538162475406814</v>
      </c>
      <c r="BC106" s="1271">
        <f t="shared" si="44"/>
        <v>55.624180122343702</v>
      </c>
      <c r="BD106" s="1287">
        <f t="shared" si="44"/>
        <v>55.582709431638683</v>
      </c>
      <c r="BE106" s="1287">
        <f t="shared" si="44"/>
        <v>55.656849732678381</v>
      </c>
      <c r="BF106" s="1278">
        <f t="shared" si="44"/>
        <v>55.620378055623711</v>
      </c>
      <c r="BG106" s="1280">
        <f t="shared" si="44"/>
        <v>55.620892385420078</v>
      </c>
      <c r="BH106" s="1271">
        <f t="shared" si="44"/>
        <v>54.591995126160334</v>
      </c>
      <c r="BI106" s="1287">
        <f t="shared" si="44"/>
        <v>54.550524435455323</v>
      </c>
      <c r="BJ106" s="1287">
        <f t="shared" si="44"/>
        <v>54.624664736495014</v>
      </c>
      <c r="BK106" s="1278">
        <f t="shared" si="44"/>
        <v>54.588193059440357</v>
      </c>
      <c r="BL106" s="1280">
        <f t="shared" si="44"/>
        <v>54.588777134952934</v>
      </c>
      <c r="BM106" s="1271">
        <f>BM107/(BM108+BM166)*1000</f>
        <v>56.510993793777843</v>
      </c>
      <c r="BN106" s="1287">
        <f>BN107/(BN108+BN166)*1000</f>
        <v>56.469523103072838</v>
      </c>
      <c r="BO106" s="1287">
        <f>BO107/(BO108+BO166)*1000</f>
        <v>56.543663404112536</v>
      </c>
      <c r="BP106" s="1278">
        <f>BP107/(BP108+BP166)*1000</f>
        <v>56.507191727057865</v>
      </c>
      <c r="BQ106" s="1280">
        <f>BQ107/(BQ108+BQ166)*1000</f>
        <v>56.507808223524911</v>
      </c>
      <c r="BR106" s="1272"/>
      <c r="BS106" s="1272"/>
      <c r="BT106" s="1272" t="s">
        <v>172</v>
      </c>
      <c r="BU106" s="1272"/>
      <c r="BV106">
        <f>+V70</f>
        <v>0</v>
      </c>
      <c r="BW106">
        <f>+AA70</f>
        <v>27.73</v>
      </c>
      <c r="BX106">
        <f>+AF70</f>
        <v>125.99</v>
      </c>
      <c r="BY106" s="1272"/>
      <c r="BZ106" s="1272"/>
    </row>
    <row r="107" spans="1:104" s="56" customFormat="1" outlineLevel="1">
      <c r="C107" s="1272" t="s">
        <v>951</v>
      </c>
      <c r="D107" s="1272"/>
      <c r="E107" s="1209"/>
      <c r="F107" s="1822"/>
      <c r="G107" s="1822"/>
      <c r="H107" s="1281"/>
      <c r="I107" s="1206"/>
      <c r="J107" s="1202"/>
      <c r="K107" s="1204"/>
      <c r="L107" s="1204"/>
      <c r="M107" s="1205"/>
      <c r="N107" s="1206"/>
      <c r="O107" s="1202"/>
      <c r="P107" s="1204"/>
      <c r="Q107" s="1204"/>
      <c r="R107" s="1205"/>
      <c r="S107" s="1206"/>
      <c r="T107" s="1202"/>
      <c r="U107" s="1204"/>
      <c r="V107" s="1204"/>
      <c r="W107" s="1205"/>
      <c r="X107" s="1206">
        <f t="shared" ref="X107:AM107" si="45">X8</f>
        <v>3467</v>
      </c>
      <c r="Y107" s="1202">
        <f t="shared" si="45"/>
        <v>920</v>
      </c>
      <c r="Z107" s="1204">
        <f t="shared" si="45"/>
        <v>892</v>
      </c>
      <c r="AA107" s="1204">
        <f t="shared" si="45"/>
        <v>1001</v>
      </c>
      <c r="AB107" s="1205">
        <f t="shared" si="45"/>
        <v>852</v>
      </c>
      <c r="AC107" s="1206">
        <f t="shared" si="45"/>
        <v>3665</v>
      </c>
      <c r="AD107" s="1202">
        <f t="shared" si="45"/>
        <v>1251</v>
      </c>
      <c r="AE107" s="1204">
        <f t="shared" si="45"/>
        <v>913</v>
      </c>
      <c r="AF107" s="1204">
        <f t="shared" si="45"/>
        <v>901</v>
      </c>
      <c r="AG107" s="1205">
        <f t="shared" si="45"/>
        <v>785</v>
      </c>
      <c r="AH107" s="1206">
        <f t="shared" si="45"/>
        <v>3850</v>
      </c>
      <c r="AI107" s="1202">
        <f t="shared" si="45"/>
        <v>1170</v>
      </c>
      <c r="AJ107" s="1204">
        <f t="shared" si="45"/>
        <v>801</v>
      </c>
      <c r="AK107" s="1204">
        <f t="shared" si="45"/>
        <v>835</v>
      </c>
      <c r="AL107" s="1205">
        <f t="shared" si="45"/>
        <v>606.69999999999982</v>
      </c>
      <c r="AM107" s="1206">
        <f t="shared" si="45"/>
        <v>3412.7</v>
      </c>
      <c r="AN107" s="1202">
        <f>+AN115+AN121+AN124+AN141+AN147</f>
        <v>500.0896658901338</v>
      </c>
      <c r="AO107" s="1204">
        <f>+AO115+AO121+AO124+AO141+AO147</f>
        <v>513.58312732048478</v>
      </c>
      <c r="AP107" s="1204">
        <f>+AP115+AP121+AP124+AP141+AP147</f>
        <v>555.51329568732103</v>
      </c>
      <c r="AQ107" s="1205">
        <f>AQ8</f>
        <v>694.80000000000018</v>
      </c>
      <c r="AR107" s="1206">
        <f>AR8</f>
        <v>2986</v>
      </c>
      <c r="AS107" s="1202">
        <f>+AS115+AS121+AS124+AS141+AS147</f>
        <v>583.64937856557356</v>
      </c>
      <c r="AT107" s="1204">
        <f>+AT115+AT121+AT124+AT141+AT147</f>
        <v>602.17026981847414</v>
      </c>
      <c r="AU107" s="1204">
        <f>+AU115+AU121+AU124+AU141+AU147</f>
        <v>665.55809604772014</v>
      </c>
      <c r="AV107" s="1205">
        <f>+AV115+AV121+AV124+AV141+AV147</f>
        <v>739.49495047970436</v>
      </c>
      <c r="AW107" s="1206">
        <f>SUM(AS107:AV107)</f>
        <v>2590.8726949114725</v>
      </c>
      <c r="AX107" s="1202">
        <f>+AX115+AX121+AX124+AX141+AX147</f>
        <v>733.17311347033376</v>
      </c>
      <c r="AY107" s="1204">
        <f>+AY115+AY121+AY124+AY141+AY147</f>
        <v>726.45533159533375</v>
      </c>
      <c r="AZ107" s="1204">
        <f>+AZ115+AZ121+AZ124+AZ141+AZ147</f>
        <v>714.89380784533375</v>
      </c>
      <c r="BA107" s="1205">
        <f>+BA115+BA121+BA124+BA141+BA147</f>
        <v>714.45868784533377</v>
      </c>
      <c r="BB107" s="1206">
        <f>SUM(AX107:BA107)</f>
        <v>2888.9809407563353</v>
      </c>
      <c r="BC107" s="1202">
        <f>+BC115+BC121+BC124+BC141+BC147</f>
        <v>663.61613200723366</v>
      </c>
      <c r="BD107" s="1204">
        <f>+BD115+BD121+BD124+BD141+BD147</f>
        <v>663.12137200723362</v>
      </c>
      <c r="BE107" s="1204">
        <f>+BE115+BE121+BE124+BE141+BE147</f>
        <v>664.00589200723368</v>
      </c>
      <c r="BF107" s="1205">
        <f>+BF115+BF121+BF124+BF141+BF147</f>
        <v>663.57077200723359</v>
      </c>
      <c r="BG107" s="1206">
        <f>SUM(BC107:BF107)</f>
        <v>2654.3141680289345</v>
      </c>
      <c r="BH107" s="1202">
        <f>+BH115+BH121+BH124+BH141+BH147</f>
        <v>651.30180012536994</v>
      </c>
      <c r="BI107" s="1204">
        <f>+BI115+BI121+BI124+BI141+BI147</f>
        <v>650.80704012537001</v>
      </c>
      <c r="BJ107" s="1204">
        <f>+BJ115+BJ121+BJ124+BJ141+BJ147</f>
        <v>651.69156012536996</v>
      </c>
      <c r="BK107" s="1205">
        <f>+BK115+BK121+BK124+BK141+BK147</f>
        <v>651.25644012536998</v>
      </c>
      <c r="BL107" s="1206">
        <f>SUM(BH107:BK107)</f>
        <v>2605.0568405014797</v>
      </c>
      <c r="BM107" s="1202">
        <f>+BM115+BM121+BM124+BM141+BM147</f>
        <v>674.19613259607581</v>
      </c>
      <c r="BN107" s="1204">
        <f>+BN115+BN121+BN124+BN141+BN147</f>
        <v>673.70137259607588</v>
      </c>
      <c r="BO107" s="1204">
        <f>+BO115+BO121+BO124+BO141+BO147</f>
        <v>674.58589259607595</v>
      </c>
      <c r="BP107" s="1205">
        <f>+BP115+BP121+BP124+BP141+BP147</f>
        <v>674.15077259607585</v>
      </c>
      <c r="BQ107" s="1206">
        <f>SUM(BM107:BP107)</f>
        <v>2696.6341703843036</v>
      </c>
      <c r="BR107" s="1272"/>
      <c r="BS107" s="1272"/>
      <c r="BT107" s="1272" t="s">
        <v>173</v>
      </c>
      <c r="BU107" s="1272"/>
      <c r="BV107" s="836">
        <f>+T138</f>
        <v>0</v>
      </c>
      <c r="BW107">
        <f>+BV107</f>
        <v>0</v>
      </c>
      <c r="BX107">
        <f>+BW107</f>
        <v>0</v>
      </c>
      <c r="BY107" s="1272"/>
      <c r="BZ107" s="1272"/>
    </row>
    <row r="108" spans="1:104" s="56" customFormat="1" outlineLevel="1">
      <c r="C108" s="1272" t="s">
        <v>952</v>
      </c>
      <c r="D108" s="1272"/>
      <c r="E108" s="1202"/>
      <c r="F108" s="1204"/>
      <c r="G108" s="1204"/>
      <c r="H108" s="1205"/>
      <c r="I108" s="145"/>
      <c r="J108" s="1202"/>
      <c r="K108" s="1204"/>
      <c r="L108" s="1204"/>
      <c r="M108" s="1205"/>
      <c r="N108" s="145"/>
      <c r="O108" s="1202"/>
      <c r="P108" s="1204"/>
      <c r="Q108" s="1204"/>
      <c r="R108" s="1205"/>
      <c r="S108" s="145"/>
      <c r="T108" s="1202"/>
      <c r="U108" s="1204"/>
      <c r="V108" s="1204"/>
      <c r="W108" s="1205"/>
      <c r="X108" s="1206">
        <f>+X192</f>
        <v>52983.107999999993</v>
      </c>
      <c r="Y108" s="1202">
        <f>AC108/4</f>
        <v>14667.1965</v>
      </c>
      <c r="Z108" s="1204">
        <f>AC108/4</f>
        <v>14667.1965</v>
      </c>
      <c r="AA108" s="1204">
        <f>AC108/4</f>
        <v>14667.1965</v>
      </c>
      <c r="AB108" s="1205">
        <f>AC108/4</f>
        <v>14667.1965</v>
      </c>
      <c r="AC108" s="1206">
        <f>+AC192</f>
        <v>58668.786</v>
      </c>
      <c r="AD108" s="1202">
        <f>AH108/4</f>
        <v>12361.1265</v>
      </c>
      <c r="AE108" s="1204">
        <f>AH108/4</f>
        <v>12361.1265</v>
      </c>
      <c r="AF108" s="1204">
        <f>AH108/4</f>
        <v>12361.1265</v>
      </c>
      <c r="AG108" s="1205">
        <f>AH108/4</f>
        <v>12361.1265</v>
      </c>
      <c r="AH108" s="1206">
        <f>+AH192</f>
        <v>49444.506000000001</v>
      </c>
      <c r="AI108" s="1202">
        <f>AM108/4</f>
        <v>12248.604300000001</v>
      </c>
      <c r="AJ108" s="1204">
        <f>AM108/4</f>
        <v>12248.604300000001</v>
      </c>
      <c r="AK108" s="1204">
        <f>AM108/4</f>
        <v>12248.604300000001</v>
      </c>
      <c r="AL108" s="1205">
        <f>AL192</f>
        <v>11486.659500000002</v>
      </c>
      <c r="AM108" s="1206">
        <f>+AM192</f>
        <v>48994.417200000004</v>
      </c>
      <c r="AN108" s="1202">
        <f>AR108/4</f>
        <v>11486.659500000002</v>
      </c>
      <c r="AO108" s="1204">
        <f>AR108/4</f>
        <v>11486.659500000002</v>
      </c>
      <c r="AP108" s="1204">
        <f>AR108/4</f>
        <v>11486.659500000002</v>
      </c>
      <c r="AQ108" s="1205">
        <f>AQ192</f>
        <v>11486.659500000002</v>
      </c>
      <c r="AR108" s="1206">
        <f>+AR192</f>
        <v>45946.638000000006</v>
      </c>
      <c r="AS108" s="1202">
        <f>AW108/4</f>
        <v>11456.328</v>
      </c>
      <c r="AT108" s="1204">
        <f>AW108/4</f>
        <v>11456.328</v>
      </c>
      <c r="AU108" s="1204">
        <f>AW108/4</f>
        <v>11456.328</v>
      </c>
      <c r="AV108" s="1205">
        <f>AW108/4</f>
        <v>11456.328</v>
      </c>
      <c r="AW108" s="1206">
        <f>+AW192</f>
        <v>45825.311999999998</v>
      </c>
      <c r="AX108" s="1202">
        <f>BB108/4</f>
        <v>11930.353500000001</v>
      </c>
      <c r="AY108" s="1204">
        <f>BB108/4</f>
        <v>11930.353500000001</v>
      </c>
      <c r="AZ108" s="1204">
        <f>BB108/4</f>
        <v>11930.353500000001</v>
      </c>
      <c r="BA108" s="1205">
        <f>BB108/4</f>
        <v>11930.353500000001</v>
      </c>
      <c r="BB108" s="1206">
        <f>+BB192</f>
        <v>47721.414000000004</v>
      </c>
      <c r="BC108" s="1202">
        <f>BG108/4</f>
        <v>11930.353500000001</v>
      </c>
      <c r="BD108" s="1204">
        <f>BG108/4</f>
        <v>11930.353500000001</v>
      </c>
      <c r="BE108" s="1204">
        <f>BG108/4</f>
        <v>11930.353500000001</v>
      </c>
      <c r="BF108" s="1205">
        <f>BG108/4</f>
        <v>11930.353500000001</v>
      </c>
      <c r="BG108" s="1206">
        <f>+BG192</f>
        <v>47721.414000000004</v>
      </c>
      <c r="BH108" s="1202">
        <f>BL108/4</f>
        <v>11930.353500000001</v>
      </c>
      <c r="BI108" s="1204">
        <f>BL108/4</f>
        <v>11930.353500000001</v>
      </c>
      <c r="BJ108" s="1204">
        <f>BL108/4</f>
        <v>11930.353500000001</v>
      </c>
      <c r="BK108" s="1205">
        <f>BL108/4</f>
        <v>11930.353500000001</v>
      </c>
      <c r="BL108" s="1206">
        <f>+BL192</f>
        <v>47721.414000000004</v>
      </c>
      <c r="BM108" s="1202">
        <f>BQ108/4</f>
        <v>11930.353500000001</v>
      </c>
      <c r="BN108" s="1204">
        <f>BQ108/4</f>
        <v>11930.353500000001</v>
      </c>
      <c r="BO108" s="1204">
        <f>BQ108/4</f>
        <v>11930.353500000001</v>
      </c>
      <c r="BP108" s="1205">
        <f>BQ108/4</f>
        <v>11930.353500000001</v>
      </c>
      <c r="BQ108" s="1206">
        <f>+BQ192</f>
        <v>47721.414000000004</v>
      </c>
      <c r="BR108" s="1272"/>
      <c r="BS108" s="1272"/>
      <c r="BT108" s="1272"/>
      <c r="BU108" s="1272"/>
      <c r="BV108" s="1272"/>
      <c r="BW108" s="1272"/>
      <c r="BX108" s="1272"/>
      <c r="BY108" s="1272"/>
      <c r="BZ108" s="1272"/>
    </row>
    <row r="109" spans="1:104" s="56" customFormat="1" outlineLevel="1">
      <c r="C109" s="1272"/>
      <c r="D109" s="1272"/>
      <c r="E109" s="1209"/>
      <c r="F109" s="1822"/>
      <c r="G109" s="1822"/>
      <c r="H109" s="1281"/>
      <c r="I109" s="1279"/>
      <c r="J109" s="1209"/>
      <c r="K109" s="1822"/>
      <c r="L109" s="1822"/>
      <c r="M109" s="1281"/>
      <c r="N109" s="1279"/>
      <c r="O109" s="1209"/>
      <c r="P109" s="1822"/>
      <c r="Q109" s="1822"/>
      <c r="R109" s="1281"/>
      <c r="S109" s="1279"/>
      <c r="T109" s="1209"/>
      <c r="U109" s="1822"/>
      <c r="V109" s="1822"/>
      <c r="W109" s="1281"/>
      <c r="X109" s="1279"/>
      <c r="Y109" s="1209"/>
      <c r="Z109" s="1822"/>
      <c r="AA109" s="1822"/>
      <c r="AB109" s="1281"/>
      <c r="AC109" s="1279"/>
      <c r="AD109" s="1209"/>
      <c r="AE109" s="1822"/>
      <c r="AF109" s="1822"/>
      <c r="AG109" s="1281"/>
      <c r="AH109" s="1279"/>
      <c r="AI109" s="1209"/>
      <c r="AJ109" s="1822"/>
      <c r="AK109" s="1822"/>
      <c r="AL109" s="1281"/>
      <c r="AM109" s="1279"/>
      <c r="AN109" s="1209"/>
      <c r="AO109" s="1822"/>
      <c r="AP109" s="1822"/>
      <c r="AQ109" s="1281"/>
      <c r="AR109" s="1279"/>
      <c r="AS109" s="1209"/>
      <c r="AT109" s="1822"/>
      <c r="AU109" s="1822"/>
      <c r="AV109" s="1281"/>
      <c r="AW109" s="1279"/>
      <c r="AX109" s="1209"/>
      <c r="AY109" s="1822"/>
      <c r="AZ109" s="1822"/>
      <c r="BA109" s="1281"/>
      <c r="BB109" s="1279"/>
      <c r="BC109" s="1209"/>
      <c r="BD109" s="1822"/>
      <c r="BE109" s="1822"/>
      <c r="BF109" s="1281"/>
      <c r="BG109" s="1279"/>
      <c r="BH109" s="1209"/>
      <c r="BI109" s="1822"/>
      <c r="BJ109" s="1822"/>
      <c r="BK109" s="1281"/>
      <c r="BL109" s="1279"/>
      <c r="BM109" s="1209"/>
      <c r="BN109" s="1822"/>
      <c r="BO109" s="1822"/>
      <c r="BP109" s="1281"/>
      <c r="BQ109" s="1279"/>
      <c r="BR109" s="1272"/>
      <c r="BS109" s="1272"/>
      <c r="BT109" s="1272" t="s">
        <v>175</v>
      </c>
      <c r="BU109" s="1272"/>
      <c r="BV109">
        <f>AVERAGE(V178:W178,Y178:Z178)</f>
        <v>13011</v>
      </c>
      <c r="BW109">
        <f>AVERAGE(AA178:AB178,AD178:AE178)</f>
        <v>12201</v>
      </c>
      <c r="BX109">
        <f>AVERAGE(AF178:AG178,AI178:AJ178)</f>
        <v>11391</v>
      </c>
      <c r="BY109" s="1272"/>
      <c r="BZ109" s="1272"/>
    </row>
    <row r="110" spans="1:104" s="56" customFormat="1" outlineLevel="1">
      <c r="C110" s="1272" t="s">
        <v>380</v>
      </c>
      <c r="D110" s="1272"/>
      <c r="E110" s="1209"/>
      <c r="F110" s="1822"/>
      <c r="G110" s="1822"/>
      <c r="H110" s="1281"/>
      <c r="I110" s="1279"/>
      <c r="J110" s="1209"/>
      <c r="K110" s="1822"/>
      <c r="L110" s="1822"/>
      <c r="M110" s="1281"/>
      <c r="N110" s="1279"/>
      <c r="O110" s="1209"/>
      <c r="P110" s="1822"/>
      <c r="Q110" s="1822"/>
      <c r="R110" s="1281"/>
      <c r="S110" s="1279"/>
      <c r="T110" s="1209"/>
      <c r="U110" s="1822"/>
      <c r="V110" s="1822"/>
      <c r="W110" s="1281"/>
      <c r="X110" s="1279"/>
      <c r="Y110" s="1209"/>
      <c r="Z110" s="1822"/>
      <c r="AA110" s="1822"/>
      <c r="AB110" s="1281"/>
      <c r="AC110" s="1279"/>
      <c r="AD110" s="1209"/>
      <c r="AE110" s="1822"/>
      <c r="AF110" s="1822"/>
      <c r="AG110" s="1281"/>
      <c r="AH110" s="1279"/>
      <c r="AI110" s="1209"/>
      <c r="AJ110" s="1822"/>
      <c r="AK110" s="1822"/>
      <c r="AL110" s="1281"/>
      <c r="AM110" s="1279"/>
      <c r="AN110" s="1209"/>
      <c r="AO110" s="1822"/>
      <c r="AP110" s="1822"/>
      <c r="AQ110" s="1281"/>
      <c r="AR110" s="1279"/>
      <c r="AS110" s="1209"/>
      <c r="AT110" s="1822"/>
      <c r="AU110" s="1822"/>
      <c r="AV110" s="1281"/>
      <c r="AW110" s="1279"/>
      <c r="AX110" s="1209"/>
      <c r="AY110" s="1822"/>
      <c r="AZ110" s="1822"/>
      <c r="BA110" s="1281"/>
      <c r="BB110" s="1279"/>
      <c r="BC110" s="1209"/>
      <c r="BD110" s="1822"/>
      <c r="BE110" s="1822"/>
      <c r="BF110" s="1281"/>
      <c r="BG110" s="1279"/>
      <c r="BH110" s="1209"/>
      <c r="BI110" s="1822"/>
      <c r="BJ110" s="1822"/>
      <c r="BK110" s="1281"/>
      <c r="BL110" s="1279"/>
      <c r="BM110" s="1209"/>
      <c r="BN110" s="1822"/>
      <c r="BO110" s="1822"/>
      <c r="BP110" s="1281"/>
      <c r="BQ110" s="1279"/>
      <c r="BR110" s="1272"/>
      <c r="BS110" s="1272"/>
      <c r="BT110" s="1272"/>
      <c r="BU110" s="1272"/>
      <c r="BV110" s="1272"/>
      <c r="BW110" s="1272"/>
      <c r="BX110" s="1272"/>
      <c r="BY110" s="1272"/>
      <c r="BZ110" s="1272"/>
    </row>
    <row r="111" spans="1:104" s="56" customFormat="1" outlineLevel="1">
      <c r="C111" s="1272" t="s">
        <v>955</v>
      </c>
      <c r="D111" s="1272"/>
      <c r="E111" s="1209"/>
      <c r="F111" s="1822"/>
      <c r="G111" s="1822"/>
      <c r="H111" s="1281"/>
      <c r="I111" s="87"/>
      <c r="J111" s="762"/>
      <c r="K111" s="766"/>
      <c r="L111" s="766"/>
      <c r="M111" s="777"/>
      <c r="N111" s="87"/>
      <c r="O111" s="762"/>
      <c r="P111" s="766"/>
      <c r="Q111" s="766"/>
      <c r="R111" s="777"/>
      <c r="S111" s="87"/>
      <c r="T111" s="762"/>
      <c r="U111" s="766"/>
      <c r="V111" s="766"/>
      <c r="W111" s="777"/>
      <c r="X111" s="87">
        <v>0.38</v>
      </c>
      <c r="Y111" s="762">
        <v>0.53</v>
      </c>
      <c r="Z111" s="766">
        <v>0.56000000000000005</v>
      </c>
      <c r="AA111" s="766">
        <v>0.57999999999999996</v>
      </c>
      <c r="AB111" s="777">
        <v>0.65</v>
      </c>
      <c r="AC111" s="1283">
        <f>AVERAGE(Y111:AB111)</f>
        <v>0.57999999999999996</v>
      </c>
      <c r="AD111" s="1223">
        <f>Y111</f>
        <v>0.53</v>
      </c>
      <c r="AE111" s="1224">
        <f>Z111</f>
        <v>0.56000000000000005</v>
      </c>
      <c r="AF111" s="1224">
        <f>AA111</f>
        <v>0.57999999999999996</v>
      </c>
      <c r="AG111" s="777">
        <f>AF111</f>
        <v>0.57999999999999996</v>
      </c>
      <c r="AH111" s="1283">
        <f>AVERAGE(AD111:AG111)</f>
        <v>0.5625</v>
      </c>
      <c r="AI111" s="1223">
        <f>AG111</f>
        <v>0.57999999999999996</v>
      </c>
      <c r="AJ111" s="2">
        <f>AI111</f>
        <v>0.57999999999999996</v>
      </c>
      <c r="AK111" s="2">
        <f>AJ111</f>
        <v>0.57999999999999996</v>
      </c>
      <c r="AL111" s="3">
        <f>AK111</f>
        <v>0.57999999999999996</v>
      </c>
      <c r="AM111" s="1283">
        <f>AVERAGE(AI111:AL111)</f>
        <v>0.57999999999999996</v>
      </c>
      <c r="AN111" s="1223">
        <f>AL111</f>
        <v>0.57999999999999996</v>
      </c>
      <c r="AO111" s="2">
        <f>AN111</f>
        <v>0.57999999999999996</v>
      </c>
      <c r="AP111" s="2">
        <f>AO111</f>
        <v>0.57999999999999996</v>
      </c>
      <c r="AQ111" s="3">
        <f>AP111</f>
        <v>0.57999999999999996</v>
      </c>
      <c r="AR111" s="1283">
        <f>AVERAGE(AN111:AQ111)</f>
        <v>0.57999999999999996</v>
      </c>
      <c r="AS111" s="1223">
        <f>AQ111</f>
        <v>0.57999999999999996</v>
      </c>
      <c r="AT111" s="2">
        <f>AS111</f>
        <v>0.57999999999999996</v>
      </c>
      <c r="AU111" s="2">
        <f>AT111</f>
        <v>0.57999999999999996</v>
      </c>
      <c r="AV111" s="3">
        <f>AU111</f>
        <v>0.57999999999999996</v>
      </c>
      <c r="AW111" s="1283">
        <f>AVERAGE(AS111:AV111)</f>
        <v>0.57999999999999996</v>
      </c>
      <c r="AX111" s="1223">
        <f>AV111</f>
        <v>0.57999999999999996</v>
      </c>
      <c r="AY111" s="2">
        <f>AX111</f>
        <v>0.57999999999999996</v>
      </c>
      <c r="AZ111" s="2">
        <f>AY111</f>
        <v>0.57999999999999996</v>
      </c>
      <c r="BA111" s="3">
        <f>AZ111</f>
        <v>0.57999999999999996</v>
      </c>
      <c r="BB111" s="1283">
        <f>AVERAGE(AX111:BA111)</f>
        <v>0.57999999999999996</v>
      </c>
      <c r="BC111" s="1223">
        <f>BA111</f>
        <v>0.57999999999999996</v>
      </c>
      <c r="BD111" s="2">
        <f>BC111</f>
        <v>0.57999999999999996</v>
      </c>
      <c r="BE111" s="2">
        <f>BD111</f>
        <v>0.57999999999999996</v>
      </c>
      <c r="BF111" s="3">
        <f>BE111</f>
        <v>0.57999999999999996</v>
      </c>
      <c r="BG111" s="1283">
        <f>AVERAGE(BC111:BF111)</f>
        <v>0.57999999999999996</v>
      </c>
      <c r="BH111" s="1223">
        <f>BF111</f>
        <v>0.57999999999999996</v>
      </c>
      <c r="BI111" s="2">
        <f>BH111</f>
        <v>0.57999999999999996</v>
      </c>
      <c r="BJ111" s="2">
        <f>BI111</f>
        <v>0.57999999999999996</v>
      </c>
      <c r="BK111" s="3">
        <f>BJ111</f>
        <v>0.57999999999999996</v>
      </c>
      <c r="BL111" s="1283">
        <f>AVERAGE(BH111:BK111)</f>
        <v>0.57999999999999996</v>
      </c>
      <c r="BM111" s="1223">
        <f>BK111</f>
        <v>0.57999999999999996</v>
      </c>
      <c r="BN111" s="2">
        <f>BM111</f>
        <v>0.57999999999999996</v>
      </c>
      <c r="BO111" s="2">
        <f>BN111</f>
        <v>0.57999999999999996</v>
      </c>
      <c r="BP111" s="3">
        <f>BO111</f>
        <v>0.57999999999999996</v>
      </c>
      <c r="BQ111" s="1283">
        <f>AVERAGE(BM111:BP111)</f>
        <v>0.57999999999999996</v>
      </c>
      <c r="BR111" s="1272"/>
      <c r="BS111" s="1272"/>
      <c r="BT111" s="1272" t="s">
        <v>176</v>
      </c>
      <c r="BU111" s="87">
        <v>1</v>
      </c>
      <c r="BV111" s="1206">
        <f>BV109*(BV107-BV106)*0.365/1000*$BU111</f>
        <v>0</v>
      </c>
      <c r="BW111" s="1206">
        <f>BW109*(BW107-BW106)*0.365/1000*$BU111</f>
        <v>-123.49181145</v>
      </c>
      <c r="BX111" s="1206">
        <f>BX109*(BX107-BX106)*0.365/1000*$BU111</f>
        <v>-523.83051284999999</v>
      </c>
      <c r="BY111">
        <f>SUM(BV111:BX111)</f>
        <v>-647.32232429999999</v>
      </c>
      <c r="BZ111" s="1272"/>
    </row>
    <row r="112" spans="1:104" s="56" customFormat="1" outlineLevel="1">
      <c r="C112" s="1272"/>
      <c r="D112" s="1272"/>
      <c r="E112" s="1209"/>
      <c r="F112" s="1822"/>
      <c r="G112" s="1822"/>
      <c r="H112" s="1281"/>
      <c r="I112" s="1279"/>
      <c r="J112" s="1209"/>
      <c r="K112" s="1822"/>
      <c r="L112" s="1822"/>
      <c r="M112" s="1281"/>
      <c r="N112" s="1279"/>
      <c r="O112" s="1209"/>
      <c r="P112" s="1822"/>
      <c r="Q112" s="1822"/>
      <c r="R112" s="1281"/>
      <c r="S112" s="1279"/>
      <c r="T112" s="1209"/>
      <c r="U112" s="1822"/>
      <c r="V112" s="1822"/>
      <c r="W112" s="1281"/>
      <c r="X112" s="1279"/>
      <c r="Y112" s="1209"/>
      <c r="Z112" s="1822"/>
      <c r="AA112" s="1822"/>
      <c r="AB112" s="1281"/>
      <c r="AC112" s="1279"/>
      <c r="AD112" s="1209"/>
      <c r="AE112" s="1822"/>
      <c r="AF112" s="1822"/>
      <c r="AG112" s="1281"/>
      <c r="AH112" s="1279"/>
      <c r="AI112" s="1209"/>
      <c r="AJ112" s="1822"/>
      <c r="AK112" s="1822"/>
      <c r="AL112" s="1281"/>
      <c r="AM112" s="1279"/>
      <c r="AN112" s="1209"/>
      <c r="AO112" s="1822"/>
      <c r="AP112" s="1822"/>
      <c r="AQ112" s="1281"/>
      <c r="AR112" s="1279"/>
      <c r="AS112" s="1209"/>
      <c r="AT112" s="1822"/>
      <c r="AU112" s="1822"/>
      <c r="AV112" s="1281"/>
      <c r="AW112" s="1279"/>
      <c r="AX112" s="1209"/>
      <c r="AY112" s="1822"/>
      <c r="AZ112" s="1822"/>
      <c r="BA112" s="1281"/>
      <c r="BB112" s="1279"/>
      <c r="BC112" s="1209"/>
      <c r="BD112" s="1822"/>
      <c r="BE112" s="1822"/>
      <c r="BF112" s="1281"/>
      <c r="BG112" s="1279"/>
      <c r="BH112" s="1209"/>
      <c r="BI112" s="1822"/>
      <c r="BJ112" s="1822"/>
      <c r="BK112" s="1281"/>
      <c r="BL112" s="1279"/>
      <c r="BM112" s="1209"/>
      <c r="BN112" s="1822"/>
      <c r="BO112" s="1822"/>
      <c r="BP112" s="1281"/>
      <c r="BQ112" s="1279"/>
      <c r="BR112" s="1272"/>
      <c r="BS112" s="1272"/>
      <c r="BT112" s="1272" t="s">
        <v>176</v>
      </c>
      <c r="BU112" s="87">
        <v>0.7</v>
      </c>
      <c r="BV112" s="1206">
        <f>BV109*(BV107-BV106)*0.365/1000*$BU112</f>
        <v>0</v>
      </c>
      <c r="BW112" s="1206">
        <f>BW109*(BW107-BW106)*0.365/1000*$BU112</f>
        <v>-86.444268014999992</v>
      </c>
      <c r="BX112" s="1206">
        <f>BX109*(BX107-BX106)*0.365/1000*$BU112</f>
        <v>-366.68135899499998</v>
      </c>
      <c r="BY112">
        <f>SUM(BV112:BX112)</f>
        <v>-453.12562700999996</v>
      </c>
      <c r="BZ112" s="1272"/>
    </row>
    <row r="113" spans="3:78" s="56" customFormat="1" outlineLevel="1">
      <c r="C113" s="1272" t="s">
        <v>377</v>
      </c>
      <c r="D113" s="1272"/>
      <c r="E113" s="1209"/>
      <c r="F113" s="1822"/>
      <c r="G113" s="1822"/>
      <c r="H113" s="1281"/>
      <c r="I113" s="62"/>
      <c r="J113" s="778"/>
      <c r="K113" s="779"/>
      <c r="L113" s="779"/>
      <c r="M113" s="780"/>
      <c r="N113" s="1280"/>
      <c r="O113" s="778"/>
      <c r="P113" s="779"/>
      <c r="Q113" s="779"/>
      <c r="R113" s="780"/>
      <c r="S113" s="1280"/>
      <c r="T113" s="778"/>
      <c r="U113" s="779"/>
      <c r="V113" s="779"/>
      <c r="W113" s="780"/>
      <c r="X113" s="62">
        <v>58.6</v>
      </c>
      <c r="Y113" s="1271">
        <f>+Z113</f>
        <v>58.6</v>
      </c>
      <c r="Z113" s="1277">
        <f>+AA113</f>
        <v>58.6</v>
      </c>
      <c r="AA113" s="1277">
        <f>+AB113</f>
        <v>58.6</v>
      </c>
      <c r="AB113" s="1278">
        <f>+AC113</f>
        <v>58.6</v>
      </c>
      <c r="AC113" s="62">
        <f>X113</f>
        <v>58.6</v>
      </c>
      <c r="AD113" s="1271">
        <f>+AE113</f>
        <v>58.6</v>
      </c>
      <c r="AE113" s="1277">
        <f>+AF113</f>
        <v>58.6</v>
      </c>
      <c r="AF113" s="1277">
        <f>+AG113</f>
        <v>58.6</v>
      </c>
      <c r="AG113" s="1278">
        <f>+AH113</f>
        <v>58.6</v>
      </c>
      <c r="AH113" s="62">
        <f>+AC113</f>
        <v>58.6</v>
      </c>
      <c r="AI113" s="778">
        <v>60</v>
      </c>
      <c r="AJ113" s="779">
        <v>52</v>
      </c>
      <c r="AK113" s="779">
        <v>57</v>
      </c>
      <c r="AL113" s="780">
        <v>50</v>
      </c>
      <c r="AM113" s="62">
        <f>AM126+2</f>
        <v>48.293112861512256</v>
      </c>
      <c r="AN113" s="1271">
        <f>+AO113</f>
        <v>50</v>
      </c>
      <c r="AO113" s="1277">
        <f>+AP113</f>
        <v>50</v>
      </c>
      <c r="AP113" s="1277">
        <f>+AQ113</f>
        <v>50</v>
      </c>
      <c r="AQ113" s="780">
        <v>50</v>
      </c>
      <c r="AR113" s="62">
        <f>AR126+2</f>
        <v>44.331238001808345</v>
      </c>
      <c r="AS113" s="1271">
        <f>+AT113</f>
        <v>37.89417667565354</v>
      </c>
      <c r="AT113" s="1277">
        <f>+AU113</f>
        <v>37.89417667565354</v>
      </c>
      <c r="AU113" s="1277">
        <f>+AV113</f>
        <v>37.89417667565354</v>
      </c>
      <c r="AV113" s="780">
        <f>+AW113</f>
        <v>37.89417667565354</v>
      </c>
      <c r="AW113" s="1497">
        <f>AW126+2</f>
        <v>37.89417667565354</v>
      </c>
      <c r="AX113" s="1476">
        <f>+AY113</f>
        <v>41.281046061324872</v>
      </c>
      <c r="AY113" s="1571">
        <f>+AZ113</f>
        <v>41.281046061324872</v>
      </c>
      <c r="AZ113" s="1571">
        <f>+BA113</f>
        <v>41.281046061324872</v>
      </c>
      <c r="BA113" s="1475">
        <f>+BB113</f>
        <v>41.281046061324872</v>
      </c>
      <c r="BB113" s="1497">
        <f>BB126+2</f>
        <v>41.281046061324872</v>
      </c>
      <c r="BC113" s="1476">
        <f>+BD113</f>
        <v>38.428680902371582</v>
      </c>
      <c r="BD113" s="1571">
        <f>+BE113</f>
        <v>38.428680902371582</v>
      </c>
      <c r="BE113" s="1571">
        <f>+BF113</f>
        <v>38.428680902371582</v>
      </c>
      <c r="BF113" s="1475">
        <f>+BG113</f>
        <v>38.428680902371582</v>
      </c>
      <c r="BG113" s="1497">
        <f>BG126+2</f>
        <v>38.428680902371582</v>
      </c>
      <c r="BH113" s="1476">
        <f>+BI113</f>
        <v>37.738439012187563</v>
      </c>
      <c r="BI113" s="1571">
        <f>+BJ113</f>
        <v>37.738439012187563</v>
      </c>
      <c r="BJ113" s="1571">
        <f>+BK113</f>
        <v>37.738439012187563</v>
      </c>
      <c r="BK113" s="1475">
        <f>+BL113</f>
        <v>37.738439012187563</v>
      </c>
      <c r="BL113" s="1497">
        <f>BL126+2</f>
        <v>37.738439012187563</v>
      </c>
      <c r="BM113" s="1476">
        <f>+BN113</f>
        <v>39.021710201455676</v>
      </c>
      <c r="BN113" s="1571">
        <f>+BO113</f>
        <v>39.021710201455676</v>
      </c>
      <c r="BO113" s="1571">
        <f>+BP113</f>
        <v>39.021710201455676</v>
      </c>
      <c r="BP113" s="1475">
        <f>+BQ113</f>
        <v>39.021710201455676</v>
      </c>
      <c r="BQ113" s="1497">
        <f>BQ126+2</f>
        <v>39.021710201455676</v>
      </c>
      <c r="BR113" s="1272"/>
      <c r="BS113" s="1272"/>
      <c r="BT113" s="1272" t="s">
        <v>176</v>
      </c>
      <c r="BU113" s="87">
        <v>0.5</v>
      </c>
      <c r="BV113" s="1206">
        <f>BV109*(BV107-BV106)*0.365/1000*$BU113</f>
        <v>0</v>
      </c>
      <c r="BW113" s="1206">
        <f>BW109*(BW107-BW106)*0.365/1000*$BU113</f>
        <v>-61.745905725</v>
      </c>
      <c r="BX113" s="1206">
        <f>BX109*(BX107-BX106)*0.365/1000*$BU113</f>
        <v>-261.915256425</v>
      </c>
      <c r="BY113">
        <f>SUM(BV113:BX113)</f>
        <v>-323.66116215</v>
      </c>
      <c r="BZ113" s="1272"/>
    </row>
    <row r="114" spans="3:78" s="56" customFormat="1" outlineLevel="1">
      <c r="C114" s="1272" t="s">
        <v>956</v>
      </c>
      <c r="D114" s="1272"/>
      <c r="E114" s="1209"/>
      <c r="F114" s="1822"/>
      <c r="G114" s="1822"/>
      <c r="H114" s="1281"/>
      <c r="I114" s="1206"/>
      <c r="J114" s="1202"/>
      <c r="K114" s="1204"/>
      <c r="L114" s="1204"/>
      <c r="M114" s="1205"/>
      <c r="N114" s="1206"/>
      <c r="O114" s="1202"/>
      <c r="P114" s="1204"/>
      <c r="Q114" s="1204"/>
      <c r="R114" s="1205"/>
      <c r="S114" s="1206"/>
      <c r="T114" s="1202"/>
      <c r="U114" s="1204"/>
      <c r="V114" s="1204"/>
      <c r="W114" s="1205"/>
      <c r="X114" s="1206">
        <f>(1-X111)*X92</f>
        <v>29079.86</v>
      </c>
      <c r="Y114" s="1202">
        <f>(1-Y111)*Y92</f>
        <v>5530.49</v>
      </c>
      <c r="Z114" s="1204">
        <f>(1-Z111)*Z92</f>
        <v>4723.8399999999992</v>
      </c>
      <c r="AA114" s="1204">
        <f>(1-AA111)*AA92</f>
        <v>4873.26</v>
      </c>
      <c r="AB114" s="1205">
        <f>(1-AB111)*AB92</f>
        <v>3712.7999999999997</v>
      </c>
      <c r="AC114" s="1206">
        <f>SUM(Y114:AB114)</f>
        <v>18840.39</v>
      </c>
      <c r="AD114" s="1202">
        <f>(1-AD111)*AD92</f>
        <v>5553.99</v>
      </c>
      <c r="AE114" s="1204">
        <f>(1-AE111)*AE92</f>
        <v>4496.7999999999993</v>
      </c>
      <c r="AF114" s="1204">
        <f>(1-AF111)*AF92</f>
        <v>4578</v>
      </c>
      <c r="AG114" s="1205">
        <f>(1-AG111)*AG92</f>
        <v>4520.88</v>
      </c>
      <c r="AH114" s="1206">
        <f>SUM(AD114:AG114)</f>
        <v>19149.669999999998</v>
      </c>
      <c r="AI114" s="1202">
        <f>(1-AI111)*AI92</f>
        <v>4898.0400000000009</v>
      </c>
      <c r="AJ114" s="1204">
        <f>(1-AJ111)*AJ92</f>
        <v>4357.0800000000008</v>
      </c>
      <c r="AK114" s="1204">
        <f>(1-AK111)*AK92</f>
        <v>4811.5200000000004</v>
      </c>
      <c r="AL114" s="1205">
        <f>(1-AL111)*AL92</f>
        <v>4168.0800000000008</v>
      </c>
      <c r="AM114" s="1206">
        <f>SUM(AI114:AL114)</f>
        <v>18234.720000000005</v>
      </c>
      <c r="AN114" s="1202">
        <f>(1-AN111)*AN92</f>
        <v>4528.4400000000005</v>
      </c>
      <c r="AO114" s="1204">
        <f>(1-AO111)*AO92</f>
        <v>4289.88</v>
      </c>
      <c r="AP114" s="1204">
        <f>(1-AP111)*AP92</f>
        <v>5095.0200000000004</v>
      </c>
      <c r="AQ114" s="1205">
        <f>(1-AQ111)*AQ92</f>
        <v>4309.6200000000008</v>
      </c>
      <c r="AR114" s="1206">
        <f>SUM(AN114:AQ114)</f>
        <v>18222.96</v>
      </c>
      <c r="AS114" s="1202">
        <f>(1-AS111)*AS92</f>
        <v>4503.2400000000007</v>
      </c>
      <c r="AT114" s="1204">
        <f>(1-AT111)*AT92</f>
        <v>4255.8600000000006</v>
      </c>
      <c r="AU114" s="1204">
        <f>(1-AU111)*AU92</f>
        <v>4698.1200000000008</v>
      </c>
      <c r="AV114" s="1205">
        <f>(1-AV111)*AV92</f>
        <v>4480.5600000000004</v>
      </c>
      <c r="AW114" s="1206">
        <f>SUM(AS114:AV114)</f>
        <v>17937.780000000002</v>
      </c>
      <c r="AX114" s="1202">
        <f>(1-AX111)*AX92</f>
        <v>4503.2400000000007</v>
      </c>
      <c r="AY114" s="1204">
        <f>(1-AY111)*AY92</f>
        <v>4255.8600000000006</v>
      </c>
      <c r="AZ114" s="1204">
        <f>(1-AZ111)*AZ92</f>
        <v>4698.1200000000008</v>
      </c>
      <c r="BA114" s="1205">
        <f>(1-BA111)*BA92</f>
        <v>4480.5600000000004</v>
      </c>
      <c r="BB114" s="1206">
        <f>SUM(AX114:BA114)</f>
        <v>17937.780000000002</v>
      </c>
      <c r="BC114" s="1202">
        <f>(1-BC111)*BC92</f>
        <v>4503.2400000000007</v>
      </c>
      <c r="BD114" s="1204">
        <f>(1-BD111)*BD92</f>
        <v>4255.8600000000006</v>
      </c>
      <c r="BE114" s="1204">
        <f>(1-BE111)*BE92</f>
        <v>4698.1200000000008</v>
      </c>
      <c r="BF114" s="1205">
        <f>(1-BF111)*BF92</f>
        <v>4480.5600000000004</v>
      </c>
      <c r="BG114" s="1206">
        <f>SUM(BC114:BF114)</f>
        <v>17937.780000000002</v>
      </c>
      <c r="BH114" s="1202">
        <f>(1-BH111)*BH92</f>
        <v>4503.2400000000007</v>
      </c>
      <c r="BI114" s="1204">
        <f>(1-BI111)*BI92</f>
        <v>4255.8600000000006</v>
      </c>
      <c r="BJ114" s="1204">
        <f>(1-BJ111)*BJ92</f>
        <v>4698.1200000000008</v>
      </c>
      <c r="BK114" s="1205">
        <f>(1-BK111)*BK92</f>
        <v>4480.5600000000004</v>
      </c>
      <c r="BL114" s="1206">
        <f>SUM(BH114:BK114)</f>
        <v>17937.780000000002</v>
      </c>
      <c r="BM114" s="1202">
        <f>(1-BM111)*BM92</f>
        <v>4503.2400000000007</v>
      </c>
      <c r="BN114" s="1204">
        <f>(1-BN111)*BN92</f>
        <v>4255.8600000000006</v>
      </c>
      <c r="BO114" s="1204">
        <f>(1-BO111)*BO92</f>
        <v>4698.1200000000008</v>
      </c>
      <c r="BP114" s="1205">
        <f>(1-BP111)*BP92</f>
        <v>4480.5600000000004</v>
      </c>
      <c r="BQ114" s="1206">
        <f>SUM(BM114:BP114)</f>
        <v>17937.780000000002</v>
      </c>
      <c r="BR114" s="1272"/>
      <c r="BS114" s="1272"/>
      <c r="BT114" s="1272"/>
      <c r="BU114" s="1272"/>
      <c r="BV114" s="1272"/>
      <c r="BW114" s="1272"/>
      <c r="BX114" s="1272"/>
      <c r="BY114" s="1272"/>
      <c r="BZ114" s="1272"/>
    </row>
    <row r="115" spans="3:78" s="56" customFormat="1" outlineLevel="1">
      <c r="C115" s="1272" t="s">
        <v>957</v>
      </c>
      <c r="D115" s="1272"/>
      <c r="E115" s="1209"/>
      <c r="F115" s="1822"/>
      <c r="G115" s="1822"/>
      <c r="H115" s="1281"/>
      <c r="I115" s="1206"/>
      <c r="J115" s="1202"/>
      <c r="K115" s="1204"/>
      <c r="L115" s="1204"/>
      <c r="M115" s="1205"/>
      <c r="N115" s="1206"/>
      <c r="O115" s="1202"/>
      <c r="P115" s="1204"/>
      <c r="Q115" s="1204"/>
      <c r="R115" s="1205"/>
      <c r="S115" s="1206"/>
      <c r="T115" s="1202"/>
      <c r="U115" s="1204"/>
      <c r="V115" s="1204"/>
      <c r="W115" s="1205"/>
      <c r="X115" s="1206">
        <f>X114*X113/1000</f>
        <v>1704.079796</v>
      </c>
      <c r="Y115" s="1202">
        <f>Y114*Y113/1000</f>
        <v>324.08671399999997</v>
      </c>
      <c r="Z115" s="1204">
        <f t="shared" ref="Z115:AF115" si="46">Z114*Z113/1000</f>
        <v>276.817024</v>
      </c>
      <c r="AA115" s="1204">
        <f t="shared" si="46"/>
        <v>285.573036</v>
      </c>
      <c r="AB115" s="1205">
        <f t="shared" si="46"/>
        <v>217.57007999999999</v>
      </c>
      <c r="AC115" s="1206">
        <f>SUM(Y115:AB115)</f>
        <v>1104.0468539999999</v>
      </c>
      <c r="AD115" s="1202">
        <f t="shared" si="46"/>
        <v>325.46381400000001</v>
      </c>
      <c r="AE115" s="1204">
        <f t="shared" si="46"/>
        <v>263.51247999999998</v>
      </c>
      <c r="AF115" s="1204">
        <f t="shared" si="46"/>
        <v>268.27080000000001</v>
      </c>
      <c r="AG115" s="1205">
        <f>AG114*AG113/1000</f>
        <v>264.92356800000005</v>
      </c>
      <c r="AH115" s="1206">
        <f>SUM(AD115:AG115)</f>
        <v>1122.170662</v>
      </c>
      <c r="AI115" s="1202">
        <f>AI114*AI113/1000</f>
        <v>293.88240000000002</v>
      </c>
      <c r="AJ115" s="1204">
        <f>AJ114*AJ113/1000</f>
        <v>226.56816000000003</v>
      </c>
      <c r="AK115" s="1204">
        <f>AK114*AK113/1000</f>
        <v>274.25664</v>
      </c>
      <c r="AL115" s="1205">
        <f>AL114*AL113/1000</f>
        <v>208.40400000000002</v>
      </c>
      <c r="AM115" s="1206">
        <f>SUM(AI115:AL115)</f>
        <v>1003.1112000000001</v>
      </c>
      <c r="AN115" s="1202">
        <f>AN114*AN113/1000</f>
        <v>226.42200000000003</v>
      </c>
      <c r="AO115" s="1204">
        <f>AO114*AO113/1000</f>
        <v>214.494</v>
      </c>
      <c r="AP115" s="1204">
        <f>AP114*AP113/1000</f>
        <v>254.75100000000003</v>
      </c>
      <c r="AQ115" s="1205">
        <f>AQ114*AQ113/1000</f>
        <v>215.48100000000002</v>
      </c>
      <c r="AR115" s="1206">
        <f>SUM(AN115:AQ115)</f>
        <v>911.14800000000014</v>
      </c>
      <c r="AS115" s="1202">
        <f>AS114*AS113/1000</f>
        <v>170.64657217287007</v>
      </c>
      <c r="AT115" s="1204">
        <f>AT114*AT113/1000</f>
        <v>161.2723107468469</v>
      </c>
      <c r="AU115" s="1204">
        <f>AU114*AU113/1000</f>
        <v>178.03138932342142</v>
      </c>
      <c r="AV115" s="1205">
        <f>AV114*AV113/1000</f>
        <v>169.78713224586625</v>
      </c>
      <c r="AW115" s="1206">
        <f>SUM(AS115:AV115)</f>
        <v>679.73740448900458</v>
      </c>
      <c r="AX115" s="1202">
        <f>AX114*AX113/1000</f>
        <v>185.89845786520064</v>
      </c>
      <c r="AY115" s="1204">
        <f>AY114*AY113/1000</f>
        <v>175.68635269055008</v>
      </c>
      <c r="AZ115" s="1204">
        <f>AZ114*AZ113/1000</f>
        <v>193.94330812163165</v>
      </c>
      <c r="BA115" s="1205">
        <f>BA114*BA113/1000</f>
        <v>184.96220374052979</v>
      </c>
      <c r="BB115" s="1206">
        <f>SUM(AX115:BA115)</f>
        <v>740.49032241791224</v>
      </c>
      <c r="BC115" s="1202">
        <f>BC114*BC113/1000</f>
        <v>173.05357298679584</v>
      </c>
      <c r="BD115" s="1204">
        <f>BD114*BD113/1000</f>
        <v>163.54708590516714</v>
      </c>
      <c r="BE115" s="1204">
        <f>BE114*BE113/1000</f>
        <v>180.54255432105001</v>
      </c>
      <c r="BF115" s="1205">
        <f>BF114*BF113/1000</f>
        <v>172.18201050393003</v>
      </c>
      <c r="BG115" s="1206">
        <f>SUM(BC115:BF115)</f>
        <v>689.32522371694313</v>
      </c>
      <c r="BH115" s="1202">
        <f>BH114*BH113/1000</f>
        <v>169.94524809724354</v>
      </c>
      <c r="BI115" s="1204">
        <f>BI114*BI113/1000</f>
        <v>160.60951305440858</v>
      </c>
      <c r="BJ115" s="1204">
        <f>BJ114*BJ113/1000</f>
        <v>177.29971509193865</v>
      </c>
      <c r="BK115" s="1205">
        <f>BK114*BK113/1000</f>
        <v>169.08934030044713</v>
      </c>
      <c r="BL115" s="1206">
        <f>SUM(BH115:BK115)</f>
        <v>676.94381654403787</v>
      </c>
      <c r="BM115" s="1202">
        <f>BM114*BM113/1000</f>
        <v>175.72412624760327</v>
      </c>
      <c r="BN115" s="1204">
        <f>BN114*BN113/1000</f>
        <v>166.07093557796716</v>
      </c>
      <c r="BO115" s="1204">
        <f>BO114*BO113/1000</f>
        <v>183.32867713166297</v>
      </c>
      <c r="BP115" s="1205">
        <f>BP114*BP113/1000</f>
        <v>174.83911386023428</v>
      </c>
      <c r="BQ115" s="1206">
        <f>SUM(BM115:BP115)</f>
        <v>699.96285281746771</v>
      </c>
      <c r="BR115" s="1272"/>
      <c r="BS115" s="1272"/>
      <c r="BT115" s="1272"/>
      <c r="BU115" s="1272"/>
      <c r="BV115" s="1272"/>
      <c r="BW115" s="1272"/>
      <c r="BX115" s="1272"/>
      <c r="BY115" s="1272"/>
      <c r="BZ115" s="1272"/>
    </row>
    <row r="116" spans="3:78" s="56" customFormat="1" outlineLevel="1">
      <c r="C116" s="1272"/>
      <c r="D116" s="1272"/>
      <c r="E116" s="1209"/>
      <c r="F116" s="1822"/>
      <c r="G116" s="1822"/>
      <c r="H116" s="1281"/>
      <c r="I116" s="1279"/>
      <c r="J116" s="1209"/>
      <c r="K116" s="1822"/>
      <c r="L116" s="1822"/>
      <c r="M116" s="1281"/>
      <c r="N116" s="1279"/>
      <c r="O116" s="1209"/>
      <c r="P116" s="1822"/>
      <c r="Q116" s="1822"/>
      <c r="R116" s="1281"/>
      <c r="S116" s="1279"/>
      <c r="T116" s="1209"/>
      <c r="U116" s="1822"/>
      <c r="V116" s="1822"/>
      <c r="W116" s="1281"/>
      <c r="X116" s="1279"/>
      <c r="Y116" s="1209"/>
      <c r="Z116" s="1822"/>
      <c r="AA116" s="1822"/>
      <c r="AB116" s="1281"/>
      <c r="AC116" s="1279"/>
      <c r="AD116" s="1209"/>
      <c r="AE116" s="1822"/>
      <c r="AF116" s="1822"/>
      <c r="AG116" s="1281"/>
      <c r="AH116" s="1279"/>
      <c r="AI116" s="1209"/>
      <c r="AJ116" s="1822"/>
      <c r="AK116" s="1822"/>
      <c r="AL116" s="1281"/>
      <c r="AM116" s="1279"/>
      <c r="AN116" s="1209"/>
      <c r="AO116" s="1822"/>
      <c r="AP116" s="1822"/>
      <c r="AQ116" s="1281"/>
      <c r="AR116" s="1279"/>
      <c r="AS116" s="1209"/>
      <c r="AT116" s="1822"/>
      <c r="AU116" s="1822"/>
      <c r="AV116" s="1281"/>
      <c r="AW116" s="1279"/>
      <c r="AX116" s="1209"/>
      <c r="AY116" s="1822"/>
      <c r="AZ116" s="1822"/>
      <c r="BA116" s="1281"/>
      <c r="BB116" s="1279"/>
      <c r="BC116" s="1209"/>
      <c r="BD116" s="1822"/>
      <c r="BE116" s="1822"/>
      <c r="BF116" s="1281"/>
      <c r="BG116" s="1279"/>
      <c r="BH116" s="1209"/>
      <c r="BI116" s="1822"/>
      <c r="BJ116" s="1822"/>
      <c r="BK116" s="1281"/>
      <c r="BL116" s="1279"/>
      <c r="BM116" s="1209"/>
      <c r="BN116" s="1822"/>
      <c r="BO116" s="1822"/>
      <c r="BP116" s="1281"/>
      <c r="BQ116" s="1279"/>
      <c r="BR116" s="1272"/>
      <c r="BS116" s="1272"/>
      <c r="BT116" s="1117"/>
      <c r="BU116" s="1272"/>
      <c r="BV116" s="1272"/>
      <c r="BW116" s="1272"/>
      <c r="BX116" s="1272"/>
      <c r="BY116" s="1272"/>
      <c r="BZ116" s="1272"/>
    </row>
    <row r="117" spans="3:78" s="56" customFormat="1" outlineLevel="1">
      <c r="C117" s="1272"/>
      <c r="D117" s="1272"/>
      <c r="E117" s="1209"/>
      <c r="F117" s="1822"/>
      <c r="G117" s="1822"/>
      <c r="H117" s="1281"/>
      <c r="I117" s="1279"/>
      <c r="J117" s="1209"/>
      <c r="K117" s="1822"/>
      <c r="L117" s="1822"/>
      <c r="M117" s="1281"/>
      <c r="N117" s="1279"/>
      <c r="O117" s="1209"/>
      <c r="P117" s="1822"/>
      <c r="Q117" s="1822"/>
      <c r="R117" s="1281"/>
      <c r="S117" s="1279"/>
      <c r="T117" s="1209"/>
      <c r="U117" s="1822"/>
      <c r="V117" s="1822"/>
      <c r="W117" s="1281"/>
      <c r="X117" s="1279"/>
      <c r="Y117" s="1209"/>
      <c r="Z117" s="1822"/>
      <c r="AA117" s="1822"/>
      <c r="AB117" s="1281"/>
      <c r="AC117" s="1279"/>
      <c r="AD117" s="1209"/>
      <c r="AE117" s="1822"/>
      <c r="AF117" s="1822"/>
      <c r="AG117" s="1281"/>
      <c r="AH117" s="1279"/>
      <c r="AI117" s="1209"/>
      <c r="AJ117" s="1822"/>
      <c r="AK117" s="1822"/>
      <c r="AL117" s="1281"/>
      <c r="AM117" s="1279"/>
      <c r="AN117" s="1209"/>
      <c r="AO117" s="1822"/>
      <c r="AP117" s="1822"/>
      <c r="AQ117" s="1281"/>
      <c r="AR117" s="1279"/>
      <c r="AS117" s="1209"/>
      <c r="AT117" s="1822"/>
      <c r="AU117" s="1822"/>
      <c r="AV117" s="1281"/>
      <c r="AW117" s="1279"/>
      <c r="AX117" s="1209"/>
      <c r="AY117" s="1822"/>
      <c r="AZ117" s="1822"/>
      <c r="BA117" s="1281"/>
      <c r="BB117" s="1279"/>
      <c r="BC117" s="1209"/>
      <c r="BD117" s="1822"/>
      <c r="BE117" s="1822"/>
      <c r="BF117" s="1281"/>
      <c r="BG117" s="1279"/>
      <c r="BH117" s="1209"/>
      <c r="BI117" s="1822"/>
      <c r="BJ117" s="1822"/>
      <c r="BK117" s="1281"/>
      <c r="BL117" s="1279"/>
      <c r="BM117" s="1209"/>
      <c r="BN117" s="1822"/>
      <c r="BO117" s="1822"/>
      <c r="BP117" s="1281"/>
      <c r="BQ117" s="1279"/>
      <c r="BR117" s="1272"/>
      <c r="BS117" s="1272"/>
      <c r="BT117" s="1272"/>
      <c r="BU117" s="1272"/>
      <c r="BV117" s="1272"/>
      <c r="BW117" s="1272"/>
      <c r="BX117" s="1272"/>
      <c r="BY117" s="1272"/>
      <c r="BZ117" s="1272"/>
    </row>
    <row r="118" spans="3:78" s="56" customFormat="1" outlineLevel="1">
      <c r="C118" s="1272" t="s">
        <v>381</v>
      </c>
      <c r="D118" s="1272"/>
      <c r="E118" s="1209"/>
      <c r="F118" s="1822"/>
      <c r="G118" s="1822"/>
      <c r="H118" s="1281"/>
      <c r="I118" s="1279"/>
      <c r="J118" s="1209"/>
      <c r="K118" s="1822"/>
      <c r="L118" s="1822"/>
      <c r="M118" s="1281"/>
      <c r="N118" s="1279"/>
      <c r="O118" s="1209"/>
      <c r="P118" s="1822"/>
      <c r="Q118" s="1822"/>
      <c r="R118" s="1281"/>
      <c r="S118" s="1279"/>
      <c r="T118" s="1209"/>
      <c r="U118" s="1822"/>
      <c r="V118" s="1822"/>
      <c r="W118" s="1281"/>
      <c r="X118" s="1279"/>
      <c r="Y118" s="1209"/>
      <c r="Z118" s="1822"/>
      <c r="AA118" s="1822"/>
      <c r="AB118" s="1281"/>
      <c r="AC118" s="1279"/>
      <c r="AD118" s="1209"/>
      <c r="AE118" s="1822"/>
      <c r="AF118" s="1822"/>
      <c r="AG118" s="1281"/>
      <c r="AH118" s="1279"/>
      <c r="AI118" s="1209"/>
      <c r="AJ118" s="1822"/>
      <c r="AK118" s="1822"/>
      <c r="AL118" s="1281"/>
      <c r="AM118" s="1279"/>
      <c r="AN118" s="1209"/>
      <c r="AO118" s="1822"/>
      <c r="AP118" s="1822"/>
      <c r="AQ118" s="1281"/>
      <c r="AR118" s="1279"/>
      <c r="AS118" s="1209"/>
      <c r="AT118" s="1822"/>
      <c r="AU118" s="1822"/>
      <c r="AV118" s="1281"/>
      <c r="AW118" s="1279"/>
      <c r="AX118" s="1209"/>
      <c r="AY118" s="1822"/>
      <c r="AZ118" s="1822"/>
      <c r="BA118" s="1281"/>
      <c r="BB118" s="1279"/>
      <c r="BC118" s="1209"/>
      <c r="BD118" s="1822"/>
      <c r="BE118" s="1822"/>
      <c r="BF118" s="1281"/>
      <c r="BG118" s="1279"/>
      <c r="BH118" s="1209"/>
      <c r="BI118" s="1822"/>
      <c r="BJ118" s="1822"/>
      <c r="BK118" s="1281"/>
      <c r="BL118" s="1279"/>
      <c r="BM118" s="1209"/>
      <c r="BN118" s="1822"/>
      <c r="BO118" s="1822"/>
      <c r="BP118" s="1281"/>
      <c r="BQ118" s="1279"/>
      <c r="BR118" s="1272"/>
      <c r="BS118" s="1272"/>
      <c r="BT118" s="1272"/>
      <c r="BU118" s="1272"/>
      <c r="BV118" s="1272"/>
      <c r="BW118" s="1272"/>
      <c r="BX118" s="1272"/>
      <c r="BY118" s="1272"/>
      <c r="BZ118" s="1272"/>
    </row>
    <row r="119" spans="3:78" s="56" customFormat="1" outlineLevel="1">
      <c r="C119" s="1272" t="s">
        <v>985</v>
      </c>
      <c r="D119" s="1272"/>
      <c r="E119" s="1209"/>
      <c r="F119" s="1822"/>
      <c r="G119" s="1822"/>
      <c r="H119" s="1281"/>
      <c r="I119" s="62"/>
      <c r="J119" s="1271"/>
      <c r="K119" s="1277"/>
      <c r="L119" s="1277"/>
      <c r="M119" s="1278"/>
      <c r="N119" s="1280"/>
      <c r="O119" s="1271"/>
      <c r="P119" s="1277"/>
      <c r="Q119" s="1277"/>
      <c r="R119" s="1278"/>
      <c r="S119" s="1280"/>
      <c r="T119" s="1271"/>
      <c r="U119" s="1277"/>
      <c r="V119" s="1277"/>
      <c r="W119" s="1278"/>
      <c r="X119" s="62">
        <v>50</v>
      </c>
      <c r="Y119" s="1271">
        <f>+Z119</f>
        <v>50</v>
      </c>
      <c r="Z119" s="1277">
        <f>+AA119</f>
        <v>50</v>
      </c>
      <c r="AA119" s="1277">
        <f>+AB119</f>
        <v>50</v>
      </c>
      <c r="AB119" s="1278">
        <f>+AC119</f>
        <v>50</v>
      </c>
      <c r="AC119" s="1280">
        <f>+X119</f>
        <v>50</v>
      </c>
      <c r="AD119" s="1271">
        <f>+AE119</f>
        <v>50</v>
      </c>
      <c r="AE119" s="1277">
        <f>+AF119</f>
        <v>50</v>
      </c>
      <c r="AF119" s="1277">
        <f>+AG119</f>
        <v>50</v>
      </c>
      <c r="AG119" s="1278">
        <f>+AH119</f>
        <v>50</v>
      </c>
      <c r="AH119" s="1280">
        <f>+AC119</f>
        <v>50</v>
      </c>
      <c r="AI119" s="1271">
        <f>+AJ119</f>
        <v>50</v>
      </c>
      <c r="AJ119" s="1277">
        <f>+AK119</f>
        <v>50</v>
      </c>
      <c r="AK119" s="1277">
        <f>AM119</f>
        <v>50</v>
      </c>
      <c r="AL119" s="1278">
        <f>AM119</f>
        <v>50</v>
      </c>
      <c r="AM119" s="1497">
        <v>50</v>
      </c>
      <c r="AN119" s="1271">
        <f>+AO119</f>
        <v>50</v>
      </c>
      <c r="AO119" s="1277">
        <f>+AP119</f>
        <v>50</v>
      </c>
      <c r="AP119" s="1277">
        <f>+AQ119</f>
        <v>50</v>
      </c>
      <c r="AQ119" s="1278">
        <f>AR119</f>
        <v>50</v>
      </c>
      <c r="AR119" s="1497">
        <v>50</v>
      </c>
      <c r="AS119" s="1271">
        <f>+AT119</f>
        <v>43.89417667565354</v>
      </c>
      <c r="AT119" s="1277">
        <f>+AU119</f>
        <v>43.89417667565354</v>
      </c>
      <c r="AU119" s="1277">
        <f>+AV119</f>
        <v>43.89417667565354</v>
      </c>
      <c r="AV119" s="1278">
        <f>+AW119</f>
        <v>43.89417667565354</v>
      </c>
      <c r="AW119" s="1497">
        <f>AW126+8</f>
        <v>43.89417667565354</v>
      </c>
      <c r="AX119" s="1476">
        <f>+AY119</f>
        <v>47.281046061324872</v>
      </c>
      <c r="AY119" s="1571">
        <f>+AZ119</f>
        <v>47.281046061324872</v>
      </c>
      <c r="AZ119" s="1571">
        <f>+BA119</f>
        <v>47.281046061324872</v>
      </c>
      <c r="BA119" s="1475">
        <f>+BB119</f>
        <v>47.281046061324872</v>
      </c>
      <c r="BB119" s="1497">
        <f>BB126+8</f>
        <v>47.281046061324872</v>
      </c>
      <c r="BC119" s="1476">
        <f>+BD119</f>
        <v>44.428680902371582</v>
      </c>
      <c r="BD119" s="1571">
        <f>+BE119</f>
        <v>44.428680902371582</v>
      </c>
      <c r="BE119" s="1571">
        <f>+BF119</f>
        <v>44.428680902371582</v>
      </c>
      <c r="BF119" s="1475">
        <f>+BG119</f>
        <v>44.428680902371582</v>
      </c>
      <c r="BG119" s="1497">
        <f>BG126+8</f>
        <v>44.428680902371582</v>
      </c>
      <c r="BH119" s="1476">
        <f>+BI119</f>
        <v>43.738439012187563</v>
      </c>
      <c r="BI119" s="1571">
        <f>+BJ119</f>
        <v>43.738439012187563</v>
      </c>
      <c r="BJ119" s="1571">
        <f>+BK119</f>
        <v>43.738439012187563</v>
      </c>
      <c r="BK119" s="1475">
        <f>+BL119</f>
        <v>43.738439012187563</v>
      </c>
      <c r="BL119" s="1497">
        <f>BL126+8</f>
        <v>43.738439012187563</v>
      </c>
      <c r="BM119" s="1476">
        <f>+BN119</f>
        <v>45.021710201455676</v>
      </c>
      <c r="BN119" s="1571">
        <f>+BO119</f>
        <v>45.021710201455676</v>
      </c>
      <c r="BO119" s="1571">
        <f>+BP119</f>
        <v>45.021710201455676</v>
      </c>
      <c r="BP119" s="1475">
        <f>+BQ119</f>
        <v>45.021710201455676</v>
      </c>
      <c r="BQ119" s="1497">
        <f>BQ126+8</f>
        <v>45.021710201455676</v>
      </c>
      <c r="BR119" s="1272"/>
      <c r="BS119" s="1272"/>
      <c r="BT119" s="1272"/>
      <c r="BU119" s="1272"/>
      <c r="BV119" s="1272"/>
      <c r="BW119" s="1272"/>
      <c r="BX119" s="1272"/>
      <c r="BY119" s="1272"/>
      <c r="BZ119" s="1272"/>
    </row>
    <row r="120" spans="3:78" s="56" customFormat="1" outlineLevel="1">
      <c r="C120" s="1272" t="s">
        <v>1004</v>
      </c>
      <c r="D120" s="1272"/>
      <c r="E120" s="1209"/>
      <c r="F120" s="1822"/>
      <c r="G120" s="1822"/>
      <c r="H120" s="1281"/>
      <c r="I120" s="64"/>
      <c r="J120" s="1202"/>
      <c r="K120" s="1204"/>
      <c r="L120" s="1204"/>
      <c r="M120" s="1205"/>
      <c r="N120" s="64"/>
      <c r="O120" s="1202"/>
      <c r="P120" s="1204"/>
      <c r="Q120" s="1204"/>
      <c r="R120" s="1205"/>
      <c r="S120" s="1206"/>
      <c r="T120" s="1202"/>
      <c r="U120" s="1204"/>
      <c r="V120" s="1204"/>
      <c r="W120" s="1205"/>
      <c r="X120" s="64">
        <v>2350</v>
      </c>
      <c r="Y120" s="1202">
        <f>AC120/4</f>
        <v>587.5</v>
      </c>
      <c r="Z120" s="1204">
        <f>AC120/4</f>
        <v>587.5</v>
      </c>
      <c r="AA120" s="1204">
        <f>AC120/4</f>
        <v>587.5</v>
      </c>
      <c r="AB120" s="1205">
        <f>AC120/4</f>
        <v>587.5</v>
      </c>
      <c r="AC120" s="1206">
        <f>+X120</f>
        <v>2350</v>
      </c>
      <c r="AD120" s="1202">
        <f>AH120/4</f>
        <v>587.5</v>
      </c>
      <c r="AE120" s="1204">
        <f>AH120/4</f>
        <v>587.5</v>
      </c>
      <c r="AF120" s="1204">
        <f>AH120/4</f>
        <v>587.5</v>
      </c>
      <c r="AG120" s="1205">
        <f>AH120/4</f>
        <v>587.5</v>
      </c>
      <c r="AH120" s="1206">
        <f>+AC120</f>
        <v>2350</v>
      </c>
      <c r="AI120" s="1202">
        <f>(AI114/AM114)*AM120</f>
        <v>631.2350285608992</v>
      </c>
      <c r="AJ120" s="1204">
        <f>AM120/4</f>
        <v>587.5</v>
      </c>
      <c r="AK120" s="1204">
        <f>AM120/4</f>
        <v>587.5</v>
      </c>
      <c r="AL120" s="1205">
        <f>AM120/4</f>
        <v>587.5</v>
      </c>
      <c r="AM120" s="1206">
        <f>+AH120</f>
        <v>2350</v>
      </c>
      <c r="AN120" s="1202">
        <f>AR120/4</f>
        <v>587.5</v>
      </c>
      <c r="AO120" s="1204">
        <f>AR120/4</f>
        <v>587.5</v>
      </c>
      <c r="AP120" s="1204">
        <f>AR120/4</f>
        <v>587.5</v>
      </c>
      <c r="AQ120" s="1205">
        <f>AR120/4</f>
        <v>587.5</v>
      </c>
      <c r="AR120" s="1206">
        <f>+AM120</f>
        <v>2350</v>
      </c>
      <c r="AS120" s="1202">
        <f>AW120/4</f>
        <v>587.5</v>
      </c>
      <c r="AT120" s="1204">
        <f>AW120/4</f>
        <v>587.5</v>
      </c>
      <c r="AU120" s="1204">
        <f>AW120/4</f>
        <v>587.5</v>
      </c>
      <c r="AV120" s="1205">
        <f>AW120/4</f>
        <v>587.5</v>
      </c>
      <c r="AW120" s="1206">
        <f>+AR120</f>
        <v>2350</v>
      </c>
      <c r="AX120" s="1202">
        <f>BB120/4</f>
        <v>587.5</v>
      </c>
      <c r="AY120" s="1204">
        <f>BB120/4</f>
        <v>587.5</v>
      </c>
      <c r="AZ120" s="1204">
        <f>BB120/4</f>
        <v>587.5</v>
      </c>
      <c r="BA120" s="1205">
        <f>BB120/4</f>
        <v>587.5</v>
      </c>
      <c r="BB120" s="1206">
        <f>+AW120</f>
        <v>2350</v>
      </c>
      <c r="BC120" s="1202">
        <f>BG120/4</f>
        <v>587.5</v>
      </c>
      <c r="BD120" s="1204">
        <f>BG120/4</f>
        <v>587.5</v>
      </c>
      <c r="BE120" s="1204">
        <f>BG120/4</f>
        <v>587.5</v>
      </c>
      <c r="BF120" s="1205">
        <f>BG120/4</f>
        <v>587.5</v>
      </c>
      <c r="BG120" s="1206">
        <f>+BB120</f>
        <v>2350</v>
      </c>
      <c r="BH120" s="1202">
        <f>BL120/4</f>
        <v>587.5</v>
      </c>
      <c r="BI120" s="1204">
        <f>BL120/4</f>
        <v>587.5</v>
      </c>
      <c r="BJ120" s="1204">
        <f>BL120/4</f>
        <v>587.5</v>
      </c>
      <c r="BK120" s="1205">
        <f>BL120/4</f>
        <v>587.5</v>
      </c>
      <c r="BL120" s="1206">
        <f>+BG120</f>
        <v>2350</v>
      </c>
      <c r="BM120" s="1202">
        <f>BQ120/4</f>
        <v>587.5</v>
      </c>
      <c r="BN120" s="1204">
        <f>BQ120/4</f>
        <v>587.5</v>
      </c>
      <c r="BO120" s="1204">
        <f>BQ120/4</f>
        <v>587.5</v>
      </c>
      <c r="BP120" s="1205">
        <f>BQ120/4</f>
        <v>587.5</v>
      </c>
      <c r="BQ120" s="1206">
        <f>+BL120</f>
        <v>2350</v>
      </c>
      <c r="BR120" s="1272"/>
      <c r="BS120" s="1272"/>
      <c r="BT120" s="1272"/>
      <c r="BU120" s="1272"/>
      <c r="BV120" s="1272"/>
      <c r="BW120" s="1272"/>
      <c r="BX120" s="1272"/>
      <c r="BY120" s="1272"/>
      <c r="BZ120" s="1272"/>
    </row>
    <row r="121" spans="3:78" s="56" customFormat="1" outlineLevel="1">
      <c r="C121" s="1272" t="s">
        <v>1005</v>
      </c>
      <c r="D121" s="1272"/>
      <c r="E121" s="1209"/>
      <c r="F121" s="1822"/>
      <c r="G121" s="1822"/>
      <c r="H121" s="1281"/>
      <c r="I121" s="1206"/>
      <c r="J121" s="1202"/>
      <c r="K121" s="1204"/>
      <c r="L121" s="1204"/>
      <c r="M121" s="1205"/>
      <c r="N121" s="1206"/>
      <c r="O121" s="1202"/>
      <c r="P121" s="1204"/>
      <c r="Q121" s="1204"/>
      <c r="R121" s="1205"/>
      <c r="S121" s="1206"/>
      <c r="T121" s="1202"/>
      <c r="U121" s="1204"/>
      <c r="V121" s="1204"/>
      <c r="W121" s="1205"/>
      <c r="X121" s="1206">
        <f t="shared" ref="X121:BL121" si="47">+X120*X119/1000</f>
        <v>117.5</v>
      </c>
      <c r="Y121" s="1202">
        <f t="shared" si="47"/>
        <v>29.375</v>
      </c>
      <c r="Z121" s="1204">
        <f t="shared" si="47"/>
        <v>29.375</v>
      </c>
      <c r="AA121" s="1204">
        <f t="shared" si="47"/>
        <v>29.375</v>
      </c>
      <c r="AB121" s="1205">
        <f t="shared" si="47"/>
        <v>29.375</v>
      </c>
      <c r="AC121" s="1206">
        <f t="shared" si="47"/>
        <v>117.5</v>
      </c>
      <c r="AD121" s="1202">
        <f t="shared" si="47"/>
        <v>29.375</v>
      </c>
      <c r="AE121" s="1204">
        <f t="shared" si="47"/>
        <v>29.375</v>
      </c>
      <c r="AF121" s="1204">
        <f t="shared" si="47"/>
        <v>29.375</v>
      </c>
      <c r="AG121" s="1205">
        <f t="shared" si="47"/>
        <v>29.375</v>
      </c>
      <c r="AH121" s="1206">
        <f t="shared" si="47"/>
        <v>117.5</v>
      </c>
      <c r="AI121" s="1202">
        <f t="shared" si="47"/>
        <v>31.56175142804496</v>
      </c>
      <c r="AJ121" s="1204">
        <f t="shared" si="47"/>
        <v>29.375</v>
      </c>
      <c r="AK121" s="1204">
        <f t="shared" si="47"/>
        <v>29.375</v>
      </c>
      <c r="AL121" s="1205">
        <f t="shared" si="47"/>
        <v>29.375</v>
      </c>
      <c r="AM121" s="1206">
        <f t="shared" si="47"/>
        <v>117.5</v>
      </c>
      <c r="AN121" s="1202">
        <f t="shared" si="47"/>
        <v>29.375</v>
      </c>
      <c r="AO121" s="1204">
        <f t="shared" si="47"/>
        <v>29.375</v>
      </c>
      <c r="AP121" s="1204">
        <f t="shared" si="47"/>
        <v>29.375</v>
      </c>
      <c r="AQ121" s="1205">
        <f>+AQ120*AQ119/1000</f>
        <v>29.375</v>
      </c>
      <c r="AR121" s="1206">
        <f>+AR120*AR119/1000</f>
        <v>117.5</v>
      </c>
      <c r="AS121" s="1202">
        <f t="shared" si="47"/>
        <v>25.787828796946453</v>
      </c>
      <c r="AT121" s="1204">
        <f t="shared" si="47"/>
        <v>25.787828796946453</v>
      </c>
      <c r="AU121" s="1204">
        <f t="shared" si="47"/>
        <v>25.787828796946453</v>
      </c>
      <c r="AV121" s="1205">
        <f t="shared" si="47"/>
        <v>25.787828796946453</v>
      </c>
      <c r="AW121" s="1206">
        <f t="shared" si="47"/>
        <v>103.15131518778581</v>
      </c>
      <c r="AX121" s="1202">
        <f t="shared" si="47"/>
        <v>27.777614561028365</v>
      </c>
      <c r="AY121" s="1204">
        <f t="shared" si="47"/>
        <v>27.777614561028365</v>
      </c>
      <c r="AZ121" s="1204">
        <f t="shared" si="47"/>
        <v>27.777614561028365</v>
      </c>
      <c r="BA121" s="1205">
        <f t="shared" si="47"/>
        <v>27.777614561028365</v>
      </c>
      <c r="BB121" s="1206">
        <f t="shared" si="47"/>
        <v>111.11045824411346</v>
      </c>
      <c r="BC121" s="1202">
        <f t="shared" si="47"/>
        <v>26.101850030143304</v>
      </c>
      <c r="BD121" s="1204">
        <f t="shared" si="47"/>
        <v>26.101850030143304</v>
      </c>
      <c r="BE121" s="1204">
        <f t="shared" si="47"/>
        <v>26.101850030143304</v>
      </c>
      <c r="BF121" s="1205">
        <f t="shared" si="47"/>
        <v>26.101850030143304</v>
      </c>
      <c r="BG121" s="1206">
        <f t="shared" si="47"/>
        <v>104.40740012057321</v>
      </c>
      <c r="BH121" s="1202">
        <f t="shared" si="47"/>
        <v>25.696332919660193</v>
      </c>
      <c r="BI121" s="1204">
        <f t="shared" si="47"/>
        <v>25.696332919660193</v>
      </c>
      <c r="BJ121" s="1204">
        <f t="shared" si="47"/>
        <v>25.696332919660193</v>
      </c>
      <c r="BK121" s="1205">
        <f t="shared" si="47"/>
        <v>25.696332919660193</v>
      </c>
      <c r="BL121" s="1206">
        <f t="shared" si="47"/>
        <v>102.78533167864077</v>
      </c>
      <c r="BM121" s="1202">
        <f>+BM120*BM119/1000</f>
        <v>26.45025474335521</v>
      </c>
      <c r="BN121" s="1204">
        <f>+BN120*BN119/1000</f>
        <v>26.45025474335521</v>
      </c>
      <c r="BO121" s="1204">
        <f>+BO120*BO119/1000</f>
        <v>26.45025474335521</v>
      </c>
      <c r="BP121" s="1205">
        <f>+BP120*BP119/1000</f>
        <v>26.45025474335521</v>
      </c>
      <c r="BQ121" s="1206">
        <f>+BQ120*BQ119/1000</f>
        <v>105.80101897342084</v>
      </c>
      <c r="BR121" s="1272"/>
      <c r="BS121" s="1272"/>
      <c r="BT121" s="1272"/>
      <c r="BU121" s="1272"/>
      <c r="BV121" s="1272"/>
      <c r="BW121" s="1272"/>
      <c r="BX121" s="1272"/>
      <c r="BY121" s="1272"/>
      <c r="BZ121" s="1272"/>
    </row>
    <row r="122" spans="3:78" s="56" customFormat="1" outlineLevel="1">
      <c r="C122" s="1272"/>
      <c r="D122" s="1272"/>
      <c r="E122" s="1209"/>
      <c r="F122" s="1822"/>
      <c r="G122" s="1822"/>
      <c r="H122" s="1281"/>
      <c r="I122" s="1279"/>
      <c r="J122" s="1209"/>
      <c r="K122" s="1822"/>
      <c r="L122" s="1822"/>
      <c r="M122" s="1281"/>
      <c r="N122" s="1279"/>
      <c r="O122" s="1209"/>
      <c r="P122" s="1822"/>
      <c r="Q122" s="1822"/>
      <c r="R122" s="1281"/>
      <c r="S122" s="1279"/>
      <c r="T122" s="1209"/>
      <c r="U122" s="1822"/>
      <c r="V122" s="1822"/>
      <c r="W122" s="1281"/>
      <c r="X122" s="1279"/>
      <c r="Y122" s="1209"/>
      <c r="Z122" s="1822"/>
      <c r="AA122" s="1822"/>
      <c r="AB122" s="1281"/>
      <c r="AC122" s="1279"/>
      <c r="AD122" s="1209"/>
      <c r="AE122" s="1822"/>
      <c r="AF122" s="1822"/>
      <c r="AG122" s="1281"/>
      <c r="AH122" s="1279"/>
      <c r="AI122" s="1209"/>
      <c r="AJ122" s="1822"/>
      <c r="AK122" s="1822"/>
      <c r="AL122" s="1281"/>
      <c r="AM122" s="1279"/>
      <c r="AN122" s="1209"/>
      <c r="AO122" s="1822"/>
      <c r="AP122" s="1822"/>
      <c r="AQ122" s="1281"/>
      <c r="AR122" s="1279"/>
      <c r="AS122" s="1209"/>
      <c r="AT122" s="1822"/>
      <c r="AU122" s="1822"/>
      <c r="AV122" s="1281"/>
      <c r="AW122" s="1279"/>
      <c r="AX122" s="1209"/>
      <c r="AY122" s="1822"/>
      <c r="AZ122" s="1822"/>
      <c r="BA122" s="1281"/>
      <c r="BB122" s="1279"/>
      <c r="BC122" s="1209"/>
      <c r="BD122" s="1822"/>
      <c r="BE122" s="1822"/>
      <c r="BF122" s="1281"/>
      <c r="BG122" s="1279"/>
      <c r="BH122" s="1209"/>
      <c r="BI122" s="1822"/>
      <c r="BJ122" s="1822"/>
      <c r="BK122" s="1281"/>
      <c r="BL122" s="1279"/>
      <c r="BM122" s="1209"/>
      <c r="BN122" s="1822"/>
      <c r="BO122" s="1822"/>
      <c r="BP122" s="1281"/>
      <c r="BQ122" s="1279"/>
      <c r="BR122" s="1272"/>
      <c r="BS122" s="1272"/>
      <c r="BT122" s="1272"/>
      <c r="BU122" s="1272"/>
      <c r="BV122" s="1272"/>
      <c r="BW122" s="1272"/>
      <c r="BX122" s="1272"/>
      <c r="BY122" s="1272"/>
      <c r="BZ122" s="1272"/>
    </row>
    <row r="123" spans="3:78" s="56" customFormat="1" outlineLevel="1">
      <c r="C123" s="1272" t="s">
        <v>382</v>
      </c>
      <c r="D123" s="1272"/>
      <c r="E123" s="1209"/>
      <c r="F123" s="1822"/>
      <c r="G123" s="1822"/>
      <c r="H123" s="1281"/>
      <c r="I123" s="1279"/>
      <c r="J123" s="1209"/>
      <c r="K123" s="1822"/>
      <c r="L123" s="1822"/>
      <c r="M123" s="1281"/>
      <c r="N123" s="1279"/>
      <c r="O123" s="1209"/>
      <c r="P123" s="1822"/>
      <c r="Q123" s="1822"/>
      <c r="R123" s="1281"/>
      <c r="S123" s="1279"/>
      <c r="T123" s="1202"/>
      <c r="U123" s="1204"/>
      <c r="V123" s="1204"/>
      <c r="W123" s="1205"/>
      <c r="X123" s="1279"/>
      <c r="Y123" s="1209"/>
      <c r="Z123" s="1822"/>
      <c r="AA123" s="1822"/>
      <c r="AB123" s="1281"/>
      <c r="AC123" s="1279"/>
      <c r="AD123" s="1209"/>
      <c r="AE123" s="1822"/>
      <c r="AF123" s="1822"/>
      <c r="AG123" s="1281"/>
      <c r="AH123" s="1279"/>
      <c r="AI123" s="1209"/>
      <c r="AJ123" s="1822"/>
      <c r="AK123" s="1822"/>
      <c r="AL123" s="1281"/>
      <c r="AM123" s="1279"/>
      <c r="AN123" s="1209"/>
      <c r="AO123" s="1822"/>
      <c r="AP123" s="1822"/>
      <c r="AQ123" s="1281"/>
      <c r="AR123" s="1279"/>
      <c r="AS123" s="1209"/>
      <c r="AT123" s="1822"/>
      <c r="AU123" s="1822"/>
      <c r="AV123" s="1281"/>
      <c r="AW123" s="1279"/>
      <c r="AX123" s="1209"/>
      <c r="AY123" s="1822"/>
      <c r="AZ123" s="1822"/>
      <c r="BA123" s="1281"/>
      <c r="BB123" s="1279"/>
      <c r="BC123" s="1209"/>
      <c r="BD123" s="1822"/>
      <c r="BE123" s="1822"/>
      <c r="BF123" s="1281"/>
      <c r="BG123" s="1279"/>
      <c r="BH123" s="1209"/>
      <c r="BI123" s="1822"/>
      <c r="BJ123" s="1822"/>
      <c r="BK123" s="1281"/>
      <c r="BL123" s="1279"/>
      <c r="BM123" s="1209"/>
      <c r="BN123" s="1822"/>
      <c r="BO123" s="1822"/>
      <c r="BP123" s="1281"/>
      <c r="BQ123" s="1279"/>
      <c r="BR123" s="1272"/>
      <c r="BS123" s="1272"/>
      <c r="BT123" s="1272"/>
      <c r="BU123" s="1272"/>
      <c r="BV123" s="1272"/>
      <c r="BW123" s="1272"/>
      <c r="BX123" s="1272"/>
      <c r="BY123" s="1272"/>
      <c r="BZ123" s="1272"/>
    </row>
    <row r="124" spans="3:78" s="56" customFormat="1" outlineLevel="1">
      <c r="C124" s="1272" t="s">
        <v>954</v>
      </c>
      <c r="D124" s="1272"/>
      <c r="E124" s="1209"/>
      <c r="F124" s="1822"/>
      <c r="G124" s="1822"/>
      <c r="H124" s="1281"/>
      <c r="I124" s="1206"/>
      <c r="J124" s="1202"/>
      <c r="K124" s="1204"/>
      <c r="L124" s="1204"/>
      <c r="M124" s="1205"/>
      <c r="N124" s="1206"/>
      <c r="O124" s="1202"/>
      <c r="P124" s="1204"/>
      <c r="Q124" s="1204"/>
      <c r="R124" s="1205"/>
      <c r="S124" s="1206"/>
      <c r="T124" s="1202"/>
      <c r="U124" s="1204"/>
      <c r="V124" s="1204"/>
      <c r="W124" s="1205"/>
      <c r="X124" s="1206">
        <f t="shared" ref="X124:AH124" si="48">X107-X115</f>
        <v>1762.920204</v>
      </c>
      <c r="Y124" s="1202">
        <f t="shared" si="48"/>
        <v>595.91328599999997</v>
      </c>
      <c r="Z124" s="1204">
        <f t="shared" si="48"/>
        <v>615.18297600000005</v>
      </c>
      <c r="AA124" s="1204">
        <f t="shared" si="48"/>
        <v>715.426964</v>
      </c>
      <c r="AB124" s="1205">
        <f t="shared" si="48"/>
        <v>634.42992000000004</v>
      </c>
      <c r="AC124" s="1206">
        <f t="shared" si="48"/>
        <v>2560.9531459999998</v>
      </c>
      <c r="AD124" s="1202">
        <f t="shared" si="48"/>
        <v>925.53618600000004</v>
      </c>
      <c r="AE124" s="1204">
        <f t="shared" si="48"/>
        <v>649.48752000000002</v>
      </c>
      <c r="AF124" s="1204">
        <f t="shared" si="48"/>
        <v>632.72919999999999</v>
      </c>
      <c r="AG124" s="1205">
        <f t="shared" si="48"/>
        <v>520.07643199999995</v>
      </c>
      <c r="AH124" s="1206">
        <f t="shared" si="48"/>
        <v>2727.829338</v>
      </c>
      <c r="AI124" s="1202">
        <f>AI107-AI115</f>
        <v>876.11760000000004</v>
      </c>
      <c r="AJ124" s="1204">
        <f>AJ107-AJ115</f>
        <v>574.43183999999997</v>
      </c>
      <c r="AK124" s="1204">
        <f>AK107-AK115</f>
        <v>560.74335999999994</v>
      </c>
      <c r="AL124" s="1205">
        <f>AL107-AL115</f>
        <v>398.29599999999982</v>
      </c>
      <c r="AM124" s="1206">
        <f>AM107-AM115</f>
        <v>2409.5887999999995</v>
      </c>
      <c r="AN124" s="1202">
        <f>+AN125*AN126/1000</f>
        <v>244.29266589013375</v>
      </c>
      <c r="AO124" s="1204">
        <f>+AO125*AO126/1000</f>
        <v>253.44052719131807</v>
      </c>
      <c r="AP124" s="1204">
        <f>+AP125*AP126/1000</f>
        <v>222.56649529982099</v>
      </c>
      <c r="AQ124" s="1205">
        <f>AQ107-AQ115</f>
        <v>479.31900000000019</v>
      </c>
      <c r="AR124" s="1206">
        <f>AR107-AR115</f>
        <v>2074.8519999999999</v>
      </c>
      <c r="AS124" s="1202">
        <f>+AS125*AS126/1000</f>
        <v>387.21497759575703</v>
      </c>
      <c r="AT124" s="1204">
        <f>+AT125*AT126/1000</f>
        <v>408.88710839968081</v>
      </c>
      <c r="AU124" s="1204">
        <f>+AU125*AU126/1000</f>
        <v>443.0698123023522</v>
      </c>
      <c r="AV124" s="1205">
        <f>+AV125*AV126/1000</f>
        <v>525.25092381189165</v>
      </c>
      <c r="AW124" s="1206">
        <f>SUM(AS124:AV124)</f>
        <v>1764.4228221096816</v>
      </c>
      <c r="AX124" s="1202">
        <f>+AX125*AX126/1000</f>
        <v>500.82797541910475</v>
      </c>
      <c r="AY124" s="1204">
        <f>+AY125*AY126/1000</f>
        <v>510.54532059375532</v>
      </c>
      <c r="AZ124" s="1204">
        <f>+AZ125*AZ126/1000</f>
        <v>493.17288516267377</v>
      </c>
      <c r="BA124" s="1205">
        <f>+BA125*BA126/1000</f>
        <v>501.71886954377555</v>
      </c>
      <c r="BB124" s="1206">
        <f>SUM(AX124:BA124)</f>
        <v>2006.2650507193093</v>
      </c>
      <c r="BC124" s="1202">
        <f>+BC125*BC126/1000</f>
        <v>464.46070899029451</v>
      </c>
      <c r="BD124" s="1204">
        <f>+BD125*BD126/1000</f>
        <v>473.4724360719232</v>
      </c>
      <c r="BE124" s="1204">
        <f>+BE125*BE126/1000</f>
        <v>457.36148765604037</v>
      </c>
      <c r="BF124" s="1205">
        <f>+BF125*BF126/1000</f>
        <v>465.28691147316027</v>
      </c>
      <c r="BG124" s="1206">
        <f>SUM(BC124:BF124)</f>
        <v>1860.5815441914183</v>
      </c>
      <c r="BH124" s="1202">
        <f>+BH125*BH126/1000</f>
        <v>455.66021910846621</v>
      </c>
      <c r="BI124" s="1204">
        <f>+BI125*BI126/1000</f>
        <v>464.50119415130121</v>
      </c>
      <c r="BJ124" s="1204">
        <f>+BJ125*BJ126/1000</f>
        <v>448.69551211377114</v>
      </c>
      <c r="BK124" s="1205">
        <f>+BK125*BK126/1000</f>
        <v>456.47076690526268</v>
      </c>
      <c r="BL124" s="1206">
        <f>SUM(BH124:BK124)</f>
        <v>1825.3276922788014</v>
      </c>
      <c r="BM124" s="1202">
        <f>+BM125*BM126/1000</f>
        <v>472.02175160511734</v>
      </c>
      <c r="BN124" s="1204">
        <f>+BN125*BN126/1000</f>
        <v>481.18018227475352</v>
      </c>
      <c r="BO124" s="1204">
        <f>+BO125*BO126/1000</f>
        <v>464.80696072105775</v>
      </c>
      <c r="BP124" s="1205">
        <f>+BP125*BP126/1000</f>
        <v>472.86140399248637</v>
      </c>
      <c r="BQ124" s="1206">
        <f>SUM(BM124:BP124)</f>
        <v>1890.8702985934151</v>
      </c>
      <c r="BR124" s="1272"/>
      <c r="BS124" s="1272"/>
      <c r="BT124" s="1272"/>
      <c r="BU124" s="1272"/>
      <c r="BV124" s="1272"/>
      <c r="BW124" s="1272"/>
      <c r="BX124" s="1272"/>
      <c r="BY124" s="1272"/>
      <c r="BZ124" s="1272"/>
    </row>
    <row r="125" spans="3:78" s="56" customFormat="1" outlineLevel="1">
      <c r="C125" s="1272" t="s">
        <v>309</v>
      </c>
      <c r="D125" s="1272"/>
      <c r="E125" s="1209"/>
      <c r="F125" s="1822"/>
      <c r="G125" s="1822"/>
      <c r="H125" s="1281"/>
      <c r="I125" s="1206"/>
      <c r="J125" s="1202"/>
      <c r="K125" s="1204"/>
      <c r="L125" s="1204"/>
      <c r="M125" s="1205"/>
      <c r="N125" s="1206"/>
      <c r="O125" s="1202"/>
      <c r="P125" s="1204"/>
      <c r="Q125" s="1204"/>
      <c r="R125" s="1205"/>
      <c r="S125" s="1206"/>
      <c r="T125" s="1271"/>
      <c r="U125" s="1287"/>
      <c r="V125" s="1287"/>
      <c r="W125" s="1278"/>
      <c r="X125" s="1206">
        <f>X108-X114-X120+X163</f>
        <v>45194.247999999992</v>
      </c>
      <c r="Y125" s="1202">
        <f>Y108-Y114-Y120+Y163</f>
        <v>14459.4565</v>
      </c>
      <c r="Z125" s="1203">
        <f t="shared" ref="Z125:BL125" si="49">Z108-Z114-Z120+Z163</f>
        <v>15266.106500000002</v>
      </c>
      <c r="AA125" s="1203">
        <f t="shared" si="49"/>
        <v>15116.6865</v>
      </c>
      <c r="AB125" s="1205">
        <f t="shared" si="49"/>
        <v>16277.146500000001</v>
      </c>
      <c r="AC125" s="1206">
        <f t="shared" si="49"/>
        <v>61119.396000000001</v>
      </c>
      <c r="AD125" s="1202">
        <f t="shared" si="49"/>
        <v>12129.886500000001</v>
      </c>
      <c r="AE125" s="1203">
        <f t="shared" si="49"/>
        <v>13187.076500000001</v>
      </c>
      <c r="AF125" s="1203">
        <f t="shared" si="49"/>
        <v>13105.8765</v>
      </c>
      <c r="AG125" s="1205">
        <f t="shared" si="49"/>
        <v>13162.996500000001</v>
      </c>
      <c r="AH125" s="1206">
        <f t="shared" si="49"/>
        <v>51585.836000000003</v>
      </c>
      <c r="AI125" s="1202">
        <f t="shared" si="49"/>
        <v>12629.579271439101</v>
      </c>
      <c r="AJ125" s="1203">
        <f t="shared" si="49"/>
        <v>13214.274300000001</v>
      </c>
      <c r="AK125" s="1203">
        <f>AK108-AK114-AK120+AK163</f>
        <v>12759.8343</v>
      </c>
      <c r="AL125" s="1205">
        <f>AL108-AL114-AL120+AL163</f>
        <v>12641.3295</v>
      </c>
      <c r="AM125" s="1206">
        <f>AM108-AM114-AM120+AM163</f>
        <v>52050.697199999995</v>
      </c>
      <c r="AN125" s="1202">
        <f>AN108-AN114-AN120+AN163</f>
        <v>6370.7195000000011</v>
      </c>
      <c r="AO125" s="1203">
        <f t="shared" si="49"/>
        <v>6609.2795000000015</v>
      </c>
      <c r="AP125" s="1203">
        <f t="shared" si="49"/>
        <v>5804.1395000000011</v>
      </c>
      <c r="AQ125" s="1205">
        <f>AQ108-AQ114-AQ120+AQ163</f>
        <v>12499.789500000001</v>
      </c>
      <c r="AR125" s="1206">
        <f>AR108-AR114-AR120+AR163</f>
        <v>49014.678000000007</v>
      </c>
      <c r="AS125" s="1202">
        <f t="shared" si="49"/>
        <v>12275.838</v>
      </c>
      <c r="AT125" s="1203">
        <f t="shared" si="49"/>
        <v>12523.217999999999</v>
      </c>
      <c r="AU125" s="1203">
        <f t="shared" si="49"/>
        <v>12080.957999999999</v>
      </c>
      <c r="AV125" s="1205">
        <f t="shared" si="49"/>
        <v>12298.518</v>
      </c>
      <c r="AW125" s="1206">
        <f t="shared" si="49"/>
        <v>49178.531999999992</v>
      </c>
      <c r="AX125" s="1202">
        <f t="shared" si="49"/>
        <v>12749.863499999999</v>
      </c>
      <c r="AY125" s="1203">
        <f t="shared" si="49"/>
        <v>12997.2435</v>
      </c>
      <c r="AZ125" s="1203">
        <f t="shared" si="49"/>
        <v>12554.9835</v>
      </c>
      <c r="BA125" s="1205">
        <f t="shared" si="49"/>
        <v>12772.5435</v>
      </c>
      <c r="BB125" s="1206">
        <f t="shared" si="49"/>
        <v>51074.634000000005</v>
      </c>
      <c r="BC125" s="1202">
        <f t="shared" si="49"/>
        <v>12749.863499999999</v>
      </c>
      <c r="BD125" s="1203">
        <f t="shared" si="49"/>
        <v>12997.2435</v>
      </c>
      <c r="BE125" s="1203">
        <f t="shared" si="49"/>
        <v>12554.9835</v>
      </c>
      <c r="BF125" s="1205">
        <f t="shared" si="49"/>
        <v>12772.5435</v>
      </c>
      <c r="BG125" s="1206">
        <f t="shared" si="49"/>
        <v>51074.634000000005</v>
      </c>
      <c r="BH125" s="1202">
        <f t="shared" si="49"/>
        <v>12749.863499999999</v>
      </c>
      <c r="BI125" s="1203">
        <f t="shared" si="49"/>
        <v>12997.2435</v>
      </c>
      <c r="BJ125" s="1203">
        <f t="shared" si="49"/>
        <v>12554.9835</v>
      </c>
      <c r="BK125" s="1205">
        <f t="shared" si="49"/>
        <v>12772.5435</v>
      </c>
      <c r="BL125" s="1206">
        <f t="shared" si="49"/>
        <v>51074.634000000005</v>
      </c>
      <c r="BM125" s="1202">
        <f>BM108-BM114-BM120+BM163</f>
        <v>12749.863499999999</v>
      </c>
      <c r="BN125" s="1203">
        <f>BN108-BN114-BN120+BN163</f>
        <v>12997.2435</v>
      </c>
      <c r="BO125" s="1203">
        <f>BO108-BO114-BO120+BO163</f>
        <v>12554.9835</v>
      </c>
      <c r="BP125" s="1205">
        <f>BP108-BP114-BP120+BP163</f>
        <v>12772.5435</v>
      </c>
      <c r="BQ125" s="1206">
        <f>BQ108-BQ114-BQ120+BQ163</f>
        <v>51074.634000000005</v>
      </c>
      <c r="BR125" s="1272"/>
      <c r="BS125" s="1272"/>
      <c r="BT125" s="1272"/>
      <c r="BU125" s="1272"/>
      <c r="BV125" s="1272"/>
      <c r="BW125" s="1272"/>
      <c r="BX125" s="1272"/>
      <c r="BY125" s="1272"/>
      <c r="BZ125" s="1272"/>
    </row>
    <row r="126" spans="3:78" s="56" customFormat="1" outlineLevel="1">
      <c r="C126" s="1272" t="s">
        <v>958</v>
      </c>
      <c r="D126" s="1272"/>
      <c r="E126" s="1209"/>
      <c r="F126" s="1822"/>
      <c r="G126" s="1822"/>
      <c r="H126" s="1281"/>
      <c r="I126" s="1280"/>
      <c r="J126" s="1271"/>
      <c r="K126" s="1287"/>
      <c r="L126" s="1287"/>
      <c r="M126" s="1278"/>
      <c r="N126" s="1280"/>
      <c r="O126" s="1271"/>
      <c r="P126" s="1287"/>
      <c r="Q126" s="1287"/>
      <c r="R126" s="1278"/>
      <c r="S126" s="1280"/>
      <c r="T126" s="1209"/>
      <c r="U126" s="1822"/>
      <c r="V126" s="1822"/>
      <c r="W126" s="1281"/>
      <c r="X126" s="1280">
        <f t="shared" ref="X126:AJ126" si="50">X124/X125*1000</f>
        <v>39.007623359503633</v>
      </c>
      <c r="Y126" s="1271">
        <f>Y124/Y125*1000</f>
        <v>41.212702980917712</v>
      </c>
      <c r="Z126" s="1277">
        <f t="shared" si="50"/>
        <v>40.297306716679856</v>
      </c>
      <c r="AA126" s="1277">
        <f t="shared" si="50"/>
        <v>47.326969703314276</v>
      </c>
      <c r="AB126" s="1278">
        <f t="shared" si="50"/>
        <v>38.976728507051284</v>
      </c>
      <c r="AC126" s="1280">
        <f t="shared" si="50"/>
        <v>41.900825492450878</v>
      </c>
      <c r="AD126" s="1271">
        <f t="shared" si="50"/>
        <v>76.302130774265692</v>
      </c>
      <c r="AE126" s="1277">
        <f t="shared" si="50"/>
        <v>49.251820143759687</v>
      </c>
      <c r="AF126" s="1277">
        <f t="shared" si="50"/>
        <v>48.27828188370308</v>
      </c>
      <c r="AG126" s="1278">
        <f t="shared" si="50"/>
        <v>39.510489271952622</v>
      </c>
      <c r="AH126" s="1280">
        <f t="shared" si="50"/>
        <v>52.879424848324639</v>
      </c>
      <c r="AI126" s="1271">
        <f t="shared" si="50"/>
        <v>69.370291849806733</v>
      </c>
      <c r="AJ126" s="1277">
        <f t="shared" si="50"/>
        <v>43.470555170782241</v>
      </c>
      <c r="AK126" s="1277">
        <f>AK124/AK125*1000</f>
        <v>43.945975066463042</v>
      </c>
      <c r="AL126" s="1278">
        <f>AL124/AL125*1000</f>
        <v>31.507445478737012</v>
      </c>
      <c r="AM126" s="1280">
        <f>AM124/AM125*1000</f>
        <v>46.293112861512256</v>
      </c>
      <c r="AN126" s="778">
        <f>+AO126</f>
        <v>38.346165749431236</v>
      </c>
      <c r="AO126" s="779">
        <f>+AP126</f>
        <v>38.346165749431236</v>
      </c>
      <c r="AP126" s="779">
        <f>+AQ126</f>
        <v>38.346165749431236</v>
      </c>
      <c r="AQ126" s="1278">
        <f>AQ124/AQ125*1000</f>
        <v>38.346165749431236</v>
      </c>
      <c r="AR126" s="1280">
        <f>AR124/AR125*1000</f>
        <v>42.331238001808345</v>
      </c>
      <c r="AS126" s="778">
        <f>+AS131+AS128</f>
        <v>31.542854964016065</v>
      </c>
      <c r="AT126" s="779">
        <f>+AT131+AT128</f>
        <v>32.650322656659085</v>
      </c>
      <c r="AU126" s="779">
        <f>+AU131+AU128</f>
        <v>36.675056092600627</v>
      </c>
      <c r="AV126" s="1278">
        <f>+AV131+AV128</f>
        <v>42.708472989338361</v>
      </c>
      <c r="AW126" s="62">
        <f>+AW131+AW128</f>
        <v>35.89417667565354</v>
      </c>
      <c r="AX126" s="778">
        <f>+AY126</f>
        <v>39.281046061324872</v>
      </c>
      <c r="AY126" s="779">
        <f>+AZ126</f>
        <v>39.281046061324872</v>
      </c>
      <c r="AZ126" s="779">
        <f>+BA126</f>
        <v>39.281046061324872</v>
      </c>
      <c r="BA126" s="780">
        <f>+BB126</f>
        <v>39.281046061324872</v>
      </c>
      <c r="BB126" s="62">
        <f>+BB131+BB128</f>
        <v>39.281046061324872</v>
      </c>
      <c r="BC126" s="1271">
        <f>+BD126</f>
        <v>36.428680902371582</v>
      </c>
      <c r="BD126" s="1277">
        <f>+BE126</f>
        <v>36.428680902371582</v>
      </c>
      <c r="BE126" s="1277">
        <f>+BF126</f>
        <v>36.428680902371582</v>
      </c>
      <c r="BF126" s="1278">
        <f>+BG126</f>
        <v>36.428680902371582</v>
      </c>
      <c r="BG126" s="62">
        <f>+BG131+BG128</f>
        <v>36.428680902371582</v>
      </c>
      <c r="BH126" s="1271">
        <f>+BI126</f>
        <v>35.738439012187563</v>
      </c>
      <c r="BI126" s="1277">
        <f>+BJ126</f>
        <v>35.738439012187563</v>
      </c>
      <c r="BJ126" s="1277">
        <f>+BK126</f>
        <v>35.738439012187563</v>
      </c>
      <c r="BK126" s="1278">
        <f>+BL126</f>
        <v>35.738439012187563</v>
      </c>
      <c r="BL126" s="62">
        <f>+BL131+BL128</f>
        <v>35.738439012187563</v>
      </c>
      <c r="BM126" s="1271">
        <f>+BN126</f>
        <v>37.021710201455676</v>
      </c>
      <c r="BN126" s="1277">
        <f>+BO126</f>
        <v>37.021710201455676</v>
      </c>
      <c r="BO126" s="1277">
        <f>+BP126</f>
        <v>37.021710201455676</v>
      </c>
      <c r="BP126" s="1278">
        <f>+BQ126</f>
        <v>37.021710201455676</v>
      </c>
      <c r="BQ126" s="62">
        <f>+BQ131+BQ128</f>
        <v>37.021710201455676</v>
      </c>
      <c r="BR126" s="1272"/>
      <c r="BS126" s="1272"/>
      <c r="BT126" s="1272"/>
      <c r="BU126" s="1272"/>
      <c r="BV126" s="1272"/>
      <c r="BW126" s="1272"/>
      <c r="BX126" s="1272"/>
      <c r="BY126" s="1272"/>
      <c r="BZ126" s="1272"/>
    </row>
    <row r="127" spans="3:78" s="56" customFormat="1" outlineLevel="1">
      <c r="C127" s="1272"/>
      <c r="D127" s="1272"/>
      <c r="E127" s="1209"/>
      <c r="F127" s="1822"/>
      <c r="G127" s="1822"/>
      <c r="H127" s="1281"/>
      <c r="I127" s="1279"/>
      <c r="J127" s="1209"/>
      <c r="K127" s="1822"/>
      <c r="L127" s="1822"/>
      <c r="M127" s="1281"/>
      <c r="N127" s="1279"/>
      <c r="O127" s="1209"/>
      <c r="P127" s="1822"/>
      <c r="Q127" s="1822"/>
      <c r="R127" s="1281"/>
      <c r="S127" s="1279"/>
      <c r="T127" s="1202"/>
      <c r="U127" s="1204"/>
      <c r="V127" s="1204"/>
      <c r="W127" s="1205"/>
      <c r="X127" s="1279"/>
      <c r="Y127" s="1209"/>
      <c r="Z127" s="1822"/>
      <c r="AA127" s="1822"/>
      <c r="AB127" s="1281"/>
      <c r="AC127" s="1279"/>
      <c r="AD127" s="1209"/>
      <c r="AE127" s="1822"/>
      <c r="AF127" s="1822"/>
      <c r="AG127" s="1281"/>
      <c r="AH127" s="1279"/>
      <c r="AI127" s="1209"/>
      <c r="AJ127" s="1822"/>
      <c r="AK127" s="1822"/>
      <c r="AL127" s="1281"/>
      <c r="AM127" s="1279"/>
      <c r="AN127" s="1209"/>
      <c r="AO127" s="1822"/>
      <c r="AP127" s="1822"/>
      <c r="AQ127" s="1281"/>
      <c r="AR127" s="1279"/>
      <c r="AS127" s="1209"/>
      <c r="AT127" s="1822"/>
      <c r="AU127" s="1822"/>
      <c r="AV127" s="1281"/>
      <c r="AW127" s="1279"/>
      <c r="AX127" s="1209"/>
      <c r="AY127" s="1822"/>
      <c r="AZ127" s="1822"/>
      <c r="BA127" s="1281"/>
      <c r="BB127" s="1279"/>
      <c r="BC127" s="1209"/>
      <c r="BD127" s="1822"/>
      <c r="BE127" s="1822"/>
      <c r="BF127" s="1281"/>
      <c r="BG127" s="1279"/>
      <c r="BH127" s="1209"/>
      <c r="BI127" s="1822"/>
      <c r="BJ127" s="1822"/>
      <c r="BK127" s="1281"/>
      <c r="BL127" s="1279"/>
      <c r="BM127" s="1209"/>
      <c r="BN127" s="1822"/>
      <c r="BO127" s="1822"/>
      <c r="BP127" s="1281"/>
      <c r="BQ127" s="1279"/>
      <c r="BR127" s="1272"/>
      <c r="BS127" s="1272"/>
      <c r="BT127" s="1272"/>
      <c r="BU127" s="1272"/>
      <c r="BV127" s="1272"/>
      <c r="BW127" s="1272"/>
      <c r="BX127" s="1272"/>
      <c r="BY127" s="1272"/>
      <c r="BZ127" s="1272"/>
    </row>
    <row r="128" spans="3:78" s="56" customFormat="1" outlineLevel="1">
      <c r="C128" s="1272" t="s">
        <v>610</v>
      </c>
      <c r="D128" s="1272"/>
      <c r="E128" s="1209"/>
      <c r="F128" s="1822"/>
      <c r="G128" s="1822"/>
      <c r="H128" s="1281"/>
      <c r="I128" s="1279"/>
      <c r="J128" s="1209"/>
      <c r="K128" s="1822"/>
      <c r="L128" s="1822"/>
      <c r="M128" s="1281"/>
      <c r="N128" s="1279"/>
      <c r="O128" s="1202"/>
      <c r="P128" s="1204"/>
      <c r="Q128" s="1204"/>
      <c r="R128" s="1205"/>
      <c r="S128" s="1206"/>
      <c r="T128" s="1202"/>
      <c r="U128" s="1204"/>
      <c r="V128" s="1204"/>
      <c r="W128" s="1205"/>
      <c r="X128"/>
      <c r="Y128" s="1209"/>
      <c r="Z128" s="1822"/>
      <c r="AA128" s="1822"/>
      <c r="AB128" s="1281"/>
      <c r="AC128"/>
      <c r="AD128" s="1209"/>
      <c r="AE128" s="1822"/>
      <c r="AF128" s="1822"/>
      <c r="AG128" s="1281"/>
      <c r="AH128" s="1279"/>
      <c r="AI128" s="1209"/>
      <c r="AJ128" s="1822"/>
      <c r="AK128" s="1822"/>
      <c r="AL128" s="1281"/>
      <c r="AM128" s="1279"/>
      <c r="AN128" s="1209"/>
      <c r="AO128" s="1822"/>
      <c r="AP128" s="1822"/>
      <c r="AQ128" s="1281"/>
      <c r="AR128" s="1279"/>
      <c r="AS128" s="1209"/>
      <c r="AT128" s="1822"/>
      <c r="AU128" s="1822"/>
      <c r="AV128" s="1281"/>
      <c r="AW128" s="1279"/>
      <c r="AX128" s="1209"/>
      <c r="AY128" s="1822"/>
      <c r="AZ128" s="1822"/>
      <c r="BA128" s="1281"/>
      <c r="BB128" s="1279"/>
      <c r="BC128" s="1209"/>
      <c r="BD128" s="1822"/>
      <c r="BE128" s="1822"/>
      <c r="BF128" s="1281"/>
      <c r="BG128" s="1279"/>
      <c r="BH128" s="1209"/>
      <c r="BI128" s="1822"/>
      <c r="BJ128" s="1822"/>
      <c r="BK128" s="1281"/>
      <c r="BL128" s="1279"/>
      <c r="BM128" s="1209"/>
      <c r="BN128" s="1822"/>
      <c r="BO128" s="1822"/>
      <c r="BP128" s="1281"/>
      <c r="BQ128" s="1279"/>
      <c r="BR128" s="1272"/>
      <c r="BS128" s="1272"/>
      <c r="BT128" s="1272"/>
      <c r="BU128" s="1272"/>
      <c r="BV128" s="1272"/>
      <c r="BW128" s="1272"/>
      <c r="BX128" s="1272"/>
      <c r="BY128" s="1272"/>
      <c r="BZ128" s="1272"/>
    </row>
    <row r="129" spans="3:78" s="56" customFormat="1" outlineLevel="1">
      <c r="C129" s="1272"/>
      <c r="D129" s="1272"/>
      <c r="E129" s="1209"/>
      <c r="F129" s="1822"/>
      <c r="G129" s="1822"/>
      <c r="H129" s="1281"/>
      <c r="I129" s="1279"/>
      <c r="J129" s="1209"/>
      <c r="K129" s="1822"/>
      <c r="L129" s="1822"/>
      <c r="M129" s="1281"/>
      <c r="N129" s="1279"/>
      <c r="O129" s="1202"/>
      <c r="P129" s="1204"/>
      <c r="Q129" s="1204"/>
      <c r="R129" s="1205"/>
      <c r="S129" s="1206"/>
      <c r="T129" s="1209"/>
      <c r="U129" s="1822"/>
      <c r="V129" s="1822"/>
      <c r="W129" s="1281"/>
      <c r="X129" s="1279"/>
      <c r="Y129" s="1209"/>
      <c r="Z129" s="1822"/>
      <c r="AA129" s="1822"/>
      <c r="AB129" s="1281"/>
      <c r="AC129" s="1279"/>
      <c r="AD129" s="1209"/>
      <c r="AE129" s="1822"/>
      <c r="AF129" s="1822"/>
      <c r="AG129" s="1281"/>
      <c r="AH129" s="1279"/>
      <c r="AI129" s="1209"/>
      <c r="AJ129" s="1822"/>
      <c r="AK129" s="1822"/>
      <c r="AL129" s="1281"/>
      <c r="AM129" s="1279"/>
      <c r="AN129" s="1209"/>
      <c r="AO129" s="1822"/>
      <c r="AP129" s="1822"/>
      <c r="AQ129" s="1281"/>
      <c r="AR129" s="1279"/>
      <c r="AS129" s="1209"/>
      <c r="AT129" s="1822"/>
      <c r="AU129" s="1822"/>
      <c r="AV129" s="1281"/>
      <c r="AW129" s="1279"/>
      <c r="AX129" s="1209"/>
      <c r="AY129" s="1822"/>
      <c r="AZ129" s="1822"/>
      <c r="BA129" s="1281"/>
      <c r="BB129" s="1279"/>
      <c r="BC129" s="1209"/>
      <c r="BD129" s="1822"/>
      <c r="BE129" s="1822"/>
      <c r="BF129" s="1281"/>
      <c r="BG129" s="1279"/>
      <c r="BH129" s="1209"/>
      <c r="BI129" s="1822"/>
      <c r="BJ129" s="1822"/>
      <c r="BK129" s="1281"/>
      <c r="BL129" s="1279"/>
      <c r="BM129" s="1209"/>
      <c r="BN129" s="1822"/>
      <c r="BO129" s="1822"/>
      <c r="BP129" s="1281"/>
      <c r="BQ129" s="1279"/>
      <c r="BR129" s="1272"/>
      <c r="BS129" s="1272"/>
      <c r="BT129" s="1272"/>
      <c r="BU129" s="1272"/>
      <c r="BV129" s="1272"/>
      <c r="BW129" s="1272"/>
      <c r="BX129" s="1272"/>
      <c r="BY129" s="1272"/>
      <c r="BZ129" s="1272"/>
    </row>
    <row r="130" spans="3:78" s="56" customFormat="1" outlineLevel="1">
      <c r="C130" s="1272" t="s">
        <v>383</v>
      </c>
      <c r="D130" s="1272"/>
      <c r="E130" s="1209"/>
      <c r="F130" s="1822"/>
      <c r="G130" s="1822"/>
      <c r="H130" s="1281"/>
      <c r="I130" s="1279"/>
      <c r="J130" s="1209"/>
      <c r="K130" s="1822"/>
      <c r="L130" s="1822"/>
      <c r="M130" s="1281"/>
      <c r="N130" s="1279"/>
      <c r="O130" s="1209"/>
      <c r="P130" s="1822"/>
      <c r="Q130" s="1822"/>
      <c r="R130" s="1281"/>
      <c r="S130" s="1279"/>
      <c r="T130" s="1209"/>
      <c r="U130" s="1822"/>
      <c r="V130" s="1822"/>
      <c r="W130" s="1281"/>
      <c r="X130" s="1279"/>
      <c r="Y130" s="1209"/>
      <c r="Z130" s="1822"/>
      <c r="AA130" s="1822"/>
      <c r="AB130" s="1281"/>
      <c r="AC130" s="1279"/>
      <c r="AD130" s="1209"/>
      <c r="AE130" s="1822"/>
      <c r="AF130" s="1822"/>
      <c r="AG130" s="1281"/>
      <c r="AH130" s="1279"/>
      <c r="AI130" s="1209"/>
      <c r="AJ130" s="1822"/>
      <c r="AK130" s="1822"/>
      <c r="AL130" s="1281"/>
      <c r="AM130" s="1279"/>
      <c r="AN130" s="1209"/>
      <c r="AO130" s="1822"/>
      <c r="AP130" s="1822"/>
      <c r="AQ130" s="1281"/>
      <c r="AR130" s="1279"/>
      <c r="AS130" s="1209"/>
      <c r="AT130" s="1822"/>
      <c r="AU130" s="1822"/>
      <c r="AV130" s="1281"/>
      <c r="AW130" s="1279"/>
      <c r="AX130" s="1209"/>
      <c r="AY130" s="1822"/>
      <c r="AZ130" s="1822"/>
      <c r="BA130" s="1281"/>
      <c r="BB130" s="1279"/>
      <c r="BC130" s="1209"/>
      <c r="BD130" s="1822"/>
      <c r="BE130" s="1822"/>
      <c r="BF130" s="1281"/>
      <c r="BG130" s="1279"/>
      <c r="BH130" s="1209"/>
      <c r="BI130" s="1822"/>
      <c r="BJ130" s="1822"/>
      <c r="BK130" s="1281"/>
      <c r="BL130" s="1279"/>
      <c r="BM130" s="1209"/>
      <c r="BN130" s="1822"/>
      <c r="BO130" s="1822"/>
      <c r="BP130" s="1281"/>
      <c r="BQ130" s="1279"/>
      <c r="BR130" s="1272"/>
      <c r="BS130" s="1272"/>
      <c r="BT130" s="1272"/>
      <c r="BU130" s="1272"/>
      <c r="BV130" s="1272"/>
      <c r="BW130" s="1272"/>
      <c r="BX130" s="1272"/>
      <c r="BY130" s="1272"/>
      <c r="BZ130" s="1272"/>
    </row>
    <row r="131" spans="3:78" s="56" customFormat="1" outlineLevel="1">
      <c r="C131" s="1272" t="s">
        <v>983</v>
      </c>
      <c r="D131" s="1272"/>
      <c r="E131" s="1209"/>
      <c r="F131" s="1822"/>
      <c r="G131" s="1822"/>
      <c r="H131" s="1281"/>
      <c r="I131" s="1279"/>
      <c r="J131" s="1209"/>
      <c r="K131" s="1822"/>
      <c r="L131" s="1822"/>
      <c r="M131" s="1281"/>
      <c r="N131" s="1279"/>
      <c r="O131" s="1209"/>
      <c r="P131" s="1822"/>
      <c r="Q131" s="1822"/>
      <c r="R131" s="1281"/>
      <c r="S131" s="1280"/>
      <c r="T131" s="1209"/>
      <c r="U131" s="1822"/>
      <c r="V131" s="1822"/>
      <c r="W131" s="1281"/>
      <c r="X131" s="1280">
        <f t="shared" ref="X131:AP131" si="51">(X132)+(65%*X61+35%*X62)</f>
        <v>40.113216869515931</v>
      </c>
      <c r="Y131" s="1271">
        <f t="shared" si="51"/>
        <v>43.569030773463773</v>
      </c>
      <c r="Z131" s="1277">
        <f t="shared" si="51"/>
        <v>45.781217226082624</v>
      </c>
      <c r="AA131" s="1277">
        <f t="shared" si="51"/>
        <v>45.226822675181268</v>
      </c>
      <c r="AB131" s="1278">
        <f t="shared" si="51"/>
        <v>43.360841381952625</v>
      </c>
      <c r="AC131" s="1280">
        <f t="shared" si="51"/>
        <v>44.484478014170065</v>
      </c>
      <c r="AD131" s="1271">
        <f t="shared" si="51"/>
        <v>79.45538403741935</v>
      </c>
      <c r="AE131" s="1277">
        <f t="shared" si="51"/>
        <v>52.514153605750174</v>
      </c>
      <c r="AF131" s="1277">
        <f t="shared" si="51"/>
        <v>43.336268373366757</v>
      </c>
      <c r="AG131" s="1278">
        <f t="shared" si="51"/>
        <v>20.797664230005843</v>
      </c>
      <c r="AH131" s="1280">
        <f t="shared" si="51"/>
        <v>49.025867561635529</v>
      </c>
      <c r="AI131" s="1271">
        <f t="shared" si="51"/>
        <v>49.107479414728431</v>
      </c>
      <c r="AJ131" s="1277">
        <f t="shared" si="51"/>
        <v>41.617019830129493</v>
      </c>
      <c r="AK131" s="1277">
        <f t="shared" si="51"/>
        <v>36.527304977918817</v>
      </c>
      <c r="AL131" s="1278">
        <f t="shared" si="51"/>
        <v>33.311231676513493</v>
      </c>
      <c r="AM131" s="1280">
        <f t="shared" si="51"/>
        <v>38.952018803807803</v>
      </c>
      <c r="AN131" s="1271">
        <f t="shared" si="51"/>
        <v>31.101678205430876</v>
      </c>
      <c r="AO131" s="1277">
        <f t="shared" si="51"/>
        <v>32.30669030999055</v>
      </c>
      <c r="AP131" s="1277">
        <f t="shared" si="51"/>
        <v>34.817063693870502</v>
      </c>
      <c r="AQ131" s="1278">
        <f>(AQ132)+(65%*AQ61+35%*AQ62)</f>
        <v>32.310412879620294</v>
      </c>
      <c r="AR131" s="1280">
        <f>(AR132)+(65%*AR61+35%*AR62)</f>
        <v>32.633961272228056</v>
      </c>
      <c r="AS131" s="1271">
        <f t="shared" ref="AS131:BL131" si="52">(AS132)+(65%*AS61+35%*AS62)</f>
        <v>31.542854964016065</v>
      </c>
      <c r="AT131" s="1277">
        <f t="shared" si="52"/>
        <v>32.650322656659085</v>
      </c>
      <c r="AU131" s="1277">
        <f t="shared" si="52"/>
        <v>36.675056092600627</v>
      </c>
      <c r="AV131" s="1278">
        <f t="shared" si="52"/>
        <v>42.708472989338361</v>
      </c>
      <c r="AW131" s="1280">
        <f t="shared" si="52"/>
        <v>35.89417667565354</v>
      </c>
      <c r="AX131" s="1271">
        <f t="shared" si="52"/>
        <v>42.512701649848026</v>
      </c>
      <c r="AY131" s="1277">
        <f t="shared" si="52"/>
        <v>37.283174459527395</v>
      </c>
      <c r="AZ131" s="1277">
        <f t="shared" si="52"/>
        <v>39.827487401295357</v>
      </c>
      <c r="BA131" s="1278">
        <f t="shared" si="52"/>
        <v>37.500820734628697</v>
      </c>
      <c r="BB131" s="1280">
        <f t="shared" si="52"/>
        <v>39.281046061324872</v>
      </c>
      <c r="BC131" s="1271">
        <f t="shared" si="52"/>
        <v>41.137663107439224</v>
      </c>
      <c r="BD131" s="1277">
        <f t="shared" si="52"/>
        <v>33.495454917410825</v>
      </c>
      <c r="BE131" s="1277">
        <f t="shared" si="52"/>
        <v>33.637224854810142</v>
      </c>
      <c r="BF131" s="1278">
        <f t="shared" si="52"/>
        <v>37.444380729826136</v>
      </c>
      <c r="BG131" s="1280">
        <f t="shared" si="52"/>
        <v>36.428680902371582</v>
      </c>
      <c r="BH131" s="1271">
        <f t="shared" si="52"/>
        <v>38.198314202186054</v>
      </c>
      <c r="BI131" s="1277">
        <f t="shared" si="52"/>
        <v>31.852144499923401</v>
      </c>
      <c r="BJ131" s="1277">
        <f t="shared" si="52"/>
        <v>37.351798410264962</v>
      </c>
      <c r="BK131" s="1278">
        <f t="shared" si="52"/>
        <v>35.551498936375843</v>
      </c>
      <c r="BL131" s="1280">
        <f t="shared" si="52"/>
        <v>35.738439012187563</v>
      </c>
      <c r="BM131" s="1271">
        <f>(BM132)+(65%*BM61+35%*BM62)</f>
        <v>37.967058214828441</v>
      </c>
      <c r="BN131" s="1277">
        <f>(BN132)+(65%*BN61+35%*BN62)</f>
        <v>36.410117043641918</v>
      </c>
      <c r="BO131" s="1277">
        <f>(BO132)+(65%*BO61+35%*BO62)</f>
        <v>36.442991224384215</v>
      </c>
      <c r="BP131" s="1278">
        <f>(BP132)+(65%*BP61+35%*BP62)</f>
        <v>37.266674322968143</v>
      </c>
      <c r="BQ131" s="1280">
        <f>(BQ132)+(65%*BQ61+35%*BQ62)</f>
        <v>37.021710201455676</v>
      </c>
      <c r="BR131" s="1272"/>
      <c r="BS131" s="1272"/>
      <c r="BT131" s="1272"/>
      <c r="BU131" s="1272"/>
      <c r="BV131" s="1272"/>
      <c r="BW131" s="1272"/>
      <c r="BX131" s="1272"/>
      <c r="BY131" s="1272"/>
      <c r="BZ131" s="1272"/>
    </row>
    <row r="132" spans="3:78" s="56" customFormat="1" outlineLevel="1">
      <c r="C132" s="1272" t="s">
        <v>982</v>
      </c>
      <c r="D132" s="1272"/>
      <c r="E132" s="1209"/>
      <c r="F132" s="1822"/>
      <c r="G132" s="1822"/>
      <c r="H132" s="1281"/>
      <c r="I132" s="1279"/>
      <c r="J132" s="1209"/>
      <c r="K132" s="1822"/>
      <c r="L132" s="1822"/>
      <c r="M132" s="1281"/>
      <c r="N132" s="1279"/>
      <c r="O132" s="1209"/>
      <c r="P132" s="1822"/>
      <c r="Q132" s="1822"/>
      <c r="R132" s="1281"/>
      <c r="S132" s="1280"/>
      <c r="T132" s="1209"/>
      <c r="U132" s="1822"/>
      <c r="V132" s="1822"/>
      <c r="W132" s="1281"/>
      <c r="X132" s="1280">
        <f>((X139*365/1000)*X178/1000)/(X108)*1000*X111</f>
        <v>6.4374150587768471</v>
      </c>
      <c r="Y132" s="1271">
        <f>((Y139*365/1000)*Y178/1000)/(Y108*4)*1000*Y111</f>
        <v>8.1083803668615193</v>
      </c>
      <c r="Z132" s="1287">
        <f>((Z139*365/1000)*Z178/1000)/(Z108*4)*1000*Z111</f>
        <v>8.5673452932876426</v>
      </c>
      <c r="AA132" s="1287">
        <f>((AA139*365/1000)*AA178/1000)/(AA108*4)*1000*AA111</f>
        <v>8.873321910905057</v>
      </c>
      <c r="AB132" s="1278">
        <f>((AB139*365/1000)*AB178/1000)/(AB108*4)*1000*AB111</f>
        <v>9.9442400725660143</v>
      </c>
      <c r="AC132" s="1280">
        <f>((AC139*365/1000)*AC178/1000)/(AC108)*1000*AC111</f>
        <v>8.873321910905057</v>
      </c>
      <c r="AD132" s="1271">
        <f>((AD139*365/1000)*AD178/1000)/(AD108*4)*1000*AD111</f>
        <v>8.4231463764649614</v>
      </c>
      <c r="AE132" s="1287">
        <f>((AE139*365/1000)*AE178/1000)/(AE108*4)*1000*AE111</f>
        <v>8.8999282468309033</v>
      </c>
      <c r="AF132" s="1287">
        <f>((AF139*365/1000)*AF178/1000)/(AF108*4)*1000*AF111</f>
        <v>9.2177828270748616</v>
      </c>
      <c r="AG132" s="1278">
        <f>((AG139*365/1000)*AG178/1000)/(AG108*4)*1000*AG111</f>
        <v>9.2177828270748616</v>
      </c>
      <c r="AH132" s="1280">
        <f>((AH139*365/1000)*AH178/1000)/(AH108)*1000*AH111</f>
        <v>8.9396600693613966</v>
      </c>
      <c r="AI132" s="1271">
        <f>((AI139*365/1000)*AI178/1000)/(AI108*4)*1000*AI111</f>
        <v>9.3024622874787468</v>
      </c>
      <c r="AJ132" s="1287">
        <f>((AJ139*365/1000)*AJ178/1000)/(AJ108*4)*1000*AJ111</f>
        <v>9.3024622874787468</v>
      </c>
      <c r="AK132" s="1287">
        <f>((AK139*365/1000)*AK178/1000)/(AK108*4)*1000*AK111</f>
        <v>5.2229662117503466</v>
      </c>
      <c r="AL132" s="1278">
        <f>((AL139*365/1000)*AL178/1000)/(AL108*4)*1000*AL111</f>
        <v>5.5694213274102884</v>
      </c>
      <c r="AM132" s="1280">
        <f>((AM139*365/1000)*AM178/1000)/(AM108)*1000*AM111</f>
        <v>6.1605878575147797</v>
      </c>
      <c r="AN132" s="1271">
        <f>((AN139*365/1000)*AN178/1000)/(AN108*4)*1000*AN111</f>
        <v>5.5694213274102884</v>
      </c>
      <c r="AO132" s="1287">
        <f>((AO139*365/1000)*AO178/1000)/(AO108*4)*1000*AO111</f>
        <v>4.5233802579998699</v>
      </c>
      <c r="AP132" s="1287">
        <f>((AP139*365/1000)*AP178/1000)/(AP108*4)*1000*AP111</f>
        <v>2.4312981191790346</v>
      </c>
      <c r="AQ132" s="1278">
        <f>((AQ139*365/1000)*AQ178/1000)/(AQ108*4)*1000*AQ111</f>
        <v>2.4312981191790346</v>
      </c>
      <c r="AR132" s="1280">
        <f>((AR139*365/1000)*AR178/1000)/(AR108)*1000*AR111</f>
        <v>3.7388494559420575</v>
      </c>
      <c r="AS132" s="1271">
        <f>((AS139*365/1000)*AS178/1000)/(AS108*4)*1000*AS111</f>
        <v>2.4377351659275117</v>
      </c>
      <c r="AT132" s="1287">
        <f>((AT139*365/1000)*AT178/1000)/(AT108*4)*1000*AT111</f>
        <v>3.2675587755518172</v>
      </c>
      <c r="AU132" s="1287">
        <f>((AU139*365/1000)*AU178/1000)/(AU108*4)*1000*AU111</f>
        <v>4.9272059948004268</v>
      </c>
      <c r="AV132" s="1278">
        <f>((AV139*365/1000)*AV178/1000)/(AV108*4)*1000*AV111</f>
        <v>4.9272059948004268</v>
      </c>
      <c r="AW132" s="1280">
        <f>((AW139*365/1000)*AW178/1000)/(AW108)*1000*AW111</f>
        <v>3.8899264827700466</v>
      </c>
      <c r="AX132" s="1271">
        <f>((AX139*365/1000)*AX178/1000)/(AX108*4)*1000*AX111</f>
        <v>4.7314346553100863</v>
      </c>
      <c r="AY132" s="1287">
        <f>((AY139*365/1000)*AY178/1000)/(AY108*4)*1000*AY111</f>
        <v>5.3198411261940661</v>
      </c>
      <c r="AZ132" s="1287">
        <f>((AZ139*365/1000)*AZ178/1000)/(AZ108*4)*1000*AZ111</f>
        <v>6.4966540679620266</v>
      </c>
      <c r="BA132" s="1278">
        <f>((BA139*365/1000)*BA178/1000)/(BA108*4)*1000*BA111</f>
        <v>6.4966540679620266</v>
      </c>
      <c r="BB132" s="1280">
        <f>((BB139*365/1000)*BB178/1000)/(BB108)*1000*BB111</f>
        <v>5.7611459793570505</v>
      </c>
      <c r="BC132" s="1271">
        <f>((BC139*365/1000)*BC178/1000)/(BC108*4)*1000*BC111</f>
        <v>6.4966540679620266</v>
      </c>
      <c r="BD132" s="1287">
        <f>((BD139*365/1000)*BD178/1000)/(BD108*4)*1000*BD111</f>
        <v>5.6453901162274853</v>
      </c>
      <c r="BE132" s="1287">
        <f>((BE139*365/1000)*BE178/1000)/(BE108*4)*1000*BE111</f>
        <v>3.9428622127584054</v>
      </c>
      <c r="BF132" s="1278">
        <f>((BF139*365/1000)*BF178/1000)/(BF108*4)*1000*BF111</f>
        <v>3.9428622127584054</v>
      </c>
      <c r="BG132" s="1280">
        <f>((BG139*365/1000)*BG178/1000)/(BG108)*1000*BG111</f>
        <v>5.006942152426582</v>
      </c>
      <c r="BH132" s="1271">
        <f>((BH139*365/1000)*BH178/1000)/(BH108*4)*1000*BH111</f>
        <v>3.9428622127584054</v>
      </c>
      <c r="BI132" s="1287">
        <f>((BI139*365/1000)*BI178/1000)/(BI108*4)*1000*BI111</f>
        <v>3.9428622127584054</v>
      </c>
      <c r="BJ132" s="1287">
        <f>((BJ139*365/1000)*BJ178/1000)/(BJ108*4)*1000*BJ111</f>
        <v>3.0174724514240081</v>
      </c>
      <c r="BK132" s="1278">
        <f>((BK139*365/1000)*BK178/1000)/(BK108*4)*1000*BK111</f>
        <v>3.0174724514240081</v>
      </c>
      <c r="BL132" s="1280">
        <f>((BL139*365/1000)*BL178/1000)/(BL108)*1000*BL111</f>
        <v>3.4801673320912068</v>
      </c>
      <c r="BM132" s="1271">
        <f>((BM139*365/1000)*BM178/1000)/(BM108*4)*1000*BM111</f>
        <v>5.9142933191376095</v>
      </c>
      <c r="BN132" s="1287">
        <f>((BN139*365/1000)*BN178/1000)/(BN108*4)*1000*BN111</f>
        <v>5.9142933191376095</v>
      </c>
      <c r="BO132" s="1287">
        <f>((BO139*365/1000)*BO178/1000)/(BO108*4)*1000*BO111</f>
        <v>5.9142933191376095</v>
      </c>
      <c r="BP132" s="1278">
        <f>((BP139*365/1000)*BP178/1000)/(BP108*4)*1000*BP111</f>
        <v>5.9142933191376095</v>
      </c>
      <c r="BQ132" s="1280">
        <f>((BQ139*365/1000)*BQ178/1000)/(BQ108)*1000*BQ111</f>
        <v>5.9142933191376095</v>
      </c>
      <c r="BR132" s="1272"/>
      <c r="BS132" s="1272"/>
      <c r="BT132" s="1272"/>
      <c r="BU132" s="1272"/>
      <c r="BV132" s="1272"/>
      <c r="BW132" s="1272"/>
      <c r="BX132" s="1272"/>
      <c r="BY132" s="1272"/>
      <c r="BZ132" s="1272"/>
    </row>
    <row r="133" spans="3:78" s="56" customFormat="1" outlineLevel="1">
      <c r="C133" s="1272"/>
      <c r="D133" s="1272"/>
      <c r="E133" s="1209"/>
      <c r="F133" s="1822"/>
      <c r="G133" s="1822"/>
      <c r="H133" s="1281"/>
      <c r="I133" s="1279"/>
      <c r="J133" s="1209"/>
      <c r="K133" s="1822"/>
      <c r="L133" s="1822"/>
      <c r="M133" s="1281"/>
      <c r="N133" s="1279"/>
      <c r="O133" s="1209"/>
      <c r="P133" s="1822"/>
      <c r="Q133" s="1822"/>
      <c r="R133" s="1281"/>
      <c r="S133" s="1279"/>
      <c r="T133" s="1209"/>
      <c r="U133" s="1822"/>
      <c r="V133" s="1822"/>
      <c r="W133" s="1281"/>
      <c r="X133" s="1279"/>
      <c r="Y133" s="1202"/>
      <c r="Z133" s="1204"/>
      <c r="AA133" s="1204"/>
      <c r="AB133" s="1205"/>
      <c r="AC133" s="1279"/>
      <c r="AD133" s="1202"/>
      <c r="AE133" s="1204"/>
      <c r="AF133" s="1204"/>
      <c r="AG133" s="1205"/>
      <c r="AH133" s="1279"/>
      <c r="AI133" s="1202"/>
      <c r="AJ133" s="1204"/>
      <c r="AK133" s="1204"/>
      <c r="AL133" s="1205"/>
      <c r="AM133" s="1279"/>
      <c r="AN133" s="1202"/>
      <c r="AO133" s="1204"/>
      <c r="AP133" s="1204"/>
      <c r="AQ133" s="1205"/>
      <c r="AR133" s="1279"/>
      <c r="AS133" s="1202"/>
      <c r="AT133" s="1204"/>
      <c r="AU133" s="1204"/>
      <c r="AV133" s="1205"/>
      <c r="AW133" s="1279"/>
      <c r="AX133" s="1202"/>
      <c r="AY133" s="1204"/>
      <c r="AZ133" s="1204"/>
      <c r="BA133" s="1205"/>
      <c r="BB133" s="1279"/>
      <c r="BC133" s="1202"/>
      <c r="BD133" s="1204"/>
      <c r="BE133" s="1204"/>
      <c r="BF133" s="1205"/>
      <c r="BG133" s="1279"/>
      <c r="BH133" s="1202"/>
      <c r="BI133" s="1204"/>
      <c r="BJ133" s="1204"/>
      <c r="BK133" s="1205"/>
      <c r="BL133" s="1279"/>
      <c r="BM133" s="1202"/>
      <c r="BN133" s="1204"/>
      <c r="BO133" s="1204"/>
      <c r="BP133" s="1205"/>
      <c r="BQ133" s="1279"/>
      <c r="BR133" s="1272"/>
      <c r="BS133" s="1272"/>
      <c r="BT133" s="1272"/>
      <c r="BU133" s="1272"/>
      <c r="BV133" s="1272"/>
      <c r="BW133" s="1272"/>
      <c r="BX133" s="1272"/>
      <c r="BY133" s="1272"/>
      <c r="BZ133" s="1272"/>
    </row>
    <row r="134" spans="3:78" s="56" customFormat="1" outlineLevel="1">
      <c r="C134" s="1272" t="s">
        <v>1012</v>
      </c>
      <c r="D134" s="1272"/>
      <c r="E134" s="1209"/>
      <c r="F134" s="1822"/>
      <c r="G134" s="1822"/>
      <c r="H134" s="1281"/>
      <c r="I134" s="1279"/>
      <c r="J134" s="1209"/>
      <c r="K134" s="1822"/>
      <c r="L134" s="1822"/>
      <c r="M134" s="1281"/>
      <c r="N134" s="1279"/>
      <c r="O134" s="1209"/>
      <c r="P134" s="1822"/>
      <c r="Q134" s="1822"/>
      <c r="R134" s="1281"/>
      <c r="S134" s="1279"/>
      <c r="T134" s="1209"/>
      <c r="U134" s="1822"/>
      <c r="V134" s="1822"/>
      <c r="W134" s="1281"/>
      <c r="X134" s="1279"/>
      <c r="Y134" s="1202"/>
      <c r="Z134" s="1204"/>
      <c r="AA134" s="1204"/>
      <c r="AB134" s="1205"/>
      <c r="AC134" s="1279"/>
      <c r="AD134" s="1202"/>
      <c r="AE134" s="1204"/>
      <c r="AF134" s="1204"/>
      <c r="AG134" s="1205"/>
      <c r="AH134" s="1279"/>
      <c r="AI134" s="1202"/>
      <c r="AJ134" s="1204"/>
      <c r="AK134" s="1204"/>
      <c r="AL134" s="1205"/>
      <c r="AM134" s="1279"/>
      <c r="AN134" s="1202"/>
      <c r="AO134" s="1204"/>
      <c r="AP134" s="1204"/>
      <c r="AQ134" s="1205"/>
      <c r="AR134" s="1279"/>
      <c r="AS134" s="1202"/>
      <c r="AT134" s="1204"/>
      <c r="AU134" s="1204"/>
      <c r="AV134" s="1205"/>
      <c r="AW134" s="1279"/>
      <c r="AX134" s="1202"/>
      <c r="AY134" s="1204"/>
      <c r="AZ134" s="1204"/>
      <c r="BA134" s="1205"/>
      <c r="BB134" s="1279"/>
      <c r="BC134" s="1202"/>
      <c r="BD134" s="1204"/>
      <c r="BE134" s="1204"/>
      <c r="BF134" s="1205"/>
      <c r="BG134" s="1279"/>
      <c r="BH134" s="1202"/>
      <c r="BI134" s="1204"/>
      <c r="BJ134" s="1204"/>
      <c r="BK134" s="1205"/>
      <c r="BL134" s="1279"/>
      <c r="BM134" s="1202"/>
      <c r="BN134" s="1204"/>
      <c r="BO134" s="1204"/>
      <c r="BP134" s="1205"/>
      <c r="BQ134" s="1279"/>
      <c r="BR134" s="1272"/>
      <c r="BS134" s="1272"/>
      <c r="BT134" s="1272"/>
      <c r="BU134" s="1272"/>
      <c r="BV134" s="1272"/>
      <c r="BW134" s="1272"/>
      <c r="BX134" s="1272"/>
      <c r="BY134" s="1272"/>
      <c r="BZ134" s="1272"/>
    </row>
    <row r="135" spans="3:78" s="56" customFormat="1" outlineLevel="1">
      <c r="C135" s="1272" t="s">
        <v>604</v>
      </c>
      <c r="D135" s="1272"/>
      <c r="E135" s="1209"/>
      <c r="F135" s="1822"/>
      <c r="G135" s="1822"/>
      <c r="H135" s="1281"/>
      <c r="I135" s="1279"/>
      <c r="J135" s="1209"/>
      <c r="K135" s="1822"/>
      <c r="L135" s="1822"/>
      <c r="M135" s="1281"/>
      <c r="N135" s="1279"/>
      <c r="O135" s="1209"/>
      <c r="P135" s="1822"/>
      <c r="Q135" s="1822"/>
      <c r="R135" s="1281"/>
      <c r="S135"/>
      <c r="T135" s="762"/>
      <c r="U135" s="766"/>
      <c r="V135" s="766"/>
      <c r="W135" s="777"/>
      <c r="X135">
        <f>+X70</f>
        <v>55.435000000000002</v>
      </c>
      <c r="Y135" s="1271">
        <f>Y70</f>
        <v>16.46</v>
      </c>
      <c r="Z135" s="1287">
        <f>+Z70</f>
        <v>20.216666666666669</v>
      </c>
      <c r="AA135" s="1287">
        <f>+AA70</f>
        <v>27.73</v>
      </c>
      <c r="AB135" s="1278">
        <f>+AB70</f>
        <v>27.73</v>
      </c>
      <c r="AC135">
        <f>+AC70</f>
        <v>23.034166666666668</v>
      </c>
      <c r="AD135" s="1271">
        <f>AD70</f>
        <v>27.73</v>
      </c>
      <c r="AE135" s="1287">
        <f t="shared" ref="AE135:BL135" si="53">+AE70</f>
        <v>60.483333333333327</v>
      </c>
      <c r="AF135" s="1287">
        <f t="shared" si="53"/>
        <v>125.99</v>
      </c>
      <c r="AG135" s="1278">
        <f t="shared" si="53"/>
        <v>125.99</v>
      </c>
      <c r="AH135">
        <f t="shared" si="53"/>
        <v>85.048333333333332</v>
      </c>
      <c r="AI135" s="1271">
        <f t="shared" si="53"/>
        <v>125.99</v>
      </c>
      <c r="AJ135" s="1287">
        <f t="shared" si="53"/>
        <v>129.32666666666668</v>
      </c>
      <c r="AK135" s="1287">
        <f t="shared" si="53"/>
        <v>136</v>
      </c>
      <c r="AL135" s="1278">
        <f t="shared" si="53"/>
        <v>136</v>
      </c>
      <c r="AM135">
        <f t="shared" si="53"/>
        <v>131.82916666666665</v>
      </c>
      <c r="AN135" s="1271">
        <f t="shared" si="53"/>
        <v>136</v>
      </c>
      <c r="AO135" s="1287">
        <f t="shared" si="53"/>
        <v>110.45666666666666</v>
      </c>
      <c r="AP135" s="1287">
        <f t="shared" si="53"/>
        <v>59.37</v>
      </c>
      <c r="AQ135" s="1278">
        <f>+AQ70</f>
        <v>59.37</v>
      </c>
      <c r="AR135">
        <f>+AR70</f>
        <v>91.299166666666665</v>
      </c>
      <c r="AS135" s="1271">
        <f t="shared" si="53"/>
        <v>59.37</v>
      </c>
      <c r="AT135" s="1287">
        <f t="shared" si="53"/>
        <v>79.58</v>
      </c>
      <c r="AU135" s="1287">
        <f t="shared" si="53"/>
        <v>120</v>
      </c>
      <c r="AV135" s="1278">
        <f t="shared" si="53"/>
        <v>120</v>
      </c>
      <c r="AW135">
        <f t="shared" si="53"/>
        <v>94.737499999999997</v>
      </c>
      <c r="AX135" s="1271">
        <f t="shared" si="53"/>
        <v>120</v>
      </c>
      <c r="AY135" s="1287">
        <f t="shared" si="53"/>
        <v>134.92333333333335</v>
      </c>
      <c r="AZ135" s="1287">
        <f t="shared" si="53"/>
        <v>164.77</v>
      </c>
      <c r="BA135" s="1278">
        <f t="shared" si="53"/>
        <v>164.77</v>
      </c>
      <c r="BB135">
        <f t="shared" si="53"/>
        <v>146.11583333333334</v>
      </c>
      <c r="BC135" s="1271">
        <f t="shared" si="53"/>
        <v>164.77</v>
      </c>
      <c r="BD135" s="1287">
        <f t="shared" si="53"/>
        <v>143.18</v>
      </c>
      <c r="BE135" s="1287">
        <f t="shared" si="53"/>
        <v>100</v>
      </c>
      <c r="BF135" s="1278">
        <f t="shared" si="53"/>
        <v>100</v>
      </c>
      <c r="BG135">
        <f t="shared" si="53"/>
        <v>126.98750000000001</v>
      </c>
      <c r="BH135" s="1271">
        <f t="shared" si="53"/>
        <v>100</v>
      </c>
      <c r="BI135" s="1287">
        <f t="shared" si="53"/>
        <v>100</v>
      </c>
      <c r="BJ135" s="1287">
        <f t="shared" si="53"/>
        <v>76.53</v>
      </c>
      <c r="BK135" s="1278">
        <f t="shared" si="53"/>
        <v>76.53</v>
      </c>
      <c r="BL135">
        <f t="shared" si="53"/>
        <v>88.264999999999986</v>
      </c>
      <c r="BM135" s="1271">
        <f>+BM70</f>
        <v>150</v>
      </c>
      <c r="BN135" s="1287">
        <f>+BN70</f>
        <v>150</v>
      </c>
      <c r="BO135" s="1287">
        <f>+BO70</f>
        <v>150</v>
      </c>
      <c r="BP135" s="1278">
        <f>+BP70</f>
        <v>150</v>
      </c>
      <c r="BQ135">
        <f>+BQ70</f>
        <v>150</v>
      </c>
      <c r="BR135" s="1272"/>
      <c r="BS135" s="1272"/>
      <c r="BT135" s="1272"/>
      <c r="BU135" s="1272"/>
      <c r="BV135" s="1272"/>
      <c r="BW135" s="1272"/>
      <c r="BX135" s="1272"/>
      <c r="BY135" s="1272"/>
      <c r="BZ135" s="1272"/>
    </row>
    <row r="136" spans="3:78" s="56" customFormat="1" outlineLevel="1">
      <c r="C136" s="1272" t="s">
        <v>605</v>
      </c>
      <c r="D136" s="1272"/>
      <c r="E136" s="1209"/>
      <c r="F136" s="1822"/>
      <c r="G136" s="1822"/>
      <c r="H136" s="1281"/>
      <c r="I136" s="1279"/>
      <c r="J136" s="1209"/>
      <c r="K136" s="1822"/>
      <c r="L136" s="1822"/>
      <c r="M136" s="1281"/>
      <c r="N136" s="87"/>
      <c r="O136" s="762"/>
      <c r="P136" s="766"/>
      <c r="Q136" s="766"/>
      <c r="R136" s="777"/>
      <c r="S136" s="838"/>
      <c r="T136" s="1209"/>
      <c r="U136" s="1822"/>
      <c r="V136" s="1822"/>
      <c r="W136" s="1281"/>
      <c r="X136" s="838">
        <v>0</v>
      </c>
      <c r="Y136" s="1805">
        <f>+X136</f>
        <v>0</v>
      </c>
      <c r="Z136" s="2">
        <f>+AA136</f>
        <v>0</v>
      </c>
      <c r="AA136" s="2">
        <f>+AB136</f>
        <v>0</v>
      </c>
      <c r="AB136" s="1807">
        <f>+AC136</f>
        <v>0</v>
      </c>
      <c r="AC136" s="838">
        <v>0</v>
      </c>
      <c r="AD136" s="1805">
        <f>+AE136</f>
        <v>0</v>
      </c>
      <c r="AE136" s="2">
        <f>+AF136</f>
        <v>0</v>
      </c>
      <c r="AF136" s="2">
        <f>+AG136</f>
        <v>0</v>
      </c>
      <c r="AG136" s="1807">
        <f>+AH136</f>
        <v>0</v>
      </c>
      <c r="AH136" s="838">
        <v>0</v>
      </c>
      <c r="AI136" s="1805">
        <v>0</v>
      </c>
      <c r="AJ136" s="2">
        <v>0</v>
      </c>
      <c r="AK136" s="2">
        <v>1</v>
      </c>
      <c r="AL136" s="1807">
        <v>1</v>
      </c>
      <c r="AM136" s="838">
        <f>AVERAGE(AI136:AL136)</f>
        <v>0.5</v>
      </c>
      <c r="AN136" s="1805">
        <f>+AO136</f>
        <v>1</v>
      </c>
      <c r="AO136" s="2">
        <f>+AP136</f>
        <v>1</v>
      </c>
      <c r="AP136" s="2">
        <f>+AQ136</f>
        <v>1</v>
      </c>
      <c r="AQ136" s="1807">
        <v>1</v>
      </c>
      <c r="AR136" s="838">
        <f>AVERAGE(AN136:AQ136)</f>
        <v>1</v>
      </c>
      <c r="AS136" s="1805">
        <f>+AT136</f>
        <v>1</v>
      </c>
      <c r="AT136" s="2">
        <f>+AU136</f>
        <v>1</v>
      </c>
      <c r="AU136" s="2">
        <f>+AV136</f>
        <v>1</v>
      </c>
      <c r="AV136" s="1807">
        <f>+AW136</f>
        <v>1</v>
      </c>
      <c r="AW136" s="838">
        <v>1</v>
      </c>
      <c r="AX136" s="1805">
        <f>+AY136</f>
        <v>1</v>
      </c>
      <c r="AY136" s="2">
        <f>+AZ136</f>
        <v>1</v>
      </c>
      <c r="AZ136" s="2">
        <f>+BA136</f>
        <v>1</v>
      </c>
      <c r="BA136" s="1807">
        <f>+BB136</f>
        <v>1</v>
      </c>
      <c r="BB136" s="838">
        <v>1</v>
      </c>
      <c r="BC136" s="1805">
        <f>+BD136</f>
        <v>1</v>
      </c>
      <c r="BD136" s="2">
        <f>+BE136</f>
        <v>1</v>
      </c>
      <c r="BE136" s="2">
        <f>+BF136</f>
        <v>1</v>
      </c>
      <c r="BF136" s="1807">
        <f>+BG136</f>
        <v>1</v>
      </c>
      <c r="BG136" s="838">
        <v>1</v>
      </c>
      <c r="BH136" s="1805">
        <f>+BI136</f>
        <v>1</v>
      </c>
      <c r="BI136" s="2">
        <f>+BJ136</f>
        <v>1</v>
      </c>
      <c r="BJ136" s="2">
        <f>+BK136</f>
        <v>1</v>
      </c>
      <c r="BK136" s="1807">
        <f>+BL136</f>
        <v>1</v>
      </c>
      <c r="BL136" s="838">
        <v>1</v>
      </c>
      <c r="BM136" s="1805">
        <f>+BN136</f>
        <v>1</v>
      </c>
      <c r="BN136" s="2">
        <f>+BO136</f>
        <v>1</v>
      </c>
      <c r="BO136" s="2">
        <f>+BP136</f>
        <v>1</v>
      </c>
      <c r="BP136" s="1807">
        <f>+BQ136</f>
        <v>1</v>
      </c>
      <c r="BQ136" s="838">
        <v>1</v>
      </c>
      <c r="BR136" s="1272"/>
      <c r="BS136" s="1272"/>
      <c r="BT136" s="1272"/>
      <c r="BU136" s="1272"/>
      <c r="BV136" s="1272"/>
      <c r="BW136" s="1272"/>
      <c r="BX136" s="1272"/>
      <c r="BY136" s="1272"/>
      <c r="BZ136" s="1272"/>
    </row>
    <row r="137" spans="3:78" s="56" customFormat="1" outlineLevel="1">
      <c r="C137" s="1272"/>
      <c r="D137" s="1272"/>
      <c r="E137" s="1209"/>
      <c r="F137" s="1822"/>
      <c r="G137" s="1822"/>
      <c r="H137" s="1281"/>
      <c r="I137" s="1279"/>
      <c r="J137" s="1209"/>
      <c r="K137" s="1822"/>
      <c r="L137" s="1822"/>
      <c r="M137" s="1281"/>
      <c r="N137" s="1279"/>
      <c r="O137" s="1209"/>
      <c r="P137" s="1822"/>
      <c r="Q137" s="1822"/>
      <c r="R137" s="1281"/>
      <c r="S137"/>
      <c r="T137" s="1209"/>
      <c r="U137" s="1822"/>
      <c r="V137" s="1822"/>
      <c r="W137" s="1281"/>
      <c r="X137"/>
      <c r="Y137" s="1202"/>
      <c r="Z137" s="1204"/>
      <c r="AA137" s="1204"/>
      <c r="AB137" s="1205"/>
      <c r="AC137"/>
      <c r="AD137" s="1202"/>
      <c r="AE137" s="1204"/>
      <c r="AF137" s="1204"/>
      <c r="AG137" s="1205"/>
      <c r="AH137"/>
      <c r="AI137" s="1202"/>
      <c r="AJ137" s="1204"/>
      <c r="AK137" s="1204"/>
      <c r="AL137" s="1205"/>
      <c r="AM137"/>
      <c r="AN137" s="1202"/>
      <c r="AO137" s="1204"/>
      <c r="AP137" s="1204"/>
      <c r="AQ137" s="1205"/>
      <c r="AR137"/>
      <c r="AS137" s="1202"/>
      <c r="AT137" s="1204"/>
      <c r="AU137" s="1204"/>
      <c r="AV137" s="1205"/>
      <c r="AW137"/>
      <c r="AX137" s="1202"/>
      <c r="AY137" s="1204"/>
      <c r="AZ137" s="1204"/>
      <c r="BA137" s="1205"/>
      <c r="BB137"/>
      <c r="BC137" s="1202"/>
      <c r="BD137" s="1204"/>
      <c r="BE137" s="1204"/>
      <c r="BF137" s="1205"/>
      <c r="BG137"/>
      <c r="BH137" s="1202"/>
      <c r="BI137" s="1204"/>
      <c r="BJ137" s="1204"/>
      <c r="BK137" s="1205"/>
      <c r="BL137"/>
      <c r="BM137" s="1202"/>
      <c r="BN137" s="1204"/>
      <c r="BO137" s="1204"/>
      <c r="BP137" s="1205"/>
      <c r="BQ137"/>
      <c r="BR137" s="1272"/>
      <c r="BS137" s="1272"/>
      <c r="BT137" s="1272"/>
      <c r="BU137" s="1272"/>
      <c r="BV137" s="1272"/>
      <c r="BW137" s="1272"/>
      <c r="BX137" s="1272"/>
      <c r="BY137" s="1272"/>
      <c r="BZ137" s="1272"/>
    </row>
    <row r="138" spans="3:78" s="56" customFormat="1" outlineLevel="1">
      <c r="C138" s="1272" t="s">
        <v>1013</v>
      </c>
      <c r="D138" s="1272"/>
      <c r="E138" s="1209"/>
      <c r="F138" s="1822"/>
      <c r="G138" s="1822"/>
      <c r="H138" s="1281"/>
      <c r="I138" s="1279"/>
      <c r="J138" s="1209"/>
      <c r="K138" s="1822"/>
      <c r="L138" s="1822"/>
      <c r="M138" s="1281"/>
      <c r="N138" s="1279"/>
      <c r="O138" s="1209"/>
      <c r="P138" s="1822"/>
      <c r="Q138" s="1822"/>
      <c r="R138" s="1281"/>
      <c r="S138" s="836"/>
      <c r="T138" s="1209"/>
      <c r="U138" s="1822"/>
      <c r="V138" s="1822"/>
      <c r="W138" s="1281"/>
      <c r="X138" s="836">
        <v>189</v>
      </c>
      <c r="Y138" s="1857">
        <f t="shared" ref="Y138:BL138" si="54">+X138</f>
        <v>189</v>
      </c>
      <c r="Z138" s="1858">
        <f t="shared" si="54"/>
        <v>189</v>
      </c>
      <c r="AA138" s="1858">
        <f t="shared" si="54"/>
        <v>189</v>
      </c>
      <c r="AB138" s="1859">
        <f t="shared" si="54"/>
        <v>189</v>
      </c>
      <c r="AC138">
        <f t="shared" si="54"/>
        <v>189</v>
      </c>
      <c r="AD138" s="1857">
        <f t="shared" si="54"/>
        <v>189</v>
      </c>
      <c r="AE138" s="1858">
        <f t="shared" si="54"/>
        <v>189</v>
      </c>
      <c r="AF138" s="1858">
        <f t="shared" si="54"/>
        <v>189</v>
      </c>
      <c r="AG138" s="1859">
        <f t="shared" si="54"/>
        <v>189</v>
      </c>
      <c r="AH138" s="1206">
        <f t="shared" si="54"/>
        <v>189</v>
      </c>
      <c r="AI138" s="1857">
        <f t="shared" si="54"/>
        <v>189</v>
      </c>
      <c r="AJ138" s="1858">
        <f t="shared" si="54"/>
        <v>189</v>
      </c>
      <c r="AK138" s="1858">
        <f t="shared" si="54"/>
        <v>189</v>
      </c>
      <c r="AL138" s="1859">
        <f t="shared" si="54"/>
        <v>189</v>
      </c>
      <c r="AM138" s="1206">
        <f t="shared" si="54"/>
        <v>189</v>
      </c>
      <c r="AN138" s="1857">
        <f t="shared" si="54"/>
        <v>189</v>
      </c>
      <c r="AO138" s="1858">
        <f t="shared" si="54"/>
        <v>189</v>
      </c>
      <c r="AP138" s="1858">
        <f t="shared" si="54"/>
        <v>189</v>
      </c>
      <c r="AQ138" s="1859">
        <f>+AP138</f>
        <v>189</v>
      </c>
      <c r="AR138" s="1206">
        <f>+AQ138</f>
        <v>189</v>
      </c>
      <c r="AS138" s="1857">
        <f t="shared" si="54"/>
        <v>189</v>
      </c>
      <c r="AT138" s="1858">
        <f t="shared" si="54"/>
        <v>189</v>
      </c>
      <c r="AU138" s="1858">
        <f t="shared" si="54"/>
        <v>189</v>
      </c>
      <c r="AV138" s="1859">
        <f t="shared" si="54"/>
        <v>189</v>
      </c>
      <c r="AW138" s="1206">
        <f t="shared" si="54"/>
        <v>189</v>
      </c>
      <c r="AX138" s="1857">
        <f t="shared" si="54"/>
        <v>189</v>
      </c>
      <c r="AY138" s="1858">
        <f t="shared" si="54"/>
        <v>189</v>
      </c>
      <c r="AZ138" s="1858">
        <f t="shared" si="54"/>
        <v>189</v>
      </c>
      <c r="BA138" s="1859">
        <f t="shared" si="54"/>
        <v>189</v>
      </c>
      <c r="BB138" s="1206">
        <f t="shared" si="54"/>
        <v>189</v>
      </c>
      <c r="BC138" s="1857">
        <f t="shared" si="54"/>
        <v>189</v>
      </c>
      <c r="BD138" s="1858">
        <f t="shared" si="54"/>
        <v>189</v>
      </c>
      <c r="BE138" s="1858">
        <f t="shared" si="54"/>
        <v>189</v>
      </c>
      <c r="BF138" s="1859">
        <f t="shared" si="54"/>
        <v>189</v>
      </c>
      <c r="BG138" s="1206">
        <f t="shared" si="54"/>
        <v>189</v>
      </c>
      <c r="BH138" s="1857">
        <f t="shared" si="54"/>
        <v>189</v>
      </c>
      <c r="BI138" s="1858">
        <f t="shared" si="54"/>
        <v>189</v>
      </c>
      <c r="BJ138" s="1858">
        <f t="shared" si="54"/>
        <v>189</v>
      </c>
      <c r="BK138" s="1859">
        <f t="shared" si="54"/>
        <v>189</v>
      </c>
      <c r="BL138" s="1206">
        <f t="shared" si="54"/>
        <v>189</v>
      </c>
      <c r="BM138" s="1857">
        <f>+BL138</f>
        <v>189</v>
      </c>
      <c r="BN138" s="1858">
        <f>+BM138</f>
        <v>189</v>
      </c>
      <c r="BO138" s="1858">
        <f>+BN138</f>
        <v>189</v>
      </c>
      <c r="BP138" s="1859">
        <f>+BO138</f>
        <v>189</v>
      </c>
      <c r="BQ138" s="1206">
        <f>+BP138</f>
        <v>189</v>
      </c>
      <c r="BR138" s="1272"/>
      <c r="BS138" s="1272"/>
      <c r="BT138" s="1272"/>
      <c r="BU138" s="1272"/>
      <c r="BV138" s="1272"/>
      <c r="BW138" s="1272"/>
      <c r="BX138" s="1272"/>
      <c r="BY138" s="1272"/>
      <c r="BZ138" s="1272"/>
    </row>
    <row r="139" spans="3:78" s="56" customFormat="1" outlineLevel="1">
      <c r="C139" s="1272" t="s">
        <v>1014</v>
      </c>
      <c r="D139" s="1272"/>
      <c r="E139" s="1209"/>
      <c r="F139" s="1822"/>
      <c r="G139" s="1822"/>
      <c r="H139" s="1281"/>
      <c r="I139" s="1279"/>
      <c r="J139" s="1209"/>
      <c r="K139" s="1822"/>
      <c r="L139" s="1822"/>
      <c r="M139" s="1281"/>
      <c r="N139" s="1279"/>
      <c r="O139" s="1209"/>
      <c r="P139" s="1822"/>
      <c r="Q139" s="1822"/>
      <c r="R139" s="1281"/>
      <c r="S139"/>
      <c r="T139" s="1209"/>
      <c r="U139" s="1822"/>
      <c r="V139" s="1822"/>
      <c r="W139" s="1281"/>
      <c r="X139">
        <f t="shared" ref="X139:BL139" si="55">X136*X135+(1-X136)*X138</f>
        <v>189</v>
      </c>
      <c r="Y139" s="1857">
        <f t="shared" si="55"/>
        <v>189</v>
      </c>
      <c r="Z139" s="1858">
        <f t="shared" si="55"/>
        <v>189</v>
      </c>
      <c r="AA139" s="1858">
        <f t="shared" si="55"/>
        <v>189</v>
      </c>
      <c r="AB139" s="1859">
        <f t="shared" si="55"/>
        <v>189</v>
      </c>
      <c r="AC139">
        <f t="shared" si="55"/>
        <v>189</v>
      </c>
      <c r="AD139" s="1857">
        <f>AD136*AD135+(1-AD136)*AD138</f>
        <v>189</v>
      </c>
      <c r="AE139" s="1858">
        <f>AE136*AE135+(1-AE136)*AE138</f>
        <v>189</v>
      </c>
      <c r="AF139" s="1858">
        <f>AF136*AF135+(1-AF136)*AF138</f>
        <v>189</v>
      </c>
      <c r="AG139" s="1859">
        <f>AG136*AG135+(1-AG136)*AG138</f>
        <v>189</v>
      </c>
      <c r="AH139" s="1206">
        <f>AH136*AH135+(1-AH136)*AH138</f>
        <v>189</v>
      </c>
      <c r="AI139" s="1857">
        <f t="shared" si="55"/>
        <v>189</v>
      </c>
      <c r="AJ139" s="1858">
        <f t="shared" si="55"/>
        <v>189</v>
      </c>
      <c r="AK139" s="1858">
        <f t="shared" si="55"/>
        <v>136</v>
      </c>
      <c r="AL139" s="1859">
        <f t="shared" si="55"/>
        <v>136</v>
      </c>
      <c r="AM139" s="1206">
        <f t="shared" si="55"/>
        <v>160.41458333333333</v>
      </c>
      <c r="AN139" s="1857">
        <f t="shared" si="55"/>
        <v>136</v>
      </c>
      <c r="AO139" s="1858">
        <f t="shared" si="55"/>
        <v>110.45666666666666</v>
      </c>
      <c r="AP139" s="1858">
        <f t="shared" si="55"/>
        <v>59.37</v>
      </c>
      <c r="AQ139" s="1859">
        <f>AQ136*AQ135+(1-AQ136)*AQ138</f>
        <v>59.37</v>
      </c>
      <c r="AR139" s="1206">
        <f>AR136*AR135+(1-AR136)*AR138</f>
        <v>91.299166666666665</v>
      </c>
      <c r="AS139" s="1857">
        <f t="shared" si="55"/>
        <v>59.37</v>
      </c>
      <c r="AT139" s="1858">
        <f t="shared" si="55"/>
        <v>79.58</v>
      </c>
      <c r="AU139" s="1858">
        <f t="shared" si="55"/>
        <v>120</v>
      </c>
      <c r="AV139" s="1859">
        <f t="shared" si="55"/>
        <v>120</v>
      </c>
      <c r="AW139" s="1206">
        <f t="shared" si="55"/>
        <v>94.737499999999997</v>
      </c>
      <c r="AX139" s="1857">
        <f t="shared" si="55"/>
        <v>120</v>
      </c>
      <c r="AY139" s="1858">
        <f t="shared" si="55"/>
        <v>134.92333333333335</v>
      </c>
      <c r="AZ139" s="1858">
        <f t="shared" si="55"/>
        <v>164.77</v>
      </c>
      <c r="BA139" s="1859">
        <f t="shared" si="55"/>
        <v>164.77</v>
      </c>
      <c r="BB139" s="1206">
        <f t="shared" si="55"/>
        <v>146.11583333333334</v>
      </c>
      <c r="BC139" s="1857">
        <f t="shared" si="55"/>
        <v>164.77</v>
      </c>
      <c r="BD139" s="1858">
        <f t="shared" si="55"/>
        <v>143.18</v>
      </c>
      <c r="BE139" s="1858">
        <f t="shared" si="55"/>
        <v>100</v>
      </c>
      <c r="BF139" s="1859">
        <f t="shared" si="55"/>
        <v>100</v>
      </c>
      <c r="BG139" s="1206">
        <f t="shared" si="55"/>
        <v>126.98750000000001</v>
      </c>
      <c r="BH139" s="1857">
        <f t="shared" si="55"/>
        <v>100</v>
      </c>
      <c r="BI139" s="1858">
        <f t="shared" si="55"/>
        <v>100</v>
      </c>
      <c r="BJ139" s="1858">
        <f t="shared" si="55"/>
        <v>76.53</v>
      </c>
      <c r="BK139" s="1859">
        <f t="shared" si="55"/>
        <v>76.53</v>
      </c>
      <c r="BL139" s="1206">
        <f t="shared" si="55"/>
        <v>88.264999999999986</v>
      </c>
      <c r="BM139" s="1857">
        <f>BM136*BM135+(1-BM136)*BM138</f>
        <v>150</v>
      </c>
      <c r="BN139" s="1858">
        <f>BN136*BN135+(1-BN136)*BN138</f>
        <v>150</v>
      </c>
      <c r="BO139" s="1858">
        <f>BO136*BO135+(1-BO136)*BO138</f>
        <v>150</v>
      </c>
      <c r="BP139" s="1859">
        <f>BP136*BP135+(1-BP136)*BP138</f>
        <v>150</v>
      </c>
      <c r="BQ139" s="1206">
        <f>BQ136*BQ135+(1-BQ136)*BQ138</f>
        <v>150</v>
      </c>
      <c r="BR139" s="1272"/>
      <c r="BS139" s="1272"/>
      <c r="BT139" s="1272"/>
      <c r="BU139" s="1272"/>
      <c r="BV139" s="1272"/>
      <c r="BW139" s="1272"/>
      <c r="BX139" s="1272"/>
      <c r="BY139" s="1272"/>
      <c r="BZ139" s="1272"/>
    </row>
    <row r="140" spans="3:78" s="56" customFormat="1" outlineLevel="1">
      <c r="C140" s="1272"/>
      <c r="D140" s="1272"/>
      <c r="E140" s="1209"/>
      <c r="F140" s="1822"/>
      <c r="G140" s="1822"/>
      <c r="H140" s="1281"/>
      <c r="I140" s="1279"/>
      <c r="J140" s="1209"/>
      <c r="K140" s="1822"/>
      <c r="L140" s="1822"/>
      <c r="M140" s="1281"/>
      <c r="N140" s="1279"/>
      <c r="O140" s="1209"/>
      <c r="P140" s="1822"/>
      <c r="Q140" s="1822"/>
      <c r="R140" s="1281"/>
      <c r="S140" s="1279"/>
      <c r="T140" s="1209"/>
      <c r="U140" s="1822"/>
      <c r="V140" s="1822"/>
      <c r="W140" s="1281"/>
      <c r="X140" s="1279"/>
      <c r="Y140" s="1202"/>
      <c r="Z140" s="1204"/>
      <c r="AA140" s="1204"/>
      <c r="AB140" s="1205"/>
      <c r="AC140" s="1279"/>
      <c r="AD140" s="1202"/>
      <c r="AE140" s="1204"/>
      <c r="AF140" s="1204"/>
      <c r="AG140" s="1205"/>
      <c r="AH140" s="1279"/>
      <c r="AI140" s="1202"/>
      <c r="AJ140" s="1204"/>
      <c r="AK140" s="1204"/>
      <c r="AL140" s="1205"/>
      <c r="AM140" s="1279"/>
      <c r="AN140" s="1202"/>
      <c r="AO140" s="1204"/>
      <c r="AP140" s="1204"/>
      <c r="AQ140" s="1205"/>
      <c r="AR140" s="1279"/>
      <c r="AS140" s="1202"/>
      <c r="AT140" s="1204"/>
      <c r="AU140" s="1204"/>
      <c r="AV140" s="1205"/>
      <c r="AW140" s="1279"/>
      <c r="AX140" s="1202"/>
      <c r="AY140" s="1204"/>
      <c r="AZ140" s="1204"/>
      <c r="BA140" s="1205"/>
      <c r="BB140" s="1279"/>
      <c r="BC140" s="1202"/>
      <c r="BD140" s="1204"/>
      <c r="BE140" s="1204"/>
      <c r="BF140" s="1205"/>
      <c r="BG140" s="1279"/>
      <c r="BH140" s="1202"/>
      <c r="BI140" s="1204"/>
      <c r="BJ140" s="1204"/>
      <c r="BK140" s="1205"/>
      <c r="BL140" s="1279"/>
      <c r="BM140" s="1202"/>
      <c r="BN140" s="1204"/>
      <c r="BO140" s="1204"/>
      <c r="BP140" s="1205"/>
      <c r="BQ140" s="1279"/>
      <c r="BR140" s="1272"/>
      <c r="BS140" s="1272"/>
      <c r="BT140" s="1272"/>
      <c r="BU140" s="1272"/>
      <c r="BV140" s="1272"/>
      <c r="BW140" s="1272"/>
      <c r="BX140" s="1272"/>
      <c r="BY140" s="1272"/>
      <c r="BZ140" s="1272"/>
    </row>
    <row r="141" spans="3:78" s="56" customFormat="1" outlineLevel="1">
      <c r="C141" s="1272" t="s">
        <v>1015</v>
      </c>
      <c r="D141" s="1272"/>
      <c r="E141" s="1209"/>
      <c r="F141" s="1822"/>
      <c r="G141" s="1822"/>
      <c r="H141" s="1281"/>
      <c r="I141" s="1279"/>
      <c r="J141" s="1209"/>
      <c r="K141" s="1822"/>
      <c r="L141" s="1822"/>
      <c r="M141" s="1281"/>
      <c r="N141" s="1279"/>
      <c r="O141" s="1209"/>
      <c r="P141" s="1822"/>
      <c r="Q141" s="1822"/>
      <c r="R141" s="1281"/>
      <c r="S141" s="1279"/>
      <c r="T141" s="1209"/>
      <c r="U141" s="1822"/>
      <c r="V141" s="1822"/>
      <c r="W141" s="1281"/>
      <c r="X141" s="1206"/>
      <c r="Y141" s="1202">
        <f>+Y142*Y92/1000</f>
        <v>29.4175</v>
      </c>
      <c r="Z141" s="1204">
        <f>+Z142*Z92/1000</f>
        <v>26.84</v>
      </c>
      <c r="AA141" s="1204">
        <f>+AA142*AA92/1000</f>
        <v>29.0075</v>
      </c>
      <c r="AB141" s="1205">
        <f>+AB142*AB92/1000</f>
        <v>26.52</v>
      </c>
      <c r="AC141" s="1206">
        <f>SUM(Y141:AB141)</f>
        <v>111.785</v>
      </c>
      <c r="AD141" s="1202">
        <f>+AD142*AD92/1000</f>
        <v>29.5425</v>
      </c>
      <c r="AE141" s="1204">
        <f>+AE142*AE92/1000</f>
        <v>27.2363</v>
      </c>
      <c r="AF141" s="1204">
        <f>+AF142*AF92/1000</f>
        <v>32.700000000000003</v>
      </c>
      <c r="AG141" s="1205">
        <f>+AG142*AG92/1000</f>
        <v>32.292000000000002</v>
      </c>
      <c r="AH141" s="1206">
        <f>SUM(AD141:AG141)</f>
        <v>121.77080000000001</v>
      </c>
      <c r="AI141" s="1202">
        <f>+AI142*AI92/1000</f>
        <v>34.985999999999997</v>
      </c>
      <c r="AJ141" s="1204">
        <f>+AJ142*AJ92/1000</f>
        <v>31.122</v>
      </c>
      <c r="AK141" s="1204">
        <f>+AK142*AK92/1000</f>
        <v>0</v>
      </c>
      <c r="AL141" s="1205">
        <f>+AL142*AL92/1000</f>
        <v>0</v>
      </c>
      <c r="AM141" s="1206">
        <f>SUM(AI141:AL141)</f>
        <v>66.108000000000004</v>
      </c>
      <c r="AN141" s="1202">
        <f>+AN142*AN92/1000</f>
        <v>0</v>
      </c>
      <c r="AO141" s="1204">
        <f>+AO142*AO92/1000</f>
        <v>0</v>
      </c>
      <c r="AP141" s="1204">
        <f>+AP142*AP92/1000</f>
        <v>0</v>
      </c>
      <c r="AQ141" s="1205">
        <f>+AQ142*AQ92/1000</f>
        <v>0</v>
      </c>
      <c r="AR141" s="1206">
        <f>SUM(AN141:AQ141)</f>
        <v>0</v>
      </c>
      <c r="AS141" s="1202">
        <f>+AS142*AS92/1000</f>
        <v>0</v>
      </c>
      <c r="AT141" s="1204">
        <f>+AT142*AT92/1000</f>
        <v>0</v>
      </c>
      <c r="AU141" s="1204">
        <f>+AU142*AU92/1000</f>
        <v>0</v>
      </c>
      <c r="AV141" s="1205">
        <f>+AV142*AV92/1000</f>
        <v>0</v>
      </c>
      <c r="AW141" s="1206">
        <f>SUM(AS141:AV141)</f>
        <v>0</v>
      </c>
      <c r="AX141" s="1202">
        <f>+AX142*AX92/1000</f>
        <v>0</v>
      </c>
      <c r="AY141" s="1204">
        <f>+AY142*AY92/1000</f>
        <v>0</v>
      </c>
      <c r="AZ141" s="1204">
        <f>+AZ142*AZ92/1000</f>
        <v>0</v>
      </c>
      <c r="BA141" s="1205">
        <f>+BA142*BA92/1000</f>
        <v>0</v>
      </c>
      <c r="BB141" s="1206">
        <f>SUM(AX141:BA141)</f>
        <v>0</v>
      </c>
      <c r="BC141" s="1202">
        <f>+BC142*BC92/1000</f>
        <v>0</v>
      </c>
      <c r="BD141" s="1204">
        <f>+BD142*BD92/1000</f>
        <v>0</v>
      </c>
      <c r="BE141" s="1204">
        <f>+BE142*BE92/1000</f>
        <v>0</v>
      </c>
      <c r="BF141" s="1205">
        <f>+BF142*BF92/1000</f>
        <v>0</v>
      </c>
      <c r="BG141" s="1206">
        <f>SUM(BC141:BF141)</f>
        <v>0</v>
      </c>
      <c r="BH141" s="1202">
        <f>+BH142*BH92/1000</f>
        <v>0</v>
      </c>
      <c r="BI141" s="1204">
        <f>+BI142*BI92/1000</f>
        <v>0</v>
      </c>
      <c r="BJ141" s="1204">
        <f>+BJ142*BJ92/1000</f>
        <v>0</v>
      </c>
      <c r="BK141" s="1205">
        <f>+BK142*BK92/1000</f>
        <v>0</v>
      </c>
      <c r="BL141" s="1206">
        <f>SUM(BH141:BK141)</f>
        <v>0</v>
      </c>
      <c r="BM141" s="1202">
        <f>+BM142*BM92/1000</f>
        <v>0</v>
      </c>
      <c r="BN141" s="1204">
        <f>+BN142*BN92/1000</f>
        <v>0</v>
      </c>
      <c r="BO141" s="1204">
        <f>+BO142*BO92/1000</f>
        <v>0</v>
      </c>
      <c r="BP141" s="1205">
        <f>+BP142*BP92/1000</f>
        <v>0</v>
      </c>
      <c r="BQ141" s="1206">
        <f>SUM(BM141:BP141)</f>
        <v>0</v>
      </c>
      <c r="BR141" s="1272"/>
      <c r="BS141" s="1272"/>
      <c r="BT141" s="1272"/>
      <c r="BU141" s="1272"/>
      <c r="BV141" s="1272"/>
      <c r="BW141" s="1272"/>
      <c r="BX141" s="1272"/>
      <c r="BY141" s="1272"/>
      <c r="BZ141" s="1272"/>
    </row>
    <row r="142" spans="3:78" s="56" customFormat="1" outlineLevel="1">
      <c r="C142" s="1272" t="s">
        <v>174</v>
      </c>
      <c r="D142" s="1272"/>
      <c r="E142" s="1209"/>
      <c r="F142" s="1822"/>
      <c r="G142" s="1822"/>
      <c r="H142" s="1281"/>
      <c r="I142" s="1279"/>
      <c r="J142" s="1209"/>
      <c r="K142" s="1822"/>
      <c r="L142" s="1822"/>
      <c r="M142" s="1281"/>
      <c r="N142" s="1279"/>
      <c r="O142" s="1209"/>
      <c r="P142" s="1822"/>
      <c r="Q142" s="1822"/>
      <c r="R142" s="1281"/>
      <c r="S142" s="1279"/>
      <c r="T142" s="1209"/>
      <c r="U142" s="1822"/>
      <c r="V142" s="1822"/>
      <c r="W142" s="1281"/>
      <c r="X142" s="1280"/>
      <c r="Y142" s="1202">
        <v>2.5</v>
      </c>
      <c r="Z142" s="1204">
        <f>+Y142</f>
        <v>2.5</v>
      </c>
      <c r="AA142" s="1204">
        <f>+Z142</f>
        <v>2.5</v>
      </c>
      <c r="AB142" s="1205">
        <f>+AA142</f>
        <v>2.5</v>
      </c>
      <c r="AC142" s="1280">
        <f>+AB142</f>
        <v>2.5</v>
      </c>
      <c r="AD142" s="1202">
        <f>+AC142</f>
        <v>2.5</v>
      </c>
      <c r="AE142" s="1204">
        <f>0.67*AD142+AF142*0.33</f>
        <v>2.665</v>
      </c>
      <c r="AF142" s="1204">
        <v>3</v>
      </c>
      <c r="AG142" s="1205">
        <f>+AF142</f>
        <v>3</v>
      </c>
      <c r="AH142" s="1280">
        <f>+AG142</f>
        <v>3</v>
      </c>
      <c r="AI142" s="1202">
        <f>+AH142</f>
        <v>3</v>
      </c>
      <c r="AJ142" s="1204">
        <f>+AI142</f>
        <v>3</v>
      </c>
      <c r="AK142" s="1204">
        <v>0</v>
      </c>
      <c r="AL142" s="1205">
        <f>AK142</f>
        <v>0</v>
      </c>
      <c r="AM142" s="1280">
        <f>+AL142</f>
        <v>0</v>
      </c>
      <c r="AN142" s="1202">
        <f>+AM142</f>
        <v>0</v>
      </c>
      <c r="AO142" s="1204">
        <f>+AN142</f>
        <v>0</v>
      </c>
      <c r="AP142" s="1204">
        <f>AO142</f>
        <v>0</v>
      </c>
      <c r="AQ142" s="1205">
        <f>AP142</f>
        <v>0</v>
      </c>
      <c r="AR142" s="1280">
        <f>+AQ142</f>
        <v>0</v>
      </c>
      <c r="AS142" s="1202">
        <f>+AR142</f>
        <v>0</v>
      </c>
      <c r="AT142" s="1204">
        <f>+AS142</f>
        <v>0</v>
      </c>
      <c r="AU142" s="1204">
        <f>AT142</f>
        <v>0</v>
      </c>
      <c r="AV142" s="1205">
        <f>AU142</f>
        <v>0</v>
      </c>
      <c r="AW142" s="1280">
        <f>+AV142</f>
        <v>0</v>
      </c>
      <c r="AX142" s="1202">
        <f>+AW142</f>
        <v>0</v>
      </c>
      <c r="AY142" s="1204">
        <f>+AX142</f>
        <v>0</v>
      </c>
      <c r="AZ142" s="1204">
        <f>AY142</f>
        <v>0</v>
      </c>
      <c r="BA142" s="1205">
        <f>AZ142</f>
        <v>0</v>
      </c>
      <c r="BB142" s="1280">
        <f>+BA142</f>
        <v>0</v>
      </c>
      <c r="BC142" s="1202">
        <f>+BB142</f>
        <v>0</v>
      </c>
      <c r="BD142" s="1204">
        <f>+BC142</f>
        <v>0</v>
      </c>
      <c r="BE142" s="1204">
        <f>BD142</f>
        <v>0</v>
      </c>
      <c r="BF142" s="1205">
        <f>BE142</f>
        <v>0</v>
      </c>
      <c r="BG142" s="1280">
        <f>+BF142</f>
        <v>0</v>
      </c>
      <c r="BH142" s="1202">
        <f>+BG142</f>
        <v>0</v>
      </c>
      <c r="BI142" s="1204">
        <f>+BH142</f>
        <v>0</v>
      </c>
      <c r="BJ142" s="1204">
        <f>BI142</f>
        <v>0</v>
      </c>
      <c r="BK142" s="1205">
        <f>BJ142</f>
        <v>0</v>
      </c>
      <c r="BL142" s="1280">
        <f>+BK142</f>
        <v>0</v>
      </c>
      <c r="BM142" s="1202">
        <f>+BL142</f>
        <v>0</v>
      </c>
      <c r="BN142" s="1204">
        <f>+BM142</f>
        <v>0</v>
      </c>
      <c r="BO142" s="1204">
        <f>BN142</f>
        <v>0</v>
      </c>
      <c r="BP142" s="1205">
        <f>BO142</f>
        <v>0</v>
      </c>
      <c r="BQ142" s="1280">
        <f>+BP142</f>
        <v>0</v>
      </c>
      <c r="BR142" s="1272"/>
      <c r="BS142" s="1272"/>
      <c r="BT142" s="1272"/>
      <c r="BU142" s="1272"/>
      <c r="BV142" s="1272"/>
      <c r="BW142" s="1272"/>
      <c r="BX142" s="1272"/>
      <c r="BY142" s="1272"/>
      <c r="BZ142" s="1272"/>
    </row>
    <row r="143" spans="3:78" s="56" customFormat="1" outlineLevel="1">
      <c r="C143" s="1272"/>
      <c r="D143" s="1272"/>
      <c r="E143" s="1209"/>
      <c r="F143" s="1822"/>
      <c r="G143" s="1822"/>
      <c r="H143" s="1281"/>
      <c r="I143" s="1279"/>
      <c r="J143" s="1209"/>
      <c r="K143" s="1822"/>
      <c r="L143" s="1822"/>
      <c r="M143" s="1281"/>
      <c r="N143" s="1279"/>
      <c r="O143" s="1209"/>
      <c r="P143" s="1822"/>
      <c r="Q143" s="1822"/>
      <c r="R143" s="1281"/>
      <c r="S143" s="1279"/>
      <c r="T143" s="1469"/>
      <c r="U143" s="1470"/>
      <c r="V143" s="1470"/>
      <c r="W143" s="1471"/>
      <c r="X143" s="1279"/>
      <c r="Y143" s="1202"/>
      <c r="Z143" s="1204"/>
      <c r="AA143" s="1204"/>
      <c r="AB143" s="1205"/>
      <c r="AC143" s="1279"/>
      <c r="AD143" s="1202"/>
      <c r="AE143" s="1204"/>
      <c r="AF143" s="1204"/>
      <c r="AG143" s="1205"/>
      <c r="AH143" s="1279"/>
      <c r="AI143" s="1202"/>
      <c r="AJ143" s="1204"/>
      <c r="AK143" s="1204"/>
      <c r="AL143" s="1205"/>
      <c r="AM143" s="1279"/>
      <c r="AN143" s="1202"/>
      <c r="AO143" s="1204"/>
      <c r="AP143" s="1204"/>
      <c r="AQ143" s="1205"/>
      <c r="AR143" s="1279"/>
      <c r="AS143" s="1202"/>
      <c r="AT143" s="1204"/>
      <c r="AU143" s="1204"/>
      <c r="AV143" s="1205"/>
      <c r="AW143" s="1279"/>
      <c r="AX143" s="1202"/>
      <c r="AY143" s="1204"/>
      <c r="AZ143" s="1204"/>
      <c r="BA143" s="1205"/>
      <c r="BB143" s="1279"/>
      <c r="BC143" s="1202"/>
      <c r="BD143" s="1204"/>
      <c r="BE143" s="1204"/>
      <c r="BF143" s="1205"/>
      <c r="BG143" s="1279"/>
      <c r="BH143" s="1202"/>
      <c r="BI143" s="1204"/>
      <c r="BJ143" s="1204"/>
      <c r="BK143" s="1205"/>
      <c r="BL143" s="1279"/>
      <c r="BM143" s="1202"/>
      <c r="BN143" s="1204"/>
      <c r="BO143" s="1204"/>
      <c r="BP143" s="1205"/>
      <c r="BQ143" s="1279"/>
      <c r="BR143" s="1272"/>
      <c r="BS143" s="1272"/>
      <c r="BT143" s="1272"/>
      <c r="BU143" s="1272"/>
      <c r="BV143" s="1272"/>
      <c r="BW143" s="1272"/>
      <c r="BX143" s="1272"/>
      <c r="BY143" s="1272"/>
      <c r="BZ143" s="1272"/>
    </row>
    <row r="144" spans="3:78" s="56" customFormat="1" outlineLevel="1">
      <c r="C144" s="1468" t="s">
        <v>1105</v>
      </c>
      <c r="D144" s="1468"/>
      <c r="E144" s="1469"/>
      <c r="F144" s="1470"/>
      <c r="G144" s="1470"/>
      <c r="H144" s="1471"/>
      <c r="I144" s="1472"/>
      <c r="J144" s="1469"/>
      <c r="K144" s="1470"/>
      <c r="L144" s="1470"/>
      <c r="M144" s="1471"/>
      <c r="N144" s="1472"/>
      <c r="O144" s="1469"/>
      <c r="P144" s="1470"/>
      <c r="Q144" s="1470"/>
      <c r="R144" s="1471"/>
      <c r="S144" s="1472"/>
      <c r="T144" s="1469"/>
      <c r="U144" s="1470"/>
      <c r="V144" s="1470"/>
      <c r="W144" s="1471"/>
      <c r="X144" s="1474"/>
      <c r="Y144" s="1202"/>
      <c r="Z144" s="1204"/>
      <c r="AA144" s="1204"/>
      <c r="AB144" s="1205"/>
      <c r="AC144" s="1474"/>
      <c r="AD144" s="1202"/>
      <c r="AE144" s="1204"/>
      <c r="AF144" s="1204"/>
      <c r="AG144" s="1205"/>
      <c r="AH144" s="1474"/>
      <c r="AI144" s="1202"/>
      <c r="AJ144" s="1204"/>
      <c r="AK144" s="1204"/>
      <c r="AL144" s="1205"/>
      <c r="AM144" s="1474"/>
      <c r="AN144" s="1202"/>
      <c r="AO144" s="1204"/>
      <c r="AP144" s="1204"/>
      <c r="AQ144" s="1205"/>
      <c r="AR144" s="1474"/>
      <c r="AS144" s="1202"/>
      <c r="AT144" s="1204"/>
      <c r="AU144" s="1204"/>
      <c r="AV144" s="1205"/>
      <c r="AW144" s="1474"/>
      <c r="AX144" s="1202"/>
      <c r="AY144" s="1204"/>
      <c r="AZ144" s="1204"/>
      <c r="BA144" s="1205"/>
      <c r="BB144" s="1474"/>
      <c r="BC144" s="1202"/>
      <c r="BD144" s="1204"/>
      <c r="BE144" s="1204"/>
      <c r="BF144" s="1205"/>
      <c r="BG144" s="1279"/>
      <c r="BH144" s="1202"/>
      <c r="BI144" s="1204"/>
      <c r="BJ144" s="1204"/>
      <c r="BK144" s="1205"/>
      <c r="BL144" s="1279"/>
      <c r="BM144" s="1202"/>
      <c r="BN144" s="1204"/>
      <c r="BO144" s="1204"/>
      <c r="BP144" s="1205"/>
      <c r="BQ144" s="1279"/>
      <c r="BR144" s="1272"/>
      <c r="BS144" s="1272"/>
      <c r="BT144" s="1272"/>
      <c r="BU144" s="1272"/>
      <c r="BV144" s="1272"/>
      <c r="BW144" s="1272"/>
      <c r="BX144" s="1272"/>
      <c r="BY144" s="1272"/>
      <c r="BZ144" s="1272"/>
    </row>
    <row r="145" spans="1:104" s="56" customFormat="1" outlineLevel="1">
      <c r="C145" s="1856" t="s">
        <v>1106</v>
      </c>
      <c r="D145" s="1468"/>
      <c r="E145" s="1469"/>
      <c r="F145" s="1470"/>
      <c r="G145" s="1470"/>
      <c r="H145" s="1471"/>
      <c r="I145" s="1472"/>
      <c r="J145" s="1469"/>
      <c r="K145" s="1470"/>
      <c r="L145" s="1470"/>
      <c r="M145" s="1471"/>
      <c r="N145" s="1472"/>
      <c r="O145" s="1469"/>
      <c r="P145" s="1470"/>
      <c r="Q145" s="1470"/>
      <c r="R145" s="1471"/>
      <c r="S145" s="1472"/>
      <c r="T145" s="1469"/>
      <c r="U145" s="1470"/>
      <c r="V145" s="1470"/>
      <c r="W145" s="1471"/>
      <c r="X145" s="1484"/>
      <c r="Y145" s="1202">
        <v>0</v>
      </c>
      <c r="Z145" s="1204">
        <v>0</v>
      </c>
      <c r="AA145" s="1204">
        <v>0</v>
      </c>
      <c r="AB145" s="1205">
        <v>0</v>
      </c>
      <c r="AC145" s="1484">
        <f>AVERAGE(Y145:AB145)</f>
        <v>0</v>
      </c>
      <c r="AD145" s="1202">
        <v>0</v>
      </c>
      <c r="AE145" s="1204">
        <v>0</v>
      </c>
      <c r="AF145" s="1204">
        <v>0</v>
      </c>
      <c r="AG145" s="1205">
        <v>0</v>
      </c>
      <c r="AH145" s="1484">
        <f>AVERAGE(AD145:AG145)</f>
        <v>0</v>
      </c>
      <c r="AI145" s="1202">
        <v>0</v>
      </c>
      <c r="AJ145" s="1204">
        <v>0</v>
      </c>
      <c r="AK145" s="1204">
        <v>0</v>
      </c>
      <c r="AL145" s="1205">
        <v>0</v>
      </c>
      <c r="AM145" s="1484">
        <f>AVERAGE(AI145:AL145)</f>
        <v>0</v>
      </c>
      <c r="AN145" s="1202">
        <v>0</v>
      </c>
      <c r="AO145" s="1204">
        <v>7169</v>
      </c>
      <c r="AP145" s="1204">
        <f>AO145</f>
        <v>7169</v>
      </c>
      <c r="AQ145" s="1205">
        <v>0</v>
      </c>
      <c r="AR145" s="1484">
        <f>AVERAGE(AN145:AQ145)</f>
        <v>3584.5</v>
      </c>
      <c r="AS145" s="1202">
        <f>AQ145</f>
        <v>0</v>
      </c>
      <c r="AT145" s="1204">
        <f>2/3*AS145+1/3*AU145</f>
        <v>2165</v>
      </c>
      <c r="AU145" s="1204">
        <v>6495</v>
      </c>
      <c r="AV145" s="1205">
        <f>AU145</f>
        <v>6495</v>
      </c>
      <c r="AW145" s="1484">
        <f>AVERAGE(AS145:AV145)</f>
        <v>3788.75</v>
      </c>
      <c r="AX145" s="1202">
        <f>AV145</f>
        <v>6495</v>
      </c>
      <c r="AY145" s="1204">
        <f>2/3*AX145+1/3*AZ145</f>
        <v>4330</v>
      </c>
      <c r="AZ145" s="1204">
        <v>0</v>
      </c>
      <c r="BA145" s="1205">
        <v>0</v>
      </c>
      <c r="BB145" s="1484">
        <f>AVERAGE(AX145:BA145)</f>
        <v>2706.25</v>
      </c>
      <c r="BC145" s="1202">
        <v>0</v>
      </c>
      <c r="BD145" s="1204">
        <v>0</v>
      </c>
      <c r="BE145" s="1204">
        <v>0</v>
      </c>
      <c r="BF145" s="1205">
        <v>0</v>
      </c>
      <c r="BG145" s="1484">
        <f>AVERAGE(BC145:BF145)</f>
        <v>0</v>
      </c>
      <c r="BH145" s="1202">
        <v>0</v>
      </c>
      <c r="BI145" s="1204">
        <v>0</v>
      </c>
      <c r="BJ145" s="1204">
        <v>0</v>
      </c>
      <c r="BK145" s="1205">
        <v>0</v>
      </c>
      <c r="BL145" s="1484">
        <f>AVERAGE(BH145:BK145)</f>
        <v>0</v>
      </c>
      <c r="BM145" s="1202">
        <v>0</v>
      </c>
      <c r="BN145" s="1204">
        <v>0</v>
      </c>
      <c r="BO145" s="1204">
        <v>0</v>
      </c>
      <c r="BP145" s="1205">
        <v>0</v>
      </c>
      <c r="BQ145" s="1484">
        <f>AVERAGE(BM145:BP145)</f>
        <v>0</v>
      </c>
      <c r="BR145" s="1272"/>
      <c r="BS145" s="1272"/>
      <c r="BT145" s="1272"/>
      <c r="BU145" s="1272"/>
      <c r="BV145" s="1272"/>
      <c r="BW145" s="1272"/>
      <c r="BX145" s="1272"/>
      <c r="BY145" s="1272"/>
      <c r="BZ145" s="1272"/>
    </row>
    <row r="146" spans="1:104" s="56" customFormat="1" outlineLevel="1">
      <c r="C146" s="1856" t="s">
        <v>1107</v>
      </c>
      <c r="D146" s="1468"/>
      <c r="E146" s="1469"/>
      <c r="F146" s="1470"/>
      <c r="G146" s="1470"/>
      <c r="H146" s="1471"/>
      <c r="I146" s="1472"/>
      <c r="J146" s="1469"/>
      <c r="K146" s="1470"/>
      <c r="L146" s="1470"/>
      <c r="M146" s="1471"/>
      <c r="N146" s="1472"/>
      <c r="O146" s="1469"/>
      <c r="P146" s="1470"/>
      <c r="Q146" s="1470"/>
      <c r="R146" s="1471"/>
      <c r="S146" s="1472"/>
      <c r="T146" s="1209"/>
      <c r="U146" s="1822"/>
      <c r="V146" s="1822"/>
      <c r="W146" s="1281"/>
      <c r="X146" s="1481"/>
      <c r="Y146" s="1202">
        <v>0</v>
      </c>
      <c r="Z146" s="1204">
        <v>0</v>
      </c>
      <c r="AA146" s="1204">
        <v>0</v>
      </c>
      <c r="AB146" s="1205">
        <v>0</v>
      </c>
      <c r="AC146" s="1481">
        <f>AVERAGE(Y146:AB146)</f>
        <v>0</v>
      </c>
      <c r="AD146" s="1202">
        <v>0</v>
      </c>
      <c r="AE146" s="1204">
        <v>0</v>
      </c>
      <c r="AF146" s="1204">
        <v>0</v>
      </c>
      <c r="AG146" s="1205">
        <v>0</v>
      </c>
      <c r="AH146" s="1481">
        <f>AVERAGE(AD146:AG146)</f>
        <v>0</v>
      </c>
      <c r="AI146" s="1202">
        <v>0</v>
      </c>
      <c r="AJ146" s="1204">
        <v>0</v>
      </c>
      <c r="AK146" s="1204">
        <v>0</v>
      </c>
      <c r="AL146" s="1205">
        <v>0</v>
      </c>
      <c r="AM146" s="1481">
        <f>AVERAGE(AI146:AL146)</f>
        <v>0</v>
      </c>
      <c r="AN146" s="1202">
        <v>0</v>
      </c>
      <c r="AO146" s="1204">
        <f>134-59.37</f>
        <v>74.63</v>
      </c>
      <c r="AP146" s="1204">
        <f>AO146</f>
        <v>74.63</v>
      </c>
      <c r="AQ146" s="1205">
        <v>0</v>
      </c>
      <c r="AR146" s="1481">
        <f>AVERAGE(AN146:AQ146)</f>
        <v>37.314999999999998</v>
      </c>
      <c r="AS146" s="1202">
        <f>AQ146</f>
        <v>0</v>
      </c>
      <c r="AT146" s="1204">
        <f>2/3*AS146+1/3*AU146</f>
        <v>10.5</v>
      </c>
      <c r="AU146" s="1204">
        <f>151.5-120</f>
        <v>31.5</v>
      </c>
      <c r="AV146" s="1205">
        <f>AU146</f>
        <v>31.5</v>
      </c>
      <c r="AW146" s="1482">
        <f>AVERAGE(AS146:AV146)</f>
        <v>18.375</v>
      </c>
      <c r="AX146" s="1202">
        <f>AV146</f>
        <v>31.5</v>
      </c>
      <c r="AY146" s="1204">
        <f>2/3*AX146+1/3*AZ146</f>
        <v>21</v>
      </c>
      <c r="AZ146" s="1204">
        <v>0</v>
      </c>
      <c r="BA146" s="1205">
        <f>AZ146</f>
        <v>0</v>
      </c>
      <c r="BB146" s="1481">
        <f>AVERAGE(AX146:BA146)</f>
        <v>13.125</v>
      </c>
      <c r="BC146" s="1202">
        <v>0</v>
      </c>
      <c r="BD146" s="1204">
        <v>0</v>
      </c>
      <c r="BE146" s="1204">
        <v>0</v>
      </c>
      <c r="BF146" s="1205">
        <v>0</v>
      </c>
      <c r="BG146" s="1481">
        <f>AVERAGE(BC146:BF146)</f>
        <v>0</v>
      </c>
      <c r="BH146" s="1202">
        <v>0</v>
      </c>
      <c r="BI146" s="1204">
        <v>0</v>
      </c>
      <c r="BJ146" s="1204">
        <v>0</v>
      </c>
      <c r="BK146" s="1205">
        <v>0</v>
      </c>
      <c r="BL146" s="1481">
        <f>AVERAGE(BH146:BK146)</f>
        <v>0</v>
      </c>
      <c r="BM146" s="1202">
        <v>0</v>
      </c>
      <c r="BN146" s="1204">
        <v>0</v>
      </c>
      <c r="BO146" s="1204">
        <v>0</v>
      </c>
      <c r="BP146" s="1205">
        <v>0</v>
      </c>
      <c r="BQ146" s="1481">
        <f>AVERAGE(BM146:BP146)</f>
        <v>0</v>
      </c>
      <c r="BR146" s="1272"/>
      <c r="BS146" s="1272"/>
      <c r="BT146" s="1272"/>
      <c r="BU146" s="1272"/>
      <c r="BV146" s="1272"/>
      <c r="BW146" s="1272"/>
      <c r="BX146" s="1272"/>
      <c r="BY146" s="1272"/>
      <c r="BZ146" s="1272"/>
    </row>
    <row r="147" spans="1:104" s="56" customFormat="1" outlineLevel="1">
      <c r="C147" s="1856" t="s">
        <v>1108</v>
      </c>
      <c r="D147" s="1468"/>
      <c r="E147" s="1469"/>
      <c r="F147" s="1470"/>
      <c r="G147" s="1470"/>
      <c r="H147" s="1471"/>
      <c r="I147" s="1472"/>
      <c r="J147" s="1469"/>
      <c r="K147" s="1470"/>
      <c r="L147" s="1470"/>
      <c r="M147" s="1471"/>
      <c r="N147" s="1472"/>
      <c r="O147" s="1469"/>
      <c r="P147" s="1470"/>
      <c r="Q147" s="1470"/>
      <c r="R147" s="1471"/>
      <c r="S147" s="1472"/>
      <c r="T147" s="1469"/>
      <c r="U147" s="1470"/>
      <c r="V147" s="1470"/>
      <c r="W147" s="1473"/>
      <c r="X147" s="1484"/>
      <c r="Y147" s="1202">
        <f>Y145*Y146*365/1000000/4</f>
        <v>0</v>
      </c>
      <c r="Z147" s="1204">
        <f>Z145*Z146*365/1000000/4</f>
        <v>0</v>
      </c>
      <c r="AA147" s="1204">
        <f>AA145*AA146*365/1000000/4</f>
        <v>0</v>
      </c>
      <c r="AB147" s="1205">
        <f>AB145*AB146*365/1000000/4</f>
        <v>0</v>
      </c>
      <c r="AC147" s="1484">
        <f>SUM(Y147:AB147)</f>
        <v>0</v>
      </c>
      <c r="AD147" s="1202">
        <f>AD145*AD146*365/1000000/4</f>
        <v>0</v>
      </c>
      <c r="AE147" s="1204">
        <f>AE145*AE146*365/1000000/4</f>
        <v>0</v>
      </c>
      <c r="AF147" s="1204">
        <f>AF145*AF146*365/1000000/4</f>
        <v>0</v>
      </c>
      <c r="AG147" s="1205">
        <f>AG145*AG146*365/1000000/4</f>
        <v>0</v>
      </c>
      <c r="AH147" s="1484">
        <f>SUM(AD147:AG147)</f>
        <v>0</v>
      </c>
      <c r="AI147" s="1202">
        <f>AI145*AI146*365/1000000/4</f>
        <v>0</v>
      </c>
      <c r="AJ147" s="1204">
        <f>AJ145*AJ146*365/1000000/4</f>
        <v>0</v>
      </c>
      <c r="AK147" s="1204">
        <f>AK145*AK146*365/1000000/4</f>
        <v>0</v>
      </c>
      <c r="AL147" s="1205">
        <f>AL145*AL146*365/1000000/4</f>
        <v>0</v>
      </c>
      <c r="AM147" s="1484">
        <f>SUM(AI147:AL147)</f>
        <v>0</v>
      </c>
      <c r="AN147" s="1202">
        <f>AN145*AN146*365/1000000/4</f>
        <v>0</v>
      </c>
      <c r="AO147" s="1204">
        <f>AO145*AO146*365/1000000/12</f>
        <v>16.273600129166663</v>
      </c>
      <c r="AP147" s="1204">
        <f>AP145*AP146*365/1000000/4</f>
        <v>48.820800387499993</v>
      </c>
      <c r="AQ147" s="1205">
        <f>AQ145*AQ146*365/1000000/4</f>
        <v>0</v>
      </c>
      <c r="AR147" s="1484">
        <f>SUM(AN147:AQ147)</f>
        <v>65.094400516666653</v>
      </c>
      <c r="AS147" s="1202">
        <f>AS145*AS146*365/1000000/4</f>
        <v>0</v>
      </c>
      <c r="AT147" s="1204">
        <f>2/3*AS147+1/3*AU147</f>
        <v>6.2230218750000006</v>
      </c>
      <c r="AU147" s="1204">
        <f>AU145*AU146*365/1000000/4</f>
        <v>18.669065625000002</v>
      </c>
      <c r="AV147" s="1205">
        <f>AV145*AV146*365/1000000/4</f>
        <v>18.669065625000002</v>
      </c>
      <c r="AW147" s="1484">
        <f>SUM(AS147:AV147)</f>
        <v>43.561153125000004</v>
      </c>
      <c r="AX147" s="1202">
        <f>AX145*AX146*365/1000000/4</f>
        <v>18.669065625000002</v>
      </c>
      <c r="AY147" s="1204">
        <f>2/3*AX147+1/3*AZ147</f>
        <v>12.446043750000001</v>
      </c>
      <c r="AZ147" s="1204">
        <f>AZ145*AZ146*365/1000000/4</f>
        <v>0</v>
      </c>
      <c r="BA147" s="1205">
        <f>BA145*BA146*365/1000000/4</f>
        <v>0</v>
      </c>
      <c r="BB147" s="1484">
        <f>SUM(AX147:BA147)</f>
        <v>31.115109375000003</v>
      </c>
      <c r="BC147" s="1202">
        <f>BC145*BC146*365/1000000/4</f>
        <v>0</v>
      </c>
      <c r="BD147" s="1204">
        <f>BD145*BD146*365/1000000/4</f>
        <v>0</v>
      </c>
      <c r="BE147" s="1204">
        <f>BE145*BE146*365/1000000/4</f>
        <v>0</v>
      </c>
      <c r="BF147" s="1205">
        <f>BF145*BF146*365/1000000/4</f>
        <v>0</v>
      </c>
      <c r="BG147" s="1484">
        <f>SUM(BC147:BF147)</f>
        <v>0</v>
      </c>
      <c r="BH147" s="1202">
        <f>BH145*BH146*365/1000000/4</f>
        <v>0</v>
      </c>
      <c r="BI147" s="1204">
        <f>BI145*BI146*365/1000000/4</f>
        <v>0</v>
      </c>
      <c r="BJ147" s="1204">
        <f>BJ145*BJ146*365/1000000/4</f>
        <v>0</v>
      </c>
      <c r="BK147" s="1205">
        <f>BK145*BK146*365/1000000/4</f>
        <v>0</v>
      </c>
      <c r="BL147" s="1484">
        <f>SUM(BH147:BK147)</f>
        <v>0</v>
      </c>
      <c r="BM147" s="1202">
        <f>BM145*BM146*365/1000000/4</f>
        <v>0</v>
      </c>
      <c r="BN147" s="1204">
        <f>BN145*BN146*365/1000000/4</f>
        <v>0</v>
      </c>
      <c r="BO147" s="1204">
        <f>BO145*BO146*365/1000000/4</f>
        <v>0</v>
      </c>
      <c r="BP147" s="1205">
        <f>BP145*BP146*365/1000000/4</f>
        <v>0</v>
      </c>
      <c r="BQ147" s="1484">
        <f>SUM(BM147:BP147)</f>
        <v>0</v>
      </c>
      <c r="BR147" s="1272"/>
      <c r="BS147" s="1272"/>
      <c r="BT147" s="1272"/>
      <c r="BU147" s="1272"/>
      <c r="BV147" s="1272"/>
      <c r="BW147" s="1272"/>
      <c r="BX147" s="1272"/>
      <c r="BY147" s="1272"/>
      <c r="BZ147" s="1272"/>
    </row>
    <row r="148" spans="1:104" s="56" customFormat="1" outlineLevel="1">
      <c r="C148" s="1272"/>
      <c r="D148" s="1272"/>
      <c r="E148" s="1209"/>
      <c r="F148" s="1822"/>
      <c r="G148" s="1822"/>
      <c r="H148" s="1281"/>
      <c r="I148" s="1279"/>
      <c r="J148" s="1209"/>
      <c r="K148" s="1822"/>
      <c r="L148" s="1822"/>
      <c r="M148" s="1281"/>
      <c r="N148" s="1279"/>
      <c r="O148" s="1209"/>
      <c r="P148" s="1822"/>
      <c r="Q148" s="1822"/>
      <c r="R148" s="1281"/>
      <c r="S148" s="1279"/>
      <c r="T148" s="1209"/>
      <c r="U148" s="1822"/>
      <c r="V148" s="1822"/>
      <c r="W148" s="1281"/>
      <c r="X148" s="1279"/>
      <c r="Y148" s="1209"/>
      <c r="Z148" s="1822"/>
      <c r="AA148" s="1822"/>
      <c r="AB148" s="1281"/>
      <c r="AC148" s="1279"/>
      <c r="AD148" s="1209"/>
      <c r="AE148" s="1822"/>
      <c r="AF148" s="1822"/>
      <c r="AG148" s="1281"/>
      <c r="AH148" s="1279"/>
      <c r="AI148" s="1209"/>
      <c r="AJ148" s="1822"/>
      <c r="AK148" s="1822"/>
      <c r="AL148" s="1281"/>
      <c r="AM148" s="1279"/>
      <c r="AN148" s="1209"/>
      <c r="AO148" s="1822"/>
      <c r="AP148" s="1822"/>
      <c r="AQ148" s="1281"/>
      <c r="AR148" s="1279"/>
      <c r="AS148" s="1209"/>
      <c r="AT148" s="1822"/>
      <c r="AU148" s="1822"/>
      <c r="AV148" s="1281"/>
      <c r="AW148" s="1279"/>
      <c r="AX148" s="1209"/>
      <c r="AY148" s="1822"/>
      <c r="AZ148" s="1822"/>
      <c r="BA148" s="1281"/>
      <c r="BB148" s="1279"/>
      <c r="BC148" s="1209"/>
      <c r="BD148" s="1822"/>
      <c r="BE148" s="1822"/>
      <c r="BF148" s="1281"/>
      <c r="BG148" s="1279"/>
      <c r="BH148" s="1209"/>
      <c r="BI148" s="1822"/>
      <c r="BJ148" s="1822"/>
      <c r="BK148" s="1281"/>
      <c r="BL148" s="1279"/>
      <c r="BM148" s="1209"/>
      <c r="BN148" s="1822"/>
      <c r="BO148" s="1822"/>
      <c r="BP148" s="1281"/>
      <c r="BQ148" s="1279"/>
      <c r="BR148" s="1272"/>
      <c r="BS148" s="1272"/>
      <c r="BT148" s="1272"/>
      <c r="BU148" s="1272"/>
      <c r="BV148" s="1272"/>
      <c r="BW148" s="1272"/>
      <c r="BX148" s="1272"/>
      <c r="BY148" s="1272"/>
      <c r="BZ148" s="1272"/>
    </row>
    <row r="149" spans="1:104" s="56" customFormat="1" outlineLevel="1">
      <c r="C149" s="1272" t="s">
        <v>378</v>
      </c>
      <c r="D149" s="1272"/>
      <c r="E149" s="1209"/>
      <c r="F149" s="1822"/>
      <c r="G149" s="1822"/>
      <c r="H149" s="1281"/>
      <c r="I149" s="1279"/>
      <c r="J149" s="1209"/>
      <c r="K149" s="1822"/>
      <c r="L149" s="1822"/>
      <c r="M149" s="1281"/>
      <c r="N149" s="1279"/>
      <c r="O149" s="1209"/>
      <c r="P149" s="1822"/>
      <c r="Q149" s="1822"/>
      <c r="R149" s="1281"/>
      <c r="S149" s="1279"/>
      <c r="T149" s="1209"/>
      <c r="U149" s="1822"/>
      <c r="V149" s="1822"/>
      <c r="W149" s="1281"/>
      <c r="X149" s="1279"/>
      <c r="Y149" s="1209"/>
      <c r="Z149" s="1822"/>
      <c r="AA149" s="1822"/>
      <c r="AB149" s="1281"/>
      <c r="AC149" s="1279"/>
      <c r="AD149" s="1209"/>
      <c r="AE149" s="1822"/>
      <c r="AF149" s="1822"/>
      <c r="AG149" s="1281"/>
      <c r="AH149" s="1279"/>
      <c r="AI149" s="1209"/>
      <c r="AJ149" s="1822"/>
      <c r="AK149" s="1822"/>
      <c r="AL149" s="1281"/>
      <c r="AM149" s="1279"/>
      <c r="AN149" s="1209"/>
      <c r="AO149" s="1822"/>
      <c r="AP149" s="1822"/>
      <c r="AQ149" s="1281"/>
      <c r="AR149" s="1279"/>
      <c r="AS149" s="1209"/>
      <c r="AT149" s="1822"/>
      <c r="AU149" s="1822"/>
      <c r="AV149" s="1281"/>
      <c r="AW149" s="1279"/>
      <c r="AX149" s="1209"/>
      <c r="AY149" s="1822"/>
      <c r="AZ149" s="1822"/>
      <c r="BA149" s="1281"/>
      <c r="BB149" s="1279"/>
      <c r="BC149" s="1209"/>
      <c r="BD149" s="1822"/>
      <c r="BE149" s="1822"/>
      <c r="BF149" s="1281"/>
      <c r="BG149" s="1279"/>
      <c r="BH149" s="1209"/>
      <c r="BI149" s="1822"/>
      <c r="BJ149" s="1822"/>
      <c r="BK149" s="1281"/>
      <c r="BL149" s="1279"/>
      <c r="BM149" s="1209"/>
      <c r="BN149" s="1822"/>
      <c r="BO149" s="1822"/>
      <c r="BP149" s="1281"/>
      <c r="BQ149" s="1279"/>
      <c r="BR149" s="1272"/>
      <c r="BS149" s="1272"/>
      <c r="BT149" s="1272"/>
      <c r="BU149" s="1272"/>
      <c r="BV149" s="1272"/>
      <c r="BW149" s="1272"/>
      <c r="BX149" s="1272"/>
      <c r="BY149" s="1272"/>
      <c r="BZ149" s="1272"/>
    </row>
    <row r="150" spans="1:104" s="56" customFormat="1" outlineLevel="1">
      <c r="C150" s="1272" t="s">
        <v>375</v>
      </c>
      <c r="D150" s="1272"/>
      <c r="E150" s="1209"/>
      <c r="F150" s="1822"/>
      <c r="G150" s="1822"/>
      <c r="H150" s="1281"/>
      <c r="I150" s="1279"/>
      <c r="J150" s="1209"/>
      <c r="K150" s="1822"/>
      <c r="L150" s="1822"/>
      <c r="M150" s="1281"/>
      <c r="N150" s="1279"/>
      <c r="O150" s="1209"/>
      <c r="P150" s="1822"/>
      <c r="Q150" s="1822"/>
      <c r="R150" s="1281"/>
      <c r="S150" s="1206"/>
      <c r="T150" s="1209"/>
      <c r="U150" s="1822"/>
      <c r="V150" s="1822"/>
      <c r="W150" s="1281"/>
      <c r="X150" s="1206">
        <f>(X106-X131)*X108/1000</f>
        <v>1341.6116636601394</v>
      </c>
      <c r="Y150" s="1209"/>
      <c r="Z150" s="1822"/>
      <c r="AA150" s="1822"/>
      <c r="AB150" s="1281"/>
      <c r="AC150" s="1206">
        <f>(AC106-AC131)*AC108/1000</f>
        <v>2.4891242191400749</v>
      </c>
      <c r="AD150" s="1209"/>
      <c r="AE150" s="1822"/>
      <c r="AF150" s="1822"/>
      <c r="AG150" s="1281"/>
      <c r="AH150" s="1206">
        <f>(AH106-AH131)*AH108/1000</f>
        <v>180.57904446371677</v>
      </c>
      <c r="AI150" s="1209"/>
      <c r="AJ150" s="1822"/>
      <c r="AK150" s="1822"/>
      <c r="AL150" s="1281"/>
      <c r="AM150" s="1206">
        <f>(AM106-AM131)*AM108/1000</f>
        <v>1504.2030656177869</v>
      </c>
      <c r="AN150" s="1209"/>
      <c r="AO150" s="1822"/>
      <c r="AP150" s="1822"/>
      <c r="AQ150" s="1281"/>
      <c r="AR150" s="1206">
        <f>(AR106-AR131)*AR108/1000</f>
        <v>1486.5181070417716</v>
      </c>
      <c r="AS150" s="1209"/>
      <c r="AT150" s="1822"/>
      <c r="AU150" s="1822"/>
      <c r="AV150" s="1281"/>
      <c r="AW150" s="1206">
        <f>(AW106-AW131)*AW108/1000</f>
        <v>945.98427716670426</v>
      </c>
      <c r="AX150" s="1209"/>
      <c r="AY150" s="1822"/>
      <c r="AZ150" s="1822"/>
      <c r="BA150" s="1281"/>
      <c r="BB150" s="1206">
        <f>(BB106-BB131)*BB108/1000</f>
        <v>1014.4196528425999</v>
      </c>
      <c r="BC150" s="1209"/>
      <c r="BD150" s="1822"/>
      <c r="BE150" s="1822"/>
      <c r="BF150" s="1281"/>
      <c r="BG150" s="1206">
        <f>(BG106-BG131)*BG108/1000</f>
        <v>915.87946975811133</v>
      </c>
      <c r="BH150" s="1209"/>
      <c r="BI150" s="1822"/>
      <c r="BJ150" s="1822"/>
      <c r="BK150" s="1281"/>
      <c r="BL150" s="1206">
        <f>(BL106-BL131)*BL108/1000</f>
        <v>899.56478959646927</v>
      </c>
      <c r="BM150" s="1209"/>
      <c r="BN150" s="1822"/>
      <c r="BO150" s="1822"/>
      <c r="BP150" s="1281"/>
      <c r="BQ150" s="1206">
        <f>(BQ106-BQ131)*BQ108/1000</f>
        <v>929.90415095574724</v>
      </c>
      <c r="BR150" s="1272"/>
      <c r="BS150" s="1272"/>
      <c r="BT150" s="1272"/>
      <c r="BU150" s="1272"/>
      <c r="BV150" s="1272"/>
      <c r="BW150" s="1272"/>
      <c r="BX150" s="1272"/>
      <c r="BY150" s="1272"/>
      <c r="BZ150" s="1272"/>
    </row>
    <row r="151" spans="1:104" s="56" customFormat="1" outlineLevel="1">
      <c r="C151" s="1272" t="s">
        <v>376</v>
      </c>
      <c r="D151" s="1272"/>
      <c r="E151" s="1209"/>
      <c r="F151" s="1822"/>
      <c r="G151" s="1822"/>
      <c r="H151" s="1281"/>
      <c r="I151" s="1279"/>
      <c r="J151" s="1209"/>
      <c r="K151" s="1822"/>
      <c r="L151" s="1822"/>
      <c r="M151" s="1281"/>
      <c r="N151" s="1279"/>
      <c r="O151" s="1209"/>
      <c r="P151" s="1822"/>
      <c r="Q151" s="1822"/>
      <c r="R151" s="1281"/>
      <c r="S151" s="1206"/>
      <c r="T151" s="1209"/>
      <c r="U151" s="1822"/>
      <c r="V151" s="1822"/>
      <c r="W151" s="1281"/>
      <c r="X151" s="1206">
        <f>(X168/X165-1)*X159*X166</f>
        <v>-2065</v>
      </c>
      <c r="Y151" s="1209"/>
      <c r="Z151" s="1822"/>
      <c r="AA151" s="1822"/>
      <c r="AB151" s="1281"/>
      <c r="AC151" s="1206">
        <f>(AC168/AC165-1)*AC159*AC166</f>
        <v>431.79231421121261</v>
      </c>
      <c r="AD151" s="1209"/>
      <c r="AE151" s="1822"/>
      <c r="AF151" s="1822"/>
      <c r="AG151" s="1281"/>
      <c r="AH151" s="1206">
        <f>(AH168/AH165-1)*AH159*AH166</f>
        <v>403.82674903846129</v>
      </c>
      <c r="AI151" s="1209"/>
      <c r="AJ151" s="1822"/>
      <c r="AK151" s="1822"/>
      <c r="AL151" s="1281"/>
      <c r="AM151" s="1206">
        <f>(AM168/AM165-1)*AM159*AM166</f>
        <v>-85.512846130172875</v>
      </c>
      <c r="AN151" s="1209"/>
      <c r="AO151" s="1822"/>
      <c r="AP151" s="1822"/>
      <c r="AQ151" s="1281"/>
      <c r="AR151" s="1206">
        <f>(AR168/AR165-1)*AR159*AR166</f>
        <v>-178.00602733692662</v>
      </c>
      <c r="AS151" s="1209"/>
      <c r="AT151" s="1822"/>
      <c r="AU151" s="1822"/>
      <c r="AV151" s="1281"/>
      <c r="AW151" s="1206">
        <f>(AW168/AW165-1)*AW159*AW166</f>
        <v>28.116340848135938</v>
      </c>
      <c r="AX151" s="1209"/>
      <c r="AY151" s="1822"/>
      <c r="AZ151" s="1822"/>
      <c r="BA151" s="1281"/>
      <c r="BB151" s="1206">
        <f>(BB168/BB165-1)*BB159*BB166</f>
        <v>2.3385746886507972</v>
      </c>
      <c r="BC151" s="1209"/>
      <c r="BD151" s="1822"/>
      <c r="BE151" s="1822"/>
      <c r="BF151" s="1281"/>
      <c r="BG151" s="1206">
        <f>(BG168/BG165-1)*BG159*BG166</f>
        <v>-1.5714022019155667</v>
      </c>
      <c r="BH151" s="1209"/>
      <c r="BI151" s="1822"/>
      <c r="BJ151" s="1822"/>
      <c r="BK151" s="1281"/>
      <c r="BL151" s="1206">
        <f>(BL168/BL165-1)*BL159*BL166</f>
        <v>-0.3998122312633362</v>
      </c>
      <c r="BM151" s="1209"/>
      <c r="BN151" s="1822"/>
      <c r="BO151" s="1822"/>
      <c r="BP151" s="1281"/>
      <c r="BQ151" s="1206">
        <f>(BQ168/BQ165-1)*BQ159*BQ166</f>
        <v>-9.6969636022451691E-2</v>
      </c>
      <c r="BR151" s="1272"/>
      <c r="BS151" s="1272"/>
      <c r="BT151" s="1272"/>
      <c r="BU151" s="1272"/>
      <c r="BV151" s="1272"/>
      <c r="BW151" s="1272"/>
      <c r="BX151" s="1272"/>
      <c r="BY151" s="1272"/>
      <c r="BZ151" s="1272"/>
    </row>
    <row r="152" spans="1:104" s="56" customFormat="1" outlineLevel="1">
      <c r="C152" s="1272"/>
      <c r="D152" s="1272"/>
      <c r="E152" s="1209"/>
      <c r="F152" s="1822"/>
      <c r="G152" s="1822"/>
      <c r="H152" s="1281"/>
      <c r="I152" s="1279"/>
      <c r="J152" s="1209"/>
      <c r="K152" s="1822"/>
      <c r="L152" s="1822"/>
      <c r="M152" s="1281"/>
      <c r="N152" s="1279"/>
      <c r="O152" s="1209"/>
      <c r="P152" s="1822"/>
      <c r="Q152" s="1822"/>
      <c r="R152" s="1281"/>
      <c r="S152" s="1279"/>
      <c r="T152" s="1209"/>
      <c r="U152" s="1822"/>
      <c r="V152" s="1822"/>
      <c r="W152" s="1281"/>
      <c r="X152" s="1279"/>
      <c r="Y152" s="1209"/>
      <c r="Z152" s="1822"/>
      <c r="AA152" s="1822"/>
      <c r="AB152" s="1281"/>
      <c r="AC152" s="1279"/>
      <c r="AD152" s="1209"/>
      <c r="AE152" s="1822"/>
      <c r="AF152" s="1822"/>
      <c r="AG152" s="1281"/>
      <c r="AH152" s="1279"/>
      <c r="AI152" s="1209"/>
      <c r="AJ152" s="1822"/>
      <c r="AK152" s="1822"/>
      <c r="AL152" s="1281"/>
      <c r="AM152" s="1279"/>
      <c r="AN152" s="1209"/>
      <c r="AO152" s="1822"/>
      <c r="AP152" s="1822"/>
      <c r="AQ152" s="1281"/>
      <c r="AR152" s="1279"/>
      <c r="AS152" s="1209"/>
      <c r="AT152" s="1822"/>
      <c r="AU152" s="1822"/>
      <c r="AV152" s="1281"/>
      <c r="AW152" s="1279"/>
      <c r="AX152" s="1209"/>
      <c r="AY152" s="1822"/>
      <c r="AZ152" s="1822"/>
      <c r="BA152" s="1281"/>
      <c r="BB152" s="1279"/>
      <c r="BC152" s="1209"/>
      <c r="BD152" s="1822"/>
      <c r="BE152" s="1822"/>
      <c r="BF152" s="1281"/>
      <c r="BG152" s="1279"/>
      <c r="BH152" s="1209"/>
      <c r="BI152" s="1822"/>
      <c r="BJ152" s="1822"/>
      <c r="BK152" s="1281"/>
      <c r="BL152" s="1279"/>
      <c r="BM152" s="1209"/>
      <c r="BN152" s="1822"/>
      <c r="BO152" s="1822"/>
      <c r="BP152" s="1281"/>
      <c r="BQ152" s="1279"/>
      <c r="BR152" s="1272"/>
      <c r="BS152" s="1272"/>
      <c r="BT152" s="1272"/>
      <c r="BU152" s="1272"/>
      <c r="BV152" s="1272"/>
      <c r="BW152" s="1272"/>
      <c r="BX152" s="1272"/>
      <c r="BY152" s="1272"/>
      <c r="BZ152" s="1272"/>
    </row>
    <row r="153" spans="1:104" s="56" customFormat="1" outlineLevel="1">
      <c r="C153" s="1272" t="s">
        <v>294</v>
      </c>
      <c r="D153" s="1272"/>
      <c r="E153" s="1209"/>
      <c r="F153" s="1822"/>
      <c r="G153" s="1822"/>
      <c r="H153" s="1281"/>
      <c r="I153" s="1279"/>
      <c r="J153" s="1209"/>
      <c r="K153" s="1822"/>
      <c r="L153" s="1822"/>
      <c r="M153" s="1281"/>
      <c r="N153" s="1279"/>
      <c r="O153" s="1209"/>
      <c r="P153" s="1822"/>
      <c r="Q153" s="1822"/>
      <c r="R153" s="1281"/>
      <c r="S153" s="1279"/>
      <c r="T153" s="1209"/>
      <c r="U153" s="1822"/>
      <c r="V153" s="1822"/>
      <c r="W153" s="1281"/>
      <c r="X153" s="1279"/>
      <c r="Y153" s="1209"/>
      <c r="Z153" s="1822"/>
      <c r="AA153" s="1822"/>
      <c r="AB153" s="1281"/>
      <c r="AC153" s="1280">
        <f>((AC139-AC135)/AC139*AC132*AC108/1000+AC141)*0.65/AC41</f>
        <v>0.75928303544822928</v>
      </c>
      <c r="AD153" s="1209"/>
      <c r="AE153" s="1822"/>
      <c r="AF153" s="1822"/>
      <c r="AG153" s="1281"/>
      <c r="AH153" s="1280">
        <f>((AH139-AH135)/AH139*AH132*AH108/1000+AH141)*0.65/AH41</f>
        <v>0.48511911612659636</v>
      </c>
      <c r="AI153" s="1209"/>
      <c r="AJ153" s="1822"/>
      <c r="AK153" s="1822"/>
      <c r="AL153" s="1281"/>
      <c r="AM153" s="1280">
        <f>((AM139-AM135)/AM139*AM132*AM108/1000+AM141)*0.65/AM41</f>
        <v>0.15885681779285254</v>
      </c>
      <c r="AN153" s="1209"/>
      <c r="AO153" s="1822"/>
      <c r="AP153" s="1822"/>
      <c r="AQ153" s="1281"/>
      <c r="AR153" s="1280">
        <f>((AR139-AR135)/AR139*AR132*AR108/1000+AR141)*0.65/AR41</f>
        <v>0</v>
      </c>
      <c r="AS153" s="1209"/>
      <c r="AT153" s="1822"/>
      <c r="AU153" s="1822"/>
      <c r="AV153" s="1281"/>
      <c r="AW153" s="1280">
        <f>((AW139-AW135)/AW139*AW132*AW108/1000+AW141)*0.65/AW41</f>
        <v>0</v>
      </c>
      <c r="AX153" s="1209"/>
      <c r="AY153" s="1822"/>
      <c r="AZ153" s="1822"/>
      <c r="BA153" s="1281"/>
      <c r="BB153" s="1280">
        <f>((BB139-BB135)/BB139*BB132*BB108/1000+BB141)*0.65/BB41</f>
        <v>0</v>
      </c>
      <c r="BC153" s="1209"/>
      <c r="BD153" s="1822"/>
      <c r="BE153" s="1822"/>
      <c r="BF153" s="1281"/>
      <c r="BG153" s="1280">
        <f>((BG139-BG135)/BG139*BG132*BG108/1000+BG141)*0.65/BG41</f>
        <v>0</v>
      </c>
      <c r="BH153" s="1209"/>
      <c r="BI153" s="1822"/>
      <c r="BJ153" s="1822"/>
      <c r="BK153" s="1281"/>
      <c r="BL153" s="1280">
        <f>((BL139-BL135)/BL139*BL132*BL108/1000+BL141)*0.65/BL41</f>
        <v>0</v>
      </c>
      <c r="BM153" s="1209"/>
      <c r="BN153" s="1822"/>
      <c r="BO153" s="1822"/>
      <c r="BP153" s="1281"/>
      <c r="BQ153" s="1280">
        <f>((BQ139-BQ135)/BQ139*BQ132*BQ108/1000+BQ141)*0.65/BQ41</f>
        <v>0</v>
      </c>
      <c r="BR153" s="1272"/>
      <c r="BS153" s="1272"/>
      <c r="BT153" s="1272"/>
      <c r="BU153" s="1272"/>
      <c r="BV153" s="1272"/>
      <c r="BW153" s="1272"/>
      <c r="BX153" s="1272"/>
      <c r="BY153" s="1272"/>
      <c r="BZ153" s="1272"/>
    </row>
    <row r="154" spans="1:104" s="56" customFormat="1" outlineLevel="1">
      <c r="C154" s="1272"/>
      <c r="D154" s="1272"/>
      <c r="E154" s="1209"/>
      <c r="F154" s="1822"/>
      <c r="G154" s="1822"/>
      <c r="H154" s="1281"/>
      <c r="I154" s="1279"/>
      <c r="J154" s="1209"/>
      <c r="K154" s="1822"/>
      <c r="L154" s="1822"/>
      <c r="M154" s="1281"/>
      <c r="N154" s="1279"/>
      <c r="O154" s="1209"/>
      <c r="P154" s="1822"/>
      <c r="Q154" s="1822"/>
      <c r="R154" s="1281"/>
      <c r="S154" s="1279"/>
      <c r="T154" s="1209"/>
      <c r="U154" s="1822"/>
      <c r="V154" s="1822"/>
      <c r="W154" s="1281"/>
      <c r="X154" s="1279"/>
      <c r="Y154" s="1209"/>
      <c r="Z154" s="1822"/>
      <c r="AA154" s="1822"/>
      <c r="AB154" s="1281"/>
      <c r="AC154" s="1279"/>
      <c r="AD154" s="1209"/>
      <c r="AE154" s="1822"/>
      <c r="AF154" s="1822"/>
      <c r="AG154" s="1281"/>
      <c r="AH154" s="1279"/>
      <c r="AI154" s="1209"/>
      <c r="AJ154" s="1822"/>
      <c r="AK154" s="1822"/>
      <c r="AL154" s="1281"/>
      <c r="AM154" s="1272"/>
      <c r="AN154" s="1209"/>
      <c r="AO154" s="1822"/>
      <c r="AP154" s="1822"/>
      <c r="AQ154" s="1281"/>
      <c r="AR154" s="1272"/>
      <c r="AS154" s="1209"/>
      <c r="AT154" s="1822"/>
      <c r="AU154" s="1822"/>
      <c r="AV154" s="1281"/>
      <c r="AW154" s="1279"/>
      <c r="AX154" s="1209"/>
      <c r="AY154" s="1822"/>
      <c r="AZ154" s="1822"/>
      <c r="BA154" s="1281"/>
      <c r="BB154" s="1279"/>
      <c r="BC154" s="1209"/>
      <c r="BD154" s="1822"/>
      <c r="BE154" s="1822"/>
      <c r="BF154" s="1281"/>
      <c r="BG154" s="1279"/>
      <c r="BH154" s="1209"/>
      <c r="BI154" s="1822"/>
      <c r="BJ154" s="1822"/>
      <c r="BK154" s="1281"/>
      <c r="BL154" s="1279"/>
      <c r="BM154" s="1209"/>
      <c r="BN154" s="1822"/>
      <c r="BO154" s="1822"/>
      <c r="BP154" s="1281"/>
      <c r="BQ154" s="1279"/>
      <c r="BR154" s="1272"/>
      <c r="BS154" s="1272"/>
      <c r="BT154" s="1272"/>
      <c r="BU154" s="1272"/>
      <c r="BV154" s="1272"/>
      <c r="BW154" s="1272"/>
      <c r="BX154" s="1272"/>
      <c r="BY154" s="1272"/>
      <c r="BZ154" s="1272"/>
    </row>
    <row r="155" spans="1:104" s="56" customFormat="1" outlineLevel="1">
      <c r="C155" s="1272"/>
      <c r="D155" s="1272"/>
      <c r="E155" s="1209"/>
      <c r="F155" s="1822"/>
      <c r="G155" s="1822"/>
      <c r="H155" s="1281"/>
      <c r="I155" s="1279"/>
      <c r="J155" s="1209"/>
      <c r="K155" s="1822"/>
      <c r="L155" s="1822"/>
      <c r="M155" s="1281"/>
      <c r="N155" s="1279"/>
      <c r="O155" s="1209"/>
      <c r="P155" s="1822"/>
      <c r="Q155" s="1822"/>
      <c r="R155" s="1281"/>
      <c r="S155" s="1279"/>
      <c r="T155" s="1209"/>
      <c r="U155" s="1822"/>
      <c r="V155" s="1822"/>
      <c r="W155" s="1281"/>
      <c r="X155" s="1279"/>
      <c r="Y155" s="1209"/>
      <c r="Z155" s="1822"/>
      <c r="AA155" s="1822"/>
      <c r="AB155" s="1281"/>
      <c r="AC155" s="1279"/>
      <c r="AD155" s="1209"/>
      <c r="AE155" s="1822"/>
      <c r="AF155" s="1822"/>
      <c r="AG155" s="1281"/>
      <c r="AH155" s="1279"/>
      <c r="AI155" s="1209"/>
      <c r="AJ155" s="1822"/>
      <c r="AK155" s="1822"/>
      <c r="AL155" s="1281"/>
      <c r="AM155" s="1272"/>
      <c r="AN155" s="1209"/>
      <c r="AO155" s="1822"/>
      <c r="AP155" s="1822"/>
      <c r="AQ155" s="1281"/>
      <c r="AR155" s="1272"/>
      <c r="AS155" s="1209"/>
      <c r="AT155" s="1822"/>
      <c r="AU155" s="1822"/>
      <c r="AV155" s="1281"/>
      <c r="AW155" s="1279"/>
      <c r="AX155" s="1209"/>
      <c r="AY155" s="1822"/>
      <c r="AZ155" s="1822"/>
      <c r="BA155" s="1281"/>
      <c r="BB155" s="1279"/>
      <c r="BC155" s="1209"/>
      <c r="BD155" s="1822"/>
      <c r="BE155" s="1822"/>
      <c r="BF155" s="1281"/>
      <c r="BG155" s="1279"/>
      <c r="BH155" s="1209"/>
      <c r="BI155" s="1822"/>
      <c r="BJ155" s="1822"/>
      <c r="BK155" s="1281"/>
      <c r="BL155" s="1279"/>
      <c r="BM155" s="1209"/>
      <c r="BN155" s="1822"/>
      <c r="BO155" s="1822"/>
      <c r="BP155" s="1281"/>
      <c r="BQ155" s="1279"/>
      <c r="BR155" s="1272"/>
      <c r="BS155" s="1272"/>
      <c r="BT155" s="1272"/>
      <c r="BU155" s="1272"/>
      <c r="BV155" s="1272"/>
      <c r="BW155" s="1272"/>
      <c r="BX155" s="1272"/>
      <c r="BY155" s="1272"/>
      <c r="BZ155" s="1272"/>
    </row>
    <row r="156" spans="1:104" s="1240" customFormat="1" outlineLevel="1">
      <c r="B156" s="46" t="s">
        <v>963</v>
      </c>
      <c r="C156" s="94"/>
      <c r="D156"/>
      <c r="E156" s="1209"/>
      <c r="F156" s="1822"/>
      <c r="G156" s="1822"/>
      <c r="H156" s="1281"/>
      <c r="I156" s="1279"/>
      <c r="J156" s="1209"/>
      <c r="K156" s="1822"/>
      <c r="L156" s="1822"/>
      <c r="M156" s="1281"/>
      <c r="N156" s="1279"/>
      <c r="O156" s="1209"/>
      <c r="P156" s="1822"/>
      <c r="Q156" s="1822"/>
      <c r="R156" s="1281"/>
      <c r="S156" s="1279"/>
      <c r="T156" s="1209"/>
      <c r="U156" s="1822"/>
      <c r="V156" s="1822"/>
      <c r="W156" s="1281"/>
      <c r="X156" s="1279"/>
      <c r="Y156" s="1209"/>
      <c r="Z156" s="1822"/>
      <c r="AA156" s="1822"/>
      <c r="AB156" s="1281"/>
      <c r="AC156" s="1279"/>
      <c r="AD156" s="1209"/>
      <c r="AE156" s="1822"/>
      <c r="AF156" s="1822"/>
      <c r="AG156" s="1281"/>
      <c r="AH156" s="1206"/>
      <c r="AI156" s="1209"/>
      <c r="AJ156" s="1822"/>
      <c r="AK156" s="1822"/>
      <c r="AL156" s="1281"/>
      <c r="AM156" s="1279"/>
      <c r="AN156" s="1209"/>
      <c r="AO156" s="1822"/>
      <c r="AP156" s="1822"/>
      <c r="AQ156" s="1281"/>
      <c r="AR156" s="1279"/>
      <c r="AS156" s="1209"/>
      <c r="AT156" s="1822"/>
      <c r="AU156" s="1822"/>
      <c r="AV156" s="1281"/>
      <c r="AW156" s="1279"/>
      <c r="AX156" s="1209"/>
      <c r="AY156" s="1822"/>
      <c r="AZ156" s="1822"/>
      <c r="BA156" s="1281"/>
      <c r="BB156" s="1279"/>
      <c r="BC156" s="1209"/>
      <c r="BD156" s="1822"/>
      <c r="BE156" s="1822"/>
      <c r="BF156" s="1281"/>
      <c r="BG156" s="1279"/>
      <c r="BH156" s="1209"/>
      <c r="BI156" s="1822"/>
      <c r="BJ156" s="1822"/>
      <c r="BK156" s="1281"/>
      <c r="BL156" s="1279"/>
      <c r="BM156" s="1209"/>
      <c r="BN156" s="1822"/>
      <c r="BO156" s="1822"/>
      <c r="BP156" s="1281"/>
      <c r="BQ156" s="1279"/>
      <c r="BR156" s="1116"/>
      <c r="BS156" s="1116"/>
      <c r="BT156" s="1116"/>
      <c r="BU156" s="1116"/>
      <c r="BV156" s="1116"/>
      <c r="BW156" s="1116"/>
      <c r="BX156" s="1116"/>
      <c r="BY156" s="1116"/>
      <c r="BZ156" s="1116"/>
    </row>
    <row r="157" spans="1:104" s="56" customFormat="1" outlineLevel="1">
      <c r="A157" s="111"/>
      <c r="B157" s="111"/>
      <c r="C157" s="1272" t="s">
        <v>384</v>
      </c>
      <c r="D157" s="1206"/>
      <c r="E157" s="1202"/>
      <c r="F157" s="1204"/>
      <c r="G157" s="1204"/>
      <c r="H157" s="1205"/>
      <c r="I157" s="1206"/>
      <c r="J157" s="1202"/>
      <c r="K157" s="1204"/>
      <c r="L157" s="1204"/>
      <c r="M157" s="1205"/>
      <c r="N157" s="1206"/>
      <c r="O157" s="1202"/>
      <c r="P157" s="1204"/>
      <c r="Q157" s="1204"/>
      <c r="R157" s="1205"/>
      <c r="S157" s="1206"/>
      <c r="T157" s="1202"/>
      <c r="U157" s="1204"/>
      <c r="V157" s="1204"/>
      <c r="W157" s="1205"/>
      <c r="X157" s="1206">
        <f>+X159</f>
        <v>2065</v>
      </c>
      <c r="Y157" s="1202">
        <f>+Y159</f>
        <v>568</v>
      </c>
      <c r="Z157" s="1204">
        <f t="shared" ref="Z157:BL157" si="56">+Z159</f>
        <v>548</v>
      </c>
      <c r="AA157" s="1204">
        <f t="shared" si="56"/>
        <v>648</v>
      </c>
      <c r="AB157" s="1205">
        <f t="shared" si="56"/>
        <v>541</v>
      </c>
      <c r="AC157" s="1206">
        <f t="shared" si="56"/>
        <v>2305</v>
      </c>
      <c r="AD157" s="1202">
        <f t="shared" si="56"/>
        <v>805</v>
      </c>
      <c r="AE157" s="1204">
        <f t="shared" si="56"/>
        <v>560</v>
      </c>
      <c r="AF157" s="1204">
        <f t="shared" si="56"/>
        <v>529</v>
      </c>
      <c r="AG157" s="1205">
        <f t="shared" si="56"/>
        <v>542</v>
      </c>
      <c r="AH157" s="1206">
        <f t="shared" si="56"/>
        <v>2436</v>
      </c>
      <c r="AI157" s="1202">
        <f t="shared" si="56"/>
        <v>716</v>
      </c>
      <c r="AJ157" s="1204">
        <f t="shared" si="56"/>
        <v>491</v>
      </c>
      <c r="AK157" s="1204">
        <f>+AK159</f>
        <v>564</v>
      </c>
      <c r="AL157" s="1205">
        <f>+AL159</f>
        <v>393.80000000000018</v>
      </c>
      <c r="AM157" s="1206">
        <f>+AM159</f>
        <v>2164.8000000000002</v>
      </c>
      <c r="AN157" s="1202">
        <f t="shared" si="56"/>
        <v>458</v>
      </c>
      <c r="AO157" s="1204">
        <f t="shared" si="56"/>
        <v>458</v>
      </c>
      <c r="AP157" s="1204">
        <f t="shared" si="56"/>
        <v>458</v>
      </c>
      <c r="AQ157" s="1205">
        <f>+AQ159</f>
        <v>458</v>
      </c>
      <c r="AR157" s="1206">
        <f>+AR159</f>
        <v>1832</v>
      </c>
      <c r="AS157" s="1202">
        <f t="shared" si="56"/>
        <v>269.04485350588681</v>
      </c>
      <c r="AT157" s="1204">
        <f t="shared" si="56"/>
        <v>269.04485350588681</v>
      </c>
      <c r="AU157" s="1204">
        <f t="shared" si="56"/>
        <v>269.04485350588681</v>
      </c>
      <c r="AV157" s="1205">
        <f t="shared" si="56"/>
        <v>269.04485350588681</v>
      </c>
      <c r="AW157" s="1206">
        <f t="shared" si="56"/>
        <v>1076.1794140235472</v>
      </c>
      <c r="AX157" s="1202">
        <f t="shared" si="56"/>
        <v>282.65064662621222</v>
      </c>
      <c r="AY157" s="1204">
        <f t="shared" si="56"/>
        <v>282.65064662621222</v>
      </c>
      <c r="AZ157" s="1204">
        <f t="shared" si="56"/>
        <v>282.65064662621222</v>
      </c>
      <c r="BA157" s="1205">
        <f t="shared" si="56"/>
        <v>282.65064662621222</v>
      </c>
      <c r="BB157" s="1206">
        <f t="shared" si="56"/>
        <v>1130.6025865048489</v>
      </c>
      <c r="BC157" s="1202">
        <f t="shared" si="56"/>
        <v>255.89516862333383</v>
      </c>
      <c r="BD157" s="1204">
        <f t="shared" si="56"/>
        <v>255.89516862333383</v>
      </c>
      <c r="BE157" s="1204">
        <f t="shared" si="56"/>
        <v>255.89516862333383</v>
      </c>
      <c r="BF157" s="1205">
        <f t="shared" si="56"/>
        <v>255.89516862333383</v>
      </c>
      <c r="BG157" s="1206">
        <f t="shared" si="56"/>
        <v>1023.5806744933353</v>
      </c>
      <c r="BH157" s="1202">
        <f t="shared" si="56"/>
        <v>258.72854274656447</v>
      </c>
      <c r="BI157" s="1204">
        <f t="shared" si="56"/>
        <v>258.72854274656447</v>
      </c>
      <c r="BJ157" s="1204">
        <f t="shared" si="56"/>
        <v>258.72854274656447</v>
      </c>
      <c r="BK157" s="1205">
        <f t="shared" si="56"/>
        <v>258.72854274656447</v>
      </c>
      <c r="BL157" s="1206">
        <f t="shared" si="56"/>
        <v>1034.9141709862579</v>
      </c>
      <c r="BM157" s="1202">
        <f>+BM159</f>
        <v>250.18068036660679</v>
      </c>
      <c r="BN157" s="1204">
        <f>+BN159</f>
        <v>250.18068036660679</v>
      </c>
      <c r="BO157" s="1204">
        <f>+BO159</f>
        <v>250.18068036660679</v>
      </c>
      <c r="BP157" s="1205">
        <f>+BP159</f>
        <v>250.18068036660679</v>
      </c>
      <c r="BQ157" s="1206">
        <f>+BQ159</f>
        <v>1000.7227214664272</v>
      </c>
      <c r="BR157"/>
      <c r="BS157"/>
      <c r="BT157"/>
      <c r="BU157"/>
      <c r="BV157"/>
      <c r="BW157"/>
      <c r="BX157"/>
      <c r="BY157"/>
      <c r="BZ157"/>
      <c r="CA157" s="111"/>
      <c r="CB157" s="111"/>
      <c r="CC157" s="111"/>
      <c r="CD157" s="111"/>
      <c r="CE157" s="111"/>
      <c r="CF157" s="111"/>
      <c r="CG157" s="111"/>
      <c r="CH157" s="111"/>
      <c r="CI157" s="111"/>
      <c r="CJ157" s="111"/>
      <c r="CK157" s="111"/>
      <c r="CL157" s="111"/>
      <c r="CM157" s="111"/>
      <c r="CN157" s="111"/>
      <c r="CO157" s="111"/>
      <c r="CP157" s="111"/>
      <c r="CQ157" s="111"/>
      <c r="CR157" s="111"/>
      <c r="CS157" s="111"/>
      <c r="CT157" s="111"/>
      <c r="CU157" s="111"/>
      <c r="CV157" s="111"/>
      <c r="CW157" s="111"/>
      <c r="CX157" s="111"/>
      <c r="CY157" s="111"/>
      <c r="CZ157" s="111"/>
    </row>
    <row r="158" spans="1:104" s="56" customFormat="1" outlineLevel="1">
      <c r="A158" s="111"/>
      <c r="B158" s="111"/>
      <c r="C158" s="1272"/>
      <c r="D158" s="1206"/>
      <c r="E158" s="1202"/>
      <c r="F158" s="1204"/>
      <c r="G158" s="1204"/>
      <c r="H158" s="1205"/>
      <c r="I158" s="1206"/>
      <c r="J158" s="1202"/>
      <c r="K158" s="1204"/>
      <c r="L158" s="1204"/>
      <c r="M158" s="1205"/>
      <c r="N158" s="1206"/>
      <c r="O158" s="1202"/>
      <c r="P158" s="1204"/>
      <c r="Q158" s="1204"/>
      <c r="R158" s="1205"/>
      <c r="S158" s="1206"/>
      <c r="T158" s="1202"/>
      <c r="U158" s="1204"/>
      <c r="V158" s="1204"/>
      <c r="W158" s="1205"/>
      <c r="X158" s="1206"/>
      <c r="Y158" s="1202"/>
      <c r="Z158" s="1204"/>
      <c r="AA158" s="1204"/>
      <c r="AB158" s="1205"/>
      <c r="AC158" s="1206"/>
      <c r="AD158" s="1202"/>
      <c r="AE158" s="1204"/>
      <c r="AF158" s="1204"/>
      <c r="AG158" s="1205"/>
      <c r="AH158" s="1206"/>
      <c r="AI158" s="1202"/>
      <c r="AJ158" s="1204"/>
      <c r="AK158" s="1204"/>
      <c r="AL158" s="1205"/>
      <c r="AM158" s="1206"/>
      <c r="AN158" s="1202"/>
      <c r="AO158" s="1204"/>
      <c r="AP158" s="1204"/>
      <c r="AQ158" s="1205"/>
      <c r="AR158" s="1206"/>
      <c r="AS158" s="1202"/>
      <c r="AT158" s="1204"/>
      <c r="AU158" s="1204"/>
      <c r="AV158" s="1205"/>
      <c r="AW158" s="1206"/>
      <c r="AX158" s="1202"/>
      <c r="AY158" s="1204"/>
      <c r="AZ158" s="1204"/>
      <c r="BA158" s="1205"/>
      <c r="BB158" s="1206"/>
      <c r="BC158" s="1202"/>
      <c r="BD158" s="1204"/>
      <c r="BE158" s="1204"/>
      <c r="BF158" s="1205"/>
      <c r="BG158" s="1206"/>
      <c r="BH158" s="1202"/>
      <c r="BI158" s="1204"/>
      <c r="BJ158" s="1204"/>
      <c r="BK158" s="1205"/>
      <c r="BL158" s="1206"/>
      <c r="BM158" s="1202"/>
      <c r="BN158" s="1204"/>
      <c r="BO158" s="1204"/>
      <c r="BP158" s="1205"/>
      <c r="BQ158" s="1206"/>
      <c r="BR158"/>
      <c r="BS158"/>
      <c r="BT158"/>
      <c r="BU158"/>
      <c r="BV158"/>
      <c r="BW158"/>
      <c r="BX158"/>
      <c r="BY158"/>
      <c r="BZ158"/>
      <c r="CA158" s="111"/>
      <c r="CB158" s="111"/>
      <c r="CC158" s="111"/>
      <c r="CD158" s="111"/>
      <c r="CE158" s="111"/>
      <c r="CF158" s="111"/>
      <c r="CG158" s="111"/>
      <c r="CH158" s="111"/>
      <c r="CI158" s="111"/>
      <c r="CJ158" s="111"/>
      <c r="CK158" s="111"/>
      <c r="CL158" s="111"/>
      <c r="CM158" s="111"/>
      <c r="CN158" s="111"/>
      <c r="CO158" s="111"/>
      <c r="CP158" s="111"/>
      <c r="CQ158" s="111"/>
      <c r="CR158" s="111"/>
      <c r="CS158" s="111"/>
      <c r="CT158" s="111"/>
      <c r="CU158" s="111"/>
      <c r="CV158" s="111"/>
      <c r="CW158" s="111"/>
      <c r="CX158" s="111"/>
      <c r="CY158" s="111"/>
      <c r="CZ158" s="111"/>
    </row>
    <row r="159" spans="1:104" s="56" customFormat="1" outlineLevel="1">
      <c r="A159" s="111"/>
      <c r="B159" s="111"/>
      <c r="C159" s="1272" t="s">
        <v>959</v>
      </c>
      <c r="D159" s="1206"/>
      <c r="E159" s="1202"/>
      <c r="F159" s="1204"/>
      <c r="G159" s="1204"/>
      <c r="H159" s="1205"/>
      <c r="I159" s="1206"/>
      <c r="J159" s="1202"/>
      <c r="K159" s="1204"/>
      <c r="L159" s="1204"/>
      <c r="M159" s="1205"/>
      <c r="N159" s="1206"/>
      <c r="O159" s="1202"/>
      <c r="P159" s="1204"/>
      <c r="Q159" s="1204"/>
      <c r="R159" s="1205"/>
      <c r="S159" s="1206"/>
      <c r="T159" s="1202"/>
      <c r="U159" s="1204"/>
      <c r="V159" s="1204"/>
      <c r="W159" s="1205"/>
      <c r="X159" s="1382">
        <f>X9</f>
        <v>2065</v>
      </c>
      <c r="Y159" s="1485">
        <f>Y9</f>
        <v>568</v>
      </c>
      <c r="Z159" s="1486">
        <f>Z9</f>
        <v>548</v>
      </c>
      <c r="AA159" s="1486">
        <f>AA9</f>
        <v>648</v>
      </c>
      <c r="AB159" s="1487">
        <f>AB9</f>
        <v>541</v>
      </c>
      <c r="AC159" s="1382">
        <f>SUM(Y159:AB159)</f>
        <v>2305</v>
      </c>
      <c r="AD159" s="1485">
        <f>AD9</f>
        <v>805</v>
      </c>
      <c r="AE159" s="1486">
        <f>AE9</f>
        <v>560</v>
      </c>
      <c r="AF159" s="1486">
        <f>AF9</f>
        <v>529</v>
      </c>
      <c r="AG159" s="1487">
        <f>AG9</f>
        <v>542</v>
      </c>
      <c r="AH159" s="1382">
        <f>SUM(AD159:AG159)</f>
        <v>2436</v>
      </c>
      <c r="AI159" s="1485">
        <f>AI9</f>
        <v>716</v>
      </c>
      <c r="AJ159" s="1486">
        <f>AJ9</f>
        <v>491</v>
      </c>
      <c r="AK159" s="1486">
        <f>AK9</f>
        <v>564</v>
      </c>
      <c r="AL159" s="1487">
        <f>AL9</f>
        <v>393.80000000000018</v>
      </c>
      <c r="AM159" s="1382">
        <f>SUM(AI159:AL159)</f>
        <v>2164.8000000000002</v>
      </c>
      <c r="AN159" s="1485">
        <f>AN160*AN108/1000</f>
        <v>458</v>
      </c>
      <c r="AO159" s="1486">
        <f>AO160*AO108/1000</f>
        <v>458</v>
      </c>
      <c r="AP159" s="1486">
        <f>AP160*AP108/1000</f>
        <v>458</v>
      </c>
      <c r="AQ159" s="1487">
        <f>AQ9</f>
        <v>458</v>
      </c>
      <c r="AR159" s="1382">
        <f>SUM(AN159:AQ159)</f>
        <v>1832</v>
      </c>
      <c r="AS159" s="1485">
        <f>AS160*AS108/1000</f>
        <v>269.04485350588681</v>
      </c>
      <c r="AT159" s="1486">
        <f>AT160*AT108/1000</f>
        <v>269.04485350588681</v>
      </c>
      <c r="AU159" s="1486">
        <f>AU160*AU108/1000</f>
        <v>269.04485350588681</v>
      </c>
      <c r="AV159" s="1487">
        <f>AV160*AV108/1000</f>
        <v>269.04485350588681</v>
      </c>
      <c r="AW159" s="1382">
        <f>SUM(AS159:AV159)</f>
        <v>1076.1794140235472</v>
      </c>
      <c r="AX159" s="1485">
        <f>AX160*AX108/1000</f>
        <v>282.65064662621222</v>
      </c>
      <c r="AY159" s="1486">
        <f>AY160*AY108/1000</f>
        <v>282.65064662621222</v>
      </c>
      <c r="AZ159" s="1486">
        <f>AZ160*AZ108/1000</f>
        <v>282.65064662621222</v>
      </c>
      <c r="BA159" s="1487">
        <f>BA160*BA108/1000</f>
        <v>282.65064662621222</v>
      </c>
      <c r="BB159" s="1382">
        <f>SUM(AX159:BA159)</f>
        <v>1130.6025865048489</v>
      </c>
      <c r="BC159" s="1485">
        <f>BC160*BC108/1000</f>
        <v>255.89516862333383</v>
      </c>
      <c r="BD159" s="1486">
        <f>BD160*BD108/1000</f>
        <v>255.89516862333383</v>
      </c>
      <c r="BE159" s="1486">
        <f>BE160*BE108/1000</f>
        <v>255.89516862333383</v>
      </c>
      <c r="BF159" s="1487">
        <f>BF160*BF108/1000</f>
        <v>255.89516862333383</v>
      </c>
      <c r="BG159" s="1382">
        <f>SUM(BC159:BF159)</f>
        <v>1023.5806744933353</v>
      </c>
      <c r="BH159" s="1485">
        <f>BH160*BH108/1000</f>
        <v>258.72854274656447</v>
      </c>
      <c r="BI159" s="1486">
        <f>BI160*BI108/1000</f>
        <v>258.72854274656447</v>
      </c>
      <c r="BJ159" s="1486">
        <f>BJ160*BJ108/1000</f>
        <v>258.72854274656447</v>
      </c>
      <c r="BK159" s="1487">
        <f>BK160*BK108/1000</f>
        <v>258.72854274656447</v>
      </c>
      <c r="BL159" s="1382">
        <f>SUM(BH159:BK159)</f>
        <v>1034.9141709862579</v>
      </c>
      <c r="BM159" s="1485">
        <f>BM160*BM108/1000</f>
        <v>250.18068036660679</v>
      </c>
      <c r="BN159" s="1486">
        <f>BN160*BN108/1000</f>
        <v>250.18068036660679</v>
      </c>
      <c r="BO159" s="1486">
        <f>BO160*BO108/1000</f>
        <v>250.18068036660679</v>
      </c>
      <c r="BP159" s="1487">
        <f>BP160*BP108/1000</f>
        <v>250.18068036660679</v>
      </c>
      <c r="BQ159" s="1382">
        <f>SUM(BM159:BP159)</f>
        <v>1000.7227214664272</v>
      </c>
      <c r="BR159"/>
      <c r="BS159"/>
      <c r="BT159"/>
      <c r="BU159"/>
      <c r="BV159"/>
      <c r="BW159"/>
      <c r="BX159"/>
      <c r="BY159"/>
      <c r="BZ159"/>
      <c r="CA159" s="111"/>
      <c r="CB159" s="111"/>
      <c r="CC159" s="111"/>
      <c r="CD159" s="111"/>
      <c r="CE159" s="111"/>
      <c r="CF159" s="111"/>
      <c r="CG159" s="111"/>
      <c r="CH159" s="111"/>
      <c r="CI159" s="111"/>
      <c r="CJ159" s="111"/>
      <c r="CK159" s="111"/>
      <c r="CL159" s="111"/>
      <c r="CM159" s="111"/>
      <c r="CN159" s="111"/>
      <c r="CO159" s="111"/>
      <c r="CP159" s="111"/>
      <c r="CQ159" s="111"/>
      <c r="CR159" s="111"/>
      <c r="CS159" s="111"/>
      <c r="CT159" s="111"/>
      <c r="CU159" s="111"/>
      <c r="CV159" s="111"/>
      <c r="CW159" s="111"/>
      <c r="CX159" s="111"/>
      <c r="CY159" s="111"/>
      <c r="CZ159" s="111"/>
    </row>
    <row r="160" spans="1:104" s="56" customFormat="1" outlineLevel="1">
      <c r="C160" s="1272" t="s">
        <v>575</v>
      </c>
      <c r="D160" s="1272"/>
      <c r="E160" s="1202"/>
      <c r="F160" s="1204"/>
      <c r="G160" s="1204"/>
      <c r="H160" s="1205"/>
      <c r="I160" s="1280"/>
      <c r="J160" s="1202"/>
      <c r="K160" s="1204"/>
      <c r="L160" s="1204"/>
      <c r="M160" s="1205"/>
      <c r="N160" s="1280"/>
      <c r="O160" s="1202"/>
      <c r="P160" s="1204"/>
      <c r="Q160" s="1204"/>
      <c r="R160" s="1205"/>
      <c r="S160" s="1280"/>
      <c r="T160" s="1271"/>
      <c r="U160" s="1287"/>
      <c r="V160" s="1287"/>
      <c r="W160" s="1205"/>
      <c r="X160" s="1582">
        <f t="shared" ref="X160:AJ160" si="57">X159/X108*1000</f>
        <v>38.974686045220302</v>
      </c>
      <c r="Y160" s="1583">
        <f t="shared" si="57"/>
        <v>38.72587375508332</v>
      </c>
      <c r="Z160" s="1584">
        <f t="shared" si="57"/>
        <v>37.362286651031091</v>
      </c>
      <c r="AA160" s="1584">
        <f t="shared" si="57"/>
        <v>44.180222171292243</v>
      </c>
      <c r="AB160" s="1585">
        <f t="shared" si="57"/>
        <v>36.885031164612812</v>
      </c>
      <c r="AC160" s="1582">
        <f t="shared" si="57"/>
        <v>39.288353435504867</v>
      </c>
      <c r="AD160" s="1583">
        <f t="shared" si="57"/>
        <v>65.123514430501132</v>
      </c>
      <c r="AE160" s="1584">
        <f t="shared" si="57"/>
        <v>45.303314386435567</v>
      </c>
      <c r="AF160" s="1584">
        <f t="shared" si="57"/>
        <v>42.795452340043603</v>
      </c>
      <c r="AG160" s="1585">
        <f t="shared" si="57"/>
        <v>43.84713642401443</v>
      </c>
      <c r="AH160" s="1582">
        <f t="shared" si="57"/>
        <v>49.267354395248688</v>
      </c>
      <c r="AI160" s="1583">
        <f t="shared" si="57"/>
        <v>58.455639717253327</v>
      </c>
      <c r="AJ160" s="1584">
        <f t="shared" si="57"/>
        <v>40.08619986197121</v>
      </c>
      <c r="AK160" s="1584">
        <f>AK159/AK108*1000</f>
        <v>46.046062570573852</v>
      </c>
      <c r="AL160" s="1585">
        <f>AL159/AL108*1000</f>
        <v>34.283248319496202</v>
      </c>
      <c r="AM160" s="1582">
        <f>AM159/AM108*1000</f>
        <v>44.184625998571939</v>
      </c>
      <c r="AN160" s="1583">
        <f>+AO160</f>
        <v>39.872340605203796</v>
      </c>
      <c r="AO160" s="1584">
        <f>+AP160</f>
        <v>39.872340605203796</v>
      </c>
      <c r="AP160" s="1584">
        <f>+AQ160</f>
        <v>39.872340605203796</v>
      </c>
      <c r="AQ160" s="1585">
        <f>AQ159/AQ108*1000</f>
        <v>39.872340605203796</v>
      </c>
      <c r="AR160" s="1582">
        <f>AR159/AR108*1000</f>
        <v>39.872340605203796</v>
      </c>
      <c r="AS160" s="1583">
        <f>+AT160</f>
        <v>23.484388148269396</v>
      </c>
      <c r="AT160" s="1584">
        <f>+AU160</f>
        <v>23.484388148269396</v>
      </c>
      <c r="AU160" s="1584">
        <f>+AV160</f>
        <v>23.484388148269396</v>
      </c>
      <c r="AV160" s="1585">
        <f>+AW160</f>
        <v>23.484388148269396</v>
      </c>
      <c r="AW160" s="1582">
        <f>(((AW165*AW166)+((AW168*(1-AW166))))/24*10)*AW188/AW192+(AW190/AW192)*AW197/1000*(AW58+AW52)</f>
        <v>23.484388148269396</v>
      </c>
      <c r="AX160" s="1583">
        <f>+AY160</f>
        <v>23.691724358897851</v>
      </c>
      <c r="AY160" s="1584">
        <f>+AZ160</f>
        <v>23.691724358897851</v>
      </c>
      <c r="AZ160" s="1584">
        <f>+BA160</f>
        <v>23.691724358897851</v>
      </c>
      <c r="BA160" s="1585">
        <f>+BB160</f>
        <v>23.691724358897851</v>
      </c>
      <c r="BB160" s="1582">
        <f>(((BB165*BB166)+((BB168*(1-BB166))))/24*10)*BB188/BB192+(BB190/BB192)*BB197/1000*(BB58+BB52)</f>
        <v>23.691724358897851</v>
      </c>
      <c r="BC160" s="1583">
        <f>+BD160</f>
        <v>21.449085194611694</v>
      </c>
      <c r="BD160" s="1584">
        <f>+BE160</f>
        <v>21.449085194611694</v>
      </c>
      <c r="BE160" s="1584">
        <f>+BF160</f>
        <v>21.449085194611694</v>
      </c>
      <c r="BF160" s="1585">
        <f>+BG160</f>
        <v>21.449085194611694</v>
      </c>
      <c r="BG160" s="1582">
        <f>(((BG165*BG166)+((BG168*(1-BG166))))/24*10)*BG188/BG192+(BG190/BG192)*BG197/1000*(BG58+BG52)</f>
        <v>21.449085194611694</v>
      </c>
      <c r="BH160" s="1583">
        <f>+BI160</f>
        <v>21.686578083923873</v>
      </c>
      <c r="BI160" s="1584">
        <f>+BJ160</f>
        <v>21.686578083923873</v>
      </c>
      <c r="BJ160" s="1584">
        <f>+BK160</f>
        <v>21.686578083923873</v>
      </c>
      <c r="BK160" s="1585">
        <f>+BL160</f>
        <v>21.686578083923873</v>
      </c>
      <c r="BL160" s="1582">
        <f>(((BL165*BL166)+((BL168*(1-BL166))))/24*10)*BL188/BL192+(BL190/BL192)*BL197/1000*(BL58+BL52)</f>
        <v>21.686578083923873</v>
      </c>
      <c r="BM160" s="1583">
        <f>+BN160</f>
        <v>20.970097857251822</v>
      </c>
      <c r="BN160" s="1584">
        <f>+BO160</f>
        <v>20.970097857251822</v>
      </c>
      <c r="BO160" s="1584">
        <f>+BP160</f>
        <v>20.970097857251822</v>
      </c>
      <c r="BP160" s="1585">
        <f>+BQ160</f>
        <v>20.970097857251822</v>
      </c>
      <c r="BQ160" s="1582">
        <f>(((BQ165*BQ166)+((BQ168*(1-BQ166))))/24*10)*BQ188/BQ192+(BQ190/BQ192)*BQ197/1000*(BQ58+BQ52)</f>
        <v>20.970097857251822</v>
      </c>
      <c r="BR160" s="1272"/>
      <c r="BS160" s="1272"/>
      <c r="BT160" s="1272"/>
      <c r="BU160" s="1272"/>
      <c r="BV160" s="1272"/>
      <c r="BW160" s="1272"/>
      <c r="BX160" s="1272"/>
      <c r="BY160" s="1272"/>
      <c r="BZ160" s="1272"/>
    </row>
    <row r="161" spans="2:78" s="1240" customFormat="1" outlineLevel="1">
      <c r="C161" s="1272" t="s">
        <v>965</v>
      </c>
      <c r="D161" s="1116"/>
      <c r="E161" s="1202"/>
      <c r="F161" s="1204"/>
      <c r="G161" s="1204"/>
      <c r="H161" s="1205"/>
      <c r="I161"/>
      <c r="J161" s="1202"/>
      <c r="K161" s="1204"/>
      <c r="L161" s="1204"/>
      <c r="M161" s="1205"/>
      <c r="N161" s="1283"/>
      <c r="O161" s="1202"/>
      <c r="P161" s="1204"/>
      <c r="Q161" s="1204"/>
      <c r="R161" s="1205"/>
      <c r="S161" s="1283"/>
      <c r="T161" s="1223"/>
      <c r="U161" s="2"/>
      <c r="V161" s="2"/>
      <c r="W161" s="3"/>
      <c r="X161" s="1586"/>
      <c r="Y161" s="1587"/>
      <c r="Z161" s="1588"/>
      <c r="AA161" s="1588"/>
      <c r="AB161" s="1589"/>
      <c r="AC161" s="1586">
        <f>+AC160/X160-1</f>
        <v>8.0479773440800262E-3</v>
      </c>
      <c r="AD161" s="1587"/>
      <c r="AE161" s="1588"/>
      <c r="AF161" s="1588"/>
      <c r="AG161" s="1589"/>
      <c r="AH161" s="1586">
        <f>+AH160/AC160-1</f>
        <v>0.25399387062950329</v>
      </c>
      <c r="AI161" s="1587"/>
      <c r="AJ161" s="1588"/>
      <c r="AK161" s="1588"/>
      <c r="AL161" s="1589"/>
      <c r="AM161" s="1586">
        <f>+AM160/AH160-1</f>
        <v>-0.10316625398434065</v>
      </c>
      <c r="AN161" s="1587"/>
      <c r="AO161" s="1588"/>
      <c r="AP161" s="1588"/>
      <c r="AQ161" s="1589"/>
      <c r="AR161" s="1586">
        <f>+AR160/AM160-1</f>
        <v>-9.7596964915070639E-2</v>
      </c>
      <c r="AS161" s="1587"/>
      <c r="AT161" s="1588"/>
      <c r="AU161" s="1588"/>
      <c r="AV161" s="1589"/>
      <c r="AW161" s="1586">
        <f>+AW160/AR160-1</f>
        <v>-0.41101054536024872</v>
      </c>
      <c r="AX161" s="1587"/>
      <c r="AY161" s="1588"/>
      <c r="AZ161" s="1588"/>
      <c r="BA161" s="1589"/>
      <c r="BB161" s="1586">
        <f>+BB160/AW160-1</f>
        <v>8.8286826686492237E-3</v>
      </c>
      <c r="BC161" s="1587"/>
      <c r="BD161" s="1588"/>
      <c r="BE161" s="1588"/>
      <c r="BF161" s="1589"/>
      <c r="BG161" s="1586">
        <f>+BG160/BB160-1</f>
        <v>-9.4659178467264793E-2</v>
      </c>
      <c r="BH161" s="1587"/>
      <c r="BI161" s="1588"/>
      <c r="BJ161" s="1588"/>
      <c r="BK161" s="1589"/>
      <c r="BL161" s="1586">
        <f>+BL160/BG160-1</f>
        <v>1.1072401790442887E-2</v>
      </c>
      <c r="BM161" s="1587"/>
      <c r="BN161" s="1588"/>
      <c r="BO161" s="1588"/>
      <c r="BP161" s="1589"/>
      <c r="BQ161" s="1586">
        <f>+BQ160/BL160-1</f>
        <v>-3.3037956652237965E-2</v>
      </c>
      <c r="BR161" s="1116"/>
      <c r="BS161" s="1280"/>
      <c r="BT161" s="1116"/>
      <c r="BU161" s="1116"/>
      <c r="BV161" s="1116"/>
      <c r="BW161" s="1116"/>
      <c r="BX161" s="1116"/>
      <c r="BY161" s="1116"/>
      <c r="BZ161" s="1116"/>
    </row>
    <row r="162" spans="2:78" s="1240" customFormat="1" outlineLevel="1">
      <c r="C162" s="1272"/>
      <c r="D162" s="1116"/>
      <c r="E162" s="1202"/>
      <c r="F162" s="1204"/>
      <c r="G162" s="1204"/>
      <c r="H162" s="1205"/>
      <c r="I162"/>
      <c r="J162" s="1202"/>
      <c r="K162" s="1204"/>
      <c r="L162" s="1204"/>
      <c r="M162" s="1205"/>
      <c r="N162" s="1283"/>
      <c r="O162" s="1202"/>
      <c r="P162" s="1204"/>
      <c r="Q162" s="1204"/>
      <c r="R162" s="1205"/>
      <c r="S162" s="1283"/>
      <c r="T162" s="1223"/>
      <c r="U162" s="2"/>
      <c r="V162" s="2"/>
      <c r="W162" s="3"/>
      <c r="X162" s="1586"/>
      <c r="Y162" s="1587"/>
      <c r="Z162" s="1588"/>
      <c r="AA162" s="1588"/>
      <c r="AB162" s="1589"/>
      <c r="AC162" s="1586"/>
      <c r="AD162" s="1587"/>
      <c r="AE162" s="1588"/>
      <c r="AF162" s="1588"/>
      <c r="AG162" s="1589"/>
      <c r="AH162" s="1586"/>
      <c r="AI162" s="1587"/>
      <c r="AJ162" s="1588"/>
      <c r="AK162" s="1588"/>
      <c r="AL162" s="1589"/>
      <c r="AM162" s="1586"/>
      <c r="AN162" s="1587"/>
      <c r="AO162" s="1588"/>
      <c r="AP162" s="1588"/>
      <c r="AQ162" s="1589"/>
      <c r="AR162" s="1586"/>
      <c r="AS162" s="1587"/>
      <c r="AT162" s="1588"/>
      <c r="AU162" s="1588"/>
      <c r="AV162" s="1589"/>
      <c r="AW162" s="1586"/>
      <c r="AX162" s="1587"/>
      <c r="AY162" s="1588"/>
      <c r="AZ162" s="1588"/>
      <c r="BA162" s="1589"/>
      <c r="BB162" s="1586"/>
      <c r="BC162" s="1587"/>
      <c r="BD162" s="1588"/>
      <c r="BE162" s="1588"/>
      <c r="BF162" s="1589"/>
      <c r="BG162" s="1586"/>
      <c r="BH162" s="1587"/>
      <c r="BI162" s="1588"/>
      <c r="BJ162" s="1588"/>
      <c r="BK162" s="1589"/>
      <c r="BL162" s="1586"/>
      <c r="BM162" s="1587"/>
      <c r="BN162" s="1588"/>
      <c r="BO162" s="1588"/>
      <c r="BP162" s="1589"/>
      <c r="BQ162" s="1586"/>
      <c r="BR162" s="1116"/>
      <c r="BS162" s="1280"/>
      <c r="BT162" s="1116"/>
      <c r="BU162" s="1116"/>
      <c r="BV162" s="1116"/>
      <c r="BW162" s="1116"/>
      <c r="BX162" s="1116"/>
      <c r="BY162" s="1116"/>
      <c r="BZ162" s="1116"/>
    </row>
    <row r="163" spans="2:78" s="56" customFormat="1" outlineLevel="1">
      <c r="C163" s="1272" t="s">
        <v>966</v>
      </c>
      <c r="D163" s="1272"/>
      <c r="E163" s="1202"/>
      <c r="F163" s="1204"/>
      <c r="G163" s="1204"/>
      <c r="H163" s="1205"/>
      <c r="I163" s="64"/>
      <c r="J163" s="1202"/>
      <c r="K163" s="1204"/>
      <c r="L163" s="1204"/>
      <c r="M163" s="1205"/>
      <c r="N163" s="64"/>
      <c r="O163" s="1202"/>
      <c r="P163" s="1204"/>
      <c r="Q163" s="1204"/>
      <c r="R163" s="1205"/>
      <c r="S163" s="1206"/>
      <c r="T163" s="1202"/>
      <c r="U163" s="1204"/>
      <c r="V163" s="1204"/>
      <c r="W163" s="1205"/>
      <c r="X163" s="64">
        <v>23641</v>
      </c>
      <c r="Y163" s="1202">
        <f>AC163/4</f>
        <v>5910.25</v>
      </c>
      <c r="Z163" s="1204">
        <f>AC163/4</f>
        <v>5910.25</v>
      </c>
      <c r="AA163" s="1204">
        <f>AC163/4</f>
        <v>5910.25</v>
      </c>
      <c r="AB163" s="1205">
        <f>AC163/4</f>
        <v>5910.25</v>
      </c>
      <c r="AC163" s="1206">
        <f>X163</f>
        <v>23641</v>
      </c>
      <c r="AD163" s="1202">
        <f>AH163/4</f>
        <v>5910.25</v>
      </c>
      <c r="AE163" s="1204">
        <f>AH163/4</f>
        <v>5910.25</v>
      </c>
      <c r="AF163" s="1204">
        <f>AH163/4</f>
        <v>5910.25</v>
      </c>
      <c r="AG163" s="1205">
        <f>AH163/4</f>
        <v>5910.25</v>
      </c>
      <c r="AH163" s="1206">
        <f>AC163</f>
        <v>23641</v>
      </c>
      <c r="AI163" s="1202">
        <f>AM163/4</f>
        <v>5910.25</v>
      </c>
      <c r="AJ163" s="1204">
        <f>AM163/4</f>
        <v>5910.25</v>
      </c>
      <c r="AK163" s="1204">
        <f>AM163/4</f>
        <v>5910.25</v>
      </c>
      <c r="AL163" s="1205">
        <f>AM163/4</f>
        <v>5910.25</v>
      </c>
      <c r="AM163" s="1206">
        <f>AH163</f>
        <v>23641</v>
      </c>
      <c r="AN163" s="1202">
        <v>0</v>
      </c>
      <c r="AO163" s="1204">
        <f>+AN163</f>
        <v>0</v>
      </c>
      <c r="AP163" s="1204">
        <f>+AO163</f>
        <v>0</v>
      </c>
      <c r="AQ163" s="1205">
        <f>AR163/4</f>
        <v>5910.25</v>
      </c>
      <c r="AR163" s="1206">
        <f>AM163</f>
        <v>23641</v>
      </c>
      <c r="AS163" s="1202">
        <f>+AQ163</f>
        <v>5910.25</v>
      </c>
      <c r="AT163" s="1204">
        <f>+AS163</f>
        <v>5910.25</v>
      </c>
      <c r="AU163" s="1204">
        <f>+AT163</f>
        <v>5910.25</v>
      </c>
      <c r="AV163" s="1205">
        <f>AU163</f>
        <v>5910.25</v>
      </c>
      <c r="AW163" s="1206">
        <f>SUM(AS163:AV163)</f>
        <v>23641</v>
      </c>
      <c r="AX163" s="1202">
        <f>+AV163</f>
        <v>5910.25</v>
      </c>
      <c r="AY163" s="1204">
        <f>+AX163</f>
        <v>5910.25</v>
      </c>
      <c r="AZ163" s="1204">
        <f>+AY163</f>
        <v>5910.25</v>
      </c>
      <c r="BA163" s="1205">
        <f>AZ163</f>
        <v>5910.25</v>
      </c>
      <c r="BB163" s="1206">
        <f>SUM(AX163:BA163)</f>
        <v>23641</v>
      </c>
      <c r="BC163" s="1202">
        <f>+BA163</f>
        <v>5910.25</v>
      </c>
      <c r="BD163" s="1204">
        <f>+BC163</f>
        <v>5910.25</v>
      </c>
      <c r="BE163" s="1204">
        <f>+BD163</f>
        <v>5910.25</v>
      </c>
      <c r="BF163" s="1205">
        <f>BE163</f>
        <v>5910.25</v>
      </c>
      <c r="BG163" s="1206">
        <f>SUM(BC163:BF163)</f>
        <v>23641</v>
      </c>
      <c r="BH163" s="1202">
        <f>+BF163</f>
        <v>5910.25</v>
      </c>
      <c r="BI163" s="1204">
        <f>+BH163</f>
        <v>5910.25</v>
      </c>
      <c r="BJ163" s="1204">
        <f>+BI163</f>
        <v>5910.25</v>
      </c>
      <c r="BK163" s="1205">
        <f>BJ163</f>
        <v>5910.25</v>
      </c>
      <c r="BL163" s="1206">
        <f>SUM(BH163:BK163)</f>
        <v>23641</v>
      </c>
      <c r="BM163" s="1202">
        <f>+BK163</f>
        <v>5910.25</v>
      </c>
      <c r="BN163" s="1204">
        <f>+BM163</f>
        <v>5910.25</v>
      </c>
      <c r="BO163" s="1204">
        <f>+BN163</f>
        <v>5910.25</v>
      </c>
      <c r="BP163" s="1205">
        <f>BO163</f>
        <v>5910.25</v>
      </c>
      <c r="BQ163" s="1206">
        <f>SUM(BM163:BP163)</f>
        <v>23641</v>
      </c>
      <c r="BR163" s="1272"/>
      <c r="BS163" s="1272"/>
      <c r="BT163" s="1272"/>
      <c r="BU163" s="1272"/>
      <c r="BV163" s="1272"/>
      <c r="BW163" s="1272"/>
      <c r="BX163" s="1272"/>
      <c r="BY163" s="1272"/>
      <c r="BZ163" s="1272"/>
    </row>
    <row r="164" spans="2:78" s="1240" customFormat="1" outlineLevel="1">
      <c r="C164" s="1272"/>
      <c r="D164" s="1116"/>
      <c r="E164" s="1202"/>
      <c r="F164" s="1204"/>
      <c r="G164" s="1204"/>
      <c r="H164" s="1205"/>
      <c r="I164" s="1279"/>
      <c r="J164" s="1202"/>
      <c r="K164" s="1204"/>
      <c r="L164" s="1204"/>
      <c r="M164" s="1205"/>
      <c r="N164" s="1279"/>
      <c r="O164" s="1202"/>
      <c r="P164" s="1204"/>
      <c r="Q164" s="1204"/>
      <c r="R164" s="1205"/>
      <c r="S164" s="1279"/>
      <c r="T164" s="1209"/>
      <c r="U164" s="1822"/>
      <c r="V164" s="1822"/>
      <c r="W164" s="1281"/>
      <c r="X164" s="1279"/>
      <c r="Y164" s="1209"/>
      <c r="Z164" s="1822"/>
      <c r="AA164" s="1822"/>
      <c r="AB164" s="1281"/>
      <c r="AC164" s="1279"/>
      <c r="AD164" s="1209"/>
      <c r="AE164" s="1822"/>
      <c r="AF164" s="1822"/>
      <c r="AG164" s="1281"/>
      <c r="AH164" s="1279"/>
      <c r="AI164" s="1209"/>
      <c r="AJ164" s="1822"/>
      <c r="AK164" s="1822"/>
      <c r="AL164" s="1281"/>
      <c r="AM164" s="1279"/>
      <c r="AN164" s="1209"/>
      <c r="AO164" s="1822"/>
      <c r="AP164" s="1822"/>
      <c r="AQ164" s="1281"/>
      <c r="AR164" s="1279"/>
      <c r="AS164" s="1209"/>
      <c r="AT164" s="1822"/>
      <c r="AU164" s="1822"/>
      <c r="AV164" s="1281"/>
      <c r="AW164" s="1279"/>
      <c r="AX164" s="1209"/>
      <c r="AY164" s="1822"/>
      <c r="AZ164" s="1822"/>
      <c r="BA164" s="1281"/>
      <c r="BB164" s="1279"/>
      <c r="BC164" s="1209"/>
      <c r="BD164" s="1822"/>
      <c r="BE164" s="1822"/>
      <c r="BF164" s="1281"/>
      <c r="BG164" s="1279"/>
      <c r="BH164" s="1209"/>
      <c r="BI164" s="1822"/>
      <c r="BJ164" s="1822"/>
      <c r="BK164" s="1281"/>
      <c r="BL164" s="1279"/>
      <c r="BM164" s="1209"/>
      <c r="BN164" s="1822"/>
      <c r="BO164" s="1822"/>
      <c r="BP164" s="1281"/>
      <c r="BQ164" s="1279"/>
      <c r="BR164" s="1116"/>
      <c r="BS164" s="1116"/>
      <c r="BT164" s="1116"/>
      <c r="BU164" s="1116"/>
      <c r="BV164" s="1116"/>
      <c r="BW164" s="1116"/>
      <c r="BX164" s="1116"/>
      <c r="BY164" s="1116"/>
      <c r="BZ164" s="1116"/>
    </row>
    <row r="165" spans="2:78" s="56" customFormat="1" outlineLevel="1">
      <c r="C165" s="1272" t="s">
        <v>981</v>
      </c>
      <c r="D165" s="1272"/>
      <c r="E165" s="1202"/>
      <c r="F165" s="1204"/>
      <c r="G165" s="1204"/>
      <c r="H165" s="1205"/>
      <c r="I165" s="1279"/>
      <c r="J165" s="1209"/>
      <c r="K165" s="1822"/>
      <c r="L165" s="1822"/>
      <c r="M165" s="1281"/>
      <c r="N165" s="1279"/>
      <c r="O165" s="1202"/>
      <c r="P165" s="1204"/>
      <c r="Q165" s="1204"/>
      <c r="R165" s="1205"/>
      <c r="S165" s="62"/>
      <c r="T165" s="1209"/>
      <c r="U165" s="1822"/>
      <c r="V165" s="1822"/>
      <c r="W165" s="1281"/>
      <c r="X165" s="62">
        <v>57</v>
      </c>
      <c r="Y165" s="1209"/>
      <c r="Z165" s="1822"/>
      <c r="AA165" s="1822"/>
      <c r="AB165" s="1281"/>
      <c r="AC165" s="62">
        <v>59</v>
      </c>
      <c r="AD165" s="1209"/>
      <c r="AE165" s="1822"/>
      <c r="AF165" s="1822"/>
      <c r="AG165" s="1281"/>
      <c r="AH165" s="62">
        <v>58</v>
      </c>
      <c r="AI165" s="1209"/>
      <c r="AJ165" s="1822"/>
      <c r="AK165" s="1822"/>
      <c r="AL165" s="1281"/>
      <c r="AM165" s="62">
        <f>AVERAGE(AH165,AM75)</f>
        <v>55.660966346153842</v>
      </c>
      <c r="AN165" s="1209"/>
      <c r="AO165" s="1822"/>
      <c r="AP165" s="1822"/>
      <c r="AQ165" s="1281"/>
      <c r="AR165" s="62">
        <f>AVERAGE(AM165,AR75)</f>
        <v>50.446472184065932</v>
      </c>
      <c r="AS165" s="1209"/>
      <c r="AT165" s="1822"/>
      <c r="AU165" s="1822"/>
      <c r="AV165" s="1281"/>
      <c r="AW165" s="62">
        <f>AVERAGE(AR165,AW75)</f>
        <v>53.415712053571426</v>
      </c>
      <c r="AX165" s="1209"/>
      <c r="AY165" s="1822"/>
      <c r="AZ165" s="1822"/>
      <c r="BA165" s="1281"/>
      <c r="BB165" s="62">
        <f>AVERAGE(AW165,BB75)</f>
        <v>53.890043526785711</v>
      </c>
      <c r="BC165" s="1209"/>
      <c r="BD165" s="1822"/>
      <c r="BE165" s="1822"/>
      <c r="BF165" s="1281"/>
      <c r="BG165" s="62">
        <f>AVERAGE(BB165,BG75)</f>
        <v>53.195021763392859</v>
      </c>
      <c r="BH165" s="1209"/>
      <c r="BI165" s="1822"/>
      <c r="BJ165" s="1822"/>
      <c r="BK165" s="1281"/>
      <c r="BL165" s="62">
        <f>AVERAGE(BG165,BL75)</f>
        <v>52.847510881696429</v>
      </c>
      <c r="BM165" s="1209"/>
      <c r="BN165" s="1822"/>
      <c r="BO165" s="1822"/>
      <c r="BP165" s="1281"/>
      <c r="BQ165" s="62">
        <f>AVERAGE(BL165,BQ75)</f>
        <v>52.673755440848211</v>
      </c>
      <c r="BR165" s="1272"/>
      <c r="BS165" s="1272"/>
      <c r="BT165" s="1272"/>
      <c r="BU165" s="1272"/>
      <c r="BV165" s="1272"/>
      <c r="BW165" s="1272"/>
      <c r="BX165" s="1272"/>
      <c r="BY165" s="1272"/>
      <c r="BZ165" s="1272"/>
    </row>
    <row r="166" spans="2:78" s="56" customFormat="1" outlineLevel="1">
      <c r="C166" s="1272" t="s">
        <v>632</v>
      </c>
      <c r="D166" s="1272"/>
      <c r="E166" s="1202"/>
      <c r="F166" s="1204"/>
      <c r="G166" s="1204"/>
      <c r="H166" s="1205"/>
      <c r="I166" s="1279"/>
      <c r="J166" s="1209"/>
      <c r="K166" s="1822"/>
      <c r="L166" s="1822"/>
      <c r="M166" s="1281"/>
      <c r="N166" s="1279"/>
      <c r="O166" s="1202"/>
      <c r="P166" s="1204"/>
      <c r="Q166" s="1204"/>
      <c r="R166" s="1205"/>
      <c r="S166" s="87"/>
      <c r="T166" s="1209"/>
      <c r="U166" s="1822"/>
      <c r="V166" s="1822"/>
      <c r="W166" s="1281"/>
      <c r="X166" s="87">
        <v>1</v>
      </c>
      <c r="Y166" s="1209"/>
      <c r="Z166" s="1822"/>
      <c r="AA166" s="1822"/>
      <c r="AB166" s="1281"/>
      <c r="AC166" s="87">
        <v>0.92</v>
      </c>
      <c r="AD166" s="1209"/>
      <c r="AE166" s="1822"/>
      <c r="AF166" s="1822"/>
      <c r="AG166" s="1281"/>
      <c r="AH166" s="87">
        <v>0.95</v>
      </c>
      <c r="AI166" s="1209"/>
      <c r="AJ166" s="1822"/>
      <c r="AK166" s="1822"/>
      <c r="AL166" s="1281"/>
      <c r="AM166" s="87">
        <v>0.94</v>
      </c>
      <c r="AN166" s="1209"/>
      <c r="AO166" s="1822"/>
      <c r="AP166" s="1822"/>
      <c r="AQ166" s="1281"/>
      <c r="AR166" s="87">
        <v>0.94</v>
      </c>
      <c r="AS166" s="1209"/>
      <c r="AT166" s="1822"/>
      <c r="AU166" s="1822"/>
      <c r="AV166" s="1281"/>
      <c r="AW166" s="87">
        <f>+AR166/2</f>
        <v>0.47</v>
      </c>
      <c r="AX166" s="1209"/>
      <c r="AY166" s="1822"/>
      <c r="AZ166" s="1822"/>
      <c r="BA166" s="1281"/>
      <c r="BB166" s="87">
        <f>+AW166/2</f>
        <v>0.23499999999999999</v>
      </c>
      <c r="BC166" s="1209"/>
      <c r="BD166" s="1822"/>
      <c r="BE166" s="1822"/>
      <c r="BF166" s="1281"/>
      <c r="BG166" s="87">
        <f>+BB166/2</f>
        <v>0.11749999999999999</v>
      </c>
      <c r="BH166" s="1209"/>
      <c r="BI166" s="1822"/>
      <c r="BJ166" s="1822"/>
      <c r="BK166" s="1281"/>
      <c r="BL166" s="87">
        <f>+BG166/2</f>
        <v>5.8749999999999997E-2</v>
      </c>
      <c r="BM166" s="1209"/>
      <c r="BN166" s="1822"/>
      <c r="BO166" s="1822"/>
      <c r="BP166" s="1281"/>
      <c r="BQ166" s="87">
        <f>+BL166/2</f>
        <v>2.9374999999999998E-2</v>
      </c>
      <c r="BR166" s="1272"/>
      <c r="BS166" s="1272"/>
      <c r="BT166" s="1272"/>
      <c r="BU166" s="1272"/>
      <c r="BV166" s="1272"/>
      <c r="BW166" s="1272"/>
      <c r="BX166" s="1272"/>
      <c r="BY166" s="1272"/>
      <c r="BZ166" s="1272"/>
    </row>
    <row r="167" spans="2:78" s="56" customFormat="1" outlineLevel="1">
      <c r="C167" s="1272"/>
      <c r="D167" s="1272"/>
      <c r="E167" s="1202"/>
      <c r="F167" s="1204"/>
      <c r="G167" s="1204"/>
      <c r="H167" s="1205"/>
      <c r="I167" s="1279"/>
      <c r="J167" s="1209"/>
      <c r="K167" s="1822"/>
      <c r="L167" s="1822"/>
      <c r="M167" s="1281"/>
      <c r="N167" s="1279"/>
      <c r="O167" s="1202"/>
      <c r="P167" s="1204"/>
      <c r="Q167" s="1204"/>
      <c r="R167" s="1205"/>
      <c r="S167" s="1279"/>
      <c r="T167" s="1209"/>
      <c r="U167" s="1822"/>
      <c r="V167" s="1822"/>
      <c r="W167" s="1281"/>
      <c r="X167" s="1279"/>
      <c r="Y167" s="1209"/>
      <c r="Z167" s="1822"/>
      <c r="AA167" s="1822"/>
      <c r="AB167" s="1281"/>
      <c r="AC167" s="1279"/>
      <c r="AD167" s="1209"/>
      <c r="AE167" s="1822"/>
      <c r="AF167" s="1822"/>
      <c r="AG167" s="1281"/>
      <c r="AH167" s="1279"/>
      <c r="AI167" s="1209"/>
      <c r="AJ167" s="1822"/>
      <c r="AK167" s="1822"/>
      <c r="AL167" s="1281"/>
      <c r="AM167" s="1279"/>
      <c r="AN167" s="1209"/>
      <c r="AO167" s="1822"/>
      <c r="AP167" s="1822"/>
      <c r="AQ167" s="1281"/>
      <c r="AR167" s="1279"/>
      <c r="AS167" s="1209"/>
      <c r="AT167" s="1822"/>
      <c r="AU167" s="1822"/>
      <c r="AV167" s="1281"/>
      <c r="AW167" s="1279"/>
      <c r="AX167" s="1209"/>
      <c r="AY167" s="1822"/>
      <c r="AZ167" s="1822"/>
      <c r="BA167" s="1281"/>
      <c r="BB167" s="1279"/>
      <c r="BC167" s="1209"/>
      <c r="BD167" s="1822"/>
      <c r="BE167" s="1822"/>
      <c r="BF167" s="1281"/>
      <c r="BG167" s="1279"/>
      <c r="BH167" s="1209"/>
      <c r="BI167" s="1822"/>
      <c r="BJ167" s="1822"/>
      <c r="BK167" s="1281"/>
      <c r="BL167" s="1279"/>
      <c r="BM167" s="1209"/>
      <c r="BN167" s="1822"/>
      <c r="BO167" s="1822"/>
      <c r="BP167" s="1281"/>
      <c r="BQ167" s="1279"/>
      <c r="BR167" s="1272"/>
      <c r="BS167" s="1272"/>
      <c r="BT167" s="1272"/>
      <c r="BU167" s="1272"/>
      <c r="BV167" s="1272"/>
      <c r="BW167" s="1272"/>
      <c r="BX167" s="1272"/>
      <c r="BY167" s="1272"/>
      <c r="BZ167" s="1272"/>
    </row>
    <row r="168" spans="2:78" s="56" customFormat="1" outlineLevel="1">
      <c r="C168" s="1272" t="s">
        <v>252</v>
      </c>
      <c r="D168" s="1272"/>
      <c r="E168" s="1202"/>
      <c r="F168" s="1204"/>
      <c r="G168" s="1204"/>
      <c r="H168" s="1205"/>
      <c r="I168" s="1279"/>
      <c r="J168" s="1209"/>
      <c r="K168" s="1822"/>
      <c r="L168" s="1822"/>
      <c r="M168" s="1281"/>
      <c r="N168" s="1279"/>
      <c r="O168" s="1202"/>
      <c r="P168" s="1204"/>
      <c r="Q168" s="1204"/>
      <c r="R168" s="1205"/>
      <c r="S168" s="1280"/>
      <c r="T168" s="1209"/>
      <c r="U168" s="1822"/>
      <c r="V168" s="1822"/>
      <c r="W168" s="1281"/>
      <c r="X168" s="1280"/>
      <c r="Y168" s="1209"/>
      <c r="Z168" s="1822"/>
      <c r="AA168" s="1822"/>
      <c r="AB168" s="1281"/>
      <c r="AC168" s="1280">
        <f>(AC75)</f>
        <v>71.013461538461542</v>
      </c>
      <c r="AD168" s="1209"/>
      <c r="AE168" s="1822"/>
      <c r="AF168" s="1822"/>
      <c r="AG168" s="1281"/>
      <c r="AH168" s="1280">
        <f>(AH75)</f>
        <v>68.120971153846142</v>
      </c>
      <c r="AI168" s="1209"/>
      <c r="AJ168" s="1822"/>
      <c r="AK168" s="1822"/>
      <c r="AL168" s="1281"/>
      <c r="AM168" s="1280">
        <f>(AM75)</f>
        <v>53.321932692307691</v>
      </c>
      <c r="AN168" s="1209"/>
      <c r="AO168" s="1822"/>
      <c r="AP168" s="1822"/>
      <c r="AQ168" s="1281"/>
      <c r="AR168" s="1280">
        <f>(AR75)</f>
        <v>45.231978021978023</v>
      </c>
      <c r="AS168" s="1209"/>
      <c r="AT168" s="1822"/>
      <c r="AU168" s="1822"/>
      <c r="AV168" s="1281"/>
      <c r="AW168" s="1280">
        <f>(AW75)</f>
        <v>56.384951923076926</v>
      </c>
      <c r="AX168" s="1209"/>
      <c r="AY168" s="1822"/>
      <c r="AZ168" s="1822"/>
      <c r="BA168" s="1281"/>
      <c r="BB168" s="1280">
        <f>(BB75)</f>
        <v>54.364374999999995</v>
      </c>
      <c r="BC168" s="1209"/>
      <c r="BD168" s="1822"/>
      <c r="BE168" s="1822"/>
      <c r="BF168" s="1281"/>
      <c r="BG168" s="1280">
        <f>(BG75)</f>
        <v>52.5</v>
      </c>
      <c r="BH168" s="1209"/>
      <c r="BI168" s="1822"/>
      <c r="BJ168" s="1822"/>
      <c r="BK168" s="1281"/>
      <c r="BL168" s="1280">
        <f>(BL75)</f>
        <v>52.5</v>
      </c>
      <c r="BM168" s="1209"/>
      <c r="BN168" s="1822"/>
      <c r="BO168" s="1822"/>
      <c r="BP168" s="1281"/>
      <c r="BQ168" s="1280">
        <f>(BQ75)</f>
        <v>52.5</v>
      </c>
      <c r="BR168" s="1272"/>
      <c r="BS168" s="1272"/>
      <c r="BT168" s="1272"/>
      <c r="BU168" s="1272"/>
      <c r="BV168" s="1272"/>
      <c r="BW168" s="1272"/>
      <c r="BX168" s="1272"/>
      <c r="BY168" s="1272"/>
      <c r="BZ168" s="1272"/>
    </row>
    <row r="169" spans="2:78" s="56" customFormat="1" outlineLevel="1">
      <c r="C169" s="1272"/>
      <c r="D169" s="1272"/>
      <c r="E169" s="1209"/>
      <c r="F169" s="1822"/>
      <c r="G169" s="1822"/>
      <c r="H169" s="1281"/>
      <c r="I169" s="1279"/>
      <c r="J169" s="1209"/>
      <c r="K169" s="1822"/>
      <c r="L169" s="1822"/>
      <c r="M169" s="1281"/>
      <c r="N169" s="1279"/>
      <c r="O169" s="1202"/>
      <c r="P169" s="1204"/>
      <c r="Q169" s="1204"/>
      <c r="R169" s="1205"/>
      <c r="S169" s="1279"/>
      <c r="T169" s="1209"/>
      <c r="U169" s="1822"/>
      <c r="V169" s="1822"/>
      <c r="W169" s="1281"/>
      <c r="X169" s="1279"/>
      <c r="Y169" s="1209"/>
      <c r="Z169" s="1822"/>
      <c r="AA169" s="1822"/>
      <c r="AB169" s="1281"/>
      <c r="AC169" s="1279"/>
      <c r="AD169" s="1209"/>
      <c r="AE169" s="1822"/>
      <c r="AF169" s="1822"/>
      <c r="AG169" s="1281"/>
      <c r="AH169" s="1279"/>
      <c r="AI169" s="1209"/>
      <c r="AJ169" s="1822"/>
      <c r="AK169" s="1822"/>
      <c r="AL169" s="1281"/>
      <c r="AM169" s="1279"/>
      <c r="AN169" s="1209"/>
      <c r="AO169" s="1822"/>
      <c r="AP169" s="1822"/>
      <c r="AQ169" s="1281"/>
      <c r="AR169" s="1279"/>
      <c r="AS169" s="1209"/>
      <c r="AT169" s="1822"/>
      <c r="AU169" s="1822"/>
      <c r="AV169" s="1281"/>
      <c r="AW169" s="1279"/>
      <c r="AX169" s="1209"/>
      <c r="AY169" s="1822"/>
      <c r="AZ169" s="1822"/>
      <c r="BA169" s="1281"/>
      <c r="BB169" s="1279"/>
      <c r="BC169" s="1209"/>
      <c r="BD169" s="1822"/>
      <c r="BE169" s="1822"/>
      <c r="BF169" s="1281"/>
      <c r="BG169" s="1279"/>
      <c r="BH169" s="1209"/>
      <c r="BI169" s="1822"/>
      <c r="BJ169" s="1822"/>
      <c r="BK169" s="1281"/>
      <c r="BL169" s="1279"/>
      <c r="BM169" s="1209"/>
      <c r="BN169" s="1822"/>
      <c r="BO169" s="1822"/>
      <c r="BP169" s="1281"/>
      <c r="BQ169" s="1279"/>
      <c r="BR169" s="1272"/>
      <c r="BS169" s="1272"/>
      <c r="BT169" s="1272"/>
      <c r="BU169" s="1272"/>
      <c r="BV169" s="1272"/>
      <c r="BW169" s="1272"/>
      <c r="BX169" s="1272"/>
      <c r="BY169" s="1272"/>
      <c r="BZ169" s="1272"/>
    </row>
    <row r="170" spans="2:78" s="1240" customFormat="1" outlineLevel="1">
      <c r="C170" s="1272"/>
      <c r="D170" s="1116"/>
      <c r="E170" s="1209"/>
      <c r="F170" s="1822"/>
      <c r="G170" s="1822"/>
      <c r="H170" s="1281"/>
      <c r="I170" s="1279"/>
      <c r="J170" s="1209"/>
      <c r="K170" s="1822"/>
      <c r="L170" s="1822"/>
      <c r="M170" s="1281"/>
      <c r="N170" s="1279"/>
      <c r="O170" s="1202"/>
      <c r="P170" s="1204"/>
      <c r="Q170" s="1204"/>
      <c r="R170" s="1205"/>
      <c r="S170" s="1279"/>
      <c r="T170" s="1209"/>
      <c r="U170" s="1822"/>
      <c r="V170" s="1822"/>
      <c r="W170" s="1281"/>
      <c r="X170" s="1279"/>
      <c r="Y170" s="1209"/>
      <c r="Z170" s="1822"/>
      <c r="AA170" s="1822"/>
      <c r="AB170" s="1281"/>
      <c r="AC170" s="1279"/>
      <c r="AD170" s="1209"/>
      <c r="AE170" s="1822"/>
      <c r="AF170" s="1822"/>
      <c r="AG170" s="1281"/>
      <c r="AH170" s="1279"/>
      <c r="AI170" s="1209"/>
      <c r="AJ170" s="1822"/>
      <c r="AK170" s="1822"/>
      <c r="AL170" s="1281"/>
      <c r="AM170" s="1279"/>
      <c r="AN170" s="1209"/>
      <c r="AO170" s="1822"/>
      <c r="AP170" s="1822"/>
      <c r="AQ170" s="1281"/>
      <c r="AR170" s="1279"/>
      <c r="AS170" s="1209"/>
      <c r="AT170" s="1822"/>
      <c r="AU170" s="1822"/>
      <c r="AV170" s="1281"/>
      <c r="AW170" s="1279"/>
      <c r="AX170" s="1209"/>
      <c r="AY170" s="1822"/>
      <c r="AZ170" s="1822"/>
      <c r="BA170" s="1281"/>
      <c r="BB170" s="1279"/>
      <c r="BC170" s="1209"/>
      <c r="BD170" s="1822"/>
      <c r="BE170" s="1822"/>
      <c r="BF170" s="1281"/>
      <c r="BG170" s="1279"/>
      <c r="BH170" s="1209"/>
      <c r="BI170" s="1822"/>
      <c r="BJ170" s="1822"/>
      <c r="BK170" s="1281"/>
      <c r="BL170" s="1279"/>
      <c r="BM170" s="1209"/>
      <c r="BN170" s="1822"/>
      <c r="BO170" s="1822"/>
      <c r="BP170" s="1281"/>
      <c r="BQ170" s="1279"/>
      <c r="BR170" s="1116"/>
      <c r="BS170" s="1116"/>
      <c r="BT170" s="1116"/>
      <c r="BU170" s="1116"/>
      <c r="BV170" s="1116"/>
      <c r="BW170" s="1116"/>
      <c r="BX170" s="1116"/>
      <c r="BY170" s="1116"/>
      <c r="BZ170" s="1116"/>
    </row>
    <row r="171" spans="2:78" s="56" customFormat="1" outlineLevel="1">
      <c r="B171" s="46" t="s">
        <v>967</v>
      </c>
      <c r="C171" s="94"/>
      <c r="D171"/>
      <c r="E171" s="1209"/>
      <c r="F171" s="1822"/>
      <c r="G171" s="1822"/>
      <c r="H171" s="1281"/>
      <c r="I171" s="1279"/>
      <c r="J171" s="1209"/>
      <c r="K171" s="1822"/>
      <c r="L171" s="1822"/>
      <c r="M171" s="1281"/>
      <c r="N171" s="1279"/>
      <c r="O171" s="1202"/>
      <c r="P171" s="1204"/>
      <c r="Q171" s="1204"/>
      <c r="R171" s="1205"/>
      <c r="S171" s="1279"/>
      <c r="T171" s="1209"/>
      <c r="U171" s="1822"/>
      <c r="V171" s="1822"/>
      <c r="W171" s="1281"/>
      <c r="X171" s="1279"/>
      <c r="Y171" s="1209"/>
      <c r="Z171" s="1822"/>
      <c r="AA171" s="1822"/>
      <c r="AB171" s="1281"/>
      <c r="AC171" s="1279"/>
      <c r="AD171" s="1209"/>
      <c r="AE171" s="1822"/>
      <c r="AF171" s="1822"/>
      <c r="AG171" s="1281"/>
      <c r="AH171" s="1279"/>
      <c r="AI171" s="1209"/>
      <c r="AJ171" s="1822"/>
      <c r="AK171" s="1822"/>
      <c r="AL171" s="1281"/>
      <c r="AM171" s="1279"/>
      <c r="AN171" s="1209"/>
      <c r="AO171" s="1822"/>
      <c r="AP171" s="1822"/>
      <c r="AQ171" s="1281"/>
      <c r="AR171" s="1279"/>
      <c r="AS171" s="1209"/>
      <c r="AT171" s="1822"/>
      <c r="AU171" s="1822"/>
      <c r="AV171" s="1281"/>
      <c r="AW171" s="1279"/>
      <c r="AX171" s="1209"/>
      <c r="AY171" s="1822"/>
      <c r="AZ171" s="1822"/>
      <c r="BA171" s="1281"/>
      <c r="BB171" s="1279"/>
      <c r="BC171" s="1209"/>
      <c r="BD171" s="1822"/>
      <c r="BE171" s="1822"/>
      <c r="BF171" s="1281"/>
      <c r="BG171" s="1279"/>
      <c r="BH171" s="1209"/>
      <c r="BI171" s="1822"/>
      <c r="BJ171" s="1822"/>
      <c r="BK171" s="1281"/>
      <c r="BL171" s="1279"/>
      <c r="BM171" s="1209"/>
      <c r="BN171" s="1822"/>
      <c r="BO171" s="1822"/>
      <c r="BP171" s="1281"/>
      <c r="BQ171" s="1279"/>
      <c r="BR171" s="1272"/>
      <c r="BS171" s="1272"/>
      <c r="BT171" s="1272"/>
      <c r="BU171" s="1272"/>
      <c r="BV171" s="1272"/>
      <c r="BW171" s="1272"/>
      <c r="BX171" s="1272"/>
      <c r="BY171" s="1272"/>
      <c r="BZ171" s="1272"/>
    </row>
    <row r="172" spans="2:78" s="56" customFormat="1" outlineLevel="1">
      <c r="C172" s="1272"/>
      <c r="D172" s="1272"/>
      <c r="E172" s="1209"/>
      <c r="F172" s="1822"/>
      <c r="G172" s="1822"/>
      <c r="H172" s="1281"/>
      <c r="I172" s="1279"/>
      <c r="J172" s="1209"/>
      <c r="K172" s="1822"/>
      <c r="L172" s="1822"/>
      <c r="M172" s="1281"/>
      <c r="N172" s="1279"/>
      <c r="O172" s="1202"/>
      <c r="P172" s="1204"/>
      <c r="Q172" s="1204"/>
      <c r="R172" s="1205"/>
      <c r="S172" s="1279"/>
      <c r="T172" s="1209"/>
      <c r="U172" s="1822"/>
      <c r="V172" s="1822"/>
      <c r="W172" s="1281"/>
      <c r="X172" s="1279"/>
      <c r="Y172" s="1209"/>
      <c r="Z172" s="1822"/>
      <c r="AA172" s="1822"/>
      <c r="AB172" s="1281"/>
      <c r="AC172" s="1279"/>
      <c r="AD172" s="1209"/>
      <c r="AE172" s="1822"/>
      <c r="AF172" s="1822"/>
      <c r="AG172" s="1281"/>
      <c r="AH172" s="1279"/>
      <c r="AI172" s="1209"/>
      <c r="AJ172" s="1822"/>
      <c r="AK172" s="1822"/>
      <c r="AL172" s="1281"/>
      <c r="AM172" s="1279"/>
      <c r="AN172" s="1209"/>
      <c r="AO172" s="1822"/>
      <c r="AP172" s="1822"/>
      <c r="AQ172" s="1281"/>
      <c r="AR172" s="1279"/>
      <c r="AS172" s="1209"/>
      <c r="AT172" s="1822"/>
      <c r="AU172" s="1822"/>
      <c r="AV172" s="1281"/>
      <c r="AW172" s="1279"/>
      <c r="AX172" s="1209"/>
      <c r="AY172" s="1822"/>
      <c r="AZ172" s="1822"/>
      <c r="BA172" s="1281"/>
      <c r="BB172" s="1279"/>
      <c r="BC172" s="1209"/>
      <c r="BD172" s="1822"/>
      <c r="BE172" s="1822"/>
      <c r="BF172" s="1281"/>
      <c r="BG172" s="1279"/>
      <c r="BH172" s="1209"/>
      <c r="BI172" s="1822"/>
      <c r="BJ172" s="1822"/>
      <c r="BK172" s="1281"/>
      <c r="BL172" s="1279"/>
      <c r="BM172" s="1209"/>
      <c r="BN172" s="1822"/>
      <c r="BO172" s="1822"/>
      <c r="BP172" s="1281"/>
      <c r="BQ172" s="1279"/>
      <c r="BR172" s="1272"/>
      <c r="BS172" s="1272"/>
      <c r="BT172" s="1272"/>
      <c r="BU172" s="1272"/>
      <c r="BV172" s="1272"/>
      <c r="BW172" s="1272"/>
      <c r="BX172" s="1272"/>
      <c r="BY172" s="1272"/>
      <c r="BZ172" s="1272"/>
    </row>
    <row r="173" spans="2:78" s="56" customFormat="1" outlineLevel="1">
      <c r="C173" s="1440" t="s">
        <v>1118</v>
      </c>
      <c r="D173" s="1272"/>
      <c r="E173" s="1209"/>
      <c r="F173" s="1822"/>
      <c r="G173" s="1822"/>
      <c r="H173" s="1281"/>
      <c r="I173" s="1279"/>
      <c r="J173" s="1209"/>
      <c r="K173" s="1822"/>
      <c r="L173" s="1822"/>
      <c r="M173" s="1281"/>
      <c r="N173" s="1279"/>
      <c r="O173" s="1202"/>
      <c r="P173" s="1204"/>
      <c r="Q173" s="1204"/>
      <c r="R173" s="1205"/>
      <c r="S173" s="1279"/>
      <c r="T173" s="1209"/>
      <c r="U173" s="1822"/>
      <c r="V173" s="1822"/>
      <c r="W173" s="1281"/>
      <c r="X173" s="1279"/>
      <c r="Y173" s="1209"/>
      <c r="Z173" s="1822"/>
      <c r="AA173" s="1822"/>
      <c r="AB173" s="1281"/>
      <c r="AC173" s="1279"/>
      <c r="AD173" s="1209"/>
      <c r="AE173" s="1822"/>
      <c r="AF173" s="1822"/>
      <c r="AG173" s="1281"/>
      <c r="AH173" s="1279"/>
      <c r="AI173" s="1209"/>
      <c r="AJ173" s="1822"/>
      <c r="AK173" s="1822"/>
      <c r="AL173" s="1281"/>
      <c r="AM173" s="1279"/>
      <c r="AN173" s="1209"/>
      <c r="AO173" s="1822"/>
      <c r="AP173" s="1822"/>
      <c r="AQ173" s="1281"/>
      <c r="AR173" s="1279"/>
      <c r="AS173" s="1209"/>
      <c r="AT173" s="1822"/>
      <c r="AU173" s="1822"/>
      <c r="AV173" s="1281"/>
      <c r="AW173" s="1279"/>
      <c r="AX173" s="1209"/>
      <c r="AY173" s="1822"/>
      <c r="AZ173" s="1822"/>
      <c r="BA173" s="1281"/>
      <c r="BB173" s="1279"/>
      <c r="BC173" s="1209"/>
      <c r="BD173" s="1822"/>
      <c r="BE173" s="1822"/>
      <c r="BF173" s="1281"/>
      <c r="BG173" s="1279"/>
      <c r="BH173" s="1209"/>
      <c r="BI173" s="1822"/>
      <c r="BJ173" s="1822"/>
      <c r="BK173" s="1281"/>
      <c r="BL173" s="1279"/>
      <c r="BM173" s="1209"/>
      <c r="BN173" s="1822"/>
      <c r="BO173" s="1822"/>
      <c r="BP173" s="1281"/>
      <c r="BQ173" s="1279"/>
      <c r="BR173" s="1272"/>
      <c r="BS173" s="1272"/>
      <c r="BT173" s="1272"/>
      <c r="BU173" s="1272"/>
      <c r="BV173" s="1272"/>
      <c r="BW173" s="1272"/>
      <c r="BX173" s="1272"/>
      <c r="BY173" s="1272"/>
      <c r="BZ173" s="1272"/>
    </row>
    <row r="174" spans="2:78" s="56" customFormat="1" outlineLevel="1">
      <c r="C174" s="1440" t="s">
        <v>970</v>
      </c>
      <c r="D174" s="1272"/>
      <c r="E174" s="1209"/>
      <c r="F174" s="1822"/>
      <c r="G174" s="1822"/>
      <c r="H174" s="1281"/>
      <c r="I174" s="1279"/>
      <c r="J174" s="1209"/>
      <c r="K174" s="1822"/>
      <c r="L174" s="1822"/>
      <c r="M174" s="1281"/>
      <c r="N174" s="1279"/>
      <c r="O174" s="1202"/>
      <c r="P174" s="1204"/>
      <c r="Q174" s="1204"/>
      <c r="R174" s="1205"/>
      <c r="S174" s="64"/>
      <c r="T174" s="1202"/>
      <c r="U174" s="1203"/>
      <c r="V174" s="1203"/>
      <c r="W174" s="1205"/>
      <c r="X174" s="64">
        <f>11825-X175-X176-X177+1186</f>
        <v>7975</v>
      </c>
      <c r="Y174" s="1202">
        <f>Z174</f>
        <v>7975</v>
      </c>
      <c r="Z174" s="1203">
        <f>AA174</f>
        <v>7975</v>
      </c>
      <c r="AA174" s="1203">
        <f>AB174</f>
        <v>7975</v>
      </c>
      <c r="AB174" s="1205">
        <f>AC174</f>
        <v>7975</v>
      </c>
      <c r="AC174" s="1258">
        <f>+X174</f>
        <v>7975</v>
      </c>
      <c r="AD174" s="1202">
        <f>AE174</f>
        <v>6355</v>
      </c>
      <c r="AE174" s="1203">
        <f>AF174</f>
        <v>6355</v>
      </c>
      <c r="AF174" s="1203">
        <f>AG174</f>
        <v>6355</v>
      </c>
      <c r="AG174" s="1205">
        <f>AH174</f>
        <v>6355</v>
      </c>
      <c r="AH174" s="64">
        <f>+AC174-2400+780</f>
        <v>6355</v>
      </c>
      <c r="AI174" s="1202">
        <f>AJ174</f>
        <v>6355</v>
      </c>
      <c r="AJ174" s="1203">
        <f>AK174</f>
        <v>6355</v>
      </c>
      <c r="AK174" s="1203">
        <f>AL174</f>
        <v>6355</v>
      </c>
      <c r="AL174" s="1205">
        <f>AM174</f>
        <v>6355</v>
      </c>
      <c r="AM174" s="1206">
        <f>+AH174</f>
        <v>6355</v>
      </c>
      <c r="AN174" s="1202">
        <f>AO174</f>
        <v>6355</v>
      </c>
      <c r="AO174" s="1204">
        <f>AP174</f>
        <v>6355</v>
      </c>
      <c r="AP174" s="1204">
        <f>AQ174</f>
        <v>6355</v>
      </c>
      <c r="AQ174" s="1205">
        <f>AR174</f>
        <v>6355</v>
      </c>
      <c r="AR174" s="1206">
        <f>+AM174</f>
        <v>6355</v>
      </c>
      <c r="AS174" s="1202">
        <f>AR174</f>
        <v>6355</v>
      </c>
      <c r="AT174" s="1204">
        <f>AU174</f>
        <v>6355</v>
      </c>
      <c r="AU174" s="1204">
        <f>AV174</f>
        <v>6355</v>
      </c>
      <c r="AV174" s="1205">
        <f>AW174</f>
        <v>6355</v>
      </c>
      <c r="AW174" s="1206">
        <f>+AR174</f>
        <v>6355</v>
      </c>
      <c r="AX174" s="1202">
        <f>AY174</f>
        <v>6355</v>
      </c>
      <c r="AY174" s="1204">
        <f>AZ174</f>
        <v>6355</v>
      </c>
      <c r="AZ174" s="1204">
        <f>BA174</f>
        <v>6355</v>
      </c>
      <c r="BA174" s="1205">
        <f>BB174</f>
        <v>6355</v>
      </c>
      <c r="BB174" s="1206">
        <f>+AW174</f>
        <v>6355</v>
      </c>
      <c r="BC174" s="1202">
        <f>BD174</f>
        <v>6355</v>
      </c>
      <c r="BD174" s="1204">
        <f>BE174</f>
        <v>6355</v>
      </c>
      <c r="BE174" s="1204">
        <f>BF174</f>
        <v>6355</v>
      </c>
      <c r="BF174" s="1205">
        <f>BG174</f>
        <v>6355</v>
      </c>
      <c r="BG174" s="1206">
        <f>+BB174</f>
        <v>6355</v>
      </c>
      <c r="BH174" s="1202">
        <f>BI174</f>
        <v>6355</v>
      </c>
      <c r="BI174" s="1204">
        <f>BJ174</f>
        <v>6355</v>
      </c>
      <c r="BJ174" s="1204">
        <f>BK174</f>
        <v>6355</v>
      </c>
      <c r="BK174" s="1205">
        <f>BL174</f>
        <v>6355</v>
      </c>
      <c r="BL174" s="1206">
        <f>+BG174</f>
        <v>6355</v>
      </c>
      <c r="BM174" s="1202">
        <f>BN174</f>
        <v>6355</v>
      </c>
      <c r="BN174" s="1204">
        <f>BO174</f>
        <v>6355</v>
      </c>
      <c r="BO174" s="1204">
        <f>BP174</f>
        <v>6355</v>
      </c>
      <c r="BP174" s="1205">
        <f>BQ174</f>
        <v>6355</v>
      </c>
      <c r="BQ174" s="1206">
        <f>+BL174</f>
        <v>6355</v>
      </c>
      <c r="BR174" s="1272"/>
      <c r="BS174" s="1272"/>
      <c r="BT174" s="1272"/>
      <c r="BU174" s="1272"/>
      <c r="BV174" s="1272"/>
      <c r="BW174"/>
      <c r="BX174"/>
      <c r="BY174" s="1272"/>
      <c r="BZ174" s="1272"/>
    </row>
    <row r="175" spans="2:78" s="56" customFormat="1" outlineLevel="1">
      <c r="C175" s="1440" t="s">
        <v>978</v>
      </c>
      <c r="D175" s="1272"/>
      <c r="E175" s="1209"/>
      <c r="F175" s="1822"/>
      <c r="G175" s="1822"/>
      <c r="H175" s="1281"/>
      <c r="I175" s="1279"/>
      <c r="J175" s="1209"/>
      <c r="K175" s="1822"/>
      <c r="L175" s="1822"/>
      <c r="M175" s="1281"/>
      <c r="N175" s="1279"/>
      <c r="O175" s="1202"/>
      <c r="P175" s="1204"/>
      <c r="Q175" s="1204"/>
      <c r="R175" s="1205"/>
      <c r="S175" s="64"/>
      <c r="T175" s="1202"/>
      <c r="U175" s="1204"/>
      <c r="V175" s="1204"/>
      <c r="W175" s="1205"/>
      <c r="X175" s="64">
        <f>1925+578</f>
        <v>2503</v>
      </c>
      <c r="Y175" s="1202">
        <f t="shared" ref="Y175:AB177" si="58">Z175</f>
        <v>2503</v>
      </c>
      <c r="Z175" s="1203">
        <f t="shared" si="58"/>
        <v>2503</v>
      </c>
      <c r="AA175" s="1203">
        <f t="shared" si="58"/>
        <v>2503</v>
      </c>
      <c r="AB175" s="1205">
        <f t="shared" si="58"/>
        <v>2503</v>
      </c>
      <c r="AC175" s="1352">
        <f>+X175</f>
        <v>2503</v>
      </c>
      <c r="AD175" s="1202">
        <f t="shared" ref="AD175:AG177" si="59">AE175</f>
        <v>2503</v>
      </c>
      <c r="AE175" s="1203">
        <f t="shared" si="59"/>
        <v>2503</v>
      </c>
      <c r="AF175" s="1203">
        <f t="shared" si="59"/>
        <v>2503</v>
      </c>
      <c r="AG175" s="1205">
        <f t="shared" si="59"/>
        <v>2503</v>
      </c>
      <c r="AH175" s="64">
        <f>+AC175</f>
        <v>2503</v>
      </c>
      <c r="AI175" s="1202">
        <f>+AH175</f>
        <v>2503</v>
      </c>
      <c r="AJ175" s="1203">
        <f>+AI175</f>
        <v>2503</v>
      </c>
      <c r="AK175" s="1203">
        <f t="shared" ref="AK175:AL177" si="60">AL175</f>
        <v>0</v>
      </c>
      <c r="AL175" s="1205">
        <f t="shared" si="60"/>
        <v>0</v>
      </c>
      <c r="AM175" s="64">
        <v>0</v>
      </c>
      <c r="AN175" s="1202">
        <f>+AM175</f>
        <v>0</v>
      </c>
      <c r="AO175" s="1204">
        <f>+AN175</f>
        <v>0</v>
      </c>
      <c r="AP175" s="1204">
        <f t="shared" ref="AP175:AQ177" si="61">AQ175</f>
        <v>0</v>
      </c>
      <c r="AQ175" s="1205">
        <f t="shared" si="61"/>
        <v>0</v>
      </c>
      <c r="AR175" s="64">
        <v>0</v>
      </c>
      <c r="AS175" s="1202">
        <f>+AR175</f>
        <v>0</v>
      </c>
      <c r="AT175" s="1204">
        <f>+AS175</f>
        <v>0</v>
      </c>
      <c r="AU175" s="1204">
        <f t="shared" ref="AU175:AV177" si="62">AV175</f>
        <v>0</v>
      </c>
      <c r="AV175" s="1205">
        <f t="shared" si="62"/>
        <v>0</v>
      </c>
      <c r="AW175" s="64">
        <f>AR175</f>
        <v>0</v>
      </c>
      <c r="AX175" s="1202">
        <f>+AW175</f>
        <v>0</v>
      </c>
      <c r="AY175" s="1204">
        <f>+AX175</f>
        <v>0</v>
      </c>
      <c r="AZ175" s="1204">
        <f t="shared" ref="AZ175:BA177" si="63">BA175</f>
        <v>0</v>
      </c>
      <c r="BA175" s="1205">
        <f t="shared" si="63"/>
        <v>0</v>
      </c>
      <c r="BB175" s="64">
        <f>AW175</f>
        <v>0</v>
      </c>
      <c r="BC175" s="1202">
        <f>+BB175</f>
        <v>0</v>
      </c>
      <c r="BD175" s="1204">
        <f>+BC175</f>
        <v>0</v>
      </c>
      <c r="BE175" s="1204">
        <f t="shared" ref="BE175:BF177" si="64">BF175</f>
        <v>0</v>
      </c>
      <c r="BF175" s="1205">
        <f t="shared" si="64"/>
        <v>0</v>
      </c>
      <c r="BG175" s="64">
        <f>BB175</f>
        <v>0</v>
      </c>
      <c r="BH175" s="1202">
        <f>+BG175</f>
        <v>0</v>
      </c>
      <c r="BI175" s="1204">
        <f>+BH175</f>
        <v>0</v>
      </c>
      <c r="BJ175" s="1204">
        <f t="shared" ref="BJ175:BK177" si="65">BK175</f>
        <v>0</v>
      </c>
      <c r="BK175" s="1205">
        <f t="shared" si="65"/>
        <v>0</v>
      </c>
      <c r="BL175" s="64">
        <f>BG175</f>
        <v>0</v>
      </c>
      <c r="BM175" s="1202">
        <f>+BL175</f>
        <v>0</v>
      </c>
      <c r="BN175" s="1204">
        <f>+BM175</f>
        <v>0</v>
      </c>
      <c r="BO175" s="1204">
        <f t="shared" ref="BO175:BP177" si="66">BP175</f>
        <v>0</v>
      </c>
      <c r="BP175" s="1205">
        <f t="shared" si="66"/>
        <v>0</v>
      </c>
      <c r="BQ175" s="64">
        <f>BL175</f>
        <v>0</v>
      </c>
      <c r="BR175" s="1272"/>
      <c r="BS175" s="1272"/>
      <c r="BT175" s="1272"/>
      <c r="BU175" s="1272"/>
      <c r="BV175" s="1272"/>
      <c r="BW175" s="1272"/>
      <c r="BX175" s="1272"/>
      <c r="BY175" s="1272"/>
      <c r="BZ175" s="1272"/>
    </row>
    <row r="176" spans="2:78" s="56" customFormat="1" outlineLevel="1">
      <c r="C176" s="1440" t="s">
        <v>968</v>
      </c>
      <c r="D176" s="1272"/>
      <c r="E176" s="1209"/>
      <c r="F176" s="1822"/>
      <c r="G176" s="1822"/>
      <c r="H176" s="1281"/>
      <c r="I176" s="1279"/>
      <c r="J176" s="1209"/>
      <c r="K176" s="1822"/>
      <c r="L176" s="1822"/>
      <c r="M176" s="1281"/>
      <c r="N176" s="1279"/>
      <c r="O176" s="1202"/>
      <c r="P176" s="1204"/>
      <c r="Q176" s="1204"/>
      <c r="R176" s="1205"/>
      <c r="S176" s="64"/>
      <c r="T176" s="1202"/>
      <c r="U176" s="1204"/>
      <c r="V176" s="1204"/>
      <c r="W176" s="1205"/>
      <c r="X176" s="64">
        <f>840+1186</f>
        <v>2026</v>
      </c>
      <c r="Y176" s="1202">
        <f t="shared" si="58"/>
        <v>2026</v>
      </c>
      <c r="Z176" s="1203">
        <f t="shared" si="58"/>
        <v>2026</v>
      </c>
      <c r="AA176" s="1203">
        <f t="shared" si="58"/>
        <v>2026</v>
      </c>
      <c r="AB176" s="1205">
        <f t="shared" si="58"/>
        <v>2026</v>
      </c>
      <c r="AC176" s="1258">
        <f>+X176</f>
        <v>2026</v>
      </c>
      <c r="AD176" s="1202">
        <f t="shared" si="59"/>
        <v>2026</v>
      </c>
      <c r="AE176" s="1203">
        <f t="shared" si="59"/>
        <v>2026</v>
      </c>
      <c r="AF176" s="1203">
        <f t="shared" si="59"/>
        <v>2026</v>
      </c>
      <c r="AG176" s="1205">
        <f t="shared" si="59"/>
        <v>2026</v>
      </c>
      <c r="AH176" s="1206">
        <f>+AC176</f>
        <v>2026</v>
      </c>
      <c r="AI176" s="1202">
        <f>AJ176</f>
        <v>2026</v>
      </c>
      <c r="AJ176" s="1203">
        <f>AK176</f>
        <v>2026</v>
      </c>
      <c r="AK176" s="1203">
        <f t="shared" si="60"/>
        <v>2026</v>
      </c>
      <c r="AL176" s="1205">
        <f t="shared" si="60"/>
        <v>2026</v>
      </c>
      <c r="AM176" s="1206">
        <f>+AH176</f>
        <v>2026</v>
      </c>
      <c r="AN176" s="1202">
        <f>AO176</f>
        <v>2026</v>
      </c>
      <c r="AO176" s="1204">
        <f>AP176</f>
        <v>2026</v>
      </c>
      <c r="AP176" s="1204">
        <f t="shared" si="61"/>
        <v>2026</v>
      </c>
      <c r="AQ176" s="1205">
        <f t="shared" si="61"/>
        <v>2026</v>
      </c>
      <c r="AR176" s="1206">
        <f>+AM176</f>
        <v>2026</v>
      </c>
      <c r="AS176" s="1202">
        <f>AR176</f>
        <v>2026</v>
      </c>
      <c r="AT176" s="1204">
        <f>AU176</f>
        <v>2026</v>
      </c>
      <c r="AU176" s="1204">
        <f t="shared" si="62"/>
        <v>2026</v>
      </c>
      <c r="AV176" s="1205">
        <f t="shared" si="62"/>
        <v>2026</v>
      </c>
      <c r="AW176" s="1206">
        <f>+AR176</f>
        <v>2026</v>
      </c>
      <c r="AX176" s="1202">
        <f>AY176</f>
        <v>2026</v>
      </c>
      <c r="AY176" s="1204">
        <f>AZ176</f>
        <v>2026</v>
      </c>
      <c r="AZ176" s="1204">
        <f t="shared" si="63"/>
        <v>2026</v>
      </c>
      <c r="BA176" s="1205">
        <f t="shared" si="63"/>
        <v>2026</v>
      </c>
      <c r="BB176" s="1206">
        <f>+AW176</f>
        <v>2026</v>
      </c>
      <c r="BC176" s="1202">
        <f>BD176</f>
        <v>2026</v>
      </c>
      <c r="BD176" s="1204">
        <f>BE176</f>
        <v>2026</v>
      </c>
      <c r="BE176" s="1204">
        <f t="shared" si="64"/>
        <v>2026</v>
      </c>
      <c r="BF176" s="1205">
        <f t="shared" si="64"/>
        <v>2026</v>
      </c>
      <c r="BG176" s="1206">
        <f>+BB176</f>
        <v>2026</v>
      </c>
      <c r="BH176" s="1202">
        <f>BI176</f>
        <v>2026</v>
      </c>
      <c r="BI176" s="1204">
        <f>BJ176</f>
        <v>2026</v>
      </c>
      <c r="BJ176" s="1204">
        <f t="shared" si="65"/>
        <v>2026</v>
      </c>
      <c r="BK176" s="1205">
        <f t="shared" si="65"/>
        <v>2026</v>
      </c>
      <c r="BL176" s="1206">
        <f>+BG176</f>
        <v>2026</v>
      </c>
      <c r="BM176" s="1202">
        <f>BN176</f>
        <v>2026</v>
      </c>
      <c r="BN176" s="1204">
        <f>BO176</f>
        <v>2026</v>
      </c>
      <c r="BO176" s="1204">
        <f t="shared" si="66"/>
        <v>2026</v>
      </c>
      <c r="BP176" s="1205">
        <f t="shared" si="66"/>
        <v>2026</v>
      </c>
      <c r="BQ176" s="1206">
        <f>+BL176</f>
        <v>2026</v>
      </c>
      <c r="BR176" s="1272"/>
      <c r="BS176" s="1272"/>
      <c r="BT176" s="1272"/>
      <c r="BU176" s="1272"/>
      <c r="BV176" s="1272"/>
      <c r="BW176"/>
      <c r="BX176"/>
      <c r="BY176" s="1272"/>
      <c r="BZ176" s="1272"/>
    </row>
    <row r="177" spans="3:78" s="56" customFormat="1" outlineLevel="1">
      <c r="C177" s="1440" t="s">
        <v>969</v>
      </c>
      <c r="D177" s="1272"/>
      <c r="E177" s="1209"/>
      <c r="F177" s="1822"/>
      <c r="G177" s="1822"/>
      <c r="H177" s="1281"/>
      <c r="I177" s="1279"/>
      <c r="J177" s="1209"/>
      <c r="K177" s="1822"/>
      <c r="L177" s="1822"/>
      <c r="M177" s="1281"/>
      <c r="N177" s="1279"/>
      <c r="O177" s="1202"/>
      <c r="P177" s="1204"/>
      <c r="Q177" s="1204"/>
      <c r="R177" s="1205"/>
      <c r="S177" s="64"/>
      <c r="T177" s="1202"/>
      <c r="U177" s="1204"/>
      <c r="V177" s="1204"/>
      <c r="W177" s="1205"/>
      <c r="X177" s="64">
        <v>507</v>
      </c>
      <c r="Y177" s="1202">
        <f t="shared" si="58"/>
        <v>507</v>
      </c>
      <c r="Z177" s="1203">
        <f t="shared" si="58"/>
        <v>507</v>
      </c>
      <c r="AA177" s="1203">
        <f t="shared" si="58"/>
        <v>507</v>
      </c>
      <c r="AB177" s="1205">
        <f t="shared" si="58"/>
        <v>507</v>
      </c>
      <c r="AC177" s="1258">
        <f>+X177</f>
        <v>507</v>
      </c>
      <c r="AD177" s="1202">
        <f t="shared" si="59"/>
        <v>507</v>
      </c>
      <c r="AE177" s="1203">
        <f t="shared" si="59"/>
        <v>507</v>
      </c>
      <c r="AF177" s="1203">
        <f t="shared" si="59"/>
        <v>507</v>
      </c>
      <c r="AG177" s="1205">
        <f t="shared" si="59"/>
        <v>507</v>
      </c>
      <c r="AH177" s="1206">
        <f>+AC177</f>
        <v>507</v>
      </c>
      <c r="AI177" s="1202">
        <f>AJ177</f>
        <v>507</v>
      </c>
      <c r="AJ177" s="1203">
        <f>AK177</f>
        <v>507</v>
      </c>
      <c r="AK177" s="1203">
        <f t="shared" si="60"/>
        <v>507</v>
      </c>
      <c r="AL177" s="1205">
        <f t="shared" si="60"/>
        <v>507</v>
      </c>
      <c r="AM177" s="1206">
        <f>+AH177</f>
        <v>507</v>
      </c>
      <c r="AN177" s="1202">
        <f>AO177</f>
        <v>507</v>
      </c>
      <c r="AO177" s="1204">
        <f>AP177</f>
        <v>507</v>
      </c>
      <c r="AP177" s="1204">
        <f t="shared" si="61"/>
        <v>507</v>
      </c>
      <c r="AQ177" s="1205">
        <f t="shared" si="61"/>
        <v>507</v>
      </c>
      <c r="AR177" s="1206">
        <f>+AM177</f>
        <v>507</v>
      </c>
      <c r="AS177" s="1202">
        <f>AR177</f>
        <v>507</v>
      </c>
      <c r="AT177" s="1204">
        <f>AU177</f>
        <v>507</v>
      </c>
      <c r="AU177" s="1204">
        <f t="shared" si="62"/>
        <v>507</v>
      </c>
      <c r="AV177" s="1205">
        <f t="shared" si="62"/>
        <v>507</v>
      </c>
      <c r="AW177" s="1206">
        <f>+AR177</f>
        <v>507</v>
      </c>
      <c r="AX177" s="1202">
        <f>AY177</f>
        <v>507</v>
      </c>
      <c r="AY177" s="1204">
        <f>AZ177</f>
        <v>507</v>
      </c>
      <c r="AZ177" s="1204">
        <f t="shared" si="63"/>
        <v>507</v>
      </c>
      <c r="BA177" s="1205">
        <f t="shared" si="63"/>
        <v>507</v>
      </c>
      <c r="BB177" s="1206">
        <f>+AW177</f>
        <v>507</v>
      </c>
      <c r="BC177" s="1202">
        <f>BD177</f>
        <v>507</v>
      </c>
      <c r="BD177" s="1204">
        <f>BE177</f>
        <v>507</v>
      </c>
      <c r="BE177" s="1204">
        <f t="shared" si="64"/>
        <v>507</v>
      </c>
      <c r="BF177" s="1205">
        <f t="shared" si="64"/>
        <v>507</v>
      </c>
      <c r="BG177" s="1206">
        <f>+BB177</f>
        <v>507</v>
      </c>
      <c r="BH177" s="1202">
        <f>BI177</f>
        <v>507</v>
      </c>
      <c r="BI177" s="1204">
        <f>BJ177</f>
        <v>507</v>
      </c>
      <c r="BJ177" s="1204">
        <f t="shared" si="65"/>
        <v>507</v>
      </c>
      <c r="BK177" s="1205">
        <f t="shared" si="65"/>
        <v>507</v>
      </c>
      <c r="BL177" s="1206">
        <f>+BG177</f>
        <v>507</v>
      </c>
      <c r="BM177" s="1202">
        <f>BN177</f>
        <v>507</v>
      </c>
      <c r="BN177" s="1204">
        <f>BO177</f>
        <v>507</v>
      </c>
      <c r="BO177" s="1204">
        <f t="shared" si="66"/>
        <v>507</v>
      </c>
      <c r="BP177" s="1205">
        <f t="shared" si="66"/>
        <v>507</v>
      </c>
      <c r="BQ177" s="1206">
        <f>+BL177</f>
        <v>507</v>
      </c>
      <c r="BR177" s="1272"/>
      <c r="BS177" s="1272"/>
      <c r="BT177" s="1272"/>
      <c r="BU177" s="1272"/>
      <c r="BV177" s="1272"/>
      <c r="BW177"/>
      <c r="BX177"/>
      <c r="BY177" s="1272"/>
      <c r="BZ177" s="1272"/>
    </row>
    <row r="178" spans="3:78" s="56" customFormat="1" outlineLevel="1">
      <c r="C178" s="1440" t="s">
        <v>48</v>
      </c>
      <c r="D178" s="1272"/>
      <c r="E178" s="1209"/>
      <c r="F178" s="1822"/>
      <c r="G178" s="1822"/>
      <c r="H178" s="1281"/>
      <c r="I178" s="1279"/>
      <c r="J178" s="1209"/>
      <c r="K178" s="1822"/>
      <c r="L178" s="1822"/>
      <c r="M178" s="1281"/>
      <c r="N178" s="1279"/>
      <c r="O178" s="1202"/>
      <c r="P178" s="1204"/>
      <c r="Q178" s="1204"/>
      <c r="R178" s="1205"/>
      <c r="S178" s="1206"/>
      <c r="T178" s="1202"/>
      <c r="U178" s="1204"/>
      <c r="V178" s="1204"/>
      <c r="W178" s="1205"/>
      <c r="X178" s="1206">
        <f>SUM(X174:X177)</f>
        <v>13011</v>
      </c>
      <c r="Y178" s="1202">
        <f t="shared" ref="Y178:AL178" si="67">SUM(Y174:Y177)</f>
        <v>13011</v>
      </c>
      <c r="Z178" s="1203">
        <f t="shared" si="67"/>
        <v>13011</v>
      </c>
      <c r="AA178" s="1203">
        <f t="shared" si="67"/>
        <v>13011</v>
      </c>
      <c r="AB178" s="1205">
        <f t="shared" si="67"/>
        <v>13011</v>
      </c>
      <c r="AC178" s="1206">
        <f t="shared" si="67"/>
        <v>13011</v>
      </c>
      <c r="AD178" s="1202">
        <f t="shared" si="67"/>
        <v>11391</v>
      </c>
      <c r="AE178" s="1203">
        <f t="shared" si="67"/>
        <v>11391</v>
      </c>
      <c r="AF178" s="1203">
        <f t="shared" si="67"/>
        <v>11391</v>
      </c>
      <c r="AG178" s="1205">
        <f t="shared" si="67"/>
        <v>11391</v>
      </c>
      <c r="AH178" s="1206">
        <f>SUM(AH174:AH177)</f>
        <v>11391</v>
      </c>
      <c r="AI178" s="1202">
        <f t="shared" si="67"/>
        <v>11391</v>
      </c>
      <c r="AJ178" s="1203">
        <f t="shared" si="67"/>
        <v>11391</v>
      </c>
      <c r="AK178" s="1203">
        <f>SUM(AK174:AK177)</f>
        <v>8888</v>
      </c>
      <c r="AL178" s="1205">
        <f t="shared" si="67"/>
        <v>8888</v>
      </c>
      <c r="AM178" s="1206">
        <f t="shared" ref="AM178:BL178" si="68">SUM(AM174:AM177)</f>
        <v>8888</v>
      </c>
      <c r="AN178" s="1202">
        <f t="shared" si="68"/>
        <v>8888</v>
      </c>
      <c r="AO178" s="1204">
        <f>SUM(AO174:AO177)</f>
        <v>8888</v>
      </c>
      <c r="AP178" s="1204">
        <f>SUM(AP174:AP177)</f>
        <v>8888</v>
      </c>
      <c r="AQ178" s="1205">
        <f>SUM(AQ174:AQ177)</f>
        <v>8888</v>
      </c>
      <c r="AR178" s="1206">
        <f>SUM(AR174:AR177)</f>
        <v>8888</v>
      </c>
      <c r="AS178" s="1202">
        <f t="shared" si="68"/>
        <v>8888</v>
      </c>
      <c r="AT178" s="1204">
        <f t="shared" si="68"/>
        <v>8888</v>
      </c>
      <c r="AU178" s="1204">
        <f t="shared" si="68"/>
        <v>8888</v>
      </c>
      <c r="AV178" s="1205">
        <f t="shared" si="68"/>
        <v>8888</v>
      </c>
      <c r="AW178" s="1206">
        <f t="shared" si="68"/>
        <v>8888</v>
      </c>
      <c r="AX178" s="1202">
        <f t="shared" si="68"/>
        <v>8888</v>
      </c>
      <c r="AY178" s="1204">
        <f t="shared" si="68"/>
        <v>8888</v>
      </c>
      <c r="AZ178" s="1204">
        <f t="shared" si="68"/>
        <v>8888</v>
      </c>
      <c r="BA178" s="1205">
        <f t="shared" si="68"/>
        <v>8888</v>
      </c>
      <c r="BB178" s="1206">
        <f t="shared" si="68"/>
        <v>8888</v>
      </c>
      <c r="BC178" s="1202">
        <f t="shared" si="68"/>
        <v>8888</v>
      </c>
      <c r="BD178" s="1204">
        <f t="shared" si="68"/>
        <v>8888</v>
      </c>
      <c r="BE178" s="1204">
        <f t="shared" si="68"/>
        <v>8888</v>
      </c>
      <c r="BF178" s="1205">
        <f t="shared" si="68"/>
        <v>8888</v>
      </c>
      <c r="BG178" s="1206">
        <f t="shared" si="68"/>
        <v>8888</v>
      </c>
      <c r="BH178" s="1202">
        <f t="shared" si="68"/>
        <v>8888</v>
      </c>
      <c r="BI178" s="1204">
        <f t="shared" si="68"/>
        <v>8888</v>
      </c>
      <c r="BJ178" s="1204">
        <f t="shared" si="68"/>
        <v>8888</v>
      </c>
      <c r="BK178" s="1205">
        <f t="shared" si="68"/>
        <v>8888</v>
      </c>
      <c r="BL178" s="1206">
        <f t="shared" si="68"/>
        <v>8888</v>
      </c>
      <c r="BM178" s="1202">
        <f>SUM(BM174:BM177)</f>
        <v>8888</v>
      </c>
      <c r="BN178" s="1204">
        <f>SUM(BN174:BN177)</f>
        <v>8888</v>
      </c>
      <c r="BO178" s="1204">
        <f>SUM(BO174:BO177)</f>
        <v>8888</v>
      </c>
      <c r="BP178" s="1205">
        <f>SUM(BP174:BP177)</f>
        <v>8888</v>
      </c>
      <c r="BQ178" s="1206">
        <f>SUM(BQ174:BQ177)</f>
        <v>8888</v>
      </c>
      <c r="BR178" s="1272"/>
      <c r="BS178" s="1272"/>
      <c r="BT178" s="1272"/>
      <c r="BU178" s="1272"/>
      <c r="BV178" s="1272"/>
      <c r="BW178"/>
      <c r="BX178"/>
      <c r="BY178" s="1272"/>
      <c r="BZ178" s="1272"/>
    </row>
    <row r="179" spans="3:78" s="56" customFormat="1" outlineLevel="1">
      <c r="C179" s="1440"/>
      <c r="D179" s="1272"/>
      <c r="E179" s="1209"/>
      <c r="F179" s="1822"/>
      <c r="G179" s="1822"/>
      <c r="H179" s="1281"/>
      <c r="I179" s="1279"/>
      <c r="J179" s="1209"/>
      <c r="K179" s="1822"/>
      <c r="L179" s="1822"/>
      <c r="M179" s="1281"/>
      <c r="N179" s="1279"/>
      <c r="O179" s="1202"/>
      <c r="P179" s="1204"/>
      <c r="Q179" s="1204"/>
      <c r="R179" s="1205"/>
      <c r="S179" s="1279"/>
      <c r="T179" s="1202"/>
      <c r="U179" s="1204"/>
      <c r="V179" s="1204"/>
      <c r="W179" s="1205"/>
      <c r="X179" s="1279"/>
      <c r="Y179" s="1209"/>
      <c r="Z179" s="1854"/>
      <c r="AA179" s="1854"/>
      <c r="AB179" s="1281"/>
      <c r="AC179" s="1279"/>
      <c r="AD179" s="1209"/>
      <c r="AE179" s="1854"/>
      <c r="AF179" s="1854"/>
      <c r="AG179" s="1281"/>
      <c r="AH179" s="1279"/>
      <c r="AI179" s="1209"/>
      <c r="AJ179" s="1854"/>
      <c r="AK179" s="1854"/>
      <c r="AL179" s="1281"/>
      <c r="AM179" s="1279"/>
      <c r="AN179" s="1202"/>
      <c r="AO179" s="1204"/>
      <c r="AP179" s="1204"/>
      <c r="AQ179" s="1281"/>
      <c r="AR179" s="1279"/>
      <c r="AS179" s="1202"/>
      <c r="AT179" s="1204"/>
      <c r="AU179" s="1204"/>
      <c r="AV179" s="1281"/>
      <c r="AW179" s="1279"/>
      <c r="AX179" s="1202"/>
      <c r="AY179" s="1204"/>
      <c r="AZ179" s="1204"/>
      <c r="BA179" s="1205"/>
      <c r="BB179" s="1279"/>
      <c r="BC179" s="1202"/>
      <c r="BD179" s="1204"/>
      <c r="BE179" s="1204"/>
      <c r="BF179" s="1205"/>
      <c r="BG179" s="1279"/>
      <c r="BH179" s="1202"/>
      <c r="BI179" s="1204"/>
      <c r="BJ179" s="1204"/>
      <c r="BK179" s="1205"/>
      <c r="BL179" s="1279"/>
      <c r="BM179" s="1202"/>
      <c r="BN179" s="1204"/>
      <c r="BO179" s="1204"/>
      <c r="BP179" s="1205"/>
      <c r="BQ179" s="1279"/>
      <c r="BR179" s="1272"/>
      <c r="BS179" s="1272"/>
      <c r="BT179" s="1272"/>
      <c r="BU179" s="1272"/>
      <c r="BV179" s="1272"/>
      <c r="BW179" s="1272"/>
      <c r="BX179" s="1272"/>
      <c r="BY179" s="1272"/>
      <c r="BZ179" s="1272"/>
    </row>
    <row r="180" spans="3:78" s="56" customFormat="1" outlineLevel="1">
      <c r="C180" s="1440" t="s">
        <v>974</v>
      </c>
      <c r="D180" s="1272"/>
      <c r="E180" s="1209"/>
      <c r="F180" s="1822"/>
      <c r="G180" s="1822"/>
      <c r="H180" s="1281"/>
      <c r="I180" s="1279"/>
      <c r="J180" s="1209"/>
      <c r="K180" s="1822"/>
      <c r="L180" s="1822"/>
      <c r="M180" s="1281"/>
      <c r="N180" s="1279"/>
      <c r="O180" s="1202"/>
      <c r="P180" s="1204"/>
      <c r="Q180" s="1204"/>
      <c r="R180" s="1205"/>
      <c r="S180" s="1279"/>
      <c r="T180" s="1202"/>
      <c r="U180" s="1204"/>
      <c r="V180" s="1204"/>
      <c r="W180" s="1205"/>
      <c r="X180" s="1279"/>
      <c r="Y180" s="1209"/>
      <c r="Z180" s="1854"/>
      <c r="AA180" s="1854"/>
      <c r="AB180" s="1281"/>
      <c r="AC180" s="1279"/>
      <c r="AD180" s="1209"/>
      <c r="AE180" s="1854"/>
      <c r="AF180" s="1854"/>
      <c r="AG180" s="1281"/>
      <c r="AH180" s="1279"/>
      <c r="AI180" s="1209"/>
      <c r="AJ180" s="1854"/>
      <c r="AK180" s="1854"/>
      <c r="AL180" s="1281"/>
      <c r="AM180" s="1279"/>
      <c r="AN180" s="1202"/>
      <c r="AO180" s="1204"/>
      <c r="AP180" s="1204"/>
      <c r="AQ180" s="1281"/>
      <c r="AR180" s="1279"/>
      <c r="AS180" s="1202"/>
      <c r="AT180" s="1204"/>
      <c r="AU180" s="1204"/>
      <c r="AV180" s="1281"/>
      <c r="AW180" s="1279"/>
      <c r="AX180" s="1202"/>
      <c r="AY180" s="1204"/>
      <c r="AZ180" s="1204"/>
      <c r="BA180" s="1205"/>
      <c r="BB180" s="1279"/>
      <c r="BC180" s="1202"/>
      <c r="BD180" s="1204"/>
      <c r="BE180" s="1204"/>
      <c r="BF180" s="1205"/>
      <c r="BG180" s="1279"/>
      <c r="BH180" s="1202"/>
      <c r="BI180" s="1204"/>
      <c r="BJ180" s="1204"/>
      <c r="BK180" s="1205"/>
      <c r="BL180" s="1279"/>
      <c r="BM180" s="1202"/>
      <c r="BN180" s="1204"/>
      <c r="BO180" s="1204"/>
      <c r="BP180" s="1205"/>
      <c r="BQ180" s="1279"/>
      <c r="BR180" s="1272"/>
      <c r="BS180" s="1272"/>
      <c r="BT180" s="1272"/>
      <c r="BU180" s="1272"/>
      <c r="BV180" s="1272"/>
      <c r="BW180" s="1272"/>
      <c r="BX180" s="1272"/>
      <c r="BY180" s="1272"/>
      <c r="BZ180" s="1272"/>
    </row>
    <row r="181" spans="3:78" s="56" customFormat="1" outlineLevel="1">
      <c r="C181" s="1440" t="s">
        <v>970</v>
      </c>
      <c r="D181" s="1272"/>
      <c r="E181" s="1209"/>
      <c r="F181" s="1822"/>
      <c r="G181" s="1822"/>
      <c r="H181" s="1281"/>
      <c r="I181" s="1279"/>
      <c r="J181" s="1209"/>
      <c r="K181" s="1822"/>
      <c r="L181" s="1822"/>
      <c r="M181" s="1281"/>
      <c r="N181" s="1279"/>
      <c r="O181" s="1202"/>
      <c r="P181" s="1204"/>
      <c r="Q181" s="1204"/>
      <c r="R181" s="1205"/>
      <c r="S181" s="87"/>
      <c r="T181" s="1202"/>
      <c r="U181" s="1204"/>
      <c r="V181" s="1204"/>
      <c r="W181" s="1205"/>
      <c r="X181" s="87">
        <v>0.6</v>
      </c>
      <c r="Y181" s="1276">
        <f>Z181</f>
        <v>0.65</v>
      </c>
      <c r="Z181" s="1860">
        <f>AA181</f>
        <v>0.65</v>
      </c>
      <c r="AA181" s="1860">
        <f>AB181</f>
        <v>0.65</v>
      </c>
      <c r="AB181" s="1282">
        <f>AC181</f>
        <v>0.65</v>
      </c>
      <c r="AC181" s="1353">
        <v>0.65</v>
      </c>
      <c r="AD181" s="1276">
        <f>AE181</f>
        <v>0.65</v>
      </c>
      <c r="AE181" s="1860">
        <f>AF181</f>
        <v>0.65</v>
      </c>
      <c r="AF181" s="1860">
        <f>AG181</f>
        <v>0.65</v>
      </c>
      <c r="AG181" s="1282">
        <f>AH181</f>
        <v>0.65</v>
      </c>
      <c r="AH181" s="87">
        <v>0.65</v>
      </c>
      <c r="AI181" s="1276">
        <v>0.72</v>
      </c>
      <c r="AJ181" s="1860">
        <v>0.6</v>
      </c>
      <c r="AK181" s="1860">
        <v>0.65</v>
      </c>
      <c r="AL181" s="1282">
        <v>0.65</v>
      </c>
      <c r="AM181" s="87">
        <v>0.55000000000000004</v>
      </c>
      <c r="AN181" s="1805">
        <f t="shared" ref="AN181:AP184" si="69">AO181</f>
        <v>0.65</v>
      </c>
      <c r="AO181" s="2">
        <f t="shared" si="69"/>
        <v>0.65</v>
      </c>
      <c r="AP181" s="2">
        <f t="shared" si="69"/>
        <v>0.65</v>
      </c>
      <c r="AQ181" s="1282">
        <v>0.65</v>
      </c>
      <c r="AR181" s="87">
        <v>0.55000000000000004</v>
      </c>
      <c r="AS181" s="1805">
        <f t="shared" ref="AS181:AV184" si="70">AT181</f>
        <v>0.6</v>
      </c>
      <c r="AT181" s="2">
        <f t="shared" si="70"/>
        <v>0.6</v>
      </c>
      <c r="AU181" s="2">
        <f t="shared" si="70"/>
        <v>0.6</v>
      </c>
      <c r="AV181" s="1282">
        <f t="shared" si="70"/>
        <v>0.6</v>
      </c>
      <c r="AW181" s="1581">
        <v>0.6</v>
      </c>
      <c r="AX181" s="1805">
        <f t="shared" ref="AX181:BA184" si="71">AY181</f>
        <v>0.65</v>
      </c>
      <c r="AY181" s="2">
        <f t="shared" si="71"/>
        <v>0.65</v>
      </c>
      <c r="AZ181" s="2">
        <f t="shared" si="71"/>
        <v>0.65</v>
      </c>
      <c r="BA181" s="1807">
        <f t="shared" si="71"/>
        <v>0.65</v>
      </c>
      <c r="BB181" s="1581">
        <v>0.65</v>
      </c>
      <c r="BC181" s="1805">
        <f t="shared" ref="BC181:BF184" si="72">BD181</f>
        <v>0.65</v>
      </c>
      <c r="BD181" s="2">
        <f t="shared" si="72"/>
        <v>0.65</v>
      </c>
      <c r="BE181" s="2">
        <f t="shared" si="72"/>
        <v>0.65</v>
      </c>
      <c r="BF181" s="1807">
        <f t="shared" si="72"/>
        <v>0.65</v>
      </c>
      <c r="BG181" s="1581">
        <v>0.65</v>
      </c>
      <c r="BH181" s="1805">
        <f t="shared" ref="BH181:BK184" si="73">BI181</f>
        <v>0.65</v>
      </c>
      <c r="BI181" s="2">
        <f t="shared" si="73"/>
        <v>0.65</v>
      </c>
      <c r="BJ181" s="2">
        <f t="shared" si="73"/>
        <v>0.65</v>
      </c>
      <c r="BK181" s="1807">
        <f t="shared" si="73"/>
        <v>0.65</v>
      </c>
      <c r="BL181" s="1581">
        <v>0.65</v>
      </c>
      <c r="BM181" s="1805">
        <f t="shared" ref="BM181:BP184" si="74">BN181</f>
        <v>0.65</v>
      </c>
      <c r="BN181" s="2">
        <f t="shared" si="74"/>
        <v>0.65</v>
      </c>
      <c r="BO181" s="2">
        <f t="shared" si="74"/>
        <v>0.65</v>
      </c>
      <c r="BP181" s="1807">
        <f t="shared" si="74"/>
        <v>0.65</v>
      </c>
      <c r="BQ181" s="1581">
        <v>0.65</v>
      </c>
      <c r="BR181" s="1272"/>
      <c r="BS181" s="1272"/>
      <c r="BT181" s="1272"/>
      <c r="BU181" s="1272"/>
      <c r="BV181" s="1272"/>
      <c r="BW181" s="1272"/>
      <c r="BX181" s="1272"/>
      <c r="BY181" s="1272"/>
      <c r="BZ181" s="1272"/>
    </row>
    <row r="182" spans="3:78" s="56" customFormat="1" outlineLevel="1">
      <c r="C182" s="1440" t="s">
        <v>977</v>
      </c>
      <c r="D182" s="1272"/>
      <c r="E182" s="1209"/>
      <c r="F182" s="1822"/>
      <c r="G182" s="1822"/>
      <c r="H182" s="1281"/>
      <c r="I182" s="1279"/>
      <c r="J182" s="1209"/>
      <c r="K182" s="1822"/>
      <c r="L182" s="1822"/>
      <c r="M182" s="1281"/>
      <c r="N182" s="1279"/>
      <c r="O182" s="1202"/>
      <c r="P182" s="1204"/>
      <c r="Q182" s="1204"/>
      <c r="R182" s="1205"/>
      <c r="S182" s="87"/>
      <c r="T182" s="1202"/>
      <c r="U182" s="1204"/>
      <c r="V182" s="1204"/>
      <c r="W182" s="1205"/>
      <c r="X182" s="87">
        <v>0.1</v>
      </c>
      <c r="Y182" s="1276">
        <f t="shared" ref="Y182:AB184" si="75">Z182</f>
        <v>0.2</v>
      </c>
      <c r="Z182" s="1860">
        <f t="shared" si="75"/>
        <v>0.2</v>
      </c>
      <c r="AA182" s="1860">
        <f t="shared" si="75"/>
        <v>0.2</v>
      </c>
      <c r="AB182" s="1282">
        <f t="shared" si="75"/>
        <v>0.2</v>
      </c>
      <c r="AC182" s="1353">
        <v>0.2</v>
      </c>
      <c r="AD182" s="1276">
        <f t="shared" ref="AD182:AG184" si="76">AE182</f>
        <v>0.2</v>
      </c>
      <c r="AE182" s="1860">
        <f t="shared" si="76"/>
        <v>0.2</v>
      </c>
      <c r="AF182" s="1860">
        <f t="shared" si="76"/>
        <v>0.2</v>
      </c>
      <c r="AG182" s="1282">
        <f t="shared" si="76"/>
        <v>0.2</v>
      </c>
      <c r="AH182" s="87">
        <v>0.2</v>
      </c>
      <c r="AI182" s="1276">
        <f t="shared" ref="AI182:AL184" si="77">AJ182</f>
        <v>0.2</v>
      </c>
      <c r="AJ182" s="1860">
        <f t="shared" si="77"/>
        <v>0.2</v>
      </c>
      <c r="AK182" s="1860">
        <f t="shared" si="77"/>
        <v>0.2</v>
      </c>
      <c r="AL182" s="1282">
        <f t="shared" si="77"/>
        <v>0.2</v>
      </c>
      <c r="AM182" s="87">
        <v>0.2</v>
      </c>
      <c r="AN182" s="1805">
        <f t="shared" si="69"/>
        <v>0.2</v>
      </c>
      <c r="AO182" s="2">
        <f t="shared" si="69"/>
        <v>0.2</v>
      </c>
      <c r="AP182" s="2">
        <f t="shared" si="69"/>
        <v>0.2</v>
      </c>
      <c r="AQ182" s="1282">
        <f>AR182</f>
        <v>0.2</v>
      </c>
      <c r="AR182" s="87">
        <v>0.2</v>
      </c>
      <c r="AS182" s="1805">
        <f t="shared" si="70"/>
        <v>0.2</v>
      </c>
      <c r="AT182" s="2">
        <f t="shared" si="70"/>
        <v>0.2</v>
      </c>
      <c r="AU182" s="2">
        <f t="shared" si="70"/>
        <v>0.2</v>
      </c>
      <c r="AV182" s="1282">
        <f t="shared" si="70"/>
        <v>0.2</v>
      </c>
      <c r="AW182" s="1581">
        <v>0.2</v>
      </c>
      <c r="AX182" s="1805">
        <f t="shared" si="71"/>
        <v>0.2</v>
      </c>
      <c r="AY182" s="2">
        <f t="shared" si="71"/>
        <v>0.2</v>
      </c>
      <c r="AZ182" s="2">
        <f t="shared" si="71"/>
        <v>0.2</v>
      </c>
      <c r="BA182" s="1807">
        <f t="shared" si="71"/>
        <v>0.2</v>
      </c>
      <c r="BB182" s="1581">
        <v>0.2</v>
      </c>
      <c r="BC182" s="1805">
        <f t="shared" si="72"/>
        <v>0.2</v>
      </c>
      <c r="BD182" s="2">
        <f t="shared" si="72"/>
        <v>0.2</v>
      </c>
      <c r="BE182" s="2">
        <f t="shared" si="72"/>
        <v>0.2</v>
      </c>
      <c r="BF182" s="1807">
        <f t="shared" si="72"/>
        <v>0.2</v>
      </c>
      <c r="BG182" s="1581">
        <v>0.2</v>
      </c>
      <c r="BH182" s="1805">
        <f t="shared" si="73"/>
        <v>0.2</v>
      </c>
      <c r="BI182" s="2">
        <f t="shared" si="73"/>
        <v>0.2</v>
      </c>
      <c r="BJ182" s="2">
        <f t="shared" si="73"/>
        <v>0.2</v>
      </c>
      <c r="BK182" s="1807">
        <f t="shared" si="73"/>
        <v>0.2</v>
      </c>
      <c r="BL182" s="1581">
        <v>0.2</v>
      </c>
      <c r="BM182" s="1805">
        <f t="shared" si="74"/>
        <v>0.2</v>
      </c>
      <c r="BN182" s="2">
        <f t="shared" si="74"/>
        <v>0.2</v>
      </c>
      <c r="BO182" s="2">
        <f t="shared" si="74"/>
        <v>0.2</v>
      </c>
      <c r="BP182" s="1807">
        <f t="shared" si="74"/>
        <v>0.2</v>
      </c>
      <c r="BQ182" s="1581">
        <v>0.2</v>
      </c>
      <c r="BR182" s="1272"/>
      <c r="BS182" s="1272"/>
      <c r="BT182" s="1272"/>
      <c r="BU182" s="1272"/>
      <c r="BV182" s="1272"/>
      <c r="BW182" s="1272"/>
      <c r="BX182" s="1272"/>
      <c r="BY182" s="1272"/>
      <c r="BZ182" s="1272"/>
    </row>
    <row r="183" spans="3:78" s="56" customFormat="1" outlineLevel="1">
      <c r="C183" s="1440" t="s">
        <v>968</v>
      </c>
      <c r="D183" s="1272"/>
      <c r="E183" s="1209"/>
      <c r="F183" s="1822"/>
      <c r="G183" s="1822"/>
      <c r="H183" s="1281"/>
      <c r="I183" s="1279"/>
      <c r="J183" s="1209"/>
      <c r="K183" s="1822"/>
      <c r="L183" s="1822"/>
      <c r="M183" s="1281"/>
      <c r="N183" s="1279"/>
      <c r="O183" s="1202"/>
      <c r="P183" s="1204"/>
      <c r="Q183" s="1204"/>
      <c r="R183" s="1205"/>
      <c r="S183" s="87"/>
      <c r="T183" s="1202"/>
      <c r="U183" s="1204"/>
      <c r="V183" s="1204"/>
      <c r="W183" s="1205"/>
      <c r="X183" s="87">
        <v>0.5</v>
      </c>
      <c r="Y183" s="1276">
        <f t="shared" si="75"/>
        <v>0.5</v>
      </c>
      <c r="Z183" s="1860">
        <f t="shared" si="75"/>
        <v>0.5</v>
      </c>
      <c r="AA183" s="1860">
        <f t="shared" si="75"/>
        <v>0.5</v>
      </c>
      <c r="AB183" s="1282">
        <f t="shared" si="75"/>
        <v>0.5</v>
      </c>
      <c r="AC183" s="1353">
        <v>0.5</v>
      </c>
      <c r="AD183" s="1276">
        <f t="shared" si="76"/>
        <v>0.5</v>
      </c>
      <c r="AE183" s="1860">
        <f t="shared" si="76"/>
        <v>0.5</v>
      </c>
      <c r="AF183" s="1860">
        <f t="shared" si="76"/>
        <v>0.5</v>
      </c>
      <c r="AG183" s="1282">
        <f t="shared" si="76"/>
        <v>0.5</v>
      </c>
      <c r="AH183" s="87">
        <v>0.5</v>
      </c>
      <c r="AI183" s="1276">
        <v>0.6</v>
      </c>
      <c r="AJ183" s="1860">
        <v>0.57999999999999996</v>
      </c>
      <c r="AK183" s="1860">
        <v>0.6</v>
      </c>
      <c r="AL183" s="1282">
        <f t="shared" si="77"/>
        <v>0.55000000000000004</v>
      </c>
      <c r="AM183" s="87">
        <v>0.55000000000000004</v>
      </c>
      <c r="AN183" s="1805">
        <f t="shared" si="69"/>
        <v>0.55000000000000004</v>
      </c>
      <c r="AO183" s="2">
        <f t="shared" si="69"/>
        <v>0.55000000000000004</v>
      </c>
      <c r="AP183" s="2">
        <f t="shared" si="69"/>
        <v>0.55000000000000004</v>
      </c>
      <c r="AQ183" s="1282">
        <f>AR183</f>
        <v>0.55000000000000004</v>
      </c>
      <c r="AR183" s="87">
        <v>0.55000000000000004</v>
      </c>
      <c r="AS183" s="1805">
        <f t="shared" si="70"/>
        <v>0.7</v>
      </c>
      <c r="AT183" s="2">
        <f t="shared" si="70"/>
        <v>0.7</v>
      </c>
      <c r="AU183" s="2">
        <f t="shared" si="70"/>
        <v>0.7</v>
      </c>
      <c r="AV183" s="1282">
        <f t="shared" si="70"/>
        <v>0.7</v>
      </c>
      <c r="AW183" s="1581">
        <v>0.7</v>
      </c>
      <c r="AX183" s="1805">
        <f t="shared" si="71"/>
        <v>0.65</v>
      </c>
      <c r="AY183" s="2">
        <f t="shared" si="71"/>
        <v>0.65</v>
      </c>
      <c r="AZ183" s="2">
        <f t="shared" si="71"/>
        <v>0.65</v>
      </c>
      <c r="BA183" s="1807">
        <f t="shared" si="71"/>
        <v>0.65</v>
      </c>
      <c r="BB183" s="1581">
        <v>0.65</v>
      </c>
      <c r="BC183" s="1805">
        <f t="shared" si="72"/>
        <v>0.65</v>
      </c>
      <c r="BD183" s="2">
        <f t="shared" si="72"/>
        <v>0.65</v>
      </c>
      <c r="BE183" s="2">
        <f t="shared" si="72"/>
        <v>0.65</v>
      </c>
      <c r="BF183" s="1807">
        <f t="shared" si="72"/>
        <v>0.65</v>
      </c>
      <c r="BG183" s="1581">
        <v>0.65</v>
      </c>
      <c r="BH183" s="1805">
        <f t="shared" si="73"/>
        <v>0.65</v>
      </c>
      <c r="BI183" s="2">
        <f t="shared" si="73"/>
        <v>0.65</v>
      </c>
      <c r="BJ183" s="2">
        <f t="shared" si="73"/>
        <v>0.65</v>
      </c>
      <c r="BK183" s="1807">
        <f t="shared" si="73"/>
        <v>0.65</v>
      </c>
      <c r="BL183" s="1581">
        <v>0.65</v>
      </c>
      <c r="BM183" s="1805">
        <f t="shared" si="74"/>
        <v>0.65</v>
      </c>
      <c r="BN183" s="2">
        <f t="shared" si="74"/>
        <v>0.65</v>
      </c>
      <c r="BO183" s="2">
        <f t="shared" si="74"/>
        <v>0.65</v>
      </c>
      <c r="BP183" s="1807">
        <f t="shared" si="74"/>
        <v>0.65</v>
      </c>
      <c r="BQ183" s="1581">
        <v>0.65</v>
      </c>
      <c r="BR183" s="1272"/>
      <c r="BS183" s="1272"/>
      <c r="BT183" s="1272"/>
      <c r="BU183" s="1272"/>
      <c r="BV183" s="1272"/>
      <c r="BW183" s="1272"/>
      <c r="BX183" s="1272"/>
      <c r="BY183" s="1272"/>
      <c r="BZ183" s="1272"/>
    </row>
    <row r="184" spans="3:78" s="56" customFormat="1" outlineLevel="1">
      <c r="C184" s="1440" t="s">
        <v>969</v>
      </c>
      <c r="D184" s="1272"/>
      <c r="E184" s="1209"/>
      <c r="F184" s="1822"/>
      <c r="G184" s="1822"/>
      <c r="H184" s="1281"/>
      <c r="I184" s="1279"/>
      <c r="J184" s="1209"/>
      <c r="K184" s="1822"/>
      <c r="L184" s="1822"/>
      <c r="M184" s="1281"/>
      <c r="N184" s="1279"/>
      <c r="O184" s="1202"/>
      <c r="P184" s="1204"/>
      <c r="Q184" s="1204"/>
      <c r="R184" s="1205"/>
      <c r="S184" s="87"/>
      <c r="T184" s="1202"/>
      <c r="U184" s="1204"/>
      <c r="V184" s="1204"/>
      <c r="W184" s="1205"/>
      <c r="X184" s="87">
        <v>0</v>
      </c>
      <c r="Y184" s="1276">
        <f t="shared" si="75"/>
        <v>0</v>
      </c>
      <c r="Z184" s="1860">
        <f t="shared" si="75"/>
        <v>0</v>
      </c>
      <c r="AA184" s="1860">
        <f t="shared" si="75"/>
        <v>0</v>
      </c>
      <c r="AB184" s="1282">
        <f t="shared" si="75"/>
        <v>0</v>
      </c>
      <c r="AC184" s="1353">
        <v>0</v>
      </c>
      <c r="AD184" s="1276">
        <f t="shared" si="76"/>
        <v>0</v>
      </c>
      <c r="AE184" s="1860">
        <f t="shared" si="76"/>
        <v>0</v>
      </c>
      <c r="AF184" s="1860">
        <f t="shared" si="76"/>
        <v>0</v>
      </c>
      <c r="AG184" s="1282">
        <f t="shared" si="76"/>
        <v>0</v>
      </c>
      <c r="AH184" s="87">
        <v>0</v>
      </c>
      <c r="AI184" s="1276">
        <f>AJ184</f>
        <v>0</v>
      </c>
      <c r="AJ184" s="1860">
        <f>AK184</f>
        <v>0</v>
      </c>
      <c r="AK184" s="1860">
        <f>AL184</f>
        <v>0</v>
      </c>
      <c r="AL184" s="1282">
        <f t="shared" si="77"/>
        <v>0</v>
      </c>
      <c r="AM184" s="87">
        <v>0</v>
      </c>
      <c r="AN184" s="1805">
        <f t="shared" si="69"/>
        <v>0</v>
      </c>
      <c r="AO184" s="2">
        <f t="shared" si="69"/>
        <v>0</v>
      </c>
      <c r="AP184" s="2">
        <f t="shared" si="69"/>
        <v>0</v>
      </c>
      <c r="AQ184" s="1282">
        <f>AR184</f>
        <v>0</v>
      </c>
      <c r="AR184" s="87">
        <v>0</v>
      </c>
      <c r="AS184" s="1805">
        <f t="shared" si="70"/>
        <v>0</v>
      </c>
      <c r="AT184" s="2">
        <f t="shared" si="70"/>
        <v>0</v>
      </c>
      <c r="AU184" s="2">
        <f t="shared" si="70"/>
        <v>0</v>
      </c>
      <c r="AV184" s="1282">
        <f t="shared" si="70"/>
        <v>0</v>
      </c>
      <c r="AW184" s="1581">
        <v>0</v>
      </c>
      <c r="AX184" s="1805">
        <f t="shared" si="71"/>
        <v>0</v>
      </c>
      <c r="AY184" s="2">
        <f t="shared" si="71"/>
        <v>0</v>
      </c>
      <c r="AZ184" s="2">
        <f t="shared" si="71"/>
        <v>0</v>
      </c>
      <c r="BA184" s="1807">
        <f t="shared" si="71"/>
        <v>0</v>
      </c>
      <c r="BB184" s="1581">
        <v>0</v>
      </c>
      <c r="BC184" s="1805">
        <f t="shared" si="72"/>
        <v>0</v>
      </c>
      <c r="BD184" s="2">
        <f t="shared" si="72"/>
        <v>0</v>
      </c>
      <c r="BE184" s="2">
        <f t="shared" si="72"/>
        <v>0</v>
      </c>
      <c r="BF184" s="1807">
        <f t="shared" si="72"/>
        <v>0</v>
      </c>
      <c r="BG184" s="1581">
        <v>0</v>
      </c>
      <c r="BH184" s="1805">
        <f t="shared" si="73"/>
        <v>0</v>
      </c>
      <c r="BI184" s="2">
        <f t="shared" si="73"/>
        <v>0</v>
      </c>
      <c r="BJ184" s="2">
        <f t="shared" si="73"/>
        <v>0</v>
      </c>
      <c r="BK184" s="1807">
        <f t="shared" si="73"/>
        <v>0</v>
      </c>
      <c r="BL184" s="1581">
        <v>0</v>
      </c>
      <c r="BM184" s="1805">
        <f t="shared" si="74"/>
        <v>0</v>
      </c>
      <c r="BN184" s="2">
        <f t="shared" si="74"/>
        <v>0</v>
      </c>
      <c r="BO184" s="2">
        <f t="shared" si="74"/>
        <v>0</v>
      </c>
      <c r="BP184" s="1807">
        <f t="shared" si="74"/>
        <v>0</v>
      </c>
      <c r="BQ184" s="1581">
        <v>0</v>
      </c>
      <c r="BR184" s="1272"/>
      <c r="BS184" s="1272"/>
      <c r="BT184" s="1272"/>
      <c r="BU184" s="1272"/>
      <c r="BV184" s="1272"/>
      <c r="BW184" s="1272"/>
      <c r="BX184" s="1272"/>
      <c r="BY184" s="1272"/>
      <c r="BZ184" s="1272"/>
    </row>
    <row r="185" spans="3:78" s="56" customFormat="1" outlineLevel="1">
      <c r="C185" s="1440" t="s">
        <v>349</v>
      </c>
      <c r="D185" s="1272"/>
      <c r="E185" s="1209"/>
      <c r="F185" s="1822"/>
      <c r="G185" s="1822"/>
      <c r="H185" s="1281"/>
      <c r="I185" s="1279"/>
      <c r="J185" s="1209"/>
      <c r="K185" s="1822"/>
      <c r="L185" s="1822"/>
      <c r="M185" s="1281"/>
      <c r="N185" s="1279"/>
      <c r="O185" s="1202"/>
      <c r="P185" s="1204"/>
      <c r="Q185" s="1204"/>
      <c r="R185" s="1205"/>
      <c r="S185" s="1283"/>
      <c r="T185" s="1202"/>
      <c r="U185" s="1204"/>
      <c r="V185" s="1204"/>
      <c r="W185" s="1205"/>
      <c r="X185" s="1283">
        <f t="shared" ref="X185:AL185" si="78">X192/(X178*8.76)</f>
        <v>0.46486050265160245</v>
      </c>
      <c r="Y185" s="1276">
        <f t="shared" si="78"/>
        <v>0.51474521558681119</v>
      </c>
      <c r="Z185" s="1860">
        <f t="shared" si="78"/>
        <v>0.51474521558681119</v>
      </c>
      <c r="AA185" s="1860">
        <f t="shared" si="78"/>
        <v>0.51474521558681119</v>
      </c>
      <c r="AB185" s="1282">
        <f t="shared" si="78"/>
        <v>0.51474521558681119</v>
      </c>
      <c r="AC185" s="1283">
        <f t="shared" si="78"/>
        <v>0.51474521558681119</v>
      </c>
      <c r="AD185" s="1276">
        <f t="shared" si="78"/>
        <v>0.49550961285225176</v>
      </c>
      <c r="AE185" s="1860">
        <f t="shared" si="78"/>
        <v>0.49550961285225176</v>
      </c>
      <c r="AF185" s="1860">
        <f t="shared" si="78"/>
        <v>0.49550961285225176</v>
      </c>
      <c r="AG185" s="1282">
        <f t="shared" si="78"/>
        <v>0.49550961285225176</v>
      </c>
      <c r="AH185" s="1283">
        <f>AH192/(AH178*8.76)</f>
        <v>0.49550961285225176</v>
      </c>
      <c r="AI185" s="1276">
        <f t="shared" si="78"/>
        <v>0.13808708629619873</v>
      </c>
      <c r="AJ185" s="1860">
        <f t="shared" si="78"/>
        <v>0.12046089017645509</v>
      </c>
      <c r="AK185" s="1860">
        <f t="shared" si="78"/>
        <v>0.1503811318631863</v>
      </c>
      <c r="AL185" s="1282">
        <f t="shared" si="78"/>
        <v>0.14753178442844286</v>
      </c>
      <c r="AM185" s="1283">
        <f>AM192/(AM178*8.76)</f>
        <v>0.62927205220522053</v>
      </c>
      <c r="AN185" s="1805">
        <f t="shared" ref="AN185:BL185" si="79">AN192/(AN178*8.76)</f>
        <v>0.14753178442844286</v>
      </c>
      <c r="AO185" s="2">
        <f t="shared" si="79"/>
        <v>0.14753178442844286</v>
      </c>
      <c r="AP185" s="2">
        <f t="shared" si="79"/>
        <v>0.14753178442844286</v>
      </c>
      <c r="AQ185" s="1282">
        <f t="shared" si="79"/>
        <v>0.14753178442844286</v>
      </c>
      <c r="AR185" s="1283">
        <f>AR192/(AR178*8.76)</f>
        <v>0.59012713771377145</v>
      </c>
      <c r="AS185" s="1805">
        <f t="shared" si="79"/>
        <v>0.5885688568856885</v>
      </c>
      <c r="AT185" s="2">
        <f t="shared" si="79"/>
        <v>0.5885688568856885</v>
      </c>
      <c r="AU185" s="2">
        <f t="shared" si="79"/>
        <v>0.5885688568856885</v>
      </c>
      <c r="AV185" s="1282">
        <f t="shared" si="79"/>
        <v>0.5885688568856885</v>
      </c>
      <c r="AW185" s="1283">
        <f t="shared" si="79"/>
        <v>0.5885688568856885</v>
      </c>
      <c r="AX185" s="1805">
        <f t="shared" si="79"/>
        <v>0.61292191719171918</v>
      </c>
      <c r="AY185" s="2">
        <f t="shared" si="79"/>
        <v>0.61292191719171918</v>
      </c>
      <c r="AZ185" s="2">
        <f t="shared" si="79"/>
        <v>0.61292191719171918</v>
      </c>
      <c r="BA185" s="1807">
        <f t="shared" si="79"/>
        <v>0.61292191719171918</v>
      </c>
      <c r="BB185" s="1283">
        <f t="shared" si="79"/>
        <v>0.61292191719171918</v>
      </c>
      <c r="BC185" s="1805">
        <f t="shared" si="79"/>
        <v>0.61292191719171918</v>
      </c>
      <c r="BD185" s="2">
        <f t="shared" si="79"/>
        <v>0.61292191719171918</v>
      </c>
      <c r="BE185" s="2">
        <f t="shared" si="79"/>
        <v>0.61292191719171918</v>
      </c>
      <c r="BF185" s="1807">
        <f t="shared" si="79"/>
        <v>0.61292191719171918</v>
      </c>
      <c r="BG185" s="1283">
        <f t="shared" si="79"/>
        <v>0.61292191719171918</v>
      </c>
      <c r="BH185" s="1805">
        <f t="shared" si="79"/>
        <v>0.61292191719171918</v>
      </c>
      <c r="BI185" s="2">
        <f t="shared" si="79"/>
        <v>0.61292191719171918</v>
      </c>
      <c r="BJ185" s="2">
        <f t="shared" si="79"/>
        <v>0.61292191719171918</v>
      </c>
      <c r="BK185" s="1807">
        <f t="shared" si="79"/>
        <v>0.61292191719171918</v>
      </c>
      <c r="BL185" s="1283">
        <f t="shared" si="79"/>
        <v>0.61292191719171918</v>
      </c>
      <c r="BM185" s="1805">
        <f>BM192/(BM178*8.76)</f>
        <v>0.61292191719171918</v>
      </c>
      <c r="BN185" s="2">
        <f>BN192/(BN178*8.76)</f>
        <v>0.61292191719171918</v>
      </c>
      <c r="BO185" s="2">
        <f>BO192/(BO178*8.76)</f>
        <v>0.61292191719171918</v>
      </c>
      <c r="BP185" s="1807">
        <f>BP192/(BP178*8.76)</f>
        <v>0.61292191719171918</v>
      </c>
      <c r="BQ185" s="1283">
        <f>BQ192/(BQ178*8.76)</f>
        <v>0.61292191719171918</v>
      </c>
      <c r="BR185" s="1272"/>
      <c r="BS185" s="1272"/>
      <c r="BT185" s="1272"/>
      <c r="BU185" s="1272"/>
      <c r="BV185" s="1272"/>
      <c r="BW185" s="1272"/>
      <c r="BX185" s="1272"/>
      <c r="BY185" s="1272"/>
      <c r="BZ185" s="1272"/>
    </row>
    <row r="186" spans="3:78" s="56" customFormat="1" outlineLevel="1">
      <c r="C186" s="1440"/>
      <c r="D186" s="1272"/>
      <c r="E186" s="1209"/>
      <c r="F186" s="1822"/>
      <c r="G186" s="1822"/>
      <c r="H186" s="1281"/>
      <c r="I186" s="1279"/>
      <c r="J186" s="1209"/>
      <c r="K186" s="1822"/>
      <c r="L186" s="1822"/>
      <c r="M186" s="1281"/>
      <c r="N186" s="1279"/>
      <c r="O186" s="1202"/>
      <c r="P186" s="1204"/>
      <c r="Q186" s="1204"/>
      <c r="R186" s="1205"/>
      <c r="S186" s="1279"/>
      <c r="T186" s="1202"/>
      <c r="U186" s="1204"/>
      <c r="V186" s="1204"/>
      <c r="W186" s="1205"/>
      <c r="X186" s="1279"/>
      <c r="Y186" s="1209"/>
      <c r="Z186" s="1854"/>
      <c r="AA186" s="1854"/>
      <c r="AB186" s="1281"/>
      <c r="AC186" s="1279"/>
      <c r="AD186" s="1209"/>
      <c r="AE186" s="1854"/>
      <c r="AF186" s="1854"/>
      <c r="AG186" s="1281"/>
      <c r="AH186" s="1279"/>
      <c r="AI186" s="1209"/>
      <c r="AJ186" s="1854"/>
      <c r="AK186" s="1854"/>
      <c r="AL186" s="1281"/>
      <c r="AM186" s="1279"/>
      <c r="AN186" s="1202"/>
      <c r="AO186" s="1204"/>
      <c r="AP186" s="1204"/>
      <c r="AQ186" s="1281"/>
      <c r="AR186" s="1279"/>
      <c r="AS186" s="1202"/>
      <c r="AT186" s="1204"/>
      <c r="AU186" s="1204"/>
      <c r="AV186" s="1281"/>
      <c r="AW186" s="1279"/>
      <c r="AX186" s="1202"/>
      <c r="AY186" s="1204"/>
      <c r="AZ186" s="1204"/>
      <c r="BA186" s="1205"/>
      <c r="BB186" s="1279"/>
      <c r="BC186" s="1202"/>
      <c r="BD186" s="1204"/>
      <c r="BE186" s="1204"/>
      <c r="BF186" s="1205"/>
      <c r="BG186" s="1279"/>
      <c r="BH186" s="1202"/>
      <c r="BI186" s="1204"/>
      <c r="BJ186" s="1204"/>
      <c r="BK186" s="1205"/>
      <c r="BL186" s="1279"/>
      <c r="BM186" s="1202"/>
      <c r="BN186" s="1204"/>
      <c r="BO186" s="1204"/>
      <c r="BP186" s="1205"/>
      <c r="BQ186" s="1279"/>
      <c r="BR186" s="1272"/>
      <c r="BS186" s="1272"/>
      <c r="BT186" s="1272"/>
      <c r="BU186" s="1272"/>
      <c r="BV186" s="1272"/>
      <c r="BW186" s="1272"/>
      <c r="BX186" s="1272"/>
      <c r="BY186" s="1272"/>
      <c r="BZ186" s="1272"/>
    </row>
    <row r="187" spans="3:78" s="56" customFormat="1" outlineLevel="1">
      <c r="C187" s="1440" t="s">
        <v>975</v>
      </c>
      <c r="D187" s="1272"/>
      <c r="E187" s="1209"/>
      <c r="F187" s="1822"/>
      <c r="G187" s="1822"/>
      <c r="H187" s="1281"/>
      <c r="I187" s="1279"/>
      <c r="J187" s="1209"/>
      <c r="K187" s="1822"/>
      <c r="L187" s="1822"/>
      <c r="M187" s="1281"/>
      <c r="N187" s="1279"/>
      <c r="O187" s="1202"/>
      <c r="P187" s="1204"/>
      <c r="Q187" s="1204"/>
      <c r="R187" s="1205"/>
      <c r="S187" s="1279"/>
      <c r="T187" s="1202"/>
      <c r="U187" s="1204"/>
      <c r="V187" s="1204"/>
      <c r="W187" s="1205"/>
      <c r="X187" s="1279"/>
      <c r="Y187" s="1209"/>
      <c r="Z187" s="1854"/>
      <c r="AA187" s="1854"/>
      <c r="AB187" s="1281"/>
      <c r="AC187" s="1279"/>
      <c r="AD187" s="1209"/>
      <c r="AE187" s="1854"/>
      <c r="AF187" s="1854"/>
      <c r="AG187" s="1281"/>
      <c r="AH187" s="1279"/>
      <c r="AI187" s="1209"/>
      <c r="AJ187" s="1854"/>
      <c r="AK187" s="1854"/>
      <c r="AL187" s="1281"/>
      <c r="AM187" s="1279"/>
      <c r="AN187" s="1202"/>
      <c r="AO187" s="1204"/>
      <c r="AP187" s="1204"/>
      <c r="AQ187" s="1281"/>
      <c r="AR187" s="1279"/>
      <c r="AS187" s="1202"/>
      <c r="AT187" s="1204"/>
      <c r="AU187" s="1204"/>
      <c r="AV187" s="1281"/>
      <c r="AW187" s="1279"/>
      <c r="AX187" s="1202"/>
      <c r="AY187" s="1204"/>
      <c r="AZ187" s="1204"/>
      <c r="BA187" s="1205"/>
      <c r="BB187" s="1279"/>
      <c r="BC187" s="1202"/>
      <c r="BD187" s="1204"/>
      <c r="BE187" s="1204"/>
      <c r="BF187" s="1205"/>
      <c r="BG187" s="1279"/>
      <c r="BH187" s="1202"/>
      <c r="BI187" s="1204"/>
      <c r="BJ187" s="1204"/>
      <c r="BK187" s="1205"/>
      <c r="BL187" s="1279"/>
      <c r="BM187" s="1202"/>
      <c r="BN187" s="1204"/>
      <c r="BO187" s="1204"/>
      <c r="BP187" s="1205"/>
      <c r="BQ187" s="1279"/>
      <c r="BR187" s="1272"/>
      <c r="BS187" s="1272"/>
      <c r="BT187" s="1272"/>
      <c r="BU187" s="1272"/>
      <c r="BV187" s="1272"/>
      <c r="BW187" s="1272"/>
      <c r="BX187" s="1272"/>
      <c r="BY187" s="1272"/>
      <c r="BZ187" s="1272"/>
    </row>
    <row r="188" spans="3:78" s="56" customFormat="1" outlineLevel="1">
      <c r="C188" s="1440" t="s">
        <v>970</v>
      </c>
      <c r="D188" s="1272"/>
      <c r="E188" s="1209"/>
      <c r="F188" s="1822"/>
      <c r="G188" s="1822"/>
      <c r="H188" s="1281"/>
      <c r="I188" s="1279"/>
      <c r="J188" s="1209"/>
      <c r="K188" s="1822"/>
      <c r="L188" s="1822"/>
      <c r="M188" s="1281"/>
      <c r="N188" s="1279"/>
      <c r="O188" s="1202"/>
      <c r="P188" s="1204"/>
      <c r="Q188" s="1204"/>
      <c r="R188" s="1205"/>
      <c r="S188" s="64"/>
      <c r="T188" s="1202"/>
      <c r="U188" s="1204"/>
      <c r="V188" s="1204"/>
      <c r="W188" s="1205"/>
      <c r="X188" s="64">
        <f>X174*X181*8.76</f>
        <v>41916.6</v>
      </c>
      <c r="Y188" s="1202">
        <f>Z188</f>
        <v>45409.65</v>
      </c>
      <c r="Z188" s="1203">
        <f>AA188</f>
        <v>45409.65</v>
      </c>
      <c r="AA188" s="1203">
        <f>AB188</f>
        <v>45409.65</v>
      </c>
      <c r="AB188" s="1205">
        <f>AC188</f>
        <v>45409.65</v>
      </c>
      <c r="AC188" s="1352">
        <f>AC174*AC181*8.76</f>
        <v>45409.65</v>
      </c>
      <c r="AD188" s="1202">
        <f>AE188</f>
        <v>36185.370000000003</v>
      </c>
      <c r="AE188" s="1203">
        <f>AF188</f>
        <v>36185.370000000003</v>
      </c>
      <c r="AF188" s="1203">
        <f>AG188</f>
        <v>36185.370000000003</v>
      </c>
      <c r="AG188" s="1205">
        <f>AH188</f>
        <v>36185.370000000003</v>
      </c>
      <c r="AH188" s="64">
        <f>AH174*AH181*8.76</f>
        <v>36185.370000000003</v>
      </c>
      <c r="AI188" s="1202">
        <f>AI174*AI181*8.76/4</f>
        <v>10020.563999999998</v>
      </c>
      <c r="AJ188" s="1203">
        <f>AJ174*AJ181*8.76/4</f>
        <v>8350.4699999999993</v>
      </c>
      <c r="AK188" s="1203">
        <f>AK174*AK181*8.76/4</f>
        <v>9046.3425000000007</v>
      </c>
      <c r="AL188" s="1205">
        <f>AL174*AL181*8.76/4</f>
        <v>9046.3425000000007</v>
      </c>
      <c r="AM188" s="64">
        <f>SUM(AI188:AL188)</f>
        <v>36463.718999999997</v>
      </c>
      <c r="AN188" s="1202">
        <f t="shared" ref="AN188:AP191" si="80">AO188</f>
        <v>9046.3425000000007</v>
      </c>
      <c r="AO188" s="1204">
        <f t="shared" si="80"/>
        <v>9046.3425000000007</v>
      </c>
      <c r="AP188" s="1204">
        <f t="shared" si="80"/>
        <v>9046.3425000000007</v>
      </c>
      <c r="AQ188" s="1205">
        <f>AQ174*AQ181*8.76/4</f>
        <v>9046.3425000000007</v>
      </c>
      <c r="AR188" s="64">
        <f>SUM(AN188:AQ188)</f>
        <v>36185.370000000003</v>
      </c>
      <c r="AS188" s="1202">
        <f t="shared" ref="AS188:AV191" si="81">AT188</f>
        <v>33401.879999999997</v>
      </c>
      <c r="AT188" s="1204">
        <f t="shared" si="81"/>
        <v>33401.879999999997</v>
      </c>
      <c r="AU188" s="1204">
        <f t="shared" si="81"/>
        <v>33401.879999999997</v>
      </c>
      <c r="AV188" s="1205">
        <f t="shared" si="81"/>
        <v>33401.879999999997</v>
      </c>
      <c r="AW188" s="64">
        <f>AW174*AW181*8.76</f>
        <v>33401.879999999997</v>
      </c>
      <c r="AX188" s="1202">
        <f t="shared" ref="AX188:BA191" si="82">AY188</f>
        <v>36185.370000000003</v>
      </c>
      <c r="AY188" s="1204">
        <f t="shared" si="82"/>
        <v>36185.370000000003</v>
      </c>
      <c r="AZ188" s="1204">
        <f t="shared" si="82"/>
        <v>36185.370000000003</v>
      </c>
      <c r="BA188" s="1205">
        <f t="shared" si="82"/>
        <v>36185.370000000003</v>
      </c>
      <c r="BB188" s="64">
        <f>BB174*BB181*8.76</f>
        <v>36185.370000000003</v>
      </c>
      <c r="BC188" s="1202">
        <f t="shared" ref="BC188:BF191" si="83">BD188</f>
        <v>36185.370000000003</v>
      </c>
      <c r="BD188" s="1204">
        <f t="shared" si="83"/>
        <v>36185.370000000003</v>
      </c>
      <c r="BE188" s="1204">
        <f t="shared" si="83"/>
        <v>36185.370000000003</v>
      </c>
      <c r="BF188" s="1205">
        <f t="shared" si="83"/>
        <v>36185.370000000003</v>
      </c>
      <c r="BG188" s="64">
        <f>BG174*BG181*8.76</f>
        <v>36185.370000000003</v>
      </c>
      <c r="BH188" s="1202">
        <f t="shared" ref="BH188:BK191" si="84">BI188</f>
        <v>36185.370000000003</v>
      </c>
      <c r="BI188" s="1204">
        <f t="shared" si="84"/>
        <v>36185.370000000003</v>
      </c>
      <c r="BJ188" s="1204">
        <f t="shared" si="84"/>
        <v>36185.370000000003</v>
      </c>
      <c r="BK188" s="1205">
        <f t="shared" si="84"/>
        <v>36185.370000000003</v>
      </c>
      <c r="BL188" s="64">
        <f>BL174*BL181*8.76</f>
        <v>36185.370000000003</v>
      </c>
      <c r="BM188" s="1202">
        <f t="shared" ref="BM188:BP191" si="85">BN188</f>
        <v>36185.370000000003</v>
      </c>
      <c r="BN188" s="1204">
        <f t="shared" si="85"/>
        <v>36185.370000000003</v>
      </c>
      <c r="BO188" s="1204">
        <f t="shared" si="85"/>
        <v>36185.370000000003</v>
      </c>
      <c r="BP188" s="1205">
        <f t="shared" si="85"/>
        <v>36185.370000000003</v>
      </c>
      <c r="BQ188" s="64">
        <f>BQ174*BQ181*8.76</f>
        <v>36185.370000000003</v>
      </c>
      <c r="BR188" s="1272"/>
      <c r="BS188" s="1272"/>
      <c r="BT188" s="1272"/>
      <c r="BU188" s="1272"/>
      <c r="BV188" s="1272"/>
      <c r="BW188" s="1272"/>
      <c r="BX188" s="1272"/>
      <c r="BY188" s="1272"/>
      <c r="BZ188" s="1272"/>
    </row>
    <row r="189" spans="3:78" s="56" customFormat="1" outlineLevel="1">
      <c r="C189" s="1440" t="s">
        <v>971</v>
      </c>
      <c r="D189" s="1272"/>
      <c r="E189" s="1209"/>
      <c r="F189" s="1822"/>
      <c r="G189" s="1822"/>
      <c r="H189" s="1281"/>
      <c r="I189" s="1279"/>
      <c r="J189" s="1209"/>
      <c r="K189" s="1822"/>
      <c r="L189" s="1822"/>
      <c r="M189" s="1281"/>
      <c r="N189" s="1279"/>
      <c r="O189" s="1202"/>
      <c r="P189" s="1204"/>
      <c r="Q189" s="1204"/>
      <c r="R189" s="1205"/>
      <c r="S189" s="64"/>
      <c r="T189" s="1202"/>
      <c r="U189" s="1204"/>
      <c r="V189" s="1204"/>
      <c r="W189" s="1205"/>
      <c r="X189" s="64">
        <f>X175*X182*8.76</f>
        <v>2192.6280000000002</v>
      </c>
      <c r="Y189" s="1202">
        <f t="shared" ref="Y189:AB191" si="86">Z189</f>
        <v>4385.2560000000003</v>
      </c>
      <c r="Z189" s="1203">
        <f t="shared" si="86"/>
        <v>4385.2560000000003</v>
      </c>
      <c r="AA189" s="1203">
        <f t="shared" si="86"/>
        <v>4385.2560000000003</v>
      </c>
      <c r="AB189" s="1205">
        <f t="shared" si="86"/>
        <v>4385.2560000000003</v>
      </c>
      <c r="AC189" s="1352">
        <f>AC175*AC182*8.76</f>
        <v>4385.2560000000003</v>
      </c>
      <c r="AD189" s="1202">
        <f t="shared" ref="AD189:AG191" si="87">AE189</f>
        <v>4385.2560000000003</v>
      </c>
      <c r="AE189" s="1203">
        <f t="shared" si="87"/>
        <v>4385.2560000000003</v>
      </c>
      <c r="AF189" s="1203">
        <f t="shared" si="87"/>
        <v>4385.2560000000003</v>
      </c>
      <c r="AG189" s="1205">
        <f t="shared" si="87"/>
        <v>4385.2560000000003</v>
      </c>
      <c r="AH189" s="64">
        <f>AH175*AH182*8.76</f>
        <v>4385.2560000000003</v>
      </c>
      <c r="AI189" s="1202">
        <f t="shared" ref="AI189:AL191" si="88">AI175*AI182*8.76/4</f>
        <v>1096.3140000000001</v>
      </c>
      <c r="AJ189" s="1203">
        <f t="shared" si="88"/>
        <v>1096.3140000000001</v>
      </c>
      <c r="AK189" s="1203">
        <f t="shared" si="88"/>
        <v>0</v>
      </c>
      <c r="AL189" s="1205">
        <f t="shared" si="88"/>
        <v>0</v>
      </c>
      <c r="AM189" s="64">
        <f>SUM(AI189:AL189)</f>
        <v>2192.6280000000002</v>
      </c>
      <c r="AN189" s="1202">
        <f t="shared" si="80"/>
        <v>0</v>
      </c>
      <c r="AO189" s="1204">
        <f t="shared" si="80"/>
        <v>0</v>
      </c>
      <c r="AP189" s="1204">
        <f t="shared" si="80"/>
        <v>0</v>
      </c>
      <c r="AQ189" s="1205">
        <f>AQ175*AQ182*8.76/4</f>
        <v>0</v>
      </c>
      <c r="AR189" s="64">
        <f>SUM(AN189:AQ189)</f>
        <v>0</v>
      </c>
      <c r="AS189" s="1202">
        <f t="shared" si="81"/>
        <v>0</v>
      </c>
      <c r="AT189" s="1204">
        <f t="shared" si="81"/>
        <v>0</v>
      </c>
      <c r="AU189" s="1204">
        <f t="shared" si="81"/>
        <v>0</v>
      </c>
      <c r="AV189" s="1205">
        <f t="shared" si="81"/>
        <v>0</v>
      </c>
      <c r="AW189" s="64">
        <f>AW175*AW182*8.76</f>
        <v>0</v>
      </c>
      <c r="AX189" s="1202">
        <f t="shared" si="82"/>
        <v>0</v>
      </c>
      <c r="AY189" s="1204">
        <f t="shared" si="82"/>
        <v>0</v>
      </c>
      <c r="AZ189" s="1204">
        <f t="shared" si="82"/>
        <v>0</v>
      </c>
      <c r="BA189" s="1205">
        <f t="shared" si="82"/>
        <v>0</v>
      </c>
      <c r="BB189" s="64">
        <f>BB175*BB182*8.76</f>
        <v>0</v>
      </c>
      <c r="BC189" s="1202">
        <f t="shared" si="83"/>
        <v>0</v>
      </c>
      <c r="BD189" s="1204">
        <f t="shared" si="83"/>
        <v>0</v>
      </c>
      <c r="BE189" s="1204">
        <f t="shared" si="83"/>
        <v>0</v>
      </c>
      <c r="BF189" s="1205">
        <f t="shared" si="83"/>
        <v>0</v>
      </c>
      <c r="BG189" s="64">
        <f>BG175*BG182*8.76</f>
        <v>0</v>
      </c>
      <c r="BH189" s="1202">
        <f t="shared" si="84"/>
        <v>0</v>
      </c>
      <c r="BI189" s="1204">
        <f t="shared" si="84"/>
        <v>0</v>
      </c>
      <c r="BJ189" s="1204">
        <f t="shared" si="84"/>
        <v>0</v>
      </c>
      <c r="BK189" s="1205">
        <f t="shared" si="84"/>
        <v>0</v>
      </c>
      <c r="BL189" s="64">
        <f>BL175*BL182*8.76</f>
        <v>0</v>
      </c>
      <c r="BM189" s="1202">
        <f t="shared" si="85"/>
        <v>0</v>
      </c>
      <c r="BN189" s="1204">
        <f t="shared" si="85"/>
        <v>0</v>
      </c>
      <c r="BO189" s="1204">
        <f t="shared" si="85"/>
        <v>0</v>
      </c>
      <c r="BP189" s="1205">
        <f t="shared" si="85"/>
        <v>0</v>
      </c>
      <c r="BQ189" s="64">
        <f>BQ175*BQ182*8.76</f>
        <v>0</v>
      </c>
      <c r="BR189" s="1272"/>
      <c r="BS189" s="1272"/>
      <c r="BT189" s="1272"/>
      <c r="BU189" s="1272"/>
      <c r="BV189" s="1272"/>
      <c r="BW189" s="1272"/>
      <c r="BX189" s="1272"/>
      <c r="BY189" s="1272"/>
      <c r="BZ189" s="1272"/>
    </row>
    <row r="190" spans="3:78" s="56" customFormat="1" outlineLevel="1">
      <c r="C190" s="1440" t="s">
        <v>968</v>
      </c>
      <c r="D190" s="1272"/>
      <c r="E190" s="1209"/>
      <c r="F190" s="1822"/>
      <c r="G190" s="1822"/>
      <c r="H190" s="1281"/>
      <c r="I190" s="1279"/>
      <c r="J190" s="1209"/>
      <c r="K190" s="1822"/>
      <c r="L190" s="1822"/>
      <c r="M190" s="1281"/>
      <c r="N190" s="1279"/>
      <c r="O190" s="1202"/>
      <c r="P190" s="1204"/>
      <c r="Q190" s="1204"/>
      <c r="R190" s="1205"/>
      <c r="S190" s="64"/>
      <c r="T190" s="1202"/>
      <c r="U190" s="1204"/>
      <c r="V190" s="1204"/>
      <c r="W190" s="1205"/>
      <c r="X190" s="64">
        <f>X176*X183*8.76</f>
        <v>8873.8799999999992</v>
      </c>
      <c r="Y190" s="1202">
        <f t="shared" si="86"/>
        <v>8873.8799999999992</v>
      </c>
      <c r="Z190" s="1203">
        <f t="shared" si="86"/>
        <v>8873.8799999999992</v>
      </c>
      <c r="AA190" s="1203">
        <f t="shared" si="86"/>
        <v>8873.8799999999992</v>
      </c>
      <c r="AB190" s="1205">
        <f t="shared" si="86"/>
        <v>8873.8799999999992</v>
      </c>
      <c r="AC190" s="1352">
        <f>AC176*AC183*8.76</f>
        <v>8873.8799999999992</v>
      </c>
      <c r="AD190" s="1202">
        <f t="shared" si="87"/>
        <v>8873.8799999999992</v>
      </c>
      <c r="AE190" s="1203">
        <f t="shared" si="87"/>
        <v>8873.8799999999992</v>
      </c>
      <c r="AF190" s="1203">
        <f t="shared" si="87"/>
        <v>8873.8799999999992</v>
      </c>
      <c r="AG190" s="1205">
        <f t="shared" si="87"/>
        <v>8873.8799999999992</v>
      </c>
      <c r="AH190" s="64">
        <f>AH176*AH183*8.76</f>
        <v>8873.8799999999992</v>
      </c>
      <c r="AI190" s="1202">
        <f t="shared" si="88"/>
        <v>2662.1639999999998</v>
      </c>
      <c r="AJ190" s="1203">
        <f t="shared" si="88"/>
        <v>2573.4251999999997</v>
      </c>
      <c r="AK190" s="1203">
        <f t="shared" si="88"/>
        <v>2662.1639999999998</v>
      </c>
      <c r="AL190" s="1205">
        <f t="shared" si="88"/>
        <v>2440.3170000000005</v>
      </c>
      <c r="AM190" s="64">
        <f>SUM(AI190:AL190)</f>
        <v>10338.0702</v>
      </c>
      <c r="AN190" s="1202">
        <f t="shared" si="80"/>
        <v>2440.3170000000005</v>
      </c>
      <c r="AO190" s="1204">
        <f t="shared" si="80"/>
        <v>2440.3170000000005</v>
      </c>
      <c r="AP190" s="1204">
        <f t="shared" si="80"/>
        <v>2440.3170000000005</v>
      </c>
      <c r="AQ190" s="1205">
        <f>AQ176*AQ183*8.76/4</f>
        <v>2440.3170000000005</v>
      </c>
      <c r="AR190" s="64">
        <f>SUM(AN190:AQ190)</f>
        <v>9761.2680000000018</v>
      </c>
      <c r="AS190" s="1202">
        <f t="shared" si="81"/>
        <v>12423.431999999999</v>
      </c>
      <c r="AT190" s="1204">
        <f t="shared" si="81"/>
        <v>12423.431999999999</v>
      </c>
      <c r="AU190" s="1204">
        <f t="shared" si="81"/>
        <v>12423.431999999999</v>
      </c>
      <c r="AV190" s="1205">
        <f t="shared" si="81"/>
        <v>12423.431999999999</v>
      </c>
      <c r="AW190" s="64">
        <f>AW176*AW183*8.76</f>
        <v>12423.431999999999</v>
      </c>
      <c r="AX190" s="1202">
        <f t="shared" si="82"/>
        <v>11536.044</v>
      </c>
      <c r="AY190" s="1204">
        <f t="shared" si="82"/>
        <v>11536.044</v>
      </c>
      <c r="AZ190" s="1204">
        <f t="shared" si="82"/>
        <v>11536.044</v>
      </c>
      <c r="BA190" s="1205">
        <f t="shared" si="82"/>
        <v>11536.044</v>
      </c>
      <c r="BB190" s="64">
        <f>BB176*BB183*8.76</f>
        <v>11536.044</v>
      </c>
      <c r="BC190" s="1202">
        <f t="shared" si="83"/>
        <v>11536.044</v>
      </c>
      <c r="BD190" s="1204">
        <f t="shared" si="83"/>
        <v>11536.044</v>
      </c>
      <c r="BE190" s="1204">
        <f t="shared" si="83"/>
        <v>11536.044</v>
      </c>
      <c r="BF190" s="1205">
        <f t="shared" si="83"/>
        <v>11536.044</v>
      </c>
      <c r="BG190" s="64">
        <f>BG176*BG183*8.76</f>
        <v>11536.044</v>
      </c>
      <c r="BH190" s="1202">
        <f t="shared" si="84"/>
        <v>11536.044</v>
      </c>
      <c r="BI190" s="1204">
        <f t="shared" si="84"/>
        <v>11536.044</v>
      </c>
      <c r="BJ190" s="1204">
        <f t="shared" si="84"/>
        <v>11536.044</v>
      </c>
      <c r="BK190" s="1205">
        <f t="shared" si="84"/>
        <v>11536.044</v>
      </c>
      <c r="BL190" s="64">
        <f>BL176*BL183*8.76</f>
        <v>11536.044</v>
      </c>
      <c r="BM190" s="1202">
        <f t="shared" si="85"/>
        <v>11536.044</v>
      </c>
      <c r="BN190" s="1204">
        <f t="shared" si="85"/>
        <v>11536.044</v>
      </c>
      <c r="BO190" s="1204">
        <f t="shared" si="85"/>
        <v>11536.044</v>
      </c>
      <c r="BP190" s="1205">
        <f t="shared" si="85"/>
        <v>11536.044</v>
      </c>
      <c r="BQ190" s="64">
        <f>BQ176*BQ183*8.76</f>
        <v>11536.044</v>
      </c>
      <c r="BR190" s="1272"/>
      <c r="BS190" s="1272"/>
      <c r="BT190" s="1272"/>
      <c r="BU190" s="1272"/>
      <c r="BV190" s="1272"/>
      <c r="BW190" s="1272"/>
      <c r="BX190" s="1272"/>
      <c r="BY190" s="1272"/>
      <c r="BZ190" s="1272"/>
    </row>
    <row r="191" spans="3:78" s="56" customFormat="1" outlineLevel="1">
      <c r="C191" s="1440" t="s">
        <v>969</v>
      </c>
      <c r="D191" s="1272"/>
      <c r="E191" s="1209"/>
      <c r="F191" s="1822"/>
      <c r="G191" s="1822"/>
      <c r="H191" s="1281"/>
      <c r="I191" s="1279"/>
      <c r="J191" s="1209"/>
      <c r="K191" s="1822"/>
      <c r="L191" s="1822"/>
      <c r="M191" s="1281"/>
      <c r="N191" s="1279"/>
      <c r="O191" s="1202"/>
      <c r="P191" s="1204"/>
      <c r="Q191" s="1204"/>
      <c r="R191" s="1205"/>
      <c r="S191" s="64"/>
      <c r="T191" s="1202"/>
      <c r="U191" s="1204"/>
      <c r="V191" s="1204"/>
      <c r="W191" s="1205"/>
      <c r="X191" s="64">
        <f>X177*X184*8.76</f>
        <v>0</v>
      </c>
      <c r="Y191" s="1202">
        <f t="shared" si="86"/>
        <v>0</v>
      </c>
      <c r="Z191" s="1203">
        <f t="shared" si="86"/>
        <v>0</v>
      </c>
      <c r="AA191" s="1203">
        <f t="shared" si="86"/>
        <v>0</v>
      </c>
      <c r="AB191" s="1205">
        <f t="shared" si="86"/>
        <v>0</v>
      </c>
      <c r="AC191" s="1352">
        <f>AC177*AC184*8.76</f>
        <v>0</v>
      </c>
      <c r="AD191" s="1202">
        <f t="shared" si="87"/>
        <v>0</v>
      </c>
      <c r="AE191" s="1203">
        <f t="shared" si="87"/>
        <v>0</v>
      </c>
      <c r="AF191" s="1203">
        <f t="shared" si="87"/>
        <v>0</v>
      </c>
      <c r="AG191" s="1205">
        <f t="shared" si="87"/>
        <v>0</v>
      </c>
      <c r="AH191" s="64">
        <f>AH177*AH184*8.76</f>
        <v>0</v>
      </c>
      <c r="AI191" s="1202">
        <f t="shared" si="88"/>
        <v>0</v>
      </c>
      <c r="AJ191" s="1203">
        <f t="shared" si="88"/>
        <v>0</v>
      </c>
      <c r="AK191" s="1203">
        <f t="shared" si="88"/>
        <v>0</v>
      </c>
      <c r="AL191" s="1205">
        <f t="shared" si="88"/>
        <v>0</v>
      </c>
      <c r="AM191" s="64">
        <f>SUM(AI191:AL191)</f>
        <v>0</v>
      </c>
      <c r="AN191" s="1202">
        <f t="shared" si="80"/>
        <v>0</v>
      </c>
      <c r="AO191" s="1204">
        <f t="shared" si="80"/>
        <v>0</v>
      </c>
      <c r="AP191" s="1204">
        <f t="shared" si="80"/>
        <v>0</v>
      </c>
      <c r="AQ191" s="1205">
        <f>AQ177*AQ184*8.76/4</f>
        <v>0</v>
      </c>
      <c r="AR191" s="64">
        <f>SUM(AN191:AQ191)</f>
        <v>0</v>
      </c>
      <c r="AS191" s="1202">
        <f t="shared" si="81"/>
        <v>0</v>
      </c>
      <c r="AT191" s="1204">
        <f t="shared" si="81"/>
        <v>0</v>
      </c>
      <c r="AU191" s="1204">
        <f t="shared" si="81"/>
        <v>0</v>
      </c>
      <c r="AV191" s="1205">
        <f t="shared" si="81"/>
        <v>0</v>
      </c>
      <c r="AW191" s="64">
        <f>AW177*AW184*8.76</f>
        <v>0</v>
      </c>
      <c r="AX191" s="1202">
        <f t="shared" si="82"/>
        <v>0</v>
      </c>
      <c r="AY191" s="1204">
        <f t="shared" si="82"/>
        <v>0</v>
      </c>
      <c r="AZ191" s="1204">
        <f t="shared" si="82"/>
        <v>0</v>
      </c>
      <c r="BA191" s="1205">
        <f t="shared" si="82"/>
        <v>0</v>
      </c>
      <c r="BB191" s="64">
        <f>BB177*BB184*8.76</f>
        <v>0</v>
      </c>
      <c r="BC191" s="1202">
        <f t="shared" si="83"/>
        <v>0</v>
      </c>
      <c r="BD191" s="1204">
        <f t="shared" si="83"/>
        <v>0</v>
      </c>
      <c r="BE191" s="1204">
        <f t="shared" si="83"/>
        <v>0</v>
      </c>
      <c r="BF191" s="1205">
        <f t="shared" si="83"/>
        <v>0</v>
      </c>
      <c r="BG191" s="64">
        <f>BG177*BG184*8.76</f>
        <v>0</v>
      </c>
      <c r="BH191" s="1202">
        <f t="shared" si="84"/>
        <v>0</v>
      </c>
      <c r="BI191" s="1204">
        <f t="shared" si="84"/>
        <v>0</v>
      </c>
      <c r="BJ191" s="1204">
        <f t="shared" si="84"/>
        <v>0</v>
      </c>
      <c r="BK191" s="1205">
        <f t="shared" si="84"/>
        <v>0</v>
      </c>
      <c r="BL191" s="64">
        <f>BL177*BL184*8.76</f>
        <v>0</v>
      </c>
      <c r="BM191" s="1202">
        <f t="shared" si="85"/>
        <v>0</v>
      </c>
      <c r="BN191" s="1204">
        <f t="shared" si="85"/>
        <v>0</v>
      </c>
      <c r="BO191" s="1204">
        <f t="shared" si="85"/>
        <v>0</v>
      </c>
      <c r="BP191" s="1205">
        <f t="shared" si="85"/>
        <v>0</v>
      </c>
      <c r="BQ191" s="64">
        <f>BQ177*BQ184*8.76</f>
        <v>0</v>
      </c>
      <c r="BR191" s="1272"/>
      <c r="BS191" s="1272"/>
      <c r="BT191" s="1272"/>
      <c r="BU191" s="1272"/>
      <c r="BV191" s="1272"/>
      <c r="BW191" s="1272"/>
      <c r="BX191" s="1272"/>
      <c r="BY191" s="1272"/>
      <c r="BZ191" s="1272"/>
    </row>
    <row r="192" spans="3:78" s="56" customFormat="1" outlineLevel="1">
      <c r="C192" s="1440" t="s">
        <v>48</v>
      </c>
      <c r="D192" s="1272"/>
      <c r="E192" s="1209"/>
      <c r="F192" s="1822"/>
      <c r="G192" s="1822"/>
      <c r="H192" s="1281"/>
      <c r="I192" s="1279"/>
      <c r="J192" s="1209"/>
      <c r="K192" s="1822"/>
      <c r="L192" s="1822"/>
      <c r="M192" s="1281"/>
      <c r="N192" s="1279"/>
      <c r="O192" s="1202"/>
      <c r="P192" s="1204"/>
      <c r="Q192" s="1204"/>
      <c r="R192" s="1205"/>
      <c r="S192" s="1206"/>
      <c r="T192" s="1202"/>
      <c r="U192" s="1204"/>
      <c r="V192" s="1204"/>
      <c r="W192" s="1205"/>
      <c r="X192" s="1206">
        <f t="shared" ref="X192:AL192" si="89">SUM(X188:X191)</f>
        <v>52983.107999999993</v>
      </c>
      <c r="Y192" s="1202">
        <f t="shared" si="89"/>
        <v>58668.786</v>
      </c>
      <c r="Z192" s="1203">
        <f t="shared" si="89"/>
        <v>58668.786</v>
      </c>
      <c r="AA192" s="1203">
        <f t="shared" si="89"/>
        <v>58668.786</v>
      </c>
      <c r="AB192" s="1205">
        <f t="shared" si="89"/>
        <v>58668.786</v>
      </c>
      <c r="AC192" s="1206">
        <f t="shared" si="89"/>
        <v>58668.786</v>
      </c>
      <c r="AD192" s="1202">
        <f t="shared" si="89"/>
        <v>49444.506000000001</v>
      </c>
      <c r="AE192" s="1203">
        <f t="shared" si="89"/>
        <v>49444.506000000001</v>
      </c>
      <c r="AF192" s="1203">
        <f t="shared" si="89"/>
        <v>49444.506000000001</v>
      </c>
      <c r="AG192" s="1205">
        <f t="shared" si="89"/>
        <v>49444.506000000001</v>
      </c>
      <c r="AH192" s="1206">
        <f t="shared" si="89"/>
        <v>49444.506000000001</v>
      </c>
      <c r="AI192" s="1202">
        <f>SUM(AI188:AI191)</f>
        <v>13779.041999999998</v>
      </c>
      <c r="AJ192" s="1203">
        <f t="shared" si="89"/>
        <v>12020.209199999999</v>
      </c>
      <c r="AK192" s="1203">
        <f t="shared" si="89"/>
        <v>11708.5065</v>
      </c>
      <c r="AL192" s="1205">
        <f t="shared" si="89"/>
        <v>11486.659500000002</v>
      </c>
      <c r="AM192" s="1206">
        <f>SUM(AI192:AL192)</f>
        <v>48994.417200000004</v>
      </c>
      <c r="AN192" s="1202">
        <f t="shared" ref="AN192:BL192" si="90">SUM(AN188:AN191)</f>
        <v>11486.659500000002</v>
      </c>
      <c r="AO192" s="1204">
        <f t="shared" si="90"/>
        <v>11486.659500000002</v>
      </c>
      <c r="AP192" s="1204">
        <f t="shared" si="90"/>
        <v>11486.659500000002</v>
      </c>
      <c r="AQ192" s="1205">
        <f t="shared" si="90"/>
        <v>11486.659500000002</v>
      </c>
      <c r="AR192" s="1206">
        <f>SUM(AN192:AQ192)</f>
        <v>45946.638000000006</v>
      </c>
      <c r="AS192" s="1202">
        <f t="shared" si="90"/>
        <v>45825.311999999998</v>
      </c>
      <c r="AT192" s="1204">
        <f t="shared" si="90"/>
        <v>45825.311999999998</v>
      </c>
      <c r="AU192" s="1204">
        <f t="shared" si="90"/>
        <v>45825.311999999998</v>
      </c>
      <c r="AV192" s="1205">
        <f t="shared" si="90"/>
        <v>45825.311999999998</v>
      </c>
      <c r="AW192" s="1206">
        <f t="shared" si="90"/>
        <v>45825.311999999998</v>
      </c>
      <c r="AX192" s="1202">
        <f t="shared" si="90"/>
        <v>47721.414000000004</v>
      </c>
      <c r="AY192" s="1204">
        <f t="shared" si="90"/>
        <v>47721.414000000004</v>
      </c>
      <c r="AZ192" s="1204">
        <f t="shared" si="90"/>
        <v>47721.414000000004</v>
      </c>
      <c r="BA192" s="1205">
        <f t="shared" si="90"/>
        <v>47721.414000000004</v>
      </c>
      <c r="BB192" s="1206">
        <f t="shared" si="90"/>
        <v>47721.414000000004</v>
      </c>
      <c r="BC192" s="1202">
        <f t="shared" si="90"/>
        <v>47721.414000000004</v>
      </c>
      <c r="BD192" s="1204">
        <f t="shared" si="90"/>
        <v>47721.414000000004</v>
      </c>
      <c r="BE192" s="1204">
        <f t="shared" si="90"/>
        <v>47721.414000000004</v>
      </c>
      <c r="BF192" s="1205">
        <f t="shared" si="90"/>
        <v>47721.414000000004</v>
      </c>
      <c r="BG192" s="1206">
        <f t="shared" si="90"/>
        <v>47721.414000000004</v>
      </c>
      <c r="BH192" s="1202">
        <f t="shared" si="90"/>
        <v>47721.414000000004</v>
      </c>
      <c r="BI192" s="1204">
        <f t="shared" si="90"/>
        <v>47721.414000000004</v>
      </c>
      <c r="BJ192" s="1204">
        <f t="shared" si="90"/>
        <v>47721.414000000004</v>
      </c>
      <c r="BK192" s="1205">
        <f t="shared" si="90"/>
        <v>47721.414000000004</v>
      </c>
      <c r="BL192" s="1206">
        <f t="shared" si="90"/>
        <v>47721.414000000004</v>
      </c>
      <c r="BM192" s="1202">
        <f>SUM(BM188:BM191)</f>
        <v>47721.414000000004</v>
      </c>
      <c r="BN192" s="1204">
        <f>SUM(BN188:BN191)</f>
        <v>47721.414000000004</v>
      </c>
      <c r="BO192" s="1204">
        <f>SUM(BO188:BO191)</f>
        <v>47721.414000000004</v>
      </c>
      <c r="BP192" s="1205">
        <f>SUM(BP188:BP191)</f>
        <v>47721.414000000004</v>
      </c>
      <c r="BQ192" s="1206">
        <f>SUM(BQ188:BQ191)</f>
        <v>47721.414000000004</v>
      </c>
      <c r="BR192" s="1272"/>
      <c r="BS192" s="1272"/>
      <c r="BT192" s="1272"/>
      <c r="BU192" s="1272"/>
      <c r="BV192" s="1272"/>
      <c r="BW192" s="1272"/>
      <c r="BX192" s="1272"/>
      <c r="BY192" s="1272"/>
      <c r="BZ192" s="1272"/>
    </row>
    <row r="193" spans="2:78" s="56" customFormat="1" outlineLevel="1">
      <c r="C193" s="1440"/>
      <c r="D193" s="1272"/>
      <c r="E193" s="1209"/>
      <c r="F193" s="1822"/>
      <c r="G193" s="1822"/>
      <c r="H193" s="1281"/>
      <c r="I193" s="1279"/>
      <c r="J193" s="1209"/>
      <c r="K193" s="1822"/>
      <c r="L193" s="1822"/>
      <c r="M193" s="1281"/>
      <c r="N193" s="1279"/>
      <c r="O193" s="1202"/>
      <c r="P193" s="1204"/>
      <c r="Q193" s="1204"/>
      <c r="R193" s="1205"/>
      <c r="S193" s="1279"/>
      <c r="T193" s="1202"/>
      <c r="U193" s="1204"/>
      <c r="V193" s="1204"/>
      <c r="W193" s="1205"/>
      <c r="X193"/>
      <c r="Y193" s="1209"/>
      <c r="Z193" s="1854"/>
      <c r="AA193" s="1854"/>
      <c r="AB193" s="1281"/>
      <c r="AC193" s="1279"/>
      <c r="AD193" s="1209"/>
      <c r="AE193" s="1854"/>
      <c r="AF193" s="1854"/>
      <c r="AG193" s="1281"/>
      <c r="AH193" s="1279"/>
      <c r="AI193" s="1209"/>
      <c r="AJ193" s="1854"/>
      <c r="AK193" s="1854"/>
      <c r="AL193" s="1281"/>
      <c r="AM193" s="1279"/>
      <c r="AN193" s="1209"/>
      <c r="AO193" s="1822"/>
      <c r="AP193" s="1822"/>
      <c r="AQ193" s="1281"/>
      <c r="AR193" s="1279"/>
      <c r="AS193" s="1209"/>
      <c r="AT193" s="1822"/>
      <c r="AU193" s="1822"/>
      <c r="AV193" s="1281"/>
      <c r="AW193" s="1279"/>
      <c r="AX193" s="1209"/>
      <c r="AY193" s="1822"/>
      <c r="AZ193" s="1822"/>
      <c r="BA193" s="1281"/>
      <c r="BB193" s="1279"/>
      <c r="BC193" s="1209"/>
      <c r="BD193" s="1822"/>
      <c r="BE193" s="1822"/>
      <c r="BF193" s="1281"/>
      <c r="BG193" s="1279"/>
      <c r="BH193" s="1209"/>
      <c r="BI193" s="1822"/>
      <c r="BJ193" s="1822"/>
      <c r="BK193" s="1281"/>
      <c r="BL193" s="1279"/>
      <c r="BM193" s="1209"/>
      <c r="BN193" s="1822"/>
      <c r="BO193" s="1822"/>
      <c r="BP193" s="1281"/>
      <c r="BQ193" s="1279"/>
      <c r="BR193" s="1272"/>
      <c r="BS193" s="1272"/>
      <c r="BT193" s="1272"/>
      <c r="BU193" s="1272"/>
      <c r="BV193" s="1272"/>
      <c r="BW193" s="1272"/>
      <c r="BX193" s="1272"/>
      <c r="BY193" s="1272"/>
      <c r="BZ193" s="1272"/>
    </row>
    <row r="194" spans="2:78" s="56" customFormat="1" outlineLevel="1">
      <c r="C194" s="1440" t="s">
        <v>976</v>
      </c>
      <c r="D194" s="1272"/>
      <c r="E194" s="1209"/>
      <c r="F194" s="1822"/>
      <c r="G194" s="1822"/>
      <c r="H194" s="1281"/>
      <c r="I194" s="1279"/>
      <c r="J194" s="1209"/>
      <c r="K194" s="1822"/>
      <c r="L194" s="1822"/>
      <c r="M194" s="1281"/>
      <c r="N194" s="1279"/>
      <c r="O194" s="1202"/>
      <c r="P194" s="1204"/>
      <c r="Q194" s="1204"/>
      <c r="R194" s="1205"/>
      <c r="S194" s="1279"/>
      <c r="T194" s="1202"/>
      <c r="U194" s="1204"/>
      <c r="V194" s="1204"/>
      <c r="W194" s="1205"/>
      <c r="X194" s="1279"/>
      <c r="Y194" s="1209"/>
      <c r="Z194" s="1854"/>
      <c r="AA194" s="1854"/>
      <c r="AB194" s="1281"/>
      <c r="AC194" s="1279"/>
      <c r="AD194" s="1209"/>
      <c r="AE194" s="1854"/>
      <c r="AF194" s="1854"/>
      <c r="AG194" s="1281"/>
      <c r="AH194" s="1279"/>
      <c r="AI194" s="1209"/>
      <c r="AJ194" s="1854"/>
      <c r="AK194" s="1854"/>
      <c r="AL194" s="1281"/>
      <c r="AM194" s="1279"/>
      <c r="AN194" s="1209"/>
      <c r="AO194" s="1822"/>
      <c r="AP194" s="1822"/>
      <c r="AQ194" s="1281"/>
      <c r="AR194" s="1279"/>
      <c r="AS194" s="1209"/>
      <c r="AT194" s="1822"/>
      <c r="AU194" s="1822"/>
      <c r="AV194" s="1281"/>
      <c r="AW194" s="1279"/>
      <c r="AX194" s="1209"/>
      <c r="AY194" s="1822"/>
      <c r="AZ194" s="1822"/>
      <c r="BA194" s="1281"/>
      <c r="BB194" s="1279"/>
      <c r="BC194" s="1209"/>
      <c r="BD194" s="1822"/>
      <c r="BE194" s="1822"/>
      <c r="BF194" s="1281"/>
      <c r="BG194" s="1279"/>
      <c r="BH194" s="1209"/>
      <c r="BI194" s="1822"/>
      <c r="BJ194" s="1822"/>
      <c r="BK194" s="1281"/>
      <c r="BL194" s="1279"/>
      <c r="BM194" s="1209"/>
      <c r="BN194" s="1822"/>
      <c r="BO194" s="1822"/>
      <c r="BP194" s="1281"/>
      <c r="BQ194" s="1279"/>
      <c r="BR194" s="1272"/>
      <c r="BS194" s="1272"/>
      <c r="BT194" s="1272"/>
      <c r="BU194" s="1272"/>
      <c r="BV194" s="1272"/>
      <c r="BW194" s="1272"/>
      <c r="BX194" s="1272"/>
      <c r="BY194" s="1272"/>
      <c r="BZ194" s="1272"/>
    </row>
    <row r="195" spans="2:78" s="56" customFormat="1" outlineLevel="1">
      <c r="C195" s="1440" t="s">
        <v>970</v>
      </c>
      <c r="D195" s="1272"/>
      <c r="E195" s="1209"/>
      <c r="F195" s="1822"/>
      <c r="G195" s="1822"/>
      <c r="H195" s="1281"/>
      <c r="I195" s="1279"/>
      <c r="J195" s="1209"/>
      <c r="K195" s="1822"/>
      <c r="L195" s="1822"/>
      <c r="M195" s="1281"/>
      <c r="N195" s="1279"/>
      <c r="O195" s="1202"/>
      <c r="P195" s="1204"/>
      <c r="Q195" s="1204"/>
      <c r="R195" s="1205"/>
      <c r="S195" s="64"/>
      <c r="T195" s="1202"/>
      <c r="U195" s="1204"/>
      <c r="V195" s="1204"/>
      <c r="W195" s="1205"/>
      <c r="X195" s="64">
        <v>10000</v>
      </c>
      <c r="Y195" s="1202">
        <f>Z195</f>
        <v>10000</v>
      </c>
      <c r="Z195" s="1203">
        <f>AA195</f>
        <v>10000</v>
      </c>
      <c r="AA195" s="1203">
        <f>AB195</f>
        <v>10000</v>
      </c>
      <c r="AB195" s="1205">
        <f>AC195</f>
        <v>10000</v>
      </c>
      <c r="AC195" s="1352">
        <v>10000</v>
      </c>
      <c r="AD195" s="1202">
        <f>AE195</f>
        <v>10000</v>
      </c>
      <c r="AE195" s="1203">
        <f>AF195</f>
        <v>10000</v>
      </c>
      <c r="AF195" s="1203">
        <f>AG195</f>
        <v>10000</v>
      </c>
      <c r="AG195" s="1205">
        <f>AH195</f>
        <v>10000</v>
      </c>
      <c r="AH195" s="64">
        <v>10000</v>
      </c>
      <c r="AI195" s="1202">
        <f>AJ195</f>
        <v>10000</v>
      </c>
      <c r="AJ195" s="1203">
        <f>AK195</f>
        <v>10000</v>
      </c>
      <c r="AK195" s="1203">
        <f>AL195</f>
        <v>10000</v>
      </c>
      <c r="AL195" s="1205">
        <f>AM195</f>
        <v>10000</v>
      </c>
      <c r="AM195" s="64">
        <v>10000</v>
      </c>
      <c r="AN195" s="1202">
        <f t="shared" ref="AN195:AP198" si="91">AO195</f>
        <v>10000</v>
      </c>
      <c r="AO195" s="1204">
        <f t="shared" si="91"/>
        <v>10000</v>
      </c>
      <c r="AP195" s="1204">
        <f t="shared" si="91"/>
        <v>10000</v>
      </c>
      <c r="AQ195" s="1205">
        <f>AR195</f>
        <v>10000</v>
      </c>
      <c r="AR195" s="64">
        <v>10000</v>
      </c>
      <c r="AS195" s="1202">
        <f t="shared" ref="AS195:AV198" si="92">AT195</f>
        <v>10000</v>
      </c>
      <c r="AT195" s="1204">
        <f t="shared" si="92"/>
        <v>10000</v>
      </c>
      <c r="AU195" s="1204">
        <f t="shared" si="92"/>
        <v>10000</v>
      </c>
      <c r="AV195" s="1205">
        <f t="shared" si="92"/>
        <v>10000</v>
      </c>
      <c r="AW195" s="64">
        <v>10000</v>
      </c>
      <c r="AX195" s="1202">
        <f t="shared" ref="AX195:BA198" si="93">AY195</f>
        <v>10000</v>
      </c>
      <c r="AY195" s="1204">
        <f t="shared" si="93"/>
        <v>10000</v>
      </c>
      <c r="AZ195" s="1204">
        <f t="shared" si="93"/>
        <v>10000</v>
      </c>
      <c r="BA195" s="1205">
        <f t="shared" si="93"/>
        <v>10000</v>
      </c>
      <c r="BB195" s="64">
        <v>10000</v>
      </c>
      <c r="BC195" s="1202">
        <f t="shared" ref="BC195:BF198" si="94">BD195</f>
        <v>10000</v>
      </c>
      <c r="BD195" s="1204">
        <f t="shared" si="94"/>
        <v>10000</v>
      </c>
      <c r="BE195" s="1204">
        <f t="shared" si="94"/>
        <v>10000</v>
      </c>
      <c r="BF195" s="1205">
        <f t="shared" si="94"/>
        <v>10000</v>
      </c>
      <c r="BG195" s="64">
        <v>10000</v>
      </c>
      <c r="BH195" s="1202">
        <f t="shared" ref="BH195:BK198" si="95">BI195</f>
        <v>10000</v>
      </c>
      <c r="BI195" s="1204">
        <f t="shared" si="95"/>
        <v>10000</v>
      </c>
      <c r="BJ195" s="1204">
        <f t="shared" si="95"/>
        <v>10000</v>
      </c>
      <c r="BK195" s="1205">
        <f t="shared" si="95"/>
        <v>10000</v>
      </c>
      <c r="BL195" s="64">
        <v>10000</v>
      </c>
      <c r="BM195" s="1202">
        <f t="shared" ref="BM195:BP198" si="96">BN195</f>
        <v>10000</v>
      </c>
      <c r="BN195" s="1204">
        <f t="shared" si="96"/>
        <v>10000</v>
      </c>
      <c r="BO195" s="1204">
        <f t="shared" si="96"/>
        <v>10000</v>
      </c>
      <c r="BP195" s="1205">
        <f t="shared" si="96"/>
        <v>10000</v>
      </c>
      <c r="BQ195" s="64">
        <v>10000</v>
      </c>
      <c r="BR195" s="1272"/>
      <c r="BS195" s="1272"/>
      <c r="BT195" s="1272"/>
      <c r="BU195" s="1272"/>
      <c r="BV195" s="1272"/>
      <c r="BW195" s="1272"/>
      <c r="BX195" s="1272"/>
      <c r="BY195" s="1272"/>
      <c r="BZ195" s="1272"/>
    </row>
    <row r="196" spans="2:78" s="56" customFormat="1" outlineLevel="1">
      <c r="C196" s="1440" t="s">
        <v>971</v>
      </c>
      <c r="D196" s="1272"/>
      <c r="E196" s="1209"/>
      <c r="F196" s="1822"/>
      <c r="G196" s="1822"/>
      <c r="H196" s="1281"/>
      <c r="I196" s="1279"/>
      <c r="J196" s="1209"/>
      <c r="K196" s="1822"/>
      <c r="L196" s="1822"/>
      <c r="M196" s="1281"/>
      <c r="N196" s="1279"/>
      <c r="O196" s="1202"/>
      <c r="P196" s="1204"/>
      <c r="Q196" s="1204"/>
      <c r="R196" s="1205"/>
      <c r="S196" s="64"/>
      <c r="T196" s="1202"/>
      <c r="U196" s="1204"/>
      <c r="V196" s="1204"/>
      <c r="W196" s="1205"/>
      <c r="X196" s="64">
        <v>12000</v>
      </c>
      <c r="Y196" s="1202">
        <f t="shared" ref="Y196:AB198" si="97">Z196</f>
        <v>12000</v>
      </c>
      <c r="Z196" s="1203">
        <f t="shared" si="97"/>
        <v>12000</v>
      </c>
      <c r="AA196" s="1203">
        <f t="shared" si="97"/>
        <v>12000</v>
      </c>
      <c r="AB196" s="1205">
        <f t="shared" si="97"/>
        <v>12000</v>
      </c>
      <c r="AC196" s="1352">
        <v>12000</v>
      </c>
      <c r="AD196" s="1202">
        <f t="shared" ref="AD196:AG198" si="98">AE196</f>
        <v>12000</v>
      </c>
      <c r="AE196" s="1203">
        <f t="shared" si="98"/>
        <v>12000</v>
      </c>
      <c r="AF196" s="1203">
        <f t="shared" si="98"/>
        <v>12000</v>
      </c>
      <c r="AG196" s="1205">
        <f t="shared" si="98"/>
        <v>12000</v>
      </c>
      <c r="AH196" s="64">
        <v>12000</v>
      </c>
      <c r="AI196" s="1202">
        <f t="shared" ref="AI196:AL198" si="99">AJ196</f>
        <v>12000</v>
      </c>
      <c r="AJ196" s="1203">
        <f t="shared" si="99"/>
        <v>12000</v>
      </c>
      <c r="AK196" s="1203">
        <f t="shared" si="99"/>
        <v>12000</v>
      </c>
      <c r="AL196" s="1205">
        <f t="shared" si="99"/>
        <v>12000</v>
      </c>
      <c r="AM196" s="64">
        <v>12000</v>
      </c>
      <c r="AN196" s="1202">
        <f t="shared" si="91"/>
        <v>12000</v>
      </c>
      <c r="AO196" s="1204">
        <f t="shared" si="91"/>
        <v>12000</v>
      </c>
      <c r="AP196" s="1204">
        <f t="shared" si="91"/>
        <v>12000</v>
      </c>
      <c r="AQ196" s="1205">
        <f>AR196</f>
        <v>12000</v>
      </c>
      <c r="AR196" s="64">
        <v>12000</v>
      </c>
      <c r="AS196" s="1202">
        <f t="shared" si="92"/>
        <v>12000</v>
      </c>
      <c r="AT196" s="1204">
        <f t="shared" si="92"/>
        <v>12000</v>
      </c>
      <c r="AU196" s="1204">
        <f t="shared" si="92"/>
        <v>12000</v>
      </c>
      <c r="AV196" s="1205">
        <f t="shared" si="92"/>
        <v>12000</v>
      </c>
      <c r="AW196" s="64">
        <v>12000</v>
      </c>
      <c r="AX196" s="1202">
        <f t="shared" si="93"/>
        <v>12000</v>
      </c>
      <c r="AY196" s="1204">
        <f t="shared" si="93"/>
        <v>12000</v>
      </c>
      <c r="AZ196" s="1204">
        <f t="shared" si="93"/>
        <v>12000</v>
      </c>
      <c r="BA196" s="1205">
        <f t="shared" si="93"/>
        <v>12000</v>
      </c>
      <c r="BB196" s="64">
        <v>12000</v>
      </c>
      <c r="BC196" s="1202">
        <f t="shared" si="94"/>
        <v>12000</v>
      </c>
      <c r="BD196" s="1204">
        <f t="shared" si="94"/>
        <v>12000</v>
      </c>
      <c r="BE196" s="1204">
        <f t="shared" si="94"/>
        <v>12000</v>
      </c>
      <c r="BF196" s="1205">
        <f t="shared" si="94"/>
        <v>12000</v>
      </c>
      <c r="BG196" s="64">
        <v>12000</v>
      </c>
      <c r="BH196" s="1202">
        <f t="shared" si="95"/>
        <v>12000</v>
      </c>
      <c r="BI196" s="1204">
        <f t="shared" si="95"/>
        <v>12000</v>
      </c>
      <c r="BJ196" s="1204">
        <f t="shared" si="95"/>
        <v>12000</v>
      </c>
      <c r="BK196" s="1205">
        <f t="shared" si="95"/>
        <v>12000</v>
      </c>
      <c r="BL196" s="64">
        <v>12000</v>
      </c>
      <c r="BM196" s="1202">
        <f t="shared" si="96"/>
        <v>12000</v>
      </c>
      <c r="BN196" s="1204">
        <f t="shared" si="96"/>
        <v>12000</v>
      </c>
      <c r="BO196" s="1204">
        <f t="shared" si="96"/>
        <v>12000</v>
      </c>
      <c r="BP196" s="1205">
        <f t="shared" si="96"/>
        <v>12000</v>
      </c>
      <c r="BQ196" s="64">
        <v>12000</v>
      </c>
      <c r="BR196" s="1272"/>
      <c r="BS196" s="1272"/>
      <c r="BT196" s="1272"/>
      <c r="BU196" s="1272"/>
      <c r="BV196" s="1272"/>
      <c r="BW196" s="1272"/>
      <c r="BX196" s="1272"/>
      <c r="BY196" s="1272"/>
      <c r="BZ196" s="1272"/>
    </row>
    <row r="197" spans="2:78" s="56" customFormat="1" outlineLevel="1">
      <c r="C197" s="1440" t="s">
        <v>968</v>
      </c>
      <c r="D197" s="1272"/>
      <c r="E197" s="1209"/>
      <c r="F197" s="1822"/>
      <c r="G197" s="1822"/>
      <c r="H197" s="1281"/>
      <c r="I197" s="1279"/>
      <c r="J197" s="1209"/>
      <c r="K197" s="1822"/>
      <c r="L197" s="1822"/>
      <c r="M197" s="1281"/>
      <c r="N197" s="1279"/>
      <c r="O197" s="1202"/>
      <c r="P197" s="1203"/>
      <c r="Q197" s="1203"/>
      <c r="R197" s="1205"/>
      <c r="S197" s="64"/>
      <c r="T197" s="1202"/>
      <c r="U197" s="1204"/>
      <c r="V197" s="1204"/>
      <c r="W197" s="1205"/>
      <c r="X197" s="64">
        <v>7500</v>
      </c>
      <c r="Y197" s="1202">
        <f t="shared" si="97"/>
        <v>7500</v>
      </c>
      <c r="Z197" s="1203">
        <f t="shared" si="97"/>
        <v>7500</v>
      </c>
      <c r="AA197" s="1203">
        <f t="shared" si="97"/>
        <v>7500</v>
      </c>
      <c r="AB197" s="1205">
        <f t="shared" si="97"/>
        <v>7500</v>
      </c>
      <c r="AC197" s="1352">
        <v>7500</v>
      </c>
      <c r="AD197" s="1202">
        <f t="shared" si="98"/>
        <v>7500</v>
      </c>
      <c r="AE197" s="1203">
        <f t="shared" si="98"/>
        <v>7500</v>
      </c>
      <c r="AF197" s="1203">
        <f t="shared" si="98"/>
        <v>7500</v>
      </c>
      <c r="AG197" s="1205">
        <f t="shared" si="98"/>
        <v>7500</v>
      </c>
      <c r="AH197" s="64">
        <v>7500</v>
      </c>
      <c r="AI197" s="1202">
        <f t="shared" si="99"/>
        <v>7500</v>
      </c>
      <c r="AJ197" s="1203">
        <f t="shared" si="99"/>
        <v>7500</v>
      </c>
      <c r="AK197" s="1203">
        <f t="shared" si="99"/>
        <v>7500</v>
      </c>
      <c r="AL197" s="1205">
        <f t="shared" si="99"/>
        <v>7500</v>
      </c>
      <c r="AM197" s="64">
        <v>7500</v>
      </c>
      <c r="AN197" s="1202">
        <f t="shared" si="91"/>
        <v>7500</v>
      </c>
      <c r="AO197" s="1203">
        <f t="shared" si="91"/>
        <v>7500</v>
      </c>
      <c r="AP197" s="1203">
        <f t="shared" si="91"/>
        <v>7500</v>
      </c>
      <c r="AQ197" s="1205">
        <f>AR197</f>
        <v>7500</v>
      </c>
      <c r="AR197" s="64">
        <v>7500</v>
      </c>
      <c r="AS197" s="1202">
        <f t="shared" si="92"/>
        <v>7250</v>
      </c>
      <c r="AT197" s="1203">
        <f t="shared" si="92"/>
        <v>7250</v>
      </c>
      <c r="AU197" s="1203">
        <f t="shared" si="92"/>
        <v>7250</v>
      </c>
      <c r="AV197" s="1205">
        <f t="shared" si="92"/>
        <v>7250</v>
      </c>
      <c r="AW197" s="64">
        <v>7250</v>
      </c>
      <c r="AX197" s="1202">
        <f t="shared" si="93"/>
        <v>7250</v>
      </c>
      <c r="AY197" s="1203">
        <f t="shared" si="93"/>
        <v>7250</v>
      </c>
      <c r="AZ197" s="1203">
        <f t="shared" si="93"/>
        <v>7250</v>
      </c>
      <c r="BA197" s="1205">
        <f t="shared" si="93"/>
        <v>7250</v>
      </c>
      <c r="BB197" s="64">
        <v>7250</v>
      </c>
      <c r="BC197" s="1202">
        <f t="shared" si="94"/>
        <v>7250</v>
      </c>
      <c r="BD197" s="1203">
        <f t="shared" si="94"/>
        <v>7250</v>
      </c>
      <c r="BE197" s="1203">
        <f t="shared" si="94"/>
        <v>7250</v>
      </c>
      <c r="BF197" s="1205">
        <f t="shared" si="94"/>
        <v>7250</v>
      </c>
      <c r="BG197" s="64">
        <v>7250</v>
      </c>
      <c r="BH197" s="1202">
        <f t="shared" si="95"/>
        <v>7250</v>
      </c>
      <c r="BI197" s="1203">
        <f t="shared" si="95"/>
        <v>7250</v>
      </c>
      <c r="BJ197" s="1203">
        <f t="shared" si="95"/>
        <v>7250</v>
      </c>
      <c r="BK197" s="1205">
        <f t="shared" si="95"/>
        <v>7250</v>
      </c>
      <c r="BL197" s="64">
        <v>7250</v>
      </c>
      <c r="BM197" s="1202">
        <f t="shared" si="96"/>
        <v>7250</v>
      </c>
      <c r="BN197" s="1203">
        <f t="shared" si="96"/>
        <v>7250</v>
      </c>
      <c r="BO197" s="1203">
        <f t="shared" si="96"/>
        <v>7250</v>
      </c>
      <c r="BP197" s="1205">
        <f t="shared" si="96"/>
        <v>7250</v>
      </c>
      <c r="BQ197" s="64">
        <v>7250</v>
      </c>
      <c r="BR197" s="1272"/>
      <c r="BS197" s="1272"/>
      <c r="BT197" s="1272"/>
      <c r="BU197" s="1272"/>
      <c r="BV197" s="1272"/>
      <c r="BW197" s="1272"/>
      <c r="BX197" s="1272"/>
      <c r="BY197" s="1272"/>
      <c r="BZ197" s="1272"/>
    </row>
    <row r="198" spans="2:78" s="56" customFormat="1" outlineLevel="1">
      <c r="C198" s="1440" t="s">
        <v>969</v>
      </c>
      <c r="D198" s="1272"/>
      <c r="E198" s="1209"/>
      <c r="F198" s="1822"/>
      <c r="G198" s="1822"/>
      <c r="H198" s="1281"/>
      <c r="I198" s="1279"/>
      <c r="J198" s="1209"/>
      <c r="K198" s="1822"/>
      <c r="L198" s="1822"/>
      <c r="M198" s="1281"/>
      <c r="N198" s="1279"/>
      <c r="O198" s="1202"/>
      <c r="P198" s="1203"/>
      <c r="Q198" s="1203"/>
      <c r="R198" s="1205"/>
      <c r="S198" s="64"/>
      <c r="T198" s="1202"/>
      <c r="U198" s="1204"/>
      <c r="V198" s="1204"/>
      <c r="W198" s="1205"/>
      <c r="X198" s="64">
        <v>12000</v>
      </c>
      <c r="Y198" s="1202">
        <f t="shared" si="97"/>
        <v>12000</v>
      </c>
      <c r="Z198" s="1203">
        <f t="shared" si="97"/>
        <v>12000</v>
      </c>
      <c r="AA198" s="1203">
        <f t="shared" si="97"/>
        <v>12000</v>
      </c>
      <c r="AB198" s="1205">
        <f t="shared" si="97"/>
        <v>12000</v>
      </c>
      <c r="AC198" s="1352">
        <v>12000</v>
      </c>
      <c r="AD198" s="1202">
        <f t="shared" si="98"/>
        <v>12000</v>
      </c>
      <c r="AE198" s="1203">
        <f t="shared" si="98"/>
        <v>12000</v>
      </c>
      <c r="AF198" s="1203">
        <f t="shared" si="98"/>
        <v>12000</v>
      </c>
      <c r="AG198" s="1205">
        <f t="shared" si="98"/>
        <v>12000</v>
      </c>
      <c r="AH198" s="64">
        <v>12000</v>
      </c>
      <c r="AI198" s="1202">
        <f t="shared" si="99"/>
        <v>12000</v>
      </c>
      <c r="AJ198" s="1203">
        <f t="shared" si="99"/>
        <v>12000</v>
      </c>
      <c r="AK198" s="1203">
        <f t="shared" si="99"/>
        <v>12000</v>
      </c>
      <c r="AL198" s="1205">
        <f t="shared" si="99"/>
        <v>12000</v>
      </c>
      <c r="AM198" s="64">
        <v>12000</v>
      </c>
      <c r="AN198" s="1202">
        <f t="shared" si="91"/>
        <v>12000</v>
      </c>
      <c r="AO198" s="1203">
        <f t="shared" si="91"/>
        <v>12000</v>
      </c>
      <c r="AP198" s="1203">
        <f t="shared" si="91"/>
        <v>12000</v>
      </c>
      <c r="AQ198" s="1205">
        <f>AR198</f>
        <v>12000</v>
      </c>
      <c r="AR198" s="64">
        <v>12000</v>
      </c>
      <c r="AS198" s="1202">
        <f t="shared" si="92"/>
        <v>12000</v>
      </c>
      <c r="AT198" s="1203">
        <f t="shared" si="92"/>
        <v>12000</v>
      </c>
      <c r="AU198" s="1203">
        <f t="shared" si="92"/>
        <v>12000</v>
      </c>
      <c r="AV198" s="1205">
        <f t="shared" si="92"/>
        <v>12000</v>
      </c>
      <c r="AW198" s="64">
        <v>12000</v>
      </c>
      <c r="AX198" s="1202">
        <f t="shared" si="93"/>
        <v>12000</v>
      </c>
      <c r="AY198" s="1203">
        <f t="shared" si="93"/>
        <v>12000</v>
      </c>
      <c r="AZ198" s="1203">
        <f t="shared" si="93"/>
        <v>12000</v>
      </c>
      <c r="BA198" s="1205">
        <f t="shared" si="93"/>
        <v>12000</v>
      </c>
      <c r="BB198" s="64">
        <v>12000</v>
      </c>
      <c r="BC198" s="1202">
        <f t="shared" si="94"/>
        <v>12000</v>
      </c>
      <c r="BD198" s="1203">
        <f t="shared" si="94"/>
        <v>12000</v>
      </c>
      <c r="BE198" s="1203">
        <f t="shared" si="94"/>
        <v>12000</v>
      </c>
      <c r="BF198" s="1205">
        <f t="shared" si="94"/>
        <v>12000</v>
      </c>
      <c r="BG198" s="64">
        <v>12000</v>
      </c>
      <c r="BH198" s="1202">
        <f t="shared" si="95"/>
        <v>12000</v>
      </c>
      <c r="BI198" s="1203">
        <f t="shared" si="95"/>
        <v>12000</v>
      </c>
      <c r="BJ198" s="1203">
        <f t="shared" si="95"/>
        <v>12000</v>
      </c>
      <c r="BK198" s="1205">
        <f t="shared" si="95"/>
        <v>12000</v>
      </c>
      <c r="BL198" s="64">
        <v>12000</v>
      </c>
      <c r="BM198" s="1202">
        <f t="shared" si="96"/>
        <v>12000</v>
      </c>
      <c r="BN198" s="1203">
        <f t="shared" si="96"/>
        <v>12000</v>
      </c>
      <c r="BO198" s="1203">
        <f t="shared" si="96"/>
        <v>12000</v>
      </c>
      <c r="BP198" s="1205">
        <f t="shared" si="96"/>
        <v>12000</v>
      </c>
      <c r="BQ198" s="64">
        <v>12000</v>
      </c>
      <c r="BR198" s="1272"/>
      <c r="BS198" s="1272"/>
      <c r="BT198" s="1272"/>
      <c r="BU198" s="1272"/>
      <c r="BV198" s="1272"/>
      <c r="BW198" s="1272"/>
      <c r="BX198" s="1272"/>
      <c r="BY198" s="1272"/>
      <c r="BZ198" s="1272"/>
    </row>
    <row r="199" spans="2:78" s="56" customFormat="1" outlineLevel="1">
      <c r="C199" s="1440" t="s">
        <v>48</v>
      </c>
      <c r="D199" s="1272"/>
      <c r="E199" s="1209"/>
      <c r="F199" s="1822"/>
      <c r="G199" s="1822"/>
      <c r="H199" s="1281"/>
      <c r="I199" s="1279"/>
      <c r="J199" s="1209"/>
      <c r="K199" s="1822"/>
      <c r="L199" s="1822"/>
      <c r="M199" s="1281"/>
      <c r="N199" s="1279"/>
      <c r="O199" s="1202"/>
      <c r="P199" s="1203"/>
      <c r="Q199" s="1203"/>
      <c r="R199" s="1205"/>
      <c r="S199" s="1206"/>
      <c r="T199" s="1202"/>
      <c r="U199" s="1203"/>
      <c r="V199" s="1203"/>
      <c r="W199" s="1205"/>
      <c r="X199" s="1206">
        <f t="shared" ref="X199:BL199" si="100">SUM(X195:X198)</f>
        <v>41500</v>
      </c>
      <c r="Y199" s="1202">
        <f t="shared" si="100"/>
        <v>41500</v>
      </c>
      <c r="Z199" s="1203">
        <f t="shared" si="100"/>
        <v>41500</v>
      </c>
      <c r="AA199" s="1203">
        <f t="shared" si="100"/>
        <v>41500</v>
      </c>
      <c r="AB199" s="1205">
        <f t="shared" si="100"/>
        <v>41500</v>
      </c>
      <c r="AC199" s="1206">
        <f t="shared" si="100"/>
        <v>41500</v>
      </c>
      <c r="AD199" s="1202">
        <f t="shared" si="100"/>
        <v>41500</v>
      </c>
      <c r="AE199" s="1203">
        <f t="shared" si="100"/>
        <v>41500</v>
      </c>
      <c r="AF199" s="1203">
        <f t="shared" si="100"/>
        <v>41500</v>
      </c>
      <c r="AG199" s="1205">
        <f t="shared" si="100"/>
        <v>41500</v>
      </c>
      <c r="AH199" s="1206">
        <f t="shared" si="100"/>
        <v>41500</v>
      </c>
      <c r="AI199" s="1202">
        <f t="shared" si="100"/>
        <v>41500</v>
      </c>
      <c r="AJ199" s="1203">
        <f t="shared" si="100"/>
        <v>41500</v>
      </c>
      <c r="AK199" s="1203">
        <f t="shared" si="100"/>
        <v>41500</v>
      </c>
      <c r="AL199" s="1205">
        <f t="shared" si="100"/>
        <v>41500</v>
      </c>
      <c r="AM199" s="1206">
        <f t="shared" si="100"/>
        <v>41500</v>
      </c>
      <c r="AN199" s="1202">
        <f t="shared" si="100"/>
        <v>41500</v>
      </c>
      <c r="AO199" s="1203">
        <f t="shared" si="100"/>
        <v>41500</v>
      </c>
      <c r="AP199" s="1203">
        <f t="shared" si="100"/>
        <v>41500</v>
      </c>
      <c r="AQ199" s="1205">
        <f>SUM(AQ195:AQ198)</f>
        <v>41500</v>
      </c>
      <c r="AR199" s="1206">
        <f>SUM(AR195:AR198)</f>
        <v>41500</v>
      </c>
      <c r="AS199" s="1202">
        <f t="shared" si="100"/>
        <v>41250</v>
      </c>
      <c r="AT199" s="1203">
        <f t="shared" si="100"/>
        <v>41250</v>
      </c>
      <c r="AU199" s="1203">
        <f t="shared" si="100"/>
        <v>41250</v>
      </c>
      <c r="AV199" s="1205">
        <f t="shared" si="100"/>
        <v>41250</v>
      </c>
      <c r="AW199" s="1206">
        <f t="shared" si="100"/>
        <v>41250</v>
      </c>
      <c r="AX199" s="1202">
        <f t="shared" si="100"/>
        <v>41250</v>
      </c>
      <c r="AY199" s="1203">
        <f t="shared" si="100"/>
        <v>41250</v>
      </c>
      <c r="AZ199" s="1203">
        <f t="shared" si="100"/>
        <v>41250</v>
      </c>
      <c r="BA199" s="1205">
        <f t="shared" si="100"/>
        <v>41250</v>
      </c>
      <c r="BB199" s="1206">
        <f t="shared" si="100"/>
        <v>41250</v>
      </c>
      <c r="BC199" s="1202">
        <f t="shared" si="100"/>
        <v>41250</v>
      </c>
      <c r="BD199" s="1203">
        <f t="shared" si="100"/>
        <v>41250</v>
      </c>
      <c r="BE199" s="1203">
        <f t="shared" si="100"/>
        <v>41250</v>
      </c>
      <c r="BF199" s="1205">
        <f t="shared" si="100"/>
        <v>41250</v>
      </c>
      <c r="BG199" s="1206">
        <f t="shared" si="100"/>
        <v>41250</v>
      </c>
      <c r="BH199" s="1202">
        <f t="shared" si="100"/>
        <v>41250</v>
      </c>
      <c r="BI199" s="1203">
        <f t="shared" si="100"/>
        <v>41250</v>
      </c>
      <c r="BJ199" s="1203">
        <f t="shared" si="100"/>
        <v>41250</v>
      </c>
      <c r="BK199" s="1205">
        <f t="shared" si="100"/>
        <v>41250</v>
      </c>
      <c r="BL199" s="1206">
        <f t="shared" si="100"/>
        <v>41250</v>
      </c>
      <c r="BM199" s="1202">
        <f>SUM(BM195:BM198)</f>
        <v>41250</v>
      </c>
      <c r="BN199" s="1203">
        <f>SUM(BN195:BN198)</f>
        <v>41250</v>
      </c>
      <c r="BO199" s="1203">
        <f>SUM(BO195:BO198)</f>
        <v>41250</v>
      </c>
      <c r="BP199" s="1205">
        <f>SUM(BP195:BP198)</f>
        <v>41250</v>
      </c>
      <c r="BQ199" s="1206">
        <f>SUM(BQ195:BQ198)</f>
        <v>41250</v>
      </c>
      <c r="BR199" s="1272"/>
      <c r="BS199" s="1272"/>
      <c r="BT199" s="1272"/>
      <c r="BU199" s="1272"/>
      <c r="BV199" s="1272"/>
      <c r="BW199" s="1272"/>
      <c r="BX199" s="1272"/>
      <c r="BY199" s="1272"/>
      <c r="BZ199" s="1272"/>
    </row>
    <row r="200" spans="2:78" s="56" customFormat="1">
      <c r="C200" s="515"/>
      <c r="E200" s="289"/>
      <c r="F200" s="290"/>
      <c r="G200" s="290"/>
      <c r="H200" s="291"/>
      <c r="I200" s="191"/>
      <c r="J200" s="289"/>
      <c r="K200" s="290"/>
      <c r="L200" s="290"/>
      <c r="M200" s="291"/>
      <c r="N200" s="191"/>
      <c r="O200" s="149"/>
      <c r="P200" s="156"/>
      <c r="Q200" s="156"/>
      <c r="R200" s="151"/>
      <c r="S200" s="112"/>
      <c r="T200" s="149"/>
      <c r="U200" s="156"/>
      <c r="V200" s="156"/>
      <c r="W200" s="151"/>
      <c r="X200" s="112"/>
      <c r="Y200" s="149"/>
      <c r="Z200" s="156"/>
      <c r="AA200" s="156"/>
      <c r="AB200" s="151"/>
      <c r="AC200" s="112"/>
      <c r="AD200" s="149"/>
      <c r="AE200" s="156"/>
      <c r="AF200" s="156"/>
      <c r="AG200" s="151"/>
      <c r="AH200" s="112"/>
      <c r="AI200" s="149"/>
      <c r="AJ200" s="156"/>
      <c r="AK200" s="156"/>
      <c r="AL200" s="151"/>
      <c r="AM200" s="112"/>
      <c r="AN200" s="149"/>
      <c r="AO200" s="156"/>
      <c r="AP200" s="156"/>
      <c r="AQ200" s="151"/>
      <c r="AR200" s="112"/>
      <c r="AS200" s="149"/>
      <c r="AT200" s="156"/>
      <c r="AU200" s="156"/>
      <c r="AV200" s="151"/>
      <c r="AW200" s="112"/>
      <c r="AX200" s="149"/>
      <c r="AY200" s="156"/>
      <c r="AZ200" s="156"/>
      <c r="BA200" s="151"/>
      <c r="BB200" s="112"/>
      <c r="BC200" s="149"/>
      <c r="BD200" s="156"/>
      <c r="BE200" s="156"/>
      <c r="BF200" s="151"/>
      <c r="BG200" s="112"/>
      <c r="BH200" s="149"/>
      <c r="BI200" s="156"/>
      <c r="BJ200" s="156"/>
      <c r="BK200" s="151"/>
      <c r="BL200" s="112"/>
      <c r="BM200" s="149"/>
      <c r="BN200" s="156"/>
      <c r="BO200" s="156"/>
      <c r="BP200" s="151"/>
      <c r="BQ200" s="112"/>
    </row>
    <row r="201" spans="2:78" s="56" customFormat="1">
      <c r="C201" s="515"/>
      <c r="E201" s="1202"/>
      <c r="F201" s="1204"/>
      <c r="G201" s="1204"/>
      <c r="H201" s="1205"/>
      <c r="I201" s="191"/>
      <c r="J201" s="1202"/>
      <c r="K201" s="1204"/>
      <c r="L201" s="1204"/>
      <c r="M201" s="1205"/>
      <c r="N201" s="191"/>
      <c r="O201" s="149"/>
      <c r="P201" s="156"/>
      <c r="Q201" s="156"/>
      <c r="R201" s="151"/>
      <c r="S201" s="112"/>
      <c r="T201" s="149"/>
      <c r="U201" s="156"/>
      <c r="V201" s="156"/>
      <c r="W201" s="151"/>
      <c r="X201" s="112"/>
      <c r="Y201" s="149"/>
      <c r="Z201" s="156"/>
      <c r="AA201" s="156"/>
      <c r="AB201" s="151"/>
      <c r="AC201" s="112"/>
      <c r="AD201" s="149"/>
      <c r="AE201" s="156"/>
      <c r="AF201" s="156"/>
      <c r="AG201" s="151"/>
      <c r="AH201" s="112"/>
      <c r="AI201" s="149"/>
      <c r="AJ201" s="156"/>
      <c r="AK201" s="156"/>
      <c r="AL201" s="151"/>
      <c r="AM201" s="112"/>
      <c r="AN201" s="149"/>
      <c r="AO201" s="156"/>
      <c r="AP201" s="156"/>
      <c r="AQ201" s="151"/>
      <c r="AR201" s="112"/>
      <c r="AS201" s="149"/>
      <c r="AT201" s="156"/>
      <c r="AU201" s="156"/>
      <c r="AV201" s="151"/>
      <c r="AW201" s="112"/>
      <c r="AX201" s="149"/>
      <c r="AY201" s="156"/>
      <c r="AZ201" s="156"/>
      <c r="BA201" s="151"/>
      <c r="BB201" s="112"/>
      <c r="BC201" s="149"/>
      <c r="BD201" s="156"/>
      <c r="BE201" s="156"/>
      <c r="BF201" s="151"/>
      <c r="BG201" s="112"/>
      <c r="BH201" s="149"/>
      <c r="BI201" s="156"/>
      <c r="BJ201" s="156"/>
      <c r="BK201" s="151"/>
      <c r="BL201" s="112"/>
      <c r="BM201" s="149"/>
      <c r="BN201" s="156"/>
      <c r="BO201" s="156"/>
      <c r="BP201" s="151"/>
      <c r="BQ201" s="112"/>
    </row>
    <row r="202" spans="2:78" ht="12.75" customHeight="1">
      <c r="B202" s="1618" t="s">
        <v>1140</v>
      </c>
      <c r="C202" s="1618"/>
      <c r="D202" s="1618"/>
      <c r="E202" s="1202"/>
      <c r="F202" s="1204"/>
      <c r="G202" s="1204"/>
      <c r="H202" s="1205"/>
      <c r="I202" s="1483"/>
      <c r="J202" s="1202"/>
      <c r="K202" s="1204"/>
      <c r="L202" s="1204"/>
      <c r="M202" s="1205"/>
      <c r="N202" s="1622"/>
      <c r="O202" s="1548"/>
      <c r="P202" s="1557"/>
      <c r="Q202" s="1557"/>
      <c r="R202" s="1518"/>
      <c r="S202" s="1477"/>
      <c r="T202" s="1548"/>
      <c r="U202" s="1557"/>
      <c r="V202" s="1557"/>
      <c r="W202" s="1518"/>
      <c r="X202" s="1477"/>
      <c r="Y202" s="1548"/>
      <c r="Z202" s="1557"/>
      <c r="AA202" s="1557"/>
      <c r="AB202" s="1518"/>
      <c r="AC202" s="1477"/>
      <c r="AD202" s="1548"/>
      <c r="AE202" s="1557"/>
      <c r="AF202" s="1557"/>
      <c r="AG202" s="1518"/>
      <c r="AH202" s="1477"/>
      <c r="AI202" s="1548"/>
      <c r="AJ202" s="1557"/>
      <c r="AK202" s="1557"/>
      <c r="AL202" s="1518"/>
      <c r="AM202" s="1477"/>
      <c r="AN202" s="1548"/>
      <c r="AO202" s="1557"/>
      <c r="AP202" s="1557"/>
      <c r="AQ202" s="1518"/>
      <c r="AR202" s="1477"/>
      <c r="AS202" s="1548"/>
      <c r="AT202" s="1557"/>
      <c r="AU202" s="1557"/>
      <c r="AV202" s="1518"/>
      <c r="AW202" s="1477"/>
      <c r="AX202" s="1548"/>
      <c r="AY202" s="1557"/>
      <c r="AZ202" s="1557"/>
      <c r="BA202" s="1518"/>
      <c r="BB202" s="1477"/>
      <c r="BC202" s="1548"/>
      <c r="BD202" s="1557"/>
      <c r="BE202" s="1557"/>
      <c r="BF202" s="1518"/>
      <c r="BG202" s="1477"/>
      <c r="BH202" s="1548"/>
      <c r="BI202" s="1557"/>
      <c r="BJ202" s="1557"/>
      <c r="BK202" s="1518"/>
      <c r="BL202" s="1477"/>
      <c r="BM202" s="1548"/>
      <c r="BN202" s="1557"/>
      <c r="BO202" s="1557"/>
      <c r="BP202" s="1518"/>
      <c r="BQ202" s="1477"/>
    </row>
    <row r="203" spans="2:78" ht="12.75" customHeight="1">
      <c r="B203" s="56"/>
      <c r="C203" s="515"/>
      <c r="D203" s="56"/>
      <c r="E203" s="1202"/>
      <c r="F203" s="1204"/>
      <c r="G203" s="1204"/>
      <c r="H203" s="1205"/>
      <c r="I203" s="1483"/>
      <c r="J203" s="1202"/>
      <c r="K203" s="1204"/>
      <c r="L203" s="1204"/>
      <c r="M203" s="1205"/>
      <c r="N203" s="1622"/>
      <c r="O203" s="1548"/>
      <c r="P203" s="1557"/>
      <c r="Q203" s="1557"/>
      <c r="R203" s="1518"/>
      <c r="S203" s="1477"/>
      <c r="T203" s="1548"/>
      <c r="U203" s="1557"/>
      <c r="V203" s="1557"/>
      <c r="W203" s="1518"/>
      <c r="X203" s="1477"/>
      <c r="Y203" s="1548"/>
      <c r="Z203" s="1557"/>
      <c r="AA203" s="1557"/>
      <c r="AB203" s="1518"/>
      <c r="AC203" s="1477"/>
      <c r="AD203" s="1548"/>
      <c r="AE203" s="1557"/>
      <c r="AF203" s="1557"/>
      <c r="AG203" s="1518"/>
      <c r="AH203" s="1477"/>
      <c r="AI203" s="1548"/>
      <c r="AJ203" s="1557"/>
      <c r="AK203" s="1557"/>
      <c r="AL203" s="1518"/>
      <c r="AM203" s="1477"/>
      <c r="AN203" s="1548"/>
      <c r="AO203" s="1557"/>
      <c r="AP203" s="1557"/>
      <c r="AQ203" s="1518"/>
      <c r="AR203" s="1477"/>
      <c r="AS203" s="1548"/>
      <c r="AT203" s="1557"/>
      <c r="AU203" s="1557"/>
      <c r="AV203" s="1518"/>
      <c r="AW203" s="1477"/>
      <c r="AX203" s="1548"/>
      <c r="AY203" s="1557"/>
      <c r="AZ203" s="1557"/>
      <c r="BA203" s="1518"/>
      <c r="BB203" s="1477"/>
      <c r="BC203" s="1548"/>
      <c r="BD203" s="1557"/>
      <c r="BE203" s="1557"/>
      <c r="BF203" s="1518"/>
      <c r="BG203" s="1477"/>
      <c r="BH203" s="1548"/>
      <c r="BI203" s="1557"/>
      <c r="BJ203" s="1557"/>
      <c r="BK203" s="1518"/>
      <c r="BL203" s="1477"/>
      <c r="BM203" s="1548"/>
      <c r="BN203" s="1557"/>
      <c r="BO203" s="1557"/>
      <c r="BP203" s="1518"/>
      <c r="BQ203" s="1477"/>
    </row>
    <row r="204" spans="2:78" s="1640" customFormat="1">
      <c r="C204" s="1627" t="s">
        <v>1143</v>
      </c>
      <c r="E204" s="1202"/>
      <c r="F204" s="1204"/>
      <c r="G204" s="1204"/>
      <c r="H204" s="1205"/>
      <c r="I204" s="1640" t="s">
        <v>255</v>
      </c>
      <c r="J204" s="1202"/>
      <c r="K204" s="1204"/>
      <c r="L204" s="1204"/>
      <c r="M204" s="1205"/>
      <c r="O204" s="1653"/>
      <c r="P204" s="1654"/>
      <c r="Q204" s="1654"/>
      <c r="R204" s="1655"/>
      <c r="T204" s="1653"/>
      <c r="U204" s="1654"/>
      <c r="V204" s="1654"/>
      <c r="W204" s="1655"/>
      <c r="Y204" s="1653"/>
      <c r="Z204" s="1654"/>
      <c r="AA204" s="1654"/>
      <c r="AB204" s="1655"/>
      <c r="AD204" s="1653"/>
      <c r="AE204" s="1654"/>
      <c r="AF204" s="1654"/>
      <c r="AG204" s="1655"/>
      <c r="AI204" s="1653"/>
      <c r="AJ204" s="1654"/>
      <c r="AK204" s="1654"/>
      <c r="AL204" s="1655"/>
      <c r="AN204" s="1653"/>
      <c r="AO204" s="1654"/>
      <c r="AP204" s="1654"/>
      <c r="AQ204" s="1655"/>
      <c r="AS204" s="1653"/>
      <c r="AT204" s="1654"/>
      <c r="AU204" s="1654"/>
      <c r="AV204" s="1655"/>
      <c r="AX204" s="1653"/>
      <c r="AY204" s="1654"/>
      <c r="AZ204" s="1654"/>
      <c r="BA204" s="1655"/>
      <c r="BC204" s="1653"/>
      <c r="BD204" s="1654"/>
      <c r="BE204" s="1654"/>
      <c r="BF204" s="1655"/>
      <c r="BH204" s="1653"/>
      <c r="BI204" s="1654"/>
      <c r="BJ204" s="1654"/>
      <c r="BK204" s="1655"/>
      <c r="BM204" s="1653"/>
      <c r="BN204" s="1654"/>
      <c r="BO204" s="1654"/>
      <c r="BP204" s="1655"/>
    </row>
    <row r="205" spans="2:78" s="1623" customFormat="1">
      <c r="C205" s="1631" t="s">
        <v>1144</v>
      </c>
      <c r="E205" s="1202"/>
      <c r="F205" s="1204"/>
      <c r="G205" s="1204"/>
      <c r="H205" s="1205"/>
      <c r="J205" s="1202"/>
      <c r="K205" s="1204"/>
      <c r="L205" s="1204"/>
      <c r="M205" s="1205"/>
      <c r="O205" s="1632"/>
      <c r="P205" s="1633"/>
      <c r="Q205" s="1633"/>
      <c r="R205" s="1634"/>
      <c r="S205" s="1635"/>
      <c r="T205" s="1632">
        <f>T$61</f>
        <v>0</v>
      </c>
      <c r="U205" s="1633">
        <f>U$61</f>
        <v>0</v>
      </c>
      <c r="V205" s="1633">
        <f>V$61</f>
        <v>0</v>
      </c>
      <c r="W205" s="1634">
        <f>W$61</f>
        <v>0</v>
      </c>
      <c r="X205" s="1636"/>
      <c r="Y205" s="1632"/>
      <c r="Z205" s="1633"/>
      <c r="AA205" s="1633"/>
      <c r="AB205" s="1634"/>
      <c r="AC205" s="1636"/>
      <c r="AD205" s="1632"/>
      <c r="AE205" s="1633"/>
      <c r="AF205" s="1633"/>
      <c r="AG205" s="1634"/>
      <c r="AH205" s="1636"/>
      <c r="AI205" s="1632">
        <f>AI$61</f>
        <v>43.107304533730151</v>
      </c>
      <c r="AJ205" s="1633">
        <f>AJ$61</f>
        <v>36.571755771484376</v>
      </c>
      <c r="AK205" s="1633">
        <f>AK$61</f>
        <v>35.906114451923074</v>
      </c>
      <c r="AL205" s="1634">
        <f>AL$61</f>
        <v>30.830603544921878</v>
      </c>
      <c r="AM205" s="1636">
        <f>AVERAGE(AI205:AL205)</f>
        <v>36.603944575514873</v>
      </c>
      <c r="AN205" s="1632">
        <f>AN$61</f>
        <v>27.466274697265618</v>
      </c>
      <c r="AO205" s="1633">
        <f>AO$61</f>
        <v>31.331062939453115</v>
      </c>
      <c r="AP205" s="1633">
        <f>AP$61</f>
        <v>37.764263886718759</v>
      </c>
      <c r="AQ205" s="1634">
        <f>AQ$61</f>
        <v>32.442105446428577</v>
      </c>
      <c r="AR205" s="1636">
        <f>AVERAGE(AN205:AQ205)</f>
        <v>32.250926742466518</v>
      </c>
      <c r="AS205" s="1632">
        <f>AS$61</f>
        <v>30.987138056640639</v>
      </c>
      <c r="AT205" s="1633">
        <f>AT$61</f>
        <v>33.05749094726562</v>
      </c>
      <c r="AU205" s="1633">
        <f>AU$61</f>
        <v>36.590803630952379</v>
      </c>
      <c r="AV205" s="1634">
        <f>AV$61</f>
        <v>39.582188720703115</v>
      </c>
      <c r="AW205" s="1636">
        <f>AVERAGE(AS205:AV205)</f>
        <v>35.05440533889044</v>
      </c>
      <c r="AX205" s="1632">
        <f>AX$61</f>
        <v>39.582188720703115</v>
      </c>
      <c r="AY205" s="1633">
        <f>AY$61</f>
        <v>35.416666666666664</v>
      </c>
      <c r="AZ205" s="1633">
        <f>AZ$61</f>
        <v>37.699999999999996</v>
      </c>
      <c r="BA205" s="1634">
        <f>BA$61</f>
        <v>34.06666666666667</v>
      </c>
      <c r="BB205" s="1636">
        <f>AVERAGE(AX205:BA205)</f>
        <v>36.69138051350911</v>
      </c>
      <c r="BC205" s="1632">
        <f>BC$61</f>
        <v>37.104731797582922</v>
      </c>
      <c r="BD205" s="1633">
        <f>BD$61</f>
        <v>31.217090858976206</v>
      </c>
      <c r="BE205" s="1633">
        <f>BE$61</f>
        <v>33.846064219263162</v>
      </c>
      <c r="BF205" s="1634">
        <f>BF$61</f>
        <v>36.098779790577716</v>
      </c>
      <c r="BG205" s="1636">
        <f>AVERAGE(BC205:BF205)</f>
        <v>34.5666666666</v>
      </c>
      <c r="BH205" s="1632">
        <f>BH$61</f>
        <v>36.757952834841532</v>
      </c>
      <c r="BI205" s="1633">
        <f>BI$61</f>
        <v>31.333888126925316</v>
      </c>
      <c r="BJ205" s="1633">
        <f>BJ$61</f>
        <v>39.194974438784563</v>
      </c>
      <c r="BK205" s="1634">
        <f>BK$61</f>
        <v>35.118661702295199</v>
      </c>
      <c r="BL205" s="1636">
        <f>AVERAGE(BH205:BK205)</f>
        <v>35.601369275711647</v>
      </c>
      <c r="BM205" s="1632">
        <f>BM$61</f>
        <v>36.037500000000009</v>
      </c>
      <c r="BN205" s="1633">
        <f>BN$61</f>
        <v>36.037500000000009</v>
      </c>
      <c r="BO205" s="1633">
        <f>BO$61</f>
        <v>36.037500000000009</v>
      </c>
      <c r="BP205" s="1634">
        <f>BP$61</f>
        <v>36.037500000000009</v>
      </c>
      <c r="BQ205" s="1636">
        <f>AVERAGE(BM205:BP205)</f>
        <v>36.037500000000009</v>
      </c>
    </row>
    <row r="206" spans="2:78" s="1623" customFormat="1">
      <c r="C206" s="1631" t="s">
        <v>1145</v>
      </c>
      <c r="E206" s="1628"/>
      <c r="F206" s="1629"/>
      <c r="G206" s="1629"/>
      <c r="H206" s="1630"/>
      <c r="J206" s="1202"/>
      <c r="K206" s="1204"/>
      <c r="L206" s="1204"/>
      <c r="M206" s="1205"/>
      <c r="O206" s="1632"/>
      <c r="P206" s="1633"/>
      <c r="Q206" s="1633"/>
      <c r="R206" s="1634"/>
      <c r="S206" s="1635"/>
      <c r="T206" s="1632">
        <f>T$70</f>
        <v>0</v>
      </c>
      <c r="U206" s="1633">
        <f>U$70</f>
        <v>0</v>
      </c>
      <c r="V206" s="1633">
        <f>V$70</f>
        <v>0</v>
      </c>
      <c r="W206" s="1634">
        <f>W$70</f>
        <v>0</v>
      </c>
      <c r="X206" s="1637"/>
      <c r="Y206" s="1632"/>
      <c r="Z206" s="1633"/>
      <c r="AA206" s="1633"/>
      <c r="AB206" s="1634"/>
      <c r="AC206" s="1637"/>
      <c r="AD206" s="1632"/>
      <c r="AE206" s="1633"/>
      <c r="AF206" s="1633"/>
      <c r="AG206" s="1634"/>
      <c r="AH206" s="1637"/>
      <c r="AI206" s="1632">
        <f>AI$62</f>
        <v>33.672197658071667</v>
      </c>
      <c r="AJ206" s="1633">
        <f>AJ$62</f>
        <v>24.408332260531143</v>
      </c>
      <c r="AK206" s="1633">
        <f>AK$62</f>
        <v>22.758183921195634</v>
      </c>
      <c r="AL206" s="1634">
        <f>AL$62</f>
        <v>22.005480128297094</v>
      </c>
      <c r="AM206" s="1637">
        <f>AVERAGE(AI206:AL206)</f>
        <v>25.711048492023885</v>
      </c>
      <c r="AN206" s="1632">
        <f>AN$62</f>
        <v>21.940509499422674</v>
      </c>
      <c r="AO206" s="1633">
        <f>AO$62</f>
        <v>21.194626118131868</v>
      </c>
      <c r="AP206" s="1633">
        <f>AP$62</f>
        <v>22.397125852355067</v>
      </c>
      <c r="AQ206" s="1634">
        <f>AQ$62</f>
        <v>25.119274915036236</v>
      </c>
      <c r="AR206" s="1637">
        <f>AVERAGE(AN206:AQ206)</f>
        <v>22.662884096236461</v>
      </c>
      <c r="AS206" s="1632">
        <f>AS$62</f>
        <v>25.609943032206107</v>
      </c>
      <c r="AT206" s="1633">
        <f>AT$62</f>
        <v>22.558270758241754</v>
      </c>
      <c r="AU206" s="1633">
        <f>AU$62</f>
        <v>22.753793536231882</v>
      </c>
      <c r="AV206" s="1634">
        <f>AV$62</f>
        <v>34.436698074516897</v>
      </c>
      <c r="AW206" s="1637">
        <f>AVERAGE(AS206:AV206)</f>
        <v>26.339676350299161</v>
      </c>
      <c r="AX206" s="1632">
        <f>AX$62</f>
        <v>34.436698074516897</v>
      </c>
      <c r="AY206" s="1633">
        <f>AY$62</f>
        <v>25.55</v>
      </c>
      <c r="AZ206" s="1633">
        <f>AZ$62</f>
        <v>25.216666666666669</v>
      </c>
      <c r="BA206" s="1634">
        <f>BA$62</f>
        <v>25.316666666666663</v>
      </c>
      <c r="BB206" s="1637">
        <f>AVERAGE(AX206:BA206)</f>
        <v>27.630007851962556</v>
      </c>
      <c r="BC206" s="1632">
        <f>BC$62</f>
        <v>30.065523917280853</v>
      </c>
      <c r="BD206" s="1633">
        <f>BD$62</f>
        <v>21.597016408139442</v>
      </c>
      <c r="BE206" s="1633">
        <f>BE$62</f>
        <v>21.984059712944806</v>
      </c>
      <c r="BF206" s="1634">
        <f>BF$62</f>
        <v>28.678033294834901</v>
      </c>
      <c r="BG206" s="1637">
        <f>AVERAGE(BC206:BF206)</f>
        <v>25.581158333300003</v>
      </c>
      <c r="BH206" s="1632">
        <f>BH$62</f>
        <v>29.607950419373289</v>
      </c>
      <c r="BI206" s="1633">
        <f>BI$62</f>
        <v>21.549300013324395</v>
      </c>
      <c r="BJ206" s="1633">
        <f>BJ$62</f>
        <v>25.30740735323139</v>
      </c>
      <c r="BK206" s="1634">
        <f>BK$62</f>
        <v>27.733989652742736</v>
      </c>
      <c r="BL206" s="1637">
        <f>AVERAGE(BH206:BK206)</f>
        <v>26.04966185966795</v>
      </c>
      <c r="BM206" s="1632">
        <f>BM$62</f>
        <v>24.652542559116636</v>
      </c>
      <c r="BN206" s="1633">
        <f>BN$62</f>
        <v>20.204139212869443</v>
      </c>
      <c r="BO206" s="1633">
        <f>BO$62</f>
        <v>20.298065443561722</v>
      </c>
      <c r="BP206" s="1634">
        <f>BP$62</f>
        <v>22.651445725230079</v>
      </c>
      <c r="BQ206" s="1637">
        <f>AVERAGE(BM206:BP206)</f>
        <v>21.951548235194469</v>
      </c>
    </row>
    <row r="207" spans="2:78" s="1623" customFormat="1">
      <c r="C207" s="1631" t="s">
        <v>1146</v>
      </c>
      <c r="E207" s="1628"/>
      <c r="F207" s="1629"/>
      <c r="G207" s="1629"/>
      <c r="H207" s="1630"/>
      <c r="I207" s="1638">
        <v>11000</v>
      </c>
      <c r="J207" s="1628"/>
      <c r="K207" s="1629"/>
      <c r="L207" s="1629"/>
      <c r="M207" s="1630"/>
      <c r="O207" s="1632"/>
      <c r="P207" s="1633"/>
      <c r="Q207" s="1633"/>
      <c r="R207" s="1634"/>
      <c r="S207" s="1635"/>
      <c r="T207" s="1632">
        <f>$I207/((12.5*(1-$I$113)+11.8*$I$113)*2)*T$117/1000</f>
        <v>0</v>
      </c>
      <c r="U207" s="1633">
        <f>$I207/((12.5*(1-$I$113)+11.8*$I$113)*2)*U$117/1000</f>
        <v>0</v>
      </c>
      <c r="V207" s="1633">
        <f>$I207/((12.5*(1-$I$113)+11.8*$I$113)*2)*V$117/1000</f>
        <v>0</v>
      </c>
      <c r="W207" s="1634">
        <f>$I207/((12.5*(1-$I$113)+11.8*$I$113)*2)*W$117/1000</f>
        <v>0</v>
      </c>
      <c r="X207" s="1637"/>
      <c r="Y207" s="1632"/>
      <c r="Z207" s="1633"/>
      <c r="AA207" s="1633"/>
      <c r="AB207" s="1634"/>
      <c r="AC207" s="1637"/>
      <c r="AD207" s="1632"/>
      <c r="AE207" s="1633"/>
      <c r="AF207" s="1633"/>
      <c r="AG207" s="1634"/>
      <c r="AH207" s="1637"/>
      <c r="AI207" s="1632">
        <f>$I207/(12.5*2)*AI$75/1000</f>
        <v>24.568787692307684</v>
      </c>
      <c r="AJ207" s="1633">
        <f>$I207/(12.5*2)*AJ$75/1000</f>
        <v>24.294836923076925</v>
      </c>
      <c r="AK207" s="1633">
        <f>$I207/(12.5*2)*AK$75/1000</f>
        <v>23.427969230769232</v>
      </c>
      <c r="AL207" s="1634">
        <f>$I207/(12.5*2)*AL$75/1000</f>
        <v>21.555007692307697</v>
      </c>
      <c r="AM207" s="1637">
        <f>AVERAGE(AI207:AL207)</f>
        <v>23.461650384615385</v>
      </c>
      <c r="AN207" s="1632">
        <f>$I207/(12.5*2)*AN$75/1000</f>
        <v>19.915161538461536</v>
      </c>
      <c r="AO207" s="1633">
        <f>$I207/(12.5*2)*AO$75/1000</f>
        <v>19.418384615384618</v>
      </c>
      <c r="AP207" s="1633">
        <f>$I207/(12.5*2)*AP$75/1000</f>
        <v>19.308142857142862</v>
      </c>
      <c r="AQ207" s="1634">
        <f>$I207/(12.5*2)*AQ$75/1000</f>
        <v>20.966592307692306</v>
      </c>
      <c r="AR207" s="1637">
        <f>AVERAGE(AN207:AQ207)</f>
        <v>19.90207032967033</v>
      </c>
      <c r="AS207" s="1632">
        <f>$I207/(12.5*2)*AS$75/1000</f>
        <v>23.124115384615386</v>
      </c>
      <c r="AT207" s="1633">
        <f>$I207/(12.5*2)*AT$75/1000</f>
        <v>24.12892307692308</v>
      </c>
      <c r="AU207" s="1633">
        <f>$I207/(12.5*2)*AU$75/1000</f>
        <v>24.349176923076929</v>
      </c>
      <c r="AV207" s="1634">
        <f>$I207/(12.5*2)*AV$75/1000</f>
        <v>27.635300000000004</v>
      </c>
      <c r="AW207" s="1637">
        <f>AVERAGE(AS207:AV207)</f>
        <v>24.809378846153848</v>
      </c>
      <c r="AX207" s="1632">
        <f>$I207/(12.5*2)*AX$75/1000</f>
        <v>27.635300000000004</v>
      </c>
      <c r="AY207" s="1633">
        <f>$I207/(12.5*2)*AY$75/1000</f>
        <v>22.681999999999999</v>
      </c>
      <c r="AZ207" s="1633">
        <f>$I207/(12.5*2)*AZ$75/1000</f>
        <v>22.681999999999999</v>
      </c>
      <c r="BA207" s="1634">
        <f>$I207/(12.5*2)*BA$75/1000</f>
        <v>22.681999999999999</v>
      </c>
      <c r="BB207" s="1637">
        <f>AVERAGE(AX207:BA207)</f>
        <v>23.920325000000002</v>
      </c>
      <c r="BC207" s="1632">
        <f>$I207/(12.5*2)*BC$75/1000</f>
        <v>22.328491687366324</v>
      </c>
      <c r="BD207" s="1633">
        <f>$I207/(12.5*2)*BD$75/1000</f>
        <v>22.328491687366324</v>
      </c>
      <c r="BE207" s="1633">
        <f>$I207/(12.5*2)*BE$75/1000</f>
        <v>22.328491687366324</v>
      </c>
      <c r="BF207" s="1634">
        <f>$I207/(12.5*2)*BF$75/1000</f>
        <v>25.414524937901032</v>
      </c>
      <c r="BG207" s="1637">
        <f>AVERAGE(BC207:BF207)</f>
        <v>23.1</v>
      </c>
      <c r="BH207" s="1632">
        <f>$I207/(12.5*2)*BH$75/1000+BH81</f>
        <v>22.328491687366324</v>
      </c>
      <c r="BI207" s="1633">
        <f>$I207/(12.5*2)*BI$75/1000+BI81</f>
        <v>22.328491687366324</v>
      </c>
      <c r="BJ207" s="1633">
        <f>$I207/(12.5*2)*BJ$75/1000+BJ81</f>
        <v>22.328491687366324</v>
      </c>
      <c r="BK207" s="1634">
        <f>$I207/(12.5*2)*BK$75/1000+BK81</f>
        <v>25.414524937901032</v>
      </c>
      <c r="BL207" s="1637">
        <f>AVERAGE(BH207:BK207)</f>
        <v>23.1</v>
      </c>
      <c r="BM207" s="1632">
        <f>$I207/(12.5*2)*BM$75/1000+BM81</f>
        <v>22.328491687366324</v>
      </c>
      <c r="BN207" s="1633">
        <f>$I207/(12.5*2)*BN$75/1000+BN81</f>
        <v>22.328491687366324</v>
      </c>
      <c r="BO207" s="1633">
        <f>$I207/(12.5*2)*BO$75/1000+BO81</f>
        <v>22.328491687366324</v>
      </c>
      <c r="BP207" s="1634">
        <f>$I207/(12.5*2)*BP$75/1000+BP81</f>
        <v>25.414524937901032</v>
      </c>
      <c r="BQ207" s="1637">
        <f>AVERAGE(BM207:BP207)</f>
        <v>23.1</v>
      </c>
    </row>
    <row r="208" spans="2:78" s="1623" customFormat="1">
      <c r="C208" s="1631"/>
      <c r="E208" s="1628"/>
      <c r="F208" s="1629"/>
      <c r="G208" s="1629"/>
      <c r="H208" s="1630"/>
      <c r="I208" s="1639"/>
      <c r="J208" s="1628"/>
      <c r="K208" s="1629"/>
      <c r="L208" s="1629"/>
      <c r="M208" s="1630"/>
      <c r="O208" s="1632"/>
      <c r="P208" s="1633"/>
      <c r="Q208" s="1633"/>
      <c r="R208" s="1634"/>
      <c r="S208" s="1635"/>
      <c r="T208" s="1632"/>
      <c r="U208" s="1633"/>
      <c r="V208" s="1633"/>
      <c r="W208" s="1634"/>
      <c r="X208" s="1635"/>
      <c r="Y208" s="1632"/>
      <c r="Z208" s="1633"/>
      <c r="AA208" s="1633"/>
      <c r="AB208" s="1634"/>
      <c r="AC208" s="1635"/>
      <c r="AD208" s="1632"/>
      <c r="AE208" s="1633"/>
      <c r="AF208" s="1633"/>
      <c r="AG208" s="1634"/>
      <c r="AH208" s="1635"/>
      <c r="AI208" s="1632"/>
      <c r="AJ208" s="1633"/>
      <c r="AK208" s="1633"/>
      <c r="AL208" s="1634"/>
      <c r="AM208" s="1635"/>
      <c r="AN208" s="1632"/>
      <c r="AO208" s="1633"/>
      <c r="AP208" s="1633"/>
      <c r="AQ208" s="1634"/>
      <c r="AR208" s="1635"/>
      <c r="AS208" s="1632"/>
      <c r="AT208" s="1633"/>
      <c r="AU208" s="1633"/>
      <c r="AV208" s="1634"/>
      <c r="AW208" s="1635"/>
      <c r="AX208" s="1632"/>
      <c r="AY208" s="1633"/>
      <c r="AZ208" s="1633"/>
      <c r="BA208" s="1634"/>
      <c r="BB208" s="1635"/>
      <c r="BC208" s="1632"/>
      <c r="BD208" s="1633"/>
      <c r="BE208" s="1633"/>
      <c r="BF208" s="1634"/>
      <c r="BG208" s="1635"/>
      <c r="BH208" s="1632"/>
      <c r="BI208" s="1633"/>
      <c r="BJ208" s="1633"/>
      <c r="BK208" s="1634"/>
      <c r="BL208" s="1635"/>
      <c r="BM208" s="1632"/>
      <c r="BN208" s="1633"/>
      <c r="BO208" s="1633"/>
      <c r="BP208" s="1634"/>
      <c r="BQ208" s="1635"/>
    </row>
    <row r="209" spans="1:104" s="1640" customFormat="1">
      <c r="C209" s="1640" t="s">
        <v>1147</v>
      </c>
      <c r="E209" s="1548"/>
      <c r="F209" s="1557"/>
      <c r="G209" s="1557"/>
      <c r="H209" s="1518"/>
      <c r="I209" s="1638">
        <f>'Plant List'!M26</f>
        <v>2979.1513999999997</v>
      </c>
      <c r="J209" s="1548"/>
      <c r="K209" s="1557"/>
      <c r="L209" s="1557"/>
      <c r="M209" s="1518"/>
      <c r="N209" s="1477"/>
      <c r="O209" s="1548"/>
      <c r="P209" s="1557"/>
      <c r="Q209" s="1557"/>
      <c r="R209" s="1518"/>
      <c r="S209" s="1477"/>
      <c r="T209" s="1548">
        <f>+I209</f>
        <v>2979.1513999999997</v>
      </c>
      <c r="U209" s="1557">
        <f t="shared" ref="U209:BG209" si="101">T209</f>
        <v>2979.1513999999997</v>
      </c>
      <c r="V209" s="1557">
        <f t="shared" si="101"/>
        <v>2979.1513999999997</v>
      </c>
      <c r="W209" s="1518">
        <f t="shared" si="101"/>
        <v>2979.1513999999997</v>
      </c>
      <c r="X209" s="1477"/>
      <c r="Y209" s="1548"/>
      <c r="Z209" s="1557"/>
      <c r="AA209" s="1557"/>
      <c r="AB209" s="1518"/>
      <c r="AC209" s="1477"/>
      <c r="AD209" s="1548"/>
      <c r="AE209" s="1557"/>
      <c r="AF209" s="1557"/>
      <c r="AG209" s="1518"/>
      <c r="AH209" s="1477"/>
      <c r="AI209" s="1548">
        <f>I209</f>
        <v>2979.1513999999997</v>
      </c>
      <c r="AJ209" s="1557">
        <f t="shared" si="101"/>
        <v>2979.1513999999997</v>
      </c>
      <c r="AK209" s="1557">
        <f t="shared" si="101"/>
        <v>2979.1513999999997</v>
      </c>
      <c r="AL209" s="1518">
        <f t="shared" si="101"/>
        <v>2979.1513999999997</v>
      </c>
      <c r="AM209" s="1477">
        <f t="shared" si="101"/>
        <v>2979.1513999999997</v>
      </c>
      <c r="AN209" s="1548">
        <f t="shared" si="101"/>
        <v>2979.1513999999997</v>
      </c>
      <c r="AO209" s="1557">
        <f t="shared" si="101"/>
        <v>2979.1513999999997</v>
      </c>
      <c r="AP209" s="1557">
        <f t="shared" si="101"/>
        <v>2979.1513999999997</v>
      </c>
      <c r="AQ209" s="1518">
        <f t="shared" si="101"/>
        <v>2979.1513999999997</v>
      </c>
      <c r="AR209" s="1477">
        <f t="shared" si="101"/>
        <v>2979.1513999999997</v>
      </c>
      <c r="AS209" s="1548">
        <f t="shared" si="101"/>
        <v>2979.1513999999997</v>
      </c>
      <c r="AT209" s="1557">
        <f t="shared" si="101"/>
        <v>2979.1513999999997</v>
      </c>
      <c r="AU209" s="1557">
        <f>AT209</f>
        <v>2979.1513999999997</v>
      </c>
      <c r="AV209" s="1518">
        <f t="shared" ref="AV209" si="102">AU209</f>
        <v>2979.1513999999997</v>
      </c>
      <c r="AW209" s="1477">
        <f t="shared" ref="AW209" si="103">AV209</f>
        <v>2979.1513999999997</v>
      </c>
      <c r="AX209" s="1548">
        <f>AW209</f>
        <v>2979.1513999999997</v>
      </c>
      <c r="AY209" s="1557">
        <f t="shared" si="101"/>
        <v>2979.1513999999997</v>
      </c>
      <c r="AZ209" s="1914">
        <f>AY209-577</f>
        <v>2402.1513999999997</v>
      </c>
      <c r="BA209" s="1518">
        <f t="shared" si="101"/>
        <v>2402.1513999999997</v>
      </c>
      <c r="BB209" s="1477">
        <f t="shared" si="101"/>
        <v>2402.1513999999997</v>
      </c>
      <c r="BC209" s="1548">
        <f t="shared" si="101"/>
        <v>2402.1513999999997</v>
      </c>
      <c r="BD209" s="1557">
        <f t="shared" si="101"/>
        <v>2402.1513999999997</v>
      </c>
      <c r="BE209" s="1557">
        <f t="shared" si="101"/>
        <v>2402.1513999999997</v>
      </c>
      <c r="BF209" s="1518">
        <f t="shared" si="101"/>
        <v>2402.1513999999997</v>
      </c>
      <c r="BG209" s="1477">
        <f t="shared" si="101"/>
        <v>2402.1513999999997</v>
      </c>
      <c r="BH209" s="1548">
        <f t="shared" ref="BH209:BQ209" si="104">BG209</f>
        <v>2402.1513999999997</v>
      </c>
      <c r="BI209" s="1557">
        <f t="shared" si="104"/>
        <v>2402.1513999999997</v>
      </c>
      <c r="BJ209" s="1557">
        <f t="shared" si="104"/>
        <v>2402.1513999999997</v>
      </c>
      <c r="BK209" s="1518">
        <f t="shared" si="104"/>
        <v>2402.1513999999997</v>
      </c>
      <c r="BL209" s="1477">
        <f t="shared" si="104"/>
        <v>2402.1513999999997</v>
      </c>
      <c r="BM209" s="1548">
        <f t="shared" si="104"/>
        <v>2402.1513999999997</v>
      </c>
      <c r="BN209" s="1557">
        <f t="shared" si="104"/>
        <v>2402.1513999999997</v>
      </c>
      <c r="BO209" s="1557">
        <f t="shared" si="104"/>
        <v>2402.1513999999997</v>
      </c>
      <c r="BP209" s="1518">
        <f t="shared" si="104"/>
        <v>2402.1513999999997</v>
      </c>
      <c r="BQ209" s="1477">
        <f t="shared" si="104"/>
        <v>2402.1513999999997</v>
      </c>
    </row>
    <row r="210" spans="1:104" s="1623" customFormat="1">
      <c r="E210" s="1628"/>
      <c r="F210" s="1629"/>
      <c r="G210" s="1629"/>
      <c r="H210" s="1630"/>
      <c r="I210" s="1631"/>
      <c r="J210" s="1628"/>
      <c r="K210" s="1629"/>
      <c r="L210" s="1629"/>
      <c r="M210" s="1630"/>
      <c r="O210" s="1628"/>
      <c r="P210" s="1629"/>
      <c r="Q210" s="1629"/>
      <c r="R210" s="1630"/>
      <c r="T210" s="1628"/>
      <c r="U210" s="1629"/>
      <c r="V210" s="1629"/>
      <c r="W210" s="1630"/>
      <c r="Y210" s="1628"/>
      <c r="Z210" s="1629"/>
      <c r="AA210" s="1629"/>
      <c r="AB210" s="1630"/>
      <c r="AD210" s="1628"/>
      <c r="AE210" s="1629"/>
      <c r="AF210" s="1629"/>
      <c r="AG210" s="1630"/>
      <c r="AI210" s="1628"/>
      <c r="AJ210" s="1629"/>
      <c r="AK210" s="1629"/>
      <c r="AL210" s="1630"/>
      <c r="AN210" s="1628"/>
      <c r="AO210" s="1629"/>
      <c r="AP210" s="1629"/>
      <c r="AQ210" s="1630"/>
      <c r="AS210" s="1628"/>
      <c r="AT210" s="1629"/>
      <c r="AU210" s="1629"/>
      <c r="AV210" s="1630"/>
      <c r="AX210" s="1628"/>
      <c r="AY210" s="1629"/>
      <c r="AZ210" s="1629"/>
      <c r="BA210" s="1630"/>
      <c r="BC210" s="1628"/>
      <c r="BD210" s="1629"/>
      <c r="BE210" s="1629"/>
      <c r="BF210" s="1630"/>
      <c r="BH210" s="1628"/>
      <c r="BI210" s="1629"/>
      <c r="BJ210" s="1629"/>
      <c r="BK210" s="1630"/>
      <c r="BM210" s="1628"/>
      <c r="BN210" s="1629"/>
      <c r="BO210" s="1629"/>
      <c r="BP210" s="1630"/>
    </row>
    <row r="211" spans="1:104" s="1623" customFormat="1">
      <c r="C211" s="1631" t="s">
        <v>1148</v>
      </c>
      <c r="E211" s="1628"/>
      <c r="F211" s="1629"/>
      <c r="G211" s="1629"/>
      <c r="H211" s="1630"/>
      <c r="I211" s="1641">
        <v>0.35</v>
      </c>
      <c r="J211" s="1628"/>
      <c r="K211" s="1629"/>
      <c r="L211" s="1629"/>
      <c r="M211" s="1630"/>
      <c r="O211" s="1642"/>
      <c r="P211" s="1643"/>
      <c r="Q211" s="1643"/>
      <c r="R211" s="1644"/>
      <c r="S211" s="1645"/>
      <c r="T211" s="1642">
        <f>+I211</f>
        <v>0.35</v>
      </c>
      <c r="U211" s="1643">
        <f>T211</f>
        <v>0.35</v>
      </c>
      <c r="V211" s="1643">
        <f>U211</f>
        <v>0.35</v>
      </c>
      <c r="W211" s="1644">
        <f>V211</f>
        <v>0.35</v>
      </c>
      <c r="X211" s="1645"/>
      <c r="Y211" s="1646"/>
      <c r="Z211" s="1643"/>
      <c r="AA211" s="1643"/>
      <c r="AB211" s="1644"/>
      <c r="AC211" s="1645"/>
      <c r="AD211" s="1642"/>
      <c r="AE211" s="1643"/>
      <c r="AF211" s="1643"/>
      <c r="AG211" s="1647"/>
      <c r="AH211" s="1645"/>
      <c r="AI211" s="1642">
        <f>IF(AI205&gt;AI207,$I211,0%)</f>
        <v>0.35</v>
      </c>
      <c r="AJ211" s="1643">
        <f>IF(AJ205&gt;AJ207,$I211,0%)</f>
        <v>0.35</v>
      </c>
      <c r="AK211" s="1643">
        <f>IF(AK205&gt;AK207,$I211,0%)</f>
        <v>0.35</v>
      </c>
      <c r="AL211" s="1644">
        <f>IF(AL205&gt;AL207,$I211,0%)</f>
        <v>0.35</v>
      </c>
      <c r="AM211" s="1645">
        <f>AVERAGE(AI211:AL211)</f>
        <v>0.35</v>
      </c>
      <c r="AN211" s="1642">
        <f>IF(AN205&gt;AN207,$I211,0%)</f>
        <v>0.35</v>
      </c>
      <c r="AO211" s="1643">
        <f>IF(AO205&gt;AO207,$I211,0%)</f>
        <v>0.35</v>
      </c>
      <c r="AP211" s="1643">
        <f>IF(AP205&gt;AP207,$I211,0%)</f>
        <v>0.35</v>
      </c>
      <c r="AQ211" s="1644">
        <f>IF(AQ205&gt;AQ207,$I211,0%)</f>
        <v>0.35</v>
      </c>
      <c r="AR211" s="1645">
        <f>AVERAGE(AN211:AQ211)</f>
        <v>0.35</v>
      </c>
      <c r="AS211" s="1642">
        <f>IF(AS205&gt;AS207,$I211,0%)</f>
        <v>0.35</v>
      </c>
      <c r="AT211" s="1643">
        <f>IF(AT205&gt;AT207,$I211,0%)</f>
        <v>0.35</v>
      </c>
      <c r="AU211" s="1643">
        <f>IF(AU205&gt;AU207,$I211,0%)</f>
        <v>0.35</v>
      </c>
      <c r="AV211" s="1644">
        <f>IF(AV205&gt;AV207,$I211,0%)</f>
        <v>0.35</v>
      </c>
      <c r="AW211" s="1645">
        <f>AVERAGE(AS211:AV211)</f>
        <v>0.35</v>
      </c>
      <c r="AX211" s="1642">
        <f>IF(AX205&gt;AX207,$I211,0%)</f>
        <v>0.35</v>
      </c>
      <c r="AY211" s="1643">
        <f>IF(AY205&gt;AY207,$I211,0%)</f>
        <v>0.35</v>
      </c>
      <c r="AZ211" s="1643">
        <f>IF(AZ205&gt;AZ207,$I211,0%)</f>
        <v>0.35</v>
      </c>
      <c r="BA211" s="1644">
        <f>IF(BA205&gt;BA207,$I211,0%)</f>
        <v>0.35</v>
      </c>
      <c r="BB211" s="1645">
        <f>AVERAGE(AX211:BA211)</f>
        <v>0.35</v>
      </c>
      <c r="BC211" s="1642">
        <f>IF(BC205&gt;BC207,$I211,0%)</f>
        <v>0.35</v>
      </c>
      <c r="BD211" s="1643">
        <f>IF(BD205&gt;BD207,$I211,0%)</f>
        <v>0.35</v>
      </c>
      <c r="BE211" s="1643">
        <f>IF(BE205&gt;BE207,$I211,0%)</f>
        <v>0.35</v>
      </c>
      <c r="BF211" s="1644">
        <f>IF(BF205&gt;BF207,$I211,0%)</f>
        <v>0.35</v>
      </c>
      <c r="BG211" s="1645">
        <f>AVERAGE(BC211:BF211)</f>
        <v>0.35</v>
      </c>
      <c r="BH211" s="1642">
        <f>IF(BH205&gt;BH207,$I211,0%)</f>
        <v>0.35</v>
      </c>
      <c r="BI211" s="1643">
        <f>IF(BI205&gt;BI207,$I211,0%)</f>
        <v>0.35</v>
      </c>
      <c r="BJ211" s="1643">
        <f>IF(BJ205&gt;BJ207,$I211,0%)</f>
        <v>0.35</v>
      </c>
      <c r="BK211" s="1644">
        <f>IF(BK205&gt;BK207,$I211,0%)</f>
        <v>0.35</v>
      </c>
      <c r="BL211" s="1645">
        <f>AVERAGE(BH211:BK211)</f>
        <v>0.35</v>
      </c>
      <c r="BM211" s="1642">
        <f>IF(BM205&gt;BM207,$I211,0%)</f>
        <v>0.35</v>
      </c>
      <c r="BN211" s="1643">
        <f>IF(BN205&gt;BN207,$I211,0%)</f>
        <v>0.35</v>
      </c>
      <c r="BO211" s="1643">
        <f>IF(BO205&gt;BO207,$I211,0%)</f>
        <v>0.35</v>
      </c>
      <c r="BP211" s="1644">
        <f>IF(BP205&gt;BP207,$I211,0%)</f>
        <v>0.35</v>
      </c>
      <c r="BQ211" s="1645">
        <f>AVERAGE(BM211:BP211)</f>
        <v>0.35</v>
      </c>
    </row>
    <row r="212" spans="1:104" s="1623" customFormat="1">
      <c r="C212" s="1631" t="s">
        <v>1149</v>
      </c>
      <c r="E212" s="1628"/>
      <c r="F212" s="1629"/>
      <c r="G212" s="1629"/>
      <c r="H212" s="1630"/>
      <c r="I212" s="1631"/>
      <c r="J212" s="1628"/>
      <c r="K212" s="1629"/>
      <c r="L212" s="1629"/>
      <c r="M212" s="1630"/>
      <c r="O212" s="1648"/>
      <c r="P212" s="1649"/>
      <c r="Q212" s="1649"/>
      <c r="R212" s="1650"/>
      <c r="S212" s="1651"/>
      <c r="T212" s="1648">
        <f>(T209*T211*(8760/1000))/4</f>
        <v>2283.5195480999996</v>
      </c>
      <c r="U212" s="1649">
        <f>(U209*U211*(8760/1000))/4</f>
        <v>2283.5195480999996</v>
      </c>
      <c r="V212" s="1649">
        <f>(V209*V211*(8760/1000))/4</f>
        <v>2283.5195480999996</v>
      </c>
      <c r="W212" s="1650">
        <f>(W209*W211*(8760/1000))/4</f>
        <v>2283.5195480999996</v>
      </c>
      <c r="X212" s="1651"/>
      <c r="Y212" s="1648"/>
      <c r="Z212" s="1649"/>
      <c r="AA212" s="1649"/>
      <c r="AB212" s="1650"/>
      <c r="AC212" s="1651"/>
      <c r="AD212" s="1648"/>
      <c r="AE212" s="1649"/>
      <c r="AF212" s="1649"/>
      <c r="AG212" s="1650"/>
      <c r="AH212" s="1651"/>
      <c r="AI212" s="1648">
        <f>(AI209*AI211*(8760/1000))/4</f>
        <v>2283.5195480999996</v>
      </c>
      <c r="AJ212" s="1649">
        <f>(AJ209*AJ211*(8760/1000))/4</f>
        <v>2283.5195480999996</v>
      </c>
      <c r="AK212" s="1649">
        <f>(AK209*AK211*(8760/1000))/4</f>
        <v>2283.5195480999996</v>
      </c>
      <c r="AL212" s="1650">
        <f>(AL209*AL211*(8760/1000))/4</f>
        <v>2283.5195480999996</v>
      </c>
      <c r="AM212" s="1651">
        <f>SUM(AI212:AL212)</f>
        <v>9134.0781923999984</v>
      </c>
      <c r="AN212" s="1648">
        <f>(AN209*AN211*(8760/1000))/4</f>
        <v>2283.5195480999996</v>
      </c>
      <c r="AO212" s="1649">
        <f>(AO209*AO211*(8760/1000))/4</f>
        <v>2283.5195480999996</v>
      </c>
      <c r="AP212" s="1649">
        <f>(AP209*AP211*(8760/1000))/4</f>
        <v>2283.5195480999996</v>
      </c>
      <c r="AQ212" s="1650">
        <f>(AQ209*AQ211*(8760/1000))/4</f>
        <v>2283.5195480999996</v>
      </c>
      <c r="AR212" s="1651">
        <f>SUM(AN212:AQ212)</f>
        <v>9134.0781923999984</v>
      </c>
      <c r="AS212" s="1648">
        <f>(AS209*AS211*(8760/1000))/4</f>
        <v>2283.5195480999996</v>
      </c>
      <c r="AT212" s="1649">
        <f>(AT209*AT211*(8760/1000))/4</f>
        <v>2283.5195480999996</v>
      </c>
      <c r="AU212" s="1649">
        <f>(AU209*AU211*(8760/1000))/4</f>
        <v>2283.5195480999996</v>
      </c>
      <c r="AV212" s="1650">
        <f>(AV209*AV211*(8760/1000))/4</f>
        <v>2283.5195480999996</v>
      </c>
      <c r="AW212" s="1651">
        <f>SUM(AS212:AV212)</f>
        <v>9134.0781923999984</v>
      </c>
      <c r="AX212" s="1648">
        <f>(AX209*AX211*(8760/1000))/4</f>
        <v>2283.5195480999996</v>
      </c>
      <c r="AY212" s="1649">
        <f>(AY209*AY211*(8760/1000))/4</f>
        <v>2283.5195480999996</v>
      </c>
      <c r="AZ212" s="1649">
        <f>(AZ209*AZ211*(8760/1000))/4</f>
        <v>1841.2490480999995</v>
      </c>
      <c r="BA212" s="1650">
        <f>(BA209*BA211*(8760/1000))/4</f>
        <v>1841.2490480999995</v>
      </c>
      <c r="BB212" s="1651">
        <f>SUM(AX212:BA212)</f>
        <v>8249.5371923999992</v>
      </c>
      <c r="BC212" s="1648">
        <f>(BC209*BC211*(8760/1000))/4</f>
        <v>1841.2490480999995</v>
      </c>
      <c r="BD212" s="1649">
        <f>(BD209*BD211*(8760/1000))/4</f>
        <v>1841.2490480999995</v>
      </c>
      <c r="BE212" s="1649">
        <f>(BE209*BE211*(8760/1000))/4</f>
        <v>1841.2490480999995</v>
      </c>
      <c r="BF212" s="1650">
        <f>(BF209*BF211*(8760/1000))/4</f>
        <v>1841.2490480999995</v>
      </c>
      <c r="BG212" s="1651">
        <f>SUM(BC212:BF212)</f>
        <v>7364.9961923999981</v>
      </c>
      <c r="BH212" s="1648">
        <f>(BH209*BH211*(8760/1000))/4</f>
        <v>1841.2490480999995</v>
      </c>
      <c r="BI212" s="1649">
        <f>(BI209*BI211*(8760/1000))/4</f>
        <v>1841.2490480999995</v>
      </c>
      <c r="BJ212" s="1649">
        <f>(BJ209*BJ211*(8760/1000))/4</f>
        <v>1841.2490480999995</v>
      </c>
      <c r="BK212" s="1650">
        <f>(BK209*BK211*(8760/1000))/4</f>
        <v>1841.2490480999995</v>
      </c>
      <c r="BL212" s="1651">
        <f>SUM(BH212:BK212)</f>
        <v>7364.9961923999981</v>
      </c>
      <c r="BM212" s="1648">
        <f>(BM209*BM211*(8760/1000))/4</f>
        <v>1841.2490480999995</v>
      </c>
      <c r="BN212" s="1649">
        <f>(BN209*BN211*(8760/1000))/4</f>
        <v>1841.2490480999995</v>
      </c>
      <c r="BO212" s="1649">
        <f>(BO209*BO211*(8760/1000))/4</f>
        <v>1841.2490480999995</v>
      </c>
      <c r="BP212" s="1650">
        <f>(BP209*BP211*(8760/1000))/4</f>
        <v>1841.2490480999995</v>
      </c>
      <c r="BQ212" s="1651">
        <f>SUM(BM212:BP212)</f>
        <v>7364.9961923999981</v>
      </c>
    </row>
    <row r="213" spans="1:104" s="1623" customFormat="1">
      <c r="C213" s="1631"/>
      <c r="E213" s="1628"/>
      <c r="F213" s="1629"/>
      <c r="G213" s="1629"/>
      <c r="H213" s="1630"/>
      <c r="I213" s="1631"/>
      <c r="J213" s="1628"/>
      <c r="K213" s="1629"/>
      <c r="L213" s="1629"/>
      <c r="M213" s="1630"/>
      <c r="O213" s="1628"/>
      <c r="P213" s="1629"/>
      <c r="Q213" s="1629"/>
      <c r="R213" s="1630"/>
      <c r="T213" s="1628"/>
      <c r="U213" s="1629"/>
      <c r="V213" s="1629"/>
      <c r="W213" s="1630"/>
      <c r="Y213" s="1628"/>
      <c r="Z213" s="1629"/>
      <c r="AA213" s="1629"/>
      <c r="AB213" s="1630"/>
      <c r="AD213" s="1628"/>
      <c r="AE213" s="1629"/>
      <c r="AF213" s="1629"/>
      <c r="AG213" s="1630"/>
      <c r="AI213" s="1628"/>
      <c r="AJ213" s="1629"/>
      <c r="AK213" s="1629"/>
      <c r="AL213" s="1630"/>
      <c r="AN213" s="1628"/>
      <c r="AO213" s="1629"/>
      <c r="AP213" s="1629"/>
      <c r="AQ213" s="1630"/>
      <c r="AS213" s="1628"/>
      <c r="AT213" s="1629"/>
      <c r="AU213" s="1629"/>
      <c r="AV213" s="1630"/>
      <c r="AX213" s="1628"/>
      <c r="AY213" s="1629"/>
      <c r="AZ213" s="1629"/>
      <c r="BA213" s="1630"/>
      <c r="BC213" s="1628"/>
      <c r="BD213" s="1629"/>
      <c r="BE213" s="1629"/>
      <c r="BF213" s="1630"/>
      <c r="BH213" s="1628"/>
      <c r="BI213" s="1629"/>
      <c r="BJ213" s="1629"/>
      <c r="BK213" s="1630"/>
      <c r="BM213" s="1628"/>
      <c r="BN213" s="1629"/>
      <c r="BO213" s="1629"/>
      <c r="BP213" s="1630"/>
    </row>
    <row r="214" spans="1:104" s="1623" customFormat="1">
      <c r="C214" s="1631" t="s">
        <v>1150</v>
      </c>
      <c r="E214" s="1628"/>
      <c r="F214" s="1629"/>
      <c r="G214" s="1629"/>
      <c r="H214" s="1630"/>
      <c r="I214" s="1641">
        <v>0.3</v>
      </c>
      <c r="J214" s="1628"/>
      <c r="K214" s="1629"/>
      <c r="L214" s="1629"/>
      <c r="M214" s="1630"/>
      <c r="O214" s="1642"/>
      <c r="P214" s="1643"/>
      <c r="Q214" s="1643"/>
      <c r="R214" s="1644"/>
      <c r="S214" s="1645"/>
      <c r="T214" s="1642">
        <f>IF(T206&gt;T207,$I214,0%)</f>
        <v>0</v>
      </c>
      <c r="U214" s="1643">
        <f>IF(U206&gt;U207,$I214,0%)</f>
        <v>0</v>
      </c>
      <c r="V214" s="1643">
        <f>IF(V206&gt;V207,$I214,0%)</f>
        <v>0</v>
      </c>
      <c r="W214" s="1644">
        <f>IF(W206&gt;W207,$I214,0%)</f>
        <v>0</v>
      </c>
      <c r="X214" s="1645"/>
      <c r="Y214" s="1646"/>
      <c r="Z214" s="1643"/>
      <c r="AA214" s="1643"/>
      <c r="AB214" s="1644"/>
      <c r="AC214" s="1645"/>
      <c r="AD214" s="1642"/>
      <c r="AE214" s="1643"/>
      <c r="AF214" s="1643"/>
      <c r="AG214" s="1647"/>
      <c r="AH214" s="1645"/>
      <c r="AI214" s="1642">
        <f>IF(AI206&gt;AI207,$I214,0%)</f>
        <v>0.3</v>
      </c>
      <c r="AJ214" s="1643">
        <f>IF(AJ206&gt;AJ207,$I214,0%)</f>
        <v>0.3</v>
      </c>
      <c r="AK214" s="1643">
        <f>IF(AK206&gt;AK207,$I214,0%)</f>
        <v>0</v>
      </c>
      <c r="AL214" s="1644">
        <f>IF(AL206&gt;AL207,$I214,0%)</f>
        <v>0.3</v>
      </c>
      <c r="AM214" s="1645">
        <f>AVERAGE(AI214:AL214)</f>
        <v>0.22499999999999998</v>
      </c>
      <c r="AN214" s="1642">
        <f>IF(AN206&gt;AN207,$I214,0%)</f>
        <v>0.3</v>
      </c>
      <c r="AO214" s="1643">
        <f>IF(AO206&gt;AO207,$I214,0%)</f>
        <v>0.3</v>
      </c>
      <c r="AP214" s="1643">
        <f>IF(AP206&gt;AP207,$I214,0%)</f>
        <v>0.3</v>
      </c>
      <c r="AQ214" s="1644">
        <f>IF(AQ206&gt;AQ207,$I214,0%)</f>
        <v>0.3</v>
      </c>
      <c r="AR214" s="1645">
        <f>AVERAGE(AN214:AQ214)</f>
        <v>0.3</v>
      </c>
      <c r="AS214" s="1642">
        <f>IF(AS206&gt;AS207,$I214,0%)</f>
        <v>0.3</v>
      </c>
      <c r="AT214" s="1643">
        <f>IF(AT206&gt;AT207,$I214,0%)</f>
        <v>0</v>
      </c>
      <c r="AU214" s="1643">
        <f>IF(AU206&gt;AU207,$I214,0%)</f>
        <v>0</v>
      </c>
      <c r="AV214" s="1644">
        <f>IF(AV206&gt;AV207,$I214,0%)</f>
        <v>0.3</v>
      </c>
      <c r="AW214" s="1645">
        <f>AVERAGE(AS214:AV214)</f>
        <v>0.15</v>
      </c>
      <c r="AX214" s="1642">
        <f>IF(AX206&gt;AX207,$I214,0%)</f>
        <v>0.3</v>
      </c>
      <c r="AY214" s="1643">
        <f>IF(AY206&gt;AY207,$I214,0%)</f>
        <v>0.3</v>
      </c>
      <c r="AZ214" s="1643">
        <f>IF(AZ206&gt;AZ207,$I214,0%)</f>
        <v>0.3</v>
      </c>
      <c r="BA214" s="1644">
        <f>IF(BA206&gt;BA207,$I214,0%)</f>
        <v>0.3</v>
      </c>
      <c r="BB214" s="1645">
        <f>AVERAGE(AX214:BA214)</f>
        <v>0.3</v>
      </c>
      <c r="BC214" s="1642">
        <f>IF(BC206&gt;BC207,$I214,0%)</f>
        <v>0.3</v>
      </c>
      <c r="BD214" s="1643">
        <f>IF(BD206&gt;BD207,$I214,0%)</f>
        <v>0</v>
      </c>
      <c r="BE214" s="1643">
        <f>IF(BE206&gt;BE207,$I214,0%)</f>
        <v>0</v>
      </c>
      <c r="BF214" s="1644">
        <f>IF(BF206&gt;BF207,$I214,0%)</f>
        <v>0.3</v>
      </c>
      <c r="BG214" s="1645">
        <f>AVERAGE(BC214:BF214)</f>
        <v>0.15</v>
      </c>
      <c r="BH214" s="1642">
        <f>IF(BH206&gt;BH207,$I214,0%)</f>
        <v>0.3</v>
      </c>
      <c r="BI214" s="1643">
        <f>IF(BI206&gt;BI207,$I214,0%)</f>
        <v>0</v>
      </c>
      <c r="BJ214" s="1643">
        <f>IF(BJ206&gt;BJ207,$I214,0%)</f>
        <v>0.3</v>
      </c>
      <c r="BK214" s="1644">
        <f>IF(BK206&gt;BK207,$I214,0%)</f>
        <v>0.3</v>
      </c>
      <c r="BL214" s="1645">
        <f>AVERAGE(BH214:BK214)</f>
        <v>0.22499999999999998</v>
      </c>
      <c r="BM214" s="1642">
        <f>IF(BM206&gt;BM207,$I214,0%)</f>
        <v>0.3</v>
      </c>
      <c r="BN214" s="1643">
        <f>IF(BN206&gt;BN207,$I214,0%)</f>
        <v>0</v>
      </c>
      <c r="BO214" s="1643">
        <f>IF(BO206&gt;BO207,$I214,0%)</f>
        <v>0</v>
      </c>
      <c r="BP214" s="1644">
        <f>IF(BP206&gt;BP207,$I214,0%)</f>
        <v>0</v>
      </c>
      <c r="BQ214" s="1645">
        <f>AVERAGE(BM214:BP214)</f>
        <v>7.4999999999999997E-2</v>
      </c>
    </row>
    <row r="215" spans="1:104" s="1623" customFormat="1">
      <c r="C215" s="1631" t="s">
        <v>1151</v>
      </c>
      <c r="E215" s="1628"/>
      <c r="F215" s="1629"/>
      <c r="G215" s="1629"/>
      <c r="H215" s="1630"/>
      <c r="I215" s="1652"/>
      <c r="J215" s="1628"/>
      <c r="K215" s="1629"/>
      <c r="L215" s="1629"/>
      <c r="M215" s="1630"/>
      <c r="O215" s="1648"/>
      <c r="P215" s="1649"/>
      <c r="Q215" s="1649"/>
      <c r="R215" s="1650"/>
      <c r="S215" s="1651"/>
      <c r="T215" s="1648">
        <f>(T209*T214*(8760/1000))/4</f>
        <v>0</v>
      </c>
      <c r="U215" s="1649">
        <f>(U209*U214*(8760/1000))/4</f>
        <v>0</v>
      </c>
      <c r="V215" s="1649">
        <f>(V209*V214*(8760/1000))/4</f>
        <v>0</v>
      </c>
      <c r="W215" s="1650">
        <f>(W209*W214*(8760/1000))/4</f>
        <v>0</v>
      </c>
      <c r="X215" s="1651"/>
      <c r="Y215" s="1648"/>
      <c r="Z215" s="1649"/>
      <c r="AA215" s="1649"/>
      <c r="AB215" s="1650"/>
      <c r="AC215" s="1651"/>
      <c r="AD215" s="1648"/>
      <c r="AE215" s="1649"/>
      <c r="AF215" s="1649"/>
      <c r="AG215" s="1650"/>
      <c r="AH215" s="1651"/>
      <c r="AI215" s="1648">
        <f>(AI209*AI214*(8760/1000))/4</f>
        <v>1957.3024697999997</v>
      </c>
      <c r="AJ215" s="1649">
        <f>(AJ209*AJ214*(8760/1000))/4</f>
        <v>1957.3024697999997</v>
      </c>
      <c r="AK215" s="1649">
        <f>(AK209*AK214*(8760/1000))/4</f>
        <v>0</v>
      </c>
      <c r="AL215" s="1650">
        <f>(AL209*AL214*(8760/1000))/4</f>
        <v>1957.3024697999997</v>
      </c>
      <c r="AM215" s="1651">
        <f>SUM(AI215:AL215)</f>
        <v>5871.9074093999989</v>
      </c>
      <c r="AN215" s="1648">
        <f>(AN209*AN214*(8760/1000))/4</f>
        <v>1957.3024697999997</v>
      </c>
      <c r="AO215" s="1649">
        <f>(AO209*AO214*(8760/1000))/4</f>
        <v>1957.3024697999997</v>
      </c>
      <c r="AP215" s="1649">
        <f>(AP209*AP214*(8760/1000))/4</f>
        <v>1957.3024697999997</v>
      </c>
      <c r="AQ215" s="1650">
        <f>(AQ209*AQ214*(8760/1000))/4</f>
        <v>1957.3024697999997</v>
      </c>
      <c r="AR215" s="1651">
        <f>SUM(AN215:AQ215)</f>
        <v>7829.2098791999988</v>
      </c>
      <c r="AS215" s="1648">
        <f>(AS209*AS214*(8760/1000))/4</f>
        <v>1957.3024697999997</v>
      </c>
      <c r="AT215" s="1649">
        <f>(AT209*AT214*(8760/1000))/4</f>
        <v>0</v>
      </c>
      <c r="AU215" s="1649">
        <f>(AU209*AU214*(8760/1000))/4</f>
        <v>0</v>
      </c>
      <c r="AV215" s="1650">
        <f>(AV209*AV214*(8760/1000))/4</f>
        <v>1957.3024697999997</v>
      </c>
      <c r="AW215" s="1651">
        <f>SUM(AS215:AV215)</f>
        <v>3914.6049395999994</v>
      </c>
      <c r="AX215" s="1648">
        <f>(AX209*AX214*(8760/1000))/4</f>
        <v>1957.3024697999997</v>
      </c>
      <c r="AY215" s="1649">
        <f>(AY209*AY214*(8760/1000))/4</f>
        <v>1957.3024697999997</v>
      </c>
      <c r="AZ215" s="1649">
        <f>(AZ209*AZ214*(8760/1000))/4</f>
        <v>1578.2134697999998</v>
      </c>
      <c r="BA215" s="1650">
        <f>(BA209*BA214*(8760/1000))/4</f>
        <v>1578.2134697999998</v>
      </c>
      <c r="BB215" s="1651">
        <f>SUM(AX215:BA215)</f>
        <v>7071.0318791999989</v>
      </c>
      <c r="BC215" s="1648">
        <f>(BC209*BC214*(8760/1000))/4</f>
        <v>1578.2134697999998</v>
      </c>
      <c r="BD215" s="1649">
        <f>(BD209*BD214*(8760/1000))/4</f>
        <v>0</v>
      </c>
      <c r="BE215" s="1649">
        <f>(BE209*BE214*(8760/1000))/4</f>
        <v>0</v>
      </c>
      <c r="BF215" s="1650">
        <f>(BF209*BF214*(8760/1000))/4</f>
        <v>1578.2134697999998</v>
      </c>
      <c r="BG215" s="1651">
        <f>SUM(BC215:BF215)</f>
        <v>3156.4269395999995</v>
      </c>
      <c r="BH215" s="1648">
        <f>(BH209*BH214*(8760/1000))/4</f>
        <v>1578.2134697999998</v>
      </c>
      <c r="BI215" s="1649">
        <f>(BI209*BI214*(8760/1000))/4</f>
        <v>0</v>
      </c>
      <c r="BJ215" s="1649">
        <f>(BJ209*BJ214*(8760/1000))/4</f>
        <v>1578.2134697999998</v>
      </c>
      <c r="BK215" s="1650">
        <f>(BK209*BK214*(8760/1000))/4</f>
        <v>1578.2134697999998</v>
      </c>
      <c r="BL215" s="1651">
        <f>SUM(BH215:BK215)</f>
        <v>4734.640409399999</v>
      </c>
      <c r="BM215" s="1648">
        <f>(BM209*BM214*(8760/1000))/4</f>
        <v>1578.2134697999998</v>
      </c>
      <c r="BN215" s="1649">
        <f>(BN209*BN214*(8760/1000))/4</f>
        <v>0</v>
      </c>
      <c r="BO215" s="1649">
        <f>(BO209*BO214*(8760/1000))/4</f>
        <v>0</v>
      </c>
      <c r="BP215" s="1650">
        <f>(BP209*BP214*(8760/1000))/4</f>
        <v>0</v>
      </c>
      <c r="BQ215" s="1651">
        <f>SUM(BM215:BP215)</f>
        <v>1578.2134697999998</v>
      </c>
    </row>
    <row r="216" spans="1:104" s="1623" customFormat="1">
      <c r="C216" s="1631"/>
      <c r="E216" s="1628"/>
      <c r="F216" s="1629"/>
      <c r="G216" s="1629"/>
      <c r="H216" s="1630"/>
      <c r="I216" s="1631"/>
      <c r="J216" s="1628"/>
      <c r="K216" s="1629"/>
      <c r="L216" s="1629"/>
      <c r="M216" s="1630"/>
      <c r="O216" s="1628"/>
      <c r="P216" s="1629"/>
      <c r="Q216" s="1629"/>
      <c r="R216" s="1630"/>
      <c r="T216" s="1628"/>
      <c r="U216" s="1629"/>
      <c r="V216" s="1629"/>
      <c r="W216" s="1630"/>
      <c r="Y216" s="1628"/>
      <c r="Z216" s="1629"/>
      <c r="AA216" s="1629"/>
      <c r="AB216" s="1630"/>
      <c r="AD216" s="1628"/>
      <c r="AE216" s="1629"/>
      <c r="AF216" s="1629"/>
      <c r="AG216" s="1630"/>
      <c r="AI216" s="1628"/>
      <c r="AJ216" s="1629"/>
      <c r="AK216" s="1629"/>
      <c r="AL216" s="1630"/>
      <c r="AN216" s="1628"/>
      <c r="AO216" s="1629"/>
      <c r="AP216" s="1629"/>
      <c r="AQ216" s="1630"/>
      <c r="AS216" s="1628"/>
      <c r="AT216" s="1629"/>
      <c r="AU216" s="1629"/>
      <c r="AV216" s="1630"/>
      <c r="AX216" s="1628"/>
      <c r="AY216" s="1629"/>
      <c r="AZ216" s="1629"/>
      <c r="BA216" s="1630"/>
      <c r="BC216" s="1628"/>
      <c r="BD216" s="1629"/>
      <c r="BE216" s="1629"/>
      <c r="BF216" s="1630"/>
      <c r="BH216" s="1628"/>
      <c r="BI216" s="1629"/>
      <c r="BJ216" s="1629"/>
      <c r="BK216" s="1630"/>
      <c r="BM216" s="1628"/>
      <c r="BN216" s="1629"/>
      <c r="BO216" s="1629"/>
      <c r="BP216" s="1630"/>
    </row>
    <row r="217" spans="1:104" s="1623" customFormat="1">
      <c r="C217" s="1631" t="s">
        <v>1152</v>
      </c>
      <c r="E217" s="1628"/>
      <c r="F217" s="1629"/>
      <c r="G217" s="1629"/>
      <c r="H217" s="1630"/>
      <c r="I217" s="1631"/>
      <c r="J217" s="1628"/>
      <c r="K217" s="1629"/>
      <c r="L217" s="1629"/>
      <c r="M217" s="1630"/>
      <c r="O217" s="1642"/>
      <c r="P217" s="1643"/>
      <c r="Q217" s="1643"/>
      <c r="R217" s="1644"/>
      <c r="S217" s="1645"/>
      <c r="T217" s="1642">
        <f>(T215+T212)/(8.76*T209/4)</f>
        <v>0.35</v>
      </c>
      <c r="U217" s="1643">
        <f>(U215+U212)/(8.76*U209/4)</f>
        <v>0.35</v>
      </c>
      <c r="V217" s="1643">
        <f>(V215+V212)/(8.76*V209/4)</f>
        <v>0.35</v>
      </c>
      <c r="W217" s="1644">
        <f>(W215+W212)/(8.76*W209/4)</f>
        <v>0.35</v>
      </c>
      <c r="X217" s="1645"/>
      <c r="Y217" s="1642"/>
      <c r="Z217" s="1643"/>
      <c r="AA217" s="1643"/>
      <c r="AB217" s="1644"/>
      <c r="AC217" s="1645"/>
      <c r="AD217" s="1642"/>
      <c r="AE217" s="1643"/>
      <c r="AF217" s="1643"/>
      <c r="AG217" s="1644"/>
      <c r="AH217" s="1645"/>
      <c r="AI217" s="1642">
        <f>(AI215+AI212)/(8.76*AI209/4)</f>
        <v>0.64999999999999991</v>
      </c>
      <c r="AJ217" s="1643">
        <f>(AJ215+AJ212)/(8.76*AJ209/4)</f>
        <v>0.64999999999999991</v>
      </c>
      <c r="AK217" s="1643">
        <f>(AK215+AK212)/(8.76*AK209/4)</f>
        <v>0.35</v>
      </c>
      <c r="AL217" s="1644">
        <f>(AL215+AL212)/(8.76*AL209/4)</f>
        <v>0.64999999999999991</v>
      </c>
      <c r="AM217" s="1645">
        <f>AVERAGE(AI217:AL217)</f>
        <v>0.57499999999999996</v>
      </c>
      <c r="AN217" s="1642">
        <f>(AN215+AN212)/(8.76*AN209/4)</f>
        <v>0.64999999999999991</v>
      </c>
      <c r="AO217" s="1643">
        <f>(AO215+AO212)/(8.76*AO209/4)</f>
        <v>0.64999999999999991</v>
      </c>
      <c r="AP217" s="1643">
        <f>(AP215+AP212)/(8.76*AP209/4)</f>
        <v>0.64999999999999991</v>
      </c>
      <c r="AQ217" s="1644">
        <f>(AQ215+AQ212)/(8.76*AQ209/4)</f>
        <v>0.64999999999999991</v>
      </c>
      <c r="AR217" s="1645">
        <f>AVERAGE(AN217:AQ217)</f>
        <v>0.64999999999999991</v>
      </c>
      <c r="AS217" s="1642">
        <f>(AS215+AS212)/(8.76*AS209/4)</f>
        <v>0.64999999999999991</v>
      </c>
      <c r="AT217" s="1643">
        <f>(AT215+AT212)/(8.76*AT209/4)</f>
        <v>0.35</v>
      </c>
      <c r="AU217" s="1643">
        <f>(AU215+AU212)/(8.76*AU209/4)</f>
        <v>0.35</v>
      </c>
      <c r="AV217" s="1644">
        <f>(AV215+AV212)/(8.76*AV209/4)</f>
        <v>0.64999999999999991</v>
      </c>
      <c r="AW217" s="1645">
        <f>AVERAGE(AS217:AV217)</f>
        <v>0.49999999999999994</v>
      </c>
      <c r="AX217" s="1642">
        <f>(AX215+AX212)/(8.76*AX209/4)</f>
        <v>0.64999999999999991</v>
      </c>
      <c r="AY217" s="1643">
        <f>(AY215+AY212)/(8.76*AY209/4)</f>
        <v>0.64999999999999991</v>
      </c>
      <c r="AZ217" s="1643">
        <f>(AZ215+AZ212)/(8.76*AZ209/4)</f>
        <v>0.65</v>
      </c>
      <c r="BA217" s="1644">
        <f>(BA215+BA212)/(8.76*BA209/4)</f>
        <v>0.65</v>
      </c>
      <c r="BB217" s="1645">
        <f>AVERAGE(AX217:BA217)</f>
        <v>0.64999999999999991</v>
      </c>
      <c r="BC217" s="1642">
        <f>(BC215+BC212)/(8.76*BC209/4)</f>
        <v>0.65</v>
      </c>
      <c r="BD217" s="1643">
        <f>(BD215+BD212)/(8.76*BD209/4)</f>
        <v>0.35</v>
      </c>
      <c r="BE217" s="1643">
        <f>(BE215+BE212)/(8.76*BE209/4)</f>
        <v>0.35</v>
      </c>
      <c r="BF217" s="1644">
        <f>(BF215+BF212)/(8.76*BF209/4)</f>
        <v>0.65</v>
      </c>
      <c r="BG217" s="1645">
        <f>AVERAGE(BC217:BF217)</f>
        <v>0.5</v>
      </c>
      <c r="BH217" s="1642">
        <f>(BH215+BH212)/(8.76*BH209/4)</f>
        <v>0.65</v>
      </c>
      <c r="BI217" s="1643">
        <f>(BI215+BI212)/(8.76*BI209/4)</f>
        <v>0.35</v>
      </c>
      <c r="BJ217" s="1643">
        <f>(BJ215+BJ212)/(8.76*BJ209/4)</f>
        <v>0.65</v>
      </c>
      <c r="BK217" s="1644">
        <f>(BK215+BK212)/(8.76*BK209/4)</f>
        <v>0.65</v>
      </c>
      <c r="BL217" s="1645">
        <f>AVERAGE(BH217:BK217)</f>
        <v>0.57499999999999996</v>
      </c>
      <c r="BM217" s="1642">
        <f>(BM215+BM212)/(8.76*BM209/4)</f>
        <v>0.65</v>
      </c>
      <c r="BN217" s="1643">
        <f>(BN215+BN212)/(8.76*BN209/4)</f>
        <v>0.35</v>
      </c>
      <c r="BO217" s="1643">
        <f>(BO215+BO212)/(8.76*BO209/4)</f>
        <v>0.35</v>
      </c>
      <c r="BP217" s="1644">
        <f>(BP215+BP212)/(8.76*BP209/4)</f>
        <v>0.35</v>
      </c>
      <c r="BQ217" s="1645">
        <f>AVERAGE(BM217:BP217)</f>
        <v>0.42500000000000004</v>
      </c>
    </row>
    <row r="218" spans="1:104" s="1640" customFormat="1">
      <c r="C218" s="1640" t="s">
        <v>1153</v>
      </c>
      <c r="E218" s="1653"/>
      <c r="F218" s="1654"/>
      <c r="G218" s="1654"/>
      <c r="H218" s="1655"/>
      <c r="J218" s="1653"/>
      <c r="K218" s="1654"/>
      <c r="L218" s="1654"/>
      <c r="M218" s="1655"/>
      <c r="O218" s="1548"/>
      <c r="P218" s="1557"/>
      <c r="Q218" s="1557"/>
      <c r="R218" s="1518"/>
      <c r="S218" s="1656"/>
      <c r="T218" s="1548">
        <f>+T215+T212</f>
        <v>2283.5195480999996</v>
      </c>
      <c r="U218" s="1557">
        <f>+U215+U212</f>
        <v>2283.5195480999996</v>
      </c>
      <c r="V218" s="1557">
        <f>+V215+V212</f>
        <v>2283.5195480999996</v>
      </c>
      <c r="W218" s="1518">
        <f>+W215+W212</f>
        <v>2283.5195480999996</v>
      </c>
      <c r="X218" s="1656"/>
      <c r="Y218" s="1548"/>
      <c r="Z218" s="1557"/>
      <c r="AA218" s="1557"/>
      <c r="AB218" s="1518"/>
      <c r="AC218" s="1656"/>
      <c r="AD218" s="1548"/>
      <c r="AE218" s="1557"/>
      <c r="AF218" s="1557"/>
      <c r="AG218" s="1518"/>
      <c r="AH218" s="1656"/>
      <c r="AI218" s="1548">
        <f>+AI215+AI212</f>
        <v>4240.8220178999991</v>
      </c>
      <c r="AJ218" s="1557">
        <f>+AJ215+AJ212</f>
        <v>4240.8220178999991</v>
      </c>
      <c r="AK218" s="1557">
        <f>+AK215+AK212</f>
        <v>2283.5195480999996</v>
      </c>
      <c r="AL218" s="1518">
        <f>+AL215+AL212</f>
        <v>4240.8220178999991</v>
      </c>
      <c r="AM218" s="1656">
        <f>SUM(AI218:AL218)</f>
        <v>15005.985601799995</v>
      </c>
      <c r="AN218" s="1548">
        <f>+AN215+AN212</f>
        <v>4240.8220178999991</v>
      </c>
      <c r="AO218" s="1557">
        <f>+AO215+AO212</f>
        <v>4240.8220178999991</v>
      </c>
      <c r="AP218" s="1557">
        <f>+AP215+AP212</f>
        <v>4240.8220178999991</v>
      </c>
      <c r="AQ218" s="1518">
        <f>+AQ215+AQ212</f>
        <v>4240.8220178999991</v>
      </c>
      <c r="AR218" s="1656">
        <f>SUM(AN218:AQ218)</f>
        <v>16963.288071599996</v>
      </c>
      <c r="AS218" s="1548">
        <f>+AS215+AS212</f>
        <v>4240.8220178999991</v>
      </c>
      <c r="AT218" s="1557">
        <f>+AT215+AT212</f>
        <v>2283.5195480999996</v>
      </c>
      <c r="AU218" s="1557">
        <f>+AU215+AU212</f>
        <v>2283.5195480999996</v>
      </c>
      <c r="AV218" s="1518">
        <f>+AV215+AV212</f>
        <v>4240.8220178999991</v>
      </c>
      <c r="AW218" s="1656">
        <f>SUM(AS218:AV218)</f>
        <v>13048.683131999998</v>
      </c>
      <c r="AX218" s="1548">
        <f>+AX215+AX212</f>
        <v>4240.8220178999991</v>
      </c>
      <c r="AY218" s="1557">
        <f>+AY215+AY212</f>
        <v>4240.8220178999991</v>
      </c>
      <c r="AZ218" s="1557">
        <f>+AZ215+AZ212</f>
        <v>3419.4625178999995</v>
      </c>
      <c r="BA218" s="1518">
        <f>+BA215+BA212</f>
        <v>3419.4625178999995</v>
      </c>
      <c r="BB218" s="1656">
        <f>SUM(AX218:BA218)</f>
        <v>15320.569071599997</v>
      </c>
      <c r="BC218" s="1548">
        <f>+BC215+BC212</f>
        <v>3419.4625178999995</v>
      </c>
      <c r="BD218" s="1557">
        <f>+BD215+BD212</f>
        <v>1841.2490480999995</v>
      </c>
      <c r="BE218" s="1557">
        <f>+BE215+BE212</f>
        <v>1841.2490480999995</v>
      </c>
      <c r="BF218" s="1518">
        <f>+BF215+BF212</f>
        <v>3419.4625178999995</v>
      </c>
      <c r="BG218" s="1656">
        <f>SUM(BC218:BF218)</f>
        <v>10521.423131999998</v>
      </c>
      <c r="BH218" s="1548">
        <f>+BH215+BH212</f>
        <v>3419.4625178999995</v>
      </c>
      <c r="BI218" s="1557">
        <f>+BI215+BI212</f>
        <v>1841.2490480999995</v>
      </c>
      <c r="BJ218" s="1557">
        <f>+BJ215+BJ212</f>
        <v>3419.4625178999995</v>
      </c>
      <c r="BK218" s="1518">
        <f>+BK215+BK212</f>
        <v>3419.4625178999995</v>
      </c>
      <c r="BL218" s="1656">
        <f>SUM(BH218:BK218)</f>
        <v>12099.636601799997</v>
      </c>
      <c r="BM218" s="1548">
        <f>+BM215+BM212</f>
        <v>3419.4625178999995</v>
      </c>
      <c r="BN218" s="1557">
        <f>+BN215+BN212</f>
        <v>1841.2490480999995</v>
      </c>
      <c r="BO218" s="1557">
        <f>+BO215+BO212</f>
        <v>1841.2490480999995</v>
      </c>
      <c r="BP218" s="1518">
        <f>+BP215+BP212</f>
        <v>1841.2490480999995</v>
      </c>
      <c r="BQ218" s="1656">
        <f>SUM(BM218:BP218)</f>
        <v>8943.209662199999</v>
      </c>
    </row>
    <row r="219" spans="1:104" s="1623" customFormat="1">
      <c r="C219" s="1631"/>
      <c r="E219" s="1628"/>
      <c r="F219" s="1629"/>
      <c r="G219" s="1629"/>
      <c r="H219" s="1630"/>
      <c r="I219" s="1631"/>
      <c r="J219" s="1628"/>
      <c r="K219" s="1629"/>
      <c r="L219" s="1629"/>
      <c r="M219" s="1630"/>
      <c r="O219" s="1628"/>
      <c r="P219" s="1629"/>
      <c r="Q219" s="1629"/>
      <c r="R219" s="1630"/>
      <c r="T219" s="1628"/>
      <c r="U219" s="1629"/>
      <c r="V219" s="1629"/>
      <c r="W219" s="1630"/>
      <c r="Y219" s="1628"/>
      <c r="Z219" s="1629"/>
      <c r="AA219" s="1629"/>
      <c r="AB219" s="1630"/>
      <c r="AD219" s="1628"/>
      <c r="AE219" s="1629"/>
      <c r="AF219" s="1629"/>
      <c r="AG219" s="1630"/>
      <c r="AI219" s="1628"/>
      <c r="AJ219" s="1629"/>
      <c r="AK219" s="1629"/>
      <c r="AL219" s="1630"/>
      <c r="AN219" s="1628"/>
      <c r="AO219" s="1629"/>
      <c r="AP219" s="1629"/>
      <c r="AQ219" s="1630"/>
      <c r="AS219" s="1628"/>
      <c r="AT219" s="1629"/>
      <c r="AU219" s="1629"/>
      <c r="AV219" s="1630"/>
      <c r="AX219" s="1628"/>
      <c r="AY219" s="1629"/>
      <c r="AZ219" s="1629"/>
      <c r="BA219" s="1630"/>
      <c r="BC219" s="1628"/>
      <c r="BD219" s="1629"/>
      <c r="BE219" s="1629"/>
      <c r="BF219" s="1630"/>
      <c r="BH219" s="1628"/>
      <c r="BI219" s="1629"/>
      <c r="BJ219" s="1629"/>
      <c r="BK219" s="1630"/>
      <c r="BM219" s="1628"/>
      <c r="BN219" s="1629"/>
      <c r="BO219" s="1629"/>
      <c r="BP219" s="1630"/>
    </row>
    <row r="220" spans="1:104" s="1623" customFormat="1">
      <c r="C220" s="1631" t="s">
        <v>1154</v>
      </c>
      <c r="E220" s="1628"/>
      <c r="F220" s="1629"/>
      <c r="G220" s="1629"/>
      <c r="H220" s="1630"/>
      <c r="I220" s="1631"/>
      <c r="J220" s="1628"/>
      <c r="K220" s="1629"/>
      <c r="L220" s="1629"/>
      <c r="M220" s="1630"/>
      <c r="O220" s="1485"/>
      <c r="P220" s="1488"/>
      <c r="Q220" s="1488"/>
      <c r="R220" s="1487"/>
      <c r="S220" s="1484"/>
      <c r="T220" s="1485">
        <f>(T205/1000*T212)+(T206/1000*T215)</f>
        <v>0</v>
      </c>
      <c r="U220" s="1488">
        <f>(U205/1000*U212)+(U206/1000*U215)</f>
        <v>0</v>
      </c>
      <c r="V220" s="1488">
        <f>(V205/1000*V212)+(V206/1000*V215)</f>
        <v>0</v>
      </c>
      <c r="W220" s="1487">
        <f>(W205/1000*W212)+(W206/1000*W215)</f>
        <v>0</v>
      </c>
      <c r="X220" s="1484"/>
      <c r="Y220" s="1485"/>
      <c r="Z220" s="1488"/>
      <c r="AA220" s="1488"/>
      <c r="AB220" s="1487"/>
      <c r="AC220" s="1484"/>
      <c r="AD220" s="1485"/>
      <c r="AE220" s="1488"/>
      <c r="AF220" s="1488"/>
      <c r="AG220" s="1487"/>
      <c r="AH220" s="1484"/>
      <c r="AI220" s="1485">
        <f>(AI205/1000*AI212)+(AI206/1000*AI215)</f>
        <v>164.34304820840998</v>
      </c>
      <c r="AJ220" s="1488">
        <f>(AJ205/1000*AJ212)+(AJ206/1000*AJ215)</f>
        <v>131.28680822976017</v>
      </c>
      <c r="AK220" s="1488">
        <f>(AK205/1000*AK212)+(AK206/1000*AK215)</f>
        <v>81.992314247282238</v>
      </c>
      <c r="AL220" s="1487">
        <f>(AL205/1000*AL212)+(AL206/1000*AL215)</f>
        <v>113.47366647880096</v>
      </c>
      <c r="AM220" s="1484">
        <f>SUM(AI220:AL220)</f>
        <v>491.09583716425334</v>
      </c>
      <c r="AN220" s="1485">
        <f>(AN205/1000*AN212)+(AN206/1000*AN215)</f>
        <v>105.6639886165808</v>
      </c>
      <c r="AO220" s="1488">
        <f>(AO205/1000*AO212)+(AO206/1000*AO215)</f>
        <v>113.02938873249971</v>
      </c>
      <c r="AP220" s="1488">
        <f>(AP205/1000*AP212)+(AP206/1000*AP215)</f>
        <v>130.07338455216515</v>
      </c>
      <c r="AQ220" s="1487">
        <f>(AQ205/1000*AQ212)+(AQ206/1000*AQ215)</f>
        <v>123.24820079922674</v>
      </c>
      <c r="AR220" s="1484">
        <f>SUM(AN220:AQ220)</f>
        <v>472.01496270047244</v>
      </c>
      <c r="AS220" s="1485">
        <f>(AS205/1000*AS212)+(AS206/1000*AS215)</f>
        <v>120.88614024038664</v>
      </c>
      <c r="AT220" s="1488">
        <f>(AT205/1000*AT212)+(AT206/1000*AT215)</f>
        <v>75.487426789219825</v>
      </c>
      <c r="AU220" s="1488">
        <f>(AU205/1000*AU212)+(AU206/1000*AU215)</f>
        <v>83.555815371968194</v>
      </c>
      <c r="AV220" s="1487">
        <f>(AV205/1000*AV212)+(AV206/1000*AV215)</f>
        <v>157.7897358933177</v>
      </c>
      <c r="AW220" s="1484">
        <f>SUM(AS220:AV220)</f>
        <v>437.71911829489238</v>
      </c>
      <c r="AX220" s="1485">
        <f>(AX205/1000*AX212)+(AX206/1000*AX215)</f>
        <v>157.7897358933177</v>
      </c>
      <c r="AY220" s="1488">
        <f>(AY205/1000*AY212)+(AY206/1000*AY215)</f>
        <v>130.88372876526498</v>
      </c>
      <c r="AZ220" s="1488">
        <f>(AZ205/1000*AZ212)+(AZ206/1000*AZ215)</f>
        <v>109.21237211015998</v>
      </c>
      <c r="BA220" s="1487">
        <f>(BA205/1000*BA212)+(BA206/1000*BA215)</f>
        <v>102.68032191570998</v>
      </c>
      <c r="BB220" s="1484">
        <f>SUM(AX220:BA220)</f>
        <v>500.56615868445272</v>
      </c>
      <c r="BC220" s="1485">
        <f>(BC205/1000*BC212)+(BC206/1000*BC215)</f>
        <v>115.76886692515203</v>
      </c>
      <c r="BD220" s="1488">
        <f>(BD205/1000*BD212)+(BD206/1000*BD215)</f>
        <v>57.478438828541137</v>
      </c>
      <c r="BE220" s="1488">
        <f>(BE205/1000*BE212)+(BE206/1000*BE215)</f>
        <v>62.319033525649758</v>
      </c>
      <c r="BF220" s="1487">
        <f>(BF205/1000*BF212)+(BF206/1000*BF215)</f>
        <v>111.72690236025403</v>
      </c>
      <c r="BG220" s="1484">
        <f>SUM(BC220:BF220)</f>
        <v>347.29324163959694</v>
      </c>
      <c r="BH220" s="1485">
        <f>(BH205/1000*BH212)+(BH206/1000*BH215)</f>
        <v>114.40821183228212</v>
      </c>
      <c r="BI220" s="1488">
        <f>(BI205/1000*BI212)+(BI206/1000*BI215)</f>
        <v>57.693491686973111</v>
      </c>
      <c r="BJ220" s="1488">
        <f>(BJ205/1000*BJ212)+(BJ206/1000*BJ215)</f>
        <v>112.10820054630122</v>
      </c>
      <c r="BK220" s="1487">
        <f>(BK205/1000*BK212)+(BK206/1000*BK215)</f>
        <v>108.43235847114934</v>
      </c>
      <c r="BL220" s="1484">
        <f>SUM(BH220:BK220)</f>
        <v>392.64226253670574</v>
      </c>
      <c r="BM220" s="1485">
        <f>(BM205/1000*BM212)+(BM206/1000*BM215)</f>
        <v>105.26098730251937</v>
      </c>
      <c r="BN220" s="1488">
        <f>(BN205/1000*BN212)+(BN206/1000*BN215)</f>
        <v>66.354012570903748</v>
      </c>
      <c r="BO220" s="1488">
        <f>(BO205/1000*BO212)+(BO206/1000*BO215)</f>
        <v>66.354012570903748</v>
      </c>
      <c r="BP220" s="1487">
        <f>(BP205/1000*BP212)+(BP206/1000*BP215)</f>
        <v>66.354012570903748</v>
      </c>
      <c r="BQ220" s="1484">
        <f>SUM(BM220:BP220)</f>
        <v>304.32302501523066</v>
      </c>
    </row>
    <row r="221" spans="1:104" s="1623" customFormat="1">
      <c r="C221" s="1631" t="s">
        <v>1141</v>
      </c>
      <c r="E221" s="1628"/>
      <c r="F221" s="1629"/>
      <c r="G221" s="1629"/>
      <c r="H221" s="1630"/>
      <c r="I221" s="1631"/>
      <c r="J221" s="1628"/>
      <c r="K221" s="1629"/>
      <c r="L221" s="1629"/>
      <c r="M221" s="1630"/>
      <c r="O221" s="1485"/>
      <c r="P221" s="1488"/>
      <c r="Q221" s="1488"/>
      <c r="R221" s="1487"/>
      <c r="S221" s="1484"/>
      <c r="T221" s="1485">
        <f>T207/1000*T218</f>
        <v>0</v>
      </c>
      <c r="U221" s="1488">
        <f>U207/1000*U218</f>
        <v>0</v>
      </c>
      <c r="V221" s="1488">
        <f>V207/1000*V218</f>
        <v>0</v>
      </c>
      <c r="W221" s="1487">
        <f>W207/1000*W218</f>
        <v>0</v>
      </c>
      <c r="X221" s="1484"/>
      <c r="Y221" s="1485"/>
      <c r="Z221" s="1488"/>
      <c r="AA221" s="1488"/>
      <c r="AB221" s="1487"/>
      <c r="AC221" s="1484"/>
      <c r="AD221" s="1485"/>
      <c r="AE221" s="1488"/>
      <c r="AF221" s="1488"/>
      <c r="AG221" s="1487"/>
      <c r="AH221" s="1484"/>
      <c r="AI221" s="1485">
        <f>AI207/1000*AI218</f>
        <v>104.19185579864894</v>
      </c>
      <c r="AJ221" s="1488">
        <f>AJ207/1000*AJ218</f>
        <v>103.03007934467449</v>
      </c>
      <c r="AK221" s="1488">
        <f>AK207/1000*AK218</f>
        <v>53.498225710746858</v>
      </c>
      <c r="AL221" s="1487">
        <f>AL207/1000*AL218</f>
        <v>91.410951217542333</v>
      </c>
      <c r="AM221" s="1484">
        <f>SUM(AI221:AL221)</f>
        <v>352.13111207161262</v>
      </c>
      <c r="AN221" s="1485">
        <f>AN207/1000*AN218</f>
        <v>84.456655542342901</v>
      </c>
      <c r="AO221" s="1488">
        <f>AO207/1000*AO218</f>
        <v>82.349913028973702</v>
      </c>
      <c r="AP221" s="1488">
        <f>AP207/1000*AP218</f>
        <v>81.882397353330035</v>
      </c>
      <c r="AQ221" s="1487">
        <f>AQ207/1000*AQ218</f>
        <v>88.915586298794281</v>
      </c>
      <c r="AR221" s="1484">
        <f>SUM(AN221:AQ221)</f>
        <v>337.60455222344092</v>
      </c>
      <c r="AS221" s="1485">
        <f>AS207/1000*AS218</f>
        <v>98.065257667537026</v>
      </c>
      <c r="AT221" s="1488">
        <f>AT207/1000*AT218</f>
        <v>55.098867520755043</v>
      </c>
      <c r="AU221" s="1488">
        <f>AU207/1000*AU218</f>
        <v>55.601821483991564</v>
      </c>
      <c r="AV221" s="1487">
        <f>AV207/1000*AV218</f>
        <v>117.19638871127187</v>
      </c>
      <c r="AW221" s="1484">
        <f>SUM(AS221:AV221)</f>
        <v>325.96233538355551</v>
      </c>
      <c r="AX221" s="1485">
        <f>AX207/1000*AX218</f>
        <v>117.19638871127187</v>
      </c>
      <c r="AY221" s="1488">
        <f>AY207/1000*AY218</f>
        <v>96.190325010007768</v>
      </c>
      <c r="AZ221" s="1488">
        <f>AZ207/1000*AZ218</f>
        <v>77.560248831007783</v>
      </c>
      <c r="BA221" s="1487">
        <f>BA207/1000*BA218</f>
        <v>77.560248831007783</v>
      </c>
      <c r="BB221" s="1484">
        <f>SUM(AX221:BA221)</f>
        <v>368.50721138329527</v>
      </c>
      <c r="BC221" s="1485">
        <f>BC207/1000*BC218</f>
        <v>76.351440406190861</v>
      </c>
      <c r="BD221" s="1488">
        <f>BD207/1000*BD218</f>
        <v>41.112314064871995</v>
      </c>
      <c r="BE221" s="1488">
        <f>BE207/1000*BE218</f>
        <v>41.112314064871995</v>
      </c>
      <c r="BF221" s="1487">
        <f>BF207/1000*BF218</f>
        <v>86.904015435387393</v>
      </c>
      <c r="BG221" s="1484">
        <f>SUM(BC221:BF221)</f>
        <v>245.48008397132224</v>
      </c>
      <c r="BH221" s="1485">
        <f>BH207/1000*BH218</f>
        <v>76.351440406190861</v>
      </c>
      <c r="BI221" s="1488">
        <f>BI207/1000*BI218</f>
        <v>41.112314064871995</v>
      </c>
      <c r="BJ221" s="1488">
        <f>BJ207/1000*BJ218</f>
        <v>76.351440406190861</v>
      </c>
      <c r="BK221" s="1487">
        <f>BK207/1000*BK218</f>
        <v>86.904015435387393</v>
      </c>
      <c r="BL221" s="1484">
        <f>SUM(BH221:BK221)</f>
        <v>280.71921031264111</v>
      </c>
      <c r="BM221" s="1485">
        <f>BM207/1000*BM218</f>
        <v>76.351440406190861</v>
      </c>
      <c r="BN221" s="1488">
        <f>BN207/1000*BN218</f>
        <v>41.112314064871995</v>
      </c>
      <c r="BO221" s="1488">
        <f>BO207/1000*BO218</f>
        <v>41.112314064871995</v>
      </c>
      <c r="BP221" s="1487">
        <f>BP207/1000*BP218</f>
        <v>46.794469849823976</v>
      </c>
      <c r="BQ221" s="1484">
        <f>SUM(BM221:BP221)</f>
        <v>205.37053838575881</v>
      </c>
    </row>
    <row r="222" spans="1:104" s="1640" customFormat="1">
      <c r="C222" s="1640" t="s">
        <v>1142</v>
      </c>
      <c r="E222" s="1653"/>
      <c r="F222" s="1654"/>
      <c r="G222" s="1654"/>
      <c r="H222" s="1655"/>
      <c r="I222" s="1631"/>
      <c r="J222" s="1653"/>
      <c r="K222" s="1654"/>
      <c r="L222" s="1654"/>
      <c r="M222" s="1655"/>
      <c r="O222" s="1548"/>
      <c r="P222" s="1557"/>
      <c r="Q222" s="1557"/>
      <c r="R222" s="1518"/>
      <c r="S222" s="1477"/>
      <c r="T222" s="1548">
        <f t="shared" ref="T222:BG222" si="105">T220-T221</f>
        <v>0</v>
      </c>
      <c r="U222" s="1557">
        <f t="shared" si="105"/>
        <v>0</v>
      </c>
      <c r="V222" s="1557">
        <f t="shared" si="105"/>
        <v>0</v>
      </c>
      <c r="W222" s="1518">
        <f t="shared" si="105"/>
        <v>0</v>
      </c>
      <c r="X222" s="1477"/>
      <c r="Y222" s="1548"/>
      <c r="Z222" s="1557"/>
      <c r="AA222" s="1557"/>
      <c r="AB222" s="1518"/>
      <c r="AC222" s="1477"/>
      <c r="AD222" s="1548"/>
      <c r="AE222" s="1557"/>
      <c r="AF222" s="1557"/>
      <c r="AG222" s="1518"/>
      <c r="AH222" s="1477"/>
      <c r="AI222" s="1548">
        <f t="shared" si="105"/>
        <v>60.151192409761038</v>
      </c>
      <c r="AJ222" s="1557">
        <f t="shared" si="105"/>
        <v>28.256728885085678</v>
      </c>
      <c r="AK222" s="1557">
        <f t="shared" ref="AK222:AR222" si="106">AK220-AK221</f>
        <v>28.494088536535379</v>
      </c>
      <c r="AL222" s="1518">
        <f t="shared" si="106"/>
        <v>22.062715261258631</v>
      </c>
      <c r="AM222" s="1477">
        <f t="shared" si="106"/>
        <v>138.96472509264072</v>
      </c>
      <c r="AN222" s="1548">
        <f t="shared" si="106"/>
        <v>21.207333074237894</v>
      </c>
      <c r="AO222" s="1557">
        <f t="shared" si="106"/>
        <v>30.679475703526009</v>
      </c>
      <c r="AP222" s="1557">
        <f t="shared" si="106"/>
        <v>48.190987198835117</v>
      </c>
      <c r="AQ222" s="1518">
        <f t="shared" si="106"/>
        <v>34.332614500432456</v>
      </c>
      <c r="AR222" s="1477">
        <f t="shared" si="106"/>
        <v>134.41041047703152</v>
      </c>
      <c r="AS222" s="1548">
        <f t="shared" si="105"/>
        <v>22.820882572849612</v>
      </c>
      <c r="AT222" s="1557">
        <f t="shared" si="105"/>
        <v>20.388559268464782</v>
      </c>
      <c r="AU222" s="1557">
        <f t="shared" si="105"/>
        <v>27.95399388797663</v>
      </c>
      <c r="AV222" s="1518">
        <f t="shared" si="105"/>
        <v>40.593347182045832</v>
      </c>
      <c r="AW222" s="1477">
        <f t="shared" si="105"/>
        <v>111.75678291133687</v>
      </c>
      <c r="AX222" s="1548">
        <f t="shared" si="105"/>
        <v>40.593347182045832</v>
      </c>
      <c r="AY222" s="1557">
        <f t="shared" si="105"/>
        <v>34.693403755257208</v>
      </c>
      <c r="AZ222" s="1557">
        <f t="shared" si="105"/>
        <v>31.652123279152192</v>
      </c>
      <c r="BA222" s="1518">
        <f t="shared" si="105"/>
        <v>25.120073084702199</v>
      </c>
      <c r="BB222" s="1477">
        <f t="shared" si="105"/>
        <v>132.05894730115745</v>
      </c>
      <c r="BC222" s="1548">
        <f t="shared" si="105"/>
        <v>39.417426518961165</v>
      </c>
      <c r="BD222" s="1557">
        <f t="shared" si="105"/>
        <v>16.366124763669141</v>
      </c>
      <c r="BE222" s="1557">
        <f t="shared" si="105"/>
        <v>21.206719460777762</v>
      </c>
      <c r="BF222" s="1518">
        <f t="shared" si="105"/>
        <v>24.822886924866637</v>
      </c>
      <c r="BG222" s="1477">
        <f t="shared" si="105"/>
        <v>101.8131576682747</v>
      </c>
      <c r="BH222" s="1548">
        <f t="shared" ref="BH222:BQ222" si="107">BH220-BH221</f>
        <v>38.05677142609126</v>
      </c>
      <c r="BI222" s="1557">
        <f t="shared" si="107"/>
        <v>16.581177622101116</v>
      </c>
      <c r="BJ222" s="1557">
        <f t="shared" si="107"/>
        <v>35.756760140110359</v>
      </c>
      <c r="BK222" s="1518">
        <f t="shared" si="107"/>
        <v>21.528343035761949</v>
      </c>
      <c r="BL222" s="1477">
        <f t="shared" si="107"/>
        <v>111.92305222406463</v>
      </c>
      <c r="BM222" s="1548">
        <f t="shared" si="107"/>
        <v>28.909546896328507</v>
      </c>
      <c r="BN222" s="1557">
        <f t="shared" si="107"/>
        <v>25.241698506031753</v>
      </c>
      <c r="BO222" s="1557">
        <f t="shared" si="107"/>
        <v>25.241698506031753</v>
      </c>
      <c r="BP222" s="1518">
        <f t="shared" si="107"/>
        <v>19.559542721079772</v>
      </c>
      <c r="BQ222" s="1477">
        <f t="shared" si="107"/>
        <v>98.952486629471849</v>
      </c>
    </row>
    <row r="223" spans="1:104">
      <c r="A223" s="242"/>
      <c r="B223" s="242"/>
      <c r="C223" s="303"/>
      <c r="D223" s="109"/>
      <c r="E223" s="161"/>
      <c r="F223" s="162"/>
      <c r="G223" s="162"/>
      <c r="H223" s="144"/>
      <c r="I223" s="109"/>
      <c r="J223" s="161"/>
      <c r="K223" s="162"/>
      <c r="L223" s="162"/>
      <c r="M223" s="144"/>
      <c r="N223" s="109"/>
      <c r="O223" s="161"/>
      <c r="P223" s="162"/>
      <c r="Q223" s="162"/>
      <c r="R223" s="144"/>
      <c r="S223" s="109"/>
      <c r="T223" s="161"/>
      <c r="U223" s="162"/>
      <c r="V223" s="162"/>
      <c r="W223" s="144"/>
      <c r="X223" s="109"/>
      <c r="Y223" s="161"/>
      <c r="Z223" s="162"/>
      <c r="AA223" s="162"/>
      <c r="AB223" s="144"/>
      <c r="AC223" s="109"/>
      <c r="AD223" s="161"/>
      <c r="AE223" s="162"/>
      <c r="AF223" s="162"/>
      <c r="AG223" s="144"/>
      <c r="AH223" s="109"/>
      <c r="AI223" s="161"/>
      <c r="AJ223" s="162"/>
      <c r="AK223" s="162"/>
      <c r="AL223" s="144"/>
      <c r="AM223" s="109"/>
      <c r="AN223" s="161"/>
      <c r="AO223" s="162"/>
      <c r="AP223" s="162"/>
      <c r="AQ223" s="144"/>
      <c r="AR223" s="242"/>
      <c r="AS223" s="161"/>
      <c r="AT223" s="162"/>
      <c r="AU223" s="162"/>
      <c r="AV223" s="144"/>
      <c r="AW223" s="242"/>
      <c r="AX223" s="161"/>
      <c r="AY223" s="162"/>
      <c r="AZ223" s="162"/>
      <c r="BA223" s="144"/>
      <c r="BB223" s="242"/>
      <c r="BC223" s="161"/>
      <c r="BD223" s="162"/>
      <c r="BE223" s="162"/>
      <c r="BF223" s="144"/>
      <c r="BG223" s="242"/>
      <c r="BH223" s="161"/>
      <c r="BI223" s="162"/>
      <c r="BJ223" s="162"/>
      <c r="BK223" s="144"/>
      <c r="BL223" s="242"/>
      <c r="BM223" s="161"/>
      <c r="BN223" s="162"/>
      <c r="BO223" s="162"/>
      <c r="BP223" s="144"/>
      <c r="BQ223" s="242"/>
      <c r="BR223" s="242"/>
      <c r="BS223" s="242"/>
      <c r="BT223" s="242"/>
      <c r="BU223" s="242"/>
      <c r="BV223" s="242"/>
      <c r="BW223" s="242"/>
      <c r="BX223" s="242"/>
      <c r="BY223" s="242"/>
      <c r="BZ223" s="242"/>
      <c r="CA223" s="242"/>
      <c r="CB223" s="242"/>
      <c r="CC223" s="242"/>
      <c r="CD223" s="242"/>
      <c r="CE223" s="242"/>
      <c r="CF223" s="242"/>
      <c r="CG223" s="242"/>
      <c r="CH223" s="242"/>
      <c r="CI223" s="242"/>
      <c r="CJ223" s="242"/>
      <c r="CK223" s="242"/>
      <c r="CL223" s="242"/>
      <c r="CM223" s="242"/>
      <c r="CN223" s="242"/>
      <c r="CO223" s="242"/>
      <c r="CP223" s="242"/>
      <c r="CQ223" s="242"/>
      <c r="CR223" s="242"/>
      <c r="CS223" s="242"/>
      <c r="CT223" s="242"/>
      <c r="CU223" s="242"/>
      <c r="CV223" s="242"/>
      <c r="CW223" s="242"/>
      <c r="CX223" s="242"/>
      <c r="CY223" s="242"/>
      <c r="CZ223" s="242"/>
    </row>
    <row r="224" spans="1:104" s="1300" customFormat="1" ht="12.75" customHeight="1">
      <c r="B224" s="1618" t="s">
        <v>1155</v>
      </c>
      <c r="C224" s="1657"/>
      <c r="D224" s="1658"/>
      <c r="E224" s="1619"/>
      <c r="F224" s="1620"/>
      <c r="G224" s="1620"/>
      <c r="H224" s="1621"/>
      <c r="J224" s="1619"/>
      <c r="K224" s="1620"/>
      <c r="L224" s="1620"/>
      <c r="M224" s="1621"/>
      <c r="N224" s="1622"/>
      <c r="O224" s="1619"/>
      <c r="P224" s="1620"/>
      <c r="Q224" s="1620"/>
      <c r="R224" s="1621"/>
      <c r="S224" s="1622"/>
      <c r="T224" s="1619"/>
      <c r="U224" s="1620"/>
      <c r="V224" s="1620"/>
      <c r="W224" s="1621"/>
      <c r="X224" s="1622"/>
      <c r="Y224" s="1619"/>
      <c r="Z224" s="1620"/>
      <c r="AA224" s="1620"/>
      <c r="AB224" s="1621"/>
      <c r="AC224" s="1622"/>
      <c r="AD224" s="1619"/>
      <c r="AE224" s="1620"/>
      <c r="AF224" s="1620"/>
      <c r="AG224" s="1621"/>
      <c r="AH224" s="1622"/>
      <c r="AI224" s="1619"/>
      <c r="AJ224" s="1620"/>
      <c r="AK224" s="1620"/>
      <c r="AL224" s="1621"/>
      <c r="AM224" s="1622"/>
      <c r="AN224" s="1619"/>
      <c r="AO224" s="1620"/>
      <c r="AP224" s="1620"/>
      <c r="AQ224" s="1621"/>
      <c r="AR224" s="1622"/>
      <c r="AS224" s="1619"/>
      <c r="AT224" s="1620"/>
      <c r="AU224" s="1620"/>
      <c r="AV224" s="1621"/>
      <c r="AW224" s="1622"/>
      <c r="AX224" s="1619"/>
      <c r="AY224" s="1620"/>
      <c r="AZ224" s="1620"/>
      <c r="BA224" s="1621"/>
      <c r="BB224" s="1622"/>
      <c r="BC224" s="1619"/>
      <c r="BD224" s="1620"/>
      <c r="BE224" s="1620"/>
      <c r="BF224" s="1621"/>
      <c r="BG224" s="1622"/>
      <c r="BH224" s="1619"/>
      <c r="BI224" s="1620"/>
      <c r="BJ224" s="1620"/>
      <c r="BK224" s="1621"/>
      <c r="BL224" s="1622"/>
      <c r="BM224" s="1619"/>
      <c r="BN224" s="1620"/>
      <c r="BO224" s="1620"/>
      <c r="BP224" s="1621"/>
      <c r="BQ224" s="1622"/>
    </row>
    <row r="225" spans="2:71" s="1300" customFormat="1" ht="12.75" customHeight="1">
      <c r="B225" s="1622"/>
      <c r="C225" s="1622"/>
      <c r="D225" s="1622"/>
      <c r="E225" s="1619"/>
      <c r="F225" s="1620"/>
      <c r="G225" s="1620"/>
      <c r="H225" s="1621"/>
      <c r="J225" s="1619"/>
      <c r="K225" s="1620"/>
      <c r="L225" s="1620"/>
      <c r="M225" s="1621"/>
      <c r="N225" s="1622"/>
      <c r="O225" s="1619"/>
      <c r="P225" s="1620"/>
      <c r="Q225" s="1620"/>
      <c r="R225" s="1621"/>
      <c r="S225" s="1622"/>
      <c r="T225" s="1619"/>
      <c r="U225" s="1620"/>
      <c r="V225" s="1620"/>
      <c r="W225" s="1621"/>
      <c r="X225" s="1622"/>
      <c r="Y225" s="1619"/>
      <c r="Z225" s="1620"/>
      <c r="AA225" s="1620"/>
      <c r="AB225" s="1621"/>
      <c r="AC225" s="1622"/>
      <c r="AD225" s="1619"/>
      <c r="AE225" s="1620"/>
      <c r="AF225" s="1620"/>
      <c r="AG225" s="1621"/>
      <c r="AH225" s="1622"/>
      <c r="AI225" s="1619"/>
      <c r="AJ225" s="1620"/>
      <c r="AK225" s="1620"/>
      <c r="AL225" s="1621"/>
      <c r="AM225" s="1622"/>
      <c r="AN225" s="1619"/>
      <c r="AO225" s="1620"/>
      <c r="AP225" s="1620"/>
      <c r="AQ225" s="1621"/>
      <c r="AR225" s="1622"/>
      <c r="AS225" s="1619"/>
      <c r="AT225" s="1620"/>
      <c r="AU225" s="1620"/>
      <c r="AV225" s="1621"/>
      <c r="AW225" s="1622"/>
      <c r="AX225" s="1619"/>
      <c r="AY225" s="1620"/>
      <c r="AZ225" s="1620"/>
      <c r="BA225" s="1621"/>
      <c r="BB225" s="1622"/>
      <c r="BC225" s="1619"/>
      <c r="BD225" s="1620"/>
      <c r="BE225" s="1620"/>
      <c r="BF225" s="1621"/>
      <c r="BG225" s="1622"/>
      <c r="BH225" s="1619"/>
      <c r="BI225" s="1620"/>
      <c r="BJ225" s="1620"/>
      <c r="BK225" s="1621"/>
      <c r="BL225" s="1622"/>
      <c r="BM225" s="1619"/>
      <c r="BN225" s="1620"/>
      <c r="BO225" s="1620"/>
      <c r="BP225" s="1621"/>
      <c r="BQ225" s="1622"/>
    </row>
    <row r="226" spans="2:71" s="1300" customFormat="1" ht="12.75" customHeight="1">
      <c r="B226" s="1483"/>
      <c r="C226" s="1672" t="s">
        <v>1159</v>
      </c>
      <c r="D226" s="1660"/>
      <c r="E226" s="1619"/>
      <c r="F226" s="1620"/>
      <c r="G226" s="1620"/>
      <c r="H226" s="1621"/>
      <c r="I226" s="1673">
        <v>0.9</v>
      </c>
      <c r="J226" s="1619"/>
      <c r="K226" s="1620"/>
      <c r="L226" s="1620"/>
      <c r="M226" s="1621"/>
      <c r="N226" s="1622"/>
      <c r="O226" s="1619"/>
      <c r="P226" s="1620"/>
      <c r="Q226" s="1620"/>
      <c r="R226" s="1621"/>
      <c r="S226" s="1622"/>
      <c r="T226" s="1619"/>
      <c r="U226" s="1620"/>
      <c r="V226" s="1620"/>
      <c r="W226" s="1621"/>
      <c r="X226" s="1622"/>
      <c r="Y226" s="1619"/>
      <c r="Z226" s="1620"/>
      <c r="AA226" s="1620"/>
      <c r="AB226" s="1621"/>
      <c r="AC226" s="1674"/>
      <c r="AD226" s="1619"/>
      <c r="AE226" s="1620"/>
      <c r="AF226" s="1620"/>
      <c r="AG226" s="1621"/>
      <c r="AH226" s="1674"/>
      <c r="AI226" s="1619"/>
      <c r="AJ226" s="1620"/>
      <c r="AK226" s="1620"/>
      <c r="AL226" s="1621"/>
      <c r="AM226" s="1674"/>
      <c r="AN226" s="1619"/>
      <c r="AO226" s="1620"/>
      <c r="AP226" s="1620"/>
      <c r="AQ226" s="1621"/>
      <c r="AR226" s="1674"/>
      <c r="AS226" s="1619"/>
      <c r="AT226" s="1620"/>
      <c r="AU226" s="1620"/>
      <c r="AV226" s="1621"/>
      <c r="AW226" s="1674"/>
      <c r="AX226" s="1619"/>
      <c r="AY226" s="1620"/>
      <c r="AZ226" s="1620"/>
      <c r="BA226" s="1621"/>
      <c r="BB226" s="1674"/>
      <c r="BC226" s="1619"/>
      <c r="BD226" s="1620"/>
      <c r="BE226" s="1620"/>
      <c r="BF226" s="1621"/>
      <c r="BG226" s="1674"/>
      <c r="BH226" s="1619"/>
      <c r="BI226" s="1620"/>
      <c r="BJ226" s="1620"/>
      <c r="BK226" s="1621"/>
      <c r="BL226" s="1674"/>
      <c r="BM226" s="1619"/>
      <c r="BN226" s="1620"/>
      <c r="BO226" s="1620"/>
      <c r="BP226" s="1621"/>
      <c r="BQ226" s="1674"/>
    </row>
    <row r="227" spans="2:71" s="1300" customFormat="1" ht="12.75" customHeight="1">
      <c r="B227" s="1622"/>
      <c r="C227" s="1622"/>
      <c r="D227" s="1622"/>
      <c r="E227" s="1619"/>
      <c r="F227" s="1620"/>
      <c r="G227" s="1620"/>
      <c r="H227" s="1621"/>
      <c r="J227" s="1619"/>
      <c r="K227" s="1620"/>
      <c r="L227" s="1620"/>
      <c r="M227" s="1621"/>
      <c r="N227" s="1622"/>
      <c r="O227" s="1619"/>
      <c r="P227" s="1620"/>
      <c r="Q227" s="1620"/>
      <c r="R227" s="1621"/>
      <c r="S227" s="1622"/>
      <c r="T227" s="1619"/>
      <c r="U227" s="1620"/>
      <c r="V227" s="1620"/>
      <c r="W227" s="1621"/>
      <c r="X227" s="1622"/>
      <c r="Y227" s="1619"/>
      <c r="Z227" s="1620"/>
      <c r="AA227" s="1620"/>
      <c r="AB227" s="1621"/>
      <c r="AC227" s="1622"/>
      <c r="AD227" s="1619"/>
      <c r="AE227" s="1620"/>
      <c r="AF227" s="1620"/>
      <c r="AG227" s="1621"/>
      <c r="AH227" s="1622"/>
      <c r="AI227" s="1619"/>
      <c r="AJ227" s="1620"/>
      <c r="AK227" s="1620"/>
      <c r="AL227" s="1621"/>
      <c r="AM227" s="1622"/>
      <c r="AN227" s="1619"/>
      <c r="AO227" s="1620"/>
      <c r="AP227" s="1620"/>
      <c r="AQ227" s="1621"/>
      <c r="AR227" s="1622"/>
      <c r="AS227" s="1619"/>
      <c r="AT227" s="1620"/>
      <c r="AU227" s="1620"/>
      <c r="AV227" s="1621"/>
      <c r="AW227" s="1622"/>
      <c r="AX227" s="1619"/>
      <c r="AY227" s="1620"/>
      <c r="AZ227" s="1620"/>
      <c r="BA227" s="1621"/>
      <c r="BB227" s="1622"/>
      <c r="BC227" s="1619"/>
      <c r="BD227" s="1620"/>
      <c r="BE227" s="1620"/>
      <c r="BF227" s="1621"/>
      <c r="BG227" s="1622"/>
      <c r="BH227" s="1619"/>
      <c r="BI227" s="1620"/>
      <c r="BJ227" s="1620"/>
      <c r="BK227" s="1621"/>
      <c r="BL227" s="1622"/>
      <c r="BM227" s="1619"/>
      <c r="BN227" s="1620"/>
      <c r="BO227" s="1620"/>
      <c r="BP227" s="1621"/>
      <c r="BQ227" s="1622"/>
    </row>
    <row r="228" spans="2:71" s="1300" customFormat="1" ht="12.75" customHeight="1">
      <c r="B228" s="1483"/>
      <c r="C228" s="1659" t="s">
        <v>1156</v>
      </c>
      <c r="D228" s="1660"/>
      <c r="E228" s="1619"/>
      <c r="F228" s="1620"/>
      <c r="G228" s="1620"/>
      <c r="H228" s="1621"/>
      <c r="I228" s="1483"/>
      <c r="J228" s="1619"/>
      <c r="K228" s="1620"/>
      <c r="L228" s="1620"/>
      <c r="M228" s="1621"/>
      <c r="N228" s="1622"/>
      <c r="O228" s="1619"/>
      <c r="P228" s="1620"/>
      <c r="Q228" s="1620"/>
      <c r="R228" s="1621"/>
      <c r="S228" s="1622"/>
      <c r="T228" s="1619"/>
      <c r="U228" s="1620"/>
      <c r="V228" s="1620"/>
      <c r="W228" s="1621"/>
      <c r="X228" s="1622"/>
      <c r="Y228" s="1619"/>
      <c r="Z228" s="1620"/>
      <c r="AA228" s="1620"/>
      <c r="AB228" s="1621"/>
      <c r="AC228" s="1622"/>
      <c r="AD228" s="1619"/>
      <c r="AE228" s="1620"/>
      <c r="AF228" s="1620"/>
      <c r="AG228" s="1621"/>
      <c r="AH228" s="1622"/>
      <c r="AI228" s="1619"/>
      <c r="AJ228" s="1620"/>
      <c r="AK228" s="1620"/>
      <c r="AL228" s="1621"/>
      <c r="AM228" s="1622"/>
      <c r="AN228" s="1619"/>
      <c r="AO228" s="1620"/>
      <c r="AP228" s="1620"/>
      <c r="AQ228" s="1621"/>
      <c r="AR228" s="1622"/>
      <c r="AS228" s="1619"/>
      <c r="AT228" s="1620"/>
      <c r="AU228" s="1620"/>
      <c r="AV228" s="1621"/>
      <c r="AW228" s="1622"/>
      <c r="AX228" s="1619"/>
      <c r="AY228" s="1620"/>
      <c r="AZ228" s="1620"/>
      <c r="BA228" s="1621"/>
      <c r="BB228" s="1622"/>
      <c r="BC228" s="1619"/>
      <c r="BD228" s="1620"/>
      <c r="BE228" s="1620"/>
      <c r="BF228" s="1621"/>
      <c r="BG228" s="1622"/>
      <c r="BH228" s="1619"/>
      <c r="BI228" s="1620"/>
      <c r="BJ228" s="1620"/>
      <c r="BK228" s="1621"/>
      <c r="BL228" s="1622"/>
      <c r="BM228" s="1619"/>
      <c r="BN228" s="1620"/>
      <c r="BO228" s="1620"/>
      <c r="BP228" s="1621"/>
      <c r="BQ228" s="1622"/>
    </row>
    <row r="229" spans="2:71" s="1300" customFormat="1" ht="12.75" customHeight="1">
      <c r="B229" s="1392"/>
      <c r="C229" s="1800" t="s">
        <v>1157</v>
      </c>
      <c r="D229" s="1660"/>
      <c r="E229" s="1619"/>
      <c r="F229" s="1620"/>
      <c r="G229" s="1620"/>
      <c r="H229" s="1621"/>
      <c r="I229" s="1802">
        <f>I226*I209+'Plant List'!$N$54*$I$226</f>
        <v>2681.2362599999997</v>
      </c>
      <c r="J229" s="1619"/>
      <c r="K229" s="1620"/>
      <c r="L229" s="1620"/>
      <c r="M229" s="1621"/>
      <c r="N229" s="1622"/>
      <c r="O229" s="1661"/>
      <c r="P229" s="1662"/>
      <c r="Q229" s="1662"/>
      <c r="R229" s="1663"/>
      <c r="S229" s="1664"/>
      <c r="T229" s="1624"/>
      <c r="U229" s="1625"/>
      <c r="V229" s="1625"/>
      <c r="W229" s="1626"/>
      <c r="X229" s="1664"/>
      <c r="Y229" s="1624">
        <f>Y209*$I$226+'Plant List'!N54*I226</f>
        <v>0</v>
      </c>
      <c r="Z229" s="1625">
        <f>Z209*$I$226+'Plant List'!O54*J226</f>
        <v>0</v>
      </c>
      <c r="AA229" s="1625">
        <f>AA209*$I$226+'Plant List'!P54*K226</f>
        <v>0</v>
      </c>
      <c r="AB229" s="1626">
        <f>AB209*$I$226+'Plant List'!Q54*L226</f>
        <v>0</v>
      </c>
      <c r="AC229" s="1622"/>
      <c r="AD229" s="1624"/>
      <c r="AE229" s="1625"/>
      <c r="AF229" s="1625"/>
      <c r="AG229" s="1626"/>
      <c r="AH229" s="1622"/>
      <c r="AI229" s="1624">
        <f t="shared" ref="AI229:BL229" si="108">AI209*$I$226</f>
        <v>2681.2362599999997</v>
      </c>
      <c r="AJ229" s="1625">
        <f t="shared" si="108"/>
        <v>2681.2362599999997</v>
      </c>
      <c r="AK229" s="1625">
        <f t="shared" si="108"/>
        <v>2681.2362599999997</v>
      </c>
      <c r="AL229" s="1626">
        <f t="shared" si="108"/>
        <v>2681.2362599999997</v>
      </c>
      <c r="AM229" s="1664">
        <f t="shared" si="108"/>
        <v>2681.2362599999997</v>
      </c>
      <c r="AN229" s="1624">
        <f t="shared" si="108"/>
        <v>2681.2362599999997</v>
      </c>
      <c r="AO229" s="1625">
        <f t="shared" si="108"/>
        <v>2681.2362599999997</v>
      </c>
      <c r="AP229" s="1625">
        <f t="shared" si="108"/>
        <v>2681.2362599999997</v>
      </c>
      <c r="AQ229" s="1626">
        <f t="shared" si="108"/>
        <v>2681.2362599999997</v>
      </c>
      <c r="AR229" s="1664">
        <f t="shared" si="108"/>
        <v>2681.2362599999997</v>
      </c>
      <c r="AS229" s="1624">
        <f t="shared" si="108"/>
        <v>2681.2362599999997</v>
      </c>
      <c r="AT229" s="1625">
        <f t="shared" si="108"/>
        <v>2681.2362599999997</v>
      </c>
      <c r="AU229" s="1625">
        <f t="shared" si="108"/>
        <v>2681.2362599999997</v>
      </c>
      <c r="AV229" s="1626">
        <f t="shared" ref="AV229:AW229" si="109">AV209*$I$226</f>
        <v>2681.2362599999997</v>
      </c>
      <c r="AW229" s="1664">
        <f t="shared" si="109"/>
        <v>2681.2362599999997</v>
      </c>
      <c r="AX229" s="1624">
        <f t="shared" si="108"/>
        <v>2681.2362599999997</v>
      </c>
      <c r="AY229" s="1625">
        <f t="shared" si="108"/>
        <v>2681.2362599999997</v>
      </c>
      <c r="AZ229" s="1625">
        <f t="shared" si="108"/>
        <v>2161.9362599999999</v>
      </c>
      <c r="BA229" s="1626">
        <f t="shared" si="108"/>
        <v>2161.9362599999999</v>
      </c>
      <c r="BB229" s="1664">
        <f t="shared" si="108"/>
        <v>2161.9362599999999</v>
      </c>
      <c r="BC229" s="1624">
        <f t="shared" si="108"/>
        <v>2161.9362599999999</v>
      </c>
      <c r="BD229" s="1625">
        <f t="shared" si="108"/>
        <v>2161.9362599999999</v>
      </c>
      <c r="BE229" s="1625">
        <f t="shared" si="108"/>
        <v>2161.9362599999999</v>
      </c>
      <c r="BF229" s="1626">
        <f t="shared" si="108"/>
        <v>2161.9362599999999</v>
      </c>
      <c r="BG229" s="1664">
        <f t="shared" si="108"/>
        <v>2161.9362599999999</v>
      </c>
      <c r="BH229" s="1624">
        <f t="shared" si="108"/>
        <v>2161.9362599999999</v>
      </c>
      <c r="BI229" s="1625">
        <f t="shared" si="108"/>
        <v>2161.9362599999999</v>
      </c>
      <c r="BJ229" s="1625">
        <f t="shared" si="108"/>
        <v>2161.9362599999999</v>
      </c>
      <c r="BK229" s="1626">
        <f t="shared" si="108"/>
        <v>2161.9362599999999</v>
      </c>
      <c r="BL229" s="1664">
        <f t="shared" si="108"/>
        <v>2161.9362599999999</v>
      </c>
      <c r="BM229" s="1624">
        <f>BM209*$I$226</f>
        <v>2161.9362599999999</v>
      </c>
      <c r="BN229" s="1625">
        <f>BN209*$I$226</f>
        <v>2161.9362599999999</v>
      </c>
      <c r="BO229" s="1625">
        <f>BO209*$I$226</f>
        <v>2161.9362599999999</v>
      </c>
      <c r="BP229" s="1626">
        <f>BP209*$I$226</f>
        <v>2161.9362599999999</v>
      </c>
      <c r="BQ229" s="1664">
        <f>BQ209*$I$226</f>
        <v>2161.9362599999999</v>
      </c>
    </row>
    <row r="230" spans="2:71" s="1300" customFormat="1" ht="12.75" customHeight="1">
      <c r="B230" s="1483"/>
      <c r="C230" s="1392" t="s">
        <v>251</v>
      </c>
      <c r="D230" s="1660"/>
      <c r="E230" s="1619"/>
      <c r="F230" s="1620"/>
      <c r="G230" s="1620"/>
      <c r="H230" s="1621"/>
      <c r="I230" s="1477"/>
      <c r="J230" s="1619"/>
      <c r="K230" s="1620"/>
      <c r="L230" s="1620"/>
      <c r="M230" s="1621"/>
      <c r="N230" s="1622"/>
      <c r="O230" s="1665"/>
      <c r="P230" s="1666"/>
      <c r="Q230" s="1666"/>
      <c r="R230" s="1667"/>
      <c r="S230" s="1668"/>
      <c r="T230" s="1669"/>
      <c r="U230" s="1670"/>
      <c r="V230" s="1670"/>
      <c r="W230" s="1671"/>
      <c r="X230" s="1668"/>
      <c r="Y230" s="1669">
        <f t="shared" ref="Y230:BQ230" si="110">+Y$70</f>
        <v>16.46</v>
      </c>
      <c r="Z230" s="1670">
        <f t="shared" si="110"/>
        <v>20.216666666666669</v>
      </c>
      <c r="AA230" s="1670">
        <f t="shared" si="110"/>
        <v>27.73</v>
      </c>
      <c r="AB230" s="1671">
        <f t="shared" si="110"/>
        <v>27.73</v>
      </c>
      <c r="AC230" s="1668"/>
      <c r="AD230" s="1669"/>
      <c r="AE230" s="1670"/>
      <c r="AF230" s="1670"/>
      <c r="AG230" s="1671"/>
      <c r="AH230" s="1622"/>
      <c r="AI230" s="1669">
        <f t="shared" si="110"/>
        <v>125.99</v>
      </c>
      <c r="AJ230" s="1670">
        <f t="shared" si="110"/>
        <v>129.32666666666668</v>
      </c>
      <c r="AK230" s="1670">
        <f t="shared" si="110"/>
        <v>136</v>
      </c>
      <c r="AL230" s="1671">
        <f t="shared" si="110"/>
        <v>136</v>
      </c>
      <c r="AM230" s="1668">
        <f t="shared" si="110"/>
        <v>131.82916666666665</v>
      </c>
      <c r="AN230" s="1669">
        <f>+AN$70</f>
        <v>136</v>
      </c>
      <c r="AO230" s="1670">
        <f>+AO$70</f>
        <v>110.45666666666666</v>
      </c>
      <c r="AP230" s="1670">
        <f>+AP$70+AP146</f>
        <v>134</v>
      </c>
      <c r="AQ230" s="1671">
        <f>+AQ$70+AQ146</f>
        <v>59.37</v>
      </c>
      <c r="AR230" s="1668">
        <f t="shared" si="110"/>
        <v>91.299166666666665</v>
      </c>
      <c r="AS230" s="1669">
        <f>+AS$70+AS146</f>
        <v>59.37</v>
      </c>
      <c r="AT230" s="1670">
        <f>+AT$70+AT146</f>
        <v>90.08</v>
      </c>
      <c r="AU230" s="1670">
        <f>+AU$70+AU146</f>
        <v>151.5</v>
      </c>
      <c r="AV230" s="1671">
        <f>+AV$70+AV146</f>
        <v>151.5</v>
      </c>
      <c r="AW230" s="1668">
        <f t="shared" si="110"/>
        <v>94.737499999999997</v>
      </c>
      <c r="AX230" s="1669">
        <f>+AX$70+AX146</f>
        <v>151.5</v>
      </c>
      <c r="AY230" s="1670">
        <f>+AY$70+AY146</f>
        <v>155.92333333333335</v>
      </c>
      <c r="AZ230" s="1670">
        <f t="shared" si="110"/>
        <v>164.77</v>
      </c>
      <c r="BA230" s="1671">
        <f t="shared" si="110"/>
        <v>164.77</v>
      </c>
      <c r="BB230" s="1668">
        <f t="shared" si="110"/>
        <v>146.11583333333334</v>
      </c>
      <c r="BC230" s="1669">
        <f t="shared" si="110"/>
        <v>164.77</v>
      </c>
      <c r="BD230" s="1670">
        <f t="shared" si="110"/>
        <v>143.18</v>
      </c>
      <c r="BE230" s="1670">
        <f t="shared" si="110"/>
        <v>100</v>
      </c>
      <c r="BF230" s="1671">
        <f t="shared" si="110"/>
        <v>100</v>
      </c>
      <c r="BG230" s="1668">
        <f t="shared" si="110"/>
        <v>126.98750000000001</v>
      </c>
      <c r="BH230" s="1669">
        <f t="shared" si="110"/>
        <v>100</v>
      </c>
      <c r="BI230" s="1670">
        <f t="shared" si="110"/>
        <v>100</v>
      </c>
      <c r="BJ230" s="1670">
        <f t="shared" si="110"/>
        <v>76.53</v>
      </c>
      <c r="BK230" s="1671">
        <f t="shared" si="110"/>
        <v>76.53</v>
      </c>
      <c r="BL230" s="1668">
        <f t="shared" si="110"/>
        <v>88.264999999999986</v>
      </c>
      <c r="BM230" s="1669">
        <f t="shared" si="110"/>
        <v>150</v>
      </c>
      <c r="BN230" s="1670">
        <f t="shared" si="110"/>
        <v>150</v>
      </c>
      <c r="BO230" s="1670">
        <f t="shared" si="110"/>
        <v>150</v>
      </c>
      <c r="BP230" s="1671">
        <f t="shared" si="110"/>
        <v>150</v>
      </c>
      <c r="BQ230" s="1668">
        <f t="shared" si="110"/>
        <v>150</v>
      </c>
    </row>
    <row r="231" spans="2:71" s="1300" customFormat="1" ht="12.75" customHeight="1">
      <c r="B231" s="1483"/>
      <c r="C231" s="1483" t="s">
        <v>1158</v>
      </c>
      <c r="D231" s="1660"/>
      <c r="E231" s="1619"/>
      <c r="F231" s="1620"/>
      <c r="G231" s="1620"/>
      <c r="H231" s="1621"/>
      <c r="I231" s="1477"/>
      <c r="J231" s="1619"/>
      <c r="K231" s="1620"/>
      <c r="L231" s="1620"/>
      <c r="M231" s="1621"/>
      <c r="N231" s="1622"/>
      <c r="O231" s="1480"/>
      <c r="P231" s="1478"/>
      <c r="Q231" s="1478"/>
      <c r="R231" s="1479"/>
      <c r="S231" s="1477"/>
      <c r="T231" s="1480"/>
      <c r="U231" s="1478"/>
      <c r="V231" s="1478"/>
      <c r="W231" s="1479"/>
      <c r="X231" s="1477"/>
      <c r="Y231" s="1480">
        <f>Y229*Y230*365/1000000/4</f>
        <v>0</v>
      </c>
      <c r="Z231" s="1478">
        <f t="shared" ref="Z231:BF231" si="111">Z229*Z230*365/1000000/4</f>
        <v>0</v>
      </c>
      <c r="AA231" s="1478">
        <f t="shared" si="111"/>
        <v>0</v>
      </c>
      <c r="AB231" s="1479">
        <f t="shared" si="111"/>
        <v>0</v>
      </c>
      <c r="AC231" s="1477"/>
      <c r="AD231" s="1480"/>
      <c r="AE231" s="1478"/>
      <c r="AF231" s="1478"/>
      <c r="AG231" s="1479"/>
      <c r="AH231" s="1477"/>
      <c r="AI231" s="1480">
        <f>AI229*AI230*365/1000000/4</f>
        <v>30.825067271262746</v>
      </c>
      <c r="AJ231" s="1478">
        <f t="shared" si="111"/>
        <v>31.641425509708498</v>
      </c>
      <c r="AK231" s="1478">
        <f t="shared" si="111"/>
        <v>33.274141986599993</v>
      </c>
      <c r="AL231" s="1479">
        <f t="shared" si="111"/>
        <v>33.274141986599993</v>
      </c>
      <c r="AM231" s="1477">
        <f>SUM(AI231:AL231)</f>
        <v>129.01477675417124</v>
      </c>
      <c r="AN231" s="1480">
        <f t="shared" si="111"/>
        <v>33.274141986599993</v>
      </c>
      <c r="AO231" s="1478">
        <f t="shared" si="111"/>
        <v>27.024638309067743</v>
      </c>
      <c r="AP231" s="1478">
        <f t="shared" si="111"/>
        <v>32.784816369149993</v>
      </c>
      <c r="AQ231" s="1479">
        <f t="shared" si="111"/>
        <v>14.525630954003248</v>
      </c>
      <c r="AR231" s="1477">
        <f>SUM(AN231:AQ231)</f>
        <v>107.60922761882098</v>
      </c>
      <c r="AS231" s="1480">
        <f t="shared" si="111"/>
        <v>14.525630954003248</v>
      </c>
      <c r="AT231" s="1478">
        <f t="shared" si="111"/>
        <v>22.039225809947997</v>
      </c>
      <c r="AU231" s="1478">
        <f t="shared" si="111"/>
        <v>37.066415521837499</v>
      </c>
      <c r="AV231" s="1479">
        <f t="shared" ref="AV231" si="112">AV229*AV230*365/1000000/4</f>
        <v>37.066415521837499</v>
      </c>
      <c r="AW231" s="1477">
        <f>SUM(AS231:AV231)</f>
        <v>110.69768780762624</v>
      </c>
      <c r="AX231" s="1480">
        <f t="shared" si="111"/>
        <v>37.066415521837499</v>
      </c>
      <c r="AY231" s="1478">
        <f>AY229*AY230*365/1000000/4</f>
        <v>38.148640679097753</v>
      </c>
      <c r="AZ231" s="1478">
        <f>AZ229*AZ230*365/1000000/4</f>
        <v>32.505279177368251</v>
      </c>
      <c r="BA231" s="1479">
        <f t="shared" si="111"/>
        <v>32.505279177368251</v>
      </c>
      <c r="BB231" s="1477">
        <f>SUM(AX231:BA231)</f>
        <v>140.22561455567177</v>
      </c>
      <c r="BC231" s="1480">
        <f>BC229*BC230*365/1000000/4</f>
        <v>32.505279177368251</v>
      </c>
      <c r="BD231" s="1478">
        <f>BD229*BD230*365/1000000/4</f>
        <v>28.2460755757455</v>
      </c>
      <c r="BE231" s="1478">
        <f t="shared" si="111"/>
        <v>19.727668372499998</v>
      </c>
      <c r="BF231" s="1479">
        <f t="shared" si="111"/>
        <v>19.727668372499998</v>
      </c>
      <c r="BG231" s="1477">
        <f>SUM(BC231:BF231)</f>
        <v>100.20669149811374</v>
      </c>
      <c r="BH231" s="1480">
        <f>BH229*BH230*365/1000000/4</f>
        <v>19.727668372499998</v>
      </c>
      <c r="BI231" s="1478">
        <f>BI229*BI230*365/1000000/4</f>
        <v>19.727668372499998</v>
      </c>
      <c r="BJ231" s="1478">
        <f>BJ229*BJ230*365/1000000/4</f>
        <v>15.09758460547425</v>
      </c>
      <c r="BK231" s="1479">
        <f>BK229*BK230*365/1000000/4</f>
        <v>15.09758460547425</v>
      </c>
      <c r="BL231" s="1477">
        <f>SUM(BH231:BK231)</f>
        <v>69.650505955948503</v>
      </c>
      <c r="BM231" s="1480">
        <f>BM229*BM230*365/1000000/4</f>
        <v>29.591502558750001</v>
      </c>
      <c r="BN231" s="1478">
        <f>BN229*BN230*365/1000000/4</f>
        <v>29.591502558750001</v>
      </c>
      <c r="BO231" s="1478">
        <f>BO229*BO230*365/1000000/4</f>
        <v>29.591502558750001</v>
      </c>
      <c r="BP231" s="1479">
        <f>BP229*BP230*365/1000000/4</f>
        <v>29.591502558750001</v>
      </c>
      <c r="BQ231" s="1477">
        <f>SUM(BM231:BP231)</f>
        <v>118.366010235</v>
      </c>
    </row>
    <row r="232" spans="2:71" s="50" customFormat="1">
      <c r="C232" s="515"/>
      <c r="E232" s="225"/>
      <c r="F232" s="226"/>
      <c r="G232" s="226"/>
      <c r="H232" s="227"/>
      <c r="I232" s="228"/>
      <c r="J232" s="225"/>
      <c r="K232" s="226"/>
      <c r="L232" s="226"/>
      <c r="M232" s="227"/>
      <c r="N232" s="228"/>
      <c r="O232" s="149"/>
      <c r="P232" s="156"/>
      <c r="Q232" s="156"/>
      <c r="R232" s="151"/>
      <c r="S232" s="112"/>
      <c r="T232" s="149"/>
      <c r="U232" s="156"/>
      <c r="V232" s="156"/>
      <c r="W232" s="151"/>
      <c r="X232" s="112"/>
      <c r="Y232" s="149"/>
      <c r="Z232" s="156"/>
      <c r="AA232" s="156"/>
      <c r="AB232" s="151"/>
      <c r="AC232" s="112"/>
      <c r="AD232" s="149"/>
      <c r="AE232" s="156"/>
      <c r="AF232" s="156"/>
      <c r="AG232" s="151"/>
      <c r="AH232" s="112"/>
      <c r="AI232" s="149"/>
      <c r="AJ232" s="156"/>
      <c r="AK232" s="156"/>
      <c r="AL232" s="151"/>
      <c r="AM232" s="112"/>
      <c r="AN232" s="149"/>
      <c r="AO232" s="156"/>
      <c r="AP232" s="156"/>
      <c r="AQ232" s="151"/>
      <c r="AR232" s="112"/>
      <c r="AS232" s="149"/>
      <c r="AT232" s="156"/>
      <c r="AU232" s="156"/>
      <c r="AV232" s="151"/>
      <c r="AW232" s="112"/>
      <c r="AX232" s="149"/>
      <c r="AY232" s="156"/>
      <c r="AZ232" s="156"/>
      <c r="BA232" s="151"/>
      <c r="BB232" s="112"/>
      <c r="BC232" s="149"/>
      <c r="BD232" s="156"/>
      <c r="BE232" s="156"/>
      <c r="BF232" s="151"/>
      <c r="BG232" s="112"/>
      <c r="BH232" s="149"/>
      <c r="BI232" s="156"/>
      <c r="BJ232" s="156"/>
      <c r="BK232" s="151"/>
      <c r="BL232" s="112"/>
      <c r="BM232" s="149"/>
      <c r="BN232" s="156"/>
      <c r="BO232" s="156"/>
      <c r="BP232" s="151"/>
      <c r="BQ232" s="112"/>
    </row>
    <row r="233" spans="2:71" s="50" customFormat="1">
      <c r="C233" s="515"/>
      <c r="E233" s="225"/>
      <c r="F233" s="226"/>
      <c r="G233" s="226"/>
      <c r="H233" s="227"/>
      <c r="I233" s="228"/>
      <c r="J233" s="225"/>
      <c r="K233" s="226"/>
      <c r="L233" s="226"/>
      <c r="M233" s="227"/>
      <c r="N233" s="228"/>
      <c r="O233" s="149"/>
      <c r="P233" s="156"/>
      <c r="Q233" s="156"/>
      <c r="R233" s="151"/>
      <c r="S233" s="112"/>
      <c r="T233" s="149"/>
      <c r="U233" s="156"/>
      <c r="V233" s="156"/>
      <c r="W233" s="151"/>
      <c r="X233" s="112"/>
      <c r="Y233" s="149"/>
      <c r="Z233" s="156"/>
      <c r="AA233" s="156"/>
      <c r="AB233" s="151"/>
      <c r="AC233" s="112"/>
      <c r="AD233" s="149"/>
      <c r="AE233" s="156"/>
      <c r="AF233" s="156"/>
      <c r="AG233" s="151"/>
      <c r="AH233" s="112"/>
      <c r="AI233" s="149"/>
      <c r="AJ233" s="156"/>
      <c r="AK233" s="156"/>
      <c r="AL233" s="151"/>
      <c r="AM233" s="112"/>
      <c r="AN233" s="149"/>
      <c r="AO233" s="156"/>
      <c r="AP233" s="156"/>
      <c r="AQ233" s="151"/>
      <c r="AR233" s="112"/>
      <c r="AS233" s="149"/>
      <c r="AT233" s="156"/>
      <c r="AU233" s="156"/>
      <c r="AV233" s="151"/>
      <c r="AW233" s="112"/>
      <c r="AX233" s="149"/>
      <c r="AY233" s="156"/>
      <c r="AZ233" s="156"/>
      <c r="BA233" s="151"/>
      <c r="BB233" s="112"/>
      <c r="BC233" s="149"/>
      <c r="BD233" s="156"/>
      <c r="BE233" s="156"/>
      <c r="BF233" s="151"/>
      <c r="BG233" s="112"/>
      <c r="BH233" s="149"/>
      <c r="BI233" s="156"/>
      <c r="BJ233" s="156"/>
      <c r="BK233" s="151"/>
      <c r="BL233" s="112"/>
      <c r="BM233" s="149"/>
      <c r="BN233" s="156"/>
      <c r="BO233" s="156"/>
      <c r="BP233" s="151"/>
      <c r="BQ233" s="112"/>
    </row>
    <row r="234" spans="2:71" s="50" customFormat="1">
      <c r="B234" s="1618" t="s">
        <v>1218</v>
      </c>
      <c r="C234" s="1657"/>
      <c r="D234" s="1658"/>
      <c r="E234" s="225"/>
      <c r="F234" s="226"/>
      <c r="G234" s="226"/>
      <c r="H234" s="227"/>
      <c r="I234" s="228"/>
      <c r="J234" s="225"/>
      <c r="K234" s="226"/>
      <c r="L234" s="226"/>
      <c r="M234" s="227"/>
      <c r="N234" s="228"/>
      <c r="O234" s="149"/>
      <c r="P234" s="156"/>
      <c r="Q234" s="156"/>
      <c r="R234" s="151"/>
      <c r="S234" s="112"/>
      <c r="T234" s="149"/>
      <c r="U234" s="156"/>
      <c r="V234" s="156"/>
      <c r="W234" s="151"/>
      <c r="X234" s="112"/>
      <c r="Y234" s="149"/>
      <c r="Z234" s="156"/>
      <c r="AA234" s="156"/>
      <c r="AB234" s="151"/>
      <c r="AC234" s="112"/>
      <c r="AD234" s="149"/>
      <c r="AE234" s="156"/>
      <c r="AF234" s="156"/>
      <c r="AG234" s="151"/>
      <c r="AH234" s="112"/>
      <c r="AI234" s="149"/>
      <c r="AJ234" s="156"/>
      <c r="AK234" s="156"/>
      <c r="AL234" s="151"/>
      <c r="AM234" s="112"/>
      <c r="AN234" s="149"/>
      <c r="AO234" s="156"/>
      <c r="AP234" s="156"/>
      <c r="AQ234" s="151"/>
      <c r="AR234" s="112"/>
      <c r="AS234" s="149"/>
      <c r="AT234" s="156"/>
      <c r="AU234" s="156"/>
      <c r="AV234" s="151"/>
      <c r="AW234" s="112"/>
      <c r="AX234" s="149"/>
      <c r="AY234" s="156"/>
      <c r="AZ234" s="156"/>
      <c r="BA234" s="151"/>
      <c r="BB234" s="112"/>
      <c r="BC234" s="149"/>
      <c r="BD234" s="156"/>
      <c r="BE234" s="156"/>
      <c r="BF234" s="151"/>
      <c r="BG234" s="112"/>
      <c r="BH234" s="149"/>
      <c r="BI234" s="156"/>
      <c r="BJ234" s="156"/>
      <c r="BK234" s="151"/>
      <c r="BL234" s="112"/>
      <c r="BM234" s="149"/>
      <c r="BN234" s="156"/>
      <c r="BO234" s="156"/>
      <c r="BP234" s="151"/>
      <c r="BQ234" s="112"/>
    </row>
    <row r="235" spans="2:71" s="50" customFormat="1">
      <c r="C235" s="515"/>
      <c r="E235" s="225"/>
      <c r="F235" s="226"/>
      <c r="G235" s="226"/>
      <c r="H235" s="227"/>
      <c r="I235" s="228"/>
      <c r="J235" s="225"/>
      <c r="K235" s="226"/>
      <c r="L235" s="226"/>
      <c r="M235" s="227"/>
      <c r="N235" s="228"/>
      <c r="O235" s="149"/>
      <c r="P235" s="156"/>
      <c r="Q235" s="156"/>
      <c r="R235" s="151"/>
      <c r="S235" s="112"/>
      <c r="T235" s="149"/>
      <c r="U235" s="156"/>
      <c r="V235" s="156"/>
      <c r="W235" s="151"/>
      <c r="X235" s="112"/>
      <c r="Y235" s="149"/>
      <c r="Z235" s="156"/>
      <c r="AA235" s="156"/>
      <c r="AB235" s="151"/>
      <c r="AC235" s="112"/>
      <c r="AD235" s="149"/>
      <c r="AE235" s="156"/>
      <c r="AF235" s="156"/>
      <c r="AG235" s="151"/>
      <c r="AH235" s="112"/>
      <c r="AI235" s="149"/>
      <c r="AJ235" s="156"/>
      <c r="AK235" s="156"/>
      <c r="AL235" s="151"/>
      <c r="AM235" s="112"/>
      <c r="AN235" s="149"/>
      <c r="AO235" s="156"/>
      <c r="AP235" s="156"/>
      <c r="AQ235" s="151"/>
      <c r="AR235" s="112"/>
      <c r="AS235" s="149"/>
      <c r="AT235" s="156"/>
      <c r="AU235" s="156"/>
      <c r="AV235" s="151"/>
      <c r="AW235" s="112"/>
      <c r="AX235" s="149"/>
      <c r="AY235" s="156"/>
      <c r="AZ235" s="156"/>
      <c r="BA235" s="151"/>
      <c r="BB235" s="112"/>
      <c r="BC235" s="149"/>
      <c r="BD235" s="156"/>
      <c r="BE235" s="156"/>
      <c r="BF235" s="151"/>
      <c r="BG235" s="112"/>
      <c r="BH235" s="149"/>
      <c r="BI235" s="156"/>
      <c r="BJ235" s="156"/>
      <c r="BK235" s="151"/>
      <c r="BL235" s="112"/>
      <c r="BM235" s="149"/>
      <c r="BN235" s="156"/>
      <c r="BO235" s="156"/>
      <c r="BP235" s="151"/>
      <c r="BQ235" s="112"/>
    </row>
    <row r="236" spans="2:71" s="50" customFormat="1">
      <c r="C236" s="1440" t="s">
        <v>1219</v>
      </c>
      <c r="D236" s="1272"/>
      <c r="E236" s="1209"/>
      <c r="F236" s="1822"/>
      <c r="G236" s="1822"/>
      <c r="H236" s="1281"/>
      <c r="I236" s="1279"/>
      <c r="J236" s="1209"/>
      <c r="K236" s="1822"/>
      <c r="L236" s="1822"/>
      <c r="M236" s="1281"/>
      <c r="N236" s="1279"/>
      <c r="O236" s="1202"/>
      <c r="P236" s="1203"/>
      <c r="Q236" s="1203"/>
      <c r="R236" s="1205"/>
      <c r="S236" s="1206"/>
      <c r="T236" s="1202"/>
      <c r="U236" s="1203"/>
      <c r="V236" s="1203"/>
      <c r="W236" s="1205"/>
      <c r="X236" s="1206"/>
      <c r="Y236" s="1202"/>
      <c r="Z236" s="1203"/>
      <c r="AA236" s="1203"/>
      <c r="AB236" s="1205"/>
      <c r="AC236" s="1206"/>
      <c r="AD236" s="1202"/>
      <c r="AE236" s="1203"/>
      <c r="AF236" s="1203"/>
      <c r="AG236" s="1205"/>
      <c r="AH236" s="1206"/>
      <c r="AI236" s="1202"/>
      <c r="AJ236" s="1203"/>
      <c r="AK236" s="1203"/>
      <c r="AL236" s="1205"/>
      <c r="AM236" s="1206">
        <v>0</v>
      </c>
      <c r="AN236" s="1202">
        <f>AR236/4</f>
        <v>25</v>
      </c>
      <c r="AO236" s="1203">
        <f>AR236/4</f>
        <v>25</v>
      </c>
      <c r="AP236" s="1203">
        <f>AR236/4</f>
        <v>25</v>
      </c>
      <c r="AQ236" s="1205">
        <f>AR236/4</f>
        <v>25</v>
      </c>
      <c r="AR236" s="1808">
        <v>100</v>
      </c>
      <c r="AS236" s="1202">
        <f>AW236/4</f>
        <v>83.333333333333329</v>
      </c>
      <c r="AT236" s="1203">
        <f>AW236/4</f>
        <v>83.333333333333329</v>
      </c>
      <c r="AU236" s="1203">
        <f>AW236/4</f>
        <v>83.333333333333329</v>
      </c>
      <c r="AV236" s="1205">
        <f>AW236/4</f>
        <v>83.333333333333329</v>
      </c>
      <c r="AW236" s="1808">
        <f>1000/3</f>
        <v>333.33333333333331</v>
      </c>
      <c r="AX236" s="1202">
        <f>BB236/4</f>
        <v>83.333333333333329</v>
      </c>
      <c r="AY236" s="1203">
        <f>BB236/4</f>
        <v>83.333333333333329</v>
      </c>
      <c r="AZ236" s="1203">
        <f>BB236/4</f>
        <v>83.333333333333329</v>
      </c>
      <c r="BA236" s="1205">
        <f>BB236/4</f>
        <v>83.333333333333329</v>
      </c>
      <c r="BB236" s="1808">
        <f>1000/3</f>
        <v>333.33333333333331</v>
      </c>
      <c r="BC236" s="1202">
        <f>BG236/4</f>
        <v>83.333333333333329</v>
      </c>
      <c r="BD236" s="1203">
        <f>BG236/4</f>
        <v>83.333333333333329</v>
      </c>
      <c r="BE236" s="1203">
        <f>BG236/4</f>
        <v>83.333333333333329</v>
      </c>
      <c r="BF236" s="1205">
        <f>BG236/4</f>
        <v>83.333333333333329</v>
      </c>
      <c r="BG236" s="1808">
        <f>1000/3</f>
        <v>333.33333333333331</v>
      </c>
      <c r="BH236" s="1202">
        <f>BL236/4</f>
        <v>83.333333333333329</v>
      </c>
      <c r="BI236" s="1203">
        <f>BL236/4</f>
        <v>83.333333333333329</v>
      </c>
      <c r="BJ236" s="1203">
        <f>BL236/4</f>
        <v>83.333333333333329</v>
      </c>
      <c r="BK236" s="1205">
        <f>BL236/4</f>
        <v>83.333333333333329</v>
      </c>
      <c r="BL236" s="1808">
        <f>1000/3</f>
        <v>333.33333333333331</v>
      </c>
      <c r="BM236" s="1202">
        <f>BQ236/4</f>
        <v>0</v>
      </c>
      <c r="BN236" s="1203">
        <f>BQ236/4</f>
        <v>0</v>
      </c>
      <c r="BO236" s="1203">
        <f>BQ236/4</f>
        <v>0</v>
      </c>
      <c r="BP236" s="1205">
        <f>BQ236/4</f>
        <v>0</v>
      </c>
      <c r="BQ236" s="1808">
        <v>0</v>
      </c>
    </row>
    <row r="237" spans="2:71" s="50" customFormat="1">
      <c r="C237" s="1440" t="s">
        <v>1234</v>
      </c>
      <c r="D237" s="1272"/>
      <c r="E237" s="1209"/>
      <c r="F237" s="1822"/>
      <c r="G237" s="1822"/>
      <c r="H237" s="1281"/>
      <c r="I237" s="1279"/>
      <c r="J237" s="1209"/>
      <c r="K237" s="1822"/>
      <c r="L237" s="1822"/>
      <c r="M237" s="1281"/>
      <c r="N237" s="1279"/>
      <c r="O237" s="1202"/>
      <c r="P237" s="1203"/>
      <c r="Q237" s="1203"/>
      <c r="R237" s="1205"/>
      <c r="S237" s="1206"/>
      <c r="T237" s="1202"/>
      <c r="U237" s="1203"/>
      <c r="V237" s="1203"/>
      <c r="W237" s="1205"/>
      <c r="X237" s="1206"/>
      <c r="Y237" s="1202"/>
      <c r="Z237" s="1203"/>
      <c r="AA237" s="1203"/>
      <c r="AB237" s="1205"/>
      <c r="AC237" s="1206"/>
      <c r="AD237" s="1202"/>
      <c r="AE237" s="1203"/>
      <c r="AF237" s="1203"/>
      <c r="AG237" s="1205"/>
      <c r="AH237" s="1206"/>
      <c r="AI237" s="1202"/>
      <c r="AJ237" s="1203"/>
      <c r="AK237" s="1203"/>
      <c r="AL237" s="1205"/>
      <c r="AM237" s="1206">
        <f>AM253+AM265+AM277</f>
        <v>0</v>
      </c>
      <c r="AN237" s="1202">
        <f t="shared" ref="AN237:BL237" si="113">AN253+AN265+AN277</f>
        <v>0</v>
      </c>
      <c r="AO237" s="1203">
        <f t="shared" si="113"/>
        <v>16.666666666666664</v>
      </c>
      <c r="AP237" s="1203">
        <f t="shared" si="113"/>
        <v>33.333333333333329</v>
      </c>
      <c r="AQ237" s="1205">
        <f t="shared" si="113"/>
        <v>50</v>
      </c>
      <c r="AR237" s="1206">
        <f t="shared" si="113"/>
        <v>50</v>
      </c>
      <c r="AS237" s="1202">
        <f t="shared" si="113"/>
        <v>50</v>
      </c>
      <c r="AT237" s="1203">
        <f t="shared" si="113"/>
        <v>74.691358024691354</v>
      </c>
      <c r="AU237" s="1203">
        <f t="shared" si="113"/>
        <v>191.97530864197529</v>
      </c>
      <c r="AV237" s="1205">
        <f t="shared" si="113"/>
        <v>216.66666666666669</v>
      </c>
      <c r="AW237" s="1206">
        <f t="shared" si="113"/>
        <v>216.66666666666669</v>
      </c>
      <c r="AX237" s="1202">
        <f t="shared" si="113"/>
        <v>216.66666666666669</v>
      </c>
      <c r="AY237" s="1203">
        <f t="shared" si="113"/>
        <v>241.35802469135803</v>
      </c>
      <c r="AZ237" s="1203">
        <f t="shared" si="113"/>
        <v>358.64197530864203</v>
      </c>
      <c r="BA237" s="1205">
        <f t="shared" si="113"/>
        <v>383.33333333333337</v>
      </c>
      <c r="BB237" s="1206">
        <f t="shared" si="113"/>
        <v>383.33333333333337</v>
      </c>
      <c r="BC237" s="1202">
        <f t="shared" si="113"/>
        <v>383.33333333333337</v>
      </c>
      <c r="BD237" s="1203">
        <f t="shared" si="113"/>
        <v>408.02469135802471</v>
      </c>
      <c r="BE237" s="1203">
        <f t="shared" si="113"/>
        <v>525.30864197530866</v>
      </c>
      <c r="BF237" s="1205">
        <f>BF253+BF265+BF277</f>
        <v>550.00000000000011</v>
      </c>
      <c r="BG237" s="1206">
        <f t="shared" si="113"/>
        <v>550</v>
      </c>
      <c r="BH237" s="1202">
        <f t="shared" si="113"/>
        <v>550</v>
      </c>
      <c r="BI237" s="1203">
        <f t="shared" si="113"/>
        <v>574.69135802469134</v>
      </c>
      <c r="BJ237" s="1203">
        <f t="shared" si="113"/>
        <v>691.97530864197529</v>
      </c>
      <c r="BK237" s="1205">
        <f t="shared" si="113"/>
        <v>716.66666666666674</v>
      </c>
      <c r="BL237" s="1206">
        <f t="shared" si="113"/>
        <v>716.66666666666674</v>
      </c>
      <c r="BM237" s="1202">
        <f>BM253+BM265+BM277</f>
        <v>716.66666666666674</v>
      </c>
      <c r="BN237" s="1203">
        <f>BN253+BN265+BN277</f>
        <v>716.66666666666674</v>
      </c>
      <c r="BO237" s="1203">
        <f>BO253+BO265+BO277</f>
        <v>716.66666666666674</v>
      </c>
      <c r="BP237" s="1205">
        <f>BP253+BP265+BP277</f>
        <v>716.66666666666674</v>
      </c>
      <c r="BQ237" s="1206">
        <f>BQ253+BQ265+BQ277</f>
        <v>716.66666666666674</v>
      </c>
    </row>
    <row r="238" spans="2:71" s="50" customFormat="1">
      <c r="C238" s="515" t="s">
        <v>1233</v>
      </c>
      <c r="E238" s="225"/>
      <c r="F238" s="226"/>
      <c r="G238" s="226"/>
      <c r="H238" s="227"/>
      <c r="I238" s="228"/>
      <c r="J238" s="225"/>
      <c r="K238" s="226"/>
      <c r="L238" s="226"/>
      <c r="M238" s="227"/>
      <c r="N238" s="228"/>
      <c r="O238" s="149"/>
      <c r="P238" s="156"/>
      <c r="Q238" s="156"/>
      <c r="R238" s="151"/>
      <c r="S238" s="112"/>
      <c r="T238" s="149"/>
      <c r="U238" s="156"/>
      <c r="V238" s="156"/>
      <c r="W238" s="151"/>
      <c r="X238" s="112"/>
      <c r="Y238" s="149"/>
      <c r="Z238" s="156"/>
      <c r="AA238" s="156"/>
      <c r="AB238" s="151"/>
      <c r="AC238" s="112"/>
      <c r="AD238" s="149"/>
      <c r="AE238" s="156"/>
      <c r="AF238" s="156"/>
      <c r="AG238" s="151"/>
      <c r="AH238" s="112"/>
      <c r="AI238" s="149"/>
      <c r="AJ238" s="156"/>
      <c r="AK238" s="156"/>
      <c r="AL238" s="151"/>
      <c r="AM238" s="112">
        <f>AM259+AM271+AM283</f>
        <v>0</v>
      </c>
      <c r="AN238" s="149">
        <f t="shared" ref="AN238:BB238" si="114">AN259+AN271+AN283</f>
        <v>0</v>
      </c>
      <c r="AO238" s="156">
        <f t="shared" si="114"/>
        <v>0.74139611111111114</v>
      </c>
      <c r="AP238" s="156">
        <f t="shared" si="114"/>
        <v>1.4827922222222223</v>
      </c>
      <c r="AQ238" s="151">
        <f t="shared" si="114"/>
        <v>2.2241883333333332</v>
      </c>
      <c r="AR238" s="112">
        <f t="shared" si="114"/>
        <v>4.4483766666666664</v>
      </c>
      <c r="AS238" s="149">
        <f t="shared" si="114"/>
        <v>2.2464302166666665</v>
      </c>
      <c r="AT238" s="156">
        <f t="shared" si="114"/>
        <v>3.1152153833333331</v>
      </c>
      <c r="AU238" s="156">
        <f t="shared" si="114"/>
        <v>8.8657457722222226</v>
      </c>
      <c r="AV238" s="151">
        <f t="shared" si="114"/>
        <v>9.7345309388888897</v>
      </c>
      <c r="AW238" s="112">
        <f t="shared" si="114"/>
        <v>23.961922311111113</v>
      </c>
      <c r="AX238" s="149">
        <f t="shared" si="114"/>
        <v>9.8318762482777782</v>
      </c>
      <c r="AY238" s="156">
        <f t="shared" si="114"/>
        <v>10.709349266611111</v>
      </c>
      <c r="AZ238" s="156">
        <f t="shared" si="114"/>
        <v>16.517384959388892</v>
      </c>
      <c r="BA238" s="151">
        <f t="shared" si="114"/>
        <v>17.394857977722225</v>
      </c>
      <c r="BB238" s="112">
        <f t="shared" si="114"/>
        <v>54.45346845200001</v>
      </c>
      <c r="BC238" s="149">
        <f t="shared" ref="BC238:BQ238" si="115">BC259+BC271+BC283</f>
        <v>17.56880655749945</v>
      </c>
      <c r="BD238" s="156">
        <f t="shared" si="115"/>
        <v>18.455054306016116</v>
      </c>
      <c r="BE238" s="156">
        <f t="shared" si="115"/>
        <v>24.321170355721673</v>
      </c>
      <c r="BF238" s="151">
        <f t="shared" si="115"/>
        <v>25.207418104238339</v>
      </c>
      <c r="BG238" s="112">
        <f t="shared" si="115"/>
        <v>85.552449323475571</v>
      </c>
      <c r="BH238" s="149">
        <f t="shared" si="115"/>
        <v>25.459492285280717</v>
      </c>
      <c r="BI238" s="156">
        <f t="shared" si="115"/>
        <v>26.35460251128255</v>
      </c>
      <c r="BJ238" s="156">
        <f t="shared" si="115"/>
        <v>32.279379721485164</v>
      </c>
      <c r="BK238" s="151">
        <f t="shared" si="115"/>
        <v>33.174489947486997</v>
      </c>
      <c r="BL238" s="112">
        <f t="shared" si="115"/>
        <v>117.26796446553543</v>
      </c>
      <c r="BM238" s="149">
        <f t="shared" si="115"/>
        <v>33.506234846961874</v>
      </c>
      <c r="BN238" s="156">
        <f t="shared" si="115"/>
        <v>33.506234846961874</v>
      </c>
      <c r="BO238" s="156">
        <f t="shared" si="115"/>
        <v>33.506234846961874</v>
      </c>
      <c r="BP238" s="151">
        <f t="shared" si="115"/>
        <v>33.506234846961874</v>
      </c>
      <c r="BQ238" s="112">
        <f t="shared" si="115"/>
        <v>134.0249393878475</v>
      </c>
    </row>
    <row r="239" spans="2:71" s="50" customFormat="1">
      <c r="C239" s="515"/>
      <c r="E239" s="225"/>
      <c r="F239" s="226"/>
      <c r="G239" s="226"/>
      <c r="H239" s="227"/>
      <c r="I239" s="228"/>
      <c r="J239" s="225"/>
      <c r="K239" s="226"/>
      <c r="L239" s="226"/>
      <c r="M239" s="227"/>
      <c r="N239" s="228"/>
      <c r="O239" s="149"/>
      <c r="P239" s="156"/>
      <c r="Q239" s="156"/>
      <c r="R239" s="151"/>
      <c r="S239" s="112"/>
      <c r="T239" s="149"/>
      <c r="U239" s="156"/>
      <c r="V239" s="156"/>
      <c r="W239" s="151"/>
      <c r="X239" s="112"/>
      <c r="Y239" s="149"/>
      <c r="Z239" s="156"/>
      <c r="AA239" s="156"/>
      <c r="AB239" s="151"/>
      <c r="AC239" s="112"/>
      <c r="AD239" s="149"/>
      <c r="AE239" s="156"/>
      <c r="AF239" s="156"/>
      <c r="AG239" s="151"/>
      <c r="AH239" s="112"/>
      <c r="AI239" s="149"/>
      <c r="AJ239" s="156"/>
      <c r="AK239" s="156"/>
      <c r="AL239" s="151"/>
      <c r="AM239" s="112"/>
      <c r="AN239" s="149"/>
      <c r="AO239" s="156"/>
      <c r="AP239" s="156"/>
      <c r="AQ239" s="151"/>
      <c r="AR239" s="112"/>
      <c r="AS239" s="149"/>
      <c r="AT239" s="156"/>
      <c r="AU239" s="156"/>
      <c r="AV239" s="151"/>
      <c r="AW239" s="112"/>
      <c r="AX239" s="149"/>
      <c r="AY239" s="156"/>
      <c r="AZ239" s="156"/>
      <c r="BA239" s="151"/>
      <c r="BB239" s="112"/>
      <c r="BC239" s="149"/>
      <c r="BD239" s="156"/>
      <c r="BE239" s="156"/>
      <c r="BF239" s="151"/>
      <c r="BG239" s="112"/>
      <c r="BH239" s="149"/>
      <c r="BI239" s="156"/>
      <c r="BJ239" s="156"/>
      <c r="BK239" s="151"/>
      <c r="BL239" s="112"/>
      <c r="BM239" s="149"/>
      <c r="BN239" s="156"/>
      <c r="BO239" s="156"/>
      <c r="BP239" s="151"/>
      <c r="BQ239" s="112"/>
      <c r="BS239" s="1834"/>
    </row>
    <row r="240" spans="2:71" s="50" customFormat="1">
      <c r="C240" s="1659" t="s">
        <v>1220</v>
      </c>
      <c r="E240" s="225"/>
      <c r="F240" s="226"/>
      <c r="G240" s="226"/>
      <c r="H240" s="227"/>
      <c r="I240" s="228"/>
      <c r="J240" s="225"/>
      <c r="K240" s="226"/>
      <c r="L240" s="226"/>
      <c r="M240" s="227"/>
      <c r="N240" s="228"/>
      <c r="O240" s="149"/>
      <c r="P240" s="156"/>
      <c r="Q240" s="156"/>
      <c r="R240" s="151"/>
      <c r="S240" s="112"/>
      <c r="T240" s="149"/>
      <c r="U240" s="156"/>
      <c r="V240" s="156"/>
      <c r="W240" s="151"/>
      <c r="X240" s="112"/>
      <c r="Y240" s="149"/>
      <c r="Z240" s="156"/>
      <c r="AA240" s="156"/>
      <c r="AB240" s="151"/>
      <c r="AC240" s="112"/>
      <c r="AD240" s="149"/>
      <c r="AE240" s="156"/>
      <c r="AF240" s="156"/>
      <c r="AG240" s="151"/>
      <c r="AH240" s="112"/>
      <c r="AI240" s="149"/>
      <c r="AJ240" s="156"/>
      <c r="AK240" s="156"/>
      <c r="AL240" s="151"/>
      <c r="AM240" s="112"/>
      <c r="AN240" s="149"/>
      <c r="AO240" s="156"/>
      <c r="AP240" s="156"/>
      <c r="AQ240" s="151"/>
      <c r="AR240" s="112"/>
      <c r="AS240" s="149"/>
      <c r="AT240" s="156"/>
      <c r="AU240" s="156"/>
      <c r="AV240" s="151"/>
      <c r="AW240" s="112"/>
      <c r="AX240" s="149"/>
      <c r="AY240" s="156"/>
      <c r="AZ240" s="156"/>
      <c r="BA240" s="151"/>
      <c r="BB240" s="112"/>
      <c r="BC240" s="149"/>
      <c r="BD240" s="156"/>
      <c r="BE240" s="156"/>
      <c r="BF240" s="151"/>
      <c r="BG240" s="112"/>
      <c r="BH240" s="149"/>
      <c r="BI240" s="156"/>
      <c r="BJ240" s="156"/>
      <c r="BK240" s="151"/>
      <c r="BL240" s="1839"/>
      <c r="BM240" s="149"/>
      <c r="BN240" s="156"/>
      <c r="BO240" s="156"/>
      <c r="BP240" s="151"/>
      <c r="BQ240" s="1839"/>
      <c r="BS240" s="1834"/>
    </row>
    <row r="241" spans="3:94" s="50" customFormat="1">
      <c r="C241" s="1440" t="s">
        <v>524</v>
      </c>
      <c r="E241" s="225"/>
      <c r="F241" s="226"/>
      <c r="G241" s="226"/>
      <c r="H241" s="227"/>
      <c r="I241" s="228"/>
      <c r="J241" s="225"/>
      <c r="K241" s="226"/>
      <c r="L241" s="226"/>
      <c r="M241" s="227"/>
      <c r="N241" s="228"/>
      <c r="O241" s="149"/>
      <c r="P241" s="156"/>
      <c r="Q241" s="156"/>
      <c r="R241" s="151"/>
      <c r="S241" s="112"/>
      <c r="T241" s="149"/>
      <c r="U241" s="156"/>
      <c r="V241" s="156"/>
      <c r="W241" s="151"/>
      <c r="X241" s="112"/>
      <c r="Y241" s="149"/>
      <c r="Z241" s="156"/>
      <c r="AA241" s="156"/>
      <c r="AB241" s="151"/>
      <c r="AC241" s="112"/>
      <c r="AD241" s="149"/>
      <c r="AE241" s="156"/>
      <c r="AF241" s="156"/>
      <c r="AG241" s="151"/>
      <c r="AH241" s="112"/>
      <c r="AI241" s="149"/>
      <c r="AJ241" s="156"/>
      <c r="AK241" s="156"/>
      <c r="AL241" s="151"/>
      <c r="AM241" s="112">
        <v>0</v>
      </c>
      <c r="AN241" s="1805">
        <f t="shared" ref="AN241:AQ243" si="116">AO241</f>
        <v>0.33333333333333331</v>
      </c>
      <c r="AO241" s="1806">
        <f t="shared" si="116"/>
        <v>0.33333333333333331</v>
      </c>
      <c r="AP241" s="1806">
        <f t="shared" si="116"/>
        <v>0.33333333333333331</v>
      </c>
      <c r="AQ241" s="1807">
        <f t="shared" si="116"/>
        <v>0.33333333333333331</v>
      </c>
      <c r="AR241" s="1803">
        <f>1/3</f>
        <v>0.33333333333333331</v>
      </c>
      <c r="AS241" s="1805">
        <f t="shared" ref="AS241:AV243" si="117">AT241</f>
        <v>0.33333333333333331</v>
      </c>
      <c r="AT241" s="1806">
        <f t="shared" si="117"/>
        <v>0.33333333333333331</v>
      </c>
      <c r="AU241" s="1806">
        <f t="shared" si="117"/>
        <v>0.33333333333333331</v>
      </c>
      <c r="AV241" s="1807">
        <f t="shared" si="117"/>
        <v>0.33333333333333331</v>
      </c>
      <c r="AW241" s="1803">
        <f>AR241</f>
        <v>0.33333333333333331</v>
      </c>
      <c r="AX241" s="1805">
        <f t="shared" ref="AX241:BA243" si="118">AY241</f>
        <v>0.33333333333333331</v>
      </c>
      <c r="AY241" s="1806">
        <f t="shared" si="118"/>
        <v>0.33333333333333331</v>
      </c>
      <c r="AZ241" s="1806">
        <f t="shared" si="118"/>
        <v>0.33333333333333331</v>
      </c>
      <c r="BA241" s="1807">
        <f t="shared" si="118"/>
        <v>0.33333333333333331</v>
      </c>
      <c r="BB241" s="1803">
        <f>AW241</f>
        <v>0.33333333333333331</v>
      </c>
      <c r="BC241" s="1805">
        <f t="shared" ref="BC241:BF243" si="119">BD241</f>
        <v>0.33333333333333331</v>
      </c>
      <c r="BD241" s="1806">
        <f t="shared" si="119"/>
        <v>0.33333333333333331</v>
      </c>
      <c r="BE241" s="1806">
        <f t="shared" si="119"/>
        <v>0.33333333333333331</v>
      </c>
      <c r="BF241" s="1807">
        <f t="shared" si="119"/>
        <v>0.33333333333333331</v>
      </c>
      <c r="BG241" s="1803">
        <f>BB241</f>
        <v>0.33333333333333331</v>
      </c>
      <c r="BH241" s="1805">
        <f t="shared" ref="BH241:BK243" si="120">BI241</f>
        <v>0.33333333333333331</v>
      </c>
      <c r="BI241" s="1806">
        <f t="shared" si="120"/>
        <v>0.33333333333333331</v>
      </c>
      <c r="BJ241" s="1806">
        <f t="shared" si="120"/>
        <v>0.33333333333333331</v>
      </c>
      <c r="BK241" s="1807">
        <f t="shared" si="120"/>
        <v>0.33333333333333331</v>
      </c>
      <c r="BL241" s="1803">
        <f>BG241</f>
        <v>0.33333333333333331</v>
      </c>
      <c r="BM241" s="1805">
        <f t="shared" ref="BM241:BP243" si="121">BN241</f>
        <v>0.33333333333333331</v>
      </c>
      <c r="BN241" s="1806">
        <f t="shared" si="121"/>
        <v>0.33333333333333331</v>
      </c>
      <c r="BO241" s="1806">
        <f t="shared" si="121"/>
        <v>0.33333333333333331</v>
      </c>
      <c r="BP241" s="1807">
        <f t="shared" si="121"/>
        <v>0.33333333333333331</v>
      </c>
      <c r="BQ241" s="1803">
        <f>BL241</f>
        <v>0.33333333333333331</v>
      </c>
      <c r="BS241" s="1834"/>
      <c r="BT241" s="1823" t="s">
        <v>1250</v>
      </c>
      <c r="BU241" s="1623"/>
      <c r="BV241" s="1623"/>
      <c r="BW241" s="1623"/>
      <c r="BX241" s="1623"/>
      <c r="BY241" s="1623"/>
      <c r="BZ241" s="1623"/>
      <c r="CA241" s="1623"/>
      <c r="CB241" s="1623"/>
      <c r="CC241" s="1623"/>
      <c r="CD241" s="1623"/>
      <c r="CE241" s="1623"/>
    </row>
    <row r="242" spans="3:94" s="50" customFormat="1">
      <c r="C242" s="1440" t="s">
        <v>1221</v>
      </c>
      <c r="E242" s="225"/>
      <c r="F242" s="226"/>
      <c r="G242" s="226"/>
      <c r="H242" s="227"/>
      <c r="I242" s="228"/>
      <c r="J242" s="225"/>
      <c r="K242" s="226"/>
      <c r="L242" s="226"/>
      <c r="M242" s="227"/>
      <c r="N242" s="228"/>
      <c r="O242" s="149"/>
      <c r="P242" s="156"/>
      <c r="Q242" s="156"/>
      <c r="R242" s="151"/>
      <c r="S242" s="112"/>
      <c r="T242" s="149"/>
      <c r="U242" s="156"/>
      <c r="V242" s="156"/>
      <c r="W242" s="151"/>
      <c r="X242" s="112"/>
      <c r="Y242" s="149"/>
      <c r="Z242" s="156"/>
      <c r="AA242" s="156"/>
      <c r="AB242" s="151"/>
      <c r="AC242" s="112"/>
      <c r="AD242" s="149"/>
      <c r="AE242" s="156"/>
      <c r="AF242" s="156"/>
      <c r="AG242" s="151"/>
      <c r="AH242" s="112"/>
      <c r="AI242" s="149"/>
      <c r="AJ242" s="156"/>
      <c r="AK242" s="156"/>
      <c r="AL242" s="151"/>
      <c r="AM242" s="112">
        <v>0</v>
      </c>
      <c r="AN242" s="1805">
        <f t="shared" si="116"/>
        <v>0.33333333333333331</v>
      </c>
      <c r="AO242" s="1806">
        <f t="shared" si="116"/>
        <v>0.33333333333333331</v>
      </c>
      <c r="AP242" s="1806">
        <f t="shared" si="116"/>
        <v>0.33333333333333331</v>
      </c>
      <c r="AQ242" s="1807">
        <f t="shared" si="116"/>
        <v>0.33333333333333331</v>
      </c>
      <c r="AR242" s="1803">
        <f>1/3</f>
        <v>0.33333333333333331</v>
      </c>
      <c r="AS242" s="1805">
        <f t="shared" si="117"/>
        <v>0.33333333333333331</v>
      </c>
      <c r="AT242" s="1806">
        <f t="shared" si="117"/>
        <v>0.33333333333333331</v>
      </c>
      <c r="AU242" s="1806">
        <f t="shared" si="117"/>
        <v>0.33333333333333331</v>
      </c>
      <c r="AV242" s="1807">
        <f t="shared" si="117"/>
        <v>0.33333333333333331</v>
      </c>
      <c r="AW242" s="1803">
        <f>AR242</f>
        <v>0.33333333333333331</v>
      </c>
      <c r="AX242" s="1805">
        <f t="shared" si="118"/>
        <v>0.33333333333333331</v>
      </c>
      <c r="AY242" s="1806">
        <f t="shared" si="118"/>
        <v>0.33333333333333331</v>
      </c>
      <c r="AZ242" s="1806">
        <f t="shared" si="118"/>
        <v>0.33333333333333331</v>
      </c>
      <c r="BA242" s="1807">
        <f t="shared" si="118"/>
        <v>0.33333333333333331</v>
      </c>
      <c r="BB242" s="1803">
        <f>AW242</f>
        <v>0.33333333333333331</v>
      </c>
      <c r="BC242" s="1805">
        <f t="shared" si="119"/>
        <v>0.33333333333333331</v>
      </c>
      <c r="BD242" s="1806">
        <f t="shared" si="119"/>
        <v>0.33333333333333331</v>
      </c>
      <c r="BE242" s="1806">
        <f t="shared" si="119"/>
        <v>0.33333333333333331</v>
      </c>
      <c r="BF242" s="1807">
        <f t="shared" si="119"/>
        <v>0.33333333333333331</v>
      </c>
      <c r="BG242" s="1803">
        <f>BB242</f>
        <v>0.33333333333333331</v>
      </c>
      <c r="BH242" s="1805">
        <f t="shared" si="120"/>
        <v>0.33333333333333331</v>
      </c>
      <c r="BI242" s="1806">
        <f t="shared" si="120"/>
        <v>0.33333333333333331</v>
      </c>
      <c r="BJ242" s="1806">
        <f t="shared" si="120"/>
        <v>0.33333333333333331</v>
      </c>
      <c r="BK242" s="1807">
        <f t="shared" si="120"/>
        <v>0.33333333333333331</v>
      </c>
      <c r="BL242" s="1803">
        <f>BG242</f>
        <v>0.33333333333333331</v>
      </c>
      <c r="BM242" s="1805">
        <f t="shared" si="121"/>
        <v>0.33333333333333331</v>
      </c>
      <c r="BN242" s="1806">
        <f t="shared" si="121"/>
        <v>0.33333333333333331</v>
      </c>
      <c r="BO242" s="1806">
        <f t="shared" si="121"/>
        <v>0.33333333333333331</v>
      </c>
      <c r="BP242" s="1807">
        <f t="shared" si="121"/>
        <v>0.33333333333333331</v>
      </c>
      <c r="BQ242" s="1803">
        <f>BL242</f>
        <v>0.33333333333333331</v>
      </c>
      <c r="BT242" s="1824" t="s">
        <v>1235</v>
      </c>
      <c r="BW242" s="1821">
        <v>2016</v>
      </c>
      <c r="BX242" s="1821">
        <v>2017</v>
      </c>
      <c r="BY242" s="1821">
        <v>2018</v>
      </c>
      <c r="BZ242" s="1821">
        <v>2019</v>
      </c>
      <c r="CA242" s="1821">
        <v>2020</v>
      </c>
      <c r="CB242" s="1640">
        <f t="shared" ref="CB242:CG242" si="122">CA242+1</f>
        <v>2021</v>
      </c>
      <c r="CC242" s="1640">
        <f t="shared" si="122"/>
        <v>2022</v>
      </c>
      <c r="CD242" s="1640">
        <f t="shared" si="122"/>
        <v>2023</v>
      </c>
      <c r="CE242" s="1640">
        <f t="shared" si="122"/>
        <v>2024</v>
      </c>
      <c r="CF242" s="1640">
        <f t="shared" si="122"/>
        <v>2025</v>
      </c>
      <c r="CG242" s="1640">
        <f t="shared" si="122"/>
        <v>2026</v>
      </c>
      <c r="CH242" s="1640">
        <f t="shared" ref="CH242:CP242" si="123">CG242+1</f>
        <v>2027</v>
      </c>
      <c r="CI242" s="1640">
        <f t="shared" si="123"/>
        <v>2028</v>
      </c>
      <c r="CJ242" s="1640">
        <f t="shared" si="123"/>
        <v>2029</v>
      </c>
      <c r="CK242" s="1640">
        <f t="shared" si="123"/>
        <v>2030</v>
      </c>
      <c r="CL242" s="1640">
        <f t="shared" si="123"/>
        <v>2031</v>
      </c>
      <c r="CM242" s="1640">
        <f t="shared" si="123"/>
        <v>2032</v>
      </c>
      <c r="CN242" s="1640">
        <f t="shared" si="123"/>
        <v>2033</v>
      </c>
      <c r="CO242" s="1640">
        <f t="shared" si="123"/>
        <v>2034</v>
      </c>
      <c r="CP242" s="1640">
        <f t="shared" si="123"/>
        <v>2035</v>
      </c>
    </row>
    <row r="243" spans="3:94" s="50" customFormat="1">
      <c r="C243" s="1440" t="s">
        <v>1222</v>
      </c>
      <c r="E243" s="225"/>
      <c r="F243" s="226"/>
      <c r="G243" s="226"/>
      <c r="H243" s="227"/>
      <c r="I243" s="228"/>
      <c r="J243" s="225"/>
      <c r="K243" s="226"/>
      <c r="L243" s="226"/>
      <c r="M243" s="227"/>
      <c r="N243" s="228"/>
      <c r="O243" s="149"/>
      <c r="P243" s="156"/>
      <c r="Q243" s="156"/>
      <c r="R243" s="151"/>
      <c r="S243" s="112"/>
      <c r="T243" s="149"/>
      <c r="U243" s="156"/>
      <c r="V243" s="156"/>
      <c r="W243" s="151"/>
      <c r="X243" s="112"/>
      <c r="Y243" s="149"/>
      <c r="Z243" s="156"/>
      <c r="AA243" s="156"/>
      <c r="AB243" s="151"/>
      <c r="AC243" s="112"/>
      <c r="AD243" s="149"/>
      <c r="AE243" s="156"/>
      <c r="AF243" s="156"/>
      <c r="AG243" s="151"/>
      <c r="AH243" s="112"/>
      <c r="AI243" s="149"/>
      <c r="AJ243" s="156"/>
      <c r="AK243" s="156"/>
      <c r="AL243" s="151"/>
      <c r="AM243" s="112">
        <v>0</v>
      </c>
      <c r="AN243" s="1805">
        <f t="shared" si="116"/>
        <v>0.33333333333333343</v>
      </c>
      <c r="AO243" s="1806">
        <f t="shared" si="116"/>
        <v>0.33333333333333343</v>
      </c>
      <c r="AP243" s="1806">
        <f t="shared" si="116"/>
        <v>0.33333333333333343</v>
      </c>
      <c r="AQ243" s="1807">
        <f t="shared" si="116"/>
        <v>0.33333333333333343</v>
      </c>
      <c r="AR243" s="1804">
        <f>1-AR242-AR241</f>
        <v>0.33333333333333343</v>
      </c>
      <c r="AS243" s="1805">
        <f t="shared" si="117"/>
        <v>0.33333333333333343</v>
      </c>
      <c r="AT243" s="1806">
        <f t="shared" si="117"/>
        <v>0.33333333333333343</v>
      </c>
      <c r="AU243" s="1806">
        <f t="shared" si="117"/>
        <v>0.33333333333333343</v>
      </c>
      <c r="AV243" s="1807">
        <f t="shared" si="117"/>
        <v>0.33333333333333343</v>
      </c>
      <c r="AW243" s="1804">
        <f>1-AW242-AW241</f>
        <v>0.33333333333333343</v>
      </c>
      <c r="AX243" s="1805">
        <f t="shared" si="118"/>
        <v>0.33333333333333343</v>
      </c>
      <c r="AY243" s="1806">
        <f t="shared" si="118"/>
        <v>0.33333333333333343</v>
      </c>
      <c r="AZ243" s="1806">
        <f t="shared" si="118"/>
        <v>0.33333333333333343</v>
      </c>
      <c r="BA243" s="1807">
        <f t="shared" si="118"/>
        <v>0.33333333333333343</v>
      </c>
      <c r="BB243" s="1804">
        <f>1-BB242-BB241</f>
        <v>0.33333333333333343</v>
      </c>
      <c r="BC243" s="1805">
        <f t="shared" si="119"/>
        <v>0.33333333333333343</v>
      </c>
      <c r="BD243" s="1806">
        <f t="shared" si="119"/>
        <v>0.33333333333333343</v>
      </c>
      <c r="BE243" s="1806">
        <f t="shared" si="119"/>
        <v>0.33333333333333343</v>
      </c>
      <c r="BF243" s="1807">
        <f t="shared" si="119"/>
        <v>0.33333333333333343</v>
      </c>
      <c r="BG243" s="1804">
        <f>1-BG242-BG241</f>
        <v>0.33333333333333343</v>
      </c>
      <c r="BH243" s="1805">
        <f t="shared" si="120"/>
        <v>0.33333333333333343</v>
      </c>
      <c r="BI243" s="1806">
        <f t="shared" si="120"/>
        <v>0.33333333333333343</v>
      </c>
      <c r="BJ243" s="1806">
        <f t="shared" si="120"/>
        <v>0.33333333333333343</v>
      </c>
      <c r="BK243" s="1807">
        <f t="shared" si="120"/>
        <v>0.33333333333333343</v>
      </c>
      <c r="BL243" s="1804">
        <f>1-BL242-BL241</f>
        <v>0.33333333333333343</v>
      </c>
      <c r="BM243" s="1805">
        <f t="shared" si="121"/>
        <v>0.33333333333333343</v>
      </c>
      <c r="BN243" s="1806">
        <f t="shared" si="121"/>
        <v>0.33333333333333343</v>
      </c>
      <c r="BO243" s="1806">
        <f t="shared" si="121"/>
        <v>0.33333333333333343</v>
      </c>
      <c r="BP243" s="1807">
        <f t="shared" si="121"/>
        <v>0.33333333333333343</v>
      </c>
      <c r="BQ243" s="1804">
        <f>1-BQ242-BQ241</f>
        <v>0.33333333333333343</v>
      </c>
      <c r="BT243" s="1810" t="s">
        <v>1236</v>
      </c>
      <c r="BW243" s="1216">
        <f>AR266+AR278</f>
        <v>27.777777777777779</v>
      </c>
      <c r="BX243" s="1216">
        <f>'Generation &amp; Marketing'!AW266+'Generation &amp; Marketing'!AW278</f>
        <v>92.592592592592609</v>
      </c>
      <c r="BY243" s="1216">
        <f>BB266+BB278</f>
        <v>92.592592592592609</v>
      </c>
      <c r="BZ243" s="1216">
        <f>BG266+BG278</f>
        <v>92.592592592592609</v>
      </c>
      <c r="CA243" s="1216">
        <f>BL266+BL278</f>
        <v>92.592592592592609</v>
      </c>
      <c r="CB243" s="1225">
        <f>BQ266+BQ278</f>
        <v>0</v>
      </c>
      <c r="CC243" s="1813">
        <v>0</v>
      </c>
      <c r="CD243" s="1813">
        <v>0</v>
      </c>
      <c r="CE243" s="1813">
        <v>0</v>
      </c>
      <c r="CF243" s="1813">
        <v>0</v>
      </c>
      <c r="CG243" s="1813">
        <v>0</v>
      </c>
      <c r="CH243" s="1813">
        <v>0</v>
      </c>
      <c r="CI243" s="1813">
        <v>0</v>
      </c>
      <c r="CJ243" s="1813">
        <v>0</v>
      </c>
      <c r="CK243" s="1813">
        <v>0</v>
      </c>
      <c r="CL243" s="1813">
        <v>0</v>
      </c>
      <c r="CM243" s="1813">
        <v>0</v>
      </c>
      <c r="CN243" s="1813">
        <v>0</v>
      </c>
      <c r="CO243" s="1813">
        <v>0</v>
      </c>
      <c r="CP243" s="1813">
        <v>0</v>
      </c>
    </row>
    <row r="244" spans="3:94" s="50" customFormat="1">
      <c r="C244" s="515"/>
      <c r="E244" s="225"/>
      <c r="F244" s="226"/>
      <c r="G244" s="226"/>
      <c r="H244" s="227"/>
      <c r="I244" s="228"/>
      <c r="J244" s="225"/>
      <c r="K244" s="226"/>
      <c r="L244" s="226"/>
      <c r="M244" s="227"/>
      <c r="N244" s="228"/>
      <c r="O244" s="149"/>
      <c r="P244" s="156"/>
      <c r="Q244" s="156"/>
      <c r="R244" s="151"/>
      <c r="S244" s="112"/>
      <c r="T244" s="149"/>
      <c r="U244" s="156"/>
      <c r="V244" s="156"/>
      <c r="W244" s="151"/>
      <c r="X244" s="112"/>
      <c r="Y244" s="149"/>
      <c r="Z244" s="156"/>
      <c r="AA244" s="156"/>
      <c r="AB244" s="151"/>
      <c r="AC244" s="112"/>
      <c r="AD244" s="149"/>
      <c r="AE244" s="156"/>
      <c r="AF244" s="156"/>
      <c r="AG244" s="151"/>
      <c r="AH244" s="112"/>
      <c r="AI244" s="149"/>
      <c r="AJ244" s="156"/>
      <c r="AK244" s="156"/>
      <c r="AL244" s="151"/>
      <c r="AM244" s="112"/>
      <c r="AN244" s="149"/>
      <c r="AO244" s="156"/>
      <c r="AP244" s="156"/>
      <c r="AQ244" s="151"/>
      <c r="AR244" s="112"/>
      <c r="AS244" s="149"/>
      <c r="AT244" s="156"/>
      <c r="AU244" s="156"/>
      <c r="AV244" s="151"/>
      <c r="AW244" s="112"/>
      <c r="AX244" s="149"/>
      <c r="AY244" s="156"/>
      <c r="AZ244" s="156"/>
      <c r="BA244" s="151"/>
      <c r="BB244" s="112"/>
      <c r="BC244" s="149"/>
      <c r="BD244" s="156"/>
      <c r="BE244" s="156"/>
      <c r="BF244" s="151"/>
      <c r="BG244" s="112"/>
      <c r="BH244" s="149"/>
      <c r="BI244" s="156"/>
      <c r="BJ244" s="156"/>
      <c r="BK244" s="151"/>
      <c r="BL244" s="112"/>
      <c r="BM244" s="149"/>
      <c r="BN244" s="156"/>
      <c r="BO244" s="156"/>
      <c r="BP244" s="151"/>
      <c r="BQ244" s="112"/>
      <c r="BT244" s="1810" t="s">
        <v>231</v>
      </c>
      <c r="BW244" s="1216">
        <f>(AR266*AR247+AR278*AR248)/1000</f>
        <v>66.666666666666671</v>
      </c>
      <c r="BX244" s="1216">
        <f>(AW278*AW248+AW266*AW247)/1000</f>
        <v>222.22222222222226</v>
      </c>
      <c r="BY244" s="1216">
        <f>(BB278*BB248+BB266*BB247)/1000</f>
        <v>222.22222222222226</v>
      </c>
      <c r="BZ244" s="1216">
        <f>(BG278*BG248+BG266*BG247)/1000</f>
        <v>222.22222222222226</v>
      </c>
      <c r="CA244" s="1216">
        <f>(BL278*BL248+BL266*BL247)/1000</f>
        <v>222.22222222222226</v>
      </c>
      <c r="CB244" s="1825">
        <f>(BQ278*BQ248+BQ266*BQ247)/1000</f>
        <v>0</v>
      </c>
      <c r="CC244" s="1813">
        <f t="shared" ref="CC244:CP244" si="124">CC243*CA239</f>
        <v>0</v>
      </c>
      <c r="CD244" s="1813">
        <f t="shared" si="124"/>
        <v>0</v>
      </c>
      <c r="CE244" s="1813">
        <f t="shared" si="124"/>
        <v>0</v>
      </c>
      <c r="CF244" s="1813">
        <f t="shared" si="124"/>
        <v>0</v>
      </c>
      <c r="CG244" s="1813">
        <f t="shared" si="124"/>
        <v>0</v>
      </c>
      <c r="CH244" s="1813">
        <f t="shared" si="124"/>
        <v>0</v>
      </c>
      <c r="CI244" s="1813">
        <f t="shared" si="124"/>
        <v>0</v>
      </c>
      <c r="CJ244" s="1813">
        <f t="shared" si="124"/>
        <v>0</v>
      </c>
      <c r="CK244" s="1813">
        <f t="shared" si="124"/>
        <v>0</v>
      </c>
      <c r="CL244" s="1813">
        <f t="shared" si="124"/>
        <v>0</v>
      </c>
      <c r="CM244" s="1813">
        <f t="shared" si="124"/>
        <v>0</v>
      </c>
      <c r="CN244" s="1813">
        <f t="shared" si="124"/>
        <v>0</v>
      </c>
      <c r="CO244" s="1813">
        <f t="shared" si="124"/>
        <v>0</v>
      </c>
      <c r="CP244" s="1813">
        <f t="shared" si="124"/>
        <v>0</v>
      </c>
    </row>
    <row r="245" spans="3:94" s="50" customFormat="1">
      <c r="C245" s="1659" t="s">
        <v>1223</v>
      </c>
      <c r="E245" s="225"/>
      <c r="F245" s="226"/>
      <c r="G245" s="226"/>
      <c r="H245" s="227"/>
      <c r="I245" s="228"/>
      <c r="J245" s="225"/>
      <c r="K245" s="226"/>
      <c r="L245" s="226"/>
      <c r="M245" s="227"/>
      <c r="N245" s="228"/>
      <c r="O245" s="149"/>
      <c r="P245" s="156"/>
      <c r="Q245" s="156"/>
      <c r="R245" s="151"/>
      <c r="S245" s="112"/>
      <c r="T245" s="149"/>
      <c r="U245" s="156"/>
      <c r="V245" s="156"/>
      <c r="W245" s="151"/>
      <c r="X245" s="112"/>
      <c r="Y245" s="149"/>
      <c r="Z245" s="156"/>
      <c r="AA245" s="156"/>
      <c r="AB245" s="151"/>
      <c r="AC245" s="112"/>
      <c r="AD245" s="149"/>
      <c r="AE245" s="156"/>
      <c r="AF245" s="156"/>
      <c r="AG245" s="151"/>
      <c r="AH245" s="112"/>
      <c r="AI245" s="149"/>
      <c r="AJ245" s="156"/>
      <c r="AK245" s="156"/>
      <c r="AL245" s="151"/>
      <c r="AM245" s="112"/>
      <c r="AN245" s="149"/>
      <c r="AO245" s="156"/>
      <c r="AP245" s="156"/>
      <c r="AQ245" s="151"/>
      <c r="AR245" s="112"/>
      <c r="AS245" s="149"/>
      <c r="AT245" s="156"/>
      <c r="AU245" s="156"/>
      <c r="AV245" s="151"/>
      <c r="AW245" s="112"/>
      <c r="AX245" s="149"/>
      <c r="AY245" s="156"/>
      <c r="AZ245" s="156"/>
      <c r="BA245" s="151"/>
      <c r="BB245" s="112"/>
      <c r="BC245" s="149"/>
      <c r="BD245" s="156"/>
      <c r="BE245" s="156"/>
      <c r="BF245" s="151"/>
      <c r="BG245" s="112"/>
      <c r="BH245" s="149"/>
      <c r="BI245" s="156"/>
      <c r="BJ245" s="156"/>
      <c r="BK245" s="151"/>
      <c r="BL245" s="112"/>
      <c r="BM245" s="149"/>
      <c r="BN245" s="156"/>
      <c r="BO245" s="156"/>
      <c r="BP245" s="151"/>
      <c r="BQ245" s="112"/>
      <c r="BT245" s="1810" t="s">
        <v>1237</v>
      </c>
      <c r="BW245" s="1828">
        <v>0.3</v>
      </c>
      <c r="BX245" s="1828">
        <v>0.3</v>
      </c>
      <c r="BY245" s="1828">
        <v>0.3</v>
      </c>
      <c r="BZ245" s="1828">
        <v>0.3</v>
      </c>
      <c r="CA245" s="1828">
        <v>0.26</v>
      </c>
      <c r="CB245" s="1828">
        <v>0.22</v>
      </c>
      <c r="CC245" s="1828">
        <v>0.1</v>
      </c>
      <c r="CD245" s="1828">
        <v>0.1</v>
      </c>
      <c r="CE245" s="1828">
        <v>0.1</v>
      </c>
      <c r="CF245" s="1828">
        <v>0.1</v>
      </c>
      <c r="CG245" s="1828">
        <v>0</v>
      </c>
      <c r="CH245" s="1828">
        <v>0</v>
      </c>
      <c r="CI245" s="1828">
        <v>0</v>
      </c>
      <c r="CJ245" s="1828">
        <v>0</v>
      </c>
      <c r="CK245" s="1828">
        <v>0</v>
      </c>
      <c r="CL245" s="1828">
        <v>0</v>
      </c>
      <c r="CM245" s="1828">
        <v>0</v>
      </c>
      <c r="CN245" s="1828">
        <v>0</v>
      </c>
      <c r="CO245" s="1828">
        <v>0</v>
      </c>
      <c r="CP245" s="1828">
        <v>0</v>
      </c>
    </row>
    <row r="246" spans="3:94" s="50" customFormat="1">
      <c r="C246" s="1440" t="s">
        <v>1224</v>
      </c>
      <c r="E246" s="225"/>
      <c r="F246" s="226"/>
      <c r="G246" s="226"/>
      <c r="H246" s="227"/>
      <c r="I246" s="228"/>
      <c r="J246" s="225"/>
      <c r="K246" s="226"/>
      <c r="L246" s="226"/>
      <c r="M246" s="227"/>
      <c r="N246" s="228"/>
      <c r="O246" s="149"/>
      <c r="P246" s="156"/>
      <c r="Q246" s="156"/>
      <c r="R246" s="151"/>
      <c r="S246" s="112"/>
      <c r="T246" s="149"/>
      <c r="U246" s="156"/>
      <c r="V246" s="156"/>
      <c r="W246" s="151"/>
      <c r="X246" s="112"/>
      <c r="Y246" s="149"/>
      <c r="Z246" s="156"/>
      <c r="AA246" s="156"/>
      <c r="AB246" s="151"/>
      <c r="AC246" s="112"/>
      <c r="AD246" s="149"/>
      <c r="AE246" s="156"/>
      <c r="AF246" s="156"/>
      <c r="AG246" s="151"/>
      <c r="AH246" s="112"/>
      <c r="AI246" s="149"/>
      <c r="AJ246" s="156"/>
      <c r="AK246" s="156"/>
      <c r="AL246" s="151"/>
      <c r="AM246" s="1808">
        <v>1500</v>
      </c>
      <c r="AN246" s="1202">
        <f t="shared" ref="AN246:AQ248" si="125">AO246</f>
        <v>1500</v>
      </c>
      <c r="AO246" s="1203">
        <f t="shared" si="125"/>
        <v>1500</v>
      </c>
      <c r="AP246" s="1203">
        <f t="shared" si="125"/>
        <v>1500</v>
      </c>
      <c r="AQ246" s="1205">
        <f t="shared" si="125"/>
        <v>1500</v>
      </c>
      <c r="AR246" s="1808">
        <v>1500</v>
      </c>
      <c r="AS246" s="1202">
        <f t="shared" ref="AS246:AV248" si="126">AT246</f>
        <v>1500</v>
      </c>
      <c r="AT246" s="1203">
        <f t="shared" si="126"/>
        <v>1500</v>
      </c>
      <c r="AU246" s="1203">
        <f t="shared" si="126"/>
        <v>1500</v>
      </c>
      <c r="AV246" s="1205">
        <f t="shared" si="126"/>
        <v>1500</v>
      </c>
      <c r="AW246" s="1808">
        <v>1500</v>
      </c>
      <c r="AX246" s="1202">
        <f t="shared" ref="AX246:BA248" si="127">AY246</f>
        <v>1500</v>
      </c>
      <c r="AY246" s="1203">
        <f t="shared" si="127"/>
        <v>1500</v>
      </c>
      <c r="AZ246" s="1203">
        <f t="shared" si="127"/>
        <v>1500</v>
      </c>
      <c r="BA246" s="1205">
        <f t="shared" si="127"/>
        <v>1500</v>
      </c>
      <c r="BB246" s="1808">
        <v>1500</v>
      </c>
      <c r="BC246" s="1202">
        <f t="shared" ref="BC246:BF248" si="128">BD246</f>
        <v>1500</v>
      </c>
      <c r="BD246" s="1203">
        <f t="shared" si="128"/>
        <v>1500</v>
      </c>
      <c r="BE246" s="1203">
        <f t="shared" si="128"/>
        <v>1500</v>
      </c>
      <c r="BF246" s="1205">
        <f t="shared" si="128"/>
        <v>1500</v>
      </c>
      <c r="BG246" s="1808">
        <v>1500</v>
      </c>
      <c r="BH246" s="1202">
        <f t="shared" ref="BH246:BK248" si="129">BI246</f>
        <v>1500</v>
      </c>
      <c r="BI246" s="1203">
        <f t="shared" si="129"/>
        <v>1500</v>
      </c>
      <c r="BJ246" s="1203">
        <f t="shared" si="129"/>
        <v>1500</v>
      </c>
      <c r="BK246" s="1205">
        <f t="shared" si="129"/>
        <v>1500</v>
      </c>
      <c r="BL246" s="1808">
        <v>1500</v>
      </c>
      <c r="BM246" s="1202">
        <f t="shared" ref="BM246:BP248" si="130">BN246</f>
        <v>1500</v>
      </c>
      <c r="BN246" s="1203">
        <f t="shared" si="130"/>
        <v>1500</v>
      </c>
      <c r="BO246" s="1203">
        <f t="shared" si="130"/>
        <v>1500</v>
      </c>
      <c r="BP246" s="1205">
        <f t="shared" si="130"/>
        <v>1500</v>
      </c>
      <c r="BQ246" s="1808">
        <v>1500</v>
      </c>
      <c r="BT246" s="1813" t="s">
        <v>1247</v>
      </c>
      <c r="BW246" s="1484">
        <f t="shared" ref="BW246:CG246" si="131">BW244*BW245</f>
        <v>20</v>
      </c>
      <c r="BX246" s="1484">
        <f t="shared" si="131"/>
        <v>66.666666666666671</v>
      </c>
      <c r="BY246" s="1484">
        <f t="shared" si="131"/>
        <v>66.666666666666671</v>
      </c>
      <c r="BZ246" s="1484">
        <f t="shared" si="131"/>
        <v>66.666666666666671</v>
      </c>
      <c r="CA246" s="1484">
        <f t="shared" si="131"/>
        <v>57.777777777777786</v>
      </c>
      <c r="CB246" s="1484">
        <f t="shared" si="131"/>
        <v>0</v>
      </c>
      <c r="CC246" s="1484">
        <f t="shared" si="131"/>
        <v>0</v>
      </c>
      <c r="CD246" s="1484">
        <f t="shared" si="131"/>
        <v>0</v>
      </c>
      <c r="CE246" s="1484">
        <f t="shared" si="131"/>
        <v>0</v>
      </c>
      <c r="CF246" s="1484">
        <f t="shared" si="131"/>
        <v>0</v>
      </c>
      <c r="CG246" s="1484">
        <f t="shared" si="131"/>
        <v>0</v>
      </c>
      <c r="CH246" s="1484">
        <f t="shared" ref="CH246:CP246" si="132">CH244*CH245</f>
        <v>0</v>
      </c>
      <c r="CI246" s="1484">
        <f t="shared" si="132"/>
        <v>0</v>
      </c>
      <c r="CJ246" s="1484">
        <f t="shared" si="132"/>
        <v>0</v>
      </c>
      <c r="CK246" s="1484">
        <f t="shared" si="132"/>
        <v>0</v>
      </c>
      <c r="CL246" s="1484">
        <f t="shared" si="132"/>
        <v>0</v>
      </c>
      <c r="CM246" s="1484">
        <f t="shared" si="132"/>
        <v>0</v>
      </c>
      <c r="CN246" s="1484">
        <f t="shared" si="132"/>
        <v>0</v>
      </c>
      <c r="CO246" s="1484">
        <f t="shared" si="132"/>
        <v>0</v>
      </c>
      <c r="CP246" s="1484">
        <f t="shared" si="132"/>
        <v>0</v>
      </c>
    </row>
    <row r="247" spans="3:94" s="50" customFormat="1">
      <c r="C247" s="1440" t="s">
        <v>1225</v>
      </c>
      <c r="E247" s="225"/>
      <c r="F247" s="226"/>
      <c r="G247" s="226"/>
      <c r="H247" s="227"/>
      <c r="I247" s="228"/>
      <c r="J247" s="225"/>
      <c r="K247" s="226"/>
      <c r="L247" s="226"/>
      <c r="M247" s="227"/>
      <c r="N247" s="228"/>
      <c r="O247" s="149"/>
      <c r="P247" s="156"/>
      <c r="Q247" s="156"/>
      <c r="R247" s="151"/>
      <c r="S247" s="112"/>
      <c r="T247" s="149"/>
      <c r="U247" s="156"/>
      <c r="V247" s="156"/>
      <c r="W247" s="151"/>
      <c r="X247" s="112"/>
      <c r="Y247" s="149"/>
      <c r="Z247" s="156"/>
      <c r="AA247" s="156"/>
      <c r="AB247" s="151"/>
      <c r="AC247" s="112"/>
      <c r="AD247" s="149"/>
      <c r="AE247" s="156"/>
      <c r="AF247" s="156"/>
      <c r="AG247" s="151"/>
      <c r="AH247" s="112"/>
      <c r="AI247" s="149"/>
      <c r="AJ247" s="156"/>
      <c r="AK247" s="156"/>
      <c r="AL247" s="151"/>
      <c r="AM247" s="1808">
        <v>2000</v>
      </c>
      <c r="AN247" s="1202">
        <f t="shared" si="125"/>
        <v>2000</v>
      </c>
      <c r="AO247" s="1203">
        <f t="shared" si="125"/>
        <v>2000</v>
      </c>
      <c r="AP247" s="1203">
        <f t="shared" si="125"/>
        <v>2000</v>
      </c>
      <c r="AQ247" s="1205">
        <f t="shared" si="125"/>
        <v>2000</v>
      </c>
      <c r="AR247" s="1808">
        <v>2000</v>
      </c>
      <c r="AS247" s="1202">
        <f t="shared" si="126"/>
        <v>2000</v>
      </c>
      <c r="AT247" s="1203">
        <f t="shared" si="126"/>
        <v>2000</v>
      </c>
      <c r="AU247" s="1203">
        <f t="shared" si="126"/>
        <v>2000</v>
      </c>
      <c r="AV247" s="1205">
        <f t="shared" si="126"/>
        <v>2000</v>
      </c>
      <c r="AW247" s="1808">
        <v>2000</v>
      </c>
      <c r="AX247" s="1202">
        <f t="shared" si="127"/>
        <v>2000</v>
      </c>
      <c r="AY247" s="1203">
        <f t="shared" si="127"/>
        <v>2000</v>
      </c>
      <c r="AZ247" s="1203">
        <f t="shared" si="127"/>
        <v>2000</v>
      </c>
      <c r="BA247" s="1205">
        <f t="shared" si="127"/>
        <v>2000</v>
      </c>
      <c r="BB247" s="1808">
        <v>2000</v>
      </c>
      <c r="BC247" s="1202">
        <f t="shared" si="128"/>
        <v>2000</v>
      </c>
      <c r="BD247" s="1203">
        <f t="shared" si="128"/>
        <v>2000</v>
      </c>
      <c r="BE247" s="1203">
        <f t="shared" si="128"/>
        <v>2000</v>
      </c>
      <c r="BF247" s="1205">
        <f t="shared" si="128"/>
        <v>2000</v>
      </c>
      <c r="BG247" s="1808">
        <v>2000</v>
      </c>
      <c r="BH247" s="1202">
        <f t="shared" si="129"/>
        <v>2000</v>
      </c>
      <c r="BI247" s="1203">
        <f t="shared" si="129"/>
        <v>2000</v>
      </c>
      <c r="BJ247" s="1203">
        <f t="shared" si="129"/>
        <v>2000</v>
      </c>
      <c r="BK247" s="1205">
        <f t="shared" si="129"/>
        <v>2000</v>
      </c>
      <c r="BL247" s="1808">
        <v>2000</v>
      </c>
      <c r="BM247" s="1202">
        <f t="shared" si="130"/>
        <v>2000</v>
      </c>
      <c r="BN247" s="1203">
        <f t="shared" si="130"/>
        <v>2000</v>
      </c>
      <c r="BO247" s="1203">
        <f t="shared" si="130"/>
        <v>2000</v>
      </c>
      <c r="BP247" s="1205">
        <f t="shared" si="130"/>
        <v>2000</v>
      </c>
      <c r="BQ247" s="1808">
        <v>2000</v>
      </c>
      <c r="BT247" s="1810" t="s">
        <v>1238</v>
      </c>
      <c r="BW247" s="72">
        <f>(BW246*0.5*0.4/20)</f>
        <v>0.2</v>
      </c>
      <c r="BX247" s="72">
        <f t="shared" ref="BX247:CP247" si="133">(BX246*0.5*0.4/20)</f>
        <v>0.66666666666666674</v>
      </c>
      <c r="BY247" s="72">
        <f t="shared" si="133"/>
        <v>0.66666666666666674</v>
      </c>
      <c r="BZ247" s="72">
        <f t="shared" si="133"/>
        <v>0.66666666666666674</v>
      </c>
      <c r="CA247" s="72">
        <f t="shared" si="133"/>
        <v>0.57777777777777783</v>
      </c>
      <c r="CB247" s="72">
        <f t="shared" si="133"/>
        <v>0</v>
      </c>
      <c r="CC247" s="72">
        <f t="shared" si="133"/>
        <v>0</v>
      </c>
      <c r="CD247" s="72">
        <f t="shared" si="133"/>
        <v>0</v>
      </c>
      <c r="CE247" s="72">
        <f t="shared" si="133"/>
        <v>0</v>
      </c>
      <c r="CF247" s="72">
        <f t="shared" si="133"/>
        <v>0</v>
      </c>
      <c r="CG247" s="72">
        <f t="shared" si="133"/>
        <v>0</v>
      </c>
      <c r="CH247" s="72">
        <f t="shared" si="133"/>
        <v>0</v>
      </c>
      <c r="CI247" s="72">
        <f t="shared" si="133"/>
        <v>0</v>
      </c>
      <c r="CJ247" s="72">
        <f t="shared" si="133"/>
        <v>0</v>
      </c>
      <c r="CK247" s="72">
        <f t="shared" si="133"/>
        <v>0</v>
      </c>
      <c r="CL247" s="72">
        <f t="shared" si="133"/>
        <v>0</v>
      </c>
      <c r="CM247" s="72">
        <f t="shared" si="133"/>
        <v>0</v>
      </c>
      <c r="CN247" s="72">
        <f t="shared" si="133"/>
        <v>0</v>
      </c>
      <c r="CO247" s="72">
        <f t="shared" si="133"/>
        <v>0</v>
      </c>
      <c r="CP247" s="72">
        <f t="shared" si="133"/>
        <v>0</v>
      </c>
    </row>
    <row r="248" spans="3:94" s="50" customFormat="1">
      <c r="C248" s="1440" t="s">
        <v>1226</v>
      </c>
      <c r="E248" s="225"/>
      <c r="F248" s="226"/>
      <c r="G248" s="226"/>
      <c r="H248" s="227"/>
      <c r="I248" s="228"/>
      <c r="J248" s="225"/>
      <c r="K248" s="226"/>
      <c r="L248" s="226"/>
      <c r="M248" s="227"/>
      <c r="N248" s="228"/>
      <c r="O248" s="149"/>
      <c r="P248" s="156"/>
      <c r="Q248" s="156"/>
      <c r="R248" s="151"/>
      <c r="S248" s="112"/>
      <c r="T248" s="149"/>
      <c r="U248" s="156"/>
      <c r="V248" s="156"/>
      <c r="W248" s="151"/>
      <c r="X248" s="112"/>
      <c r="Y248" s="149"/>
      <c r="Z248" s="156"/>
      <c r="AA248" s="156"/>
      <c r="AB248" s="151"/>
      <c r="AC248" s="112"/>
      <c r="AD248" s="149"/>
      <c r="AE248" s="156"/>
      <c r="AF248" s="156"/>
      <c r="AG248" s="151"/>
      <c r="AH248" s="112"/>
      <c r="AI248" s="149"/>
      <c r="AJ248" s="156"/>
      <c r="AK248" s="156"/>
      <c r="AL248" s="151"/>
      <c r="AM248" s="1808">
        <v>3000</v>
      </c>
      <c r="AN248" s="1202">
        <f t="shared" si="125"/>
        <v>3000</v>
      </c>
      <c r="AO248" s="1203">
        <f t="shared" si="125"/>
        <v>3000</v>
      </c>
      <c r="AP248" s="1203">
        <f t="shared" si="125"/>
        <v>3000</v>
      </c>
      <c r="AQ248" s="1205">
        <f t="shared" si="125"/>
        <v>3000</v>
      </c>
      <c r="AR248" s="1808">
        <v>3000</v>
      </c>
      <c r="AS248" s="1202">
        <f t="shared" si="126"/>
        <v>3000</v>
      </c>
      <c r="AT248" s="1203">
        <f t="shared" si="126"/>
        <v>3000</v>
      </c>
      <c r="AU248" s="1203">
        <f t="shared" si="126"/>
        <v>3000</v>
      </c>
      <c r="AV248" s="1205">
        <f t="shared" si="126"/>
        <v>3000</v>
      </c>
      <c r="AW248" s="1808">
        <v>3000</v>
      </c>
      <c r="AX248" s="1202">
        <f t="shared" si="127"/>
        <v>3000</v>
      </c>
      <c r="AY248" s="1203">
        <f t="shared" si="127"/>
        <v>3000</v>
      </c>
      <c r="AZ248" s="1203">
        <f t="shared" si="127"/>
        <v>3000</v>
      </c>
      <c r="BA248" s="1205">
        <f t="shared" si="127"/>
        <v>3000</v>
      </c>
      <c r="BB248" s="1808">
        <v>3000</v>
      </c>
      <c r="BC248" s="1202">
        <f t="shared" si="128"/>
        <v>3000</v>
      </c>
      <c r="BD248" s="1203">
        <f t="shared" si="128"/>
        <v>3000</v>
      </c>
      <c r="BE248" s="1203">
        <f t="shared" si="128"/>
        <v>3000</v>
      </c>
      <c r="BF248" s="1205">
        <f t="shared" si="128"/>
        <v>3000</v>
      </c>
      <c r="BG248" s="1808">
        <v>3000</v>
      </c>
      <c r="BH248" s="1202">
        <f t="shared" si="129"/>
        <v>3000</v>
      </c>
      <c r="BI248" s="1203">
        <f t="shared" si="129"/>
        <v>3000</v>
      </c>
      <c r="BJ248" s="1203">
        <f t="shared" si="129"/>
        <v>3000</v>
      </c>
      <c r="BK248" s="1205">
        <f t="shared" si="129"/>
        <v>3000</v>
      </c>
      <c r="BL248" s="1808">
        <v>3000</v>
      </c>
      <c r="BM248" s="1202">
        <f t="shared" si="130"/>
        <v>3000</v>
      </c>
      <c r="BN248" s="1203">
        <f t="shared" si="130"/>
        <v>3000</v>
      </c>
      <c r="BO248" s="1203">
        <f t="shared" si="130"/>
        <v>3000</v>
      </c>
      <c r="BP248" s="1205">
        <f t="shared" si="130"/>
        <v>3000</v>
      </c>
      <c r="BQ248" s="1808">
        <v>3000</v>
      </c>
      <c r="BT248" s="1810" t="s">
        <v>1239</v>
      </c>
      <c r="BW248" s="1826">
        <v>0</v>
      </c>
      <c r="BX248" s="1826">
        <v>0</v>
      </c>
      <c r="BY248" s="1826">
        <v>0</v>
      </c>
      <c r="BZ248" s="1826">
        <v>0</v>
      </c>
      <c r="CA248" s="1826">
        <v>0</v>
      </c>
      <c r="CB248" s="1826">
        <v>0</v>
      </c>
      <c r="CC248" s="1826">
        <v>0</v>
      </c>
      <c r="CD248" s="1826">
        <v>0</v>
      </c>
      <c r="CE248" s="1826">
        <v>0</v>
      </c>
      <c r="CF248" s="1826">
        <v>0</v>
      </c>
      <c r="CG248" s="1826">
        <v>0</v>
      </c>
      <c r="CH248" s="1826">
        <v>0</v>
      </c>
      <c r="CI248" s="1826">
        <v>0</v>
      </c>
      <c r="CJ248" s="1826">
        <v>0</v>
      </c>
      <c r="CK248" s="1826">
        <v>0</v>
      </c>
      <c r="CL248" s="1826">
        <v>0</v>
      </c>
      <c r="CM248" s="1826">
        <v>0</v>
      </c>
      <c r="CN248" s="1826">
        <v>0</v>
      </c>
      <c r="CO248" s="1826">
        <v>0</v>
      </c>
      <c r="CP248" s="1826">
        <v>0</v>
      </c>
    </row>
    <row r="249" spans="3:94" s="50" customFormat="1">
      <c r="C249" s="515"/>
      <c r="E249" s="225"/>
      <c r="F249" s="226"/>
      <c r="G249" s="226"/>
      <c r="H249" s="227"/>
      <c r="I249" s="228"/>
      <c r="J249" s="225"/>
      <c r="K249" s="226"/>
      <c r="L249" s="226"/>
      <c r="M249" s="227"/>
      <c r="N249" s="228"/>
      <c r="O249" s="149"/>
      <c r="P249" s="156"/>
      <c r="Q249" s="156"/>
      <c r="R249" s="151"/>
      <c r="S249" s="112"/>
      <c r="T249" s="149"/>
      <c r="U249" s="156"/>
      <c r="V249" s="156"/>
      <c r="W249" s="151"/>
      <c r="X249" s="112"/>
      <c r="Y249" s="149"/>
      <c r="Z249" s="156"/>
      <c r="AA249" s="156"/>
      <c r="AB249" s="151"/>
      <c r="AC249" s="112"/>
      <c r="AD249" s="149"/>
      <c r="AE249" s="156"/>
      <c r="AF249" s="156"/>
      <c r="AG249" s="151"/>
      <c r="AH249" s="112"/>
      <c r="AI249" s="149"/>
      <c r="AJ249" s="156"/>
      <c r="AK249" s="156"/>
      <c r="AL249" s="151"/>
      <c r="AM249" s="112"/>
      <c r="AN249" s="149"/>
      <c r="AO249" s="156"/>
      <c r="AP249" s="156"/>
      <c r="AQ249" s="151"/>
      <c r="AR249" s="112"/>
      <c r="AS249" s="149"/>
      <c r="AT249" s="156"/>
      <c r="AU249" s="156"/>
      <c r="AV249" s="151"/>
      <c r="AW249" s="112"/>
      <c r="AX249" s="149"/>
      <c r="AY249" s="156"/>
      <c r="AZ249" s="156"/>
      <c r="BA249" s="151"/>
      <c r="BB249" s="112"/>
      <c r="BC249" s="149"/>
      <c r="BD249" s="156"/>
      <c r="BE249" s="156"/>
      <c r="BF249" s="151"/>
      <c r="BG249" s="112"/>
      <c r="BH249" s="149"/>
      <c r="BI249" s="156"/>
      <c r="BJ249" s="156"/>
      <c r="BK249" s="151"/>
      <c r="BL249" s="112"/>
      <c r="BM249" s="149"/>
      <c r="BN249" s="156"/>
      <c r="BO249" s="156"/>
      <c r="BP249" s="151"/>
      <c r="BQ249" s="112"/>
      <c r="BT249" s="1821" t="s">
        <v>1240</v>
      </c>
      <c r="BW249" s="1827">
        <f>BW247+BW248</f>
        <v>0.2</v>
      </c>
      <c r="BX249" s="1827">
        <f t="shared" ref="BX249:CP249" si="134">BW249+BX247+BX248</f>
        <v>0.8666666666666667</v>
      </c>
      <c r="BY249" s="1827">
        <f t="shared" si="134"/>
        <v>1.5333333333333334</v>
      </c>
      <c r="BZ249" s="1827">
        <f t="shared" si="134"/>
        <v>2.2000000000000002</v>
      </c>
      <c r="CA249" s="1827">
        <f t="shared" si="134"/>
        <v>2.7777777777777781</v>
      </c>
      <c r="CB249" s="1827">
        <f t="shared" si="134"/>
        <v>2.7777777777777781</v>
      </c>
      <c r="CC249" s="1827">
        <f t="shared" si="134"/>
        <v>2.7777777777777781</v>
      </c>
      <c r="CD249" s="1827">
        <f t="shared" si="134"/>
        <v>2.7777777777777781</v>
      </c>
      <c r="CE249" s="1827">
        <f t="shared" si="134"/>
        <v>2.7777777777777781</v>
      </c>
      <c r="CF249" s="1827">
        <f t="shared" si="134"/>
        <v>2.7777777777777781</v>
      </c>
      <c r="CG249" s="1827">
        <f t="shared" si="134"/>
        <v>2.7777777777777781</v>
      </c>
      <c r="CH249" s="1827">
        <f t="shared" si="134"/>
        <v>2.7777777777777781</v>
      </c>
      <c r="CI249" s="1827">
        <f t="shared" si="134"/>
        <v>2.7777777777777781</v>
      </c>
      <c r="CJ249" s="1827">
        <f t="shared" si="134"/>
        <v>2.7777777777777781</v>
      </c>
      <c r="CK249" s="1827">
        <f t="shared" si="134"/>
        <v>2.7777777777777781</v>
      </c>
      <c r="CL249" s="1827">
        <f t="shared" si="134"/>
        <v>2.7777777777777781</v>
      </c>
      <c r="CM249" s="1827">
        <f t="shared" si="134"/>
        <v>2.7777777777777781</v>
      </c>
      <c r="CN249" s="1827">
        <f t="shared" si="134"/>
        <v>2.7777777777777781</v>
      </c>
      <c r="CO249" s="1827">
        <f t="shared" si="134"/>
        <v>2.7777777777777781</v>
      </c>
      <c r="CP249" s="1827">
        <f t="shared" si="134"/>
        <v>2.7777777777777781</v>
      </c>
    </row>
    <row r="250" spans="3:94" s="50" customFormat="1">
      <c r="C250" s="515"/>
      <c r="E250" s="225"/>
      <c r="F250" s="226"/>
      <c r="G250" s="226"/>
      <c r="H250" s="227"/>
      <c r="I250" s="228"/>
      <c r="J250" s="225"/>
      <c r="K250" s="226"/>
      <c r="L250" s="226"/>
      <c r="M250" s="227"/>
      <c r="N250" s="228"/>
      <c r="O250" s="149"/>
      <c r="P250" s="156"/>
      <c r="Q250" s="156"/>
      <c r="R250" s="151"/>
      <c r="S250" s="112"/>
      <c r="T250" s="149"/>
      <c r="U250" s="156"/>
      <c r="V250" s="156"/>
      <c r="W250" s="151"/>
      <c r="X250" s="112"/>
      <c r="Y250" s="149"/>
      <c r="Z250" s="156"/>
      <c r="AA250" s="156"/>
      <c r="AB250" s="151"/>
      <c r="AC250" s="112"/>
      <c r="AD250" s="149"/>
      <c r="AE250" s="156"/>
      <c r="AF250" s="156"/>
      <c r="AG250" s="151"/>
      <c r="AH250" s="112"/>
      <c r="AI250" s="149"/>
      <c r="AJ250" s="156"/>
      <c r="AK250" s="156"/>
      <c r="AL250" s="151"/>
      <c r="AM250" s="112"/>
      <c r="AN250" s="149"/>
      <c r="AO250" s="156"/>
      <c r="AP250" s="156"/>
      <c r="AQ250" s="151"/>
      <c r="AR250" s="112"/>
      <c r="AS250" s="149"/>
      <c r="AT250" s="156"/>
      <c r="AU250" s="156"/>
      <c r="AV250" s="151"/>
      <c r="AW250" s="112"/>
      <c r="AX250" s="149"/>
      <c r="AY250" s="156"/>
      <c r="AZ250" s="156"/>
      <c r="BA250" s="151"/>
      <c r="BB250" s="112"/>
      <c r="BC250" s="149"/>
      <c r="BD250" s="156"/>
      <c r="BE250" s="156"/>
      <c r="BF250" s="151"/>
      <c r="BG250" s="112"/>
      <c r="BH250" s="149"/>
      <c r="BI250" s="156"/>
      <c r="BJ250" s="156"/>
      <c r="BK250" s="151"/>
      <c r="BL250" s="112"/>
      <c r="BM250" s="149"/>
      <c r="BN250" s="156"/>
      <c r="BO250" s="156"/>
      <c r="BP250" s="151"/>
      <c r="BQ250" s="112"/>
    </row>
    <row r="251" spans="3:94" s="50" customFormat="1">
      <c r="C251" s="1809" t="s">
        <v>1227</v>
      </c>
      <c r="D251" s="1810"/>
      <c r="E251" s="1723"/>
      <c r="F251" s="1811"/>
      <c r="G251" s="1811"/>
      <c r="H251" s="1725"/>
      <c r="I251" s="1812"/>
      <c r="J251" s="1723"/>
      <c r="K251" s="1811"/>
      <c r="L251" s="1811"/>
      <c r="M251" s="1725"/>
      <c r="N251" s="1812"/>
      <c r="O251" s="1723"/>
      <c r="P251" s="1811"/>
      <c r="Q251" s="1811"/>
      <c r="R251" s="1725"/>
      <c r="S251" s="1812"/>
      <c r="T251" s="1723"/>
      <c r="U251" s="1811"/>
      <c r="V251" s="1811"/>
      <c r="W251" s="1725"/>
      <c r="X251" s="1812"/>
      <c r="Y251" s="1723"/>
      <c r="Z251" s="1811"/>
      <c r="AA251" s="1811"/>
      <c r="AB251" s="1725"/>
      <c r="AC251" s="1812"/>
      <c r="AD251" s="1723"/>
      <c r="AE251" s="1811"/>
      <c r="AF251" s="1811"/>
      <c r="AG251" s="1725"/>
      <c r="AH251" s="1812"/>
      <c r="AI251" s="1723"/>
      <c r="AJ251" s="1811"/>
      <c r="AK251" s="1811"/>
      <c r="AL251" s="1725"/>
      <c r="AM251" s="1812"/>
      <c r="AN251" s="1723"/>
      <c r="AO251" s="1811"/>
      <c r="AP251" s="1811"/>
      <c r="AQ251" s="1725"/>
      <c r="AR251" s="1812"/>
      <c r="AS251" s="1723"/>
      <c r="AT251" s="1811"/>
      <c r="AU251" s="1811"/>
      <c r="AV251" s="1725"/>
      <c r="AW251" s="1812"/>
      <c r="AX251" s="1723"/>
      <c r="AY251" s="1811"/>
      <c r="AZ251" s="1811"/>
      <c r="BA251" s="1725"/>
      <c r="BB251" s="1812"/>
      <c r="BC251" s="1723"/>
      <c r="BD251" s="1811"/>
      <c r="BE251" s="1811"/>
      <c r="BF251" s="1725"/>
      <c r="BG251" s="1812"/>
      <c r="BH251" s="1723"/>
      <c r="BI251" s="1811"/>
      <c r="BJ251" s="1811"/>
      <c r="BK251" s="1725"/>
      <c r="BL251" s="1812"/>
      <c r="BM251" s="1723"/>
      <c r="BN251" s="1811"/>
      <c r="BO251" s="1811"/>
      <c r="BP251" s="1725"/>
      <c r="BQ251" s="1812"/>
      <c r="BT251" t="s">
        <v>1273</v>
      </c>
      <c r="BU251"/>
      <c r="BV251"/>
      <c r="BW251" s="1787">
        <f>NPV(Valuation!$DN$44,'Generation &amp; Marketing'!BW246:$CP$246)</f>
        <v>223.31246659443542</v>
      </c>
      <c r="BX251" s="1787">
        <f>NPV(Valuation!$DN$44,'Generation &amp; Marketing'!BX246:$CP$246)</f>
        <v>218.97225331437016</v>
      </c>
      <c r="BY251" s="1787">
        <f>NPV(Valuation!$DN$44,'Generation &amp; Marketing'!BY246:$CP$246)</f>
        <v>167.66101591137371</v>
      </c>
      <c r="BZ251" s="1787">
        <f>NPV(Valuation!$DN$44,'Generation &amp; Marketing'!BZ246:$CP$246)</f>
        <v>112.75157798549212</v>
      </c>
      <c r="CA251" s="1787">
        <f>NPV(Valuation!$DN$44,'Generation &amp; Marketing'!CA246:$CP$246)</f>
        <v>53.991615725058089</v>
      </c>
      <c r="CB251" s="1787">
        <f>NPV(Valuation!$DN$44,'Generation &amp; Marketing'!CB246:$CP$246)</f>
        <v>0</v>
      </c>
      <c r="CC251" s="1787">
        <f>NPV(Valuation!$DN$44,'Generation &amp; Marketing'!CC246:$CP$246)</f>
        <v>0</v>
      </c>
      <c r="CD251" s="1787">
        <f>NPV(Valuation!$DN$44,'Generation &amp; Marketing'!CD246:$CP$246)</f>
        <v>0</v>
      </c>
      <c r="CE251" s="1787">
        <f>NPV(Valuation!$DN$44,'Generation &amp; Marketing'!CE246:$CP$246)</f>
        <v>0</v>
      </c>
      <c r="CF251" s="1787">
        <f>NPV(Valuation!$DN$44,'Generation &amp; Marketing'!CF246:$CP$246)</f>
        <v>0</v>
      </c>
      <c r="CG251" s="1787">
        <f>NPV(Valuation!$DN$44,'Generation &amp; Marketing'!CG246:$CP$246)</f>
        <v>0</v>
      </c>
      <c r="CH251" s="1787">
        <f>NPV(Valuation!$DN$44,'Generation &amp; Marketing'!CH246:$CP$246)</f>
        <v>0</v>
      </c>
      <c r="CI251" s="1787">
        <f>NPV(Valuation!$DN$44,'Generation &amp; Marketing'!CI246:$CP$246)</f>
        <v>0</v>
      </c>
      <c r="CJ251" s="1787">
        <f>NPV(Valuation!$DN$44,'Generation &amp; Marketing'!CJ246:$CP$246)</f>
        <v>0</v>
      </c>
      <c r="CK251" s="1787">
        <f>NPV(Valuation!$DN$44,'Generation &amp; Marketing'!CK246:$CP$246)</f>
        <v>0</v>
      </c>
      <c r="CL251" s="1787">
        <f>NPV(Valuation!$DN$44,'Generation &amp; Marketing'!CL246:$CP$246)</f>
        <v>0</v>
      </c>
      <c r="CM251" s="1787">
        <f>NPV(Valuation!$DN$44,'Generation &amp; Marketing'!CM246:$CP$246)</f>
        <v>0</v>
      </c>
      <c r="CN251" s="1787">
        <f>NPV(Valuation!$DN$44,'Generation &amp; Marketing'!CN246:$CP$246)</f>
        <v>0</v>
      </c>
      <c r="CO251" s="1787">
        <f>NPV(Valuation!$DN$44,'Generation &amp; Marketing'!CO246:$CP$246)</f>
        <v>0</v>
      </c>
      <c r="CP251" s="1787">
        <f>NPV(Valuation!$DN$44,'Generation &amp; Marketing'!CP246:$CP$246)</f>
        <v>0</v>
      </c>
    </row>
    <row r="252" spans="3:94" s="50" customFormat="1">
      <c r="C252" s="1813" t="s">
        <v>1228</v>
      </c>
      <c r="D252" s="1813"/>
      <c r="E252" s="1469"/>
      <c r="F252" s="1814"/>
      <c r="G252" s="1814"/>
      <c r="H252" s="1471"/>
      <c r="I252" s="1815"/>
      <c r="J252" s="1469"/>
      <c r="K252" s="1814"/>
      <c r="L252" s="1814"/>
      <c r="M252" s="1471"/>
      <c r="N252" s="1816"/>
      <c r="O252" s="1476"/>
      <c r="P252" s="1571"/>
      <c r="Q252" s="1571"/>
      <c r="R252" s="1475"/>
      <c r="S252" s="1639"/>
      <c r="T252" s="1476"/>
      <c r="U252" s="1571"/>
      <c r="V252" s="1571"/>
      <c r="W252" s="1475"/>
      <c r="X252" s="1816"/>
      <c r="Y252" s="1476"/>
      <c r="Z252" s="1571"/>
      <c r="AA252" s="1571"/>
      <c r="AB252" s="1475"/>
      <c r="AC252" s="1817"/>
      <c r="AD252" s="1476"/>
      <c r="AE252" s="1571"/>
      <c r="AF252" s="1571"/>
      <c r="AG252" s="1475"/>
      <c r="AH252" s="1817"/>
      <c r="AI252" s="1476"/>
      <c r="AJ252" s="1571"/>
      <c r="AK252" s="1571"/>
      <c r="AL252" s="1475"/>
      <c r="AM252" s="1816">
        <v>35</v>
      </c>
      <c r="AN252" s="1476">
        <f>AO252</f>
        <v>35.35</v>
      </c>
      <c r="AO252" s="1571">
        <f>AP252</f>
        <v>35.35</v>
      </c>
      <c r="AP252" s="1571">
        <f>AQ252</f>
        <v>35.35</v>
      </c>
      <c r="AQ252" s="1475">
        <f>AR252</f>
        <v>35.35</v>
      </c>
      <c r="AR252" s="1817">
        <f>+AM252*1.01</f>
        <v>35.35</v>
      </c>
      <c r="AS252" s="1476">
        <f>AT252</f>
        <v>35.703499999999998</v>
      </c>
      <c r="AT252" s="1571">
        <f>AU252</f>
        <v>35.703499999999998</v>
      </c>
      <c r="AU252" s="1571">
        <f>AV252</f>
        <v>35.703499999999998</v>
      </c>
      <c r="AV252" s="1475">
        <f>AW252</f>
        <v>35.703499999999998</v>
      </c>
      <c r="AW252" s="1817">
        <f>+AR252*1.01</f>
        <v>35.703499999999998</v>
      </c>
      <c r="AX252" s="1476">
        <f>AY252</f>
        <v>36.060535000000002</v>
      </c>
      <c r="AY252" s="1571">
        <f>AZ252</f>
        <v>36.060535000000002</v>
      </c>
      <c r="AZ252" s="1571">
        <f>BA252</f>
        <v>36.060535000000002</v>
      </c>
      <c r="BA252" s="1475">
        <f>BB252</f>
        <v>36.060535000000002</v>
      </c>
      <c r="BB252" s="1817">
        <f>+AW252*1.01</f>
        <v>36.060535000000002</v>
      </c>
      <c r="BC252" s="1476">
        <f>BD252</f>
        <v>36.421140350000002</v>
      </c>
      <c r="BD252" s="1571">
        <f>BE252</f>
        <v>36.421140350000002</v>
      </c>
      <c r="BE252" s="1571">
        <f>BF252</f>
        <v>36.421140350000002</v>
      </c>
      <c r="BF252" s="1475">
        <f>BG252</f>
        <v>36.421140350000002</v>
      </c>
      <c r="BG252" s="1817">
        <f>+BB252*1.01</f>
        <v>36.421140350000002</v>
      </c>
      <c r="BH252" s="1476">
        <f>BI252</f>
        <v>36.785351753500002</v>
      </c>
      <c r="BI252" s="1571">
        <f>BJ252</f>
        <v>36.785351753500002</v>
      </c>
      <c r="BJ252" s="1571">
        <f>BK252</f>
        <v>36.785351753500002</v>
      </c>
      <c r="BK252" s="1475">
        <f>BL252</f>
        <v>36.785351753500002</v>
      </c>
      <c r="BL252" s="1817">
        <f>+BG252*1.01</f>
        <v>36.785351753500002</v>
      </c>
      <c r="BM252" s="1476">
        <f>BN252</f>
        <v>37.153205271035006</v>
      </c>
      <c r="BN252" s="1571">
        <f>BO252</f>
        <v>37.153205271035006</v>
      </c>
      <c r="BO252" s="1571">
        <f>BP252</f>
        <v>37.153205271035006</v>
      </c>
      <c r="BP252" s="1475">
        <f>BQ252</f>
        <v>37.153205271035006</v>
      </c>
      <c r="BQ252" s="1817">
        <f>+BL252*1.01</f>
        <v>37.153205271035006</v>
      </c>
    </row>
    <row r="253" spans="3:94" s="50" customFormat="1">
      <c r="C253" s="1813" t="s">
        <v>1157</v>
      </c>
      <c r="D253" s="1813"/>
      <c r="E253" s="1469"/>
      <c r="F253" s="1814"/>
      <c r="G253" s="1814"/>
      <c r="H253" s="1471"/>
      <c r="I253" s="1815"/>
      <c r="J253" s="1469"/>
      <c r="K253" s="1814"/>
      <c r="L253" s="1814"/>
      <c r="M253" s="1471"/>
      <c r="N253" s="1815"/>
      <c r="O253" s="1485"/>
      <c r="P253" s="1488"/>
      <c r="Q253" s="1488"/>
      <c r="R253" s="1487"/>
      <c r="S253" s="1639"/>
      <c r="T253" s="1485"/>
      <c r="U253" s="1488"/>
      <c r="V253" s="1488"/>
      <c r="W253" s="1487"/>
      <c r="X253" s="1639"/>
      <c r="Y253" s="1485"/>
      <c r="Z253" s="1488"/>
      <c r="AA253" s="1488"/>
      <c r="AB253" s="1487"/>
      <c r="AC253" s="1639"/>
      <c r="AD253" s="1485"/>
      <c r="AE253" s="1488"/>
      <c r="AF253" s="1488"/>
      <c r="AG253" s="1487"/>
      <c r="AH253" s="1484"/>
      <c r="AI253" s="1485"/>
      <c r="AJ253" s="1488"/>
      <c r="AK253" s="1488"/>
      <c r="AL253" s="1487"/>
      <c r="AM253" s="1639">
        <v>0</v>
      </c>
      <c r="AN253" s="1485">
        <v>0</v>
      </c>
      <c r="AO253" s="1488">
        <f>+AN253+AR254/3</f>
        <v>7.4074074074074057</v>
      </c>
      <c r="AP253" s="1488">
        <f>+AO253+AR254/3</f>
        <v>14.814814814814811</v>
      </c>
      <c r="AQ253" s="1487">
        <f>+AP253+AR254/3</f>
        <v>22.222222222222218</v>
      </c>
      <c r="AR253" s="1484">
        <f>+AM253+AR254</f>
        <v>22.222222222222218</v>
      </c>
      <c r="AS253" s="1485">
        <f>AR253</f>
        <v>22.222222222222218</v>
      </c>
      <c r="AT253" s="1488">
        <f>+AS253+AW254/3</f>
        <v>46.913580246913575</v>
      </c>
      <c r="AU253" s="1488">
        <f>+AT253+AW254/3</f>
        <v>71.604938271604937</v>
      </c>
      <c r="AV253" s="1487">
        <f>+AU253+AW254/3</f>
        <v>96.296296296296291</v>
      </c>
      <c r="AW253" s="1484">
        <f>+AR253+AW254</f>
        <v>96.296296296296291</v>
      </c>
      <c r="AX253" s="1485">
        <f>AW253</f>
        <v>96.296296296296291</v>
      </c>
      <c r="AY253" s="1488">
        <f>+AX253+BB254/3</f>
        <v>120.98765432098764</v>
      </c>
      <c r="AZ253" s="1488">
        <f>+AY253+BB254/3</f>
        <v>145.67901234567901</v>
      </c>
      <c r="BA253" s="1487">
        <f>+AZ253+BB254/3</f>
        <v>170.37037037037038</v>
      </c>
      <c r="BB253" s="1484">
        <f>+AW253+BB254</f>
        <v>170.37037037037038</v>
      </c>
      <c r="BC253" s="1485">
        <f>BB253</f>
        <v>170.37037037037038</v>
      </c>
      <c r="BD253" s="1488">
        <f>+BC253+BG254/3</f>
        <v>195.06172839506175</v>
      </c>
      <c r="BE253" s="1488">
        <f>+BD253+BG254/3</f>
        <v>219.75308641975312</v>
      </c>
      <c r="BF253" s="1487">
        <f>+BE253+BG254/3</f>
        <v>244.44444444444449</v>
      </c>
      <c r="BG253" s="1484">
        <f>+BB253+BG254</f>
        <v>244.44444444444446</v>
      </c>
      <c r="BH253" s="1485">
        <f>BG253</f>
        <v>244.44444444444446</v>
      </c>
      <c r="BI253" s="1488">
        <f>+BH253+BL254/3</f>
        <v>269.1358024691358</v>
      </c>
      <c r="BJ253" s="1488">
        <f>+BI253+BL254/3</f>
        <v>293.82716049382714</v>
      </c>
      <c r="BK253" s="1487">
        <f>+BJ253+BL254/3</f>
        <v>318.51851851851848</v>
      </c>
      <c r="BL253" s="1484">
        <f>+BG253+BL254</f>
        <v>318.51851851851853</v>
      </c>
      <c r="BM253" s="1485">
        <f>BL253</f>
        <v>318.51851851851853</v>
      </c>
      <c r="BN253" s="1488">
        <f>+BM253+BQ254/3</f>
        <v>318.51851851851853</v>
      </c>
      <c r="BO253" s="1488">
        <f>+BN253+BQ254/3</f>
        <v>318.51851851851853</v>
      </c>
      <c r="BP253" s="1487">
        <f>+BO253+BQ254/3</f>
        <v>318.51851851851853</v>
      </c>
      <c r="BQ253" s="1484">
        <f>+BL253+BQ254</f>
        <v>318.51851851851853</v>
      </c>
      <c r="BT253" s="1823" t="s">
        <v>1241</v>
      </c>
      <c r="BU253" s="80" t="s">
        <v>530</v>
      </c>
      <c r="BW253" s="1821">
        <v>2016</v>
      </c>
      <c r="BX253" s="1821">
        <v>2017</v>
      </c>
      <c r="BY253" s="1821">
        <v>2018</v>
      </c>
      <c r="BZ253" s="1821">
        <v>2019</v>
      </c>
      <c r="CA253" s="1821">
        <v>2020</v>
      </c>
      <c r="CB253" s="1640">
        <f>CA253+1</f>
        <v>2021</v>
      </c>
      <c r="CC253" s="1640">
        <f>CB253+1</f>
        <v>2022</v>
      </c>
      <c r="CD253" s="1640">
        <f>CC253+1</f>
        <v>2023</v>
      </c>
      <c r="CE253" s="1640">
        <f>CD253+1</f>
        <v>2024</v>
      </c>
      <c r="CF253" s="1640">
        <f>CE253+1</f>
        <v>2025</v>
      </c>
      <c r="CG253" s="1640">
        <f t="shared" ref="CG253:CP253" si="135">CF253+1</f>
        <v>2026</v>
      </c>
      <c r="CH253" s="1640">
        <f t="shared" si="135"/>
        <v>2027</v>
      </c>
      <c r="CI253" s="1640">
        <f t="shared" si="135"/>
        <v>2028</v>
      </c>
      <c r="CJ253" s="1640">
        <f t="shared" si="135"/>
        <v>2029</v>
      </c>
      <c r="CK253" s="1640">
        <f t="shared" si="135"/>
        <v>2030</v>
      </c>
      <c r="CL253" s="1640">
        <f t="shared" si="135"/>
        <v>2031</v>
      </c>
      <c r="CM253" s="1640">
        <f t="shared" si="135"/>
        <v>2032</v>
      </c>
      <c r="CN253" s="1640">
        <f t="shared" si="135"/>
        <v>2033</v>
      </c>
      <c r="CO253" s="1640">
        <f t="shared" si="135"/>
        <v>2034</v>
      </c>
      <c r="CP253" s="1640">
        <f t="shared" si="135"/>
        <v>2035</v>
      </c>
    </row>
    <row r="254" spans="3:94" s="50" customFormat="1">
      <c r="C254" s="1813" t="s">
        <v>1229</v>
      </c>
      <c r="D254" s="1813"/>
      <c r="E254" s="1469"/>
      <c r="F254" s="1814"/>
      <c r="G254" s="1814"/>
      <c r="H254" s="1471"/>
      <c r="I254" s="1815"/>
      <c r="J254" s="1469"/>
      <c r="K254" s="1814"/>
      <c r="L254" s="1814"/>
      <c r="M254" s="1471"/>
      <c r="N254" s="1815"/>
      <c r="O254" s="1469"/>
      <c r="P254" s="1814"/>
      <c r="Q254" s="1814"/>
      <c r="R254" s="1471"/>
      <c r="S254" s="1639"/>
      <c r="T254" s="1469"/>
      <c r="U254" s="1814"/>
      <c r="V254" s="1814"/>
      <c r="W254" s="1471"/>
      <c r="X254" s="1639"/>
      <c r="Y254" s="1469"/>
      <c r="Z254" s="1814"/>
      <c r="AA254" s="1814"/>
      <c r="AB254" s="1471"/>
      <c r="AC254" s="1639"/>
      <c r="AD254" s="1469"/>
      <c r="AE254" s="1814"/>
      <c r="AF254" s="1814"/>
      <c r="AG254" s="1471"/>
      <c r="AH254" s="1639"/>
      <c r="AI254" s="1469"/>
      <c r="AJ254" s="1814"/>
      <c r="AK254" s="1814"/>
      <c r="AL254" s="1471"/>
      <c r="AM254" s="1639"/>
      <c r="AN254" s="1469"/>
      <c r="AO254" s="1814"/>
      <c r="AP254" s="1814"/>
      <c r="AQ254" s="1471"/>
      <c r="AR254" s="1639">
        <f>AR236*AR241/AR246*1000</f>
        <v>22.222222222222218</v>
      </c>
      <c r="AS254" s="1469"/>
      <c r="AT254" s="1814"/>
      <c r="AU254" s="1814"/>
      <c r="AV254" s="1471"/>
      <c r="AW254" s="1639">
        <f>AW236*AW241/AW246*1000</f>
        <v>74.074074074074076</v>
      </c>
      <c r="AX254" s="1469"/>
      <c r="AY254" s="1814"/>
      <c r="AZ254" s="1814"/>
      <c r="BA254" s="1471"/>
      <c r="BB254" s="1639">
        <f>BB236*BB241/BB246*1000</f>
        <v>74.074074074074076</v>
      </c>
      <c r="BC254" s="1469"/>
      <c r="BD254" s="1814"/>
      <c r="BE254" s="1814"/>
      <c r="BF254" s="1471"/>
      <c r="BG254" s="1639">
        <f>BG236*BG241/BG246*1000</f>
        <v>74.074074074074076</v>
      </c>
      <c r="BH254" s="1469"/>
      <c r="BI254" s="1814"/>
      <c r="BJ254" s="1814"/>
      <c r="BK254" s="1471"/>
      <c r="BL254" s="1639">
        <f>BL236*BL241/BL246*1000</f>
        <v>74.074074074074076</v>
      </c>
      <c r="BM254" s="1469"/>
      <c r="BN254" s="1814"/>
      <c r="BO254" s="1814"/>
      <c r="BP254" s="1471"/>
      <c r="BQ254" s="1639">
        <f>BQ236*BQ241/BQ246*1000</f>
        <v>0</v>
      </c>
      <c r="BT254" s="1272" t="s">
        <v>1242</v>
      </c>
      <c r="BU254" s="1831">
        <f>AR254</f>
        <v>22.222222222222218</v>
      </c>
      <c r="BW254" s="1830">
        <f>$BU254/2</f>
        <v>11.111111111111109</v>
      </c>
      <c r="BX254" s="1484">
        <f>$BU254</f>
        <v>22.222222222222218</v>
      </c>
      <c r="BY254" s="1484">
        <f>+BX254</f>
        <v>22.222222222222218</v>
      </c>
      <c r="BZ254" s="1484">
        <f>+BY254</f>
        <v>22.222222222222218</v>
      </c>
      <c r="CA254" s="1484">
        <f>+BZ254</f>
        <v>22.222222222222218</v>
      </c>
      <c r="CB254" s="1484">
        <f>+CA254</f>
        <v>22.222222222222218</v>
      </c>
      <c r="CC254" s="1484">
        <f t="shared" ref="CC254:CH258" si="136">+CB254</f>
        <v>22.222222222222218</v>
      </c>
      <c r="CD254" s="1484">
        <f t="shared" si="136"/>
        <v>22.222222222222218</v>
      </c>
      <c r="CE254" s="1484">
        <f t="shared" si="136"/>
        <v>22.222222222222218</v>
      </c>
      <c r="CF254" s="1484">
        <f t="shared" si="136"/>
        <v>22.222222222222218</v>
      </c>
      <c r="CG254" s="1830">
        <f>$BU254/2</f>
        <v>11.111111111111109</v>
      </c>
      <c r="CH254" s="1484"/>
      <c r="CI254" s="1484"/>
      <c r="CJ254" s="1484"/>
      <c r="CK254" s="1484"/>
    </row>
    <row r="255" spans="3:94" s="50" customFormat="1">
      <c r="C255" s="1813"/>
      <c r="D255" s="1813"/>
      <c r="E255" s="1469"/>
      <c r="F255" s="1814"/>
      <c r="G255" s="1814"/>
      <c r="H255" s="1471"/>
      <c r="I255" s="1815"/>
      <c r="J255" s="1469"/>
      <c r="K255" s="1814"/>
      <c r="L255" s="1814"/>
      <c r="M255" s="1471"/>
      <c r="N255" s="1815"/>
      <c r="O255" s="1469"/>
      <c r="P255" s="1814"/>
      <c r="Q255" s="1814"/>
      <c r="R255" s="1471"/>
      <c r="S255" s="1815"/>
      <c r="T255" s="1469"/>
      <c r="U255" s="1814"/>
      <c r="V255" s="1814"/>
      <c r="W255" s="1471"/>
      <c r="X255" s="1815"/>
      <c r="Y255" s="1469"/>
      <c r="Z255" s="1814"/>
      <c r="AA255" s="1814"/>
      <c r="AB255" s="1471"/>
      <c r="AC255" s="1815"/>
      <c r="AD255" s="1469"/>
      <c r="AE255" s="1814"/>
      <c r="AF255" s="1814"/>
      <c r="AG255" s="1471"/>
      <c r="AH255" s="1815"/>
      <c r="AI255" s="1469"/>
      <c r="AJ255" s="1814"/>
      <c r="AK255" s="1814"/>
      <c r="AL255" s="1471"/>
      <c r="AM255" s="1815"/>
      <c r="AN255" s="1469"/>
      <c r="AO255" s="1814"/>
      <c r="AP255" s="1814"/>
      <c r="AQ255" s="1471"/>
      <c r="AR255" s="1815"/>
      <c r="AS255" s="1469"/>
      <c r="AT255" s="1814"/>
      <c r="AU255" s="1814"/>
      <c r="AV255" s="1471"/>
      <c r="AW255" s="1815"/>
      <c r="AX255" s="1469"/>
      <c r="AY255" s="1814"/>
      <c r="AZ255" s="1814"/>
      <c r="BA255" s="1471"/>
      <c r="BB255" s="1815"/>
      <c r="BC255" s="1469"/>
      <c r="BD255" s="1814"/>
      <c r="BE255" s="1814"/>
      <c r="BF255" s="1471"/>
      <c r="BG255" s="1815"/>
      <c r="BH255" s="1469"/>
      <c r="BI255" s="1814"/>
      <c r="BJ255" s="1814"/>
      <c r="BK255" s="1471"/>
      <c r="BL255" s="1815"/>
      <c r="BM255" s="1469"/>
      <c r="BN255" s="1814"/>
      <c r="BO255" s="1814"/>
      <c r="BP255" s="1471"/>
      <c r="BQ255" s="1815"/>
      <c r="BT255" s="1272" t="s">
        <v>1243</v>
      </c>
      <c r="BU255" s="1831">
        <f>AW254</f>
        <v>74.074074074074076</v>
      </c>
      <c r="BW255" s="1382"/>
      <c r="BX255" s="1830">
        <f>$BU255/2</f>
        <v>37.037037037037038</v>
      </c>
      <c r="BY255" s="1484">
        <f>$BU255</f>
        <v>74.074074074074076</v>
      </c>
      <c r="BZ255" s="1484">
        <f>+BY255</f>
        <v>74.074074074074076</v>
      </c>
      <c r="CA255" s="1484">
        <f>+BZ255</f>
        <v>74.074074074074076</v>
      </c>
      <c r="CB255" s="1484">
        <f>+CA255</f>
        <v>74.074074074074076</v>
      </c>
      <c r="CC255" s="1484">
        <f t="shared" si="136"/>
        <v>74.074074074074076</v>
      </c>
      <c r="CD255" s="1484">
        <f t="shared" si="136"/>
        <v>74.074074074074076</v>
      </c>
      <c r="CE255" s="1484">
        <f t="shared" si="136"/>
        <v>74.074074074074076</v>
      </c>
      <c r="CF255" s="1484">
        <f t="shared" si="136"/>
        <v>74.074074074074076</v>
      </c>
      <c r="CG255" s="1484">
        <f t="shared" si="136"/>
        <v>74.074074074074076</v>
      </c>
      <c r="CH255" s="1830">
        <f>$BU255/2</f>
        <v>37.037037037037038</v>
      </c>
      <c r="CI255" s="1484"/>
      <c r="CJ255" s="1484"/>
      <c r="CK255" s="1484"/>
    </row>
    <row r="256" spans="3:94" s="50" customFormat="1">
      <c r="C256" s="1813" t="s">
        <v>1230</v>
      </c>
      <c r="D256" s="1813"/>
      <c r="E256" s="1469"/>
      <c r="F256" s="1814"/>
      <c r="G256" s="1814"/>
      <c r="H256" s="1471"/>
      <c r="I256" s="1815"/>
      <c r="J256" s="1469"/>
      <c r="K256" s="1814"/>
      <c r="L256" s="1814"/>
      <c r="M256" s="1471"/>
      <c r="N256" s="1818"/>
      <c r="O256" s="1587"/>
      <c r="P256" s="1588"/>
      <c r="Q256" s="1588"/>
      <c r="R256" s="1589"/>
      <c r="S256" s="1818"/>
      <c r="T256" s="1587"/>
      <c r="U256" s="1588"/>
      <c r="V256" s="1588"/>
      <c r="W256" s="1589"/>
      <c r="X256" s="1818"/>
      <c r="Y256" s="1587"/>
      <c r="Z256" s="1588"/>
      <c r="AA256" s="1588"/>
      <c r="AB256" s="1589"/>
      <c r="AC256" s="1819"/>
      <c r="AD256" s="1587"/>
      <c r="AE256" s="1588"/>
      <c r="AF256" s="1588"/>
      <c r="AG256" s="1589"/>
      <c r="AH256" s="1819"/>
      <c r="AI256" s="1820"/>
      <c r="AJ256" s="1588"/>
      <c r="AK256" s="1588"/>
      <c r="AL256" s="1589"/>
      <c r="AM256" s="1818">
        <v>0.45</v>
      </c>
      <c r="AN256" s="1587">
        <f>AM256</f>
        <v>0.45</v>
      </c>
      <c r="AO256" s="1588">
        <f>AN256</f>
        <v>0.45</v>
      </c>
      <c r="AP256" s="1588">
        <f>+AO256</f>
        <v>0.45</v>
      </c>
      <c r="AQ256" s="1589">
        <f>+AP256</f>
        <v>0.45</v>
      </c>
      <c r="AR256" s="1819">
        <f t="shared" ref="AR256:BL256" si="137">+AQ256</f>
        <v>0.45</v>
      </c>
      <c r="AS256" s="1587">
        <f t="shared" si="137"/>
        <v>0.45</v>
      </c>
      <c r="AT256" s="1588">
        <f t="shared" si="137"/>
        <v>0.45</v>
      </c>
      <c r="AU256" s="1588">
        <f t="shared" si="137"/>
        <v>0.45</v>
      </c>
      <c r="AV256" s="1589">
        <f>+AU256</f>
        <v>0.45</v>
      </c>
      <c r="AW256" s="1819">
        <f t="shared" ref="AW256" si="138">+AV256</f>
        <v>0.45</v>
      </c>
      <c r="AX256" s="1587">
        <f t="shared" si="137"/>
        <v>0.45</v>
      </c>
      <c r="AY256" s="1588">
        <f t="shared" si="137"/>
        <v>0.45</v>
      </c>
      <c r="AZ256" s="1588">
        <f t="shared" si="137"/>
        <v>0.45</v>
      </c>
      <c r="BA256" s="1589">
        <f t="shared" si="137"/>
        <v>0.45</v>
      </c>
      <c r="BB256" s="1819">
        <f t="shared" si="137"/>
        <v>0.45</v>
      </c>
      <c r="BC256" s="1587">
        <f t="shared" si="137"/>
        <v>0.45</v>
      </c>
      <c r="BD256" s="1588">
        <f t="shared" si="137"/>
        <v>0.45</v>
      </c>
      <c r="BE256" s="1588">
        <f t="shared" si="137"/>
        <v>0.45</v>
      </c>
      <c r="BF256" s="1589">
        <f t="shared" si="137"/>
        <v>0.45</v>
      </c>
      <c r="BG256" s="1819">
        <f t="shared" si="137"/>
        <v>0.45</v>
      </c>
      <c r="BH256" s="1587">
        <f t="shared" si="137"/>
        <v>0.45</v>
      </c>
      <c r="BI256" s="1588">
        <f t="shared" si="137"/>
        <v>0.45</v>
      </c>
      <c r="BJ256" s="1588">
        <f t="shared" si="137"/>
        <v>0.45</v>
      </c>
      <c r="BK256" s="1589">
        <f t="shared" si="137"/>
        <v>0.45</v>
      </c>
      <c r="BL256" s="1819">
        <f t="shared" si="137"/>
        <v>0.45</v>
      </c>
      <c r="BM256" s="1587">
        <f>+BL256</f>
        <v>0.45</v>
      </c>
      <c r="BN256" s="1588">
        <f>+BM256</f>
        <v>0.45</v>
      </c>
      <c r="BO256" s="1588">
        <f>+BN256</f>
        <v>0.45</v>
      </c>
      <c r="BP256" s="1589">
        <f>+BO256</f>
        <v>0.45</v>
      </c>
      <c r="BQ256" s="1819">
        <f>+BP256</f>
        <v>0.45</v>
      </c>
      <c r="BT256" s="1272" t="s">
        <v>1244</v>
      </c>
      <c r="BU256" s="1831">
        <f>BB254</f>
        <v>74.074074074074076</v>
      </c>
      <c r="BW256" s="1484"/>
      <c r="BX256" s="1484"/>
      <c r="BY256" s="1830">
        <f>$BU256/2</f>
        <v>37.037037037037038</v>
      </c>
      <c r="BZ256" s="1484">
        <f>$BU256</f>
        <v>74.074074074074076</v>
      </c>
      <c r="CA256" s="1484">
        <f>+BZ256</f>
        <v>74.074074074074076</v>
      </c>
      <c r="CB256" s="1484">
        <f>+CA256</f>
        <v>74.074074074074076</v>
      </c>
      <c r="CC256" s="1484">
        <f t="shared" si="136"/>
        <v>74.074074074074076</v>
      </c>
      <c r="CD256" s="1484">
        <f t="shared" si="136"/>
        <v>74.074074074074076</v>
      </c>
      <c r="CE256" s="1484">
        <f t="shared" si="136"/>
        <v>74.074074074074076</v>
      </c>
      <c r="CF256" s="1484">
        <f t="shared" si="136"/>
        <v>74.074074074074076</v>
      </c>
      <c r="CG256" s="1484">
        <f t="shared" si="136"/>
        <v>74.074074074074076</v>
      </c>
      <c r="CH256" s="1484">
        <f t="shared" si="136"/>
        <v>74.074074074074076</v>
      </c>
      <c r="CI256" s="1830">
        <f>$BU256/2</f>
        <v>37.037037037037038</v>
      </c>
      <c r="CJ256" s="1484"/>
      <c r="CK256" s="1484"/>
    </row>
    <row r="257" spans="3:89" s="50" customFormat="1">
      <c r="C257" s="1813" t="s">
        <v>1231</v>
      </c>
      <c r="D257" s="1813"/>
      <c r="E257" s="1469"/>
      <c r="F257" s="1814"/>
      <c r="G257" s="1814"/>
      <c r="H257" s="1471"/>
      <c r="I257" s="1815"/>
      <c r="J257" s="1469"/>
      <c r="K257" s="1814"/>
      <c r="L257" s="1814"/>
      <c r="M257" s="1471"/>
      <c r="N257" s="1484"/>
      <c r="O257" s="1485"/>
      <c r="P257" s="1488"/>
      <c r="Q257" s="1488"/>
      <c r="R257" s="1487"/>
      <c r="S257" s="1484"/>
      <c r="T257" s="1485"/>
      <c r="U257" s="1488"/>
      <c r="V257" s="1488"/>
      <c r="W257" s="1487"/>
      <c r="X257" s="1484"/>
      <c r="Y257" s="1485"/>
      <c r="Z257" s="1488"/>
      <c r="AA257" s="1488"/>
      <c r="AB257" s="1487"/>
      <c r="AC257" s="1484"/>
      <c r="AD257" s="1485"/>
      <c r="AE257" s="1488"/>
      <c r="AF257" s="1488"/>
      <c r="AG257" s="1487"/>
      <c r="AH257" s="1484"/>
      <c r="AI257" s="1485"/>
      <c r="AJ257" s="1488"/>
      <c r="AK257" s="1488"/>
      <c r="AL257" s="1487"/>
      <c r="AM257" s="1484">
        <f>SUM(AI257:AL257)</f>
        <v>0</v>
      </c>
      <c r="AN257" s="1485">
        <f>+AN253*AN256*8.76/4</f>
        <v>0</v>
      </c>
      <c r="AO257" s="1488">
        <f>+AO253*AO256*8.76/4</f>
        <v>7.299999999999998</v>
      </c>
      <c r="AP257" s="1488">
        <f>+AP253*AP256*8.76/4</f>
        <v>14.599999999999996</v>
      </c>
      <c r="AQ257" s="1487">
        <f>+AQ253*AQ256*8.76/4</f>
        <v>21.899999999999995</v>
      </c>
      <c r="AR257" s="1484">
        <f>SUM(AN257:AQ257)</f>
        <v>43.79999999999999</v>
      </c>
      <c r="AS257" s="1485">
        <f>+AS253*AS256*8.76/4</f>
        <v>21.899999999999995</v>
      </c>
      <c r="AT257" s="1488">
        <f>+AT253*AT256*8.76/4</f>
        <v>46.233333333333334</v>
      </c>
      <c r="AU257" s="1488">
        <f>+AU253*AU256*8.76/4</f>
        <v>70.566666666666663</v>
      </c>
      <c r="AV257" s="1487">
        <f>+AV253*AV256*8.76/4</f>
        <v>94.899999999999991</v>
      </c>
      <c r="AW257" s="1484">
        <f>SUM(AS257:AV257)</f>
        <v>233.59999999999997</v>
      </c>
      <c r="AX257" s="1485">
        <f>+AX253*AX256*8.76/4</f>
        <v>94.899999999999991</v>
      </c>
      <c r="AY257" s="1488">
        <f>+AY253*AY256*8.76/4</f>
        <v>119.23333333333332</v>
      </c>
      <c r="AZ257" s="1488">
        <f>+AZ253*AZ256*8.76/4</f>
        <v>143.56666666666666</v>
      </c>
      <c r="BA257" s="1487">
        <f>+BA253*BA256*8.76/4</f>
        <v>167.9</v>
      </c>
      <c r="BB257" s="1484">
        <f>SUM(AX257:BA257)</f>
        <v>525.6</v>
      </c>
      <c r="BC257" s="1485">
        <f>+BC253*BC256*8.76/4</f>
        <v>167.9</v>
      </c>
      <c r="BD257" s="1488">
        <f>+BD253*BD256*8.76/4</f>
        <v>192.23333333333335</v>
      </c>
      <c r="BE257" s="1488">
        <f>+BE253*BE256*8.76/4</f>
        <v>216.56666666666669</v>
      </c>
      <c r="BF257" s="1487">
        <f>+BF253*BF256*8.76/4</f>
        <v>240.90000000000003</v>
      </c>
      <c r="BG257" s="1484">
        <f>SUM(BC257:BF257)</f>
        <v>817.60000000000014</v>
      </c>
      <c r="BH257" s="1485">
        <f>+BH253*BH256*8.76/4</f>
        <v>240.90000000000003</v>
      </c>
      <c r="BI257" s="1488">
        <f>+BI253*BI256*8.76/4</f>
        <v>265.23333333333335</v>
      </c>
      <c r="BJ257" s="1488">
        <f>+BJ253*BJ256*8.76/4</f>
        <v>289.56666666666666</v>
      </c>
      <c r="BK257" s="1487">
        <f>+BK253*BK256*8.76/4</f>
        <v>313.89999999999998</v>
      </c>
      <c r="BL257" s="1484">
        <f>SUM(BH257:BK257)</f>
        <v>1109.5999999999999</v>
      </c>
      <c r="BM257" s="1485">
        <f>+BM253*BM256*8.76/4</f>
        <v>313.90000000000003</v>
      </c>
      <c r="BN257" s="1488">
        <f>+BN253*BN256*8.76/4</f>
        <v>313.90000000000003</v>
      </c>
      <c r="BO257" s="1488">
        <f>+BO253*BO256*8.76/4</f>
        <v>313.90000000000003</v>
      </c>
      <c r="BP257" s="1487">
        <f>+BP253*BP256*8.76/4</f>
        <v>313.90000000000003</v>
      </c>
      <c r="BQ257" s="1484">
        <f>SUM(BM257:BP257)</f>
        <v>1255.6000000000001</v>
      </c>
      <c r="BT257" s="1272" t="s">
        <v>1245</v>
      </c>
      <c r="BU257" s="1831">
        <f>BG254</f>
        <v>74.074074074074076</v>
      </c>
      <c r="BW257" s="1484"/>
      <c r="BX257" s="1484"/>
      <c r="BY257" s="1484"/>
      <c r="BZ257" s="1830">
        <f>$BU257/2</f>
        <v>37.037037037037038</v>
      </c>
      <c r="CA257" s="1484">
        <f>$BU257</f>
        <v>74.074074074074076</v>
      </c>
      <c r="CB257" s="1484">
        <f>+CA257</f>
        <v>74.074074074074076</v>
      </c>
      <c r="CC257" s="1484">
        <f t="shared" si="136"/>
        <v>74.074074074074076</v>
      </c>
      <c r="CD257" s="1484">
        <f t="shared" si="136"/>
        <v>74.074074074074076</v>
      </c>
      <c r="CE257" s="1484">
        <f t="shared" si="136"/>
        <v>74.074074074074076</v>
      </c>
      <c r="CF257" s="1484">
        <f t="shared" si="136"/>
        <v>74.074074074074076</v>
      </c>
      <c r="CG257" s="1484">
        <f t="shared" si="136"/>
        <v>74.074074074074076</v>
      </c>
      <c r="CH257" s="1484">
        <f t="shared" si="136"/>
        <v>74.074074074074076</v>
      </c>
      <c r="CI257" s="1484">
        <f>+CH257</f>
        <v>74.074074074074076</v>
      </c>
      <c r="CJ257" s="1830">
        <f>$BU257/2</f>
        <v>37.037037037037038</v>
      </c>
      <c r="CK257" s="1484"/>
    </row>
    <row r="258" spans="3:89" s="50" customFormat="1">
      <c r="C258" s="1813"/>
      <c r="D258" s="1813"/>
      <c r="E258" s="1469"/>
      <c r="F258" s="1814"/>
      <c r="G258" s="1814"/>
      <c r="H258" s="1471"/>
      <c r="I258" s="1815"/>
      <c r="J258" s="1469"/>
      <c r="K258" s="1814"/>
      <c r="L258" s="1814"/>
      <c r="M258" s="1471"/>
      <c r="N258" s="1815"/>
      <c r="O258" s="1469"/>
      <c r="P258" s="1814"/>
      <c r="Q258" s="1814"/>
      <c r="R258" s="1471"/>
      <c r="S258" s="1815"/>
      <c r="T258" s="1469"/>
      <c r="U258" s="1814"/>
      <c r="V258" s="1814"/>
      <c r="W258" s="1471"/>
      <c r="X258" s="1815"/>
      <c r="Y258" s="1469"/>
      <c r="Z258" s="1814"/>
      <c r="AA258" s="1814"/>
      <c r="AB258" s="1471"/>
      <c r="AC258" s="1815"/>
      <c r="AD258" s="1469"/>
      <c r="AE258" s="1814"/>
      <c r="AF258" s="1814"/>
      <c r="AG258" s="1471"/>
      <c r="AH258" s="1815"/>
      <c r="AI258" s="1469"/>
      <c r="AJ258" s="1814"/>
      <c r="AK258" s="1814"/>
      <c r="AL258" s="1471"/>
      <c r="AM258" s="1815"/>
      <c r="AN258" s="1469"/>
      <c r="AO258" s="1814"/>
      <c r="AP258" s="1814"/>
      <c r="AQ258" s="1471"/>
      <c r="AR258" s="1815"/>
      <c r="AS258" s="1469"/>
      <c r="AT258" s="1814"/>
      <c r="AU258" s="1814"/>
      <c r="AV258" s="1471"/>
      <c r="AW258" s="1815"/>
      <c r="AX258" s="1469"/>
      <c r="AY258" s="1814"/>
      <c r="AZ258" s="1814"/>
      <c r="BA258" s="1471"/>
      <c r="BB258" s="1815"/>
      <c r="BC258" s="1469"/>
      <c r="BD258" s="1814"/>
      <c r="BE258" s="1814"/>
      <c r="BF258" s="1471"/>
      <c r="BG258" s="1815"/>
      <c r="BH258" s="1469"/>
      <c r="BI258" s="1814"/>
      <c r="BJ258" s="1814"/>
      <c r="BK258" s="1471"/>
      <c r="BL258" s="1815"/>
      <c r="BM258" s="1469"/>
      <c r="BN258" s="1814"/>
      <c r="BO258" s="1814"/>
      <c r="BP258" s="1471"/>
      <c r="BQ258" s="1815"/>
      <c r="BT258" s="1272" t="s">
        <v>1246</v>
      </c>
      <c r="BU258" s="1831">
        <f>BL254</f>
        <v>74.074074074074076</v>
      </c>
      <c r="BW258" s="1484"/>
      <c r="BX258" s="1484"/>
      <c r="BY258" s="1484"/>
      <c r="BZ258" s="1484"/>
      <c r="CA258" s="1830">
        <f>$BU258/2</f>
        <v>37.037037037037038</v>
      </c>
      <c r="CB258" s="1484">
        <f>$BU258</f>
        <v>74.074074074074076</v>
      </c>
      <c r="CC258" s="1484">
        <f t="shared" si="136"/>
        <v>74.074074074074076</v>
      </c>
      <c r="CD258" s="1484">
        <f t="shared" si="136"/>
        <v>74.074074074074076</v>
      </c>
      <c r="CE258" s="1484">
        <f t="shared" si="136"/>
        <v>74.074074074074076</v>
      </c>
      <c r="CF258" s="1484">
        <f t="shared" si="136"/>
        <v>74.074074074074076</v>
      </c>
      <c r="CG258" s="1484">
        <f t="shared" si="136"/>
        <v>74.074074074074076</v>
      </c>
      <c r="CH258" s="1484">
        <f t="shared" si="136"/>
        <v>74.074074074074076</v>
      </c>
      <c r="CI258" s="1484">
        <f>+CH258</f>
        <v>74.074074074074076</v>
      </c>
      <c r="CJ258" s="1484">
        <f>+CI258</f>
        <v>74.074074074074076</v>
      </c>
      <c r="CK258" s="1830">
        <f>$BU258/2</f>
        <v>37.037037037037038</v>
      </c>
    </row>
    <row r="259" spans="3:89" s="50" customFormat="1">
      <c r="C259" s="1813" t="s">
        <v>1158</v>
      </c>
      <c r="D259" s="1813"/>
      <c r="E259" s="1469"/>
      <c r="F259" s="1814"/>
      <c r="G259" s="1814"/>
      <c r="H259" s="1471"/>
      <c r="I259" s="1815"/>
      <c r="J259" s="1469"/>
      <c r="K259" s="1814"/>
      <c r="L259" s="1814"/>
      <c r="M259" s="1471"/>
      <c r="N259" s="1484"/>
      <c r="O259" s="1485"/>
      <c r="P259" s="1488"/>
      <c r="Q259" s="1488"/>
      <c r="R259" s="1487"/>
      <c r="S259" s="1484"/>
      <c r="T259" s="1485"/>
      <c r="U259" s="1488"/>
      <c r="V259" s="1488"/>
      <c r="W259" s="1487"/>
      <c r="X259" s="1484"/>
      <c r="Y259" s="1485"/>
      <c r="Z259" s="1488"/>
      <c r="AA259" s="1488"/>
      <c r="AB259" s="1487"/>
      <c r="AC259" s="1484"/>
      <c r="AD259" s="1485"/>
      <c r="AE259" s="1488"/>
      <c r="AF259" s="1488"/>
      <c r="AG259" s="1487"/>
      <c r="AH259" s="1484"/>
      <c r="AI259" s="1485"/>
      <c r="AJ259" s="1488"/>
      <c r="AK259" s="1488"/>
      <c r="AL259" s="1487"/>
      <c r="AM259" s="1484">
        <f>SUM(AI259:AL259)</f>
        <v>0</v>
      </c>
      <c r="AN259" s="1485">
        <f>+AN257*AN252/1000</f>
        <v>0</v>
      </c>
      <c r="AO259" s="1488">
        <f>+AO257*AO252/1000</f>
        <v>0.25805499999999992</v>
      </c>
      <c r="AP259" s="1488">
        <f>+AP257*AP252/1000</f>
        <v>0.51610999999999985</v>
      </c>
      <c r="AQ259" s="1487">
        <f>+AQ257*AQ252/1000</f>
        <v>0.77416499999999988</v>
      </c>
      <c r="AR259" s="1484">
        <f>SUM(AN259:AQ259)</f>
        <v>1.5483299999999995</v>
      </c>
      <c r="AS259" s="1485">
        <f>+AS257*AS252/1000</f>
        <v>0.78190664999999981</v>
      </c>
      <c r="AT259" s="1488">
        <f>+AT257*AT252/1000</f>
        <v>1.6506918166666666</v>
      </c>
      <c r="AU259" s="1488">
        <f>+AU257*AU252/1000</f>
        <v>2.519476983333333</v>
      </c>
      <c r="AV259" s="1487">
        <f>+AV257*AV252/1000</f>
        <v>3.3882621499999996</v>
      </c>
      <c r="AW259" s="1484">
        <f>SUM(AS259:AV259)</f>
        <v>8.3403375999999998</v>
      </c>
      <c r="AX259" s="1485">
        <f>+AX257*AX252/1000</f>
        <v>3.4221447714999997</v>
      </c>
      <c r="AY259" s="1488">
        <f>+AY257*AY252/1000</f>
        <v>4.2996177898333325</v>
      </c>
      <c r="AZ259" s="1488">
        <f>+AZ257*AZ252/1000</f>
        <v>5.1770908081666667</v>
      </c>
      <c r="BA259" s="1487">
        <f>+BA257*BA252/1000</f>
        <v>6.0545638265000008</v>
      </c>
      <c r="BB259" s="1484">
        <f>SUM(AX259:BA259)</f>
        <v>18.953417196</v>
      </c>
      <c r="BC259" s="1485">
        <f>+BC257*BC252/1000</f>
        <v>6.1151094647650011</v>
      </c>
      <c r="BD259" s="1488">
        <f>+BD257*BD252/1000</f>
        <v>7.0013572132816675</v>
      </c>
      <c r="BE259" s="1488">
        <f>+BE257*BE252/1000</f>
        <v>7.8876049617983348</v>
      </c>
      <c r="BF259" s="1487">
        <f>+BF257*BF252/1000</f>
        <v>8.7738527103150012</v>
      </c>
      <c r="BG259" s="1484">
        <f>SUM(BC259:BF259)</f>
        <v>29.777924350160003</v>
      </c>
      <c r="BH259" s="1485">
        <f>+BH257*BH252/1000</f>
        <v>8.8615912374181516</v>
      </c>
      <c r="BI259" s="1488">
        <f>+BI257*BI252/1000</f>
        <v>9.7567014634199847</v>
      </c>
      <c r="BJ259" s="1488">
        <f>+BJ257*BJ252/1000</f>
        <v>10.651811689421816</v>
      </c>
      <c r="BK259" s="1487">
        <f>+BK257*BK252/1000</f>
        <v>11.546921915423651</v>
      </c>
      <c r="BL259" s="1484">
        <f>SUM(BH259:BK259)</f>
        <v>40.817026305683605</v>
      </c>
      <c r="BM259" s="1485">
        <f>+BM257*BM252/1000</f>
        <v>11.66239113457789</v>
      </c>
      <c r="BN259" s="1488">
        <f>+BN257*BN252/1000</f>
        <v>11.66239113457789</v>
      </c>
      <c r="BO259" s="1488">
        <f>+BO257*BO252/1000</f>
        <v>11.66239113457789</v>
      </c>
      <c r="BP259" s="1487">
        <f>+BP257*BP252/1000</f>
        <v>11.66239113457789</v>
      </c>
      <c r="BQ259" s="1484">
        <f>SUM(BM259:BP259)</f>
        <v>46.649564538311559</v>
      </c>
      <c r="BW259" s="1484"/>
      <c r="BX259" s="1484"/>
      <c r="BY259" s="1484"/>
      <c r="BZ259" s="1484"/>
      <c r="CA259" s="1484"/>
      <c r="CB259" s="1484"/>
      <c r="CC259" s="1484"/>
      <c r="CD259" s="1484"/>
      <c r="CE259" s="1484"/>
      <c r="CF259" s="1484"/>
      <c r="CG259" s="1484"/>
      <c r="CH259" s="1484"/>
      <c r="CI259" s="1484"/>
      <c r="CJ259" s="1484"/>
      <c r="CK259" s="1484"/>
    </row>
    <row r="260" spans="3:89" s="50" customFormat="1">
      <c r="C260" s="1813" t="s">
        <v>1141</v>
      </c>
      <c r="D260" s="1813"/>
      <c r="E260" s="1469"/>
      <c r="F260" s="1814"/>
      <c r="G260" s="1814"/>
      <c r="H260" s="1471"/>
      <c r="I260" s="1815"/>
      <c r="J260" s="1469"/>
      <c r="K260" s="1814"/>
      <c r="L260" s="1814"/>
      <c r="M260" s="1471"/>
      <c r="N260" s="1639"/>
      <c r="O260" s="1550"/>
      <c r="P260" s="1551"/>
      <c r="Q260" s="1551"/>
      <c r="R260" s="1552"/>
      <c r="S260" s="1639"/>
      <c r="T260" s="1550"/>
      <c r="U260" s="1551"/>
      <c r="V260" s="1551"/>
      <c r="W260" s="1552"/>
      <c r="X260" s="1639"/>
      <c r="Y260" s="1550"/>
      <c r="Z260" s="1551"/>
      <c r="AA260" s="1551"/>
      <c r="AB260" s="1552"/>
      <c r="AC260" s="1639"/>
      <c r="AD260" s="1550"/>
      <c r="AE260" s="1551"/>
      <c r="AF260" s="1551"/>
      <c r="AG260" s="1552"/>
      <c r="AH260" s="1639"/>
      <c r="AI260" s="1550"/>
      <c r="AJ260" s="1551"/>
      <c r="AK260" s="1551"/>
      <c r="AL260" s="1552"/>
      <c r="AM260" s="1639">
        <v>0</v>
      </c>
      <c r="AN260" s="1550">
        <v>0</v>
      </c>
      <c r="AO260" s="1551">
        <v>0</v>
      </c>
      <c r="AP260" s="1551">
        <v>0</v>
      </c>
      <c r="AQ260" s="1552">
        <v>0</v>
      </c>
      <c r="AR260" s="1639">
        <v>0</v>
      </c>
      <c r="AS260" s="1550">
        <v>0</v>
      </c>
      <c r="AT260" s="1551">
        <v>0</v>
      </c>
      <c r="AU260" s="1551">
        <v>0</v>
      </c>
      <c r="AV260" s="1552">
        <v>0</v>
      </c>
      <c r="AW260" s="1639">
        <v>0</v>
      </c>
      <c r="AX260" s="1550">
        <v>0</v>
      </c>
      <c r="AY260" s="1551">
        <v>0</v>
      </c>
      <c r="AZ260" s="1551">
        <v>0</v>
      </c>
      <c r="BA260" s="1552">
        <v>0</v>
      </c>
      <c r="BB260" s="1639">
        <v>0</v>
      </c>
      <c r="BC260" s="1550">
        <v>0</v>
      </c>
      <c r="BD260" s="1551">
        <v>0</v>
      </c>
      <c r="BE260" s="1551">
        <v>0</v>
      </c>
      <c r="BF260" s="1552">
        <v>0</v>
      </c>
      <c r="BG260" s="1639">
        <v>0</v>
      </c>
      <c r="BH260" s="1550">
        <v>0</v>
      </c>
      <c r="BI260" s="1551">
        <v>0</v>
      </c>
      <c r="BJ260" s="1551">
        <v>0</v>
      </c>
      <c r="BK260" s="1552">
        <v>0</v>
      </c>
      <c r="BL260" s="1639">
        <v>0</v>
      </c>
      <c r="BM260" s="1550">
        <v>0</v>
      </c>
      <c r="BN260" s="1551">
        <v>0</v>
      </c>
      <c r="BO260" s="1551">
        <v>0</v>
      </c>
      <c r="BP260" s="1552">
        <v>0</v>
      </c>
      <c r="BQ260" s="1639">
        <v>0</v>
      </c>
      <c r="BT260" s="1272" t="s">
        <v>1248</v>
      </c>
      <c r="BW260" s="109">
        <f t="shared" ref="BW260:CK260" si="139">SUM(BW254:BW258)</f>
        <v>11.111111111111109</v>
      </c>
      <c r="BX260" s="109">
        <f t="shared" si="139"/>
        <v>59.259259259259252</v>
      </c>
      <c r="BY260" s="109">
        <f t="shared" si="139"/>
        <v>133.33333333333331</v>
      </c>
      <c r="BZ260" s="109">
        <f t="shared" si="139"/>
        <v>207.40740740740742</v>
      </c>
      <c r="CA260" s="109">
        <f t="shared" si="139"/>
        <v>281.48148148148152</v>
      </c>
      <c r="CB260" s="109">
        <f t="shared" si="139"/>
        <v>318.51851851851853</v>
      </c>
      <c r="CC260" s="109">
        <f t="shared" si="139"/>
        <v>318.51851851851853</v>
      </c>
      <c r="CD260" s="109">
        <f t="shared" si="139"/>
        <v>318.51851851851853</v>
      </c>
      <c r="CE260" s="109">
        <f t="shared" si="139"/>
        <v>318.51851851851853</v>
      </c>
      <c r="CF260" s="109">
        <f t="shared" si="139"/>
        <v>318.51851851851853</v>
      </c>
      <c r="CG260" s="109">
        <f t="shared" si="139"/>
        <v>307.40740740740739</v>
      </c>
      <c r="CH260" s="109">
        <f t="shared" si="139"/>
        <v>259.25925925925924</v>
      </c>
      <c r="CI260" s="109">
        <f t="shared" si="139"/>
        <v>185.18518518518519</v>
      </c>
      <c r="CJ260" s="109">
        <f t="shared" si="139"/>
        <v>111.11111111111111</v>
      </c>
      <c r="CK260" s="109">
        <f t="shared" si="139"/>
        <v>37.037037037037038</v>
      </c>
    </row>
    <row r="261" spans="3:89" s="50" customFormat="1">
      <c r="C261" s="1821" t="s">
        <v>1142</v>
      </c>
      <c r="D261" s="1813"/>
      <c r="E261" s="1469"/>
      <c r="F261" s="1814"/>
      <c r="G261" s="1814"/>
      <c r="H261" s="1471"/>
      <c r="I261" s="1815"/>
      <c r="J261" s="1469"/>
      <c r="K261" s="1814"/>
      <c r="L261" s="1814"/>
      <c r="M261" s="1471"/>
      <c r="N261" s="1477"/>
      <c r="O261" s="1548"/>
      <c r="P261" s="1557"/>
      <c r="Q261" s="1557"/>
      <c r="R261" s="1518"/>
      <c r="S261" s="1477"/>
      <c r="T261" s="1548"/>
      <c r="U261" s="1557"/>
      <c r="V261" s="1557"/>
      <c r="W261" s="1518"/>
      <c r="X261" s="1477"/>
      <c r="Y261" s="1548"/>
      <c r="Z261" s="1557"/>
      <c r="AA261" s="1557"/>
      <c r="AB261" s="1518"/>
      <c r="AC261" s="1477"/>
      <c r="AD261" s="1548"/>
      <c r="AE261" s="1557"/>
      <c r="AF261" s="1557"/>
      <c r="AG261" s="1518"/>
      <c r="AH261" s="1477"/>
      <c r="AI261" s="1548"/>
      <c r="AJ261" s="1557"/>
      <c r="AK261" s="1557"/>
      <c r="AL261" s="1518"/>
      <c r="AM261" s="1477">
        <f t="shared" ref="AM261:BL261" si="140">AM259-AM260</f>
        <v>0</v>
      </c>
      <c r="AN261" s="1548">
        <f t="shared" si="140"/>
        <v>0</v>
      </c>
      <c r="AO261" s="1557">
        <f t="shared" si="140"/>
        <v>0.25805499999999992</v>
      </c>
      <c r="AP261" s="1557">
        <f t="shared" si="140"/>
        <v>0.51610999999999985</v>
      </c>
      <c r="AQ261" s="1518">
        <f t="shared" si="140"/>
        <v>0.77416499999999988</v>
      </c>
      <c r="AR261" s="1477">
        <f t="shared" si="140"/>
        <v>1.5483299999999995</v>
      </c>
      <c r="AS261" s="1548">
        <f t="shared" si="140"/>
        <v>0.78190664999999981</v>
      </c>
      <c r="AT261" s="1557">
        <f t="shared" si="140"/>
        <v>1.6506918166666666</v>
      </c>
      <c r="AU261" s="1557">
        <f t="shared" si="140"/>
        <v>2.519476983333333</v>
      </c>
      <c r="AV261" s="1518">
        <f t="shared" ref="AV261:AW261" si="141">AV259-AV260</f>
        <v>3.3882621499999996</v>
      </c>
      <c r="AW261" s="1477">
        <f t="shared" si="141"/>
        <v>8.3403375999999998</v>
      </c>
      <c r="AX261" s="1548">
        <f t="shared" si="140"/>
        <v>3.4221447714999997</v>
      </c>
      <c r="AY261" s="1557">
        <f t="shared" si="140"/>
        <v>4.2996177898333325</v>
      </c>
      <c r="AZ261" s="1557">
        <f t="shared" si="140"/>
        <v>5.1770908081666667</v>
      </c>
      <c r="BA261" s="1518">
        <f t="shared" si="140"/>
        <v>6.0545638265000008</v>
      </c>
      <c r="BB261" s="1477">
        <f t="shared" si="140"/>
        <v>18.953417196</v>
      </c>
      <c r="BC261" s="1548">
        <f t="shared" si="140"/>
        <v>6.1151094647650011</v>
      </c>
      <c r="BD261" s="1557">
        <f t="shared" si="140"/>
        <v>7.0013572132816675</v>
      </c>
      <c r="BE261" s="1557">
        <f t="shared" si="140"/>
        <v>7.8876049617983348</v>
      </c>
      <c r="BF261" s="1518">
        <f t="shared" si="140"/>
        <v>8.7738527103150012</v>
      </c>
      <c r="BG261" s="1477">
        <f t="shared" si="140"/>
        <v>29.777924350160003</v>
      </c>
      <c r="BH261" s="1548">
        <f t="shared" si="140"/>
        <v>8.8615912374181516</v>
      </c>
      <c r="BI261" s="1557">
        <f t="shared" si="140"/>
        <v>9.7567014634199847</v>
      </c>
      <c r="BJ261" s="1557">
        <f t="shared" si="140"/>
        <v>10.651811689421816</v>
      </c>
      <c r="BK261" s="1518">
        <f t="shared" si="140"/>
        <v>11.546921915423651</v>
      </c>
      <c r="BL261" s="1477">
        <f t="shared" si="140"/>
        <v>40.817026305683605</v>
      </c>
      <c r="BM261" s="1548">
        <f>BM259-BM260</f>
        <v>11.66239113457789</v>
      </c>
      <c r="BN261" s="1557">
        <f>BN259-BN260</f>
        <v>11.66239113457789</v>
      </c>
      <c r="BO261" s="1557">
        <f>BO259-BO260</f>
        <v>11.66239113457789</v>
      </c>
      <c r="BP261" s="1518">
        <f>BP259-BP260</f>
        <v>11.66239113457789</v>
      </c>
      <c r="BQ261" s="1477">
        <f>BQ259-BQ260</f>
        <v>46.649564538311559</v>
      </c>
    </row>
    <row r="262" spans="3:89" s="50" customFormat="1">
      <c r="C262" s="515"/>
      <c r="E262" s="225"/>
      <c r="F262" s="226"/>
      <c r="G262" s="226"/>
      <c r="H262" s="227"/>
      <c r="I262" s="228"/>
      <c r="J262" s="225"/>
      <c r="K262" s="226"/>
      <c r="L262" s="226"/>
      <c r="M262" s="227"/>
      <c r="N262" s="228"/>
      <c r="O262" s="149"/>
      <c r="P262" s="156"/>
      <c r="Q262" s="156"/>
      <c r="R262" s="151"/>
      <c r="S262" s="112"/>
      <c r="T262" s="149"/>
      <c r="U262" s="156"/>
      <c r="V262" s="156"/>
      <c r="W262" s="151"/>
      <c r="X262" s="112"/>
      <c r="Y262" s="149"/>
      <c r="Z262" s="156"/>
      <c r="AA262" s="156"/>
      <c r="AB262" s="151"/>
      <c r="AC262" s="112"/>
      <c r="AD262" s="149"/>
      <c r="AE262" s="156"/>
      <c r="AF262" s="156"/>
      <c r="AG262" s="151"/>
      <c r="AH262" s="112"/>
      <c r="AI262" s="149"/>
      <c r="AJ262" s="156"/>
      <c r="AK262" s="156"/>
      <c r="AL262" s="151"/>
      <c r="AM262" s="112"/>
      <c r="AN262" s="149"/>
      <c r="AO262" s="156"/>
      <c r="AP262" s="156"/>
      <c r="AQ262" s="151"/>
      <c r="AR262" s="112"/>
      <c r="AS262" s="149"/>
      <c r="AT262" s="156"/>
      <c r="AU262" s="156"/>
      <c r="AV262" s="151"/>
      <c r="AW262" s="112"/>
      <c r="AX262" s="149"/>
      <c r="AY262" s="156"/>
      <c r="AZ262" s="156"/>
      <c r="BA262" s="151"/>
      <c r="BB262" s="112"/>
      <c r="BC262" s="149"/>
      <c r="BD262" s="156"/>
      <c r="BE262" s="156"/>
      <c r="BF262" s="151"/>
      <c r="BG262" s="112"/>
      <c r="BH262" s="149"/>
      <c r="BI262" s="156"/>
      <c r="BJ262" s="156"/>
      <c r="BK262" s="151"/>
      <c r="BL262" s="112"/>
      <c r="BM262" s="149"/>
      <c r="BN262" s="156"/>
      <c r="BO262" s="156"/>
      <c r="BP262" s="151"/>
      <c r="BQ262" s="112"/>
      <c r="BT262" s="1272" t="s">
        <v>1249</v>
      </c>
      <c r="BW262" s="1829">
        <v>23</v>
      </c>
      <c r="BX262" s="1829">
        <v>23</v>
      </c>
      <c r="BY262" s="1829">
        <v>23</v>
      </c>
      <c r="BZ262" s="1829">
        <f t="shared" ref="BZ262:CB263" si="142">+BY262*1.02</f>
        <v>23.46</v>
      </c>
      <c r="CA262" s="1829">
        <f t="shared" si="142"/>
        <v>23.929200000000002</v>
      </c>
      <c r="CB262" s="1829">
        <f t="shared" si="142"/>
        <v>24.407784000000003</v>
      </c>
      <c r="CC262" s="1829">
        <f t="shared" ref="CC262:CK263" si="143">+CB262*1.02</f>
        <v>24.895939680000005</v>
      </c>
      <c r="CD262" s="1829">
        <f t="shared" si="143"/>
        <v>25.393858473600005</v>
      </c>
      <c r="CE262" s="1829">
        <f t="shared" si="143"/>
        <v>25.901735643072005</v>
      </c>
      <c r="CF262" s="1829">
        <f t="shared" si="143"/>
        <v>26.419770355933444</v>
      </c>
      <c r="CG262" s="1829">
        <f t="shared" si="143"/>
        <v>26.948165763052113</v>
      </c>
      <c r="CH262" s="1829">
        <f t="shared" si="143"/>
        <v>27.487129078313156</v>
      </c>
      <c r="CI262" s="1829">
        <f t="shared" si="143"/>
        <v>28.03687165987942</v>
      </c>
      <c r="CJ262" s="1829">
        <f t="shared" si="143"/>
        <v>28.597609093077008</v>
      </c>
      <c r="CK262" s="1829">
        <f t="shared" si="143"/>
        <v>29.169561274938548</v>
      </c>
    </row>
    <row r="263" spans="3:89" s="50" customFormat="1">
      <c r="C263" s="1809" t="s">
        <v>1221</v>
      </c>
      <c r="D263" s="1810"/>
      <c r="E263" s="1723"/>
      <c r="F263" s="1811"/>
      <c r="G263" s="1811"/>
      <c r="H263" s="1725"/>
      <c r="I263" s="1812"/>
      <c r="J263" s="1723"/>
      <c r="K263" s="1811"/>
      <c r="L263" s="1811"/>
      <c r="M263" s="1725"/>
      <c r="N263" s="1812"/>
      <c r="O263" s="1723"/>
      <c r="P263" s="1811"/>
      <c r="Q263" s="1811"/>
      <c r="R263" s="1725"/>
      <c r="S263" s="1812"/>
      <c r="T263" s="1723"/>
      <c r="U263" s="1811"/>
      <c r="V263" s="1811"/>
      <c r="W263" s="1725"/>
      <c r="X263" s="1812"/>
      <c r="Y263" s="1723"/>
      <c r="Z263" s="1811"/>
      <c r="AA263" s="1811"/>
      <c r="AB263" s="1725"/>
      <c r="AC263" s="1812"/>
      <c r="AD263" s="1723"/>
      <c r="AE263" s="1811"/>
      <c r="AF263" s="1811"/>
      <c r="AG263" s="1725"/>
      <c r="AH263" s="1812"/>
      <c r="AI263" s="1723"/>
      <c r="AJ263" s="1811"/>
      <c r="AK263" s="1811"/>
      <c r="AL263" s="1725"/>
      <c r="AM263" s="1812"/>
      <c r="AN263" s="1723"/>
      <c r="AO263" s="1811"/>
      <c r="AP263" s="1811"/>
      <c r="AQ263" s="1725"/>
      <c r="AR263" s="1812"/>
      <c r="AS263" s="1723"/>
      <c r="AT263" s="1811"/>
      <c r="AU263" s="1811"/>
      <c r="AV263" s="1725"/>
      <c r="AW263" s="1812"/>
      <c r="AX263" s="1723"/>
      <c r="AY263" s="1811"/>
      <c r="AZ263" s="1811"/>
      <c r="BA263" s="1725"/>
      <c r="BB263" s="1812"/>
      <c r="BC263" s="1723"/>
      <c r="BD263" s="1811"/>
      <c r="BE263" s="1811"/>
      <c r="BF263" s="1725"/>
      <c r="BG263" s="1812"/>
      <c r="BH263" s="1723"/>
      <c r="BI263" s="1811"/>
      <c r="BJ263" s="1811"/>
      <c r="BK263" s="1725"/>
      <c r="BL263" s="1812"/>
      <c r="BM263" s="1723"/>
      <c r="BN263" s="1811"/>
      <c r="BO263" s="1811"/>
      <c r="BP263" s="1725"/>
      <c r="BQ263" s="1812"/>
      <c r="BT263" s="1272" t="s">
        <v>1255</v>
      </c>
      <c r="BY263" s="1829">
        <f>BW262*0.8</f>
        <v>18.400000000000002</v>
      </c>
      <c r="BZ263" s="1829">
        <f t="shared" si="142"/>
        <v>18.768000000000004</v>
      </c>
      <c r="CA263" s="1829">
        <f t="shared" si="142"/>
        <v>19.143360000000005</v>
      </c>
      <c r="CB263" s="1829">
        <f t="shared" si="142"/>
        <v>19.526227200000005</v>
      </c>
      <c r="CC263" s="1829">
        <f t="shared" si="143"/>
        <v>19.916751744000006</v>
      </c>
      <c r="CD263" s="1829">
        <f t="shared" si="143"/>
        <v>20.315086778880005</v>
      </c>
      <c r="CE263" s="1829">
        <f t="shared" si="143"/>
        <v>20.721388514457605</v>
      </c>
      <c r="CF263" s="1829">
        <f t="shared" si="143"/>
        <v>21.135816284746756</v>
      </c>
      <c r="CG263" s="1829">
        <f t="shared" si="143"/>
        <v>21.558532610441691</v>
      </c>
      <c r="CH263" s="1829">
        <f t="shared" si="143"/>
        <v>21.989703262650526</v>
      </c>
      <c r="CI263" s="1829">
        <f t="shared" si="143"/>
        <v>22.429497327903537</v>
      </c>
      <c r="CJ263" s="1829">
        <f t="shared" si="143"/>
        <v>22.878087274461606</v>
      </c>
      <c r="CK263" s="1829">
        <f t="shared" si="143"/>
        <v>23.335649019950839</v>
      </c>
    </row>
    <row r="264" spans="3:89" s="50" customFormat="1">
      <c r="C264" s="1813" t="s">
        <v>1228</v>
      </c>
      <c r="D264" s="1813"/>
      <c r="E264" s="1469"/>
      <c r="F264" s="1814"/>
      <c r="G264" s="1814"/>
      <c r="H264" s="1471"/>
      <c r="I264" s="1815"/>
      <c r="J264" s="1469"/>
      <c r="K264" s="1814"/>
      <c r="L264" s="1814"/>
      <c r="M264" s="1471"/>
      <c r="N264" s="1816"/>
      <c r="O264" s="1476"/>
      <c r="P264" s="1571"/>
      <c r="Q264" s="1571"/>
      <c r="R264" s="1475"/>
      <c r="S264" s="1639"/>
      <c r="T264" s="1476"/>
      <c r="U264" s="1571"/>
      <c r="V264" s="1571"/>
      <c r="W264" s="1475"/>
      <c r="X264" s="1816"/>
      <c r="Y264" s="1476"/>
      <c r="Z264" s="1571"/>
      <c r="AA264" s="1571"/>
      <c r="AB264" s="1475"/>
      <c r="AC264" s="1817"/>
      <c r="AD264" s="1476"/>
      <c r="AE264" s="1571"/>
      <c r="AF264" s="1571"/>
      <c r="AG264" s="1475"/>
      <c r="AH264" s="1817"/>
      <c r="AI264" s="1476"/>
      <c r="AJ264" s="1571"/>
      <c r="AK264" s="1571"/>
      <c r="AL264" s="1475"/>
      <c r="AM264" s="1816">
        <v>80</v>
      </c>
      <c r="AN264" s="1476">
        <f>AO264</f>
        <v>80.8</v>
      </c>
      <c r="AO264" s="1571">
        <f>AP264</f>
        <v>80.8</v>
      </c>
      <c r="AP264" s="1571">
        <f>AQ264</f>
        <v>80.8</v>
      </c>
      <c r="AQ264" s="1475">
        <f>AR264</f>
        <v>80.8</v>
      </c>
      <c r="AR264" s="1817">
        <f>+AM264*1.01</f>
        <v>80.8</v>
      </c>
      <c r="AS264" s="1476">
        <f>AT264</f>
        <v>81.608000000000004</v>
      </c>
      <c r="AT264" s="1571">
        <f>AU264</f>
        <v>81.608000000000004</v>
      </c>
      <c r="AU264" s="1571">
        <f>AV264</f>
        <v>81.608000000000004</v>
      </c>
      <c r="AV264" s="1475">
        <f>AW264</f>
        <v>81.608000000000004</v>
      </c>
      <c r="AW264" s="1817">
        <f>+AR264*1.01</f>
        <v>81.608000000000004</v>
      </c>
      <c r="AX264" s="1476">
        <f>AY264</f>
        <v>82.424080000000004</v>
      </c>
      <c r="AY264" s="1571">
        <f>AZ264</f>
        <v>82.424080000000004</v>
      </c>
      <c r="AZ264" s="1571">
        <f>BA264</f>
        <v>82.424080000000004</v>
      </c>
      <c r="BA264" s="1475">
        <f>BB264</f>
        <v>82.424080000000004</v>
      </c>
      <c r="BB264" s="1817">
        <f>+AW264*1.01</f>
        <v>82.424080000000004</v>
      </c>
      <c r="BC264" s="1476">
        <f>BD264</f>
        <v>83.248320800000002</v>
      </c>
      <c r="BD264" s="1571">
        <f>BE264</f>
        <v>83.248320800000002</v>
      </c>
      <c r="BE264" s="1571">
        <f>BF264</f>
        <v>83.248320800000002</v>
      </c>
      <c r="BF264" s="1475">
        <f>BG264</f>
        <v>83.248320800000002</v>
      </c>
      <c r="BG264" s="1817">
        <f>+BB264*1.01</f>
        <v>83.248320800000002</v>
      </c>
      <c r="BH264" s="1476">
        <f>BI264</f>
        <v>84.080804008000001</v>
      </c>
      <c r="BI264" s="1571">
        <f>BJ264</f>
        <v>84.080804008000001</v>
      </c>
      <c r="BJ264" s="1571">
        <f>BK264</f>
        <v>84.080804008000001</v>
      </c>
      <c r="BK264" s="1475">
        <f>BL264</f>
        <v>84.080804008000001</v>
      </c>
      <c r="BL264" s="1817">
        <f>+BG264*1.01</f>
        <v>84.080804008000001</v>
      </c>
      <c r="BM264" s="1476">
        <f>BN264</f>
        <v>84.921612048080007</v>
      </c>
      <c r="BN264" s="1571">
        <f>BO264</f>
        <v>84.921612048080007</v>
      </c>
      <c r="BO264" s="1571">
        <f>BP264</f>
        <v>84.921612048080007</v>
      </c>
      <c r="BP264" s="1475">
        <f>BQ264</f>
        <v>84.921612048080007</v>
      </c>
      <c r="BQ264" s="1817">
        <f>+BL264*1.01</f>
        <v>84.921612048080007</v>
      </c>
      <c r="BT264" s="1272" t="s">
        <v>1256</v>
      </c>
      <c r="BY264" s="1829"/>
      <c r="BZ264" s="1829">
        <f>BW262*0.6</f>
        <v>13.799999999999999</v>
      </c>
      <c r="CA264" s="1829">
        <f t="shared" ref="CA264:CK264" si="144">+BZ264*1.02</f>
        <v>14.075999999999999</v>
      </c>
      <c r="CB264" s="1829">
        <f t="shared" si="144"/>
        <v>14.357519999999999</v>
      </c>
      <c r="CC264" s="1829">
        <f t="shared" si="144"/>
        <v>14.644670399999999</v>
      </c>
      <c r="CD264" s="1829">
        <f t="shared" si="144"/>
        <v>14.937563807999998</v>
      </c>
      <c r="CE264" s="1829">
        <f t="shared" si="144"/>
        <v>15.236315084159999</v>
      </c>
      <c r="CF264" s="1829">
        <f t="shared" si="144"/>
        <v>15.541041385843199</v>
      </c>
      <c r="CG264" s="1829">
        <f t="shared" si="144"/>
        <v>15.851862213560063</v>
      </c>
      <c r="CH264" s="1829">
        <f t="shared" si="144"/>
        <v>16.168899457831266</v>
      </c>
      <c r="CI264" s="1829">
        <f t="shared" si="144"/>
        <v>16.492277446987892</v>
      </c>
      <c r="CJ264" s="1829">
        <f t="shared" si="144"/>
        <v>16.82212299592765</v>
      </c>
      <c r="CK264" s="1829">
        <f t="shared" si="144"/>
        <v>17.158565455846205</v>
      </c>
    </row>
    <row r="265" spans="3:89" s="50" customFormat="1">
      <c r="C265" s="1813" t="s">
        <v>1157</v>
      </c>
      <c r="D265" s="1813"/>
      <c r="E265" s="1469"/>
      <c r="F265" s="1814"/>
      <c r="G265" s="1814"/>
      <c r="H265" s="1471"/>
      <c r="I265" s="1815"/>
      <c r="J265" s="1469"/>
      <c r="K265" s="1814"/>
      <c r="L265" s="1814"/>
      <c r="M265" s="1471"/>
      <c r="N265" s="1815"/>
      <c r="O265" s="1485"/>
      <c r="P265" s="1488"/>
      <c r="Q265" s="1488"/>
      <c r="R265" s="1487"/>
      <c r="S265" s="1639"/>
      <c r="T265" s="1485"/>
      <c r="U265" s="1488"/>
      <c r="V265" s="1488"/>
      <c r="W265" s="1487"/>
      <c r="X265" s="1639"/>
      <c r="Y265" s="1485"/>
      <c r="Z265" s="1488"/>
      <c r="AA265" s="1488"/>
      <c r="AB265" s="1487"/>
      <c r="AC265" s="1639"/>
      <c r="AD265" s="1485"/>
      <c r="AE265" s="1488"/>
      <c r="AF265" s="1488"/>
      <c r="AG265" s="1487"/>
      <c r="AH265" s="1484"/>
      <c r="AI265" s="1485"/>
      <c r="AJ265" s="1488"/>
      <c r="AK265" s="1488"/>
      <c r="AL265" s="1487"/>
      <c r="AM265" s="1639">
        <v>0</v>
      </c>
      <c r="AN265" s="1485">
        <v>0</v>
      </c>
      <c r="AO265" s="1488">
        <f>+AN265+AR266/3</f>
        <v>5.5555555555555545</v>
      </c>
      <c r="AP265" s="1488">
        <f>+AO265+AR266/3</f>
        <v>11.111111111111109</v>
      </c>
      <c r="AQ265" s="1487">
        <f>+AP265+AR266/3</f>
        <v>16.666666666666664</v>
      </c>
      <c r="AR265" s="1484">
        <f>+AM265+AR266</f>
        <v>16.666666666666664</v>
      </c>
      <c r="AS265" s="1485">
        <f>AR265</f>
        <v>16.666666666666664</v>
      </c>
      <c r="AT265" s="1488">
        <f>AS265</f>
        <v>16.666666666666664</v>
      </c>
      <c r="AU265" s="1488">
        <f>AV265</f>
        <v>72.222222222222214</v>
      </c>
      <c r="AV265" s="1487">
        <f>AW265</f>
        <v>72.222222222222214</v>
      </c>
      <c r="AW265" s="1484">
        <f>+AR265+AW266</f>
        <v>72.222222222222214</v>
      </c>
      <c r="AX265" s="1485">
        <f>AW265</f>
        <v>72.222222222222214</v>
      </c>
      <c r="AY265" s="1488">
        <f>AX265</f>
        <v>72.222222222222214</v>
      </c>
      <c r="AZ265" s="1488">
        <f>BA265</f>
        <v>127.77777777777777</v>
      </c>
      <c r="BA265" s="1487">
        <f>BB265</f>
        <v>127.77777777777777</v>
      </c>
      <c r="BB265" s="1484">
        <f>+AW265+BB266</f>
        <v>127.77777777777777</v>
      </c>
      <c r="BC265" s="1485">
        <f>BB265</f>
        <v>127.77777777777777</v>
      </c>
      <c r="BD265" s="1488">
        <f>BC265</f>
        <v>127.77777777777777</v>
      </c>
      <c r="BE265" s="1488">
        <f>BF265</f>
        <v>183.33333333333331</v>
      </c>
      <c r="BF265" s="1487">
        <f>BG265</f>
        <v>183.33333333333331</v>
      </c>
      <c r="BG265" s="1484">
        <f>+BB265+BG266</f>
        <v>183.33333333333331</v>
      </c>
      <c r="BH265" s="1485">
        <f>BG265</f>
        <v>183.33333333333331</v>
      </c>
      <c r="BI265" s="1488">
        <f>BH265</f>
        <v>183.33333333333331</v>
      </c>
      <c r="BJ265" s="1488">
        <f>BK265</f>
        <v>238.88888888888886</v>
      </c>
      <c r="BK265" s="1487">
        <f>BL265</f>
        <v>238.88888888888886</v>
      </c>
      <c r="BL265" s="1484">
        <f>+BG265+BL266</f>
        <v>238.88888888888886</v>
      </c>
      <c r="BM265" s="1485">
        <f>BL265</f>
        <v>238.88888888888886</v>
      </c>
      <c r="BN265" s="1488">
        <f>BM265</f>
        <v>238.88888888888886</v>
      </c>
      <c r="BO265" s="1488">
        <f>BP265</f>
        <v>238.88888888888886</v>
      </c>
      <c r="BP265" s="1487">
        <f>BQ265</f>
        <v>238.88888888888886</v>
      </c>
      <c r="BQ265" s="1484">
        <f>+BL265+BQ266</f>
        <v>238.88888888888886</v>
      </c>
      <c r="BT265" s="1272" t="s">
        <v>1257</v>
      </c>
      <c r="BY265" s="1829"/>
      <c r="BZ265" s="1829"/>
      <c r="CA265" s="1829">
        <f>BW262*0.4</f>
        <v>9.2000000000000011</v>
      </c>
      <c r="CB265" s="1829">
        <f t="shared" ref="CB265:CK265" si="145">+CA265*1.02</f>
        <v>9.3840000000000021</v>
      </c>
      <c r="CC265" s="1829">
        <f t="shared" si="145"/>
        <v>9.5716800000000024</v>
      </c>
      <c r="CD265" s="1829">
        <f t="shared" si="145"/>
        <v>9.7631136000000023</v>
      </c>
      <c r="CE265" s="1829">
        <f t="shared" si="145"/>
        <v>9.9583758720000031</v>
      </c>
      <c r="CF265" s="1829">
        <f t="shared" si="145"/>
        <v>10.157543389440002</v>
      </c>
      <c r="CG265" s="1829">
        <f t="shared" si="145"/>
        <v>10.360694257228802</v>
      </c>
      <c r="CH265" s="1829">
        <f t="shared" si="145"/>
        <v>10.567908142373378</v>
      </c>
      <c r="CI265" s="1829">
        <f t="shared" si="145"/>
        <v>10.779266305220846</v>
      </c>
      <c r="CJ265" s="1829">
        <f t="shared" si="145"/>
        <v>10.994851631325263</v>
      </c>
      <c r="CK265" s="1829">
        <f t="shared" si="145"/>
        <v>11.214748663951768</v>
      </c>
    </row>
    <row r="266" spans="3:89" s="50" customFormat="1">
      <c r="C266" s="1813" t="s">
        <v>1229</v>
      </c>
      <c r="D266" s="1813"/>
      <c r="E266" s="1469"/>
      <c r="F266" s="1814"/>
      <c r="G266" s="1814"/>
      <c r="H266" s="1471"/>
      <c r="I266" s="1815"/>
      <c r="J266" s="1469"/>
      <c r="K266" s="1814"/>
      <c r="L266" s="1814"/>
      <c r="M266" s="1471"/>
      <c r="N266" s="1815"/>
      <c r="O266" s="1469"/>
      <c r="P266" s="1814"/>
      <c r="Q266" s="1814"/>
      <c r="R266" s="1471"/>
      <c r="S266" s="1639"/>
      <c r="T266" s="1469"/>
      <c r="U266" s="1814"/>
      <c r="V266" s="1814"/>
      <c r="W266" s="1471"/>
      <c r="X266" s="1639"/>
      <c r="Y266" s="1469"/>
      <c r="Z266" s="1814"/>
      <c r="AA266" s="1814"/>
      <c r="AB266" s="1471"/>
      <c r="AC266" s="1639"/>
      <c r="AD266" s="1469"/>
      <c r="AE266" s="1814"/>
      <c r="AF266" s="1814"/>
      <c r="AG266" s="1471"/>
      <c r="AH266" s="1639"/>
      <c r="AI266" s="1469"/>
      <c r="AJ266" s="1814"/>
      <c r="AK266" s="1814"/>
      <c r="AL266" s="1471"/>
      <c r="AM266" s="1639"/>
      <c r="AN266" s="1469"/>
      <c r="AO266" s="1814"/>
      <c r="AP266" s="1814"/>
      <c r="AQ266" s="1471"/>
      <c r="AR266" s="1639">
        <f>AR236*AR242/AR247*1000</f>
        <v>16.666666666666664</v>
      </c>
      <c r="AS266" s="1469"/>
      <c r="AT266" s="1814"/>
      <c r="AU266" s="1814"/>
      <c r="AV266" s="1471"/>
      <c r="AW266" s="1639">
        <f>AW236*AW242/AW247*1000</f>
        <v>55.55555555555555</v>
      </c>
      <c r="AX266" s="1469"/>
      <c r="AY266" s="1814"/>
      <c r="AZ266" s="1814"/>
      <c r="BA266" s="1471"/>
      <c r="BB266" s="1639">
        <f>BB236*BB242/BB247*1000</f>
        <v>55.55555555555555</v>
      </c>
      <c r="BC266" s="1469"/>
      <c r="BD266" s="1814"/>
      <c r="BE266" s="1814"/>
      <c r="BF266" s="1471"/>
      <c r="BG266" s="1639">
        <f>BG236*BG242/BG247*1000</f>
        <v>55.55555555555555</v>
      </c>
      <c r="BH266" s="1469"/>
      <c r="BI266" s="1814"/>
      <c r="BJ266" s="1814"/>
      <c r="BK266" s="1471"/>
      <c r="BL266" s="1639">
        <f>BL236*BL242/BL247*1000</f>
        <v>55.55555555555555</v>
      </c>
      <c r="BM266" s="1469"/>
      <c r="BN266" s="1814"/>
      <c r="BO266" s="1814"/>
      <c r="BP266" s="1471"/>
      <c r="BQ266" s="1639">
        <f>BQ236*BQ242/BQ247*1000</f>
        <v>0</v>
      </c>
      <c r="BT266" s="1272" t="s">
        <v>1230</v>
      </c>
      <c r="BW266" s="1818">
        <v>0.45</v>
      </c>
      <c r="BX266" s="1818">
        <f>BW266</f>
        <v>0.45</v>
      </c>
      <c r="BY266" s="1818">
        <f t="shared" ref="BY266:CK266" si="146">BX266</f>
        <v>0.45</v>
      </c>
      <c r="BZ266" s="1818">
        <f t="shared" si="146"/>
        <v>0.45</v>
      </c>
      <c r="CA266" s="1818">
        <f t="shared" si="146"/>
        <v>0.45</v>
      </c>
      <c r="CB266" s="1818">
        <f t="shared" si="146"/>
        <v>0.45</v>
      </c>
      <c r="CC266" s="1818">
        <f t="shared" si="146"/>
        <v>0.45</v>
      </c>
      <c r="CD266" s="1818">
        <f t="shared" si="146"/>
        <v>0.45</v>
      </c>
      <c r="CE266" s="1818">
        <f t="shared" si="146"/>
        <v>0.45</v>
      </c>
      <c r="CF266" s="1818">
        <f t="shared" si="146"/>
        <v>0.45</v>
      </c>
      <c r="CG266" s="1818">
        <f t="shared" si="146"/>
        <v>0.45</v>
      </c>
      <c r="CH266" s="1818">
        <f t="shared" si="146"/>
        <v>0.45</v>
      </c>
      <c r="CI266" s="1818">
        <f t="shared" si="146"/>
        <v>0.45</v>
      </c>
      <c r="CJ266" s="1818">
        <f t="shared" si="146"/>
        <v>0.45</v>
      </c>
      <c r="CK266" s="1818">
        <f t="shared" si="146"/>
        <v>0.45</v>
      </c>
    </row>
    <row r="267" spans="3:89" s="50" customFormat="1">
      <c r="C267" s="1813"/>
      <c r="D267" s="1813"/>
      <c r="E267" s="1469"/>
      <c r="F267" s="1814"/>
      <c r="G267" s="1814"/>
      <c r="H267" s="1471"/>
      <c r="I267" s="1815"/>
      <c r="J267" s="1469"/>
      <c r="K267" s="1814"/>
      <c r="L267" s="1814"/>
      <c r="M267" s="1471"/>
      <c r="N267" s="1815"/>
      <c r="O267" s="1469"/>
      <c r="P267" s="1814"/>
      <c r="Q267" s="1814"/>
      <c r="R267" s="1471"/>
      <c r="S267" s="1815"/>
      <c r="T267" s="1469"/>
      <c r="U267" s="1814"/>
      <c r="V267" s="1814"/>
      <c r="W267" s="1471"/>
      <c r="X267" s="1815"/>
      <c r="Y267" s="1469"/>
      <c r="Z267" s="1814"/>
      <c r="AA267" s="1814"/>
      <c r="AB267" s="1471"/>
      <c r="AC267" s="1815"/>
      <c r="AD267" s="1469"/>
      <c r="AE267" s="1814"/>
      <c r="AF267" s="1814"/>
      <c r="AG267" s="1471"/>
      <c r="AH267" s="1815"/>
      <c r="AI267" s="1469"/>
      <c r="AJ267" s="1814"/>
      <c r="AK267" s="1814"/>
      <c r="AL267" s="1471"/>
      <c r="AM267" s="1815"/>
      <c r="AN267" s="1469"/>
      <c r="AO267" s="1814"/>
      <c r="AP267" s="1814"/>
      <c r="AQ267" s="1471"/>
      <c r="AR267" s="1815"/>
      <c r="AS267" s="1469"/>
      <c r="AT267" s="1814"/>
      <c r="AU267" s="1814"/>
      <c r="AV267" s="1471"/>
      <c r="AW267" s="1815"/>
      <c r="AX267" s="1469"/>
      <c r="AY267" s="1814"/>
      <c r="AZ267" s="1814"/>
      <c r="BA267" s="1471"/>
      <c r="BB267" s="1815"/>
      <c r="BC267" s="1469"/>
      <c r="BD267" s="1814"/>
      <c r="BE267" s="1814"/>
      <c r="BF267" s="1471"/>
      <c r="BG267" s="1815"/>
      <c r="BH267" s="1469"/>
      <c r="BI267" s="1814"/>
      <c r="BJ267" s="1814"/>
      <c r="BK267" s="1471"/>
      <c r="BL267" s="1815"/>
      <c r="BM267" s="1469"/>
      <c r="BN267" s="1814"/>
      <c r="BO267" s="1814"/>
      <c r="BP267" s="1471"/>
      <c r="BQ267" s="1815"/>
    </row>
    <row r="268" spans="3:89" s="50" customFormat="1">
      <c r="C268" s="1813" t="s">
        <v>1230</v>
      </c>
      <c r="D268" s="1813"/>
      <c r="E268" s="1469"/>
      <c r="F268" s="1814"/>
      <c r="G268" s="1814"/>
      <c r="H268" s="1471"/>
      <c r="I268" s="1815"/>
      <c r="J268" s="1469"/>
      <c r="K268" s="1814"/>
      <c r="L268" s="1814"/>
      <c r="M268" s="1471"/>
      <c r="N268" s="1818"/>
      <c r="O268" s="1587"/>
      <c r="P268" s="1588"/>
      <c r="Q268" s="1588"/>
      <c r="R268" s="1589"/>
      <c r="S268" s="1818"/>
      <c r="T268" s="1587"/>
      <c r="U268" s="1588"/>
      <c r="V268" s="1588"/>
      <c r="W268" s="1589"/>
      <c r="X268" s="1818"/>
      <c r="Y268" s="1587"/>
      <c r="Z268" s="1588"/>
      <c r="AA268" s="1588"/>
      <c r="AB268" s="1589"/>
      <c r="AC268" s="1819"/>
      <c r="AD268" s="1587"/>
      <c r="AE268" s="1588"/>
      <c r="AF268" s="1588"/>
      <c r="AG268" s="1589"/>
      <c r="AH268" s="1819"/>
      <c r="AI268" s="1820"/>
      <c r="AJ268" s="1588"/>
      <c r="AK268" s="1588"/>
      <c r="AL268" s="1589"/>
      <c r="AM268" s="1818">
        <v>0.25</v>
      </c>
      <c r="AN268" s="1587">
        <f>AM268</f>
        <v>0.25</v>
      </c>
      <c r="AO268" s="1588">
        <f>AN268</f>
        <v>0.25</v>
      </c>
      <c r="AP268" s="1588">
        <f>+AO268</f>
        <v>0.25</v>
      </c>
      <c r="AQ268" s="1589">
        <f>+AP268</f>
        <v>0.25</v>
      </c>
      <c r="AR268" s="1819">
        <f t="shared" ref="AR268:BL268" si="147">+AQ268</f>
        <v>0.25</v>
      </c>
      <c r="AS268" s="1587">
        <f t="shared" si="147"/>
        <v>0.25</v>
      </c>
      <c r="AT268" s="1588">
        <f t="shared" si="147"/>
        <v>0.25</v>
      </c>
      <c r="AU268" s="1588">
        <f t="shared" si="147"/>
        <v>0.25</v>
      </c>
      <c r="AV268" s="1589">
        <f t="shared" si="147"/>
        <v>0.25</v>
      </c>
      <c r="AW268" s="1819">
        <f t="shared" si="147"/>
        <v>0.25</v>
      </c>
      <c r="AX268" s="1587">
        <f t="shared" si="147"/>
        <v>0.25</v>
      </c>
      <c r="AY268" s="1588">
        <f t="shared" si="147"/>
        <v>0.25</v>
      </c>
      <c r="AZ268" s="1588">
        <f t="shared" si="147"/>
        <v>0.25</v>
      </c>
      <c r="BA268" s="1589">
        <f t="shared" si="147"/>
        <v>0.25</v>
      </c>
      <c r="BB268" s="1819">
        <f t="shared" si="147"/>
        <v>0.25</v>
      </c>
      <c r="BC268" s="1587">
        <f t="shared" si="147"/>
        <v>0.25</v>
      </c>
      <c r="BD268" s="1588">
        <f t="shared" si="147"/>
        <v>0.25</v>
      </c>
      <c r="BE268" s="1588">
        <f t="shared" si="147"/>
        <v>0.25</v>
      </c>
      <c r="BF268" s="1589">
        <f t="shared" si="147"/>
        <v>0.25</v>
      </c>
      <c r="BG268" s="1819">
        <f t="shared" si="147"/>
        <v>0.25</v>
      </c>
      <c r="BH268" s="1587">
        <f t="shared" si="147"/>
        <v>0.25</v>
      </c>
      <c r="BI268" s="1588">
        <f t="shared" si="147"/>
        <v>0.25</v>
      </c>
      <c r="BJ268" s="1588">
        <f t="shared" si="147"/>
        <v>0.25</v>
      </c>
      <c r="BK268" s="1589">
        <f t="shared" si="147"/>
        <v>0.25</v>
      </c>
      <c r="BL268" s="1819">
        <f t="shared" si="147"/>
        <v>0.25</v>
      </c>
      <c r="BM268" s="1587">
        <f>+BL268</f>
        <v>0.25</v>
      </c>
      <c r="BN268" s="1588">
        <f>+BM268</f>
        <v>0.25</v>
      </c>
      <c r="BO268" s="1588">
        <f>+BN268</f>
        <v>0.25</v>
      </c>
      <c r="BP268" s="1589">
        <f>+BO268</f>
        <v>0.25</v>
      </c>
      <c r="BQ268" s="1819">
        <f>+BP268</f>
        <v>0.25</v>
      </c>
      <c r="BT268" s="1833" t="s">
        <v>1258</v>
      </c>
      <c r="BW268" s="109">
        <f t="shared" ref="BW268:CK268" si="148">BW266*SUM(BW254:BW255)*8.76</f>
        <v>43.79999999999999</v>
      </c>
      <c r="BX268" s="109">
        <f t="shared" si="148"/>
        <v>233.59999999999997</v>
      </c>
      <c r="BY268" s="109">
        <f t="shared" si="148"/>
        <v>379.59999999999997</v>
      </c>
      <c r="BZ268" s="109">
        <f t="shared" si="148"/>
        <v>379.59999999999997</v>
      </c>
      <c r="CA268" s="109">
        <f t="shared" si="148"/>
        <v>379.59999999999997</v>
      </c>
      <c r="CB268" s="109">
        <f t="shared" si="148"/>
        <v>379.59999999999997</v>
      </c>
      <c r="CC268" s="109">
        <f t="shared" si="148"/>
        <v>379.59999999999997</v>
      </c>
      <c r="CD268" s="109">
        <f t="shared" si="148"/>
        <v>379.59999999999997</v>
      </c>
      <c r="CE268" s="109">
        <f t="shared" si="148"/>
        <v>379.59999999999997</v>
      </c>
      <c r="CF268" s="109">
        <f t="shared" si="148"/>
        <v>379.59999999999997</v>
      </c>
      <c r="CG268" s="109">
        <f t="shared" si="148"/>
        <v>335.8</v>
      </c>
      <c r="CH268" s="109">
        <f t="shared" si="148"/>
        <v>146</v>
      </c>
      <c r="CI268" s="109">
        <f t="shared" si="148"/>
        <v>0</v>
      </c>
      <c r="CJ268" s="109">
        <f t="shared" si="148"/>
        <v>0</v>
      </c>
      <c r="CK268" s="109">
        <f t="shared" si="148"/>
        <v>0</v>
      </c>
    </row>
    <row r="269" spans="3:89" s="50" customFormat="1">
      <c r="C269" s="1813" t="s">
        <v>1231</v>
      </c>
      <c r="D269" s="1813"/>
      <c r="E269" s="1469"/>
      <c r="F269" s="1814"/>
      <c r="G269" s="1814"/>
      <c r="H269" s="1471"/>
      <c r="I269" s="1815"/>
      <c r="J269" s="1469"/>
      <c r="K269" s="1814"/>
      <c r="L269" s="1814"/>
      <c r="M269" s="1471"/>
      <c r="N269" s="1484"/>
      <c r="O269" s="1485"/>
      <c r="P269" s="1488"/>
      <c r="Q269" s="1488"/>
      <c r="R269" s="1487"/>
      <c r="S269" s="1484"/>
      <c r="T269" s="1485"/>
      <c r="U269" s="1488"/>
      <c r="V269" s="1488"/>
      <c r="W269" s="1487"/>
      <c r="X269" s="1484"/>
      <c r="Y269" s="1485"/>
      <c r="Z269" s="1488"/>
      <c r="AA269" s="1488"/>
      <c r="AB269" s="1487"/>
      <c r="AC269" s="1484"/>
      <c r="AD269" s="1485"/>
      <c r="AE269" s="1488"/>
      <c r="AF269" s="1488"/>
      <c r="AG269" s="1487"/>
      <c r="AH269" s="1484"/>
      <c r="AI269" s="1485"/>
      <c r="AJ269" s="1488"/>
      <c r="AK269" s="1488"/>
      <c r="AL269" s="1487"/>
      <c r="AM269" s="1484">
        <f>SUM(AI269:AL269)</f>
        <v>0</v>
      </c>
      <c r="AN269" s="1485">
        <f>+AN265*AN268*8.76/4</f>
        <v>0</v>
      </c>
      <c r="AO269" s="1488">
        <f>+AO265*AO268*8.76/4</f>
        <v>3.0416666666666661</v>
      </c>
      <c r="AP269" s="1488">
        <f>+AP265*AP268*8.76/4</f>
        <v>6.0833333333333321</v>
      </c>
      <c r="AQ269" s="1487">
        <f>+AQ265*AQ268*8.76/4</f>
        <v>9.1249999999999982</v>
      </c>
      <c r="AR269" s="1484">
        <f>SUM(AN269:AQ269)</f>
        <v>18.249999999999996</v>
      </c>
      <c r="AS269" s="1485">
        <f>+AS265*AS268*8.76/4</f>
        <v>9.1249999999999982</v>
      </c>
      <c r="AT269" s="1488">
        <f>+AT265*AT268*8.76/4</f>
        <v>9.1249999999999982</v>
      </c>
      <c r="AU269" s="1488">
        <f>+AU265*AU268*8.76/4</f>
        <v>39.541666666666664</v>
      </c>
      <c r="AV269" s="1487">
        <f>+AV265*AV268*8.76/4</f>
        <v>39.541666666666664</v>
      </c>
      <c r="AW269" s="1484">
        <f>SUM(AS269:AV269)</f>
        <v>97.333333333333314</v>
      </c>
      <c r="AX269" s="1485">
        <f>+AX265*AX268*8.76/4</f>
        <v>39.541666666666664</v>
      </c>
      <c r="AY269" s="1488">
        <f>+AY265*AY268*8.76/4</f>
        <v>39.541666666666664</v>
      </c>
      <c r="AZ269" s="1488">
        <f>+AZ265*AZ268*8.76/4</f>
        <v>69.958333333333329</v>
      </c>
      <c r="BA269" s="1487">
        <f>+BA265*BA268*8.76/4</f>
        <v>69.958333333333329</v>
      </c>
      <c r="BB269" s="1484">
        <f>SUM(AX269:BA269)</f>
        <v>219</v>
      </c>
      <c r="BC269" s="1485">
        <f>+BC265*BC268*8.76/4</f>
        <v>69.958333333333329</v>
      </c>
      <c r="BD269" s="1488">
        <f>+BD265*BD268*8.76/4</f>
        <v>69.958333333333329</v>
      </c>
      <c r="BE269" s="1488">
        <f>+BE265*BE268*8.76/4</f>
        <v>100.37499999999999</v>
      </c>
      <c r="BF269" s="1487">
        <f>+BF265*BF268*8.76/4</f>
        <v>100.37499999999999</v>
      </c>
      <c r="BG269" s="1484">
        <f>SUM(BC269:BF269)</f>
        <v>340.66666666666663</v>
      </c>
      <c r="BH269" s="1485">
        <f>+BH265*BH268*8.76/4</f>
        <v>100.37499999999999</v>
      </c>
      <c r="BI269" s="1488">
        <f>+BI265*BI268*8.76/4</f>
        <v>100.37499999999999</v>
      </c>
      <c r="BJ269" s="1488">
        <f>+BJ265*BJ268*8.76/4</f>
        <v>130.79166666666666</v>
      </c>
      <c r="BK269" s="1487">
        <f>+BK265*BK268*8.76/4</f>
        <v>130.79166666666666</v>
      </c>
      <c r="BL269" s="1484">
        <f>SUM(BH269:BK269)</f>
        <v>462.33333333333326</v>
      </c>
      <c r="BM269" s="1485">
        <f>+BM265*BM268*8.76/4</f>
        <v>130.79166666666666</v>
      </c>
      <c r="BN269" s="1488">
        <f>+BN265*BN268*8.76/4</f>
        <v>130.79166666666666</v>
      </c>
      <c r="BO269" s="1488">
        <f>+BO265*BO268*8.76/4</f>
        <v>130.79166666666666</v>
      </c>
      <c r="BP269" s="1487">
        <f>+BP265*BP268*8.76/4</f>
        <v>130.79166666666666</v>
      </c>
      <c r="BQ269" s="1484">
        <f>SUM(BM269:BP269)</f>
        <v>523.16666666666663</v>
      </c>
      <c r="BT269" s="1833" t="s">
        <v>1259</v>
      </c>
      <c r="BW269" s="109">
        <f t="shared" ref="BW269:CK269" si="149">BW$266*SUM(BW256)*8.76</f>
        <v>0</v>
      </c>
      <c r="BX269" s="109">
        <f t="shared" si="149"/>
        <v>0</v>
      </c>
      <c r="BY269" s="109">
        <f t="shared" si="149"/>
        <v>146</v>
      </c>
      <c r="BZ269" s="109">
        <f t="shared" si="149"/>
        <v>292</v>
      </c>
      <c r="CA269" s="109">
        <f t="shared" si="149"/>
        <v>292</v>
      </c>
      <c r="CB269" s="109">
        <f t="shared" si="149"/>
        <v>292</v>
      </c>
      <c r="CC269" s="109">
        <f t="shared" si="149"/>
        <v>292</v>
      </c>
      <c r="CD269" s="109">
        <f t="shared" si="149"/>
        <v>292</v>
      </c>
      <c r="CE269" s="109">
        <f t="shared" si="149"/>
        <v>292</v>
      </c>
      <c r="CF269" s="109">
        <f t="shared" si="149"/>
        <v>292</v>
      </c>
      <c r="CG269" s="109">
        <f t="shared" si="149"/>
        <v>292</v>
      </c>
      <c r="CH269" s="109">
        <f t="shared" si="149"/>
        <v>292</v>
      </c>
      <c r="CI269" s="109">
        <f t="shared" si="149"/>
        <v>146</v>
      </c>
      <c r="CJ269" s="109">
        <f t="shared" si="149"/>
        <v>0</v>
      </c>
      <c r="CK269" s="109">
        <f t="shared" si="149"/>
        <v>0</v>
      </c>
    </row>
    <row r="270" spans="3:89" s="50" customFormat="1">
      <c r="C270" s="1813"/>
      <c r="D270" s="1813"/>
      <c r="E270" s="1469"/>
      <c r="F270" s="1814"/>
      <c r="G270" s="1814"/>
      <c r="H270" s="1471"/>
      <c r="I270" s="1815"/>
      <c r="J270" s="1469"/>
      <c r="K270" s="1814"/>
      <c r="L270" s="1814"/>
      <c r="M270" s="1471"/>
      <c r="N270" s="1815"/>
      <c r="O270" s="1469"/>
      <c r="P270" s="1814"/>
      <c r="Q270" s="1814"/>
      <c r="R270" s="1471"/>
      <c r="S270" s="1815"/>
      <c r="T270" s="1469"/>
      <c r="U270" s="1814"/>
      <c r="V270" s="1814"/>
      <c r="W270" s="1471"/>
      <c r="X270" s="1815"/>
      <c r="Y270" s="1469"/>
      <c r="Z270" s="1814"/>
      <c r="AA270" s="1814"/>
      <c r="AB270" s="1471"/>
      <c r="AC270" s="1815"/>
      <c r="AD270" s="1469"/>
      <c r="AE270" s="1814"/>
      <c r="AF270" s="1814"/>
      <c r="AG270" s="1471"/>
      <c r="AH270" s="1815"/>
      <c r="AI270" s="1469"/>
      <c r="AJ270" s="1814"/>
      <c r="AK270" s="1814"/>
      <c r="AL270" s="1471"/>
      <c r="AM270" s="1815"/>
      <c r="AN270" s="1469"/>
      <c r="AO270" s="1814"/>
      <c r="AP270" s="1814"/>
      <c r="AQ270" s="1471"/>
      <c r="AR270" s="1815"/>
      <c r="AS270" s="1469"/>
      <c r="AT270" s="1814"/>
      <c r="AU270" s="1814"/>
      <c r="AV270" s="1471"/>
      <c r="AW270" s="1815"/>
      <c r="AX270" s="1469"/>
      <c r="AY270" s="1814"/>
      <c r="AZ270" s="1814"/>
      <c r="BA270" s="1471"/>
      <c r="BB270" s="1815"/>
      <c r="BC270" s="1469"/>
      <c r="BD270" s="1814"/>
      <c r="BE270" s="1814"/>
      <c r="BF270" s="1471"/>
      <c r="BG270" s="1815"/>
      <c r="BH270" s="1469"/>
      <c r="BI270" s="1814"/>
      <c r="BJ270" s="1814"/>
      <c r="BK270" s="1471"/>
      <c r="BL270" s="1815"/>
      <c r="BM270" s="1469"/>
      <c r="BN270" s="1814"/>
      <c r="BO270" s="1814"/>
      <c r="BP270" s="1471"/>
      <c r="BQ270" s="1815"/>
      <c r="BT270" s="1833" t="s">
        <v>1260</v>
      </c>
      <c r="BW270" s="109">
        <f t="shared" ref="BW270:CK270" si="150">BW$266*SUM(BW257)*8.76</f>
        <v>0</v>
      </c>
      <c r="BX270" s="109">
        <f t="shared" si="150"/>
        <v>0</v>
      </c>
      <c r="BY270" s="109">
        <f t="shared" si="150"/>
        <v>0</v>
      </c>
      <c r="BZ270" s="109">
        <f t="shared" si="150"/>
        <v>146</v>
      </c>
      <c r="CA270" s="109">
        <f t="shared" si="150"/>
        <v>292</v>
      </c>
      <c r="CB270" s="109">
        <f t="shared" si="150"/>
        <v>292</v>
      </c>
      <c r="CC270" s="109">
        <f t="shared" si="150"/>
        <v>292</v>
      </c>
      <c r="CD270" s="109">
        <f t="shared" si="150"/>
        <v>292</v>
      </c>
      <c r="CE270" s="109">
        <f t="shared" si="150"/>
        <v>292</v>
      </c>
      <c r="CF270" s="109">
        <f t="shared" si="150"/>
        <v>292</v>
      </c>
      <c r="CG270" s="109">
        <f t="shared" si="150"/>
        <v>292</v>
      </c>
      <c r="CH270" s="109">
        <f t="shared" si="150"/>
        <v>292</v>
      </c>
      <c r="CI270" s="109">
        <f t="shared" si="150"/>
        <v>292</v>
      </c>
      <c r="CJ270" s="109">
        <f t="shared" si="150"/>
        <v>146</v>
      </c>
      <c r="CK270" s="109">
        <f t="shared" si="150"/>
        <v>0</v>
      </c>
    </row>
    <row r="271" spans="3:89" s="50" customFormat="1">
      <c r="C271" s="1813" t="s">
        <v>1158</v>
      </c>
      <c r="D271" s="1813"/>
      <c r="E271" s="1469"/>
      <c r="F271" s="1814"/>
      <c r="G271" s="1814"/>
      <c r="H271" s="1471"/>
      <c r="I271" s="1815"/>
      <c r="J271" s="1469"/>
      <c r="K271" s="1814"/>
      <c r="L271" s="1814"/>
      <c r="M271" s="1471"/>
      <c r="N271" s="1484"/>
      <c r="O271" s="1485"/>
      <c r="P271" s="1488"/>
      <c r="Q271" s="1488"/>
      <c r="R271" s="1487"/>
      <c r="S271" s="1484"/>
      <c r="T271" s="1485"/>
      <c r="U271" s="1488"/>
      <c r="V271" s="1488"/>
      <c r="W271" s="1487"/>
      <c r="X271" s="1484"/>
      <c r="Y271" s="1485"/>
      <c r="Z271" s="1488"/>
      <c r="AA271" s="1488"/>
      <c r="AB271" s="1487"/>
      <c r="AC271" s="1484"/>
      <c r="AD271" s="1485"/>
      <c r="AE271" s="1488"/>
      <c r="AF271" s="1488"/>
      <c r="AG271" s="1487"/>
      <c r="AH271" s="1484"/>
      <c r="AI271" s="1485"/>
      <c r="AJ271" s="1488"/>
      <c r="AK271" s="1488"/>
      <c r="AL271" s="1487"/>
      <c r="AM271" s="1484">
        <f>SUM(AI271:AL271)</f>
        <v>0</v>
      </c>
      <c r="AN271" s="1485">
        <f>+AN269*AN264/1000</f>
        <v>0</v>
      </c>
      <c r="AO271" s="1488">
        <f>+AO269*AO264/1000</f>
        <v>0.24576666666666663</v>
      </c>
      <c r="AP271" s="1488">
        <f>+AP269*AP264/1000</f>
        <v>0.49153333333333327</v>
      </c>
      <c r="AQ271" s="1487">
        <f>+AQ269*AQ264/1000</f>
        <v>0.73729999999999984</v>
      </c>
      <c r="AR271" s="1484">
        <f>SUM(AN271:AQ271)</f>
        <v>1.4745999999999997</v>
      </c>
      <c r="AS271" s="1485">
        <f>+AS269*AS264/1000</f>
        <v>0.74467299999999992</v>
      </c>
      <c r="AT271" s="1488">
        <f>+AT269*AT264/1000</f>
        <v>0.74467299999999992</v>
      </c>
      <c r="AU271" s="1488">
        <f>+AU269*AU264/1000</f>
        <v>3.2269163333333331</v>
      </c>
      <c r="AV271" s="1487">
        <f>+AV269*AV264/1000</f>
        <v>3.2269163333333331</v>
      </c>
      <c r="AW271" s="1484">
        <f>SUM(AS271:AV271)</f>
        <v>7.9431786666666664</v>
      </c>
      <c r="AX271" s="1485">
        <f>+AX269*AX264/1000</f>
        <v>3.2591854966666665</v>
      </c>
      <c r="AY271" s="1488">
        <f>+AY269*AY264/1000</f>
        <v>3.2591854966666665</v>
      </c>
      <c r="AZ271" s="1488">
        <f>+AZ269*AZ264/1000</f>
        <v>5.7662512633333334</v>
      </c>
      <c r="BA271" s="1487">
        <f>+BA269*BA264/1000</f>
        <v>5.7662512633333334</v>
      </c>
      <c r="BB271" s="1484">
        <f>SUM(AX271:BA271)</f>
        <v>18.05087352</v>
      </c>
      <c r="BC271" s="1485">
        <f>+BC269*BC264/1000</f>
        <v>5.8239137759666662</v>
      </c>
      <c r="BD271" s="1488">
        <f>+BD269*BD264/1000</f>
        <v>5.8239137759666662</v>
      </c>
      <c r="BE271" s="1488">
        <f>+BE269*BE264/1000</f>
        <v>8.3560502002999986</v>
      </c>
      <c r="BF271" s="1487">
        <f>+BF269*BF264/1000</f>
        <v>8.3560502002999986</v>
      </c>
      <c r="BG271" s="1484">
        <f>SUM(BC271:BF271)</f>
        <v>28.359927952533326</v>
      </c>
      <c r="BH271" s="1485">
        <f>+BH269*BH264/1000</f>
        <v>8.439610702302998</v>
      </c>
      <c r="BI271" s="1488">
        <f>+BI269*BI264/1000</f>
        <v>8.439610702302998</v>
      </c>
      <c r="BJ271" s="1488">
        <f>+BJ269*BJ264/1000</f>
        <v>10.997068490879666</v>
      </c>
      <c r="BK271" s="1487">
        <f>+BK269*BK264/1000</f>
        <v>10.997068490879666</v>
      </c>
      <c r="BL271" s="1484">
        <f>SUM(BH271:BK271)</f>
        <v>38.873358386365325</v>
      </c>
      <c r="BM271" s="1485">
        <f>+BM269*BM264/1000</f>
        <v>11.107039175788463</v>
      </c>
      <c r="BN271" s="1488">
        <f>+BN269*BN264/1000</f>
        <v>11.107039175788463</v>
      </c>
      <c r="BO271" s="1488">
        <f>+BO269*BO264/1000</f>
        <v>11.107039175788463</v>
      </c>
      <c r="BP271" s="1487">
        <f>+BP269*BP264/1000</f>
        <v>11.107039175788463</v>
      </c>
      <c r="BQ271" s="1484">
        <f>SUM(BM271:BP271)</f>
        <v>44.428156703153853</v>
      </c>
      <c r="BT271" s="1833" t="s">
        <v>1261</v>
      </c>
      <c r="BW271" s="109">
        <f t="shared" ref="BW271:CK271" si="151">BW$266*SUM(BW258)*8.76</f>
        <v>0</v>
      </c>
      <c r="BX271" s="109">
        <f t="shared" si="151"/>
        <v>0</v>
      </c>
      <c r="BY271" s="109">
        <f t="shared" si="151"/>
        <v>0</v>
      </c>
      <c r="BZ271" s="109">
        <f t="shared" si="151"/>
        <v>0</v>
      </c>
      <c r="CA271" s="109">
        <f t="shared" si="151"/>
        <v>146</v>
      </c>
      <c r="CB271" s="109">
        <f t="shared" si="151"/>
        <v>292</v>
      </c>
      <c r="CC271" s="109">
        <f t="shared" si="151"/>
        <v>292</v>
      </c>
      <c r="CD271" s="109">
        <f t="shared" si="151"/>
        <v>292</v>
      </c>
      <c r="CE271" s="109">
        <f t="shared" si="151"/>
        <v>292</v>
      </c>
      <c r="CF271" s="109">
        <f t="shared" si="151"/>
        <v>292</v>
      </c>
      <c r="CG271" s="109">
        <f t="shared" si="151"/>
        <v>292</v>
      </c>
      <c r="CH271" s="109">
        <f t="shared" si="151"/>
        <v>292</v>
      </c>
      <c r="CI271" s="109">
        <f t="shared" si="151"/>
        <v>292</v>
      </c>
      <c r="CJ271" s="109">
        <f t="shared" si="151"/>
        <v>292</v>
      </c>
      <c r="CK271" s="109">
        <f t="shared" si="151"/>
        <v>146</v>
      </c>
    </row>
    <row r="272" spans="3:89" s="50" customFormat="1">
      <c r="C272" s="1813" t="s">
        <v>1141</v>
      </c>
      <c r="D272" s="1813"/>
      <c r="E272" s="1469"/>
      <c r="F272" s="1814"/>
      <c r="G272" s="1814"/>
      <c r="H272" s="1471"/>
      <c r="I272" s="1815"/>
      <c r="J272" s="1469"/>
      <c r="K272" s="1814"/>
      <c r="L272" s="1814"/>
      <c r="M272" s="1471"/>
      <c r="N272" s="1639"/>
      <c r="O272" s="1550"/>
      <c r="P272" s="1551"/>
      <c r="Q272" s="1551"/>
      <c r="R272" s="1552"/>
      <c r="S272" s="1639"/>
      <c r="T272" s="1550"/>
      <c r="U272" s="1551"/>
      <c r="V272" s="1551"/>
      <c r="W272" s="1552"/>
      <c r="X272" s="1639"/>
      <c r="Y272" s="1550"/>
      <c r="Z272" s="1551"/>
      <c r="AA272" s="1551"/>
      <c r="AB272" s="1552"/>
      <c r="AC272" s="1639"/>
      <c r="AD272" s="1550"/>
      <c r="AE272" s="1551"/>
      <c r="AF272" s="1551"/>
      <c r="AG272" s="1552"/>
      <c r="AH272" s="1639"/>
      <c r="AI272" s="1550"/>
      <c r="AJ272" s="1551"/>
      <c r="AK272" s="1551"/>
      <c r="AL272" s="1552"/>
      <c r="AM272" s="1639">
        <v>0</v>
      </c>
      <c r="AN272" s="1550">
        <v>0</v>
      </c>
      <c r="AO272" s="1551">
        <v>0</v>
      </c>
      <c r="AP272" s="1551">
        <v>0</v>
      </c>
      <c r="AQ272" s="1552">
        <v>0</v>
      </c>
      <c r="AR272" s="1639">
        <v>0</v>
      </c>
      <c r="AS272" s="1550">
        <v>0</v>
      </c>
      <c r="AT272" s="1551">
        <v>0</v>
      </c>
      <c r="AU272" s="1551">
        <v>0</v>
      </c>
      <c r="AV272" s="1552">
        <v>0</v>
      </c>
      <c r="AW272" s="1639">
        <v>0</v>
      </c>
      <c r="AX272" s="1550">
        <v>0</v>
      </c>
      <c r="AY272" s="1551">
        <v>0</v>
      </c>
      <c r="AZ272" s="1551">
        <v>0</v>
      </c>
      <c r="BA272" s="1552">
        <v>0</v>
      </c>
      <c r="BB272" s="1639">
        <v>0</v>
      </c>
      <c r="BC272" s="1550">
        <v>0</v>
      </c>
      <c r="BD272" s="1551">
        <v>0</v>
      </c>
      <c r="BE272" s="1551">
        <v>0</v>
      </c>
      <c r="BF272" s="1552">
        <v>0</v>
      </c>
      <c r="BG272" s="1639">
        <v>0</v>
      </c>
      <c r="BH272" s="1550">
        <v>0</v>
      </c>
      <c r="BI272" s="1551">
        <v>0</v>
      </c>
      <c r="BJ272" s="1551">
        <v>0</v>
      </c>
      <c r="BK272" s="1552">
        <v>0</v>
      </c>
      <c r="BL272" s="1639">
        <v>0</v>
      </c>
      <c r="BM272" s="1550">
        <v>0</v>
      </c>
      <c r="BN272" s="1551">
        <v>0</v>
      </c>
      <c r="BO272" s="1551">
        <v>0</v>
      </c>
      <c r="BP272" s="1552">
        <v>0</v>
      </c>
      <c r="BQ272" s="1639">
        <v>0</v>
      </c>
    </row>
    <row r="273" spans="2:94" s="50" customFormat="1">
      <c r="C273" s="1821" t="s">
        <v>1142</v>
      </c>
      <c r="D273" s="1813"/>
      <c r="E273" s="1469"/>
      <c r="F273" s="1814"/>
      <c r="G273" s="1814"/>
      <c r="H273" s="1471"/>
      <c r="I273" s="1815"/>
      <c r="J273" s="1469"/>
      <c r="K273" s="1814"/>
      <c r="L273" s="1814"/>
      <c r="M273" s="1471"/>
      <c r="N273" s="1477"/>
      <c r="O273" s="1548"/>
      <c r="P273" s="1557"/>
      <c r="Q273" s="1557"/>
      <c r="R273" s="1518"/>
      <c r="S273" s="1477"/>
      <c r="T273" s="1548"/>
      <c r="U273" s="1557"/>
      <c r="V273" s="1557"/>
      <c r="W273" s="1518"/>
      <c r="X273" s="1477"/>
      <c r="Y273" s="1548"/>
      <c r="Z273" s="1557"/>
      <c r="AA273" s="1557"/>
      <c r="AB273" s="1518"/>
      <c r="AC273" s="1477"/>
      <c r="AD273" s="1548"/>
      <c r="AE273" s="1557"/>
      <c r="AF273" s="1557"/>
      <c r="AG273" s="1518"/>
      <c r="AH273" s="1477"/>
      <c r="AI273" s="1548"/>
      <c r="AJ273" s="1557"/>
      <c r="AK273" s="1557"/>
      <c r="AL273" s="1518"/>
      <c r="AM273" s="1477">
        <f t="shared" ref="AM273:BL273" si="152">AM271-AM272</f>
        <v>0</v>
      </c>
      <c r="AN273" s="1548">
        <f t="shared" si="152"/>
        <v>0</v>
      </c>
      <c r="AO273" s="1557">
        <f t="shared" si="152"/>
        <v>0.24576666666666663</v>
      </c>
      <c r="AP273" s="1557">
        <f t="shared" si="152"/>
        <v>0.49153333333333327</v>
      </c>
      <c r="AQ273" s="1518">
        <f t="shared" si="152"/>
        <v>0.73729999999999984</v>
      </c>
      <c r="AR273" s="1477">
        <f t="shared" si="152"/>
        <v>1.4745999999999997</v>
      </c>
      <c r="AS273" s="1548">
        <f t="shared" si="152"/>
        <v>0.74467299999999992</v>
      </c>
      <c r="AT273" s="1557">
        <f t="shared" si="152"/>
        <v>0.74467299999999992</v>
      </c>
      <c r="AU273" s="1557">
        <f t="shared" si="152"/>
        <v>3.2269163333333331</v>
      </c>
      <c r="AV273" s="1518">
        <f t="shared" si="152"/>
        <v>3.2269163333333331</v>
      </c>
      <c r="AW273" s="1477">
        <f t="shared" si="152"/>
        <v>7.9431786666666664</v>
      </c>
      <c r="AX273" s="1548">
        <f t="shared" si="152"/>
        <v>3.2591854966666665</v>
      </c>
      <c r="AY273" s="1557">
        <f t="shared" si="152"/>
        <v>3.2591854966666665</v>
      </c>
      <c r="AZ273" s="1557">
        <f t="shared" si="152"/>
        <v>5.7662512633333334</v>
      </c>
      <c r="BA273" s="1518">
        <f t="shared" si="152"/>
        <v>5.7662512633333334</v>
      </c>
      <c r="BB273" s="1477">
        <f t="shared" si="152"/>
        <v>18.05087352</v>
      </c>
      <c r="BC273" s="1548">
        <f t="shared" si="152"/>
        <v>5.8239137759666662</v>
      </c>
      <c r="BD273" s="1557">
        <f t="shared" si="152"/>
        <v>5.8239137759666662</v>
      </c>
      <c r="BE273" s="1557">
        <f t="shared" si="152"/>
        <v>8.3560502002999986</v>
      </c>
      <c r="BF273" s="1518">
        <f t="shared" si="152"/>
        <v>8.3560502002999986</v>
      </c>
      <c r="BG273" s="1477">
        <f t="shared" si="152"/>
        <v>28.359927952533326</v>
      </c>
      <c r="BH273" s="1548">
        <f t="shared" si="152"/>
        <v>8.439610702302998</v>
      </c>
      <c r="BI273" s="1557">
        <f t="shared" si="152"/>
        <v>8.439610702302998</v>
      </c>
      <c r="BJ273" s="1557">
        <f t="shared" si="152"/>
        <v>10.997068490879666</v>
      </c>
      <c r="BK273" s="1518">
        <f t="shared" si="152"/>
        <v>10.997068490879666</v>
      </c>
      <c r="BL273" s="1477">
        <f t="shared" si="152"/>
        <v>38.873358386365325</v>
      </c>
      <c r="BM273" s="1548">
        <f>BM271-BM272</f>
        <v>11.107039175788463</v>
      </c>
      <c r="BN273" s="1557">
        <f>BN271-BN272</f>
        <v>11.107039175788463</v>
      </c>
      <c r="BO273" s="1557">
        <f>BO271-BO272</f>
        <v>11.107039175788463</v>
      </c>
      <c r="BP273" s="1518">
        <f>BP271-BP272</f>
        <v>11.107039175788463</v>
      </c>
      <c r="BQ273" s="1477">
        <f>BQ271-BQ272</f>
        <v>44.428156703153853</v>
      </c>
      <c r="BT273" s="56" t="s">
        <v>1158</v>
      </c>
      <c r="BW273" s="1477">
        <f t="shared" ref="BW273:CK273" si="153">SUMPRODUCT(BW262:BW265,BW268:BW271)/1000</f>
        <v>1.0073999999999999</v>
      </c>
      <c r="BX273" s="1477">
        <f>SUMPRODUCT(BX262:BX265,BX268:BX271)/1000</f>
        <v>5.3727999999999989</v>
      </c>
      <c r="BY273" s="1477">
        <f t="shared" si="153"/>
        <v>11.417199999999999</v>
      </c>
      <c r="BZ273" s="1477">
        <f t="shared" si="153"/>
        <v>16.400472000000001</v>
      </c>
      <c r="CA273" s="1477">
        <f t="shared" si="153"/>
        <v>20.126777440000001</v>
      </c>
      <c r="CB273" s="1477">
        <f t="shared" si="153"/>
        <v>21.899376988800004</v>
      </c>
      <c r="CC273" s="1477">
        <f t="shared" si="153"/>
        <v>22.337364528576003</v>
      </c>
      <c r="CD273" s="1477">
        <f t="shared" si="153"/>
        <v>22.784111819147522</v>
      </c>
      <c r="CE273" s="1477">
        <f t="shared" si="153"/>
        <v>23.239794055530474</v>
      </c>
      <c r="CF273" s="1477">
        <f t="shared" si="153"/>
        <v>23.704589936641081</v>
      </c>
      <c r="CG273" s="1477">
        <f t="shared" si="153"/>
        <v>22.998352074952223</v>
      </c>
      <c r="CH273" s="1477">
        <f t="shared" si="153"/>
        <v>18.241262017387427</v>
      </c>
      <c r="CI273" s="1477">
        <f t="shared" si="153"/>
        <v>11.237997385518868</v>
      </c>
      <c r="CJ273" s="1477">
        <f t="shared" si="153"/>
        <v>5.6665266337524134</v>
      </c>
      <c r="CK273" s="1477">
        <f t="shared" si="153"/>
        <v>1.6373533049369582</v>
      </c>
    </row>
    <row r="274" spans="2:94" s="50" customFormat="1">
      <c r="C274" s="515"/>
      <c r="E274" s="225"/>
      <c r="F274" s="226"/>
      <c r="G274" s="226"/>
      <c r="H274" s="227"/>
      <c r="I274" s="228"/>
      <c r="J274" s="225"/>
      <c r="K274" s="226"/>
      <c r="L274" s="226"/>
      <c r="M274" s="227"/>
      <c r="N274" s="228"/>
      <c r="O274" s="149"/>
      <c r="P274" s="156"/>
      <c r="Q274" s="156"/>
      <c r="R274" s="151"/>
      <c r="S274" s="112"/>
      <c r="T274" s="149"/>
      <c r="U274" s="156"/>
      <c r="V274" s="156"/>
      <c r="W274" s="151"/>
      <c r="X274" s="112"/>
      <c r="Y274" s="149"/>
      <c r="Z274" s="156"/>
      <c r="AA274" s="156"/>
      <c r="AB274" s="151"/>
      <c r="AC274" s="112"/>
      <c r="AD274" s="149"/>
      <c r="AE274" s="156"/>
      <c r="AF274" s="156"/>
      <c r="AG274" s="151"/>
      <c r="AH274" s="112"/>
      <c r="AI274" s="149"/>
      <c r="AJ274" s="156"/>
      <c r="AK274" s="156"/>
      <c r="AL274" s="151"/>
      <c r="AM274" s="112"/>
      <c r="AN274" s="149"/>
      <c r="AO274" s="156"/>
      <c r="AP274" s="156"/>
      <c r="AQ274" s="151"/>
      <c r="AR274" s="112"/>
      <c r="AS274" s="149"/>
      <c r="AT274" s="156"/>
      <c r="AU274" s="156"/>
      <c r="AV274" s="151"/>
      <c r="AW274" s="112"/>
      <c r="AX274" s="149"/>
      <c r="AY274" s="156"/>
      <c r="AZ274" s="156"/>
      <c r="BA274" s="151"/>
      <c r="BB274" s="112"/>
      <c r="BC274" s="149"/>
      <c r="BD274" s="156"/>
      <c r="BE274" s="156"/>
      <c r="BF274" s="151"/>
      <c r="BG274" s="112"/>
      <c r="BH274" s="149"/>
      <c r="BI274" s="156"/>
      <c r="BJ274" s="156"/>
      <c r="BK274" s="151"/>
      <c r="BL274" s="112"/>
      <c r="BM274" s="149"/>
      <c r="BN274" s="156"/>
      <c r="BO274" s="156"/>
      <c r="BP274" s="151"/>
      <c r="BQ274" s="112"/>
    </row>
    <row r="275" spans="2:94" s="50" customFormat="1">
      <c r="C275" s="1809" t="s">
        <v>1232</v>
      </c>
      <c r="D275" s="1810"/>
      <c r="E275" s="1723"/>
      <c r="F275" s="1811"/>
      <c r="G275" s="1811"/>
      <c r="H275" s="1725"/>
      <c r="I275" s="1812"/>
      <c r="J275" s="1723"/>
      <c r="K275" s="1811"/>
      <c r="L275" s="1811"/>
      <c r="M275" s="1725"/>
      <c r="N275" s="1812"/>
      <c r="O275" s="1723"/>
      <c r="P275" s="1811"/>
      <c r="Q275" s="1811"/>
      <c r="R275" s="1725"/>
      <c r="S275" s="1812"/>
      <c r="T275" s="1723"/>
      <c r="U275" s="1811"/>
      <c r="V275" s="1811"/>
      <c r="W275" s="1725"/>
      <c r="X275" s="1812"/>
      <c r="Y275" s="1723"/>
      <c r="Z275" s="1811"/>
      <c r="AA275" s="1811"/>
      <c r="AB275" s="1725"/>
      <c r="AC275" s="1812"/>
      <c r="AD275" s="1723"/>
      <c r="AE275" s="1811"/>
      <c r="AF275" s="1811"/>
      <c r="AG275" s="1725"/>
      <c r="AH275" s="1812"/>
      <c r="AI275" s="1723"/>
      <c r="AJ275" s="1811"/>
      <c r="AK275" s="1811"/>
      <c r="AL275" s="1725"/>
      <c r="AM275" s="1812"/>
      <c r="AN275" s="1723"/>
      <c r="AO275" s="1811"/>
      <c r="AP275" s="1811"/>
      <c r="AQ275" s="1725"/>
      <c r="AR275" s="1812"/>
      <c r="AS275" s="1723"/>
      <c r="AT275" s="1811"/>
      <c r="AU275" s="1811"/>
      <c r="AV275" s="1725"/>
      <c r="AW275" s="1812"/>
      <c r="AX275" s="1723"/>
      <c r="AY275" s="1811"/>
      <c r="AZ275" s="1811"/>
      <c r="BA275" s="1725"/>
      <c r="BB275" s="1812"/>
      <c r="BC275" s="1723"/>
      <c r="BD275" s="1811"/>
      <c r="BE275" s="1811"/>
      <c r="BF275" s="1725"/>
      <c r="BG275" s="1812"/>
      <c r="BH275" s="1723"/>
      <c r="BI275" s="1811"/>
      <c r="BJ275" s="1811"/>
      <c r="BK275" s="1725"/>
      <c r="BL275" s="1812"/>
      <c r="BM275" s="1723"/>
      <c r="BN275" s="1811"/>
      <c r="BO275" s="1811"/>
      <c r="BP275" s="1725"/>
      <c r="BQ275" s="1812"/>
      <c r="BT275" t="s">
        <v>1273</v>
      </c>
      <c r="BU275"/>
      <c r="BV275"/>
      <c r="BW275" s="1787">
        <f>NPV(Valuation!$DN$44,'Generation &amp; Marketing'!BW$273:$CP273)</f>
        <v>134.63382367760883</v>
      </c>
      <c r="BX275" s="1787">
        <f>NPV(Valuation!$DN$44,'Generation &amp; Marketing'!BX$273:$CP273)</f>
        <v>143.06762056300113</v>
      </c>
      <c r="BY275" s="1787">
        <f>NPV(Valuation!$DN$44,'Generation &amp; Marketing'!BY$273:$CP273)</f>
        <v>147.72743745498158</v>
      </c>
      <c r="BZ275" s="1787">
        <f>NPV(Valuation!$DN$44,'Generation &amp; Marketing'!BZ$273:$CP273)</f>
        <v>146.66962400651218</v>
      </c>
      <c r="CA275" s="1787">
        <f>NPV(Valuation!$DN$44,'Generation &amp; Marketing'!CA$273:$CP273)</f>
        <v>140.55435938996885</v>
      </c>
      <c r="CB275" s="1787">
        <f>NPV(Valuation!$DN$44,'Generation &amp; Marketing'!CB$273:$CP273)</f>
        <v>130.2839564021904</v>
      </c>
      <c r="CC275" s="1787">
        <f>NPV(Valuation!$DN$44,'Generation &amp; Marketing'!CC$273:$CP273)</f>
        <v>117.52074185609399</v>
      </c>
      <c r="CD275" s="1787">
        <f>NPV(Valuation!$DN$44,'Generation &amp; Marketing'!CD$273:$CP273)</f>
        <v>103.42451935017658</v>
      </c>
      <c r="CE275" s="1787">
        <f>NPV(Valuation!$DN$44,'Generation &amp; Marketing'!CE$273:$CP273)</f>
        <v>87.89305195046019</v>
      </c>
      <c r="CF275" s="1787">
        <f>NPV(Valuation!$DN$44,'Generation &amp; Marketing'!CF$273:$CP273)</f>
        <v>70.816758162955736</v>
      </c>
      <c r="CG275" s="1787">
        <f>NPV(Valuation!$DN$44,'Generation &amp; Marketing'!CG$273:$CP273)</f>
        <v>52.07819339249194</v>
      </c>
      <c r="CH275" s="1787">
        <f>NPV(Valuation!$DN$44,'Generation &amp; Marketing'!CH$273:$CP273)</f>
        <v>32.73182462918821</v>
      </c>
      <c r="CI275" s="1787">
        <f>NPV(Valuation!$DN$44,'Generation &amp; Marketing'!CI$273:$CP273)</f>
        <v>16.785881813922607</v>
      </c>
      <c r="CJ275" s="1787">
        <f>NPV(Valuation!$DN$44,'Generation &amp; Marketing'!CJ$273:$CP273)</f>
        <v>6.7249943906050618</v>
      </c>
      <c r="CK275" s="1787">
        <f>NPV(Valuation!$DN$44,'Generation &amp; Marketing'!CK$273:$CP273)</f>
        <v>1.5300579884938286</v>
      </c>
      <c r="CL275" s="1787">
        <f>NPV(Valuation!$DN$44,'Generation &amp; Marketing'!CL$273:$CP273)</f>
        <v>0</v>
      </c>
      <c r="CM275" s="1787">
        <f>NPV(Valuation!$DN$44,'Generation &amp; Marketing'!CM$273:$CP273)</f>
        <v>0</v>
      </c>
      <c r="CN275" s="1787">
        <f>NPV(Valuation!$DN$44,'Generation &amp; Marketing'!CN$273:$CP273)</f>
        <v>0</v>
      </c>
      <c r="CO275" s="1787">
        <f>NPV(Valuation!$DN$44,'Generation &amp; Marketing'!CO$273:$CP273)</f>
        <v>0</v>
      </c>
      <c r="CP275" s="1787">
        <f>NPV(Valuation!$DN$44,'Generation &amp; Marketing'!CP$273:$CP273)</f>
        <v>0</v>
      </c>
    </row>
    <row r="276" spans="2:94" s="50" customFormat="1">
      <c r="C276" s="1813" t="s">
        <v>1228</v>
      </c>
      <c r="D276" s="1813"/>
      <c r="E276" s="1469"/>
      <c r="F276" s="1814"/>
      <c r="G276" s="1814"/>
      <c r="H276" s="1471"/>
      <c r="I276" s="1815"/>
      <c r="J276" s="1469"/>
      <c r="K276" s="1814"/>
      <c r="L276" s="1814"/>
      <c r="M276" s="1471"/>
      <c r="N276" s="1816"/>
      <c r="O276" s="1476"/>
      <c r="P276" s="1571"/>
      <c r="Q276" s="1571"/>
      <c r="R276" s="1475"/>
      <c r="S276" s="1639"/>
      <c r="T276" s="1476"/>
      <c r="U276" s="1571"/>
      <c r="V276" s="1571"/>
      <c r="W276" s="1475"/>
      <c r="X276" s="1816"/>
      <c r="Y276" s="1476"/>
      <c r="Z276" s="1571"/>
      <c r="AA276" s="1571"/>
      <c r="AB276" s="1475"/>
      <c r="AC276" s="1817"/>
      <c r="AD276" s="1476"/>
      <c r="AE276" s="1571"/>
      <c r="AF276" s="1571"/>
      <c r="AG276" s="1475"/>
      <c r="AH276" s="1817"/>
      <c r="AI276" s="1476"/>
      <c r="AJ276" s="1571"/>
      <c r="AK276" s="1571"/>
      <c r="AL276" s="1475"/>
      <c r="AM276" s="1816">
        <v>145</v>
      </c>
      <c r="AN276" s="1476">
        <f>AO276</f>
        <v>146.44999999999999</v>
      </c>
      <c r="AO276" s="1571">
        <f>AP276</f>
        <v>146.44999999999999</v>
      </c>
      <c r="AP276" s="1571">
        <f>AQ276</f>
        <v>146.44999999999999</v>
      </c>
      <c r="AQ276" s="1475">
        <f>AR276</f>
        <v>146.44999999999999</v>
      </c>
      <c r="AR276" s="1817">
        <f>+AM276*1.01</f>
        <v>146.44999999999999</v>
      </c>
      <c r="AS276" s="1476">
        <f>AT276</f>
        <v>147.9145</v>
      </c>
      <c r="AT276" s="1571">
        <f>AU276</f>
        <v>147.9145</v>
      </c>
      <c r="AU276" s="1571">
        <f>AV276</f>
        <v>147.9145</v>
      </c>
      <c r="AV276" s="1475">
        <f>AW276</f>
        <v>147.9145</v>
      </c>
      <c r="AW276" s="1817">
        <f>+AR276*1.01</f>
        <v>147.9145</v>
      </c>
      <c r="AX276" s="1476">
        <f>AY276</f>
        <v>149.39364499999999</v>
      </c>
      <c r="AY276" s="1571">
        <f>AZ276</f>
        <v>149.39364499999999</v>
      </c>
      <c r="AZ276" s="1571">
        <f>BA276</f>
        <v>149.39364499999999</v>
      </c>
      <c r="BA276" s="1475">
        <f>BB276</f>
        <v>149.39364499999999</v>
      </c>
      <c r="BB276" s="1817">
        <f>+AW276*1.01</f>
        <v>149.39364499999999</v>
      </c>
      <c r="BC276" s="1476">
        <f>BD276</f>
        <v>150.88758145</v>
      </c>
      <c r="BD276" s="1571">
        <f>BE276</f>
        <v>150.88758145</v>
      </c>
      <c r="BE276" s="1571">
        <f>BF276</f>
        <v>150.88758145</v>
      </c>
      <c r="BF276" s="1475">
        <f>BG276</f>
        <v>150.88758145</v>
      </c>
      <c r="BG276" s="1817">
        <f>+BB276*1.01</f>
        <v>150.88758145</v>
      </c>
      <c r="BH276" s="1476">
        <f>BI276</f>
        <v>152.39645726449999</v>
      </c>
      <c r="BI276" s="1571">
        <f>BJ276</f>
        <v>152.39645726449999</v>
      </c>
      <c r="BJ276" s="1571">
        <f>BK276</f>
        <v>152.39645726449999</v>
      </c>
      <c r="BK276" s="1475">
        <f>BL276</f>
        <v>152.39645726449999</v>
      </c>
      <c r="BL276" s="1817">
        <f>+BG276*1.01</f>
        <v>152.39645726449999</v>
      </c>
      <c r="BM276" s="1476">
        <f>BN276</f>
        <v>153.920421837145</v>
      </c>
      <c r="BN276" s="1571">
        <f>BO276</f>
        <v>153.920421837145</v>
      </c>
      <c r="BO276" s="1571">
        <f>BP276</f>
        <v>153.920421837145</v>
      </c>
      <c r="BP276" s="1475">
        <f>BQ276</f>
        <v>153.920421837145</v>
      </c>
      <c r="BQ276" s="1817">
        <f>+BL276*1.01</f>
        <v>153.920421837145</v>
      </c>
    </row>
    <row r="277" spans="2:94" s="50" customFormat="1">
      <c r="C277" s="1813" t="s">
        <v>1157</v>
      </c>
      <c r="D277" s="1813"/>
      <c r="E277" s="1469"/>
      <c r="F277" s="1814"/>
      <c r="G277" s="1814"/>
      <c r="H277" s="1471"/>
      <c r="I277" s="1815"/>
      <c r="J277" s="1469"/>
      <c r="K277" s="1814"/>
      <c r="L277" s="1814"/>
      <c r="M277" s="1471"/>
      <c r="N277" s="1815"/>
      <c r="O277" s="1485"/>
      <c r="P277" s="1488"/>
      <c r="Q277" s="1488"/>
      <c r="R277" s="1487"/>
      <c r="S277" s="1639"/>
      <c r="T277" s="1485"/>
      <c r="U277" s="1488"/>
      <c r="V277" s="1488"/>
      <c r="W277" s="1487"/>
      <c r="X277" s="1639"/>
      <c r="Y277" s="1485"/>
      <c r="Z277" s="1488"/>
      <c r="AA277" s="1488"/>
      <c r="AB277" s="1487"/>
      <c r="AC277" s="1639"/>
      <c r="AD277" s="1485"/>
      <c r="AE277" s="1488"/>
      <c r="AF277" s="1488"/>
      <c r="AG277" s="1487"/>
      <c r="AH277" s="1484"/>
      <c r="AI277" s="1485"/>
      <c r="AJ277" s="1488"/>
      <c r="AK277" s="1488"/>
      <c r="AL277" s="1487"/>
      <c r="AM277" s="1639">
        <v>0</v>
      </c>
      <c r="AN277" s="1485">
        <v>0</v>
      </c>
      <c r="AO277" s="1488">
        <f>+AN277+AR278/3</f>
        <v>3.7037037037037046</v>
      </c>
      <c r="AP277" s="1488">
        <f>+AO277+AR278/3</f>
        <v>7.4074074074074092</v>
      </c>
      <c r="AQ277" s="1487">
        <f>+AP277+AR278/3</f>
        <v>11.111111111111114</v>
      </c>
      <c r="AR277" s="1484">
        <f>+AM277+AR278</f>
        <v>11.111111111111114</v>
      </c>
      <c r="AS277" s="1485">
        <f>AR277</f>
        <v>11.111111111111114</v>
      </c>
      <c r="AT277" s="1488">
        <f>AS277</f>
        <v>11.111111111111114</v>
      </c>
      <c r="AU277" s="1488">
        <f>AV277</f>
        <v>48.148148148148167</v>
      </c>
      <c r="AV277" s="1487">
        <f>AW277</f>
        <v>48.148148148148167</v>
      </c>
      <c r="AW277" s="1484">
        <f>+AR277+AW278</f>
        <v>48.148148148148167</v>
      </c>
      <c r="AX277" s="1485">
        <f>AW277</f>
        <v>48.148148148148167</v>
      </c>
      <c r="AY277" s="1488">
        <f>AX277</f>
        <v>48.148148148148167</v>
      </c>
      <c r="AZ277" s="1488">
        <f>BA277</f>
        <v>85.185185185185219</v>
      </c>
      <c r="BA277" s="1487">
        <f>BB277</f>
        <v>85.185185185185219</v>
      </c>
      <c r="BB277" s="1484">
        <f>+AW277+BB278</f>
        <v>85.185185185185219</v>
      </c>
      <c r="BC277" s="1485">
        <f>BB277</f>
        <v>85.185185185185219</v>
      </c>
      <c r="BD277" s="1488">
        <f>BC277</f>
        <v>85.185185185185219</v>
      </c>
      <c r="BE277" s="1488">
        <f>BF277</f>
        <v>122.22222222222227</v>
      </c>
      <c r="BF277" s="1487">
        <f>BG277</f>
        <v>122.22222222222227</v>
      </c>
      <c r="BG277" s="1484">
        <f>+BB277+BG278</f>
        <v>122.22222222222227</v>
      </c>
      <c r="BH277" s="1485">
        <f>BG277</f>
        <v>122.22222222222227</v>
      </c>
      <c r="BI277" s="1488">
        <f>BH277</f>
        <v>122.22222222222227</v>
      </c>
      <c r="BJ277" s="1488">
        <f>BK277</f>
        <v>159.25925925925932</v>
      </c>
      <c r="BK277" s="1487">
        <f>BL277</f>
        <v>159.25925925925932</v>
      </c>
      <c r="BL277" s="1484">
        <f>+BG277+BL278</f>
        <v>159.25925925925932</v>
      </c>
      <c r="BM277" s="1485">
        <f>BL277</f>
        <v>159.25925925925932</v>
      </c>
      <c r="BN277" s="1488">
        <f>BM277</f>
        <v>159.25925925925932</v>
      </c>
      <c r="BO277" s="1488">
        <f>BP277</f>
        <v>159.25925925925932</v>
      </c>
      <c r="BP277" s="1487">
        <f>BQ277</f>
        <v>159.25925925925932</v>
      </c>
      <c r="BQ277" s="1484">
        <f>+BL277+BQ278</f>
        <v>159.25925925925932</v>
      </c>
    </row>
    <row r="278" spans="2:94" s="50" customFormat="1">
      <c r="C278" s="1813" t="s">
        <v>1229</v>
      </c>
      <c r="D278" s="1813"/>
      <c r="E278" s="1469"/>
      <c r="F278" s="1814"/>
      <c r="G278" s="1814"/>
      <c r="H278" s="1471"/>
      <c r="I278" s="1815"/>
      <c r="J278" s="1469"/>
      <c r="K278" s="1814"/>
      <c r="L278" s="1814"/>
      <c r="M278" s="1471"/>
      <c r="N278" s="1815"/>
      <c r="O278" s="1469"/>
      <c r="P278" s="1814"/>
      <c r="Q278" s="1814"/>
      <c r="R278" s="1471"/>
      <c r="S278" s="1639"/>
      <c r="T278" s="1469"/>
      <c r="U278" s="1814"/>
      <c r="V278" s="1814"/>
      <c r="W278" s="1471"/>
      <c r="X278" s="1639"/>
      <c r="Y278" s="1469"/>
      <c r="Z278" s="1814"/>
      <c r="AA278" s="1814"/>
      <c r="AB278" s="1471"/>
      <c r="AC278" s="1639"/>
      <c r="AD278" s="1469"/>
      <c r="AE278" s="1814"/>
      <c r="AF278" s="1814"/>
      <c r="AG278" s="1471"/>
      <c r="AH278" s="1639"/>
      <c r="AI278" s="1469"/>
      <c r="AJ278" s="1814"/>
      <c r="AK278" s="1814"/>
      <c r="AL278" s="1471"/>
      <c r="AM278" s="1639"/>
      <c r="AN278" s="1469"/>
      <c r="AO278" s="1814"/>
      <c r="AP278" s="1814"/>
      <c r="AQ278" s="1471"/>
      <c r="AR278" s="1639">
        <f>AR236*AR243/AR248*1000</f>
        <v>11.111111111111114</v>
      </c>
      <c r="AS278" s="1469"/>
      <c r="AT278" s="1814"/>
      <c r="AU278" s="1814"/>
      <c r="AV278" s="1471"/>
      <c r="AW278" s="1639">
        <f>AW236*AW243/AW248*1000</f>
        <v>37.037037037037052</v>
      </c>
      <c r="AX278" s="1469"/>
      <c r="AY278" s="1814"/>
      <c r="AZ278" s="1814"/>
      <c r="BA278" s="1471"/>
      <c r="BB278" s="1639">
        <f>BB236*BB243/BB248*1000</f>
        <v>37.037037037037052</v>
      </c>
      <c r="BC278" s="1469"/>
      <c r="BD278" s="1814"/>
      <c r="BE278" s="1814"/>
      <c r="BF278" s="1471"/>
      <c r="BG278" s="1639">
        <f>BG236*BG243/BG248*1000</f>
        <v>37.037037037037052</v>
      </c>
      <c r="BH278" s="1469"/>
      <c r="BI278" s="1814"/>
      <c r="BJ278" s="1814"/>
      <c r="BK278" s="1471"/>
      <c r="BL278" s="1639">
        <f>BL236*BL243/BL248*1000</f>
        <v>37.037037037037052</v>
      </c>
      <c r="BM278" s="1469"/>
      <c r="BN278" s="1814"/>
      <c r="BO278" s="1814"/>
      <c r="BP278" s="1471"/>
      <c r="BQ278" s="1639">
        <f>BQ236*BQ243/BQ248*1000</f>
        <v>0</v>
      </c>
    </row>
    <row r="279" spans="2:94" s="50" customFormat="1">
      <c r="C279" s="1813"/>
      <c r="D279" s="1813"/>
      <c r="E279" s="1469"/>
      <c r="F279" s="1814"/>
      <c r="G279" s="1814"/>
      <c r="H279" s="1471"/>
      <c r="I279" s="1815"/>
      <c r="J279" s="1469"/>
      <c r="K279" s="1814"/>
      <c r="L279" s="1814"/>
      <c r="M279" s="1471"/>
      <c r="N279" s="1815"/>
      <c r="O279" s="1469"/>
      <c r="P279" s="1814"/>
      <c r="Q279" s="1814"/>
      <c r="R279" s="1471"/>
      <c r="S279" s="1815"/>
      <c r="T279" s="1469"/>
      <c r="U279" s="1814"/>
      <c r="V279" s="1814"/>
      <c r="W279" s="1471"/>
      <c r="X279" s="1815"/>
      <c r="Y279" s="1469"/>
      <c r="Z279" s="1814"/>
      <c r="AA279" s="1814"/>
      <c r="AB279" s="1471"/>
      <c r="AC279" s="1815"/>
      <c r="AD279" s="1469"/>
      <c r="AE279" s="1814"/>
      <c r="AF279" s="1814"/>
      <c r="AG279" s="1471"/>
      <c r="AH279" s="1815"/>
      <c r="AI279" s="1469"/>
      <c r="AJ279" s="1814"/>
      <c r="AK279" s="1814"/>
      <c r="AL279" s="1471"/>
      <c r="AM279" s="1815"/>
      <c r="AN279" s="1469"/>
      <c r="AO279" s="1814"/>
      <c r="AP279" s="1814"/>
      <c r="AQ279" s="1471"/>
      <c r="AR279" s="1815"/>
      <c r="AS279" s="1469"/>
      <c r="AT279" s="1814"/>
      <c r="AU279" s="1814"/>
      <c r="AV279" s="1471"/>
      <c r="AW279" s="1815"/>
      <c r="AX279" s="1469"/>
      <c r="AY279" s="1814"/>
      <c r="AZ279" s="1814"/>
      <c r="BA279" s="1471"/>
      <c r="BB279" s="1815"/>
      <c r="BC279" s="1469"/>
      <c r="BD279" s="1814"/>
      <c r="BE279" s="1814"/>
      <c r="BF279" s="1471"/>
      <c r="BG279" s="1815"/>
      <c r="BH279" s="1469"/>
      <c r="BI279" s="1814"/>
      <c r="BJ279" s="1814"/>
      <c r="BK279" s="1471"/>
      <c r="BL279" s="1815"/>
      <c r="BM279" s="1469"/>
      <c r="BN279" s="1814"/>
      <c r="BO279" s="1814"/>
      <c r="BP279" s="1471"/>
      <c r="BQ279" s="1815"/>
    </row>
    <row r="280" spans="2:94" s="50" customFormat="1">
      <c r="C280" s="1813" t="s">
        <v>1230</v>
      </c>
      <c r="D280" s="1813"/>
      <c r="E280" s="1469"/>
      <c r="F280" s="1814"/>
      <c r="G280" s="1814"/>
      <c r="H280" s="1471"/>
      <c r="I280" s="1815"/>
      <c r="J280" s="1469"/>
      <c r="K280" s="1814"/>
      <c r="L280" s="1814"/>
      <c r="M280" s="1471"/>
      <c r="N280" s="1818"/>
      <c r="O280" s="1587"/>
      <c r="P280" s="1588"/>
      <c r="Q280" s="1588"/>
      <c r="R280" s="1589"/>
      <c r="S280" s="1818"/>
      <c r="T280" s="1587"/>
      <c r="U280" s="1588"/>
      <c r="V280" s="1588"/>
      <c r="W280" s="1589"/>
      <c r="X280" s="1818"/>
      <c r="Y280" s="1587"/>
      <c r="Z280" s="1588"/>
      <c r="AA280" s="1588"/>
      <c r="AB280" s="1589"/>
      <c r="AC280" s="1819"/>
      <c r="AD280" s="1587"/>
      <c r="AE280" s="1588"/>
      <c r="AF280" s="1588"/>
      <c r="AG280" s="1589"/>
      <c r="AH280" s="1819"/>
      <c r="AI280" s="1820"/>
      <c r="AJ280" s="1588"/>
      <c r="AK280" s="1588"/>
      <c r="AL280" s="1589"/>
      <c r="AM280" s="1818">
        <v>0.2</v>
      </c>
      <c r="AN280" s="1587">
        <f>AM280</f>
        <v>0.2</v>
      </c>
      <c r="AO280" s="1588">
        <f>AN280</f>
        <v>0.2</v>
      </c>
      <c r="AP280" s="1588">
        <f>+AO280</f>
        <v>0.2</v>
      </c>
      <c r="AQ280" s="1589">
        <f>+AP280</f>
        <v>0.2</v>
      </c>
      <c r="AR280" s="1819">
        <f t="shared" ref="AR280:BL280" si="154">+AQ280</f>
        <v>0.2</v>
      </c>
      <c r="AS280" s="1587">
        <f t="shared" si="154"/>
        <v>0.2</v>
      </c>
      <c r="AT280" s="1588">
        <f t="shared" si="154"/>
        <v>0.2</v>
      </c>
      <c r="AU280" s="1588">
        <f t="shared" si="154"/>
        <v>0.2</v>
      </c>
      <c r="AV280" s="1589">
        <f t="shared" si="154"/>
        <v>0.2</v>
      </c>
      <c r="AW280" s="1819">
        <f t="shared" si="154"/>
        <v>0.2</v>
      </c>
      <c r="AX280" s="1587">
        <f t="shared" si="154"/>
        <v>0.2</v>
      </c>
      <c r="AY280" s="1588">
        <f t="shared" si="154"/>
        <v>0.2</v>
      </c>
      <c r="AZ280" s="1588">
        <f t="shared" si="154"/>
        <v>0.2</v>
      </c>
      <c r="BA280" s="1589">
        <f t="shared" si="154"/>
        <v>0.2</v>
      </c>
      <c r="BB280" s="1819">
        <f t="shared" si="154"/>
        <v>0.2</v>
      </c>
      <c r="BC280" s="1587">
        <f t="shared" si="154"/>
        <v>0.2</v>
      </c>
      <c r="BD280" s="1588">
        <f t="shared" si="154"/>
        <v>0.2</v>
      </c>
      <c r="BE280" s="1588">
        <f t="shared" si="154"/>
        <v>0.2</v>
      </c>
      <c r="BF280" s="1589">
        <f t="shared" si="154"/>
        <v>0.2</v>
      </c>
      <c r="BG280" s="1819">
        <f t="shared" si="154"/>
        <v>0.2</v>
      </c>
      <c r="BH280" s="1587">
        <f t="shared" si="154"/>
        <v>0.2</v>
      </c>
      <c r="BI280" s="1588">
        <f t="shared" si="154"/>
        <v>0.2</v>
      </c>
      <c r="BJ280" s="1588">
        <f t="shared" si="154"/>
        <v>0.2</v>
      </c>
      <c r="BK280" s="1589">
        <f t="shared" si="154"/>
        <v>0.2</v>
      </c>
      <c r="BL280" s="1819">
        <f t="shared" si="154"/>
        <v>0.2</v>
      </c>
      <c r="BM280" s="1587">
        <f>+BL280</f>
        <v>0.2</v>
      </c>
      <c r="BN280" s="1588">
        <f>+BM280</f>
        <v>0.2</v>
      </c>
      <c r="BO280" s="1588">
        <f>+BN280</f>
        <v>0.2</v>
      </c>
      <c r="BP280" s="1589">
        <f>+BO280</f>
        <v>0.2</v>
      </c>
      <c r="BQ280" s="1819">
        <f>+BP280</f>
        <v>0.2</v>
      </c>
    </row>
    <row r="281" spans="2:94" s="50" customFormat="1">
      <c r="C281" s="1813" t="s">
        <v>1231</v>
      </c>
      <c r="D281" s="1813"/>
      <c r="E281" s="1469"/>
      <c r="F281" s="1814"/>
      <c r="G281" s="1814"/>
      <c r="H281" s="1471"/>
      <c r="I281" s="1815"/>
      <c r="J281" s="1469"/>
      <c r="K281" s="1814"/>
      <c r="L281" s="1814"/>
      <c r="M281" s="1471"/>
      <c r="N281" s="1484"/>
      <c r="O281" s="1485"/>
      <c r="P281" s="1488"/>
      <c r="Q281" s="1488"/>
      <c r="R281" s="1487"/>
      <c r="S281" s="1484"/>
      <c r="T281" s="1485"/>
      <c r="U281" s="1488"/>
      <c r="V281" s="1488"/>
      <c r="W281" s="1487"/>
      <c r="X281" s="1484"/>
      <c r="Y281" s="1485"/>
      <c r="Z281" s="1488"/>
      <c r="AA281" s="1488"/>
      <c r="AB281" s="1487"/>
      <c r="AC281" s="1484"/>
      <c r="AD281" s="1485"/>
      <c r="AE281" s="1488"/>
      <c r="AF281" s="1488"/>
      <c r="AG281" s="1487"/>
      <c r="AH281" s="1484"/>
      <c r="AI281" s="1485"/>
      <c r="AJ281" s="1488"/>
      <c r="AK281" s="1488"/>
      <c r="AL281" s="1487"/>
      <c r="AM281" s="1484">
        <f>SUM(AI281:AL281)</f>
        <v>0</v>
      </c>
      <c r="AN281" s="1485">
        <f>+AN277*AN280*8.76/4</f>
        <v>0</v>
      </c>
      <c r="AO281" s="1488">
        <f>+AO277*AO280*8.76/4</f>
        <v>1.6222222222222227</v>
      </c>
      <c r="AP281" s="1488">
        <f>+AP277*AP280*8.76/4</f>
        <v>3.2444444444444454</v>
      </c>
      <c r="AQ281" s="1487">
        <f>+AQ277*AQ280*8.76/4</f>
        <v>4.866666666666668</v>
      </c>
      <c r="AR281" s="1484">
        <f>SUM(AN281:AQ281)</f>
        <v>9.7333333333333361</v>
      </c>
      <c r="AS281" s="1485">
        <f>+AS277*AS280*8.76/4</f>
        <v>4.866666666666668</v>
      </c>
      <c r="AT281" s="1488">
        <f>+AT277*AT280*8.76/4</f>
        <v>4.866666666666668</v>
      </c>
      <c r="AU281" s="1488">
        <f>+AU277*AU280*8.76/4</f>
        <v>21.088888888888896</v>
      </c>
      <c r="AV281" s="1487">
        <f>+AV277*AV280*8.76/4</f>
        <v>21.088888888888896</v>
      </c>
      <c r="AW281" s="1484">
        <f>SUM(AS281:AV281)</f>
        <v>51.911111111111126</v>
      </c>
      <c r="AX281" s="1485">
        <f>+AX277*AX280*8.76/4</f>
        <v>21.088888888888896</v>
      </c>
      <c r="AY281" s="1488">
        <f>+AY277*AY280*8.76/4</f>
        <v>21.088888888888896</v>
      </c>
      <c r="AZ281" s="1488">
        <f>+AZ277*AZ280*8.76/4</f>
        <v>37.311111111111131</v>
      </c>
      <c r="BA281" s="1487">
        <f>+BA277*BA280*8.76/4</f>
        <v>37.311111111111131</v>
      </c>
      <c r="BB281" s="1484">
        <f>SUM(AX281:BA281)</f>
        <v>116.80000000000005</v>
      </c>
      <c r="BC281" s="1485">
        <f>+BC277*BC280*8.76/4</f>
        <v>37.311111111111131</v>
      </c>
      <c r="BD281" s="1488">
        <f>+BD277*BD280*8.76/4</f>
        <v>37.311111111111131</v>
      </c>
      <c r="BE281" s="1488">
        <f>+BE277*BE280*8.76/4</f>
        <v>53.53333333333336</v>
      </c>
      <c r="BF281" s="1487">
        <f>+BF277*BF280*8.76/4</f>
        <v>53.53333333333336</v>
      </c>
      <c r="BG281" s="1484">
        <f>SUM(BC281:BF281)</f>
        <v>181.68888888888898</v>
      </c>
      <c r="BH281" s="1485">
        <f>+BH277*BH280*8.76/4</f>
        <v>53.53333333333336</v>
      </c>
      <c r="BI281" s="1488">
        <f>+BI277*BI280*8.76/4</f>
        <v>53.53333333333336</v>
      </c>
      <c r="BJ281" s="1488">
        <f>+BJ277*BJ280*8.76/4</f>
        <v>69.755555555555588</v>
      </c>
      <c r="BK281" s="1487">
        <f>+BK277*BK280*8.76/4</f>
        <v>69.755555555555588</v>
      </c>
      <c r="BL281" s="1484">
        <f>SUM(BH281:BK281)</f>
        <v>246.5777777777779</v>
      </c>
      <c r="BM281" s="1485">
        <f>+BM277*BM280*8.76/4</f>
        <v>69.755555555555588</v>
      </c>
      <c r="BN281" s="1488">
        <f>+BN277*BN280*8.76/4</f>
        <v>69.755555555555588</v>
      </c>
      <c r="BO281" s="1488">
        <f>+BO277*BO280*8.76/4</f>
        <v>69.755555555555588</v>
      </c>
      <c r="BP281" s="1487">
        <f>+BP277*BP280*8.76/4</f>
        <v>69.755555555555588</v>
      </c>
      <c r="BQ281" s="1484">
        <f>SUM(BM281:BP281)</f>
        <v>279.02222222222235</v>
      </c>
    </row>
    <row r="282" spans="2:94" s="50" customFormat="1">
      <c r="C282" s="1813"/>
      <c r="D282" s="1813"/>
      <c r="E282" s="1469"/>
      <c r="F282" s="1814"/>
      <c r="G282" s="1814"/>
      <c r="H282" s="1471"/>
      <c r="I282" s="1815"/>
      <c r="J282" s="1469"/>
      <c r="K282" s="1814"/>
      <c r="L282" s="1814"/>
      <c r="M282" s="1471"/>
      <c r="N282" s="1815"/>
      <c r="O282" s="1469"/>
      <c r="P282" s="1814"/>
      <c r="Q282" s="1814"/>
      <c r="R282" s="1471"/>
      <c r="S282" s="1815"/>
      <c r="T282" s="1469"/>
      <c r="U282" s="1814"/>
      <c r="V282" s="1814"/>
      <c r="W282" s="1471"/>
      <c r="X282" s="1815"/>
      <c r="Y282" s="1469"/>
      <c r="Z282" s="1814"/>
      <c r="AA282" s="1814"/>
      <c r="AB282" s="1471"/>
      <c r="AC282" s="1815"/>
      <c r="AD282" s="1469"/>
      <c r="AE282" s="1814"/>
      <c r="AF282" s="1814"/>
      <c r="AG282" s="1471"/>
      <c r="AH282" s="1815"/>
      <c r="AI282" s="1469"/>
      <c r="AJ282" s="1814"/>
      <c r="AK282" s="1814"/>
      <c r="AL282" s="1471"/>
      <c r="AM282" s="1815"/>
      <c r="AN282" s="1469"/>
      <c r="AO282" s="1814"/>
      <c r="AP282" s="1814"/>
      <c r="AQ282" s="1471"/>
      <c r="AR282" s="1815"/>
      <c r="AS282" s="1469"/>
      <c r="AT282" s="1814"/>
      <c r="AU282" s="1814"/>
      <c r="AV282" s="1471"/>
      <c r="AW282" s="1815"/>
      <c r="AX282" s="1469"/>
      <c r="AY282" s="1814"/>
      <c r="AZ282" s="1814"/>
      <c r="BA282" s="1471"/>
      <c r="BB282" s="1815"/>
      <c r="BC282" s="1469"/>
      <c r="BD282" s="1814"/>
      <c r="BE282" s="1814"/>
      <c r="BF282" s="1471"/>
      <c r="BG282" s="1815"/>
      <c r="BH282" s="1469"/>
      <c r="BI282" s="1814"/>
      <c r="BJ282" s="1814"/>
      <c r="BK282" s="1471"/>
      <c r="BL282" s="1815"/>
      <c r="BM282" s="1469"/>
      <c r="BN282" s="1814"/>
      <c r="BO282" s="1814"/>
      <c r="BP282" s="1471"/>
      <c r="BQ282" s="1815"/>
    </row>
    <row r="283" spans="2:94" s="50" customFormat="1">
      <c r="C283" s="1813" t="s">
        <v>1158</v>
      </c>
      <c r="D283" s="1813"/>
      <c r="E283" s="1469"/>
      <c r="F283" s="1814"/>
      <c r="G283" s="1814"/>
      <c r="H283" s="1471"/>
      <c r="I283" s="1815"/>
      <c r="J283" s="1469"/>
      <c r="K283" s="1814"/>
      <c r="L283" s="1814"/>
      <c r="M283" s="1471"/>
      <c r="N283" s="1484"/>
      <c r="O283" s="1485"/>
      <c r="P283" s="1488"/>
      <c r="Q283" s="1488"/>
      <c r="R283" s="1487"/>
      <c r="S283" s="1484"/>
      <c r="T283" s="1485"/>
      <c r="U283" s="1488"/>
      <c r="V283" s="1488"/>
      <c r="W283" s="1487"/>
      <c r="X283" s="1484"/>
      <c r="Y283" s="1485"/>
      <c r="Z283" s="1488"/>
      <c r="AA283" s="1488"/>
      <c r="AB283" s="1487"/>
      <c r="AC283" s="1484"/>
      <c r="AD283" s="1485"/>
      <c r="AE283" s="1488"/>
      <c r="AF283" s="1488"/>
      <c r="AG283" s="1487"/>
      <c r="AH283" s="1484"/>
      <c r="AI283" s="1485"/>
      <c r="AJ283" s="1488"/>
      <c r="AK283" s="1488"/>
      <c r="AL283" s="1487"/>
      <c r="AM283" s="1484">
        <f>SUM(AI283:AL283)</f>
        <v>0</v>
      </c>
      <c r="AN283" s="1485">
        <f>+AN281*AN276/1000</f>
        <v>0</v>
      </c>
      <c r="AO283" s="1488">
        <f>+AO281*AO276/1000</f>
        <v>0.23757444444444448</v>
      </c>
      <c r="AP283" s="1488">
        <f>+AP281*AP276/1000</f>
        <v>0.47514888888888895</v>
      </c>
      <c r="AQ283" s="1487">
        <f>+AQ281*AQ276/1000</f>
        <v>0.71272333333333349</v>
      </c>
      <c r="AR283" s="1484">
        <f>SUM(AN283:AQ283)</f>
        <v>1.4254466666666668</v>
      </c>
      <c r="AS283" s="1485">
        <f>+AS281*AS276/1000</f>
        <v>0.7198505666666668</v>
      </c>
      <c r="AT283" s="1488">
        <f>+AT281*AT276/1000</f>
        <v>0.7198505666666668</v>
      </c>
      <c r="AU283" s="1488">
        <f>+AU281*AU276/1000</f>
        <v>3.119352455555557</v>
      </c>
      <c r="AV283" s="1487">
        <f>+AV281*AV276/1000</f>
        <v>3.119352455555557</v>
      </c>
      <c r="AW283" s="1484">
        <f>SUM(AS283:AV283)</f>
        <v>7.6784060444444471</v>
      </c>
      <c r="AX283" s="1485">
        <f>+AX281*AX276/1000</f>
        <v>3.150545980111112</v>
      </c>
      <c r="AY283" s="1488">
        <f>+AY281*AY276/1000</f>
        <v>3.150545980111112</v>
      </c>
      <c r="AZ283" s="1488">
        <f>+AZ281*AZ276/1000</f>
        <v>5.5740428878888917</v>
      </c>
      <c r="BA283" s="1487">
        <f>+BA281*BA276/1000</f>
        <v>5.5740428878888917</v>
      </c>
      <c r="BB283" s="1484">
        <f>SUM(AX283:BA283)</f>
        <v>17.44917773600001</v>
      </c>
      <c r="BC283" s="1485">
        <f>+BC281*BC276/1000</f>
        <v>5.6297833167677807</v>
      </c>
      <c r="BD283" s="1488">
        <f>+BD281*BD276/1000</f>
        <v>5.6297833167677807</v>
      </c>
      <c r="BE283" s="1488">
        <f>+BE281*BE276/1000</f>
        <v>8.0775151936233378</v>
      </c>
      <c r="BF283" s="1487">
        <f>+BF281*BF276/1000</f>
        <v>8.0775151936233378</v>
      </c>
      <c r="BG283" s="1484">
        <f>SUM(BC283:BF283)</f>
        <v>27.414597020782235</v>
      </c>
      <c r="BH283" s="1485">
        <f>+BH281*BH276/1000</f>
        <v>8.1582903455595694</v>
      </c>
      <c r="BI283" s="1488">
        <f>+BI281*BI276/1000</f>
        <v>8.1582903455595694</v>
      </c>
      <c r="BJ283" s="1488">
        <f>+BJ281*BJ276/1000</f>
        <v>10.630499541183683</v>
      </c>
      <c r="BK283" s="1487">
        <f>+BK281*BK276/1000</f>
        <v>10.630499541183683</v>
      </c>
      <c r="BL283" s="1484">
        <f>SUM(BH283:BK283)</f>
        <v>37.577579773486505</v>
      </c>
      <c r="BM283" s="1485">
        <f>+BM281*BM276/1000</f>
        <v>10.736804536595521</v>
      </c>
      <c r="BN283" s="1488">
        <f>+BN281*BN276/1000</f>
        <v>10.736804536595521</v>
      </c>
      <c r="BO283" s="1488">
        <f>+BO281*BO276/1000</f>
        <v>10.736804536595521</v>
      </c>
      <c r="BP283" s="1487">
        <f>+BP281*BP276/1000</f>
        <v>10.736804536595521</v>
      </c>
      <c r="BQ283" s="1484">
        <f>SUM(BM283:BP283)</f>
        <v>42.947218146382085</v>
      </c>
    </row>
    <row r="284" spans="2:94" s="50" customFormat="1">
      <c r="C284" s="1813" t="s">
        <v>1141</v>
      </c>
      <c r="D284" s="1813"/>
      <c r="E284" s="1469"/>
      <c r="F284" s="1814"/>
      <c r="G284" s="1814"/>
      <c r="H284" s="1471"/>
      <c r="I284" s="1815"/>
      <c r="J284" s="1469"/>
      <c r="K284" s="1814"/>
      <c r="L284" s="1814"/>
      <c r="M284" s="1471"/>
      <c r="N284" s="1639"/>
      <c r="O284" s="1550"/>
      <c r="P284" s="1551"/>
      <c r="Q284" s="1551"/>
      <c r="R284" s="1552"/>
      <c r="S284" s="1639"/>
      <c r="T284" s="1550"/>
      <c r="U284" s="1551"/>
      <c r="V284" s="1551"/>
      <c r="W284" s="1552"/>
      <c r="X284" s="1639"/>
      <c r="Y284" s="1550"/>
      <c r="Z284" s="1551"/>
      <c r="AA284" s="1551"/>
      <c r="AB284" s="1552"/>
      <c r="AC284" s="1639"/>
      <c r="AD284" s="1550"/>
      <c r="AE284" s="1551"/>
      <c r="AF284" s="1551"/>
      <c r="AG284" s="1552"/>
      <c r="AH284" s="1639"/>
      <c r="AI284" s="1550"/>
      <c r="AJ284" s="1551"/>
      <c r="AK284" s="1551"/>
      <c r="AL284" s="1552"/>
      <c r="AM284" s="1639">
        <v>0</v>
      </c>
      <c r="AN284" s="1550">
        <v>0</v>
      </c>
      <c r="AO284" s="1551">
        <v>0</v>
      </c>
      <c r="AP284" s="1551">
        <v>0</v>
      </c>
      <c r="AQ284" s="1552">
        <v>0</v>
      </c>
      <c r="AR284" s="1639">
        <v>0</v>
      </c>
      <c r="AS284" s="1550">
        <v>0</v>
      </c>
      <c r="AT284" s="1551">
        <v>0</v>
      </c>
      <c r="AU284" s="1551">
        <v>0</v>
      </c>
      <c r="AV284" s="1552">
        <v>0</v>
      </c>
      <c r="AW284" s="1639">
        <v>0</v>
      </c>
      <c r="AX284" s="1550">
        <v>0</v>
      </c>
      <c r="AY284" s="1551">
        <v>0</v>
      </c>
      <c r="AZ284" s="1551">
        <v>0</v>
      </c>
      <c r="BA284" s="1552">
        <v>0</v>
      </c>
      <c r="BB284" s="1639">
        <v>0</v>
      </c>
      <c r="BC284" s="1550">
        <v>0</v>
      </c>
      <c r="BD284" s="1551">
        <v>0</v>
      </c>
      <c r="BE284" s="1551">
        <v>0</v>
      </c>
      <c r="BF284" s="1552">
        <v>0</v>
      </c>
      <c r="BG284" s="1639">
        <v>0</v>
      </c>
      <c r="BH284" s="1550">
        <v>0</v>
      </c>
      <c r="BI284" s="1551">
        <v>0</v>
      </c>
      <c r="BJ284" s="1551">
        <v>0</v>
      </c>
      <c r="BK284" s="1552">
        <v>0</v>
      </c>
      <c r="BL284" s="1639">
        <v>0</v>
      </c>
      <c r="BM284" s="1550">
        <v>0</v>
      </c>
      <c r="BN284" s="1551">
        <v>0</v>
      </c>
      <c r="BO284" s="1551">
        <v>0</v>
      </c>
      <c r="BP284" s="1552">
        <v>0</v>
      </c>
      <c r="BQ284" s="1639">
        <v>0</v>
      </c>
    </row>
    <row r="285" spans="2:94" s="50" customFormat="1">
      <c r="C285" s="1821" t="s">
        <v>1142</v>
      </c>
      <c r="D285" s="1813"/>
      <c r="E285" s="1469"/>
      <c r="F285" s="1814"/>
      <c r="G285" s="1814"/>
      <c r="H285" s="1471"/>
      <c r="I285" s="1815"/>
      <c r="J285" s="1469"/>
      <c r="K285" s="1814"/>
      <c r="L285" s="1814"/>
      <c r="M285" s="1471"/>
      <c r="N285" s="1477"/>
      <c r="O285" s="1548"/>
      <c r="P285" s="1557"/>
      <c r="Q285" s="1557"/>
      <c r="R285" s="1518"/>
      <c r="S285" s="1477"/>
      <c r="T285" s="1548"/>
      <c r="U285" s="1557"/>
      <c r="V285" s="1557"/>
      <c r="W285" s="1518"/>
      <c r="X285" s="1477"/>
      <c r="Y285" s="1548"/>
      <c r="Z285" s="1557"/>
      <c r="AA285" s="1557"/>
      <c r="AB285" s="1518"/>
      <c r="AC285" s="1477"/>
      <c r="AD285" s="1548"/>
      <c r="AE285" s="1557"/>
      <c r="AF285" s="1557"/>
      <c r="AG285" s="1518"/>
      <c r="AH285" s="1477"/>
      <c r="AI285" s="1548"/>
      <c r="AJ285" s="1557"/>
      <c r="AK285" s="1557"/>
      <c r="AL285" s="1518"/>
      <c r="AM285" s="1477">
        <f t="shared" ref="AM285:BL285" si="155">AM283-AM284</f>
        <v>0</v>
      </c>
      <c r="AN285" s="1548">
        <f t="shared" si="155"/>
        <v>0</v>
      </c>
      <c r="AO285" s="1557">
        <f t="shared" si="155"/>
        <v>0.23757444444444448</v>
      </c>
      <c r="AP285" s="1557">
        <f t="shared" si="155"/>
        <v>0.47514888888888895</v>
      </c>
      <c r="AQ285" s="1518">
        <f t="shared" si="155"/>
        <v>0.71272333333333349</v>
      </c>
      <c r="AR285" s="1477">
        <f t="shared" si="155"/>
        <v>1.4254466666666668</v>
      </c>
      <c r="AS285" s="1548">
        <f t="shared" si="155"/>
        <v>0.7198505666666668</v>
      </c>
      <c r="AT285" s="1557">
        <f t="shared" si="155"/>
        <v>0.7198505666666668</v>
      </c>
      <c r="AU285" s="1557">
        <f t="shared" si="155"/>
        <v>3.119352455555557</v>
      </c>
      <c r="AV285" s="1518">
        <f t="shared" si="155"/>
        <v>3.119352455555557</v>
      </c>
      <c r="AW285" s="1477">
        <f t="shared" si="155"/>
        <v>7.6784060444444471</v>
      </c>
      <c r="AX285" s="1548">
        <f t="shared" si="155"/>
        <v>3.150545980111112</v>
      </c>
      <c r="AY285" s="1557">
        <f t="shared" si="155"/>
        <v>3.150545980111112</v>
      </c>
      <c r="AZ285" s="1557">
        <f t="shared" si="155"/>
        <v>5.5740428878888917</v>
      </c>
      <c r="BA285" s="1518">
        <f t="shared" si="155"/>
        <v>5.5740428878888917</v>
      </c>
      <c r="BB285" s="1477">
        <f t="shared" si="155"/>
        <v>17.44917773600001</v>
      </c>
      <c r="BC285" s="1548">
        <f t="shared" si="155"/>
        <v>5.6297833167677807</v>
      </c>
      <c r="BD285" s="1557">
        <f t="shared" si="155"/>
        <v>5.6297833167677807</v>
      </c>
      <c r="BE285" s="1557">
        <f t="shared" si="155"/>
        <v>8.0775151936233378</v>
      </c>
      <c r="BF285" s="1518">
        <f t="shared" si="155"/>
        <v>8.0775151936233378</v>
      </c>
      <c r="BG285" s="1477">
        <f t="shared" si="155"/>
        <v>27.414597020782235</v>
      </c>
      <c r="BH285" s="1548">
        <f t="shared" si="155"/>
        <v>8.1582903455595694</v>
      </c>
      <c r="BI285" s="1557">
        <f t="shared" si="155"/>
        <v>8.1582903455595694</v>
      </c>
      <c r="BJ285" s="1557">
        <f t="shared" si="155"/>
        <v>10.630499541183683</v>
      </c>
      <c r="BK285" s="1518">
        <f t="shared" si="155"/>
        <v>10.630499541183683</v>
      </c>
      <c r="BL285" s="1477">
        <f t="shared" si="155"/>
        <v>37.577579773486505</v>
      </c>
      <c r="BM285" s="1548">
        <f>BM283-BM284</f>
        <v>10.736804536595521</v>
      </c>
      <c r="BN285" s="1557">
        <f>BN283-BN284</f>
        <v>10.736804536595521</v>
      </c>
      <c r="BO285" s="1557">
        <f>BO283-BO284</f>
        <v>10.736804536595521</v>
      </c>
      <c r="BP285" s="1518">
        <f>BP283-BP284</f>
        <v>10.736804536595521</v>
      </c>
      <c r="BQ285" s="1477">
        <f>BQ283-BQ284</f>
        <v>42.947218146382085</v>
      </c>
    </row>
    <row r="286" spans="2:94" s="50" customFormat="1">
      <c r="C286" s="515"/>
      <c r="E286" s="225"/>
      <c r="F286" s="226"/>
      <c r="G286" s="226"/>
      <c r="H286" s="227"/>
      <c r="I286" s="228"/>
      <c r="J286" s="225"/>
      <c r="K286" s="226"/>
      <c r="L286" s="226"/>
      <c r="M286" s="227"/>
      <c r="N286" s="228"/>
      <c r="O286" s="149"/>
      <c r="P286" s="156"/>
      <c r="Q286" s="156"/>
      <c r="R286" s="151"/>
      <c r="S286" s="112"/>
      <c r="T286" s="149"/>
      <c r="U286" s="156"/>
      <c r="V286" s="156"/>
      <c r="W286" s="151"/>
      <c r="X286" s="112"/>
      <c r="Y286" s="149"/>
      <c r="Z286" s="156"/>
      <c r="AA286" s="156"/>
      <c r="AB286" s="151"/>
      <c r="AC286" s="112"/>
      <c r="AD286" s="149"/>
      <c r="AE286" s="156"/>
      <c r="AF286" s="156"/>
      <c r="AG286" s="151"/>
      <c r="AH286" s="112"/>
      <c r="AI286" s="149"/>
      <c r="AJ286" s="156"/>
      <c r="AK286" s="156"/>
      <c r="AL286" s="151"/>
      <c r="AM286" s="112"/>
      <c r="AN286" s="149"/>
      <c r="AO286" s="156"/>
      <c r="AP286" s="156"/>
      <c r="AQ286" s="151"/>
      <c r="AR286" s="112"/>
      <c r="AS286" s="149"/>
      <c r="AT286" s="156"/>
      <c r="AU286" s="156"/>
      <c r="AV286" s="151"/>
      <c r="AW286" s="112"/>
      <c r="AX286" s="149"/>
      <c r="AY286" s="156"/>
      <c r="AZ286" s="156"/>
      <c r="BA286" s="151"/>
      <c r="BB286" s="112"/>
      <c r="BC286" s="149"/>
      <c r="BD286" s="156"/>
      <c r="BE286" s="156"/>
      <c r="BF286" s="151"/>
      <c r="BG286" s="112"/>
      <c r="BH286" s="149"/>
      <c r="BI286" s="156"/>
      <c r="BJ286" s="156"/>
      <c r="BK286" s="151"/>
      <c r="BL286" s="112"/>
      <c r="BM286" s="149"/>
      <c r="BN286" s="156"/>
      <c r="BO286" s="156"/>
      <c r="BP286" s="151"/>
      <c r="BQ286" s="112"/>
    </row>
    <row r="287" spans="2:94" s="50" customFormat="1">
      <c r="C287" s="515"/>
      <c r="E287" s="225"/>
      <c r="F287" s="226"/>
      <c r="G287" s="226"/>
      <c r="H287" s="227"/>
      <c r="I287" s="228"/>
      <c r="J287" s="225"/>
      <c r="K287" s="226"/>
      <c r="L287" s="226"/>
      <c r="M287" s="227"/>
      <c r="N287" s="228"/>
      <c r="O287" s="149"/>
      <c r="P287" s="156"/>
      <c r="Q287" s="156"/>
      <c r="R287" s="151"/>
      <c r="S287" s="112"/>
      <c r="T287" s="149"/>
      <c r="U287" s="156"/>
      <c r="V287" s="156"/>
      <c r="W287" s="151"/>
      <c r="X287" s="112"/>
      <c r="Y287" s="149"/>
      <c r="Z287" s="156"/>
      <c r="AA287" s="156"/>
      <c r="AB287" s="151"/>
      <c r="AC287" s="112"/>
      <c r="AD287" s="149"/>
      <c r="AE287" s="156"/>
      <c r="AF287" s="156"/>
      <c r="AG287" s="151"/>
      <c r="AH287" s="112"/>
      <c r="AI287" s="149"/>
      <c r="AJ287" s="156"/>
      <c r="AK287" s="156"/>
      <c r="AL287" s="151"/>
      <c r="AM287" s="112"/>
      <c r="AN287" s="149"/>
      <c r="AO287" s="156"/>
      <c r="AP287" s="156"/>
      <c r="AQ287" s="151"/>
      <c r="AR287" s="112"/>
      <c r="AS287" s="149"/>
      <c r="AT287" s="156"/>
      <c r="AU287" s="156"/>
      <c r="AV287" s="151"/>
      <c r="AW287" s="112"/>
      <c r="AX287" s="149"/>
      <c r="AY287" s="156"/>
      <c r="AZ287" s="156"/>
      <c r="BA287" s="151"/>
      <c r="BB287" s="112"/>
      <c r="BC287" s="149"/>
      <c r="BD287" s="156"/>
      <c r="BE287" s="156"/>
      <c r="BF287" s="151"/>
      <c r="BG287" s="112"/>
      <c r="BH287" s="149"/>
      <c r="BI287" s="156"/>
      <c r="BJ287" s="156"/>
      <c r="BK287" s="151"/>
      <c r="BL287" s="112"/>
      <c r="BM287" s="149"/>
      <c r="BN287" s="156"/>
      <c r="BO287" s="156"/>
      <c r="BP287" s="151"/>
      <c r="BQ287" s="112"/>
    </row>
    <row r="288" spans="2:94">
      <c r="B288" s="1721" t="s">
        <v>1176</v>
      </c>
      <c r="C288" s="1721"/>
      <c r="D288" s="1722"/>
      <c r="E288" s="1723"/>
      <c r="F288" s="1724"/>
      <c r="G288" s="1724"/>
      <c r="H288" s="1725"/>
      <c r="I288" s="1726"/>
      <c r="J288" s="1723"/>
      <c r="K288" s="1724"/>
      <c r="L288" s="1724"/>
      <c r="M288" s="1725"/>
      <c r="N288" s="1726"/>
      <c r="O288" s="1723"/>
      <c r="P288" s="1724"/>
      <c r="Q288" s="1724"/>
      <c r="R288" s="1725"/>
      <c r="S288" s="1726"/>
      <c r="T288" s="1723"/>
      <c r="U288" s="1724"/>
      <c r="V288" s="1724"/>
      <c r="W288" s="1725"/>
      <c r="X288" s="1726"/>
      <c r="Y288" s="1723"/>
      <c r="Z288" s="1724"/>
      <c r="AA288" s="1724"/>
      <c r="AB288" s="1725"/>
      <c r="AC288" s="1726"/>
      <c r="AD288" s="1723"/>
      <c r="AE288" s="1724"/>
      <c r="AF288" s="1724"/>
      <c r="AG288" s="1725"/>
      <c r="AH288" s="1726"/>
      <c r="AI288" s="1723"/>
      <c r="AJ288" s="1724"/>
      <c r="AK288" s="1724"/>
      <c r="AL288" s="1725"/>
      <c r="AM288" s="1726"/>
      <c r="AN288" s="1723"/>
      <c r="AO288" s="1724"/>
      <c r="AP288" s="1724"/>
      <c r="AQ288" s="1725"/>
      <c r="AR288" s="1726"/>
      <c r="AS288" s="1723"/>
      <c r="AT288" s="1724"/>
      <c r="AU288" s="1724"/>
      <c r="AV288" s="1725"/>
      <c r="AW288" s="1726"/>
      <c r="AX288" s="1723"/>
      <c r="AY288" s="1724"/>
      <c r="AZ288" s="1724"/>
      <c r="BA288" s="1725"/>
      <c r="BB288" s="1726"/>
      <c r="BC288" s="1723"/>
      <c r="BD288" s="1724"/>
      <c r="BE288" s="1724"/>
      <c r="BF288" s="1725"/>
      <c r="BG288" s="1726"/>
      <c r="BH288" s="1723"/>
      <c r="BI288" s="1724"/>
      <c r="BJ288" s="1724"/>
      <c r="BK288" s="1725"/>
      <c r="BL288" s="1726"/>
      <c r="BM288" s="1723"/>
      <c r="BN288" s="1724"/>
      <c r="BO288" s="1724"/>
      <c r="BP288" s="1725"/>
      <c r="BQ288" s="1726"/>
    </row>
    <row r="289" spans="1:104" s="1467" customFormat="1">
      <c r="A289" s="1727"/>
      <c r="B289" s="1727"/>
      <c r="C289" s="1728" t="s">
        <v>217</v>
      </c>
      <c r="D289" s="1425"/>
      <c r="E289" s="1548"/>
      <c r="F289" s="1549"/>
      <c r="G289" s="1549"/>
      <c r="H289" s="1518"/>
      <c r="I289" s="1425"/>
      <c r="J289" s="1548"/>
      <c r="K289" s="1549"/>
      <c r="L289" s="1549"/>
      <c r="M289" s="1518"/>
      <c r="N289" s="1425"/>
      <c r="O289" s="1548"/>
      <c r="P289" s="1549"/>
      <c r="Q289" s="1549"/>
      <c r="R289" s="1518"/>
      <c r="S289" s="1425"/>
      <c r="T289" s="1548"/>
      <c r="U289" s="1549"/>
      <c r="V289" s="1549"/>
      <c r="W289" s="1518"/>
      <c r="X289" s="1425">
        <f t="shared" ref="X289:AP289" si="156">+X12</f>
        <v>507</v>
      </c>
      <c r="Y289" s="1548">
        <f t="shared" si="156"/>
        <v>124</v>
      </c>
      <c r="Z289" s="1549">
        <f t="shared" si="156"/>
        <v>112</v>
      </c>
      <c r="AA289" s="1549">
        <f t="shared" si="156"/>
        <v>106</v>
      </c>
      <c r="AB289" s="1518">
        <f t="shared" si="156"/>
        <v>181</v>
      </c>
      <c r="AC289" s="1425">
        <f t="shared" si="156"/>
        <v>523</v>
      </c>
      <c r="AD289" s="1548">
        <f t="shared" si="156"/>
        <v>116</v>
      </c>
      <c r="AE289" s="1549">
        <f t="shared" si="156"/>
        <v>125</v>
      </c>
      <c r="AF289" s="1549">
        <f t="shared" si="156"/>
        <v>122</v>
      </c>
      <c r="AG289" s="1518">
        <f t="shared" si="156"/>
        <v>187</v>
      </c>
      <c r="AH289" s="1425">
        <f t="shared" si="156"/>
        <v>550</v>
      </c>
      <c r="AI289" s="1548">
        <f t="shared" si="156"/>
        <v>100</v>
      </c>
      <c r="AJ289" s="1549">
        <f t="shared" si="156"/>
        <v>116</v>
      </c>
      <c r="AK289" s="1549">
        <f t="shared" si="156"/>
        <v>61</v>
      </c>
      <c r="AL289" s="1518">
        <f t="shared" si="156"/>
        <v>131.19999999999999</v>
      </c>
      <c r="AM289" s="1425">
        <f t="shared" si="156"/>
        <v>408.2</v>
      </c>
      <c r="AN289" s="1548">
        <f t="shared" si="156"/>
        <v>93.6</v>
      </c>
      <c r="AO289" s="1549">
        <f t="shared" si="156"/>
        <v>100.8</v>
      </c>
      <c r="AP289" s="1549">
        <f t="shared" si="156"/>
        <v>95.8</v>
      </c>
      <c r="AQ289" s="1518">
        <f t="shared" ref="AQ289:AV289" si="157">+AQ12</f>
        <v>128.19999999999999</v>
      </c>
      <c r="AR289" s="1425">
        <f t="shared" si="157"/>
        <v>418.4</v>
      </c>
      <c r="AS289" s="1548">
        <f t="shared" si="157"/>
        <v>86.3</v>
      </c>
      <c r="AT289" s="1549">
        <f t="shared" si="157"/>
        <v>68.599999999999994</v>
      </c>
      <c r="AU289" s="1549">
        <f t="shared" si="157"/>
        <v>56.5</v>
      </c>
      <c r="AV289" s="1518">
        <f t="shared" si="157"/>
        <v>59.200000000000045</v>
      </c>
      <c r="AW289" s="1425">
        <f>SUM(AS289:AV289)</f>
        <v>270.60000000000002</v>
      </c>
      <c r="AX289" s="1548">
        <f>AX290</f>
        <v>78.295000000000016</v>
      </c>
      <c r="AY289" s="1549">
        <f>AY290</f>
        <v>69.224999999999994</v>
      </c>
      <c r="AZ289" s="1549">
        <f>AZ290</f>
        <v>45.825000000000003</v>
      </c>
      <c r="BA289" s="1518">
        <f>BA290</f>
        <v>47.985000000000042</v>
      </c>
      <c r="BB289" s="1425">
        <f>SUM(AX289:BA289)</f>
        <v>241.33000000000007</v>
      </c>
      <c r="BC289" s="1548">
        <f>BC290</f>
        <v>63.261000000000017</v>
      </c>
      <c r="BD289" s="1549">
        <f>BD290</f>
        <v>56.004999999999995</v>
      </c>
      <c r="BE289" s="1549">
        <f>BE290</f>
        <v>46.45</v>
      </c>
      <c r="BF289" s="1518">
        <f>BF290</f>
        <v>48.610000000000042</v>
      </c>
      <c r="BG289" s="1425">
        <f>SUM(BC289:BF289)</f>
        <v>214.32600000000005</v>
      </c>
      <c r="BH289" s="1548">
        <f>BH290</f>
        <v>63.886000000000017</v>
      </c>
      <c r="BI289" s="1549">
        <f>BI290</f>
        <v>56.629999999999995</v>
      </c>
      <c r="BJ289" s="1549">
        <f>BJ290</f>
        <v>47.075000000000003</v>
      </c>
      <c r="BK289" s="1518">
        <f>BK290</f>
        <v>49.235000000000042</v>
      </c>
      <c r="BL289" s="1425">
        <f>SUM(BH289:BK289)</f>
        <v>216.82600000000005</v>
      </c>
      <c r="BM289" s="1548">
        <f>BM290</f>
        <v>64.511000000000024</v>
      </c>
      <c r="BN289" s="1549">
        <f>BN290</f>
        <v>57.1624074074074</v>
      </c>
      <c r="BO289" s="1549">
        <f>BO290</f>
        <v>47.167592592592598</v>
      </c>
      <c r="BP289" s="1518">
        <f>BP290</f>
        <v>49.235000000000042</v>
      </c>
      <c r="BQ289" s="1425">
        <f>SUM(BM289:BP289)</f>
        <v>218.07600000000005</v>
      </c>
      <c r="BR289" s="1727"/>
      <c r="BS289" s="1727"/>
      <c r="BT289" s="1727"/>
      <c r="BU289" s="1727"/>
      <c r="BV289" s="1727"/>
      <c r="BW289" s="1727"/>
      <c r="BX289" s="1727"/>
      <c r="BY289" s="1727"/>
      <c r="BZ289" s="1727"/>
      <c r="CA289" s="1727"/>
      <c r="CB289" s="1727"/>
      <c r="CC289" s="1727"/>
      <c r="CD289" s="1727"/>
      <c r="CE289" s="1727"/>
      <c r="CF289" s="1727"/>
      <c r="CG289" s="1727"/>
      <c r="CH289" s="1727"/>
      <c r="CI289" s="1727"/>
      <c r="CJ289" s="1727"/>
      <c r="CK289" s="1727"/>
      <c r="CL289" s="1727"/>
      <c r="CM289" s="1727"/>
      <c r="CN289" s="1727"/>
      <c r="CO289" s="1727"/>
      <c r="CP289" s="1727"/>
      <c r="CQ289" s="1727"/>
      <c r="CR289" s="1727"/>
      <c r="CS289" s="1727"/>
      <c r="CT289" s="1727"/>
      <c r="CU289" s="1727"/>
      <c r="CV289" s="1727"/>
      <c r="CW289" s="1727"/>
      <c r="CX289" s="1727"/>
      <c r="CY289" s="1727"/>
      <c r="CZ289" s="1727"/>
    </row>
    <row r="290" spans="1:104" s="1468" customFormat="1">
      <c r="A290" s="1519"/>
      <c r="B290" s="1519"/>
      <c r="C290" s="1523" t="s">
        <v>1177</v>
      </c>
      <c r="D290" s="1382"/>
      <c r="E290" s="1485"/>
      <c r="F290" s="1486"/>
      <c r="G290" s="1486"/>
      <c r="H290" s="1487"/>
      <c r="I290" s="1382"/>
      <c r="J290" s="1485"/>
      <c r="K290" s="1486"/>
      <c r="L290" s="1486"/>
      <c r="M290" s="1487"/>
      <c r="N290" s="1382"/>
      <c r="O290" s="1485"/>
      <c r="P290" s="1486"/>
      <c r="Q290" s="1486"/>
      <c r="R290" s="1487"/>
      <c r="S290" s="1382"/>
      <c r="T290" s="1485"/>
      <c r="U290" s="1729"/>
      <c r="V290" s="1486"/>
      <c r="W290" s="1487"/>
      <c r="X290" s="1382">
        <f t="shared" ref="X290:AM290" si="158">X289</f>
        <v>507</v>
      </c>
      <c r="Y290" s="1485">
        <f t="shared" si="158"/>
        <v>124</v>
      </c>
      <c r="Z290" s="1488">
        <f t="shared" si="158"/>
        <v>112</v>
      </c>
      <c r="AA290" s="1488">
        <f t="shared" si="158"/>
        <v>106</v>
      </c>
      <c r="AB290" s="1487">
        <f t="shared" si="158"/>
        <v>181</v>
      </c>
      <c r="AC290" s="1382">
        <f t="shared" si="158"/>
        <v>523</v>
      </c>
      <c r="AD290" s="1485">
        <f t="shared" si="158"/>
        <v>116</v>
      </c>
      <c r="AE290" s="1488">
        <f t="shared" si="158"/>
        <v>125</v>
      </c>
      <c r="AF290" s="1488">
        <f t="shared" si="158"/>
        <v>122</v>
      </c>
      <c r="AG290" s="1487">
        <f t="shared" si="158"/>
        <v>187</v>
      </c>
      <c r="AH290" s="1382">
        <f t="shared" si="158"/>
        <v>550</v>
      </c>
      <c r="AI290" s="1485">
        <f t="shared" si="158"/>
        <v>100</v>
      </c>
      <c r="AJ290" s="1488">
        <f t="shared" si="158"/>
        <v>116</v>
      </c>
      <c r="AK290" s="1488">
        <f t="shared" si="158"/>
        <v>61</v>
      </c>
      <c r="AL290" s="1487">
        <f t="shared" si="158"/>
        <v>131.19999999999999</v>
      </c>
      <c r="AM290" s="1382">
        <f t="shared" si="158"/>
        <v>408.2</v>
      </c>
      <c r="AN290" s="1485">
        <f>AN289</f>
        <v>93.6</v>
      </c>
      <c r="AO290" s="1488">
        <f>AO289</f>
        <v>100.8</v>
      </c>
      <c r="AP290" s="1488">
        <f>AP289-10</f>
        <v>85.8</v>
      </c>
      <c r="AQ290" s="1487">
        <f>AQ289</f>
        <v>128.19999999999999</v>
      </c>
      <c r="AR290" s="1382">
        <f>SUM(AN290:AQ290)</f>
        <v>408.4</v>
      </c>
      <c r="AS290" s="1485">
        <f>AS289</f>
        <v>86.3</v>
      </c>
      <c r="AT290" s="1488">
        <f>AT289</f>
        <v>68.599999999999994</v>
      </c>
      <c r="AU290" s="1488">
        <f>AU289</f>
        <v>56.5</v>
      </c>
      <c r="AV290" s="1487">
        <f>AV289</f>
        <v>59.200000000000045</v>
      </c>
      <c r="AW290" s="1382">
        <f>SUM(AS290:AV290)</f>
        <v>270.60000000000002</v>
      </c>
      <c r="AX290" s="1485">
        <f>AS290*(1+AX296)*(AX178/AS178)+AX293</f>
        <v>78.295000000000016</v>
      </c>
      <c r="AY290" s="1488">
        <f>AT290*(1+AY296)*(AY178/AT178)+AY293</f>
        <v>69.224999999999994</v>
      </c>
      <c r="AZ290" s="1488">
        <f>AU290*(1+AZ296)*(AZ178/AU178)+AZ293</f>
        <v>45.825000000000003</v>
      </c>
      <c r="BA290" s="1487">
        <f>AV290*(1+BA296)*(BA178/AV178)+BA293</f>
        <v>47.985000000000042</v>
      </c>
      <c r="BB290" s="1382">
        <f>SUM(AX290:BA290)</f>
        <v>241.33000000000007</v>
      </c>
      <c r="BC290" s="1485">
        <f>AX290*(1+BC296)*(BC178/AX178)+BC293</f>
        <v>63.261000000000017</v>
      </c>
      <c r="BD290" s="1488">
        <f>AY290*(1+BD296)*(BD178/AY178)+BD293</f>
        <v>56.004999999999995</v>
      </c>
      <c r="BE290" s="1488">
        <f>AZ290*(1+BE296)*(BE178/AZ178)+BE293</f>
        <v>46.45</v>
      </c>
      <c r="BF290" s="1487">
        <f>BA290*(1+BF296)*(BF178/BA178)+BF293</f>
        <v>48.610000000000042</v>
      </c>
      <c r="BG290" s="1382">
        <f>SUM(BC290:BF290)</f>
        <v>214.32600000000005</v>
      </c>
      <c r="BH290" s="1485">
        <f>BC290*(1+BH296)*(BH178/BC178)+BH293</f>
        <v>63.886000000000017</v>
      </c>
      <c r="BI290" s="1488">
        <f>BD290*(1+BI296)*(BI178/BD178)+BI293</f>
        <v>56.629999999999995</v>
      </c>
      <c r="BJ290" s="1488">
        <f>BE290*(1+BJ296)*(BJ178/BE178)+BJ293</f>
        <v>47.075000000000003</v>
      </c>
      <c r="BK290" s="1487">
        <f>BF290*(1+BK296)*(BK178/BF178)+BK293</f>
        <v>49.235000000000042</v>
      </c>
      <c r="BL290" s="1382">
        <f>SUM(BH290:BK290)</f>
        <v>216.82600000000005</v>
      </c>
      <c r="BM290" s="1485">
        <f>BH290*(1+BM296)*(BM178/BH178)+BM293</f>
        <v>64.511000000000024</v>
      </c>
      <c r="BN290" s="1488">
        <f>BI290*(1+BN296)*(BN178/BI178)+BN293</f>
        <v>57.1624074074074</v>
      </c>
      <c r="BO290" s="1488">
        <f>BJ290*(1+BO296)*(BO178/BJ178)+BO293</f>
        <v>47.167592592592598</v>
      </c>
      <c r="BP290" s="1487">
        <f>BK290*(1+BP296)*(BP178/BK178)+BP293</f>
        <v>49.235000000000042</v>
      </c>
      <c r="BQ290" s="1382">
        <f>SUM(BM290:BP290)</f>
        <v>218.07600000000005</v>
      </c>
      <c r="BR290" s="1519"/>
      <c r="BS290" s="1519"/>
      <c r="BT290" s="1519"/>
      <c r="BU290" s="1519"/>
      <c r="BV290" s="1519"/>
      <c r="BW290" s="1519"/>
      <c r="BX290" s="1519"/>
      <c r="BY290" s="1519"/>
      <c r="BZ290" s="1519"/>
      <c r="CA290" s="1519"/>
      <c r="CB290" s="1519"/>
      <c r="CC290" s="1519"/>
      <c r="CD290" s="1519"/>
      <c r="CE290" s="1519"/>
      <c r="CF290" s="1519"/>
      <c r="CG290" s="1519"/>
      <c r="CH290" s="1519"/>
      <c r="CI290" s="1519"/>
      <c r="CJ290" s="1519"/>
      <c r="CK290" s="1519"/>
      <c r="CL290" s="1519"/>
      <c r="CM290" s="1519"/>
      <c r="CN290" s="1519"/>
      <c r="CO290" s="1519"/>
      <c r="CP290" s="1519"/>
      <c r="CQ290" s="1519"/>
      <c r="CR290" s="1519"/>
      <c r="CS290" s="1519"/>
      <c r="CT290" s="1519"/>
      <c r="CU290" s="1519"/>
      <c r="CV290" s="1519"/>
      <c r="CW290" s="1519"/>
      <c r="CX290" s="1519"/>
      <c r="CY290" s="1519"/>
      <c r="CZ290" s="1519"/>
    </row>
    <row r="291" spans="1:104" s="1468" customFormat="1">
      <c r="A291" s="1519"/>
      <c r="B291" s="1519"/>
      <c r="C291" s="1523"/>
      <c r="D291" s="1382"/>
      <c r="E291" s="1485"/>
      <c r="F291" s="1486"/>
      <c r="G291" s="1486"/>
      <c r="H291" s="1487"/>
      <c r="I291" s="1382"/>
      <c r="J291" s="1485"/>
      <c r="K291" s="1486"/>
      <c r="L291" s="1486"/>
      <c r="M291" s="1487"/>
      <c r="N291" s="1382"/>
      <c r="O291" s="1485"/>
      <c r="P291" s="1486"/>
      <c r="Q291" s="1486"/>
      <c r="R291" s="1487"/>
      <c r="S291" s="1382"/>
      <c r="T291" s="1485"/>
      <c r="U291" s="1729"/>
      <c r="V291" s="1486"/>
      <c r="W291" s="1487"/>
      <c r="X291" s="1382"/>
      <c r="Y291" s="1485"/>
      <c r="Z291" s="1488"/>
      <c r="AA291" s="1488"/>
      <c r="AB291" s="1487"/>
      <c r="AC291" s="1382"/>
      <c r="AD291" s="1485"/>
      <c r="AE291" s="1488"/>
      <c r="AF291" s="1488"/>
      <c r="AG291" s="1487"/>
      <c r="AH291" s="1382"/>
      <c r="AI291" s="1485"/>
      <c r="AJ291" s="1488"/>
      <c r="AK291" s="1488"/>
      <c r="AL291" s="1487"/>
      <c r="AM291" s="1382"/>
      <c r="AN291" s="1485"/>
      <c r="AO291" s="1488"/>
      <c r="AP291" s="1488"/>
      <c r="AQ291" s="1487"/>
      <c r="AR291" s="1382"/>
      <c r="AS291" s="1485"/>
      <c r="AT291" s="1488"/>
      <c r="AU291" s="1488"/>
      <c r="AV291" s="1487"/>
      <c r="AW291" s="1382"/>
      <c r="AX291" s="1485"/>
      <c r="AY291" s="1488"/>
      <c r="AZ291" s="1488"/>
      <c r="BA291" s="1487"/>
      <c r="BB291" s="1382"/>
      <c r="BC291" s="1485"/>
      <c r="BD291" s="1488"/>
      <c r="BE291" s="1488"/>
      <c r="BF291" s="1487"/>
      <c r="BG291" s="1382"/>
      <c r="BH291" s="1485"/>
      <c r="BI291" s="1488"/>
      <c r="BJ291" s="1488"/>
      <c r="BK291" s="1487"/>
      <c r="BL291" s="1382"/>
      <c r="BM291" s="1485"/>
      <c r="BN291" s="1488"/>
      <c r="BO291" s="1488"/>
      <c r="BP291" s="1487"/>
      <c r="BQ291" s="1382"/>
      <c r="BR291" s="1519"/>
      <c r="BS291" s="1519"/>
      <c r="BT291" s="1519"/>
      <c r="BU291" s="1519"/>
      <c r="BV291" s="1519"/>
      <c r="BW291" s="1519"/>
      <c r="BX291" s="1519"/>
      <c r="BY291" s="1519"/>
      <c r="BZ291" s="1519"/>
      <c r="CA291" s="1519"/>
      <c r="CB291" s="1519"/>
      <c r="CC291" s="1519"/>
      <c r="CD291" s="1519"/>
      <c r="CE291" s="1519"/>
      <c r="CF291" s="1519"/>
      <c r="CG291" s="1519"/>
      <c r="CH291" s="1519"/>
      <c r="CI291" s="1519"/>
      <c r="CJ291" s="1519"/>
      <c r="CK291" s="1519"/>
      <c r="CL291" s="1519"/>
      <c r="CM291" s="1519"/>
      <c r="CN291" s="1519"/>
      <c r="CO291" s="1519"/>
      <c r="CP291" s="1519"/>
      <c r="CQ291" s="1519"/>
      <c r="CR291" s="1519"/>
      <c r="CS291" s="1519"/>
      <c r="CT291" s="1519"/>
      <c r="CU291" s="1519"/>
      <c r="CV291" s="1519"/>
      <c r="CW291" s="1519"/>
      <c r="CX291" s="1519"/>
      <c r="CY291" s="1519"/>
      <c r="CZ291" s="1519"/>
    </row>
    <row r="292" spans="1:104" s="1468" customFormat="1">
      <c r="A292" s="1519"/>
      <c r="B292" s="1519"/>
      <c r="C292" s="1523" t="s">
        <v>1269</v>
      </c>
      <c r="D292" s="1382"/>
      <c r="E292" s="1485"/>
      <c r="F292" s="1486"/>
      <c r="G292" s="1486"/>
      <c r="H292" s="1487"/>
      <c r="I292" s="1382"/>
      <c r="J292" s="1485"/>
      <c r="K292" s="1486"/>
      <c r="L292" s="1486"/>
      <c r="M292" s="1487"/>
      <c r="N292" s="1382"/>
      <c r="O292" s="1485"/>
      <c r="P292" s="1486"/>
      <c r="Q292" s="1486"/>
      <c r="R292" s="1487"/>
      <c r="S292" s="1382"/>
      <c r="T292" s="1485"/>
      <c r="U292" s="1729"/>
      <c r="V292" s="1486"/>
      <c r="W292" s="1487"/>
      <c r="X292" s="1382"/>
      <c r="Y292" s="1485"/>
      <c r="Z292" s="1488"/>
      <c r="AA292" s="1488"/>
      <c r="AB292" s="1487"/>
      <c r="AC292" s="1382"/>
      <c r="AD292" s="1485"/>
      <c r="AE292" s="1488"/>
      <c r="AF292" s="1488"/>
      <c r="AG292" s="1487"/>
      <c r="AH292" s="1382"/>
      <c r="AI292" s="1485"/>
      <c r="AJ292" s="1488"/>
      <c r="AK292" s="1488"/>
      <c r="AL292" s="1487"/>
      <c r="AM292">
        <v>15</v>
      </c>
      <c r="AN292" s="1485"/>
      <c r="AO292" s="1488"/>
      <c r="AP292" s="1488"/>
      <c r="AQ292" s="1487"/>
      <c r="AR292">
        <v>15</v>
      </c>
      <c r="AS292" s="1485">
        <f>AT292</f>
        <v>15</v>
      </c>
      <c r="AT292" s="1488">
        <f>AU292</f>
        <v>15</v>
      </c>
      <c r="AU292" s="1488">
        <f>AV292</f>
        <v>15</v>
      </c>
      <c r="AV292" s="1487">
        <f>AW292</f>
        <v>15</v>
      </c>
      <c r="AW292" s="1382">
        <f>AR292</f>
        <v>15</v>
      </c>
      <c r="AX292" s="1485">
        <f>AY292</f>
        <v>15</v>
      </c>
      <c r="AY292" s="1488">
        <f>AZ292</f>
        <v>15</v>
      </c>
      <c r="AZ292" s="1488">
        <f>BA292</f>
        <v>15</v>
      </c>
      <c r="BA292" s="1487">
        <f>BB292</f>
        <v>15</v>
      </c>
      <c r="BB292" s="1382">
        <f>AW292</f>
        <v>15</v>
      </c>
      <c r="BC292" s="1485">
        <f>BD292</f>
        <v>15</v>
      </c>
      <c r="BD292" s="1488">
        <f>BE292</f>
        <v>15</v>
      </c>
      <c r="BE292" s="1488">
        <f>BF292</f>
        <v>15</v>
      </c>
      <c r="BF292" s="1487">
        <f>BG292</f>
        <v>15</v>
      </c>
      <c r="BG292" s="1382">
        <f>BB292</f>
        <v>15</v>
      </c>
      <c r="BH292" s="1485">
        <f>BI292</f>
        <v>15</v>
      </c>
      <c r="BI292" s="1488">
        <f>BJ292</f>
        <v>15</v>
      </c>
      <c r="BJ292" s="1488">
        <f>BK292</f>
        <v>15</v>
      </c>
      <c r="BK292" s="1487">
        <f>BL292</f>
        <v>15</v>
      </c>
      <c r="BL292" s="1382">
        <f>BG292</f>
        <v>15</v>
      </c>
      <c r="BM292" s="1485">
        <f>BN292</f>
        <v>15</v>
      </c>
      <c r="BN292" s="1488">
        <f>BO292</f>
        <v>15</v>
      </c>
      <c r="BO292" s="1488">
        <f>BP292</f>
        <v>15</v>
      </c>
      <c r="BP292" s="1487">
        <f>BQ292</f>
        <v>15</v>
      </c>
      <c r="BQ292" s="1382">
        <f>BL292</f>
        <v>15</v>
      </c>
      <c r="BR292" s="1519"/>
      <c r="BS292" s="1519"/>
      <c r="BT292" s="1519"/>
      <c r="BU292" s="1519"/>
      <c r="BV292" s="1519"/>
      <c r="BW292" s="1519"/>
      <c r="BX292" s="1519"/>
      <c r="BY292" s="1519"/>
      <c r="BZ292" s="1519"/>
      <c r="CA292" s="1519"/>
      <c r="CB292" s="1519"/>
      <c r="CC292" s="1519"/>
      <c r="CD292" s="1519"/>
      <c r="CE292" s="1519"/>
      <c r="CF292" s="1519"/>
      <c r="CG292" s="1519"/>
      <c r="CH292" s="1519"/>
      <c r="CI292" s="1519"/>
      <c r="CJ292" s="1519"/>
      <c r="CK292" s="1519"/>
      <c r="CL292" s="1519"/>
      <c r="CM292" s="1519"/>
      <c r="CN292" s="1519"/>
      <c r="CO292" s="1519"/>
      <c r="CP292" s="1519"/>
      <c r="CQ292" s="1519"/>
      <c r="CR292" s="1519"/>
      <c r="CS292" s="1519"/>
      <c r="CT292" s="1519"/>
      <c r="CU292" s="1519"/>
      <c r="CV292" s="1519"/>
      <c r="CW292" s="1519"/>
      <c r="CX292" s="1519"/>
      <c r="CY292" s="1519"/>
      <c r="CZ292" s="1519"/>
    </row>
    <row r="293" spans="1:104" s="1468" customFormat="1">
      <c r="A293" s="1519"/>
      <c r="B293" s="1519"/>
      <c r="C293" s="1523" t="s">
        <v>1270</v>
      </c>
      <c r="D293" s="1382"/>
      <c r="E293" s="1485"/>
      <c r="F293" s="1486"/>
      <c r="G293" s="1486"/>
      <c r="H293" s="1487"/>
      <c r="I293" s="1382"/>
      <c r="J293" s="1485"/>
      <c r="K293" s="1486"/>
      <c r="L293" s="1486"/>
      <c r="M293" s="1487"/>
      <c r="N293" s="1382"/>
      <c r="O293" s="1485"/>
      <c r="P293" s="1486"/>
      <c r="Q293" s="1486"/>
      <c r="R293" s="1487"/>
      <c r="S293" s="1382"/>
      <c r="T293" s="1485"/>
      <c r="U293" s="1729"/>
      <c r="V293" s="1486"/>
      <c r="W293" s="1487"/>
      <c r="X293" s="1382"/>
      <c r="Y293" s="1485"/>
      <c r="Z293" s="1488"/>
      <c r="AA293" s="1488"/>
      <c r="AB293" s="1487"/>
      <c r="AC293" s="1382"/>
      <c r="AD293" s="1485"/>
      <c r="AE293" s="1488"/>
      <c r="AF293" s="1488"/>
      <c r="AG293" s="1487"/>
      <c r="AH293" s="1382"/>
      <c r="AI293" s="1485"/>
      <c r="AJ293" s="1488"/>
      <c r="AK293" s="1488"/>
      <c r="AL293" s="1487"/>
      <c r="AM293"/>
      <c r="AN293" s="1202"/>
      <c r="AO293" s="1203"/>
      <c r="AP293" s="1203"/>
      <c r="AQ293" s="1487"/>
      <c r="AR293"/>
      <c r="AS293" s="1202">
        <f t="shared" ref="AS293:BL293" si="159">AS292/4*(AS237-AN237)/1000</f>
        <v>0.1875</v>
      </c>
      <c r="AT293" s="1203">
        <f t="shared" si="159"/>
        <v>0.21759259259259259</v>
      </c>
      <c r="AU293" s="1203">
        <f t="shared" si="159"/>
        <v>0.59490740740740744</v>
      </c>
      <c r="AV293" s="1487">
        <f t="shared" si="159"/>
        <v>0.62500000000000011</v>
      </c>
      <c r="AW293" s="1206">
        <f t="shared" si="159"/>
        <v>0.62500000000000011</v>
      </c>
      <c r="AX293" s="1202">
        <f t="shared" si="159"/>
        <v>0.62500000000000011</v>
      </c>
      <c r="AY293" s="1203">
        <f t="shared" si="159"/>
        <v>0.62500000000000011</v>
      </c>
      <c r="AZ293" s="1203">
        <f t="shared" si="159"/>
        <v>0.62500000000000022</v>
      </c>
      <c r="BA293" s="1205">
        <f t="shared" si="159"/>
        <v>0.62500000000000011</v>
      </c>
      <c r="BB293" s="1206">
        <f t="shared" si="159"/>
        <v>0.62500000000000011</v>
      </c>
      <c r="BC293" s="1202">
        <f t="shared" si="159"/>
        <v>0.62500000000000011</v>
      </c>
      <c r="BD293" s="1203">
        <f t="shared" si="159"/>
        <v>0.62500000000000011</v>
      </c>
      <c r="BE293" s="1203">
        <f t="shared" si="159"/>
        <v>0.62499999999999989</v>
      </c>
      <c r="BF293" s="1205">
        <f t="shared" si="159"/>
        <v>0.62500000000000022</v>
      </c>
      <c r="BG293" s="1206">
        <f t="shared" si="159"/>
        <v>0.62499999999999989</v>
      </c>
      <c r="BH293" s="1202">
        <f t="shared" si="159"/>
        <v>0.62499999999999989</v>
      </c>
      <c r="BI293" s="1203">
        <f t="shared" si="159"/>
        <v>0.62499999999999989</v>
      </c>
      <c r="BJ293" s="1203">
        <f t="shared" si="159"/>
        <v>0.62499999999999989</v>
      </c>
      <c r="BK293" s="1205">
        <f t="shared" si="159"/>
        <v>0.62499999999999989</v>
      </c>
      <c r="BL293" s="1206">
        <f t="shared" si="159"/>
        <v>0.62500000000000022</v>
      </c>
      <c r="BM293" s="1202">
        <f>BM292/4*(BM237-BH237)/1000</f>
        <v>0.62500000000000022</v>
      </c>
      <c r="BN293" s="1203">
        <f>BN292/4*(BN237-BI237)/1000</f>
        <v>0.53240740740740777</v>
      </c>
      <c r="BO293" s="1203">
        <f>BO292/4*(BO237-BJ237)/1000</f>
        <v>9.2592592592592948E-2</v>
      </c>
      <c r="BP293" s="1205">
        <f>BP292/4*(BP237-BK237)/1000</f>
        <v>0</v>
      </c>
      <c r="BQ293" s="1206">
        <f>BQ292/4*(BQ237-BL237)/1000</f>
        <v>0</v>
      </c>
      <c r="BR293" s="1519"/>
      <c r="BS293" s="1519"/>
      <c r="BT293" s="1519"/>
      <c r="BU293" s="1519"/>
      <c r="BV293" s="1519"/>
      <c r="BW293" s="1519"/>
      <c r="BX293" s="1519"/>
      <c r="BY293" s="1519"/>
      <c r="BZ293" s="1519"/>
      <c r="CA293" s="1519"/>
      <c r="CB293" s="1519"/>
      <c r="CC293" s="1519"/>
      <c r="CD293" s="1519"/>
      <c r="CE293" s="1519"/>
      <c r="CF293" s="1519"/>
      <c r="CG293" s="1519"/>
      <c r="CH293" s="1519"/>
      <c r="CI293" s="1519"/>
      <c r="CJ293" s="1519"/>
      <c r="CK293" s="1519"/>
      <c r="CL293" s="1519"/>
      <c r="CM293" s="1519"/>
      <c r="CN293" s="1519"/>
      <c r="CO293" s="1519"/>
      <c r="CP293" s="1519"/>
      <c r="CQ293" s="1519"/>
      <c r="CR293" s="1519"/>
      <c r="CS293" s="1519"/>
      <c r="CT293" s="1519"/>
      <c r="CU293" s="1519"/>
      <c r="CV293" s="1519"/>
      <c r="CW293" s="1519"/>
      <c r="CX293" s="1519"/>
      <c r="CY293" s="1519"/>
      <c r="CZ293" s="1519"/>
    </row>
    <row r="294" spans="1:104" s="1468" customFormat="1">
      <c r="A294" s="1519"/>
      <c r="B294" s="1519"/>
      <c r="C294" s="1523"/>
      <c r="D294" s="1382"/>
      <c r="E294" s="1485"/>
      <c r="F294" s="1486"/>
      <c r="G294" s="1486"/>
      <c r="H294" s="1487"/>
      <c r="I294" s="1382"/>
      <c r="J294" s="1485"/>
      <c r="K294" s="1486"/>
      <c r="L294" s="1486"/>
      <c r="M294" s="1487"/>
      <c r="N294" s="1382"/>
      <c r="O294" s="1485"/>
      <c r="P294" s="1486"/>
      <c r="Q294" s="1486"/>
      <c r="R294" s="1487"/>
      <c r="S294" s="1382"/>
      <c r="T294" s="1485"/>
      <c r="U294" s="1486"/>
      <c r="V294" s="1486"/>
      <c r="W294" s="1487"/>
      <c r="X294" s="1382"/>
      <c r="Y294" s="1485"/>
      <c r="Z294" s="1486"/>
      <c r="AA294" s="1486"/>
      <c r="AB294" s="1487"/>
      <c r="AC294" s="1382"/>
      <c r="AD294" s="1485"/>
      <c r="AE294" s="1486"/>
      <c r="AF294" s="1486"/>
      <c r="AG294" s="1487"/>
      <c r="AH294" s="1382"/>
      <c r="AI294" s="1485"/>
      <c r="AJ294" s="1486"/>
      <c r="AK294" s="1486"/>
      <c r="AL294" s="1487"/>
      <c r="AM294" s="1382"/>
      <c r="AN294" s="1485"/>
      <c r="AO294" s="1486"/>
      <c r="AP294" s="1486"/>
      <c r="AQ294" s="1487"/>
      <c r="AR294" s="1382"/>
      <c r="AS294" s="1485"/>
      <c r="AT294" s="1486"/>
      <c r="AU294" s="1486"/>
      <c r="AV294" s="1487"/>
      <c r="AW294" s="1382"/>
      <c r="AX294" s="1485"/>
      <c r="AY294" s="1486"/>
      <c r="AZ294" s="1486"/>
      <c r="BA294" s="1487"/>
      <c r="BB294" s="1382"/>
      <c r="BC294" s="1485"/>
      <c r="BD294" s="1486"/>
      <c r="BE294" s="1486"/>
      <c r="BF294" s="1487"/>
      <c r="BG294" s="1382"/>
      <c r="BH294" s="1485"/>
      <c r="BI294" s="1486"/>
      <c r="BJ294" s="1486"/>
      <c r="BK294" s="1487"/>
      <c r="BL294" s="1382"/>
      <c r="BM294" s="1485"/>
      <c r="BN294" s="1486"/>
      <c r="BO294" s="1486"/>
      <c r="BP294" s="1487"/>
      <c r="BQ294" s="1382"/>
      <c r="BR294" s="1519"/>
      <c r="BS294" s="1519"/>
      <c r="BT294" s="1519"/>
      <c r="BU294" s="1519"/>
      <c r="BV294" s="1519"/>
      <c r="BW294" s="1519"/>
      <c r="BX294" s="1519"/>
      <c r="BY294" s="1519"/>
      <c r="BZ294" s="1519"/>
      <c r="CA294" s="1519"/>
      <c r="CB294" s="1519"/>
      <c r="CC294" s="1519"/>
      <c r="CD294" s="1519"/>
      <c r="CE294" s="1519"/>
      <c r="CF294" s="1519"/>
      <c r="CG294" s="1519"/>
      <c r="CH294" s="1519"/>
      <c r="CI294" s="1519"/>
      <c r="CJ294" s="1519"/>
      <c r="CK294" s="1519"/>
      <c r="CL294" s="1519"/>
      <c r="CM294" s="1519"/>
      <c r="CN294" s="1519"/>
      <c r="CO294" s="1519"/>
      <c r="CP294" s="1519"/>
      <c r="CQ294" s="1519"/>
      <c r="CR294" s="1519"/>
      <c r="CS294" s="1519"/>
      <c r="CT294" s="1519"/>
      <c r="CU294" s="1519"/>
      <c r="CV294" s="1519"/>
      <c r="CW294" s="1519"/>
      <c r="CX294" s="1519"/>
      <c r="CY294" s="1519"/>
      <c r="CZ294" s="1519"/>
    </row>
    <row r="295" spans="1:104">
      <c r="A295" s="1730"/>
      <c r="B295" s="1730"/>
      <c r="C295" s="1731" t="s">
        <v>1178</v>
      </c>
      <c r="D295" s="1730"/>
      <c r="E295" s="1732"/>
      <c r="F295" s="1733"/>
      <c r="G295" s="1733"/>
      <c r="H295" s="1734"/>
      <c r="I295" s="1521"/>
      <c r="J295" s="1735"/>
      <c r="K295" s="1736"/>
      <c r="L295" s="1736"/>
      <c r="M295" s="1520"/>
      <c r="N295" s="1521"/>
      <c r="O295" s="1735"/>
      <c r="P295" s="1736"/>
      <c r="Q295" s="1736"/>
      <c r="R295" s="1520"/>
      <c r="S295" s="1521"/>
      <c r="T295" s="1735"/>
      <c r="U295" s="1736"/>
      <c r="V295" s="1736"/>
      <c r="W295" s="1520"/>
      <c r="X295" s="1521"/>
      <c r="Y295" s="1735"/>
      <c r="Z295" s="1736"/>
      <c r="AA295" s="1736"/>
      <c r="AB295" s="1520"/>
      <c r="AC295" s="1521">
        <f>+AC289/X289-1</f>
        <v>3.155818540433919E-2</v>
      </c>
      <c r="AD295" s="1735"/>
      <c r="AE295" s="1736"/>
      <c r="AF295" s="1736"/>
      <c r="AG295" s="1520"/>
      <c r="AH295" s="1521">
        <f>+AH289/AC289-1</f>
        <v>5.1625239005736123E-2</v>
      </c>
      <c r="AI295" s="1735"/>
      <c r="AJ295" s="1736"/>
      <c r="AK295" s="1736"/>
      <c r="AL295" s="1520"/>
      <c r="AM295" s="1521">
        <f>+AM289/AH289-1</f>
        <v>-0.25781818181818184</v>
      </c>
      <c r="AN295" s="1735"/>
      <c r="AO295" s="1736"/>
      <c r="AP295" s="1736"/>
      <c r="AQ295" s="1520"/>
      <c r="AR295" s="1521">
        <f>+AR289/AM289-1</f>
        <v>2.4987751102400813E-2</v>
      </c>
      <c r="AS295" s="1735">
        <f t="shared" ref="AS295:BL295" si="160">+AS289/AN289-1</f>
        <v>-7.7991452991452936E-2</v>
      </c>
      <c r="AT295" s="1736">
        <f t="shared" si="160"/>
        <v>-0.31944444444444453</v>
      </c>
      <c r="AU295" s="1736">
        <f t="shared" si="160"/>
        <v>-0.41022964509394566</v>
      </c>
      <c r="AV295" s="1520">
        <f t="shared" si="160"/>
        <v>-0.53822152886115404</v>
      </c>
      <c r="AW295" s="1521">
        <f t="shared" si="160"/>
        <v>-0.35325047801147214</v>
      </c>
      <c r="AX295" s="1735">
        <f t="shared" si="160"/>
        <v>-9.275782155272283E-2</v>
      </c>
      <c r="AY295" s="1736">
        <f t="shared" si="160"/>
        <v>9.1107871720117473E-3</v>
      </c>
      <c r="AZ295" s="1736">
        <f t="shared" si="160"/>
        <v>-0.18893805309734513</v>
      </c>
      <c r="BA295" s="1520">
        <f t="shared" si="160"/>
        <v>-0.1894425675675675</v>
      </c>
      <c r="BB295" s="1521">
        <f t="shared" si="160"/>
        <v>-0.10816703621581647</v>
      </c>
      <c r="BC295" s="1735">
        <f t="shared" si="160"/>
        <v>-0.19201737020243947</v>
      </c>
      <c r="BD295" s="1736">
        <f t="shared" si="160"/>
        <v>-0.19097146984470925</v>
      </c>
      <c r="BE295" s="1736">
        <f t="shared" si="160"/>
        <v>1.3638843426077463E-2</v>
      </c>
      <c r="BF295" s="1520">
        <f t="shared" si="160"/>
        <v>1.302490361571329E-2</v>
      </c>
      <c r="BG295" s="1521">
        <f t="shared" si="160"/>
        <v>-0.1118965731570879</v>
      </c>
      <c r="BH295" s="1735">
        <f t="shared" si="160"/>
        <v>9.8797047153855733E-3</v>
      </c>
      <c r="BI295" s="1736">
        <f t="shared" si="160"/>
        <v>1.1159717882331943E-2</v>
      </c>
      <c r="BJ295" s="1736">
        <f t="shared" si="160"/>
        <v>1.3455328310010728E-2</v>
      </c>
      <c r="BK295" s="1520">
        <f t="shared" si="160"/>
        <v>1.2857436741411155E-2</v>
      </c>
      <c r="BL295" s="1521">
        <f t="shared" si="160"/>
        <v>1.1664473745602422E-2</v>
      </c>
      <c r="BM295" s="1735">
        <f>+BM289/BH289-1</f>
        <v>9.7830510597001208E-3</v>
      </c>
      <c r="BN295" s="1736">
        <f>+BN289/BI289-1</f>
        <v>9.4015081654141852E-3</v>
      </c>
      <c r="BO295" s="1736">
        <f>+BO289/BJ289-1</f>
        <v>1.9669164650577553E-3</v>
      </c>
      <c r="BP295" s="1520">
        <f>+BP289/BK289-1</f>
        <v>0</v>
      </c>
      <c r="BQ295" s="1521">
        <f>+BQ289/BL289-1</f>
        <v>5.7649912833330763E-3</v>
      </c>
      <c r="BR295" s="1730"/>
      <c r="BS295" s="1730"/>
      <c r="BT295" s="1730"/>
      <c r="BU295" s="1730"/>
      <c r="BV295" s="1730"/>
      <c r="BW295" s="1730"/>
      <c r="BX295" s="1730"/>
      <c r="BY295" s="1730"/>
      <c r="BZ295" s="1730"/>
      <c r="CA295" s="1730"/>
      <c r="CB295" s="1730"/>
      <c r="CC295" s="1730"/>
      <c r="CD295" s="1730"/>
      <c r="CE295" s="1730"/>
      <c r="CF295" s="1730"/>
      <c r="CG295" s="1730"/>
      <c r="CH295" s="1730"/>
      <c r="CI295" s="1730"/>
      <c r="CJ295" s="1730"/>
      <c r="CK295" s="1730"/>
      <c r="CL295" s="1730"/>
      <c r="CM295" s="1730"/>
      <c r="CN295" s="1730"/>
      <c r="CO295" s="1730"/>
      <c r="CP295" s="1730"/>
      <c r="CQ295" s="1730"/>
      <c r="CR295" s="1730"/>
      <c r="CS295" s="1730"/>
      <c r="CT295" s="1730"/>
      <c r="CU295" s="1730"/>
      <c r="CV295" s="1730"/>
      <c r="CW295" s="1730"/>
      <c r="CX295" s="1730"/>
      <c r="CY295" s="1730"/>
      <c r="CZ295" s="1730"/>
    </row>
    <row r="296" spans="1:104">
      <c r="A296" s="1730"/>
      <c r="B296" s="1730"/>
      <c r="C296" s="1731" t="s">
        <v>1179</v>
      </c>
      <c r="D296" s="1730"/>
      <c r="E296" s="1732"/>
      <c r="F296" s="1733"/>
      <c r="G296" s="1733"/>
      <c r="H296" s="1734"/>
      <c r="I296" s="1521"/>
      <c r="J296" s="1735"/>
      <c r="K296" s="1736"/>
      <c r="L296" s="1736"/>
      <c r="M296" s="1520"/>
      <c r="N296" s="1521"/>
      <c r="O296" s="1735"/>
      <c r="P296" s="1736"/>
      <c r="Q296" s="1736"/>
      <c r="R296" s="1520"/>
      <c r="S296" s="1521"/>
      <c r="T296" s="1735"/>
      <c r="U296" s="1736"/>
      <c r="V296" s="1736"/>
      <c r="W296" s="1520"/>
      <c r="X296" s="1521"/>
      <c r="Y296" s="1735"/>
      <c r="Z296" s="1736"/>
      <c r="AA296" s="1736"/>
      <c r="AB296" s="1520"/>
      <c r="AC296" s="1521"/>
      <c r="AD296" s="1735"/>
      <c r="AE296" s="1736"/>
      <c r="AF296" s="1736"/>
      <c r="AG296" s="1520"/>
      <c r="AH296" s="1521"/>
      <c r="AI296" s="1735"/>
      <c r="AJ296" s="1736"/>
      <c r="AK296" s="1736"/>
      <c r="AL296" s="1520"/>
      <c r="AM296" s="1521"/>
      <c r="AN296" s="1735"/>
      <c r="AO296" s="1736"/>
      <c r="AP296" s="1736"/>
      <c r="AQ296" s="1520"/>
      <c r="AR296" s="1521"/>
      <c r="AS296" s="1735"/>
      <c r="AT296" s="1736">
        <v>-0.35</v>
      </c>
      <c r="AU296" s="1736">
        <v>-0.1</v>
      </c>
      <c r="AV296" s="1520">
        <v>-0.35</v>
      </c>
      <c r="AW296" s="1737"/>
      <c r="AX296" s="1861">
        <f>-30%*0.333333333333333</f>
        <v>-9.9999999999999895E-2</v>
      </c>
      <c r="AY296" s="1736">
        <v>0</v>
      </c>
      <c r="AZ296" s="1736">
        <v>-0.2</v>
      </c>
      <c r="BA296" s="1520">
        <v>-0.2</v>
      </c>
      <c r="BB296" s="1737">
        <f>BB290/AW290-1</f>
        <v>-0.10816703621581647</v>
      </c>
      <c r="BC296" s="1735">
        <v>-0.2</v>
      </c>
      <c r="BD296" s="1736">
        <v>-0.2</v>
      </c>
      <c r="BE296" s="1736">
        <f>+BF296</f>
        <v>0</v>
      </c>
      <c r="BF296" s="1520">
        <f>+BG296</f>
        <v>0</v>
      </c>
      <c r="BG296" s="1737">
        <v>0</v>
      </c>
      <c r="BH296" s="1735">
        <f>+BI296</f>
        <v>0</v>
      </c>
      <c r="BI296" s="1736">
        <f>+BJ296</f>
        <v>0</v>
      </c>
      <c r="BJ296" s="1736">
        <f>+BK296</f>
        <v>0</v>
      </c>
      <c r="BK296" s="1520">
        <f>+BL296</f>
        <v>0</v>
      </c>
      <c r="BL296" s="1737">
        <v>0</v>
      </c>
      <c r="BM296" s="1735">
        <f>+BN296</f>
        <v>0</v>
      </c>
      <c r="BN296" s="1736">
        <f>+BO296</f>
        <v>0</v>
      </c>
      <c r="BO296" s="1736">
        <f>+BP296</f>
        <v>0</v>
      </c>
      <c r="BP296" s="1520">
        <f>+BQ296</f>
        <v>0</v>
      </c>
      <c r="BQ296" s="1737">
        <v>0</v>
      </c>
      <c r="BR296" s="1730"/>
      <c r="BS296" s="1730"/>
      <c r="BT296" s="1730"/>
      <c r="BU296" s="1730"/>
      <c r="BV296" s="1730"/>
      <c r="BW296" s="1730"/>
      <c r="BX296" s="1730"/>
      <c r="BY296" s="1730"/>
      <c r="BZ296" s="1730"/>
      <c r="CA296" s="1730"/>
      <c r="CB296" s="1730"/>
      <c r="CC296" s="1730"/>
      <c r="CD296" s="1730"/>
      <c r="CE296" s="1730"/>
      <c r="CF296" s="1730"/>
      <c r="CG296" s="1730"/>
      <c r="CH296" s="1730"/>
      <c r="CI296" s="1730"/>
      <c r="CJ296" s="1730"/>
      <c r="CK296" s="1730"/>
      <c r="CL296" s="1730"/>
      <c r="CM296" s="1730"/>
      <c r="CN296" s="1730"/>
      <c r="CO296" s="1730"/>
      <c r="CP296" s="1730"/>
      <c r="CQ296" s="1730"/>
      <c r="CR296" s="1730"/>
      <c r="CS296" s="1730"/>
      <c r="CT296" s="1730"/>
      <c r="CU296" s="1730"/>
      <c r="CV296" s="1730"/>
      <c r="CW296" s="1730"/>
      <c r="CX296" s="1730"/>
      <c r="CY296" s="1730"/>
      <c r="CZ296" s="1730"/>
    </row>
    <row r="297" spans="1:104">
      <c r="A297" s="1468"/>
      <c r="B297" s="1468"/>
      <c r="C297" s="1523"/>
      <c r="D297" s="1468"/>
      <c r="E297" s="1469"/>
      <c r="F297" s="1470"/>
      <c r="G297" s="1470"/>
      <c r="H297" s="1471"/>
      <c r="I297" s="1472"/>
      <c r="J297" s="1469"/>
      <c r="K297" s="1470"/>
      <c r="L297" s="1470"/>
      <c r="M297" s="1471"/>
      <c r="N297" s="1472"/>
      <c r="O297" s="1469"/>
      <c r="P297" s="1470"/>
      <c r="Q297" s="1470"/>
      <c r="R297" s="1471"/>
      <c r="S297" s="1472"/>
      <c r="T297" s="1469"/>
      <c r="U297" s="1470"/>
      <c r="V297" s="1470"/>
      <c r="W297" s="1471"/>
      <c r="X297" s="1472"/>
      <c r="Y297" s="1469"/>
      <c r="Z297" s="1470"/>
      <c r="AA297" s="1470"/>
      <c r="AB297" s="1471"/>
      <c r="AC297" s="1472"/>
      <c r="AD297" s="1469"/>
      <c r="AE297" s="1470"/>
      <c r="AF297" s="1470"/>
      <c r="AG297" s="1471"/>
      <c r="AH297" s="1472"/>
      <c r="AI297" s="1469"/>
      <c r="AJ297" s="1470"/>
      <c r="AK297" s="1470"/>
      <c r="AL297" s="1471"/>
      <c r="AM297" s="1472"/>
      <c r="AN297" s="1469"/>
      <c r="AO297" s="1470"/>
      <c r="AP297" s="1470"/>
      <c r="AQ297" s="1471"/>
      <c r="AR297" s="1472"/>
      <c r="AS297" s="1469"/>
      <c r="AT297" s="1470"/>
      <c r="AU297" s="1470"/>
      <c r="AV297" s="1471"/>
      <c r="AW297" s="1472"/>
      <c r="AX297" s="1469"/>
      <c r="AY297" s="1470"/>
      <c r="AZ297" s="1470"/>
      <c r="BA297" s="1471"/>
      <c r="BB297" s="1472"/>
      <c r="BC297" s="1469"/>
      <c r="BD297" s="1470"/>
      <c r="BE297" s="1470"/>
      <c r="BF297" s="1471"/>
      <c r="BG297" s="1472"/>
      <c r="BH297" s="1469"/>
      <c r="BI297" s="1470"/>
      <c r="BJ297" s="1470"/>
      <c r="BK297" s="1471"/>
      <c r="BL297" s="1472"/>
      <c r="BM297" s="1469"/>
      <c r="BN297" s="1470"/>
      <c r="BO297" s="1470"/>
      <c r="BP297" s="1471"/>
      <c r="BQ297" s="1472"/>
      <c r="BR297" s="1468"/>
      <c r="BS297" s="1468"/>
      <c r="BT297" s="1468"/>
      <c r="BU297" s="1468"/>
      <c r="BV297" s="1468"/>
      <c r="BW297" s="1468"/>
      <c r="BX297" s="1468"/>
      <c r="BY297" s="1468"/>
      <c r="BZ297" s="1468"/>
      <c r="CA297" s="1468"/>
      <c r="CB297" s="1468"/>
      <c r="CC297" s="1468"/>
      <c r="CD297" s="1468"/>
      <c r="CE297" s="1468"/>
      <c r="CF297" s="1468"/>
      <c r="CG297" s="1468"/>
      <c r="CH297" s="1468"/>
      <c r="CI297" s="1468"/>
      <c r="CJ297" s="1468"/>
      <c r="CK297" s="1468"/>
      <c r="CL297" s="1468"/>
      <c r="CM297" s="1468"/>
      <c r="CN297" s="1468"/>
      <c r="CO297" s="1468"/>
      <c r="CP297" s="1468"/>
      <c r="CQ297" s="1468"/>
      <c r="CR297" s="1468"/>
      <c r="CS297" s="1468"/>
      <c r="CT297" s="1468"/>
      <c r="CU297" s="1468"/>
      <c r="CV297" s="1468"/>
      <c r="CW297" s="1468"/>
      <c r="CX297" s="1468"/>
      <c r="CY297" s="1468"/>
      <c r="CZ297" s="1468"/>
    </row>
    <row r="298" spans="1:104" s="1467" customFormat="1">
      <c r="A298" s="1727"/>
      <c r="B298" s="1727"/>
      <c r="C298" s="1728" t="s">
        <v>1180</v>
      </c>
      <c r="D298" s="1425"/>
      <c r="E298" s="1548"/>
      <c r="F298" s="1549"/>
      <c r="G298" s="1549"/>
      <c r="H298" s="1518"/>
      <c r="I298" s="1425"/>
      <c r="J298" s="1548"/>
      <c r="K298" s="1549"/>
      <c r="L298" s="1549"/>
      <c r="M298" s="1518"/>
      <c r="N298" s="1425"/>
      <c r="O298" s="1548"/>
      <c r="P298" s="1549"/>
      <c r="Q298" s="1549"/>
      <c r="R298" s="1518"/>
      <c r="S298" s="1425"/>
      <c r="T298" s="1548"/>
      <c r="U298" s="1549"/>
      <c r="V298" s="1549"/>
      <c r="W298" s="1518"/>
      <c r="X298" s="1425">
        <f t="shared" ref="X298:AP298" si="161">+X14</f>
        <v>62</v>
      </c>
      <c r="Y298" s="1548">
        <f t="shared" si="161"/>
        <v>16</v>
      </c>
      <c r="Z298" s="1549">
        <f t="shared" si="161"/>
        <v>17</v>
      </c>
      <c r="AA298" s="1549">
        <f t="shared" si="161"/>
        <v>11</v>
      </c>
      <c r="AB298" s="1518">
        <f t="shared" si="161"/>
        <v>10</v>
      </c>
      <c r="AC298" s="1425">
        <f t="shared" si="161"/>
        <v>54</v>
      </c>
      <c r="AD298" s="1548">
        <f t="shared" si="161"/>
        <v>12</v>
      </c>
      <c r="AE298" s="1549">
        <f t="shared" si="161"/>
        <v>13</v>
      </c>
      <c r="AF298" s="1549">
        <f t="shared" si="161"/>
        <v>12</v>
      </c>
      <c r="AG298" s="1518">
        <f t="shared" si="161"/>
        <v>13</v>
      </c>
      <c r="AH298" s="1425">
        <f t="shared" si="161"/>
        <v>50</v>
      </c>
      <c r="AI298" s="1548">
        <f t="shared" si="161"/>
        <v>9</v>
      </c>
      <c r="AJ298" s="1549">
        <f t="shared" si="161"/>
        <v>11</v>
      </c>
      <c r="AK298" s="1549">
        <f t="shared" si="161"/>
        <v>10</v>
      </c>
      <c r="AL298" s="1518">
        <f t="shared" si="161"/>
        <v>10.700000000000003</v>
      </c>
      <c r="AM298" s="1425">
        <f t="shared" si="161"/>
        <v>40.700000000000003</v>
      </c>
      <c r="AN298" s="1548">
        <f t="shared" si="161"/>
        <v>9.9</v>
      </c>
      <c r="AO298" s="1549">
        <f t="shared" si="161"/>
        <v>10.4</v>
      </c>
      <c r="AP298" s="1549">
        <f t="shared" si="161"/>
        <v>8.6999999999999993</v>
      </c>
      <c r="AQ298" s="1518">
        <f>+AQ14</f>
        <v>8.6000000000000014</v>
      </c>
      <c r="AR298" s="1425">
        <f>+AR14</f>
        <v>37.6</v>
      </c>
      <c r="AS298" s="1548">
        <f>AN298*(1+AS300)*('Plant List'!$M$9+'Plant List'!$M$10+'Plant List'!$M$16+'Plant List'!$M$19+'Plant List'!$M$20+'Plant List'!$M$21)/'Plant List'!$M$26</f>
        <v>8.3368166048895684</v>
      </c>
      <c r="AT298" s="1549">
        <f>AO298*(1+AT300)*('Plant List'!$M$9+'Plant List'!$M$10+'Plant List'!$M$16+'Plant List'!$M$19+'Plant List'!$M$20+'Plant List'!$M$21)/'Plant List'!$M$26</f>
        <v>8.7578679485708602</v>
      </c>
      <c r="AU298" s="1549">
        <f>AP298*(1+AU300)*('Plant List'!$M$9+'Plant List'!$M$10+'Plant List'!$M$16+'Plant List'!$M$19+'Plant List'!$M$20+'Plant List'!$M$21)/'Plant List'!$M$26</f>
        <v>7.3262933800544676</v>
      </c>
      <c r="AV298" s="1518">
        <f>AQ298*(1+AV300)*('Plant List'!$M$9+'Plant List'!$M$10+'Plant List'!$M$16+'Plant List'!$M$19+'Plant List'!$M$20+'Plant List'!$M$21)/'Plant List'!$M$26</f>
        <v>7.2420831113182116</v>
      </c>
      <c r="AW298" s="1425">
        <f>SUM(AS298:AV298)</f>
        <v>31.66306104483311</v>
      </c>
      <c r="AX298" s="1548">
        <f>AS298*(1+AX300)*('Plant List'!$M$9+'Plant List'!$M$10+'Plant List'!$M$16+'Plant List'!$M$19+'Plant List'!$M$20+'Plant List'!$M$21)/'Plant List'!$M$26</f>
        <v>7.1608647803670378</v>
      </c>
      <c r="AY298" s="1549">
        <f>AT298*(1+AY300)</f>
        <v>8.9330253075422767</v>
      </c>
      <c r="AZ298" s="1549">
        <f>AU298*(1+AZ300)</f>
        <v>7.4728192476555568</v>
      </c>
      <c r="BA298" s="1518">
        <f>AV298*(1+BA300)</f>
        <v>7.3869247735445756</v>
      </c>
      <c r="BB298" s="1425">
        <f>SUM(AX298:BA298)</f>
        <v>30.953634109109448</v>
      </c>
      <c r="BC298" s="1548">
        <f>AX298*(1+BC300)</f>
        <v>7.304082075974379</v>
      </c>
      <c r="BD298" s="1549">
        <f>AY298*(1+BD300)</f>
        <v>9.1116858136931231</v>
      </c>
      <c r="BE298" s="1549">
        <f>AZ298*(1+BE300)</f>
        <v>7.6222756326086678</v>
      </c>
      <c r="BF298" s="1518">
        <f>BA298*(1+BF300)</f>
        <v>7.5346632690154669</v>
      </c>
      <c r="BG298" s="1425">
        <f>SUM(BC298:BF298)</f>
        <v>31.572706791291637</v>
      </c>
      <c r="BH298" s="1548">
        <f>BC298*(1+BH300)</f>
        <v>7.4501637174938669</v>
      </c>
      <c r="BI298" s="1549">
        <f>BD298*(1+BI300)</f>
        <v>9.2939195299669866</v>
      </c>
      <c r="BJ298" s="1549">
        <f>BE298*(1+BJ300)</f>
        <v>7.7747211452608411</v>
      </c>
      <c r="BK298" s="1518">
        <f>BF298*(1+BK300)</f>
        <v>7.6853565343957762</v>
      </c>
      <c r="BL298" s="1425">
        <f>SUM(BH298:BK298)</f>
        <v>32.204160927117471</v>
      </c>
      <c r="BM298" s="1548">
        <f>BH298*(1+BM300)</f>
        <v>7.5991669918437443</v>
      </c>
      <c r="BN298" s="1549">
        <f>BI298*(1+BN300)</f>
        <v>9.4797979205663268</v>
      </c>
      <c r="BO298" s="1549">
        <f>BJ298*(1+BO300)</f>
        <v>7.9302155681660578</v>
      </c>
      <c r="BP298" s="1518">
        <f>BK298*(1+BP300)</f>
        <v>7.8390636650836916</v>
      </c>
      <c r="BQ298" s="1425">
        <f>SUM(BM298:BP298)</f>
        <v>32.84824414565982</v>
      </c>
      <c r="BR298" s="1727"/>
      <c r="BS298" s="1727"/>
      <c r="BT298" s="1727"/>
      <c r="BU298" s="1727"/>
      <c r="BV298" s="1727"/>
      <c r="BW298" s="1727"/>
      <c r="BX298" s="1727"/>
      <c r="BY298" s="1727"/>
      <c r="BZ298" s="1727"/>
      <c r="CA298" s="1727"/>
      <c r="CB298" s="1727"/>
      <c r="CC298" s="1727"/>
      <c r="CD298" s="1727"/>
      <c r="CE298" s="1727"/>
      <c r="CF298" s="1727"/>
      <c r="CG298" s="1727"/>
      <c r="CH298" s="1727"/>
      <c r="CI298" s="1727"/>
      <c r="CJ298" s="1727"/>
      <c r="CK298" s="1727"/>
      <c r="CL298" s="1727"/>
      <c r="CM298" s="1727"/>
      <c r="CN298" s="1727"/>
      <c r="CO298" s="1727"/>
      <c r="CP298" s="1727"/>
      <c r="CQ298" s="1727"/>
      <c r="CR298" s="1727"/>
      <c r="CS298" s="1727"/>
      <c r="CT298" s="1727"/>
      <c r="CU298" s="1727"/>
      <c r="CV298" s="1727"/>
      <c r="CW298" s="1727"/>
      <c r="CX298" s="1727"/>
      <c r="CY298" s="1727"/>
      <c r="CZ298" s="1727"/>
    </row>
    <row r="299" spans="1:104">
      <c r="A299" s="1468"/>
      <c r="B299" s="1468"/>
      <c r="C299" s="1523"/>
      <c r="D299" s="1468"/>
      <c r="E299" s="1485"/>
      <c r="F299" s="1486"/>
      <c r="G299" s="1486"/>
      <c r="H299" s="1487"/>
      <c r="I299" s="1382"/>
      <c r="J299" s="1485"/>
      <c r="K299" s="1486"/>
      <c r="L299" s="1486"/>
      <c r="M299" s="1487"/>
      <c r="N299" s="1382"/>
      <c r="O299" s="1485"/>
      <c r="P299" s="1486"/>
      <c r="Q299" s="1486"/>
      <c r="R299" s="1487"/>
      <c r="S299" s="1382"/>
      <c r="T299" s="1485"/>
      <c r="U299" s="1486"/>
      <c r="V299" s="1488"/>
      <c r="W299" s="1487"/>
      <c r="X299" s="1382"/>
      <c r="Y299" s="1485"/>
      <c r="Z299" s="1488"/>
      <c r="AA299" s="1488"/>
      <c r="AB299" s="1487"/>
      <c r="AC299" s="1382"/>
      <c r="AD299" s="1485"/>
      <c r="AE299" s="1488"/>
      <c r="AF299" s="1488"/>
      <c r="AG299" s="1487"/>
      <c r="AH299" s="1382"/>
      <c r="AI299" s="1485"/>
      <c r="AJ299" s="1488"/>
      <c r="AK299" s="1488"/>
      <c r="AL299" s="1487"/>
      <c r="AM299" s="1382"/>
      <c r="AN299" s="1485"/>
      <c r="AO299" s="1488"/>
      <c r="AP299" s="1488"/>
      <c r="AQ299" s="1487"/>
      <c r="AR299" s="1382"/>
      <c r="AS299" s="1485"/>
      <c r="AT299" s="1488"/>
      <c r="AU299" s="1488"/>
      <c r="AV299" s="1487"/>
      <c r="AW299" s="1382"/>
      <c r="AX299" s="1485"/>
      <c r="AY299" s="1488"/>
      <c r="AZ299" s="1488"/>
      <c r="BA299" s="1487"/>
      <c r="BB299" s="1382"/>
      <c r="BC299" s="1485"/>
      <c r="BD299" s="1488"/>
      <c r="BE299" s="1488"/>
      <c r="BF299" s="1487"/>
      <c r="BG299" s="1382"/>
      <c r="BH299" s="1485"/>
      <c r="BI299" s="1488"/>
      <c r="BJ299" s="1488"/>
      <c r="BK299" s="1487"/>
      <c r="BL299" s="1382"/>
      <c r="BM299" s="1485"/>
      <c r="BN299" s="1488"/>
      <c r="BO299" s="1488"/>
      <c r="BP299" s="1487"/>
      <c r="BQ299" s="1382"/>
      <c r="BR299" s="1468"/>
      <c r="BS299" s="1468"/>
      <c r="BT299" s="1468"/>
      <c r="BU299" s="1468"/>
      <c r="BV299" s="1468"/>
      <c r="BW299" s="1468"/>
      <c r="BX299" s="1468"/>
      <c r="BY299" s="1468"/>
      <c r="BZ299" s="1468"/>
      <c r="CA299" s="1468"/>
      <c r="CB299" s="1468"/>
      <c r="CC299" s="1468"/>
      <c r="CD299" s="1468"/>
      <c r="CE299" s="1468"/>
      <c r="CF299" s="1468"/>
      <c r="CG299" s="1468"/>
      <c r="CH299" s="1468"/>
      <c r="CI299" s="1468"/>
      <c r="CJ299" s="1468"/>
      <c r="CK299" s="1468"/>
      <c r="CL299" s="1468"/>
      <c r="CM299" s="1468"/>
      <c r="CN299" s="1468"/>
      <c r="CO299" s="1468"/>
      <c r="CP299" s="1468"/>
      <c r="CQ299" s="1468"/>
      <c r="CR299" s="1468"/>
      <c r="CS299" s="1468"/>
      <c r="CT299" s="1468"/>
      <c r="CU299" s="1468"/>
      <c r="CV299" s="1468"/>
      <c r="CW299" s="1468"/>
      <c r="CX299" s="1468"/>
      <c r="CY299" s="1468"/>
      <c r="CZ299" s="1468"/>
    </row>
    <row r="300" spans="1:104">
      <c r="A300" s="1730"/>
      <c r="B300" s="1730"/>
      <c r="C300" s="1731" t="s">
        <v>218</v>
      </c>
      <c r="D300" s="1730"/>
      <c r="E300" s="1732"/>
      <c r="F300" s="1733"/>
      <c r="G300" s="1733"/>
      <c r="H300" s="1734"/>
      <c r="I300" s="1521"/>
      <c r="J300" s="1735"/>
      <c r="K300" s="1736"/>
      <c r="L300" s="1736"/>
      <c r="M300" s="1520"/>
      <c r="N300" s="1521"/>
      <c r="O300" s="1735"/>
      <c r="P300" s="1736"/>
      <c r="Q300" s="1736"/>
      <c r="R300" s="1520"/>
      <c r="S300" s="1521"/>
      <c r="T300" s="1735"/>
      <c r="U300" s="1736"/>
      <c r="V300" s="1736"/>
      <c r="W300" s="1520"/>
      <c r="X300" s="1521"/>
      <c r="Y300" s="1735"/>
      <c r="Z300" s="1736"/>
      <c r="AA300" s="1736"/>
      <c r="AB300" s="1520"/>
      <c r="AC300" s="1521"/>
      <c r="AD300" s="1735"/>
      <c r="AE300" s="1736"/>
      <c r="AF300" s="1736"/>
      <c r="AG300" s="1520"/>
      <c r="AH300" s="1521"/>
      <c r="AI300" s="1735"/>
      <c r="AJ300" s="1736"/>
      <c r="AK300" s="1736"/>
      <c r="AL300" s="1520"/>
      <c r="AM300" s="1521"/>
      <c r="AN300" s="1735"/>
      <c r="AO300" s="1736"/>
      <c r="AP300" s="1736"/>
      <c r="AQ300" s="1520"/>
      <c r="AR300" s="1521"/>
      <c r="AS300" s="1735"/>
      <c r="AT300" s="1736"/>
      <c r="AU300" s="1736"/>
      <c r="AV300" s="1520"/>
      <c r="AW300" s="1737"/>
      <c r="AX300" s="1735">
        <f>AY300</f>
        <v>0.02</v>
      </c>
      <c r="AY300" s="1736">
        <f>AZ300</f>
        <v>0.02</v>
      </c>
      <c r="AZ300" s="1736">
        <f>BA300</f>
        <v>0.02</v>
      </c>
      <c r="BA300" s="1520">
        <f>BB300</f>
        <v>0.02</v>
      </c>
      <c r="BB300" s="1737">
        <v>0.02</v>
      </c>
      <c r="BC300" s="1735">
        <f>BD300</f>
        <v>0.02</v>
      </c>
      <c r="BD300" s="1736">
        <f>BE300</f>
        <v>0.02</v>
      </c>
      <c r="BE300" s="1736">
        <f>BF300</f>
        <v>0.02</v>
      </c>
      <c r="BF300" s="1520">
        <f>BG300</f>
        <v>0.02</v>
      </c>
      <c r="BG300" s="1737">
        <v>0.02</v>
      </c>
      <c r="BH300" s="1735">
        <f>BI300</f>
        <v>0.02</v>
      </c>
      <c r="BI300" s="1736">
        <f>BJ300</f>
        <v>0.02</v>
      </c>
      <c r="BJ300" s="1736">
        <f>BK300</f>
        <v>0.02</v>
      </c>
      <c r="BK300" s="1520">
        <f>BL300</f>
        <v>0.02</v>
      </c>
      <c r="BL300" s="1737">
        <v>0.02</v>
      </c>
      <c r="BM300" s="1735">
        <f>BN300</f>
        <v>0.02</v>
      </c>
      <c r="BN300" s="1736">
        <f>BO300</f>
        <v>0.02</v>
      </c>
      <c r="BO300" s="1736">
        <f>BP300</f>
        <v>0.02</v>
      </c>
      <c r="BP300" s="1520">
        <f>BQ300</f>
        <v>0.02</v>
      </c>
      <c r="BQ300" s="1737">
        <v>0.02</v>
      </c>
      <c r="BR300" s="1730"/>
      <c r="BS300" s="1730"/>
      <c r="BT300" s="1730"/>
      <c r="BU300" s="1730"/>
      <c r="BV300" s="1730"/>
      <c r="BW300" s="1730"/>
      <c r="BX300" s="1730"/>
      <c r="BY300" s="1730"/>
      <c r="BZ300" s="1730"/>
      <c r="CA300" s="1730"/>
      <c r="CB300" s="1730"/>
      <c r="CC300" s="1730"/>
      <c r="CD300" s="1730"/>
      <c r="CE300" s="1730"/>
      <c r="CF300" s="1730"/>
      <c r="CG300" s="1730"/>
      <c r="CH300" s="1730"/>
      <c r="CI300" s="1730"/>
      <c r="CJ300" s="1730"/>
      <c r="CK300" s="1730"/>
      <c r="CL300" s="1730"/>
      <c r="CM300" s="1730"/>
      <c r="CN300" s="1730"/>
      <c r="CO300" s="1730"/>
      <c r="CP300" s="1730"/>
      <c r="CQ300" s="1730"/>
      <c r="CR300" s="1730"/>
      <c r="CS300" s="1730"/>
      <c r="CT300" s="1730"/>
      <c r="CU300" s="1730"/>
      <c r="CV300" s="1730"/>
      <c r="CW300" s="1730"/>
      <c r="CX300" s="1730"/>
      <c r="CY300" s="1730"/>
      <c r="CZ300" s="1730"/>
    </row>
    <row r="301" spans="1:104">
      <c r="A301" s="1468"/>
      <c r="B301" s="1468"/>
      <c r="C301" s="1523"/>
      <c r="D301" s="1468"/>
      <c r="E301" s="1469"/>
      <c r="F301" s="1470"/>
      <c r="G301" s="1470"/>
      <c r="H301" s="1471"/>
      <c r="I301" s="1472"/>
      <c r="J301" s="1469"/>
      <c r="K301" s="1470"/>
      <c r="L301" s="1470"/>
      <c r="M301" s="1471"/>
      <c r="N301" s="1472"/>
      <c r="O301" s="1469"/>
      <c r="P301" s="1470"/>
      <c r="Q301" s="1470"/>
      <c r="R301" s="1471"/>
      <c r="S301" s="1472"/>
      <c r="T301" s="1469"/>
      <c r="U301" s="1470"/>
      <c r="V301" s="1470"/>
      <c r="W301" s="1471"/>
      <c r="X301" s="1472"/>
      <c r="Y301" s="1469"/>
      <c r="Z301" s="1470"/>
      <c r="AA301" s="1470"/>
      <c r="AB301" s="1471"/>
      <c r="AC301" s="1472"/>
      <c r="AD301" s="1469"/>
      <c r="AE301" s="1470"/>
      <c r="AF301" s="1470"/>
      <c r="AG301" s="1471"/>
      <c r="AH301" s="1472"/>
      <c r="AI301" s="1469"/>
      <c r="AJ301" s="1470"/>
      <c r="AK301" s="1470"/>
      <c r="AL301" s="1471"/>
      <c r="AM301" s="1472"/>
      <c r="AN301" s="1469"/>
      <c r="AO301" s="1470"/>
      <c r="AP301" s="1470"/>
      <c r="AQ301" s="1471"/>
      <c r="AR301" s="1472"/>
      <c r="AS301" s="1469"/>
      <c r="AT301" s="1470"/>
      <c r="AU301" s="1470"/>
      <c r="AV301" s="1471"/>
      <c r="AW301" s="1472"/>
      <c r="AX301" s="1469"/>
      <c r="AY301" s="1470"/>
      <c r="AZ301" s="1470"/>
      <c r="BA301" s="1471"/>
      <c r="BB301" s="1472"/>
      <c r="BC301" s="1469"/>
      <c r="BD301" s="1470"/>
      <c r="BE301" s="1470"/>
      <c r="BF301" s="1471"/>
      <c r="BG301" s="1472"/>
      <c r="BH301" s="1469"/>
      <c r="BI301" s="1470"/>
      <c r="BJ301" s="1470"/>
      <c r="BK301" s="1471"/>
      <c r="BL301" s="1472"/>
      <c r="BM301" s="1469"/>
      <c r="BN301" s="1470"/>
      <c r="BO301" s="1470"/>
      <c r="BP301" s="1471"/>
      <c r="BQ301" s="1472"/>
      <c r="BR301" s="1468"/>
      <c r="BS301" s="1468"/>
      <c r="BT301" s="1468"/>
      <c r="BU301" s="1468"/>
      <c r="BV301" s="1468"/>
      <c r="BW301" s="1468"/>
      <c r="BX301" s="1468"/>
      <c r="BY301" s="1468"/>
      <c r="BZ301" s="1468"/>
      <c r="CA301" s="1468"/>
      <c r="CB301" s="1468"/>
      <c r="CC301" s="1468"/>
      <c r="CD301" s="1468"/>
      <c r="CE301" s="1468"/>
      <c r="CF301" s="1468"/>
      <c r="CG301" s="1468"/>
      <c r="CH301" s="1468"/>
      <c r="CI301" s="1468"/>
      <c r="CJ301" s="1468"/>
      <c r="CK301" s="1468"/>
      <c r="CL301" s="1468"/>
      <c r="CM301" s="1468"/>
      <c r="CN301" s="1468"/>
      <c r="CO301" s="1468"/>
      <c r="CP301" s="1468"/>
      <c r="CQ301" s="1468"/>
      <c r="CR301" s="1468"/>
      <c r="CS301" s="1468"/>
      <c r="CT301" s="1468"/>
      <c r="CU301" s="1468"/>
      <c r="CV301" s="1468"/>
      <c r="CW301" s="1468"/>
      <c r="CX301" s="1468"/>
      <c r="CY301" s="1468"/>
      <c r="CZ301" s="1468"/>
    </row>
    <row r="302" spans="1:104">
      <c r="A302" s="1468"/>
      <c r="B302" s="1468"/>
      <c r="C302" s="1523" t="s">
        <v>285</v>
      </c>
      <c r="D302" s="1468"/>
      <c r="E302" s="1469"/>
      <c r="F302" s="1470"/>
      <c r="G302" s="1470"/>
      <c r="H302" s="1471"/>
      <c r="I302" s="1472"/>
      <c r="J302" s="1469"/>
      <c r="K302" s="1470"/>
      <c r="L302" s="1470"/>
      <c r="M302" s="1471"/>
      <c r="N302" s="1472"/>
      <c r="O302" s="1469"/>
      <c r="P302" s="1470"/>
      <c r="Q302" s="1470"/>
      <c r="R302" s="1471"/>
      <c r="S302" s="1472"/>
      <c r="T302" s="1469"/>
      <c r="U302" s="1470"/>
      <c r="V302" s="1470"/>
      <c r="W302" s="1471"/>
      <c r="X302" s="1472"/>
      <c r="Y302" s="1469"/>
      <c r="Z302" s="1470"/>
      <c r="AA302" s="1470"/>
      <c r="AB302" s="1471"/>
      <c r="AC302" s="1737">
        <v>0.38</v>
      </c>
      <c r="AD302" s="1469"/>
      <c r="AE302" s="1470"/>
      <c r="AF302" s="1470"/>
      <c r="AG302" s="1471"/>
      <c r="AH302" s="1737">
        <v>0.38</v>
      </c>
      <c r="AI302" s="1469"/>
      <c r="AJ302" s="1470"/>
      <c r="AK302" s="1470"/>
      <c r="AL302" s="1471"/>
      <c r="AM302" s="1737">
        <v>0.38</v>
      </c>
      <c r="AN302" s="1469"/>
      <c r="AO302" s="1470"/>
      <c r="AP302" s="1470"/>
      <c r="AQ302" s="1471"/>
      <c r="AR302" s="1737">
        <v>0.38</v>
      </c>
      <c r="AS302" s="1469"/>
      <c r="AT302" s="1470"/>
      <c r="AU302" s="1470"/>
      <c r="AV302" s="1471"/>
      <c r="AW302" s="1737">
        <v>0.38</v>
      </c>
      <c r="AX302" s="1835">
        <f>AY302</f>
        <v>0.24</v>
      </c>
      <c r="AY302" s="1836">
        <f>AZ302</f>
        <v>0.24</v>
      </c>
      <c r="AZ302" s="1836">
        <f>BA302</f>
        <v>0.24</v>
      </c>
      <c r="BA302" s="1837">
        <f>BB302</f>
        <v>0.24</v>
      </c>
      <c r="BB302" s="1737">
        <v>0.24</v>
      </c>
      <c r="BC302" s="1835">
        <f>BD302</f>
        <v>0.24</v>
      </c>
      <c r="BD302" s="1836">
        <f>BE302</f>
        <v>0.24</v>
      </c>
      <c r="BE302" s="1836">
        <f>BF302</f>
        <v>0.24</v>
      </c>
      <c r="BF302" s="1837">
        <f>BG302</f>
        <v>0.24</v>
      </c>
      <c r="BG302" s="1737">
        <v>0.24</v>
      </c>
      <c r="BH302" s="1835">
        <f>BI302</f>
        <v>0.24</v>
      </c>
      <c r="BI302" s="1836">
        <f>BJ302</f>
        <v>0.24</v>
      </c>
      <c r="BJ302" s="1836">
        <f>BK302</f>
        <v>0.24</v>
      </c>
      <c r="BK302" s="1837">
        <f>BL302</f>
        <v>0.24</v>
      </c>
      <c r="BL302" s="1737">
        <v>0.24</v>
      </c>
      <c r="BM302" s="1835">
        <f>BN302</f>
        <v>0.24</v>
      </c>
      <c r="BN302" s="1836">
        <f>BO302</f>
        <v>0.24</v>
      </c>
      <c r="BO302" s="1836">
        <f>BP302</f>
        <v>0.24</v>
      </c>
      <c r="BP302" s="1837">
        <f>BQ302</f>
        <v>0.24</v>
      </c>
      <c r="BQ302" s="1737">
        <v>0.24</v>
      </c>
      <c r="BR302" s="1468"/>
      <c r="BS302" s="1468"/>
      <c r="BT302" s="1468"/>
      <c r="BU302" s="1468"/>
      <c r="BV302" s="1468"/>
      <c r="BW302" s="1468"/>
      <c r="BX302" s="1468"/>
      <c r="BY302" s="1468"/>
      <c r="BZ302" s="1468"/>
      <c r="CA302" s="1468"/>
      <c r="CB302" s="1468"/>
      <c r="CC302" s="1468"/>
      <c r="CD302" s="1468"/>
      <c r="CE302" s="1468"/>
      <c r="CF302" s="1468"/>
      <c r="CG302" s="1468"/>
      <c r="CH302" s="1468"/>
      <c r="CI302" s="1468"/>
      <c r="CJ302" s="1468"/>
      <c r="CK302" s="1468"/>
      <c r="CL302" s="1468"/>
      <c r="CM302" s="1468"/>
      <c r="CN302" s="1468"/>
      <c r="CO302" s="1468"/>
      <c r="CP302" s="1468"/>
      <c r="CQ302" s="1468"/>
      <c r="CR302" s="1468"/>
      <c r="CS302" s="1468"/>
      <c r="CT302" s="1468"/>
      <c r="CU302" s="1468"/>
      <c r="CV302" s="1468"/>
      <c r="CW302" s="1468"/>
      <c r="CX302" s="1468"/>
      <c r="CY302" s="1468"/>
      <c r="CZ302" s="1468"/>
    </row>
    <row r="303" spans="1:104">
      <c r="A303" s="1468"/>
      <c r="B303" s="1468"/>
      <c r="C303" s="1523" t="s">
        <v>1254</v>
      </c>
      <c r="D303" s="1468"/>
      <c r="E303" s="1469"/>
      <c r="F303" s="1470"/>
      <c r="G303" s="1470"/>
      <c r="H303" s="1471"/>
      <c r="I303" s="1472"/>
      <c r="J303" s="1469"/>
      <c r="K303" s="1470"/>
      <c r="L303" s="1470"/>
      <c r="M303" s="1471"/>
      <c r="N303" s="1472"/>
      <c r="O303" s="1469"/>
      <c r="P303" s="1470"/>
      <c r="Q303" s="1470"/>
      <c r="R303" s="1471"/>
      <c r="S303" s="1472"/>
      <c r="T303" s="1469"/>
      <c r="U303" s="1470"/>
      <c r="V303" s="1470"/>
      <c r="W303" s="1471"/>
      <c r="X303" s="1472"/>
      <c r="Y303" s="1469"/>
      <c r="Z303" s="1470"/>
      <c r="AA303" s="1470"/>
      <c r="AB303" s="1471"/>
      <c r="AC303" s="1775">
        <f t="shared" ref="AC303:BL303" si="162">AC31/AC29</f>
        <v>0.32941176470588235</v>
      </c>
      <c r="AD303" s="1835">
        <f t="shared" si="162"/>
        <v>0.34799999999999998</v>
      </c>
      <c r="AE303" s="1836">
        <f t="shared" si="162"/>
        <v>0.34228187919463088</v>
      </c>
      <c r="AF303" s="1836">
        <f t="shared" si="162"/>
        <v>0.31976744186046513</v>
      </c>
      <c r="AG303" s="1837">
        <f t="shared" si="162"/>
        <v>0.56000000000000005</v>
      </c>
      <c r="AH303" s="1775">
        <f t="shared" si="162"/>
        <v>0.32783882783882784</v>
      </c>
      <c r="AI303" s="1835">
        <f t="shared" si="162"/>
        <v>0.34385964912280703</v>
      </c>
      <c r="AJ303" s="1836">
        <f t="shared" si="162"/>
        <v>0.33333333333333331</v>
      </c>
      <c r="AK303" s="1836">
        <f t="shared" si="162"/>
        <v>0.34532374100719426</v>
      </c>
      <c r="AL303" s="1837">
        <f t="shared" si="162"/>
        <v>0.55882352941177738</v>
      </c>
      <c r="AM303" s="1775">
        <f t="shared" si="162"/>
        <v>0.34712807706029286</v>
      </c>
      <c r="AN303" s="1835">
        <f t="shared" si="162"/>
        <v>0.34537037037037049</v>
      </c>
      <c r="AO303" s="1836">
        <f t="shared" si="162"/>
        <v>0.28898426323319043</v>
      </c>
      <c r="AP303" s="1836">
        <f t="shared" si="162"/>
        <v>0.35615536537195525</v>
      </c>
      <c r="AQ303" s="1837">
        <f>AQ31/AQ29</f>
        <v>0.3966745843230392</v>
      </c>
      <c r="AR303" s="1775">
        <f>AR31/AR29</f>
        <v>0.35746849021185306</v>
      </c>
      <c r="AS303" s="1835">
        <f t="shared" si="162"/>
        <v>0.38588390501319264</v>
      </c>
      <c r="AT303" s="1836">
        <f t="shared" si="162"/>
        <v>7.5187969924811844E-3</v>
      </c>
      <c r="AU303" s="1836">
        <f t="shared" si="162"/>
        <v>0.27056277056277056</v>
      </c>
      <c r="AV303" s="1837">
        <f t="shared" si="162"/>
        <v>-2.9556650246304916</v>
      </c>
      <c r="AW303" s="1775">
        <f t="shared" si="162"/>
        <v>0.53331459094742795</v>
      </c>
      <c r="AX303" s="1835">
        <f t="shared" si="162"/>
        <v>0.13083758005135709</v>
      </c>
      <c r="AY303" s="1836">
        <f t="shared" si="162"/>
        <v>0.15109565489481186</v>
      </c>
      <c r="AZ303" s="1836">
        <f t="shared" si="162"/>
        <v>0.1558400309910975</v>
      </c>
      <c r="BA303" s="1837">
        <f t="shared" si="162"/>
        <v>0.13053225524303741</v>
      </c>
      <c r="BB303" s="1775">
        <f t="shared" si="162"/>
        <v>0.14393567565084586</v>
      </c>
      <c r="BC303" s="1835">
        <f t="shared" si="162"/>
        <v>0.12029918163090857</v>
      </c>
      <c r="BD303" s="1836">
        <f t="shared" si="162"/>
        <v>-0.28025417039631911</v>
      </c>
      <c r="BE303" s="1836">
        <f t="shared" si="162"/>
        <v>-2.4536973416250059E-2</v>
      </c>
      <c r="BF303" s="1837">
        <f t="shared" si="162"/>
        <v>5.228625776420936E-3</v>
      </c>
      <c r="BG303" s="1775">
        <f t="shared" si="162"/>
        <v>1.6728760606775847E-2</v>
      </c>
      <c r="BH303" s="1835">
        <f t="shared" si="162"/>
        <v>-7.1618997739869919E-2</v>
      </c>
      <c r="BI303" s="1836">
        <f t="shared" si="162"/>
        <v>39.468280590857326</v>
      </c>
      <c r="BJ303" s="1836">
        <f t="shared" si="162"/>
        <v>3.9674069292885923E-2</v>
      </c>
      <c r="BK303" s="1837">
        <f t="shared" si="162"/>
        <v>-0.17979938300983989</v>
      </c>
      <c r="BL303" s="1775">
        <f t="shared" si="162"/>
        <v>-0.12389916369780331</v>
      </c>
      <c r="BM303" s="1835">
        <f>BM31/BM29</f>
        <v>-8.5231203539065825E-2</v>
      </c>
      <c r="BN303" s="1836">
        <f>BN31/BN29</f>
        <v>-3.9776159239277638E-2</v>
      </c>
      <c r="BO303" s="1836">
        <f>BO31/BO29</f>
        <v>1.3454232029789992E-2</v>
      </c>
      <c r="BP303" s="1837">
        <f>BP31/BP29</f>
        <v>-4.2082953506314656E-2</v>
      </c>
      <c r="BQ303" s="1775">
        <f>BQ31/BQ29</f>
        <v>-3.2051273402363731E-2</v>
      </c>
      <c r="BR303" s="1468"/>
      <c r="BS303" s="1468"/>
      <c r="BT303" s="1468"/>
      <c r="BU303" s="1468"/>
      <c r="BV303" s="1468"/>
      <c r="BW303" s="1468"/>
      <c r="BX303" s="1468"/>
      <c r="BY303" s="1468"/>
      <c r="BZ303" s="1468"/>
      <c r="CA303" s="1468"/>
      <c r="CB303" s="1468"/>
      <c r="CC303" s="1468"/>
      <c r="CD303" s="1468"/>
      <c r="CE303" s="1468"/>
      <c r="CF303" s="1468"/>
      <c r="CG303" s="1468"/>
      <c r="CH303" s="1468"/>
      <c r="CI303" s="1468"/>
      <c r="CJ303" s="1468"/>
      <c r="CK303" s="1468"/>
      <c r="CL303" s="1468"/>
      <c r="CM303" s="1468"/>
      <c r="CN303" s="1468"/>
      <c r="CO303" s="1468"/>
      <c r="CP303" s="1468"/>
      <c r="CQ303" s="1468"/>
      <c r="CR303" s="1468"/>
      <c r="CS303" s="1468"/>
      <c r="CT303" s="1468"/>
      <c r="CU303" s="1468"/>
      <c r="CV303" s="1468"/>
      <c r="CW303" s="1468"/>
      <c r="CX303" s="1468"/>
      <c r="CY303" s="1468"/>
      <c r="CZ303" s="1468"/>
    </row>
    <row r="304" spans="1:104">
      <c r="A304" s="1468"/>
      <c r="B304" s="1468"/>
      <c r="C304" s="1523"/>
      <c r="D304" s="1468"/>
      <c r="E304" s="1469"/>
      <c r="F304" s="1470"/>
      <c r="G304" s="1470"/>
      <c r="H304" s="1471"/>
      <c r="I304" s="1472"/>
      <c r="J304" s="1469"/>
      <c r="K304" s="1470"/>
      <c r="L304" s="1470"/>
      <c r="M304" s="1471"/>
      <c r="N304" s="1472"/>
      <c r="O304" s="1469"/>
      <c r="P304" s="1470"/>
      <c r="Q304" s="1470"/>
      <c r="R304" s="1471"/>
      <c r="S304" s="1472"/>
      <c r="T304" s="1469"/>
      <c r="U304" s="1470"/>
      <c r="V304" s="1470"/>
      <c r="W304" s="1471"/>
      <c r="X304" s="1472"/>
      <c r="Y304" s="1469"/>
      <c r="Z304" s="1470"/>
      <c r="AA304" s="1470"/>
      <c r="AB304" s="1471"/>
      <c r="AC304" s="1378"/>
      <c r="AD304" s="1738"/>
      <c r="AE304" s="1739"/>
      <c r="AF304" s="1739"/>
      <c r="AG304" s="1740"/>
      <c r="AH304" s="1378"/>
      <c r="AI304" s="1738"/>
      <c r="AJ304" s="1739"/>
      <c r="AK304" s="1739"/>
      <c r="AL304" s="1740"/>
      <c r="AM304" s="1378"/>
      <c r="AN304" s="1738"/>
      <c r="AO304" s="1739"/>
      <c r="AP304" s="1739"/>
      <c r="AQ304" s="1740"/>
      <c r="AR304" s="1378"/>
      <c r="AS304" s="1738"/>
      <c r="AT304" s="1739"/>
      <c r="AU304" s="1739"/>
      <c r="AV304" s="1740"/>
      <c r="AW304" s="1378"/>
      <c r="AX304" s="1738"/>
      <c r="AY304" s="1739"/>
      <c r="AZ304" s="1739"/>
      <c r="BA304" s="1740"/>
      <c r="BB304" s="1378"/>
      <c r="BC304" s="1738"/>
      <c r="BD304" s="1739"/>
      <c r="BE304" s="1739"/>
      <c r="BF304" s="1740"/>
      <c r="BG304" s="1378"/>
      <c r="BH304" s="1738"/>
      <c r="BI304" s="1739"/>
      <c r="BJ304" s="1739"/>
      <c r="BK304" s="1740"/>
      <c r="BL304" s="1378"/>
      <c r="BM304" s="1738"/>
      <c r="BN304" s="1739"/>
      <c r="BO304" s="1739"/>
      <c r="BP304" s="1740"/>
      <c r="BQ304" s="1378"/>
      <c r="BR304" s="1468"/>
      <c r="BS304" s="1468"/>
      <c r="BT304" s="1468"/>
      <c r="BU304" s="1468"/>
      <c r="BV304" s="1468"/>
      <c r="BW304" s="1468"/>
      <c r="BX304" s="1468"/>
      <c r="BY304" s="1468"/>
      <c r="BZ304" s="1468"/>
      <c r="CA304" s="1468"/>
      <c r="CB304" s="1468"/>
      <c r="CC304" s="1468"/>
      <c r="CD304" s="1468"/>
      <c r="CE304" s="1468"/>
      <c r="CF304" s="1468"/>
      <c r="CG304" s="1468"/>
      <c r="CH304" s="1468"/>
      <c r="CI304" s="1468"/>
      <c r="CJ304" s="1468"/>
      <c r="CK304" s="1468"/>
      <c r="CL304" s="1468"/>
      <c r="CM304" s="1468"/>
      <c r="CN304" s="1468"/>
      <c r="CO304" s="1468"/>
      <c r="CP304" s="1468"/>
      <c r="CQ304" s="1468"/>
      <c r="CR304" s="1468"/>
      <c r="CS304" s="1468"/>
      <c r="CT304" s="1468"/>
      <c r="CU304" s="1468"/>
      <c r="CV304" s="1468"/>
      <c r="CW304" s="1468"/>
      <c r="CX304" s="1468"/>
      <c r="CY304" s="1468"/>
      <c r="CZ304" s="1468"/>
    </row>
    <row r="305" spans="1:104">
      <c r="A305" s="1468"/>
      <c r="B305" s="1468"/>
      <c r="C305" s="1523" t="s">
        <v>1251</v>
      </c>
      <c r="D305" s="1468"/>
      <c r="E305" s="1469"/>
      <c r="F305" s="1470"/>
      <c r="G305" s="1470"/>
      <c r="H305" s="1471"/>
      <c r="I305" s="1472"/>
      <c r="J305" s="1469"/>
      <c r="K305" s="1470"/>
      <c r="L305" s="1470"/>
      <c r="M305" s="1471"/>
      <c r="N305" s="1472"/>
      <c r="O305" s="1469"/>
      <c r="P305" s="1470"/>
      <c r="Q305" s="1470"/>
      <c r="R305" s="1471"/>
      <c r="S305" s="1472"/>
      <c r="T305" s="1469"/>
      <c r="U305" s="1470"/>
      <c r="V305" s="1470"/>
      <c r="W305" s="1471"/>
      <c r="X305" s="1472"/>
      <c r="Y305" s="1469"/>
      <c r="Z305" s="1470"/>
      <c r="AA305" s="1470"/>
      <c r="AB305" s="1471"/>
      <c r="AC305" s="1206">
        <v>0</v>
      </c>
      <c r="AD305" s="1202"/>
      <c r="AE305" s="1204"/>
      <c r="AF305" s="1204"/>
      <c r="AG305" s="1205"/>
      <c r="AH305" s="1206">
        <v>0</v>
      </c>
      <c r="AI305" s="1202"/>
      <c r="AJ305" s="1204"/>
      <c r="AK305" s="1204"/>
      <c r="AL305" s="1205"/>
      <c r="AM305" s="1206">
        <v>0</v>
      </c>
      <c r="AN305" s="1202"/>
      <c r="AO305" s="1204"/>
      <c r="AP305" s="1204"/>
      <c r="AQ305" s="1205"/>
      <c r="AR305" s="1206">
        <v>0</v>
      </c>
      <c r="AS305" s="1202">
        <f>AW305/4</f>
        <v>1.3431999999999997</v>
      </c>
      <c r="AT305" s="1204">
        <f>AS305</f>
        <v>1.3431999999999997</v>
      </c>
      <c r="AU305" s="1204">
        <f>AV305</f>
        <v>1.3431999999999997</v>
      </c>
      <c r="AV305" s="1205">
        <f>AW305/4</f>
        <v>1.3431999999999997</v>
      </c>
      <c r="AW305" s="1206">
        <f>BX273</f>
        <v>5.3727999999999989</v>
      </c>
      <c r="AX305" s="1202">
        <f>AW305/4</f>
        <v>1.3431999999999997</v>
      </c>
      <c r="AY305" s="1204">
        <f>AX305</f>
        <v>1.3431999999999997</v>
      </c>
      <c r="AZ305" s="1204">
        <f>BA305</f>
        <v>2.8542999999999998</v>
      </c>
      <c r="BA305" s="1205">
        <f>BB305/4</f>
        <v>2.8542999999999998</v>
      </c>
      <c r="BB305" s="1206">
        <f>BY273</f>
        <v>11.417199999999999</v>
      </c>
      <c r="BC305" s="1202">
        <f>BB305/4</f>
        <v>2.8542999999999998</v>
      </c>
      <c r="BD305" s="1204">
        <f>BC305</f>
        <v>2.8542999999999998</v>
      </c>
      <c r="BE305" s="1204">
        <f>BF305</f>
        <v>4.1001180000000002</v>
      </c>
      <c r="BF305" s="1205">
        <f>BG305/4</f>
        <v>4.1001180000000002</v>
      </c>
      <c r="BG305" s="1206">
        <f>BZ273</f>
        <v>16.400472000000001</v>
      </c>
      <c r="BH305" s="1202">
        <f>BG305/4</f>
        <v>4.1001180000000002</v>
      </c>
      <c r="BI305" s="1204">
        <f>BH305</f>
        <v>4.1001180000000002</v>
      </c>
      <c r="BJ305" s="1204">
        <f>BK305</f>
        <v>5.0316943600000004</v>
      </c>
      <c r="BK305" s="1205">
        <f>BL305/4</f>
        <v>5.0316943600000004</v>
      </c>
      <c r="BL305" s="1206">
        <f>CA273</f>
        <v>20.126777440000001</v>
      </c>
      <c r="BM305" s="1202">
        <f>BL305/4</f>
        <v>5.0316943600000004</v>
      </c>
      <c r="BN305" s="1204">
        <f>BM305</f>
        <v>5.0316943600000004</v>
      </c>
      <c r="BO305" s="1204">
        <f>BP305</f>
        <v>5.9261474841602704</v>
      </c>
      <c r="BP305" s="1205">
        <f>BQ305/4</f>
        <v>5.9261474841602704</v>
      </c>
      <c r="BQ305" s="1206">
        <f>CF273</f>
        <v>23.704589936641081</v>
      </c>
      <c r="BR305" s="1468"/>
      <c r="BS305" s="1468"/>
      <c r="BT305" s="1468"/>
      <c r="BU305" s="1468"/>
      <c r="BV305" s="1468"/>
      <c r="BW305" s="1468"/>
      <c r="BX305" s="1468"/>
      <c r="BY305" s="1468"/>
      <c r="BZ305" s="1468"/>
      <c r="CA305" s="1468"/>
      <c r="CB305" s="1468"/>
      <c r="CC305" s="1468"/>
      <c r="CD305" s="1468"/>
      <c r="CE305" s="1468"/>
      <c r="CF305" s="1468"/>
      <c r="CG305" s="1468"/>
      <c r="CH305" s="1468"/>
      <c r="CI305" s="1468"/>
      <c r="CJ305" s="1468"/>
      <c r="CK305" s="1468"/>
      <c r="CL305" s="1468"/>
      <c r="CM305" s="1468"/>
      <c r="CN305" s="1468"/>
      <c r="CO305" s="1468"/>
      <c r="CP305" s="1468"/>
      <c r="CQ305" s="1468"/>
      <c r="CR305" s="1468"/>
      <c r="CS305" s="1468"/>
      <c r="CT305" s="1468"/>
      <c r="CU305" s="1468"/>
      <c r="CV305" s="1468"/>
      <c r="CW305" s="1468"/>
      <c r="CX305" s="1468"/>
      <c r="CY305" s="1468"/>
      <c r="CZ305" s="1468"/>
    </row>
    <row r="306" spans="1:104">
      <c r="A306" s="1468"/>
      <c r="B306" s="1468"/>
      <c r="C306" s="1523" t="s">
        <v>1252</v>
      </c>
      <c r="D306" s="1468"/>
      <c r="E306" s="1469"/>
      <c r="F306" s="1470"/>
      <c r="G306" s="1470"/>
      <c r="H306" s="1471"/>
      <c r="I306" s="1472"/>
      <c r="J306" s="1469"/>
      <c r="K306" s="1470"/>
      <c r="L306" s="1470"/>
      <c r="M306" s="1471"/>
      <c r="N306" s="1472"/>
      <c r="O306" s="1469"/>
      <c r="P306" s="1470"/>
      <c r="Q306" s="1470"/>
      <c r="R306" s="1471"/>
      <c r="S306" s="1472"/>
      <c r="T306" s="1469"/>
      <c r="U306" s="1470"/>
      <c r="V306" s="1470"/>
      <c r="W306" s="1471"/>
      <c r="X306" s="1472"/>
      <c r="Y306" s="1469"/>
      <c r="Z306" s="1470"/>
      <c r="AA306" s="1470"/>
      <c r="AB306" s="1471"/>
      <c r="AC306" s="1206">
        <v>0</v>
      </c>
      <c r="AD306" s="1202"/>
      <c r="AE306" s="1204"/>
      <c r="AF306" s="1204"/>
      <c r="AG306" s="1205"/>
      <c r="AH306" s="1206">
        <v>0</v>
      </c>
      <c r="AI306" s="1202"/>
      <c r="AJ306" s="1204"/>
      <c r="AK306" s="1204"/>
      <c r="AL306" s="1205"/>
      <c r="AM306" s="1206">
        <v>0</v>
      </c>
      <c r="AN306" s="1202"/>
      <c r="AO306" s="1204"/>
      <c r="AP306" s="1204"/>
      <c r="AQ306" s="1205"/>
      <c r="AR306" s="1206">
        <v>0</v>
      </c>
      <c r="AS306" s="1202">
        <f>AW306/4</f>
        <v>0.21666666666666667</v>
      </c>
      <c r="AT306" s="1204">
        <f>AS306</f>
        <v>0.21666666666666667</v>
      </c>
      <c r="AU306" s="1204">
        <f>AV306</f>
        <v>0.21666666666666667</v>
      </c>
      <c r="AV306" s="1205">
        <f>AW306/4</f>
        <v>0.21666666666666667</v>
      </c>
      <c r="AW306" s="1206">
        <f>BX249</f>
        <v>0.8666666666666667</v>
      </c>
      <c r="AX306" s="1202">
        <f>AW306/4</f>
        <v>0.21666666666666667</v>
      </c>
      <c r="AY306" s="1204">
        <f>AX306</f>
        <v>0.21666666666666667</v>
      </c>
      <c r="AZ306" s="1204">
        <f>BA306</f>
        <v>0.38333333333333336</v>
      </c>
      <c r="BA306" s="1205">
        <f>BB306/4</f>
        <v>0.38333333333333336</v>
      </c>
      <c r="BB306" s="1206">
        <f>BY249</f>
        <v>1.5333333333333334</v>
      </c>
      <c r="BC306" s="1202">
        <f>BB306/4</f>
        <v>0.38333333333333336</v>
      </c>
      <c r="BD306" s="1204">
        <f>BC306</f>
        <v>0.38333333333333336</v>
      </c>
      <c r="BE306" s="1204">
        <f>BF306</f>
        <v>0.55000000000000004</v>
      </c>
      <c r="BF306" s="1205">
        <f>BG306/4</f>
        <v>0.55000000000000004</v>
      </c>
      <c r="BG306" s="1206">
        <f>BZ249</f>
        <v>2.2000000000000002</v>
      </c>
      <c r="BH306" s="1202">
        <f>BG306/4</f>
        <v>0.55000000000000004</v>
      </c>
      <c r="BI306" s="1204">
        <f>BH306</f>
        <v>0.55000000000000004</v>
      </c>
      <c r="BJ306" s="1204">
        <f>BK306</f>
        <v>0.69444444444444453</v>
      </c>
      <c r="BK306" s="1205">
        <f>BL306/4</f>
        <v>0.69444444444444453</v>
      </c>
      <c r="BL306" s="1206">
        <f>CA249</f>
        <v>2.7777777777777781</v>
      </c>
      <c r="BM306" s="1202">
        <f>BL306/4</f>
        <v>0.69444444444444453</v>
      </c>
      <c r="BN306" s="1204">
        <f>BM306</f>
        <v>0.69444444444444453</v>
      </c>
      <c r="BO306" s="1204">
        <f>BP306</f>
        <v>0.69444444444444453</v>
      </c>
      <c r="BP306" s="1205">
        <f>BQ306/4</f>
        <v>0.69444444444444453</v>
      </c>
      <c r="BQ306" s="1206">
        <f>CF249</f>
        <v>2.7777777777777781</v>
      </c>
      <c r="BR306" s="1468"/>
      <c r="BS306" s="1468"/>
      <c r="BT306" s="1468"/>
      <c r="BU306" s="1468"/>
      <c r="BV306" s="1468"/>
      <c r="BW306" s="1468"/>
      <c r="BX306" s="1468"/>
      <c r="BY306" s="1468"/>
      <c r="BZ306" s="1468"/>
      <c r="CA306" s="1468"/>
      <c r="CB306" s="1468"/>
      <c r="CC306" s="1468"/>
      <c r="CD306" s="1468"/>
      <c r="CE306" s="1468"/>
      <c r="CF306" s="1468"/>
      <c r="CG306" s="1468"/>
      <c r="CH306" s="1468"/>
      <c r="CI306" s="1468"/>
      <c r="CJ306" s="1468"/>
      <c r="CK306" s="1468"/>
      <c r="CL306" s="1468"/>
      <c r="CM306" s="1468"/>
      <c r="CN306" s="1468"/>
      <c r="CO306" s="1468"/>
      <c r="CP306" s="1468"/>
      <c r="CQ306" s="1468"/>
      <c r="CR306" s="1468"/>
      <c r="CS306" s="1468"/>
      <c r="CT306" s="1468"/>
      <c r="CU306" s="1468"/>
      <c r="CV306" s="1468"/>
      <c r="CW306" s="1468"/>
      <c r="CX306" s="1468"/>
      <c r="CY306" s="1468"/>
      <c r="CZ306" s="1468"/>
    </row>
    <row r="307" spans="1:104">
      <c r="A307" s="1468"/>
      <c r="B307" s="1468"/>
      <c r="C307" s="1832" t="s">
        <v>1253</v>
      </c>
      <c r="D307" s="1468"/>
      <c r="E307" s="1469"/>
      <c r="F307" s="1470"/>
      <c r="G307" s="1470"/>
      <c r="H307" s="1471"/>
      <c r="I307" s="1472"/>
      <c r="J307" s="1469"/>
      <c r="K307" s="1470"/>
      <c r="L307" s="1470"/>
      <c r="M307" s="1471"/>
      <c r="N307" s="1472"/>
      <c r="O307" s="1469"/>
      <c r="P307" s="1470"/>
      <c r="Q307" s="1470"/>
      <c r="R307" s="1471"/>
      <c r="S307" s="1472"/>
      <c r="T307" s="1469"/>
      <c r="U307" s="1470"/>
      <c r="V307" s="1470"/>
      <c r="W307" s="1471"/>
      <c r="X307" s="1472"/>
      <c r="Y307" s="1469"/>
      <c r="Z307" s="1470"/>
      <c r="AA307" s="1470"/>
      <c r="AB307" s="1471"/>
      <c r="AC307" s="112">
        <f>SUM(AC305:AC306)</f>
        <v>0</v>
      </c>
      <c r="AD307" s="149">
        <f t="shared" ref="AD307:BL307" si="163">SUM(AD305:AD306)</f>
        <v>0</v>
      </c>
      <c r="AE307" s="150">
        <f t="shared" si="163"/>
        <v>0</v>
      </c>
      <c r="AF307" s="150">
        <f t="shared" si="163"/>
        <v>0</v>
      </c>
      <c r="AG307" s="151">
        <f t="shared" si="163"/>
        <v>0</v>
      </c>
      <c r="AH307" s="112">
        <f t="shared" si="163"/>
        <v>0</v>
      </c>
      <c r="AI307" s="149">
        <f t="shared" si="163"/>
        <v>0</v>
      </c>
      <c r="AJ307" s="150">
        <f t="shared" si="163"/>
        <v>0</v>
      </c>
      <c r="AK307" s="150">
        <f t="shared" si="163"/>
        <v>0</v>
      </c>
      <c r="AL307" s="151">
        <f t="shared" si="163"/>
        <v>0</v>
      </c>
      <c r="AM307" s="112">
        <f t="shared" si="163"/>
        <v>0</v>
      </c>
      <c r="AN307" s="149">
        <f t="shared" si="163"/>
        <v>0</v>
      </c>
      <c r="AO307" s="150">
        <f t="shared" si="163"/>
        <v>0</v>
      </c>
      <c r="AP307" s="150">
        <f t="shared" si="163"/>
        <v>0</v>
      </c>
      <c r="AQ307" s="151">
        <f>SUM(AQ305:AQ306)</f>
        <v>0</v>
      </c>
      <c r="AR307" s="112">
        <f>SUM(AR305:AR306)</f>
        <v>0</v>
      </c>
      <c r="AS307" s="149">
        <f t="shared" si="163"/>
        <v>1.5598666666666663</v>
      </c>
      <c r="AT307" s="150">
        <f t="shared" si="163"/>
        <v>1.5598666666666663</v>
      </c>
      <c r="AU307" s="150">
        <f t="shared" si="163"/>
        <v>1.5598666666666663</v>
      </c>
      <c r="AV307" s="151">
        <f t="shared" si="163"/>
        <v>1.5598666666666663</v>
      </c>
      <c r="AW307" s="112">
        <f t="shared" si="163"/>
        <v>6.2394666666666652</v>
      </c>
      <c r="AX307" s="149">
        <f t="shared" si="163"/>
        <v>1.5598666666666663</v>
      </c>
      <c r="AY307" s="150">
        <f t="shared" si="163"/>
        <v>1.5598666666666663</v>
      </c>
      <c r="AZ307" s="150">
        <f t="shared" si="163"/>
        <v>3.2376333333333331</v>
      </c>
      <c r="BA307" s="151">
        <f t="shared" si="163"/>
        <v>3.2376333333333331</v>
      </c>
      <c r="BB307" s="112">
        <f t="shared" si="163"/>
        <v>12.950533333333333</v>
      </c>
      <c r="BC307" s="149">
        <f t="shared" si="163"/>
        <v>3.2376333333333331</v>
      </c>
      <c r="BD307" s="150">
        <f t="shared" si="163"/>
        <v>3.2376333333333331</v>
      </c>
      <c r="BE307" s="150">
        <f t="shared" si="163"/>
        <v>4.650118</v>
      </c>
      <c r="BF307" s="151">
        <f t="shared" si="163"/>
        <v>4.650118</v>
      </c>
      <c r="BG307" s="112">
        <f t="shared" si="163"/>
        <v>18.600472</v>
      </c>
      <c r="BH307" s="149">
        <f t="shared" si="163"/>
        <v>4.650118</v>
      </c>
      <c r="BI307" s="150">
        <f t="shared" si="163"/>
        <v>4.650118</v>
      </c>
      <c r="BJ307" s="150">
        <f t="shared" si="163"/>
        <v>5.726138804444445</v>
      </c>
      <c r="BK307" s="151">
        <f t="shared" si="163"/>
        <v>5.726138804444445</v>
      </c>
      <c r="BL307" s="112">
        <f t="shared" si="163"/>
        <v>22.90455521777778</v>
      </c>
      <c r="BM307" s="149">
        <f>SUM(BM305:BM306)</f>
        <v>5.726138804444445</v>
      </c>
      <c r="BN307" s="150">
        <f>SUM(BN305:BN306)</f>
        <v>5.726138804444445</v>
      </c>
      <c r="BO307" s="150">
        <f>SUM(BO305:BO306)</f>
        <v>6.620591928604715</v>
      </c>
      <c r="BP307" s="151">
        <f>SUM(BP305:BP306)</f>
        <v>6.620591928604715</v>
      </c>
      <c r="BQ307" s="112">
        <f>SUM(BQ305:BQ306)</f>
        <v>26.48236771441886</v>
      </c>
      <c r="BR307" s="1468"/>
      <c r="BS307" s="1468"/>
      <c r="BT307" s="1468"/>
      <c r="BU307" s="1468"/>
      <c r="BV307" s="1468"/>
      <c r="BW307" s="1468"/>
      <c r="BX307" s="1468"/>
      <c r="BY307" s="1468"/>
      <c r="BZ307" s="1468"/>
      <c r="CA307" s="1468"/>
      <c r="CB307" s="1468"/>
      <c r="CC307" s="1468"/>
      <c r="CD307" s="1468"/>
      <c r="CE307" s="1468"/>
      <c r="CF307" s="1468"/>
      <c r="CG307" s="1468"/>
      <c r="CH307" s="1468"/>
      <c r="CI307" s="1468"/>
      <c r="CJ307" s="1468"/>
      <c r="CK307" s="1468"/>
      <c r="CL307" s="1468"/>
      <c r="CM307" s="1468"/>
      <c r="CN307" s="1468"/>
      <c r="CO307" s="1468"/>
      <c r="CP307" s="1468"/>
      <c r="CQ307" s="1468"/>
      <c r="CR307" s="1468"/>
      <c r="CS307" s="1468"/>
      <c r="CT307" s="1468"/>
      <c r="CU307" s="1468"/>
      <c r="CV307" s="1468"/>
      <c r="CW307" s="1468"/>
      <c r="CX307" s="1468"/>
      <c r="CY307" s="1468"/>
      <c r="CZ307" s="1468"/>
    </row>
    <row r="308" spans="1:104">
      <c r="A308" s="1468"/>
      <c r="B308" s="1468"/>
      <c r="C308" s="1523"/>
      <c r="D308" s="1468"/>
      <c r="E308" s="1469"/>
      <c r="F308" s="1470"/>
      <c r="G308" s="1470"/>
      <c r="H308" s="1471"/>
      <c r="I308" s="1472"/>
      <c r="J308" s="1469"/>
      <c r="K308" s="1470"/>
      <c r="L308" s="1470"/>
      <c r="M308" s="1471"/>
      <c r="N308" s="1472"/>
      <c r="O308" s="1469"/>
      <c r="P308" s="1470"/>
      <c r="Q308" s="1470"/>
      <c r="R308" s="1471"/>
      <c r="S308" s="1472"/>
      <c r="T308" s="1469"/>
      <c r="U308" s="1470"/>
      <c r="V308" s="1470"/>
      <c r="W308" s="1471"/>
      <c r="X308" s="1472"/>
      <c r="Y308" s="1469"/>
      <c r="Z308" s="1470"/>
      <c r="AA308" s="1470"/>
      <c r="AB308" s="1471"/>
      <c r="AC308" s="1378"/>
      <c r="AD308" s="1738"/>
      <c r="AE308" s="1739"/>
      <c r="AF308" s="1739"/>
      <c r="AG308" s="1740"/>
      <c r="AH308" s="1378"/>
      <c r="AI308" s="1738"/>
      <c r="AJ308" s="1739"/>
      <c r="AK308" s="1739"/>
      <c r="AL308" s="1740"/>
      <c r="AM308" s="1378"/>
      <c r="AN308" s="1738"/>
      <c r="AO308" s="1739"/>
      <c r="AP308" s="1739"/>
      <c r="AQ308" s="1740"/>
      <c r="AR308" s="1378"/>
      <c r="AS308" s="1738"/>
      <c r="AT308" s="1739"/>
      <c r="AU308" s="1739"/>
      <c r="AV308" s="1740"/>
      <c r="AW308" s="1378"/>
      <c r="AX308" s="1738"/>
      <c r="AY308" s="1739"/>
      <c r="AZ308" s="1739"/>
      <c r="BA308" s="1740"/>
      <c r="BB308" s="1378"/>
      <c r="BC308" s="1738"/>
      <c r="BD308" s="1739"/>
      <c r="BE308" s="1739"/>
      <c r="BF308" s="1740"/>
      <c r="BG308" s="1378"/>
      <c r="BH308" s="1738"/>
      <c r="BI308" s="1739"/>
      <c r="BJ308" s="1739"/>
      <c r="BK308" s="1740"/>
      <c r="BL308" s="1378"/>
      <c r="BM308" s="1738"/>
      <c r="BN308" s="1739"/>
      <c r="BO308" s="1739"/>
      <c r="BP308" s="1740"/>
      <c r="BQ308" s="1378"/>
      <c r="BR308" s="1468"/>
      <c r="BS308" s="1468"/>
      <c r="BT308" s="1468"/>
      <c r="BU308" s="1468"/>
      <c r="BV308" s="1468"/>
      <c r="BW308" s="1468"/>
      <c r="BX308" s="1468"/>
      <c r="BY308" s="1468"/>
      <c r="BZ308" s="1468"/>
      <c r="CA308" s="1468"/>
      <c r="CB308" s="1468"/>
      <c r="CC308" s="1468"/>
      <c r="CD308" s="1468"/>
      <c r="CE308" s="1468"/>
      <c r="CF308" s="1468"/>
      <c r="CG308" s="1468"/>
      <c r="CH308" s="1468"/>
      <c r="CI308" s="1468"/>
      <c r="CJ308" s="1468"/>
      <c r="CK308" s="1468"/>
      <c r="CL308" s="1468"/>
      <c r="CM308" s="1468"/>
      <c r="CN308" s="1468"/>
      <c r="CO308" s="1468"/>
      <c r="CP308" s="1468"/>
      <c r="CQ308" s="1468"/>
      <c r="CR308" s="1468"/>
      <c r="CS308" s="1468"/>
      <c r="CT308" s="1468"/>
      <c r="CU308" s="1468"/>
      <c r="CV308" s="1468"/>
      <c r="CW308" s="1468"/>
      <c r="CX308" s="1468"/>
      <c r="CY308" s="1468"/>
      <c r="CZ308" s="1468"/>
    </row>
    <row r="309" spans="1:104">
      <c r="A309" s="1468"/>
      <c r="B309" s="1468"/>
      <c r="C309" s="1468"/>
      <c r="D309" s="1468"/>
      <c r="E309" s="1469"/>
      <c r="F309" s="1470"/>
      <c r="G309" s="1470"/>
      <c r="H309" s="1471"/>
      <c r="I309" s="1472"/>
      <c r="J309" s="1469"/>
      <c r="K309" s="1470"/>
      <c r="L309" s="1470"/>
      <c r="M309" s="1471"/>
      <c r="N309" s="1472"/>
      <c r="O309" s="1469"/>
      <c r="P309" s="1470"/>
      <c r="Q309" s="1470"/>
      <c r="R309" s="1471"/>
      <c r="S309" s="1472"/>
      <c r="T309" s="1469"/>
      <c r="U309" s="1470"/>
      <c r="V309" s="1470"/>
      <c r="W309" s="1471"/>
      <c r="X309" s="1472"/>
      <c r="Y309" s="1469"/>
      <c r="Z309" s="1470"/>
      <c r="AA309" s="1470"/>
      <c r="AB309" s="1471"/>
      <c r="AC309" s="1472"/>
      <c r="AD309" s="1469"/>
      <c r="AE309" s="1470"/>
      <c r="AF309" s="1470"/>
      <c r="AG309" s="1471"/>
      <c r="AH309" s="1472"/>
      <c r="AI309" s="1469"/>
      <c r="AJ309" s="1470"/>
      <c r="AK309" s="1470"/>
      <c r="AL309" s="1471"/>
      <c r="AM309" s="1472"/>
      <c r="AN309" s="1469"/>
      <c r="AO309" s="1470"/>
      <c r="AP309" s="1470"/>
      <c r="AQ309" s="1471"/>
      <c r="AR309" s="1472"/>
      <c r="AS309" s="1469"/>
      <c r="AT309" s="1470"/>
      <c r="AU309" s="1470"/>
      <c r="AV309" s="1471"/>
      <c r="AW309" s="1472"/>
      <c r="AX309" s="1469"/>
      <c r="AY309" s="1470"/>
      <c r="AZ309" s="1470"/>
      <c r="BA309" s="1471"/>
      <c r="BB309" s="1472"/>
      <c r="BC309" s="1469"/>
      <c r="BD309" s="1470"/>
      <c r="BE309" s="1470"/>
      <c r="BF309" s="1471"/>
      <c r="BG309" s="1472"/>
      <c r="BH309" s="1469"/>
      <c r="BI309" s="1470"/>
      <c r="BJ309" s="1470"/>
      <c r="BK309" s="1471"/>
      <c r="BL309" s="1472"/>
      <c r="BM309" s="1469"/>
      <c r="BN309" s="1470"/>
      <c r="BO309" s="1470"/>
      <c r="BP309" s="1471"/>
      <c r="BQ309" s="1472"/>
      <c r="BR309" s="1468"/>
      <c r="BS309" s="1468"/>
      <c r="BT309" s="1468"/>
      <c r="BU309" s="1468"/>
      <c r="BV309" s="1468"/>
      <c r="BW309" s="1468"/>
      <c r="BX309" s="1468"/>
      <c r="BY309" s="1468"/>
      <c r="BZ309" s="1468"/>
      <c r="CA309" s="1468"/>
      <c r="CB309" s="1468"/>
      <c r="CC309" s="1468"/>
      <c r="CD309" s="1468"/>
      <c r="CE309" s="1468"/>
      <c r="CF309" s="1468"/>
      <c r="CG309" s="1468"/>
      <c r="CH309" s="1468"/>
      <c r="CI309" s="1468"/>
      <c r="CJ309" s="1468"/>
      <c r="CK309" s="1468"/>
      <c r="CL309" s="1468"/>
      <c r="CM309" s="1468"/>
      <c r="CN309" s="1468"/>
      <c r="CO309" s="1468"/>
      <c r="CP309" s="1468"/>
      <c r="CQ309" s="1468"/>
      <c r="CR309" s="1468"/>
      <c r="CS309" s="1468"/>
      <c r="CT309" s="1468"/>
      <c r="CU309" s="1468"/>
      <c r="CV309" s="1468"/>
      <c r="CW309" s="1468"/>
      <c r="CX309" s="1468"/>
      <c r="CY309" s="1468"/>
      <c r="CZ309" s="1468"/>
    </row>
    <row r="310" spans="1:104">
      <c r="A310" s="1468"/>
      <c r="B310" s="1721" t="s">
        <v>219</v>
      </c>
      <c r="C310" s="1721"/>
      <c r="D310" s="1722"/>
      <c r="E310" s="1469"/>
      <c r="F310" s="1470"/>
      <c r="G310" s="1470"/>
      <c r="H310" s="1471"/>
      <c r="I310" s="1472"/>
      <c r="J310" s="1469"/>
      <c r="K310" s="1470"/>
      <c r="L310" s="1470"/>
      <c r="M310" s="1471"/>
      <c r="N310" s="1472"/>
      <c r="O310" s="1469"/>
      <c r="P310" s="1470"/>
      <c r="Q310" s="1470"/>
      <c r="R310" s="1471"/>
      <c r="S310" s="1472"/>
      <c r="T310" s="1469"/>
      <c r="U310" s="1470"/>
      <c r="V310" s="1470"/>
      <c r="W310" s="1471"/>
      <c r="X310" s="1472"/>
      <c r="Y310" s="1469"/>
      <c r="Z310" s="1470"/>
      <c r="AA310" s="1470"/>
      <c r="AB310" s="1471"/>
      <c r="AC310" s="1472"/>
      <c r="AD310" s="1469"/>
      <c r="AE310" s="1470"/>
      <c r="AF310" s="1470"/>
      <c r="AG310" s="1471"/>
      <c r="AH310" s="1472"/>
      <c r="AI310" s="1469"/>
      <c r="AJ310" s="1470"/>
      <c r="AK310" s="1470"/>
      <c r="AL310" s="1471"/>
      <c r="AM310" s="1472"/>
      <c r="AN310" s="1469"/>
      <c r="AO310" s="1470"/>
      <c r="AP310" s="1470"/>
      <c r="AQ310" s="1471"/>
      <c r="AR310" s="1472"/>
      <c r="AS310" s="1469"/>
      <c r="AT310" s="1470"/>
      <c r="AU310" s="1470"/>
      <c r="AV310" s="1471"/>
      <c r="AW310" s="1472"/>
      <c r="AX310" s="1469"/>
      <c r="AY310" s="1470"/>
      <c r="AZ310" s="1470"/>
      <c r="BA310" s="1471"/>
      <c r="BB310" s="1472"/>
      <c r="BC310" s="1469"/>
      <c r="BD310" s="1470"/>
      <c r="BE310" s="1470"/>
      <c r="BF310" s="1471"/>
      <c r="BG310" s="1472"/>
      <c r="BH310" s="1469"/>
      <c r="BI310" s="1470"/>
      <c r="BJ310" s="1470"/>
      <c r="BK310" s="1471"/>
      <c r="BL310" s="1472"/>
      <c r="BM310" s="1469"/>
      <c r="BN310" s="1470"/>
      <c r="BO310" s="1470"/>
      <c r="BP310" s="1471"/>
      <c r="BQ310" s="1472"/>
      <c r="BR310" s="1468"/>
      <c r="BS310" s="1468"/>
      <c r="BT310" s="1468"/>
      <c r="BU310" s="1468"/>
      <c r="BV310" s="1468"/>
      <c r="BW310" s="1468"/>
      <c r="BX310" s="1468"/>
      <c r="BY310" s="1468"/>
      <c r="BZ310" s="1468"/>
      <c r="CA310" s="1468"/>
      <c r="CB310" s="1468"/>
      <c r="CC310" s="1468"/>
      <c r="CD310" s="1468"/>
      <c r="CE310" s="1468"/>
      <c r="CF310" s="1468"/>
      <c r="CG310" s="1468"/>
      <c r="CH310" s="1468"/>
      <c r="CI310" s="1468"/>
      <c r="CJ310" s="1468"/>
      <c r="CK310" s="1468"/>
      <c r="CL310" s="1468"/>
      <c r="CM310" s="1468"/>
      <c r="CN310" s="1468"/>
      <c r="CO310" s="1468"/>
      <c r="CP310" s="1468"/>
      <c r="CQ310" s="1468"/>
      <c r="CR310" s="1468"/>
      <c r="CS310" s="1468"/>
      <c r="CT310" s="1468"/>
      <c r="CU310" s="1468"/>
      <c r="CV310" s="1468"/>
      <c r="CW310" s="1468"/>
      <c r="CX310" s="1468"/>
      <c r="CY310" s="1468"/>
      <c r="CZ310" s="1468"/>
    </row>
    <row r="311" spans="1:104">
      <c r="A311" s="1468"/>
      <c r="B311" s="1468"/>
      <c r="C311" s="1468"/>
      <c r="D311" s="1468"/>
      <c r="E311" s="1469"/>
      <c r="F311" s="1470"/>
      <c r="G311" s="1470"/>
      <c r="H311" s="1471"/>
      <c r="I311" s="1472"/>
      <c r="J311" s="1469"/>
      <c r="K311" s="1470"/>
      <c r="L311" s="1470"/>
      <c r="M311" s="1471"/>
      <c r="N311" s="1472"/>
      <c r="O311" s="1469"/>
      <c r="P311" s="1470"/>
      <c r="Q311" s="1470"/>
      <c r="R311" s="1471"/>
      <c r="S311" s="1472"/>
      <c r="T311" s="1469"/>
      <c r="U311" s="1470"/>
      <c r="V311" s="1470"/>
      <c r="W311" s="1471"/>
      <c r="X311" s="1472"/>
      <c r="Y311" s="1469"/>
      <c r="Z311" s="1470"/>
      <c r="AA311" s="1470"/>
      <c r="AB311" s="1471"/>
      <c r="AC311" s="1472"/>
      <c r="AD311" s="1469"/>
      <c r="AE311" s="1470"/>
      <c r="AF311" s="1470"/>
      <c r="AG311" s="1471"/>
      <c r="AH311" s="1472"/>
      <c r="AI311" s="1469"/>
      <c r="AJ311" s="1470"/>
      <c r="AK311" s="1470"/>
      <c r="AL311" s="1471"/>
      <c r="AM311" s="1472"/>
      <c r="AN311" s="1469"/>
      <c r="AO311" s="1470"/>
      <c r="AP311" s="1470"/>
      <c r="AQ311" s="1471"/>
      <c r="AR311" s="1472"/>
      <c r="AS311" s="1469"/>
      <c r="AT311" s="1470"/>
      <c r="AU311" s="1470"/>
      <c r="AV311" s="1471"/>
      <c r="AW311" s="1472"/>
      <c r="AX311" s="1469"/>
      <c r="AY311" s="1470"/>
      <c r="AZ311" s="1470"/>
      <c r="BA311" s="1471"/>
      <c r="BB311" s="1472"/>
      <c r="BC311" s="1469"/>
      <c r="BD311" s="1470"/>
      <c r="BE311" s="1470"/>
      <c r="BF311" s="1471"/>
      <c r="BG311" s="1472"/>
      <c r="BH311" s="1469"/>
      <c r="BI311" s="1470"/>
      <c r="BJ311" s="1470"/>
      <c r="BK311" s="1471"/>
      <c r="BL311" s="1472"/>
      <c r="BM311" s="1469"/>
      <c r="BN311" s="1470"/>
      <c r="BO311" s="1470"/>
      <c r="BP311" s="1471"/>
      <c r="BQ311" s="1472"/>
      <c r="BR311" s="1468"/>
      <c r="BS311" s="1468"/>
      <c r="BT311" s="1468"/>
      <c r="BU311" s="1468"/>
      <c r="BV311" s="1468"/>
      <c r="BW311" s="1468"/>
      <c r="BX311" s="1468"/>
      <c r="BY311" s="1468"/>
      <c r="BZ311" s="1468"/>
      <c r="CA311" s="1468"/>
      <c r="CB311" s="1468"/>
      <c r="CC311" s="1468"/>
      <c r="CD311" s="1468"/>
      <c r="CE311" s="1468"/>
      <c r="CF311" s="1468"/>
      <c r="CG311" s="1468"/>
      <c r="CH311" s="1468"/>
      <c r="CI311" s="1468"/>
      <c r="CJ311" s="1468"/>
      <c r="CK311" s="1468"/>
      <c r="CL311" s="1468"/>
      <c r="CM311" s="1468"/>
      <c r="CN311" s="1468"/>
      <c r="CO311" s="1468"/>
      <c r="CP311" s="1468"/>
      <c r="CQ311" s="1468"/>
      <c r="CR311" s="1468"/>
      <c r="CS311" s="1468"/>
      <c r="CT311" s="1468"/>
      <c r="CU311" s="1468"/>
      <c r="CV311" s="1468"/>
      <c r="CW311" s="1468"/>
      <c r="CX311" s="1468"/>
      <c r="CY311" s="1468"/>
      <c r="CZ311" s="1468"/>
    </row>
    <row r="312" spans="1:104">
      <c r="A312" s="1519"/>
      <c r="B312" s="1519"/>
      <c r="C312" s="1728" t="s">
        <v>110</v>
      </c>
      <c r="D312" s="1382"/>
      <c r="E312" s="1553"/>
      <c r="F312" s="1741"/>
      <c r="G312" s="1741"/>
      <c r="H312" s="1555"/>
      <c r="I312" s="1742"/>
      <c r="J312" s="1553"/>
      <c r="K312" s="1741"/>
      <c r="L312" s="1741"/>
      <c r="M312" s="1555"/>
      <c r="N312" s="1742"/>
      <c r="O312" s="1553"/>
      <c r="P312" s="1741"/>
      <c r="Q312" s="1741"/>
      <c r="R312" s="1555"/>
      <c r="S312" s="1425"/>
      <c r="T312" s="1553"/>
      <c r="U312" s="1741"/>
      <c r="V312" s="1741"/>
      <c r="W312" s="1555"/>
      <c r="X312" s="1742">
        <v>5064</v>
      </c>
      <c r="Y312" s="1553"/>
      <c r="Z312" s="1741"/>
      <c r="AA312" s="1741"/>
      <c r="AB312" s="1518">
        <f>AC312</f>
        <v>4868</v>
      </c>
      <c r="AC312" s="1742">
        <v>4868</v>
      </c>
      <c r="AD312" s="1553"/>
      <c r="AE312" s="1741"/>
      <c r="AF312" s="1741"/>
      <c r="AG312" s="1518">
        <f>AH312</f>
        <v>4791</v>
      </c>
      <c r="AH312" s="1742">
        <v>4791</v>
      </c>
      <c r="AI312" s="1553">
        <v>4105</v>
      </c>
      <c r="AJ312" s="1741">
        <v>4112</v>
      </c>
      <c r="AK312" s="1741">
        <v>4084</v>
      </c>
      <c r="AL312" s="1518">
        <f>AM312</f>
        <v>4094.3</v>
      </c>
      <c r="AM312" s="1742">
        <v>4094.3</v>
      </c>
      <c r="AN312" s="1553">
        <v>4105</v>
      </c>
      <c r="AO312" s="1741">
        <v>4102</v>
      </c>
      <c r="AP312" s="1741">
        <f>190.1+1915.3</f>
        <v>2105.4</v>
      </c>
      <c r="AQ312" s="1518">
        <f>AR312</f>
        <v>2273.6999999999998</v>
      </c>
      <c r="AR312" s="1742">
        <f>322.5+1951.2</f>
        <v>2273.6999999999998</v>
      </c>
      <c r="AS312" s="1553">
        <f>9.7+343.3</f>
        <v>353</v>
      </c>
      <c r="AT312" s="1741">
        <v>373.3</v>
      </c>
      <c r="AU312" s="1741">
        <v>471.2</v>
      </c>
      <c r="AV312" s="1518">
        <f>AW312</f>
        <v>569.6</v>
      </c>
      <c r="AW312" s="1742">
        <v>569.6</v>
      </c>
      <c r="AX312" s="1548">
        <f t="shared" ref="AX312:BQ312" si="164">SUM(AX313:AX313)</f>
        <v>672.86233333333337</v>
      </c>
      <c r="AY312" s="1557">
        <f t="shared" si="164"/>
        <v>775.09204333333344</v>
      </c>
      <c r="AZ312" s="1557">
        <f t="shared" si="164"/>
        <v>876.29945623333344</v>
      </c>
      <c r="BA312" s="1518">
        <f t="shared" si="164"/>
        <v>976.49479500433347</v>
      </c>
      <c r="BB312" s="1425">
        <f t="shared" si="164"/>
        <v>976.49479500433347</v>
      </c>
      <c r="BC312" s="1548">
        <f t="shared" si="164"/>
        <v>1069.4395127286471</v>
      </c>
      <c r="BD312" s="1557">
        <f t="shared" si="164"/>
        <v>1161.5143988342804</v>
      </c>
      <c r="BE312" s="1557">
        <f t="shared" si="164"/>
        <v>1252.7275937197778</v>
      </c>
      <c r="BF312" s="1518">
        <f t="shared" si="164"/>
        <v>1343.0871616010211</v>
      </c>
      <c r="BG312" s="1425">
        <f t="shared" si="164"/>
        <v>1343.0871616010211</v>
      </c>
      <c r="BH312" s="1548">
        <f t="shared" si="164"/>
        <v>1432.6010912241925</v>
      </c>
      <c r="BI312" s="1557">
        <f t="shared" si="164"/>
        <v>1521.277296572064</v>
      </c>
      <c r="BJ312" s="1557">
        <f t="shared" si="164"/>
        <v>1609.1236175636782</v>
      </c>
      <c r="BK312" s="1518">
        <f t="shared" si="164"/>
        <v>1696.1478207474804</v>
      </c>
      <c r="BL312" s="1425">
        <f t="shared" si="164"/>
        <v>1696.1478207474804</v>
      </c>
      <c r="BM312" s="1548">
        <f t="shared" si="164"/>
        <v>1699.0242666546303</v>
      </c>
      <c r="BN312" s="1557">
        <f t="shared" si="164"/>
        <v>1701.8737930803859</v>
      </c>
      <c r="BO312" s="1557">
        <f t="shared" si="164"/>
        <v>1704.6966519531695</v>
      </c>
      <c r="BP312" s="1518">
        <f t="shared" si="164"/>
        <v>1707.4930928437079</v>
      </c>
      <c r="BQ312" s="1425">
        <f t="shared" si="164"/>
        <v>1707.4930928437079</v>
      </c>
      <c r="BR312" s="1519"/>
      <c r="BS312" s="1519"/>
      <c r="BT312" s="1519"/>
      <c r="BU312" s="1519"/>
      <c r="BV312" s="1519"/>
      <c r="BW312" s="1519"/>
      <c r="BX312" s="1519"/>
      <c r="BY312" s="1519"/>
      <c r="BZ312" s="1519"/>
      <c r="CA312" s="1519"/>
      <c r="CB312" s="1519"/>
      <c r="CC312" s="1519"/>
      <c r="CD312" s="1519"/>
      <c r="CE312" s="1519"/>
      <c r="CF312" s="1519"/>
      <c r="CG312" s="1519"/>
      <c r="CH312" s="1519"/>
      <c r="CI312" s="1519"/>
      <c r="CJ312" s="1519"/>
      <c r="CK312" s="1519"/>
      <c r="CL312" s="1519"/>
      <c r="CM312" s="1519"/>
      <c r="CN312" s="1519"/>
      <c r="CO312" s="1519"/>
      <c r="CP312" s="1519"/>
      <c r="CQ312" s="1519"/>
      <c r="CR312" s="1519"/>
      <c r="CS312" s="1519"/>
      <c r="CT312" s="1519"/>
      <c r="CU312" s="1519"/>
      <c r="CV312" s="1519"/>
      <c r="CW312" s="1519"/>
      <c r="CX312" s="1519"/>
      <c r="CY312" s="1519"/>
      <c r="CZ312" s="1519"/>
    </row>
    <row r="313" spans="1:104" s="1468" customFormat="1">
      <c r="A313" s="1519"/>
      <c r="B313" s="1519"/>
      <c r="C313" s="1523" t="s">
        <v>110</v>
      </c>
      <c r="D313" s="1382"/>
      <c r="E313" s="1485"/>
      <c r="F313" s="1486"/>
      <c r="G313" s="1486"/>
      <c r="H313" s="1487"/>
      <c r="I313" s="1382"/>
      <c r="J313" s="1485"/>
      <c r="K313" s="1486"/>
      <c r="L313" s="1486"/>
      <c r="M313" s="1487"/>
      <c r="N313" s="1382"/>
      <c r="O313" s="1485"/>
      <c r="P313" s="1486"/>
      <c r="Q313" s="1486"/>
      <c r="R313" s="1487"/>
      <c r="S313" s="1382"/>
      <c r="T313" s="1485"/>
      <c r="U313" s="1486"/>
      <c r="V313" s="1486"/>
      <c r="W313" s="1487"/>
      <c r="X313" s="1382">
        <f t="shared" ref="X313:AJ313" si="165">X312</f>
        <v>5064</v>
      </c>
      <c r="Y313" s="1485">
        <f t="shared" si="165"/>
        <v>0</v>
      </c>
      <c r="Z313" s="1488">
        <f t="shared" si="165"/>
        <v>0</v>
      </c>
      <c r="AA313" s="1488">
        <f t="shared" si="165"/>
        <v>0</v>
      </c>
      <c r="AB313" s="1487">
        <f t="shared" si="165"/>
        <v>4868</v>
      </c>
      <c r="AC313" s="1382">
        <f t="shared" si="165"/>
        <v>4868</v>
      </c>
      <c r="AD313" s="1485">
        <f t="shared" si="165"/>
        <v>0</v>
      </c>
      <c r="AE313" s="1488">
        <f t="shared" si="165"/>
        <v>0</v>
      </c>
      <c r="AF313" s="1488">
        <f t="shared" si="165"/>
        <v>0</v>
      </c>
      <c r="AG313" s="1487">
        <f t="shared" si="165"/>
        <v>4791</v>
      </c>
      <c r="AH313" s="1382">
        <f t="shared" si="165"/>
        <v>4791</v>
      </c>
      <c r="AI313" s="1485">
        <f>AI312</f>
        <v>4105</v>
      </c>
      <c r="AJ313" s="1488">
        <f t="shared" si="165"/>
        <v>4112</v>
      </c>
      <c r="AK313" s="1488">
        <f>AK312</f>
        <v>4084</v>
      </c>
      <c r="AL313" s="1487">
        <f>AL312</f>
        <v>4094.3</v>
      </c>
      <c r="AM313" s="1382">
        <f>+AL313</f>
        <v>4094.3</v>
      </c>
      <c r="AN313" s="1485">
        <f>AN312</f>
        <v>4105</v>
      </c>
      <c r="AO313" s="1488">
        <f>AO312</f>
        <v>4102</v>
      </c>
      <c r="AP313" s="1488">
        <f>AP312</f>
        <v>2105.4</v>
      </c>
      <c r="AQ313" s="1487">
        <f>AQ312</f>
        <v>2273.6999999999998</v>
      </c>
      <c r="AR313" s="1382">
        <f>+AQ313</f>
        <v>2273.6999999999998</v>
      </c>
      <c r="AS313" s="1485">
        <f>AS312</f>
        <v>353</v>
      </c>
      <c r="AT313" s="1488">
        <f>AT312</f>
        <v>373.3</v>
      </c>
      <c r="AU313" s="1488">
        <f>AU312</f>
        <v>471.2</v>
      </c>
      <c r="AV313" s="1487">
        <f>AV312</f>
        <v>569.6</v>
      </c>
      <c r="AW313" s="1382">
        <f>+AV313</f>
        <v>569.6</v>
      </c>
      <c r="AX313" s="1485">
        <f>AW313+AX320+AX321+AX322-AX316</f>
        <v>672.86233333333337</v>
      </c>
      <c r="AY313" s="1488">
        <f>AX313+AY320+AY321+AY322-AY316</f>
        <v>775.09204333333344</v>
      </c>
      <c r="AZ313" s="1488">
        <f>AY313+AZ320+AZ321+AZ322-AZ316</f>
        <v>876.29945623333344</v>
      </c>
      <c r="BA313" s="1487">
        <f>AZ313+BA320+BA321+BA322-BA316</f>
        <v>976.49479500433347</v>
      </c>
      <c r="BB313" s="1382">
        <f>+BA313</f>
        <v>976.49479500433347</v>
      </c>
      <c r="BC313" s="1485">
        <f>BB313+BC320+BC321+BC322-BC316</f>
        <v>1069.4395127286471</v>
      </c>
      <c r="BD313" s="1488">
        <f>BC313+BD320+BD321+BD322-BD316</f>
        <v>1161.5143988342804</v>
      </c>
      <c r="BE313" s="1488">
        <f>BD313+BE320+BE321+BE322-BE316</f>
        <v>1252.7275937197778</v>
      </c>
      <c r="BF313" s="1487">
        <f>BE313+BF320+BF321+BF322-BF316</f>
        <v>1343.0871616010211</v>
      </c>
      <c r="BG313" s="1382">
        <f>+BF313</f>
        <v>1343.0871616010211</v>
      </c>
      <c r="BH313" s="1485">
        <f>BG313+BH320+BH321+BH322-BH316</f>
        <v>1432.6010912241925</v>
      </c>
      <c r="BI313" s="1488">
        <f>BH313+BI320+BI321+BI322-BI316</f>
        <v>1521.277296572064</v>
      </c>
      <c r="BJ313" s="1488">
        <f>BI313+BJ320+BJ321+BJ322-BJ316</f>
        <v>1609.1236175636782</v>
      </c>
      <c r="BK313" s="1487">
        <f>BJ313+BK320+BK321+BK322-BK316</f>
        <v>1696.1478207474804</v>
      </c>
      <c r="BL313" s="1382">
        <f>+BK313</f>
        <v>1696.1478207474804</v>
      </c>
      <c r="BM313" s="1485">
        <f>BL313+BM320+BM321+BM322-BM316</f>
        <v>1699.0242666546303</v>
      </c>
      <c r="BN313" s="1488">
        <f>BM313+BN320+BN321+BN322-BN316</f>
        <v>1701.8737930803859</v>
      </c>
      <c r="BO313" s="1488">
        <f>BN313+BO320+BO321+BO322-BO316</f>
        <v>1704.6966519531695</v>
      </c>
      <c r="BP313" s="1487">
        <f>BO313+BP320+BP321+BP322-BP316</f>
        <v>1707.4930928437079</v>
      </c>
      <c r="BQ313" s="1382">
        <f>+BP313</f>
        <v>1707.4930928437079</v>
      </c>
      <c r="BR313" s="1519"/>
      <c r="BS313" s="1519"/>
      <c r="BT313" s="1519"/>
      <c r="BU313" s="1519"/>
      <c r="BV313" s="1519"/>
      <c r="BW313" s="1519"/>
      <c r="BX313" s="1519"/>
      <c r="BY313" s="1519"/>
      <c r="BZ313" s="1519"/>
      <c r="CA313" s="1519"/>
      <c r="CB313" s="1519"/>
      <c r="CC313" s="1519"/>
      <c r="CD313" s="1519"/>
      <c r="CE313" s="1519"/>
      <c r="CF313" s="1519"/>
      <c r="CG313" s="1519"/>
      <c r="CH313" s="1519"/>
      <c r="CI313" s="1519"/>
      <c r="CJ313" s="1519"/>
      <c r="CK313" s="1519"/>
      <c r="CL313" s="1519"/>
      <c r="CM313" s="1519"/>
      <c r="CN313" s="1519"/>
      <c r="CO313" s="1519"/>
      <c r="CP313" s="1519"/>
      <c r="CQ313" s="1519"/>
      <c r="CR313" s="1519"/>
      <c r="CS313" s="1519"/>
      <c r="CT313" s="1519"/>
      <c r="CU313" s="1519"/>
      <c r="CV313" s="1519"/>
      <c r="CW313" s="1519"/>
      <c r="CX313" s="1519"/>
      <c r="CY313" s="1519"/>
      <c r="CZ313" s="1519"/>
    </row>
    <row r="314" spans="1:104">
      <c r="A314" s="1519"/>
      <c r="B314" s="1519"/>
      <c r="C314" s="1523"/>
      <c r="D314" s="1382"/>
      <c r="E314" s="1743"/>
      <c r="F314" s="1744"/>
      <c r="G314" s="1744"/>
      <c r="H314" s="1745"/>
      <c r="I314" s="1746"/>
      <c r="J314" s="1743"/>
      <c r="K314" s="1744"/>
      <c r="L314" s="1744"/>
      <c r="M314" s="1745"/>
      <c r="N314" s="1746"/>
      <c r="O314" s="1743"/>
      <c r="P314" s="1744"/>
      <c r="Q314" s="1744"/>
      <c r="R314" s="1487"/>
      <c r="S314" s="1382"/>
      <c r="T314" s="1743"/>
      <c r="U314" s="1744"/>
      <c r="V314" s="1744"/>
      <c r="W314" s="1487"/>
      <c r="X314" s="1382"/>
      <c r="Y314" s="1743"/>
      <c r="Z314" s="1488"/>
      <c r="AA314" s="1488"/>
      <c r="AB314" s="1487"/>
      <c r="AC314" s="1382"/>
      <c r="AD314" s="1743"/>
      <c r="AE314" s="1488"/>
      <c r="AF314" s="1488"/>
      <c r="AG314" s="1487"/>
      <c r="AH314" s="1382"/>
      <c r="AI314" s="1743"/>
      <c r="AJ314" s="1488"/>
      <c r="AK314" s="1488"/>
      <c r="AL314" s="1487"/>
      <c r="AM314" s="1382"/>
      <c r="AN314" s="1743"/>
      <c r="AO314" s="1488"/>
      <c r="AP314" s="1488"/>
      <c r="AQ314" s="1487"/>
      <c r="AR314" s="1382"/>
      <c r="AS314" s="1743"/>
      <c r="AT314" s="1488"/>
      <c r="AU314" s="1488"/>
      <c r="AV314" s="1487"/>
      <c r="AW314" s="1382"/>
      <c r="AX314" s="1485"/>
      <c r="AY314" s="1488"/>
      <c r="AZ314" s="1488"/>
      <c r="BA314" s="1487"/>
      <c r="BB314" s="1382"/>
      <c r="BC314" s="1485"/>
      <c r="BD314" s="1488"/>
      <c r="BE314" s="1488"/>
      <c r="BF314" s="1487"/>
      <c r="BG314" s="1382"/>
      <c r="BH314" s="1485"/>
      <c r="BI314" s="1488"/>
      <c r="BJ314" s="1488"/>
      <c r="BK314" s="1487"/>
      <c r="BL314" s="1382"/>
      <c r="BM314" s="1485"/>
      <c r="BN314" s="1488"/>
      <c r="BO314" s="1488"/>
      <c r="BP314" s="1487"/>
      <c r="BQ314" s="1382"/>
      <c r="BR314" s="1519"/>
      <c r="BS314" s="1519"/>
      <c r="BT314" s="1519"/>
      <c r="BU314" s="1519"/>
      <c r="BV314" s="1519"/>
      <c r="BW314" s="1519"/>
      <c r="BX314" s="1519"/>
      <c r="BY314" s="1519"/>
      <c r="BZ314" s="1519"/>
      <c r="CA314" s="1519"/>
      <c r="CB314" s="1519"/>
      <c r="CC314" s="1519"/>
      <c r="CD314" s="1519"/>
      <c r="CE314" s="1519"/>
      <c r="CF314" s="1519"/>
      <c r="CG314" s="1519"/>
      <c r="CH314" s="1519"/>
      <c r="CI314" s="1519"/>
      <c r="CJ314" s="1519"/>
      <c r="CK314" s="1519"/>
      <c r="CL314" s="1519"/>
      <c r="CM314" s="1519"/>
      <c r="CN314" s="1519"/>
      <c r="CO314" s="1519"/>
      <c r="CP314" s="1519"/>
      <c r="CQ314" s="1519"/>
      <c r="CR314" s="1519"/>
      <c r="CS314" s="1519"/>
      <c r="CT314" s="1519"/>
      <c r="CU314" s="1519"/>
      <c r="CV314" s="1519"/>
      <c r="CW314" s="1519"/>
      <c r="CX314" s="1519"/>
      <c r="CY314" s="1519"/>
      <c r="CZ314" s="1519"/>
    </row>
    <row r="315" spans="1:104">
      <c r="A315" s="1727"/>
      <c r="B315" s="1727"/>
      <c r="C315" s="1728" t="s">
        <v>79</v>
      </c>
      <c r="D315" s="1425"/>
      <c r="E315" s="1548"/>
      <c r="F315" s="1549"/>
      <c r="G315" s="1549"/>
      <c r="H315" s="1518"/>
      <c r="I315" s="1425"/>
      <c r="J315" s="1548"/>
      <c r="K315" s="1549"/>
      <c r="L315" s="1549"/>
      <c r="M315" s="1518"/>
      <c r="N315" s="1425"/>
      <c r="O315" s="1548"/>
      <c r="P315" s="1549"/>
      <c r="Q315" s="1549"/>
      <c r="R315" s="1518"/>
      <c r="S315" s="1425"/>
      <c r="T315" s="1548"/>
      <c r="U315" s="1549"/>
      <c r="V315" s="1549"/>
      <c r="W315" s="1518"/>
      <c r="X315" s="1425">
        <f t="shared" ref="X315:AJ315" si="166">X341</f>
        <v>349</v>
      </c>
      <c r="Y315" s="1548">
        <f t="shared" si="166"/>
        <v>62</v>
      </c>
      <c r="Z315" s="1549">
        <f t="shared" si="166"/>
        <v>61</v>
      </c>
      <c r="AA315" s="1549">
        <f t="shared" si="166"/>
        <v>57</v>
      </c>
      <c r="AB315" s="1518">
        <f t="shared" si="166"/>
        <v>56</v>
      </c>
      <c r="AC315" s="1425">
        <f t="shared" si="166"/>
        <v>236</v>
      </c>
      <c r="AD315" s="1548">
        <f t="shared" si="166"/>
        <v>57</v>
      </c>
      <c r="AE315" s="1549">
        <f t="shared" si="166"/>
        <v>56</v>
      </c>
      <c r="AF315" s="1549">
        <f t="shared" si="166"/>
        <v>56</v>
      </c>
      <c r="AG315" s="1518">
        <f t="shared" si="166"/>
        <v>58</v>
      </c>
      <c r="AH315" s="1425">
        <f t="shared" si="166"/>
        <v>227</v>
      </c>
      <c r="AI315" s="1548">
        <f>AI341</f>
        <v>50</v>
      </c>
      <c r="AJ315" s="1549">
        <f t="shared" si="166"/>
        <v>51</v>
      </c>
      <c r="AK315" s="1549">
        <f>AK341</f>
        <v>51</v>
      </c>
      <c r="AL315" s="1518">
        <f>AL341</f>
        <v>49.400000000000006</v>
      </c>
      <c r="AM315" s="1425">
        <f>SUM(AI315:AL315)</f>
        <v>201.4</v>
      </c>
      <c r="AN315" s="1548">
        <f>AN341</f>
        <v>48.7</v>
      </c>
      <c r="AO315" s="1549">
        <f>AO341</f>
        <v>50.6</v>
      </c>
      <c r="AP315" s="1549">
        <f>AP341</f>
        <v>50.5</v>
      </c>
      <c r="AQ315" s="1518">
        <f>AQ341</f>
        <v>4.7999999999999829</v>
      </c>
      <c r="AR315" s="1425">
        <f>SUM(AN315:AQ315)</f>
        <v>154.6</v>
      </c>
      <c r="AS315" s="1548">
        <f>AS341</f>
        <v>5.7</v>
      </c>
      <c r="AT315" s="1549">
        <f>AT341</f>
        <v>5.6</v>
      </c>
      <c r="AU315" s="1549">
        <f>AU341</f>
        <v>6.2</v>
      </c>
      <c r="AV315" s="1518">
        <f>AV341</f>
        <v>6.6999999999999993</v>
      </c>
      <c r="AW315" s="1425">
        <f>SUM(AS315:AV315)</f>
        <v>24.2</v>
      </c>
      <c r="AX315" s="1548">
        <f>SUM(AX316:AX316)</f>
        <v>5.6960000000000006</v>
      </c>
      <c r="AY315" s="1549">
        <f>SUM(AY316:AY316)</f>
        <v>6.7286233333333341</v>
      </c>
      <c r="AZ315" s="1549">
        <f>SUM(AZ316:AZ316)</f>
        <v>7.7509204333333344</v>
      </c>
      <c r="BA315" s="1518">
        <f>SUM(BA316:BA316)</f>
        <v>8.7629945623333345</v>
      </c>
      <c r="BB315" s="1425">
        <f>SUM(AX315:BA315)</f>
        <v>28.938538329000004</v>
      </c>
      <c r="BC315" s="1548">
        <f>SUM(BC316:BC316)</f>
        <v>9.1386156090198547</v>
      </c>
      <c r="BD315" s="1549">
        <f>SUM(BD316:BD316)</f>
        <v>10.0084472277</v>
      </c>
      <c r="BE315" s="1549">
        <f>SUM(BE316:BE316)</f>
        <v>10.870138447835927</v>
      </c>
      <c r="BF315" s="1518">
        <f>SUM(BF316:BF316)</f>
        <v>11.72376545208993</v>
      </c>
      <c r="BG315" s="1425">
        <f>SUM(BC315:BF315)</f>
        <v>41.74096673664571</v>
      </c>
      <c r="BH315" s="1548">
        <f>SUM(BH316:BH316)</f>
        <v>12.569403710161909</v>
      </c>
      <c r="BI315" s="1549">
        <f>SUM(BI316:BI316)</f>
        <v>13.407127985461695</v>
      </c>
      <c r="BJ315" s="1549">
        <f>SUM(BJ316:BJ316)</f>
        <v>14.237012341718927</v>
      </c>
      <c r="BK315" s="1518">
        <f>SUM(BK316:BK316)</f>
        <v>15.059130149531073</v>
      </c>
      <c r="BL315" s="1425">
        <f>SUM(BH315:BK315)</f>
        <v>55.272674186873601</v>
      </c>
      <c r="BM315" s="1548">
        <f>SUM(BM316:BM316)</f>
        <v>15.873554092850179</v>
      </c>
      <c r="BN315" s="1549">
        <f>SUM(BN316:BN316)</f>
        <v>15.900473574244305</v>
      </c>
      <c r="BO315" s="1549">
        <f>SUM(BO316:BO316)</f>
        <v>15.927141127216371</v>
      </c>
      <c r="BP315" s="1518">
        <f>SUM(BP316:BP316)</f>
        <v>15.953559109461496</v>
      </c>
      <c r="BQ315" s="1425">
        <f>SUM(BM315:BP315)</f>
        <v>63.654727903772354</v>
      </c>
      <c r="BR315" s="1727"/>
      <c r="BS315" s="1727"/>
      <c r="BT315" s="1727"/>
      <c r="BU315" s="1727"/>
      <c r="BV315" s="1727"/>
      <c r="BW315" s="1727"/>
      <c r="BX315" s="1727"/>
      <c r="BY315" s="1727"/>
      <c r="BZ315" s="1727"/>
      <c r="CA315" s="1727"/>
      <c r="CB315" s="1727"/>
      <c r="CC315" s="1727"/>
      <c r="CD315" s="1727"/>
      <c r="CE315" s="1727"/>
      <c r="CF315" s="1727"/>
      <c r="CG315" s="1727"/>
      <c r="CH315" s="1727"/>
      <c r="CI315" s="1727"/>
      <c r="CJ315" s="1727"/>
      <c r="CK315" s="1727"/>
      <c r="CL315" s="1727"/>
      <c r="CM315" s="1727"/>
      <c r="CN315" s="1727"/>
      <c r="CO315" s="1727"/>
      <c r="CP315" s="1727"/>
      <c r="CQ315" s="1727"/>
      <c r="CR315" s="1727"/>
      <c r="CS315" s="1727"/>
      <c r="CT315" s="1727"/>
      <c r="CU315" s="1727"/>
      <c r="CV315" s="1727"/>
      <c r="CW315" s="1727"/>
      <c r="CX315" s="1727"/>
      <c r="CY315" s="1727"/>
      <c r="CZ315" s="1727"/>
    </row>
    <row r="316" spans="1:104" s="1468" customFormat="1">
      <c r="A316" s="1519"/>
      <c r="B316" s="1519"/>
      <c r="C316" s="1523" t="s">
        <v>1181</v>
      </c>
      <c r="D316" s="1382"/>
      <c r="E316" s="1485"/>
      <c r="F316" s="1486"/>
      <c r="G316" s="1486"/>
      <c r="H316" s="1487"/>
      <c r="I316" s="1382"/>
      <c r="J316" s="1485"/>
      <c r="K316" s="1486"/>
      <c r="L316" s="1486"/>
      <c r="M316" s="1487"/>
      <c r="N316" s="1382"/>
      <c r="O316" s="1485"/>
      <c r="P316" s="1486"/>
      <c r="Q316" s="1486"/>
      <c r="R316" s="1487"/>
      <c r="S316" s="1382"/>
      <c r="T316" s="1485"/>
      <c r="U316" s="1486"/>
      <c r="V316" s="1486"/>
      <c r="W316" s="1487"/>
      <c r="X316" s="1382">
        <f>X315</f>
        <v>349</v>
      </c>
      <c r="Y316" s="1485">
        <f>Y315</f>
        <v>62</v>
      </c>
      <c r="Z316" s="1488">
        <f>Z315</f>
        <v>61</v>
      </c>
      <c r="AA316" s="1488">
        <f>AA315</f>
        <v>57</v>
      </c>
      <c r="AB316" s="1487">
        <f>AB315</f>
        <v>56</v>
      </c>
      <c r="AC316" s="1382">
        <f>SUM(Y316:AB316)</f>
        <v>236</v>
      </c>
      <c r="AD316" s="1485">
        <f>AD315</f>
        <v>57</v>
      </c>
      <c r="AE316" s="1488">
        <f>AE315</f>
        <v>56</v>
      </c>
      <c r="AF316" s="1488">
        <f>AF315</f>
        <v>56</v>
      </c>
      <c r="AG316" s="1487">
        <f>AG315</f>
        <v>58</v>
      </c>
      <c r="AH316" s="1382">
        <f>SUM(AD316:AG316)</f>
        <v>227</v>
      </c>
      <c r="AI316" s="1485">
        <f>AI315</f>
        <v>50</v>
      </c>
      <c r="AJ316" s="1488">
        <f>AJ315</f>
        <v>51</v>
      </c>
      <c r="AK316" s="1488">
        <f>AK315</f>
        <v>51</v>
      </c>
      <c r="AL316" s="1487">
        <f>AL315</f>
        <v>49.400000000000006</v>
      </c>
      <c r="AM316" s="1382">
        <f>SUM(AI316:AL316)</f>
        <v>201.4</v>
      </c>
      <c r="AN316" s="1485">
        <f>AN315</f>
        <v>48.7</v>
      </c>
      <c r="AO316" s="1488">
        <f>AO315</f>
        <v>50.6</v>
      </c>
      <c r="AP316" s="1488">
        <f>AP315</f>
        <v>50.5</v>
      </c>
      <c r="AQ316" s="1487">
        <f>AQ315</f>
        <v>4.7999999999999829</v>
      </c>
      <c r="AR316" s="1382">
        <f>SUM(AN316:AQ316)</f>
        <v>154.6</v>
      </c>
      <c r="AS316" s="1485">
        <f>AS315</f>
        <v>5.7</v>
      </c>
      <c r="AT316" s="1488">
        <f>AT315</f>
        <v>5.6</v>
      </c>
      <c r="AU316" s="1488">
        <f>AU315</f>
        <v>6.2</v>
      </c>
      <c r="AV316" s="1487">
        <f>AV315</f>
        <v>6.6999999999999993</v>
      </c>
      <c r="AW316" s="1382">
        <f>SUM(AS316:AV316)</f>
        <v>24.2</v>
      </c>
      <c r="AX316" s="1485">
        <f>+AX318*AVERAGE(AW313)/4</f>
        <v>5.6960000000000006</v>
      </c>
      <c r="AY316" s="1488">
        <f>+AY318*AVERAGE(AX313)/4</f>
        <v>6.7286233333333341</v>
      </c>
      <c r="AZ316" s="1488">
        <f>+AZ318*AVERAGE(AY313)/4</f>
        <v>7.7509204333333344</v>
      </c>
      <c r="BA316" s="1487">
        <f>+BA318*AVERAGE(AZ313)/4</f>
        <v>8.7629945623333345</v>
      </c>
      <c r="BB316" s="1382">
        <f>SUM(AX316:BA316)</f>
        <v>28.938538329000004</v>
      </c>
      <c r="BC316" s="1485">
        <f>+BC318*AVERAGE(BB313)/4</f>
        <v>9.1386156090198547</v>
      </c>
      <c r="BD316" s="1488">
        <f>+BD318*AVERAGE(BC313)/4</f>
        <v>10.0084472277</v>
      </c>
      <c r="BE316" s="1488">
        <f>+BE318*AVERAGE(BD313)/4</f>
        <v>10.870138447835927</v>
      </c>
      <c r="BF316" s="1487">
        <f>+BF318*AVERAGE(BE313)/4</f>
        <v>11.72376545208993</v>
      </c>
      <c r="BG316" s="1382">
        <f>SUM(BC316:BF316)</f>
        <v>41.74096673664571</v>
      </c>
      <c r="BH316" s="1485">
        <f>+BH318*AVERAGE(BG313)/4</f>
        <v>12.569403710161909</v>
      </c>
      <c r="BI316" s="1488">
        <f>+BI318*AVERAGE(BH313)/4</f>
        <v>13.407127985461695</v>
      </c>
      <c r="BJ316" s="1488">
        <f>+BJ318*AVERAGE(BI313)/4</f>
        <v>14.237012341718927</v>
      </c>
      <c r="BK316" s="1487">
        <f>+BK318*AVERAGE(BJ313)/4</f>
        <v>15.059130149531073</v>
      </c>
      <c r="BL316" s="1382">
        <f>SUM(BH316:BK316)</f>
        <v>55.272674186873601</v>
      </c>
      <c r="BM316" s="1485">
        <f>+BM318*AVERAGE(BL313)/4</f>
        <v>15.873554092850179</v>
      </c>
      <c r="BN316" s="1488">
        <f>+BN318*AVERAGE(BM313)/4</f>
        <v>15.900473574244305</v>
      </c>
      <c r="BO316" s="1488">
        <f>+BO318*AVERAGE(BN313)/4</f>
        <v>15.927141127216371</v>
      </c>
      <c r="BP316" s="1487">
        <f>+BP318*AVERAGE(BO313)/4</f>
        <v>15.953559109461496</v>
      </c>
      <c r="BQ316" s="1382">
        <f>SUM(BM316:BP316)</f>
        <v>63.654727903772354</v>
      </c>
      <c r="BR316" s="1519"/>
      <c r="BS316" s="1519"/>
      <c r="BT316" s="1519"/>
      <c r="BU316" s="1519"/>
      <c r="BV316" s="1519"/>
      <c r="BW316" s="1519"/>
      <c r="BX316" s="1519"/>
      <c r="BY316" s="1519"/>
      <c r="BZ316" s="1519"/>
      <c r="CA316" s="1519"/>
      <c r="CB316" s="1519"/>
      <c r="CC316" s="1519"/>
      <c r="CD316" s="1519"/>
      <c r="CE316" s="1519"/>
      <c r="CF316" s="1519"/>
      <c r="CG316" s="1519"/>
      <c r="CH316" s="1519"/>
      <c r="CI316" s="1519"/>
      <c r="CJ316" s="1519"/>
      <c r="CK316" s="1519"/>
      <c r="CL316" s="1519"/>
      <c r="CM316" s="1519"/>
      <c r="CN316" s="1519"/>
      <c r="CO316" s="1519"/>
      <c r="CP316" s="1519"/>
      <c r="CQ316" s="1519"/>
      <c r="CR316" s="1519"/>
      <c r="CS316" s="1519"/>
      <c r="CT316" s="1519"/>
      <c r="CU316" s="1519"/>
      <c r="CV316" s="1519"/>
      <c r="CW316" s="1519"/>
      <c r="CX316" s="1519"/>
      <c r="CY316" s="1519"/>
      <c r="CZ316" s="1519"/>
    </row>
    <row r="317" spans="1:104">
      <c r="A317" s="1519"/>
      <c r="B317" s="1519"/>
      <c r="C317" s="1523"/>
      <c r="D317" s="1382"/>
      <c r="E317" s="1743"/>
      <c r="F317" s="1744"/>
      <c r="G317" s="1744"/>
      <c r="H317" s="1745"/>
      <c r="I317" s="1746"/>
      <c r="J317" s="1743"/>
      <c r="K317" s="1744"/>
      <c r="L317" s="1744"/>
      <c r="M317" s="1745"/>
      <c r="N317" s="1746"/>
      <c r="O317" s="1743"/>
      <c r="P317" s="1744"/>
      <c r="Q317" s="1744"/>
      <c r="R317" s="1487"/>
      <c r="S317" s="1382"/>
      <c r="T317" s="1743"/>
      <c r="U317" s="1744"/>
      <c r="V317" s="1744"/>
      <c r="W317" s="1487"/>
      <c r="X317" s="1382"/>
      <c r="Y317" s="1743"/>
      <c r="Z317" s="1488"/>
      <c r="AA317" s="1488"/>
      <c r="AB317" s="1487"/>
      <c r="AC317" s="1382"/>
      <c r="AD317" s="1743"/>
      <c r="AE317" s="1488"/>
      <c r="AF317" s="1488"/>
      <c r="AG317" s="1487"/>
      <c r="AH317" s="1382"/>
      <c r="AI317" s="1743"/>
      <c r="AJ317" s="1488"/>
      <c r="AK317" s="1488"/>
      <c r="AL317" s="1487"/>
      <c r="AM317" s="1519"/>
      <c r="AN317" s="1743"/>
      <c r="AO317" s="1488"/>
      <c r="AP317" s="1488"/>
      <c r="AQ317" s="1487"/>
      <c r="AR317" s="1519"/>
      <c r="AS317" s="1743"/>
      <c r="AT317" s="1488"/>
      <c r="AU317" s="1488"/>
      <c r="AV317" s="1487"/>
      <c r="AW317" s="1519"/>
      <c r="AX317" s="1485"/>
      <c r="AY317" s="1488"/>
      <c r="AZ317" s="1488"/>
      <c r="BA317" s="1487"/>
      <c r="BB317" s="1519"/>
      <c r="BC317" s="1485"/>
      <c r="BD317" s="1488"/>
      <c r="BE317" s="1488"/>
      <c r="BF317" s="1487"/>
      <c r="BG317" s="1519"/>
      <c r="BH317" s="1485"/>
      <c r="BI317" s="1488"/>
      <c r="BJ317" s="1488"/>
      <c r="BK317" s="1487"/>
      <c r="BL317" s="1519"/>
      <c r="BM317" s="1485"/>
      <c r="BN317" s="1488"/>
      <c r="BO317" s="1488"/>
      <c r="BP317" s="1487"/>
      <c r="BQ317" s="1519"/>
      <c r="BR317" s="1519"/>
      <c r="BS317" s="1519"/>
      <c r="BT317" s="1519"/>
      <c r="BU317" s="1519"/>
      <c r="BV317" s="1519"/>
      <c r="BW317" s="1519"/>
      <c r="BX317" s="1519"/>
      <c r="BY317" s="1519"/>
      <c r="BZ317" s="1519"/>
      <c r="CA317" s="1519"/>
      <c r="CB317" s="1519"/>
      <c r="CC317" s="1519"/>
      <c r="CD317" s="1519"/>
      <c r="CE317" s="1519"/>
      <c r="CF317" s="1519"/>
      <c r="CG317" s="1519"/>
      <c r="CH317" s="1519"/>
      <c r="CI317" s="1519"/>
      <c r="CJ317" s="1519"/>
      <c r="CK317" s="1519"/>
      <c r="CL317" s="1519"/>
      <c r="CM317" s="1519"/>
      <c r="CN317" s="1519"/>
      <c r="CO317" s="1519"/>
      <c r="CP317" s="1519"/>
      <c r="CQ317" s="1519"/>
      <c r="CR317" s="1519"/>
      <c r="CS317" s="1519"/>
      <c r="CT317" s="1519"/>
      <c r="CU317" s="1519"/>
      <c r="CV317" s="1519"/>
      <c r="CW317" s="1519"/>
      <c r="CX317" s="1519"/>
      <c r="CY317" s="1519"/>
      <c r="CZ317" s="1519"/>
    </row>
    <row r="318" spans="1:104">
      <c r="A318" s="1468"/>
      <c r="B318" s="1468"/>
      <c r="C318" s="1523" t="s">
        <v>1182</v>
      </c>
      <c r="D318" s="1468"/>
      <c r="E318" s="1558"/>
      <c r="F318" s="1560"/>
      <c r="G318" s="1560"/>
      <c r="H318" s="1561"/>
      <c r="I318" s="1562"/>
      <c r="J318" s="1558"/>
      <c r="K318" s="1560"/>
      <c r="L318" s="1560"/>
      <c r="M318" s="1561"/>
      <c r="N318" s="1562"/>
      <c r="O318" s="1558"/>
      <c r="P318" s="1560"/>
      <c r="Q318" s="1560"/>
      <c r="R318" s="1561"/>
      <c r="S318" s="1562"/>
      <c r="T318" s="1558"/>
      <c r="U318" s="1560"/>
      <c r="V318" s="1560"/>
      <c r="W318" s="1561"/>
      <c r="X318" s="1562">
        <f>X316/AVERAGE(S313,X313)</f>
        <v>6.8917851500789884E-2</v>
      </c>
      <c r="Y318" s="1558"/>
      <c r="Z318" s="1564"/>
      <c r="AA318" s="1564"/>
      <c r="AB318" s="1561"/>
      <c r="AC318" s="1562">
        <f>AC316/AVERAGE(X313,AC313)</f>
        <v>4.752315747080145E-2</v>
      </c>
      <c r="AD318" s="1558"/>
      <c r="AE318" s="1564"/>
      <c r="AF318" s="1564"/>
      <c r="AG318" s="1561"/>
      <c r="AH318" s="1562">
        <f>AH316/AVERAGE(AC313,AH313)</f>
        <v>4.7002795320426546E-2</v>
      </c>
      <c r="AI318" s="1558">
        <f>AI316/AVERAGE(AH313:AI313)*4</f>
        <v>4.4964028776978415E-2</v>
      </c>
      <c r="AJ318" s="1564">
        <f>AJ316/AVERAGE(AI313:AJ313)*4</f>
        <v>4.9653158086893023E-2</v>
      </c>
      <c r="AK318" s="1564">
        <f>AK316/AVERAGE(AJ313:AK313)*4</f>
        <v>4.9780380673499269E-2</v>
      </c>
      <c r="AL318" s="1565">
        <f>AL316/AVERAGE(AK313:AL313)*4</f>
        <v>4.8323001112700686E-2</v>
      </c>
      <c r="AM318" s="1562">
        <f>AM316/AVERAGE(AH313,AM313)</f>
        <v>4.5333303321215948E-2</v>
      </c>
      <c r="AN318" s="1558">
        <f>AN316/AVERAGE(AM313:AN313)*4</f>
        <v>4.7516251387313559E-2</v>
      </c>
      <c r="AO318" s="1564">
        <f>AO316/AVERAGE(AN313:AO313)*4</f>
        <v>4.932374801998294E-2</v>
      </c>
      <c r="AP318" s="1564">
        <f>AP316/AVERAGE(AO313:AP313)*4</f>
        <v>6.5083609884975996E-2</v>
      </c>
      <c r="AQ318" s="1565">
        <f>AQ316/AVERAGE(AP313:AQ313)*4</f>
        <v>8.7689251216002961E-3</v>
      </c>
      <c r="AR318" s="1562">
        <f>AR316/AVERAGE(AM313,AR313)</f>
        <v>4.8555276381909547E-2</v>
      </c>
      <c r="AS318" s="1558">
        <f>AS316/AVERAGE(AR313:AS313)*4</f>
        <v>1.736018578444436E-2</v>
      </c>
      <c r="AT318" s="1564">
        <f>AT316/AVERAGE(AS313:AT313)*4</f>
        <v>6.1682500344210384E-2</v>
      </c>
      <c r="AU318" s="1564">
        <f>AU316/AVERAGE(AT313:AU313)*4</f>
        <v>5.8732978093546481E-2</v>
      </c>
      <c r="AV318" s="1565">
        <f>AV316/AVERAGE(AU313:AV313)*4</f>
        <v>5.1498847040737893E-2</v>
      </c>
      <c r="AW318" s="1562">
        <f>AW316/AVERAGE(AR313,AW313)</f>
        <v>1.7022473885977562E-2</v>
      </c>
      <c r="AX318" s="1922">
        <v>0.04</v>
      </c>
      <c r="AY318" s="1560">
        <f>+AX318</f>
        <v>0.04</v>
      </c>
      <c r="AZ318" s="1564">
        <f>+AY318</f>
        <v>0.04</v>
      </c>
      <c r="BA318" s="1565">
        <f>+AZ318</f>
        <v>0.04</v>
      </c>
      <c r="BB318" s="1562">
        <f>BB316/AVERAGE(AW313,BB313)</f>
        <v>3.7434364855899918E-2</v>
      </c>
      <c r="BC318" s="1558">
        <f>BB318</f>
        <v>3.7434364855899918E-2</v>
      </c>
      <c r="BD318" s="1560">
        <f>+BC318</f>
        <v>3.7434364855899918E-2</v>
      </c>
      <c r="BE318" s="1564">
        <f>+BD318</f>
        <v>3.7434364855899918E-2</v>
      </c>
      <c r="BF318" s="1565">
        <f>+BE318</f>
        <v>3.7434364855899918E-2</v>
      </c>
      <c r="BG318" s="1562">
        <f>BG316/AVERAGE(BB313,BG313)</f>
        <v>3.5990077106594229E-2</v>
      </c>
      <c r="BH318" s="1558">
        <f>+BF318</f>
        <v>3.7434364855899918E-2</v>
      </c>
      <c r="BI318" s="1560">
        <f>+BH318</f>
        <v>3.7434364855899918E-2</v>
      </c>
      <c r="BJ318" s="1564">
        <f>+BI318</f>
        <v>3.7434364855899918E-2</v>
      </c>
      <c r="BK318" s="1565">
        <f>+BJ318</f>
        <v>3.7434364855899918E-2</v>
      </c>
      <c r="BL318" s="1562">
        <f>BL316/AVERAGE(BG313,BL313)</f>
        <v>3.6372754662203098E-2</v>
      </c>
      <c r="BM318" s="1558">
        <f>+BK318</f>
        <v>3.7434364855899918E-2</v>
      </c>
      <c r="BN318" s="1560">
        <f>+BM318</f>
        <v>3.7434364855899918E-2</v>
      </c>
      <c r="BO318" s="1564">
        <f>+BN318</f>
        <v>3.7434364855899918E-2</v>
      </c>
      <c r="BP318" s="1565">
        <f>+BO318</f>
        <v>3.7434364855899918E-2</v>
      </c>
      <c r="BQ318" s="1562">
        <f>BQ316/AVERAGE(BL313,BQ313)</f>
        <v>3.7403903361010037E-2</v>
      </c>
      <c r="BR318" s="1468"/>
      <c r="BS318" s="1468"/>
      <c r="BT318" s="1468"/>
      <c r="BU318" s="1468"/>
      <c r="BV318" s="1468"/>
      <c r="BW318" s="1468"/>
      <c r="BX318" s="1468"/>
      <c r="BY318" s="1468"/>
      <c r="BZ318" s="1468"/>
      <c r="CA318" s="1468"/>
      <c r="CB318" s="1468"/>
      <c r="CC318" s="1468"/>
      <c r="CD318" s="1468"/>
      <c r="CE318" s="1468"/>
      <c r="CF318" s="1468"/>
      <c r="CG318" s="1468"/>
      <c r="CH318" s="1468"/>
      <c r="CI318" s="1468"/>
      <c r="CJ318" s="1468"/>
      <c r="CK318" s="1468"/>
      <c r="CL318" s="1468"/>
      <c r="CM318" s="1468"/>
      <c r="CN318" s="1468"/>
      <c r="CO318" s="1468"/>
      <c r="CP318" s="1468"/>
      <c r="CQ318" s="1468"/>
      <c r="CR318" s="1468"/>
      <c r="CS318" s="1468"/>
      <c r="CT318" s="1468"/>
      <c r="CU318" s="1468"/>
      <c r="CV318" s="1468"/>
      <c r="CW318" s="1468"/>
      <c r="CX318" s="1468"/>
      <c r="CY318" s="1468"/>
      <c r="CZ318" s="1468"/>
    </row>
    <row r="319" spans="1:104">
      <c r="A319" s="1523"/>
      <c r="B319" s="1523"/>
      <c r="C319" s="1523"/>
      <c r="D319" s="1523"/>
      <c r="E319" s="1747"/>
      <c r="F319" s="1748"/>
      <c r="G319" s="1748"/>
      <c r="H319" s="1522"/>
      <c r="I319" s="1523"/>
      <c r="J319" s="1747"/>
      <c r="K319" s="1748"/>
      <c r="L319" s="1748"/>
      <c r="M319" s="1522"/>
      <c r="N319" s="1523"/>
      <c r="O319" s="1747"/>
      <c r="P319" s="1748"/>
      <c r="Q319" s="1748"/>
      <c r="R319" s="1522"/>
      <c r="S319" s="1523"/>
      <c r="T319" s="1747"/>
      <c r="U319" s="1748"/>
      <c r="V319" s="1748"/>
      <c r="W319" s="1522"/>
      <c r="X319" s="1523"/>
      <c r="Y319" s="1747"/>
      <c r="Z319" s="1748"/>
      <c r="AA319" s="1748"/>
      <c r="AB319" s="1522"/>
      <c r="AC319" s="1523"/>
      <c r="AD319" s="1747"/>
      <c r="AE319" s="1748"/>
      <c r="AF319" s="1748"/>
      <c r="AG319" s="1522"/>
      <c r="AH319" s="1523"/>
      <c r="AI319" s="1747"/>
      <c r="AJ319" s="1748"/>
      <c r="AK319" s="1748"/>
      <c r="AL319" s="1522"/>
      <c r="AM319" s="1523"/>
      <c r="AN319" s="1747"/>
      <c r="AO319" s="1748"/>
      <c r="AP319" s="1748"/>
      <c r="AQ319" s="1522"/>
      <c r="AR319" s="1523"/>
      <c r="AS319" s="1747"/>
      <c r="AT319" s="1748"/>
      <c r="AU319" s="1748"/>
      <c r="AV319" s="1522"/>
      <c r="AW319" s="1523"/>
      <c r="AX319" s="1747"/>
      <c r="AY319" s="1748"/>
      <c r="AZ319" s="1748"/>
      <c r="BA319" s="1522"/>
      <c r="BB319" s="1523"/>
      <c r="BC319" s="1747"/>
      <c r="BD319" s="1748"/>
      <c r="BE319" s="1748"/>
      <c r="BF319" s="1522"/>
      <c r="BG319" s="1523"/>
      <c r="BH319" s="1747"/>
      <c r="BI319" s="1748"/>
      <c r="BJ319" s="1748"/>
      <c r="BK319" s="1522"/>
      <c r="BL319" s="1523"/>
      <c r="BM319" s="1747"/>
      <c r="BN319" s="1748"/>
      <c r="BO319" s="1748"/>
      <c r="BP319" s="1522"/>
      <c r="BQ319" s="1523"/>
      <c r="BR319" s="1523"/>
      <c r="BS319" s="1523"/>
      <c r="BT319" s="1523"/>
      <c r="BU319" s="1523"/>
      <c r="BV319" s="1523"/>
      <c r="BW319" s="1523"/>
      <c r="BX319" s="1523"/>
      <c r="BY319" s="1523"/>
      <c r="BZ319" s="1523"/>
      <c r="CA319" s="1523"/>
      <c r="CB319" s="1523"/>
      <c r="CC319" s="1523"/>
      <c r="CD319" s="1523"/>
      <c r="CE319" s="1523"/>
      <c r="CF319" s="1523"/>
      <c r="CG319" s="1523"/>
      <c r="CH319" s="1523"/>
      <c r="CI319" s="1523"/>
      <c r="CJ319" s="1523"/>
      <c r="CK319" s="1523"/>
      <c r="CL319" s="1523"/>
      <c r="CM319" s="1523"/>
      <c r="CN319" s="1523"/>
      <c r="CO319" s="1523"/>
      <c r="CP319" s="1523"/>
      <c r="CQ319" s="1523"/>
      <c r="CR319" s="1523"/>
      <c r="CS319" s="1523"/>
      <c r="CT319" s="1523"/>
      <c r="CU319" s="1523"/>
      <c r="CV319" s="1523"/>
      <c r="CW319" s="1523"/>
      <c r="CX319" s="1523"/>
      <c r="CY319" s="1523"/>
      <c r="CZ319" s="1523"/>
    </row>
    <row r="320" spans="1:104" s="1468" customFormat="1">
      <c r="A320" s="1519"/>
      <c r="B320" s="1519"/>
      <c r="C320" s="1523" t="s">
        <v>1262</v>
      </c>
      <c r="D320" s="1382"/>
      <c r="E320" s="1485"/>
      <c r="F320" s="1488"/>
      <c r="G320" s="1488"/>
      <c r="H320" s="1487"/>
      <c r="I320" s="1749"/>
      <c r="J320" s="1485"/>
      <c r="K320" s="1486"/>
      <c r="L320" s="1486"/>
      <c r="M320" s="1487"/>
      <c r="N320" s="1749"/>
      <c r="O320" s="1485"/>
      <c r="P320" s="1486"/>
      <c r="Q320" s="1486"/>
      <c r="R320" s="1487"/>
      <c r="S320" s="1749"/>
      <c r="T320" s="1485"/>
      <c r="U320" s="1486"/>
      <c r="V320" s="1486"/>
      <c r="W320" s="1487"/>
      <c r="X320" s="1749"/>
      <c r="Y320" s="1485"/>
      <c r="Z320" s="1486"/>
      <c r="AA320" s="1486"/>
      <c r="AB320" s="1487"/>
      <c r="AC320" s="1749"/>
      <c r="AD320" s="1485"/>
      <c r="AE320" s="1486"/>
      <c r="AF320" s="1486"/>
      <c r="AG320" s="1487"/>
      <c r="AH320" s="1749"/>
      <c r="AI320" s="1485"/>
      <c r="AJ320" s="1486"/>
      <c r="AK320" s="1486"/>
      <c r="AL320" s="1487"/>
      <c r="AM320" s="1749"/>
      <c r="AN320" s="1485"/>
      <c r="AO320" s="1486"/>
      <c r="AP320" s="1486"/>
      <c r="AQ320" s="1487"/>
      <c r="AR320" s="1749"/>
      <c r="AS320" s="1485"/>
      <c r="AT320" s="1486"/>
      <c r="AU320" s="1486"/>
      <c r="AV320" s="1487"/>
      <c r="AW320" s="1749"/>
      <c r="AX320" s="1485">
        <f>+BB320/4</f>
        <v>83.333333333333329</v>
      </c>
      <c r="AY320" s="1486">
        <f>(BB320-SUM(AX320:AX320))/3</f>
        <v>83.333333333333329</v>
      </c>
      <c r="AZ320" s="1486">
        <f>(BB320-SUM(AX320:AY320))/2</f>
        <v>83.333333333333329</v>
      </c>
      <c r="BA320" s="1487">
        <f>(BB320-SUM(AX320:AZ320))/1</f>
        <v>83.333333333333314</v>
      </c>
      <c r="BB320" s="1749">
        <f>BB236</f>
        <v>333.33333333333331</v>
      </c>
      <c r="BC320" s="1485">
        <f>+BG320/4</f>
        <v>83.333333333333329</v>
      </c>
      <c r="BD320" s="1486">
        <f>(BG320-SUM(BC320:BC320))/3</f>
        <v>83.333333333333329</v>
      </c>
      <c r="BE320" s="1486">
        <f>(BG320-SUM(BC320:BD320))/2</f>
        <v>83.333333333333329</v>
      </c>
      <c r="BF320" s="1487">
        <f>(BG320-SUM(BC320:BE320))/1</f>
        <v>83.333333333333314</v>
      </c>
      <c r="BG320" s="1749">
        <f>BG236</f>
        <v>333.33333333333331</v>
      </c>
      <c r="BH320" s="1485">
        <f>+BL320/4</f>
        <v>83.333333333333329</v>
      </c>
      <c r="BI320" s="1486">
        <f>(BL320-SUM(BH320:BH320))/3</f>
        <v>83.333333333333329</v>
      </c>
      <c r="BJ320" s="1486">
        <f>(BL320-SUM(BH320:BI320))/2</f>
        <v>83.333333333333329</v>
      </c>
      <c r="BK320" s="1487">
        <f>(BL320-SUM(BH320:BJ320))/1</f>
        <v>83.333333333333314</v>
      </c>
      <c r="BL320" s="1749">
        <f>BL236</f>
        <v>333.33333333333331</v>
      </c>
      <c r="BM320" s="1485">
        <f>+BQ320/4</f>
        <v>0</v>
      </c>
      <c r="BN320" s="1486">
        <f>(BQ320-SUM(BM320:BM320))/3</f>
        <v>0</v>
      </c>
      <c r="BO320" s="1486">
        <f>(BQ320-SUM(BM320:BN320))/2</f>
        <v>0</v>
      </c>
      <c r="BP320" s="1487">
        <f>(BQ320-SUM(BM320:BO320))/1</f>
        <v>0</v>
      </c>
      <c r="BQ320" s="1749">
        <f>BQ236</f>
        <v>0</v>
      </c>
      <c r="BR320" s="1519"/>
      <c r="BS320" s="1519"/>
      <c r="BT320" s="1519"/>
      <c r="BU320" s="1519"/>
      <c r="BV320" s="1519"/>
      <c r="BW320" s="1519"/>
      <c r="BX320" s="1519"/>
      <c r="BY320" s="1519"/>
      <c r="BZ320" s="1519"/>
      <c r="CA320" s="1519"/>
      <c r="CB320" s="1519"/>
      <c r="CC320" s="1519"/>
      <c r="CD320" s="1519"/>
      <c r="CE320" s="1519"/>
      <c r="CF320" s="1519"/>
      <c r="CG320" s="1519"/>
      <c r="CH320" s="1519"/>
      <c r="CI320" s="1519"/>
      <c r="CJ320" s="1519"/>
      <c r="CK320" s="1519"/>
      <c r="CL320" s="1519"/>
      <c r="CM320" s="1519"/>
      <c r="CN320" s="1519"/>
      <c r="CO320" s="1519"/>
      <c r="CP320" s="1519"/>
      <c r="CQ320" s="1519"/>
      <c r="CR320" s="1519"/>
      <c r="CS320" s="1519"/>
      <c r="CT320" s="1519"/>
      <c r="CU320" s="1519"/>
      <c r="CV320" s="1519"/>
      <c r="CW320" s="1519"/>
      <c r="CX320" s="1519"/>
      <c r="CY320" s="1519"/>
      <c r="CZ320" s="1519"/>
    </row>
    <row r="321" spans="1:104" s="1468" customFormat="1">
      <c r="A321" s="1519"/>
      <c r="B321" s="1519"/>
      <c r="C321" s="1523" t="s">
        <v>1183</v>
      </c>
      <c r="D321" s="1382"/>
      <c r="E321" s="1485"/>
      <c r="F321" s="1488"/>
      <c r="G321" s="1488"/>
      <c r="H321" s="1487"/>
      <c r="I321" s="1749"/>
      <c r="J321" s="1485"/>
      <c r="K321" s="1486"/>
      <c r="L321" s="1486"/>
      <c r="M321" s="1487"/>
      <c r="N321" s="1749"/>
      <c r="O321" s="1485"/>
      <c r="P321" s="1486"/>
      <c r="Q321" s="1486"/>
      <c r="R321" s="1487"/>
      <c r="S321" s="1749"/>
      <c r="T321" s="1485"/>
      <c r="U321" s="1486"/>
      <c r="V321" s="1486"/>
      <c r="W321" s="1487"/>
      <c r="X321" s="1749"/>
      <c r="Y321" s="1485"/>
      <c r="Z321" s="1486"/>
      <c r="AA321" s="1486"/>
      <c r="AB321" s="1487"/>
      <c r="AC321" s="1749"/>
      <c r="AD321" s="1485"/>
      <c r="AE321" s="1486"/>
      <c r="AF321" s="1486"/>
      <c r="AG321" s="1487"/>
      <c r="AH321" s="1749"/>
      <c r="AI321" s="1485"/>
      <c r="AJ321" s="1486"/>
      <c r="AK321" s="1486"/>
      <c r="AL321" s="1487"/>
      <c r="AM321" s="1749"/>
      <c r="AN321" s="1485"/>
      <c r="AO321" s="1486"/>
      <c r="AP321" s="1486"/>
      <c r="AQ321" s="1487"/>
      <c r="AR321" s="1749"/>
      <c r="AS321" s="1485"/>
      <c r="AT321" s="1486"/>
      <c r="AU321" s="1486"/>
      <c r="AV321" s="1487"/>
      <c r="AW321" s="1749"/>
      <c r="AX321" s="1485">
        <f>+BB321/4</f>
        <v>0</v>
      </c>
      <c r="AY321" s="1486">
        <f>(BB321-SUM(AX321:AX321))/3</f>
        <v>0</v>
      </c>
      <c r="AZ321" s="1486">
        <f>(BB321-SUM(AX321:AY321))/2</f>
        <v>0</v>
      </c>
      <c r="BA321" s="1487">
        <f>(BB321-SUM(AX321:AZ321))/1</f>
        <v>0</v>
      </c>
      <c r="BB321" s="1382">
        <v>0</v>
      </c>
      <c r="BC321" s="1485">
        <f>+BG321/4</f>
        <v>0</v>
      </c>
      <c r="BD321" s="1486">
        <f>(BG321-SUM(BC321:BC321))/3</f>
        <v>0</v>
      </c>
      <c r="BE321" s="1486">
        <f>(BG321-SUM(BC321:BD321))/2</f>
        <v>0</v>
      </c>
      <c r="BF321" s="1487">
        <f>(BG321-SUM(BC321:BE321))/1</f>
        <v>0</v>
      </c>
      <c r="BG321" s="1382">
        <v>0</v>
      </c>
      <c r="BH321" s="1485">
        <f>+BL321/4</f>
        <v>0</v>
      </c>
      <c r="BI321" s="1486">
        <f>(BL321-SUM(BH321:BH321))/3</f>
        <v>0</v>
      </c>
      <c r="BJ321" s="1486">
        <f>(BL321-SUM(BH321:BI321))/2</f>
        <v>0</v>
      </c>
      <c r="BK321" s="1487">
        <f>(BL321-SUM(BH321:BJ321))/1</f>
        <v>0</v>
      </c>
      <c r="BL321" s="1382">
        <v>0</v>
      </c>
      <c r="BM321" s="1485">
        <f>+BQ321/4</f>
        <v>0</v>
      </c>
      <c r="BN321" s="1486">
        <f>(BQ321-SUM(BM321:BM321))/3</f>
        <v>0</v>
      </c>
      <c r="BO321" s="1486">
        <f>(BQ321-SUM(BM321:BN321))/2</f>
        <v>0</v>
      </c>
      <c r="BP321" s="1487">
        <f>(BQ321-SUM(BM321:BO321))/1</f>
        <v>0</v>
      </c>
      <c r="BQ321" s="1382">
        <v>0</v>
      </c>
      <c r="BR321" s="1519"/>
      <c r="BS321" s="1519"/>
      <c r="BT321" s="1519"/>
      <c r="BU321" s="1519"/>
      <c r="BV321" s="1519"/>
      <c r="BW321" s="1519"/>
      <c r="BX321" s="1519"/>
      <c r="BY321" s="1519"/>
      <c r="BZ321" s="1519"/>
      <c r="CA321" s="1519"/>
      <c r="CB321" s="1519"/>
      <c r="CC321" s="1519"/>
      <c r="CD321" s="1519"/>
      <c r="CE321" s="1519"/>
      <c r="CF321" s="1519"/>
      <c r="CG321" s="1519"/>
      <c r="CH321" s="1519"/>
      <c r="CI321" s="1519"/>
      <c r="CJ321" s="1519"/>
      <c r="CK321" s="1519"/>
      <c r="CL321" s="1519"/>
      <c r="CM321" s="1519"/>
      <c r="CN321" s="1519"/>
      <c r="CO321" s="1519"/>
      <c r="CP321" s="1519"/>
      <c r="CQ321" s="1519"/>
      <c r="CR321" s="1519"/>
      <c r="CS321" s="1519"/>
      <c r="CT321" s="1519"/>
      <c r="CU321" s="1519"/>
      <c r="CV321" s="1519"/>
      <c r="CW321" s="1519"/>
      <c r="CX321" s="1519"/>
      <c r="CY321" s="1519"/>
      <c r="CZ321" s="1519"/>
    </row>
    <row r="322" spans="1:104" s="1468" customFormat="1">
      <c r="A322" s="1519"/>
      <c r="B322" s="1519"/>
      <c r="C322" s="1523" t="s">
        <v>1184</v>
      </c>
      <c r="D322" s="1382"/>
      <c r="E322" s="1485"/>
      <c r="F322" s="1488"/>
      <c r="G322" s="1488"/>
      <c r="H322" s="1487"/>
      <c r="I322" s="1382"/>
      <c r="J322" s="1485"/>
      <c r="K322" s="1486"/>
      <c r="L322" s="1486"/>
      <c r="M322" s="1487"/>
      <c r="N322" s="1382"/>
      <c r="O322" s="1485"/>
      <c r="P322" s="1486"/>
      <c r="Q322" s="1486"/>
      <c r="R322" s="1487"/>
      <c r="S322" s="1382"/>
      <c r="T322" s="1485"/>
      <c r="U322" s="1486"/>
      <c r="V322" s="1486"/>
      <c r="W322" s="1487"/>
      <c r="X322" s="1749"/>
      <c r="Y322" s="1485"/>
      <c r="Z322" s="1486"/>
      <c r="AA322" s="1486"/>
      <c r="AB322" s="1487"/>
      <c r="AC322" s="1749"/>
      <c r="AD322" s="1485"/>
      <c r="AE322" s="1486"/>
      <c r="AF322" s="1486"/>
      <c r="AG322" s="1487"/>
      <c r="AH322" s="1749"/>
      <c r="AI322" s="1485"/>
      <c r="AJ322" s="1486"/>
      <c r="AK322" s="1486"/>
      <c r="AL322" s="1487"/>
      <c r="AM322" s="1749"/>
      <c r="AN322" s="1485"/>
      <c r="AO322" s="1486"/>
      <c r="AP322" s="1486"/>
      <c r="AQ322" s="1487"/>
      <c r="AR322" s="1749"/>
      <c r="AS322" s="1485"/>
      <c r="AT322" s="1486"/>
      <c r="AU322" s="1486"/>
      <c r="AV322" s="1487"/>
      <c r="AW322" s="1749"/>
      <c r="AX322" s="1485">
        <f>+BB322/4</f>
        <v>25.625</v>
      </c>
      <c r="AY322" s="1486">
        <f>(BB322-SUM(AX322:AX322))/3</f>
        <v>25.625</v>
      </c>
      <c r="AZ322" s="1486">
        <f>(BB322-SUM(AX322:AY322))/2</f>
        <v>25.625</v>
      </c>
      <c r="BA322" s="1487">
        <f>(BB322-SUM(AX322:AZ322))/1</f>
        <v>25.625</v>
      </c>
      <c r="BB322" s="1787">
        <f>205*0.5</f>
        <v>102.5</v>
      </c>
      <c r="BC322" s="1485">
        <f>+BG322/4</f>
        <v>18.75</v>
      </c>
      <c r="BD322" s="1486">
        <f>(BG322-SUM(BC322:BC322))/3</f>
        <v>18.75</v>
      </c>
      <c r="BE322" s="1486">
        <f>(BG322-SUM(BC322:BD322))/2</f>
        <v>18.75</v>
      </c>
      <c r="BF322" s="1487">
        <f>(BG322-SUM(BC322:BE322))/1</f>
        <v>18.75</v>
      </c>
      <c r="BG322">
        <f>150*0.5</f>
        <v>75</v>
      </c>
      <c r="BH322" s="1485">
        <f>+BL322/4</f>
        <v>18.75</v>
      </c>
      <c r="BI322" s="1486">
        <f>(BL322-SUM(BH322:BH322))/3</f>
        <v>18.75</v>
      </c>
      <c r="BJ322" s="1486">
        <f>(BL322-SUM(BH322:BI322))/2</f>
        <v>18.75</v>
      </c>
      <c r="BK322" s="1487">
        <f>(BL322-SUM(BH322:BJ322))/1</f>
        <v>18.75</v>
      </c>
      <c r="BL322">
        <f>150*0.5</f>
        <v>75</v>
      </c>
      <c r="BM322" s="1485">
        <f>+BQ322/4</f>
        <v>18.75</v>
      </c>
      <c r="BN322" s="1486">
        <f>(BQ322-SUM(BM322:BM322))/3</f>
        <v>18.75</v>
      </c>
      <c r="BO322" s="1486">
        <f>(BQ322-SUM(BM322:BN322))/2</f>
        <v>18.75</v>
      </c>
      <c r="BP322" s="1487">
        <f>(BQ322-SUM(BM322:BO322))/1</f>
        <v>18.75</v>
      </c>
      <c r="BQ322">
        <f>150*0.5</f>
        <v>75</v>
      </c>
      <c r="BR322" s="1519"/>
      <c r="BS322" s="1750"/>
      <c r="BT322" s="1519"/>
      <c r="BU322" s="1519"/>
      <c r="BV322" s="1519"/>
      <c r="BW322" s="1519"/>
      <c r="BX322" s="1519"/>
      <c r="BY322" s="1519"/>
      <c r="BZ322" s="1519"/>
      <c r="CA322" s="1519"/>
      <c r="CB322" s="1519"/>
      <c r="CC322" s="1519"/>
      <c r="CD322" s="1519"/>
      <c r="CE322" s="1519"/>
      <c r="CF322" s="1519"/>
      <c r="CG322" s="1519"/>
      <c r="CH322" s="1519"/>
      <c r="CI322" s="1519"/>
      <c r="CJ322" s="1519"/>
      <c r="CK322" s="1519"/>
      <c r="CL322" s="1519"/>
      <c r="CM322" s="1519"/>
      <c r="CN322" s="1519"/>
      <c r="CO322" s="1519"/>
      <c r="CP322" s="1519"/>
      <c r="CQ322" s="1519"/>
      <c r="CR322" s="1519"/>
      <c r="CS322" s="1519"/>
      <c r="CT322" s="1519"/>
      <c r="CU322" s="1519"/>
      <c r="CV322" s="1519"/>
      <c r="CW322" s="1519"/>
      <c r="CX322" s="1519"/>
      <c r="CY322" s="1519"/>
      <c r="CZ322" s="1519"/>
    </row>
    <row r="323" spans="1:104">
      <c r="A323" s="1519"/>
      <c r="B323" s="1519"/>
      <c r="C323" s="1751" t="s">
        <v>746</v>
      </c>
      <c r="D323" s="1382"/>
      <c r="E323" s="1752"/>
      <c r="F323" s="1753"/>
      <c r="G323" s="1753"/>
      <c r="H323" s="1754"/>
      <c r="I323" s="1755"/>
      <c r="J323" s="1752"/>
      <c r="K323" s="1753"/>
      <c r="L323" s="1753"/>
      <c r="M323" s="1518"/>
      <c r="N323" s="1755"/>
      <c r="O323" s="1752"/>
      <c r="P323" s="1753"/>
      <c r="Q323" s="1753"/>
      <c r="R323" s="1518"/>
      <c r="S323" s="1755"/>
      <c r="T323" s="1752"/>
      <c r="U323" s="1753"/>
      <c r="V323" s="1753"/>
      <c r="W323" s="1518"/>
      <c r="X323" s="1742">
        <v>249</v>
      </c>
      <c r="Y323" s="1752">
        <f>AC323/4</f>
        <v>46.25</v>
      </c>
      <c r="Z323" s="1753">
        <f>AC323/4</f>
        <v>46.25</v>
      </c>
      <c r="AA323" s="1753">
        <f>AC323/4</f>
        <v>46.25</v>
      </c>
      <c r="AB323" s="1754">
        <f>AC323/4</f>
        <v>46.25</v>
      </c>
      <c r="AC323" s="1742">
        <v>185</v>
      </c>
      <c r="AD323" s="1752">
        <f>AH323/4</f>
        <v>41.25</v>
      </c>
      <c r="AE323" s="1753">
        <f>AH323/4</f>
        <v>41.25</v>
      </c>
      <c r="AF323" s="1753">
        <f>AH323/4</f>
        <v>41.25</v>
      </c>
      <c r="AG323" s="1754">
        <f>AH323/4</f>
        <v>41.25</v>
      </c>
      <c r="AH323" s="1742">
        <v>165</v>
      </c>
      <c r="AI323" s="1752">
        <f>AM323/4</f>
        <v>33.575000000000003</v>
      </c>
      <c r="AJ323" s="1753">
        <f>(AM323-SUM(AI323:AI323))/3</f>
        <v>33.575000000000003</v>
      </c>
      <c r="AK323" s="1753">
        <f>(AM323-AI323-AJ323)/2</f>
        <v>33.575000000000003</v>
      </c>
      <c r="AL323" s="1518">
        <f>(AM323-SUM(AI323:AK323))/1</f>
        <v>33.575000000000003</v>
      </c>
      <c r="AM323" s="1742">
        <v>134.30000000000001</v>
      </c>
      <c r="AN323" s="1752">
        <f>AR323/4</f>
        <v>84.05</v>
      </c>
      <c r="AO323" s="1753">
        <f>(AR323-SUM(AN323:AN323))/3</f>
        <v>84.05</v>
      </c>
      <c r="AP323" s="1753">
        <f>(AR323-AN323-AO323)/2</f>
        <v>84.049999999999983</v>
      </c>
      <c r="AQ323" s="1518">
        <f>(AR323-SUM(AN323:AP323))/1</f>
        <v>84.050000000000011</v>
      </c>
      <c r="AR323" s="1742">
        <v>336.2</v>
      </c>
      <c r="AS323" s="1752">
        <f>AW323/4</f>
        <v>82.125</v>
      </c>
      <c r="AT323" s="1753">
        <f>(AW323-SUM(AS323:AS323))/3</f>
        <v>82.125</v>
      </c>
      <c r="AU323" s="1753">
        <f>(AW323-AS323-AT323)/2</f>
        <v>82.125</v>
      </c>
      <c r="AV323" s="1518">
        <f>(AW323-SUM(AS323:AU323))/1</f>
        <v>82.125</v>
      </c>
      <c r="AW323" s="1742">
        <v>328.5</v>
      </c>
      <c r="AX323" s="1548">
        <f t="shared" ref="AX323:BL323" si="167">SUM(AX320:AX322)</f>
        <v>108.95833333333333</v>
      </c>
      <c r="AY323" s="1549">
        <f t="shared" si="167"/>
        <v>108.95833333333333</v>
      </c>
      <c r="AZ323" s="1549">
        <f t="shared" si="167"/>
        <v>108.95833333333333</v>
      </c>
      <c r="BA323" s="1518">
        <f t="shared" si="167"/>
        <v>108.95833333333331</v>
      </c>
      <c r="BB323" s="1425">
        <f t="shared" si="167"/>
        <v>435.83333333333331</v>
      </c>
      <c r="BC323" s="1548">
        <f t="shared" si="167"/>
        <v>102.08333333333333</v>
      </c>
      <c r="BD323" s="1549">
        <f t="shared" si="167"/>
        <v>102.08333333333333</v>
      </c>
      <c r="BE323" s="1549">
        <f t="shared" si="167"/>
        <v>102.08333333333333</v>
      </c>
      <c r="BF323" s="1518">
        <f t="shared" si="167"/>
        <v>102.08333333333331</v>
      </c>
      <c r="BG323" s="1425">
        <f t="shared" si="167"/>
        <v>408.33333333333331</v>
      </c>
      <c r="BH323" s="1548">
        <f t="shared" si="167"/>
        <v>102.08333333333333</v>
      </c>
      <c r="BI323" s="1549">
        <f t="shared" si="167"/>
        <v>102.08333333333333</v>
      </c>
      <c r="BJ323" s="1549">
        <f t="shared" si="167"/>
        <v>102.08333333333333</v>
      </c>
      <c r="BK323" s="1518">
        <f t="shared" si="167"/>
        <v>102.08333333333331</v>
      </c>
      <c r="BL323" s="1425">
        <f t="shared" si="167"/>
        <v>408.33333333333331</v>
      </c>
      <c r="BM323" s="1548">
        <f>SUM(BM320:BM322)</f>
        <v>18.75</v>
      </c>
      <c r="BN323" s="1549">
        <f>SUM(BN320:BN322)</f>
        <v>18.75</v>
      </c>
      <c r="BO323" s="1549">
        <f>SUM(BO320:BO322)</f>
        <v>18.75</v>
      </c>
      <c r="BP323" s="1518">
        <f>SUM(BP320:BP322)</f>
        <v>18.75</v>
      </c>
      <c r="BQ323" s="1425">
        <f>SUM(BQ320:BQ322)</f>
        <v>75</v>
      </c>
      <c r="BR323" s="1519"/>
      <c r="BS323" s="1519"/>
      <c r="BT323" s="1519"/>
      <c r="BU323" s="1519"/>
      <c r="BV323" s="1519"/>
      <c r="BW323" s="1519"/>
      <c r="BX323" s="1519"/>
      <c r="BY323" s="1519"/>
      <c r="BZ323" s="1519"/>
      <c r="CA323" s="1519"/>
      <c r="CB323" s="1519"/>
      <c r="CC323" s="1519"/>
      <c r="CD323" s="1519"/>
      <c r="CE323" s="1519"/>
      <c r="CF323" s="1519"/>
      <c r="CG323" s="1519"/>
      <c r="CH323" s="1519"/>
      <c r="CI323" s="1519"/>
      <c r="CJ323" s="1519"/>
      <c r="CK323" s="1519"/>
      <c r="CL323" s="1519"/>
      <c r="CM323" s="1519"/>
      <c r="CN323" s="1519"/>
      <c r="CO323" s="1519"/>
      <c r="CP323" s="1519"/>
      <c r="CQ323" s="1519"/>
      <c r="CR323" s="1519"/>
      <c r="CS323" s="1519"/>
      <c r="CT323" s="1519"/>
      <c r="CU323" s="1519"/>
      <c r="CV323" s="1519"/>
      <c r="CW323" s="1519"/>
      <c r="CX323" s="1519"/>
      <c r="CY323" s="1519"/>
      <c r="CZ323" s="1519"/>
    </row>
    <row r="324" spans="1:104">
      <c r="A324" s="1519"/>
      <c r="B324" s="1519"/>
      <c r="C324" s="1751"/>
      <c r="D324" s="1382"/>
      <c r="E324" s="1752"/>
      <c r="F324" s="1753"/>
      <c r="G324" s="1753"/>
      <c r="H324" s="1754"/>
      <c r="I324" s="1755"/>
      <c r="J324" s="1752"/>
      <c r="K324" s="1753"/>
      <c r="L324" s="1753"/>
      <c r="M324" s="1518"/>
      <c r="N324" s="1755"/>
      <c r="O324" s="1752"/>
      <c r="P324" s="1753"/>
      <c r="Q324" s="1753"/>
      <c r="R324" s="1518"/>
      <c r="S324" s="1755"/>
      <c r="T324" s="1752"/>
      <c r="U324" s="1753"/>
      <c r="V324" s="1753"/>
      <c r="W324" s="1518"/>
      <c r="X324" s="1742"/>
      <c r="Y324" s="1752"/>
      <c r="Z324" s="1753"/>
      <c r="AA324" s="1753"/>
      <c r="AB324" s="1754"/>
      <c r="AC324" s="1742"/>
      <c r="AD324" s="1752"/>
      <c r="AE324" s="1753"/>
      <c r="AF324" s="1753"/>
      <c r="AG324" s="1754"/>
      <c r="AH324" s="1742"/>
      <c r="AI324" s="1752"/>
      <c r="AJ324" s="1753"/>
      <c r="AK324" s="1753"/>
      <c r="AL324" s="1518"/>
      <c r="AM324" s="1742"/>
      <c r="AN324" s="1752"/>
      <c r="AO324" s="1549"/>
      <c r="AP324" s="1549"/>
      <c r="AQ324" s="1518"/>
      <c r="AR324" s="1425"/>
      <c r="AS324" s="1752"/>
      <c r="AT324" s="1549"/>
      <c r="AU324" s="1549"/>
      <c r="AV324" s="1518"/>
      <c r="AW324" s="1425"/>
      <c r="AX324" s="1548"/>
      <c r="AY324" s="1549"/>
      <c r="AZ324" s="1549"/>
      <c r="BA324" s="1518"/>
      <c r="BB324" s="1425"/>
      <c r="BC324" s="1548"/>
      <c r="BD324" s="1549"/>
      <c r="BE324" s="1549"/>
      <c r="BF324" s="1518"/>
      <c r="BG324" s="1425"/>
      <c r="BH324" s="1548"/>
      <c r="BI324" s="1549"/>
      <c r="BJ324" s="1549"/>
      <c r="BK324" s="1518"/>
      <c r="BL324" s="1425"/>
      <c r="BM324" s="1548"/>
      <c r="BN324" s="1549"/>
      <c r="BO324" s="1549"/>
      <c r="BP324" s="1518"/>
      <c r="BQ324" s="1425"/>
      <c r="BR324" s="1519"/>
      <c r="BS324" s="1519"/>
      <c r="BT324" s="1519"/>
      <c r="BU324" s="1519"/>
      <c r="BV324" s="1519"/>
      <c r="BW324" s="1519"/>
      <c r="BX324" s="1519"/>
      <c r="BY324" s="1519"/>
      <c r="BZ324" s="1519"/>
      <c r="CA324" s="1519"/>
      <c r="CB324" s="1519"/>
      <c r="CC324" s="1519"/>
      <c r="CD324" s="1519"/>
      <c r="CE324" s="1519"/>
      <c r="CF324" s="1519"/>
      <c r="CG324" s="1519"/>
      <c r="CH324" s="1519"/>
      <c r="CI324" s="1519"/>
      <c r="CJ324" s="1519"/>
      <c r="CK324" s="1519"/>
      <c r="CL324" s="1519"/>
      <c r="CM324" s="1519"/>
      <c r="CN324" s="1519"/>
      <c r="CO324" s="1519"/>
      <c r="CP324" s="1519"/>
      <c r="CQ324" s="1519"/>
      <c r="CR324" s="1519"/>
      <c r="CS324" s="1519"/>
      <c r="CT324" s="1519"/>
      <c r="CU324" s="1519"/>
      <c r="CV324" s="1519"/>
      <c r="CW324" s="1519"/>
      <c r="CX324" s="1519"/>
      <c r="CY324" s="1519"/>
      <c r="CZ324" s="1519"/>
    </row>
    <row r="325" spans="1:104">
      <c r="A325" s="1519"/>
      <c r="B325" s="1519"/>
      <c r="C325" s="1751"/>
      <c r="D325" s="1382"/>
      <c r="E325" s="1752"/>
      <c r="F325" s="1753"/>
      <c r="G325" s="1753"/>
      <c r="H325" s="1754"/>
      <c r="I325" s="1755"/>
      <c r="J325" s="1752"/>
      <c r="K325" s="1753"/>
      <c r="L325" s="1753"/>
      <c r="M325" s="1518"/>
      <c r="N325" s="1755"/>
      <c r="O325" s="1752"/>
      <c r="P325" s="1753"/>
      <c r="Q325" s="1753"/>
      <c r="R325" s="1518"/>
      <c r="S325" s="1755"/>
      <c r="T325" s="1752"/>
      <c r="U325" s="1753"/>
      <c r="V325" s="1753"/>
      <c r="W325" s="1518"/>
      <c r="X325" s="1742"/>
      <c r="Y325" s="1752"/>
      <c r="Z325" s="1753"/>
      <c r="AA325" s="1753"/>
      <c r="AB325" s="1754"/>
      <c r="AC325" s="1742"/>
      <c r="AD325" s="1752"/>
      <c r="AE325" s="1753"/>
      <c r="AF325" s="1753"/>
      <c r="AG325" s="1754"/>
      <c r="AH325" s="1742"/>
      <c r="AI325" s="1752"/>
      <c r="AJ325" s="1753"/>
      <c r="AK325" s="1753"/>
      <c r="AL325" s="1518"/>
      <c r="AM325" s="1742"/>
      <c r="AN325" s="1752"/>
      <c r="AO325" s="1549"/>
      <c r="AP325" s="1549"/>
      <c r="AQ325" s="1518"/>
      <c r="AR325" s="1425"/>
      <c r="AS325" s="1752"/>
      <c r="AT325" s="1549"/>
      <c r="AU325" s="1549"/>
      <c r="AV325" s="1518"/>
      <c r="AW325" s="1425"/>
      <c r="AX325" s="1548"/>
      <c r="AY325" s="1549"/>
      <c r="AZ325" s="1549"/>
      <c r="BA325" s="1518"/>
      <c r="BB325" s="1425"/>
      <c r="BC325" s="1548"/>
      <c r="BD325" s="1549"/>
      <c r="BE325" s="1549"/>
      <c r="BF325" s="1518"/>
      <c r="BG325" s="1425"/>
      <c r="BH325" s="1548"/>
      <c r="BI325" s="1549"/>
      <c r="BJ325" s="1549"/>
      <c r="BK325" s="1518"/>
      <c r="BL325" s="1425"/>
      <c r="BM325" s="1548"/>
      <c r="BN325" s="1549"/>
      <c r="BO325" s="1549"/>
      <c r="BP325" s="1518"/>
      <c r="BQ325" s="1425"/>
      <c r="BR325" s="1519"/>
      <c r="BS325" s="1519"/>
      <c r="BT325" s="1519"/>
      <c r="BU325" s="1519"/>
      <c r="BV325" s="1519"/>
      <c r="BW325" s="1519"/>
      <c r="BX325" s="1519"/>
      <c r="BY325" s="1519"/>
      <c r="BZ325" s="1519"/>
      <c r="CA325" s="1519"/>
      <c r="CB325" s="1519"/>
      <c r="CC325" s="1519"/>
      <c r="CD325" s="1519"/>
      <c r="CE325" s="1519"/>
      <c r="CF325" s="1519"/>
      <c r="CG325" s="1519"/>
      <c r="CH325" s="1519"/>
      <c r="CI325" s="1519"/>
      <c r="CJ325" s="1519"/>
      <c r="CK325" s="1519"/>
      <c r="CL325" s="1519"/>
      <c r="CM325" s="1519"/>
      <c r="CN325" s="1519"/>
      <c r="CO325" s="1519"/>
      <c r="CP325" s="1519"/>
      <c r="CQ325" s="1519"/>
      <c r="CR325" s="1519"/>
      <c r="CS325" s="1519"/>
      <c r="CT325" s="1519"/>
      <c r="CU325" s="1519"/>
      <c r="CV325" s="1519"/>
      <c r="CW325" s="1519"/>
      <c r="CX325" s="1519"/>
      <c r="CY325" s="1519"/>
      <c r="CZ325" s="1519"/>
    </row>
    <row r="326" spans="1:104">
      <c r="A326" s="1523"/>
      <c r="B326" s="1756" t="s">
        <v>225</v>
      </c>
      <c r="C326" s="1756"/>
      <c r="D326" s="1757"/>
      <c r="E326" s="1747"/>
      <c r="F326" s="1748"/>
      <c r="G326" s="1748"/>
      <c r="H326" s="1522"/>
      <c r="I326" s="1523"/>
      <c r="J326" s="1747"/>
      <c r="K326" s="1748"/>
      <c r="L326" s="1748"/>
      <c r="M326" s="1522"/>
      <c r="N326" s="1523"/>
      <c r="O326" s="1747"/>
      <c r="P326" s="1748"/>
      <c r="Q326" s="1748"/>
      <c r="R326" s="1522"/>
      <c r="S326" s="1523"/>
      <c r="T326" s="1747"/>
      <c r="U326" s="1748"/>
      <c r="V326" s="1748"/>
      <c r="W326" s="1522"/>
      <c r="X326" s="1523"/>
      <c r="Y326" s="1747"/>
      <c r="Z326" s="1748"/>
      <c r="AA326" s="1748"/>
      <c r="AB326" s="1522"/>
      <c r="AC326" s="1523"/>
      <c r="AD326" s="1747"/>
      <c r="AE326" s="1748"/>
      <c r="AF326" s="1748"/>
      <c r="AG326" s="1522"/>
      <c r="AH326" s="1523"/>
      <c r="AI326" s="1747"/>
      <c r="AJ326" s="1748"/>
      <c r="AK326" s="1748"/>
      <c r="AL326" s="1522"/>
      <c r="AM326" s="1523"/>
      <c r="AN326" s="1747"/>
      <c r="AO326" s="1748"/>
      <c r="AP326" s="1748"/>
      <c r="AQ326" s="1522"/>
      <c r="AR326" s="1523"/>
      <c r="AS326" s="1747"/>
      <c r="AT326" s="1748"/>
      <c r="AU326" s="1748"/>
      <c r="AV326" s="1522"/>
      <c r="AX326" s="1747"/>
      <c r="AY326" s="1748"/>
      <c r="AZ326" s="1748"/>
      <c r="BA326" s="1522"/>
      <c r="BB326" s="1523"/>
      <c r="BC326" s="1747"/>
      <c r="BD326" s="1748"/>
      <c r="BE326" s="1748"/>
      <c r="BF326" s="1522"/>
      <c r="BG326" s="1523"/>
      <c r="BH326" s="1747"/>
      <c r="BI326" s="1748"/>
      <c r="BJ326" s="1748"/>
      <c r="BK326" s="1522"/>
      <c r="BL326" s="1523"/>
      <c r="BM326" s="1747"/>
      <c r="BN326" s="1748"/>
      <c r="BO326" s="1748"/>
      <c r="BP326" s="1522"/>
      <c r="BQ326" s="1523"/>
      <c r="BR326" s="1523"/>
      <c r="BS326" s="1523"/>
      <c r="BT326" s="1523"/>
      <c r="BU326" s="1523"/>
      <c r="BV326" s="1523"/>
      <c r="BW326" s="1523"/>
      <c r="BX326" s="1523"/>
      <c r="BY326" s="1523"/>
      <c r="BZ326" s="1523"/>
      <c r="CA326" s="1523"/>
      <c r="CB326" s="1523"/>
      <c r="CC326" s="1523"/>
      <c r="CD326" s="1523"/>
      <c r="CE326" s="1523"/>
      <c r="CF326" s="1523"/>
      <c r="CG326" s="1523"/>
      <c r="CH326" s="1523"/>
      <c r="CI326" s="1523"/>
      <c r="CJ326" s="1523"/>
      <c r="CK326" s="1523"/>
      <c r="CL326" s="1523"/>
      <c r="CM326" s="1523"/>
      <c r="CN326" s="1523"/>
      <c r="CO326" s="1523"/>
      <c r="CP326" s="1523"/>
      <c r="CQ326" s="1523"/>
      <c r="CR326" s="1523"/>
      <c r="CS326" s="1523"/>
      <c r="CT326" s="1523"/>
      <c r="CU326" s="1523"/>
      <c r="CV326" s="1523"/>
      <c r="CW326" s="1523"/>
      <c r="CX326" s="1523"/>
      <c r="CY326" s="1523"/>
      <c r="CZ326" s="1523"/>
    </row>
    <row r="327" spans="1:104">
      <c r="A327" s="1523"/>
      <c r="B327" s="1523"/>
      <c r="C327" s="1758" t="s">
        <v>35</v>
      </c>
      <c r="D327" s="1523"/>
      <c r="E327" s="1747"/>
      <c r="F327" s="1748"/>
      <c r="G327" s="1748"/>
      <c r="H327" s="1522"/>
      <c r="I327" s="1523"/>
      <c r="J327" s="1747"/>
      <c r="K327" s="1748"/>
      <c r="L327" s="1748"/>
      <c r="M327" s="1522"/>
      <c r="N327" s="1523"/>
      <c r="O327" s="1747"/>
      <c r="P327" s="1748"/>
      <c r="Q327" s="1748"/>
      <c r="R327" s="1522"/>
      <c r="S327" s="1523"/>
      <c r="T327" s="1747"/>
      <c r="U327" s="1748"/>
      <c r="V327" s="1748"/>
      <c r="W327" s="1522"/>
      <c r="X327" s="1523"/>
      <c r="Y327" s="1747"/>
      <c r="Z327" s="1748"/>
      <c r="AA327" s="1748"/>
      <c r="AB327" s="1522"/>
      <c r="AC327" s="1523"/>
      <c r="AD327" s="1747"/>
      <c r="AE327" s="1748"/>
      <c r="AF327" s="1748"/>
      <c r="AG327" s="1522"/>
      <c r="AH327" s="1523"/>
      <c r="AI327" s="1747"/>
      <c r="AJ327" s="1748"/>
      <c r="AK327" s="1748"/>
      <c r="AL327" s="1522"/>
      <c r="AM327" s="1523"/>
      <c r="AN327" s="1747"/>
      <c r="AO327" s="1748"/>
      <c r="AP327" s="1748"/>
      <c r="AQ327" s="1522"/>
      <c r="AR327" s="1523"/>
      <c r="AS327" s="1747"/>
      <c r="AT327" s="1748"/>
      <c r="AU327" s="1748"/>
      <c r="AV327" s="1522"/>
      <c r="AW327" s="1523"/>
      <c r="AX327" s="1747"/>
      <c r="AY327" s="1748"/>
      <c r="AZ327" s="1748"/>
      <c r="BA327" s="1522"/>
      <c r="BB327" s="1523"/>
      <c r="BC327" s="1747"/>
      <c r="BD327" s="1748"/>
      <c r="BE327" s="1748"/>
      <c r="BF327" s="1522"/>
      <c r="BG327" s="1523"/>
      <c r="BH327" s="1747"/>
      <c r="BI327" s="1748"/>
      <c r="BJ327" s="1748"/>
      <c r="BK327" s="1522"/>
      <c r="BL327" s="1523"/>
      <c r="BM327" s="1747"/>
      <c r="BN327" s="1748"/>
      <c r="BO327" s="1748"/>
      <c r="BP327" s="1522"/>
      <c r="BQ327" s="1523"/>
      <c r="BR327" s="1523"/>
      <c r="BS327" s="1523"/>
      <c r="BT327" s="1523"/>
      <c r="BU327" s="1523"/>
      <c r="BV327" s="1523"/>
      <c r="BW327" s="1523"/>
      <c r="BX327" s="1523"/>
      <c r="BY327" s="1523"/>
      <c r="BZ327" s="1523"/>
      <c r="CA327" s="1523"/>
      <c r="CB327" s="1523"/>
      <c r="CC327" s="1523"/>
      <c r="CD327" s="1523"/>
      <c r="CE327" s="1523"/>
      <c r="CF327" s="1523"/>
      <c r="CG327" s="1523"/>
      <c r="CH327" s="1523"/>
      <c r="CI327" s="1523"/>
      <c r="CJ327" s="1523"/>
      <c r="CK327" s="1523"/>
      <c r="CL327" s="1523"/>
      <c r="CM327" s="1523"/>
      <c r="CN327" s="1523"/>
      <c r="CO327" s="1523"/>
      <c r="CP327" s="1523"/>
      <c r="CQ327" s="1523"/>
      <c r="CR327" s="1523"/>
      <c r="CS327" s="1523"/>
      <c r="CT327" s="1523"/>
      <c r="CU327" s="1523"/>
      <c r="CV327" s="1523"/>
      <c r="CW327" s="1523"/>
      <c r="CX327" s="1523"/>
      <c r="CY327" s="1523"/>
      <c r="CZ327" s="1523"/>
    </row>
    <row r="328" spans="1:104">
      <c r="A328" s="1519"/>
      <c r="B328" s="1519"/>
      <c r="C328" s="1759" t="s">
        <v>36</v>
      </c>
      <c r="D328" s="1382"/>
      <c r="E328" s="1485"/>
      <c r="F328" s="1486"/>
      <c r="G328" s="1486"/>
      <c r="H328" s="1487"/>
      <c r="I328" s="1382"/>
      <c r="J328" s="1485"/>
      <c r="K328" s="1486"/>
      <c r="L328" s="1486"/>
      <c r="M328" s="1487"/>
      <c r="N328" s="1382"/>
      <c r="O328" s="1485"/>
      <c r="P328" s="1486"/>
      <c r="Q328" s="1486"/>
      <c r="R328" s="1487"/>
      <c r="S328" s="1382"/>
      <c r="T328" s="1485"/>
      <c r="U328" s="1486"/>
      <c r="V328" s="1486"/>
      <c r="W328" s="1487"/>
      <c r="X328" s="1382">
        <f>Debt!V311</f>
        <v>0</v>
      </c>
      <c r="Y328" s="1485">
        <f>Debt!W311</f>
        <v>0</v>
      </c>
      <c r="Z328" s="1486">
        <f>Debt!X311</f>
        <v>0</v>
      </c>
      <c r="AA328" s="1486">
        <f>Debt!Y311</f>
        <v>0</v>
      </c>
      <c r="AB328" s="1487">
        <f>Debt!Z311</f>
        <v>0</v>
      </c>
      <c r="AC328" s="1382">
        <f>Debt!AA311</f>
        <v>0</v>
      </c>
      <c r="AD328" s="1485">
        <f>Debt!AB311</f>
        <v>0</v>
      </c>
      <c r="AE328" s="1486">
        <f>Debt!AC311</f>
        <v>0</v>
      </c>
      <c r="AF328" s="1486">
        <f>Debt!AD311</f>
        <v>0</v>
      </c>
      <c r="AG328" s="1487">
        <f>Debt!AE311</f>
        <v>0</v>
      </c>
      <c r="AH328" s="1382">
        <f>Debt!AF311</f>
        <v>0</v>
      </c>
      <c r="AI328" s="1485">
        <f>Debt!AG311</f>
        <v>0</v>
      </c>
      <c r="AJ328" s="1486">
        <f>Debt!AH311</f>
        <v>0</v>
      </c>
      <c r="AK328" s="1486">
        <f>Debt!AI311</f>
        <v>0</v>
      </c>
      <c r="AL328" s="1487">
        <f>Debt!AJ311</f>
        <v>0</v>
      </c>
      <c r="AM328" s="1382">
        <f>Debt!AK311</f>
        <v>0</v>
      </c>
      <c r="AN328" s="1485">
        <f>Debt!AL311</f>
        <v>0</v>
      </c>
      <c r="AO328" s="1486">
        <f>Debt!AM311</f>
        <v>0</v>
      </c>
      <c r="AP328" s="1486">
        <f>Debt!AN311</f>
        <v>0</v>
      </c>
      <c r="AQ328" s="1487">
        <f>Debt!AO311</f>
        <v>0</v>
      </c>
      <c r="AR328" s="1382">
        <f>Debt!AP311</f>
        <v>0</v>
      </c>
      <c r="AS328" s="1485">
        <f>Debt!AQ311</f>
        <v>0</v>
      </c>
      <c r="AT328" s="1486">
        <f>Debt!AR311</f>
        <v>0</v>
      </c>
      <c r="AU328" s="1486">
        <f>Debt!AS311</f>
        <v>0</v>
      </c>
      <c r="AV328" s="1487">
        <f>Debt!AT311</f>
        <v>0</v>
      </c>
      <c r="AW328" s="1749">
        <f>Debt!AU311</f>
        <v>0</v>
      </c>
      <c r="AX328" s="1485">
        <f>Debt!AV311</f>
        <v>0</v>
      </c>
      <c r="AY328" s="1486">
        <f>Debt!AW311</f>
        <v>0</v>
      </c>
      <c r="AZ328" s="1486">
        <f>Debt!AX311</f>
        <v>150</v>
      </c>
      <c r="BA328" s="1487">
        <f>Debt!AY311</f>
        <v>0</v>
      </c>
      <c r="BB328" s="1749">
        <v>150</v>
      </c>
      <c r="BC328" s="1485">
        <f>Debt!BA311</f>
        <v>0</v>
      </c>
      <c r="BD328" s="1486">
        <f>Debt!BB311</f>
        <v>0</v>
      </c>
      <c r="BE328" s="1486">
        <f>Debt!BC311</f>
        <v>175</v>
      </c>
      <c r="BF328" s="1487">
        <f>Debt!BD311</f>
        <v>0</v>
      </c>
      <c r="BG328" s="1838">
        <v>175</v>
      </c>
      <c r="BH328" s="1485">
        <f>Debt!BF311</f>
        <v>0</v>
      </c>
      <c r="BI328" s="1486">
        <f>Debt!BG311</f>
        <v>0</v>
      </c>
      <c r="BJ328" s="1486">
        <f>Debt!BH311</f>
        <v>175</v>
      </c>
      <c r="BK328" s="1487">
        <f>Debt!BI311</f>
        <v>0</v>
      </c>
      <c r="BL328" s="1838">
        <v>175</v>
      </c>
      <c r="BM328" s="1485">
        <f>Debt!BK311</f>
        <v>0</v>
      </c>
      <c r="BN328" s="1486">
        <f>Debt!BL311</f>
        <v>0</v>
      </c>
      <c r="BO328" s="1486">
        <f>Debt!BM311</f>
        <v>175</v>
      </c>
      <c r="BP328" s="1487">
        <f>Debt!BN311</f>
        <v>0</v>
      </c>
      <c r="BQ328" s="1838">
        <v>175</v>
      </c>
      <c r="BR328" s="1519"/>
      <c r="BS328" s="1519"/>
      <c r="BT328" s="1519"/>
      <c r="BU328" s="1519"/>
      <c r="BV328" s="1519"/>
      <c r="BW328" s="1519"/>
      <c r="BX328" s="1519"/>
      <c r="BY328" s="1519"/>
      <c r="BZ328" s="1519"/>
      <c r="CA328" s="1519"/>
      <c r="CB328" s="1519"/>
      <c r="CC328" s="1519"/>
      <c r="CD328" s="1519"/>
      <c r="CE328" s="1519"/>
      <c r="CF328" s="1519"/>
      <c r="CG328" s="1519"/>
      <c r="CH328" s="1519"/>
      <c r="CI328" s="1519"/>
      <c r="CJ328" s="1519"/>
      <c r="CK328" s="1519"/>
      <c r="CL328" s="1519"/>
      <c r="CM328" s="1519"/>
      <c r="CN328" s="1519"/>
      <c r="CO328" s="1519"/>
      <c r="CP328" s="1519"/>
      <c r="CQ328" s="1519"/>
      <c r="CR328" s="1519"/>
      <c r="CS328" s="1519"/>
      <c r="CT328" s="1519"/>
      <c r="CU328" s="1519"/>
      <c r="CV328" s="1519"/>
      <c r="CW328" s="1519"/>
      <c r="CX328" s="1519"/>
      <c r="CY328" s="1519"/>
      <c r="CZ328" s="1519"/>
    </row>
    <row r="329" spans="1:104">
      <c r="A329" s="1519"/>
      <c r="B329" s="1519"/>
      <c r="C329" s="1759" t="s">
        <v>37</v>
      </c>
      <c r="D329" s="1382"/>
      <c r="E329" s="1485"/>
      <c r="F329" s="1486"/>
      <c r="G329" s="1486"/>
      <c r="H329" s="1487"/>
      <c r="I329" s="1382"/>
      <c r="J329" s="1485"/>
      <c r="K329" s="1486"/>
      <c r="L329" s="1486"/>
      <c r="M329" s="1487"/>
      <c r="N329" s="1382"/>
      <c r="O329" s="1485"/>
      <c r="P329" s="1486"/>
      <c r="Q329" s="1486"/>
      <c r="R329" s="1487"/>
      <c r="S329" s="1382"/>
      <c r="T329" s="1485"/>
      <c r="U329" s="1486"/>
      <c r="V329" s="1486"/>
      <c r="W329" s="1487"/>
      <c r="X329" s="1382">
        <f>Debt!V303</f>
        <v>0</v>
      </c>
      <c r="Y329" s="1485">
        <f>Debt!W303</f>
        <v>0</v>
      </c>
      <c r="Z329" s="1486">
        <f>Debt!X303</f>
        <v>0</v>
      </c>
      <c r="AA329" s="1486">
        <f>Debt!Y303</f>
        <v>0</v>
      </c>
      <c r="AB329" s="1487">
        <f>Debt!Z303</f>
        <v>0</v>
      </c>
      <c r="AC329" s="1382">
        <f>Debt!AA303</f>
        <v>0</v>
      </c>
      <c r="AD329" s="1485">
        <f>Debt!AB303</f>
        <v>0</v>
      </c>
      <c r="AE329" s="1486">
        <f>Debt!AC303</f>
        <v>0</v>
      </c>
      <c r="AF329" s="1486">
        <f>Debt!AD303</f>
        <v>0</v>
      </c>
      <c r="AG329" s="1487">
        <f>Debt!AE303</f>
        <v>0</v>
      </c>
      <c r="AH329" s="1382">
        <f>Debt!AF303</f>
        <v>0</v>
      </c>
      <c r="AI329" s="1485">
        <f>Debt!AG303</f>
        <v>0</v>
      </c>
      <c r="AJ329" s="1486">
        <f>Debt!AH303</f>
        <v>0</v>
      </c>
      <c r="AK329" s="1486">
        <f>Debt!AI303</f>
        <v>0</v>
      </c>
      <c r="AL329" s="1487">
        <f>Debt!AJ303</f>
        <v>0</v>
      </c>
      <c r="AM329" s="1382">
        <f>Debt!AK303</f>
        <v>0</v>
      </c>
      <c r="AN329" s="1485">
        <f>Debt!AL303</f>
        <v>0</v>
      </c>
      <c r="AO329" s="1486">
        <f>Debt!AM303</f>
        <v>0</v>
      </c>
      <c r="AP329" s="1486">
        <f>Debt!AN303</f>
        <v>0</v>
      </c>
      <c r="AQ329" s="1487">
        <f>Debt!AO303</f>
        <v>0</v>
      </c>
      <c r="AR329" s="1382">
        <f>Debt!AP303</f>
        <v>0</v>
      </c>
      <c r="AS329" s="1485">
        <f>Debt!AQ303</f>
        <v>-652.72732999999994</v>
      </c>
      <c r="AT329" s="1486">
        <f>Debt!AR303</f>
        <v>0</v>
      </c>
      <c r="AU329" s="1486">
        <f>Debt!AS303</f>
        <v>0</v>
      </c>
      <c r="AV329" s="1487">
        <f>Debt!AT303</f>
        <v>0</v>
      </c>
      <c r="AW329" s="1382">
        <f>Debt!AU303</f>
        <v>-652.72732999999994</v>
      </c>
      <c r="AX329" s="1485">
        <f>Debt!AV303</f>
        <v>0</v>
      </c>
      <c r="AY329" s="1486">
        <f>Debt!AW303</f>
        <v>0</v>
      </c>
      <c r="AZ329" s="1486">
        <f>Debt!AX303</f>
        <v>0</v>
      </c>
      <c r="BA329" s="1487">
        <f>Debt!AY303</f>
        <v>-125</v>
      </c>
      <c r="BB329" s="1382">
        <f>Debt!AZ303</f>
        <v>-125</v>
      </c>
      <c r="BC329" s="1485">
        <f>Debt!BA303</f>
        <v>0</v>
      </c>
      <c r="BD329" s="1486">
        <f>Debt!BB303</f>
        <v>0</v>
      </c>
      <c r="BE329" s="1486">
        <f>Debt!BC303</f>
        <v>0</v>
      </c>
      <c r="BF329" s="1487">
        <f>Debt!BD303</f>
        <v>0</v>
      </c>
      <c r="BG329" s="1382">
        <f>Debt!BE303</f>
        <v>0</v>
      </c>
      <c r="BH329" s="1485">
        <f>Debt!BF303</f>
        <v>0</v>
      </c>
      <c r="BI329" s="1486">
        <f>Debt!BG303</f>
        <v>0</v>
      </c>
      <c r="BJ329" s="1486">
        <f>Debt!BH303</f>
        <v>0</v>
      </c>
      <c r="BK329" s="1487">
        <f>Debt!BI303</f>
        <v>0</v>
      </c>
      <c r="BL329" s="1382">
        <f>Debt!BJ303</f>
        <v>0</v>
      </c>
      <c r="BM329" s="1485">
        <f>Debt!BK303</f>
        <v>0</v>
      </c>
      <c r="BN329" s="1486">
        <f>Debt!BL303</f>
        <v>0</v>
      </c>
      <c r="BO329" s="1486">
        <f>Debt!BM303</f>
        <v>0</v>
      </c>
      <c r="BP329" s="1487">
        <f>Debt!BN303</f>
        <v>0</v>
      </c>
      <c r="BQ329" s="1382">
        <f>Debt!BO303</f>
        <v>0</v>
      </c>
      <c r="BR329" s="1519"/>
      <c r="BS329" s="1519"/>
      <c r="BT329" s="1519"/>
      <c r="BU329" s="1519"/>
      <c r="BV329" s="1519"/>
      <c r="BW329" s="1519"/>
      <c r="BX329" s="1519"/>
      <c r="BY329" s="1519"/>
      <c r="BZ329" s="1519"/>
      <c r="CA329" s="1519"/>
      <c r="CB329" s="1519"/>
      <c r="CC329" s="1519"/>
      <c r="CD329" s="1519"/>
      <c r="CE329" s="1519"/>
      <c r="CF329" s="1519"/>
      <c r="CG329" s="1519"/>
      <c r="CH329" s="1519"/>
      <c r="CI329" s="1519"/>
      <c r="CJ329" s="1519"/>
      <c r="CK329" s="1519"/>
      <c r="CL329" s="1519"/>
      <c r="CM329" s="1519"/>
      <c r="CN329" s="1519"/>
      <c r="CO329" s="1519"/>
      <c r="CP329" s="1519"/>
      <c r="CQ329" s="1519"/>
      <c r="CR329" s="1519"/>
      <c r="CS329" s="1519"/>
      <c r="CT329" s="1519"/>
      <c r="CU329" s="1519"/>
      <c r="CV329" s="1519"/>
      <c r="CW329" s="1519"/>
      <c r="CX329" s="1519"/>
      <c r="CY329" s="1519"/>
      <c r="CZ329" s="1519"/>
    </row>
    <row r="330" spans="1:104">
      <c r="A330" s="1523"/>
      <c r="B330" s="1523"/>
      <c r="C330" s="1759"/>
      <c r="D330" s="1523"/>
      <c r="E330" s="1747"/>
      <c r="F330" s="1748"/>
      <c r="G330" s="1748"/>
      <c r="H330" s="1522"/>
      <c r="I330" s="1523"/>
      <c r="J330" s="1747"/>
      <c r="K330" s="1748"/>
      <c r="L330" s="1748"/>
      <c r="M330" s="1522"/>
      <c r="N330" s="1523"/>
      <c r="O330" s="1747"/>
      <c r="P330" s="1748"/>
      <c r="Q330" s="1486"/>
      <c r="R330" s="1487"/>
      <c r="S330" s="1382"/>
      <c r="T330" s="1747"/>
      <c r="U330" s="1748"/>
      <c r="V330" s="1748"/>
      <c r="W330" s="1487"/>
      <c r="X330" s="1382"/>
      <c r="Y330" s="1747"/>
      <c r="Z330" s="1488"/>
      <c r="AA330" s="1488"/>
      <c r="AB330" s="1487"/>
      <c r="AC330" s="1382"/>
      <c r="AD330" s="1747"/>
      <c r="AE330" s="1488"/>
      <c r="AF330" s="1488"/>
      <c r="AG330" s="1487"/>
      <c r="AH330" s="1382"/>
      <c r="AI330" s="1485"/>
      <c r="AJ330" s="1488"/>
      <c r="AK330" s="1488"/>
      <c r="AL330" s="1487"/>
      <c r="AM330" s="1382"/>
      <c r="AN330" s="1485"/>
      <c r="AO330" s="1488"/>
      <c r="AP330" s="1488"/>
      <c r="AQ330" s="1487"/>
      <c r="AR330" s="1382"/>
      <c r="AS330" s="1485"/>
      <c r="AT330" s="1488"/>
      <c r="AU330" s="1488"/>
      <c r="AV330" s="1487"/>
      <c r="AW330" s="1382"/>
      <c r="AX330" s="1485"/>
      <c r="AY330" s="1488"/>
      <c r="AZ330" s="1488"/>
      <c r="BA330" s="1487"/>
      <c r="BB330" s="1382"/>
      <c r="BC330" s="1485"/>
      <c r="BD330" s="1488"/>
      <c r="BE330" s="1488"/>
      <c r="BF330" s="1487"/>
      <c r="BG330" s="1382"/>
      <c r="BH330" s="1485"/>
      <c r="BI330" s="1488"/>
      <c r="BJ330" s="1488"/>
      <c r="BK330" s="1487"/>
      <c r="BL330" s="1382"/>
      <c r="BM330" s="1485"/>
      <c r="BN330" s="1488"/>
      <c r="BO330" s="1488"/>
      <c r="BP330" s="1487"/>
      <c r="BQ330" s="1382"/>
      <c r="BR330" s="1523"/>
      <c r="BS330" s="1523"/>
      <c r="BT330" s="1523"/>
      <c r="BU330" s="1523"/>
      <c r="BV330" s="1523"/>
      <c r="BW330" s="1523"/>
      <c r="BX330" s="1523"/>
      <c r="BY330" s="1523"/>
      <c r="BZ330" s="1523"/>
      <c r="CA330" s="1523"/>
      <c r="CB330" s="1523"/>
      <c r="CC330" s="1523"/>
      <c r="CD330" s="1523"/>
      <c r="CE330" s="1523"/>
      <c r="CF330" s="1523"/>
      <c r="CG330" s="1523"/>
      <c r="CH330" s="1523"/>
      <c r="CI330" s="1523"/>
      <c r="CJ330" s="1523"/>
      <c r="CK330" s="1523"/>
      <c r="CL330" s="1523"/>
      <c r="CM330" s="1523"/>
      <c r="CN330" s="1523"/>
      <c r="CO330" s="1523"/>
      <c r="CP330" s="1523"/>
      <c r="CQ330" s="1523"/>
      <c r="CR330" s="1523"/>
      <c r="CS330" s="1523"/>
      <c r="CT330" s="1523"/>
      <c r="CU330" s="1523"/>
      <c r="CV330" s="1523"/>
      <c r="CW330" s="1523"/>
      <c r="CX330" s="1523"/>
      <c r="CY330" s="1523"/>
      <c r="CZ330" s="1523"/>
    </row>
    <row r="331" spans="1:104">
      <c r="A331" s="1523"/>
      <c r="B331" s="1523"/>
      <c r="C331" s="1758" t="s">
        <v>5</v>
      </c>
      <c r="D331" s="1523"/>
      <c r="E331" s="1747"/>
      <c r="F331" s="1748"/>
      <c r="G331" s="1748"/>
      <c r="H331" s="1522"/>
      <c r="I331" s="1523"/>
      <c r="J331" s="1747"/>
      <c r="K331" s="1748"/>
      <c r="L331" s="1748"/>
      <c r="M331" s="1522"/>
      <c r="N331" s="1523"/>
      <c r="O331" s="1747"/>
      <c r="P331" s="1748"/>
      <c r="Q331" s="1486"/>
      <c r="R331" s="1487"/>
      <c r="S331" s="1382"/>
      <c r="T331" s="1747"/>
      <c r="U331" s="1748"/>
      <c r="V331" s="1748"/>
      <c r="W331" s="1487"/>
      <c r="X331" s="1382"/>
      <c r="Y331" s="1747"/>
      <c r="Z331" s="1486"/>
      <c r="AA331" s="1486"/>
      <c r="AB331" s="1487"/>
      <c r="AC331" s="1382"/>
      <c r="AD331" s="1747"/>
      <c r="AE331" s="1486"/>
      <c r="AF331" s="1486"/>
      <c r="AG331" s="1487"/>
      <c r="AH331" s="1382"/>
      <c r="AI331" s="1485"/>
      <c r="AJ331" s="1486"/>
      <c r="AK331" s="1486"/>
      <c r="AL331" s="1487"/>
      <c r="AM331" s="1382"/>
      <c r="AN331" s="1485"/>
      <c r="AO331" s="1486"/>
      <c r="AP331" s="1486"/>
      <c r="AQ331" s="1487"/>
      <c r="AR331" s="1382"/>
      <c r="AS331" s="1485"/>
      <c r="AT331" s="1486"/>
      <c r="AU331" s="1486"/>
      <c r="AV331" s="1487"/>
      <c r="AW331" s="1382"/>
      <c r="AX331" s="1485"/>
      <c r="AY331" s="1486"/>
      <c r="AZ331" s="1486"/>
      <c r="BA331" s="1487"/>
      <c r="BB331" s="1382"/>
      <c r="BC331" s="1485"/>
      <c r="BD331" s="1486"/>
      <c r="BE331" s="1486"/>
      <c r="BF331" s="1487"/>
      <c r="BG331" s="1382"/>
      <c r="BH331" s="1485"/>
      <c r="BI331" s="1486"/>
      <c r="BJ331" s="1486"/>
      <c r="BK331" s="1487"/>
      <c r="BL331" s="1382"/>
      <c r="BM331" s="1485"/>
      <c r="BN331" s="1486"/>
      <c r="BO331" s="1486"/>
      <c r="BP331" s="1487"/>
      <c r="BQ331" s="1382"/>
      <c r="BR331" s="1523"/>
      <c r="BS331" s="1523"/>
      <c r="BT331" s="1523"/>
      <c r="BU331" s="1523"/>
      <c r="BV331" s="1523"/>
      <c r="BW331" s="1523"/>
      <c r="BX331" s="1523"/>
      <c r="BY331" s="1523"/>
      <c r="BZ331" s="1523"/>
      <c r="CA331" s="1523"/>
      <c r="CB331" s="1523"/>
      <c r="CC331" s="1523"/>
      <c r="CD331" s="1523"/>
      <c r="CE331" s="1523"/>
      <c r="CF331" s="1523"/>
      <c r="CG331" s="1523"/>
      <c r="CH331" s="1523"/>
      <c r="CI331" s="1523"/>
      <c r="CJ331" s="1523"/>
      <c r="CK331" s="1523"/>
      <c r="CL331" s="1523"/>
      <c r="CM331" s="1523"/>
      <c r="CN331" s="1523"/>
      <c r="CO331" s="1523"/>
      <c r="CP331" s="1523"/>
      <c r="CQ331" s="1523"/>
      <c r="CR331" s="1523"/>
      <c r="CS331" s="1523"/>
      <c r="CT331" s="1523"/>
      <c r="CU331" s="1523"/>
      <c r="CV331" s="1523"/>
      <c r="CW331" s="1523"/>
      <c r="CX331" s="1523"/>
      <c r="CY331" s="1523"/>
      <c r="CZ331" s="1523"/>
    </row>
    <row r="332" spans="1:104">
      <c r="A332" s="1519"/>
      <c r="B332" s="1519"/>
      <c r="C332" s="1759" t="s">
        <v>38</v>
      </c>
      <c r="D332" s="1382"/>
      <c r="E332" s="1485"/>
      <c r="F332" s="1488"/>
      <c r="G332" s="1488"/>
      <c r="H332" s="1487"/>
      <c r="I332" s="1382"/>
      <c r="J332" s="1485"/>
      <c r="K332" s="1488"/>
      <c r="L332" s="1488"/>
      <c r="M332" s="1487"/>
      <c r="N332" s="1382"/>
      <c r="O332" s="1485"/>
      <c r="P332" s="1486"/>
      <c r="Q332" s="1486"/>
      <c r="R332" s="1487"/>
      <c r="S332" s="1382"/>
      <c r="T332" s="1485"/>
      <c r="U332" s="1486"/>
      <c r="V332" s="1486"/>
      <c r="W332" s="1487"/>
      <c r="X332" s="1382"/>
      <c r="Y332" s="1485"/>
      <c r="Z332" s="1486"/>
      <c r="AA332" s="1486"/>
      <c r="AB332" s="1487"/>
      <c r="AC332" s="1382"/>
      <c r="AD332" s="1485"/>
      <c r="AE332" s="1486"/>
      <c r="AF332" s="1486"/>
      <c r="AG332" s="1487"/>
      <c r="AH332" s="1382"/>
      <c r="AI332" s="1485"/>
      <c r="AJ332" s="1486"/>
      <c r="AK332" s="1486"/>
      <c r="AL332" s="1487"/>
      <c r="AM332" s="1382"/>
      <c r="AN332" s="1485"/>
      <c r="AO332" s="1486"/>
      <c r="AP332" s="1486"/>
      <c r="AQ332" s="1487"/>
      <c r="AR332" s="1382"/>
      <c r="AS332" s="1485"/>
      <c r="AT332" s="1486"/>
      <c r="AU332" s="1486"/>
      <c r="AV332" s="1487"/>
      <c r="AW332" s="1382"/>
      <c r="AX332" s="1485">
        <f>(((AW370-AS370)*AX337)/4)-((AW368-AS368)*(AX337-1%)/4)</f>
        <v>0</v>
      </c>
      <c r="AY332" s="1486">
        <f>(((AX370-AT370)*AY337)/4)-((AX368-AT368)*(AY337-1%)/4)</f>
        <v>0.18529590548399946</v>
      </c>
      <c r="AZ332" s="1486">
        <f>(((AY370-AU370)*AZ337)/4)-((AY368-AU368)*(AZ337-1%)/4)</f>
        <v>0.35305574869649475</v>
      </c>
      <c r="BA332" s="1487">
        <f>(((AZ370-AV370)*BA337)/4)-((AZ368-AV368)*(BA337-1%)/4)</f>
        <v>-0.16109899484224471</v>
      </c>
      <c r="BB332" s="1382">
        <f>+SUM(AX332:BA332)</f>
        <v>0.37725265933824953</v>
      </c>
      <c r="BC332" s="1485">
        <f>(((BB370-AX370)*BC337)/4)-((BB368-AX368)*(BC337-1%)/4)</f>
        <v>0.22098863373790223</v>
      </c>
      <c r="BD332" s="1486">
        <f>(((BC370-AY370)*BD337)/4)-((BC368-AY368)*(BD337-1%)/4)</f>
        <v>0.13089957126375751</v>
      </c>
      <c r="BE332" s="1486">
        <f>(((BD370-AZ370)*BE337)/4)-((BD368-AZ368)*(BE337-1%)/4)</f>
        <v>0.79750917604696236</v>
      </c>
      <c r="BF332" s="1487">
        <f>(((BE370-BA370)*BF337)/4)-((BE368-BA368)*(BF337-1%)/4)</f>
        <v>-0.47661224852170703</v>
      </c>
      <c r="BG332" s="1382">
        <f>+SUM(BC332:BF332)</f>
        <v>0.67278513252691496</v>
      </c>
      <c r="BH332" s="1485">
        <f>(((BG370-BC370)*BH337)/4)-((BG368-BC368)*(BH337-1%)/4)</f>
        <v>-0.51168438247895598</v>
      </c>
      <c r="BI332" s="1486">
        <f>(((BH370-BD370)*BI337)/4)-((BH368-BD368)*(BI337-1%)/4)</f>
        <v>-0.45550454699495485</v>
      </c>
      <c r="BJ332" s="1486">
        <f>(((BI370-BE370)*BJ337)/4)-((BI368-BE368)*(BJ337-1%)/4)</f>
        <v>0.54056423201825887</v>
      </c>
      <c r="BK332" s="1487">
        <f>(((BJ370-BF370)*BK337)/4)-((BJ368-BF368)*(BK337-1%)/4)</f>
        <v>-8.9287033118467501E-2</v>
      </c>
      <c r="BL332" s="1382">
        <f>+SUM(BH332:BK332)</f>
        <v>-0.51591173057411954</v>
      </c>
      <c r="BM332" s="1485">
        <f>(((BL370-BH370)*BM337)/4)-((BL368-BH368)*(BM337-1%)/4)</f>
        <v>-0.18621790934297022</v>
      </c>
      <c r="BN332" s="1486">
        <f>(((BM370-BI370)*BN337)/4)-((BM368-BI368)*(BN337-1%)/4)</f>
        <v>-0.30854149670560438</v>
      </c>
      <c r="BO332" s="1486">
        <f>(((BN370-BJ370)*BO337)/4)-((BN368-BJ368)*(BO337-1%)/4)</f>
        <v>0.4400262231881813</v>
      </c>
      <c r="BP332" s="1487">
        <f>(((BO370-BK370)*BP337)/4)-((BO368-BK368)*(BP337-1%)/4)</f>
        <v>-0.20896663698298532</v>
      </c>
      <c r="BQ332" s="1382">
        <f>+SUM(BM332:BP332)</f>
        <v>-0.26369981984337865</v>
      </c>
      <c r="BR332" s="1519"/>
      <c r="BS332" s="1523"/>
      <c r="BT332" s="1523"/>
      <c r="BU332" s="1523"/>
      <c r="BV332" s="1523"/>
      <c r="BW332" s="1523"/>
      <c r="BX332" s="1523"/>
      <c r="BY332" s="1523"/>
      <c r="BZ332" s="1523"/>
      <c r="CA332" s="1523"/>
      <c r="CB332" s="1523"/>
      <c r="CC332" s="1523"/>
      <c r="CD332" s="1523"/>
      <c r="CE332" s="1523"/>
      <c r="CF332" s="1519"/>
      <c r="CG332" s="1519"/>
      <c r="CH332" s="1519"/>
      <c r="CI332" s="1519"/>
      <c r="CJ332" s="1519"/>
      <c r="CK332" s="1519"/>
      <c r="CL332" s="1519"/>
      <c r="CM332" s="1519"/>
      <c r="CN332" s="1519"/>
      <c r="CO332" s="1519"/>
      <c r="CP332" s="1519"/>
      <c r="CQ332" s="1519"/>
      <c r="CR332" s="1519"/>
      <c r="CS332" s="1519"/>
      <c r="CT332" s="1519"/>
      <c r="CU332" s="1519"/>
      <c r="CV332" s="1519"/>
      <c r="CW332" s="1519"/>
      <c r="CX332" s="1519"/>
      <c r="CY332" s="1519"/>
      <c r="CZ332" s="1519"/>
    </row>
    <row r="333" spans="1:104">
      <c r="A333" s="1519"/>
      <c r="B333" s="1519"/>
      <c r="C333" s="1759"/>
      <c r="D333" s="1382"/>
      <c r="E333" s="1485"/>
      <c r="F333" s="1488"/>
      <c r="G333" s="1488"/>
      <c r="H333" s="1487"/>
      <c r="I333" s="1382"/>
      <c r="J333" s="1485"/>
      <c r="K333" s="1488"/>
      <c r="L333" s="1488"/>
      <c r="M333" s="1487"/>
      <c r="N333" s="1382"/>
      <c r="O333" s="1485"/>
      <c r="P333" s="1488"/>
      <c r="Q333" s="1488"/>
      <c r="R333" s="1487"/>
      <c r="S333" s="1382"/>
      <c r="T333" s="1485"/>
      <c r="U333" s="1488"/>
      <c r="V333" s="1488"/>
      <c r="W333" s="1487"/>
      <c r="X333" s="1382"/>
      <c r="Y333" s="1485"/>
      <c r="Z333" s="1488"/>
      <c r="AA333" s="1488"/>
      <c r="AB333" s="1487"/>
      <c r="AC333" s="1382"/>
      <c r="AD333" s="1485"/>
      <c r="AE333" s="1488"/>
      <c r="AF333" s="1488"/>
      <c r="AG333" s="1487"/>
      <c r="AH333" s="1382"/>
      <c r="AI333" s="1485"/>
      <c r="AJ333" s="1488"/>
      <c r="AK333" s="1488"/>
      <c r="AL333" s="1487"/>
      <c r="AM333" s="1519"/>
      <c r="AN333" s="1485"/>
      <c r="AO333" s="1488"/>
      <c r="AP333" s="1488"/>
      <c r="AQ333" s="1487"/>
      <c r="AR333" s="1519"/>
      <c r="AS333" s="1485"/>
      <c r="AT333" s="1488"/>
      <c r="AU333" s="1488"/>
      <c r="AV333" s="1487"/>
      <c r="AW333" s="1519"/>
      <c r="AX333" s="1485"/>
      <c r="AY333" s="1488"/>
      <c r="AZ333" s="1488"/>
      <c r="BA333" s="1487"/>
      <c r="BB333" s="1519"/>
      <c r="BC333" s="1485"/>
      <c r="BD333" s="1488"/>
      <c r="BE333" s="1488"/>
      <c r="BF333" s="1487"/>
      <c r="BG333" s="1519"/>
      <c r="BH333" s="1485"/>
      <c r="BI333" s="1488"/>
      <c r="BJ333" s="1488"/>
      <c r="BK333" s="1487"/>
      <c r="BL333" s="1519"/>
      <c r="BM333" s="1485"/>
      <c r="BN333" s="1488"/>
      <c r="BO333" s="1488"/>
      <c r="BP333" s="1487"/>
      <c r="BQ333" s="1519"/>
      <c r="BR333" s="1519"/>
      <c r="BS333" s="1519"/>
      <c r="BT333" s="1519"/>
      <c r="BU333" s="1519"/>
      <c r="BV333" s="1519"/>
      <c r="BW333" s="1519"/>
      <c r="BX333" s="1519"/>
      <c r="BY333" s="1519"/>
      <c r="BZ333" s="1519"/>
      <c r="CA333" s="1519"/>
      <c r="CB333" s="1519"/>
      <c r="CC333" s="1519"/>
      <c r="CD333" s="1519"/>
      <c r="CE333" s="1519"/>
      <c r="CF333" s="1519"/>
      <c r="CG333" s="1519"/>
      <c r="CH333" s="1519"/>
      <c r="CI333" s="1519"/>
      <c r="CJ333" s="1519"/>
      <c r="CK333" s="1519"/>
      <c r="CL333" s="1519"/>
      <c r="CM333" s="1519"/>
      <c r="CN333" s="1519"/>
      <c r="CO333" s="1519"/>
      <c r="CP333" s="1519"/>
      <c r="CQ333" s="1519"/>
      <c r="CR333" s="1519"/>
      <c r="CS333" s="1519"/>
      <c r="CT333" s="1519"/>
      <c r="CU333" s="1519"/>
      <c r="CV333" s="1519"/>
      <c r="CW333" s="1519"/>
      <c r="CX333" s="1519"/>
      <c r="CY333" s="1519"/>
      <c r="CZ333" s="1519"/>
    </row>
    <row r="334" spans="1:104">
      <c r="A334" s="1519"/>
      <c r="B334" s="1519"/>
      <c r="C334" s="1759" t="s">
        <v>39</v>
      </c>
      <c r="D334" s="1382"/>
      <c r="E334" s="1485"/>
      <c r="F334" s="1488"/>
      <c r="G334" s="1488"/>
      <c r="H334" s="1487"/>
      <c r="I334" s="1382"/>
      <c r="J334" s="1485"/>
      <c r="K334" s="1488"/>
      <c r="L334" s="1488"/>
      <c r="M334" s="1487"/>
      <c r="N334" s="1382"/>
      <c r="O334" s="1485"/>
      <c r="P334" s="1486"/>
      <c r="Q334" s="1486"/>
      <c r="R334" s="1487"/>
      <c r="S334" s="1382"/>
      <c r="T334" s="1485"/>
      <c r="U334" s="1486"/>
      <c r="V334" s="1486"/>
      <c r="W334" s="1487"/>
      <c r="X334" s="1382"/>
      <c r="Y334" s="1485"/>
      <c r="Z334" s="1486"/>
      <c r="AA334" s="1486"/>
      <c r="AB334" s="1487"/>
      <c r="AC334" s="1382"/>
      <c r="AD334" s="1485"/>
      <c r="AE334" s="1486"/>
      <c r="AF334" s="1486"/>
      <c r="AG334" s="1487"/>
      <c r="AH334" s="1382"/>
      <c r="AI334" s="1485"/>
      <c r="AJ334" s="1486"/>
      <c r="AK334" s="1486"/>
      <c r="AL334" s="1487"/>
      <c r="AM334" s="1382"/>
      <c r="AN334" s="1485"/>
      <c r="AO334" s="1486"/>
      <c r="AP334" s="1486"/>
      <c r="AQ334" s="1487"/>
      <c r="AR334" s="1382"/>
      <c r="AS334" s="1485"/>
      <c r="AT334" s="1486"/>
      <c r="AU334" s="1486"/>
      <c r="AV334" s="1487"/>
      <c r="AW334" s="1382"/>
      <c r="AX334" s="1485">
        <f>Debt!DA311</f>
        <v>0</v>
      </c>
      <c r="AY334" s="1486">
        <f>Debt!DB311</f>
        <v>0</v>
      </c>
      <c r="AZ334" s="1486">
        <f>Debt!DC311</f>
        <v>1.875</v>
      </c>
      <c r="BA334" s="1487">
        <f>Debt!DD311</f>
        <v>1.875</v>
      </c>
      <c r="BB334" s="1382">
        <f>Debt!DE311</f>
        <v>3.75</v>
      </c>
      <c r="BC334" s="1485">
        <f>Debt!DF311</f>
        <v>1.875</v>
      </c>
      <c r="BD334" s="1486">
        <f>Debt!DG311</f>
        <v>1.875</v>
      </c>
      <c r="BE334" s="1486">
        <f>Debt!DH311</f>
        <v>2.1875</v>
      </c>
      <c r="BF334" s="1487">
        <f>Debt!DI311</f>
        <v>2.1875</v>
      </c>
      <c r="BG334" s="1382">
        <f>Debt!DJ311</f>
        <v>8.125</v>
      </c>
      <c r="BH334" s="1485">
        <f>Debt!DK311</f>
        <v>2.1875</v>
      </c>
      <c r="BI334" s="1486">
        <f>Debt!DL311</f>
        <v>2.1875</v>
      </c>
      <c r="BJ334" s="1486">
        <f>Debt!DM311</f>
        <v>2.1875</v>
      </c>
      <c r="BK334" s="1487">
        <f>Debt!DN311</f>
        <v>2.1875</v>
      </c>
      <c r="BL334" s="1382">
        <f>Debt!DO311</f>
        <v>8.75</v>
      </c>
      <c r="BM334" s="1485">
        <f>Debt!DP311</f>
        <v>2.1875</v>
      </c>
      <c r="BN334" s="1486">
        <f>Debt!DQ311</f>
        <v>2.1875</v>
      </c>
      <c r="BO334" s="1486">
        <f>Debt!DR311</f>
        <v>2.1875</v>
      </c>
      <c r="BP334" s="1487">
        <f>Debt!DS311</f>
        <v>2.1875</v>
      </c>
      <c r="BQ334" s="1382">
        <f>Debt!DT311</f>
        <v>8.75</v>
      </c>
      <c r="BR334" s="1519"/>
      <c r="BS334" s="1519"/>
      <c r="BT334" s="1519"/>
      <c r="BU334" s="1519"/>
      <c r="BV334" s="1519"/>
      <c r="BW334" s="1519"/>
      <c r="BX334" s="1519"/>
      <c r="BY334" s="1519"/>
      <c r="BZ334" s="1519"/>
      <c r="CA334" s="1519"/>
      <c r="CB334" s="1519"/>
      <c r="CC334" s="1519"/>
      <c r="CD334" s="1519"/>
      <c r="CE334" s="1519"/>
      <c r="CF334" s="1519"/>
      <c r="CG334" s="1519"/>
      <c r="CH334" s="1519"/>
      <c r="CI334" s="1519"/>
      <c r="CJ334" s="1519"/>
      <c r="CK334" s="1519"/>
      <c r="CL334" s="1519"/>
      <c r="CM334" s="1519"/>
      <c r="CN334" s="1519"/>
      <c r="CO334" s="1519"/>
      <c r="CP334" s="1519"/>
      <c r="CQ334" s="1519"/>
      <c r="CR334" s="1519"/>
      <c r="CS334" s="1519"/>
      <c r="CT334" s="1519"/>
      <c r="CU334" s="1519"/>
      <c r="CV334" s="1519"/>
      <c r="CW334" s="1519"/>
      <c r="CX334" s="1519"/>
      <c r="CY334" s="1519"/>
      <c r="CZ334" s="1519"/>
    </row>
    <row r="335" spans="1:104">
      <c r="A335" s="1519"/>
      <c r="B335" s="1519"/>
      <c r="C335" s="1759" t="s">
        <v>40</v>
      </c>
      <c r="D335" s="1382"/>
      <c r="E335" s="1485"/>
      <c r="F335" s="1488"/>
      <c r="G335" s="1488"/>
      <c r="H335" s="1487"/>
      <c r="I335" s="1382"/>
      <c r="J335" s="1485"/>
      <c r="K335" s="1488"/>
      <c r="L335" s="1488"/>
      <c r="M335" s="1487"/>
      <c r="N335" s="1382"/>
      <c r="O335" s="1485"/>
      <c r="P335" s="1486"/>
      <c r="Q335" s="1486"/>
      <c r="R335" s="1487"/>
      <c r="S335" s="1382"/>
      <c r="T335" s="1485"/>
      <c r="U335" s="1486"/>
      <c r="V335" s="1486"/>
      <c r="W335" s="1487"/>
      <c r="X335" s="1382"/>
      <c r="Y335" s="1485"/>
      <c r="Z335" s="1486"/>
      <c r="AA335" s="1486"/>
      <c r="AB335" s="1487"/>
      <c r="AC335" s="1382"/>
      <c r="AD335" s="1485"/>
      <c r="AE335" s="1486"/>
      <c r="AF335" s="1486"/>
      <c r="AG335" s="1487"/>
      <c r="AH335" s="1382"/>
      <c r="AI335" s="1485"/>
      <c r="AJ335" s="1486"/>
      <c r="AK335" s="1486"/>
      <c r="AL335" s="1487"/>
      <c r="AM335" s="1382"/>
      <c r="AN335" s="1485"/>
      <c r="AO335" s="1486"/>
      <c r="AP335" s="1486"/>
      <c r="AQ335" s="1487"/>
      <c r="AR335" s="1382"/>
      <c r="AS335" s="1485"/>
      <c r="AT335" s="1486"/>
      <c r="AU335" s="1486"/>
      <c r="AV335" s="1487"/>
      <c r="AW335" s="1382"/>
      <c r="AX335" s="1485">
        <f>Debt!DA303</f>
        <v>-0.80563666574999993</v>
      </c>
      <c r="AY335" s="1486">
        <f>Debt!DB303</f>
        <v>0</v>
      </c>
      <c r="AZ335" s="1486">
        <f>Debt!DC303</f>
        <v>0</v>
      </c>
      <c r="BA335" s="1487">
        <f>Debt!DD303</f>
        <v>-0.46875</v>
      </c>
      <c r="BB335" s="1382">
        <f>Debt!DE303</f>
        <v>-1.2743866657500007</v>
      </c>
      <c r="BC335" s="1485">
        <f>Debt!DF303</f>
        <v>-1.40625</v>
      </c>
      <c r="BD335" s="1486">
        <f>Debt!DG303</f>
        <v>-1.40625</v>
      </c>
      <c r="BE335" s="1486">
        <f>Debt!DH303</f>
        <v>-1.40625</v>
      </c>
      <c r="BF335" s="1487">
        <f>Debt!DI303</f>
        <v>-0.9375</v>
      </c>
      <c r="BG335" s="1382">
        <f>Debt!DJ303</f>
        <v>-5.15625</v>
      </c>
      <c r="BH335" s="1485">
        <f>Debt!DK303</f>
        <v>0</v>
      </c>
      <c r="BI335" s="1486">
        <f>Debt!DL303</f>
        <v>0</v>
      </c>
      <c r="BJ335" s="1486">
        <f>Debt!DM303</f>
        <v>0</v>
      </c>
      <c r="BK335" s="1487">
        <f>Debt!DN303</f>
        <v>0</v>
      </c>
      <c r="BL335" s="1382">
        <f>Debt!DO303</f>
        <v>0</v>
      </c>
      <c r="BM335" s="1485">
        <f>Debt!DP303</f>
        <v>0</v>
      </c>
      <c r="BN335" s="1486">
        <f>Debt!DQ303</f>
        <v>0</v>
      </c>
      <c r="BO335" s="1486">
        <f>Debt!DR303</f>
        <v>0</v>
      </c>
      <c r="BP335" s="1487">
        <f>Debt!DS303</f>
        <v>0</v>
      </c>
      <c r="BQ335" s="1382">
        <f>Debt!DT303</f>
        <v>0</v>
      </c>
      <c r="BR335" s="1519"/>
      <c r="BS335" s="1519"/>
      <c r="BT335" s="1519"/>
      <c r="BU335" s="1519"/>
      <c r="BV335" s="1519"/>
      <c r="BW335" s="1519"/>
      <c r="BX335" s="1519"/>
      <c r="BY335" s="1519"/>
      <c r="BZ335" s="1519"/>
      <c r="CA335" s="1519"/>
      <c r="CB335" s="1519"/>
      <c r="CC335" s="1519"/>
      <c r="CD335" s="1519"/>
      <c r="CE335" s="1519"/>
      <c r="CF335" s="1519"/>
      <c r="CG335" s="1519"/>
      <c r="CH335" s="1519"/>
      <c r="CI335" s="1519"/>
      <c r="CJ335" s="1519"/>
      <c r="CK335" s="1519"/>
      <c r="CL335" s="1519"/>
      <c r="CM335" s="1519"/>
      <c r="CN335" s="1519"/>
      <c r="CO335" s="1519"/>
      <c r="CP335" s="1519"/>
      <c r="CQ335" s="1519"/>
      <c r="CR335" s="1519"/>
      <c r="CS335" s="1519"/>
      <c r="CT335" s="1519"/>
      <c r="CU335" s="1519"/>
      <c r="CV335" s="1519"/>
      <c r="CW335" s="1519"/>
      <c r="CX335" s="1519"/>
      <c r="CY335" s="1519"/>
      <c r="CZ335" s="1519"/>
    </row>
    <row r="336" spans="1:104">
      <c r="A336" s="1523"/>
      <c r="B336" s="1523"/>
      <c r="C336" s="1468"/>
      <c r="D336" s="1523"/>
      <c r="E336" s="1747"/>
      <c r="F336" s="1748"/>
      <c r="G336" s="1748"/>
      <c r="H336" s="1522"/>
      <c r="I336" s="1523"/>
      <c r="J336" s="1747"/>
      <c r="K336" s="1748"/>
      <c r="L336" s="1748"/>
      <c r="M336" s="1522"/>
      <c r="N336" s="1523"/>
      <c r="O336" s="1747"/>
      <c r="P336" s="1748"/>
      <c r="Q336" s="1748"/>
      <c r="R336" s="1522"/>
      <c r="S336" s="1523"/>
      <c r="T336" s="1747"/>
      <c r="U336" s="1748"/>
      <c r="V336" s="1748"/>
      <c r="W336" s="1522"/>
      <c r="X336" s="1523"/>
      <c r="Y336" s="1747"/>
      <c r="Z336" s="1748"/>
      <c r="AA336" s="1748"/>
      <c r="AB336" s="1522"/>
      <c r="AC336" s="1523"/>
      <c r="AD336" s="1747"/>
      <c r="AE336" s="1748"/>
      <c r="AF336" s="1748"/>
      <c r="AG336" s="1522"/>
      <c r="AH336" s="1523"/>
      <c r="AI336" s="1747"/>
      <c r="AJ336" s="1748"/>
      <c r="AK336" s="1748"/>
      <c r="AL336" s="1522"/>
      <c r="AM336" s="1523"/>
      <c r="AN336" s="1747"/>
      <c r="AO336" s="1748"/>
      <c r="AP336" s="1748"/>
      <c r="AQ336" s="1522"/>
      <c r="AR336" s="1523"/>
      <c r="AS336" s="1747"/>
      <c r="AT336" s="1748"/>
      <c r="AU336" s="1748"/>
      <c r="AV336" s="1522"/>
      <c r="AW336" s="1760"/>
      <c r="AX336" s="1747"/>
      <c r="AY336" s="1748"/>
      <c r="AZ336" s="1748"/>
      <c r="BA336" s="1522"/>
      <c r="BB336" s="1523"/>
      <c r="BC336" s="1747"/>
      <c r="BD336" s="1748"/>
      <c r="BE336" s="1748"/>
      <c r="BF336" s="1522"/>
      <c r="BG336" s="1523"/>
      <c r="BH336" s="1747"/>
      <c r="BI336" s="1748"/>
      <c r="BJ336" s="1748"/>
      <c r="BK336" s="1522"/>
      <c r="BL336" s="1523"/>
      <c r="BM336" s="1747"/>
      <c r="BN336" s="1748"/>
      <c r="BO336" s="1748"/>
      <c r="BP336" s="1522"/>
      <c r="BQ336" s="1523"/>
      <c r="BR336" s="1523"/>
      <c r="BS336" s="1523"/>
      <c r="BT336" s="1523"/>
      <c r="BU336" s="1523"/>
      <c r="BV336" s="1523"/>
      <c r="BW336" s="1523"/>
      <c r="BX336" s="1523"/>
      <c r="BY336" s="1523"/>
      <c r="BZ336" s="1523"/>
      <c r="CA336" s="1523"/>
      <c r="CB336" s="1523"/>
      <c r="CC336" s="1523"/>
      <c r="CD336" s="1523"/>
      <c r="CE336" s="1523"/>
      <c r="CF336" s="1523"/>
      <c r="CG336" s="1523"/>
      <c r="CH336" s="1523"/>
      <c r="CI336" s="1523"/>
      <c r="CJ336" s="1523"/>
      <c r="CK336" s="1523"/>
      <c r="CL336" s="1523"/>
      <c r="CM336" s="1523"/>
      <c r="CN336" s="1523"/>
      <c r="CO336" s="1523"/>
      <c r="CP336" s="1523"/>
      <c r="CQ336" s="1523"/>
      <c r="CR336" s="1523"/>
      <c r="CS336" s="1523"/>
      <c r="CT336" s="1523"/>
      <c r="CU336" s="1523"/>
      <c r="CV336" s="1523"/>
      <c r="CW336" s="1523"/>
      <c r="CX336" s="1523"/>
      <c r="CY336" s="1523"/>
      <c r="CZ336" s="1523"/>
    </row>
    <row r="337" spans="1:104">
      <c r="A337" s="1523"/>
      <c r="B337" s="1523"/>
      <c r="C337" s="1759" t="s">
        <v>42</v>
      </c>
      <c r="D337" s="1523"/>
      <c r="E337" s="1747"/>
      <c r="F337" s="1748"/>
      <c r="G337" s="1748"/>
      <c r="H337" s="1522"/>
      <c r="I337" s="1523"/>
      <c r="J337" s="1747"/>
      <c r="K337" s="1748"/>
      <c r="L337" s="1748"/>
      <c r="M337" s="1522"/>
      <c r="N337" s="1523"/>
      <c r="O337" s="1747"/>
      <c r="P337" s="1748"/>
      <c r="Q337" s="1560"/>
      <c r="R337" s="1561"/>
      <c r="S337" s="1562"/>
      <c r="T337" s="1747"/>
      <c r="U337" s="1748"/>
      <c r="V337" s="1748"/>
      <c r="W337" s="1561"/>
      <c r="X337" s="1562"/>
      <c r="Y337" s="1747"/>
      <c r="Z337" s="1560"/>
      <c r="AA337" s="1560"/>
      <c r="AB337" s="1561"/>
      <c r="AC337" s="1562"/>
      <c r="AD337" s="1747"/>
      <c r="AE337" s="1560"/>
      <c r="AF337" s="1560"/>
      <c r="AG337" s="1561"/>
      <c r="AH337" s="1562"/>
      <c r="AI337" s="1558"/>
      <c r="AJ337" s="1560"/>
      <c r="AK337" s="1560"/>
      <c r="AL337" s="1561"/>
      <c r="AM337" s="1562"/>
      <c r="AN337" s="1558"/>
      <c r="AO337" s="1560"/>
      <c r="AP337" s="1560"/>
      <c r="AQ337" s="1561"/>
      <c r="AR337" s="1562"/>
      <c r="AS337" s="1558"/>
      <c r="AT337" s="1560"/>
      <c r="AU337" s="1560"/>
      <c r="AV337" s="1561"/>
      <c r="AW337" s="1760"/>
      <c r="AX337" s="1558">
        <v>0.02</v>
      </c>
      <c r="AY337" s="1560">
        <v>0.02</v>
      </c>
      <c r="AZ337" s="1560">
        <v>0.02</v>
      </c>
      <c r="BA337" s="1561">
        <v>0.02</v>
      </c>
      <c r="BB337" s="1760">
        <v>0.02</v>
      </c>
      <c r="BC337" s="1558">
        <f t="shared" ref="BC337:BK337" si="168">+AX337</f>
        <v>0.02</v>
      </c>
      <c r="BD337" s="1560">
        <f t="shared" si="168"/>
        <v>0.02</v>
      </c>
      <c r="BE337" s="1560">
        <f t="shared" si="168"/>
        <v>0.02</v>
      </c>
      <c r="BF337" s="1561">
        <f t="shared" si="168"/>
        <v>0.02</v>
      </c>
      <c r="BG337" s="1760">
        <v>0.02</v>
      </c>
      <c r="BH337" s="1558">
        <f t="shared" si="168"/>
        <v>0.02</v>
      </c>
      <c r="BI337" s="1560">
        <f t="shared" si="168"/>
        <v>0.02</v>
      </c>
      <c r="BJ337" s="1560">
        <f t="shared" si="168"/>
        <v>0.02</v>
      </c>
      <c r="BK337" s="1561">
        <f t="shared" si="168"/>
        <v>0.02</v>
      </c>
      <c r="BL337" s="1760">
        <v>0.02</v>
      </c>
      <c r="BM337" s="1558">
        <f>+BH337</f>
        <v>0.02</v>
      </c>
      <c r="BN337" s="1560">
        <f>+BI337</f>
        <v>0.02</v>
      </c>
      <c r="BO337" s="1560">
        <f>+BJ337</f>
        <v>0.02</v>
      </c>
      <c r="BP337" s="1561">
        <f>+BK337</f>
        <v>0.02</v>
      </c>
      <c r="BQ337" s="1760">
        <v>0.02</v>
      </c>
      <c r="BR337" s="1523"/>
      <c r="BS337" s="1523"/>
      <c r="BT337" s="1523"/>
      <c r="BU337" s="1523"/>
      <c r="BV337" s="1523"/>
      <c r="BW337" s="1523"/>
      <c r="BX337" s="1523"/>
      <c r="BY337" s="1523"/>
      <c r="BZ337" s="1523"/>
      <c r="CA337" s="1523"/>
      <c r="CB337" s="1523"/>
      <c r="CC337" s="1523"/>
      <c r="CD337" s="1523"/>
      <c r="CE337" s="1523"/>
      <c r="CF337" s="1523"/>
      <c r="CG337" s="1523"/>
      <c r="CH337" s="1523"/>
      <c r="CI337" s="1523"/>
      <c r="CJ337" s="1523"/>
      <c r="CK337" s="1523"/>
      <c r="CL337" s="1523"/>
      <c r="CM337" s="1523"/>
      <c r="CN337" s="1523"/>
      <c r="CO337" s="1523"/>
      <c r="CP337" s="1523"/>
      <c r="CQ337" s="1523"/>
      <c r="CR337" s="1523"/>
      <c r="CS337" s="1523"/>
      <c r="CT337" s="1523"/>
      <c r="CU337" s="1523"/>
      <c r="CV337" s="1523"/>
      <c r="CW337" s="1523"/>
      <c r="CX337" s="1523"/>
      <c r="CY337" s="1523"/>
      <c r="CZ337" s="1523"/>
    </row>
    <row r="338" spans="1:104">
      <c r="A338" s="1523"/>
      <c r="B338" s="1523"/>
      <c r="C338" s="1523"/>
      <c r="D338" s="1523"/>
      <c r="E338" s="1747"/>
      <c r="F338" s="1748"/>
      <c r="G338" s="1748"/>
      <c r="H338" s="1522"/>
      <c r="I338" s="1523"/>
      <c r="J338" s="1747"/>
      <c r="K338" s="1748"/>
      <c r="L338" s="1748"/>
      <c r="M338" s="1522"/>
      <c r="N338" s="1523"/>
      <c r="O338" s="1747"/>
      <c r="P338" s="1748"/>
      <c r="Q338" s="1748"/>
      <c r="R338" s="1522"/>
      <c r="S338" s="1523"/>
      <c r="T338" s="1747"/>
      <c r="U338" s="1748"/>
      <c r="V338" s="1748"/>
      <c r="W338" s="1522"/>
      <c r="X338" s="1523"/>
      <c r="Y338" s="1747"/>
      <c r="Z338" s="1748"/>
      <c r="AA338" s="1748"/>
      <c r="AB338" s="1522"/>
      <c r="AC338" s="1523"/>
      <c r="AD338" s="1747"/>
      <c r="AE338" s="1748"/>
      <c r="AF338" s="1748"/>
      <c r="AG338" s="1522"/>
      <c r="AH338" s="1523"/>
      <c r="AI338" s="1747"/>
      <c r="AJ338" s="1748"/>
      <c r="AK338" s="1748"/>
      <c r="AL338" s="1522"/>
      <c r="AM338" s="1523"/>
      <c r="AN338" s="1747"/>
      <c r="AO338" s="1748"/>
      <c r="AP338" s="1748"/>
      <c r="AQ338" s="1522"/>
      <c r="AR338" s="1523"/>
      <c r="AS338" s="1747"/>
      <c r="AT338" s="1748"/>
      <c r="AU338" s="1748"/>
      <c r="AV338" s="1522"/>
      <c r="AW338" s="1523"/>
      <c r="AX338" s="1747"/>
      <c r="AY338" s="1748"/>
      <c r="AZ338" s="1748"/>
      <c r="BA338" s="1522"/>
      <c r="BB338" s="1523"/>
      <c r="BC338" s="1747"/>
      <c r="BD338" s="1748"/>
      <c r="BE338" s="1748"/>
      <c r="BF338" s="1522"/>
      <c r="BG338" s="1523"/>
      <c r="BH338" s="1747"/>
      <c r="BI338" s="1748"/>
      <c r="BJ338" s="1748"/>
      <c r="BK338" s="1522"/>
      <c r="BL338" s="1523"/>
      <c r="BM338" s="1747"/>
      <c r="BN338" s="1748"/>
      <c r="BO338" s="1748"/>
      <c r="BP338" s="1522"/>
      <c r="BQ338" s="1523"/>
      <c r="BR338" s="1523"/>
      <c r="BS338" s="1523"/>
      <c r="BT338" s="1523"/>
      <c r="BU338" s="1523"/>
      <c r="BV338" s="1523"/>
      <c r="BW338" s="1523"/>
      <c r="BX338" s="1523"/>
      <c r="BY338" s="1523"/>
      <c r="BZ338" s="1523"/>
      <c r="CA338" s="1523"/>
      <c r="CB338" s="1523"/>
      <c r="CC338" s="1523"/>
      <c r="CD338" s="1523"/>
      <c r="CE338" s="1523"/>
      <c r="CF338" s="1523"/>
      <c r="CG338" s="1523"/>
      <c r="CH338" s="1523"/>
      <c r="CI338" s="1523"/>
      <c r="CJ338" s="1523"/>
      <c r="CK338" s="1523"/>
    </row>
    <row r="339" spans="1:104">
      <c r="A339" s="1523"/>
      <c r="B339" s="1756" t="s">
        <v>226</v>
      </c>
      <c r="C339" s="1756"/>
      <c r="D339" s="1757"/>
      <c r="E339" s="1747"/>
      <c r="F339" s="1748"/>
      <c r="G339" s="1748"/>
      <c r="H339" s="1522"/>
      <c r="I339" s="1523"/>
      <c r="J339" s="1747"/>
      <c r="K339" s="1748"/>
      <c r="L339" s="1748"/>
      <c r="M339" s="1522"/>
      <c r="N339" s="1523"/>
      <c r="O339" s="1747"/>
      <c r="P339" s="1748"/>
      <c r="Q339" s="1748"/>
      <c r="R339" s="1522"/>
      <c r="S339" s="1523"/>
      <c r="T339" s="1747"/>
      <c r="U339" s="1748"/>
      <c r="V339" s="1748"/>
      <c r="W339" s="1522"/>
      <c r="X339" s="1523"/>
      <c r="Y339" s="1747"/>
      <c r="Z339" s="1748"/>
      <c r="AA339" s="1748"/>
      <c r="AB339" s="1522"/>
      <c r="AC339" s="1523"/>
      <c r="AD339" s="1747"/>
      <c r="AE339" s="1748"/>
      <c r="AF339" s="1748"/>
      <c r="AG339" s="1522"/>
      <c r="AH339" s="1523"/>
      <c r="AI339" s="1747"/>
      <c r="AJ339" s="1748"/>
      <c r="AK339" s="1748"/>
      <c r="AL339" s="1522"/>
      <c r="AM339" s="1523"/>
      <c r="AN339" s="1747"/>
      <c r="AO339" s="1748"/>
      <c r="AP339" s="1748"/>
      <c r="AQ339" s="1522"/>
      <c r="AR339" s="1523"/>
      <c r="AS339" s="1747"/>
      <c r="AT339" s="1748"/>
      <c r="AU339" s="1748"/>
      <c r="AV339" s="1522"/>
      <c r="AW339" s="1523"/>
      <c r="AX339" s="1747"/>
      <c r="AY339" s="1748"/>
      <c r="AZ339" s="1748"/>
      <c r="BA339" s="1522"/>
      <c r="BB339" s="1523"/>
      <c r="BC339" s="1747"/>
      <c r="BD339" s="1748"/>
      <c r="BE339" s="1748"/>
      <c r="BF339" s="1522"/>
      <c r="BG339" s="1523"/>
      <c r="BH339" s="1747"/>
      <c r="BI339" s="1748"/>
      <c r="BJ339" s="1748"/>
      <c r="BK339" s="1522"/>
      <c r="BL339" s="1523"/>
      <c r="BM339" s="1747"/>
      <c r="BN339" s="1748"/>
      <c r="BO339" s="1748"/>
      <c r="BP339" s="1522"/>
      <c r="BQ339" s="1523"/>
      <c r="BR339" s="1523"/>
      <c r="BS339" s="1523"/>
      <c r="BT339" s="1523"/>
      <c r="BU339" s="1523"/>
      <c r="BV339" s="1523"/>
      <c r="BW339" s="1523"/>
      <c r="BX339" s="1523"/>
      <c r="BY339" s="1523"/>
      <c r="BZ339" s="1523"/>
      <c r="CA339" s="1523"/>
      <c r="CB339" s="1523"/>
      <c r="CC339" s="1523"/>
      <c r="CD339" s="1523"/>
      <c r="CE339" s="1523"/>
      <c r="CF339" s="1523"/>
      <c r="CG339" s="1523"/>
      <c r="CH339" s="1523"/>
      <c r="CI339" s="1523"/>
      <c r="CJ339" s="1523"/>
      <c r="CK339" s="1523"/>
    </row>
    <row r="340" spans="1:104">
      <c r="A340" s="1519"/>
      <c r="B340" s="1519"/>
      <c r="C340" s="1759" t="s">
        <v>78</v>
      </c>
      <c r="D340" s="1382"/>
      <c r="E340" s="1485"/>
      <c r="F340" s="1486"/>
      <c r="G340" s="1486"/>
      <c r="H340" s="1487"/>
      <c r="I340" s="1761"/>
      <c r="J340" s="1485"/>
      <c r="K340" s="1486"/>
      <c r="L340" s="1486"/>
      <c r="M340" s="1487"/>
      <c r="N340" s="1761"/>
      <c r="O340" s="1485"/>
      <c r="P340" s="1486"/>
      <c r="Q340" s="1486"/>
      <c r="R340" s="1487"/>
      <c r="S340" s="1761"/>
      <c r="T340" s="1485"/>
      <c r="U340" s="1486"/>
      <c r="V340" s="1486"/>
      <c r="W340" s="1487"/>
      <c r="X340" s="1761">
        <f t="shared" ref="X340:BL340" si="169">X36</f>
        <v>100</v>
      </c>
      <c r="Y340" s="1485">
        <f t="shared" si="169"/>
        <v>85</v>
      </c>
      <c r="Z340" s="1486">
        <f t="shared" si="169"/>
        <v>-9</v>
      </c>
      <c r="AA340" s="1486">
        <f t="shared" si="169"/>
        <v>112</v>
      </c>
      <c r="AB340" s="1487">
        <f t="shared" si="169"/>
        <v>40</v>
      </c>
      <c r="AC340" s="1761">
        <f t="shared" si="169"/>
        <v>228</v>
      </c>
      <c r="AD340" s="1485">
        <f t="shared" si="169"/>
        <v>163</v>
      </c>
      <c r="AE340" s="1486">
        <f t="shared" si="169"/>
        <v>98</v>
      </c>
      <c r="AF340" s="1486">
        <f t="shared" si="169"/>
        <v>117</v>
      </c>
      <c r="AG340" s="1487">
        <f t="shared" si="169"/>
        <v>-11</v>
      </c>
      <c r="AH340" s="1761">
        <f t="shared" si="169"/>
        <v>367</v>
      </c>
      <c r="AI340" s="1485">
        <f t="shared" si="169"/>
        <v>187</v>
      </c>
      <c r="AJ340" s="1486">
        <f t="shared" si="169"/>
        <v>82</v>
      </c>
      <c r="AK340" s="1486">
        <f t="shared" si="169"/>
        <v>91</v>
      </c>
      <c r="AL340" s="1487">
        <f t="shared" si="169"/>
        <v>5.9999999999994316</v>
      </c>
      <c r="AM340" s="1761">
        <f t="shared" si="169"/>
        <v>365.99999999999943</v>
      </c>
      <c r="AN340" s="1485">
        <f t="shared" si="169"/>
        <v>70.69999999999996</v>
      </c>
      <c r="AO340" s="1486">
        <f t="shared" si="169"/>
        <v>49.69999999999996</v>
      </c>
      <c r="AP340" s="1486">
        <f t="shared" si="169"/>
        <v>-1369.1999999999998</v>
      </c>
      <c r="AQ340" s="1487">
        <f>AQ36</f>
        <v>50.799999999999955</v>
      </c>
      <c r="AR340" s="1761">
        <f>AR36</f>
        <v>-1198</v>
      </c>
      <c r="AS340" s="1485">
        <f t="shared" ref="AS340:AU340" si="170">AS36</f>
        <v>186.2</v>
      </c>
      <c r="AT340" s="1486">
        <f t="shared" si="170"/>
        <v>26.40000000000007</v>
      </c>
      <c r="AU340" s="1486">
        <f t="shared" si="170"/>
        <v>33.700000000000003</v>
      </c>
      <c r="AV340" s="1487">
        <f>AV36</f>
        <v>-80.300000000000296</v>
      </c>
      <c r="AW340" s="1761">
        <f>AW36</f>
        <v>165.99999999999977</v>
      </c>
      <c r="AX340" s="1485">
        <f t="shared" si="169"/>
        <v>12.419818903200103</v>
      </c>
      <c r="AY340" s="1486">
        <f t="shared" si="169"/>
        <v>14.894408024167596</v>
      </c>
      <c r="AZ340" s="1486">
        <f t="shared" si="169"/>
        <v>32.474827242863512</v>
      </c>
      <c r="BA340" s="1487">
        <f t="shared" si="169"/>
        <v>25.715499656388552</v>
      </c>
      <c r="BB340" s="1761">
        <f t="shared" si="169"/>
        <v>85.504553826619528</v>
      </c>
      <c r="BC340" s="1485">
        <f t="shared" si="169"/>
        <v>23.793894909976807</v>
      </c>
      <c r="BD340" s="1486">
        <f t="shared" si="169"/>
        <v>7.9672471900735813</v>
      </c>
      <c r="BE340" s="1486">
        <f t="shared" si="169"/>
        <v>18.00964817969664</v>
      </c>
      <c r="BF340" s="1487">
        <f t="shared" si="169"/>
        <v>19.703442502136244</v>
      </c>
      <c r="BG340" s="1761">
        <f t="shared" si="169"/>
        <v>69.474232781882876</v>
      </c>
      <c r="BH340" s="1485">
        <f t="shared" si="169"/>
        <v>15.991177773737386</v>
      </c>
      <c r="BI340" s="1486">
        <f t="shared" si="169"/>
        <v>4.5600276461336193</v>
      </c>
      <c r="BJ340" s="1486">
        <f t="shared" si="169"/>
        <v>27.450063790173878</v>
      </c>
      <c r="BK340" s="1487">
        <f t="shared" si="169"/>
        <v>16.092674982216227</v>
      </c>
      <c r="BL340" s="1761">
        <f t="shared" si="169"/>
        <v>64.093944192261219</v>
      </c>
      <c r="BM340" s="1485">
        <f>BM36</f>
        <v>19.106975095741586</v>
      </c>
      <c r="BN340" s="1486">
        <f>BN36</f>
        <v>21.280950562568052</v>
      </c>
      <c r="BO340" s="1486">
        <f>BO36</f>
        <v>28.830893673906921</v>
      </c>
      <c r="BP340" s="1487">
        <f>BP36</f>
        <v>24.458074850545781</v>
      </c>
      <c r="BQ340" s="1761">
        <f>BQ36</f>
        <v>93.676894182762283</v>
      </c>
      <c r="BR340" s="1519"/>
      <c r="BS340" s="1519"/>
      <c r="BT340" s="1519"/>
      <c r="BU340" s="1519"/>
      <c r="BV340" s="1519"/>
      <c r="BW340" s="1519"/>
      <c r="BX340" s="1519"/>
      <c r="BY340" s="1519"/>
      <c r="BZ340" s="1519"/>
      <c r="CA340" s="1519"/>
      <c r="CB340" s="1519"/>
      <c r="CC340" s="1519"/>
      <c r="CD340" s="1519"/>
      <c r="CE340" s="1519"/>
      <c r="CF340" s="1519"/>
      <c r="CG340" s="1519"/>
      <c r="CH340" s="1519"/>
      <c r="CI340" s="1519"/>
      <c r="CJ340" s="1519"/>
      <c r="CK340" s="1519"/>
    </row>
    <row r="341" spans="1:104">
      <c r="A341" s="1519"/>
      <c r="B341" s="1519"/>
      <c r="C341" s="1759" t="s">
        <v>79</v>
      </c>
      <c r="D341" s="1382"/>
      <c r="E341" s="1485"/>
      <c r="F341" s="1486"/>
      <c r="G341" s="1486"/>
      <c r="H341" s="1487"/>
      <c r="I341" s="1761"/>
      <c r="J341" s="1485"/>
      <c r="K341" s="1486"/>
      <c r="L341" s="1486"/>
      <c r="M341" s="1487"/>
      <c r="N341" s="1761"/>
      <c r="O341" s="1485"/>
      <c r="P341" s="1486"/>
      <c r="Q341" s="1486"/>
      <c r="R341" s="1487"/>
      <c r="S341" s="1761"/>
      <c r="T341" s="1485"/>
      <c r="U341" s="1486"/>
      <c r="V341" s="1486"/>
      <c r="W341" s="1487"/>
      <c r="X341" s="1761">
        <f t="shared" ref="X341:BL341" si="171">X13</f>
        <v>349</v>
      </c>
      <c r="Y341" s="1485">
        <f t="shared" si="171"/>
        <v>62</v>
      </c>
      <c r="Z341" s="1486">
        <f t="shared" si="171"/>
        <v>61</v>
      </c>
      <c r="AA341" s="1486">
        <f t="shared" si="171"/>
        <v>57</v>
      </c>
      <c r="AB341" s="1487">
        <f t="shared" si="171"/>
        <v>56</v>
      </c>
      <c r="AC341" s="1761">
        <f t="shared" si="171"/>
        <v>236</v>
      </c>
      <c r="AD341" s="1485">
        <f t="shared" si="171"/>
        <v>57</v>
      </c>
      <c r="AE341" s="1486">
        <f t="shared" si="171"/>
        <v>56</v>
      </c>
      <c r="AF341" s="1486">
        <f t="shared" si="171"/>
        <v>56</v>
      </c>
      <c r="AG341" s="1487">
        <f t="shared" si="171"/>
        <v>58</v>
      </c>
      <c r="AH341" s="1761">
        <f t="shared" si="171"/>
        <v>227</v>
      </c>
      <c r="AI341" s="1485">
        <f t="shared" si="171"/>
        <v>50</v>
      </c>
      <c r="AJ341" s="1486">
        <f t="shared" si="171"/>
        <v>51</v>
      </c>
      <c r="AK341" s="1486">
        <f t="shared" si="171"/>
        <v>51</v>
      </c>
      <c r="AL341" s="1487">
        <f t="shared" si="171"/>
        <v>49.400000000000006</v>
      </c>
      <c r="AM341" s="1761">
        <f t="shared" si="171"/>
        <v>201.4</v>
      </c>
      <c r="AN341" s="1485">
        <f t="shared" si="171"/>
        <v>48.7</v>
      </c>
      <c r="AO341" s="1486">
        <f t="shared" si="171"/>
        <v>50.6</v>
      </c>
      <c r="AP341" s="1486">
        <f t="shared" si="171"/>
        <v>50.5</v>
      </c>
      <c r="AQ341" s="1487">
        <f>AQ13</f>
        <v>4.7999999999999829</v>
      </c>
      <c r="AR341" s="1761">
        <f>AR13</f>
        <v>154.6</v>
      </c>
      <c r="AS341" s="1485">
        <f t="shared" ref="AS341:AU341" si="172">AS13</f>
        <v>5.7</v>
      </c>
      <c r="AT341" s="1486">
        <f t="shared" si="172"/>
        <v>5.6</v>
      </c>
      <c r="AU341" s="1486">
        <f t="shared" si="172"/>
        <v>6.2</v>
      </c>
      <c r="AV341" s="1487">
        <f>AV13</f>
        <v>6.6999999999999993</v>
      </c>
      <c r="AW341" s="1761">
        <f>AW13</f>
        <v>24.2</v>
      </c>
      <c r="AX341" s="1485">
        <f t="shared" si="171"/>
        <v>5.6960000000000006</v>
      </c>
      <c r="AY341" s="1486">
        <f t="shared" si="171"/>
        <v>6.7286233333333341</v>
      </c>
      <c r="AZ341" s="1486">
        <f t="shared" si="171"/>
        <v>7.7509204333333344</v>
      </c>
      <c r="BA341" s="1487">
        <f t="shared" si="171"/>
        <v>8.7629945623333345</v>
      </c>
      <c r="BB341" s="1761">
        <f t="shared" si="171"/>
        <v>28.938538329000004</v>
      </c>
      <c r="BC341" s="1485">
        <f t="shared" si="171"/>
        <v>9.1386156090198547</v>
      </c>
      <c r="BD341" s="1486">
        <f t="shared" si="171"/>
        <v>10.0084472277</v>
      </c>
      <c r="BE341" s="1486">
        <f t="shared" si="171"/>
        <v>10.870138447835927</v>
      </c>
      <c r="BF341" s="1487">
        <f t="shared" si="171"/>
        <v>11.72376545208993</v>
      </c>
      <c r="BG341" s="1761">
        <f t="shared" si="171"/>
        <v>41.74096673664571</v>
      </c>
      <c r="BH341" s="1485">
        <f t="shared" si="171"/>
        <v>12.569403710161909</v>
      </c>
      <c r="BI341" s="1486">
        <f t="shared" si="171"/>
        <v>13.407127985461695</v>
      </c>
      <c r="BJ341" s="1486">
        <f t="shared" si="171"/>
        <v>14.237012341718927</v>
      </c>
      <c r="BK341" s="1487">
        <f t="shared" si="171"/>
        <v>15.059130149531073</v>
      </c>
      <c r="BL341" s="1761">
        <f t="shared" si="171"/>
        <v>55.272674186873601</v>
      </c>
      <c r="BM341" s="1485">
        <f>BM13</f>
        <v>15.873554092850179</v>
      </c>
      <c r="BN341" s="1486">
        <f>BN13</f>
        <v>15.900473574244305</v>
      </c>
      <c r="BO341" s="1486">
        <f>BO13</f>
        <v>15.927141127216371</v>
      </c>
      <c r="BP341" s="1487">
        <f>BP13</f>
        <v>15.953559109461496</v>
      </c>
      <c r="BQ341" s="1761">
        <f>BQ13</f>
        <v>63.654727903772354</v>
      </c>
      <c r="BR341" s="1519"/>
      <c r="BS341" s="1519"/>
      <c r="BT341" s="1519"/>
      <c r="BU341" s="1519"/>
      <c r="BV341" s="1519"/>
      <c r="BW341" s="1519"/>
      <c r="BX341" s="1519"/>
      <c r="BY341" s="1519"/>
      <c r="BZ341" s="1519"/>
      <c r="CA341" s="1519"/>
      <c r="CB341" s="1519"/>
      <c r="CC341" s="1519"/>
      <c r="CD341" s="1519"/>
      <c r="CE341" s="1519"/>
      <c r="CF341" s="1519"/>
      <c r="CG341" s="1519"/>
      <c r="CH341" s="1519"/>
      <c r="CI341" s="1519"/>
      <c r="CJ341" s="1519"/>
      <c r="CK341" s="1519"/>
    </row>
    <row r="342" spans="1:104">
      <c r="A342" s="1519"/>
      <c r="B342" s="1519"/>
      <c r="C342" s="1759" t="s">
        <v>80</v>
      </c>
      <c r="D342" s="1382"/>
      <c r="E342" s="1485"/>
      <c r="F342" s="1486"/>
      <c r="G342" s="1486"/>
      <c r="H342" s="1487"/>
      <c r="I342" s="1761"/>
      <c r="J342" s="1485"/>
      <c r="K342" s="1486"/>
      <c r="L342" s="1486"/>
      <c r="M342" s="1487"/>
      <c r="N342" s="1761"/>
      <c r="O342" s="1485"/>
      <c r="P342" s="1486"/>
      <c r="Q342" s="1486"/>
      <c r="R342" s="1487"/>
      <c r="S342" s="1761"/>
      <c r="T342" s="1485"/>
      <c r="U342" s="1486"/>
      <c r="V342" s="1486"/>
      <c r="W342" s="1487"/>
      <c r="X342" s="1749">
        <v>0</v>
      </c>
      <c r="Y342" s="1485">
        <f>AC342/4</f>
        <v>0</v>
      </c>
      <c r="Z342" s="1486">
        <f>AC342/4</f>
        <v>0</v>
      </c>
      <c r="AA342" s="1486">
        <f>AC342/4</f>
        <v>0</v>
      </c>
      <c r="AB342" s="1487">
        <f>AC342/4</f>
        <v>0</v>
      </c>
      <c r="AC342" s="1749">
        <v>0</v>
      </c>
      <c r="AD342" s="1485">
        <f>AH342/4</f>
        <v>0</v>
      </c>
      <c r="AE342" s="1486">
        <f>AH342/4</f>
        <v>0</v>
      </c>
      <c r="AF342" s="1486">
        <f>AH342/4</f>
        <v>0</v>
      </c>
      <c r="AG342" s="1487">
        <f>AH342/4</f>
        <v>0</v>
      </c>
      <c r="AH342" s="1749">
        <v>0</v>
      </c>
      <c r="AI342" s="1485">
        <f>AM342/4</f>
        <v>0</v>
      </c>
      <c r="AJ342" s="1486">
        <f>AM342/4</f>
        <v>0</v>
      </c>
      <c r="AK342" s="1486">
        <f>AM342/4</f>
        <v>0</v>
      </c>
      <c r="AL342" s="1487">
        <f>AM342/4</f>
        <v>0</v>
      </c>
      <c r="AM342" s="1749">
        <v>0</v>
      </c>
      <c r="AN342" s="1485">
        <f>AR342/4</f>
        <v>0</v>
      </c>
      <c r="AO342" s="1486">
        <f>AR342/4</f>
        <v>0</v>
      </c>
      <c r="AP342" s="1486">
        <f>AR342/4</f>
        <v>0</v>
      </c>
      <c r="AQ342" s="1487">
        <f>AR342/4</f>
        <v>0</v>
      </c>
      <c r="AR342" s="1749">
        <v>0</v>
      </c>
      <c r="AS342" s="1485">
        <f>AW342/4</f>
        <v>0</v>
      </c>
      <c r="AT342" s="1486">
        <f>AW342/4</f>
        <v>0</v>
      </c>
      <c r="AU342" s="1486">
        <f>AW342/4</f>
        <v>0</v>
      </c>
      <c r="AV342" s="1487">
        <f>AW342/4</f>
        <v>0</v>
      </c>
      <c r="AW342" s="1749">
        <v>0</v>
      </c>
      <c r="AX342" s="1485">
        <f>BB342/4</f>
        <v>0</v>
      </c>
      <c r="AY342" s="1486">
        <f>BB342/4</f>
        <v>0</v>
      </c>
      <c r="AZ342" s="1486">
        <f>BB342/4</f>
        <v>0</v>
      </c>
      <c r="BA342" s="1487">
        <f>BB342/4</f>
        <v>0</v>
      </c>
      <c r="BB342" s="1749">
        <v>0</v>
      </c>
      <c r="BC342" s="1485">
        <f>BG342/4</f>
        <v>0</v>
      </c>
      <c r="BD342" s="1486">
        <f>BG342/4</f>
        <v>0</v>
      </c>
      <c r="BE342" s="1486">
        <f>BG342/4</f>
        <v>0</v>
      </c>
      <c r="BF342" s="1487">
        <f>BG342/4</f>
        <v>0</v>
      </c>
      <c r="BG342" s="1749">
        <v>0</v>
      </c>
      <c r="BH342" s="1485">
        <f>BL342/4</f>
        <v>0</v>
      </c>
      <c r="BI342" s="1486">
        <f>BL342/4</f>
        <v>0</v>
      </c>
      <c r="BJ342" s="1486">
        <f>BL342/4</f>
        <v>0</v>
      </c>
      <c r="BK342" s="1487">
        <f>BL342/4</f>
        <v>0</v>
      </c>
      <c r="BL342" s="1749">
        <v>0</v>
      </c>
      <c r="BM342" s="1485">
        <f>BQ342/4</f>
        <v>0</v>
      </c>
      <c r="BN342" s="1486">
        <f>BQ342/4</f>
        <v>0</v>
      </c>
      <c r="BO342" s="1486">
        <f>BQ342/4</f>
        <v>0</v>
      </c>
      <c r="BP342" s="1487">
        <f>BQ342/4</f>
        <v>0</v>
      </c>
      <c r="BQ342" s="1749">
        <v>0</v>
      </c>
      <c r="BR342" s="1519"/>
      <c r="BS342" s="1519"/>
      <c r="BT342" s="1519"/>
      <c r="BU342" s="1519"/>
      <c r="BV342" s="1519"/>
      <c r="BW342" s="1519"/>
      <c r="BX342" s="1519"/>
      <c r="BY342" s="1519"/>
      <c r="BZ342" s="1519"/>
      <c r="CA342" s="1519"/>
      <c r="CB342" s="1519"/>
      <c r="CC342" s="1519"/>
      <c r="CD342" s="1519"/>
      <c r="CE342" s="1519"/>
      <c r="CF342" s="1519"/>
      <c r="CG342" s="1519"/>
      <c r="CH342" s="1519"/>
      <c r="CI342" s="1519"/>
      <c r="CJ342" s="1519"/>
      <c r="CK342" s="1519"/>
    </row>
    <row r="343" spans="1:104">
      <c r="A343" s="1519"/>
      <c r="B343" s="1519"/>
      <c r="C343" s="1759" t="s">
        <v>81</v>
      </c>
      <c r="D343" s="1382"/>
      <c r="E343" s="1485"/>
      <c r="F343" s="1486"/>
      <c r="G343" s="1486"/>
      <c r="H343" s="1487"/>
      <c r="I343" s="1761"/>
      <c r="J343" s="1485"/>
      <c r="K343" s="1486"/>
      <c r="L343" s="1486"/>
      <c r="M343" s="1487"/>
      <c r="N343" s="1761"/>
      <c r="O343" s="1485"/>
      <c r="P343" s="1486"/>
      <c r="Q343" s="1486"/>
      <c r="R343" s="1487"/>
      <c r="S343" s="1761"/>
      <c r="T343" s="1485"/>
      <c r="U343" s="1486"/>
      <c r="V343" s="1486"/>
      <c r="W343" s="1487"/>
      <c r="X343" s="1749">
        <v>0</v>
      </c>
      <c r="Y343" s="1485">
        <f>AC343/4</f>
        <v>0</v>
      </c>
      <c r="Z343" s="1486">
        <f>AC343/4</f>
        <v>0</v>
      </c>
      <c r="AA343" s="1486">
        <f>AC343/4</f>
        <v>0</v>
      </c>
      <c r="AB343" s="1487">
        <f>AC343/4</f>
        <v>0</v>
      </c>
      <c r="AC343" s="1749">
        <v>0</v>
      </c>
      <c r="AD343" s="1485">
        <f>AH343/4</f>
        <v>0</v>
      </c>
      <c r="AE343" s="1486">
        <f>AH343/4</f>
        <v>0</v>
      </c>
      <c r="AF343" s="1486">
        <f>AH343/4</f>
        <v>0</v>
      </c>
      <c r="AG343" s="1487">
        <f>AH343/4</f>
        <v>0</v>
      </c>
      <c r="AH343" s="1749">
        <v>0</v>
      </c>
      <c r="AI343" s="1485">
        <f>AM343/4</f>
        <v>0</v>
      </c>
      <c r="AJ343" s="1486">
        <f>AM343/4</f>
        <v>0</v>
      </c>
      <c r="AK343" s="1486">
        <f>AM343/4</f>
        <v>0</v>
      </c>
      <c r="AL343" s="1487">
        <f>AM343/4</f>
        <v>0</v>
      </c>
      <c r="AM343" s="1749">
        <v>0</v>
      </c>
      <c r="AN343" s="1485">
        <f>AR343/4</f>
        <v>0</v>
      </c>
      <c r="AO343" s="1486">
        <f>AR343/4</f>
        <v>0</v>
      </c>
      <c r="AP343" s="1486">
        <f>AR343/4</f>
        <v>0</v>
      </c>
      <c r="AQ343" s="1487">
        <f>AR343/4</f>
        <v>0</v>
      </c>
      <c r="AR343" s="1749">
        <v>0</v>
      </c>
      <c r="AS343" s="1485">
        <f>AW343/4</f>
        <v>0</v>
      </c>
      <c r="AT343" s="1486">
        <f>AW343/4</f>
        <v>0</v>
      </c>
      <c r="AU343" s="1486">
        <f>AW343/4</f>
        <v>0</v>
      </c>
      <c r="AV343" s="1487">
        <f>AW343/4</f>
        <v>0</v>
      </c>
      <c r="AW343" s="1749">
        <v>0</v>
      </c>
      <c r="AX343" s="1485">
        <f>BB343/4</f>
        <v>-0.38333333333333336</v>
      </c>
      <c r="AY343" s="1486">
        <f>BB343/4</f>
        <v>-0.38333333333333336</v>
      </c>
      <c r="AZ343" s="1486">
        <f>BB343/4</f>
        <v>-0.38333333333333336</v>
      </c>
      <c r="BA343" s="1487">
        <f>BB343/4</f>
        <v>-0.38333333333333336</v>
      </c>
      <c r="BB343" s="1749">
        <f>-BB306</f>
        <v>-1.5333333333333334</v>
      </c>
      <c r="BC343" s="1485">
        <f>BG343/4</f>
        <v>-0.55000000000000004</v>
      </c>
      <c r="BD343" s="1486">
        <f>BG343/4</f>
        <v>-0.55000000000000004</v>
      </c>
      <c r="BE343" s="1486">
        <f>BG343/4</f>
        <v>-0.55000000000000004</v>
      </c>
      <c r="BF343" s="1487">
        <f>BG343/4</f>
        <v>-0.55000000000000004</v>
      </c>
      <c r="BG343" s="1749">
        <f>-BG306</f>
        <v>-2.2000000000000002</v>
      </c>
      <c r="BH343" s="1485">
        <f>BL343/4</f>
        <v>-0.69444444444444453</v>
      </c>
      <c r="BI343" s="1486">
        <f>BL343/4</f>
        <v>-0.69444444444444453</v>
      </c>
      <c r="BJ343" s="1486">
        <f>BL343/4</f>
        <v>-0.69444444444444453</v>
      </c>
      <c r="BK343" s="1487">
        <f>BL343/4</f>
        <v>-0.69444444444444453</v>
      </c>
      <c r="BL343" s="1749">
        <f>-BL306</f>
        <v>-2.7777777777777781</v>
      </c>
      <c r="BM343" s="1485">
        <f>BQ343/4</f>
        <v>-0.69444444444444453</v>
      </c>
      <c r="BN343" s="1486">
        <f>BQ343/4</f>
        <v>-0.69444444444444453</v>
      </c>
      <c r="BO343" s="1486">
        <f>BQ343/4</f>
        <v>-0.69444444444444453</v>
      </c>
      <c r="BP343" s="1487">
        <f>BQ343/4</f>
        <v>-0.69444444444444453</v>
      </c>
      <c r="BQ343" s="1749">
        <f>-BQ306</f>
        <v>-2.7777777777777781</v>
      </c>
      <c r="BR343" s="1519"/>
      <c r="BS343" s="1519"/>
      <c r="BT343" s="1519"/>
      <c r="BU343" s="1519"/>
      <c r="BV343" s="1519"/>
      <c r="BW343" s="1519"/>
      <c r="BX343" s="1519"/>
      <c r="BY343" s="1519"/>
      <c r="BZ343" s="1519"/>
      <c r="CA343" s="1519"/>
      <c r="CB343" s="1519"/>
      <c r="CC343" s="1519"/>
      <c r="CD343" s="1519"/>
      <c r="CE343" s="1519"/>
      <c r="CF343" s="1519"/>
      <c r="CG343" s="1519"/>
      <c r="CH343" s="1519"/>
      <c r="CI343" s="1519"/>
      <c r="CJ343" s="1519"/>
      <c r="CK343" s="1519"/>
    </row>
    <row r="344" spans="1:104">
      <c r="A344" s="1519"/>
      <c r="B344" s="1519"/>
      <c r="C344" s="1759" t="s">
        <v>924</v>
      </c>
      <c r="D344" s="1382"/>
      <c r="E344" s="1485"/>
      <c r="F344" s="1486"/>
      <c r="G344" s="1486"/>
      <c r="H344" s="1487"/>
      <c r="I344" s="1761"/>
      <c r="J344" s="1485"/>
      <c r="K344" s="1486"/>
      <c r="L344" s="1486"/>
      <c r="M344" s="1487"/>
      <c r="N344" s="1761"/>
      <c r="O344" s="1485"/>
      <c r="P344" s="1486"/>
      <c r="Q344" s="1486"/>
      <c r="R344" s="1487"/>
      <c r="S344" s="1761"/>
      <c r="T344" s="1485"/>
      <c r="U344" s="1486"/>
      <c r="V344" s="1486"/>
      <c r="W344" s="1487"/>
      <c r="X344" s="1749">
        <v>0</v>
      </c>
      <c r="Y344" s="1485">
        <f>AC344/4</f>
        <v>0</v>
      </c>
      <c r="Z344" s="1486">
        <f>AC344/4</f>
        <v>0</v>
      </c>
      <c r="AA344" s="1486">
        <f>AC344/4</f>
        <v>0</v>
      </c>
      <c r="AB344" s="1487">
        <f>AC344/4</f>
        <v>0</v>
      </c>
      <c r="AC344" s="1749">
        <v>0</v>
      </c>
      <c r="AD344" s="1485">
        <f>AH344/4</f>
        <v>0</v>
      </c>
      <c r="AE344" s="1486">
        <f>AH344/4</f>
        <v>0</v>
      </c>
      <c r="AF344" s="1486">
        <f>AH344/4</f>
        <v>0</v>
      </c>
      <c r="AG344" s="1487">
        <f>AH344/4</f>
        <v>0</v>
      </c>
      <c r="AH344" s="1749">
        <v>0</v>
      </c>
      <c r="AI344" s="1485">
        <f>AM344/4</f>
        <v>0</v>
      </c>
      <c r="AJ344" s="1486">
        <f>AM344/4</f>
        <v>0</v>
      </c>
      <c r="AK344" s="1486">
        <f>AM344/4</f>
        <v>0</v>
      </c>
      <c r="AL344" s="1487">
        <f>AM344/4</f>
        <v>0</v>
      </c>
      <c r="AM344" s="1749">
        <v>0</v>
      </c>
      <c r="AN344" s="1485">
        <f>AR344/4</f>
        <v>0</v>
      </c>
      <c r="AO344" s="1486">
        <f>AR344/4</f>
        <v>0</v>
      </c>
      <c r="AP344" s="1486">
        <f>AR344/4</f>
        <v>0</v>
      </c>
      <c r="AQ344" s="1487">
        <f>AR344/4</f>
        <v>0</v>
      </c>
      <c r="AR344" s="1749">
        <v>0</v>
      </c>
      <c r="AS344" s="1485">
        <f>AW344/4</f>
        <v>0</v>
      </c>
      <c r="AT344" s="1486">
        <f>AW344/4</f>
        <v>0</v>
      </c>
      <c r="AU344" s="1486">
        <f>AW344/4</f>
        <v>0</v>
      </c>
      <c r="AV344" s="1487">
        <f>AW344/4</f>
        <v>0</v>
      </c>
      <c r="AW344" s="1749">
        <v>0</v>
      </c>
      <c r="AX344" s="1485">
        <f>BB344/4</f>
        <v>0</v>
      </c>
      <c r="AY344" s="1486">
        <f>BB344/4</f>
        <v>0</v>
      </c>
      <c r="AZ344" s="1486">
        <f>BB344/4</f>
        <v>0</v>
      </c>
      <c r="BA344" s="1487">
        <f>BB344/4</f>
        <v>0</v>
      </c>
      <c r="BB344" s="1749">
        <v>0</v>
      </c>
      <c r="BC344" s="1485">
        <f>BG344/4</f>
        <v>0</v>
      </c>
      <c r="BD344" s="1486">
        <f>BG344/4</f>
        <v>0</v>
      </c>
      <c r="BE344" s="1486">
        <f>BG344/4</f>
        <v>0</v>
      </c>
      <c r="BF344" s="1487">
        <f>BG344/4</f>
        <v>0</v>
      </c>
      <c r="BG344" s="1749">
        <v>0</v>
      </c>
      <c r="BH344" s="1485">
        <f>BL344/4</f>
        <v>0</v>
      </c>
      <c r="BI344" s="1486">
        <f>BL344/4</f>
        <v>0</v>
      </c>
      <c r="BJ344" s="1486">
        <f>BL344/4</f>
        <v>0</v>
      </c>
      <c r="BK344" s="1487">
        <f>BL344/4</f>
        <v>0</v>
      </c>
      <c r="BL344" s="1749">
        <v>0</v>
      </c>
      <c r="BM344" s="1485">
        <f>BQ344/4</f>
        <v>0</v>
      </c>
      <c r="BN344" s="1486">
        <f>BQ344/4</f>
        <v>0</v>
      </c>
      <c r="BO344" s="1486">
        <f>BQ344/4</f>
        <v>0</v>
      </c>
      <c r="BP344" s="1487">
        <f>BQ344/4</f>
        <v>0</v>
      </c>
      <c r="BQ344" s="1749">
        <v>0</v>
      </c>
      <c r="BR344" s="1519"/>
      <c r="BS344" s="1519"/>
      <c r="BT344" s="1519"/>
      <c r="BU344" s="1519"/>
      <c r="BV344" s="1519"/>
      <c r="BW344" s="1519"/>
      <c r="BX344" s="1519"/>
      <c r="BY344" s="1519"/>
      <c r="BZ344" s="1519"/>
      <c r="CA344" s="1519"/>
      <c r="CB344" s="1519"/>
      <c r="CC344" s="1519"/>
      <c r="CD344" s="1519"/>
      <c r="CE344" s="1519"/>
      <c r="CF344" s="1519"/>
      <c r="CG344" s="1519"/>
      <c r="CH344" s="1519"/>
      <c r="CI344" s="1519"/>
      <c r="CJ344" s="1519"/>
      <c r="CK344" s="1519"/>
    </row>
    <row r="345" spans="1:104">
      <c r="A345" s="1519"/>
      <c r="B345" s="1519"/>
      <c r="C345" s="1759" t="s">
        <v>82</v>
      </c>
      <c r="D345" s="1382"/>
      <c r="E345" s="1485"/>
      <c r="F345" s="1486"/>
      <c r="G345" s="1486"/>
      <c r="H345" s="1487"/>
      <c r="I345" s="1761"/>
      <c r="J345" s="1485"/>
      <c r="K345" s="1486"/>
      <c r="L345" s="1486"/>
      <c r="M345" s="1487"/>
      <c r="N345" s="1761"/>
      <c r="O345" s="1485"/>
      <c r="P345" s="1486"/>
      <c r="Q345" s="1486"/>
      <c r="R345" s="1487"/>
      <c r="S345" s="1761"/>
      <c r="T345" s="1485"/>
      <c r="U345" s="1486"/>
      <c r="V345" s="1486"/>
      <c r="W345" s="1487"/>
      <c r="X345" s="1749">
        <v>0</v>
      </c>
      <c r="Y345" s="1485">
        <f>AC345/4</f>
        <v>0</v>
      </c>
      <c r="Z345" s="1486">
        <f>AC345/4</f>
        <v>0</v>
      </c>
      <c r="AA345" s="1486">
        <f>AC345/4</f>
        <v>0</v>
      </c>
      <c r="AB345" s="1487">
        <f>AC345/4</f>
        <v>0</v>
      </c>
      <c r="AC345" s="1749">
        <v>0</v>
      </c>
      <c r="AD345" s="1485">
        <f>AH345/4</f>
        <v>0</v>
      </c>
      <c r="AE345" s="1486">
        <f>AH345/4</f>
        <v>0</v>
      </c>
      <c r="AF345" s="1486">
        <f>AH345/4</f>
        <v>0</v>
      </c>
      <c r="AG345" s="1487">
        <f>AH345/4</f>
        <v>0</v>
      </c>
      <c r="AH345" s="1749">
        <v>0</v>
      </c>
      <c r="AI345" s="1485">
        <f>AM345/4</f>
        <v>0</v>
      </c>
      <c r="AJ345" s="1486">
        <f>AM345/4</f>
        <v>0</v>
      </c>
      <c r="AK345" s="1486">
        <f>AM345/4</f>
        <v>0</v>
      </c>
      <c r="AL345" s="1487">
        <f>AM345/4</f>
        <v>0</v>
      </c>
      <c r="AM345" s="1749">
        <v>0</v>
      </c>
      <c r="AN345" s="1485">
        <f>AR345/4</f>
        <v>0</v>
      </c>
      <c r="AO345" s="1486">
        <f>AR345/4</f>
        <v>0</v>
      </c>
      <c r="AP345" s="1486">
        <f>AR345/4</f>
        <v>0</v>
      </c>
      <c r="AQ345" s="1487">
        <f>AR345/4</f>
        <v>0</v>
      </c>
      <c r="AR345" s="1749">
        <v>0</v>
      </c>
      <c r="AS345" s="1485">
        <f>AW345/4</f>
        <v>0</v>
      </c>
      <c r="AT345" s="1486">
        <f>AW345/4</f>
        <v>0</v>
      </c>
      <c r="AU345" s="1486">
        <f>AW345/4</f>
        <v>0</v>
      </c>
      <c r="AV345" s="1487">
        <f>AW345/4</f>
        <v>0</v>
      </c>
      <c r="AW345" s="1749">
        <v>0</v>
      </c>
      <c r="AX345" s="1485">
        <f>BB345/4</f>
        <v>0</v>
      </c>
      <c r="AY345" s="1486">
        <f>BB345/4</f>
        <v>0</v>
      </c>
      <c r="AZ345" s="1486">
        <f>BB345/4</f>
        <v>0</v>
      </c>
      <c r="BA345" s="1487">
        <f>BB345/4</f>
        <v>0</v>
      </c>
      <c r="BB345" s="1749">
        <v>0</v>
      </c>
      <c r="BC345" s="1485">
        <f>BG345/4</f>
        <v>0</v>
      </c>
      <c r="BD345" s="1486">
        <f>BG345/4</f>
        <v>0</v>
      </c>
      <c r="BE345" s="1486">
        <f>BG345/4</f>
        <v>0</v>
      </c>
      <c r="BF345" s="1487">
        <f>BG345/4</f>
        <v>0</v>
      </c>
      <c r="BG345" s="1749">
        <v>0</v>
      </c>
      <c r="BH345" s="1485">
        <f>BL345/4</f>
        <v>0</v>
      </c>
      <c r="BI345" s="1486">
        <f>BL345/4</f>
        <v>0</v>
      </c>
      <c r="BJ345" s="1486">
        <f>BL345/4</f>
        <v>0</v>
      </c>
      <c r="BK345" s="1487">
        <f>BL345/4</f>
        <v>0</v>
      </c>
      <c r="BL345" s="1749">
        <v>0</v>
      </c>
      <c r="BM345" s="1485">
        <f>BQ345/4</f>
        <v>0</v>
      </c>
      <c r="BN345" s="1486">
        <f>BQ345/4</f>
        <v>0</v>
      </c>
      <c r="BO345" s="1486">
        <f>BQ345/4</f>
        <v>0</v>
      </c>
      <c r="BP345" s="1487">
        <f>BQ345/4</f>
        <v>0</v>
      </c>
      <c r="BQ345" s="1749">
        <v>0</v>
      </c>
      <c r="BR345" s="1519"/>
      <c r="BS345" s="1519"/>
      <c r="BT345" s="1519"/>
      <c r="BU345" s="1519"/>
      <c r="BV345" s="1519"/>
      <c r="BW345" s="1519"/>
      <c r="BX345" s="1519"/>
      <c r="BY345" s="1519"/>
      <c r="BZ345" s="1519"/>
      <c r="CA345" s="1519"/>
      <c r="CB345" s="1519"/>
      <c r="CC345" s="1519"/>
      <c r="CD345" s="1519"/>
      <c r="CE345" s="1519"/>
      <c r="CF345" s="1519"/>
      <c r="CG345" s="1519"/>
      <c r="CH345" s="1519"/>
      <c r="CI345" s="1519"/>
      <c r="CJ345" s="1519"/>
      <c r="CK345" s="1519"/>
    </row>
    <row r="346" spans="1:104">
      <c r="A346" s="1519"/>
      <c r="B346" s="1519"/>
      <c r="C346" s="1758" t="s">
        <v>83</v>
      </c>
      <c r="D346" s="1382"/>
      <c r="E346" s="1548"/>
      <c r="F346" s="1549"/>
      <c r="G346" s="1549"/>
      <c r="H346" s="1518"/>
      <c r="I346" s="1755"/>
      <c r="J346" s="1548"/>
      <c r="K346" s="1549"/>
      <c r="L346" s="1549"/>
      <c r="M346" s="1518"/>
      <c r="N346" s="1755"/>
      <c r="O346" s="1548"/>
      <c r="P346" s="1549"/>
      <c r="Q346" s="1549"/>
      <c r="R346" s="1518"/>
      <c r="S346" s="1755"/>
      <c r="T346" s="1548"/>
      <c r="U346" s="1549"/>
      <c r="V346" s="1549"/>
      <c r="W346" s="1518"/>
      <c r="X346" s="1755">
        <f t="shared" ref="X346:BL346" si="173">SUM(X340:X345)</f>
        <v>449</v>
      </c>
      <c r="Y346" s="1548">
        <f t="shared" si="173"/>
        <v>147</v>
      </c>
      <c r="Z346" s="1549">
        <f t="shared" si="173"/>
        <v>52</v>
      </c>
      <c r="AA346" s="1549">
        <f t="shared" si="173"/>
        <v>169</v>
      </c>
      <c r="AB346" s="1518">
        <f t="shared" si="173"/>
        <v>96</v>
      </c>
      <c r="AC346" s="1755">
        <f t="shared" si="173"/>
        <v>464</v>
      </c>
      <c r="AD346" s="1548">
        <f t="shared" si="173"/>
        <v>220</v>
      </c>
      <c r="AE346" s="1549">
        <f t="shared" si="173"/>
        <v>154</v>
      </c>
      <c r="AF346" s="1549">
        <f t="shared" si="173"/>
        <v>173</v>
      </c>
      <c r="AG346" s="1518">
        <f t="shared" si="173"/>
        <v>47</v>
      </c>
      <c r="AH346" s="1755">
        <f t="shared" si="173"/>
        <v>594</v>
      </c>
      <c r="AI346" s="1548">
        <f t="shared" si="173"/>
        <v>237</v>
      </c>
      <c r="AJ346" s="1549">
        <f t="shared" si="173"/>
        <v>133</v>
      </c>
      <c r="AK346" s="1549">
        <f>SUM(AK340:AK345)</f>
        <v>142</v>
      </c>
      <c r="AL346" s="1518">
        <f>SUM(AL340:AL345)</f>
        <v>55.399999999999437</v>
      </c>
      <c r="AM346" s="1755">
        <f>SUM(AM340:AM345)</f>
        <v>567.39999999999941</v>
      </c>
      <c r="AN346" s="1548">
        <f>SUM(AN340:AN345)</f>
        <v>119.39999999999996</v>
      </c>
      <c r="AO346" s="1549">
        <f>SUM(AO340:AO345)</f>
        <v>100.29999999999995</v>
      </c>
      <c r="AP346" s="1549">
        <f t="shared" si="173"/>
        <v>-1318.6999999999998</v>
      </c>
      <c r="AQ346" s="1518">
        <f>SUM(AQ340:AQ345)</f>
        <v>55.599999999999937</v>
      </c>
      <c r="AR346" s="1755">
        <f>SUM(AR340:AR345)</f>
        <v>-1043.4000000000001</v>
      </c>
      <c r="AS346" s="1548">
        <f>SUM(AS340:AS345)</f>
        <v>191.89999999999998</v>
      </c>
      <c r="AT346" s="1549">
        <f>SUM(AT340:AT345)</f>
        <v>32.000000000000071</v>
      </c>
      <c r="AU346" s="1549">
        <f t="shared" ref="AU346" si="174">SUM(AU340:AU345)</f>
        <v>39.900000000000006</v>
      </c>
      <c r="AV346" s="1518">
        <f>SUM(AV340:AV345)</f>
        <v>-73.600000000000293</v>
      </c>
      <c r="AW346" s="1755">
        <f>SUM(AW340:AW345)</f>
        <v>190.19999999999976</v>
      </c>
      <c r="AX346" s="1548">
        <f t="shared" si="173"/>
        <v>17.732485569866771</v>
      </c>
      <c r="AY346" s="1549">
        <f t="shared" si="173"/>
        <v>21.239698024167598</v>
      </c>
      <c r="AZ346" s="1549">
        <f t="shared" si="173"/>
        <v>39.842414342863513</v>
      </c>
      <c r="BA346" s="1518">
        <f t="shared" si="173"/>
        <v>34.095160885388552</v>
      </c>
      <c r="BB346" s="1755">
        <f>SUM(BB340:BB345)</f>
        <v>112.90975882228619</v>
      </c>
      <c r="BC346" s="1548">
        <f t="shared" si="173"/>
        <v>32.382510518996668</v>
      </c>
      <c r="BD346" s="1549">
        <f t="shared" si="173"/>
        <v>17.425694417773581</v>
      </c>
      <c r="BE346" s="1549">
        <f t="shared" si="173"/>
        <v>28.329786627532567</v>
      </c>
      <c r="BF346" s="1518">
        <f t="shared" si="173"/>
        <v>30.877207954226176</v>
      </c>
      <c r="BG346" s="1755">
        <f t="shared" si="173"/>
        <v>109.01519951852858</v>
      </c>
      <c r="BH346" s="1548">
        <f t="shared" si="173"/>
        <v>27.866137039454852</v>
      </c>
      <c r="BI346" s="1549">
        <f t="shared" si="173"/>
        <v>17.272711187150872</v>
      </c>
      <c r="BJ346" s="1549">
        <f t="shared" si="173"/>
        <v>40.992631687448366</v>
      </c>
      <c r="BK346" s="1518">
        <f t="shared" si="173"/>
        <v>30.45736068730286</v>
      </c>
      <c r="BL346" s="1755">
        <f t="shared" si="173"/>
        <v>116.58884060135705</v>
      </c>
      <c r="BM346" s="1548">
        <f>SUM(BM340:BM345)</f>
        <v>34.286084744147324</v>
      </c>
      <c r="BN346" s="1549">
        <f>SUM(BN340:BN345)</f>
        <v>36.48697969236791</v>
      </c>
      <c r="BO346" s="1549">
        <f>SUM(BO340:BO345)</f>
        <v>44.063590356678851</v>
      </c>
      <c r="BP346" s="1518">
        <f>SUM(BP340:BP345)</f>
        <v>39.717189515562836</v>
      </c>
      <c r="BQ346" s="1755">
        <f>SUM(BQ340:BQ345)</f>
        <v>154.55384430875688</v>
      </c>
      <c r="BR346" s="1519"/>
      <c r="BS346" s="1519"/>
      <c r="BT346" s="1519"/>
      <c r="BU346" s="1519"/>
      <c r="BV346" s="1519"/>
      <c r="BW346" s="1519"/>
      <c r="BX346" s="1519"/>
      <c r="BY346" s="1519"/>
      <c r="BZ346" s="1519"/>
      <c r="CA346" s="1519"/>
      <c r="CB346" s="1519"/>
      <c r="CC346" s="1519"/>
      <c r="CD346" s="1519"/>
      <c r="CE346" s="1519"/>
      <c r="CF346" s="1519"/>
      <c r="CG346" s="1519"/>
      <c r="CH346" s="1519"/>
      <c r="CI346" s="1519"/>
      <c r="CJ346" s="1519"/>
      <c r="CK346" s="1519"/>
    </row>
    <row r="347" spans="1:104">
      <c r="A347" s="1519"/>
      <c r="B347" s="1519"/>
      <c r="C347" s="1759"/>
      <c r="D347" s="1382"/>
      <c r="E347" s="1485"/>
      <c r="F347" s="1488"/>
      <c r="G347" s="1488"/>
      <c r="H347" s="1487"/>
      <c r="I347" s="1761"/>
      <c r="J347" s="1485"/>
      <c r="K347" s="1488"/>
      <c r="L347" s="1488"/>
      <c r="M347" s="1487"/>
      <c r="N347" s="1761"/>
      <c r="O347" s="1485"/>
      <c r="P347" s="1488"/>
      <c r="Q347" s="1488"/>
      <c r="R347" s="1487"/>
      <c r="S347" s="1761"/>
      <c r="T347" s="1485"/>
      <c r="U347" s="1488"/>
      <c r="V347" s="1488"/>
      <c r="W347" s="1487"/>
      <c r="X347" s="1761"/>
      <c r="Y347" s="1485"/>
      <c r="Z347" s="1488"/>
      <c r="AA347" s="1488"/>
      <c r="AB347" s="1487"/>
      <c r="AC347" s="1761"/>
      <c r="AD347" s="1485"/>
      <c r="AE347" s="1488"/>
      <c r="AF347" s="1488"/>
      <c r="AG347" s="1487"/>
      <c r="AH347" s="1761"/>
      <c r="AI347" s="1485"/>
      <c r="AJ347" s="1488"/>
      <c r="AK347" s="1488"/>
      <c r="AL347" s="1487"/>
      <c r="AM347" s="1761"/>
      <c r="AN347" s="1485"/>
      <c r="AO347" s="1488"/>
      <c r="AP347" s="1488"/>
      <c r="AQ347" s="1487"/>
      <c r="AR347" s="1761"/>
      <c r="AS347" s="1485"/>
      <c r="AT347" s="1488"/>
      <c r="AU347" s="1488"/>
      <c r="AV347" s="1487"/>
      <c r="AW347" s="1761"/>
      <c r="AX347" s="1485"/>
      <c r="AY347" s="1488"/>
      <c r="AZ347" s="1488"/>
      <c r="BA347" s="1487"/>
      <c r="BB347" s="1761"/>
      <c r="BC347" s="1485"/>
      <c r="BD347" s="1488"/>
      <c r="BE347" s="1488"/>
      <c r="BF347" s="1487"/>
      <c r="BG347" s="1761"/>
      <c r="BH347" s="1485"/>
      <c r="BI347" s="1488"/>
      <c r="BJ347" s="1488"/>
      <c r="BK347" s="1487"/>
      <c r="BL347" s="1761"/>
      <c r="BM347" s="1485"/>
      <c r="BN347" s="1488"/>
      <c r="BO347" s="1488"/>
      <c r="BP347" s="1487"/>
      <c r="BQ347" s="1761"/>
      <c r="BR347" s="1519"/>
      <c r="BS347" s="1519"/>
      <c r="BT347" s="1519"/>
      <c r="BU347" s="1519"/>
      <c r="BV347" s="1519"/>
      <c r="BW347" s="1519"/>
      <c r="BX347" s="1519"/>
      <c r="BY347" s="1519"/>
      <c r="BZ347" s="1519"/>
      <c r="CA347" s="1519"/>
      <c r="CB347" s="1519"/>
      <c r="CC347" s="1519"/>
      <c r="CD347" s="1519"/>
      <c r="CE347" s="1519"/>
      <c r="CF347" s="1519"/>
      <c r="CG347" s="1519"/>
      <c r="CH347" s="1519"/>
      <c r="CI347" s="1519"/>
      <c r="CJ347" s="1519"/>
      <c r="CK347" s="1519"/>
    </row>
    <row r="348" spans="1:104">
      <c r="A348" s="1519"/>
      <c r="B348" s="1519"/>
      <c r="C348" s="1759" t="s">
        <v>84</v>
      </c>
      <c r="D348" s="1382"/>
      <c r="E348" s="1485"/>
      <c r="F348" s="1486"/>
      <c r="G348" s="1486"/>
      <c r="H348" s="1487"/>
      <c r="I348" s="1761"/>
      <c r="J348" s="1485"/>
      <c r="K348" s="1486"/>
      <c r="L348" s="1486"/>
      <c r="M348" s="1487"/>
      <c r="N348" s="1761"/>
      <c r="O348" s="1485"/>
      <c r="P348" s="1486"/>
      <c r="Q348" s="1486"/>
      <c r="R348" s="1487"/>
      <c r="S348" s="1761"/>
      <c r="T348" s="1485"/>
      <c r="U348" s="1486"/>
      <c r="V348" s="1486"/>
      <c r="W348" s="1487"/>
      <c r="X348" s="1761">
        <f t="shared" ref="X348:BL348" si="175">-X323</f>
        <v>-249</v>
      </c>
      <c r="Y348" s="1485">
        <f t="shared" si="175"/>
        <v>-46.25</v>
      </c>
      <c r="Z348" s="1486">
        <f t="shared" si="175"/>
        <v>-46.25</v>
      </c>
      <c r="AA348" s="1486">
        <f t="shared" si="175"/>
        <v>-46.25</v>
      </c>
      <c r="AB348" s="1487">
        <f t="shared" si="175"/>
        <v>-46.25</v>
      </c>
      <c r="AC348" s="1761">
        <f t="shared" si="175"/>
        <v>-185</v>
      </c>
      <c r="AD348" s="1485">
        <f t="shared" si="175"/>
        <v>-41.25</v>
      </c>
      <c r="AE348" s="1486">
        <f t="shared" si="175"/>
        <v>-41.25</v>
      </c>
      <c r="AF348" s="1486">
        <f t="shared" si="175"/>
        <v>-41.25</v>
      </c>
      <c r="AG348" s="1487">
        <f t="shared" si="175"/>
        <v>-41.25</v>
      </c>
      <c r="AH348" s="1761">
        <f t="shared" si="175"/>
        <v>-165</v>
      </c>
      <c r="AI348" s="1485">
        <f t="shared" si="175"/>
        <v>-33.575000000000003</v>
      </c>
      <c r="AJ348" s="1486">
        <f t="shared" si="175"/>
        <v>-33.575000000000003</v>
      </c>
      <c r="AK348" s="1486">
        <f>-AK323</f>
        <v>-33.575000000000003</v>
      </c>
      <c r="AL348" s="1487">
        <f>-AL323</f>
        <v>-33.575000000000003</v>
      </c>
      <c r="AM348" s="1761">
        <f>-AM323</f>
        <v>-134.30000000000001</v>
      </c>
      <c r="AN348" s="1485">
        <f>-AN323</f>
        <v>-84.05</v>
      </c>
      <c r="AO348" s="1486">
        <f>-AO323</f>
        <v>-84.05</v>
      </c>
      <c r="AP348" s="1486">
        <f t="shared" si="175"/>
        <v>-84.049999999999983</v>
      </c>
      <c r="AQ348" s="1487">
        <f>-AQ323</f>
        <v>-84.050000000000011</v>
      </c>
      <c r="AR348" s="1761">
        <f>-AR323</f>
        <v>-336.2</v>
      </c>
      <c r="AS348" s="1485">
        <f>-AS323</f>
        <v>-82.125</v>
      </c>
      <c r="AT348" s="1486">
        <f>-AT323</f>
        <v>-82.125</v>
      </c>
      <c r="AU348" s="1486">
        <f t="shared" ref="AU348" si="176">-AU323</f>
        <v>-82.125</v>
      </c>
      <c r="AV348" s="1487">
        <f>-AV323</f>
        <v>-82.125</v>
      </c>
      <c r="AW348" s="1761">
        <f>-AW323</f>
        <v>-328.5</v>
      </c>
      <c r="AX348" s="1485">
        <f t="shared" si="175"/>
        <v>-108.95833333333333</v>
      </c>
      <c r="AY348" s="1486">
        <f t="shared" si="175"/>
        <v>-108.95833333333333</v>
      </c>
      <c r="AZ348" s="1486">
        <f t="shared" si="175"/>
        <v>-108.95833333333333</v>
      </c>
      <c r="BA348" s="1487">
        <f t="shared" si="175"/>
        <v>-108.95833333333331</v>
      </c>
      <c r="BB348" s="1761">
        <f t="shared" si="175"/>
        <v>-435.83333333333331</v>
      </c>
      <c r="BC348" s="1485">
        <f t="shared" si="175"/>
        <v>-102.08333333333333</v>
      </c>
      <c r="BD348" s="1486">
        <f t="shared" si="175"/>
        <v>-102.08333333333333</v>
      </c>
      <c r="BE348" s="1486">
        <f t="shared" si="175"/>
        <v>-102.08333333333333</v>
      </c>
      <c r="BF348" s="1487">
        <f t="shared" si="175"/>
        <v>-102.08333333333331</v>
      </c>
      <c r="BG348" s="1761">
        <f t="shared" si="175"/>
        <v>-408.33333333333331</v>
      </c>
      <c r="BH348" s="1485">
        <f t="shared" si="175"/>
        <v>-102.08333333333333</v>
      </c>
      <c r="BI348" s="1486">
        <f t="shared" si="175"/>
        <v>-102.08333333333333</v>
      </c>
      <c r="BJ348" s="1486">
        <f t="shared" si="175"/>
        <v>-102.08333333333333</v>
      </c>
      <c r="BK348" s="1487">
        <f t="shared" si="175"/>
        <v>-102.08333333333331</v>
      </c>
      <c r="BL348" s="1761">
        <f t="shared" si="175"/>
        <v>-408.33333333333331</v>
      </c>
      <c r="BM348" s="1485">
        <f>-BM323</f>
        <v>-18.75</v>
      </c>
      <c r="BN348" s="1486">
        <f>-BN323</f>
        <v>-18.75</v>
      </c>
      <c r="BO348" s="1486">
        <f>-BO323</f>
        <v>-18.75</v>
      </c>
      <c r="BP348" s="1487">
        <f>-BP323</f>
        <v>-18.75</v>
      </c>
      <c r="BQ348" s="1761">
        <f>-BQ323</f>
        <v>-75</v>
      </c>
      <c r="BR348" s="1519"/>
      <c r="BS348" s="1519"/>
      <c r="BT348" s="1519"/>
      <c r="BU348" s="1519"/>
      <c r="BV348" s="1519"/>
      <c r="BW348" s="1519"/>
      <c r="BX348" s="1519"/>
      <c r="BY348" s="1519"/>
      <c r="BZ348" s="1519"/>
      <c r="CA348" s="1519"/>
      <c r="CB348" s="1519"/>
      <c r="CC348" s="1519"/>
      <c r="CD348" s="1519"/>
      <c r="CE348" s="1519"/>
      <c r="CF348" s="1519"/>
      <c r="CG348" s="1519"/>
      <c r="CH348" s="1519"/>
      <c r="CI348" s="1519"/>
      <c r="CJ348" s="1519"/>
      <c r="CK348" s="1519"/>
    </row>
    <row r="349" spans="1:104">
      <c r="A349" s="1519"/>
      <c r="B349" s="1519"/>
      <c r="C349" s="1759" t="s">
        <v>85</v>
      </c>
      <c r="D349" s="1382"/>
      <c r="E349" s="1485"/>
      <c r="F349" s="1486"/>
      <c r="G349" s="1486"/>
      <c r="H349" s="1487"/>
      <c r="I349" s="1761"/>
      <c r="J349" s="1485"/>
      <c r="K349" s="1486"/>
      <c r="L349" s="1486"/>
      <c r="M349" s="1487"/>
      <c r="N349" s="1761"/>
      <c r="O349" s="1485"/>
      <c r="P349" s="1486"/>
      <c r="Q349" s="1486"/>
      <c r="R349" s="1487"/>
      <c r="S349" s="1761"/>
      <c r="T349" s="1485"/>
      <c r="U349" s="1486"/>
      <c r="V349" s="1486"/>
      <c r="W349" s="1487"/>
      <c r="X349" s="1761">
        <v>0</v>
      </c>
      <c r="Y349" s="1485">
        <f>AC349/4</f>
        <v>0</v>
      </c>
      <c r="Z349" s="1486">
        <f>AC349/4</f>
        <v>0</v>
      </c>
      <c r="AA349" s="1486">
        <f>AC349/4</f>
        <v>0</v>
      </c>
      <c r="AB349" s="1487">
        <f>AC349/4</f>
        <v>0</v>
      </c>
      <c r="AC349" s="1761">
        <v>0</v>
      </c>
      <c r="AD349" s="1485">
        <f>AH349/4</f>
        <v>0</v>
      </c>
      <c r="AE349" s="1486">
        <f>AH349/4</f>
        <v>0</v>
      </c>
      <c r="AF349" s="1486">
        <f>AH349/4</f>
        <v>0</v>
      </c>
      <c r="AG349" s="1487">
        <f>AH349/4</f>
        <v>0</v>
      </c>
      <c r="AH349" s="1761">
        <v>0</v>
      </c>
      <c r="AI349" s="1485">
        <f>AM349/4</f>
        <v>0</v>
      </c>
      <c r="AJ349" s="1486">
        <f>AM349/4</f>
        <v>0</v>
      </c>
      <c r="AK349" s="1486">
        <f>AM349/4</f>
        <v>0</v>
      </c>
      <c r="AL349" s="1487">
        <f>AM349/4</f>
        <v>0</v>
      </c>
      <c r="AM349" s="1761">
        <v>0</v>
      </c>
      <c r="AN349" s="1485">
        <f>AR349/4</f>
        <v>0</v>
      </c>
      <c r="AO349" s="1486">
        <f>AR349/4</f>
        <v>0</v>
      </c>
      <c r="AP349" s="1486">
        <f>AR349/4</f>
        <v>0</v>
      </c>
      <c r="AQ349" s="1487">
        <f>AR349/4</f>
        <v>0</v>
      </c>
      <c r="AR349" s="1761">
        <v>0</v>
      </c>
      <c r="AS349" s="1485">
        <f>AW349/4</f>
        <v>0</v>
      </c>
      <c r="AT349" s="1486">
        <f>AW349/4</f>
        <v>0</v>
      </c>
      <c r="AU349" s="1486">
        <f>AW349/4</f>
        <v>0</v>
      </c>
      <c r="AV349" s="1487">
        <f>AW349/4</f>
        <v>0</v>
      </c>
      <c r="AW349" s="1761">
        <v>0</v>
      </c>
      <c r="AX349" s="1485">
        <f>BB349/4</f>
        <v>0</v>
      </c>
      <c r="AY349" s="1486">
        <f>BB349/4</f>
        <v>0</v>
      </c>
      <c r="AZ349" s="1486">
        <f>BB349/4</f>
        <v>0</v>
      </c>
      <c r="BA349" s="1487">
        <f>BB349/4</f>
        <v>0</v>
      </c>
      <c r="BB349" s="1761">
        <v>0</v>
      </c>
      <c r="BC349" s="1485">
        <f>BG349/4</f>
        <v>0</v>
      </c>
      <c r="BD349" s="1486">
        <f>BG349/4</f>
        <v>0</v>
      </c>
      <c r="BE349" s="1486">
        <f>BG349/4</f>
        <v>0</v>
      </c>
      <c r="BF349" s="1487">
        <f>BG349/4</f>
        <v>0</v>
      </c>
      <c r="BG349" s="1761">
        <v>0</v>
      </c>
      <c r="BH349" s="1485">
        <f>BL349/4</f>
        <v>0</v>
      </c>
      <c r="BI349" s="1486">
        <f>BL349/4</f>
        <v>0</v>
      </c>
      <c r="BJ349" s="1486">
        <f>BL349/4</f>
        <v>0</v>
      </c>
      <c r="BK349" s="1487">
        <f>BL349/4</f>
        <v>0</v>
      </c>
      <c r="BL349" s="1761">
        <v>0</v>
      </c>
      <c r="BM349" s="1485">
        <f>BQ349/4</f>
        <v>0</v>
      </c>
      <c r="BN349" s="1486">
        <f>BQ349/4</f>
        <v>0</v>
      </c>
      <c r="BO349" s="1486">
        <f>BQ349/4</f>
        <v>0</v>
      </c>
      <c r="BP349" s="1487">
        <f>BQ349/4</f>
        <v>0</v>
      </c>
      <c r="BQ349" s="1761">
        <v>0</v>
      </c>
      <c r="BR349" s="1519"/>
      <c r="BS349" s="1519"/>
      <c r="BT349" s="1519"/>
      <c r="BU349" s="1519"/>
      <c r="BV349" s="1519"/>
      <c r="BW349" s="1519"/>
      <c r="BX349" s="1519"/>
      <c r="BY349" s="1519"/>
      <c r="BZ349" s="1519"/>
      <c r="CA349" s="1519"/>
      <c r="CB349" s="1519"/>
      <c r="CC349" s="1519"/>
      <c r="CD349" s="1519"/>
      <c r="CE349" s="1519"/>
      <c r="CF349" s="1519"/>
      <c r="CG349" s="1519"/>
      <c r="CH349" s="1519"/>
      <c r="CI349" s="1519"/>
      <c r="CJ349" s="1519"/>
      <c r="CK349" s="1519"/>
    </row>
    <row r="350" spans="1:104">
      <c r="A350" s="1519"/>
      <c r="B350" s="1519"/>
      <c r="C350" s="1758" t="s">
        <v>86</v>
      </c>
      <c r="D350" s="1382"/>
      <c r="E350" s="1548"/>
      <c r="F350" s="1549"/>
      <c r="G350" s="1549"/>
      <c r="H350" s="1518"/>
      <c r="I350" s="1755"/>
      <c r="J350" s="1548"/>
      <c r="K350" s="1549"/>
      <c r="L350" s="1549"/>
      <c r="M350" s="1518"/>
      <c r="N350" s="1755"/>
      <c r="O350" s="1548"/>
      <c r="P350" s="1549"/>
      <c r="Q350" s="1549"/>
      <c r="R350" s="1518"/>
      <c r="S350" s="1755"/>
      <c r="T350" s="1548"/>
      <c r="U350" s="1549"/>
      <c r="V350" s="1549"/>
      <c r="W350" s="1518"/>
      <c r="X350" s="1755">
        <f t="shared" ref="X350:BL350" si="177">SUM(X348:X349)</f>
        <v>-249</v>
      </c>
      <c r="Y350" s="1548">
        <f t="shared" si="177"/>
        <v>-46.25</v>
      </c>
      <c r="Z350" s="1549">
        <f t="shared" si="177"/>
        <v>-46.25</v>
      </c>
      <c r="AA350" s="1549">
        <f t="shared" si="177"/>
        <v>-46.25</v>
      </c>
      <c r="AB350" s="1518">
        <f t="shared" si="177"/>
        <v>-46.25</v>
      </c>
      <c r="AC350" s="1755">
        <f t="shared" si="177"/>
        <v>-185</v>
      </c>
      <c r="AD350" s="1548">
        <f t="shared" si="177"/>
        <v>-41.25</v>
      </c>
      <c r="AE350" s="1549">
        <f t="shared" si="177"/>
        <v>-41.25</v>
      </c>
      <c r="AF350" s="1549">
        <f t="shared" si="177"/>
        <v>-41.25</v>
      </c>
      <c r="AG350" s="1518">
        <f t="shared" si="177"/>
        <v>-41.25</v>
      </c>
      <c r="AH350" s="1755">
        <f t="shared" si="177"/>
        <v>-165</v>
      </c>
      <c r="AI350" s="1548">
        <f t="shared" si="177"/>
        <v>-33.575000000000003</v>
      </c>
      <c r="AJ350" s="1549">
        <f t="shared" si="177"/>
        <v>-33.575000000000003</v>
      </c>
      <c r="AK350" s="1549">
        <f>SUM(AK348:AK349)</f>
        <v>-33.575000000000003</v>
      </c>
      <c r="AL350" s="1518">
        <f>SUM(AL348:AL349)</f>
        <v>-33.575000000000003</v>
      </c>
      <c r="AM350" s="1755">
        <f>SUM(AM348:AM349)</f>
        <v>-134.30000000000001</v>
      </c>
      <c r="AN350" s="1548">
        <f>SUM(AN348:AN349)</f>
        <v>-84.05</v>
      </c>
      <c r="AO350" s="1549">
        <f>SUM(AO348:AO349)</f>
        <v>-84.05</v>
      </c>
      <c r="AP350" s="1549">
        <f t="shared" si="177"/>
        <v>-84.049999999999983</v>
      </c>
      <c r="AQ350" s="1518">
        <f>SUM(AQ348:AQ349)</f>
        <v>-84.050000000000011</v>
      </c>
      <c r="AR350" s="1755">
        <f>SUM(AR348:AR349)</f>
        <v>-336.2</v>
      </c>
      <c r="AS350" s="1548">
        <f>SUM(AS348:AS349)</f>
        <v>-82.125</v>
      </c>
      <c r="AT350" s="1549">
        <f>SUM(AT348:AT349)</f>
        <v>-82.125</v>
      </c>
      <c r="AU350" s="1549">
        <f t="shared" ref="AU350" si="178">SUM(AU348:AU349)</f>
        <v>-82.125</v>
      </c>
      <c r="AV350" s="1518">
        <f>SUM(AV348:AV349)</f>
        <v>-82.125</v>
      </c>
      <c r="AW350" s="1755">
        <f>SUM(AW348:AW349)</f>
        <v>-328.5</v>
      </c>
      <c r="AX350" s="1548">
        <f t="shared" si="177"/>
        <v>-108.95833333333333</v>
      </c>
      <c r="AY350" s="1549">
        <f t="shared" si="177"/>
        <v>-108.95833333333333</v>
      </c>
      <c r="AZ350" s="1549">
        <f t="shared" si="177"/>
        <v>-108.95833333333333</v>
      </c>
      <c r="BA350" s="1518">
        <f t="shared" si="177"/>
        <v>-108.95833333333331</v>
      </c>
      <c r="BB350" s="1755">
        <f t="shared" si="177"/>
        <v>-435.83333333333331</v>
      </c>
      <c r="BC350" s="1548">
        <f t="shared" si="177"/>
        <v>-102.08333333333333</v>
      </c>
      <c r="BD350" s="1549">
        <f t="shared" si="177"/>
        <v>-102.08333333333333</v>
      </c>
      <c r="BE350" s="1549">
        <f t="shared" si="177"/>
        <v>-102.08333333333333</v>
      </c>
      <c r="BF350" s="1518">
        <f t="shared" si="177"/>
        <v>-102.08333333333331</v>
      </c>
      <c r="BG350" s="1755">
        <f t="shared" si="177"/>
        <v>-408.33333333333331</v>
      </c>
      <c r="BH350" s="1548">
        <f t="shared" si="177"/>
        <v>-102.08333333333333</v>
      </c>
      <c r="BI350" s="1549">
        <f t="shared" si="177"/>
        <v>-102.08333333333333</v>
      </c>
      <c r="BJ350" s="1549">
        <f t="shared" si="177"/>
        <v>-102.08333333333333</v>
      </c>
      <c r="BK350" s="1518">
        <f t="shared" si="177"/>
        <v>-102.08333333333331</v>
      </c>
      <c r="BL350" s="1755">
        <f t="shared" si="177"/>
        <v>-408.33333333333331</v>
      </c>
      <c r="BM350" s="1548">
        <f>SUM(BM348:BM349)</f>
        <v>-18.75</v>
      </c>
      <c r="BN350" s="1549">
        <f>SUM(BN348:BN349)</f>
        <v>-18.75</v>
      </c>
      <c r="BO350" s="1549">
        <f>SUM(BO348:BO349)</f>
        <v>-18.75</v>
      </c>
      <c r="BP350" s="1518">
        <f>SUM(BP348:BP349)</f>
        <v>-18.75</v>
      </c>
      <c r="BQ350" s="1755">
        <f>SUM(BQ348:BQ349)</f>
        <v>-75</v>
      </c>
      <c r="BR350" s="1519"/>
      <c r="BS350" s="1519"/>
      <c r="BT350" s="1519"/>
      <c r="BU350" s="1519"/>
      <c r="BV350" s="1519"/>
      <c r="BW350" s="1519"/>
      <c r="BX350" s="1519"/>
      <c r="BY350" s="1519"/>
      <c r="BZ350" s="1519"/>
      <c r="CA350" s="1519"/>
      <c r="CB350" s="1519"/>
      <c r="CC350" s="1519"/>
      <c r="CD350" s="1519"/>
      <c r="CE350" s="1519"/>
      <c r="CF350" s="1519"/>
      <c r="CG350" s="1519"/>
      <c r="CH350" s="1519"/>
      <c r="CI350" s="1519"/>
      <c r="CJ350" s="1519"/>
      <c r="CK350" s="1519"/>
    </row>
    <row r="351" spans="1:104">
      <c r="A351" s="1519"/>
      <c r="B351" s="1519"/>
      <c r="C351" s="1759"/>
      <c r="D351" s="1382"/>
      <c r="E351" s="1485"/>
      <c r="F351" s="1488"/>
      <c r="G351" s="1488"/>
      <c r="H351" s="1487"/>
      <c r="I351" s="1761"/>
      <c r="J351" s="1485"/>
      <c r="K351" s="1488"/>
      <c r="L351" s="1488"/>
      <c r="M351" s="1487"/>
      <c r="N351" s="1761"/>
      <c r="O351" s="1485"/>
      <c r="P351" s="1488"/>
      <c r="Q351" s="1488"/>
      <c r="R351" s="1487"/>
      <c r="S351" s="1761"/>
      <c r="T351" s="1485"/>
      <c r="U351" s="1488"/>
      <c r="V351" s="1488"/>
      <c r="W351" s="1487"/>
      <c r="X351" s="1761"/>
      <c r="Y351" s="1485"/>
      <c r="Z351" s="1488"/>
      <c r="AA351" s="1488"/>
      <c r="AB351" s="1487"/>
      <c r="AC351" s="1761"/>
      <c r="AD351" s="1485"/>
      <c r="AE351" s="1488"/>
      <c r="AF351" s="1488"/>
      <c r="AG351" s="1487"/>
      <c r="AH351" s="1761"/>
      <c r="AI351" s="1485"/>
      <c r="AJ351" s="1488"/>
      <c r="AK351" s="1488"/>
      <c r="AL351" s="1487"/>
      <c r="AM351" s="1761"/>
      <c r="AN351" s="1485"/>
      <c r="AO351" s="1488"/>
      <c r="AP351" s="1488"/>
      <c r="AQ351" s="1487"/>
      <c r="AR351" s="1761"/>
      <c r="AS351" s="1485"/>
      <c r="AT351" s="1488"/>
      <c r="AU351" s="1488"/>
      <c r="AV351" s="1487"/>
      <c r="AW351" s="1761"/>
      <c r="AX351" s="1485"/>
      <c r="AY351" s="1488"/>
      <c r="AZ351" s="1488"/>
      <c r="BA351" s="1487"/>
      <c r="BB351" s="1761"/>
      <c r="BC351" s="1485"/>
      <c r="BD351" s="1488"/>
      <c r="BE351" s="1488"/>
      <c r="BF351" s="1487"/>
      <c r="BG351" s="1761"/>
      <c r="BH351" s="1485"/>
      <c r="BI351" s="1488"/>
      <c r="BJ351" s="1488"/>
      <c r="BK351" s="1487"/>
      <c r="BL351" s="1761"/>
      <c r="BM351" s="1485"/>
      <c r="BN351" s="1488"/>
      <c r="BO351" s="1488"/>
      <c r="BP351" s="1487"/>
      <c r="BQ351" s="1761"/>
      <c r="BR351" s="1519"/>
      <c r="BS351" s="1519"/>
      <c r="BT351" s="1519"/>
      <c r="BU351" s="1519"/>
      <c r="BV351" s="1519"/>
      <c r="BW351" s="1519"/>
      <c r="BX351" s="1519"/>
      <c r="BY351" s="1519"/>
      <c r="BZ351" s="1519"/>
      <c r="CA351" s="1519"/>
      <c r="CB351" s="1519"/>
      <c r="CC351" s="1519"/>
      <c r="CD351" s="1519"/>
      <c r="CE351" s="1519"/>
      <c r="CF351" s="1519"/>
      <c r="CG351" s="1519"/>
      <c r="CH351" s="1519"/>
      <c r="CI351" s="1519"/>
      <c r="CJ351" s="1519"/>
      <c r="CK351" s="1519"/>
    </row>
    <row r="352" spans="1:104">
      <c r="A352" s="1519"/>
      <c r="B352" s="1519"/>
      <c r="C352" s="1759" t="s">
        <v>87</v>
      </c>
      <c r="D352" s="1382"/>
      <c r="E352" s="1485"/>
      <c r="F352" s="1486"/>
      <c r="G352" s="1486"/>
      <c r="H352" s="1487"/>
      <c r="I352" s="1761"/>
      <c r="J352" s="1485"/>
      <c r="K352" s="1486"/>
      <c r="L352" s="1486"/>
      <c r="M352" s="1487"/>
      <c r="N352" s="1761"/>
      <c r="O352" s="1485"/>
      <c r="P352" s="1486"/>
      <c r="Q352" s="1486"/>
      <c r="R352" s="1487"/>
      <c r="S352" s="1761"/>
      <c r="T352" s="1485"/>
      <c r="U352" s="1486"/>
      <c r="V352" s="1486"/>
      <c r="W352" s="1487"/>
      <c r="X352" s="1761">
        <f t="shared" ref="X352:BL353" si="179">X328</f>
        <v>0</v>
      </c>
      <c r="Y352" s="1485">
        <f t="shared" si="179"/>
        <v>0</v>
      </c>
      <c r="Z352" s="1486">
        <f t="shared" si="179"/>
        <v>0</v>
      </c>
      <c r="AA352" s="1486">
        <f t="shared" si="179"/>
        <v>0</v>
      </c>
      <c r="AB352" s="1487">
        <f t="shared" si="179"/>
        <v>0</v>
      </c>
      <c r="AC352" s="1761">
        <f t="shared" si="179"/>
        <v>0</v>
      </c>
      <c r="AD352" s="1485">
        <f t="shared" si="179"/>
        <v>0</v>
      </c>
      <c r="AE352" s="1486">
        <f t="shared" si="179"/>
        <v>0</v>
      </c>
      <c r="AF352" s="1486">
        <f t="shared" si="179"/>
        <v>0</v>
      </c>
      <c r="AG352" s="1487">
        <f t="shared" si="179"/>
        <v>0</v>
      </c>
      <c r="AH352" s="1761">
        <f t="shared" si="179"/>
        <v>0</v>
      </c>
      <c r="AI352" s="1485">
        <f t="shared" si="179"/>
        <v>0</v>
      </c>
      <c r="AJ352" s="1486">
        <f t="shared" si="179"/>
        <v>0</v>
      </c>
      <c r="AK352" s="1486">
        <f t="shared" si="179"/>
        <v>0</v>
      </c>
      <c r="AL352" s="1487">
        <f t="shared" si="179"/>
        <v>0</v>
      </c>
      <c r="AM352" s="1761">
        <f t="shared" si="179"/>
        <v>0</v>
      </c>
      <c r="AN352" s="1485">
        <f t="shared" si="179"/>
        <v>0</v>
      </c>
      <c r="AO352" s="1486">
        <f t="shared" si="179"/>
        <v>0</v>
      </c>
      <c r="AP352" s="1486">
        <f t="shared" si="179"/>
        <v>0</v>
      </c>
      <c r="AQ352" s="1487">
        <f t="shared" ref="AQ352:AU353" si="180">AQ328</f>
        <v>0</v>
      </c>
      <c r="AR352" s="1761">
        <f t="shared" si="180"/>
        <v>0</v>
      </c>
      <c r="AS352" s="1485">
        <f t="shared" si="180"/>
        <v>0</v>
      </c>
      <c r="AT352" s="1486">
        <f t="shared" si="180"/>
        <v>0</v>
      </c>
      <c r="AU352" s="1486">
        <f t="shared" si="180"/>
        <v>0</v>
      </c>
      <c r="AV352" s="1487">
        <f t="shared" ref="AV352:AW352" si="181">AV328</f>
        <v>0</v>
      </c>
      <c r="AW352" s="1761">
        <f t="shared" si="181"/>
        <v>0</v>
      </c>
      <c r="AX352" s="1485">
        <f t="shared" si="179"/>
        <v>0</v>
      </c>
      <c r="AY352" s="1486">
        <f t="shared" si="179"/>
        <v>0</v>
      </c>
      <c r="AZ352" s="1486">
        <f t="shared" si="179"/>
        <v>150</v>
      </c>
      <c r="BA352" s="1487">
        <f t="shared" si="179"/>
        <v>0</v>
      </c>
      <c r="BB352" s="1761">
        <f t="shared" si="179"/>
        <v>150</v>
      </c>
      <c r="BC352" s="1485">
        <f t="shared" si="179"/>
        <v>0</v>
      </c>
      <c r="BD352" s="1486">
        <f>BD328</f>
        <v>0</v>
      </c>
      <c r="BE352" s="1486">
        <f>BE328</f>
        <v>175</v>
      </c>
      <c r="BF352" s="1487">
        <f t="shared" si="179"/>
        <v>0</v>
      </c>
      <c r="BG352" s="1761">
        <f t="shared" si="179"/>
        <v>175</v>
      </c>
      <c r="BH352" s="1485">
        <f t="shared" si="179"/>
        <v>0</v>
      </c>
      <c r="BI352" s="1486">
        <f t="shared" si="179"/>
        <v>0</v>
      </c>
      <c r="BJ352" s="1486">
        <f t="shared" si="179"/>
        <v>175</v>
      </c>
      <c r="BK352" s="1487">
        <f t="shared" si="179"/>
        <v>0</v>
      </c>
      <c r="BL352" s="1761">
        <f t="shared" si="179"/>
        <v>175</v>
      </c>
      <c r="BM352" s="1485">
        <f t="shared" ref="BM352:BQ353" si="182">BM328</f>
        <v>0</v>
      </c>
      <c r="BN352" s="1486">
        <f t="shared" si="182"/>
        <v>0</v>
      </c>
      <c r="BO352" s="1486">
        <f t="shared" si="182"/>
        <v>175</v>
      </c>
      <c r="BP352" s="1487">
        <f t="shared" si="182"/>
        <v>0</v>
      </c>
      <c r="BQ352" s="1761">
        <f t="shared" si="182"/>
        <v>175</v>
      </c>
      <c r="BR352" s="1519"/>
      <c r="BS352" s="1519"/>
      <c r="BT352" s="1519"/>
      <c r="BU352" s="1519"/>
      <c r="BV352" s="1519"/>
      <c r="BW352" s="1519"/>
      <c r="BX352" s="1519"/>
      <c r="BY352" s="1519"/>
      <c r="BZ352" s="1519"/>
      <c r="CA352" s="1519"/>
      <c r="CB352" s="1519"/>
      <c r="CC352" s="1519"/>
      <c r="CD352" s="1519"/>
      <c r="CE352" s="1519"/>
      <c r="CF352" s="1519"/>
      <c r="CG352" s="1519"/>
      <c r="CH352" s="1519"/>
      <c r="CI352" s="1519"/>
      <c r="CJ352" s="1519"/>
      <c r="CK352" s="1519"/>
    </row>
    <row r="353" spans="1:117">
      <c r="A353" s="1519"/>
      <c r="B353" s="1519"/>
      <c r="C353" s="1759" t="s">
        <v>88</v>
      </c>
      <c r="D353" s="1382"/>
      <c r="E353" s="1485"/>
      <c r="F353" s="1486"/>
      <c r="G353" s="1486"/>
      <c r="H353" s="1487"/>
      <c r="I353" s="1761"/>
      <c r="J353" s="1485"/>
      <c r="K353" s="1486"/>
      <c r="L353" s="1486"/>
      <c r="M353" s="1487"/>
      <c r="N353" s="1761"/>
      <c r="O353" s="1485"/>
      <c r="P353" s="1486"/>
      <c r="Q353" s="1486"/>
      <c r="R353" s="1487"/>
      <c r="S353" s="1761"/>
      <c r="T353" s="1485"/>
      <c r="U353" s="1486"/>
      <c r="V353" s="1486"/>
      <c r="W353" s="1487"/>
      <c r="X353" s="1761">
        <f t="shared" si="179"/>
        <v>0</v>
      </c>
      <c r="Y353" s="1485">
        <f t="shared" si="179"/>
        <v>0</v>
      </c>
      <c r="Z353" s="1486">
        <f t="shared" si="179"/>
        <v>0</v>
      </c>
      <c r="AA353" s="1486">
        <f t="shared" si="179"/>
        <v>0</v>
      </c>
      <c r="AB353" s="1487">
        <f t="shared" si="179"/>
        <v>0</v>
      </c>
      <c r="AC353" s="1761">
        <f t="shared" si="179"/>
        <v>0</v>
      </c>
      <c r="AD353" s="1485">
        <f t="shared" si="179"/>
        <v>0</v>
      </c>
      <c r="AE353" s="1486">
        <f t="shared" si="179"/>
        <v>0</v>
      </c>
      <c r="AF353" s="1486">
        <f t="shared" si="179"/>
        <v>0</v>
      </c>
      <c r="AG353" s="1487">
        <f t="shared" si="179"/>
        <v>0</v>
      </c>
      <c r="AH353" s="1761">
        <f t="shared" si="179"/>
        <v>0</v>
      </c>
      <c r="AI353" s="1485">
        <f t="shared" si="179"/>
        <v>0</v>
      </c>
      <c r="AJ353" s="1486">
        <f t="shared" si="179"/>
        <v>0</v>
      </c>
      <c r="AK353" s="1486">
        <f t="shared" si="179"/>
        <v>0</v>
      </c>
      <c r="AL353" s="1487">
        <f t="shared" si="179"/>
        <v>0</v>
      </c>
      <c r="AM353" s="1761">
        <f t="shared" si="179"/>
        <v>0</v>
      </c>
      <c r="AN353" s="1485">
        <f t="shared" si="179"/>
        <v>0</v>
      </c>
      <c r="AO353" s="1486">
        <f t="shared" si="179"/>
        <v>0</v>
      </c>
      <c r="AP353" s="1486">
        <f t="shared" si="179"/>
        <v>0</v>
      </c>
      <c r="AQ353" s="1487">
        <f t="shared" si="180"/>
        <v>0</v>
      </c>
      <c r="AR353" s="1761">
        <f t="shared" si="180"/>
        <v>0</v>
      </c>
      <c r="AS353" s="1485">
        <f t="shared" si="180"/>
        <v>-652.72732999999994</v>
      </c>
      <c r="AT353" s="1486">
        <f t="shared" si="180"/>
        <v>0</v>
      </c>
      <c r="AU353" s="1486">
        <f t="shared" si="180"/>
        <v>0</v>
      </c>
      <c r="AV353" s="1487">
        <f t="shared" ref="AV353:AW353" si="183">AV329</f>
        <v>0</v>
      </c>
      <c r="AW353" s="1761">
        <f t="shared" si="183"/>
        <v>-652.72732999999994</v>
      </c>
      <c r="AX353" s="1485">
        <f t="shared" si="179"/>
        <v>0</v>
      </c>
      <c r="AY353" s="1486">
        <f t="shared" si="179"/>
        <v>0</v>
      </c>
      <c r="AZ353" s="1486">
        <f t="shared" si="179"/>
        <v>0</v>
      </c>
      <c r="BA353" s="1487">
        <f t="shared" si="179"/>
        <v>-125</v>
      </c>
      <c r="BB353" s="1761">
        <f t="shared" si="179"/>
        <v>-125</v>
      </c>
      <c r="BC353" s="1485">
        <f t="shared" si="179"/>
        <v>0</v>
      </c>
      <c r="BD353" s="1486">
        <f t="shared" si="179"/>
        <v>0</v>
      </c>
      <c r="BE353" s="1486">
        <f t="shared" si="179"/>
        <v>0</v>
      </c>
      <c r="BF353" s="1487">
        <f t="shared" si="179"/>
        <v>0</v>
      </c>
      <c r="BG353" s="1761">
        <f t="shared" si="179"/>
        <v>0</v>
      </c>
      <c r="BH353" s="1485">
        <f t="shared" si="179"/>
        <v>0</v>
      </c>
      <c r="BI353" s="1486">
        <f t="shared" si="179"/>
        <v>0</v>
      </c>
      <c r="BJ353" s="1486">
        <f t="shared" si="179"/>
        <v>0</v>
      </c>
      <c r="BK353" s="1487">
        <f t="shared" si="179"/>
        <v>0</v>
      </c>
      <c r="BL353" s="1761">
        <f t="shared" si="179"/>
        <v>0</v>
      </c>
      <c r="BM353" s="1485">
        <f t="shared" si="182"/>
        <v>0</v>
      </c>
      <c r="BN353" s="1486">
        <f t="shared" si="182"/>
        <v>0</v>
      </c>
      <c r="BO353" s="1486">
        <f t="shared" si="182"/>
        <v>0</v>
      </c>
      <c r="BP353" s="1487">
        <f t="shared" si="182"/>
        <v>0</v>
      </c>
      <c r="BQ353" s="1761">
        <f t="shared" si="182"/>
        <v>0</v>
      </c>
      <c r="BR353" s="1519"/>
      <c r="BS353" s="1519"/>
      <c r="BT353" s="1519"/>
      <c r="BU353" s="1519"/>
      <c r="BV353" s="1519"/>
      <c r="BW353" s="1519"/>
      <c r="BX353" s="1519"/>
      <c r="BY353" s="1519"/>
      <c r="BZ353" s="1519"/>
      <c r="CA353" s="1519"/>
      <c r="CB353" s="1519"/>
      <c r="CC353" s="1519"/>
      <c r="CD353" s="1519"/>
      <c r="CE353" s="1519"/>
      <c r="CF353" s="1519"/>
      <c r="CG353" s="1519"/>
      <c r="CH353" s="1519"/>
      <c r="CI353" s="1519"/>
      <c r="CJ353" s="1519"/>
      <c r="CK353" s="1519"/>
    </row>
    <row r="354" spans="1:117">
      <c r="A354" s="1519"/>
      <c r="B354" s="1519"/>
      <c r="C354" s="1759" t="s">
        <v>89</v>
      </c>
      <c r="D354" s="1382"/>
      <c r="E354" s="1485"/>
      <c r="F354" s="1486"/>
      <c r="G354" s="1486"/>
      <c r="H354" s="1487"/>
      <c r="I354" s="1761"/>
      <c r="J354" s="1485"/>
      <c r="K354" s="1486"/>
      <c r="L354" s="1486"/>
      <c r="M354" s="1487"/>
      <c r="N354" s="1761"/>
      <c r="O354" s="1485"/>
      <c r="P354" s="1486"/>
      <c r="Q354" s="1486"/>
      <c r="R354" s="1487"/>
      <c r="S354" s="1761"/>
      <c r="T354" s="1485"/>
      <c r="U354" s="1486"/>
      <c r="V354" s="1486"/>
      <c r="W354" s="1487"/>
      <c r="X354" s="1749">
        <v>0</v>
      </c>
      <c r="Y354" s="1485">
        <f>AC354/4</f>
        <v>0</v>
      </c>
      <c r="Z354" s="1486">
        <f>AC354/4</f>
        <v>0</v>
      </c>
      <c r="AA354" s="1486">
        <f>AC354/4</f>
        <v>0</v>
      </c>
      <c r="AB354" s="1487">
        <f>AC354/4</f>
        <v>0</v>
      </c>
      <c r="AC354" s="1749">
        <v>0</v>
      </c>
      <c r="AD354" s="1485">
        <f>AH354/4</f>
        <v>0</v>
      </c>
      <c r="AE354" s="1486">
        <f>AH354/4</f>
        <v>0</v>
      </c>
      <c r="AF354" s="1486">
        <f>AH354/4</f>
        <v>0</v>
      </c>
      <c r="AG354" s="1487">
        <f>AH354/4</f>
        <v>0</v>
      </c>
      <c r="AH354" s="1749">
        <v>0</v>
      </c>
      <c r="AI354" s="1485">
        <f>AM354/4</f>
        <v>0</v>
      </c>
      <c r="AJ354" s="1486">
        <f>AM354/4</f>
        <v>0</v>
      </c>
      <c r="AK354" s="1486">
        <f>AM354/4</f>
        <v>0</v>
      </c>
      <c r="AL354" s="1487">
        <f>AM354/4</f>
        <v>0</v>
      </c>
      <c r="AM354" s="1749">
        <v>0</v>
      </c>
      <c r="AN354" s="1485">
        <f>AR354/4</f>
        <v>0</v>
      </c>
      <c r="AO354" s="1486">
        <f>AR354/4</f>
        <v>0</v>
      </c>
      <c r="AP354" s="1486">
        <f>AR354/4</f>
        <v>0</v>
      </c>
      <c r="AQ354" s="1487">
        <f>AR354/4</f>
        <v>0</v>
      </c>
      <c r="AR354" s="1749">
        <v>0</v>
      </c>
      <c r="AS354" s="1485">
        <f>AW354/4</f>
        <v>0</v>
      </c>
      <c r="AT354" s="1486">
        <f>AW354/4</f>
        <v>0</v>
      </c>
      <c r="AU354" s="1486">
        <f>AW354/4</f>
        <v>0</v>
      </c>
      <c r="AV354" s="1487">
        <f>AW354/4</f>
        <v>0</v>
      </c>
      <c r="AW354" s="1749">
        <v>0</v>
      </c>
      <c r="AX354" s="1485">
        <f>BB354/4</f>
        <v>0</v>
      </c>
      <c r="AY354" s="1486">
        <f>BB354/4</f>
        <v>0</v>
      </c>
      <c r="AZ354" s="1486">
        <f>BB354/4</f>
        <v>0</v>
      </c>
      <c r="BA354" s="1487">
        <f>BB354/4</f>
        <v>0</v>
      </c>
      <c r="BB354" s="1749">
        <v>0</v>
      </c>
      <c r="BC354" s="1485">
        <f>BG354/4</f>
        <v>0</v>
      </c>
      <c r="BD354" s="1486">
        <f>BG354/4</f>
        <v>0</v>
      </c>
      <c r="BE354" s="1486">
        <f>BG354/4</f>
        <v>0</v>
      </c>
      <c r="BF354" s="1487">
        <f>BG354/4</f>
        <v>0</v>
      </c>
      <c r="BG354" s="1749">
        <v>0</v>
      </c>
      <c r="BH354" s="1485">
        <f>BL354/4</f>
        <v>0</v>
      </c>
      <c r="BI354" s="1486">
        <f>BL354/4</f>
        <v>0</v>
      </c>
      <c r="BJ354" s="1486">
        <f>BL354/4</f>
        <v>0</v>
      </c>
      <c r="BK354" s="1487">
        <f>BL354/4</f>
        <v>0</v>
      </c>
      <c r="BL354" s="1749">
        <v>0</v>
      </c>
      <c r="BM354" s="1485">
        <f>BQ354/4</f>
        <v>0</v>
      </c>
      <c r="BN354" s="1486">
        <f>BQ354/4</f>
        <v>0</v>
      </c>
      <c r="BO354" s="1486">
        <f>BQ354/4</f>
        <v>0</v>
      </c>
      <c r="BP354" s="1487">
        <f>BQ354/4</f>
        <v>0</v>
      </c>
      <c r="BQ354" s="1749">
        <v>0</v>
      </c>
      <c r="BR354" s="1519"/>
      <c r="BS354" s="1519"/>
      <c r="BT354" s="1519"/>
      <c r="BU354" s="1519"/>
      <c r="BV354" s="1519"/>
      <c r="BW354" s="1519"/>
      <c r="BX354" s="1519"/>
      <c r="BY354" s="1519"/>
      <c r="BZ354" s="1519"/>
      <c r="CA354" s="1519"/>
      <c r="CB354" s="1519"/>
      <c r="CC354" s="1519"/>
      <c r="CD354" s="1519"/>
      <c r="CE354" s="1519"/>
      <c r="CF354" s="1519"/>
      <c r="CG354" s="1519"/>
      <c r="CH354" s="1519"/>
      <c r="CI354" s="1519"/>
      <c r="CJ354" s="1519"/>
      <c r="CK354" s="1519"/>
    </row>
    <row r="355" spans="1:117">
      <c r="A355" s="1519"/>
      <c r="B355" s="1519"/>
      <c r="C355" s="1759" t="s">
        <v>343</v>
      </c>
      <c r="D355" s="1382"/>
      <c r="E355" s="1485"/>
      <c r="F355" s="1486"/>
      <c r="G355" s="1486"/>
      <c r="H355" s="1487"/>
      <c r="I355" s="1761"/>
      <c r="J355" s="1485"/>
      <c r="K355" s="1486"/>
      <c r="L355" s="1486"/>
      <c r="M355" s="1487"/>
      <c r="N355" s="1761"/>
      <c r="O355" s="1485"/>
      <c r="P355" s="1486"/>
      <c r="Q355" s="1486"/>
      <c r="R355" s="1487"/>
      <c r="S355" s="1761"/>
      <c r="T355" s="1485"/>
      <c r="U355" s="1486"/>
      <c r="V355" s="1486"/>
      <c r="W355" s="1487"/>
      <c r="X355" s="1749">
        <v>0</v>
      </c>
      <c r="Y355" s="1485">
        <f>AC355/4</f>
        <v>0</v>
      </c>
      <c r="Z355" s="1486">
        <f>AC355/4</f>
        <v>0</v>
      </c>
      <c r="AA355" s="1486">
        <f>AC355/4</f>
        <v>0</v>
      </c>
      <c r="AB355" s="1487">
        <f>AC355/4</f>
        <v>0</v>
      </c>
      <c r="AC355" s="1749">
        <v>0</v>
      </c>
      <c r="AD355" s="1485">
        <f>AH355/4</f>
        <v>0</v>
      </c>
      <c r="AE355" s="1486">
        <f>AH355/4</f>
        <v>0</v>
      </c>
      <c r="AF355" s="1486">
        <f>AH355/4</f>
        <v>0</v>
      </c>
      <c r="AG355" s="1487">
        <f>AH355/4</f>
        <v>0</v>
      </c>
      <c r="AH355" s="1749">
        <v>0</v>
      </c>
      <c r="AI355" s="1485">
        <f>AM355/4</f>
        <v>0</v>
      </c>
      <c r="AJ355" s="1486">
        <f>AM355/4</f>
        <v>0</v>
      </c>
      <c r="AK355" s="1486">
        <f>AM355/4</f>
        <v>0</v>
      </c>
      <c r="AL355" s="1487">
        <f>AM355/4</f>
        <v>0</v>
      </c>
      <c r="AM355" s="1749">
        <v>0</v>
      </c>
      <c r="AN355" s="1485">
        <f>AR355/4</f>
        <v>0</v>
      </c>
      <c r="AO355" s="1486">
        <f>AR355/4</f>
        <v>0</v>
      </c>
      <c r="AP355" s="1486">
        <f>AR355/4</f>
        <v>0</v>
      </c>
      <c r="AQ355" s="1487">
        <f>AR355/4</f>
        <v>0</v>
      </c>
      <c r="AR355" s="1749">
        <v>0</v>
      </c>
      <c r="AS355" s="1485">
        <f>AW355/4</f>
        <v>0</v>
      </c>
      <c r="AT355" s="1486">
        <f>AW355/4</f>
        <v>0</v>
      </c>
      <c r="AU355" s="1486">
        <f>AW355/4</f>
        <v>0</v>
      </c>
      <c r="AV355" s="1487">
        <f>AW355/4</f>
        <v>0</v>
      </c>
      <c r="AW355" s="1749">
        <v>0</v>
      </c>
      <c r="AX355" s="1485">
        <f>BB355/4</f>
        <v>0</v>
      </c>
      <c r="AY355" s="1486">
        <f>BB355/4</f>
        <v>0</v>
      </c>
      <c r="AZ355" s="1486">
        <f>BB355/4</f>
        <v>0</v>
      </c>
      <c r="BA355" s="1487">
        <f>BB355/4</f>
        <v>0</v>
      </c>
      <c r="BB355" s="1749">
        <v>0</v>
      </c>
      <c r="BC355" s="1485">
        <f>BG355/4</f>
        <v>0</v>
      </c>
      <c r="BD355" s="1486">
        <f>BG355/4</f>
        <v>0</v>
      </c>
      <c r="BE355" s="1486">
        <f>BG355/4</f>
        <v>0</v>
      </c>
      <c r="BF355" s="1487">
        <f>BG355/4</f>
        <v>0</v>
      </c>
      <c r="BG355" s="1749">
        <v>0</v>
      </c>
      <c r="BH355" s="1485">
        <f>BL355/4</f>
        <v>0</v>
      </c>
      <c r="BI355" s="1486">
        <f>BL355/4</f>
        <v>0</v>
      </c>
      <c r="BJ355" s="1486">
        <f>BL355/4</f>
        <v>0</v>
      </c>
      <c r="BK355" s="1487">
        <f>BL355/4</f>
        <v>0</v>
      </c>
      <c r="BL355" s="1749">
        <v>0</v>
      </c>
      <c r="BM355" s="1485">
        <f>BQ355/4</f>
        <v>0</v>
      </c>
      <c r="BN355" s="1486">
        <f>BQ355/4</f>
        <v>0</v>
      </c>
      <c r="BO355" s="1486">
        <f>BQ355/4</f>
        <v>0</v>
      </c>
      <c r="BP355" s="1487">
        <f>BQ355/4</f>
        <v>0</v>
      </c>
      <c r="BQ355" s="1749">
        <v>0</v>
      </c>
      <c r="BR355" s="1519"/>
      <c r="BS355" s="1519"/>
      <c r="BT355" s="1519"/>
      <c r="BU355" s="1519"/>
      <c r="BV355" s="1519"/>
      <c r="BW355" s="1519"/>
      <c r="BX355" s="1519"/>
      <c r="BY355" s="1519"/>
      <c r="BZ355" s="1519"/>
      <c r="CA355" s="1519"/>
      <c r="CB355" s="1519"/>
      <c r="CC355" s="1519"/>
      <c r="CD355" s="1519"/>
      <c r="CE355" s="1519"/>
      <c r="CF355" s="1519"/>
      <c r="CG355" s="1519"/>
      <c r="CH355" s="1519"/>
      <c r="CI355" s="1519"/>
      <c r="CJ355" s="1519"/>
      <c r="CK355" s="1519"/>
    </row>
    <row r="356" spans="1:117">
      <c r="A356" s="1519"/>
      <c r="B356" s="1519"/>
      <c r="C356" s="1759" t="s">
        <v>344</v>
      </c>
      <c r="D356" s="1382"/>
      <c r="E356" s="1485"/>
      <c r="F356" s="1486"/>
      <c r="G356" s="1486"/>
      <c r="H356" s="1487"/>
      <c r="I356" s="1761"/>
      <c r="J356" s="1485"/>
      <c r="K356" s="1486"/>
      <c r="L356" s="1486"/>
      <c r="M356" s="1487"/>
      <c r="N356" s="1761"/>
      <c r="O356" s="1485"/>
      <c r="P356" s="1486"/>
      <c r="Q356" s="1486"/>
      <c r="R356" s="1487"/>
      <c r="S356" s="1761"/>
      <c r="T356" s="1485"/>
      <c r="U356" s="1486"/>
      <c r="V356" s="1486"/>
      <c r="W356" s="1487"/>
      <c r="X356" s="1749">
        <v>0</v>
      </c>
      <c r="Y356" s="1485">
        <f>AC356/4</f>
        <v>0</v>
      </c>
      <c r="Z356" s="1486">
        <f>AC356/4</f>
        <v>0</v>
      </c>
      <c r="AA356" s="1486">
        <f>AC356/4</f>
        <v>0</v>
      </c>
      <c r="AB356" s="1487">
        <f>AC356/4</f>
        <v>0</v>
      </c>
      <c r="AC356" s="1749">
        <v>0</v>
      </c>
      <c r="AD356" s="1485">
        <f>AH356/4</f>
        <v>0</v>
      </c>
      <c r="AE356" s="1486">
        <f>AH356/4</f>
        <v>0</v>
      </c>
      <c r="AF356" s="1486">
        <f>AH356/4</f>
        <v>0</v>
      </c>
      <c r="AG356" s="1487">
        <f>AH356/4</f>
        <v>0</v>
      </c>
      <c r="AH356" s="1749">
        <v>0</v>
      </c>
      <c r="AI356" s="1485">
        <f>AM356/4</f>
        <v>0</v>
      </c>
      <c r="AJ356" s="1486">
        <f>AM356/4</f>
        <v>0</v>
      </c>
      <c r="AK356" s="1486">
        <f>AM356/4</f>
        <v>0</v>
      </c>
      <c r="AL356" s="1487">
        <f>AM356/4</f>
        <v>0</v>
      </c>
      <c r="AM356" s="1749">
        <v>0</v>
      </c>
      <c r="AN356" s="1485">
        <f>AR356/4</f>
        <v>0</v>
      </c>
      <c r="AO356" s="1486">
        <f>AR356/4</f>
        <v>0</v>
      </c>
      <c r="AP356" s="1486">
        <f>AR356/4</f>
        <v>0</v>
      </c>
      <c r="AQ356" s="1487">
        <f>AR356/4</f>
        <v>0</v>
      </c>
      <c r="AR356" s="1749">
        <v>0</v>
      </c>
      <c r="AS356" s="1485">
        <f>AW356/4</f>
        <v>0</v>
      </c>
      <c r="AT356" s="1486">
        <f>AW356/4</f>
        <v>0</v>
      </c>
      <c r="AU356" s="1486">
        <f>AW356/4</f>
        <v>0</v>
      </c>
      <c r="AV356" s="1487">
        <f>AW356/4</f>
        <v>0</v>
      </c>
      <c r="AW356" s="1749">
        <v>0</v>
      </c>
      <c r="AX356" s="1485">
        <f>BB356/4</f>
        <v>37.5</v>
      </c>
      <c r="AY356" s="1486">
        <f>BB356/4</f>
        <v>37.5</v>
      </c>
      <c r="AZ356" s="1486">
        <f>BB356/4</f>
        <v>37.5</v>
      </c>
      <c r="BA356" s="1487">
        <f>BB356/4</f>
        <v>37.5</v>
      </c>
      <c r="BB356" s="1749">
        <v>150</v>
      </c>
      <c r="BC356" s="1485">
        <f>BG356/4</f>
        <v>37.5</v>
      </c>
      <c r="BD356" s="1486">
        <f>BG356/4</f>
        <v>37.5</v>
      </c>
      <c r="BE356" s="1486">
        <f>BG356/4</f>
        <v>37.5</v>
      </c>
      <c r="BF356" s="1487">
        <f>BG356/4</f>
        <v>37.5</v>
      </c>
      <c r="BG356" s="1749">
        <v>150</v>
      </c>
      <c r="BH356" s="1485">
        <f>BL356/4</f>
        <v>12.5</v>
      </c>
      <c r="BI356" s="1486">
        <f>BL356/4</f>
        <v>12.5</v>
      </c>
      <c r="BJ356" s="1486">
        <f>BL356/4</f>
        <v>12.5</v>
      </c>
      <c r="BK356" s="1487">
        <f>BL356/4</f>
        <v>12.5</v>
      </c>
      <c r="BL356" s="1749">
        <v>50</v>
      </c>
      <c r="BM356" s="1485">
        <f>BQ356/4</f>
        <v>-50</v>
      </c>
      <c r="BN356" s="1486">
        <f>BQ356/4</f>
        <v>-50</v>
      </c>
      <c r="BO356" s="1486">
        <f>BQ356/4</f>
        <v>-50</v>
      </c>
      <c r="BP356" s="1487">
        <f>BQ356/4</f>
        <v>-50</v>
      </c>
      <c r="BQ356" s="1749">
        <v>-200</v>
      </c>
      <c r="BR356" s="1519"/>
      <c r="BS356" s="1519"/>
      <c r="BT356" s="1519"/>
      <c r="BU356" s="1519"/>
      <c r="BV356" s="1519"/>
      <c r="BW356" s="1519"/>
      <c r="BX356" s="1519"/>
      <c r="BY356" s="1519"/>
      <c r="BZ356" s="1519"/>
      <c r="CA356" s="1519"/>
      <c r="CB356" s="1519"/>
      <c r="CC356" s="1519"/>
      <c r="CD356" s="1519"/>
      <c r="CE356" s="1519"/>
      <c r="CF356" s="1519"/>
      <c r="CG356" s="1519"/>
      <c r="CH356" s="1519"/>
      <c r="CI356" s="1519"/>
      <c r="CJ356" s="1519"/>
      <c r="CK356" s="1519"/>
    </row>
    <row r="357" spans="1:117">
      <c r="A357" s="1519"/>
      <c r="B357" s="1519"/>
      <c r="C357" s="1759" t="s">
        <v>345</v>
      </c>
      <c r="D357" s="1382"/>
      <c r="E357" s="1485"/>
      <c r="F357" s="1486"/>
      <c r="G357" s="1486"/>
      <c r="H357" s="1487"/>
      <c r="I357" s="1761"/>
      <c r="J357" s="1485"/>
      <c r="K357" s="1486"/>
      <c r="L357" s="1486"/>
      <c r="M357" s="1487"/>
      <c r="N357" s="1761"/>
      <c r="O357" s="1485"/>
      <c r="P357" s="1486"/>
      <c r="Q357" s="1486"/>
      <c r="R357" s="1487"/>
      <c r="S357" s="1761"/>
      <c r="T357" s="1485"/>
      <c r="U357" s="1486"/>
      <c r="V357" s="1486"/>
      <c r="W357" s="1487"/>
      <c r="X357" s="1749">
        <v>0</v>
      </c>
      <c r="Y357" s="1485">
        <f>AC357/4</f>
        <v>0</v>
      </c>
      <c r="Z357" s="1486">
        <f>AC357/4</f>
        <v>0</v>
      </c>
      <c r="AA357" s="1486">
        <f>AC357/4</f>
        <v>0</v>
      </c>
      <c r="AB357" s="1487">
        <f>AC357/4</f>
        <v>0</v>
      </c>
      <c r="AC357" s="1749">
        <v>0</v>
      </c>
      <c r="AD357" s="1485">
        <f>AH357/4</f>
        <v>0</v>
      </c>
      <c r="AE357" s="1486">
        <f>AH357/4</f>
        <v>0</v>
      </c>
      <c r="AF357" s="1486">
        <f>AH357/4</f>
        <v>0</v>
      </c>
      <c r="AG357" s="1487">
        <f>AH357/4</f>
        <v>0</v>
      </c>
      <c r="AH357" s="1749">
        <v>0</v>
      </c>
      <c r="AI357" s="1485">
        <f>AM357/4</f>
        <v>0</v>
      </c>
      <c r="AJ357" s="1486">
        <f>AM357/4</f>
        <v>0</v>
      </c>
      <c r="AK357" s="1486">
        <f>AM357/4</f>
        <v>0</v>
      </c>
      <c r="AL357" s="1487">
        <f>AM357/4</f>
        <v>0</v>
      </c>
      <c r="AM357" s="1749">
        <v>0</v>
      </c>
      <c r="AN357" s="1485">
        <f>AR357/4</f>
        <v>0</v>
      </c>
      <c r="AO357" s="1486">
        <f>AR357/4</f>
        <v>0</v>
      </c>
      <c r="AP357" s="1486">
        <f>AR357/4</f>
        <v>0</v>
      </c>
      <c r="AQ357" s="1487">
        <f>AR357/4</f>
        <v>0</v>
      </c>
      <c r="AR357" s="1749">
        <v>0</v>
      </c>
      <c r="AS357" s="1485">
        <f>AW357/4</f>
        <v>0</v>
      </c>
      <c r="AT357" s="1486">
        <f>AW357/4</f>
        <v>0</v>
      </c>
      <c r="AU357" s="1486">
        <f>AW357/4</f>
        <v>0</v>
      </c>
      <c r="AV357" s="1487">
        <f>AW357/4</f>
        <v>0</v>
      </c>
      <c r="AW357" s="1749">
        <v>0</v>
      </c>
      <c r="AX357" s="1485">
        <f>BB357/4</f>
        <v>0</v>
      </c>
      <c r="AY357" s="1486">
        <f>BB357/4</f>
        <v>0</v>
      </c>
      <c r="AZ357" s="1486">
        <f>BB357/4</f>
        <v>0</v>
      </c>
      <c r="BA357" s="1487">
        <f>BB357/4</f>
        <v>0</v>
      </c>
      <c r="BB357" s="1749">
        <v>0</v>
      </c>
      <c r="BC357" s="1485">
        <f>BG357/4</f>
        <v>0</v>
      </c>
      <c r="BD357" s="1486">
        <f>BG357/4</f>
        <v>0</v>
      </c>
      <c r="BE357" s="1486">
        <f>BG357/4</f>
        <v>0</v>
      </c>
      <c r="BF357" s="1487">
        <f>BG357/4</f>
        <v>0</v>
      </c>
      <c r="BG357" s="1749">
        <v>0</v>
      </c>
      <c r="BH357" s="1485">
        <f>BL357/4</f>
        <v>0</v>
      </c>
      <c r="BI357" s="1486">
        <f>BL357/4</f>
        <v>0</v>
      </c>
      <c r="BJ357" s="1486">
        <f>BL357/4</f>
        <v>0</v>
      </c>
      <c r="BK357" s="1487">
        <f>BL357/4</f>
        <v>0</v>
      </c>
      <c r="BL357" s="1749">
        <v>0</v>
      </c>
      <c r="BM357" s="1485">
        <f>BQ357/4</f>
        <v>0</v>
      </c>
      <c r="BN357" s="1486">
        <f>BQ357/4</f>
        <v>0</v>
      </c>
      <c r="BO357" s="1486">
        <f>BQ357/4</f>
        <v>0</v>
      </c>
      <c r="BP357" s="1487">
        <f>BQ357/4</f>
        <v>0</v>
      </c>
      <c r="BQ357" s="1749">
        <v>0</v>
      </c>
      <c r="BR357" s="1519"/>
      <c r="BS357" s="1519"/>
      <c r="BT357" s="1519"/>
      <c r="BU357" s="1519"/>
      <c r="BV357" s="1519"/>
      <c r="BW357" s="1519"/>
      <c r="BX357" s="1519"/>
      <c r="BY357" s="1519"/>
      <c r="BZ357" s="1519"/>
      <c r="CA357" s="1519"/>
      <c r="CB357" s="1519"/>
      <c r="CC357" s="1519"/>
      <c r="CD357" s="1519"/>
      <c r="CE357" s="1519"/>
      <c r="CF357" s="1519"/>
      <c r="CG357" s="1519"/>
      <c r="CH357" s="1519"/>
      <c r="CI357" s="1519"/>
      <c r="CJ357" s="1519"/>
      <c r="CK357" s="1519"/>
    </row>
    <row r="358" spans="1:117">
      <c r="A358" s="1519"/>
      <c r="B358" s="1519"/>
      <c r="C358" s="1759" t="s">
        <v>1263</v>
      </c>
      <c r="D358" s="1382"/>
      <c r="E358" s="1485"/>
      <c r="F358" s="1486"/>
      <c r="G358" s="1486"/>
      <c r="H358" s="1487"/>
      <c r="I358" s="1761"/>
      <c r="J358" s="1485"/>
      <c r="K358" s="1486"/>
      <c r="L358" s="1486"/>
      <c r="M358" s="1487"/>
      <c r="N358" s="1761"/>
      <c r="O358" s="1485"/>
      <c r="P358" s="1486"/>
      <c r="Q358" s="1486"/>
      <c r="R358" s="1487"/>
      <c r="S358" s="1761"/>
      <c r="T358" s="1485"/>
      <c r="U358" s="1486"/>
      <c r="V358" s="1486"/>
      <c r="W358" s="1487"/>
      <c r="X358" s="1749">
        <v>0</v>
      </c>
      <c r="Y358" s="1485">
        <f>AC358/4</f>
        <v>0</v>
      </c>
      <c r="Z358" s="1486">
        <f>AC358/4</f>
        <v>0</v>
      </c>
      <c r="AA358" s="1486">
        <f>AC358/4</f>
        <v>0</v>
      </c>
      <c r="AB358" s="1487">
        <f>AC358/4</f>
        <v>0</v>
      </c>
      <c r="AC358" s="1749">
        <v>0</v>
      </c>
      <c r="AD358" s="1485">
        <f>AH358/4</f>
        <v>0</v>
      </c>
      <c r="AE358" s="1486">
        <f>AH358/4</f>
        <v>0</v>
      </c>
      <c r="AF358" s="1486">
        <f>AH358/4</f>
        <v>0</v>
      </c>
      <c r="AG358" s="1487">
        <f>AH358/4</f>
        <v>0</v>
      </c>
      <c r="AH358" s="1749">
        <v>0</v>
      </c>
      <c r="AI358" s="1485">
        <f>AM358/4</f>
        <v>0</v>
      </c>
      <c r="AJ358" s="1486">
        <f>AM358/4</f>
        <v>0</v>
      </c>
      <c r="AK358" s="1486">
        <f>AM358/4</f>
        <v>0</v>
      </c>
      <c r="AL358" s="1487">
        <f>AM358/4</f>
        <v>0</v>
      </c>
      <c r="AM358" s="1749">
        <v>0</v>
      </c>
      <c r="AN358" s="1485">
        <f>AR358/4</f>
        <v>0</v>
      </c>
      <c r="AO358" s="1486">
        <f>AR358/4</f>
        <v>0</v>
      </c>
      <c r="AP358" s="1486">
        <f>AR358/4</f>
        <v>0</v>
      </c>
      <c r="AQ358" s="1487">
        <f>AR358/4</f>
        <v>0</v>
      </c>
      <c r="AR358" s="1749">
        <v>0</v>
      </c>
      <c r="AS358" s="1485">
        <f>AW358/4</f>
        <v>0</v>
      </c>
      <c r="AT358" s="1486">
        <f>AW358/4</f>
        <v>0</v>
      </c>
      <c r="AU358" s="1486">
        <f>AW358/4</f>
        <v>0</v>
      </c>
      <c r="AV358" s="1487">
        <f>AW358/4</f>
        <v>0</v>
      </c>
      <c r="AW358" s="1749">
        <v>0</v>
      </c>
      <c r="AX358" s="1485">
        <f>BB358/4</f>
        <v>16.666666666666668</v>
      </c>
      <c r="AY358" s="1486">
        <f>BB358/4</f>
        <v>16.666666666666668</v>
      </c>
      <c r="AZ358" s="1486">
        <f>BB358/4</f>
        <v>16.666666666666668</v>
      </c>
      <c r="BA358" s="1487">
        <f>BB358/4</f>
        <v>16.666666666666668</v>
      </c>
      <c r="BB358" s="1749">
        <f>BY246</f>
        <v>66.666666666666671</v>
      </c>
      <c r="BC358" s="1485">
        <f>BG358/4</f>
        <v>16.666666666666668</v>
      </c>
      <c r="BD358" s="1486">
        <f>BG358/4</f>
        <v>16.666666666666668</v>
      </c>
      <c r="BE358" s="1486">
        <f>BG358/4</f>
        <v>16.666666666666668</v>
      </c>
      <c r="BF358" s="1487">
        <f>BG358/4</f>
        <v>16.666666666666668</v>
      </c>
      <c r="BG358" s="1749">
        <f>BZ246</f>
        <v>66.666666666666671</v>
      </c>
      <c r="BH358" s="1485">
        <f>BL358/4</f>
        <v>14.444444444444446</v>
      </c>
      <c r="BI358" s="1486">
        <f>BL358/4</f>
        <v>14.444444444444446</v>
      </c>
      <c r="BJ358" s="1486">
        <f>BL358/4</f>
        <v>14.444444444444446</v>
      </c>
      <c r="BK358" s="1487">
        <f>BL358/4</f>
        <v>14.444444444444446</v>
      </c>
      <c r="BL358" s="1749">
        <f>CA246</f>
        <v>57.777777777777786</v>
      </c>
      <c r="BM358" s="1485">
        <f>BQ358/4</f>
        <v>0</v>
      </c>
      <c r="BN358" s="1486">
        <f>BQ358/4</f>
        <v>0</v>
      </c>
      <c r="BO358" s="1486">
        <f>BQ358/4</f>
        <v>0</v>
      </c>
      <c r="BP358" s="1487">
        <f>BQ358/4</f>
        <v>0</v>
      </c>
      <c r="BQ358" s="1749">
        <f>CF246</f>
        <v>0</v>
      </c>
      <c r="BR358" s="1519"/>
      <c r="BS358" s="1519"/>
      <c r="BT358" s="1519"/>
      <c r="BU358" s="1519"/>
      <c r="BV358" s="1519"/>
      <c r="BW358" s="1519"/>
      <c r="BX358" s="1519"/>
      <c r="BY358" s="1519"/>
      <c r="BZ358" s="1519"/>
      <c r="CA358" s="1519"/>
      <c r="CB358" s="1519"/>
      <c r="CC358" s="1519"/>
      <c r="CD358" s="1519"/>
      <c r="CE358" s="1519"/>
      <c r="CF358" s="1519"/>
      <c r="CG358" s="1519"/>
      <c r="CH358" s="1519"/>
      <c r="CI358" s="1519"/>
      <c r="CJ358" s="1519"/>
      <c r="CK358" s="1519"/>
    </row>
    <row r="359" spans="1:117">
      <c r="A359" s="1519"/>
      <c r="B359" s="1519"/>
      <c r="C359" s="1758" t="s">
        <v>96</v>
      </c>
      <c r="D359" s="1382"/>
      <c r="E359" s="1548"/>
      <c r="F359" s="1549"/>
      <c r="G359" s="1549"/>
      <c r="H359" s="1518"/>
      <c r="I359" s="1755"/>
      <c r="J359" s="1548"/>
      <c r="K359" s="1549"/>
      <c r="L359" s="1549"/>
      <c r="M359" s="1518"/>
      <c r="N359" s="1755"/>
      <c r="O359" s="1548"/>
      <c r="P359" s="1549"/>
      <c r="Q359" s="1549"/>
      <c r="R359" s="1518"/>
      <c r="S359" s="1755"/>
      <c r="T359" s="1548"/>
      <c r="U359" s="1549"/>
      <c r="V359" s="1549"/>
      <c r="W359" s="1518"/>
      <c r="X359" s="1755">
        <f t="shared" ref="X359:BL359" si="184">SUM(X352:X358)</f>
        <v>0</v>
      </c>
      <c r="Y359" s="1548">
        <f t="shared" si="184"/>
        <v>0</v>
      </c>
      <c r="Z359" s="1549">
        <f t="shared" si="184"/>
        <v>0</v>
      </c>
      <c r="AA359" s="1549">
        <f t="shared" si="184"/>
        <v>0</v>
      </c>
      <c r="AB359" s="1518">
        <f t="shared" si="184"/>
        <v>0</v>
      </c>
      <c r="AC359" s="1755">
        <f t="shared" si="184"/>
        <v>0</v>
      </c>
      <c r="AD359" s="1548">
        <f t="shared" si="184"/>
        <v>0</v>
      </c>
      <c r="AE359" s="1549">
        <f t="shared" si="184"/>
        <v>0</v>
      </c>
      <c r="AF359" s="1549">
        <f t="shared" si="184"/>
        <v>0</v>
      </c>
      <c r="AG359" s="1518">
        <f t="shared" si="184"/>
        <v>0</v>
      </c>
      <c r="AH359" s="1755">
        <f t="shared" si="184"/>
        <v>0</v>
      </c>
      <c r="AI359" s="1548">
        <f t="shared" si="184"/>
        <v>0</v>
      </c>
      <c r="AJ359" s="1549">
        <f t="shared" si="184"/>
        <v>0</v>
      </c>
      <c r="AK359" s="1549">
        <f>SUM(AK352:AK358)</f>
        <v>0</v>
      </c>
      <c r="AL359" s="1518">
        <f>SUM(AL352:AL358)</f>
        <v>0</v>
      </c>
      <c r="AM359" s="1755">
        <f>SUM(AM352:AM358)</f>
        <v>0</v>
      </c>
      <c r="AN359" s="1548">
        <f>SUM(AN352:AN358)</f>
        <v>0</v>
      </c>
      <c r="AO359" s="1549">
        <f>SUM(AO352:AO358)</f>
        <v>0</v>
      </c>
      <c r="AP359" s="1549">
        <f t="shared" si="184"/>
        <v>0</v>
      </c>
      <c r="AQ359" s="1518">
        <f>SUM(AQ352:AQ358)</f>
        <v>0</v>
      </c>
      <c r="AR359" s="1755">
        <f>SUM(AR352:AR358)</f>
        <v>0</v>
      </c>
      <c r="AS359" s="1548">
        <f>SUM(AS352:AS358)</f>
        <v>-652.72732999999994</v>
      </c>
      <c r="AT359" s="1549">
        <f>SUM(AT352:AT358)</f>
        <v>0</v>
      </c>
      <c r="AU359" s="1549">
        <f t="shared" ref="AU359" si="185">SUM(AU352:AU358)</f>
        <v>0</v>
      </c>
      <c r="AV359" s="1518">
        <f>SUM(AV352:AV358)</f>
        <v>0</v>
      </c>
      <c r="AW359" s="1755">
        <f>SUM(AW352:AW358)</f>
        <v>-652.72732999999994</v>
      </c>
      <c r="AX359" s="1548">
        <f t="shared" si="184"/>
        <v>54.166666666666671</v>
      </c>
      <c r="AY359" s="1549">
        <f t="shared" si="184"/>
        <v>54.166666666666671</v>
      </c>
      <c r="AZ359" s="1549">
        <f t="shared" si="184"/>
        <v>204.16666666666666</v>
      </c>
      <c r="BA359" s="1518">
        <f t="shared" si="184"/>
        <v>-70.833333333333329</v>
      </c>
      <c r="BB359" s="1755">
        <f t="shared" si="184"/>
        <v>241.66666666666669</v>
      </c>
      <c r="BC359" s="1548">
        <f t="shared" si="184"/>
        <v>54.166666666666671</v>
      </c>
      <c r="BD359" s="1549">
        <f>SUM(BD352:BD358)</f>
        <v>54.166666666666671</v>
      </c>
      <c r="BE359" s="1549">
        <f>SUM(BE352:BE358)</f>
        <v>229.16666666666666</v>
      </c>
      <c r="BF359" s="1518">
        <f>SUM(BF352:BF358)</f>
        <v>54.166666666666671</v>
      </c>
      <c r="BG359" s="1755">
        <f>SUM(BG352:BG358)</f>
        <v>391.66666666666669</v>
      </c>
      <c r="BH359" s="1548">
        <f t="shared" si="184"/>
        <v>26.944444444444446</v>
      </c>
      <c r="BI359" s="1549">
        <f t="shared" si="184"/>
        <v>26.944444444444446</v>
      </c>
      <c r="BJ359" s="1549">
        <f t="shared" si="184"/>
        <v>201.94444444444446</v>
      </c>
      <c r="BK359" s="1518">
        <f t="shared" si="184"/>
        <v>26.944444444444446</v>
      </c>
      <c r="BL359" s="1755">
        <f t="shared" si="184"/>
        <v>282.77777777777777</v>
      </c>
      <c r="BM359" s="1548">
        <f>SUM(BM352:BM358)</f>
        <v>-50</v>
      </c>
      <c r="BN359" s="1549">
        <f>SUM(BN352:BN358)</f>
        <v>-50</v>
      </c>
      <c r="BO359" s="1549">
        <f>SUM(BO352:BO358)</f>
        <v>125</v>
      </c>
      <c r="BP359" s="1518">
        <f>SUM(BP352:BP358)</f>
        <v>-50</v>
      </c>
      <c r="BQ359" s="1755">
        <f>SUM(BQ352:BQ358)</f>
        <v>-25</v>
      </c>
      <c r="BR359" s="1519"/>
      <c r="BS359" s="1519"/>
      <c r="BT359" s="1519"/>
      <c r="BU359" s="1519"/>
      <c r="BV359" s="1519"/>
      <c r="BW359" s="1519"/>
      <c r="BX359" s="1519"/>
      <c r="BY359" s="1519"/>
      <c r="BZ359" s="1519"/>
      <c r="CA359" s="1519"/>
      <c r="CB359" s="1519"/>
      <c r="CC359" s="1519"/>
      <c r="CD359" s="1519"/>
      <c r="CE359" s="1519"/>
      <c r="CF359" s="1519"/>
      <c r="CG359" s="1519"/>
      <c r="CH359" s="1519"/>
      <c r="CI359" s="1519"/>
      <c r="CJ359" s="1519"/>
      <c r="CK359" s="1519"/>
    </row>
    <row r="360" spans="1:117">
      <c r="A360" s="1519"/>
      <c r="B360" s="1519"/>
      <c r="C360" s="1759"/>
      <c r="D360" s="1382"/>
      <c r="E360" s="1485"/>
      <c r="F360" s="1488"/>
      <c r="G360" s="1488"/>
      <c r="H360" s="1487"/>
      <c r="I360" s="1761"/>
      <c r="J360" s="1485"/>
      <c r="K360" s="1488"/>
      <c r="L360" s="1488"/>
      <c r="M360" s="1487"/>
      <c r="N360" s="1761"/>
      <c r="O360" s="1485"/>
      <c r="P360" s="1488"/>
      <c r="Q360" s="1488"/>
      <c r="R360" s="1487"/>
      <c r="S360" s="1761"/>
      <c r="T360" s="1485"/>
      <c r="U360" s="1488"/>
      <c r="V360" s="1488"/>
      <c r="W360" s="1487"/>
      <c r="X360" s="1761"/>
      <c r="Y360" s="1485"/>
      <c r="Z360" s="1488"/>
      <c r="AA360" s="1488"/>
      <c r="AB360" s="1487"/>
      <c r="AC360" s="1761"/>
      <c r="AD360" s="1485"/>
      <c r="AE360" s="1488"/>
      <c r="AF360" s="1488"/>
      <c r="AG360" s="1487"/>
      <c r="AH360" s="1761"/>
      <c r="AI360" s="1485"/>
      <c r="AJ360" s="1488"/>
      <c r="AK360" s="1488"/>
      <c r="AL360" s="1487"/>
      <c r="AM360" s="1761"/>
      <c r="AN360" s="1485"/>
      <c r="AO360" s="1488"/>
      <c r="AP360" s="1488"/>
      <c r="AQ360" s="1487"/>
      <c r="AR360" s="1761"/>
      <c r="AS360" s="1485"/>
      <c r="AT360" s="1488"/>
      <c r="AU360" s="1488"/>
      <c r="AV360" s="1487"/>
      <c r="AW360" s="1761"/>
      <c r="AX360" s="1485"/>
      <c r="AY360" s="1488"/>
      <c r="AZ360" s="1488"/>
      <c r="BA360" s="1487"/>
      <c r="BB360" s="1761"/>
      <c r="BC360" s="1485"/>
      <c r="BD360" s="1488"/>
      <c r="BE360" s="1488"/>
      <c r="BF360" s="1487"/>
      <c r="BG360" s="1761"/>
      <c r="BH360" s="1485"/>
      <c r="BI360" s="1488"/>
      <c r="BJ360" s="1488"/>
      <c r="BK360" s="1487"/>
      <c r="BL360" s="1761"/>
      <c r="BM360" s="1485"/>
      <c r="BN360" s="1488"/>
      <c r="BO360" s="1488"/>
      <c r="BP360" s="1487"/>
      <c r="BQ360" s="1761"/>
      <c r="BR360" s="1519"/>
      <c r="BS360" s="1519"/>
      <c r="BT360" s="1519"/>
      <c r="BU360" s="1519"/>
      <c r="BV360" s="1519"/>
      <c r="BW360" s="1519"/>
      <c r="BX360" s="1519"/>
      <c r="BY360" s="1519"/>
      <c r="BZ360" s="1519"/>
      <c r="CA360" s="1519"/>
      <c r="CB360" s="1519"/>
      <c r="CC360" s="1519"/>
      <c r="CD360" s="1519"/>
      <c r="CE360" s="1519"/>
      <c r="CF360" s="1519"/>
      <c r="CG360" s="1519"/>
      <c r="CH360" s="1519"/>
      <c r="CI360" s="1519"/>
      <c r="CJ360" s="1519"/>
      <c r="CK360" s="1519"/>
    </row>
    <row r="361" spans="1:117" ht="12.75" customHeight="1">
      <c r="A361" s="1519"/>
      <c r="B361" s="1519"/>
      <c r="C361" s="1758" t="s">
        <v>97</v>
      </c>
      <c r="D361" s="1382"/>
      <c r="E361" s="1548"/>
      <c r="F361" s="1549"/>
      <c r="G361" s="1549"/>
      <c r="H361" s="1518"/>
      <c r="I361" s="1755"/>
      <c r="J361" s="1548"/>
      <c r="K361" s="1549"/>
      <c r="L361" s="1549"/>
      <c r="M361" s="1518"/>
      <c r="N361" s="1755"/>
      <c r="O361" s="1548"/>
      <c r="P361" s="1549"/>
      <c r="Q361" s="1549"/>
      <c r="R361" s="1518"/>
      <c r="S361" s="1755"/>
      <c r="T361" s="1548"/>
      <c r="U361" s="1549"/>
      <c r="V361" s="1549"/>
      <c r="W361" s="1518"/>
      <c r="X361" s="1755">
        <f t="shared" ref="X361:AC361" si="186">X346+X350+X359</f>
        <v>200</v>
      </c>
      <c r="Y361" s="1548">
        <f t="shared" si="186"/>
        <v>100.75</v>
      </c>
      <c r="Z361" s="1549">
        <f t="shared" si="186"/>
        <v>5.75</v>
      </c>
      <c r="AA361" s="1549">
        <f t="shared" si="186"/>
        <v>122.75</v>
      </c>
      <c r="AB361" s="1518">
        <f t="shared" si="186"/>
        <v>49.75</v>
      </c>
      <c r="AC361" s="1755">
        <f t="shared" si="186"/>
        <v>279</v>
      </c>
      <c r="AD361" s="1548">
        <f>AD346+AD350+AD359</f>
        <v>178.75</v>
      </c>
      <c r="AE361" s="1549">
        <f>AE346+AE350+AE359</f>
        <v>112.75</v>
      </c>
      <c r="AF361" s="1549">
        <f>AF346+AF350+AF359</f>
        <v>131.75</v>
      </c>
      <c r="AG361" s="1518">
        <f>AG346+AG350+AG359</f>
        <v>5.75</v>
      </c>
      <c r="AH361" s="1755">
        <f>AH346+AH350+AH359</f>
        <v>429</v>
      </c>
      <c r="AI361" s="1548">
        <f t="shared" ref="AI361:BL361" si="187">AI346+AI350+AI359</f>
        <v>203.42500000000001</v>
      </c>
      <c r="AJ361" s="1549">
        <f t="shared" si="187"/>
        <v>99.424999999999997</v>
      </c>
      <c r="AK361" s="1549">
        <f t="shared" ref="AK361:AR361" si="188">AK346+AK350+AK359</f>
        <v>108.425</v>
      </c>
      <c r="AL361" s="1518">
        <f t="shared" si="188"/>
        <v>21.824999999999434</v>
      </c>
      <c r="AM361" s="1755">
        <f t="shared" si="188"/>
        <v>433.0999999999994</v>
      </c>
      <c r="AN361" s="1548">
        <f t="shared" si="188"/>
        <v>35.349999999999966</v>
      </c>
      <c r="AO361" s="1549">
        <f t="shared" si="188"/>
        <v>16.249999999999957</v>
      </c>
      <c r="AP361" s="1549">
        <f t="shared" si="188"/>
        <v>-1402.7499999999998</v>
      </c>
      <c r="AQ361" s="1518">
        <f t="shared" si="188"/>
        <v>-28.450000000000074</v>
      </c>
      <c r="AR361" s="1755">
        <f t="shared" si="188"/>
        <v>-1379.6000000000001</v>
      </c>
      <c r="AS361" s="1548">
        <f t="shared" ref="AS361:AW361" si="189">AS346+AS350+AS359</f>
        <v>-542.95232999999996</v>
      </c>
      <c r="AT361" s="1549">
        <f t="shared" si="189"/>
        <v>-50.124999999999929</v>
      </c>
      <c r="AU361" s="1549">
        <f t="shared" si="189"/>
        <v>-42.224999999999994</v>
      </c>
      <c r="AV361" s="1518">
        <f t="shared" si="189"/>
        <v>-155.72500000000031</v>
      </c>
      <c r="AW361" s="1755">
        <f t="shared" si="189"/>
        <v>-791.02733000000012</v>
      </c>
      <c r="AX361" s="1548">
        <f t="shared" si="187"/>
        <v>-37.05918109679989</v>
      </c>
      <c r="AY361" s="1549">
        <f t="shared" si="187"/>
        <v>-33.551968642499062</v>
      </c>
      <c r="AZ361" s="1549">
        <f t="shared" si="187"/>
        <v>135.05074767619683</v>
      </c>
      <c r="BA361" s="1518">
        <f t="shared" si="187"/>
        <v>-145.69650578127809</v>
      </c>
      <c r="BB361" s="1755">
        <f t="shared" si="187"/>
        <v>-81.256907844380464</v>
      </c>
      <c r="BC361" s="1548">
        <f t="shared" si="187"/>
        <v>-15.534156147669989</v>
      </c>
      <c r="BD361" s="1549">
        <f>BD346+BD350+BD359</f>
        <v>-30.490972248893073</v>
      </c>
      <c r="BE361" s="1549">
        <f>BE346+BE350+BE359</f>
        <v>155.41311996086591</v>
      </c>
      <c r="BF361" s="1518">
        <f>BF346+BF350+BF359</f>
        <v>-17.039458712440464</v>
      </c>
      <c r="BG361" s="1755">
        <f t="shared" si="187"/>
        <v>92.348532851861933</v>
      </c>
      <c r="BH361" s="1548">
        <f t="shared" si="187"/>
        <v>-47.27275184943403</v>
      </c>
      <c r="BI361" s="1549">
        <f t="shared" si="187"/>
        <v>-57.86617770173801</v>
      </c>
      <c r="BJ361" s="1549">
        <f t="shared" si="187"/>
        <v>140.85374279855949</v>
      </c>
      <c r="BK361" s="1518">
        <f t="shared" si="187"/>
        <v>-44.681528201586005</v>
      </c>
      <c r="BL361" s="1755">
        <f t="shared" si="187"/>
        <v>-8.9667149541984941</v>
      </c>
      <c r="BM361" s="1548">
        <f>BM346+BM350+BM359</f>
        <v>-34.463915255852676</v>
      </c>
      <c r="BN361" s="1549">
        <f>BN346+BN350+BN359</f>
        <v>-32.26302030763209</v>
      </c>
      <c r="BO361" s="1549">
        <f>BO346+BO350+BO359</f>
        <v>150.31359035667884</v>
      </c>
      <c r="BP361" s="1518">
        <f>BP346+BP350+BP359</f>
        <v>-29.032810484437164</v>
      </c>
      <c r="BQ361" s="1755">
        <f>BQ346+BQ350+BQ359</f>
        <v>54.553844308756879</v>
      </c>
      <c r="BR361" s="1519"/>
      <c r="BS361" s="1519"/>
      <c r="BT361" s="1519"/>
      <c r="BU361" s="1519"/>
      <c r="BV361" s="1519"/>
      <c r="BW361" s="1519"/>
      <c r="BX361" s="1519"/>
      <c r="BY361" s="1519"/>
      <c r="BZ361" s="1519"/>
      <c r="CA361" s="1519"/>
      <c r="CB361" s="1519"/>
      <c r="CC361" s="1519"/>
      <c r="CD361" s="1519"/>
      <c r="CE361" s="1519"/>
      <c r="CF361" s="1519"/>
      <c r="CG361" s="1519"/>
      <c r="CH361" s="1519"/>
      <c r="CI361" s="1519"/>
      <c r="CJ361" s="1519"/>
      <c r="CK361" s="1519"/>
    </row>
    <row r="362" spans="1:117" ht="12.75" customHeight="1">
      <c r="A362" s="1519"/>
      <c r="B362" s="1519"/>
      <c r="C362" s="1759" t="s">
        <v>98</v>
      </c>
      <c r="D362" s="1382"/>
      <c r="E362" s="1762"/>
      <c r="F362" s="1486"/>
      <c r="G362" s="1486"/>
      <c r="H362" s="1487"/>
      <c r="I362" s="1761"/>
      <c r="J362" s="1485"/>
      <c r="K362" s="1486"/>
      <c r="L362" s="1486"/>
      <c r="M362" s="1487"/>
      <c r="N362" s="1382"/>
      <c r="O362" s="1485"/>
      <c r="P362" s="1486"/>
      <c r="Q362" s="1486"/>
      <c r="R362" s="1487"/>
      <c r="S362" s="1382"/>
      <c r="T362" s="1485"/>
      <c r="U362" s="1486"/>
      <c r="V362" s="1486"/>
      <c r="W362" s="1487"/>
      <c r="X362" s="1382">
        <f>S364</f>
        <v>0</v>
      </c>
      <c r="Y362" s="1485">
        <f>X364</f>
        <v>0</v>
      </c>
      <c r="Z362" s="1486">
        <f>Y364</f>
        <v>0</v>
      </c>
      <c r="AA362" s="1486">
        <f>Z364</f>
        <v>0</v>
      </c>
      <c r="AB362" s="1487">
        <f>AA364</f>
        <v>0</v>
      </c>
      <c r="AC362" s="1382">
        <f>X364</f>
        <v>0</v>
      </c>
      <c r="AD362" s="1485">
        <f>AC364</f>
        <v>0</v>
      </c>
      <c r="AE362" s="1486">
        <f>AD364</f>
        <v>0</v>
      </c>
      <c r="AF362" s="1486">
        <f>AE364</f>
        <v>0</v>
      </c>
      <c r="AG362" s="1487">
        <f>AF364</f>
        <v>0</v>
      </c>
      <c r="AH362" s="1382">
        <f>AC364</f>
        <v>0</v>
      </c>
      <c r="AI362" s="1485">
        <f>+AH364</f>
        <v>0</v>
      </c>
      <c r="AJ362" s="1486">
        <f>AI364</f>
        <v>0</v>
      </c>
      <c r="AK362" s="1486">
        <f>AJ364</f>
        <v>0</v>
      </c>
      <c r="AL362" s="1487">
        <f>AK364</f>
        <v>0</v>
      </c>
      <c r="AM362" s="1382">
        <f>AH364</f>
        <v>0</v>
      </c>
      <c r="AN362" s="1485">
        <f>+AM364</f>
        <v>0</v>
      </c>
      <c r="AO362" s="1486">
        <f>AN364</f>
        <v>0</v>
      </c>
      <c r="AP362" s="1486">
        <f>+AO364</f>
        <v>0</v>
      </c>
      <c r="AQ362" s="1487">
        <f>AP364</f>
        <v>0</v>
      </c>
      <c r="AR362" s="1382">
        <f>AM364</f>
        <v>0</v>
      </c>
      <c r="AS362" s="1485">
        <f>+AR364</f>
        <v>0</v>
      </c>
      <c r="AT362" s="1486">
        <f>AS364</f>
        <v>0</v>
      </c>
      <c r="AU362" s="1486">
        <f>+AT364</f>
        <v>0</v>
      </c>
      <c r="AV362" s="1487">
        <f>AU364</f>
        <v>0</v>
      </c>
      <c r="AW362" s="1382">
        <f>AR364</f>
        <v>0</v>
      </c>
      <c r="AX362" s="1485">
        <f>+AW364</f>
        <v>0</v>
      </c>
      <c r="AY362" s="1486">
        <f>+AX364</f>
        <v>0</v>
      </c>
      <c r="AZ362" s="1486">
        <f>+AY364</f>
        <v>0</v>
      </c>
      <c r="BA362" s="1487">
        <f>+AZ364</f>
        <v>64.439597936897883</v>
      </c>
      <c r="BB362" s="1382">
        <f>+AW364</f>
        <v>0</v>
      </c>
      <c r="BC362" s="1485">
        <f>+BB364</f>
        <v>-2.5579538487363607E-13</v>
      </c>
      <c r="BD362" s="1486">
        <f>+BC364</f>
        <v>0</v>
      </c>
      <c r="BE362" s="1486">
        <f>+BD364</f>
        <v>0</v>
      </c>
      <c r="BF362" s="1487">
        <f>+BE364</f>
        <v>28.131083719922387</v>
      </c>
      <c r="BG362" s="1382">
        <f>+BB364</f>
        <v>-2.5579538487363607E-13</v>
      </c>
      <c r="BH362" s="1485">
        <f>+BG364</f>
        <v>11.091625007481468</v>
      </c>
      <c r="BI362" s="1486">
        <f>+BH364</f>
        <v>0</v>
      </c>
      <c r="BJ362" s="1486">
        <f>+BI364</f>
        <v>0</v>
      </c>
      <c r="BK362" s="1487">
        <f>+BJ364</f>
        <v>46.806438254868922</v>
      </c>
      <c r="BL362" s="1382">
        <f>+BG364</f>
        <v>11.091625007481468</v>
      </c>
      <c r="BM362" s="1485">
        <f>+BL364</f>
        <v>2.1249100532829743</v>
      </c>
      <c r="BN362" s="1486">
        <f>+BM364</f>
        <v>0</v>
      </c>
      <c r="BO362" s="1486">
        <f>+BN364</f>
        <v>0</v>
      </c>
      <c r="BP362" s="1487">
        <f>+BO364</f>
        <v>85.711564846477046</v>
      </c>
      <c r="BQ362" s="1382">
        <f>+BL364</f>
        <v>2.1249100532829743</v>
      </c>
      <c r="BR362" s="1519"/>
      <c r="BS362" s="1519"/>
      <c r="BT362" s="1519"/>
      <c r="BU362" s="1519"/>
      <c r="BV362" s="1519"/>
      <c r="BW362" s="1519"/>
      <c r="BX362" s="1519"/>
      <c r="BY362" s="1519"/>
      <c r="BZ362" s="1519"/>
      <c r="CA362" s="1519"/>
      <c r="CB362" s="1519"/>
      <c r="CC362" s="1519"/>
      <c r="CD362" s="1519"/>
      <c r="CE362" s="1519"/>
      <c r="CF362" s="1519"/>
      <c r="CG362" s="1519"/>
      <c r="CH362" s="1519"/>
      <c r="CI362" s="1519"/>
      <c r="CJ362" s="1519"/>
      <c r="CK362" s="1519"/>
    </row>
    <row r="363" spans="1:117">
      <c r="A363" s="1519"/>
      <c r="B363" s="1519"/>
      <c r="C363" s="1759" t="s">
        <v>89</v>
      </c>
      <c r="D363" s="1382"/>
      <c r="E363" s="1763"/>
      <c r="F363" s="1764"/>
      <c r="G363" s="1764"/>
      <c r="H363" s="1765"/>
      <c r="I363" s="1761"/>
      <c r="J363" s="1763"/>
      <c r="K363" s="1764"/>
      <c r="L363" s="1764"/>
      <c r="M363" s="1765"/>
      <c r="N363" s="1761"/>
      <c r="O363" s="1763"/>
      <c r="P363" s="1766"/>
      <c r="Q363" s="1766"/>
      <c r="R363" s="1765"/>
      <c r="S363" s="1761"/>
      <c r="T363" s="1763"/>
      <c r="U363" s="1766"/>
      <c r="V363" s="1766"/>
      <c r="W363" s="1765"/>
      <c r="X363" s="1761">
        <f t="shared" ref="X363:AM363" si="190">X364-X361-X362</f>
        <v>-200</v>
      </c>
      <c r="Y363" s="1485">
        <f t="shared" si="190"/>
        <v>-100.75</v>
      </c>
      <c r="Z363" s="1486">
        <f t="shared" si="190"/>
        <v>-5.75</v>
      </c>
      <c r="AA363" s="1486">
        <f t="shared" si="190"/>
        <v>-122.75</v>
      </c>
      <c r="AB363" s="1487">
        <f t="shared" si="190"/>
        <v>-49.75</v>
      </c>
      <c r="AC363" s="1382">
        <f t="shared" si="190"/>
        <v>-279</v>
      </c>
      <c r="AD363" s="1485">
        <f t="shared" si="190"/>
        <v>-178.75</v>
      </c>
      <c r="AE363" s="1486">
        <f t="shared" si="190"/>
        <v>-112.75</v>
      </c>
      <c r="AF363" s="1486">
        <f t="shared" si="190"/>
        <v>-131.75</v>
      </c>
      <c r="AG363" s="1487">
        <f t="shared" si="190"/>
        <v>-5.75</v>
      </c>
      <c r="AH363" s="1382">
        <f t="shared" si="190"/>
        <v>-429</v>
      </c>
      <c r="AI363" s="1485">
        <f t="shared" si="190"/>
        <v>-203.42500000000001</v>
      </c>
      <c r="AJ363" s="1486">
        <f t="shared" si="190"/>
        <v>-99.424999999999997</v>
      </c>
      <c r="AK363" s="1486">
        <f t="shared" si="190"/>
        <v>-108.425</v>
      </c>
      <c r="AL363" s="1487">
        <f t="shared" si="190"/>
        <v>-21.824999999999434</v>
      </c>
      <c r="AM363" s="1382">
        <f t="shared" si="190"/>
        <v>-433.0999999999994</v>
      </c>
      <c r="AN363" s="1485">
        <f t="shared" ref="AN363:AR363" si="191">AN364-AN361-AN362</f>
        <v>-35.349999999999966</v>
      </c>
      <c r="AO363" s="1486">
        <f t="shared" si="191"/>
        <v>-16.249999999999957</v>
      </c>
      <c r="AP363" s="1486">
        <f t="shared" si="191"/>
        <v>1402.7499999999998</v>
      </c>
      <c r="AQ363" s="1487">
        <f t="shared" si="191"/>
        <v>28.450000000000074</v>
      </c>
      <c r="AR363" s="1382">
        <f t="shared" si="191"/>
        <v>1379.6000000000001</v>
      </c>
      <c r="AS363" s="1485">
        <f t="shared" ref="AS363:AW363" si="192">AS364-AS361-AS362</f>
        <v>542.95232999999996</v>
      </c>
      <c r="AT363" s="1486">
        <f t="shared" si="192"/>
        <v>50.124999999999929</v>
      </c>
      <c r="AU363" s="1486">
        <f t="shared" si="192"/>
        <v>42.224999999999994</v>
      </c>
      <c r="AV363" s="1487">
        <f t="shared" si="192"/>
        <v>155.72500000000031</v>
      </c>
      <c r="AW363" s="1382">
        <f t="shared" si="192"/>
        <v>791.02733000000012</v>
      </c>
      <c r="AX363" s="1485">
        <f>IF((AX361+AX362)&gt;=AW370,-AW370,-(AX361+AX362))</f>
        <v>37.05918109679989</v>
      </c>
      <c r="AY363" s="1486">
        <f>IF((AY361+AY362)&gt;=AX370,-AX370,-(AY361+AY362))</f>
        <v>33.551968642499062</v>
      </c>
      <c r="AZ363" s="1486">
        <f>IF((AZ361+AZ362)&gt;=AY370,-AY370,-(AZ361+AZ362))</f>
        <v>-70.611149739298952</v>
      </c>
      <c r="BA363" s="1487">
        <f>IF((BA361+BA362)&gt;=AZ370,-AZ370,-(BA361+BA362))</f>
        <v>81.256907844380208</v>
      </c>
      <c r="BB363" s="1382">
        <f>SUM(AX363:BA363)</f>
        <v>81.256907844380208</v>
      </c>
      <c r="BC363" s="1485">
        <f>IF((BC361+BC362)&gt;=BB370,-BB370,-(BC361+BC362))</f>
        <v>15.534156147670245</v>
      </c>
      <c r="BD363" s="1486">
        <f>IF((BD361+BD362)&gt;=BC370,-BC370,-(BD361+BD362))</f>
        <v>30.490972248893073</v>
      </c>
      <c r="BE363" s="1486">
        <f>IF((BE361+BE362)&gt;=BD370,-BD370,-(BE361+BE362))</f>
        <v>-127.28203624094353</v>
      </c>
      <c r="BF363" s="1487">
        <f>IF((BF361+BF362)&gt;=BE370,-BE370,-(BF361+BF362))</f>
        <v>0</v>
      </c>
      <c r="BG363" s="1382">
        <f>SUM(BC363:BF363)</f>
        <v>-81.256907844380208</v>
      </c>
      <c r="BH363" s="1485">
        <f>IF((BH361+BH362)&gt;=BG370,-BG370,-(BH361+BH362))</f>
        <v>36.181126841952562</v>
      </c>
      <c r="BI363" s="1486">
        <f>IF((BI361+BI362)&gt;=BH370,-BH370,-(BI361+BI362))</f>
        <v>57.86617770173801</v>
      </c>
      <c r="BJ363" s="1486">
        <f>IF((BJ361+BJ362)&gt;=BI370,-BI370,-(BJ361+BJ362))</f>
        <v>-94.047304543690572</v>
      </c>
      <c r="BK363" s="1487">
        <f>IF((BK361+BK362)&gt;=BJ370,-BJ370,-(BK361+BK362))</f>
        <v>0</v>
      </c>
      <c r="BL363" s="1382">
        <f>SUM(BH363:BK363)</f>
        <v>0</v>
      </c>
      <c r="BM363" s="1485">
        <f>IF((BM361+BM362)&gt;=BL370,-BL370,-(BM361+BM362))</f>
        <v>32.339005202569702</v>
      </c>
      <c r="BN363" s="1486">
        <f>IF((BN361+BN362)&gt;=BM370,-BM370,-(BN361+BN362))</f>
        <v>32.26302030763209</v>
      </c>
      <c r="BO363" s="1486">
        <f>IF((BO361+BO362)&gt;=BN370,-BN370,-(BO361+BO362))</f>
        <v>-64.602025510201798</v>
      </c>
      <c r="BP363" s="1487">
        <f>IF((BP361+BP362)&gt;=BO370,-BO370,-(BP361+BP362))</f>
        <v>0</v>
      </c>
      <c r="BQ363" s="1382">
        <f>SUM(BM363:BP363)</f>
        <v>0</v>
      </c>
      <c r="BR363" s="1519"/>
      <c r="BS363" s="1519"/>
      <c r="BT363" s="1519"/>
      <c r="BU363" s="1519"/>
      <c r="BV363" s="1519"/>
      <c r="BW363" s="1519"/>
      <c r="BX363" s="1519"/>
      <c r="BY363" s="1519"/>
      <c r="BZ363" s="1519"/>
      <c r="CA363" s="1519"/>
      <c r="CB363" s="1519"/>
      <c r="CC363" s="1519"/>
      <c r="CD363" s="1519"/>
      <c r="CE363" s="1519"/>
      <c r="CF363" s="1519"/>
      <c r="CG363" s="1519"/>
      <c r="CH363" s="1519"/>
      <c r="CI363" s="1519"/>
      <c r="CJ363" s="1519"/>
      <c r="CK363" s="1519"/>
    </row>
    <row r="364" spans="1:117">
      <c r="A364" s="1519"/>
      <c r="B364" s="1519"/>
      <c r="C364" s="1758" t="s">
        <v>99</v>
      </c>
      <c r="D364" s="1382"/>
      <c r="E364" s="1548"/>
      <c r="F364" s="1549"/>
      <c r="G364" s="1549"/>
      <c r="H364" s="1518"/>
      <c r="I364" s="1755"/>
      <c r="J364" s="1548"/>
      <c r="K364" s="1549"/>
      <c r="L364" s="1549"/>
      <c r="M364" s="1518"/>
      <c r="N364" s="1755"/>
      <c r="O364" s="1548"/>
      <c r="P364" s="1549"/>
      <c r="Q364" s="1549"/>
      <c r="R364" s="1518"/>
      <c r="S364" s="1755"/>
      <c r="T364" s="1548"/>
      <c r="U364" s="1549"/>
      <c r="V364" s="1549"/>
      <c r="W364" s="1518"/>
      <c r="X364" s="1755">
        <f t="shared" ref="X364:AM364" si="193">X368</f>
        <v>0</v>
      </c>
      <c r="Y364" s="1548">
        <f t="shared" si="193"/>
        <v>0</v>
      </c>
      <c r="Z364" s="1549">
        <f t="shared" si="193"/>
        <v>0</v>
      </c>
      <c r="AA364" s="1549">
        <f t="shared" si="193"/>
        <v>0</v>
      </c>
      <c r="AB364" s="1518">
        <f t="shared" si="193"/>
        <v>0</v>
      </c>
      <c r="AC364" s="1755">
        <f t="shared" si="193"/>
        <v>0</v>
      </c>
      <c r="AD364" s="1548">
        <f t="shared" si="193"/>
        <v>0</v>
      </c>
      <c r="AE364" s="1549">
        <f t="shared" si="193"/>
        <v>0</v>
      </c>
      <c r="AF364" s="1549">
        <f t="shared" si="193"/>
        <v>0</v>
      </c>
      <c r="AG364" s="1518">
        <f t="shared" si="193"/>
        <v>0</v>
      </c>
      <c r="AH364" s="1755">
        <f t="shared" si="193"/>
        <v>0</v>
      </c>
      <c r="AI364" s="1548">
        <f t="shared" si="193"/>
        <v>0</v>
      </c>
      <c r="AJ364" s="1549">
        <f t="shared" si="193"/>
        <v>0</v>
      </c>
      <c r="AK364" s="1549">
        <f t="shared" si="193"/>
        <v>0</v>
      </c>
      <c r="AL364" s="1518">
        <f t="shared" si="193"/>
        <v>0</v>
      </c>
      <c r="AM364" s="1755">
        <f t="shared" si="193"/>
        <v>0</v>
      </c>
      <c r="AN364" s="1548">
        <f t="shared" ref="AN364:AR364" si="194">AN368</f>
        <v>0</v>
      </c>
      <c r="AO364" s="1549">
        <f t="shared" si="194"/>
        <v>0</v>
      </c>
      <c r="AP364" s="1549">
        <f t="shared" si="194"/>
        <v>0</v>
      </c>
      <c r="AQ364" s="1518">
        <f t="shared" si="194"/>
        <v>0</v>
      </c>
      <c r="AR364" s="1755">
        <f t="shared" si="194"/>
        <v>0</v>
      </c>
      <c r="AS364" s="1548">
        <f t="shared" ref="AS364:AW364" si="195">AS368</f>
        <v>0</v>
      </c>
      <c r="AT364" s="1549">
        <f t="shared" si="195"/>
        <v>0</v>
      </c>
      <c r="AU364" s="1549">
        <f t="shared" si="195"/>
        <v>0</v>
      </c>
      <c r="AV364" s="1518">
        <f t="shared" si="195"/>
        <v>0</v>
      </c>
      <c r="AW364" s="1755">
        <f t="shared" si="195"/>
        <v>0</v>
      </c>
      <c r="AX364" s="1548">
        <f t="shared" ref="AX364:BL364" si="196">AX363+AX362+AX361</f>
        <v>0</v>
      </c>
      <c r="AY364" s="1549">
        <f t="shared" si="196"/>
        <v>0</v>
      </c>
      <c r="AZ364" s="1549">
        <f t="shared" si="196"/>
        <v>64.439597936897883</v>
      </c>
      <c r="BA364" s="1518">
        <f t="shared" si="196"/>
        <v>0</v>
      </c>
      <c r="BB364" s="1425">
        <f t="shared" si="196"/>
        <v>-2.5579538487363607E-13</v>
      </c>
      <c r="BC364" s="1548">
        <f>BC363+BC362+BC361</f>
        <v>0</v>
      </c>
      <c r="BD364" s="1549">
        <f t="shared" si="196"/>
        <v>0</v>
      </c>
      <c r="BE364" s="1549">
        <f t="shared" si="196"/>
        <v>28.131083719922387</v>
      </c>
      <c r="BF364" s="1518">
        <f t="shared" si="196"/>
        <v>11.091625007481923</v>
      </c>
      <c r="BG364" s="1425">
        <f>BG363+BG362+BG361</f>
        <v>11.091625007481468</v>
      </c>
      <c r="BH364" s="1548">
        <f t="shared" si="196"/>
        <v>0</v>
      </c>
      <c r="BI364" s="1549">
        <f t="shared" si="196"/>
        <v>0</v>
      </c>
      <c r="BJ364" s="1549">
        <f t="shared" si="196"/>
        <v>46.806438254868922</v>
      </c>
      <c r="BK364" s="1518">
        <f t="shared" si="196"/>
        <v>2.1249100532829175</v>
      </c>
      <c r="BL364" s="1425">
        <f t="shared" si="196"/>
        <v>2.1249100532829743</v>
      </c>
      <c r="BM364" s="1548">
        <f>BM363+BM362+BM361</f>
        <v>0</v>
      </c>
      <c r="BN364" s="1549">
        <f>BN363+BN362+BN361</f>
        <v>0</v>
      </c>
      <c r="BO364" s="1549">
        <f>BO363+BO362+BO361</f>
        <v>85.711564846477046</v>
      </c>
      <c r="BP364" s="1518">
        <f>BP363+BP362+BP361</f>
        <v>56.678754362039882</v>
      </c>
      <c r="BQ364" s="1425">
        <f>BQ363+BQ362+BQ361</f>
        <v>56.678754362039854</v>
      </c>
      <c r="BR364" s="1519"/>
      <c r="BS364" s="1519"/>
      <c r="BT364" s="1519"/>
      <c r="BU364" s="1519"/>
      <c r="BV364" s="1519"/>
      <c r="BW364" s="1519"/>
      <c r="BX364" s="1519"/>
      <c r="BY364" s="1519"/>
      <c r="BZ364" s="1519"/>
      <c r="CA364" s="1519"/>
      <c r="CB364" s="1519"/>
      <c r="CC364" s="1519"/>
      <c r="CD364" s="1519"/>
      <c r="CE364" s="1519"/>
      <c r="CF364" s="1519"/>
      <c r="CG364" s="1519"/>
      <c r="CH364" s="1519"/>
      <c r="CI364" s="1519"/>
      <c r="CJ364" s="1519"/>
      <c r="CK364" s="1519"/>
    </row>
    <row r="365" spans="1:117">
      <c r="A365" s="1523"/>
      <c r="B365" s="1523"/>
      <c r="C365" s="1523"/>
      <c r="D365" s="1523"/>
      <c r="E365" s="1767"/>
      <c r="F365" s="1768"/>
      <c r="G365" s="1768"/>
      <c r="H365" s="1769"/>
      <c r="I365" s="1770"/>
      <c r="J365" s="1767"/>
      <c r="K365" s="1768"/>
      <c r="L365" s="1768"/>
      <c r="M365" s="1769"/>
      <c r="N365" s="1770"/>
      <c r="O365" s="1767"/>
      <c r="P365" s="1768"/>
      <c r="Q365" s="1768"/>
      <c r="R365" s="1522"/>
      <c r="S365" s="1523"/>
      <c r="T365" s="1747"/>
      <c r="U365" s="1748"/>
      <c r="V365" s="1748"/>
      <c r="W365" s="1522"/>
      <c r="X365" s="1523"/>
      <c r="Y365" s="1747"/>
      <c r="Z365" s="1748"/>
      <c r="AA365" s="1748"/>
      <c r="AB365" s="1522"/>
      <c r="AC365" s="1523"/>
      <c r="AD365" s="1747"/>
      <c r="AE365" s="1748"/>
      <c r="AF365" s="1748"/>
      <c r="AG365" s="1522"/>
      <c r="AH365" s="1523"/>
      <c r="AI365" s="1747"/>
      <c r="AJ365" s="1748"/>
      <c r="AK365" s="1748"/>
      <c r="AL365" s="1522"/>
      <c r="AM365" s="1523"/>
      <c r="AN365" s="1747"/>
      <c r="AO365" s="1748"/>
      <c r="AP365" s="1748"/>
      <c r="AQ365" s="1522"/>
      <c r="AR365" s="1523"/>
      <c r="AS365" s="1747"/>
      <c r="AT365" s="1748"/>
      <c r="AU365" s="1748"/>
      <c r="AV365" s="1522"/>
      <c r="AW365" s="1523"/>
      <c r="AX365" s="1747"/>
      <c r="AY365" s="1748"/>
      <c r="AZ365" s="1748"/>
      <c r="BA365" s="1522"/>
      <c r="BB365" s="1523"/>
      <c r="BC365" s="1747"/>
      <c r="BD365" s="1748"/>
      <c r="BE365" s="1748"/>
      <c r="BF365" s="1522"/>
      <c r="BG365" s="1523"/>
      <c r="BH365" s="1747"/>
      <c r="BI365" s="1748"/>
      <c r="BJ365" s="1748"/>
      <c r="BK365" s="1522"/>
      <c r="BL365" s="1523"/>
      <c r="BM365" s="1747"/>
      <c r="BN365" s="1748"/>
      <c r="BO365" s="1748"/>
      <c r="BP365" s="1522"/>
      <c r="BQ365" s="1523"/>
      <c r="BR365" s="1523"/>
      <c r="BS365" s="1523"/>
      <c r="BT365" s="1523"/>
      <c r="BU365" s="1523"/>
      <c r="BV365" s="1523"/>
      <c r="BW365" s="1523"/>
      <c r="BX365" s="1523"/>
      <c r="BY365" s="1523"/>
      <c r="BZ365" s="1523"/>
      <c r="CA365" s="1523"/>
      <c r="CB365" s="1523"/>
      <c r="CC365" s="1523"/>
      <c r="CD365" s="1523"/>
      <c r="CE365" s="1523"/>
      <c r="CF365" s="1523"/>
      <c r="CG365" s="1523"/>
      <c r="CH365" s="1523"/>
      <c r="CI365" s="1523"/>
      <c r="CJ365" s="1523"/>
      <c r="CK365" s="1523"/>
      <c r="CL365" s="1523"/>
      <c r="CM365" s="1523"/>
      <c r="CN365" s="1523"/>
      <c r="CO365" s="1523"/>
      <c r="CP365" s="1523"/>
      <c r="CQ365" s="1523"/>
      <c r="CR365" s="1523"/>
      <c r="CS365" s="1523"/>
      <c r="CT365" s="1523"/>
      <c r="CU365" s="1523"/>
      <c r="CV365" s="1523"/>
      <c r="CW365" s="1523"/>
      <c r="CX365" s="1523"/>
      <c r="CY365" s="1225"/>
      <c r="CZ365" s="1225"/>
      <c r="DA365" s="1225"/>
      <c r="DB365" s="1225"/>
      <c r="DC365" s="1225"/>
      <c r="DD365" s="1225"/>
      <c r="DE365" s="1225"/>
      <c r="DF365" s="1225"/>
      <c r="DG365" s="1225"/>
      <c r="DH365" s="1225"/>
      <c r="DI365" s="1225"/>
      <c r="DJ365" s="1225"/>
      <c r="DK365" s="1225"/>
      <c r="DL365" s="1225"/>
      <c r="DM365" s="1225"/>
    </row>
    <row r="366" spans="1:117">
      <c r="A366" s="1523"/>
      <c r="B366" s="1523"/>
      <c r="C366" s="1523"/>
      <c r="D366" s="1523"/>
      <c r="E366" s="1767"/>
      <c r="F366" s="1768"/>
      <c r="G366" s="1768"/>
      <c r="H366" s="1769"/>
      <c r="I366" s="1770"/>
      <c r="J366" s="1767"/>
      <c r="K366" s="1768"/>
      <c r="L366" s="1768"/>
      <c r="M366" s="1769"/>
      <c r="N366" s="1770"/>
      <c r="O366" s="1767"/>
      <c r="P366" s="1768"/>
      <c r="Q366" s="1768"/>
      <c r="R366" s="1769"/>
      <c r="S366" s="1770"/>
      <c r="T366" s="1747"/>
      <c r="U366" s="1748"/>
      <c r="V366" s="1748"/>
      <c r="W366" s="1522"/>
      <c r="X366" s="1523"/>
      <c r="Y366" s="1747"/>
      <c r="Z366" s="1748"/>
      <c r="AA366" s="1748"/>
      <c r="AB366" s="1522"/>
      <c r="AC366" s="1523"/>
      <c r="AD366" s="1747"/>
      <c r="AE366" s="1748"/>
      <c r="AF366" s="1748"/>
      <c r="AG366" s="1522"/>
      <c r="AH366" s="1523"/>
      <c r="AI366" s="1747"/>
      <c r="AJ366" s="1748"/>
      <c r="AK366" s="1748"/>
      <c r="AL366" s="1522"/>
      <c r="AM366" s="1523"/>
      <c r="AN366" s="1747"/>
      <c r="AO366" s="1748"/>
      <c r="AP366" s="1748"/>
      <c r="AQ366" s="1522"/>
      <c r="AR366" s="1523"/>
      <c r="AS366" s="1747"/>
      <c r="AT366" s="1748"/>
      <c r="AU366" s="1748"/>
      <c r="AV366" s="1522"/>
      <c r="AW366" s="1523"/>
      <c r="AX366" s="1747"/>
      <c r="AY366" s="1748"/>
      <c r="AZ366" s="1748"/>
      <c r="BA366" s="1522"/>
      <c r="BB366" s="1523"/>
      <c r="BC366" s="1747"/>
      <c r="BD366" s="1748"/>
      <c r="BE366" s="1748"/>
      <c r="BF366" s="1522"/>
      <c r="BG366" s="1523"/>
      <c r="BH366" s="1747"/>
      <c r="BI366" s="1748"/>
      <c r="BJ366" s="1748"/>
      <c r="BK366" s="1522"/>
      <c r="BL366" s="1523"/>
      <c r="BM366" s="1747"/>
      <c r="BN366" s="1748"/>
      <c r="BO366" s="1748"/>
      <c r="BP366" s="1522"/>
      <c r="BQ366" s="1523"/>
      <c r="BR366" s="1523"/>
      <c r="BS366" s="1523"/>
      <c r="BT366" s="1523"/>
      <c r="BU366" s="1523"/>
      <c r="BV366" s="1523"/>
      <c r="BW366" s="1523"/>
      <c r="BX366" s="1523"/>
      <c r="BY366" s="1523"/>
      <c r="BZ366" s="1523"/>
      <c r="CA366" s="1523"/>
      <c r="CB366" s="1523"/>
      <c r="CC366" s="1523"/>
      <c r="CD366" s="1523"/>
      <c r="CE366" s="1523"/>
      <c r="CF366" s="1523"/>
      <c r="CG366" s="1523"/>
      <c r="CH366" s="1523"/>
      <c r="CI366" s="1523"/>
      <c r="CJ366" s="1523"/>
      <c r="CK366" s="1523"/>
      <c r="CL366" s="1523"/>
      <c r="CM366" s="1523"/>
      <c r="CN366" s="1523"/>
      <c r="CO366" s="1523"/>
      <c r="CP366" s="1523"/>
      <c r="CQ366" s="1523"/>
      <c r="CR366" s="1523"/>
      <c r="CS366" s="1523"/>
      <c r="CT366" s="1523"/>
      <c r="CU366" s="1523"/>
      <c r="CV366" s="1523"/>
      <c r="CW366" s="1523"/>
      <c r="CX366" s="1523"/>
      <c r="CY366" s="1523"/>
      <c r="CZ366" s="1523"/>
    </row>
    <row r="367" spans="1:117">
      <c r="A367" s="1523"/>
      <c r="B367" s="1756" t="s">
        <v>181</v>
      </c>
      <c r="C367" s="1756"/>
      <c r="D367" s="1757"/>
      <c r="E367" s="1747"/>
      <c r="F367" s="1748"/>
      <c r="G367" s="1748"/>
      <c r="H367" s="1522"/>
      <c r="I367" s="1523"/>
      <c r="J367" s="1747"/>
      <c r="K367" s="1748"/>
      <c r="L367" s="1748"/>
      <c r="M367" s="1522"/>
      <c r="N367" s="1523"/>
      <c r="O367" s="1747"/>
      <c r="P367" s="1748"/>
      <c r="Q367" s="1748"/>
      <c r="R367" s="1522"/>
      <c r="S367" s="1523"/>
      <c r="T367" s="1747"/>
      <c r="U367" s="1748"/>
      <c r="V367" s="1748"/>
      <c r="W367" s="1522"/>
      <c r="X367" s="1523"/>
      <c r="Y367" s="1747"/>
      <c r="Z367" s="1748"/>
      <c r="AA367" s="1748"/>
      <c r="AB367" s="1522"/>
      <c r="AC367" s="1523"/>
      <c r="AD367" s="1747"/>
      <c r="AE367" s="1748"/>
      <c r="AF367" s="1748"/>
      <c r="AG367" s="1522"/>
      <c r="AH367" s="1523"/>
      <c r="AI367" s="1747"/>
      <c r="AJ367" s="1748"/>
      <c r="AK367" s="1748"/>
      <c r="AL367" s="1522"/>
      <c r="AM367" s="1523"/>
      <c r="AN367" s="1747"/>
      <c r="AO367" s="1748"/>
      <c r="AP367" s="1748"/>
      <c r="AQ367" s="1522"/>
      <c r="AR367" s="1523"/>
      <c r="AS367" s="1747"/>
      <c r="AT367" s="1748"/>
      <c r="AU367" s="1748"/>
      <c r="AV367" s="1522"/>
      <c r="AW367" s="1523"/>
      <c r="AX367" s="1747"/>
      <c r="AY367" s="1748"/>
      <c r="AZ367" s="1748"/>
      <c r="BA367" s="1522"/>
      <c r="BB367" s="1523"/>
      <c r="BC367" s="1747"/>
      <c r="BD367" s="1748"/>
      <c r="BE367" s="1748"/>
      <c r="BF367" s="1522"/>
      <c r="BG367" s="1523"/>
      <c r="BH367" s="1747"/>
      <c r="BI367" s="1748"/>
      <c r="BJ367" s="1748"/>
      <c r="BK367" s="1522"/>
      <c r="BL367" s="1523"/>
      <c r="BM367" s="1747"/>
      <c r="BN367" s="1748"/>
      <c r="BO367" s="1748"/>
      <c r="BP367" s="1522"/>
      <c r="BQ367" s="1523"/>
      <c r="BR367" s="1523"/>
      <c r="BS367" s="1523"/>
      <c r="BT367" s="1523"/>
      <c r="BU367" s="1523"/>
      <c r="BV367" s="1523"/>
      <c r="BW367" s="1523"/>
      <c r="BX367" s="1523"/>
      <c r="BY367" s="1523"/>
      <c r="BZ367" s="1523"/>
      <c r="CA367" s="1523"/>
      <c r="CB367" s="1523"/>
      <c r="CC367" s="1523"/>
      <c r="CD367" s="1523"/>
      <c r="CE367" s="1523"/>
      <c r="CF367" s="1523"/>
      <c r="CG367" s="1523"/>
      <c r="CH367" s="1523"/>
      <c r="CI367" s="1523"/>
      <c r="CJ367" s="1523"/>
      <c r="CK367" s="1523"/>
      <c r="CL367" s="1523"/>
      <c r="CM367" s="1523"/>
      <c r="CN367" s="1523"/>
      <c r="CO367" s="1523"/>
      <c r="CP367" s="1523"/>
      <c r="CQ367" s="1523"/>
      <c r="CR367" s="1523"/>
      <c r="CS367" s="1523"/>
      <c r="CT367" s="1523"/>
      <c r="CU367" s="1523"/>
      <c r="CV367" s="1523"/>
      <c r="CW367" s="1523"/>
      <c r="CX367" s="1523"/>
      <c r="CY367" s="1523"/>
      <c r="CZ367" s="1523"/>
    </row>
    <row r="368" spans="1:117">
      <c r="A368" s="1519"/>
      <c r="B368" s="1519"/>
      <c r="C368" s="1759" t="s">
        <v>182</v>
      </c>
      <c r="D368" s="1382"/>
      <c r="E368" s="1763"/>
      <c r="F368" s="1766"/>
      <c r="G368" s="1766"/>
      <c r="H368" s="1487"/>
      <c r="I368" s="1424"/>
      <c r="J368" s="1763"/>
      <c r="K368" s="1766"/>
      <c r="L368" s="1766"/>
      <c r="M368" s="1487"/>
      <c r="N368" s="1424"/>
      <c r="O368" s="1763"/>
      <c r="P368" s="1766"/>
      <c r="Q368" s="1766"/>
      <c r="R368" s="1487"/>
      <c r="S368" s="1424"/>
      <c r="T368" s="1763"/>
      <c r="U368" s="1766"/>
      <c r="V368" s="1766"/>
      <c r="W368" s="1487"/>
      <c r="X368" s="1424">
        <v>0</v>
      </c>
      <c r="Y368" s="1763">
        <v>0</v>
      </c>
      <c r="Z368" s="1766">
        <v>0</v>
      </c>
      <c r="AA368" s="1766">
        <v>0</v>
      </c>
      <c r="AB368" s="1487">
        <f>AC368</f>
        <v>0</v>
      </c>
      <c r="AC368" s="1424">
        <v>0</v>
      </c>
      <c r="AD368" s="1763">
        <v>0</v>
      </c>
      <c r="AE368" s="1766">
        <v>0</v>
      </c>
      <c r="AF368" s="1766">
        <v>0</v>
      </c>
      <c r="AG368" s="1487">
        <f>AH368</f>
        <v>0</v>
      </c>
      <c r="AH368" s="1424">
        <v>0</v>
      </c>
      <c r="AI368" s="1763">
        <v>0</v>
      </c>
      <c r="AJ368" s="1766">
        <v>0</v>
      </c>
      <c r="AK368" s="1766">
        <v>0</v>
      </c>
      <c r="AL368" s="1487">
        <f>AM368</f>
        <v>0</v>
      </c>
      <c r="AM368" s="1424">
        <v>0</v>
      </c>
      <c r="AN368" s="1763">
        <v>0</v>
      </c>
      <c r="AO368" s="1766">
        <v>0</v>
      </c>
      <c r="AP368" s="1766">
        <v>0</v>
      </c>
      <c r="AQ368" s="1487">
        <f>AR368</f>
        <v>0</v>
      </c>
      <c r="AR368" s="1424">
        <v>0</v>
      </c>
      <c r="AS368" s="1763">
        <v>0</v>
      </c>
      <c r="AT368" s="1766">
        <v>0</v>
      </c>
      <c r="AU368" s="1766">
        <v>0</v>
      </c>
      <c r="AV368" s="1487">
        <f>AW368</f>
        <v>0</v>
      </c>
      <c r="AW368" s="1424">
        <v>0</v>
      </c>
      <c r="AX368" s="1485">
        <f t="shared" ref="AX368:BL368" si="197">+AX364</f>
        <v>0</v>
      </c>
      <c r="AY368" s="1486">
        <f t="shared" si="197"/>
        <v>0</v>
      </c>
      <c r="AZ368" s="1486">
        <f t="shared" si="197"/>
        <v>64.439597936897883</v>
      </c>
      <c r="BA368" s="1487">
        <f t="shared" si="197"/>
        <v>0</v>
      </c>
      <c r="BB368" s="1382">
        <f t="shared" si="197"/>
        <v>-2.5579538487363607E-13</v>
      </c>
      <c r="BC368" s="1485">
        <f t="shared" si="197"/>
        <v>0</v>
      </c>
      <c r="BD368" s="1486">
        <f t="shared" si="197"/>
        <v>0</v>
      </c>
      <c r="BE368" s="1486">
        <f t="shared" si="197"/>
        <v>28.131083719922387</v>
      </c>
      <c r="BF368" s="1487">
        <f t="shared" si="197"/>
        <v>11.091625007481923</v>
      </c>
      <c r="BG368" s="1382">
        <f>+BG364</f>
        <v>11.091625007481468</v>
      </c>
      <c r="BH368" s="1485">
        <f t="shared" si="197"/>
        <v>0</v>
      </c>
      <c r="BI368" s="1486">
        <f t="shared" si="197"/>
        <v>0</v>
      </c>
      <c r="BJ368" s="1486">
        <f t="shared" si="197"/>
        <v>46.806438254868922</v>
      </c>
      <c r="BK368" s="1487">
        <f t="shared" si="197"/>
        <v>2.1249100532829175</v>
      </c>
      <c r="BL368" s="1382">
        <f t="shared" si="197"/>
        <v>2.1249100532829743</v>
      </c>
      <c r="BM368" s="1485">
        <f>+BM364</f>
        <v>0</v>
      </c>
      <c r="BN368" s="1486">
        <f>+BN364</f>
        <v>0</v>
      </c>
      <c r="BO368" s="1486">
        <f>+BO364</f>
        <v>85.711564846477046</v>
      </c>
      <c r="BP368" s="1487">
        <f>+BP364</f>
        <v>56.678754362039882</v>
      </c>
      <c r="BQ368" s="1382">
        <f>+BQ364</f>
        <v>56.678754362039854</v>
      </c>
      <c r="BR368" s="1519"/>
      <c r="BS368" s="1519"/>
      <c r="BT368" s="1519"/>
      <c r="BU368" s="1519"/>
      <c r="BV368" s="1519"/>
      <c r="BW368" s="1519"/>
      <c r="BX368" s="1519"/>
      <c r="BY368" s="1519"/>
      <c r="BZ368" s="1519"/>
      <c r="CA368" s="1519"/>
      <c r="CB368" s="1519"/>
      <c r="CC368" s="1519"/>
      <c r="CD368" s="1519"/>
      <c r="CE368" s="1519"/>
      <c r="CF368" s="1519"/>
      <c r="CG368" s="1519"/>
      <c r="CH368" s="1519"/>
      <c r="CI368" s="1519"/>
      <c r="CJ368" s="1519"/>
      <c r="CK368" s="1519"/>
      <c r="CL368" s="1519"/>
      <c r="CM368" s="1519"/>
      <c r="CN368" s="1519"/>
      <c r="CO368" s="1519"/>
      <c r="CP368" s="1519"/>
      <c r="CQ368" s="1519"/>
      <c r="CR368" s="1519"/>
      <c r="CS368" s="1519"/>
      <c r="CT368" s="1519"/>
      <c r="CU368" s="1519"/>
      <c r="CV368" s="1519"/>
      <c r="CW368" s="1519"/>
      <c r="CX368" s="1519"/>
      <c r="CY368" s="1519"/>
      <c r="CZ368" s="1519"/>
    </row>
    <row r="369" spans="1:104">
      <c r="A369" s="1519"/>
      <c r="B369" s="1519"/>
      <c r="C369" s="1759"/>
      <c r="D369" s="1382"/>
      <c r="E369" s="1771"/>
      <c r="F369" s="1772"/>
      <c r="G369" s="1772"/>
      <c r="H369" s="1773"/>
      <c r="I369" s="1538"/>
      <c r="J369" s="1771"/>
      <c r="K369" s="1772"/>
      <c r="L369" s="1772"/>
      <c r="M369" s="1773"/>
      <c r="N369" s="1538"/>
      <c r="O369" s="1771"/>
      <c r="P369" s="1774"/>
      <c r="Q369" s="1774"/>
      <c r="R369" s="1773"/>
      <c r="S369" s="1538"/>
      <c r="T369" s="1771"/>
      <c r="U369" s="1774"/>
      <c r="V369" s="1488"/>
      <c r="W369" s="1773"/>
      <c r="X369" s="1538"/>
      <c r="Y369" s="1771"/>
      <c r="Z369" s="1774"/>
      <c r="AA369" s="1488"/>
      <c r="AB369" s="1487"/>
      <c r="AC369" s="1538"/>
      <c r="AD369" s="1771"/>
      <c r="AE369" s="1774"/>
      <c r="AF369" s="1488"/>
      <c r="AG369" s="1487"/>
      <c r="AH369" s="1538"/>
      <c r="AI369" s="1771"/>
      <c r="AJ369" s="1774"/>
      <c r="AK369" s="1488"/>
      <c r="AL369" s="1487"/>
      <c r="AM369" s="1519"/>
      <c r="AN369" s="1771"/>
      <c r="AO369" s="1774"/>
      <c r="AP369" s="1488"/>
      <c r="AQ369" s="1487"/>
      <c r="AR369" s="1519"/>
      <c r="AS369" s="1771"/>
      <c r="AT369" s="1774"/>
      <c r="AU369" s="1488"/>
      <c r="AV369" s="1487"/>
      <c r="AW369" s="1519"/>
      <c r="AX369" s="1485"/>
      <c r="AY369" s="1488"/>
      <c r="AZ369" s="1488"/>
      <c r="BA369" s="1487"/>
      <c r="BB369" s="1519"/>
      <c r="BC369" s="1485"/>
      <c r="BD369" s="1488"/>
      <c r="BE369" s="1488"/>
      <c r="BF369" s="1487"/>
      <c r="BG369" s="1519"/>
      <c r="BH369" s="1485"/>
      <c r="BI369" s="1488"/>
      <c r="BJ369" s="1488"/>
      <c r="BK369" s="1487"/>
      <c r="BL369" s="1519"/>
      <c r="BM369" s="1485"/>
      <c r="BN369" s="1488"/>
      <c r="BO369" s="1488"/>
      <c r="BP369" s="1487"/>
      <c r="BQ369" s="1519"/>
      <c r="BR369" s="1519"/>
      <c r="BS369" s="1519"/>
      <c r="BT369" s="1519"/>
      <c r="BU369" s="1519"/>
      <c r="BV369" s="1519"/>
      <c r="BW369" s="1519"/>
      <c r="BX369" s="1519"/>
      <c r="BY369" s="1519"/>
      <c r="BZ369" s="1519"/>
      <c r="CA369" s="1519"/>
      <c r="CB369" s="1519"/>
      <c r="CC369" s="1519"/>
      <c r="CD369" s="1519"/>
      <c r="CE369" s="1519"/>
      <c r="CF369" s="1519"/>
      <c r="CG369" s="1519"/>
      <c r="CH369" s="1519"/>
      <c r="CI369" s="1519"/>
      <c r="CJ369" s="1519"/>
      <c r="CK369" s="1519"/>
      <c r="CL369" s="1519"/>
      <c r="CM369" s="1519"/>
      <c r="CN369" s="1519"/>
      <c r="CO369" s="1519"/>
      <c r="CP369" s="1519"/>
      <c r="CQ369" s="1519"/>
      <c r="CR369" s="1519"/>
      <c r="CS369" s="1519"/>
      <c r="CT369" s="1519"/>
      <c r="CU369" s="1519"/>
      <c r="CV369" s="1519"/>
      <c r="CW369" s="1519"/>
      <c r="CX369" s="1519"/>
      <c r="CY369" s="1519"/>
      <c r="CZ369" s="1519"/>
    </row>
    <row r="370" spans="1:104">
      <c r="A370" s="1519"/>
      <c r="B370" s="1519"/>
      <c r="C370" s="1759" t="s">
        <v>183</v>
      </c>
      <c r="D370" s="1382"/>
      <c r="E370" s="1763"/>
      <c r="F370" s="1766"/>
      <c r="G370" s="1766"/>
      <c r="H370" s="1487"/>
      <c r="I370" s="1424"/>
      <c r="J370" s="1763"/>
      <c r="K370" s="1766"/>
      <c r="L370" s="1766"/>
      <c r="M370" s="1487"/>
      <c r="N370" s="1424"/>
      <c r="O370" s="1763"/>
      <c r="P370" s="1766"/>
      <c r="Q370" s="1766"/>
      <c r="R370" s="1487"/>
      <c r="S370" s="1424"/>
      <c r="T370" s="1763"/>
      <c r="U370" s="1766"/>
      <c r="V370" s="1486"/>
      <c r="W370" s="1487"/>
      <c r="X370" s="1424">
        <v>0</v>
      </c>
      <c r="Y370" s="1763">
        <v>0</v>
      </c>
      <c r="Z370" s="1766">
        <v>0</v>
      </c>
      <c r="AA370" s="1766">
        <v>0</v>
      </c>
      <c r="AB370" s="1487">
        <f>AC370</f>
        <v>0</v>
      </c>
      <c r="AC370" s="1424">
        <v>0</v>
      </c>
      <c r="AD370" s="1763">
        <v>0</v>
      </c>
      <c r="AE370" s="1766">
        <v>0</v>
      </c>
      <c r="AF370" s="1766">
        <v>0</v>
      </c>
      <c r="AG370" s="1487">
        <f>AH370</f>
        <v>0</v>
      </c>
      <c r="AH370" s="1424">
        <v>0</v>
      </c>
      <c r="AI370" s="1763">
        <v>0</v>
      </c>
      <c r="AJ370" s="1766">
        <v>0</v>
      </c>
      <c r="AK370" s="1766">
        <v>0</v>
      </c>
      <c r="AL370" s="1487">
        <f>AM370</f>
        <v>0</v>
      </c>
      <c r="AM370" s="1424">
        <v>0</v>
      </c>
      <c r="AN370" s="1763">
        <v>0</v>
      </c>
      <c r="AO370" s="1766">
        <v>0</v>
      </c>
      <c r="AP370" s="1766">
        <v>0</v>
      </c>
      <c r="AQ370" s="1487">
        <f>AR370</f>
        <v>0</v>
      </c>
      <c r="AR370" s="1424">
        <v>0</v>
      </c>
      <c r="AS370" s="1763">
        <v>0</v>
      </c>
      <c r="AT370" s="1766">
        <v>0</v>
      </c>
      <c r="AU370" s="1766">
        <v>0</v>
      </c>
      <c r="AV370" s="1487">
        <f>AW370</f>
        <v>0</v>
      </c>
      <c r="AW370" s="1424">
        <v>0</v>
      </c>
      <c r="AX370" s="1485">
        <f>+AW370+AX363</f>
        <v>37.05918109679989</v>
      </c>
      <c r="AY370" s="1486">
        <f>+AX370+AY363</f>
        <v>70.611149739298952</v>
      </c>
      <c r="AZ370" s="1486">
        <f>+AY370+AZ363</f>
        <v>0</v>
      </c>
      <c r="BA370" s="1487">
        <f>+AZ370+BA363</f>
        <v>81.256907844380208</v>
      </c>
      <c r="BB370" s="1382">
        <f>+BA370</f>
        <v>81.256907844380208</v>
      </c>
      <c r="BC370" s="1485">
        <f>+BB370+BC363</f>
        <v>96.791063992050454</v>
      </c>
      <c r="BD370" s="1486">
        <f>+BC370+BD363</f>
        <v>127.28203624094353</v>
      </c>
      <c r="BE370" s="1486">
        <f>+BD370+BE363</f>
        <v>0</v>
      </c>
      <c r="BF370" s="1487">
        <f>+BE370+BF363</f>
        <v>0</v>
      </c>
      <c r="BG370" s="1382">
        <f>+BF370</f>
        <v>0</v>
      </c>
      <c r="BH370" s="1485">
        <f>+BG370+BH363</f>
        <v>36.181126841952562</v>
      </c>
      <c r="BI370" s="1486">
        <f>+BH370+BI363</f>
        <v>94.047304543690572</v>
      </c>
      <c r="BJ370" s="1486">
        <f>+BI370+BJ363</f>
        <v>0</v>
      </c>
      <c r="BK370" s="1487">
        <f>+BJ370+BK363</f>
        <v>0</v>
      </c>
      <c r="BL370" s="1382">
        <f>+BK370</f>
        <v>0</v>
      </c>
      <c r="BM370" s="1485">
        <f>+BL370+BM363</f>
        <v>32.339005202569702</v>
      </c>
      <c r="BN370" s="1486">
        <f>+BM370+BN363</f>
        <v>64.602025510201798</v>
      </c>
      <c r="BO370" s="1486">
        <f>+BN370+BO363</f>
        <v>0</v>
      </c>
      <c r="BP370" s="1487">
        <f>+BO370+BP363</f>
        <v>0</v>
      </c>
      <c r="BQ370" s="1382">
        <f>+BP370</f>
        <v>0</v>
      </c>
      <c r="BR370" s="1519"/>
      <c r="BS370" s="1519"/>
      <c r="BT370" s="1519"/>
      <c r="BU370" s="1519"/>
      <c r="BV370" s="1519"/>
      <c r="BW370" s="1519"/>
      <c r="BX370" s="1519"/>
      <c r="BY370" s="1519"/>
      <c r="BZ370" s="1519"/>
      <c r="CA370" s="1519"/>
      <c r="CB370" s="1519"/>
      <c r="CC370" s="1519"/>
      <c r="CD370" s="1519"/>
      <c r="CE370" s="1519"/>
      <c r="CF370" s="1519"/>
      <c r="CG370" s="1519"/>
      <c r="CH370" s="1519"/>
      <c r="CI370" s="1519"/>
      <c r="CJ370" s="1519"/>
      <c r="CK370" s="1519"/>
      <c r="CL370" s="1519"/>
      <c r="CM370" s="1519"/>
      <c r="CN370" s="1519"/>
      <c r="CO370" s="1519"/>
      <c r="CP370" s="1519"/>
      <c r="CQ370" s="1519"/>
      <c r="CR370" s="1519"/>
      <c r="CS370" s="1519"/>
      <c r="CT370" s="1519"/>
      <c r="CU370" s="1519"/>
      <c r="CV370" s="1519"/>
      <c r="CW370" s="1519"/>
      <c r="CX370" s="1519"/>
      <c r="CY370" s="1519"/>
      <c r="CZ370" s="1519"/>
    </row>
    <row r="371" spans="1:104">
      <c r="A371" s="1519"/>
      <c r="B371" s="1519"/>
      <c r="C371" s="1759" t="s">
        <v>227</v>
      </c>
      <c r="D371" s="1382"/>
      <c r="E371" s="1763"/>
      <c r="F371" s="1766"/>
      <c r="G371" s="1766"/>
      <c r="H371" s="1487"/>
      <c r="I371" s="1424"/>
      <c r="J371" s="1763"/>
      <c r="K371" s="1766"/>
      <c r="L371" s="1766"/>
      <c r="M371" s="1487"/>
      <c r="N371" s="1424"/>
      <c r="O371" s="1763"/>
      <c r="P371" s="1766"/>
      <c r="Q371" s="1766"/>
      <c r="R371" s="1487"/>
      <c r="S371" s="1424"/>
      <c r="T371" s="1763"/>
      <c r="U371" s="1766"/>
      <c r="V371" s="1766"/>
      <c r="W371" s="1487"/>
      <c r="X371" s="1424">
        <v>0</v>
      </c>
      <c r="Y371" s="1485">
        <f>+X371+Y328+Y329</f>
        <v>0</v>
      </c>
      <c r="Z371" s="1486">
        <f>+Y371+Z328+Z329</f>
        <v>0</v>
      </c>
      <c r="AA371" s="1486">
        <f>+Z371+AA328+AA329</f>
        <v>0</v>
      </c>
      <c r="AB371" s="1487">
        <f>AC371</f>
        <v>1087</v>
      </c>
      <c r="AC371" s="1530">
        <v>1087</v>
      </c>
      <c r="AD371" s="1485">
        <f>+AC371+AD328+AD329</f>
        <v>1087</v>
      </c>
      <c r="AE371" s="1766">
        <v>1083</v>
      </c>
      <c r="AF371" s="1766">
        <v>1076</v>
      </c>
      <c r="AG371" s="1487">
        <f>AH371</f>
        <v>1075</v>
      </c>
      <c r="AH371" s="1530">
        <v>1075</v>
      </c>
      <c r="AI371" s="1763">
        <v>1006</v>
      </c>
      <c r="AJ371" s="1766">
        <v>920</v>
      </c>
      <c r="AK371" s="1766">
        <v>824</v>
      </c>
      <c r="AL371" s="1487">
        <f>AM371</f>
        <v>743.3</v>
      </c>
      <c r="AM371" s="1530">
        <v>743.3</v>
      </c>
      <c r="AN371" s="1763">
        <v>739.2</v>
      </c>
      <c r="AO371" s="1766">
        <v>704</v>
      </c>
      <c r="AP371" s="1766">
        <f>537.4+231</f>
        <v>768.4</v>
      </c>
      <c r="AQ371" s="1487">
        <f>AR371</f>
        <v>768.19999999999993</v>
      </c>
      <c r="AR371" s="1530">
        <f>532.3+235.9</f>
        <v>768.19999999999993</v>
      </c>
      <c r="AS371" s="1763">
        <f>32.3+3.5</f>
        <v>35.799999999999997</v>
      </c>
      <c r="AT371" s="1766">
        <f>+AS371+AT352+AT353</f>
        <v>35.799999999999997</v>
      </c>
      <c r="AU371" s="1766">
        <f>+AT371+AU352+AU353</f>
        <v>35.799999999999997</v>
      </c>
      <c r="AV371" s="1487">
        <f>AW371</f>
        <v>31.9</v>
      </c>
      <c r="AW371" s="1530">
        <v>31.9</v>
      </c>
      <c r="AX371" s="1485">
        <f>+AW371+AX352+AX353</f>
        <v>31.9</v>
      </c>
      <c r="AY371" s="1486">
        <f>+AX371+AY352+AY353</f>
        <v>31.9</v>
      </c>
      <c r="AZ371" s="1486">
        <f>+AY371+AZ352+AZ353</f>
        <v>181.9</v>
      </c>
      <c r="BA371" s="1487">
        <f>+AZ371+BA352+BA353</f>
        <v>56.900000000000006</v>
      </c>
      <c r="BB371" s="1382">
        <f>+BA371</f>
        <v>56.900000000000006</v>
      </c>
      <c r="BC371" s="1485">
        <f>+BB371+BC352+BC353</f>
        <v>56.900000000000006</v>
      </c>
      <c r="BD371" s="1486">
        <f>+BC371+BD352+BD353</f>
        <v>56.900000000000006</v>
      </c>
      <c r="BE371" s="1486">
        <f>+BD371+BE352+BE353</f>
        <v>231.9</v>
      </c>
      <c r="BF371" s="1487">
        <f>+BE371+BF352+BF353</f>
        <v>231.9</v>
      </c>
      <c r="BG371" s="1382">
        <f>+BF371</f>
        <v>231.9</v>
      </c>
      <c r="BH371" s="1485">
        <f>+BG371+BH352+BH353</f>
        <v>231.9</v>
      </c>
      <c r="BI371" s="1486">
        <f>+BH371+BI352+BI353</f>
        <v>231.9</v>
      </c>
      <c r="BJ371" s="1486">
        <f>+BI371+BJ352+BJ353</f>
        <v>406.9</v>
      </c>
      <c r="BK371" s="1487">
        <f>+BJ371+BK352+BK353</f>
        <v>406.9</v>
      </c>
      <c r="BL371" s="1382">
        <f>+BK371</f>
        <v>406.9</v>
      </c>
      <c r="BM371" s="1485">
        <f>+BL371+BM352+BM353</f>
        <v>406.9</v>
      </c>
      <c r="BN371" s="1486">
        <f>+BM371+BN352+BN353</f>
        <v>406.9</v>
      </c>
      <c r="BO371" s="1486">
        <f>+BN371+BO352+BO353</f>
        <v>581.9</v>
      </c>
      <c r="BP371" s="1487">
        <f>+BO371+BP352+BP353</f>
        <v>581.9</v>
      </c>
      <c r="BQ371" s="1382">
        <f>+BP371</f>
        <v>581.9</v>
      </c>
      <c r="BR371" s="1519"/>
      <c r="BS371" s="1519"/>
      <c r="BT371" s="1519"/>
      <c r="BU371" s="1519"/>
      <c r="BV371" s="1519"/>
      <c r="BW371" s="1519"/>
      <c r="BX371" s="1519"/>
      <c r="BY371" s="1519"/>
      <c r="BZ371" s="1519"/>
      <c r="CA371" s="1519"/>
      <c r="CB371" s="1519"/>
      <c r="CC371" s="1519"/>
      <c r="CD371" s="1519"/>
      <c r="CE371" s="1519"/>
      <c r="CF371" s="1519"/>
      <c r="CG371" s="1519"/>
      <c r="CH371" s="1519"/>
      <c r="CI371" s="1519"/>
      <c r="CJ371" s="1519"/>
      <c r="CK371" s="1519"/>
      <c r="CL371" s="1519"/>
      <c r="CM371" s="1519"/>
      <c r="CN371" s="1519"/>
      <c r="CO371" s="1519"/>
      <c r="CP371" s="1519"/>
      <c r="CQ371" s="1519"/>
      <c r="CR371" s="1519"/>
      <c r="CS371" s="1519"/>
      <c r="CT371" s="1519"/>
      <c r="CU371" s="1519"/>
      <c r="CV371" s="1519"/>
      <c r="CW371" s="1519"/>
      <c r="CX371" s="1519"/>
      <c r="CY371" s="1519"/>
      <c r="CZ371" s="1519"/>
    </row>
    <row r="372" spans="1:104">
      <c r="A372" s="1519"/>
      <c r="B372" s="1519"/>
      <c r="C372" s="1758" t="s">
        <v>866</v>
      </c>
      <c r="D372" s="1382"/>
      <c r="E372" s="1548"/>
      <c r="F372" s="1549"/>
      <c r="G372" s="1549"/>
      <c r="H372" s="1518"/>
      <c r="I372" s="1425"/>
      <c r="J372" s="1548"/>
      <c r="K372" s="1549"/>
      <c r="L372" s="1549"/>
      <c r="M372" s="1518"/>
      <c r="N372" s="1425"/>
      <c r="O372" s="1548"/>
      <c r="P372" s="1549"/>
      <c r="Q372" s="1549"/>
      <c r="R372" s="1518"/>
      <c r="S372" s="1425"/>
      <c r="T372" s="1548"/>
      <c r="U372" s="1549"/>
      <c r="V372" s="1549"/>
      <c r="W372" s="1518"/>
      <c r="X372" s="1425">
        <f t="shared" ref="X372:AM372" si="198">SUM(X370:X371)</f>
        <v>0</v>
      </c>
      <c r="Y372" s="1548">
        <f t="shared" si="198"/>
        <v>0</v>
      </c>
      <c r="Z372" s="1549">
        <f t="shared" si="198"/>
        <v>0</v>
      </c>
      <c r="AA372" s="1549">
        <f t="shared" si="198"/>
        <v>0</v>
      </c>
      <c r="AB372" s="1518">
        <f t="shared" si="198"/>
        <v>1087</v>
      </c>
      <c r="AC372" s="1425">
        <f t="shared" si="198"/>
        <v>1087</v>
      </c>
      <c r="AD372" s="1548">
        <f t="shared" si="198"/>
        <v>1087</v>
      </c>
      <c r="AE372" s="1549">
        <f t="shared" si="198"/>
        <v>1083</v>
      </c>
      <c r="AF372" s="1549">
        <f t="shared" si="198"/>
        <v>1076</v>
      </c>
      <c r="AG372" s="1518">
        <f t="shared" si="198"/>
        <v>1075</v>
      </c>
      <c r="AH372" s="1425">
        <f t="shared" si="198"/>
        <v>1075</v>
      </c>
      <c r="AI372" s="1548">
        <f t="shared" si="198"/>
        <v>1006</v>
      </c>
      <c r="AJ372" s="1549">
        <f t="shared" si="198"/>
        <v>920</v>
      </c>
      <c r="AK372" s="1549">
        <f t="shared" si="198"/>
        <v>824</v>
      </c>
      <c r="AL372" s="1518">
        <f t="shared" si="198"/>
        <v>743.3</v>
      </c>
      <c r="AM372" s="1425">
        <f t="shared" si="198"/>
        <v>743.3</v>
      </c>
      <c r="AN372" s="1548">
        <f>SUM(AN370:AN371)</f>
        <v>739.2</v>
      </c>
      <c r="AO372" s="1549">
        <f>SUM(AO370:AO371)</f>
        <v>704</v>
      </c>
      <c r="AP372" s="1549">
        <f t="shared" ref="AP372:BL372" si="199">SUM(AP370:AP371)</f>
        <v>768.4</v>
      </c>
      <c r="AQ372" s="1518">
        <f t="shared" si="199"/>
        <v>768.19999999999993</v>
      </c>
      <c r="AR372" s="1425">
        <f t="shared" si="199"/>
        <v>768.19999999999993</v>
      </c>
      <c r="AS372" s="1548">
        <f>SUM(AS370:AS371)</f>
        <v>35.799999999999997</v>
      </c>
      <c r="AT372" s="1549">
        <f t="shared" si="199"/>
        <v>35.799999999999997</v>
      </c>
      <c r="AU372" s="1549">
        <f>SUM(AU370:AU371)</f>
        <v>35.799999999999997</v>
      </c>
      <c r="AV372" s="1518">
        <f t="shared" ref="AV372:AW372" si="200">SUM(AV370:AV371)</f>
        <v>31.9</v>
      </c>
      <c r="AW372" s="1425">
        <f t="shared" si="200"/>
        <v>31.9</v>
      </c>
      <c r="AX372" s="1548">
        <f t="shared" si="199"/>
        <v>68.959181096799881</v>
      </c>
      <c r="AY372" s="1549">
        <f t="shared" si="199"/>
        <v>102.51114973929896</v>
      </c>
      <c r="AZ372" s="1549">
        <f t="shared" si="199"/>
        <v>181.9</v>
      </c>
      <c r="BA372" s="1518">
        <f t="shared" si="199"/>
        <v>138.15690784438021</v>
      </c>
      <c r="BB372" s="1425">
        <f t="shared" si="199"/>
        <v>138.15690784438021</v>
      </c>
      <c r="BC372" s="1548">
        <f t="shared" si="199"/>
        <v>153.69106399205046</v>
      </c>
      <c r="BD372" s="1549">
        <f t="shared" si="199"/>
        <v>184.18203624094355</v>
      </c>
      <c r="BE372" s="1549">
        <f t="shared" si="199"/>
        <v>231.9</v>
      </c>
      <c r="BF372" s="1518">
        <f t="shared" si="199"/>
        <v>231.9</v>
      </c>
      <c r="BG372" s="1425">
        <f t="shared" si="199"/>
        <v>231.9</v>
      </c>
      <c r="BH372" s="1548">
        <f t="shared" si="199"/>
        <v>268.0811268419526</v>
      </c>
      <c r="BI372" s="1549">
        <f t="shared" si="199"/>
        <v>325.94730454369056</v>
      </c>
      <c r="BJ372" s="1549">
        <f t="shared" si="199"/>
        <v>406.9</v>
      </c>
      <c r="BK372" s="1518">
        <f t="shared" si="199"/>
        <v>406.9</v>
      </c>
      <c r="BL372" s="1425">
        <f t="shared" si="199"/>
        <v>406.9</v>
      </c>
      <c r="BM372" s="1548">
        <f>SUM(BM370:BM371)</f>
        <v>439.23900520256967</v>
      </c>
      <c r="BN372" s="1549">
        <f>SUM(BN370:BN371)</f>
        <v>471.50202551020175</v>
      </c>
      <c r="BO372" s="1549">
        <f>SUM(BO370:BO371)</f>
        <v>581.9</v>
      </c>
      <c r="BP372" s="1518">
        <f>SUM(BP370:BP371)</f>
        <v>581.9</v>
      </c>
      <c r="BQ372" s="1425">
        <f>SUM(BQ370:BQ371)</f>
        <v>581.9</v>
      </c>
      <c r="BR372" s="1519"/>
      <c r="BS372" s="1519"/>
      <c r="BT372" s="1519"/>
      <c r="BU372" s="1519"/>
      <c r="BV372" s="1519"/>
      <c r="BW372" s="1519"/>
      <c r="BX372" s="1519"/>
      <c r="BY372" s="1519"/>
      <c r="BZ372" s="1519"/>
      <c r="CA372" s="1519"/>
      <c r="CB372" s="1519"/>
      <c r="CC372" s="1519"/>
      <c r="CD372" s="1519"/>
      <c r="CE372" s="1519"/>
      <c r="CF372" s="1519"/>
      <c r="CG372" s="1519"/>
      <c r="CH372" s="1519"/>
      <c r="CI372" s="1519"/>
      <c r="CJ372" s="1519"/>
      <c r="CK372" s="1519"/>
      <c r="CL372" s="1519"/>
      <c r="CM372" s="1519"/>
      <c r="CN372" s="1519"/>
      <c r="CO372" s="1519"/>
      <c r="CP372" s="1519"/>
      <c r="CQ372" s="1519"/>
      <c r="CR372" s="1519"/>
      <c r="CS372" s="1519"/>
      <c r="CT372" s="1519"/>
      <c r="CU372" s="1519"/>
      <c r="CV372" s="1519"/>
      <c r="CW372" s="1519"/>
      <c r="CX372" s="1519"/>
      <c r="CY372" s="1519"/>
      <c r="CZ372" s="1519"/>
    </row>
    <row r="373" spans="1:104">
      <c r="A373" s="1730"/>
      <c r="B373" s="1730"/>
      <c r="C373" s="1775" t="s">
        <v>185</v>
      </c>
      <c r="D373" s="1730"/>
      <c r="E373" s="1735"/>
      <c r="F373" s="1736"/>
      <c r="G373" s="1736"/>
      <c r="H373" s="1520"/>
      <c r="I373" s="1521"/>
      <c r="J373" s="1735"/>
      <c r="K373" s="1736"/>
      <c r="L373" s="1736"/>
      <c r="M373" s="1520"/>
      <c r="N373" s="1521"/>
      <c r="O373" s="1735"/>
      <c r="P373" s="1736"/>
      <c r="Q373" s="1736"/>
      <c r="R373" s="1520"/>
      <c r="S373" s="1521"/>
      <c r="T373" s="1735"/>
      <c r="U373" s="1736"/>
      <c r="V373" s="1736"/>
      <c r="W373" s="1520"/>
      <c r="X373" s="1521"/>
      <c r="Y373" s="1735">
        <f t="shared" ref="Y373:AM373" si="201">+Y372/Y381</f>
        <v>0</v>
      </c>
      <c r="Z373" s="1736">
        <f t="shared" si="201"/>
        <v>0</v>
      </c>
      <c r="AA373" s="1736">
        <f t="shared" si="201"/>
        <v>0</v>
      </c>
      <c r="AB373" s="1520">
        <f t="shared" si="201"/>
        <v>0.8266159695817491</v>
      </c>
      <c r="AC373" s="1521">
        <f t="shared" si="201"/>
        <v>0.8266159695817491</v>
      </c>
      <c r="AD373" s="1735">
        <f t="shared" si="201"/>
        <v>0.73545331529093372</v>
      </c>
      <c r="AE373" s="1736">
        <f t="shared" si="201"/>
        <v>0.68893129770992367</v>
      </c>
      <c r="AF373" s="1736">
        <f t="shared" si="201"/>
        <v>0.63971462544589774</v>
      </c>
      <c r="AG373" s="1520">
        <f t="shared" si="201"/>
        <v>0.64371257485029942</v>
      </c>
      <c r="AH373" s="1521">
        <f t="shared" si="201"/>
        <v>0.64371257485029942</v>
      </c>
      <c r="AI373" s="1735">
        <f t="shared" si="201"/>
        <v>0.56263982102908272</v>
      </c>
      <c r="AJ373" s="1736">
        <f t="shared" si="201"/>
        <v>0.51569506726457404</v>
      </c>
      <c r="AK373" s="1736">
        <f t="shared" si="201"/>
        <v>0.46318156267566046</v>
      </c>
      <c r="AL373" s="1520">
        <f t="shared" si="201"/>
        <v>0.43613213636096948</v>
      </c>
      <c r="AM373" s="1521">
        <f t="shared" si="201"/>
        <v>0.43613213636096948</v>
      </c>
      <c r="AN373" s="1735">
        <f>+AN372/AN381</f>
        <v>0.41741487379298681</v>
      </c>
      <c r="AO373" s="1736">
        <f>+AO372/AO381</f>
        <v>0.39430939845412805</v>
      </c>
      <c r="AP373" s="1736">
        <f t="shared" ref="AP373:BL373" si="202">+AP372/AP381</f>
        <v>1.5988347898460271</v>
      </c>
      <c r="AQ373" s="1520">
        <f t="shared" si="202"/>
        <v>1.4461596385542181</v>
      </c>
      <c r="AR373" s="1521">
        <f t="shared" si="202"/>
        <v>1.4461596385542181</v>
      </c>
      <c r="AS373" s="1735">
        <f>+AS372/AS381</f>
        <v>-2.3866666666665917</v>
      </c>
      <c r="AT373" s="1736">
        <f t="shared" si="202"/>
        <v>3.1403508771930921</v>
      </c>
      <c r="AU373" s="1736">
        <f>+AU372/AU381</f>
        <v>0.79379157427938607</v>
      </c>
      <c r="AV373" s="1520">
        <f t="shared" ref="AV373:AW373" si="203">+AV372/AV381</f>
        <v>-0.81585677749359187</v>
      </c>
      <c r="AW373" s="1521">
        <f t="shared" si="203"/>
        <v>-0.81585677749359187</v>
      </c>
      <c r="AX373" s="1735">
        <f t="shared" si="202"/>
        <v>1.4402803128052151</v>
      </c>
      <c r="AY373" s="1736">
        <f t="shared" si="202"/>
        <v>0.76600680896744333</v>
      </c>
      <c r="AZ373" s="1736">
        <f t="shared" si="202"/>
        <v>0.64232708616857881</v>
      </c>
      <c r="BA373" s="1520">
        <f t="shared" si="202"/>
        <v>0.456473404580859</v>
      </c>
      <c r="BB373" s="1521">
        <f t="shared" si="202"/>
        <v>0.456473404580859</v>
      </c>
      <c r="BC373" s="1735">
        <f t="shared" si="202"/>
        <v>0.40499423261255479</v>
      </c>
      <c r="BD373" s="1736">
        <f t="shared" si="202"/>
        <v>0.40439774584970645</v>
      </c>
      <c r="BE373" s="1736">
        <f t="shared" si="202"/>
        <v>0.41508901806099502</v>
      </c>
      <c r="BF373" s="1520">
        <f t="shared" si="202"/>
        <v>0.37653513165637353</v>
      </c>
      <c r="BG373" s="1521">
        <f t="shared" si="202"/>
        <v>0.37653513165637353</v>
      </c>
      <c r="BH373" s="1735">
        <f t="shared" si="202"/>
        <v>0.39391770919024105</v>
      </c>
      <c r="BI373" s="1736">
        <f t="shared" si="202"/>
        <v>0.43144553254301393</v>
      </c>
      <c r="BJ373" s="1736">
        <f t="shared" si="202"/>
        <v>0.46429628024790182</v>
      </c>
      <c r="BK373" s="1520">
        <f t="shared" si="202"/>
        <v>0.44962680769392382</v>
      </c>
      <c r="BL373" s="1521">
        <f t="shared" si="202"/>
        <v>0.44962680769392382</v>
      </c>
      <c r="BM373" s="1735">
        <f>+BM372/BM381</f>
        <v>0.48458731028397684</v>
      </c>
      <c r="BN373" s="1736">
        <f>+BN372/BN381</f>
        <v>0.51815534290902066</v>
      </c>
      <c r="BO373" s="1736">
        <f>+BO372/BO381</f>
        <v>0.58237081761005316</v>
      </c>
      <c r="BP373" s="1520">
        <f>+BP372/BP381</f>
        <v>0.5976482556647067</v>
      </c>
      <c r="BQ373" s="1521">
        <f>+BQ372/BQ381</f>
        <v>0.5976482556647067</v>
      </c>
      <c r="BR373" s="1730"/>
      <c r="BS373" s="1730"/>
      <c r="BT373" s="1730"/>
      <c r="BU373" s="1730"/>
      <c r="BV373" s="1730"/>
      <c r="BW373" s="1730"/>
      <c r="BX373" s="1730"/>
      <c r="BY373" s="1730"/>
      <c r="BZ373" s="1730"/>
      <c r="CA373" s="1730"/>
      <c r="CB373" s="1730"/>
      <c r="CC373" s="1730"/>
      <c r="CD373" s="1730"/>
      <c r="CE373" s="1730"/>
      <c r="CF373" s="1730"/>
      <c r="CG373" s="1730"/>
      <c r="CH373" s="1730"/>
      <c r="CI373" s="1730"/>
      <c r="CJ373" s="1730"/>
      <c r="CK373" s="1730"/>
      <c r="CL373" s="1730"/>
      <c r="CM373" s="1730"/>
      <c r="CN373" s="1730"/>
      <c r="CO373" s="1730"/>
      <c r="CP373" s="1730"/>
      <c r="CQ373" s="1730"/>
      <c r="CR373" s="1730"/>
      <c r="CS373" s="1730"/>
      <c r="CT373" s="1730"/>
      <c r="CU373" s="1730"/>
      <c r="CV373" s="1730"/>
      <c r="CW373" s="1730"/>
      <c r="CX373" s="1730"/>
      <c r="CY373" s="1730"/>
      <c r="CZ373" s="1730"/>
    </row>
    <row r="374" spans="1:104">
      <c r="A374" s="1523"/>
      <c r="B374" s="1523"/>
      <c r="C374" s="1776"/>
      <c r="D374" s="1523"/>
      <c r="E374" s="1747"/>
      <c r="F374" s="1748"/>
      <c r="G374" s="1748"/>
      <c r="H374" s="1522"/>
      <c r="I374" s="1523"/>
      <c r="J374" s="1747"/>
      <c r="K374" s="1748"/>
      <c r="L374" s="1748"/>
      <c r="M374" s="1522"/>
      <c r="N374" s="1523"/>
      <c r="O374" s="1747"/>
      <c r="P374" s="1748"/>
      <c r="Q374" s="1748"/>
      <c r="R374" s="1522"/>
      <c r="S374" s="1523"/>
      <c r="T374" s="1747"/>
      <c r="U374" s="1748"/>
      <c r="V374" s="1748"/>
      <c r="W374" s="1522"/>
      <c r="X374" s="1523"/>
      <c r="Y374" s="1747"/>
      <c r="Z374" s="1748"/>
      <c r="AA374" s="1748"/>
      <c r="AB374" s="1522"/>
      <c r="AC374" s="1523"/>
      <c r="AD374" s="1747"/>
      <c r="AE374" s="1748"/>
      <c r="AF374" s="1748"/>
      <c r="AG374" s="1522"/>
      <c r="AH374" s="1523"/>
      <c r="AI374" s="1747"/>
      <c r="AJ374" s="1748"/>
      <c r="AK374" s="1748"/>
      <c r="AL374" s="1522"/>
      <c r="AM374" s="1523"/>
      <c r="AN374" s="1747"/>
      <c r="AO374" s="1748"/>
      <c r="AP374" s="1748"/>
      <c r="AQ374" s="1522"/>
      <c r="AR374" s="1523"/>
      <c r="AS374" s="1747"/>
      <c r="AT374" s="1748"/>
      <c r="AU374" s="1748"/>
      <c r="AV374" s="1522"/>
      <c r="AW374" s="1523"/>
      <c r="AX374" s="1747"/>
      <c r="AY374" s="1748"/>
      <c r="AZ374" s="1748"/>
      <c r="BA374" s="1522"/>
      <c r="BB374" s="1523"/>
      <c r="BC374" s="1747"/>
      <c r="BD374" s="1748"/>
      <c r="BE374" s="1748"/>
      <c r="BF374" s="1522"/>
      <c r="BG374" s="1523"/>
      <c r="BH374" s="1747"/>
      <c r="BI374" s="1748"/>
      <c r="BJ374" s="1748"/>
      <c r="BK374" s="1522"/>
      <c r="BL374" s="1523"/>
      <c r="BM374" s="1747"/>
      <c r="BN374" s="1748"/>
      <c r="BO374" s="1748"/>
      <c r="BP374" s="1522"/>
      <c r="BQ374" s="1523"/>
      <c r="BR374" s="1523"/>
      <c r="BS374" s="1523"/>
      <c r="BT374" s="1523"/>
      <c r="BU374" s="1523"/>
      <c r="BV374" s="1523"/>
      <c r="BW374" s="1523"/>
      <c r="BX374" s="1523"/>
      <c r="BY374" s="1523"/>
      <c r="BZ374" s="1523"/>
      <c r="CA374" s="1523"/>
      <c r="CB374" s="1523"/>
      <c r="CC374" s="1523"/>
      <c r="CD374" s="1523"/>
      <c r="CE374" s="1523"/>
      <c r="CF374" s="1523"/>
      <c r="CG374" s="1523"/>
      <c r="CH374" s="1523"/>
      <c r="CI374" s="1523"/>
      <c r="CJ374" s="1523"/>
      <c r="CK374" s="1523"/>
      <c r="CL374" s="1523"/>
      <c r="CM374" s="1523"/>
      <c r="CN374" s="1523"/>
      <c r="CO374" s="1523"/>
      <c r="CP374" s="1523"/>
      <c r="CQ374" s="1523"/>
      <c r="CR374" s="1523"/>
      <c r="CS374" s="1523"/>
      <c r="CT374" s="1523"/>
      <c r="CU374" s="1523"/>
      <c r="CV374" s="1523"/>
      <c r="CW374" s="1523"/>
      <c r="CX374" s="1523"/>
      <c r="CY374" s="1523"/>
      <c r="CZ374" s="1523"/>
    </row>
    <row r="375" spans="1:104">
      <c r="A375" s="1519"/>
      <c r="B375" s="1519"/>
      <c r="C375" s="1758" t="s">
        <v>186</v>
      </c>
      <c r="D375" s="1382"/>
      <c r="E375" s="1553"/>
      <c r="F375" s="1741"/>
      <c r="G375" s="1741"/>
      <c r="H375" s="1487"/>
      <c r="I375" s="1742"/>
      <c r="J375" s="1553"/>
      <c r="K375" s="1741"/>
      <c r="L375" s="1741"/>
      <c r="M375" s="1487"/>
      <c r="N375" s="1742"/>
      <c r="O375" s="1553"/>
      <c r="P375" s="1741"/>
      <c r="Q375" s="1741"/>
      <c r="R375" s="1487"/>
      <c r="S375" s="1742"/>
      <c r="T375" s="1553"/>
      <c r="U375" s="1741"/>
      <c r="V375" s="1549"/>
      <c r="W375" s="1487"/>
      <c r="X375" s="1742">
        <v>0</v>
      </c>
      <c r="Y375" s="1553">
        <v>0</v>
      </c>
      <c r="Z375" s="1741">
        <v>0</v>
      </c>
      <c r="AA375" s="1741">
        <v>0</v>
      </c>
      <c r="AB375" s="1518">
        <f>AC375</f>
        <v>0</v>
      </c>
      <c r="AC375" s="1742">
        <v>0</v>
      </c>
      <c r="AD375" s="1553">
        <v>0</v>
      </c>
      <c r="AE375" s="1741">
        <v>0</v>
      </c>
      <c r="AF375" s="1741">
        <v>0</v>
      </c>
      <c r="AG375" s="1518">
        <f>AH375</f>
        <v>0</v>
      </c>
      <c r="AH375" s="1742">
        <v>0</v>
      </c>
      <c r="AI375" s="1553">
        <v>0</v>
      </c>
      <c r="AJ375" s="1741">
        <v>0</v>
      </c>
      <c r="AK375" s="1741">
        <v>0</v>
      </c>
      <c r="AL375" s="1518">
        <f>AM375</f>
        <v>0</v>
      </c>
      <c r="AM375" s="1742">
        <v>0</v>
      </c>
      <c r="AN375" s="1553">
        <v>0</v>
      </c>
      <c r="AO375" s="1741">
        <v>0</v>
      </c>
      <c r="AP375" s="1741">
        <v>0</v>
      </c>
      <c r="AQ375" s="1518">
        <f>AR375</f>
        <v>0</v>
      </c>
      <c r="AR375" s="1742">
        <v>0</v>
      </c>
      <c r="AS375" s="1553">
        <v>0</v>
      </c>
      <c r="AT375" s="1741">
        <v>0</v>
      </c>
      <c r="AU375" s="1741">
        <v>0</v>
      </c>
      <c r="AV375" s="1518">
        <f>AW375</f>
        <v>0</v>
      </c>
      <c r="AW375" s="1742">
        <v>0</v>
      </c>
      <c r="AX375" s="1548">
        <f t="shared" ref="AX375:BL375" si="204">+AW375</f>
        <v>0</v>
      </c>
      <c r="AY375" s="1549">
        <f t="shared" si="204"/>
        <v>0</v>
      </c>
      <c r="AZ375" s="1549">
        <f t="shared" si="204"/>
        <v>0</v>
      </c>
      <c r="BA375" s="1518">
        <f t="shared" si="204"/>
        <v>0</v>
      </c>
      <c r="BB375" s="1425">
        <f t="shared" si="204"/>
        <v>0</v>
      </c>
      <c r="BC375" s="1548">
        <f t="shared" si="204"/>
        <v>0</v>
      </c>
      <c r="BD375" s="1549">
        <f t="shared" si="204"/>
        <v>0</v>
      </c>
      <c r="BE375" s="1549">
        <f t="shared" si="204"/>
        <v>0</v>
      </c>
      <c r="BF375" s="1518">
        <f t="shared" si="204"/>
        <v>0</v>
      </c>
      <c r="BG375" s="1425">
        <f t="shared" si="204"/>
        <v>0</v>
      </c>
      <c r="BH375" s="1548">
        <f t="shared" si="204"/>
        <v>0</v>
      </c>
      <c r="BI375" s="1549">
        <f t="shared" si="204"/>
        <v>0</v>
      </c>
      <c r="BJ375" s="1549">
        <f t="shared" si="204"/>
        <v>0</v>
      </c>
      <c r="BK375" s="1518">
        <f t="shared" si="204"/>
        <v>0</v>
      </c>
      <c r="BL375" s="1425">
        <f t="shared" si="204"/>
        <v>0</v>
      </c>
      <c r="BM375" s="1548">
        <f>+BL375</f>
        <v>0</v>
      </c>
      <c r="BN375" s="1549">
        <f>+BM375</f>
        <v>0</v>
      </c>
      <c r="BO375" s="1549">
        <f>+BN375</f>
        <v>0</v>
      </c>
      <c r="BP375" s="1518">
        <f>+BO375</f>
        <v>0</v>
      </c>
      <c r="BQ375" s="1425">
        <f>+BP375</f>
        <v>0</v>
      </c>
      <c r="BR375" s="1519"/>
      <c r="BS375" s="1519"/>
      <c r="BT375" s="1519"/>
      <c r="BU375" s="1519"/>
      <c r="BV375" s="1519"/>
      <c r="BW375" s="1519"/>
      <c r="BX375" s="1519"/>
      <c r="BY375" s="1519"/>
      <c r="BZ375" s="1519"/>
      <c r="CA375" s="1519"/>
      <c r="CB375" s="1519"/>
      <c r="CC375" s="1519"/>
      <c r="CD375" s="1519"/>
      <c r="CE375" s="1519"/>
      <c r="CF375" s="1519"/>
      <c r="CG375" s="1519"/>
      <c r="CH375" s="1519"/>
      <c r="CI375" s="1519"/>
      <c r="CJ375" s="1519"/>
      <c r="CK375" s="1519"/>
      <c r="CL375" s="1519"/>
      <c r="CM375" s="1519"/>
      <c r="CN375" s="1519"/>
      <c r="CO375" s="1519"/>
      <c r="CP375" s="1519"/>
      <c r="CQ375" s="1519"/>
      <c r="CR375" s="1519"/>
      <c r="CS375" s="1519"/>
      <c r="CT375" s="1519"/>
      <c r="CU375" s="1519"/>
      <c r="CV375" s="1519"/>
      <c r="CW375" s="1519"/>
      <c r="CX375" s="1519"/>
      <c r="CY375" s="1519"/>
      <c r="CZ375" s="1519"/>
    </row>
    <row r="376" spans="1:104">
      <c r="A376" s="1730"/>
      <c r="B376" s="1730"/>
      <c r="C376" s="1775" t="s">
        <v>185</v>
      </c>
      <c r="D376" s="1730"/>
      <c r="E376" s="1735"/>
      <c r="F376" s="1736"/>
      <c r="G376" s="1736"/>
      <c r="H376" s="1520"/>
      <c r="I376" s="1521"/>
      <c r="J376" s="1735"/>
      <c r="K376" s="1736"/>
      <c r="L376" s="1736"/>
      <c r="M376" s="1520"/>
      <c r="N376" s="1521"/>
      <c r="O376" s="1735"/>
      <c r="P376" s="1736"/>
      <c r="Q376" s="1736"/>
      <c r="R376" s="1520"/>
      <c r="S376" s="1521"/>
      <c r="T376" s="1735"/>
      <c r="U376" s="1736"/>
      <c r="V376" s="1736"/>
      <c r="W376" s="1520"/>
      <c r="X376" s="1521"/>
      <c r="Y376" s="1735">
        <f t="shared" ref="Y376:AM376" si="205">+Y375/Y381</f>
        <v>0</v>
      </c>
      <c r="Z376" s="1736">
        <f t="shared" si="205"/>
        <v>0</v>
      </c>
      <c r="AA376" s="1736">
        <f t="shared" si="205"/>
        <v>0</v>
      </c>
      <c r="AB376" s="1520">
        <f t="shared" si="205"/>
        <v>0</v>
      </c>
      <c r="AC376" s="1521">
        <f t="shared" si="205"/>
        <v>0</v>
      </c>
      <c r="AD376" s="1735">
        <f t="shared" si="205"/>
        <v>0</v>
      </c>
      <c r="AE376" s="1736">
        <f t="shared" si="205"/>
        <v>0</v>
      </c>
      <c r="AF376" s="1736">
        <f t="shared" si="205"/>
        <v>0</v>
      </c>
      <c r="AG376" s="1520">
        <f t="shared" si="205"/>
        <v>0</v>
      </c>
      <c r="AH376" s="1521">
        <f t="shared" si="205"/>
        <v>0</v>
      </c>
      <c r="AI376" s="1735">
        <f t="shared" si="205"/>
        <v>0</v>
      </c>
      <c r="AJ376" s="1736">
        <f t="shared" si="205"/>
        <v>0</v>
      </c>
      <c r="AK376" s="1736">
        <f t="shared" si="205"/>
        <v>0</v>
      </c>
      <c r="AL376" s="1520">
        <f t="shared" si="205"/>
        <v>0</v>
      </c>
      <c r="AM376" s="1521">
        <f t="shared" si="205"/>
        <v>0</v>
      </c>
      <c r="AN376" s="1735">
        <f>+AN375/AN381</f>
        <v>0</v>
      </c>
      <c r="AO376" s="1736">
        <f>+AO375/AO381</f>
        <v>0</v>
      </c>
      <c r="AP376" s="1736">
        <f t="shared" ref="AP376:BL376" si="206">+AP375/AP381</f>
        <v>0</v>
      </c>
      <c r="AQ376" s="1520">
        <f t="shared" si="206"/>
        <v>0</v>
      </c>
      <c r="AR376" s="1521">
        <f t="shared" si="206"/>
        <v>0</v>
      </c>
      <c r="AS376" s="1735">
        <f>+AS375/AS381</f>
        <v>0</v>
      </c>
      <c r="AT376" s="1736">
        <f t="shared" si="206"/>
        <v>0</v>
      </c>
      <c r="AU376" s="1736">
        <f t="shared" si="206"/>
        <v>0</v>
      </c>
      <c r="AV376" s="1520">
        <f t="shared" ref="AV376:AW376" si="207">+AV375/AV381</f>
        <v>0</v>
      </c>
      <c r="AW376" s="1521">
        <f t="shared" si="207"/>
        <v>0</v>
      </c>
      <c r="AX376" s="1735">
        <f t="shared" si="206"/>
        <v>0</v>
      </c>
      <c r="AY376" s="1736">
        <f t="shared" si="206"/>
        <v>0</v>
      </c>
      <c r="AZ376" s="1736">
        <f t="shared" si="206"/>
        <v>0</v>
      </c>
      <c r="BA376" s="1520">
        <f t="shared" si="206"/>
        <v>0</v>
      </c>
      <c r="BB376" s="1521">
        <f t="shared" si="206"/>
        <v>0</v>
      </c>
      <c r="BC376" s="1735">
        <f t="shared" si="206"/>
        <v>0</v>
      </c>
      <c r="BD376" s="1736">
        <f t="shared" si="206"/>
        <v>0</v>
      </c>
      <c r="BE376" s="1736">
        <f t="shared" si="206"/>
        <v>0</v>
      </c>
      <c r="BF376" s="1520">
        <f t="shared" si="206"/>
        <v>0</v>
      </c>
      <c r="BG376" s="1521">
        <f t="shared" si="206"/>
        <v>0</v>
      </c>
      <c r="BH376" s="1735">
        <f t="shared" si="206"/>
        <v>0</v>
      </c>
      <c r="BI376" s="1736">
        <f t="shared" si="206"/>
        <v>0</v>
      </c>
      <c r="BJ376" s="1736">
        <f t="shared" si="206"/>
        <v>0</v>
      </c>
      <c r="BK376" s="1520">
        <f t="shared" si="206"/>
        <v>0</v>
      </c>
      <c r="BL376" s="1521">
        <f t="shared" si="206"/>
        <v>0</v>
      </c>
      <c r="BM376" s="1735">
        <f>+BM375/BM381</f>
        <v>0</v>
      </c>
      <c r="BN376" s="1736">
        <f>+BN375/BN381</f>
        <v>0</v>
      </c>
      <c r="BO376" s="1736">
        <f>+BO375/BO381</f>
        <v>0</v>
      </c>
      <c r="BP376" s="1520">
        <f>+BP375/BP381</f>
        <v>0</v>
      </c>
      <c r="BQ376" s="1521">
        <f>+BQ375/BQ381</f>
        <v>0</v>
      </c>
      <c r="BR376" s="1730"/>
      <c r="BS376" s="1730"/>
      <c r="BT376" s="1730"/>
      <c r="BU376" s="1730"/>
      <c r="BV376" s="1730"/>
      <c r="BW376" s="1730"/>
      <c r="BX376" s="1730"/>
      <c r="BY376" s="1730"/>
      <c r="BZ376" s="1730"/>
      <c r="CA376" s="1730"/>
      <c r="CB376" s="1730"/>
      <c r="CC376" s="1730"/>
      <c r="CD376" s="1730"/>
      <c r="CE376" s="1730"/>
      <c r="CF376" s="1730"/>
      <c r="CG376" s="1730"/>
      <c r="CH376" s="1730"/>
      <c r="CI376" s="1730"/>
      <c r="CJ376" s="1730"/>
      <c r="CK376" s="1730"/>
      <c r="CL376" s="1730"/>
      <c r="CM376" s="1730"/>
      <c r="CN376" s="1730"/>
      <c r="CO376" s="1730"/>
      <c r="CP376" s="1730"/>
      <c r="CQ376" s="1730"/>
      <c r="CR376" s="1730"/>
      <c r="CS376" s="1730"/>
      <c r="CT376" s="1730"/>
      <c r="CU376" s="1730"/>
      <c r="CV376" s="1730"/>
      <c r="CW376" s="1730"/>
      <c r="CX376" s="1730"/>
      <c r="CY376" s="1730"/>
      <c r="CZ376" s="1730"/>
    </row>
    <row r="377" spans="1:104">
      <c r="A377" s="1468"/>
      <c r="B377" s="1468"/>
      <c r="C377" s="1759"/>
      <c r="D377" s="1468"/>
      <c r="E377" s="1469"/>
      <c r="F377" s="1470"/>
      <c r="G377" s="1470"/>
      <c r="H377" s="1471"/>
      <c r="I377" s="1472"/>
      <c r="J377" s="1469"/>
      <c r="K377" s="1470"/>
      <c r="L377" s="1470"/>
      <c r="M377" s="1471"/>
      <c r="N377" s="1472"/>
      <c r="O377" s="1469"/>
      <c r="P377" s="1470"/>
      <c r="Q377" s="1470"/>
      <c r="R377" s="1471"/>
      <c r="S377" s="1472"/>
      <c r="T377" s="1469"/>
      <c r="U377" s="1470"/>
      <c r="V377" s="1470"/>
      <c r="W377" s="1471"/>
      <c r="X377" s="1472"/>
      <c r="Y377" s="1469"/>
      <c r="Z377" s="1470"/>
      <c r="AA377" s="1470"/>
      <c r="AB377" s="1471"/>
      <c r="AC377" s="1472"/>
      <c r="AD377" s="1469"/>
      <c r="AE377" s="1470"/>
      <c r="AF377" s="1470"/>
      <c r="AG377" s="1471"/>
      <c r="AH377" s="1472"/>
      <c r="AI377" s="1469"/>
      <c r="AJ377" s="1470"/>
      <c r="AK377" s="1470"/>
      <c r="AL377" s="1471"/>
      <c r="AM377" s="1472"/>
      <c r="AN377" s="1469"/>
      <c r="AO377" s="1470"/>
      <c r="AP377" s="1470"/>
      <c r="AQ377" s="1471"/>
      <c r="AR377" s="1472"/>
      <c r="AS377" s="1469"/>
      <c r="AT377" s="1470"/>
      <c r="AU377" s="1470"/>
      <c r="AV377" s="1471"/>
      <c r="AW377" s="1472"/>
      <c r="AX377" s="1469"/>
      <c r="AY377" s="1470"/>
      <c r="AZ377" s="1470"/>
      <c r="BA377" s="1471"/>
      <c r="BB377" s="1472"/>
      <c r="BC377" s="1469"/>
      <c r="BD377" s="1470"/>
      <c r="BE377" s="1470"/>
      <c r="BF377" s="1471"/>
      <c r="BG377" s="1472"/>
      <c r="BH377" s="1469"/>
      <c r="BI377" s="1470"/>
      <c r="BJ377" s="1470"/>
      <c r="BK377" s="1471"/>
      <c r="BL377" s="1472"/>
      <c r="BM377" s="1469"/>
      <c r="BN377" s="1470"/>
      <c r="BO377" s="1470"/>
      <c r="BP377" s="1471"/>
      <c r="BQ377" s="1472"/>
      <c r="BR377" s="1468"/>
      <c r="BS377" s="1468"/>
      <c r="BT377" s="1468"/>
      <c r="BU377" s="1468"/>
      <c r="BV377" s="1468"/>
      <c r="BW377" s="1468"/>
      <c r="BX377" s="1468"/>
      <c r="BY377" s="1468"/>
      <c r="BZ377" s="1468"/>
      <c r="CA377" s="1468"/>
      <c r="CB377" s="1468"/>
      <c r="CC377" s="1468"/>
      <c r="CD377" s="1468"/>
      <c r="CE377" s="1468"/>
      <c r="CF377" s="1468"/>
      <c r="CG377" s="1468"/>
      <c r="CH377" s="1468"/>
      <c r="CI377" s="1468"/>
      <c r="CJ377" s="1468"/>
      <c r="CK377" s="1468"/>
      <c r="CL377" s="1468"/>
      <c r="CM377" s="1468"/>
      <c r="CN377" s="1468"/>
      <c r="CO377" s="1468"/>
      <c r="CP377" s="1468"/>
      <c r="CQ377" s="1468"/>
      <c r="CR377" s="1468"/>
      <c r="CS377" s="1468"/>
      <c r="CT377" s="1468"/>
      <c r="CU377" s="1468"/>
      <c r="CV377" s="1468"/>
      <c r="CW377" s="1468"/>
      <c r="CX377" s="1468"/>
      <c r="CY377" s="1468"/>
      <c r="CZ377" s="1468"/>
    </row>
    <row r="378" spans="1:104">
      <c r="A378" s="1519"/>
      <c r="B378" s="1519"/>
      <c r="C378" s="1758" t="s">
        <v>869</v>
      </c>
      <c r="D378" s="1424"/>
      <c r="E378" s="1553"/>
      <c r="F378" s="1741"/>
      <c r="G378" s="1741"/>
      <c r="H378" s="1518"/>
      <c r="I378" s="1742"/>
      <c r="J378" s="1553"/>
      <c r="K378" s="1741"/>
      <c r="L378" s="1741"/>
      <c r="M378" s="1518"/>
      <c r="N378" s="1742"/>
      <c r="O378" s="1553"/>
      <c r="P378" s="1741"/>
      <c r="Q378" s="1741"/>
      <c r="R378" s="1518"/>
      <c r="S378" s="1742"/>
      <c r="T378" s="1553"/>
      <c r="U378" s="1741"/>
      <c r="V378" s="1741"/>
      <c r="W378" s="1518"/>
      <c r="X378" s="1742">
        <v>0</v>
      </c>
      <c r="Y378" s="1548">
        <f>+X378+Y340+Y357</f>
        <v>85</v>
      </c>
      <c r="Z378" s="1549">
        <f>+Y378+Z340+Z357</f>
        <v>76</v>
      </c>
      <c r="AA378" s="1549">
        <f>+Z378+AA340+AA357</f>
        <v>188</v>
      </c>
      <c r="AB378" s="1518">
        <f>+AA378+AB340+AB357</f>
        <v>228</v>
      </c>
      <c r="AC378" s="1425">
        <f>AB378</f>
        <v>228</v>
      </c>
      <c r="AD378" s="1548">
        <f>+AC378+AD340+AD357</f>
        <v>391</v>
      </c>
      <c r="AE378" s="1549">
        <f>+AD378+AE340+AE357</f>
        <v>489</v>
      </c>
      <c r="AF378" s="1549">
        <f>+AE378+AF340+AF357</f>
        <v>606</v>
      </c>
      <c r="AG378" s="1518">
        <f>+AF378+AG340+AG357</f>
        <v>595</v>
      </c>
      <c r="AH378" s="1425">
        <f>AG378</f>
        <v>595</v>
      </c>
      <c r="AI378" s="1548">
        <f>+AH378+AI340+AI357</f>
        <v>782</v>
      </c>
      <c r="AJ378" s="1549">
        <f>+AI378+AJ340+AJ357</f>
        <v>864</v>
      </c>
      <c r="AK378" s="1549">
        <f>+AJ378+AK340+AK357</f>
        <v>955</v>
      </c>
      <c r="AL378" s="1518">
        <f>+AK378+AL340+AL356</f>
        <v>960.99999999999943</v>
      </c>
      <c r="AM378" s="1425">
        <f>+AL378</f>
        <v>960.99999999999943</v>
      </c>
      <c r="AN378" s="1548">
        <f>+AM378+AN340+AN357</f>
        <v>1031.6999999999994</v>
      </c>
      <c r="AO378" s="1549">
        <f>+AN378+AO340+AO357</f>
        <v>1081.3999999999994</v>
      </c>
      <c r="AP378" s="1549">
        <f>+AO378+AP340+AP356</f>
        <v>-287.80000000000041</v>
      </c>
      <c r="AQ378" s="1518">
        <f>+AP378+AQ340+AQ356</f>
        <v>-237.00000000000045</v>
      </c>
      <c r="AR378" s="1425">
        <f>+AQ378</f>
        <v>-237.00000000000045</v>
      </c>
      <c r="AS378" s="1548">
        <f>+AR378+AS340+AS357</f>
        <v>-50.800000000000466</v>
      </c>
      <c r="AT378" s="1549">
        <f>+AS378+AT340+AT356</f>
        <v>-24.400000000000396</v>
      </c>
      <c r="AU378" s="1549">
        <f>+AT378+AU340+AU356</f>
        <v>9.2999999999996064</v>
      </c>
      <c r="AV378" s="1518">
        <f>+AU378+AV340+AV356</f>
        <v>-71.000000000000682</v>
      </c>
      <c r="AW378" s="1425">
        <f>+AV378</f>
        <v>-71.000000000000682</v>
      </c>
      <c r="AX378" s="1548">
        <f>+AW378+AX340+AX356</f>
        <v>-21.08018109680058</v>
      </c>
      <c r="AY378" s="1549">
        <f>+AX378+AY340+AY356</f>
        <v>31.314226927367017</v>
      </c>
      <c r="AZ378" s="1549">
        <f>+AY378+AZ340+AZ356</f>
        <v>101.28905417023053</v>
      </c>
      <c r="BA378" s="1518">
        <f>+AZ378+BA340+BA356</f>
        <v>164.50455382661909</v>
      </c>
      <c r="BB378" s="1425">
        <f>+BA378</f>
        <v>164.50455382661909</v>
      </c>
      <c r="BC378" s="1548">
        <f>+BB378+BC340+BC356</f>
        <v>225.7984487365959</v>
      </c>
      <c r="BD378" s="1549">
        <f>+BC378+BD340+BD356</f>
        <v>271.26569592666948</v>
      </c>
      <c r="BE378" s="1549">
        <f>+BD378+BE340+BE356</f>
        <v>326.77534410636611</v>
      </c>
      <c r="BF378" s="1518">
        <f>+BE378+BF340+BF356</f>
        <v>383.97878660850233</v>
      </c>
      <c r="BG378" s="1425">
        <f>+BF378</f>
        <v>383.97878660850233</v>
      </c>
      <c r="BH378" s="1548">
        <f>+BG378+BH340+BH356</f>
        <v>412.46996438223971</v>
      </c>
      <c r="BI378" s="1549">
        <f>+BH378+BI340+BI356</f>
        <v>429.52999202837333</v>
      </c>
      <c r="BJ378" s="1549">
        <f>+BI378+BJ340+BJ356</f>
        <v>469.48005581854721</v>
      </c>
      <c r="BK378" s="1518">
        <f>+BJ378+BK340+BK356</f>
        <v>498.07273080076345</v>
      </c>
      <c r="BL378" s="1425">
        <f>+BK378</f>
        <v>498.07273080076345</v>
      </c>
      <c r="BM378" s="1548">
        <f>+BL378+BM340+BM356</f>
        <v>467.17970589650508</v>
      </c>
      <c r="BN378" s="1549">
        <f>+BM378+BN340+BN356</f>
        <v>438.46065645907311</v>
      </c>
      <c r="BO378" s="1549">
        <f>+BN378+BO340+BO356</f>
        <v>417.29155013298003</v>
      </c>
      <c r="BP378" s="1518">
        <f>+BO378+BP340+BP356</f>
        <v>391.74962498352579</v>
      </c>
      <c r="BQ378" s="1425">
        <f>+BP378</f>
        <v>391.74962498352579</v>
      </c>
      <c r="BR378" s="1519"/>
      <c r="BS378" s="1519"/>
      <c r="BT378" s="1519"/>
      <c r="BU378" s="1519"/>
      <c r="BV378" s="1519"/>
      <c r="BW378" s="1519"/>
      <c r="BX378" s="1519"/>
      <c r="BY378" s="1519"/>
      <c r="BZ378" s="1519"/>
      <c r="CA378" s="1519"/>
      <c r="CB378" s="1519"/>
      <c r="CC378" s="1519"/>
      <c r="CD378" s="1519"/>
      <c r="CE378" s="1519"/>
      <c r="CF378" s="1519"/>
      <c r="CG378" s="1519"/>
      <c r="CH378" s="1519"/>
      <c r="CI378" s="1519"/>
      <c r="CJ378" s="1519"/>
      <c r="CK378" s="1519"/>
      <c r="CL378" s="1519"/>
      <c r="CM378" s="1519"/>
      <c r="CN378" s="1519"/>
      <c r="CO378" s="1519"/>
      <c r="CP378" s="1519"/>
      <c r="CQ378" s="1519"/>
      <c r="CR378" s="1519"/>
      <c r="CS378" s="1519"/>
      <c r="CT378" s="1519"/>
      <c r="CU378" s="1519"/>
      <c r="CV378" s="1519"/>
      <c r="CW378" s="1519"/>
      <c r="CX378" s="1519"/>
      <c r="CY378" s="1519"/>
      <c r="CZ378" s="1519"/>
    </row>
    <row r="379" spans="1:104">
      <c r="A379" s="1730"/>
      <c r="B379" s="1730"/>
      <c r="C379" s="1775" t="s">
        <v>185</v>
      </c>
      <c r="D379" s="1730"/>
      <c r="E379" s="1735"/>
      <c r="F379" s="1736"/>
      <c r="G379" s="1736"/>
      <c r="H379" s="1520"/>
      <c r="I379" s="1521"/>
      <c r="J379" s="1735"/>
      <c r="K379" s="1736"/>
      <c r="L379" s="1736"/>
      <c r="M379" s="1520"/>
      <c r="N379" s="1521"/>
      <c r="O379" s="1735"/>
      <c r="P379" s="1736"/>
      <c r="Q379" s="1736"/>
      <c r="R379" s="1520"/>
      <c r="S379" s="1521"/>
      <c r="T379" s="1735"/>
      <c r="U379" s="1736"/>
      <c r="V379" s="1736"/>
      <c r="W379" s="1520"/>
      <c r="X379" s="1521"/>
      <c r="Y379" s="1735">
        <f t="shared" ref="Y379:AM379" si="208">+Y378/Y381</f>
        <v>1</v>
      </c>
      <c r="Z379" s="1736">
        <f t="shared" si="208"/>
        <v>1</v>
      </c>
      <c r="AA379" s="1736">
        <f t="shared" si="208"/>
        <v>1</v>
      </c>
      <c r="AB379" s="1520">
        <f t="shared" si="208"/>
        <v>0.17338403041825096</v>
      </c>
      <c r="AC379" s="1521">
        <f t="shared" si="208"/>
        <v>0.17338403041825096</v>
      </c>
      <c r="AD379" s="1735">
        <f t="shared" si="208"/>
        <v>0.26454668470906628</v>
      </c>
      <c r="AE379" s="1736">
        <f t="shared" si="208"/>
        <v>0.31106870229007633</v>
      </c>
      <c r="AF379" s="1736">
        <f t="shared" si="208"/>
        <v>0.36028537455410226</v>
      </c>
      <c r="AG379" s="1520">
        <f t="shared" si="208"/>
        <v>0.35628742514970058</v>
      </c>
      <c r="AH379" s="1521">
        <f t="shared" si="208"/>
        <v>0.35628742514970058</v>
      </c>
      <c r="AI379" s="1735">
        <f t="shared" si="208"/>
        <v>0.43736017897091722</v>
      </c>
      <c r="AJ379" s="1736">
        <f t="shared" si="208"/>
        <v>0.48430493273542602</v>
      </c>
      <c r="AK379" s="1736">
        <f t="shared" si="208"/>
        <v>0.53681843732433954</v>
      </c>
      <c r="AL379" s="1520">
        <f t="shared" si="208"/>
        <v>0.56386786363903063</v>
      </c>
      <c r="AM379" s="1521">
        <f t="shared" si="208"/>
        <v>0.56386786363903063</v>
      </c>
      <c r="AN379" s="1735">
        <f>+AN378/AN381</f>
        <v>0.58258512620701319</v>
      </c>
      <c r="AO379" s="1736">
        <f>+AO378/AO381</f>
        <v>0.60569060154587195</v>
      </c>
      <c r="AP379" s="1736">
        <f t="shared" ref="AP379:BL379" si="209">+AP378/AP381</f>
        <v>-0.59883478984602723</v>
      </c>
      <c r="AQ379" s="1520">
        <f t="shared" si="209"/>
        <v>-0.44615963855421814</v>
      </c>
      <c r="AR379" s="1521">
        <f t="shared" si="209"/>
        <v>-0.44615963855421814</v>
      </c>
      <c r="AS379" s="1735">
        <f>+AS378/AS381</f>
        <v>3.3866666666665917</v>
      </c>
      <c r="AT379" s="1736">
        <f t="shared" si="209"/>
        <v>-2.1403508771930921</v>
      </c>
      <c r="AU379" s="1736">
        <f>+AU378/AU381</f>
        <v>0.20620842572061393</v>
      </c>
      <c r="AV379" s="1520">
        <f t="shared" ref="AV379:AW379" si="210">+AV378/AV381</f>
        <v>1.8158567774935919</v>
      </c>
      <c r="AW379" s="1521">
        <f t="shared" si="210"/>
        <v>1.8158567774935919</v>
      </c>
      <c r="AX379" s="1735">
        <f t="shared" si="209"/>
        <v>-0.44028031280521496</v>
      </c>
      <c r="AY379" s="1736">
        <f t="shared" si="209"/>
        <v>0.23399319103255659</v>
      </c>
      <c r="AZ379" s="1736">
        <f t="shared" si="209"/>
        <v>0.35767291383142119</v>
      </c>
      <c r="BA379" s="1520">
        <f t="shared" si="209"/>
        <v>0.54352659541914095</v>
      </c>
      <c r="BB379" s="1521">
        <f t="shared" si="209"/>
        <v>0.54352659541914095</v>
      </c>
      <c r="BC379" s="1735">
        <f t="shared" si="209"/>
        <v>0.59500576738744526</v>
      </c>
      <c r="BD379" s="1736">
        <f t="shared" si="209"/>
        <v>0.59560225415029355</v>
      </c>
      <c r="BE379" s="1736">
        <f t="shared" si="209"/>
        <v>0.58491098193900504</v>
      </c>
      <c r="BF379" s="1520">
        <f t="shared" si="209"/>
        <v>0.62346486834362647</v>
      </c>
      <c r="BG379" s="1521">
        <f t="shared" si="209"/>
        <v>0.62346486834362647</v>
      </c>
      <c r="BH379" s="1735">
        <f t="shared" si="209"/>
        <v>0.60608229080975895</v>
      </c>
      <c r="BI379" s="1736">
        <f t="shared" si="209"/>
        <v>0.56855446745698612</v>
      </c>
      <c r="BJ379" s="1736">
        <f t="shared" si="209"/>
        <v>0.5357037197520983</v>
      </c>
      <c r="BK379" s="1520">
        <f t="shared" si="209"/>
        <v>0.55037319230607618</v>
      </c>
      <c r="BL379" s="1521">
        <f t="shared" si="209"/>
        <v>0.55037319230607618</v>
      </c>
      <c r="BM379" s="1735">
        <f>+BM378/BM381</f>
        <v>0.51541268971602328</v>
      </c>
      <c r="BN379" s="1736">
        <f>+BN378/BN381</f>
        <v>0.48184465709097929</v>
      </c>
      <c r="BO379" s="1736">
        <f>+BO378/BO381</f>
        <v>0.4176291823899469</v>
      </c>
      <c r="BP379" s="1520">
        <f>+BP378/BP381</f>
        <v>0.40235174433529336</v>
      </c>
      <c r="BQ379" s="1521">
        <f>+BQ378/BQ381</f>
        <v>0.40235174433529336</v>
      </c>
      <c r="BR379" s="1730"/>
      <c r="BS379" s="1730"/>
      <c r="BT379" s="1730"/>
      <c r="BU379" s="1730"/>
      <c r="BV379" s="1730"/>
      <c r="BW379" s="1730"/>
      <c r="BX379" s="1730"/>
      <c r="BY379" s="1730"/>
      <c r="BZ379" s="1730"/>
      <c r="CA379" s="1730"/>
      <c r="CB379" s="1730"/>
      <c r="CC379" s="1730"/>
      <c r="CD379" s="1730"/>
      <c r="CE379" s="1730"/>
      <c r="CF379" s="1730"/>
      <c r="CG379" s="1730"/>
      <c r="CH379" s="1730"/>
      <c r="CI379" s="1730"/>
      <c r="CJ379" s="1730"/>
      <c r="CK379" s="1730"/>
      <c r="CL379" s="1730"/>
      <c r="CM379" s="1730"/>
      <c r="CN379" s="1730"/>
      <c r="CO379" s="1730"/>
      <c r="CP379" s="1730"/>
      <c r="CQ379" s="1730"/>
      <c r="CR379" s="1730"/>
      <c r="CS379" s="1730"/>
      <c r="CT379" s="1730"/>
      <c r="CU379" s="1730"/>
      <c r="CV379" s="1730"/>
      <c r="CW379" s="1730"/>
      <c r="CX379" s="1730"/>
      <c r="CY379" s="1730"/>
      <c r="CZ379" s="1730"/>
    </row>
    <row r="380" spans="1:104">
      <c r="A380" s="1468"/>
      <c r="B380" s="1468"/>
      <c r="C380" s="1759"/>
      <c r="D380" s="1468"/>
      <c r="E380" s="1469"/>
      <c r="F380" s="1470"/>
      <c r="G380" s="1470"/>
      <c r="H380" s="1471"/>
      <c r="I380" s="1472"/>
      <c r="J380" s="1469"/>
      <c r="K380" s="1470"/>
      <c r="L380" s="1470"/>
      <c r="M380" s="1471"/>
      <c r="N380" s="1472"/>
      <c r="O380" s="1469"/>
      <c r="P380" s="1470"/>
      <c r="Q380" s="1470"/>
      <c r="R380" s="1471"/>
      <c r="S380" s="1472"/>
      <c r="T380" s="1469"/>
      <c r="U380" s="1470"/>
      <c r="V380" s="1470"/>
      <c r="W380" s="1471"/>
      <c r="X380" s="1472"/>
      <c r="Y380" s="1469"/>
      <c r="Z380" s="1470"/>
      <c r="AA380" s="1470"/>
      <c r="AB380" s="1471"/>
      <c r="AC380" s="1472"/>
      <c r="AD380" s="1469"/>
      <c r="AE380" s="1470"/>
      <c r="AF380" s="1470"/>
      <c r="AG380" s="1471"/>
      <c r="AH380" s="1472"/>
      <c r="AI380" s="1469"/>
      <c r="AJ380" s="1470"/>
      <c r="AK380" s="1470"/>
      <c r="AL380" s="1471"/>
      <c r="AM380" s="1472"/>
      <c r="AN380" s="1469"/>
      <c r="AO380" s="1470"/>
      <c r="AP380" s="1470"/>
      <c r="AQ380" s="1471"/>
      <c r="AR380" s="1472"/>
      <c r="AS380" s="1469"/>
      <c r="AT380" s="1470"/>
      <c r="AU380" s="1470"/>
      <c r="AV380" s="1471"/>
      <c r="AW380" s="1472"/>
      <c r="AX380" s="1469"/>
      <c r="AY380" s="1470"/>
      <c r="AZ380" s="1470"/>
      <c r="BA380" s="1471"/>
      <c r="BB380" s="1472"/>
      <c r="BC380" s="1469"/>
      <c r="BD380" s="1470"/>
      <c r="BE380" s="1470"/>
      <c r="BF380" s="1471"/>
      <c r="BG380" s="1472"/>
      <c r="BH380" s="1469"/>
      <c r="BI380" s="1470"/>
      <c r="BJ380" s="1470"/>
      <c r="BK380" s="1471"/>
      <c r="BL380" s="1472"/>
      <c r="BM380" s="1469"/>
      <c r="BN380" s="1470"/>
      <c r="BO380" s="1470"/>
      <c r="BP380" s="1471"/>
      <c r="BQ380" s="1472"/>
      <c r="BR380" s="1468"/>
      <c r="BS380" s="1468"/>
      <c r="BT380" s="1468"/>
      <c r="BU380" s="1468"/>
      <c r="BV380" s="1468"/>
      <c r="BW380" s="1468"/>
      <c r="BX380" s="1468"/>
      <c r="BY380" s="1468"/>
      <c r="BZ380" s="1468"/>
      <c r="CA380" s="1468"/>
      <c r="CB380" s="1468"/>
      <c r="CC380" s="1468"/>
      <c r="CD380" s="1468"/>
      <c r="CE380" s="1468"/>
      <c r="CF380" s="1468"/>
      <c r="CG380" s="1468"/>
      <c r="CH380" s="1468"/>
      <c r="CI380" s="1468"/>
      <c r="CJ380" s="1468"/>
      <c r="CK380" s="1468"/>
      <c r="CL380" s="1468"/>
      <c r="CM380" s="1468"/>
      <c r="CN380" s="1468"/>
      <c r="CO380" s="1468"/>
      <c r="CP380" s="1468"/>
      <c r="CQ380" s="1468"/>
      <c r="CR380" s="1468"/>
      <c r="CS380" s="1468"/>
      <c r="CT380" s="1468"/>
      <c r="CU380" s="1468"/>
      <c r="CV380" s="1468"/>
      <c r="CW380" s="1468"/>
      <c r="CX380" s="1468"/>
      <c r="CY380" s="1468"/>
      <c r="CZ380" s="1468"/>
    </row>
    <row r="381" spans="1:104">
      <c r="A381" s="1519"/>
      <c r="B381" s="1519"/>
      <c r="C381" s="1758" t="s">
        <v>870</v>
      </c>
      <c r="D381" s="1382"/>
      <c r="E381" s="1548"/>
      <c r="F381" s="1549"/>
      <c r="G381" s="1549"/>
      <c r="H381" s="1518"/>
      <c r="I381" s="1425"/>
      <c r="J381" s="1548"/>
      <c r="K381" s="1549"/>
      <c r="L381" s="1549"/>
      <c r="M381" s="1518"/>
      <c r="N381" s="1425"/>
      <c r="O381" s="1548"/>
      <c r="P381" s="1549"/>
      <c r="Q381" s="1549"/>
      <c r="R381" s="1518"/>
      <c r="S381" s="1425"/>
      <c r="T381" s="1548"/>
      <c r="U381" s="1549"/>
      <c r="V381" s="1549"/>
      <c r="W381" s="1518"/>
      <c r="X381" s="1425">
        <f t="shared" ref="X381:AP381" si="211">+X378+X375+X372</f>
        <v>0</v>
      </c>
      <c r="Y381" s="1548">
        <f t="shared" si="211"/>
        <v>85</v>
      </c>
      <c r="Z381" s="1549">
        <f t="shared" si="211"/>
        <v>76</v>
      </c>
      <c r="AA381" s="1549">
        <f t="shared" si="211"/>
        <v>188</v>
      </c>
      <c r="AB381" s="1518">
        <f t="shared" si="211"/>
        <v>1315</v>
      </c>
      <c r="AC381" s="1425">
        <f t="shared" si="211"/>
        <v>1315</v>
      </c>
      <c r="AD381" s="1548">
        <f t="shared" si="211"/>
        <v>1478</v>
      </c>
      <c r="AE381" s="1549">
        <f t="shared" si="211"/>
        <v>1572</v>
      </c>
      <c r="AF381" s="1549">
        <f t="shared" si="211"/>
        <v>1682</v>
      </c>
      <c r="AG381" s="1518">
        <f t="shared" si="211"/>
        <v>1670</v>
      </c>
      <c r="AH381" s="1425">
        <f t="shared" si="211"/>
        <v>1670</v>
      </c>
      <c r="AI381" s="1548">
        <f t="shared" si="211"/>
        <v>1788</v>
      </c>
      <c r="AJ381" s="1549">
        <f t="shared" si="211"/>
        <v>1784</v>
      </c>
      <c r="AK381" s="1549">
        <f t="shared" si="211"/>
        <v>1779</v>
      </c>
      <c r="AL381" s="1518">
        <f>+AM381</f>
        <v>1704.2999999999993</v>
      </c>
      <c r="AM381" s="1425">
        <f>+AM378+AM375+AM372</f>
        <v>1704.2999999999993</v>
      </c>
      <c r="AN381" s="1548">
        <f>+AN378+AN375+AN372</f>
        <v>1770.8999999999994</v>
      </c>
      <c r="AO381" s="1549">
        <f>+AO378+AO375+AO372</f>
        <v>1785.3999999999994</v>
      </c>
      <c r="AP381" s="1549">
        <f t="shared" si="211"/>
        <v>480.59999999999957</v>
      </c>
      <c r="AQ381" s="1518">
        <f>+AR381</f>
        <v>531.19999999999948</v>
      </c>
      <c r="AR381" s="1425">
        <f>+AR378+AR375+AR372</f>
        <v>531.19999999999948</v>
      </c>
      <c r="AS381" s="1548">
        <f>+AS378+AS375+AS372</f>
        <v>-15.000000000000469</v>
      </c>
      <c r="AT381" s="1549">
        <f>+AT378+AT375+AT372</f>
        <v>11.399999999999601</v>
      </c>
      <c r="AU381" s="1549">
        <f>+AU378+AU375+AU372</f>
        <v>45.099999999999604</v>
      </c>
      <c r="AV381" s="1518">
        <f>+AW381</f>
        <v>-39.100000000000684</v>
      </c>
      <c r="AW381" s="1425">
        <f>+AW378+AW375+AW372</f>
        <v>-39.100000000000684</v>
      </c>
      <c r="AX381" s="1548">
        <f>+AX378+AX375+AX372</f>
        <v>47.878999999999301</v>
      </c>
      <c r="AY381" s="1549">
        <f>+AY378+AY375+AY372</f>
        <v>133.82537666666599</v>
      </c>
      <c r="AZ381" s="1549">
        <f>+AZ378+AZ375+AZ372</f>
        <v>283.18905417023052</v>
      </c>
      <c r="BA381" s="1518">
        <f>+BB381</f>
        <v>302.6614616709993</v>
      </c>
      <c r="BB381" s="1425">
        <f>+BB378+BB375+BB372</f>
        <v>302.6614616709993</v>
      </c>
      <c r="BC381" s="1548">
        <f>+BC378+BC375+BC372</f>
        <v>379.48951272864633</v>
      </c>
      <c r="BD381" s="1549">
        <f>+BD378+BD375+BD372</f>
        <v>455.44773216761303</v>
      </c>
      <c r="BE381" s="1549">
        <f>+BE378+BE375+BE372</f>
        <v>558.67534410636608</v>
      </c>
      <c r="BF381" s="1518">
        <f>+BG381</f>
        <v>615.87878660850231</v>
      </c>
      <c r="BG381" s="1425">
        <f>+BG378+BG375+BG372</f>
        <v>615.87878660850231</v>
      </c>
      <c r="BH381" s="1548">
        <f>+BH378+BH375+BH372</f>
        <v>680.55109122419231</v>
      </c>
      <c r="BI381" s="1549">
        <f>+BI378+BI375+BI372</f>
        <v>755.47729657206389</v>
      </c>
      <c r="BJ381" s="1549">
        <f>+BJ378+BJ375+BJ372</f>
        <v>876.38005581854713</v>
      </c>
      <c r="BK381" s="1518">
        <f>+BL381</f>
        <v>904.97273080076343</v>
      </c>
      <c r="BL381" s="1425">
        <f>+BL378+BL375+BL372</f>
        <v>904.97273080076343</v>
      </c>
      <c r="BM381" s="1548">
        <f>+BM378+BM375+BM372</f>
        <v>906.4187110990747</v>
      </c>
      <c r="BN381" s="1549">
        <f>+BN378+BN375+BN372</f>
        <v>909.96268196927485</v>
      </c>
      <c r="BO381" s="1549">
        <f>+BO378+BO375+BO372</f>
        <v>999.19155013297996</v>
      </c>
      <c r="BP381" s="1518">
        <f>+BQ381</f>
        <v>973.64962498352577</v>
      </c>
      <c r="BQ381" s="1425">
        <f>+BQ378+BQ375+BQ372</f>
        <v>973.64962498352577</v>
      </c>
      <c r="BR381" s="1519"/>
      <c r="BS381" s="1519"/>
      <c r="BT381" s="1519"/>
      <c r="BU381" s="1519"/>
      <c r="BV381" s="1519"/>
      <c r="BW381" s="1519"/>
      <c r="BX381" s="1519"/>
      <c r="BY381" s="1519"/>
      <c r="BZ381" s="1519"/>
      <c r="CA381" s="1519"/>
      <c r="CB381" s="1519"/>
      <c r="CC381" s="1519"/>
      <c r="CD381" s="1519"/>
      <c r="CE381" s="1519"/>
      <c r="CF381" s="1519"/>
      <c r="CG381" s="1519"/>
      <c r="CH381" s="1519"/>
      <c r="CI381" s="1519"/>
      <c r="CJ381" s="1519"/>
      <c r="CK381" s="1519"/>
      <c r="CL381" s="1519"/>
      <c r="CM381" s="1519"/>
      <c r="CN381" s="1519"/>
      <c r="CO381" s="1519"/>
      <c r="CP381" s="1519"/>
      <c r="CQ381" s="1519"/>
      <c r="CR381" s="1519"/>
      <c r="CS381" s="1519"/>
      <c r="CT381" s="1519"/>
      <c r="CU381" s="1519"/>
      <c r="CV381" s="1519"/>
      <c r="CW381" s="1519"/>
      <c r="CX381" s="1519"/>
      <c r="CY381" s="1519"/>
      <c r="CZ381" s="1519"/>
    </row>
    <row r="382" spans="1:104">
      <c r="A382" s="1730"/>
      <c r="B382" s="1730"/>
      <c r="C382" s="1775" t="s">
        <v>185</v>
      </c>
      <c r="D382" s="1730"/>
      <c r="E382" s="1735"/>
      <c r="F382" s="1736"/>
      <c r="G382" s="1736"/>
      <c r="H382" s="1520"/>
      <c r="I382" s="1521"/>
      <c r="J382" s="1735"/>
      <c r="K382" s="1736"/>
      <c r="L382" s="1736"/>
      <c r="M382" s="1520"/>
      <c r="N382" s="1521"/>
      <c r="O382" s="1735"/>
      <c r="P382" s="1736"/>
      <c r="Q382" s="1736"/>
      <c r="R382" s="1520"/>
      <c r="S382" s="1521"/>
      <c r="T382" s="1735"/>
      <c r="U382" s="1736"/>
      <c r="V382" s="1736"/>
      <c r="W382" s="1520"/>
      <c r="X382" s="1521"/>
      <c r="Y382" s="1735">
        <f t="shared" ref="Y382:AM382" si="212">(Y372+Y375+Y378)/Y381</f>
        <v>1</v>
      </c>
      <c r="Z382" s="1736">
        <f t="shared" si="212"/>
        <v>1</v>
      </c>
      <c r="AA382" s="1736">
        <f t="shared" si="212"/>
        <v>1</v>
      </c>
      <c r="AB382" s="1520">
        <f t="shared" si="212"/>
        <v>1</v>
      </c>
      <c r="AC382" s="1521">
        <f t="shared" si="212"/>
        <v>1</v>
      </c>
      <c r="AD382" s="1735">
        <f t="shared" si="212"/>
        <v>1</v>
      </c>
      <c r="AE382" s="1736">
        <f t="shared" si="212"/>
        <v>1</v>
      </c>
      <c r="AF382" s="1736">
        <f t="shared" si="212"/>
        <v>1</v>
      </c>
      <c r="AG382" s="1520">
        <f t="shared" si="212"/>
        <v>1</v>
      </c>
      <c r="AH382" s="1521">
        <f t="shared" si="212"/>
        <v>1</v>
      </c>
      <c r="AI382" s="1735">
        <f t="shared" si="212"/>
        <v>1</v>
      </c>
      <c r="AJ382" s="1736">
        <f t="shared" si="212"/>
        <v>1</v>
      </c>
      <c r="AK382" s="1736">
        <f t="shared" si="212"/>
        <v>1</v>
      </c>
      <c r="AL382" s="1520">
        <f t="shared" si="212"/>
        <v>1</v>
      </c>
      <c r="AM382" s="1521">
        <f t="shared" si="212"/>
        <v>1</v>
      </c>
      <c r="AN382" s="1735">
        <f>(AN372+AN375+AN378)/AN381</f>
        <v>1</v>
      </c>
      <c r="AO382" s="1736">
        <f>(AO372+AO375+AO378)/AO381</f>
        <v>1</v>
      </c>
      <c r="AP382" s="1736">
        <f t="shared" ref="AP382:BL382" si="213">(AP372+AP375+AP378)/AP381</f>
        <v>1</v>
      </c>
      <c r="AQ382" s="1520">
        <f t="shared" si="213"/>
        <v>1</v>
      </c>
      <c r="AR382" s="1521">
        <f t="shared" si="213"/>
        <v>1</v>
      </c>
      <c r="AS382" s="1735">
        <f>(AS372+AS375+AS378)/AS381</f>
        <v>1</v>
      </c>
      <c r="AT382" s="1736">
        <f t="shared" si="213"/>
        <v>1</v>
      </c>
      <c r="AU382" s="1736">
        <f t="shared" si="213"/>
        <v>1</v>
      </c>
      <c r="AV382" s="1520">
        <f t="shared" ref="AV382:AW382" si="214">(AV372+AV375+AV378)/AV381</f>
        <v>1</v>
      </c>
      <c r="AW382" s="1521">
        <f t="shared" si="214"/>
        <v>1</v>
      </c>
      <c r="AX382" s="1735">
        <f t="shared" si="213"/>
        <v>1</v>
      </c>
      <c r="AY382" s="1736">
        <f t="shared" si="213"/>
        <v>1</v>
      </c>
      <c r="AZ382" s="1736">
        <f t="shared" si="213"/>
        <v>1</v>
      </c>
      <c r="BA382" s="1520">
        <f t="shared" si="213"/>
        <v>1</v>
      </c>
      <c r="BB382" s="1521">
        <f t="shared" si="213"/>
        <v>1</v>
      </c>
      <c r="BC382" s="1735">
        <f t="shared" si="213"/>
        <v>1</v>
      </c>
      <c r="BD382" s="1736">
        <f t="shared" si="213"/>
        <v>1</v>
      </c>
      <c r="BE382" s="1736">
        <f t="shared" si="213"/>
        <v>1</v>
      </c>
      <c r="BF382" s="1520">
        <f t="shared" si="213"/>
        <v>1</v>
      </c>
      <c r="BG382" s="1521">
        <f t="shared" si="213"/>
        <v>1</v>
      </c>
      <c r="BH382" s="1735">
        <f t="shared" si="213"/>
        <v>1</v>
      </c>
      <c r="BI382" s="1736">
        <f t="shared" si="213"/>
        <v>1</v>
      </c>
      <c r="BJ382" s="1736">
        <f t="shared" si="213"/>
        <v>1</v>
      </c>
      <c r="BK382" s="1520">
        <f t="shared" si="213"/>
        <v>1</v>
      </c>
      <c r="BL382" s="1521">
        <f t="shared" si="213"/>
        <v>1</v>
      </c>
      <c r="BM382" s="1735">
        <f>(BM372+BM375+BM378)/BM381</f>
        <v>1</v>
      </c>
      <c r="BN382" s="1736">
        <f>(BN372+BN375+BN378)/BN381</f>
        <v>1</v>
      </c>
      <c r="BO382" s="1736">
        <f>(BO372+BO375+BO378)/BO381</f>
        <v>1</v>
      </c>
      <c r="BP382" s="1520">
        <f>(BP372+BP375+BP378)/BP381</f>
        <v>1</v>
      </c>
      <c r="BQ382" s="1521">
        <f>(BQ372+BQ375+BQ378)/BQ381</f>
        <v>1</v>
      </c>
      <c r="BR382" s="1730"/>
      <c r="BS382" s="1730"/>
      <c r="BT382" s="1730"/>
      <c r="BU382" s="1730"/>
      <c r="BV382" s="1730"/>
      <c r="BW382" s="1730"/>
      <c r="BX382" s="1730"/>
      <c r="BY382" s="1730"/>
      <c r="BZ382" s="1730"/>
      <c r="CA382" s="1730"/>
      <c r="CB382" s="1730"/>
      <c r="CC382" s="1730"/>
      <c r="CD382" s="1730"/>
      <c r="CE382" s="1730"/>
      <c r="CF382" s="1730"/>
      <c r="CG382" s="1730"/>
      <c r="CH382" s="1730"/>
      <c r="CI382" s="1730"/>
      <c r="CJ382" s="1730"/>
      <c r="CK382" s="1730"/>
      <c r="CL382" s="1730"/>
      <c r="CM382" s="1730"/>
      <c r="CN382" s="1730"/>
      <c r="CO382" s="1730"/>
      <c r="CP382" s="1730"/>
      <c r="CQ382" s="1730"/>
      <c r="CR382" s="1730"/>
      <c r="CS382" s="1730"/>
      <c r="CT382" s="1730"/>
      <c r="CU382" s="1730"/>
      <c r="CV382" s="1730"/>
      <c r="CW382" s="1730"/>
      <c r="CX382" s="1730"/>
      <c r="CY382" s="1730"/>
      <c r="CZ382" s="1730"/>
    </row>
    <row r="383" spans="1:104">
      <c r="A383" s="1468"/>
      <c r="B383" s="1468"/>
      <c r="C383" s="1468"/>
      <c r="D383" s="1468"/>
      <c r="E383" s="1469"/>
      <c r="F383" s="1470"/>
      <c r="G383" s="1470"/>
      <c r="H383" s="1471"/>
      <c r="I383" s="1472"/>
      <c r="J383" s="1469"/>
      <c r="K383" s="1470"/>
      <c r="L383" s="1470"/>
      <c r="M383" s="1471"/>
      <c r="N383" s="1472"/>
      <c r="O383" s="1469"/>
      <c r="P383" s="1470"/>
      <c r="Q383" s="1470"/>
      <c r="R383" s="1471"/>
      <c r="S383" s="1472"/>
      <c r="T383" s="1469"/>
      <c r="U383" s="1470"/>
      <c r="V383" s="1470"/>
      <c r="W383" s="1471"/>
      <c r="X383" s="1472"/>
      <c r="Y383" s="1469"/>
      <c r="Z383" s="1470"/>
      <c r="AA383" s="1470"/>
      <c r="AB383" s="1471"/>
      <c r="AC383" s="1472"/>
      <c r="AD383" s="1469"/>
      <c r="AE383" s="1470"/>
      <c r="AF383" s="1470"/>
      <c r="AG383" s="1471"/>
      <c r="AH383" s="1472"/>
      <c r="AI383" s="1469"/>
      <c r="AJ383" s="1470"/>
      <c r="AK383" s="1470"/>
      <c r="AL383" s="1471"/>
      <c r="AM383" s="1472"/>
      <c r="AN383" s="1469"/>
      <c r="AO383" s="1470"/>
      <c r="AP383" s="1470"/>
      <c r="AQ383" s="1471"/>
      <c r="AR383" s="1472"/>
      <c r="AS383" s="1469"/>
      <c r="AT383" s="1470"/>
      <c r="AU383" s="1470"/>
      <c r="AV383" s="1471"/>
      <c r="AW383" s="1472"/>
      <c r="AX383" s="1469"/>
      <c r="AY383" s="1470"/>
      <c r="AZ383" s="1470"/>
      <c r="BA383" s="1471"/>
      <c r="BB383" s="1472"/>
      <c r="BC383" s="1469"/>
      <c r="BD383" s="1470"/>
      <c r="BE383" s="1470"/>
      <c r="BF383" s="1471"/>
      <c r="BG383" s="1472"/>
      <c r="BH383" s="1469"/>
      <c r="BI383" s="1470"/>
      <c r="BJ383" s="1470"/>
      <c r="BK383" s="1471"/>
      <c r="BL383" s="1472"/>
      <c r="BM383" s="1469"/>
      <c r="BN383" s="1470"/>
      <c r="BO383" s="1470"/>
      <c r="BP383" s="1471"/>
      <c r="BQ383" s="1472"/>
      <c r="BR383" s="1468"/>
      <c r="BS383" s="1468"/>
      <c r="BT383" s="1468"/>
      <c r="BU383" s="1468"/>
      <c r="BV383" s="1468"/>
      <c r="BW383" s="1468"/>
      <c r="BX383" s="1468"/>
      <c r="BY383" s="1468"/>
      <c r="BZ383" s="1468"/>
      <c r="CA383" s="1468"/>
      <c r="CB383" s="1468"/>
      <c r="CC383" s="1468"/>
      <c r="CD383" s="1468"/>
      <c r="CE383" s="1468"/>
      <c r="CF383" s="1468"/>
      <c r="CG383" s="1468"/>
      <c r="CH383" s="1468"/>
      <c r="CI383" s="1468"/>
      <c r="CJ383" s="1468"/>
      <c r="CK383" s="1468"/>
      <c r="CL383" s="1468"/>
      <c r="CM383" s="1468"/>
      <c r="CN383" s="1468"/>
      <c r="CO383" s="1468"/>
      <c r="CP383" s="1468"/>
      <c r="CQ383" s="1468"/>
      <c r="CR383" s="1468"/>
      <c r="CS383" s="1468"/>
      <c r="CT383" s="1468"/>
      <c r="CU383" s="1468"/>
      <c r="CV383" s="1468"/>
      <c r="CW383" s="1468"/>
      <c r="CX383" s="1468"/>
      <c r="CY383" s="1468"/>
      <c r="CZ383" s="1468"/>
    </row>
    <row r="384" spans="1:104" s="1730" customFormat="1">
      <c r="C384" s="1730" t="s">
        <v>385</v>
      </c>
      <c r="E384" s="1732"/>
      <c r="F384" s="1733"/>
      <c r="G384" s="1733"/>
      <c r="H384" s="1734"/>
      <c r="I384" s="1777"/>
      <c r="J384" s="1732"/>
      <c r="K384" s="1733"/>
      <c r="L384" s="1733"/>
      <c r="M384" s="1734"/>
      <c r="N384" s="1777"/>
      <c r="O384" s="1732"/>
      <c r="P384" s="1733"/>
      <c r="Q384" s="1733"/>
      <c r="R384" s="1734"/>
      <c r="S384" s="1778"/>
      <c r="T384" s="1732"/>
      <c r="U384" s="1733"/>
      <c r="V384" s="1733"/>
      <c r="W384" s="1734"/>
      <c r="X384" s="1778"/>
      <c r="Y384" s="1732"/>
      <c r="Z384" s="1733"/>
      <c r="AA384" s="1733"/>
      <c r="AB384" s="1734"/>
      <c r="AC384" s="1778">
        <f>AC38/AC378</f>
        <v>1.4517543859649122</v>
      </c>
      <c r="AD384" s="1732"/>
      <c r="AE384" s="1733"/>
      <c r="AF384" s="1733"/>
      <c r="AG384" s="1734"/>
      <c r="AH384" s="1778">
        <f>AH38/AH378</f>
        <v>0.68571428571428572</v>
      </c>
      <c r="AI384" s="1732"/>
      <c r="AJ384" s="1733"/>
      <c r="AK384" s="1733"/>
      <c r="AL384" s="1734"/>
      <c r="AM384" s="1778">
        <f>AM38/AM378</f>
        <v>0.38085327783558759</v>
      </c>
      <c r="AN384" s="1732"/>
      <c r="AO384" s="1733"/>
      <c r="AP384" s="1733"/>
      <c r="AQ384" s="1734"/>
      <c r="AR384" s="1778">
        <f>AR38/AR378</f>
        <v>-1.0345991561181407</v>
      </c>
      <c r="AS384" s="1732"/>
      <c r="AT384" s="1733"/>
      <c r="AU384" s="1733"/>
      <c r="AV384" s="1734"/>
      <c r="AW384" s="1778">
        <f>AW38/AW378</f>
        <v>-2.0661971830985681</v>
      </c>
      <c r="AX384" s="1732"/>
      <c r="AY384" s="1733"/>
      <c r="AZ384" s="1733"/>
      <c r="BA384" s="1734"/>
      <c r="BB384" s="1778">
        <f>BB38/BB378</f>
        <v>0.51977013303071085</v>
      </c>
      <c r="BC384" s="1732"/>
      <c r="BD384" s="1733"/>
      <c r="BE384" s="1733"/>
      <c r="BF384" s="1734"/>
      <c r="BG384" s="1778">
        <f>BG38/BG378</f>
        <v>0.18093247649307648</v>
      </c>
      <c r="BH384" s="1732"/>
      <c r="BI384" s="1733"/>
      <c r="BJ384" s="1733"/>
      <c r="BK384" s="1734"/>
      <c r="BL384" s="1778">
        <f>BL38/BL378</f>
        <v>0.12868390543930372</v>
      </c>
      <c r="BM384" s="1732"/>
      <c r="BN384" s="1733"/>
      <c r="BO384" s="1733"/>
      <c r="BP384" s="1734"/>
      <c r="BQ384" s="1778">
        <f>BQ38/BQ378</f>
        <v>0.23912440040421651</v>
      </c>
    </row>
    <row r="385" spans="1:104">
      <c r="A385" s="1468"/>
      <c r="B385" s="1468"/>
      <c r="C385" s="1468"/>
      <c r="D385" s="1468"/>
      <c r="E385" s="1469"/>
      <c r="F385" s="1470"/>
      <c r="G385" s="1470"/>
      <c r="H385" s="1471"/>
      <c r="I385" s="1472"/>
      <c r="J385" s="1469"/>
      <c r="K385" s="1470"/>
      <c r="L385" s="1470"/>
      <c r="M385" s="1471"/>
      <c r="N385" s="1472"/>
      <c r="O385" s="1469"/>
      <c r="P385" s="1470"/>
      <c r="Q385" s="1470"/>
      <c r="R385" s="1471"/>
      <c r="S385" s="1472"/>
      <c r="T385" s="1469"/>
      <c r="U385" s="1470"/>
      <c r="V385" s="1470"/>
      <c r="W385" s="1471"/>
      <c r="X385" s="1472"/>
      <c r="Y385" s="1469"/>
      <c r="Z385" s="1470"/>
      <c r="AA385" s="1470"/>
      <c r="AB385" s="1471"/>
      <c r="AC385" s="1472"/>
      <c r="AD385" s="1469"/>
      <c r="AE385" s="1470"/>
      <c r="AF385" s="1470"/>
      <c r="AG385" s="1471"/>
      <c r="AH385" s="1472"/>
      <c r="AI385" s="1469"/>
      <c r="AJ385" s="1470"/>
      <c r="AK385" s="1470"/>
      <c r="AL385" s="1471"/>
      <c r="AM385" s="1472"/>
      <c r="AN385" s="1469"/>
      <c r="AO385" s="1470"/>
      <c r="AP385" s="1470"/>
      <c r="AQ385" s="1471"/>
      <c r="AR385" s="1472"/>
      <c r="AS385" s="1469"/>
      <c r="AT385" s="1470"/>
      <c r="AU385" s="1470"/>
      <c r="AV385" s="1471"/>
      <c r="AW385" s="1472"/>
      <c r="AX385" s="1469"/>
      <c r="AY385" s="1470"/>
      <c r="AZ385" s="1470"/>
      <c r="BA385" s="1471"/>
      <c r="BB385" s="1472"/>
      <c r="BC385" s="1469"/>
      <c r="BD385" s="1470"/>
      <c r="BE385" s="1470"/>
      <c r="BF385" s="1471"/>
      <c r="BG385" s="1472"/>
      <c r="BH385" s="1469"/>
      <c r="BI385" s="1470"/>
      <c r="BJ385" s="1470"/>
      <c r="BK385" s="1471"/>
      <c r="BL385" s="1472"/>
      <c r="BM385" s="1469"/>
      <c r="BN385" s="1470"/>
      <c r="BO385" s="1470"/>
      <c r="BP385" s="1471"/>
      <c r="BQ385" s="1472"/>
      <c r="BR385" s="1468"/>
      <c r="BS385" s="1468"/>
      <c r="BT385" s="1468"/>
      <c r="BU385" s="1468"/>
      <c r="BV385" s="1468"/>
      <c r="BW385" s="1468"/>
      <c r="BX385" s="1468"/>
      <c r="BY385" s="1468"/>
      <c r="BZ385" s="1468"/>
      <c r="CA385" s="1468"/>
      <c r="CB385" s="1468"/>
      <c r="CC385" s="1468"/>
      <c r="CD385" s="1468"/>
      <c r="CE385" s="1468"/>
      <c r="CF385" s="1468"/>
      <c r="CG385" s="1468"/>
      <c r="CH385" s="1468"/>
      <c r="CI385" s="1468"/>
      <c r="CJ385" s="1468"/>
      <c r="CK385" s="1468"/>
      <c r="CL385" s="1468"/>
      <c r="CM385" s="1468"/>
      <c r="CN385" s="1468"/>
      <c r="CO385" s="1468"/>
      <c r="CP385" s="1468"/>
      <c r="CQ385" s="1468"/>
      <c r="CR385" s="1468"/>
      <c r="CS385" s="1468"/>
      <c r="CT385" s="1468"/>
      <c r="CU385" s="1468"/>
      <c r="CV385" s="1468"/>
      <c r="CW385" s="1468"/>
      <c r="CX385" s="1468"/>
      <c r="CY385" s="1468"/>
      <c r="CZ385" s="1468"/>
    </row>
    <row r="386" spans="1:104">
      <c r="A386" s="1468"/>
      <c r="B386" s="1721" t="s">
        <v>187</v>
      </c>
      <c r="C386" s="1721"/>
      <c r="D386" s="1722"/>
      <c r="E386" s="1469"/>
      <c r="F386" s="1470"/>
      <c r="G386" s="1470"/>
      <c r="H386" s="1471"/>
      <c r="I386" s="1472"/>
      <c r="J386" s="1469"/>
      <c r="K386" s="1470"/>
      <c r="L386" s="1470"/>
      <c r="M386" s="1471"/>
      <c r="N386" s="1472"/>
      <c r="O386" s="1469"/>
      <c r="P386" s="1470"/>
      <c r="Q386" s="1470"/>
      <c r="R386" s="1471"/>
      <c r="S386" s="1472"/>
      <c r="T386" s="1469"/>
      <c r="U386" s="1470"/>
      <c r="V386" s="1470"/>
      <c r="W386" s="1471"/>
      <c r="X386" s="1472"/>
      <c r="Y386" s="1469"/>
      <c r="Z386" s="1470"/>
      <c r="AA386" s="1470"/>
      <c r="AB386" s="1471"/>
      <c r="AC386" s="1472"/>
      <c r="AD386" s="1469"/>
      <c r="AE386" s="1470"/>
      <c r="AF386" s="1470"/>
      <c r="AG386" s="1471"/>
      <c r="AH386" s="1472"/>
      <c r="AI386" s="1469"/>
      <c r="AJ386" s="1470"/>
      <c r="AK386" s="1470"/>
      <c r="AL386" s="1471"/>
      <c r="AM386" s="1472"/>
      <c r="AN386" s="1469"/>
      <c r="AO386" s="1470"/>
      <c r="AP386" s="1470"/>
      <c r="AQ386" s="1471"/>
      <c r="AR386" s="1472"/>
      <c r="AS386" s="1469"/>
      <c r="AT386" s="1470"/>
      <c r="AU386" s="1470"/>
      <c r="AV386" s="1471"/>
      <c r="AW386" s="1472"/>
      <c r="AX386" s="1469"/>
      <c r="AY386" s="1470"/>
      <c r="AZ386" s="1470"/>
      <c r="BA386" s="1471"/>
      <c r="BB386" s="1472"/>
      <c r="BC386" s="1469"/>
      <c r="BD386" s="1470"/>
      <c r="BE386" s="1470"/>
      <c r="BF386" s="1471"/>
      <c r="BG386" s="1472"/>
      <c r="BH386" s="1469"/>
      <c r="BI386" s="1470"/>
      <c r="BJ386" s="1470"/>
      <c r="BK386" s="1471"/>
      <c r="BL386" s="1472"/>
      <c r="BM386" s="1469"/>
      <c r="BN386" s="1470"/>
      <c r="BO386" s="1470"/>
      <c r="BP386" s="1471"/>
      <c r="BQ386" s="1472"/>
      <c r="BR386" s="1468"/>
      <c r="BS386" s="1468"/>
      <c r="BT386" s="1468"/>
      <c r="BU386" s="1468"/>
      <c r="BV386" s="1468"/>
      <c r="BW386" s="1468"/>
      <c r="BX386" s="1468"/>
      <c r="BY386" s="1468"/>
      <c r="BZ386" s="1468"/>
      <c r="CA386" s="1468"/>
      <c r="CB386" s="1468"/>
      <c r="CC386" s="1468"/>
      <c r="CD386" s="1468"/>
      <c r="CE386" s="1468"/>
      <c r="CF386" s="1468"/>
      <c r="CG386" s="1468"/>
      <c r="CH386" s="1468"/>
      <c r="CI386" s="1468"/>
      <c r="CJ386" s="1468"/>
      <c r="CK386" s="1468"/>
      <c r="CL386" s="1468"/>
      <c r="CM386" s="1468"/>
      <c r="CN386" s="1468"/>
      <c r="CO386" s="1468"/>
      <c r="CP386" s="1468"/>
      <c r="CQ386" s="1468"/>
      <c r="CR386" s="1468"/>
      <c r="CS386" s="1468"/>
      <c r="CT386" s="1468"/>
      <c r="CU386" s="1468"/>
      <c r="CV386" s="1468"/>
      <c r="CW386" s="1468"/>
      <c r="CX386" s="1468"/>
      <c r="CY386" s="1468"/>
      <c r="CZ386" s="1468"/>
    </row>
    <row r="387" spans="1:104">
      <c r="A387" s="1519"/>
      <c r="B387" s="1519"/>
      <c r="C387" s="1759" t="s">
        <v>188</v>
      </c>
      <c r="D387" s="1382"/>
      <c r="E387" s="1485"/>
      <c r="F387" s="1486"/>
      <c r="G387" s="1549"/>
      <c r="H387" s="1487"/>
      <c r="I387" s="1382"/>
      <c r="J387" s="1485"/>
      <c r="K387" s="1486"/>
      <c r="L387" s="1486"/>
      <c r="M387" s="1487"/>
      <c r="N387" s="1382"/>
      <c r="O387" s="1485"/>
      <c r="P387" s="1486"/>
      <c r="Q387" s="1486"/>
      <c r="R387" s="1487"/>
      <c r="S387" s="1382"/>
      <c r="T387" s="1485"/>
      <c r="U387" s="1486"/>
      <c r="V387" s="1486"/>
      <c r="W387" s="1487"/>
      <c r="X387" s="1382">
        <f>X38+X13</f>
        <v>633</v>
      </c>
      <c r="Y387" s="1485"/>
      <c r="Z387" s="1486"/>
      <c r="AA387" s="1486"/>
      <c r="AB387" s="1487">
        <f>SUM(Y38:AB38)+SUM(Y13:AB13)</f>
        <v>567</v>
      </c>
      <c r="AC387" s="1382">
        <f>AC38+AC13</f>
        <v>567</v>
      </c>
      <c r="AD387" s="1485">
        <f>SUM(AD38,Z38:AB38)+SUM(AD13,Z13:AB13)</f>
        <v>636</v>
      </c>
      <c r="AE387" s="1486">
        <f>SUM(AD38:AE38,AA38:AB38)+SUM(AD13:AE13,AA13:AB13)</f>
        <v>639</v>
      </c>
      <c r="AF387" s="1486">
        <f>SUM(AD38:AF38,AB38)+SUM(AD13:AF13,AB13)</f>
        <v>643</v>
      </c>
      <c r="AG387" s="1487">
        <f>SUM(AD38:AG38)+SUM(AD13:AG13)</f>
        <v>635</v>
      </c>
      <c r="AH387" s="1382">
        <f>AH38+AH13</f>
        <v>635</v>
      </c>
      <c r="AI387" s="1485">
        <f>SUM(AI38,AE38:AG38)+SUM(AI13,AE13:AG13)</f>
        <v>648</v>
      </c>
      <c r="AJ387" s="1486">
        <f>SUM(AI38:AJ38,AF38:AG38)+SUM(AI13:AJ13,AF13:AG13)</f>
        <v>626</v>
      </c>
      <c r="AK387" s="1486">
        <f>SUM(AI38:AK38,AG38)+SUM(AI13:AK13,AG13)</f>
        <v>597</v>
      </c>
      <c r="AL387" s="1487">
        <f>SUM(AI38:AL38)+SUM(AI13:AL13)</f>
        <v>567.39999999999941</v>
      </c>
      <c r="AM387" s="1382">
        <f>AM38+AM13</f>
        <v>567.39999999999941</v>
      </c>
      <c r="AN387" s="1485">
        <f>SUM(AN38,AJ38:AL38)+SUM(AN13,AJ13:AL13)</f>
        <v>453.79999999999939</v>
      </c>
      <c r="AO387" s="1486">
        <f>SUM(AN38:AO38,AK38:AL38)+SUM(AN13:AO13,AK13:AL13)</f>
        <v>418.39999999999941</v>
      </c>
      <c r="AP387" s="1486">
        <f>SUM(AO38:AP38,AL38:AM38)+SUM(AO13:AP13,AL13:AM13)</f>
        <v>853.89999999999895</v>
      </c>
      <c r="AQ387" s="1487">
        <f>SUM(AN38:AQ38)+SUM(AN13:AQ13)</f>
        <v>399.79999999999995</v>
      </c>
      <c r="AR387" s="1382">
        <f>AR38+AR13</f>
        <v>399.79999999999984</v>
      </c>
      <c r="AS387" s="1485">
        <f>SUM(AS38,AO38:AQ38)+SUM(AS13,AO13:AQ13)</f>
        <v>354.4</v>
      </c>
      <c r="AT387" s="1486">
        <f>SUM(AS38:AT38,AP38:AQ38)+SUM(AS13:AT13,AP13:AQ13)</f>
        <v>285.20000000000005</v>
      </c>
      <c r="AU387" s="1486">
        <f>SUM(AS38:AU38,AQ38)+SUM(AS13:AU13,AQ13)</f>
        <v>191.99999999999983</v>
      </c>
      <c r="AV387" s="1487">
        <f>SUM(AS38:AV38)+SUM(AS13:AV13)</f>
        <v>170.89999999999975</v>
      </c>
      <c r="AW387" s="1382">
        <f>AW38+AW13</f>
        <v>170.89999999999975</v>
      </c>
      <c r="AX387" s="1485">
        <f>SUM(AX38,AT38:AV38)+SUM(AX13,AT13:AV13)</f>
        <v>115.01581890319984</v>
      </c>
      <c r="AY387" s="1486">
        <f>SUM(AX38:AY38,AU38:AV38)+SUM(AX13:AY13,AU13:AV13)</f>
        <v>109.2388502607007</v>
      </c>
      <c r="AZ387" s="1486">
        <f>SUM(AX38:AZ38,AV38)+SUM(AX13:AZ13,AV13)</f>
        <v>111.16459793689755</v>
      </c>
      <c r="BA387" s="1487">
        <f>SUM(AX38:BA38)+SUM(AX13:BA13)</f>
        <v>114.44309215561978</v>
      </c>
      <c r="BB387" s="1382">
        <f>BB38+BB13</f>
        <v>114.44309215561952</v>
      </c>
      <c r="BC387" s="1485">
        <f>SUM(BC38,AY38:BA38)+SUM(BC13,AY13:BA13)</f>
        <v>129.25978377141632</v>
      </c>
      <c r="BD387" s="1486">
        <f>SUM(BC38:BD38,AZ38:BA38)+SUM(BC13:BD13,AZ13:BA13)</f>
        <v>125.61244683168897</v>
      </c>
      <c r="BE387" s="1486">
        <f>SUM(BC38:BE38,BA38)+SUM(BC13:BE13,BA13)</f>
        <v>114.26648578302471</v>
      </c>
      <c r="BF387" s="1487">
        <f>SUM(BC38:BF38)+SUM(BC13:BF13)</f>
        <v>111.21519951852898</v>
      </c>
      <c r="BG387" s="1382">
        <f>BG38+BG13</f>
        <v>111.21519951852858</v>
      </c>
      <c r="BH387" s="1485">
        <f>SUM(BH38,BD38:BF38)+SUM(BH13,BD13:BF13)</f>
        <v>106.84327048343161</v>
      </c>
      <c r="BI387" s="1486">
        <f>SUM(BH38:BI38,BE38:BF38)+SUM(BH13:BI13,BE13:BF13)</f>
        <v>106.83473169725335</v>
      </c>
      <c r="BJ387" s="1486">
        <f>SUM(BH38:BJ38,BF38)+SUM(BH13:BJ13,BF13)</f>
        <v>119.64202120161357</v>
      </c>
      <c r="BK387" s="1487">
        <f>SUM(BH38:BK38)+SUM(BH13:BK13)</f>
        <v>119.36661837913471</v>
      </c>
      <c r="BL387" s="1382">
        <f>BL38+BL13</f>
        <v>119.36661837913482</v>
      </c>
      <c r="BM387" s="1485">
        <f>SUM(BM38,BI38:BK38)+SUM(BM13,BI13:BK13)</f>
        <v>125.78656608382718</v>
      </c>
      <c r="BN387" s="1486">
        <f>SUM(BM38:BN38,BJ38:BK38)+SUM(BM13:BN13,BJ13:BK13)</f>
        <v>145.00083458904422</v>
      </c>
      <c r="BO387" s="1486">
        <f>SUM(BM38:BO38,BK38)+SUM(BM13:BO13,BK13)</f>
        <v>148.07179325827471</v>
      </c>
      <c r="BP387" s="1487">
        <f>SUM(BM38:BP38)+SUM(BM13:BP13)</f>
        <v>157.33162208653471</v>
      </c>
      <c r="BQ387" s="1382">
        <f>BQ38+BQ13</f>
        <v>157.33162208653465</v>
      </c>
      <c r="BR387" s="1519"/>
      <c r="BS387" s="1519"/>
      <c r="BT387" s="1519"/>
      <c r="BU387" s="1519"/>
      <c r="BV387" s="1519"/>
      <c r="BW387" s="1519"/>
      <c r="BX387" s="1519"/>
      <c r="BY387" s="1519"/>
      <c r="BZ387" s="1519"/>
      <c r="CA387" s="1519"/>
      <c r="CB387" s="1519"/>
      <c r="CC387" s="1519"/>
      <c r="CD387" s="1519"/>
      <c r="CE387" s="1519"/>
      <c r="CF387" s="1519"/>
      <c r="CG387" s="1519"/>
      <c r="CH387" s="1519"/>
      <c r="CI387" s="1519"/>
      <c r="CJ387" s="1519"/>
      <c r="CK387" s="1519"/>
      <c r="CL387" s="1519"/>
      <c r="CM387" s="1519"/>
      <c r="CN387" s="1519"/>
      <c r="CO387" s="1519"/>
      <c r="CP387" s="1519"/>
      <c r="CQ387" s="1519"/>
      <c r="CR387" s="1519"/>
      <c r="CS387" s="1519"/>
      <c r="CT387" s="1519"/>
      <c r="CU387" s="1519"/>
      <c r="CV387" s="1519"/>
      <c r="CW387" s="1519"/>
      <c r="CX387" s="1519"/>
      <c r="CY387" s="1519"/>
      <c r="CZ387" s="1519"/>
    </row>
    <row r="388" spans="1:104">
      <c r="A388" s="1519"/>
      <c r="B388" s="1519"/>
      <c r="C388" s="1759" t="s">
        <v>189</v>
      </c>
      <c r="D388" s="1382"/>
      <c r="E388" s="1485"/>
      <c r="F388" s="1486"/>
      <c r="G388" s="1549"/>
      <c r="H388" s="1487"/>
      <c r="I388" s="1382"/>
      <c r="J388" s="1485"/>
      <c r="K388" s="1486"/>
      <c r="L388" s="1486"/>
      <c r="M388" s="1487"/>
      <c r="N388" s="1382"/>
      <c r="O388" s="1485"/>
      <c r="P388" s="1486"/>
      <c r="Q388" s="1486"/>
      <c r="R388" s="1487"/>
      <c r="S388" s="1382"/>
      <c r="T388" s="1485"/>
      <c r="U388" s="1486"/>
      <c r="V388" s="1486"/>
      <c r="W388" s="1487"/>
      <c r="X388" s="1382">
        <f>+X22</f>
        <v>197</v>
      </c>
      <c r="Y388" s="1485"/>
      <c r="Z388" s="1486"/>
      <c r="AA388" s="1486"/>
      <c r="AB388" s="1487">
        <f>SUM(Y22:AB22)</f>
        <v>393</v>
      </c>
      <c r="AC388" s="1382">
        <f>+AC22</f>
        <v>393</v>
      </c>
      <c r="AD388" s="1485">
        <f>SUM(AD22,Z22:AB22)</f>
        <v>504</v>
      </c>
      <c r="AE388" s="1486">
        <f>SUM(AD22:AE22,AA22:AB22)</f>
        <v>663</v>
      </c>
      <c r="AF388" s="1486">
        <f>SUM(AD22:AF22,AB22)</f>
        <v>666</v>
      </c>
      <c r="AG388" s="1487">
        <f>SUM(AD22:AG22)</f>
        <v>587</v>
      </c>
      <c r="AH388" s="1382">
        <f>+AH22</f>
        <v>587</v>
      </c>
      <c r="AI388" s="1485">
        <f>SUM(AI22,AE22:AG22)</f>
        <v>621</v>
      </c>
      <c r="AJ388" s="1486">
        <f>SUM(AI22:AJ22,AF22:AG22)</f>
        <v>594</v>
      </c>
      <c r="AK388" s="1486">
        <f>SUM(AI22:AK22,AG22)</f>
        <v>561</v>
      </c>
      <c r="AL388" s="1487">
        <f>SUM(AI22:AL22)</f>
        <v>597.59999999999968</v>
      </c>
      <c r="AM388" s="1382">
        <f>+AM22</f>
        <v>597.59999999999945</v>
      </c>
      <c r="AN388" s="1485">
        <f>SUM(AN22,AJ22:AL22)</f>
        <v>418.89999999999964</v>
      </c>
      <c r="AO388" s="1486">
        <f>SUM(AN22:AO22,AK22:AL22)</f>
        <v>365.39999999999958</v>
      </c>
      <c r="AP388" s="1486">
        <f>SUM(AO22:AP22,AL22:AM22)</f>
        <v>-1419.4000000000008</v>
      </c>
      <c r="AQ388" s="1487">
        <f>SUM(AN22:AQ22)</f>
        <v>-1830.4999999999998</v>
      </c>
      <c r="AR388" s="1382">
        <f>+AR22</f>
        <v>-1830.5</v>
      </c>
      <c r="AS388" s="1485">
        <f>SUM(AS22,AO22:AQ22)</f>
        <v>-1639.2999999999997</v>
      </c>
      <c r="AT388" s="1486">
        <f>SUM(AS22:AT22,AP22:AQ22)</f>
        <v>-1689.9999999999995</v>
      </c>
      <c r="AU388" s="1486">
        <f>SUM(AS22:AU22,AQ22)</f>
        <v>474.60000000000025</v>
      </c>
      <c r="AV388" s="1487">
        <f>SUM(AS22:AV22)</f>
        <v>363.89999999999975</v>
      </c>
      <c r="AW388" s="1382">
        <f>+AW22</f>
        <v>363.89999999999975</v>
      </c>
      <c r="AX388" s="1485">
        <f>SUM(AX22,AT22:AV22)</f>
        <v>74.183774171793715</v>
      </c>
      <c r="AY388" s="1486">
        <f>SUM(AX22:AY22,AU22:AV22)</f>
        <v>65.314519231884134</v>
      </c>
      <c r="AZ388" s="1486">
        <f>SUM(AX22:AZ22,AV22)</f>
        <v>59.812566966804553</v>
      </c>
      <c r="BA388" s="1487">
        <f>SUM(AX22:BA22)</f>
        <v>110.93385787071952</v>
      </c>
      <c r="BB388" s="1382">
        <f>+BB22</f>
        <v>110.93385787071929</v>
      </c>
      <c r="BC388" s="1485">
        <f>SUM(BC22,AY22:BA22)</f>
        <v>124.38189826776011</v>
      </c>
      <c r="BD388" s="1486">
        <f>SUM(BC22:BD22,AZ22:BA22)</f>
        <v>113.65927481170718</v>
      </c>
      <c r="BE388" s="1486">
        <f>SUM(BC22:BE22,BA22)</f>
        <v>94.346371185341582</v>
      </c>
      <c r="BF388" s="1487">
        <f>SUM(BC22:BF22)</f>
        <v>85.350624961926485</v>
      </c>
      <c r="BG388" s="1382">
        <f>+BG22</f>
        <v>85.350624961926087</v>
      </c>
      <c r="BH388" s="1485">
        <f>SUM(BH22,BD22:BF22)</f>
        <v>74.901175049307938</v>
      </c>
      <c r="BI388" s="1486">
        <f>SUM(BH22:BI22,BE22:BF22)</f>
        <v>70.291454435725313</v>
      </c>
      <c r="BJ388" s="1486">
        <f>SUM(BH22:BJ22,BF22)</f>
        <v>84.025301307260406</v>
      </c>
      <c r="BK388" s="1487">
        <f>SUM(BH22:BK22)</f>
        <v>79.956687531557122</v>
      </c>
      <c r="BL388" s="1382">
        <f>+BL22</f>
        <v>79.956687531557236</v>
      </c>
      <c r="BM388" s="1485">
        <f>SUM(BM22,BI22:BK22)</f>
        <v>84.641886092687514</v>
      </c>
      <c r="BN388" s="1486">
        <f>SUM(BM22:BN22,BJ22:BK22)</f>
        <v>107.10624211175821</v>
      </c>
      <c r="BO388" s="1486">
        <f>SUM(BM22:BO22,BK22)</f>
        <v>110.37373775543688</v>
      </c>
      <c r="BP388" s="1487">
        <f>SUM(BM22:BP22)</f>
        <v>122.18246420288716</v>
      </c>
      <c r="BQ388" s="1382">
        <f>+BQ22</f>
        <v>122.1824642028871</v>
      </c>
      <c r="BR388" s="1519"/>
      <c r="BS388" s="1519"/>
      <c r="BT388" s="1519"/>
      <c r="BU388" s="1519"/>
      <c r="BV388" s="1519"/>
      <c r="BW388" s="1519"/>
      <c r="BX388" s="1519"/>
      <c r="BY388" s="1519"/>
      <c r="BZ388" s="1519"/>
      <c r="CA388" s="1519"/>
      <c r="CB388" s="1519"/>
      <c r="CC388" s="1519"/>
      <c r="CD388" s="1519"/>
      <c r="CE388" s="1519"/>
      <c r="CF388" s="1519"/>
      <c r="CG388" s="1519"/>
      <c r="CH388" s="1519"/>
      <c r="CI388" s="1519"/>
      <c r="CJ388" s="1519"/>
      <c r="CK388" s="1519"/>
      <c r="CL388" s="1519"/>
      <c r="CM388" s="1519"/>
      <c r="CN388" s="1519"/>
      <c r="CO388" s="1519"/>
      <c r="CP388" s="1519"/>
      <c r="CQ388" s="1519"/>
      <c r="CR388" s="1519"/>
      <c r="CS388" s="1519"/>
      <c r="CT388" s="1519"/>
      <c r="CU388" s="1519"/>
      <c r="CV388" s="1519"/>
      <c r="CW388" s="1519"/>
      <c r="CX388" s="1519"/>
      <c r="CY388" s="1519"/>
      <c r="CZ388" s="1519"/>
    </row>
    <row r="389" spans="1:104">
      <c r="A389" s="1519"/>
      <c r="B389" s="1519"/>
      <c r="C389" s="1759" t="s">
        <v>190</v>
      </c>
      <c r="D389" s="1382"/>
      <c r="E389" s="1485"/>
      <c r="F389" s="1486"/>
      <c r="G389" s="1549"/>
      <c r="H389" s="1487"/>
      <c r="I389" s="1382"/>
      <c r="J389" s="1485"/>
      <c r="K389" s="1486"/>
      <c r="L389" s="1486"/>
      <c r="M389" s="1487"/>
      <c r="N389" s="1382"/>
      <c r="O389" s="1485"/>
      <c r="P389" s="1486"/>
      <c r="Q389" s="1486"/>
      <c r="R389" s="1487"/>
      <c r="S389" s="1382"/>
      <c r="T389" s="1485"/>
      <c r="U389" s="1486"/>
      <c r="V389" s="1486"/>
      <c r="W389" s="1487"/>
      <c r="X389" s="1382">
        <f>+X23</f>
        <v>546</v>
      </c>
      <c r="Y389" s="1485"/>
      <c r="Z389" s="1486"/>
      <c r="AA389" s="1486"/>
      <c r="AB389" s="1487">
        <f>SUM(Y23:AB23)</f>
        <v>629</v>
      </c>
      <c r="AC389" s="1382">
        <f>+AC23</f>
        <v>629</v>
      </c>
      <c r="AD389" s="1485">
        <f>SUM(AD23,Z23:AB23)</f>
        <v>735</v>
      </c>
      <c r="AE389" s="1486">
        <f>SUM(AD23:AE23,AA23:AB23)</f>
        <v>889</v>
      </c>
      <c r="AF389" s="1486">
        <f>SUM(AD23:AF23,AB23)</f>
        <v>891</v>
      </c>
      <c r="AG389" s="1487">
        <f>SUM(AD23:AG23)</f>
        <v>814</v>
      </c>
      <c r="AH389" s="1382">
        <f>+AH23</f>
        <v>814</v>
      </c>
      <c r="AI389" s="1485">
        <f>SUM(AI23,AE23:AG23)</f>
        <v>841</v>
      </c>
      <c r="AJ389" s="1486">
        <f>SUM(AI23:AJ23,AF23:AG23)</f>
        <v>809</v>
      </c>
      <c r="AK389" s="1486">
        <f>SUM(AI23:AK23,AG23)</f>
        <v>771</v>
      </c>
      <c r="AL389" s="1487">
        <f>SUM(AI23:AL23)</f>
        <v>798.99999999999966</v>
      </c>
      <c r="AM389" s="1382">
        <f>+AM23</f>
        <v>798.99999999999943</v>
      </c>
      <c r="AN389" s="1485">
        <f>SUM(AN23,AJ23:AL23)</f>
        <v>618.99999999999966</v>
      </c>
      <c r="AO389" s="1486">
        <f>SUM(AN23:AO23,AK23:AL23)</f>
        <v>565.09999999999957</v>
      </c>
      <c r="AP389" s="1486">
        <f>SUM(AO23:AP23,AL23:AM23)</f>
        <v>-1067.5000000000009</v>
      </c>
      <c r="AQ389" s="1487">
        <f>SUM(AN23:AQ23)</f>
        <v>-1675.8999999999999</v>
      </c>
      <c r="AR389" s="1382">
        <f>+AR23</f>
        <v>-1675.9</v>
      </c>
      <c r="AS389" s="1485">
        <f>SUM(AS23,AO23:AQ23)</f>
        <v>-1527.6999999999998</v>
      </c>
      <c r="AT389" s="1486">
        <f>SUM(AS23:AT23,AP23:AQ23)</f>
        <v>-1623.3999999999996</v>
      </c>
      <c r="AU389" s="1486">
        <f>SUM(AS23:AU23,AQ23)</f>
        <v>496.9000000000002</v>
      </c>
      <c r="AV389" s="1487">
        <f>SUM(AS23:AV23)</f>
        <v>388.09999999999974</v>
      </c>
      <c r="AW389" s="1382">
        <f>+AW23</f>
        <v>388.09999999999974</v>
      </c>
      <c r="AX389" s="1485">
        <f>SUM(AX23,AT23:AV23)</f>
        <v>98.379774171793727</v>
      </c>
      <c r="AY389" s="1486">
        <f>SUM(AX23:AY23,AU23:AV23)</f>
        <v>90.639142565217483</v>
      </c>
      <c r="AZ389" s="1486">
        <f>SUM(AX23:AZ23,AV23)</f>
        <v>86.68811073347122</v>
      </c>
      <c r="BA389" s="1487">
        <f>SUM(AX23:BA23)</f>
        <v>139.8723961997195</v>
      </c>
      <c r="BB389" s="1382">
        <f>+BB23</f>
        <v>139.8723961997193</v>
      </c>
      <c r="BC389" s="1485">
        <f>SUM(BC23,AY23:BA23)</f>
        <v>156.76305220577996</v>
      </c>
      <c r="BD389" s="1486">
        <f>SUM(BC23:BD23,AZ23:BA23)</f>
        <v>149.3202526440937</v>
      </c>
      <c r="BE389" s="1486">
        <f>SUM(BC23:BE23,BA23)</f>
        <v>133.1265670322307</v>
      </c>
      <c r="BF389" s="1487">
        <f>SUM(BC23:BF23)</f>
        <v>127.09159169857219</v>
      </c>
      <c r="BG389" s="1382">
        <f>+BG23</f>
        <v>127.09159169857179</v>
      </c>
      <c r="BH389" s="1485">
        <f>SUM(BH23,BD23:BF23)</f>
        <v>120.07292988709571</v>
      </c>
      <c r="BI389" s="1486">
        <f>SUM(BH23:BI23,BE23:BF23)</f>
        <v>118.86189003127478</v>
      </c>
      <c r="BJ389" s="1486">
        <f>SUM(BH23:BJ23,BF23)</f>
        <v>135.96261079669287</v>
      </c>
      <c r="BK389" s="1487">
        <f>SUM(BH23:BK23)</f>
        <v>135.22936171843071</v>
      </c>
      <c r="BL389" s="1382">
        <f>+BL23</f>
        <v>135.22936171843082</v>
      </c>
      <c r="BM389" s="1485">
        <f>SUM(BM23,BI23:BK23)</f>
        <v>143.21871066224938</v>
      </c>
      <c r="BN389" s="1486">
        <f>SUM(BM23:BN23,BJ23:BK23)</f>
        <v>168.17641227010267</v>
      </c>
      <c r="BO389" s="1486">
        <f>SUM(BM23:BO23,BK23)</f>
        <v>173.13403669927879</v>
      </c>
      <c r="BP389" s="1487">
        <f>SUM(BM23:BP23)</f>
        <v>185.83719210665953</v>
      </c>
      <c r="BQ389" s="1382">
        <f>+BQ23</f>
        <v>185.83719210665947</v>
      </c>
      <c r="BR389" s="1519"/>
      <c r="BS389" s="1519"/>
      <c r="BT389" s="1519"/>
      <c r="BU389" s="1519"/>
      <c r="BV389" s="1519"/>
      <c r="BW389" s="1519"/>
      <c r="BX389" s="1519"/>
      <c r="BY389" s="1519"/>
      <c r="BZ389" s="1519"/>
      <c r="CA389" s="1519"/>
      <c r="CB389" s="1519"/>
      <c r="CC389" s="1519"/>
      <c r="CD389" s="1519"/>
      <c r="CE389" s="1519"/>
      <c r="CF389" s="1519"/>
      <c r="CG389" s="1519"/>
      <c r="CH389" s="1519"/>
      <c r="CI389" s="1519"/>
      <c r="CJ389" s="1519"/>
      <c r="CK389" s="1519"/>
      <c r="CL389" s="1519"/>
      <c r="CM389" s="1519"/>
      <c r="CN389" s="1519"/>
      <c r="CO389" s="1519"/>
      <c r="CP389" s="1519"/>
      <c r="CQ389" s="1519"/>
      <c r="CR389" s="1519"/>
      <c r="CS389" s="1519"/>
      <c r="CT389" s="1519"/>
      <c r="CU389" s="1519"/>
      <c r="CV389" s="1519"/>
      <c r="CW389" s="1519"/>
      <c r="CX389" s="1519"/>
      <c r="CY389" s="1519"/>
      <c r="CZ389" s="1519"/>
    </row>
    <row r="390" spans="1:104">
      <c r="A390" s="1519"/>
      <c r="B390" s="1519"/>
      <c r="C390" s="1759" t="s">
        <v>191</v>
      </c>
      <c r="D390" s="1382"/>
      <c r="E390" s="1485"/>
      <c r="F390" s="1486"/>
      <c r="G390" s="1549"/>
      <c r="H390" s="1487"/>
      <c r="I390" s="1382"/>
      <c r="J390" s="1485"/>
      <c r="K390" s="1486"/>
      <c r="L390" s="1486"/>
      <c r="M390" s="1487"/>
      <c r="N390" s="1382"/>
      <c r="O390" s="1485"/>
      <c r="P390" s="1486"/>
      <c r="Q390" s="1486"/>
      <c r="R390" s="1487"/>
      <c r="S390" s="1382"/>
      <c r="T390" s="1485"/>
      <c r="U390" s="1486"/>
      <c r="V390" s="1486"/>
      <c r="W390" s="1487"/>
      <c r="X390" s="1382">
        <f>+SUM(X26:X26)</f>
        <v>83</v>
      </c>
      <c r="Y390" s="1485"/>
      <c r="Z390" s="1486"/>
      <c r="AA390" s="1486"/>
      <c r="AB390" s="1487">
        <f>SUM(Y26:AB26)</f>
        <v>55</v>
      </c>
      <c r="AC390" s="1382">
        <f>+SUM(AC26:AC26)</f>
        <v>55</v>
      </c>
      <c r="AD390" s="1485">
        <f>SUM(AD26:AD26,Z26:AB26)</f>
        <v>48</v>
      </c>
      <c r="AE390" s="1486">
        <f>SUM(AD26:AE26,AA26:AB26)</f>
        <v>44</v>
      </c>
      <c r="AF390" s="1486">
        <f>SUM(AD26:AF26,AB26:AB26)</f>
        <v>46</v>
      </c>
      <c r="AG390" s="1487">
        <f>SUM(AD26:AG26)</f>
        <v>46</v>
      </c>
      <c r="AH390" s="1382">
        <f>+SUM(AH26:AH26)</f>
        <v>46</v>
      </c>
      <c r="AI390" s="1485">
        <f>SUM(AI26:AI26,AE26:AG26)</f>
        <v>45</v>
      </c>
      <c r="AJ390" s="1486">
        <f>SUM(AI26:AJ26,AF26:AG26)</f>
        <v>44</v>
      </c>
      <c r="AK390" s="1486">
        <f>SUM(AI26:AK26,AG26:AG26)</f>
        <v>42</v>
      </c>
      <c r="AL390" s="1487">
        <f>SUM(AI26:AL26)</f>
        <v>40</v>
      </c>
      <c r="AM390" s="1382">
        <f>+SUM(AM26:AM26)</f>
        <v>40</v>
      </c>
      <c r="AN390" s="1485">
        <f>SUM(AN26:AN26,AJ26:AL26)</f>
        <v>38</v>
      </c>
      <c r="AO390" s="1486">
        <f>SUM(AN26:AO26,AK26:AL26)</f>
        <v>36.6</v>
      </c>
      <c r="AP390" s="1486">
        <f>SUM(AO26:AP26,AL26:AM26)</f>
        <v>67.099999999999994</v>
      </c>
      <c r="AQ390" s="1487">
        <f>SUM(AN26:AQ26)</f>
        <v>35.799999999999997</v>
      </c>
      <c r="AR390" s="1382">
        <f>+SUM(AR26:AR26)</f>
        <v>35.799999999999997</v>
      </c>
      <c r="AS390" s="1485">
        <f>SUM(AS26:AS26,AO26:AQ26)</f>
        <v>33.299999999999997</v>
      </c>
      <c r="AT390" s="1486">
        <f>SUM(AS26:AT26,AP26:AQ26)</f>
        <v>28.899999999999995</v>
      </c>
      <c r="AU390" s="1486">
        <f>SUM(AS26:AU26,AQ26:AQ26)</f>
        <v>23.399999999999995</v>
      </c>
      <c r="AV390" s="1487">
        <f>SUM(AS26:AV26)</f>
        <v>18.5</v>
      </c>
      <c r="AW390" s="1382">
        <f>+SUM(AW26:AW26)</f>
        <v>18.5</v>
      </c>
      <c r="AX390" s="1485">
        <f>SUM(AX26:AX26,AT26:AV26)</f>
        <v>17.694363334249999</v>
      </c>
      <c r="AY390" s="1486">
        <f>SUM(AX26:AY26,AU26:AV26)</f>
        <v>17.879659239734</v>
      </c>
      <c r="AZ390" s="1486">
        <f>SUM(AX26:AZ26,AV26:AV26)</f>
        <v>20.107714988430494</v>
      </c>
      <c r="BA390" s="1487">
        <f>SUM(AX26:BA26)</f>
        <v>21.352865993588249</v>
      </c>
      <c r="BB390" s="1382">
        <f>+SUM(BB26:BB26)</f>
        <v>21.352865993588249</v>
      </c>
      <c r="BC390" s="1485">
        <f>SUM(BC26:BC26,AY26:BA26)</f>
        <v>22.042604627326153</v>
      </c>
      <c r="BD390" s="1486">
        <f>SUM(BC26:BD26,AZ26:BA26)</f>
        <v>22.64225419858991</v>
      </c>
      <c r="BE390" s="1486">
        <f>SUM(BC26:BE26,BA26:BA26)</f>
        <v>24.221013374636872</v>
      </c>
      <c r="BF390" s="1487">
        <f>SUM(BC26:BF26)</f>
        <v>24.994401126115164</v>
      </c>
      <c r="BG390" s="1382">
        <f>+SUM(BG26:BG26)</f>
        <v>24.994401126115164</v>
      </c>
      <c r="BH390" s="1485">
        <f>SUM(BH26:BH26,BD26:BF26)</f>
        <v>26.670216743636207</v>
      </c>
      <c r="BI390" s="1486">
        <f>SUM(BH26:BI26,BE26:BF26)</f>
        <v>28.402212196641255</v>
      </c>
      <c r="BJ390" s="1486">
        <f>SUM(BH26:BJ26,BF26:BF26)</f>
        <v>31.130276428659513</v>
      </c>
      <c r="BK390" s="1487">
        <f>SUM(BH26:BK26)</f>
        <v>33.228489395541047</v>
      </c>
      <c r="BL390" s="1382">
        <f>+SUM(BL26:BL26)</f>
        <v>33.228489395541047</v>
      </c>
      <c r="BM390" s="1485">
        <f>SUM(BM26:BM26,BI26:BK26)</f>
        <v>35.229771486198075</v>
      </c>
      <c r="BN390" s="1486">
        <f>SUM(BM26:BN26,BJ26:BK26)</f>
        <v>37.108729989492467</v>
      </c>
      <c r="BO390" s="1486">
        <f>SUM(BM26:BO26,BK26:BK26)</f>
        <v>39.736256212680651</v>
      </c>
      <c r="BP390" s="1487">
        <f>SUM(BM26:BP26)</f>
        <v>41.714789575697665</v>
      </c>
      <c r="BQ390" s="1382">
        <f>+SUM(BQ26:BQ26)</f>
        <v>41.714789575697665</v>
      </c>
      <c r="BR390" s="1519"/>
      <c r="BS390" s="1519"/>
      <c r="BT390" s="1519"/>
      <c r="BU390" s="1519"/>
      <c r="BV390" s="1519"/>
      <c r="BW390" s="1519"/>
      <c r="BX390" s="1519"/>
      <c r="BY390" s="1519"/>
      <c r="BZ390" s="1519"/>
      <c r="CA390" s="1519"/>
      <c r="CB390" s="1519"/>
      <c r="CC390" s="1519"/>
      <c r="CD390" s="1519"/>
      <c r="CE390" s="1519"/>
      <c r="CF390" s="1519"/>
      <c r="CG390" s="1519"/>
      <c r="CH390" s="1519"/>
      <c r="CI390" s="1519"/>
      <c r="CJ390" s="1519"/>
      <c r="CK390" s="1519"/>
      <c r="CL390" s="1519"/>
      <c r="CM390" s="1519"/>
      <c r="CN390" s="1519"/>
      <c r="CO390" s="1519"/>
      <c r="CP390" s="1519"/>
      <c r="CQ390" s="1519"/>
      <c r="CR390" s="1519"/>
      <c r="CS390" s="1519"/>
      <c r="CT390" s="1519"/>
      <c r="CU390" s="1519"/>
      <c r="CV390" s="1519"/>
      <c r="CW390" s="1519"/>
      <c r="CX390" s="1519"/>
      <c r="CY390" s="1519"/>
      <c r="CZ390" s="1519"/>
    </row>
    <row r="391" spans="1:104">
      <c r="A391" s="1519"/>
      <c r="B391" s="1519"/>
      <c r="C391" s="1759" t="s">
        <v>192</v>
      </c>
      <c r="D391" s="1382"/>
      <c r="E391" s="1485"/>
      <c r="F391" s="1486"/>
      <c r="G391" s="1549"/>
      <c r="H391" s="1487"/>
      <c r="I391" s="1382"/>
      <c r="J391" s="1485"/>
      <c r="K391" s="1486"/>
      <c r="L391" s="1486"/>
      <c r="M391" s="1487"/>
      <c r="N391" s="1382"/>
      <c r="O391" s="1485"/>
      <c r="P391" s="1486"/>
      <c r="Q391" s="1486"/>
      <c r="R391" s="1487"/>
      <c r="S391" s="1382"/>
      <c r="T391" s="1485"/>
      <c r="U391" s="1486"/>
      <c r="V391" s="1486"/>
      <c r="W391" s="1487"/>
      <c r="X391" s="1382">
        <f>X38</f>
        <v>284</v>
      </c>
      <c r="Y391" s="1485"/>
      <c r="Z391" s="1486"/>
      <c r="AA391" s="1486"/>
      <c r="AB391" s="1487">
        <f>SUM(Y38:AB38)</f>
        <v>331</v>
      </c>
      <c r="AC391" s="1382">
        <f>AC38</f>
        <v>331</v>
      </c>
      <c r="AD391" s="1485">
        <f>SUM(AD38,Z38:AB38)</f>
        <v>405</v>
      </c>
      <c r="AE391" s="1486">
        <f>SUM(AD38:AE38,AA38:AB38)</f>
        <v>413</v>
      </c>
      <c r="AF391" s="1486">
        <f>SUM(AD38:AF38,AB38)</f>
        <v>418</v>
      </c>
      <c r="AG391" s="1487">
        <f>SUM(AD38:AG38)</f>
        <v>408</v>
      </c>
      <c r="AH391" s="1382">
        <f>AH38</f>
        <v>408</v>
      </c>
      <c r="AI391" s="1485">
        <f>SUM(AI38,AE38:AG38)</f>
        <v>428</v>
      </c>
      <c r="AJ391" s="1486">
        <f>SUM(AI38:AJ38,AF38:AG38)</f>
        <v>411</v>
      </c>
      <c r="AK391" s="1486">
        <f>SUM(AI38:AK38,AG38)</f>
        <v>387</v>
      </c>
      <c r="AL391" s="1487">
        <f>SUM(AI38:AL38)</f>
        <v>365.99999999999943</v>
      </c>
      <c r="AM391" s="1382">
        <f>AM38</f>
        <v>365.99999999999943</v>
      </c>
      <c r="AN391" s="1485">
        <f>SUM(AN38,AJ38:AL38)</f>
        <v>253.69999999999939</v>
      </c>
      <c r="AO391" s="1486">
        <f>SUM(AN38:AO38,AK38:AL38)</f>
        <v>218.69999999999936</v>
      </c>
      <c r="AP391" s="1486">
        <f>SUM(AO38:AP38,AL38:AM38)</f>
        <v>501.99999999999903</v>
      </c>
      <c r="AQ391" s="1487">
        <f>SUM(AN38:AQ38)</f>
        <v>245.19999999999993</v>
      </c>
      <c r="AR391" s="1382">
        <f>AR38</f>
        <v>245.19999999999982</v>
      </c>
      <c r="AS391" s="1485">
        <f>SUM(AS38,AO38:AQ38)</f>
        <v>242.79999999999995</v>
      </c>
      <c r="AT391" s="1486">
        <f>SUM(AS38:AT38,AP38:AQ38)</f>
        <v>218.60000000000008</v>
      </c>
      <c r="AU391" s="1486">
        <f>SUM(AS38:AU38,AQ38)</f>
        <v>169.69999999999985</v>
      </c>
      <c r="AV391" s="1487">
        <f>SUM(AS38:AV38)</f>
        <v>146.69999999999976</v>
      </c>
      <c r="AW391" s="1382">
        <f>AW38</f>
        <v>146.69999999999976</v>
      </c>
      <c r="AX391" s="1485">
        <f>SUM(AX38,AT38:AV38)</f>
        <v>90.819818903199845</v>
      </c>
      <c r="AY391" s="1486">
        <f>SUM(AX38:AY38,AU38:AV38)</f>
        <v>83.914226927367366</v>
      </c>
      <c r="AZ391" s="1486">
        <f>SUM(AX38:AZ38,AV38)</f>
        <v>84.289054170230884</v>
      </c>
      <c r="BA391" s="1487">
        <f>SUM(AX38:BA38)</f>
        <v>85.50455382661977</v>
      </c>
      <c r="BB391" s="1382">
        <f>BB38</f>
        <v>85.504553826619528</v>
      </c>
      <c r="BC391" s="1485">
        <f>SUM(BC38,AY38:BA38)</f>
        <v>96.878629833396474</v>
      </c>
      <c r="BD391" s="1486">
        <f>SUM(BC38:BD38,AZ38:BA38)</f>
        <v>89.951468999302449</v>
      </c>
      <c r="BE391" s="1486">
        <f>SUM(BC38:BE38,BA38)</f>
        <v>75.486289936135591</v>
      </c>
      <c r="BF391" s="1487">
        <f>SUM(BC38:BF38)</f>
        <v>69.474232781883273</v>
      </c>
      <c r="BG391" s="1382">
        <f>BG38</f>
        <v>69.474232781882876</v>
      </c>
      <c r="BH391" s="1485">
        <f>SUM(BH38,BD38:BF38)</f>
        <v>61.671515645643851</v>
      </c>
      <c r="BI391" s="1486">
        <f>SUM(BH38:BI38,BE38:BF38)</f>
        <v>58.264296101703891</v>
      </c>
      <c r="BJ391" s="1486">
        <f>SUM(BH38:BJ38,BF38)</f>
        <v>67.704711712181123</v>
      </c>
      <c r="BK391" s="1487">
        <f>SUM(BH38:BK38)</f>
        <v>64.093944192261105</v>
      </c>
      <c r="BL391" s="1382">
        <f>BL38</f>
        <v>64.093944192261219</v>
      </c>
      <c r="BM391" s="1485">
        <f>SUM(BM38,BI38:BK38)</f>
        <v>67.209741514265303</v>
      </c>
      <c r="BN391" s="1486">
        <f>SUM(BM38:BN38,BJ38:BK38)</f>
        <v>83.930664430699736</v>
      </c>
      <c r="BO391" s="1486">
        <f>SUM(BM38:BO38,BK38)</f>
        <v>85.311494314432778</v>
      </c>
      <c r="BP391" s="1487">
        <f>SUM(BM38:BP38)</f>
        <v>93.676894182762339</v>
      </c>
      <c r="BQ391" s="1382">
        <f>BQ38</f>
        <v>93.676894182762283</v>
      </c>
      <c r="BR391" s="1519"/>
      <c r="BS391" s="1519"/>
      <c r="BT391" s="1519"/>
      <c r="BU391" s="1519"/>
      <c r="BV391" s="1519"/>
      <c r="BW391" s="1519"/>
      <c r="BX391" s="1519"/>
      <c r="BY391" s="1519"/>
      <c r="BZ391" s="1519"/>
      <c r="CA391" s="1519"/>
      <c r="CB391" s="1519"/>
      <c r="CC391" s="1519"/>
      <c r="CD391" s="1519"/>
      <c r="CE391" s="1519"/>
      <c r="CF391" s="1519"/>
      <c r="CG391" s="1519"/>
      <c r="CH391" s="1519"/>
      <c r="CI391" s="1519"/>
      <c r="CJ391" s="1519"/>
      <c r="CK391" s="1519"/>
      <c r="CL391" s="1519"/>
      <c r="CM391" s="1519"/>
      <c r="CN391" s="1519"/>
      <c r="CO391" s="1519"/>
      <c r="CP391" s="1519"/>
      <c r="CQ391" s="1519"/>
      <c r="CR391" s="1519"/>
      <c r="CS391" s="1519"/>
      <c r="CT391" s="1519"/>
      <c r="CU391" s="1519"/>
      <c r="CV391" s="1519"/>
      <c r="CW391" s="1519"/>
      <c r="CX391" s="1519"/>
      <c r="CY391" s="1519"/>
      <c r="CZ391" s="1519"/>
    </row>
    <row r="392" spans="1:104">
      <c r="A392" s="1523"/>
      <c r="B392" s="1523"/>
      <c r="C392" s="1523"/>
      <c r="D392" s="1523"/>
      <c r="E392" s="1747"/>
      <c r="F392" s="1748"/>
      <c r="G392" s="1748"/>
      <c r="H392" s="1522"/>
      <c r="I392" s="1523"/>
      <c r="J392" s="1747"/>
      <c r="K392" s="1748"/>
      <c r="L392" s="1748"/>
      <c r="M392" s="1522"/>
      <c r="N392" s="1523"/>
      <c r="O392" s="1747"/>
      <c r="P392" s="1748"/>
      <c r="Q392" s="1748"/>
      <c r="R392" s="1522"/>
      <c r="S392" s="1523"/>
      <c r="T392" s="1747"/>
      <c r="U392" s="1748"/>
      <c r="V392" s="1748"/>
      <c r="W392" s="1522"/>
      <c r="X392" s="1523"/>
      <c r="Y392" s="1747"/>
      <c r="Z392" s="1748"/>
      <c r="AA392" s="1748"/>
      <c r="AB392" s="1522"/>
      <c r="AC392" s="1523"/>
      <c r="AD392" s="1747"/>
      <c r="AE392" s="1748"/>
      <c r="AF392" s="1748"/>
      <c r="AG392" s="1522"/>
      <c r="AH392" s="1523"/>
      <c r="AI392" s="1747"/>
      <c r="AJ392" s="1748"/>
      <c r="AK392" s="1748"/>
      <c r="AL392" s="1522"/>
      <c r="AM392" s="1523"/>
      <c r="AN392" s="1747"/>
      <c r="AO392" s="1748"/>
      <c r="AP392" s="1748"/>
      <c r="AQ392" s="1522"/>
      <c r="AR392" s="1523"/>
      <c r="AS392" s="1747"/>
      <c r="AT392" s="1748"/>
      <c r="AU392" s="1748"/>
      <c r="AV392" s="1522"/>
      <c r="AW392" s="1523"/>
      <c r="AX392" s="1747"/>
      <c r="AY392" s="1748"/>
      <c r="AZ392" s="1748"/>
      <c r="BA392" s="1522"/>
      <c r="BB392" s="1523"/>
      <c r="BC392" s="1747"/>
      <c r="BD392" s="1748"/>
      <c r="BE392" s="1748"/>
      <c r="BF392" s="1522"/>
      <c r="BG392" s="1523"/>
      <c r="BH392" s="1747"/>
      <c r="BI392" s="1748"/>
      <c r="BJ392" s="1748"/>
      <c r="BK392" s="1522"/>
      <c r="BL392" s="1523"/>
      <c r="BM392" s="1747"/>
      <c r="BN392" s="1748"/>
      <c r="BO392" s="1748"/>
      <c r="BP392" s="1522"/>
      <c r="BQ392" s="1523"/>
      <c r="BR392" s="1523"/>
      <c r="BS392" s="1523"/>
      <c r="BT392" s="1523"/>
      <c r="BU392" s="1523"/>
      <c r="BV392" s="1523"/>
      <c r="BW392" s="1523"/>
      <c r="BX392" s="1523"/>
      <c r="BY392" s="1523"/>
      <c r="BZ392" s="1523"/>
      <c r="CA392" s="1523"/>
      <c r="CB392" s="1523"/>
      <c r="CC392" s="1523"/>
      <c r="CD392" s="1523"/>
      <c r="CE392" s="1523"/>
      <c r="CF392" s="1523"/>
      <c r="CG392" s="1523"/>
      <c r="CH392" s="1523"/>
      <c r="CI392" s="1523"/>
      <c r="CJ392" s="1523"/>
      <c r="CK392" s="1523"/>
      <c r="CL392" s="1523"/>
      <c r="CM392" s="1523"/>
      <c r="CN392" s="1523"/>
      <c r="CO392" s="1523"/>
      <c r="CP392" s="1523"/>
      <c r="CQ392" s="1523"/>
      <c r="CR392" s="1523"/>
      <c r="CS392" s="1523"/>
      <c r="CT392" s="1523"/>
      <c r="CU392" s="1523"/>
      <c r="CV392" s="1523"/>
      <c r="CW392" s="1523"/>
      <c r="CX392" s="1523"/>
      <c r="CY392" s="1523"/>
      <c r="CZ392" s="1523"/>
    </row>
    <row r="393" spans="1:104">
      <c r="A393" s="1523"/>
      <c r="B393" s="1523"/>
      <c r="C393" s="1758" t="s">
        <v>871</v>
      </c>
      <c r="D393" s="1523"/>
      <c r="E393" s="1747"/>
      <c r="F393" s="1748"/>
      <c r="G393" s="1748"/>
      <c r="H393" s="1522"/>
      <c r="I393" s="1523"/>
      <c r="J393" s="1747"/>
      <c r="K393" s="1748"/>
      <c r="L393" s="1748"/>
      <c r="M393" s="1522"/>
      <c r="N393" s="1523"/>
      <c r="O393" s="1747"/>
      <c r="P393" s="1748"/>
      <c r="Q393" s="1748"/>
      <c r="R393" s="1522"/>
      <c r="S393" s="1523"/>
      <c r="T393" s="1747"/>
      <c r="U393" s="1748"/>
      <c r="V393" s="1748"/>
      <c r="W393" s="1522"/>
      <c r="X393" s="1523"/>
      <c r="Y393" s="1747"/>
      <c r="Z393" s="1748"/>
      <c r="AA393" s="1748"/>
      <c r="AB393" s="1522"/>
      <c r="AC393" s="1523"/>
      <c r="AD393" s="1747"/>
      <c r="AE393" s="1748"/>
      <c r="AF393" s="1748"/>
      <c r="AG393" s="1522"/>
      <c r="AH393" s="1523"/>
      <c r="AI393" s="1747"/>
      <c r="AJ393" s="1748"/>
      <c r="AK393" s="1748"/>
      <c r="AL393" s="1522"/>
      <c r="AM393" s="1523"/>
      <c r="AN393" s="1747"/>
      <c r="AO393" s="1748"/>
      <c r="AP393" s="1748"/>
      <c r="AQ393" s="1522"/>
      <c r="AR393" s="1523"/>
      <c r="AS393" s="1747"/>
      <c r="AT393" s="1748"/>
      <c r="AU393" s="1748"/>
      <c r="AV393" s="1522"/>
      <c r="AW393" s="1523"/>
      <c r="AX393" s="1747"/>
      <c r="AY393" s="1748"/>
      <c r="AZ393" s="1748"/>
      <c r="BA393" s="1522"/>
      <c r="BB393" s="1523"/>
      <c r="BC393" s="1747"/>
      <c r="BD393" s="1748"/>
      <c r="BE393" s="1748"/>
      <c r="BF393" s="1522"/>
      <c r="BG393" s="1523"/>
      <c r="BH393" s="1747"/>
      <c r="BI393" s="1748"/>
      <c r="BJ393" s="1748"/>
      <c r="BK393" s="1522"/>
      <c r="BL393" s="1523"/>
      <c r="BM393" s="1747"/>
      <c r="BN393" s="1748"/>
      <c r="BO393" s="1748"/>
      <c r="BP393" s="1522"/>
      <c r="BQ393" s="1523"/>
      <c r="BR393" s="1523"/>
      <c r="BS393" s="1523"/>
      <c r="BT393" s="1523"/>
      <c r="BU393" s="1523"/>
      <c r="BV393" s="1523"/>
      <c r="BW393" s="1523"/>
      <c r="BX393" s="1523"/>
      <c r="BY393" s="1523"/>
      <c r="BZ393" s="1523"/>
      <c r="CA393" s="1523"/>
      <c r="CB393" s="1523"/>
      <c r="CC393" s="1523"/>
      <c r="CD393" s="1523"/>
      <c r="CE393" s="1523"/>
      <c r="CF393" s="1523"/>
      <c r="CG393" s="1523"/>
      <c r="CH393" s="1523"/>
      <c r="CI393" s="1523"/>
      <c r="CJ393" s="1523"/>
      <c r="CK393" s="1523"/>
      <c r="CL393" s="1523"/>
      <c r="CM393" s="1523"/>
      <c r="CN393" s="1523"/>
      <c r="CO393" s="1523"/>
      <c r="CP393" s="1523"/>
      <c r="CQ393" s="1523"/>
      <c r="CR393" s="1523"/>
      <c r="CS393" s="1523"/>
      <c r="CT393" s="1523"/>
      <c r="CU393" s="1523"/>
      <c r="CV393" s="1523"/>
      <c r="CW393" s="1523"/>
      <c r="CX393" s="1523"/>
      <c r="CY393" s="1523"/>
      <c r="CZ393" s="1523"/>
    </row>
    <row r="394" spans="1:104">
      <c r="A394" s="1468"/>
      <c r="B394" s="1468"/>
      <c r="C394" s="1468" t="s">
        <v>193</v>
      </c>
      <c r="D394" s="1468"/>
      <c r="E394" s="1587"/>
      <c r="F394" s="1779"/>
      <c r="G394" s="1779"/>
      <c r="H394" s="1589"/>
      <c r="I394" s="1586"/>
      <c r="J394" s="1587"/>
      <c r="K394" s="1779"/>
      <c r="L394" s="1779"/>
      <c r="M394" s="1589"/>
      <c r="N394" s="1586"/>
      <c r="O394" s="1587"/>
      <c r="P394" s="1779"/>
      <c r="Q394" s="1779"/>
      <c r="R394" s="1589"/>
      <c r="S394" s="1586"/>
      <c r="T394" s="1587"/>
      <c r="U394" s="1779"/>
      <c r="V394" s="1779"/>
      <c r="W394" s="1589"/>
      <c r="X394" s="1586"/>
      <c r="Y394" s="1587">
        <f t="shared" ref="Y394:BL394" si="215">Y371/Y381</f>
        <v>0</v>
      </c>
      <c r="Z394" s="1779">
        <f t="shared" si="215"/>
        <v>0</v>
      </c>
      <c r="AA394" s="1779">
        <f t="shared" si="215"/>
        <v>0</v>
      </c>
      <c r="AB394" s="1589">
        <f t="shared" si="215"/>
        <v>0.8266159695817491</v>
      </c>
      <c r="AC394" s="1586">
        <f t="shared" si="215"/>
        <v>0.8266159695817491</v>
      </c>
      <c r="AD394" s="1587">
        <f t="shared" si="215"/>
        <v>0.73545331529093372</v>
      </c>
      <c r="AE394" s="1779">
        <f t="shared" si="215"/>
        <v>0.68893129770992367</v>
      </c>
      <c r="AF394" s="1779">
        <f t="shared" si="215"/>
        <v>0.63971462544589774</v>
      </c>
      <c r="AG394" s="1589">
        <f>AG371/AG381</f>
        <v>0.64371257485029942</v>
      </c>
      <c r="AH394" s="1586">
        <f>AH371/AH381</f>
        <v>0.64371257485029942</v>
      </c>
      <c r="AI394" s="1587">
        <f>AI371/AI381</f>
        <v>0.56263982102908272</v>
      </c>
      <c r="AJ394" s="1779">
        <f>AJ371/AJ381</f>
        <v>0.51569506726457404</v>
      </c>
      <c r="AK394" s="1779">
        <f t="shared" si="215"/>
        <v>0.46318156267566046</v>
      </c>
      <c r="AL394" s="1589">
        <f t="shared" si="215"/>
        <v>0.43613213636096948</v>
      </c>
      <c r="AM394" s="1586">
        <f t="shared" si="215"/>
        <v>0.43613213636096948</v>
      </c>
      <c r="AN394" s="1587">
        <f t="shared" si="215"/>
        <v>0.41741487379298681</v>
      </c>
      <c r="AO394" s="1779">
        <f>AO371/AO381</f>
        <v>0.39430939845412805</v>
      </c>
      <c r="AP394" s="1779">
        <f t="shared" si="215"/>
        <v>1.5988347898460271</v>
      </c>
      <c r="AQ394" s="1589">
        <f t="shared" si="215"/>
        <v>1.4461596385542181</v>
      </c>
      <c r="AR394" s="1586">
        <f t="shared" si="215"/>
        <v>1.4461596385542181</v>
      </c>
      <c r="AS394" s="1587">
        <f>AS371/AS381</f>
        <v>-2.3866666666665917</v>
      </c>
      <c r="AT394" s="1779">
        <f>AT371/AT381</f>
        <v>3.1403508771930921</v>
      </c>
      <c r="AU394" s="1779">
        <f t="shared" si="215"/>
        <v>0.79379157427938607</v>
      </c>
      <c r="AV394" s="1589">
        <f t="shared" ref="AV394:AW394" si="216">AV371/AV381</f>
        <v>-0.81585677749359187</v>
      </c>
      <c r="AW394" s="1586">
        <f t="shared" si="216"/>
        <v>-0.81585677749359187</v>
      </c>
      <c r="AX394" s="1587">
        <f t="shared" si="215"/>
        <v>0.66626287098729009</v>
      </c>
      <c r="AY394" s="1779">
        <f t="shared" si="215"/>
        <v>0.2383703359898395</v>
      </c>
      <c r="AZ394" s="1779">
        <f t="shared" si="215"/>
        <v>0.64232708616857881</v>
      </c>
      <c r="BA394" s="1589">
        <f t="shared" si="215"/>
        <v>0.18799882775247995</v>
      </c>
      <c r="BB394" s="1586">
        <f t="shared" si="215"/>
        <v>0.18799882775247995</v>
      </c>
      <c r="BC394" s="1587">
        <f t="shared" si="215"/>
        <v>0.14993826730776169</v>
      </c>
      <c r="BD394" s="1779">
        <f t="shared" si="215"/>
        <v>0.12493200861753281</v>
      </c>
      <c r="BE394" s="1779">
        <f t="shared" si="215"/>
        <v>0.41508901806099502</v>
      </c>
      <c r="BF394" s="1589">
        <f t="shared" si="215"/>
        <v>0.37653513165637353</v>
      </c>
      <c r="BG394" s="1586">
        <f t="shared" si="215"/>
        <v>0.37653513165637353</v>
      </c>
      <c r="BH394" s="1587">
        <f t="shared" si="215"/>
        <v>0.34075325569290099</v>
      </c>
      <c r="BI394" s="1779">
        <f t="shared" si="215"/>
        <v>0.30695826473175741</v>
      </c>
      <c r="BJ394" s="1779">
        <f t="shared" si="215"/>
        <v>0.46429628024790182</v>
      </c>
      <c r="BK394" s="1589">
        <f t="shared" si="215"/>
        <v>0.44962680769392382</v>
      </c>
      <c r="BL394" s="1586">
        <f t="shared" si="215"/>
        <v>0.44962680769392382</v>
      </c>
      <c r="BM394" s="1587">
        <f>BM371/BM381</f>
        <v>0.4489095326668785</v>
      </c>
      <c r="BN394" s="1779">
        <f>BN371/BN381</f>
        <v>0.44716119469802507</v>
      </c>
      <c r="BO394" s="1779">
        <f>BO371/BO381</f>
        <v>0.58237081761005316</v>
      </c>
      <c r="BP394" s="1589">
        <f>BP371/BP381</f>
        <v>0.5976482556647067</v>
      </c>
      <c r="BQ394" s="1586">
        <f>BQ371/BQ381</f>
        <v>0.5976482556647067</v>
      </c>
      <c r="BR394" s="1468"/>
      <c r="BS394" s="1468"/>
      <c r="BT394" s="1468"/>
      <c r="BU394" s="1468"/>
      <c r="BV394" s="1468"/>
      <c r="BW394" s="1468"/>
      <c r="BX394" s="1468"/>
      <c r="BY394" s="1468"/>
      <c r="BZ394" s="1468"/>
      <c r="CA394" s="1468"/>
      <c r="CB394" s="1468"/>
      <c r="CC394" s="1468"/>
      <c r="CD394" s="1468"/>
      <c r="CE394" s="1468"/>
      <c r="CF394" s="1468"/>
      <c r="CG394" s="1468"/>
      <c r="CH394" s="1468"/>
      <c r="CI394" s="1468"/>
      <c r="CJ394" s="1468"/>
      <c r="CK394" s="1468"/>
      <c r="CL394" s="1468"/>
      <c r="CM394" s="1468"/>
      <c r="CN394" s="1468"/>
      <c r="CO394" s="1468"/>
      <c r="CP394" s="1468"/>
      <c r="CQ394" s="1468"/>
      <c r="CR394" s="1468"/>
      <c r="CS394" s="1468"/>
      <c r="CT394" s="1468"/>
      <c r="CU394" s="1468"/>
      <c r="CV394" s="1468"/>
      <c r="CW394" s="1468"/>
      <c r="CX394" s="1468"/>
      <c r="CY394" s="1468"/>
      <c r="CZ394" s="1468"/>
    </row>
    <row r="395" spans="1:104">
      <c r="A395" s="1468"/>
      <c r="B395" s="1468"/>
      <c r="C395" s="1468" t="s">
        <v>194</v>
      </c>
      <c r="D395" s="1468"/>
      <c r="E395" s="1587"/>
      <c r="F395" s="1779"/>
      <c r="G395" s="1779"/>
      <c r="H395" s="1589"/>
      <c r="I395" s="1586"/>
      <c r="J395" s="1587"/>
      <c r="K395" s="1779"/>
      <c r="L395" s="1779"/>
      <c r="M395" s="1589"/>
      <c r="N395" s="1586"/>
      <c r="O395" s="1587"/>
      <c r="P395" s="1779"/>
      <c r="Q395" s="1779"/>
      <c r="R395" s="1589"/>
      <c r="S395" s="1586"/>
      <c r="T395" s="1587"/>
      <c r="U395" s="1779"/>
      <c r="V395" s="1779"/>
      <c r="W395" s="1589"/>
      <c r="X395" s="1586"/>
      <c r="Y395" s="1587">
        <f t="shared" ref="Y395:BL395" si="217">+Y372/Y381</f>
        <v>0</v>
      </c>
      <c r="Z395" s="1779">
        <f t="shared" si="217"/>
        <v>0</v>
      </c>
      <c r="AA395" s="1779">
        <f t="shared" si="217"/>
        <v>0</v>
      </c>
      <c r="AB395" s="1589">
        <f t="shared" si="217"/>
        <v>0.8266159695817491</v>
      </c>
      <c r="AC395" s="1586">
        <f t="shared" si="217"/>
        <v>0.8266159695817491</v>
      </c>
      <c r="AD395" s="1587">
        <f t="shared" si="217"/>
        <v>0.73545331529093372</v>
      </c>
      <c r="AE395" s="1779">
        <f t="shared" si="217"/>
        <v>0.68893129770992367</v>
      </c>
      <c r="AF395" s="1779">
        <f t="shared" si="217"/>
        <v>0.63971462544589774</v>
      </c>
      <c r="AG395" s="1589">
        <f>+AG372/AG381</f>
        <v>0.64371257485029942</v>
      </c>
      <c r="AH395" s="1586">
        <f>+AH372/AH381</f>
        <v>0.64371257485029942</v>
      </c>
      <c r="AI395" s="1587">
        <f>+AI372/AI381</f>
        <v>0.56263982102908272</v>
      </c>
      <c r="AJ395" s="1779">
        <f>+AJ372/AJ381</f>
        <v>0.51569506726457404</v>
      </c>
      <c r="AK395" s="1779">
        <f t="shared" si="217"/>
        <v>0.46318156267566046</v>
      </c>
      <c r="AL395" s="1589">
        <f t="shared" si="217"/>
        <v>0.43613213636096948</v>
      </c>
      <c r="AM395" s="1586">
        <f t="shared" si="217"/>
        <v>0.43613213636096948</v>
      </c>
      <c r="AN395" s="1587">
        <f t="shared" si="217"/>
        <v>0.41741487379298681</v>
      </c>
      <c r="AO395" s="1779">
        <f>+AO372/AO381</f>
        <v>0.39430939845412805</v>
      </c>
      <c r="AP395" s="1779">
        <f t="shared" si="217"/>
        <v>1.5988347898460271</v>
      </c>
      <c r="AQ395" s="1589">
        <f t="shared" si="217"/>
        <v>1.4461596385542181</v>
      </c>
      <c r="AR395" s="1586">
        <f t="shared" si="217"/>
        <v>1.4461596385542181</v>
      </c>
      <c r="AS395" s="1587">
        <f>+AS372/AS381</f>
        <v>-2.3866666666665917</v>
      </c>
      <c r="AT395" s="1779">
        <f>+AT372/AT381</f>
        <v>3.1403508771930921</v>
      </c>
      <c r="AU395" s="1779">
        <f t="shared" si="217"/>
        <v>0.79379157427938607</v>
      </c>
      <c r="AV395" s="1589">
        <f t="shared" ref="AV395:AW395" si="218">+AV372/AV381</f>
        <v>-0.81585677749359187</v>
      </c>
      <c r="AW395" s="1586">
        <f t="shared" si="218"/>
        <v>-0.81585677749359187</v>
      </c>
      <c r="AX395" s="1587">
        <f t="shared" si="217"/>
        <v>1.4402803128052151</v>
      </c>
      <c r="AY395" s="1779">
        <f t="shared" si="217"/>
        <v>0.76600680896744333</v>
      </c>
      <c r="AZ395" s="1779">
        <f t="shared" si="217"/>
        <v>0.64232708616857881</v>
      </c>
      <c r="BA395" s="1589">
        <f t="shared" si="217"/>
        <v>0.456473404580859</v>
      </c>
      <c r="BB395" s="1586">
        <f t="shared" si="217"/>
        <v>0.456473404580859</v>
      </c>
      <c r="BC395" s="1587">
        <f t="shared" si="217"/>
        <v>0.40499423261255479</v>
      </c>
      <c r="BD395" s="1779">
        <f t="shared" si="217"/>
        <v>0.40439774584970645</v>
      </c>
      <c r="BE395" s="1779">
        <f t="shared" si="217"/>
        <v>0.41508901806099502</v>
      </c>
      <c r="BF395" s="1589">
        <f t="shared" si="217"/>
        <v>0.37653513165637353</v>
      </c>
      <c r="BG395" s="1586">
        <f t="shared" si="217"/>
        <v>0.37653513165637353</v>
      </c>
      <c r="BH395" s="1587">
        <f t="shared" si="217"/>
        <v>0.39391770919024105</v>
      </c>
      <c r="BI395" s="1779">
        <f t="shared" si="217"/>
        <v>0.43144553254301393</v>
      </c>
      <c r="BJ395" s="1779">
        <f t="shared" si="217"/>
        <v>0.46429628024790182</v>
      </c>
      <c r="BK395" s="1589">
        <f t="shared" si="217"/>
        <v>0.44962680769392382</v>
      </c>
      <c r="BL395" s="1586">
        <f t="shared" si="217"/>
        <v>0.44962680769392382</v>
      </c>
      <c r="BM395" s="1587">
        <f>+BM372/BM381</f>
        <v>0.48458731028397684</v>
      </c>
      <c r="BN395" s="1779">
        <f>+BN372/BN381</f>
        <v>0.51815534290902066</v>
      </c>
      <c r="BO395" s="1779">
        <f>+BO372/BO381</f>
        <v>0.58237081761005316</v>
      </c>
      <c r="BP395" s="1589">
        <f>+BP372/BP381</f>
        <v>0.5976482556647067</v>
      </c>
      <c r="BQ395" s="1586">
        <f>+BQ372/BQ381</f>
        <v>0.5976482556647067</v>
      </c>
      <c r="BR395" s="1468"/>
      <c r="BS395" s="1468"/>
      <c r="BT395" s="1468"/>
      <c r="BU395" s="1468"/>
      <c r="BV395" s="1468"/>
      <c r="BW395" s="1468"/>
      <c r="BX395" s="1468"/>
      <c r="BY395" s="1468"/>
      <c r="BZ395" s="1468"/>
      <c r="CA395" s="1468"/>
      <c r="CB395" s="1468"/>
      <c r="CC395" s="1468"/>
      <c r="CD395" s="1468"/>
      <c r="CE395" s="1468"/>
      <c r="CF395" s="1468"/>
      <c r="CG395" s="1468"/>
      <c r="CH395" s="1468"/>
      <c r="CI395" s="1468"/>
      <c r="CJ395" s="1468"/>
      <c r="CK395" s="1468"/>
      <c r="CL395" s="1468"/>
      <c r="CM395" s="1468"/>
      <c r="CN395" s="1468"/>
      <c r="CO395" s="1468"/>
      <c r="CP395" s="1468"/>
      <c r="CQ395" s="1468"/>
      <c r="CR395" s="1468"/>
      <c r="CS395" s="1468"/>
      <c r="CT395" s="1468"/>
      <c r="CU395" s="1468"/>
      <c r="CV395" s="1468"/>
      <c r="CW395" s="1468"/>
      <c r="CX395" s="1468"/>
      <c r="CY395" s="1468"/>
      <c r="CZ395" s="1468"/>
    </row>
    <row r="396" spans="1:104">
      <c r="A396" s="1468"/>
      <c r="B396" s="1468"/>
      <c r="C396" s="1468" t="s">
        <v>887</v>
      </c>
      <c r="D396" s="1468"/>
      <c r="E396" s="1469"/>
      <c r="F396" s="1470"/>
      <c r="G396" s="1470"/>
      <c r="H396" s="1780"/>
      <c r="I396" s="1781"/>
      <c r="J396" s="1782"/>
      <c r="K396" s="1783"/>
      <c r="L396" s="1783"/>
      <c r="M396" s="1780"/>
      <c r="N396" s="1781"/>
      <c r="O396" s="1782"/>
      <c r="P396" s="1783"/>
      <c r="Q396" s="1783"/>
      <c r="R396" s="1780"/>
      <c r="S396" s="1781"/>
      <c r="T396" s="1782"/>
      <c r="U396" s="1783"/>
      <c r="V396" s="1783"/>
      <c r="W396" s="1780"/>
      <c r="X396" s="1781"/>
      <c r="Y396" s="1782"/>
      <c r="Z396" s="1783"/>
      <c r="AA396" s="1783"/>
      <c r="AB396" s="1780">
        <f t="shared" ref="AB396:BL396" si="219">(AB372-AB368)/AB389</f>
        <v>1.7281399046104928</v>
      </c>
      <c r="AC396" s="1781">
        <f t="shared" si="219"/>
        <v>1.7281399046104928</v>
      </c>
      <c r="AD396" s="1782">
        <f t="shared" si="219"/>
        <v>1.4789115646258504</v>
      </c>
      <c r="AE396" s="1783">
        <f t="shared" si="219"/>
        <v>1.2182227221597299</v>
      </c>
      <c r="AF396" s="1783">
        <f t="shared" si="219"/>
        <v>1.207631874298541</v>
      </c>
      <c r="AG396" s="1780">
        <f>(AG372-AG368)/AG389</f>
        <v>1.3206388206388207</v>
      </c>
      <c r="AH396" s="1781">
        <f>(AH372-AH368)/AH389</f>
        <v>1.3206388206388207</v>
      </c>
      <c r="AI396" s="1782">
        <f>(AI372-AI368)/AI389</f>
        <v>1.1961950059453033</v>
      </c>
      <c r="AJ396" s="1783">
        <f>(AJ372-AJ368)/AJ389</f>
        <v>1.1372064276885043</v>
      </c>
      <c r="AK396" s="1783">
        <f t="shared" si="219"/>
        <v>1.0687418936446174</v>
      </c>
      <c r="AL396" s="1780">
        <f t="shared" si="219"/>
        <v>0.93028785982478135</v>
      </c>
      <c r="AM396" s="1781">
        <f t="shared" si="219"/>
        <v>0.93028785982478157</v>
      </c>
      <c r="AN396" s="1782">
        <f t="shared" si="219"/>
        <v>1.1941841680129248</v>
      </c>
      <c r="AO396" s="1783">
        <f>(AO372-AO368)/AO389</f>
        <v>1.245797204034685</v>
      </c>
      <c r="AP396" s="1783">
        <f t="shared" si="219"/>
        <v>-0.71981264637002274</v>
      </c>
      <c r="AQ396" s="1780">
        <f t="shared" si="219"/>
        <v>-0.45838057163315232</v>
      </c>
      <c r="AR396" s="1781">
        <f t="shared" si="219"/>
        <v>-0.45838057163315227</v>
      </c>
      <c r="AS396" s="1782">
        <f>(AS372-AS368)/AS389</f>
        <v>-2.3433920272304773E-2</v>
      </c>
      <c r="AT396" s="1783">
        <f>(AT372-AT368)/AT389</f>
        <v>-2.2052482444252806E-2</v>
      </c>
      <c r="AU396" s="1783">
        <f t="shared" si="219"/>
        <v>7.2046689474743381E-2</v>
      </c>
      <c r="AV396" s="1780">
        <f t="shared" ref="AV396:AW396" si="220">(AV372-AV368)/AV389</f>
        <v>8.2195310486987944E-2</v>
      </c>
      <c r="AW396" s="1781">
        <f t="shared" si="220"/>
        <v>8.2195310486987944E-2</v>
      </c>
      <c r="AX396" s="1782">
        <f t="shared" si="219"/>
        <v>0.70094876388292249</v>
      </c>
      <c r="AY396" s="1783">
        <f t="shared" si="219"/>
        <v>1.1309810181129993</v>
      </c>
      <c r="AZ396" s="1783">
        <f t="shared" si="219"/>
        <v>1.354977067434801</v>
      </c>
      <c r="BA396" s="1780">
        <f t="shared" si="219"/>
        <v>0.98773533304677363</v>
      </c>
      <c r="BB396" s="1781">
        <f t="shared" si="219"/>
        <v>0.98773533304677685</v>
      </c>
      <c r="BC396" s="1782">
        <f t="shared" si="219"/>
        <v>0.98040362081176524</v>
      </c>
      <c r="BD396" s="1783">
        <f t="shared" si="219"/>
        <v>1.2334698942677471</v>
      </c>
      <c r="BE396" s="1783">
        <f t="shared" si="219"/>
        <v>1.5306405086728032</v>
      </c>
      <c r="BF396" s="1780">
        <f t="shared" si="219"/>
        <v>1.737395621861574</v>
      </c>
      <c r="BG396" s="1781">
        <f t="shared" si="219"/>
        <v>1.7373956218615829</v>
      </c>
      <c r="BH396" s="1782">
        <f t="shared" si="219"/>
        <v>2.2326524978946432</v>
      </c>
      <c r="BI396" s="1783">
        <f t="shared" si="219"/>
        <v>2.7422355849963997</v>
      </c>
      <c r="BJ396" s="1783">
        <f t="shared" si="219"/>
        <v>2.6484748978789829</v>
      </c>
      <c r="BK396" s="1780">
        <f t="shared" si="219"/>
        <v>2.9932485430902496</v>
      </c>
      <c r="BL396" s="1781">
        <f t="shared" si="219"/>
        <v>2.9932485430902465</v>
      </c>
      <c r="BM396" s="1782">
        <f>(BM372-BM368)/BM389</f>
        <v>3.0669107630665708</v>
      </c>
      <c r="BN396" s="1783">
        <f>(BN372-BN368)/BN389</f>
        <v>2.8036156744320224</v>
      </c>
      <c r="BO396" s="1783">
        <f>(BO372-BO368)/BO389</f>
        <v>2.8659207895404535</v>
      </c>
      <c r="BP396" s="1780">
        <f>(BP372-BP368)/BP389</f>
        <v>2.8262439810030831</v>
      </c>
      <c r="BQ396" s="1781">
        <f>(BQ372-BQ368)/BQ389</f>
        <v>2.8262439810030839</v>
      </c>
      <c r="BR396" s="1468"/>
      <c r="BS396" s="1468"/>
      <c r="BT396" s="1468"/>
      <c r="BU396" s="1468"/>
      <c r="BV396" s="1468"/>
      <c r="BW396" s="1468"/>
      <c r="BX396" s="1468"/>
      <c r="BY396" s="1468"/>
      <c r="BZ396" s="1468"/>
      <c r="CA396" s="1468"/>
      <c r="CB396" s="1468"/>
      <c r="CC396" s="1468"/>
      <c r="CD396" s="1468"/>
      <c r="CE396" s="1468"/>
      <c r="CF396" s="1468"/>
      <c r="CG396" s="1468"/>
      <c r="CH396" s="1468"/>
      <c r="CI396" s="1468"/>
      <c r="CJ396" s="1468"/>
      <c r="CK396" s="1468"/>
      <c r="CL396" s="1468"/>
      <c r="CM396" s="1468"/>
      <c r="CN396" s="1468"/>
      <c r="CO396" s="1468"/>
      <c r="CP396" s="1468"/>
      <c r="CQ396" s="1468"/>
      <c r="CR396" s="1468"/>
      <c r="CS396" s="1468"/>
      <c r="CT396" s="1468"/>
      <c r="CU396" s="1468"/>
      <c r="CV396" s="1468"/>
      <c r="CW396" s="1468"/>
      <c r="CX396" s="1468"/>
      <c r="CY396" s="1468"/>
      <c r="CZ396" s="1468"/>
    </row>
    <row r="397" spans="1:104">
      <c r="A397" s="1468"/>
      <c r="B397" s="1468"/>
      <c r="C397" s="1468" t="s">
        <v>888</v>
      </c>
      <c r="D397" s="1468"/>
      <c r="E397" s="1469"/>
      <c r="F397" s="1470"/>
      <c r="G397" s="1470"/>
      <c r="H397" s="1589"/>
      <c r="I397" s="1586"/>
      <c r="J397" s="1587"/>
      <c r="K397" s="1779"/>
      <c r="L397" s="1779"/>
      <c r="M397" s="1589"/>
      <c r="N397" s="1586"/>
      <c r="O397" s="1587"/>
      <c r="P397" s="1779"/>
      <c r="Q397" s="1779"/>
      <c r="R397" s="1589"/>
      <c r="S397" s="1586"/>
      <c r="T397" s="1587"/>
      <c r="U397" s="1779"/>
      <c r="V397" s="1779"/>
      <c r="W397" s="1589"/>
      <c r="X397" s="1586"/>
      <c r="Y397" s="1587"/>
      <c r="Z397" s="1779"/>
      <c r="AA397" s="1779"/>
      <c r="AB397" s="1589">
        <f t="shared" ref="AB397:BL397" si="221">AB387/AB372</f>
        <v>0.52161913523459058</v>
      </c>
      <c r="AC397" s="1586">
        <f t="shared" si="221"/>
        <v>0.52161913523459058</v>
      </c>
      <c r="AD397" s="1587">
        <f t="shared" si="221"/>
        <v>0.5850965961361545</v>
      </c>
      <c r="AE397" s="1779">
        <f t="shared" si="221"/>
        <v>0.59002770083102496</v>
      </c>
      <c r="AF397" s="1779">
        <f t="shared" si="221"/>
        <v>0.59758364312267653</v>
      </c>
      <c r="AG397" s="1589">
        <f>AG387/AG372</f>
        <v>0.59069767441860466</v>
      </c>
      <c r="AH397" s="1586">
        <f>AH387/AH372</f>
        <v>0.59069767441860466</v>
      </c>
      <c r="AI397" s="1587">
        <f>AI387/AI372</f>
        <v>0.64413518886679921</v>
      </c>
      <c r="AJ397" s="1779">
        <f>AJ387/AJ372</f>
        <v>0.68043478260869561</v>
      </c>
      <c r="AK397" s="1779">
        <f t="shared" si="221"/>
        <v>0.72451456310679607</v>
      </c>
      <c r="AL397" s="1589">
        <f t="shared" si="221"/>
        <v>0.76335261670926868</v>
      </c>
      <c r="AM397" s="1586">
        <f t="shared" si="221"/>
        <v>0.76335261670926868</v>
      </c>
      <c r="AN397" s="1587">
        <f t="shared" si="221"/>
        <v>0.61390692640692557</v>
      </c>
      <c r="AO397" s="1779">
        <f>AO387/AO372</f>
        <v>0.59431818181818097</v>
      </c>
      <c r="AP397" s="1779">
        <f t="shared" si="221"/>
        <v>1.1112701717855271</v>
      </c>
      <c r="AQ397" s="1589">
        <f t="shared" si="221"/>
        <v>0.52043738609737045</v>
      </c>
      <c r="AR397" s="1586">
        <f t="shared" si="221"/>
        <v>0.52043738609737034</v>
      </c>
      <c r="AS397" s="1587">
        <f>AS387/AS372</f>
        <v>9.8994413407821238</v>
      </c>
      <c r="AT397" s="1779">
        <f>AT387/AT372</f>
        <v>7.9664804469273758</v>
      </c>
      <c r="AU397" s="1779">
        <f t="shared" si="221"/>
        <v>5.363128491620107</v>
      </c>
      <c r="AV397" s="1589">
        <f t="shared" ref="AV397:AW397" si="222">AV387/AV372</f>
        <v>5.3573667711598674</v>
      </c>
      <c r="AW397" s="1586">
        <f t="shared" si="222"/>
        <v>5.3573667711598674</v>
      </c>
      <c r="AX397" s="1587">
        <f t="shared" si="221"/>
        <v>1.6678826093040318</v>
      </c>
      <c r="AY397" s="1779">
        <f t="shared" si="221"/>
        <v>1.0656289636640628</v>
      </c>
      <c r="AZ397" s="1779">
        <f t="shared" si="221"/>
        <v>0.61113028002692438</v>
      </c>
      <c r="BA397" s="1589">
        <f t="shared" si="221"/>
        <v>0.8283559174943923</v>
      </c>
      <c r="BB397" s="1586">
        <f t="shared" si="221"/>
        <v>0.82835591749439053</v>
      </c>
      <c r="BC397" s="1587">
        <f t="shared" si="221"/>
        <v>0.84103642992608973</v>
      </c>
      <c r="BD397" s="1779">
        <f t="shared" si="221"/>
        <v>0.68200161859088737</v>
      </c>
      <c r="BE397" s="1779">
        <f t="shared" si="221"/>
        <v>0.49274034404064126</v>
      </c>
      <c r="BF397" s="1589">
        <f t="shared" si="221"/>
        <v>0.47958257662151349</v>
      </c>
      <c r="BG397" s="1586">
        <f t="shared" si="221"/>
        <v>0.47958257662151177</v>
      </c>
      <c r="BH397" s="1587">
        <f t="shared" si="221"/>
        <v>0.39854827433048329</v>
      </c>
      <c r="BI397" s="1779">
        <f t="shared" si="221"/>
        <v>0.32776688197135567</v>
      </c>
      <c r="BJ397" s="1779">
        <f t="shared" si="221"/>
        <v>0.29403298402952466</v>
      </c>
      <c r="BK397" s="1589">
        <f t="shared" si="221"/>
        <v>0.29335615232031143</v>
      </c>
      <c r="BL397" s="1586">
        <f t="shared" si="221"/>
        <v>0.2933561523203117</v>
      </c>
      <c r="BM397" s="1587">
        <f>BM387/BM372</f>
        <v>0.2863738524902098</v>
      </c>
      <c r="BN397" s="1779">
        <f>BN387/BN372</f>
        <v>0.30752961120822775</v>
      </c>
      <c r="BO397" s="1779">
        <f>BO387/BO372</f>
        <v>0.25446261085800775</v>
      </c>
      <c r="BP397" s="1589">
        <f>BP387/BP372</f>
        <v>0.27037570387787374</v>
      </c>
      <c r="BQ397" s="1586">
        <f>BQ387/BQ372</f>
        <v>0.27037570387787363</v>
      </c>
      <c r="BR397" s="1468"/>
      <c r="BS397" s="1468"/>
      <c r="BT397" s="1468"/>
      <c r="BU397" s="1468"/>
      <c r="BV397" s="1468"/>
      <c r="BW397" s="1468"/>
      <c r="BX397" s="1468"/>
      <c r="BY397" s="1468"/>
      <c r="BZ397" s="1468"/>
      <c r="CA397" s="1468"/>
      <c r="CB397" s="1468"/>
      <c r="CC397" s="1468"/>
      <c r="CD397" s="1468"/>
      <c r="CE397" s="1468"/>
      <c r="CF397" s="1468"/>
      <c r="CG397" s="1468"/>
      <c r="CH397" s="1468"/>
      <c r="CI397" s="1468"/>
      <c r="CJ397" s="1468"/>
      <c r="CK397" s="1468"/>
      <c r="CL397" s="1468"/>
      <c r="CM397" s="1468"/>
      <c r="CN397" s="1468"/>
      <c r="CO397" s="1468"/>
      <c r="CP397" s="1468"/>
      <c r="CQ397" s="1468"/>
      <c r="CR397" s="1468"/>
      <c r="CS397" s="1468"/>
      <c r="CT397" s="1468"/>
      <c r="CU397" s="1468"/>
      <c r="CV397" s="1468"/>
      <c r="CW397" s="1468"/>
      <c r="CX397" s="1468"/>
      <c r="CY397" s="1468"/>
      <c r="CZ397" s="1468"/>
    </row>
    <row r="398" spans="1:104">
      <c r="A398" s="1523"/>
      <c r="B398" s="1523"/>
      <c r="C398" s="1523"/>
      <c r="D398" s="1523"/>
      <c r="E398" s="1747"/>
      <c r="F398" s="1748"/>
      <c r="G398" s="1748"/>
      <c r="H398" s="1522"/>
      <c r="I398" s="1523"/>
      <c r="J398" s="1747"/>
      <c r="K398" s="1748"/>
      <c r="L398" s="1748"/>
      <c r="M398" s="1522"/>
      <c r="N398" s="1523"/>
      <c r="O398" s="1747"/>
      <c r="P398" s="1748"/>
      <c r="Q398" s="1748"/>
      <c r="R398" s="1522"/>
      <c r="S398" s="1523"/>
      <c r="T398" s="1747"/>
      <c r="U398" s="1748"/>
      <c r="V398" s="1748"/>
      <c r="W398" s="1522"/>
      <c r="X398" s="1523"/>
      <c r="Y398" s="1747"/>
      <c r="Z398" s="1748"/>
      <c r="AA398" s="1748"/>
      <c r="AB398" s="1522"/>
      <c r="AC398" s="1523"/>
      <c r="AD398" s="1747"/>
      <c r="AE398" s="1748"/>
      <c r="AF398" s="1748"/>
      <c r="AG398" s="1522"/>
      <c r="AH398" s="1523"/>
      <c r="AI398" s="1747"/>
      <c r="AJ398" s="1748"/>
      <c r="AK398" s="1748"/>
      <c r="AL398" s="1522"/>
      <c r="AM398" s="1523"/>
      <c r="AN398" s="1747"/>
      <c r="AO398" s="1748"/>
      <c r="AP398" s="1748"/>
      <c r="AQ398" s="1522"/>
      <c r="AR398" s="1523"/>
      <c r="AS398" s="1747"/>
      <c r="AT398" s="1748"/>
      <c r="AU398" s="1748"/>
      <c r="AV398" s="1522"/>
      <c r="AW398" s="1523"/>
      <c r="AX398" s="1747"/>
      <c r="AY398" s="1748"/>
      <c r="AZ398" s="1748"/>
      <c r="BA398" s="1522"/>
      <c r="BB398" s="1523"/>
      <c r="BC398" s="1747"/>
      <c r="BD398" s="1748"/>
      <c r="BE398" s="1748"/>
      <c r="BF398" s="1522"/>
      <c r="BG398" s="1523"/>
      <c r="BH398" s="1747"/>
      <c r="BI398" s="1748"/>
      <c r="BJ398" s="1748"/>
      <c r="BK398" s="1522"/>
      <c r="BL398" s="1523"/>
      <c r="BM398" s="1747"/>
      <c r="BN398" s="1748"/>
      <c r="BO398" s="1748"/>
      <c r="BP398" s="1522"/>
      <c r="BQ398" s="1523"/>
      <c r="BR398" s="1523"/>
      <c r="BS398" s="1523"/>
      <c r="BT398" s="1523"/>
      <c r="BU398" s="1523"/>
      <c r="BV398" s="1523"/>
      <c r="BW398" s="1523"/>
      <c r="BX398" s="1523"/>
      <c r="BY398" s="1523"/>
      <c r="BZ398" s="1523"/>
      <c r="CA398" s="1523"/>
      <c r="CB398" s="1523"/>
      <c r="CC398" s="1523"/>
      <c r="CD398" s="1523"/>
      <c r="CE398" s="1523"/>
      <c r="CF398" s="1523"/>
      <c r="CG398" s="1523"/>
      <c r="CH398" s="1523"/>
      <c r="CI398" s="1523"/>
      <c r="CJ398" s="1523"/>
      <c r="CK398" s="1523"/>
      <c r="CL398" s="1523"/>
      <c r="CM398" s="1523"/>
      <c r="CN398" s="1523"/>
      <c r="CO398" s="1523"/>
      <c r="CP398" s="1523"/>
      <c r="CQ398" s="1523"/>
      <c r="CR398" s="1523"/>
      <c r="CS398" s="1523"/>
      <c r="CT398" s="1523"/>
      <c r="CU398" s="1523"/>
      <c r="CV398" s="1523"/>
      <c r="CW398" s="1523"/>
      <c r="CX398" s="1523"/>
      <c r="CY398" s="1523"/>
      <c r="CZ398" s="1523"/>
    </row>
    <row r="399" spans="1:104">
      <c r="A399" s="1523"/>
      <c r="B399" s="1523"/>
      <c r="C399" s="1758" t="s">
        <v>889</v>
      </c>
      <c r="D399" s="1523"/>
      <c r="E399" s="1747"/>
      <c r="F399" s="1748"/>
      <c r="G399" s="1748"/>
      <c r="H399" s="1522"/>
      <c r="I399" s="1523"/>
      <c r="J399" s="1747"/>
      <c r="K399" s="1748"/>
      <c r="L399" s="1748"/>
      <c r="M399" s="1522"/>
      <c r="N399" s="1523"/>
      <c r="O399" s="1747"/>
      <c r="P399" s="1748"/>
      <c r="Q399" s="1748"/>
      <c r="R399" s="1522"/>
      <c r="S399" s="1523"/>
      <c r="T399" s="1747"/>
      <c r="U399" s="1748"/>
      <c r="V399" s="1748"/>
      <c r="W399" s="1522"/>
      <c r="X399" s="1523"/>
      <c r="Y399" s="1747"/>
      <c r="Z399" s="1748"/>
      <c r="AA399" s="1748"/>
      <c r="AB399" s="1522"/>
      <c r="AC399" s="1523"/>
      <c r="AD399" s="1747"/>
      <c r="AE399" s="1748"/>
      <c r="AF399" s="1748"/>
      <c r="AG399" s="1522"/>
      <c r="AH399" s="1523"/>
      <c r="AI399" s="1747"/>
      <c r="AJ399" s="1748"/>
      <c r="AK399" s="1748"/>
      <c r="AL399" s="1522"/>
      <c r="AM399" s="1523"/>
      <c r="AN399" s="1747"/>
      <c r="AO399" s="1748"/>
      <c r="AP399" s="1748"/>
      <c r="AQ399" s="1522"/>
      <c r="AR399" s="1523"/>
      <c r="AS399" s="1747"/>
      <c r="AT399" s="1748"/>
      <c r="AU399" s="1748"/>
      <c r="AV399" s="1522"/>
      <c r="AW399" s="1523"/>
      <c r="AX399" s="1747"/>
      <c r="AY399" s="1748"/>
      <c r="AZ399" s="1748"/>
      <c r="BA399" s="1522"/>
      <c r="BB399" s="1523"/>
      <c r="BC399" s="1747"/>
      <c r="BD399" s="1748"/>
      <c r="BE399" s="1748"/>
      <c r="BF399" s="1522"/>
      <c r="BG399" s="1523"/>
      <c r="BH399" s="1747"/>
      <c r="BI399" s="1748"/>
      <c r="BJ399" s="1748"/>
      <c r="BK399" s="1522"/>
      <c r="BL399" s="1523"/>
      <c r="BM399" s="1747"/>
      <c r="BN399" s="1748"/>
      <c r="BO399" s="1748"/>
      <c r="BP399" s="1522"/>
      <c r="BQ399" s="1523"/>
      <c r="BR399" s="1523"/>
      <c r="BS399" s="1523"/>
      <c r="BT399" s="1523"/>
      <c r="BU399" s="1523"/>
      <c r="BV399" s="1523"/>
      <c r="BW399" s="1523"/>
      <c r="BX399" s="1523"/>
      <c r="BY399" s="1523"/>
      <c r="BZ399" s="1523"/>
      <c r="CA399" s="1523"/>
      <c r="CB399" s="1523"/>
      <c r="CC399" s="1523"/>
      <c r="CD399" s="1523"/>
      <c r="CE399" s="1523"/>
      <c r="CF399" s="1523"/>
      <c r="CG399" s="1523"/>
      <c r="CH399" s="1523"/>
      <c r="CI399" s="1523"/>
      <c r="CJ399" s="1523"/>
      <c r="CK399" s="1523"/>
      <c r="CL399" s="1523"/>
      <c r="CM399" s="1523"/>
      <c r="CN399" s="1523"/>
      <c r="CO399" s="1523"/>
      <c r="CP399" s="1523"/>
      <c r="CQ399" s="1523"/>
      <c r="CR399" s="1523"/>
      <c r="CS399" s="1523"/>
      <c r="CT399" s="1523"/>
      <c r="CU399" s="1523"/>
      <c r="CV399" s="1523"/>
      <c r="CW399" s="1523"/>
      <c r="CX399" s="1523"/>
      <c r="CY399" s="1523"/>
      <c r="CZ399" s="1523"/>
    </row>
    <row r="400" spans="1:104">
      <c r="A400" s="1523"/>
      <c r="B400" s="1523"/>
      <c r="C400" s="1523" t="s">
        <v>891</v>
      </c>
      <c r="D400" s="1523"/>
      <c r="E400" s="1747"/>
      <c r="F400" s="1748"/>
      <c r="G400" s="1748"/>
      <c r="H400" s="1780"/>
      <c r="I400" s="1781"/>
      <c r="J400" s="1782"/>
      <c r="K400" s="1783"/>
      <c r="L400" s="1783"/>
      <c r="M400" s="1780"/>
      <c r="N400" s="1781"/>
      <c r="O400" s="1782"/>
      <c r="P400" s="1783"/>
      <c r="Q400" s="1783"/>
      <c r="R400" s="1780"/>
      <c r="S400" s="1781"/>
      <c r="T400" s="1782"/>
      <c r="U400" s="1783"/>
      <c r="V400" s="1783"/>
      <c r="W400" s="1780"/>
      <c r="X400" s="1781">
        <f t="shared" ref="X400:BL400" si="223">(X387+X390)/X390</f>
        <v>8.6265060240963862</v>
      </c>
      <c r="Y400" s="1782"/>
      <c r="Z400" s="1783"/>
      <c r="AA400" s="1783"/>
      <c r="AB400" s="1780">
        <f t="shared" si="223"/>
        <v>11.309090909090909</v>
      </c>
      <c r="AC400" s="1781">
        <f t="shared" si="223"/>
        <v>11.309090909090909</v>
      </c>
      <c r="AD400" s="1782">
        <f t="shared" si="223"/>
        <v>14.25</v>
      </c>
      <c r="AE400" s="1783">
        <f t="shared" si="223"/>
        <v>15.522727272727273</v>
      </c>
      <c r="AF400" s="1783">
        <f t="shared" si="223"/>
        <v>14.978260869565217</v>
      </c>
      <c r="AG400" s="1780">
        <f>(AG387+AG390)/AG390</f>
        <v>14.804347826086957</v>
      </c>
      <c r="AH400" s="1781">
        <f>(AH387+AH390)/AH390</f>
        <v>14.804347826086957</v>
      </c>
      <c r="AI400" s="1782">
        <f>(AI387+AI390)/AI390</f>
        <v>15.4</v>
      </c>
      <c r="AJ400" s="1783">
        <f>(AJ387+AJ390)/AJ390</f>
        <v>15.227272727272727</v>
      </c>
      <c r="AK400" s="1783">
        <f t="shared" si="223"/>
        <v>15.214285714285714</v>
      </c>
      <c r="AL400" s="1780">
        <f t="shared" si="223"/>
        <v>15.184999999999985</v>
      </c>
      <c r="AM400" s="1781">
        <f t="shared" si="223"/>
        <v>15.184999999999985</v>
      </c>
      <c r="AN400" s="1782">
        <f t="shared" si="223"/>
        <v>12.942105263157879</v>
      </c>
      <c r="AO400" s="1783">
        <f>(AO387+AO390)/AO390</f>
        <v>12.431693989071022</v>
      </c>
      <c r="AP400" s="1783">
        <f t="shared" si="223"/>
        <v>13.725782414306991</v>
      </c>
      <c r="AQ400" s="1780">
        <f t="shared" si="223"/>
        <v>12.167597765363128</v>
      </c>
      <c r="AR400" s="1781">
        <f t="shared" si="223"/>
        <v>12.167597765363125</v>
      </c>
      <c r="AS400" s="1782">
        <f>(AS387+AS390)/AS390</f>
        <v>11.642642642642643</v>
      </c>
      <c r="AT400" s="1783">
        <f>(AT387+AT390)/AT390</f>
        <v>10.868512110726646</v>
      </c>
      <c r="AU400" s="1783">
        <f t="shared" si="223"/>
        <v>9.2051282051282008</v>
      </c>
      <c r="AV400" s="1780">
        <f t="shared" ref="AV400:AW400" si="224">(AV387+AV390)/AV390</f>
        <v>10.237837837837825</v>
      </c>
      <c r="AW400" s="1781">
        <f t="shared" si="224"/>
        <v>10.237837837837825</v>
      </c>
      <c r="AX400" s="1782">
        <f t="shared" si="223"/>
        <v>7.5001388708103489</v>
      </c>
      <c r="AY400" s="1783">
        <f t="shared" si="223"/>
        <v>7.1096718229360318</v>
      </c>
      <c r="AZ400" s="1783">
        <f t="shared" si="223"/>
        <v>6.5284550234006717</v>
      </c>
      <c r="BA400" s="1780">
        <f t="shared" si="223"/>
        <v>6.3596127184980356</v>
      </c>
      <c r="BB400" s="1781">
        <f t="shared" si="223"/>
        <v>6.3596127184980231</v>
      </c>
      <c r="BC400" s="1782">
        <f t="shared" si="223"/>
        <v>6.8640884757862661</v>
      </c>
      <c r="BD400" s="1783">
        <f t="shared" si="223"/>
        <v>6.547700583606721</v>
      </c>
      <c r="BE400" s="1783">
        <f t="shared" si="223"/>
        <v>5.717659167088331</v>
      </c>
      <c r="BF400" s="1780">
        <f t="shared" si="223"/>
        <v>5.4496044917166193</v>
      </c>
      <c r="BG400" s="1781">
        <f t="shared" si="223"/>
        <v>5.4496044917166033</v>
      </c>
      <c r="BH400" s="1782">
        <f t="shared" si="223"/>
        <v>5.0060893209248309</v>
      </c>
      <c r="BI400" s="1783">
        <f t="shared" si="223"/>
        <v>4.7614933286741383</v>
      </c>
      <c r="BJ400" s="1783">
        <f t="shared" si="223"/>
        <v>4.8432688343065076</v>
      </c>
      <c r="BK400" s="1780">
        <f t="shared" si="223"/>
        <v>4.5922974697475283</v>
      </c>
      <c r="BL400" s="1781">
        <f t="shared" si="223"/>
        <v>4.5922974697475318</v>
      </c>
      <c r="BM400" s="1782">
        <f>(BM387+BM390)/BM390</f>
        <v>4.5704621624669475</v>
      </c>
      <c r="BN400" s="1783">
        <f>(BN387+BN390)/BN390</f>
        <v>4.9074588278850282</v>
      </c>
      <c r="BO400" s="1783">
        <f>(BO387+BO390)/BO390</f>
        <v>4.7263649717212655</v>
      </c>
      <c r="BP400" s="1780">
        <f>(BP387+BP390)/BP390</f>
        <v>4.7716029179778836</v>
      </c>
      <c r="BQ400" s="1781">
        <f>(BQ387+BQ390)/BQ390</f>
        <v>4.7716029179778818</v>
      </c>
      <c r="BR400" s="1523"/>
      <c r="BS400" s="1523"/>
      <c r="BT400" s="1523"/>
      <c r="BU400" s="1523"/>
      <c r="BV400" s="1523"/>
      <c r="BW400" s="1523"/>
      <c r="BX400" s="1523"/>
      <c r="BY400" s="1523"/>
      <c r="BZ400" s="1523"/>
      <c r="CA400" s="1523"/>
      <c r="CB400" s="1523"/>
      <c r="CC400" s="1523"/>
      <c r="CD400" s="1523"/>
      <c r="CE400" s="1523"/>
      <c r="CF400" s="1523"/>
      <c r="CG400" s="1523"/>
      <c r="CH400" s="1523"/>
      <c r="CI400" s="1523"/>
      <c r="CJ400" s="1523"/>
      <c r="CK400" s="1523"/>
      <c r="CL400" s="1523"/>
      <c r="CM400" s="1523"/>
      <c r="CN400" s="1523"/>
      <c r="CO400" s="1523"/>
      <c r="CP400" s="1523"/>
      <c r="CQ400" s="1523"/>
      <c r="CR400" s="1523"/>
      <c r="CS400" s="1523"/>
      <c r="CT400" s="1523"/>
      <c r="CU400" s="1523"/>
      <c r="CV400" s="1523"/>
      <c r="CW400" s="1523"/>
      <c r="CX400" s="1523"/>
      <c r="CY400" s="1523"/>
      <c r="CZ400" s="1523"/>
    </row>
    <row r="401" spans="1:104">
      <c r="A401" s="1523"/>
      <c r="B401" s="1523"/>
      <c r="C401" s="1523" t="s">
        <v>892</v>
      </c>
      <c r="D401" s="1523"/>
      <c r="E401" s="1747"/>
      <c r="F401" s="1748"/>
      <c r="G401" s="1748"/>
      <c r="H401" s="1780"/>
      <c r="I401" s="1781"/>
      <c r="J401" s="1782"/>
      <c r="K401" s="1783"/>
      <c r="L401" s="1783"/>
      <c r="M401" s="1780"/>
      <c r="N401" s="1781"/>
      <c r="O401" s="1782"/>
      <c r="P401" s="1783"/>
      <c r="Q401" s="1783"/>
      <c r="R401" s="1780"/>
      <c r="S401" s="1781"/>
      <c r="T401" s="1782"/>
      <c r="U401" s="1783"/>
      <c r="V401" s="1783"/>
      <c r="W401" s="1780"/>
      <c r="X401" s="1781">
        <f t="shared" ref="X401:BL401" si="225">X388/X390</f>
        <v>2.3734939759036147</v>
      </c>
      <c r="Y401" s="1782"/>
      <c r="Z401" s="1783"/>
      <c r="AA401" s="1783"/>
      <c r="AB401" s="1780">
        <f t="shared" si="225"/>
        <v>7.1454545454545455</v>
      </c>
      <c r="AC401" s="1781">
        <f t="shared" si="225"/>
        <v>7.1454545454545455</v>
      </c>
      <c r="AD401" s="1782">
        <f t="shared" si="225"/>
        <v>10.5</v>
      </c>
      <c r="AE401" s="1783">
        <f t="shared" si="225"/>
        <v>15.068181818181818</v>
      </c>
      <c r="AF401" s="1783">
        <f t="shared" si="225"/>
        <v>14.478260869565217</v>
      </c>
      <c r="AG401" s="1780">
        <f>AG388/AG390</f>
        <v>12.760869565217391</v>
      </c>
      <c r="AH401" s="1781">
        <f>AH388/AH390</f>
        <v>12.760869565217391</v>
      </c>
      <c r="AI401" s="1782">
        <f>AI388/AI390</f>
        <v>13.8</v>
      </c>
      <c r="AJ401" s="1783">
        <f>AJ388/AJ390</f>
        <v>13.5</v>
      </c>
      <c r="AK401" s="1783">
        <f t="shared" si="225"/>
        <v>13.357142857142858</v>
      </c>
      <c r="AL401" s="1780">
        <f t="shared" si="225"/>
        <v>14.939999999999992</v>
      </c>
      <c r="AM401" s="1781">
        <f t="shared" si="225"/>
        <v>14.939999999999987</v>
      </c>
      <c r="AN401" s="1782">
        <f t="shared" si="225"/>
        <v>11.023684210526307</v>
      </c>
      <c r="AO401" s="1783">
        <f>AO388/AO390</f>
        <v>9.9836065573770369</v>
      </c>
      <c r="AP401" s="1783">
        <f t="shared" si="225"/>
        <v>-21.15350223546946</v>
      </c>
      <c r="AQ401" s="1780">
        <f t="shared" si="225"/>
        <v>-51.131284916201118</v>
      </c>
      <c r="AR401" s="1781">
        <f t="shared" si="225"/>
        <v>-51.131284916201125</v>
      </c>
      <c r="AS401" s="1782">
        <f>AS388/AS390</f>
        <v>-49.228228228228225</v>
      </c>
      <c r="AT401" s="1783">
        <f>AT388/AT390</f>
        <v>-58.477508650519027</v>
      </c>
      <c r="AU401" s="1783">
        <f t="shared" si="225"/>
        <v>20.282051282051299</v>
      </c>
      <c r="AV401" s="1780">
        <f t="shared" ref="AV401:AW401" si="226">AV388/AV390</f>
        <v>19.670270270270258</v>
      </c>
      <c r="AW401" s="1781">
        <f t="shared" si="226"/>
        <v>19.670270270270258</v>
      </c>
      <c r="AX401" s="1782">
        <f t="shared" si="225"/>
        <v>4.1925088103170287</v>
      </c>
      <c r="AY401" s="1783">
        <f t="shared" si="225"/>
        <v>3.6530069368847675</v>
      </c>
      <c r="AZ401" s="1783">
        <f t="shared" si="225"/>
        <v>2.9746078558015814</v>
      </c>
      <c r="BA401" s="1780">
        <f t="shared" si="225"/>
        <v>5.195267834492582</v>
      </c>
      <c r="BB401" s="1781">
        <f t="shared" si="225"/>
        <v>5.1952678344925713</v>
      </c>
      <c r="BC401" s="1782">
        <f t="shared" si="225"/>
        <v>5.6427949587030302</v>
      </c>
      <c r="BD401" s="1783">
        <f t="shared" si="225"/>
        <v>5.0197861844862395</v>
      </c>
      <c r="BE401" s="1783">
        <f t="shared" si="225"/>
        <v>3.8952280701903557</v>
      </c>
      <c r="BF401" s="1780">
        <f t="shared" si="225"/>
        <v>3.4147897575648929</v>
      </c>
      <c r="BG401" s="1781">
        <f t="shared" si="225"/>
        <v>3.4147897575648769</v>
      </c>
      <c r="BH401" s="1782">
        <f t="shared" si="225"/>
        <v>2.8084201853057733</v>
      </c>
      <c r="BI401" s="1783">
        <f t="shared" si="225"/>
        <v>2.4748584352889855</v>
      </c>
      <c r="BJ401" s="1783">
        <f t="shared" si="225"/>
        <v>2.6991505038453196</v>
      </c>
      <c r="BK401" s="1780">
        <f t="shared" si="225"/>
        <v>2.4062691078062239</v>
      </c>
      <c r="BL401" s="1781">
        <f t="shared" si="225"/>
        <v>2.406269107806227</v>
      </c>
      <c r="BM401" s="1782">
        <f>BM388/BM390</f>
        <v>2.4025669915527996</v>
      </c>
      <c r="BN401" s="1783">
        <f>BN388/BN390</f>
        <v>2.886281533808511</v>
      </c>
      <c r="BO401" s="1783">
        <f>BO388/BO390</f>
        <v>2.7776581961995293</v>
      </c>
      <c r="BP401" s="1780">
        <f>BP388/BP390</f>
        <v>2.9289962971326746</v>
      </c>
      <c r="BQ401" s="1781">
        <f>BQ388/BQ390</f>
        <v>2.9289962971326733</v>
      </c>
      <c r="BR401" s="1523"/>
      <c r="BS401" s="1523"/>
      <c r="BT401" s="1523"/>
      <c r="BU401" s="1523"/>
      <c r="BV401" s="1523"/>
      <c r="BW401" s="1523"/>
      <c r="BX401" s="1523"/>
      <c r="BY401" s="1523"/>
      <c r="BZ401" s="1523"/>
      <c r="CA401" s="1523"/>
      <c r="CB401" s="1523"/>
      <c r="CC401" s="1523"/>
      <c r="CD401" s="1523"/>
      <c r="CE401" s="1523"/>
      <c r="CF401" s="1523"/>
      <c r="CG401" s="1523"/>
      <c r="CH401" s="1523"/>
      <c r="CI401" s="1523"/>
      <c r="CJ401" s="1523"/>
      <c r="CK401" s="1523"/>
      <c r="CL401" s="1523"/>
      <c r="CM401" s="1523"/>
      <c r="CN401" s="1523"/>
      <c r="CO401" s="1523"/>
      <c r="CP401" s="1523"/>
      <c r="CQ401" s="1523"/>
      <c r="CR401" s="1523"/>
      <c r="CS401" s="1523"/>
      <c r="CT401" s="1523"/>
      <c r="CU401" s="1523"/>
      <c r="CV401" s="1523"/>
      <c r="CW401" s="1523"/>
      <c r="CX401" s="1523"/>
      <c r="CY401" s="1523"/>
      <c r="CZ401" s="1523"/>
    </row>
    <row r="402" spans="1:104" s="50" customFormat="1">
      <c r="E402" s="225"/>
      <c r="F402" s="226"/>
      <c r="G402" s="226"/>
      <c r="H402" s="227"/>
      <c r="I402" s="228"/>
      <c r="J402" s="225"/>
      <c r="K402" s="226"/>
      <c r="L402" s="226"/>
      <c r="M402" s="227"/>
      <c r="N402" s="228"/>
      <c r="O402" s="225"/>
      <c r="P402" s="226"/>
      <c r="Q402" s="226"/>
      <c r="R402" s="227"/>
      <c r="S402" s="228"/>
      <c r="T402" s="225"/>
      <c r="U402" s="226"/>
      <c r="V402" s="226"/>
      <c r="W402" s="227"/>
      <c r="X402" s="228"/>
      <c r="Y402" s="225"/>
      <c r="Z402" s="226"/>
      <c r="AA402" s="226"/>
      <c r="AB402" s="227"/>
      <c r="AC402" s="228"/>
      <c r="AD402" s="225"/>
      <c r="AE402" s="226"/>
      <c r="AF402" s="226"/>
      <c r="AG402" s="227"/>
      <c r="AH402" s="228"/>
      <c r="AI402" s="225"/>
      <c r="AJ402" s="226"/>
      <c r="AK402" s="226"/>
      <c r="AL402" s="227"/>
      <c r="AM402" s="228"/>
      <c r="AN402" s="225"/>
      <c r="AO402" s="226"/>
      <c r="AP402" s="226"/>
      <c r="AQ402" s="227"/>
      <c r="AR402" s="228"/>
      <c r="AS402" s="225"/>
      <c r="AT402" s="226"/>
      <c r="AU402" s="226"/>
      <c r="AV402" s="227"/>
      <c r="AW402" s="228"/>
      <c r="AX402" s="225"/>
      <c r="AY402" s="226"/>
      <c r="AZ402" s="226"/>
      <c r="BA402" s="227"/>
      <c r="BB402" s="228"/>
      <c r="BC402" s="225"/>
      <c r="BD402" s="226"/>
      <c r="BE402" s="226"/>
      <c r="BF402" s="227"/>
      <c r="BG402" s="228"/>
      <c r="BH402" s="225"/>
      <c r="BI402" s="226"/>
      <c r="BJ402" s="226"/>
      <c r="BK402" s="227"/>
      <c r="BL402" s="228"/>
      <c r="BM402" s="225"/>
      <c r="BN402" s="226"/>
      <c r="BO402" s="226"/>
      <c r="BP402" s="227"/>
      <c r="BQ402" s="228"/>
    </row>
    <row r="403" spans="1:104" s="1300" customFormat="1" ht="12.75" customHeight="1">
      <c r="B403" s="1622"/>
      <c r="C403" s="1622"/>
      <c r="D403" s="1622"/>
      <c r="E403" s="1619"/>
      <c r="F403" s="1620"/>
      <c r="G403" s="1620"/>
      <c r="H403" s="1621"/>
      <c r="J403" s="1619"/>
      <c r="K403" s="1620"/>
      <c r="L403" s="1620"/>
      <c r="M403" s="1621"/>
      <c r="N403" s="1622"/>
      <c r="O403" s="1619"/>
      <c r="P403" s="1620"/>
      <c r="Q403" s="1620"/>
      <c r="R403" s="1621"/>
      <c r="S403" s="1622"/>
      <c r="T403" s="1619"/>
      <c r="U403" s="1620"/>
      <c r="V403" s="1620"/>
      <c r="W403" s="1621"/>
      <c r="X403" s="1622"/>
      <c r="Y403" s="1619"/>
      <c r="Z403" s="1620"/>
      <c r="AA403" s="1620"/>
      <c r="AB403" s="1621"/>
      <c r="AC403" s="1622"/>
      <c r="AD403" s="1619"/>
      <c r="AE403" s="1620"/>
      <c r="AF403" s="1620"/>
      <c r="AG403" s="1621"/>
      <c r="AH403" s="1622"/>
      <c r="AI403" s="1619"/>
      <c r="AJ403" s="1620"/>
      <c r="AK403" s="1620"/>
      <c r="AL403" s="1621"/>
      <c r="AM403" s="1622"/>
      <c r="AN403" s="1619"/>
      <c r="AO403" s="1620"/>
      <c r="AP403" s="1620"/>
      <c r="AQ403" s="1621"/>
      <c r="AR403" s="1622"/>
      <c r="AS403" s="1619"/>
      <c r="AT403" s="1620"/>
      <c r="AU403" s="1620"/>
      <c r="AV403" s="1621"/>
      <c r="AW403" s="1622"/>
      <c r="AX403" s="1619"/>
      <c r="AY403" s="1620"/>
      <c r="AZ403" s="1620"/>
      <c r="BA403" s="1621"/>
      <c r="BB403" s="1622"/>
      <c r="BC403" s="1619"/>
      <c r="BD403" s="1620"/>
      <c r="BE403" s="1620"/>
      <c r="BF403" s="1621"/>
      <c r="BG403" s="1622"/>
      <c r="BH403" s="1619"/>
      <c r="BI403" s="1620"/>
      <c r="BJ403" s="1620"/>
      <c r="BK403" s="1621"/>
      <c r="BL403" s="1622"/>
      <c r="BM403" s="1619"/>
      <c r="BN403" s="1620"/>
      <c r="BO403" s="1620"/>
      <c r="BP403" s="1621"/>
      <c r="BQ403" s="1622"/>
    </row>
  </sheetData>
  <phoneticPr fontId="40" type="noConversion"/>
  <pageMargins left="0.5" right="0.5" top="0.5" bottom="0.5" header="0" footer="0"/>
  <pageSetup scale="55" fitToHeight="4"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72"/>
  <sheetViews>
    <sheetView zoomScale="80" zoomScaleNormal="80" workbookViewId="0">
      <pane xSplit="4" ySplit="5" topLeftCell="X6" activePane="bottomRight" state="frozen"/>
      <selection activeCell="S89" sqref="S89"/>
      <selection pane="topRight" activeCell="S89" sqref="S89"/>
      <selection pane="bottomLeft" activeCell="S89" sqref="S89"/>
      <selection pane="bottomRight" activeCell="X6" sqref="X6"/>
    </sheetView>
  </sheetViews>
  <sheetFormatPr defaultRowHeight="12.75" outlineLevelCol="1"/>
  <cols>
    <col min="1" max="2" width="2.7109375" customWidth="1"/>
    <col min="3" max="3" width="39.7109375" customWidth="1"/>
    <col min="4" max="4" width="5.7109375" customWidth="1"/>
    <col min="5" max="8" width="9" hidden="1" customWidth="1" outlineLevel="1"/>
    <col min="9" max="9" width="9" hidden="1" customWidth="1" outlineLevel="1" collapsed="1"/>
    <col min="10" max="13" width="9" hidden="1" customWidth="1" outlineLevel="1"/>
    <col min="14" max="14" width="9" hidden="1" customWidth="1" outlineLevel="1" collapsed="1"/>
    <col min="15" max="18" width="9" hidden="1" customWidth="1" outlineLevel="1"/>
    <col min="19" max="19" width="9" hidden="1" customWidth="1" outlineLevel="1" collapsed="1"/>
    <col min="20" max="23" width="9" hidden="1" customWidth="1" outlineLevel="1"/>
    <col min="24" max="24" width="9" customWidth="1" collapsed="1"/>
    <col min="25" max="28" width="9" hidden="1" customWidth="1" outlineLevel="1"/>
    <col min="29" max="29" width="9" customWidth="1" collapsed="1"/>
    <col min="30" max="33" width="9" hidden="1" customWidth="1" outlineLevel="1"/>
    <col min="34" max="34" width="9" customWidth="1" collapsed="1"/>
    <col min="35" max="38" width="9" hidden="1" customWidth="1" outlineLevel="1"/>
    <col min="39" max="39" width="9" customWidth="1" collapsed="1"/>
    <col min="40" max="43" width="9" hidden="1" customWidth="1" outlineLevel="1"/>
    <col min="44" max="44" width="9" customWidth="1" collapsed="1"/>
    <col min="45" max="48" width="9" hidden="1" customWidth="1" outlineLevel="1"/>
    <col min="49" max="49" width="9.7109375" bestFit="1" customWidth="1" collapsed="1"/>
    <col min="50" max="53" width="9" hidden="1" customWidth="1" outlineLevel="1"/>
    <col min="54" max="54" width="9" customWidth="1" collapsed="1"/>
    <col min="55" max="58" width="9" hidden="1" customWidth="1" outlineLevel="1"/>
    <col min="59" max="59" width="9" customWidth="1" collapsed="1"/>
    <col min="60" max="63" width="9" hidden="1" customWidth="1" outlineLevel="1"/>
    <col min="64" max="64" width="9" customWidth="1" collapsed="1"/>
    <col min="65" max="68" width="9" hidden="1" customWidth="1" outlineLevel="1"/>
    <col min="69" max="69" width="9" customWidth="1" collapsed="1"/>
  </cols>
  <sheetData>
    <row r="1" spans="1:69" ht="15" customHeight="1">
      <c r="A1" s="32"/>
      <c r="B1" s="32"/>
      <c r="C1" s="32"/>
      <c r="D1" s="33"/>
      <c r="E1" s="34"/>
      <c r="F1" s="34"/>
      <c r="G1" s="34"/>
      <c r="H1" s="34"/>
      <c r="I1" s="34"/>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c r="AW1" s="34"/>
      <c r="AX1" s="34"/>
      <c r="AY1" s="34"/>
      <c r="AZ1" s="34"/>
      <c r="BA1" s="34"/>
      <c r="BB1" s="34"/>
      <c r="BC1" s="34"/>
      <c r="BD1" s="34"/>
      <c r="BE1" s="34"/>
      <c r="BF1" s="34"/>
      <c r="BG1" s="34"/>
      <c r="BH1" s="34"/>
      <c r="BI1" s="34"/>
      <c r="BJ1" s="34"/>
      <c r="BK1" s="34"/>
      <c r="BL1" s="34"/>
      <c r="BM1" s="34"/>
      <c r="BN1" s="34"/>
      <c r="BO1" s="34"/>
      <c r="BP1" s="34"/>
      <c r="BQ1" s="34"/>
    </row>
    <row r="2" spans="1:69" ht="15" customHeight="1">
      <c r="A2" s="32"/>
      <c r="B2" s="32" t="str">
        <f>Cover!$B$2</f>
        <v>American Electric Power Company</v>
      </c>
      <c r="C2" s="32"/>
      <c r="D2" s="33"/>
      <c r="E2" s="34"/>
      <c r="F2" s="34"/>
      <c r="G2" s="34"/>
      <c r="H2" s="34"/>
      <c r="I2" s="34"/>
      <c r="J2" s="34"/>
      <c r="K2" s="34"/>
      <c r="L2" s="34"/>
      <c r="M2" s="34"/>
      <c r="N2" s="34"/>
      <c r="O2" s="34"/>
      <c r="P2" s="34"/>
      <c r="Q2" s="34"/>
      <c r="R2" s="34"/>
      <c r="S2" s="34"/>
      <c r="T2" s="34"/>
      <c r="U2" s="34"/>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c r="AW2" s="34"/>
      <c r="AX2" s="34"/>
      <c r="AY2" s="34"/>
      <c r="AZ2" s="34"/>
      <c r="BA2" s="34"/>
      <c r="BB2" s="34"/>
      <c r="BC2" s="34"/>
      <c r="BD2" s="34"/>
      <c r="BE2" s="34"/>
      <c r="BF2" s="34"/>
      <c r="BG2" s="34"/>
      <c r="BH2" s="34"/>
      <c r="BI2" s="34"/>
      <c r="BJ2" s="34"/>
      <c r="BK2" s="34"/>
      <c r="BL2" s="34"/>
      <c r="BM2" s="34"/>
      <c r="BN2" s="34"/>
      <c r="BO2" s="34"/>
      <c r="BP2" s="34"/>
      <c r="BQ2" s="34"/>
    </row>
    <row r="3" spans="1:69" ht="15" customHeight="1">
      <c r="A3" s="35"/>
      <c r="B3" s="36" t="s">
        <v>851</v>
      </c>
      <c r="C3" s="36"/>
      <c r="D3" s="3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c r="AW3" s="34"/>
      <c r="AX3" s="34"/>
      <c r="AY3" s="34"/>
      <c r="AZ3" s="34"/>
      <c r="BA3" s="34"/>
      <c r="BB3" s="34"/>
      <c r="BC3" s="34"/>
      <c r="BD3" s="34"/>
      <c r="BE3" s="34"/>
      <c r="BF3" s="34"/>
      <c r="BG3" s="34"/>
      <c r="BH3" s="34"/>
      <c r="BI3" s="34"/>
      <c r="BJ3" s="34"/>
      <c r="BK3" s="34"/>
      <c r="BL3" s="34"/>
      <c r="BM3" s="34"/>
      <c r="BN3" s="34"/>
      <c r="BO3" s="34"/>
      <c r="BP3" s="34"/>
      <c r="BQ3" s="34"/>
    </row>
    <row r="4" spans="1:69">
      <c r="A4" s="38"/>
      <c r="B4" s="39" t="s">
        <v>828</v>
      </c>
      <c r="C4" s="39"/>
      <c r="D4" s="38"/>
      <c r="E4" s="41"/>
      <c r="F4" s="41"/>
      <c r="G4" s="41"/>
      <c r="H4" s="41"/>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c r="BA4" s="41"/>
      <c r="BB4" s="41"/>
      <c r="BC4" s="41"/>
      <c r="BD4" s="41"/>
      <c r="BE4" s="41"/>
      <c r="BF4" s="41"/>
      <c r="BG4" s="41"/>
      <c r="BH4" s="41"/>
      <c r="BI4" s="41"/>
      <c r="BJ4" s="41"/>
      <c r="BK4" s="41"/>
      <c r="BL4" s="41"/>
      <c r="BM4" s="41"/>
      <c r="BN4" s="41"/>
      <c r="BO4" s="41"/>
      <c r="BP4" s="41"/>
      <c r="BQ4" s="41"/>
    </row>
    <row r="5" spans="1:69">
      <c r="B5" s="281" t="s">
        <v>859</v>
      </c>
      <c r="C5" s="281"/>
      <c r="D5" s="282"/>
      <c r="E5" s="131" t="s">
        <v>937</v>
      </c>
      <c r="F5" s="132" t="s">
        <v>938</v>
      </c>
      <c r="G5" s="132" t="s">
        <v>939</v>
      </c>
      <c r="H5" s="133" t="s">
        <v>940</v>
      </c>
      <c r="I5" s="283">
        <v>2009</v>
      </c>
      <c r="J5" s="131" t="s">
        <v>941</v>
      </c>
      <c r="K5" s="132" t="s">
        <v>942</v>
      </c>
      <c r="L5" s="132" t="s">
        <v>943</v>
      </c>
      <c r="M5" s="133" t="s">
        <v>944</v>
      </c>
      <c r="N5" s="283" t="s">
        <v>829</v>
      </c>
      <c r="O5" s="131" t="s">
        <v>945</v>
      </c>
      <c r="P5" s="132" t="s">
        <v>946</v>
      </c>
      <c r="Q5" s="132" t="s">
        <v>353</v>
      </c>
      <c r="R5" s="133" t="s">
        <v>76</v>
      </c>
      <c r="S5" s="283">
        <v>2011</v>
      </c>
      <c r="T5" s="131" t="s">
        <v>91</v>
      </c>
      <c r="U5" s="132" t="s">
        <v>92</v>
      </c>
      <c r="V5" s="132" t="s">
        <v>790</v>
      </c>
      <c r="W5" s="133" t="s">
        <v>644</v>
      </c>
      <c r="X5" s="284" t="s">
        <v>645</v>
      </c>
      <c r="Y5" s="131" t="s">
        <v>646</v>
      </c>
      <c r="Z5" s="132" t="s">
        <v>619</v>
      </c>
      <c r="AA5" s="132" t="s">
        <v>620</v>
      </c>
      <c r="AB5" s="133" t="s">
        <v>246</v>
      </c>
      <c r="AC5" s="284" t="s">
        <v>247</v>
      </c>
      <c r="AD5" s="131" t="s">
        <v>274</v>
      </c>
      <c r="AE5" s="132" t="s">
        <v>275</v>
      </c>
      <c r="AF5" s="132" t="s">
        <v>276</v>
      </c>
      <c r="AG5" s="133" t="s">
        <v>1060</v>
      </c>
      <c r="AH5" s="284" t="s">
        <v>1061</v>
      </c>
      <c r="AI5" s="131" t="s">
        <v>1062</v>
      </c>
      <c r="AJ5" s="132" t="s">
        <v>1063</v>
      </c>
      <c r="AK5" s="132" t="s">
        <v>1122</v>
      </c>
      <c r="AL5" s="133" t="s">
        <v>1123</v>
      </c>
      <c r="AM5" s="284" t="s">
        <v>1124</v>
      </c>
      <c r="AN5" s="131" t="s">
        <v>1131</v>
      </c>
      <c r="AO5" s="132" t="s">
        <v>1137</v>
      </c>
      <c r="AP5" s="132" t="s">
        <v>1274</v>
      </c>
      <c r="AQ5" s="133" t="s">
        <v>1291</v>
      </c>
      <c r="AR5" s="284" t="s">
        <v>1292</v>
      </c>
      <c r="AS5" s="131" t="s">
        <v>1320</v>
      </c>
      <c r="AT5" s="132" t="s">
        <v>1324</v>
      </c>
      <c r="AU5" s="132" t="s">
        <v>1330</v>
      </c>
      <c r="AV5" s="133" t="s">
        <v>1354</v>
      </c>
      <c r="AW5" s="284" t="s">
        <v>1353</v>
      </c>
      <c r="AX5" s="131" t="s">
        <v>69</v>
      </c>
      <c r="AY5" s="132" t="s">
        <v>70</v>
      </c>
      <c r="AZ5" s="132" t="s">
        <v>71</v>
      </c>
      <c r="BA5" s="133" t="s">
        <v>72</v>
      </c>
      <c r="BB5" s="284" t="s">
        <v>73</v>
      </c>
      <c r="BC5" s="126" t="s">
        <v>1067</v>
      </c>
      <c r="BD5" s="127" t="s">
        <v>1068</v>
      </c>
      <c r="BE5" s="127" t="s">
        <v>1069</v>
      </c>
      <c r="BF5" s="128" t="s">
        <v>1070</v>
      </c>
      <c r="BG5" s="130" t="s">
        <v>1065</v>
      </c>
      <c r="BH5" s="126" t="s">
        <v>1071</v>
      </c>
      <c r="BI5" s="127" t="s">
        <v>1072</v>
      </c>
      <c r="BJ5" s="127" t="s">
        <v>1073</v>
      </c>
      <c r="BK5" s="128" t="s">
        <v>1074</v>
      </c>
      <c r="BL5" s="130" t="s">
        <v>1066</v>
      </c>
      <c r="BM5" s="126" t="s">
        <v>1278</v>
      </c>
      <c r="BN5" s="127" t="s">
        <v>1279</v>
      </c>
      <c r="BO5" s="127" t="s">
        <v>1280</v>
      </c>
      <c r="BP5" s="128" t="s">
        <v>1281</v>
      </c>
      <c r="BQ5" s="130" t="s">
        <v>1282</v>
      </c>
    </row>
    <row r="6" spans="1:69">
      <c r="E6" s="148"/>
      <c r="F6" s="163"/>
      <c r="G6" s="163"/>
      <c r="H6" s="147"/>
      <c r="I6" s="72"/>
      <c r="J6" s="148"/>
      <c r="K6" s="163"/>
      <c r="L6" s="163"/>
      <c r="M6" s="147"/>
      <c r="N6" s="72"/>
      <c r="O6" s="148"/>
      <c r="P6" s="163"/>
      <c r="Q6" s="163"/>
      <c r="R6" s="147"/>
      <c r="S6" s="72"/>
      <c r="T6" s="148"/>
      <c r="U6" s="163"/>
      <c r="V6" s="163"/>
      <c r="W6" s="147"/>
      <c r="X6" s="72"/>
      <c r="Y6" s="148"/>
      <c r="Z6" s="163"/>
      <c r="AA6" s="163"/>
      <c r="AB6" s="147"/>
      <c r="AC6" s="72"/>
      <c r="AD6" s="148"/>
      <c r="AE6" s="163"/>
      <c r="AF6" s="163"/>
      <c r="AG6" s="147"/>
      <c r="AH6" s="72"/>
      <c r="AI6" s="148"/>
      <c r="AJ6" s="163"/>
      <c r="AK6" s="163"/>
      <c r="AL6" s="147"/>
      <c r="AM6" s="72"/>
      <c r="AN6" s="148"/>
      <c r="AO6" s="163"/>
      <c r="AP6" s="163"/>
      <c r="AQ6" s="147"/>
      <c r="AR6" s="72"/>
      <c r="AS6" s="148"/>
      <c r="AT6" s="163"/>
      <c r="AU6" s="163"/>
      <c r="AV6" s="147"/>
      <c r="AW6" s="72"/>
      <c r="AX6" s="148"/>
      <c r="AY6" s="163"/>
      <c r="AZ6" s="163"/>
      <c r="BA6" s="147"/>
      <c r="BB6" s="72"/>
      <c r="BC6" s="148"/>
      <c r="BD6" s="163"/>
      <c r="BE6" s="163"/>
      <c r="BF6" s="147"/>
      <c r="BG6" s="72"/>
      <c r="BH6" s="148"/>
      <c r="BI6" s="163"/>
      <c r="BJ6" s="163"/>
      <c r="BK6" s="147"/>
      <c r="BL6" s="72"/>
      <c r="BM6" s="148"/>
      <c r="BN6" s="163"/>
      <c r="BO6" s="163"/>
      <c r="BP6" s="147"/>
      <c r="BQ6" s="72"/>
    </row>
    <row r="7" spans="1:69">
      <c r="B7" s="46" t="s">
        <v>947</v>
      </c>
      <c r="C7" s="46"/>
      <c r="D7" s="47"/>
      <c r="E7" s="148"/>
      <c r="F7" s="163"/>
      <c r="G7" s="163"/>
      <c r="H7" s="147"/>
      <c r="I7" s="72"/>
      <c r="J7" s="148"/>
      <c r="K7" s="163"/>
      <c r="L7" s="163"/>
      <c r="M7" s="147"/>
      <c r="N7" s="72"/>
      <c r="O7" s="148"/>
      <c r="P7" s="637"/>
      <c r="Q7" s="637"/>
      <c r="R7" s="147"/>
      <c r="S7" s="72"/>
      <c r="T7" s="148"/>
      <c r="U7" s="163"/>
      <c r="V7" s="163"/>
      <c r="W7" s="147"/>
      <c r="X7" s="72"/>
      <c r="Y7" s="148"/>
      <c r="Z7" s="163"/>
      <c r="AA7" s="163"/>
      <c r="AB7" s="147"/>
      <c r="AC7" s="72"/>
      <c r="AD7" s="148"/>
      <c r="AE7" s="163"/>
      <c r="AF7" s="163"/>
      <c r="AG7" s="147"/>
      <c r="AH7" s="72"/>
      <c r="AI7" s="148"/>
      <c r="AJ7" s="163"/>
      <c r="AK7" s="163"/>
      <c r="AL7" s="147"/>
      <c r="AM7" s="72"/>
      <c r="AN7" s="148"/>
      <c r="AO7" s="163"/>
      <c r="AP7" s="163"/>
      <c r="AQ7" s="147"/>
      <c r="AR7" s="72"/>
      <c r="AS7" s="148"/>
      <c r="AT7" s="163"/>
      <c r="AU7" s="163"/>
      <c r="AV7" s="147"/>
      <c r="AW7" s="72"/>
      <c r="AX7" s="148"/>
      <c r="AY7" s="163"/>
      <c r="AZ7" s="163"/>
      <c r="BA7" s="147"/>
      <c r="BB7" s="72"/>
      <c r="BC7" s="148"/>
      <c r="BD7" s="163"/>
      <c r="BE7" s="163"/>
      <c r="BF7" s="147"/>
      <c r="BG7" s="72"/>
      <c r="BH7" s="148"/>
      <c r="BI7" s="163"/>
      <c r="BJ7" s="163"/>
      <c r="BK7" s="147"/>
      <c r="BL7" s="72"/>
      <c r="BM7" s="148"/>
      <c r="BN7" s="163"/>
      <c r="BO7" s="163"/>
      <c r="BP7" s="147"/>
      <c r="BQ7" s="72"/>
    </row>
    <row r="8" spans="1:69">
      <c r="A8" s="50"/>
      <c r="B8" s="50"/>
      <c r="C8" s="50" t="s">
        <v>948</v>
      </c>
      <c r="D8" s="50"/>
      <c r="E8" s="244"/>
      <c r="F8" s="222"/>
      <c r="G8" s="222"/>
      <c r="H8" s="157"/>
      <c r="I8" s="245"/>
      <c r="J8" s="244"/>
      <c r="K8" s="222"/>
      <c r="L8" s="222"/>
      <c r="M8" s="157"/>
      <c r="N8" s="245"/>
      <c r="O8" s="244"/>
      <c r="P8" s="222"/>
      <c r="Q8" s="222"/>
      <c r="R8" s="157"/>
      <c r="S8" s="245"/>
      <c r="T8" s="244"/>
      <c r="U8" s="222"/>
      <c r="V8" s="222"/>
      <c r="W8" s="144"/>
      <c r="X8" s="245">
        <f>AEP!X8-'Generation &amp; Marketing'!X8-'Vertically Integrated Utilities'!X8-'T&amp;D Utilities'!X8-'Transmission Holdco'!X8-'AEP River'!X8</f>
        <v>-3450</v>
      </c>
      <c r="Y8" s="244">
        <f>AEP!Y8-'Generation &amp; Marketing'!Y8-'Vertically Integrated Utilities'!Y8-'T&amp;D Utilities'!Y8-'Transmission Holdco'!Y8-'AEP River'!Y8</f>
        <v>-884</v>
      </c>
      <c r="Z8" s="222">
        <f>AEP!Z8-'Generation &amp; Marketing'!Z8-'Vertically Integrated Utilities'!Z8-'T&amp;D Utilities'!Z8-'Transmission Holdco'!Z8-'AEP River'!Z8</f>
        <v>-812</v>
      </c>
      <c r="AA8" s="222">
        <f>AEP!AA8-'Generation &amp; Marketing'!AA8-'Vertically Integrated Utilities'!AA8-'T&amp;D Utilities'!AA8-'Transmission Holdco'!AA8-'AEP River'!AA8</f>
        <v>-914</v>
      </c>
      <c r="AB8" s="1205">
        <f>AEP!AB8-'Generation &amp; Marketing'!AB8-'Vertically Integrated Utilities'!AB8-'T&amp;D Utilities'!AB8-'Transmission Holdco'!AB8-'AEP River'!AB8</f>
        <v>-809</v>
      </c>
      <c r="AC8" s="245">
        <f>AEP!AC8-'Generation &amp; Marketing'!AC8-'Vertically Integrated Utilities'!AC8-'T&amp;D Utilities'!AC8-'Transmission Holdco'!AC8-'AEP River'!AC8</f>
        <v>-3419</v>
      </c>
      <c r="AD8" s="244">
        <f>AEP!AD8-'Generation &amp; Marketing'!AD8-'Vertically Integrated Utilities'!AD8-'T&amp;D Utilities'!AD8-'Transmission Holdco'!AD8-'AEP River'!AD8</f>
        <v>-597</v>
      </c>
      <c r="AE8" s="222">
        <f>AEP!AE8-'Generation &amp; Marketing'!AE8-'Vertically Integrated Utilities'!AE8-'T&amp;D Utilities'!AE8-'Transmission Holdco'!AE8-'AEP River'!AE8</f>
        <v>-472</v>
      </c>
      <c r="AF8" s="222">
        <f>AEP!AF8-'Generation &amp; Marketing'!AF8-'Vertically Integrated Utilities'!AF8-'T&amp;D Utilities'!AF8-'Transmission Holdco'!AF8-'AEP River'!AF8</f>
        <v>-490</v>
      </c>
      <c r="AG8" s="1205">
        <f>AEP!AG8-'Generation &amp; Marketing'!AG8-'Vertically Integrated Utilities'!AG8-'T&amp;D Utilities'!AG8-'Transmission Holdco'!AG8-'AEP River'!AG8</f>
        <v>-460.60000000000036</v>
      </c>
      <c r="AH8" s="245">
        <f>AEP!AH8-'Generation &amp; Marketing'!AH8-'Vertically Integrated Utilities'!AH8-'T&amp;D Utilities'!AH8-'Transmission Holdco'!AH8-'AEP River'!AH8</f>
        <v>-2019.6000000000004</v>
      </c>
      <c r="AI8" s="244">
        <f>AEP!AI8-'Generation &amp; Marketing'!AI8-'Vertically Integrated Utilities'!AI8-'T&amp;D Utilities'!AI8-'Transmission Holdco'!AI8-'AEP River'!AI8</f>
        <v>-434</v>
      </c>
      <c r="AJ8" s="222">
        <f>AEP!AJ8-'Generation &amp; Marketing'!AJ8-'Vertically Integrated Utilities'!AJ8-'T&amp;D Utilities'!AJ8-'Transmission Holdco'!AJ8-'AEP River'!AJ8</f>
        <v>-330</v>
      </c>
      <c r="AK8" s="222">
        <f>AEP!AK8-'Generation &amp; Marketing'!AK8-'Vertically Integrated Utilities'!AK8-'T&amp;D Utilities'!AK8-'Transmission Holdco'!AK8-'AEP River'!AK8</f>
        <v>-151</v>
      </c>
      <c r="AL8" s="1205">
        <f>AEP!AL8-'Generation &amp; Marketing'!AL8-'Vertically Integrated Utilities'!AL8-'T&amp;D Utilities'!AL8-'Transmission Holdco'!AL8-'AEP River'!AL8</f>
        <v>-102.50000000000017</v>
      </c>
      <c r="AM8" s="245">
        <f>AEP!AM8-'Generation &amp; Marketing'!AM8-'Vertically Integrated Utilities'!AM8-'T&amp;D Utilities'!AM8-'Transmission Holdco'!AM8-'AEP River'!AM8</f>
        <v>-1017.5000000000011</v>
      </c>
      <c r="AN8" s="244">
        <f>AEP!AN8-'Generation &amp; Marketing'!AN8-'Vertically Integrated Utilities'!AN8-'T&amp;D Utilities'!AN8-'Transmission Holdco'!AN8-'AEP River'!AN8</f>
        <v>-134.09999999999977</v>
      </c>
      <c r="AO8" s="222">
        <f>AEP!AO8-'Generation &amp; Marketing'!AO8-'Vertically Integrated Utilities'!AO8-'T&amp;D Utilities'!AO8-'Transmission Holdco'!AO8-'AEP River'!AO8</f>
        <v>-174.59999999999962</v>
      </c>
      <c r="AP8" s="222">
        <f>AEP!AP8-'Generation &amp; Marketing'!AP8-'Vertically Integrated Utilities'!AP8-'T&amp;D Utilities'!AP8-'Transmission Holdco'!AP8-'AEP River'!AP8</f>
        <v>-171.50000000000037</v>
      </c>
      <c r="AQ8" s="1205">
        <f>AEP!AQ8-'Generation &amp; Marketing'!AQ8-'Vertically Integrated Utilities'!AQ8-'T&amp;D Utilities'!AQ8-'Transmission Holdco'!AQ8-'AEP River'!AQ8</f>
        <v>-152.79999999999933</v>
      </c>
      <c r="AR8" s="245">
        <f>AEP!AR8-'Generation &amp; Marketing'!AR8-'Vertically Integrated Utilities'!AR8-'T&amp;D Utilities'!AR8-'Transmission Holdco'!AR8-'AEP River'!AR8</f>
        <v>-632.99999999999886</v>
      </c>
      <c r="AS8" s="244">
        <f>AEP!AS8-'Generation &amp; Marketing'!AS8-'Vertically Integrated Utilities'!AS8-'T&amp;D Utilities'!AS8-'Transmission Holdco'!AS8-'AEP River'!AS8</f>
        <v>-191.00000000000009</v>
      </c>
      <c r="AT8" s="222">
        <f>AEP!AT8-'Generation &amp; Marketing'!AT8-'Vertically Integrated Utilities'!AT8-'T&amp;D Utilities'!AT8-'Transmission Holdco'!AT8-'AEP River'!AT8</f>
        <v>-255.39999999999992</v>
      </c>
      <c r="AU8" s="222">
        <f>AEP!AU8-'Generation &amp; Marketing'!AU8-'Vertically Integrated Utilities'!AU8-'T&amp;D Utilities'!AU8-'Transmission Holdco'!AU8-'AEP River'!AU8</f>
        <v>-194.79999999999995</v>
      </c>
      <c r="AV8" s="1205">
        <f>AEP!AV8-'Generation &amp; Marketing'!AV8-'Vertically Integrated Utilities'!AV8-'T&amp;D Utilities'!AV8-'Transmission Holdco'!AV8-'AEP River'!AV8</f>
        <v>-187.00000000000128</v>
      </c>
      <c r="AW8" s="245">
        <f>AEP!AW8-'Generation &amp; Marketing'!AW8-'Vertically Integrated Utilities'!AW8-'T&amp;D Utilities'!AW8-'Transmission Holdco'!AW8-'AEP River'!AW8</f>
        <v>-828.20000000000095</v>
      </c>
      <c r="AX8" s="1906">
        <f t="shared" ref="AX8:BA9" si="0">AS8</f>
        <v>-191.00000000000009</v>
      </c>
      <c r="AY8" s="1911">
        <f t="shared" si="0"/>
        <v>-255.39999999999992</v>
      </c>
      <c r="AZ8" s="1911">
        <f t="shared" si="0"/>
        <v>-194.79999999999995</v>
      </c>
      <c r="BA8" s="1905">
        <f t="shared" si="0"/>
        <v>-187.00000000000128</v>
      </c>
      <c r="BB8" s="245">
        <f>SUM(AX8:BA8)</f>
        <v>-828.20000000000118</v>
      </c>
      <c r="BC8" s="161">
        <f t="shared" ref="BC8:BF9" si="1">+AX8</f>
        <v>-191.00000000000009</v>
      </c>
      <c r="BD8" s="160">
        <f t="shared" si="1"/>
        <v>-255.39999999999992</v>
      </c>
      <c r="BE8" s="160">
        <f t="shared" si="1"/>
        <v>-194.79999999999995</v>
      </c>
      <c r="BF8" s="144">
        <f t="shared" si="1"/>
        <v>-187.00000000000128</v>
      </c>
      <c r="BG8" s="245">
        <f>SUM(BC8:BF8)</f>
        <v>-828.20000000000118</v>
      </c>
      <c r="BH8" s="161">
        <f t="shared" ref="BH8:BK9" si="2">+BC8</f>
        <v>-191.00000000000009</v>
      </c>
      <c r="BI8" s="160">
        <f t="shared" si="2"/>
        <v>-255.39999999999992</v>
      </c>
      <c r="BJ8" s="160">
        <f t="shared" si="2"/>
        <v>-194.79999999999995</v>
      </c>
      <c r="BK8" s="144">
        <f t="shared" si="2"/>
        <v>-187.00000000000128</v>
      </c>
      <c r="BL8" s="245">
        <f>SUM(BH8:BK8)</f>
        <v>-828.20000000000118</v>
      </c>
      <c r="BM8" s="161">
        <f t="shared" ref="BM8:BP9" si="3">+BH8</f>
        <v>-191.00000000000009</v>
      </c>
      <c r="BN8" s="160">
        <f t="shared" si="3"/>
        <v>-255.39999999999992</v>
      </c>
      <c r="BO8" s="160">
        <f t="shared" si="3"/>
        <v>-194.79999999999995</v>
      </c>
      <c r="BP8" s="144">
        <f t="shared" si="3"/>
        <v>-187.00000000000128</v>
      </c>
      <c r="BQ8" s="245">
        <f>SUM(BM8:BP8)</f>
        <v>-828.20000000000118</v>
      </c>
    </row>
    <row r="9" spans="1:69">
      <c r="A9" s="50"/>
      <c r="B9" s="50"/>
      <c r="C9" s="525" t="s">
        <v>949</v>
      </c>
      <c r="D9" s="50"/>
      <c r="E9" s="244"/>
      <c r="F9" s="160"/>
      <c r="G9" s="160"/>
      <c r="H9" s="144"/>
      <c r="I9" s="245"/>
      <c r="J9" s="244"/>
      <c r="K9" s="160"/>
      <c r="L9" s="160"/>
      <c r="M9" s="144"/>
      <c r="N9" s="245"/>
      <c r="O9" s="244"/>
      <c r="P9" s="160"/>
      <c r="Q9" s="160"/>
      <c r="R9" s="144"/>
      <c r="S9" s="245"/>
      <c r="T9" s="244"/>
      <c r="U9" s="160"/>
      <c r="V9" s="160"/>
      <c r="W9" s="144"/>
      <c r="X9" s="245">
        <f>AEP!X9-'Generation &amp; Marketing'!X9-'Vertically Integrated Utilities'!X9-'T&amp;D Utilities'!X9-'Transmission Holdco'!X9-'AEP River'!X9</f>
        <v>-3265</v>
      </c>
      <c r="Y9" s="244">
        <f>AEP!Y9-'Generation &amp; Marketing'!Y9-'Vertically Integrated Utilities'!Y9-'T&amp;D Utilities'!Y9-'Transmission Holdco'!Y9-'AEP River'!Y9</f>
        <v>-816</v>
      </c>
      <c r="Z9" s="160">
        <f>AEP!Z9-'Generation &amp; Marketing'!Z9-'Vertically Integrated Utilities'!Z9-'T&amp;D Utilities'!Z9-'Transmission Holdco'!Z9-'AEP River'!Z9</f>
        <v>-750</v>
      </c>
      <c r="AA9" s="160">
        <f>AEP!AA9-'Generation &amp; Marketing'!AA9-'Vertically Integrated Utilities'!AA9-'T&amp;D Utilities'!AA9-'Transmission Holdco'!AA9-'AEP River'!AA9</f>
        <v>-838</v>
      </c>
      <c r="AB9" s="1205">
        <f>AEP!AB9-'Generation &amp; Marketing'!AB9-'Vertically Integrated Utilities'!AB9-'T&amp;D Utilities'!AB9-'Transmission Holdco'!AB9-'AEP River'!AB9</f>
        <v>-739</v>
      </c>
      <c r="AC9" s="245">
        <f>AEP!AC9-'Generation &amp; Marketing'!AC9-'Vertically Integrated Utilities'!AC9-'T&amp;D Utilities'!AC9-'Transmission Holdco'!AC9-'AEP River'!AC9</f>
        <v>-3143</v>
      </c>
      <c r="AD9" s="244">
        <f>AEP!AD9-'Generation &amp; Marketing'!AD9-'Vertically Integrated Utilities'!AD9-'T&amp;D Utilities'!AD9-'Transmission Holdco'!AD9-'AEP River'!AD9</f>
        <v>-496</v>
      </c>
      <c r="AE9" s="160">
        <f>AEP!AE9-'Generation &amp; Marketing'!AE9-'Vertically Integrated Utilities'!AE9-'T&amp;D Utilities'!AE9-'Transmission Holdco'!AE9-'AEP River'!AE9</f>
        <v>-321</v>
      </c>
      <c r="AF9" s="160">
        <f>AEP!AF9-'Generation &amp; Marketing'!AF9-'Vertically Integrated Utilities'!AF9-'T&amp;D Utilities'!AF9-'Transmission Holdco'!AF9-'AEP River'!AF9</f>
        <v>-387</v>
      </c>
      <c r="AG9" s="1205">
        <f>AEP!AG9-'Generation &amp; Marketing'!AG9-'Vertically Integrated Utilities'!AG9-'T&amp;D Utilities'!AG9-'Transmission Holdco'!AG9-'AEP River'!AG9</f>
        <v>-346.5</v>
      </c>
      <c r="AH9" s="245">
        <f>AEP!AH9-'Generation &amp; Marketing'!AH9-'Vertically Integrated Utilities'!AH9-'T&amp;D Utilities'!AH9-'Transmission Holdco'!AH9-'AEP River'!AH9</f>
        <v>-1550.5</v>
      </c>
      <c r="AI9" s="244">
        <f>AEP!AI9-'Generation &amp; Marketing'!AI9-'Vertically Integrated Utilities'!AI9-'T&amp;D Utilities'!AI9-'Transmission Holdco'!AI9-'AEP River'!AI9</f>
        <v>-331</v>
      </c>
      <c r="AJ9" s="160">
        <f>AEP!AJ9-'Generation &amp; Marketing'!AJ9-'Vertically Integrated Utilities'!AJ9-'T&amp;D Utilities'!AJ9-'Transmission Holdco'!AJ9-'AEP River'!AJ9</f>
        <v>-185</v>
      </c>
      <c r="AK9" s="160">
        <f>AEP!AK9-'Generation &amp; Marketing'!AK9-'Vertically Integrated Utilities'!AK9-'T&amp;D Utilities'!AK9-'Transmission Holdco'!AK9-'AEP River'!AK9</f>
        <v>-38</v>
      </c>
      <c r="AL9" s="1205">
        <f>AEP!AL9-'Generation &amp; Marketing'!AL9-'Vertically Integrated Utilities'!AL9-'T&amp;D Utilities'!AL9-'Transmission Holdco'!AL9-'AEP River'!AL9</f>
        <v>-29.400000000000546</v>
      </c>
      <c r="AM9" s="245">
        <f>AEP!AM9-'Generation &amp; Marketing'!AM9-'Vertically Integrated Utilities'!AM9-'T&amp;D Utilities'!AM9-'Transmission Holdco'!AM9-'AEP River'!AM9</f>
        <v>-583.40000000000055</v>
      </c>
      <c r="AN9" s="244">
        <f>AEP!AN9-'Generation &amp; Marketing'!AN9-'Vertically Integrated Utilities'!AN9-'T&amp;D Utilities'!AN9-'Transmission Holdco'!AN9-'AEP River'!AN9</f>
        <v>-32.099999999999994</v>
      </c>
      <c r="AO9" s="160">
        <f>AEP!AO9-'Generation &amp; Marketing'!AO9-'Vertically Integrated Utilities'!AO9-'T&amp;D Utilities'!AO9-'Transmission Holdco'!AO9-'AEP River'!AO9</f>
        <v>-24.600000000000136</v>
      </c>
      <c r="AP9" s="160">
        <f>AEP!AP9-'Generation &amp; Marketing'!AP9-'Vertically Integrated Utilities'!AP9-'T&amp;D Utilities'!AP9-'Transmission Holdco'!AP9-'AEP River'!AP9</f>
        <v>-25.200000000000131</v>
      </c>
      <c r="AQ9" s="1205">
        <f>AEP!AQ9-'Generation &amp; Marketing'!AQ9-'Vertically Integrated Utilities'!AQ9-'T&amp;D Utilities'!AQ9-'Transmission Holdco'!AQ9-'AEP River'!AQ9</f>
        <v>29.900000000000432</v>
      </c>
      <c r="AR9" s="245">
        <f>AEP!AR9-'Generation &amp; Marketing'!AR9-'Vertically Integrated Utilities'!AR9-'T&amp;D Utilities'!AR9-'Transmission Holdco'!AR9-'AEP River'!AR9</f>
        <v>-51.999999999999886</v>
      </c>
      <c r="AS9" s="244">
        <f>AEP!AS9-'Generation &amp; Marketing'!AS9-'Vertically Integrated Utilities'!AS9-'T&amp;D Utilities'!AS9-'Transmission Holdco'!AS9-'AEP River'!AS9</f>
        <v>-11.799999999999983</v>
      </c>
      <c r="AT9" s="160">
        <f>AEP!AT9-'Generation &amp; Marketing'!AT9-'Vertically Integrated Utilities'!AT9-'T&amp;D Utilities'!AT9-'Transmission Holdco'!AT9-'AEP River'!AT9</f>
        <v>-10.19999999999996</v>
      </c>
      <c r="AU9" s="160">
        <f>AEP!AU9-'Generation &amp; Marketing'!AU9-'Vertically Integrated Utilities'!AU9-'T&amp;D Utilities'!AU9-'Transmission Holdco'!AU9-'AEP River'!AU9</f>
        <v>-13.39999999999992</v>
      </c>
      <c r="AV9" s="1205">
        <f>AEP!AV9-'Generation &amp; Marketing'!AV9-'Vertically Integrated Utilities'!AV9-'T&amp;D Utilities'!AV9-'Transmission Holdco'!AV9-'AEP River'!AV9</f>
        <v>-7.9999999999995453</v>
      </c>
      <c r="AW9" s="245">
        <f>AEP!AW9-'Generation &amp; Marketing'!AW9-'Vertically Integrated Utilities'!AW9-'T&amp;D Utilities'!AW9-'Transmission Holdco'!AW9-'AEP River'!AW9</f>
        <v>-43.399999999999409</v>
      </c>
      <c r="AX9" s="1906">
        <f t="shared" si="0"/>
        <v>-11.799999999999983</v>
      </c>
      <c r="AY9" s="1911">
        <f t="shared" si="0"/>
        <v>-10.19999999999996</v>
      </c>
      <c r="AZ9" s="1911">
        <f t="shared" si="0"/>
        <v>-13.39999999999992</v>
      </c>
      <c r="BA9" s="1905">
        <f t="shared" si="0"/>
        <v>-7.9999999999995453</v>
      </c>
      <c r="BB9" s="245">
        <f>SUM(AX9:BA9)</f>
        <v>-43.399999999999409</v>
      </c>
      <c r="BC9" s="161">
        <f t="shared" si="1"/>
        <v>-11.799999999999983</v>
      </c>
      <c r="BD9" s="160">
        <f t="shared" si="1"/>
        <v>-10.19999999999996</v>
      </c>
      <c r="BE9" s="160">
        <f t="shared" si="1"/>
        <v>-13.39999999999992</v>
      </c>
      <c r="BF9" s="144">
        <f t="shared" si="1"/>
        <v>-7.9999999999995453</v>
      </c>
      <c r="BG9" s="245">
        <f>SUM(BC9:BF9)</f>
        <v>-43.399999999999409</v>
      </c>
      <c r="BH9" s="161">
        <f t="shared" si="2"/>
        <v>-11.799999999999983</v>
      </c>
      <c r="BI9" s="160">
        <f t="shared" si="2"/>
        <v>-10.19999999999996</v>
      </c>
      <c r="BJ9" s="160">
        <f t="shared" si="2"/>
        <v>-13.39999999999992</v>
      </c>
      <c r="BK9" s="144">
        <f t="shared" si="2"/>
        <v>-7.9999999999995453</v>
      </c>
      <c r="BL9" s="245">
        <f>SUM(BH9:BK9)</f>
        <v>-43.399999999999409</v>
      </c>
      <c r="BM9" s="161">
        <f t="shared" si="3"/>
        <v>-11.799999999999983</v>
      </c>
      <c r="BN9" s="160">
        <f t="shared" si="3"/>
        <v>-10.19999999999996</v>
      </c>
      <c r="BO9" s="160">
        <f t="shared" si="3"/>
        <v>-13.39999999999992</v>
      </c>
      <c r="BP9" s="144">
        <f t="shared" si="3"/>
        <v>-7.9999999999995453</v>
      </c>
      <c r="BQ9" s="245">
        <f>SUM(BM9:BP9)</f>
        <v>-43.399999999999409</v>
      </c>
    </row>
    <row r="10" spans="1:69">
      <c r="A10" s="56"/>
      <c r="B10" s="56"/>
      <c r="C10" s="56" t="s">
        <v>950</v>
      </c>
      <c r="D10" s="56"/>
      <c r="E10" s="149"/>
      <c r="F10" s="150"/>
      <c r="G10" s="150"/>
      <c r="H10" s="151"/>
      <c r="I10" s="112"/>
      <c r="J10" s="149"/>
      <c r="K10" s="150"/>
      <c r="L10" s="150"/>
      <c r="M10" s="151"/>
      <c r="N10" s="112"/>
      <c r="O10" s="149"/>
      <c r="P10" s="150"/>
      <c r="Q10" s="150"/>
      <c r="R10" s="151"/>
      <c r="S10" s="112"/>
      <c r="T10" s="149"/>
      <c r="U10" s="150"/>
      <c r="V10" s="150"/>
      <c r="W10" s="144"/>
      <c r="X10" s="112">
        <f t="shared" ref="X10:AF10" si="4">+X8-X9</f>
        <v>-185</v>
      </c>
      <c r="Y10" s="149">
        <f t="shared" si="4"/>
        <v>-68</v>
      </c>
      <c r="Z10" s="150">
        <f t="shared" si="4"/>
        <v>-62</v>
      </c>
      <c r="AA10" s="150">
        <f t="shared" si="4"/>
        <v>-76</v>
      </c>
      <c r="AB10" s="1205">
        <f t="shared" si="4"/>
        <v>-70</v>
      </c>
      <c r="AC10" s="112">
        <f t="shared" si="4"/>
        <v>-276</v>
      </c>
      <c r="AD10" s="149">
        <f t="shared" si="4"/>
        <v>-101</v>
      </c>
      <c r="AE10" s="150">
        <f t="shared" si="4"/>
        <v>-151</v>
      </c>
      <c r="AF10" s="150">
        <f t="shared" si="4"/>
        <v>-103</v>
      </c>
      <c r="AG10" s="1205">
        <f t="shared" ref="AG10:AM10" si="5">+AG8-AG9</f>
        <v>-114.10000000000036</v>
      </c>
      <c r="AH10" s="112">
        <f t="shared" si="5"/>
        <v>-469.10000000000036</v>
      </c>
      <c r="AI10" s="149">
        <f t="shared" si="5"/>
        <v>-103</v>
      </c>
      <c r="AJ10" s="150">
        <f t="shared" si="5"/>
        <v>-145</v>
      </c>
      <c r="AK10" s="150">
        <f t="shared" si="5"/>
        <v>-113</v>
      </c>
      <c r="AL10" s="1205">
        <f t="shared" si="5"/>
        <v>-73.099999999999625</v>
      </c>
      <c r="AM10" s="112">
        <f t="shared" si="5"/>
        <v>-434.10000000000059</v>
      </c>
      <c r="AN10" s="149">
        <f t="shared" ref="AN10:AR10" si="6">+AN8-AN9</f>
        <v>-101.99999999999977</v>
      </c>
      <c r="AO10" s="150">
        <f t="shared" si="6"/>
        <v>-149.99999999999949</v>
      </c>
      <c r="AP10" s="150">
        <f t="shared" si="6"/>
        <v>-146.30000000000024</v>
      </c>
      <c r="AQ10" s="1205">
        <f t="shared" si="6"/>
        <v>-182.69999999999976</v>
      </c>
      <c r="AR10" s="112">
        <f t="shared" si="6"/>
        <v>-580.99999999999898</v>
      </c>
      <c r="AS10" s="149">
        <f>+AS8-AS9</f>
        <v>-179.2000000000001</v>
      </c>
      <c r="AT10" s="150">
        <f>+AT8-AT9</f>
        <v>-245.19999999999996</v>
      </c>
      <c r="AU10" s="150">
        <f>+AU8-AU9</f>
        <v>-181.40000000000003</v>
      </c>
      <c r="AV10" s="1205">
        <f t="shared" ref="AV10:AW10" si="7">+AV8-AV9</f>
        <v>-179.00000000000173</v>
      </c>
      <c r="AW10" s="112">
        <f t="shared" si="7"/>
        <v>-784.80000000000155</v>
      </c>
      <c r="AX10" s="149">
        <f t="shared" ref="AX10:BL10" si="8">+AX8-AX9</f>
        <v>-179.2000000000001</v>
      </c>
      <c r="AY10" s="150">
        <f t="shared" si="8"/>
        <v>-245.19999999999996</v>
      </c>
      <c r="AZ10" s="150">
        <f t="shared" si="8"/>
        <v>-181.40000000000003</v>
      </c>
      <c r="BA10" s="151">
        <f t="shared" si="8"/>
        <v>-179.00000000000173</v>
      </c>
      <c r="BB10" s="112">
        <f t="shared" si="8"/>
        <v>-784.80000000000177</v>
      </c>
      <c r="BC10" s="149">
        <f t="shared" si="8"/>
        <v>-179.2000000000001</v>
      </c>
      <c r="BD10" s="150">
        <f t="shared" si="8"/>
        <v>-245.19999999999996</v>
      </c>
      <c r="BE10" s="150">
        <f t="shared" si="8"/>
        <v>-181.40000000000003</v>
      </c>
      <c r="BF10" s="151">
        <f t="shared" si="8"/>
        <v>-179.00000000000173</v>
      </c>
      <c r="BG10" s="112">
        <f t="shared" si="8"/>
        <v>-784.80000000000177</v>
      </c>
      <c r="BH10" s="149">
        <f t="shared" si="8"/>
        <v>-179.2000000000001</v>
      </c>
      <c r="BI10" s="150">
        <f t="shared" si="8"/>
        <v>-245.19999999999996</v>
      </c>
      <c r="BJ10" s="150">
        <f t="shared" si="8"/>
        <v>-181.40000000000003</v>
      </c>
      <c r="BK10" s="151">
        <f t="shared" si="8"/>
        <v>-179.00000000000173</v>
      </c>
      <c r="BL10" s="112">
        <f t="shared" si="8"/>
        <v>-784.80000000000177</v>
      </c>
      <c r="BM10" s="149">
        <f>+BM8-BM9</f>
        <v>-179.2000000000001</v>
      </c>
      <c r="BN10" s="150">
        <f>+BN8-BN9</f>
        <v>-245.19999999999996</v>
      </c>
      <c r="BO10" s="150">
        <f>+BO8-BO9</f>
        <v>-181.40000000000003</v>
      </c>
      <c r="BP10" s="151">
        <f>+BP8-BP9</f>
        <v>-179.00000000000173</v>
      </c>
      <c r="BQ10" s="112">
        <f>+BQ8-BQ9</f>
        <v>-784.80000000000177</v>
      </c>
    </row>
    <row r="11" spans="1:69">
      <c r="E11" s="148"/>
      <c r="F11" s="163"/>
      <c r="G11" s="163"/>
      <c r="H11" s="147"/>
      <c r="I11" s="72"/>
      <c r="J11" s="148"/>
      <c r="K11" s="163"/>
      <c r="L11" s="163"/>
      <c r="M11" s="147"/>
      <c r="N11" s="72"/>
      <c r="O11" s="148"/>
      <c r="P11" s="163"/>
      <c r="Q11" s="163"/>
      <c r="R11" s="147"/>
      <c r="S11" s="72"/>
      <c r="T11" s="148"/>
      <c r="U11" s="163"/>
      <c r="V11" s="163"/>
      <c r="W11" s="147"/>
      <c r="X11" s="72"/>
      <c r="Y11" s="148"/>
      <c r="Z11" s="163"/>
      <c r="AA11" s="163"/>
      <c r="AB11" s="1205"/>
      <c r="AC11" s="72"/>
      <c r="AD11" s="148"/>
      <c r="AE11" s="163"/>
      <c r="AF11" s="163"/>
      <c r="AG11" s="1205"/>
      <c r="AH11" s="72"/>
      <c r="AI11" s="148"/>
      <c r="AJ11" s="163"/>
      <c r="AK11" s="163"/>
      <c r="AL11" s="1205"/>
      <c r="AM11" s="72"/>
      <c r="AN11" s="148"/>
      <c r="AO11" s="163"/>
      <c r="AP11" s="163"/>
      <c r="AQ11" s="1205"/>
      <c r="AR11" s="72"/>
      <c r="AS11" s="148"/>
      <c r="AT11" s="163"/>
      <c r="AU11" s="163"/>
      <c r="AV11" s="1205"/>
      <c r="AW11" s="72"/>
      <c r="AX11" s="148"/>
      <c r="AY11" s="163"/>
      <c r="AZ11" s="163"/>
      <c r="BA11" s="147"/>
      <c r="BB11" s="72"/>
      <c r="BC11" s="148"/>
      <c r="BD11" s="163"/>
      <c r="BE11" s="163"/>
      <c r="BF11" s="147"/>
      <c r="BG11" s="72"/>
      <c r="BH11" s="148"/>
      <c r="BI11" s="163"/>
      <c r="BJ11" s="163"/>
      <c r="BK11" s="147"/>
      <c r="BL11" s="72"/>
      <c r="BM11" s="148"/>
      <c r="BN11" s="163"/>
      <c r="BO11" s="163"/>
      <c r="BP11" s="147"/>
      <c r="BQ11" s="72"/>
    </row>
    <row r="12" spans="1:69">
      <c r="C12" t="s">
        <v>1010</v>
      </c>
      <c r="E12" s="244"/>
      <c r="F12" s="146"/>
      <c r="G12" s="146"/>
      <c r="H12" s="147"/>
      <c r="I12" s="245"/>
      <c r="J12" s="244"/>
      <c r="K12" s="146"/>
      <c r="L12" s="146"/>
      <c r="M12" s="147"/>
      <c r="N12" s="245"/>
      <c r="O12" s="244"/>
      <c r="P12" s="146"/>
      <c r="Q12" s="146"/>
      <c r="R12" s="147"/>
      <c r="S12" s="245"/>
      <c r="T12" s="244"/>
      <c r="U12" s="146"/>
      <c r="V12" s="146"/>
      <c r="W12" s="144"/>
      <c r="X12" s="245">
        <f>AEP!X12-'Generation &amp; Marketing'!X12-'Vertically Integrated Utilities'!X12-'T&amp;D Utilities'!X12-'Transmission Holdco'!X12-'AEP River'!X12</f>
        <v>-159</v>
      </c>
      <c r="Y12" s="244">
        <f>AEP!Y12-'Generation &amp; Marketing'!Y12-'Vertically Integrated Utilities'!Y12-'T&amp;D Utilities'!Y12-'Transmission Holdco'!Y12-'AEP River'!Y12</f>
        <v>-36.25</v>
      </c>
      <c r="Z12" s="146">
        <f>AEP!Z12-'Generation &amp; Marketing'!Z12-'Vertically Integrated Utilities'!Z12-'T&amp;D Utilities'!Z12-'Transmission Holdco'!Z12-'AEP River'!Z12</f>
        <v>-45.25</v>
      </c>
      <c r="AA12" s="146">
        <f>AEP!AA12-'Generation &amp; Marketing'!AA12-'Vertically Integrated Utilities'!AA12-'T&amp;D Utilities'!AA12-'Transmission Holdco'!AA12-'AEP River'!AA12</f>
        <v>-63.25</v>
      </c>
      <c r="AB12" s="1205">
        <f>AEP!AB12-'Generation &amp; Marketing'!AB12-'Vertically Integrated Utilities'!AB12-'T&amp;D Utilities'!AB12-'Transmission Holdco'!AB12-'AEP River'!AB12</f>
        <v>-58.25</v>
      </c>
      <c r="AC12" s="245">
        <f>AEP!AC12-'Generation &amp; Marketing'!AC12-'Vertically Integrated Utilities'!AC12-'T&amp;D Utilities'!AC12-'Transmission Holdco'!AC12-'AEP River'!AC12</f>
        <v>-203</v>
      </c>
      <c r="AD12" s="244">
        <f>AEP!AD12-'Generation &amp; Marketing'!AD12-'Vertically Integrated Utilities'!AD12-'T&amp;D Utilities'!AD12-'Transmission Holdco'!AD12-'AEP River'!AD12</f>
        <v>-61.25</v>
      </c>
      <c r="AE12" s="146">
        <f>AEP!AE12-'Generation &amp; Marketing'!AE12-'Vertically Integrated Utilities'!AE12-'T&amp;D Utilities'!AE12-'Transmission Holdco'!AE12-'AEP River'!AE12</f>
        <v>-84.25</v>
      </c>
      <c r="AF12" s="146">
        <f>AEP!AF12-'Generation &amp; Marketing'!AF12-'Vertically Integrated Utilities'!AF12-'T&amp;D Utilities'!AF12-'Transmission Holdco'!AF12-'AEP River'!AF12</f>
        <v>-88.25</v>
      </c>
      <c r="AG12" s="1205">
        <f>AEP!AG12-'Generation &amp; Marketing'!AG12-'Vertically Integrated Utilities'!AG12-'T&amp;D Utilities'!AG12-'Transmission Holdco'!AG12-'AEP River'!AG12</f>
        <v>-109.09999999999991</v>
      </c>
      <c r="AH12" s="245">
        <f>AEP!AH12-'Generation &amp; Marketing'!AH12-'Vertically Integrated Utilities'!AH12-'T&amp;D Utilities'!AH12-'Transmission Holdco'!AH12-'AEP River'!AH12</f>
        <v>-318.09999999999991</v>
      </c>
      <c r="AI12" s="244">
        <f>AEP!AI12-'Generation &amp; Marketing'!AI12-'Vertically Integrated Utilities'!AI12-'T&amp;D Utilities'!AI12-'Transmission Holdco'!AI12-'AEP River'!AI12</f>
        <v>-99.7</v>
      </c>
      <c r="AJ12" s="146">
        <f>AEP!AJ12-'Generation &amp; Marketing'!AJ12-'Vertically Integrated Utilities'!AJ12-'T&amp;D Utilities'!AJ12-'Transmission Holdco'!AJ12-'AEP River'!AJ12</f>
        <v>-135.70000000000002</v>
      </c>
      <c r="AK12" s="146">
        <f>AEP!AK12-'Generation &amp; Marketing'!AK12-'Vertically Integrated Utilities'!AK12-'T&amp;D Utilities'!AK12-'Transmission Holdco'!AK12-'AEP River'!AK12</f>
        <v>-71.7</v>
      </c>
      <c r="AL12" s="1205">
        <f>AEP!AL12-'Generation &amp; Marketing'!AL12-'Vertically Integrated Utilities'!AL12-'T&amp;D Utilities'!AL12-'Transmission Holdco'!AL12-'AEP River'!AL12</f>
        <v>31.199999999999534</v>
      </c>
      <c r="AM12" s="245">
        <f>AEP!AM12-'Generation &amp; Marketing'!AM12-'Vertically Integrated Utilities'!AM12-'T&amp;D Utilities'!AM12-'Transmission Holdco'!AM12-'AEP River'!AM12</f>
        <v>-275.90000000000026</v>
      </c>
      <c r="AN12" s="244">
        <f>AEP!AN12-'Generation &amp; Marketing'!AN12-'Vertically Integrated Utilities'!AN12-'T&amp;D Utilities'!AN12-'Transmission Holdco'!AN12-'AEP River'!AN12</f>
        <v>-65.500000000000071</v>
      </c>
      <c r="AO12" s="146">
        <f>AEP!AO12-'Generation &amp; Marketing'!AO12-'Vertically Integrated Utilities'!AO12-'T&amp;D Utilities'!AO12-'Transmission Holdco'!AO12-'AEP River'!AO12</f>
        <v>-105.89999999999991</v>
      </c>
      <c r="AP12" s="146">
        <f>AEP!AP12-'Generation &amp; Marketing'!AP12-'Vertically Integrated Utilities'!AP12-'T&amp;D Utilities'!AP12-'Transmission Holdco'!AP12-'AEP River'!AP12</f>
        <v>-81.499999999999844</v>
      </c>
      <c r="AQ12" s="1205">
        <f>AEP!AQ12-'Generation &amp; Marketing'!AQ12-'Vertically Integrated Utilities'!AQ12-'T&amp;D Utilities'!AQ12-'Transmission Holdco'!AQ12-'AEP River'!AQ12</f>
        <v>-115.7999999999997</v>
      </c>
      <c r="AR12" s="245">
        <f>AEP!AR12-'Generation &amp; Marketing'!AR12-'Vertically Integrated Utilities'!AR12-'T&amp;D Utilities'!AR12-'Transmission Holdco'!AR12-'AEP River'!AR12</f>
        <v>-368.69999999999987</v>
      </c>
      <c r="AS12" s="244">
        <f>AEP!AS12-'Generation &amp; Marketing'!AS12-'Vertically Integrated Utilities'!AS12-'T&amp;D Utilities'!AS12-'Transmission Holdco'!AS12-'AEP River'!AS12</f>
        <v>-135.59999999999997</v>
      </c>
      <c r="AT12" s="146">
        <f>AEP!AT12-'Generation &amp; Marketing'!AT12-'Vertically Integrated Utilities'!AT12-'T&amp;D Utilities'!AT12-'Transmission Holdco'!AT12-'AEP River'!AT12</f>
        <v>-197.60000000000005</v>
      </c>
      <c r="AU12" s="146">
        <f>AEP!AU12-'Generation &amp; Marketing'!AU12-'Vertically Integrated Utilities'!AU12-'T&amp;D Utilities'!AU12-'Transmission Holdco'!AU12-'AEP River'!AU12</f>
        <v>-137.79999999999998</v>
      </c>
      <c r="AV12" s="1205">
        <f>AEP!AV12-'Generation &amp; Marketing'!AV12-'Vertically Integrated Utilities'!AV12-'T&amp;D Utilities'!AV12-'Transmission Holdco'!AV12-'AEP River'!AV12</f>
        <v>-176.29999999999987</v>
      </c>
      <c r="AW12" s="245">
        <f>AEP!AW12-'Generation &amp; Marketing'!AW12-'Vertically Integrated Utilities'!AW12-'T&amp;D Utilities'!AW12-'Transmission Holdco'!AW12-'AEP River'!AW12</f>
        <v>-647.29999999999961</v>
      </c>
      <c r="AX12" s="1906">
        <f t="shared" ref="AX12:BA14" si="9">AS12</f>
        <v>-135.59999999999997</v>
      </c>
      <c r="AY12" s="1911">
        <f t="shared" si="9"/>
        <v>-197.60000000000005</v>
      </c>
      <c r="AZ12" s="1911">
        <f t="shared" si="9"/>
        <v>-137.79999999999998</v>
      </c>
      <c r="BA12" s="1905">
        <f t="shared" si="9"/>
        <v>-176.29999999999987</v>
      </c>
      <c r="BB12" s="245">
        <f>SUM(AX12:BA12)</f>
        <v>-647.29999999999984</v>
      </c>
      <c r="BC12" s="161">
        <f t="shared" ref="BC12:BF14" si="10">+AX12</f>
        <v>-135.59999999999997</v>
      </c>
      <c r="BD12" s="160">
        <f t="shared" si="10"/>
        <v>-197.60000000000005</v>
      </c>
      <c r="BE12" s="160">
        <f t="shared" si="10"/>
        <v>-137.79999999999998</v>
      </c>
      <c r="BF12" s="144">
        <f t="shared" si="10"/>
        <v>-176.29999999999987</v>
      </c>
      <c r="BG12" s="245">
        <f>SUM(BC12:BF12)</f>
        <v>-647.29999999999984</v>
      </c>
      <c r="BH12" s="161">
        <f t="shared" ref="BH12:BK14" si="11">+BC12</f>
        <v>-135.59999999999997</v>
      </c>
      <c r="BI12" s="160">
        <f t="shared" si="11"/>
        <v>-197.60000000000005</v>
      </c>
      <c r="BJ12" s="160">
        <f t="shared" si="11"/>
        <v>-137.79999999999998</v>
      </c>
      <c r="BK12" s="144">
        <f t="shared" si="11"/>
        <v>-176.29999999999987</v>
      </c>
      <c r="BL12" s="245">
        <f>SUM(BH12:BK12)</f>
        <v>-647.29999999999984</v>
      </c>
      <c r="BM12" s="161">
        <f t="shared" ref="BM12:BP14" si="12">+BH12</f>
        <v>-135.59999999999997</v>
      </c>
      <c r="BN12" s="160">
        <f t="shared" si="12"/>
        <v>-197.60000000000005</v>
      </c>
      <c r="BO12" s="160">
        <f t="shared" si="12"/>
        <v>-137.79999999999998</v>
      </c>
      <c r="BP12" s="144">
        <f t="shared" si="12"/>
        <v>-176.29999999999987</v>
      </c>
      <c r="BQ12" s="245">
        <f>SUM(BM12:BP12)</f>
        <v>-647.29999999999984</v>
      </c>
    </row>
    <row r="13" spans="1:69">
      <c r="C13" t="s">
        <v>1016</v>
      </c>
      <c r="E13" s="148"/>
      <c r="F13" s="146"/>
      <c r="G13" s="146"/>
      <c r="H13" s="147"/>
      <c r="I13" s="245"/>
      <c r="J13" s="148"/>
      <c r="K13" s="146"/>
      <c r="L13" s="146"/>
      <c r="M13" s="147"/>
      <c r="N13" s="245"/>
      <c r="O13" s="148"/>
      <c r="P13" s="146"/>
      <c r="Q13" s="146"/>
      <c r="R13" s="147"/>
      <c r="S13" s="245"/>
      <c r="T13" s="148"/>
      <c r="U13" s="146"/>
      <c r="V13" s="146"/>
      <c r="W13" s="144"/>
      <c r="X13" s="245">
        <f>AEP!X13-'Generation &amp; Marketing'!X13-'Vertically Integrated Utilities'!X13-'T&amp;D Utilities'!X13-'Transmission Holdco'!X13-'AEP River'!X13</f>
        <v>-33</v>
      </c>
      <c r="Y13" s="148">
        <f>AEP!Y13-'Generation &amp; Marketing'!Y13-'Vertically Integrated Utilities'!Y13-'T&amp;D Utilities'!Y13-'Transmission Holdco'!Y13-'AEP River'!Y13</f>
        <v>-20.25</v>
      </c>
      <c r="Z13" s="146">
        <f>AEP!Z13-'Generation &amp; Marketing'!Z13-'Vertically Integrated Utilities'!Z13-'T&amp;D Utilities'!Z13-'Transmission Holdco'!Z13-'AEP River'!Z13</f>
        <v>-13.25</v>
      </c>
      <c r="AA13" s="146">
        <f>AEP!AA13-'Generation &amp; Marketing'!AA13-'Vertically Integrated Utilities'!AA13-'T&amp;D Utilities'!AA13-'Transmission Holdco'!AA13-'AEP River'!AA13</f>
        <v>-18.25</v>
      </c>
      <c r="AB13" s="1205">
        <f>AEP!AB13-'Generation &amp; Marketing'!AB13-'Vertically Integrated Utilities'!AB13-'T&amp;D Utilities'!AB13-'Transmission Holdco'!AB13-'AEP River'!AB13</f>
        <v>-14.25</v>
      </c>
      <c r="AC13" s="245">
        <f>AEP!AC13-'Generation &amp; Marketing'!AC13-'Vertically Integrated Utilities'!AC13-'T&amp;D Utilities'!AC13-'Transmission Holdco'!AC13-'AEP River'!AC13</f>
        <v>-66</v>
      </c>
      <c r="AD13" s="148">
        <f>AEP!AD13-'Generation &amp; Marketing'!AD13-'Vertically Integrated Utilities'!AD13-'T&amp;D Utilities'!AD13-'Transmission Holdco'!AD13-'AEP River'!AD13</f>
        <v>-3.75</v>
      </c>
      <c r="AE13" s="146">
        <f>AEP!AE13-'Generation &amp; Marketing'!AE13-'Vertically Integrated Utilities'!AE13-'T&amp;D Utilities'!AE13-'Transmission Holdco'!AE13-'AEP River'!AE13</f>
        <v>-34.75</v>
      </c>
      <c r="AF13" s="146">
        <f>AEP!AF13-'Generation &amp; Marketing'!AF13-'Vertically Integrated Utilities'!AF13-'T&amp;D Utilities'!AF13-'Transmission Holdco'!AF13-'AEP River'!AF13</f>
        <v>-1.75</v>
      </c>
      <c r="AG13" s="1205">
        <f>AEP!AG13-'Generation &amp; Marketing'!AG13-'Vertically Integrated Utilities'!AG13-'T&amp;D Utilities'!AG13-'Transmission Holdco'!AG13-'AEP River'!AG13</f>
        <v>-3.5499999999999545</v>
      </c>
      <c r="AH13" s="245">
        <f>AEP!AH13-'Generation &amp; Marketing'!AH13-'Vertically Integrated Utilities'!AH13-'T&amp;D Utilities'!AH13-'Transmission Holdco'!AH13-'AEP River'!AH13</f>
        <v>-43.799999999999955</v>
      </c>
      <c r="AI13" s="148">
        <f>AEP!AI13-'Generation &amp; Marketing'!AI13-'Vertically Integrated Utilities'!AI13-'T&amp;D Utilities'!AI13-'Transmission Holdco'!AI13-'AEP River'!AI13</f>
        <v>4.25</v>
      </c>
      <c r="AJ13" s="146">
        <f>AEP!AJ13-'Generation &amp; Marketing'!AJ13-'Vertically Integrated Utilities'!AJ13-'T&amp;D Utilities'!AJ13-'Transmission Holdco'!AJ13-'AEP River'!AJ13</f>
        <v>8.25</v>
      </c>
      <c r="AK13" s="146">
        <f>AEP!AK13-'Generation &amp; Marketing'!AK13-'Vertically Integrated Utilities'!AK13-'T&amp;D Utilities'!AK13-'Transmission Holdco'!AK13-'AEP River'!AK13</f>
        <v>11.25</v>
      </c>
      <c r="AL13" s="1205">
        <f>AEP!AL13-'Generation &amp; Marketing'!AL13-'Vertically Integrated Utilities'!AL13-'T&amp;D Utilities'!AL13-'Transmission Holdco'!AL13-'AEP River'!AL13</f>
        <v>-7.4499999999998181</v>
      </c>
      <c r="AM13" s="245">
        <f>AEP!AM13-'Generation &amp; Marketing'!AM13-'Vertically Integrated Utilities'!AM13-'T&amp;D Utilities'!AM13-'Transmission Holdco'!AM13-'AEP River'!AM13</f>
        <v>16.300000000000068</v>
      </c>
      <c r="AN13" s="148">
        <f>AEP!AN13-'Generation &amp; Marketing'!AN13-'Vertically Integrated Utilities'!AN13-'T&amp;D Utilities'!AN13-'Transmission Holdco'!AN13-'AEP River'!AN13</f>
        <v>9.8000000000000114</v>
      </c>
      <c r="AO13" s="146">
        <f>AEP!AO13-'Generation &amp; Marketing'!AO13-'Vertically Integrated Utilities'!AO13-'T&amp;D Utilities'!AO13-'Transmission Holdco'!AO13-'AEP River'!AO13</f>
        <v>9.0999999999999197</v>
      </c>
      <c r="AP13" s="146">
        <f>AEP!AP13-'Generation &amp; Marketing'!AP13-'Vertically Integrated Utilities'!AP13-'T&amp;D Utilities'!AP13-'Transmission Holdco'!AP13-'AEP River'!AP13</f>
        <v>12.599999999999959</v>
      </c>
      <c r="AQ13" s="1205">
        <f>AEP!AQ13-'Generation &amp; Marketing'!AQ13-'Vertically Integrated Utilities'!AQ13-'T&amp;D Utilities'!AQ13-'Transmission Holdco'!AQ13-'AEP River'!AQ13</f>
        <v>-14.599999999999746</v>
      </c>
      <c r="AR13" s="245">
        <f>AEP!AR13-'Generation &amp; Marketing'!AR13-'Vertically Integrated Utilities'!AR13-'T&amp;D Utilities'!AR13-'Transmission Holdco'!AR13-'AEP River'!AR13</f>
        <v>16.900000000000119</v>
      </c>
      <c r="AS13" s="148">
        <f>AEP!AS13-'Generation &amp; Marketing'!AS13-'Vertically Integrated Utilities'!AS13-'T&amp;D Utilities'!AS13-'Transmission Holdco'!AS13-'AEP River'!AS13</f>
        <v>17.099999999999987</v>
      </c>
      <c r="AT13" s="146">
        <f>AEP!AT13-'Generation &amp; Marketing'!AT13-'Vertically Integrated Utilities'!AT13-'T&amp;D Utilities'!AT13-'Transmission Holdco'!AT13-'AEP River'!AT13</f>
        <v>13.999999999999972</v>
      </c>
      <c r="AU13" s="146">
        <f>AEP!AU13-'Generation &amp; Marketing'!AU13-'Vertically Integrated Utilities'!AU13-'T&amp;D Utilities'!AU13-'Transmission Holdco'!AU13-'AEP River'!AU13</f>
        <v>15.09999999999993</v>
      </c>
      <c r="AV13" s="1205">
        <f>AEP!AV13-'Generation &amp; Marketing'!AV13-'Vertically Integrated Utilities'!AV13-'T&amp;D Utilities'!AV13-'Transmission Holdco'!AV13-'AEP River'!AV13</f>
        <v>14.599999999999909</v>
      </c>
      <c r="AW13" s="245">
        <f>AEP!AW13-'Generation &amp; Marketing'!AW13-'Vertically Integrated Utilities'!AW13-'T&amp;D Utilities'!AW13-'Transmission Holdco'!AW13-'AEP River'!AW13</f>
        <v>60.8</v>
      </c>
      <c r="AX13" s="1906">
        <f>AS13</f>
        <v>17.099999999999987</v>
      </c>
      <c r="AY13" s="1911">
        <f>AT13</f>
        <v>13.999999999999972</v>
      </c>
      <c r="AZ13" s="1911">
        <f>AU13-5</f>
        <v>10.09999999999993</v>
      </c>
      <c r="BA13" s="1905">
        <f>AV13-5</f>
        <v>9.5999999999999091</v>
      </c>
      <c r="BB13" s="245">
        <f>SUM(AX13:BA13)</f>
        <v>50.799999999999798</v>
      </c>
      <c r="BC13" s="161">
        <f t="shared" si="10"/>
        <v>17.099999999999987</v>
      </c>
      <c r="BD13" s="160">
        <f t="shared" si="10"/>
        <v>13.999999999999972</v>
      </c>
      <c r="BE13" s="160">
        <f t="shared" si="10"/>
        <v>10.09999999999993</v>
      </c>
      <c r="BF13" s="144">
        <f t="shared" si="10"/>
        <v>9.5999999999999091</v>
      </c>
      <c r="BG13" s="245">
        <f>SUM(BC13:BF13)</f>
        <v>50.799999999999798</v>
      </c>
      <c r="BH13" s="161">
        <f t="shared" si="11"/>
        <v>17.099999999999987</v>
      </c>
      <c r="BI13" s="160">
        <f t="shared" si="11"/>
        <v>13.999999999999972</v>
      </c>
      <c r="BJ13" s="160">
        <f t="shared" si="11"/>
        <v>10.09999999999993</v>
      </c>
      <c r="BK13" s="144">
        <f t="shared" si="11"/>
        <v>9.5999999999999091</v>
      </c>
      <c r="BL13" s="245">
        <f>SUM(BH13:BK13)</f>
        <v>50.799999999999798</v>
      </c>
      <c r="BM13" s="161">
        <f t="shared" si="12"/>
        <v>17.099999999999987</v>
      </c>
      <c r="BN13" s="160">
        <f t="shared" si="12"/>
        <v>13.999999999999972</v>
      </c>
      <c r="BO13" s="160">
        <f t="shared" si="12"/>
        <v>10.09999999999993</v>
      </c>
      <c r="BP13" s="144">
        <f t="shared" si="12"/>
        <v>9.5999999999999091</v>
      </c>
      <c r="BQ13" s="245">
        <f>SUM(BM13:BP13)</f>
        <v>50.799999999999798</v>
      </c>
    </row>
    <row r="14" spans="1:69">
      <c r="C14" t="s">
        <v>1017</v>
      </c>
      <c r="E14" s="148"/>
      <c r="F14" s="146"/>
      <c r="G14" s="146"/>
      <c r="H14" s="147"/>
      <c r="I14" s="245"/>
      <c r="J14" s="148"/>
      <c r="K14" s="146"/>
      <c r="L14" s="146"/>
      <c r="M14" s="147"/>
      <c r="N14" s="245"/>
      <c r="O14" s="148"/>
      <c r="P14" s="146"/>
      <c r="Q14" s="146"/>
      <c r="R14" s="147"/>
      <c r="S14" s="245"/>
      <c r="T14" s="148"/>
      <c r="U14" s="146"/>
      <c r="V14" s="146"/>
      <c r="W14" s="144"/>
      <c r="X14" s="245">
        <f>AEP!X14-'Generation &amp; Marketing'!X14-'Vertically Integrated Utilities'!X14-'T&amp;D Utilities'!X14-'Transmission Holdco'!X14-'AEP River'!X14</f>
        <v>16</v>
      </c>
      <c r="Y14" s="148">
        <f>AEP!Y14-'Generation &amp; Marketing'!Y14-'Vertically Integrated Utilities'!Y14-'T&amp;D Utilities'!Y14-'Transmission Holdco'!Y14-'AEP River'!Y14</f>
        <v>7</v>
      </c>
      <c r="Z14" s="146">
        <f>AEP!Z14-'Generation &amp; Marketing'!Z14-'Vertically Integrated Utilities'!Z14-'T&amp;D Utilities'!Z14-'Transmission Holdco'!Z14-'AEP River'!Z14</f>
        <v>7</v>
      </c>
      <c r="AA14" s="146">
        <f>AEP!AA14-'Generation &amp; Marketing'!AA14-'Vertically Integrated Utilities'!AA14-'T&amp;D Utilities'!AA14-'Transmission Holdco'!AA14-'AEP River'!AA14</f>
        <v>9</v>
      </c>
      <c r="AB14" s="1205">
        <f>AEP!AB14-'Generation &amp; Marketing'!AB14-'Vertically Integrated Utilities'!AB14-'T&amp;D Utilities'!AB14-'Transmission Holdco'!AB14-'AEP River'!AB14</f>
        <v>7</v>
      </c>
      <c r="AC14" s="245">
        <f>AEP!AC14-'Generation &amp; Marketing'!AC14-'Vertically Integrated Utilities'!AC14-'T&amp;D Utilities'!AC14-'Transmission Holdco'!AC14-'AEP River'!AC14</f>
        <v>30</v>
      </c>
      <c r="AD14" s="148">
        <f>AEP!AD14-'Generation &amp; Marketing'!AD14-'Vertically Integrated Utilities'!AD14-'T&amp;D Utilities'!AD14-'Transmission Holdco'!AD14-'AEP River'!AD14</f>
        <v>11</v>
      </c>
      <c r="AE14" s="146">
        <f>AEP!AE14-'Generation &amp; Marketing'!AE14-'Vertically Integrated Utilities'!AE14-'T&amp;D Utilities'!AE14-'Transmission Holdco'!AE14-'AEP River'!AE14</f>
        <v>10</v>
      </c>
      <c r="AF14" s="146">
        <f>AEP!AF14-'Generation &amp; Marketing'!AF14-'Vertically Integrated Utilities'!AF14-'T&amp;D Utilities'!AF14-'Transmission Holdco'!AF14-'AEP River'!AF14</f>
        <v>9</v>
      </c>
      <c r="AG14" s="1205">
        <f>AEP!AG14-'Generation &amp; Marketing'!AG14-'Vertically Integrated Utilities'!AG14-'T&amp;D Utilities'!AG14-'Transmission Holdco'!AG14-'AEP River'!AG14</f>
        <v>11.600000000000023</v>
      </c>
      <c r="AH14" s="245">
        <f>AEP!AH14-'Generation &amp; Marketing'!AH14-'Vertically Integrated Utilities'!AH14-'T&amp;D Utilities'!AH14-'Transmission Holdco'!AH14-'AEP River'!AH14</f>
        <v>41.600000000000023</v>
      </c>
      <c r="AI14" s="148">
        <f>AEP!AI14-'Generation &amp; Marketing'!AI14-'Vertically Integrated Utilities'!AI14-'T&amp;D Utilities'!AI14-'Transmission Holdco'!AI14-'AEP River'!AI14</f>
        <v>5.5</v>
      </c>
      <c r="AJ14" s="146">
        <f>AEP!AJ14-'Generation &amp; Marketing'!AJ14-'Vertically Integrated Utilities'!AJ14-'T&amp;D Utilities'!AJ14-'Transmission Holdco'!AJ14-'AEP River'!AJ14</f>
        <v>2.5</v>
      </c>
      <c r="AK14" s="146">
        <f>AEP!AK14-'Generation &amp; Marketing'!AK14-'Vertically Integrated Utilities'!AK14-'T&amp;D Utilities'!AK14-'Transmission Holdco'!AK14-'AEP River'!AK14</f>
        <v>2.5</v>
      </c>
      <c r="AL14" s="1205">
        <f>AEP!AL14-'Generation &amp; Marketing'!AL14-'Vertically Integrated Utilities'!AL14-'T&amp;D Utilities'!AL14-'Transmission Holdco'!AL14-'AEP River'!AL14</f>
        <v>-6</v>
      </c>
      <c r="AM14" s="245">
        <f>AEP!AM14-'Generation &amp; Marketing'!AM14-'Vertically Integrated Utilities'!AM14-'T&amp;D Utilities'!AM14-'Transmission Holdco'!AM14-'AEP River'!AM14</f>
        <v>4.4999999999999432</v>
      </c>
      <c r="AN14" s="148">
        <f>AEP!AN14-'Generation &amp; Marketing'!AN14-'Vertically Integrated Utilities'!AN14-'T&amp;D Utilities'!AN14-'Transmission Holdco'!AN14-'AEP River'!AN14</f>
        <v>1.7999999999999865</v>
      </c>
      <c r="AO14" s="146">
        <f>AEP!AO14-'Generation &amp; Marketing'!AO14-'Vertically Integrated Utilities'!AO14-'T&amp;D Utilities'!AO14-'Transmission Holdco'!AO14-'AEP River'!AO14</f>
        <v>1.4000000000000021</v>
      </c>
      <c r="AP14" s="146">
        <f>AEP!AP14-'Generation &amp; Marketing'!AP14-'Vertically Integrated Utilities'!AP14-'T&amp;D Utilities'!AP14-'Transmission Holdco'!AP14-'AEP River'!AP14</f>
        <v>1.9999999999999893</v>
      </c>
      <c r="AQ14" s="1205">
        <f>AEP!AQ14-'Generation &amp; Marketing'!AQ14-'Vertically Integrated Utilities'!AQ14-'T&amp;D Utilities'!AQ14-'Transmission Holdco'!AQ14-'AEP River'!AQ14</f>
        <v>1.4000000000000021</v>
      </c>
      <c r="AR14" s="245">
        <f>AEP!AR14-'Generation &amp; Marketing'!AR14-'Vertically Integrated Utilities'!AR14-'T&amp;D Utilities'!AR14-'Transmission Holdco'!AR14-'AEP River'!AR14</f>
        <v>6.5999999999998948</v>
      </c>
      <c r="AS14" s="148">
        <f>AEP!AS14-'Generation &amp; Marketing'!AS14-'Vertically Integrated Utilities'!AS14-'T&amp;D Utilities'!AS14-'Transmission Holdco'!AS14-'AEP River'!AS14</f>
        <v>1.8000000000000114</v>
      </c>
      <c r="AT14" s="146">
        <f>AEP!AT14-'Generation &amp; Marketing'!AT14-'Vertically Integrated Utilities'!AT14-'T&amp;D Utilities'!AT14-'Transmission Holdco'!AT14-'AEP River'!AT14</f>
        <v>1.5000000000000355</v>
      </c>
      <c r="AU14" s="146">
        <f>AEP!AU14-'Generation &amp; Marketing'!AU14-'Vertically Integrated Utilities'!AU14-'T&amp;D Utilities'!AU14-'Transmission Holdco'!AU14-'AEP River'!AU14</f>
        <v>1.5000000000000497</v>
      </c>
      <c r="AV14" s="1205">
        <f>AEP!AV14-'Generation &amp; Marketing'!AV14-'Vertically Integrated Utilities'!AV14-'T&amp;D Utilities'!AV14-'Transmission Holdco'!AV14-'AEP River'!AV14</f>
        <v>1.4999999999999503</v>
      </c>
      <c r="AW14" s="245">
        <f>AEP!AW14-'Generation &amp; Marketing'!AW14-'Vertically Integrated Utilities'!AW14-'T&amp;D Utilities'!AW14-'Transmission Holdco'!AW14-'AEP River'!AW14</f>
        <v>6.3000000000001819</v>
      </c>
      <c r="AX14" s="1906">
        <f t="shared" si="9"/>
        <v>1.8000000000000114</v>
      </c>
      <c r="AY14" s="1911">
        <f t="shared" si="9"/>
        <v>1.5000000000000355</v>
      </c>
      <c r="AZ14" s="1911">
        <f t="shared" si="9"/>
        <v>1.5000000000000497</v>
      </c>
      <c r="BA14" s="1905">
        <f t="shared" si="9"/>
        <v>1.4999999999999503</v>
      </c>
      <c r="BB14" s="245">
        <f>SUM(AX14:BA14)</f>
        <v>6.3000000000000469</v>
      </c>
      <c r="BC14" s="161">
        <f t="shared" si="10"/>
        <v>1.8000000000000114</v>
      </c>
      <c r="BD14" s="160">
        <f t="shared" si="10"/>
        <v>1.5000000000000355</v>
      </c>
      <c r="BE14" s="160">
        <f t="shared" si="10"/>
        <v>1.5000000000000497</v>
      </c>
      <c r="BF14" s="144">
        <f t="shared" si="10"/>
        <v>1.4999999999999503</v>
      </c>
      <c r="BG14" s="245">
        <f>SUM(BC14:BF14)</f>
        <v>6.3000000000000469</v>
      </c>
      <c r="BH14" s="161">
        <f t="shared" si="11"/>
        <v>1.8000000000000114</v>
      </c>
      <c r="BI14" s="160">
        <f t="shared" si="11"/>
        <v>1.5000000000000355</v>
      </c>
      <c r="BJ14" s="160">
        <f t="shared" si="11"/>
        <v>1.5000000000000497</v>
      </c>
      <c r="BK14" s="144">
        <f t="shared" si="11"/>
        <v>1.4999999999999503</v>
      </c>
      <c r="BL14" s="245">
        <f>SUM(BH14:BK14)</f>
        <v>6.3000000000000469</v>
      </c>
      <c r="BM14" s="161">
        <f t="shared" si="12"/>
        <v>1.8000000000000114</v>
      </c>
      <c r="BN14" s="160">
        <f t="shared" si="12"/>
        <v>1.5000000000000355</v>
      </c>
      <c r="BO14" s="160">
        <f t="shared" si="12"/>
        <v>1.5000000000000497</v>
      </c>
      <c r="BP14" s="144">
        <f t="shared" si="12"/>
        <v>1.4999999999999503</v>
      </c>
      <c r="BQ14" s="245">
        <f>SUM(BM14:BP14)</f>
        <v>6.3000000000000469</v>
      </c>
    </row>
    <row r="15" spans="1:69">
      <c r="C15" s="56" t="s">
        <v>1018</v>
      </c>
      <c r="E15" s="149"/>
      <c r="F15" s="150"/>
      <c r="G15" s="150"/>
      <c r="H15" s="151"/>
      <c r="I15" s="112"/>
      <c r="J15" s="149"/>
      <c r="K15" s="150"/>
      <c r="L15" s="150"/>
      <c r="M15" s="151"/>
      <c r="N15" s="112"/>
      <c r="O15" s="149"/>
      <c r="P15" s="150"/>
      <c r="Q15" s="150"/>
      <c r="R15" s="151"/>
      <c r="S15" s="112"/>
      <c r="T15" s="149"/>
      <c r="U15" s="150"/>
      <c r="V15" s="150"/>
      <c r="W15" s="151"/>
      <c r="X15" s="112">
        <f t="shared" ref="X15:AF15" si="13">SUM(X12:X14)+X9</f>
        <v>-3441</v>
      </c>
      <c r="Y15" s="149">
        <f t="shared" si="13"/>
        <v>-865.5</v>
      </c>
      <c r="Z15" s="150">
        <f t="shared" si="13"/>
        <v>-801.5</v>
      </c>
      <c r="AA15" s="150">
        <f t="shared" si="13"/>
        <v>-910.5</v>
      </c>
      <c r="AB15" s="151">
        <f t="shared" si="13"/>
        <v>-804.5</v>
      </c>
      <c r="AC15" s="112">
        <f t="shared" si="13"/>
        <v>-3382</v>
      </c>
      <c r="AD15" s="149">
        <f t="shared" si="13"/>
        <v>-550</v>
      </c>
      <c r="AE15" s="150">
        <f t="shared" si="13"/>
        <v>-430</v>
      </c>
      <c r="AF15" s="150">
        <f t="shared" si="13"/>
        <v>-468</v>
      </c>
      <c r="AG15" s="151">
        <f t="shared" ref="AG15:AM15" si="14">SUM(AG12:AG14)+AG9</f>
        <v>-447.54999999999984</v>
      </c>
      <c r="AH15" s="112">
        <f t="shared" si="14"/>
        <v>-1870.7999999999997</v>
      </c>
      <c r="AI15" s="149">
        <f t="shared" si="14"/>
        <v>-420.95</v>
      </c>
      <c r="AJ15" s="150">
        <f t="shared" si="14"/>
        <v>-309.95000000000005</v>
      </c>
      <c r="AK15" s="150">
        <f t="shared" si="14"/>
        <v>-95.95</v>
      </c>
      <c r="AL15" s="151">
        <f t="shared" si="14"/>
        <v>-11.65000000000083</v>
      </c>
      <c r="AM15" s="112">
        <f t="shared" si="14"/>
        <v>-838.5000000000008</v>
      </c>
      <c r="AN15" s="149">
        <f t="shared" ref="AN15:AR15" si="15">SUM(AN12:AN14)+AN9</f>
        <v>-86.000000000000071</v>
      </c>
      <c r="AO15" s="150">
        <f t="shared" si="15"/>
        <v>-120.00000000000011</v>
      </c>
      <c r="AP15" s="150">
        <f t="shared" si="15"/>
        <v>-92.100000000000037</v>
      </c>
      <c r="AQ15" s="151">
        <f t="shared" si="15"/>
        <v>-99.099999999999</v>
      </c>
      <c r="AR15" s="112">
        <f t="shared" si="15"/>
        <v>-397.1999999999997</v>
      </c>
      <c r="AS15" s="149">
        <f>SUM(AS12:AS14)+AS9</f>
        <v>-128.49999999999994</v>
      </c>
      <c r="AT15" s="150">
        <f>SUM(AT12:AT14)+AT9</f>
        <v>-192.3</v>
      </c>
      <c r="AU15" s="150">
        <f>SUM(AU12:AU14)+AU9</f>
        <v>-134.59999999999991</v>
      </c>
      <c r="AV15" s="151">
        <f t="shared" ref="AV15:AW15" si="16">SUM(AV12:AV14)+AV9</f>
        <v>-168.19999999999956</v>
      </c>
      <c r="AW15" s="112">
        <f t="shared" si="16"/>
        <v>-623.59999999999889</v>
      </c>
      <c r="AX15" s="149">
        <f t="shared" ref="AX15:BL15" si="17">SUM(AX12:AX14)+AX9</f>
        <v>-128.49999999999994</v>
      </c>
      <c r="AY15" s="150">
        <f t="shared" si="17"/>
        <v>-192.3</v>
      </c>
      <c r="AZ15" s="150">
        <f t="shared" si="17"/>
        <v>-139.59999999999991</v>
      </c>
      <c r="BA15" s="151">
        <f t="shared" si="17"/>
        <v>-173.19999999999956</v>
      </c>
      <c r="BB15" s="112">
        <f t="shared" si="17"/>
        <v>-633.59999999999934</v>
      </c>
      <c r="BC15" s="149">
        <f t="shared" si="17"/>
        <v>-128.49999999999994</v>
      </c>
      <c r="BD15" s="150">
        <f t="shared" si="17"/>
        <v>-192.3</v>
      </c>
      <c r="BE15" s="150">
        <f t="shared" si="17"/>
        <v>-139.59999999999991</v>
      </c>
      <c r="BF15" s="151">
        <f t="shared" si="17"/>
        <v>-173.19999999999956</v>
      </c>
      <c r="BG15" s="112">
        <f t="shared" si="17"/>
        <v>-633.59999999999934</v>
      </c>
      <c r="BH15" s="149">
        <f t="shared" si="17"/>
        <v>-128.49999999999994</v>
      </c>
      <c r="BI15" s="150">
        <f t="shared" si="17"/>
        <v>-192.3</v>
      </c>
      <c r="BJ15" s="150">
        <f t="shared" si="17"/>
        <v>-139.59999999999991</v>
      </c>
      <c r="BK15" s="151">
        <f t="shared" si="17"/>
        <v>-173.19999999999956</v>
      </c>
      <c r="BL15" s="112">
        <f t="shared" si="17"/>
        <v>-633.59999999999934</v>
      </c>
      <c r="BM15" s="149">
        <f>SUM(BM12:BM14)+BM9</f>
        <v>-128.49999999999994</v>
      </c>
      <c r="BN15" s="150">
        <f>SUM(BN12:BN14)+BN9</f>
        <v>-192.3</v>
      </c>
      <c r="BO15" s="150">
        <f>SUM(BO12:BO14)+BO9</f>
        <v>-139.59999999999991</v>
      </c>
      <c r="BP15" s="151">
        <f>SUM(BP12:BP14)+BP9</f>
        <v>-173.19999999999956</v>
      </c>
      <c r="BQ15" s="112">
        <f>SUM(BQ12:BQ14)+BQ9</f>
        <v>-633.59999999999934</v>
      </c>
    </row>
    <row r="16" spans="1:69">
      <c r="C16" s="75"/>
      <c r="E16" s="161"/>
      <c r="F16" s="162"/>
      <c r="G16" s="162"/>
      <c r="H16" s="144"/>
      <c r="I16" s="109"/>
      <c r="J16" s="161"/>
      <c r="K16" s="162"/>
      <c r="L16" s="162"/>
      <c r="M16" s="144"/>
      <c r="N16" s="109"/>
      <c r="O16" s="161"/>
      <c r="P16" s="160"/>
      <c r="Q16" s="146"/>
      <c r="R16" s="144"/>
      <c r="S16" s="109"/>
      <c r="T16" s="161"/>
      <c r="U16" s="160"/>
      <c r="V16" s="160"/>
      <c r="W16" s="147"/>
      <c r="X16" s="109"/>
      <c r="Y16" s="161"/>
      <c r="Z16" s="160"/>
      <c r="AA16" s="160"/>
      <c r="AB16" s="1221"/>
      <c r="AC16" s="109"/>
      <c r="AD16" s="161"/>
      <c r="AE16" s="160"/>
      <c r="AF16" s="160"/>
      <c r="AG16" s="1221"/>
      <c r="AH16" s="109"/>
      <c r="AI16" s="161"/>
      <c r="AJ16" s="160"/>
      <c r="AK16" s="160"/>
      <c r="AL16" s="1221"/>
      <c r="AM16" s="109"/>
      <c r="AN16" s="161"/>
      <c r="AO16" s="160"/>
      <c r="AP16" s="160"/>
      <c r="AQ16" s="1221"/>
      <c r="AR16" s="109"/>
      <c r="AS16" s="161"/>
      <c r="AT16" s="160"/>
      <c r="AU16" s="160"/>
      <c r="AV16" s="1221"/>
      <c r="AW16" s="109"/>
      <c r="AX16" s="148"/>
      <c r="AY16" s="163"/>
      <c r="AZ16" s="163"/>
      <c r="BA16" s="147"/>
      <c r="BB16" s="109"/>
      <c r="BC16" s="148"/>
      <c r="BD16" s="163"/>
      <c r="BE16" s="163"/>
      <c r="BF16" s="147"/>
      <c r="BG16" s="109"/>
      <c r="BH16" s="148"/>
      <c r="BI16" s="163"/>
      <c r="BJ16" s="163"/>
      <c r="BK16" s="147"/>
      <c r="BL16" s="109"/>
      <c r="BM16" s="148"/>
      <c r="BN16" s="163"/>
      <c r="BO16" s="163"/>
      <c r="BP16" s="147"/>
      <c r="BQ16" s="109"/>
    </row>
    <row r="17" spans="1:69">
      <c r="C17" s="56" t="s">
        <v>195</v>
      </c>
      <c r="E17" s="149"/>
      <c r="F17" s="150"/>
      <c r="G17" s="150"/>
      <c r="H17" s="151"/>
      <c r="I17" s="112"/>
      <c r="J17" s="149"/>
      <c r="K17" s="150"/>
      <c r="L17" s="150"/>
      <c r="M17" s="151"/>
      <c r="N17" s="112"/>
      <c r="O17" s="149"/>
      <c r="P17" s="150"/>
      <c r="Q17" s="150"/>
      <c r="R17" s="151"/>
      <c r="S17" s="112"/>
      <c r="T17" s="149"/>
      <c r="U17" s="150"/>
      <c r="V17" s="150"/>
      <c r="W17" s="151"/>
      <c r="X17" s="112">
        <f t="shared" ref="X17:AE17" si="18">+X8-X15</f>
        <v>-9</v>
      </c>
      <c r="Y17" s="149">
        <f t="shared" si="18"/>
        <v>-18.5</v>
      </c>
      <c r="Z17" s="150">
        <f t="shared" si="18"/>
        <v>-10.5</v>
      </c>
      <c r="AA17" s="150">
        <f t="shared" si="18"/>
        <v>-3.5</v>
      </c>
      <c r="AB17" s="151">
        <f t="shared" si="18"/>
        <v>-4.5</v>
      </c>
      <c r="AC17" s="112">
        <f t="shared" si="18"/>
        <v>-37</v>
      </c>
      <c r="AD17" s="149">
        <f t="shared" si="18"/>
        <v>-47</v>
      </c>
      <c r="AE17" s="150">
        <f t="shared" si="18"/>
        <v>-42</v>
      </c>
      <c r="AF17" s="150">
        <f t="shared" ref="AF17:AM17" si="19">+AF8-AF15</f>
        <v>-22</v>
      </c>
      <c r="AG17" s="151">
        <f t="shared" si="19"/>
        <v>-13.050000000000523</v>
      </c>
      <c r="AH17" s="112">
        <f t="shared" si="19"/>
        <v>-148.80000000000064</v>
      </c>
      <c r="AI17" s="149">
        <f t="shared" si="19"/>
        <v>-13.050000000000011</v>
      </c>
      <c r="AJ17" s="150">
        <f t="shared" si="19"/>
        <v>-20.049999999999955</v>
      </c>
      <c r="AK17" s="150">
        <f t="shared" si="19"/>
        <v>-55.05</v>
      </c>
      <c r="AL17" s="151">
        <f t="shared" si="19"/>
        <v>-90.849999999999341</v>
      </c>
      <c r="AM17" s="112">
        <f t="shared" si="19"/>
        <v>-179.00000000000034</v>
      </c>
      <c r="AN17" s="149">
        <f t="shared" ref="AN17:AR17" si="20">+AN8-AN15</f>
        <v>-48.099999999999696</v>
      </c>
      <c r="AO17" s="150">
        <f t="shared" si="20"/>
        <v>-54.599999999999511</v>
      </c>
      <c r="AP17" s="150">
        <f t="shared" si="20"/>
        <v>-79.400000000000333</v>
      </c>
      <c r="AQ17" s="151">
        <f t="shared" si="20"/>
        <v>-53.70000000000033</v>
      </c>
      <c r="AR17" s="112">
        <f t="shared" si="20"/>
        <v>-235.79999999999916</v>
      </c>
      <c r="AS17" s="149">
        <f>+AS8-AS15</f>
        <v>-62.500000000000142</v>
      </c>
      <c r="AT17" s="150">
        <f>+AT8-AT15</f>
        <v>-63.099999999999909</v>
      </c>
      <c r="AU17" s="150">
        <f>+AU8-AU15</f>
        <v>-60.200000000000045</v>
      </c>
      <c r="AV17" s="151">
        <f t="shared" ref="AV17:AW17" si="21">+AV8-AV15</f>
        <v>-18.800000000001717</v>
      </c>
      <c r="AW17" s="112">
        <f t="shared" si="21"/>
        <v>-204.60000000000207</v>
      </c>
      <c r="AX17" s="149">
        <f t="shared" ref="AX17:BL17" si="22">+AX8-AX15</f>
        <v>-62.500000000000142</v>
      </c>
      <c r="AY17" s="150">
        <f t="shared" si="22"/>
        <v>-63.099999999999909</v>
      </c>
      <c r="AZ17" s="150">
        <f t="shared" si="22"/>
        <v>-55.200000000000045</v>
      </c>
      <c r="BA17" s="151">
        <f t="shared" si="22"/>
        <v>-13.800000000001717</v>
      </c>
      <c r="BB17" s="112">
        <f t="shared" si="22"/>
        <v>-194.60000000000184</v>
      </c>
      <c r="BC17" s="149">
        <f t="shared" si="22"/>
        <v>-62.500000000000142</v>
      </c>
      <c r="BD17" s="150">
        <f t="shared" si="22"/>
        <v>-63.099999999999909</v>
      </c>
      <c r="BE17" s="150">
        <f t="shared" si="22"/>
        <v>-55.200000000000045</v>
      </c>
      <c r="BF17" s="151">
        <f t="shared" si="22"/>
        <v>-13.800000000001717</v>
      </c>
      <c r="BG17" s="112">
        <f t="shared" si="22"/>
        <v>-194.60000000000184</v>
      </c>
      <c r="BH17" s="149">
        <f t="shared" si="22"/>
        <v>-62.500000000000142</v>
      </c>
      <c r="BI17" s="150">
        <f t="shared" si="22"/>
        <v>-63.099999999999909</v>
      </c>
      <c r="BJ17" s="150">
        <f t="shared" si="22"/>
        <v>-55.200000000000045</v>
      </c>
      <c r="BK17" s="151">
        <f t="shared" si="22"/>
        <v>-13.800000000001717</v>
      </c>
      <c r="BL17" s="112">
        <f t="shared" si="22"/>
        <v>-194.60000000000184</v>
      </c>
      <c r="BM17" s="149">
        <f>+BM8-BM15</f>
        <v>-62.500000000000142</v>
      </c>
      <c r="BN17" s="150">
        <f>+BN8-BN15</f>
        <v>-63.099999999999909</v>
      </c>
      <c r="BO17" s="150">
        <f>+BO8-BO15</f>
        <v>-55.200000000000045</v>
      </c>
      <c r="BP17" s="151">
        <f>+BP8-BP15</f>
        <v>-13.800000000001717</v>
      </c>
      <c r="BQ17" s="112">
        <f>+BQ8-BQ15</f>
        <v>-194.60000000000184</v>
      </c>
    </row>
    <row r="18" spans="1:69">
      <c r="C18" s="56"/>
      <c r="E18" s="161"/>
      <c r="F18" s="162"/>
      <c r="G18" s="162"/>
      <c r="H18" s="144"/>
      <c r="I18" s="109"/>
      <c r="J18" s="161"/>
      <c r="K18" s="162"/>
      <c r="L18" s="162"/>
      <c r="M18" s="144"/>
      <c r="N18" s="109"/>
      <c r="O18" s="161"/>
      <c r="P18" s="160"/>
      <c r="Q18" s="146"/>
      <c r="R18" s="144"/>
      <c r="S18" s="109"/>
      <c r="T18" s="161"/>
      <c r="U18" s="160"/>
      <c r="V18" s="160"/>
      <c r="W18" s="147"/>
      <c r="X18" s="109"/>
      <c r="Y18" s="161"/>
      <c r="Z18" s="160"/>
      <c r="AA18" s="160"/>
      <c r="AB18" s="1221"/>
      <c r="AC18" s="109"/>
      <c r="AD18" s="161"/>
      <c r="AE18" s="160"/>
      <c r="AF18" s="160"/>
      <c r="AG18" s="1221"/>
      <c r="AH18" s="109"/>
      <c r="AI18" s="161"/>
      <c r="AJ18" s="160"/>
      <c r="AK18" s="160"/>
      <c r="AL18" s="1221"/>
      <c r="AM18" s="109"/>
      <c r="AN18" s="161"/>
      <c r="AO18" s="160"/>
      <c r="AP18" s="160"/>
      <c r="AQ18" s="1221"/>
      <c r="AR18" s="109"/>
      <c r="AS18" s="161"/>
      <c r="AT18" s="160"/>
      <c r="AU18" s="160"/>
      <c r="AV18" s="1221"/>
      <c r="AW18" s="109"/>
      <c r="AX18" s="148"/>
      <c r="AY18" s="163"/>
      <c r="AZ18" s="163"/>
      <c r="BA18" s="147"/>
      <c r="BB18" s="109"/>
      <c r="BC18" s="148"/>
      <c r="BD18" s="163"/>
      <c r="BE18" s="163"/>
      <c r="BF18" s="147"/>
      <c r="BG18" s="109"/>
      <c r="BH18" s="148"/>
      <c r="BI18" s="163"/>
      <c r="BJ18" s="163"/>
      <c r="BK18" s="147"/>
      <c r="BL18" s="109"/>
      <c r="BM18" s="148"/>
      <c r="BN18" s="163"/>
      <c r="BO18" s="163"/>
      <c r="BP18" s="147"/>
      <c r="BQ18" s="109"/>
    </row>
    <row r="19" spans="1:69">
      <c r="B19" s="50"/>
      <c r="C19" s="50" t="s">
        <v>2</v>
      </c>
      <c r="D19" s="50"/>
      <c r="E19" s="148"/>
      <c r="F19" s="146"/>
      <c r="G19" s="146"/>
      <c r="H19" s="147"/>
      <c r="I19" s="245"/>
      <c r="J19" s="148"/>
      <c r="K19" s="146"/>
      <c r="L19" s="146"/>
      <c r="M19" s="147"/>
      <c r="N19" s="245"/>
      <c r="O19" s="148"/>
      <c r="P19" s="146"/>
      <c r="Q19" s="146"/>
      <c r="R19" s="147"/>
      <c r="S19" s="245"/>
      <c r="T19" s="148"/>
      <c r="U19" s="146"/>
      <c r="V19" s="146"/>
      <c r="W19" s="144"/>
      <c r="X19" s="245">
        <f>AEP!X28-'Generation &amp; Marketing'!X20-'Vertically Integrated Utilities'!X21-'T&amp;D Utilities'!X20-'Transmission Holdco'!X19-'AEP River'!X19-'T&amp;D Utilities'!X19</f>
        <v>-18</v>
      </c>
      <c r="Y19" s="148">
        <f>AEP!Y28-'Generation &amp; Marketing'!Y20-'Vertically Integrated Utilities'!Y21-'T&amp;D Utilities'!Y20-'Transmission Holdco'!Y19-'AEP River'!Y19-'T&amp;D Utilities'!Y19</f>
        <v>-9.25</v>
      </c>
      <c r="Z19" s="146">
        <f>AEP!Z28-'Generation &amp; Marketing'!Z20-'Vertically Integrated Utilities'!Z21-'T&amp;D Utilities'!Z20-'Transmission Holdco'!Z19-'AEP River'!Z19-'T&amp;D Utilities'!Z19</f>
        <v>44.75</v>
      </c>
      <c r="AA19" s="146">
        <f>AEP!AA28-'Generation &amp; Marketing'!AA20-'Vertically Integrated Utilities'!AA21-'T&amp;D Utilities'!AA20-'Transmission Holdco'!AA19-'AEP River'!AA19-'T&amp;D Utilities'!AA19</f>
        <v>2.75</v>
      </c>
      <c r="AB19" s="1221">
        <f>AEP!AB28-'Generation &amp; Marketing'!AB20-'Vertically Integrated Utilities'!AB21-'T&amp;D Utilities'!AB20-'Transmission Holdco'!AB19-'AEP River'!AB19-'T&amp;D Utilities'!AB19</f>
        <v>10.75</v>
      </c>
      <c r="AC19" s="245">
        <f>AEP!AC28-'Generation &amp; Marketing'!AC20-'Vertically Integrated Utilities'!AC21-'T&amp;D Utilities'!AC20-'Transmission Holdco'!AC19-'AEP River'!AC19-'T&amp;D Utilities'!AC19</f>
        <v>49</v>
      </c>
      <c r="AD19" s="148">
        <f>AEP!AD28-'Generation &amp; Marketing'!AD20-'Vertically Integrated Utilities'!AD21-'T&amp;D Utilities'!AD20-'Transmission Holdco'!AD19-'AEP River'!AD19-'T&amp;D Utilities'!AD19</f>
        <v>17.5</v>
      </c>
      <c r="AE19" s="146">
        <f>AEP!AE28-'Generation &amp; Marketing'!AE20-'Vertically Integrated Utilities'!AE21-'T&amp;D Utilities'!AE20-'Transmission Holdco'!AE19-'AEP River'!AE19-'T&amp;D Utilities'!AE19</f>
        <v>22.5</v>
      </c>
      <c r="AF19" s="146">
        <f>AEP!AF28-'Generation &amp; Marketing'!AF20-'Vertically Integrated Utilities'!AF21-'T&amp;D Utilities'!AF20-'Transmission Holdco'!AF19-'AEP River'!AF19-'T&amp;D Utilities'!AF19</f>
        <v>24.5</v>
      </c>
      <c r="AG19" s="1221">
        <f>AEP!AG28-'Generation &amp; Marketing'!AG20-'Vertically Integrated Utilities'!AG21-'T&amp;D Utilities'!AG20-'Transmission Holdco'!AG19-'AEP River'!AG19-'T&amp;D Utilities'!AG19</f>
        <v>29.200000000000006</v>
      </c>
      <c r="AH19" s="245">
        <f>AEP!AH28-'Generation &amp; Marketing'!AH20-'Vertically Integrated Utilities'!AH21-'T&amp;D Utilities'!AH20-'Transmission Holdco'!AH19-'AEP River'!AH19-'T&amp;D Utilities'!AH19</f>
        <v>93.7</v>
      </c>
      <c r="AI19" s="148">
        <f>AEP!AI28-'Generation &amp; Marketing'!AI20-'Vertically Integrated Utilities'!AI21-'T&amp;D Utilities'!AI20-'Transmission Holdco'!AI19-'AEP River'!AI19-'T&amp;D Utilities'!AI19</f>
        <v>-2.9249999999999972</v>
      </c>
      <c r="AJ19" s="146">
        <f>AEP!AJ28-'Generation &amp; Marketing'!AJ20-'Vertically Integrated Utilities'!AJ21-'T&amp;D Utilities'!AJ20-'Transmission Holdco'!AJ19-'AEP River'!AJ19-'T&amp;D Utilities'!AJ19</f>
        <v>18.075000000000003</v>
      </c>
      <c r="AK19" s="146">
        <f>AEP!AK28-'Generation &amp; Marketing'!AK20-'Vertically Integrated Utilities'!AK21-'T&amp;D Utilities'!AK20-'Transmission Holdco'!AK19-'AEP River'!AK19-'T&amp;D Utilities'!AK19</f>
        <v>43.075000000000003</v>
      </c>
      <c r="AL19" s="1221">
        <f>AEP!AL28-'Generation &amp; Marketing'!AL20-'Vertically Integrated Utilities'!AL21-'T&amp;D Utilities'!AL20-'Transmission Holdco'!AL19-'AEP River'!AL19-'T&amp;D Utilities'!AL19</f>
        <v>45.97499999999998</v>
      </c>
      <c r="AM19" s="245">
        <f>AEP!AM28-'Generation &amp; Marketing'!AM20-'Vertically Integrated Utilities'!AM21-'T&amp;D Utilities'!AM20-'Transmission Holdco'!AM19-'AEP River'!AM19-'T&amp;D Utilities'!AM19</f>
        <v>104.19999999999999</v>
      </c>
      <c r="AN19" s="148">
        <f>AEP!AN28-'Generation &amp; Marketing'!AN20-'Vertically Integrated Utilities'!AN21-'T&amp;D Utilities'!AN20-'Transmission Holdco'!AN19-'AEP River'!AN19-'T&amp;D Utilities'!AN19</f>
        <v>33.70000000000001</v>
      </c>
      <c r="AO19" s="146">
        <f>AEP!AO28-'Generation &amp; Marketing'!AO20-'Vertically Integrated Utilities'!AO21-'T&amp;D Utilities'!AO20-'Transmission Holdco'!AO19-'AEP River'!AO19-'T&amp;D Utilities'!AO19</f>
        <v>29.599999999999987</v>
      </c>
      <c r="AP19" s="146">
        <f>AEP!AP28-'Generation &amp; Marketing'!AP20-'Vertically Integrated Utilities'!AP21-'T&amp;D Utilities'!AP20-'Transmission Holdco'!AP19-'AEP River'!AP19-'T&amp;D Utilities'!AP19</f>
        <v>45.199999999999534</v>
      </c>
      <c r="AQ19" s="1221">
        <f>AEP!AQ28-'Generation &amp; Marketing'!AQ20-'Vertically Integrated Utilities'!AQ21-'T&amp;D Utilities'!AQ20-'Transmission Holdco'!AQ19-'AEP River'!AQ19-'T&amp;D Utilities'!AQ19</f>
        <v>40.000000000000327</v>
      </c>
      <c r="AR19" s="245">
        <f>AEP!AR28-'Generation &amp; Marketing'!AR20-'Vertically Integrated Utilities'!AR21-'T&amp;D Utilities'!AR20-'Transmission Holdco'!AR19-'AEP River'!AR19-'T&amp;D Utilities'!AR19</f>
        <v>148.49999999999974</v>
      </c>
      <c r="AS19" s="148">
        <f>AEP!AS28-'Generation &amp; Marketing'!AS20-'Vertically Integrated Utilities'!AS21-'T&amp;D Utilities'!AS20-'Transmission Holdco'!AS19-'AEP River'!AS19-'T&amp;D Utilities'!AS19</f>
        <v>43.59999999999998</v>
      </c>
      <c r="AT19" s="146">
        <f>AEP!AT28-'Generation &amp; Marketing'!AT20-'Vertically Integrated Utilities'!AT21-'T&amp;D Utilities'!AT20-'Transmission Holdco'!AT19-'AEP River'!AT19-'T&amp;D Utilities'!AT19</f>
        <v>34</v>
      </c>
      <c r="AU19" s="146">
        <f>AEP!AU28-'Generation &amp; Marketing'!AU20-'Vertically Integrated Utilities'!AU21-'T&amp;D Utilities'!AU20-'Transmission Holdco'!AU19-'AEP River'!AU19-'T&amp;D Utilities'!AU19</f>
        <v>53.79999999999999</v>
      </c>
      <c r="AV19" s="1221">
        <f>AEP!AV28-'Generation &amp; Marketing'!AV20-'Vertically Integrated Utilities'!AV21-'T&amp;D Utilities'!AV20-'Transmission Holdco'!AV19-'AEP River'!AV19-'T&amp;D Utilities'!AV19</f>
        <v>39.900000000000112</v>
      </c>
      <c r="AW19" s="245">
        <f>AEP!AW28-'Generation &amp; Marketing'!AW20-'Vertically Integrated Utilities'!AW21-'T&amp;D Utilities'!AW20-'Transmission Holdco'!AW19-'AEP River'!AW19-'T&amp;D Utilities'!AW19</f>
        <v>171.3</v>
      </c>
      <c r="AX19" s="1906">
        <f>(AW19/4)-5</f>
        <v>37.825000000000003</v>
      </c>
      <c r="AY19" s="1911">
        <f>(AW19/4)-5</f>
        <v>37.825000000000003</v>
      </c>
      <c r="AZ19" s="1911">
        <f>(AW19/4)-5</f>
        <v>37.825000000000003</v>
      </c>
      <c r="BA19" s="1905">
        <f>(AW19/4)-5</f>
        <v>37.825000000000003</v>
      </c>
      <c r="BB19" s="245">
        <f>SUM(AX19:BA19)</f>
        <v>151.30000000000001</v>
      </c>
      <c r="BC19" s="161">
        <f>+AX19</f>
        <v>37.825000000000003</v>
      </c>
      <c r="BD19" s="160">
        <f>+AY19</f>
        <v>37.825000000000003</v>
      </c>
      <c r="BE19" s="160">
        <f>+AZ19</f>
        <v>37.825000000000003</v>
      </c>
      <c r="BF19" s="144">
        <f>+BA19</f>
        <v>37.825000000000003</v>
      </c>
      <c r="BG19" s="245">
        <f>SUM(BC19:BF19)</f>
        <v>151.30000000000001</v>
      </c>
      <c r="BH19" s="161">
        <f>+BC19</f>
        <v>37.825000000000003</v>
      </c>
      <c r="BI19" s="160">
        <f>+BD19</f>
        <v>37.825000000000003</v>
      </c>
      <c r="BJ19" s="160">
        <f>+BE19</f>
        <v>37.825000000000003</v>
      </c>
      <c r="BK19" s="144">
        <f>+BF19</f>
        <v>37.825000000000003</v>
      </c>
      <c r="BL19" s="245">
        <f>SUM(BH19:BK19)</f>
        <v>151.30000000000001</v>
      </c>
      <c r="BM19" s="161">
        <f>+BH19</f>
        <v>37.825000000000003</v>
      </c>
      <c r="BN19" s="160">
        <f>+BI19</f>
        <v>37.825000000000003</v>
      </c>
      <c r="BO19" s="160">
        <f>+BJ19</f>
        <v>37.825000000000003</v>
      </c>
      <c r="BP19" s="144">
        <f>+BK19</f>
        <v>37.825000000000003</v>
      </c>
      <c r="BQ19" s="245">
        <f>SUM(BM19:BP19)</f>
        <v>151.30000000000001</v>
      </c>
    </row>
    <row r="20" spans="1:69">
      <c r="A20" s="50"/>
      <c r="C20" s="50"/>
      <c r="E20" s="148"/>
      <c r="F20" s="163"/>
      <c r="G20" s="163"/>
      <c r="H20" s="147"/>
      <c r="I20" s="72"/>
      <c r="J20" s="148"/>
      <c r="K20" s="163"/>
      <c r="L20" s="163"/>
      <c r="M20" s="147"/>
      <c r="N20" s="72"/>
      <c r="O20" s="148"/>
      <c r="P20" s="163"/>
      <c r="Q20" s="163"/>
      <c r="R20" s="147"/>
      <c r="S20" s="72"/>
      <c r="T20" s="148"/>
      <c r="U20" s="163"/>
      <c r="V20" s="163"/>
      <c r="W20" s="147"/>
      <c r="X20" s="72"/>
      <c r="Y20" s="148"/>
      <c r="Z20" s="163"/>
      <c r="AA20" s="163"/>
      <c r="AB20" s="1221"/>
      <c r="AC20" s="72"/>
      <c r="AD20" s="148"/>
      <c r="AE20" s="163"/>
      <c r="AF20" s="163"/>
      <c r="AG20" s="1221"/>
      <c r="AH20" s="72"/>
      <c r="AI20" s="148"/>
      <c r="AJ20" s="163"/>
      <c r="AK20" s="163"/>
      <c r="AL20" s="1221"/>
      <c r="AM20" s="72"/>
      <c r="AN20" s="148"/>
      <c r="AO20" s="163"/>
      <c r="AP20" s="163"/>
      <c r="AQ20" s="1221"/>
      <c r="AR20" s="72"/>
      <c r="AS20" s="148"/>
      <c r="AT20" s="163"/>
      <c r="AU20" s="163"/>
      <c r="AV20" s="1221"/>
      <c r="AW20" s="72"/>
      <c r="AX20" s="148"/>
      <c r="AY20" s="163"/>
      <c r="AZ20" s="163"/>
      <c r="BA20" s="147"/>
      <c r="BB20" s="72"/>
      <c r="BC20" s="148"/>
      <c r="BD20" s="163"/>
      <c r="BE20" s="163"/>
      <c r="BF20" s="147"/>
      <c r="BG20" s="72"/>
      <c r="BH20" s="148"/>
      <c r="BI20" s="163"/>
      <c r="BJ20" s="163"/>
      <c r="BK20" s="147"/>
      <c r="BL20" s="72"/>
      <c r="BM20" s="148"/>
      <c r="BN20" s="163"/>
      <c r="BO20" s="163"/>
      <c r="BP20" s="147"/>
      <c r="BQ20" s="72"/>
    </row>
    <row r="21" spans="1:69">
      <c r="C21" s="56" t="s">
        <v>3</v>
      </c>
      <c r="E21" s="149"/>
      <c r="F21" s="150"/>
      <c r="G21" s="150"/>
      <c r="H21" s="151"/>
      <c r="I21" s="112"/>
      <c r="J21" s="149"/>
      <c r="K21" s="150"/>
      <c r="L21" s="150"/>
      <c r="M21" s="151"/>
      <c r="N21" s="112"/>
      <c r="O21" s="149"/>
      <c r="P21" s="150"/>
      <c r="Q21" s="150"/>
      <c r="R21" s="151"/>
      <c r="S21" s="112"/>
      <c r="T21" s="149"/>
      <c r="U21" s="150"/>
      <c r="V21" s="150"/>
      <c r="W21" s="151"/>
      <c r="X21" s="112">
        <f t="shared" ref="X21:AE21" si="23">X17+X19</f>
        <v>-27</v>
      </c>
      <c r="Y21" s="149">
        <f t="shared" si="23"/>
        <v>-27.75</v>
      </c>
      <c r="Z21" s="150">
        <f t="shared" si="23"/>
        <v>34.25</v>
      </c>
      <c r="AA21" s="150">
        <f t="shared" si="23"/>
        <v>-0.75</v>
      </c>
      <c r="AB21" s="151">
        <f t="shared" si="23"/>
        <v>6.25</v>
      </c>
      <c r="AC21" s="112">
        <f t="shared" si="23"/>
        <v>12</v>
      </c>
      <c r="AD21" s="149">
        <f t="shared" si="23"/>
        <v>-29.5</v>
      </c>
      <c r="AE21" s="150">
        <f t="shared" si="23"/>
        <v>-19.5</v>
      </c>
      <c r="AF21" s="150">
        <f>AF17+AF19</f>
        <v>2.5</v>
      </c>
      <c r="AG21" s="151">
        <f>AG17+AG19</f>
        <v>16.149999999999483</v>
      </c>
      <c r="AH21" s="112">
        <f>AH17+AH19</f>
        <v>-55.100000000000634</v>
      </c>
      <c r="AI21" s="149">
        <f>AI17+AI19</f>
        <v>-15.975000000000009</v>
      </c>
      <c r="AJ21" s="150">
        <f>AJ17+AJ19</f>
        <v>-1.9749999999999517</v>
      </c>
      <c r="AK21" s="150">
        <f t="shared" ref="AK21:AP21" si="24">AK17+AK19</f>
        <v>-11.974999999999994</v>
      </c>
      <c r="AL21" s="151">
        <f t="shared" si="24"/>
        <v>-44.874999999999361</v>
      </c>
      <c r="AM21" s="112">
        <f t="shared" si="24"/>
        <v>-74.800000000000352</v>
      </c>
      <c r="AN21" s="149">
        <f t="shared" si="24"/>
        <v>-14.399999999999686</v>
      </c>
      <c r="AO21" s="150">
        <f t="shared" si="24"/>
        <v>-24.999999999999524</v>
      </c>
      <c r="AP21" s="150">
        <f t="shared" si="24"/>
        <v>-34.200000000000799</v>
      </c>
      <c r="AQ21" s="151">
        <f t="shared" ref="AQ21:AU21" si="25">AQ17+AQ19</f>
        <v>-13.700000000000003</v>
      </c>
      <c r="AR21" s="112">
        <f t="shared" si="25"/>
        <v>-87.299999999999415</v>
      </c>
      <c r="AS21" s="149">
        <f t="shared" si="25"/>
        <v>-18.900000000000162</v>
      </c>
      <c r="AT21" s="150">
        <f t="shared" si="25"/>
        <v>-29.099999999999909</v>
      </c>
      <c r="AU21" s="150">
        <f t="shared" si="25"/>
        <v>-6.4000000000000554</v>
      </c>
      <c r="AV21" s="151">
        <f t="shared" ref="AV21:AW21" si="26">AV17+AV19</f>
        <v>21.099999999998396</v>
      </c>
      <c r="AW21" s="112">
        <f t="shared" si="26"/>
        <v>-33.300000000002058</v>
      </c>
      <c r="AX21" s="149">
        <f t="shared" ref="AX21:BB21" si="27">AX17+AX19</f>
        <v>-24.675000000000139</v>
      </c>
      <c r="AY21" s="150">
        <f t="shared" si="27"/>
        <v>-25.274999999999906</v>
      </c>
      <c r="AZ21" s="150">
        <f t="shared" si="27"/>
        <v>-17.375000000000043</v>
      </c>
      <c r="BA21" s="151">
        <f t="shared" si="27"/>
        <v>24.024999999998286</v>
      </c>
      <c r="BB21" s="112">
        <f t="shared" si="27"/>
        <v>-43.30000000000183</v>
      </c>
      <c r="BC21" s="149">
        <f t="shared" ref="BC21:BL21" si="28">BC17+BC19</f>
        <v>-24.675000000000139</v>
      </c>
      <c r="BD21" s="150">
        <f t="shared" si="28"/>
        <v>-25.274999999999906</v>
      </c>
      <c r="BE21" s="150">
        <f t="shared" si="28"/>
        <v>-17.375000000000043</v>
      </c>
      <c r="BF21" s="151">
        <f t="shared" si="28"/>
        <v>24.024999999998286</v>
      </c>
      <c r="BG21" s="112">
        <f t="shared" si="28"/>
        <v>-43.30000000000183</v>
      </c>
      <c r="BH21" s="149">
        <f t="shared" si="28"/>
        <v>-24.675000000000139</v>
      </c>
      <c r="BI21" s="150">
        <f t="shared" si="28"/>
        <v>-25.274999999999906</v>
      </c>
      <c r="BJ21" s="150">
        <f t="shared" si="28"/>
        <v>-17.375000000000043</v>
      </c>
      <c r="BK21" s="151">
        <f t="shared" si="28"/>
        <v>24.024999999998286</v>
      </c>
      <c r="BL21" s="112">
        <f t="shared" si="28"/>
        <v>-43.30000000000183</v>
      </c>
      <c r="BM21" s="149">
        <f>BM17+BM19</f>
        <v>-24.675000000000139</v>
      </c>
      <c r="BN21" s="150">
        <f>BN17+BN19</f>
        <v>-25.274999999999906</v>
      </c>
      <c r="BO21" s="150">
        <f>BO17+BO19</f>
        <v>-17.375000000000043</v>
      </c>
      <c r="BP21" s="151">
        <f>BP17+BP19</f>
        <v>24.024999999998286</v>
      </c>
      <c r="BQ21" s="112">
        <f>BQ17+BQ19</f>
        <v>-43.30000000000183</v>
      </c>
    </row>
    <row r="22" spans="1:69">
      <c r="C22" s="56" t="s">
        <v>4</v>
      </c>
      <c r="E22" s="149"/>
      <c r="F22" s="150"/>
      <c r="G22" s="150"/>
      <c r="H22" s="151"/>
      <c r="I22" s="112"/>
      <c r="J22" s="149"/>
      <c r="K22" s="150"/>
      <c r="L22" s="150"/>
      <c r="M22" s="151"/>
      <c r="N22" s="112"/>
      <c r="O22" s="149"/>
      <c r="P22" s="150"/>
      <c r="Q22" s="150"/>
      <c r="R22" s="151"/>
      <c r="S22" s="112"/>
      <c r="T22" s="149"/>
      <c r="U22" s="150"/>
      <c r="V22" s="150"/>
      <c r="W22" s="151"/>
      <c r="X22" s="112">
        <f t="shared" ref="X22:BB22" si="29">+X21+X13</f>
        <v>-60</v>
      </c>
      <c r="Y22" s="149">
        <f t="shared" si="29"/>
        <v>-48</v>
      </c>
      <c r="Z22" s="150">
        <f t="shared" si="29"/>
        <v>21</v>
      </c>
      <c r="AA22" s="150">
        <f t="shared" si="29"/>
        <v>-19</v>
      </c>
      <c r="AB22" s="151">
        <f t="shared" si="29"/>
        <v>-8</v>
      </c>
      <c r="AC22" s="112">
        <f t="shared" si="29"/>
        <v>-54</v>
      </c>
      <c r="AD22" s="149">
        <f t="shared" si="29"/>
        <v>-33.25</v>
      </c>
      <c r="AE22" s="150">
        <f t="shared" si="29"/>
        <v>-54.25</v>
      </c>
      <c r="AF22" s="150">
        <f t="shared" si="29"/>
        <v>0.75</v>
      </c>
      <c r="AG22" s="151">
        <f t="shared" ref="AG22:AM22" si="30">+AG21+AG13</f>
        <v>12.599999999999529</v>
      </c>
      <c r="AH22" s="112">
        <f t="shared" si="30"/>
        <v>-98.900000000000588</v>
      </c>
      <c r="AI22" s="149">
        <f t="shared" si="30"/>
        <v>-11.725000000000009</v>
      </c>
      <c r="AJ22" s="150">
        <f t="shared" si="30"/>
        <v>6.2750000000000483</v>
      </c>
      <c r="AK22" s="150">
        <f t="shared" si="30"/>
        <v>-0.72499999999999432</v>
      </c>
      <c r="AL22" s="151">
        <f t="shared" si="30"/>
        <v>-52.324999999999179</v>
      </c>
      <c r="AM22" s="112">
        <f t="shared" si="30"/>
        <v>-58.500000000000284</v>
      </c>
      <c r="AN22" s="149">
        <f t="shared" ref="AN22:AS22" si="31">+AN21+AN13</f>
        <v>-4.5999999999996746</v>
      </c>
      <c r="AO22" s="150">
        <f t="shared" si="31"/>
        <v>-15.899999999999604</v>
      </c>
      <c r="AP22" s="150">
        <f t="shared" si="31"/>
        <v>-21.60000000000084</v>
      </c>
      <c r="AQ22" s="151">
        <f t="shared" si="31"/>
        <v>-28.299999999999748</v>
      </c>
      <c r="AR22" s="112">
        <f t="shared" si="31"/>
        <v>-70.399999999999295</v>
      </c>
      <c r="AS22" s="149">
        <f t="shared" si="31"/>
        <v>-1.8000000000001748</v>
      </c>
      <c r="AT22" s="150">
        <f>+AT21+AT13</f>
        <v>-15.099999999999937</v>
      </c>
      <c r="AU22" s="150">
        <f>+AU21+AU13</f>
        <v>8.6999999999998749</v>
      </c>
      <c r="AV22" s="151">
        <f t="shared" ref="AV22:AW22" si="32">+AV21+AV13</f>
        <v>35.699999999998305</v>
      </c>
      <c r="AW22" s="112">
        <f t="shared" si="32"/>
        <v>27.499999999997939</v>
      </c>
      <c r="AX22" s="149">
        <f t="shared" si="29"/>
        <v>-7.5750000000001521</v>
      </c>
      <c r="AY22" s="150">
        <f t="shared" si="29"/>
        <v>-11.274999999999935</v>
      </c>
      <c r="AZ22" s="150">
        <f t="shared" si="29"/>
        <v>-7.2750000000001123</v>
      </c>
      <c r="BA22" s="151">
        <f t="shared" si="29"/>
        <v>33.624999999998195</v>
      </c>
      <c r="BB22" s="112">
        <f t="shared" si="29"/>
        <v>7.4999999999979678</v>
      </c>
      <c r="BC22" s="149">
        <f t="shared" ref="BC22:BL22" si="33">+BC21+BC13</f>
        <v>-7.5750000000001521</v>
      </c>
      <c r="BD22" s="150">
        <f t="shared" si="33"/>
        <v>-11.274999999999935</v>
      </c>
      <c r="BE22" s="150">
        <f t="shared" si="33"/>
        <v>-7.2750000000001123</v>
      </c>
      <c r="BF22" s="151">
        <f t="shared" si="33"/>
        <v>33.624999999998195</v>
      </c>
      <c r="BG22" s="112">
        <f t="shared" si="33"/>
        <v>7.4999999999979678</v>
      </c>
      <c r="BH22" s="149">
        <f t="shared" si="33"/>
        <v>-7.5750000000001521</v>
      </c>
      <c r="BI22" s="150">
        <f t="shared" si="33"/>
        <v>-11.274999999999935</v>
      </c>
      <c r="BJ22" s="150">
        <f t="shared" si="33"/>
        <v>-7.2750000000001123</v>
      </c>
      <c r="BK22" s="151">
        <f t="shared" si="33"/>
        <v>33.624999999998195</v>
      </c>
      <c r="BL22" s="112">
        <f t="shared" si="33"/>
        <v>7.4999999999979678</v>
      </c>
      <c r="BM22" s="149">
        <f>+BM21+BM13</f>
        <v>-7.5750000000001521</v>
      </c>
      <c r="BN22" s="150">
        <f>+BN21+BN13</f>
        <v>-11.274999999999935</v>
      </c>
      <c r="BO22" s="150">
        <f>+BO21+BO13</f>
        <v>-7.2750000000001123</v>
      </c>
      <c r="BP22" s="151">
        <f>+BP21+BP13</f>
        <v>33.624999999998195</v>
      </c>
      <c r="BQ22" s="112">
        <f>+BQ21+BQ13</f>
        <v>7.4999999999979678</v>
      </c>
    </row>
    <row r="23" spans="1:69">
      <c r="C23" s="50"/>
      <c r="E23" s="161"/>
      <c r="F23" s="162"/>
      <c r="G23" s="162"/>
      <c r="H23" s="144"/>
      <c r="I23" s="109"/>
      <c r="J23" s="161"/>
      <c r="K23" s="162"/>
      <c r="L23" s="162"/>
      <c r="M23" s="144"/>
      <c r="N23" s="109"/>
      <c r="O23" s="161"/>
      <c r="P23" s="160"/>
      <c r="Q23" s="146"/>
      <c r="R23" s="144"/>
      <c r="S23" s="109"/>
      <c r="T23" s="161"/>
      <c r="U23" s="160"/>
      <c r="V23" s="160"/>
      <c r="W23" s="147"/>
      <c r="X23" s="109"/>
      <c r="Y23" s="161"/>
      <c r="Z23" s="160"/>
      <c r="AA23" s="160"/>
      <c r="AB23" s="1221"/>
      <c r="AC23" s="109"/>
      <c r="AD23" s="161"/>
      <c r="AE23" s="160"/>
      <c r="AF23" s="160"/>
      <c r="AG23" s="1221"/>
      <c r="AH23" s="109"/>
      <c r="AI23" s="161"/>
      <c r="AJ23" s="160"/>
      <c r="AK23" s="160"/>
      <c r="AL23" s="1221"/>
      <c r="AM23" s="109"/>
      <c r="AN23" s="161"/>
      <c r="AO23" s="160"/>
      <c r="AP23" s="160"/>
      <c r="AQ23" s="1221"/>
      <c r="AR23" s="109"/>
      <c r="AS23" s="161"/>
      <c r="AT23" s="160"/>
      <c r="AU23" s="160"/>
      <c r="AV23" s="1221"/>
      <c r="AW23" s="109"/>
      <c r="AX23" s="161"/>
      <c r="AY23" s="163"/>
      <c r="AZ23" s="163"/>
      <c r="BA23" s="147"/>
      <c r="BB23" s="109"/>
      <c r="BC23" s="161"/>
      <c r="BD23" s="163"/>
      <c r="BE23" s="163"/>
      <c r="BF23" s="147"/>
      <c r="BG23" s="109"/>
      <c r="BH23" s="161"/>
      <c r="BI23" s="163"/>
      <c r="BJ23" s="163"/>
      <c r="BK23" s="147"/>
      <c r="BL23" s="109"/>
      <c r="BM23" s="161"/>
      <c r="BN23" s="163"/>
      <c r="BO23" s="163"/>
      <c r="BP23" s="147"/>
      <c r="BQ23" s="109"/>
    </row>
    <row r="24" spans="1:69">
      <c r="B24" s="50"/>
      <c r="C24" s="50" t="s">
        <v>6</v>
      </c>
      <c r="D24" s="50"/>
      <c r="E24" s="148"/>
      <c r="F24" s="160"/>
      <c r="G24" s="160"/>
      <c r="H24" s="144"/>
      <c r="I24" s="245"/>
      <c r="J24" s="148"/>
      <c r="K24" s="160"/>
      <c r="L24" s="160"/>
      <c r="M24" s="144"/>
      <c r="N24" s="245"/>
      <c r="O24" s="148"/>
      <c r="P24" s="160"/>
      <c r="Q24" s="160"/>
      <c r="R24" s="144"/>
      <c r="S24" s="245"/>
      <c r="T24" s="148"/>
      <c r="U24" s="160"/>
      <c r="V24" s="160"/>
      <c r="W24" s="144"/>
      <c r="X24" s="245">
        <f>AEP!X33-'Generation &amp; Marketing'!X27-'Vertically Integrated Utilities'!X28-'T&amp;D Utilities'!X27-'Transmission Holdco'!X24-'AEP River'!X24</f>
        <v>84</v>
      </c>
      <c r="Y24" s="148">
        <f>AEP!Y33-'Generation &amp; Marketing'!Y27-'Vertically Integrated Utilities'!Y28-'T&amp;D Utilities'!Y27-'Transmission Holdco'!Y24-'AEP River'!Y24</f>
        <v>-0.75</v>
      </c>
      <c r="Z24" s="160">
        <f>AEP!Z33-'Generation &amp; Marketing'!Z27-'Vertically Integrated Utilities'!Z28-'T&amp;D Utilities'!Z27-'Transmission Holdco'!Z24-'AEP River'!Z24</f>
        <v>4.25</v>
      </c>
      <c r="AA24" s="160">
        <f>AEP!AA33-'Generation &amp; Marketing'!AA27-'Vertically Integrated Utilities'!AA28-'T&amp;D Utilities'!AA27-'Transmission Holdco'!AA24-'AEP River'!AA24</f>
        <v>0.25</v>
      </c>
      <c r="AB24" s="1221">
        <f>AEP!AB33-'Generation &amp; Marketing'!AB27-'Vertically Integrated Utilities'!AB28-'T&amp;D Utilities'!AB27-'Transmission Holdco'!AB24-'AEP River'!AB24</f>
        <v>-0.75</v>
      </c>
      <c r="AC24" s="245">
        <f>AEP!AC33-'Generation &amp; Marketing'!AC27-'Vertically Integrated Utilities'!AC28-'T&amp;D Utilities'!AC27-'Transmission Holdco'!AC24-'AEP River'!AC24</f>
        <v>3</v>
      </c>
      <c r="AD24" s="148">
        <f>AEP!AD33-'Generation &amp; Marketing'!AD27-'Vertically Integrated Utilities'!AD28-'T&amp;D Utilities'!AD27-'Transmission Holdco'!AD24-'AEP River'!AD24</f>
        <v>2</v>
      </c>
      <c r="AE24" s="160">
        <f>AEP!AE33-'Generation &amp; Marketing'!AE27-'Vertically Integrated Utilities'!AE28-'T&amp;D Utilities'!AE27-'Transmission Holdco'!AE24-'AEP River'!AE24</f>
        <v>0</v>
      </c>
      <c r="AF24" s="160">
        <f>AEP!AF33-'Generation &amp; Marketing'!AF27-'Vertically Integrated Utilities'!AF28-'T&amp;D Utilities'!AF27-'Transmission Holdco'!AF24-'AEP River'!AF24</f>
        <v>5</v>
      </c>
      <c r="AG24" s="1221">
        <f>AEP!AG33-'Generation &amp; Marketing'!AG27-'Vertically Integrated Utilities'!AG28-'T&amp;D Utilities'!AG27-'Transmission Holdco'!AG24-'AEP River'!AG24</f>
        <v>4.7999999999999829</v>
      </c>
      <c r="AH24" s="245">
        <f>AEP!AH33-'Generation &amp; Marketing'!AH27-'Vertically Integrated Utilities'!AH28-'T&amp;D Utilities'!AH27-'Transmission Holdco'!AH24-'AEP River'!AH24</f>
        <v>11.800000000000011</v>
      </c>
      <c r="AI24" s="148">
        <f>AEP!AI33-'Generation &amp; Marketing'!AI27-'Vertically Integrated Utilities'!AI28-'T&amp;D Utilities'!AI27-'Transmission Holdco'!AI24-'AEP River'!AI24</f>
        <v>5.6999999999999993</v>
      </c>
      <c r="AJ24" s="160">
        <f>AEP!AJ33-'Generation &amp; Marketing'!AJ27-'Vertically Integrated Utilities'!AJ28-'T&amp;D Utilities'!AJ27-'Transmission Holdco'!AJ24-'AEP River'!AJ24</f>
        <v>9.6999999999999993</v>
      </c>
      <c r="AK24" s="160">
        <f>AEP!AK33-'Generation &amp; Marketing'!AK27-'Vertically Integrated Utilities'!AK28-'T&amp;D Utilities'!AK27-'Transmission Holdco'!AK24-'AEP River'!AK24</f>
        <v>6.6999999999999993</v>
      </c>
      <c r="AL24" s="1221">
        <f>AEP!AL33-'Generation &amp; Marketing'!AL27-'Vertically Integrated Utilities'!AL28-'T&amp;D Utilities'!AL27-'Transmission Holdco'!AL24-'AEP River'!AL24</f>
        <v>6.800000000000022</v>
      </c>
      <c r="AM24" s="245">
        <f>AEP!AM33-'Generation &amp; Marketing'!AM27-'Vertically Integrated Utilities'!AM28-'T&amp;D Utilities'!AM27-'Transmission Holdco'!AM24-'AEP River'!AM24</f>
        <v>28.899999999999963</v>
      </c>
      <c r="AN24" s="148">
        <f>AEP!AN33-'Generation &amp; Marketing'!AN27-'Vertically Integrated Utilities'!AN28-'T&amp;D Utilities'!AN27-'Transmission Holdco'!AN24-'AEP River'!AN24</f>
        <v>5.1999999999999851</v>
      </c>
      <c r="AO24" s="160">
        <f>AEP!AO33-'Generation &amp; Marketing'!AO27-'Vertically Integrated Utilities'!AO28-'T&amp;D Utilities'!AO27-'Transmission Holdco'!AO24-'AEP River'!AO24</f>
        <v>5.4999999999999947</v>
      </c>
      <c r="AP24" s="160">
        <f>AEP!AP33-'Generation &amp; Marketing'!AP27-'Vertically Integrated Utilities'!AP28-'T&amp;D Utilities'!AP27-'Transmission Holdco'!AP24-'AEP River'!AP24</f>
        <v>5.500000000000032</v>
      </c>
      <c r="AQ24" s="1221">
        <f>AEP!AQ33-'Generation &amp; Marketing'!AQ27-'Vertically Integrated Utilities'!AQ28-'T&amp;D Utilities'!AQ27-'Transmission Holdco'!AQ24-'AEP River'!AQ24</f>
        <v>17.299999999999997</v>
      </c>
      <c r="AR24" s="245">
        <f>AEP!AR33-'Generation &amp; Marketing'!AR27-'Vertically Integrated Utilities'!AR28-'T&amp;D Utilities'!AR27-'Transmission Holdco'!AR24-'AEP River'!AR24</f>
        <v>33.500000000000014</v>
      </c>
      <c r="AS24" s="148">
        <f>AEP!AS33-'Generation &amp; Marketing'!AS27-'Vertically Integrated Utilities'!AS28-'T&amp;D Utilities'!AS27-'Transmission Holdco'!AS24-'AEP River'!AS24</f>
        <v>11.899999999999988</v>
      </c>
      <c r="AT24" s="160">
        <f>AEP!AT33-'Generation &amp; Marketing'!AT27-'Vertically Integrated Utilities'!AT28-'T&amp;D Utilities'!AT27-'Transmission Holdco'!AT24-'AEP River'!AT24</f>
        <v>8.3000000000000256</v>
      </c>
      <c r="AU24" s="160">
        <f>AEP!AU33-'Generation &amp; Marketing'!AU27-'Vertically Integrated Utilities'!AU28-'T&amp;D Utilities'!AU27-'Transmission Holdco'!AU24-'AEP River'!AU24</f>
        <v>10.70000000000001</v>
      </c>
      <c r="AV24" s="1221">
        <f>AEP!AV33-'Generation &amp; Marketing'!AV27-'Vertically Integrated Utilities'!AV28-'T&amp;D Utilities'!AV27-'Transmission Holdco'!AV24-'AEP River'!AV24</f>
        <v>13.500000000000014</v>
      </c>
      <c r="AW24" s="245">
        <f>AEP!AW33-'Generation &amp; Marketing'!AW27-'Vertically Integrated Utilities'!AW28-'T&amp;D Utilities'!AW27-'Transmission Holdco'!AW24-'AEP River'!AW24</f>
        <v>44.399999999999906</v>
      </c>
      <c r="AX24" s="148">
        <f>AEP!AX33-'Vertically Integrated Utilities'!AX27-'T&amp;D Utilities'!AX26-'Generation &amp; Marketing'!AX26-'Transmission Holdco'!AX24-'AEP River'!AX24</f>
        <v>-5.4963502225752094</v>
      </c>
      <c r="AY24" s="160">
        <f>AEP!AY33-'Vertically Integrated Utilities'!AY27-'T&amp;D Utilities'!AY26-'Generation &amp; Marketing'!AY26-'Transmission Holdco'!AY24-'AEP River'!AY24</f>
        <v>17.802085455147306</v>
      </c>
      <c r="AZ24" s="160">
        <f>AEP!AZ33-'Vertically Integrated Utilities'!AZ27-'T&amp;D Utilities'!AZ26-'Generation &amp; Marketing'!AZ26-'Transmission Holdco'!AZ24-'AEP River'!AZ24</f>
        <v>9.8955183588510778</v>
      </c>
      <c r="BA24" s="144">
        <f>AEP!BA33-'Vertically Integrated Utilities'!BA27-'T&amp;D Utilities'!BA26-'Generation &amp; Marketing'!BA26-'Transmission Holdco'!BA24-'AEP River'!BA24</f>
        <v>12.692258441162075</v>
      </c>
      <c r="BB24" s="245">
        <f>SUM(AX24:BA24)</f>
        <v>34.893512032585249</v>
      </c>
      <c r="BC24" s="148">
        <f>AEP!BC33-'Vertically Integrated Utilities'!BC27-'T&amp;D Utilities'!BC26-'Generation &amp; Marketing'!BC26-'Transmission Holdco'!BC24-'AEP River'!BC24</f>
        <v>11.196198184312038</v>
      </c>
      <c r="BD24" s="160">
        <f>AEP!BD33-'Vertically Integrated Utilities'!BD27-'T&amp;D Utilities'!BD26-'Generation &amp; Marketing'!BD26-'Transmission Holdco'!BD24-'AEP River'!BD24</f>
        <v>17.632193696899975</v>
      </c>
      <c r="BE24" s="160">
        <f>AEP!BE33-'Vertically Integrated Utilities'!BE27-'T&amp;D Utilities'!BE26-'Generation &amp; Marketing'!BE26-'Transmission Holdco'!BE24-'AEP River'!BE24</f>
        <v>40.658854521037654</v>
      </c>
      <c r="BF24" s="144">
        <f>AEP!BF33-'Vertically Integrated Utilities'!BF27-'T&amp;D Utilities'!BF26-'Generation &amp; Marketing'!BF26-'Transmission Holdco'!BF24-'AEP River'!BF24</f>
        <v>33.54519423037209</v>
      </c>
      <c r="BG24" s="245">
        <f>SUM(BC24:BF24)</f>
        <v>103.03244063262176</v>
      </c>
      <c r="BH24" s="148">
        <f>AEP!BH33-'Vertically Integrated Utilities'!BH27-'T&amp;D Utilities'!BH26-'Generation &amp; Marketing'!BH26-'Transmission Holdco'!BH24-'AEP River'!BH24</f>
        <v>34.301371982783294</v>
      </c>
      <c r="BI24" s="160">
        <f>AEP!BI33-'Vertically Integrated Utilities'!BI27-'T&amp;D Utilities'!BI26-'Generation &amp; Marketing'!BI26-'Transmission Holdco'!BI24-'AEP River'!BI24</f>
        <v>39.556031989747602</v>
      </c>
      <c r="BJ24" s="160">
        <f>AEP!BJ33-'Vertically Integrated Utilities'!BJ27-'T&amp;D Utilities'!BJ26-'Generation &amp; Marketing'!BJ26-'Transmission Holdco'!BJ24-'AEP River'!BJ24</f>
        <v>47.643231015463613</v>
      </c>
      <c r="BK24" s="144">
        <f>AEP!BK33-'Vertically Integrated Utilities'!BK27-'T&amp;D Utilities'!BK26-'Generation &amp; Marketing'!BK26-'Transmission Holdco'!BK24-'AEP River'!BK24</f>
        <v>40.182909743369493</v>
      </c>
      <c r="BL24" s="245">
        <f>SUM(BH24:BK24)</f>
        <v>161.68354473136401</v>
      </c>
      <c r="BM24" s="148">
        <f>AEP!BM33-'Vertically Integrated Utilities'!BM27-'T&amp;D Utilities'!BM26-'Generation &amp; Marketing'!BM26-'Transmission Holdco'!BM24-'AEP River'!BM24</f>
        <v>37.743212803435128</v>
      </c>
      <c r="BN24" s="160">
        <f>AEP!BN33-'Vertically Integrated Utilities'!BN27-'T&amp;D Utilities'!BN26-'Generation &amp; Marketing'!BN26-'Transmission Holdco'!BN24-'AEP River'!BN24</f>
        <v>44.357753588423719</v>
      </c>
      <c r="BO24" s="160">
        <f>AEP!BO33-'Vertically Integrated Utilities'!BO27-'T&amp;D Utilities'!BO26-'Generation &amp; Marketing'!BO26-'Transmission Holdco'!BO24-'AEP River'!BO24</f>
        <v>46.351878101750472</v>
      </c>
      <c r="BP24" s="144">
        <f>AEP!BP33-'Vertically Integrated Utilities'!BP27-'T&amp;D Utilities'!BP26-'Generation &amp; Marketing'!BP26-'Transmission Holdco'!BP24-'AEP River'!BP24</f>
        <v>34.522042937423279</v>
      </c>
      <c r="BQ24" s="245">
        <f>SUM(BM24:BP24)</f>
        <v>162.97488743103258</v>
      </c>
    </row>
    <row r="25" spans="1:69">
      <c r="A25" s="50"/>
      <c r="C25" s="50"/>
      <c r="E25" s="161"/>
      <c r="F25" s="162"/>
      <c r="G25" s="162"/>
      <c r="H25" s="144"/>
      <c r="I25" s="109"/>
      <c r="J25" s="161"/>
      <c r="K25" s="162"/>
      <c r="L25" s="162"/>
      <c r="M25" s="144"/>
      <c r="N25" s="109"/>
      <c r="O25" s="161"/>
      <c r="P25" s="160"/>
      <c r="Q25" s="146"/>
      <c r="R25" s="144"/>
      <c r="S25" s="109"/>
      <c r="T25" s="161"/>
      <c r="U25" s="160"/>
      <c r="V25" s="160"/>
      <c r="W25" s="147"/>
      <c r="X25" s="109"/>
      <c r="Y25" s="161"/>
      <c r="Z25" s="160"/>
      <c r="AA25" s="160"/>
      <c r="AB25" s="1221"/>
      <c r="AC25" s="109"/>
      <c r="AD25" s="161"/>
      <c r="AE25" s="160"/>
      <c r="AF25" s="160"/>
      <c r="AG25" s="1221"/>
      <c r="AH25" s="109"/>
      <c r="AI25" s="161"/>
      <c r="AJ25" s="160"/>
      <c r="AK25" s="160"/>
      <c r="AL25" s="1221"/>
      <c r="AM25" s="109"/>
      <c r="AN25" s="161"/>
      <c r="AO25" s="160"/>
      <c r="AP25" s="160"/>
      <c r="AQ25" s="1221"/>
      <c r="AR25" s="109"/>
      <c r="AS25" s="161"/>
      <c r="AT25" s="160"/>
      <c r="AU25" s="160"/>
      <c r="AV25" s="1221"/>
      <c r="AW25" s="109"/>
      <c r="AX25" s="161"/>
      <c r="AY25" s="163"/>
      <c r="AZ25" s="163"/>
      <c r="BA25" s="147"/>
      <c r="BB25" s="109"/>
      <c r="BC25" s="161"/>
      <c r="BD25" s="163"/>
      <c r="BE25" s="163"/>
      <c r="BF25" s="147"/>
      <c r="BG25" s="109"/>
      <c r="BH25" s="161"/>
      <c r="BI25" s="163"/>
      <c r="BJ25" s="163"/>
      <c r="BK25" s="147"/>
      <c r="BL25" s="109"/>
      <c r="BM25" s="161"/>
      <c r="BN25" s="163"/>
      <c r="BO25" s="163"/>
      <c r="BP25" s="147"/>
      <c r="BQ25" s="109"/>
    </row>
    <row r="26" spans="1:69">
      <c r="C26" s="56" t="s">
        <v>7</v>
      </c>
      <c r="D26" s="50"/>
      <c r="E26" s="149"/>
      <c r="F26" s="150"/>
      <c r="G26" s="150"/>
      <c r="H26" s="151"/>
      <c r="I26" s="112"/>
      <c r="J26" s="149"/>
      <c r="K26" s="150"/>
      <c r="L26" s="150"/>
      <c r="M26" s="151"/>
      <c r="N26" s="112"/>
      <c r="O26" s="149"/>
      <c r="P26" s="150"/>
      <c r="Q26" s="150"/>
      <c r="R26" s="151"/>
      <c r="S26" s="112"/>
      <c r="T26" s="149"/>
      <c r="U26" s="150"/>
      <c r="V26" s="150"/>
      <c r="W26" s="151"/>
      <c r="X26" s="112">
        <f t="shared" ref="X26:AE26" si="34">+X21-X24</f>
        <v>-111</v>
      </c>
      <c r="Y26" s="149">
        <f t="shared" si="34"/>
        <v>-27</v>
      </c>
      <c r="Z26" s="150">
        <f t="shared" si="34"/>
        <v>30</v>
      </c>
      <c r="AA26" s="150">
        <f t="shared" si="34"/>
        <v>-1</v>
      </c>
      <c r="AB26" s="151">
        <f t="shared" si="34"/>
        <v>7</v>
      </c>
      <c r="AC26" s="112">
        <f t="shared" si="34"/>
        <v>9</v>
      </c>
      <c r="AD26" s="149">
        <f t="shared" si="34"/>
        <v>-31.5</v>
      </c>
      <c r="AE26" s="150">
        <f t="shared" si="34"/>
        <v>-19.5</v>
      </c>
      <c r="AF26" s="150">
        <f>+AF21-AF24</f>
        <v>-2.5</v>
      </c>
      <c r="AG26" s="151">
        <f>+AG21-AG24</f>
        <v>11.3499999999995</v>
      </c>
      <c r="AH26" s="112">
        <f>+AH21-AH24</f>
        <v>-66.900000000000645</v>
      </c>
      <c r="AI26" s="149">
        <f>+AI21-AI24</f>
        <v>-21.675000000000008</v>
      </c>
      <c r="AJ26" s="150">
        <f>+AJ21-AJ24</f>
        <v>-11.674999999999951</v>
      </c>
      <c r="AK26" s="150">
        <f t="shared" ref="AK26:AP26" si="35">+AK21-AK24</f>
        <v>-18.674999999999994</v>
      </c>
      <c r="AL26" s="151">
        <f t="shared" si="35"/>
        <v>-51.674999999999386</v>
      </c>
      <c r="AM26" s="112">
        <f t="shared" si="35"/>
        <v>-103.70000000000032</v>
      </c>
      <c r="AN26" s="149">
        <f t="shared" si="35"/>
        <v>-19.599999999999671</v>
      </c>
      <c r="AO26" s="150">
        <f t="shared" si="35"/>
        <v>-30.499999999999517</v>
      </c>
      <c r="AP26" s="150">
        <f t="shared" si="35"/>
        <v>-39.700000000000827</v>
      </c>
      <c r="AQ26" s="151">
        <f t="shared" ref="AQ26:AU26" si="36">+AQ21-AQ24</f>
        <v>-31</v>
      </c>
      <c r="AR26" s="112">
        <f t="shared" si="36"/>
        <v>-120.79999999999943</v>
      </c>
      <c r="AS26" s="149">
        <f t="shared" si="36"/>
        <v>-30.80000000000015</v>
      </c>
      <c r="AT26" s="150">
        <f t="shared" si="36"/>
        <v>-37.399999999999935</v>
      </c>
      <c r="AU26" s="150">
        <f t="shared" si="36"/>
        <v>-17.100000000000065</v>
      </c>
      <c r="AV26" s="151">
        <f t="shared" ref="AV26:AW26" si="37">+AV21-AV24</f>
        <v>7.5999999999983814</v>
      </c>
      <c r="AW26" s="112">
        <f t="shared" si="37"/>
        <v>-77.700000000001964</v>
      </c>
      <c r="AX26" s="149">
        <f t="shared" ref="AX26:BB26" si="38">+AX21-AX24</f>
        <v>-19.17864977742493</v>
      </c>
      <c r="AY26" s="150">
        <f t="shared" si="38"/>
        <v>-43.077085455147213</v>
      </c>
      <c r="AZ26" s="150">
        <f t="shared" si="38"/>
        <v>-27.27051835885112</v>
      </c>
      <c r="BA26" s="151">
        <f t="shared" si="38"/>
        <v>11.332741558836211</v>
      </c>
      <c r="BB26" s="112">
        <f t="shared" si="38"/>
        <v>-78.19351203258708</v>
      </c>
      <c r="BC26" s="149">
        <f t="shared" ref="BC26:BL26" si="39">+BC21-BC24</f>
        <v>-35.871198184312178</v>
      </c>
      <c r="BD26" s="150">
        <f t="shared" si="39"/>
        <v>-42.907193696899881</v>
      </c>
      <c r="BE26" s="150">
        <f t="shared" si="39"/>
        <v>-58.033854521037696</v>
      </c>
      <c r="BF26" s="151">
        <f t="shared" si="39"/>
        <v>-9.5201942303738036</v>
      </c>
      <c r="BG26" s="112">
        <f t="shared" si="39"/>
        <v>-146.33244063262359</v>
      </c>
      <c r="BH26" s="149">
        <f t="shared" si="39"/>
        <v>-58.976371982783434</v>
      </c>
      <c r="BI26" s="150">
        <f t="shared" si="39"/>
        <v>-64.831031989747515</v>
      </c>
      <c r="BJ26" s="150">
        <f t="shared" si="39"/>
        <v>-65.018231015463655</v>
      </c>
      <c r="BK26" s="151">
        <f t="shared" si="39"/>
        <v>-16.157909743371206</v>
      </c>
      <c r="BL26" s="112">
        <f t="shared" si="39"/>
        <v>-204.98354473136584</v>
      </c>
      <c r="BM26" s="149">
        <f>+BM21-BM24</f>
        <v>-62.418212803435267</v>
      </c>
      <c r="BN26" s="150">
        <f>+BN21-BN24</f>
        <v>-69.632753588423626</v>
      </c>
      <c r="BO26" s="150">
        <f>+BO21-BO24</f>
        <v>-63.726878101750515</v>
      </c>
      <c r="BP26" s="151">
        <f>+BP21-BP24</f>
        <v>-10.497042937424993</v>
      </c>
      <c r="BQ26" s="112">
        <f>+BQ21-BQ24</f>
        <v>-206.27488743103441</v>
      </c>
    </row>
    <row r="27" spans="1:69">
      <c r="E27" s="161"/>
      <c r="F27" s="162"/>
      <c r="G27" s="162"/>
      <c r="H27" s="144"/>
      <c r="I27" s="109"/>
      <c r="J27" s="161"/>
      <c r="K27" s="162"/>
      <c r="L27" s="162"/>
      <c r="M27" s="144"/>
      <c r="N27" s="109"/>
      <c r="O27" s="161"/>
      <c r="P27" s="160"/>
      <c r="Q27" s="146"/>
      <c r="R27" s="144"/>
      <c r="S27" s="109"/>
      <c r="T27" s="161"/>
      <c r="U27" s="160"/>
      <c r="V27" s="160"/>
      <c r="W27" s="147"/>
      <c r="X27" s="109"/>
      <c r="Y27" s="161"/>
      <c r="Z27" s="160"/>
      <c r="AA27" s="160"/>
      <c r="AB27" s="1221"/>
      <c r="AC27" s="109"/>
      <c r="AD27" s="161"/>
      <c r="AE27" s="160"/>
      <c r="AF27" s="160"/>
      <c r="AG27" s="1221"/>
      <c r="AH27" s="109"/>
      <c r="AI27" s="161"/>
      <c r="AJ27" s="160"/>
      <c r="AK27" s="160"/>
      <c r="AL27" s="1221"/>
      <c r="AM27" s="109"/>
      <c r="AN27" s="161"/>
      <c r="AO27" s="160"/>
      <c r="AP27" s="160"/>
      <c r="AQ27" s="1221"/>
      <c r="AR27" s="109"/>
      <c r="AS27" s="161"/>
      <c r="AT27" s="160"/>
      <c r="AU27" s="160"/>
      <c r="AV27" s="1221"/>
      <c r="AW27" s="109"/>
      <c r="AX27" s="161"/>
      <c r="AY27" s="163"/>
      <c r="AZ27" s="163"/>
      <c r="BA27" s="147"/>
      <c r="BB27" s="109"/>
      <c r="BC27" s="161"/>
      <c r="BD27" s="163"/>
      <c r="BE27" s="163"/>
      <c r="BF27" s="147"/>
      <c r="BG27" s="109"/>
      <c r="BH27" s="161"/>
      <c r="BI27" s="163"/>
      <c r="BJ27" s="163"/>
      <c r="BK27" s="147"/>
      <c r="BL27" s="109"/>
      <c r="BM27" s="161"/>
      <c r="BN27" s="163"/>
      <c r="BO27" s="163"/>
      <c r="BP27" s="147"/>
      <c r="BQ27" s="109"/>
    </row>
    <row r="28" spans="1:69">
      <c r="C28" t="s">
        <v>8</v>
      </c>
      <c r="E28" s="148"/>
      <c r="F28" s="160"/>
      <c r="G28" s="160"/>
      <c r="H28" s="144"/>
      <c r="I28" s="245"/>
      <c r="J28" s="148"/>
      <c r="K28" s="160"/>
      <c r="L28" s="160"/>
      <c r="M28" s="144"/>
      <c r="N28" s="245"/>
      <c r="O28" s="148"/>
      <c r="P28" s="160"/>
      <c r="Q28" s="160"/>
      <c r="R28" s="144"/>
      <c r="S28" s="245"/>
      <c r="T28" s="148"/>
      <c r="U28" s="160"/>
      <c r="V28" s="160"/>
      <c r="W28" s="144"/>
      <c r="X28" s="245">
        <f>AEP!X37-'Generation &amp; Marketing'!X31-'Vertically Integrated Utilities'!X32-'T&amp;D Utilities'!X31-'Transmission Holdco'!X28-'AEP River'!X28</f>
        <v>19</v>
      </c>
      <c r="Y28" s="148">
        <f>AEP!Y37-'Generation &amp; Marketing'!Y31-'Vertically Integrated Utilities'!Y32-'T&amp;D Utilities'!Y31-'Transmission Holdco'!Y28-'AEP River'!Y28</f>
        <v>-14</v>
      </c>
      <c r="Z28" s="160">
        <f>AEP!Z37-'Generation &amp; Marketing'!Z31-'Vertically Integrated Utilities'!Z32-'T&amp;D Utilities'!Z31-'Transmission Holdco'!Z28-'AEP River'!Z28</f>
        <v>-67</v>
      </c>
      <c r="AA28" s="160">
        <f>AEP!AA37-'Generation &amp; Marketing'!AA31-'Vertically Integrated Utilities'!AA32-'T&amp;D Utilities'!AA31-'Transmission Holdco'!AA28-'AEP River'!AA28</f>
        <v>2</v>
      </c>
      <c r="AB28" s="1221">
        <f>AEP!AB37-'Generation &amp; Marketing'!AB31-'Vertically Integrated Utilities'!AB32-'T&amp;D Utilities'!AB31-'Transmission Holdco'!AB28-'AEP River'!AB28</f>
        <v>19</v>
      </c>
      <c r="AC28" s="245">
        <f>AEP!AC37-'Generation &amp; Marketing'!AC31-'Vertically Integrated Utilities'!AC32-'T&amp;D Utilities'!AC31-'Transmission Holdco'!AC28-'AEP River'!AC28</f>
        <v>-60</v>
      </c>
      <c r="AD28" s="148">
        <f>AEP!AD37-'Generation &amp; Marketing'!AD31-'Vertically Integrated Utilities'!AD32-'T&amp;D Utilities'!AD31-'Transmission Holdco'!AD28-'AEP River'!AD28</f>
        <v>-8.5</v>
      </c>
      <c r="AE28" s="160">
        <f>AEP!AE37-'Generation &amp; Marketing'!AE31-'Vertically Integrated Utilities'!AE32-'T&amp;D Utilities'!AE31-'Transmission Holdco'!AE28-'AEP River'!AE28</f>
        <v>4.5</v>
      </c>
      <c r="AF28" s="160">
        <f>AEP!AF37-'Generation &amp; Marketing'!AF31-'Vertically Integrated Utilities'!AF32-'T&amp;D Utilities'!AF31-'Transmission Holdco'!AF28-'AEP River'!AF28</f>
        <v>10.5</v>
      </c>
      <c r="AG28" s="1221">
        <f>AEP!AG37-'Generation &amp; Marketing'!AG31-'Vertically Integrated Utilities'!AG32-'T&amp;D Utilities'!AG31-'Transmission Holdco'!AG28-'AEP River'!AG28</f>
        <v>32.550000000000011</v>
      </c>
      <c r="AH28" s="245">
        <f>AEP!AH37-'Generation &amp; Marketing'!AH31-'Vertically Integrated Utilities'!AH32-'T&amp;D Utilities'!AH31-'Transmission Holdco'!AH28-'AEP River'!AH28</f>
        <v>14.300000000000011</v>
      </c>
      <c r="AI28" s="148">
        <f>AEP!AI37-'Generation &amp; Marketing'!AI31-'Vertically Integrated Utilities'!AI32-'T&amp;D Utilities'!AI31-'Transmission Holdco'!AI28-'AEP River'!AI28</f>
        <v>1.3250000000000011</v>
      </c>
      <c r="AJ28" s="160">
        <f>AEP!AJ37-'Generation &amp; Marketing'!AJ31-'Vertically Integrated Utilities'!AJ32-'T&amp;D Utilities'!AJ31-'Transmission Holdco'!AJ28-'AEP River'!AJ28</f>
        <v>15.325000000000003</v>
      </c>
      <c r="AK28" s="160">
        <f>AEP!AK37-'Generation &amp; Marketing'!AK31-'Vertically Integrated Utilities'!AK32-'T&amp;D Utilities'!AK31-'Transmission Holdco'!AK28-'AEP River'!AK28</f>
        <v>10.325000000000001</v>
      </c>
      <c r="AL28" s="1221">
        <f>AEP!AL37-'Generation &amp; Marketing'!AL31-'Vertically Integrated Utilities'!AL32-'T&amp;D Utilities'!AL31-'Transmission Holdco'!AL28-'AEP River'!AL28</f>
        <v>0.52500000000001279</v>
      </c>
      <c r="AM28" s="245">
        <f>AEP!AM37-'Generation &amp; Marketing'!AM31-'Vertically Integrated Utilities'!AM32-'T&amp;D Utilities'!AM31-'Transmission Holdco'!AM28-'AEP River'!AM28</f>
        <v>27.499999999999993</v>
      </c>
      <c r="AN28" s="148">
        <f>AEP!AN37-'Generation &amp; Marketing'!AN31-'Vertically Integrated Utilities'!AN32-'T&amp;D Utilities'!AN31-'Transmission Holdco'!AN28-'AEP River'!AN28</f>
        <v>2.5999999999999872</v>
      </c>
      <c r="AO28" s="160">
        <f>AEP!AO37-'Generation &amp; Marketing'!AO31-'Vertically Integrated Utilities'!AO32-'T&amp;D Utilities'!AO31-'Transmission Holdco'!AO28-'AEP River'!AO28</f>
        <v>-66.099999999999994</v>
      </c>
      <c r="AP28" s="160">
        <f>AEP!AP37-'Generation &amp; Marketing'!AP31-'Vertically Integrated Utilities'!AP32-'T&amp;D Utilities'!AP31-'Transmission Holdco'!AP28-'AEP River'!AP28</f>
        <v>-54.300000000000026</v>
      </c>
      <c r="AQ28" s="1221">
        <f>AEP!AQ37-'Generation &amp; Marketing'!AQ31-'Vertically Integrated Utilities'!AQ32-'T&amp;D Utilities'!AQ31-'Transmission Holdco'!AQ28-'AEP River'!AQ28</f>
        <v>-25.900000000000006</v>
      </c>
      <c r="AR28" s="245">
        <f>AEP!AR37-'Generation &amp; Marketing'!AR31-'Vertically Integrated Utilities'!AR32-'T&amp;D Utilities'!AR31-'Transmission Holdco'!AR28-'AEP River'!AR28</f>
        <v>-143.70000000000005</v>
      </c>
      <c r="AS28" s="148">
        <f>AEP!AS37-'Generation &amp; Marketing'!AS31-'Vertically Integrated Utilities'!AS32-'T&amp;D Utilities'!AS31-'Transmission Holdco'!AS28-'AEP River'!AS28</f>
        <v>-1.7000000000000099</v>
      </c>
      <c r="AT28" s="160">
        <f>AEP!AT37-'Generation &amp; Marketing'!AT31-'Vertically Integrated Utilities'!AT32-'T&amp;D Utilities'!AT31-'Transmission Holdco'!AT28-'AEP River'!AT28</f>
        <v>-3.9999999999999858</v>
      </c>
      <c r="AU28" s="160">
        <f>AEP!AU37-'Generation &amp; Marketing'!AU31-'Vertically Integrated Utilities'!AU32-'T&amp;D Utilities'!AU31-'Transmission Holdco'!AU28-'AEP River'!AU28</f>
        <v>-3.6000000000000014</v>
      </c>
      <c r="AV28" s="1221">
        <f>AEP!AV37-'Generation &amp; Marketing'!AV31-'Vertically Integrated Utilities'!AV32-'T&amp;D Utilities'!AV31-'Transmission Holdco'!AV28-'AEP River'!AV28</f>
        <v>46.700000000000031</v>
      </c>
      <c r="AW28" s="245">
        <f>AEP!AW37-'Generation &amp; Marketing'!AW31-'Vertically Integrated Utilities'!AW32-'T&amp;D Utilities'!AW31-'Transmission Holdco'!AW28-'AEP River'!AW28</f>
        <v>37.399999999999977</v>
      </c>
      <c r="AX28" s="148">
        <f>AEP!AX37-'Generation &amp; Marketing'!AX31-'Vertically Integrated Utilities'!AX32-'T&amp;D Utilities'!AX31-'Transmission Holdco'!AX28-'AEP River'!AX28</f>
        <v>2.811731447015454</v>
      </c>
      <c r="AY28" s="160">
        <f>AEP!AY37-'Generation &amp; Marketing'!AY31-'Vertically Integrated Utilities'!AY32-'T&amp;D Utilities'!AY31-'Transmission Holdco'!AY28-'AEP River'!AY28</f>
        <v>-3.9578097378691623</v>
      </c>
      <c r="AZ28" s="160">
        <f>AEP!AZ37-'Generation &amp; Marketing'!AZ31-'Vertically Integrated Utilities'!AZ32-'T&amp;D Utilities'!AZ31-'Transmission Holdco'!AZ28-'AEP River'!AZ28</f>
        <v>4.2030012510727133</v>
      </c>
      <c r="BA28" s="144">
        <f>AEP!BA37-'Generation &amp; Marketing'!BA31-'Vertically Integrated Utilities'!BA32-'T&amp;D Utilities'!BA31-'Transmission Holdco'!BA28-'AEP River'!BA28</f>
        <v>11.086210470616201</v>
      </c>
      <c r="BB28" s="245">
        <f>SUM(AX28:BA28)</f>
        <v>14.143133430835206</v>
      </c>
      <c r="BC28" s="148">
        <f>AEP!BC37-'Generation &amp; Marketing'!BC31-'Vertically Integrated Utilities'!BC32-'T&amp;D Utilities'!BC31-'Transmission Holdco'!BC28-'AEP River'!BC28</f>
        <v>1.5115347551235274</v>
      </c>
      <c r="BD28" s="160">
        <f>AEP!BD37-'Generation &amp; Marketing'!BD31-'Vertically Integrated Utilities'!BD32-'T&amp;D Utilities'!BD31-'Transmission Holdco'!BD28-'AEP River'!BD28</f>
        <v>-1.6173186800957353</v>
      </c>
      <c r="BE28" s="160">
        <f>AEP!BE37-'Generation &amp; Marketing'!BE31-'Vertically Integrated Utilities'!BE32-'T&amp;D Utilities'!BE31-'Transmission Holdco'!BE28-'AEP River'!BE28</f>
        <v>-1.8884842466561054</v>
      </c>
      <c r="BF28" s="144">
        <f>AEP!BF37-'Generation &amp; Marketing'!BF31-'Vertically Integrated Utilities'!BF32-'T&amp;D Utilities'!BF31-'Transmission Holdco'!BF28-'AEP River'!BF28</f>
        <v>7.6350830030722818</v>
      </c>
      <c r="BG28" s="245">
        <f>SUM(BC28:BF28)</f>
        <v>5.6408148314439686</v>
      </c>
      <c r="BH28" s="148">
        <f>AEP!BH37-'Generation &amp; Marketing'!BH31-'Vertically Integrated Utilities'!BH32-'T&amp;D Utilities'!BH31-'Transmission Holdco'!BH28-'AEP River'!BH28</f>
        <v>-2.5139792193582338</v>
      </c>
      <c r="BI28" s="160">
        <f>AEP!BI37-'Generation &amp; Marketing'!BI31-'Vertically Integrated Utilities'!BI32-'T&amp;D Utilities'!BI31-'Transmission Holdco'!BI28-'AEP River'!BI28</f>
        <v>-5.171824903536951</v>
      </c>
      <c r="BJ28" s="160">
        <f>AEP!BJ37-'Generation &amp; Marketing'!BJ31-'Vertically Integrated Utilities'!BJ32-'T&amp;D Utilities'!BJ31-'Transmission Holdco'!BJ28-'AEP River'!BJ28</f>
        <v>-1.561687060961745</v>
      </c>
      <c r="BK28" s="144">
        <f>AEP!BK37-'Generation &amp; Marketing'!BK31-'Vertically Integrated Utilities'!BK32-'T&amp;D Utilities'!BK31-'Transmission Holdco'!BK28-'AEP River'!BK28</f>
        <v>7.7299328082715704</v>
      </c>
      <c r="BL28" s="245">
        <f>SUM(BH28:BK28)</f>
        <v>-1.5175583755853594</v>
      </c>
      <c r="BM28" s="148">
        <f>AEP!BM37-'Generation &amp; Marketing'!BM31-'Vertically Integrated Utilities'!BM32-'T&amp;D Utilities'!BM31-'Transmission Holdco'!BM28-'AEP River'!BM28</f>
        <v>-1.0827945055992672</v>
      </c>
      <c r="BN28" s="160">
        <f>AEP!BN37-'Generation &amp; Marketing'!BN31-'Vertically Integrated Utilities'!BN32-'T&amp;D Utilities'!BN31-'Transmission Holdco'!BN28-'AEP River'!BN28</f>
        <v>-3.9619206367642619</v>
      </c>
      <c r="BO28" s="160">
        <f>AEP!BO37-'Generation &amp; Marketing'!BO31-'Vertically Integrated Utilities'!BO32-'T&amp;D Utilities'!BO31-'Transmission Holdco'!BO28-'AEP River'!BO28</f>
        <v>0.41882144442743652</v>
      </c>
      <c r="BP28" s="144">
        <f>AEP!BP37-'Generation &amp; Marketing'!BP31-'Vertically Integrated Utilities'!BP32-'T&amp;D Utilities'!BP31-'Transmission Holdco'!BP28-'AEP River'!BP28</f>
        <v>10.980477967323964</v>
      </c>
      <c r="BQ28" s="245">
        <f>SUM(BM28:BP28)</f>
        <v>6.3545842693878711</v>
      </c>
    </row>
    <row r="29" spans="1:69">
      <c r="E29" s="161"/>
      <c r="F29" s="162"/>
      <c r="G29" s="162"/>
      <c r="H29" s="144"/>
      <c r="I29" s="109"/>
      <c r="J29" s="161"/>
      <c r="K29" s="162"/>
      <c r="L29" s="162"/>
      <c r="M29" s="144"/>
      <c r="N29" s="109"/>
      <c r="O29" s="161"/>
      <c r="P29" s="160"/>
      <c r="Q29" s="146"/>
      <c r="R29" s="144"/>
      <c r="S29" s="109"/>
      <c r="T29" s="161"/>
      <c r="U29" s="160"/>
      <c r="V29" s="160"/>
      <c r="W29" s="147"/>
      <c r="X29" s="109"/>
      <c r="Y29" s="161"/>
      <c r="Z29" s="160"/>
      <c r="AA29" s="160"/>
      <c r="AB29" s="1221"/>
      <c r="AC29" s="109"/>
      <c r="AD29" s="161"/>
      <c r="AE29" s="160"/>
      <c r="AF29" s="160"/>
      <c r="AG29" s="1221"/>
      <c r="AH29" s="109"/>
      <c r="AI29" s="161"/>
      <c r="AJ29" s="160"/>
      <c r="AK29" s="160"/>
      <c r="AL29" s="1221"/>
      <c r="AM29" s="109"/>
      <c r="AN29" s="161"/>
      <c r="AO29" s="160"/>
      <c r="AP29" s="160"/>
      <c r="AQ29" s="1221"/>
      <c r="AR29" s="109"/>
      <c r="AS29" s="161"/>
      <c r="AT29" s="160"/>
      <c r="AU29" s="160"/>
      <c r="AV29" s="1221"/>
      <c r="AW29" s="109"/>
      <c r="AX29" s="161"/>
      <c r="AY29" s="163"/>
      <c r="AZ29" s="163"/>
      <c r="BA29" s="147"/>
      <c r="BB29" s="109"/>
      <c r="BC29" s="161"/>
      <c r="BD29" s="163"/>
      <c r="BE29" s="163"/>
      <c r="BF29" s="147"/>
      <c r="BG29" s="109"/>
      <c r="BH29" s="161"/>
      <c r="BI29" s="163"/>
      <c r="BJ29" s="163"/>
      <c r="BK29" s="147"/>
      <c r="BL29" s="109"/>
      <c r="BM29" s="161"/>
      <c r="BN29" s="163"/>
      <c r="BO29" s="163"/>
      <c r="BP29" s="147"/>
      <c r="BQ29" s="109"/>
    </row>
    <row r="30" spans="1:69">
      <c r="C30" s="56" t="s">
        <v>10</v>
      </c>
      <c r="D30" s="56"/>
      <c r="E30" s="149"/>
      <c r="F30" s="150"/>
      <c r="G30" s="150"/>
      <c r="H30" s="151"/>
      <c r="I30" s="112"/>
      <c r="J30" s="149"/>
      <c r="K30" s="150"/>
      <c r="L30" s="150"/>
      <c r="M30" s="151"/>
      <c r="N30" s="112"/>
      <c r="O30" s="149"/>
      <c r="P30" s="150"/>
      <c r="Q30" s="150"/>
      <c r="R30" s="151"/>
      <c r="S30" s="112"/>
      <c r="T30" s="149"/>
      <c r="U30" s="150"/>
      <c r="V30" s="150"/>
      <c r="W30" s="151"/>
      <c r="X30" s="112">
        <f t="shared" ref="X30:AE30" si="40">+X26-X28</f>
        <v>-130</v>
      </c>
      <c r="Y30" s="149">
        <f t="shared" si="40"/>
        <v>-13</v>
      </c>
      <c r="Z30" s="150">
        <f t="shared" si="40"/>
        <v>97</v>
      </c>
      <c r="AA30" s="150">
        <f t="shared" si="40"/>
        <v>-3</v>
      </c>
      <c r="AB30" s="151">
        <f t="shared" si="40"/>
        <v>-12</v>
      </c>
      <c r="AC30" s="112">
        <f t="shared" si="40"/>
        <v>69</v>
      </c>
      <c r="AD30" s="149">
        <f t="shared" si="40"/>
        <v>-23</v>
      </c>
      <c r="AE30" s="150">
        <f t="shared" si="40"/>
        <v>-24</v>
      </c>
      <c r="AF30" s="150">
        <f>+AF26-AF28</f>
        <v>-13</v>
      </c>
      <c r="AG30" s="151">
        <f>+AG26-AG28</f>
        <v>-21.200000000000511</v>
      </c>
      <c r="AH30" s="112">
        <f>+AH26-AH28</f>
        <v>-81.200000000000657</v>
      </c>
      <c r="AI30" s="149">
        <f>+AI26-AI28</f>
        <v>-23.000000000000007</v>
      </c>
      <c r="AJ30" s="150">
        <f>+AJ26-AJ28</f>
        <v>-26.999999999999954</v>
      </c>
      <c r="AK30" s="150">
        <f t="shared" ref="AK30:AP30" si="41">+AK26-AK28</f>
        <v>-28.999999999999993</v>
      </c>
      <c r="AL30" s="151">
        <f t="shared" si="41"/>
        <v>-52.199999999999399</v>
      </c>
      <c r="AM30" s="112">
        <f t="shared" si="41"/>
        <v>-131.2000000000003</v>
      </c>
      <c r="AN30" s="149">
        <f t="shared" si="41"/>
        <v>-22.199999999999658</v>
      </c>
      <c r="AO30" s="150">
        <f t="shared" si="41"/>
        <v>35.600000000000477</v>
      </c>
      <c r="AP30" s="150">
        <f t="shared" si="41"/>
        <v>14.599999999999199</v>
      </c>
      <c r="AQ30" s="151">
        <f t="shared" ref="AQ30:AU30" si="42">+AQ26-AQ28</f>
        <v>-5.0999999999999943</v>
      </c>
      <c r="AR30" s="112">
        <f t="shared" si="42"/>
        <v>22.900000000000617</v>
      </c>
      <c r="AS30" s="149">
        <f t="shared" si="42"/>
        <v>-29.10000000000014</v>
      </c>
      <c r="AT30" s="150">
        <f t="shared" si="42"/>
        <v>-33.399999999999949</v>
      </c>
      <c r="AU30" s="150">
        <f t="shared" si="42"/>
        <v>-13.500000000000064</v>
      </c>
      <c r="AV30" s="151">
        <f t="shared" ref="AV30:AW30" si="43">+AV26-AV28</f>
        <v>-39.10000000000165</v>
      </c>
      <c r="AW30" s="112">
        <f t="shared" si="43"/>
        <v>-115.10000000000194</v>
      </c>
      <c r="AX30" s="149">
        <f t="shared" ref="AX30:BB30" si="44">+AX26-AX28</f>
        <v>-21.990381224440384</v>
      </c>
      <c r="AY30" s="150">
        <f t="shared" si="44"/>
        <v>-39.11927571727805</v>
      </c>
      <c r="AZ30" s="150">
        <f t="shared" si="44"/>
        <v>-31.473519609923834</v>
      </c>
      <c r="BA30" s="151">
        <f t="shared" si="44"/>
        <v>0.24653108822001002</v>
      </c>
      <c r="BB30" s="112">
        <f t="shared" si="44"/>
        <v>-92.336645463422286</v>
      </c>
      <c r="BC30" s="149">
        <f t="shared" ref="BC30:BL30" si="45">+BC26-BC28</f>
        <v>-37.382732939435705</v>
      </c>
      <c r="BD30" s="150">
        <f t="shared" si="45"/>
        <v>-41.289875016804146</v>
      </c>
      <c r="BE30" s="150">
        <f t="shared" si="45"/>
        <v>-56.145370274381591</v>
      </c>
      <c r="BF30" s="151">
        <f t="shared" si="45"/>
        <v>-17.155277233446085</v>
      </c>
      <c r="BG30" s="112">
        <f t="shared" si="45"/>
        <v>-151.97325546406756</v>
      </c>
      <c r="BH30" s="149">
        <f t="shared" si="45"/>
        <v>-56.4623927634252</v>
      </c>
      <c r="BI30" s="150">
        <f t="shared" si="45"/>
        <v>-59.659207086210564</v>
      </c>
      <c r="BJ30" s="150">
        <f t="shared" si="45"/>
        <v>-63.45654395450191</v>
      </c>
      <c r="BK30" s="151">
        <f t="shared" si="45"/>
        <v>-23.887842551642777</v>
      </c>
      <c r="BL30" s="112">
        <f t="shared" si="45"/>
        <v>-203.46598635578047</v>
      </c>
      <c r="BM30" s="149">
        <f>+BM26-BM28</f>
        <v>-61.335418297836</v>
      </c>
      <c r="BN30" s="150">
        <f>+BN26-BN28</f>
        <v>-65.670832951659364</v>
      </c>
      <c r="BO30" s="150">
        <f>+BO26-BO28</f>
        <v>-64.145699546177951</v>
      </c>
      <c r="BP30" s="151">
        <f>+BP26-BP28</f>
        <v>-21.477520904748957</v>
      </c>
      <c r="BQ30" s="112">
        <f>+BQ26-BQ28</f>
        <v>-212.6294717004223</v>
      </c>
    </row>
    <row r="31" spans="1:69" s="50" customFormat="1">
      <c r="C31" s="525" t="s">
        <v>629</v>
      </c>
      <c r="E31" s="161"/>
      <c r="F31" s="160"/>
      <c r="G31" s="160"/>
      <c r="H31" s="144"/>
      <c r="I31" s="245"/>
      <c r="J31" s="161"/>
      <c r="K31" s="160"/>
      <c r="L31" s="160"/>
      <c r="M31" s="144"/>
      <c r="N31" s="245"/>
      <c r="O31" s="161"/>
      <c r="P31" s="160"/>
      <c r="Q31" s="160"/>
      <c r="R31" s="144"/>
      <c r="S31" s="245"/>
      <c r="T31" s="161"/>
      <c r="U31" s="160"/>
      <c r="V31" s="160"/>
      <c r="W31" s="144"/>
      <c r="X31" s="245">
        <f>+AEP!X40-'Vertically Integrated Utilities'!X37</f>
        <v>42</v>
      </c>
      <c r="Y31" s="161">
        <f>+AEP!Y40-'Vertically Integrated Utilities'!Y37</f>
        <v>14</v>
      </c>
      <c r="Z31" s="160">
        <f>+AEP!Z40-'Vertically Integrated Utilities'!Z37</f>
        <v>13</v>
      </c>
      <c r="AA31" s="160">
        <f>+AEP!AA40-'Vertically Integrated Utilities'!AA37</f>
        <v>11</v>
      </c>
      <c r="AB31" s="1221">
        <f>+AEP!AB40-'Vertically Integrated Utilities'!AB37</f>
        <v>18</v>
      </c>
      <c r="AC31" s="245">
        <f>+AEP!AC40-'Vertically Integrated Utilities'!AC37</f>
        <v>56</v>
      </c>
      <c r="AD31" s="161">
        <f>+AEP!AD40-'Vertically Integrated Utilities'!AD37</f>
        <v>18</v>
      </c>
      <c r="AE31" s="160">
        <f>+AEP!AE40-'Vertically Integrated Utilities'!AE37</f>
        <v>22</v>
      </c>
      <c r="AF31" s="160">
        <f>+AEP!AF40-'Vertically Integrated Utilities'!AF37</f>
        <v>24</v>
      </c>
      <c r="AG31" s="1221">
        <f>+AEP!AG40-'Vertically Integrated Utilities'!AG37</f>
        <v>24</v>
      </c>
      <c r="AH31" s="245">
        <f>+AEP!AH40-'Vertically Integrated Utilities'!AH37</f>
        <v>88</v>
      </c>
      <c r="AI31" s="161">
        <f>+AEP!AI40-'Vertically Integrated Utilities'!AI37</f>
        <v>23</v>
      </c>
      <c r="AJ31" s="160">
        <f>+AEP!AJ40-'Vertically Integrated Utilities'!AJ37</f>
        <v>24</v>
      </c>
      <c r="AK31" s="160">
        <f>+AEP!AK40-'Vertically Integrated Utilities'!AK37</f>
        <v>12</v>
      </c>
      <c r="AL31" s="1221">
        <f>+AEP!AL40-'Vertically Integrated Utilities'!AL37</f>
        <v>2.3999999999999972</v>
      </c>
      <c r="AM31" s="245">
        <f>+AEP!AM40-'Vertically Integrated Utilities'!AM37</f>
        <v>61.4</v>
      </c>
      <c r="AN31" s="161">
        <f>+AEP!AN40-'Vertically Integrated Utilities'!AN37</f>
        <v>24</v>
      </c>
      <c r="AO31" s="160">
        <f>+AEP!AO40-'Vertically Integrated Utilities'!AO37</f>
        <v>-8.6</v>
      </c>
      <c r="AP31" s="160">
        <f>+AEP!AP40-'Vertically Integrated Utilities'!AP37</f>
        <v>22.5</v>
      </c>
      <c r="AQ31" s="1221">
        <f>+AEP!AQ40-'Vertically Integrated Utilities'!AQ37</f>
        <v>25.300000000000004</v>
      </c>
      <c r="AR31" s="245">
        <f>+AEP!AR40-'Vertically Integrated Utilities'!AR37</f>
        <v>63.2</v>
      </c>
      <c r="AS31" s="161">
        <f>+AEP!AS40-'Vertically Integrated Utilities'!AS37</f>
        <v>25.7</v>
      </c>
      <c r="AT31" s="160">
        <f>+AEP!AT40-'Vertically Integrated Utilities'!AT37</f>
        <v>22.2</v>
      </c>
      <c r="AU31" s="160">
        <f>+AEP!AU40-'Vertically Integrated Utilities'!AU37</f>
        <v>19.700000000000003</v>
      </c>
      <c r="AV31" s="1221">
        <f>+AEP!AV40-'Vertically Integrated Utilities'!AV37</f>
        <v>18.600000000000005</v>
      </c>
      <c r="AW31" s="245">
        <f>+AEP!AW40-'Vertically Integrated Utilities'!AW37</f>
        <v>86.2</v>
      </c>
      <c r="AX31" s="1906">
        <f>(AW31/4)-5</f>
        <v>16.55</v>
      </c>
      <c r="AY31" s="1911">
        <f>(AW31/4)-5</f>
        <v>16.55</v>
      </c>
      <c r="AZ31" s="1911">
        <f>(AW31/4)-5</f>
        <v>16.55</v>
      </c>
      <c r="BA31" s="1905">
        <f>(AW31/4)-5</f>
        <v>16.55</v>
      </c>
      <c r="BB31" s="245">
        <f>SUM(AX31:BA31)</f>
        <v>66.2</v>
      </c>
      <c r="BC31" s="161">
        <f>+AX31</f>
        <v>16.55</v>
      </c>
      <c r="BD31" s="160">
        <f>+AY31</f>
        <v>16.55</v>
      </c>
      <c r="BE31" s="160">
        <f>+AZ31</f>
        <v>16.55</v>
      </c>
      <c r="BF31" s="144">
        <f>+BA31</f>
        <v>16.55</v>
      </c>
      <c r="BG31" s="245">
        <f>SUM(BC31:BF31)</f>
        <v>66.2</v>
      </c>
      <c r="BH31" s="161">
        <f>+BC31</f>
        <v>16.55</v>
      </c>
      <c r="BI31" s="160">
        <f>+BD31</f>
        <v>16.55</v>
      </c>
      <c r="BJ31" s="160">
        <f>+BE31</f>
        <v>16.55</v>
      </c>
      <c r="BK31" s="144">
        <f>+BF31</f>
        <v>16.55</v>
      </c>
      <c r="BL31" s="245">
        <f>SUM(BH31:BK31)</f>
        <v>66.2</v>
      </c>
      <c r="BM31" s="161">
        <f>+BH31</f>
        <v>16.55</v>
      </c>
      <c r="BN31" s="160">
        <f>+BI31</f>
        <v>16.55</v>
      </c>
      <c r="BO31" s="160">
        <f>+BJ31</f>
        <v>16.55</v>
      </c>
      <c r="BP31" s="144">
        <f>+BK31</f>
        <v>16.55</v>
      </c>
      <c r="BQ31" s="245">
        <f>SUM(BM31:BP31)</f>
        <v>66.2</v>
      </c>
    </row>
    <row r="32" spans="1:69" s="50" customFormat="1">
      <c r="C32" s="525" t="s">
        <v>360</v>
      </c>
      <c r="E32" s="161"/>
      <c r="F32" s="160"/>
      <c r="G32" s="160"/>
      <c r="H32" s="144"/>
      <c r="I32" s="245"/>
      <c r="J32" s="161"/>
      <c r="K32" s="160"/>
      <c r="L32" s="160"/>
      <c r="M32" s="144"/>
      <c r="N32" s="245"/>
      <c r="O32" s="161"/>
      <c r="P32" s="160"/>
      <c r="Q32" s="160"/>
      <c r="R32" s="144"/>
      <c r="S32" s="245"/>
      <c r="T32" s="161"/>
      <c r="U32" s="160"/>
      <c r="V32" s="160"/>
      <c r="W32" s="173"/>
      <c r="X32" s="245">
        <f>AEP!X41</f>
        <v>0</v>
      </c>
      <c r="Y32" s="161">
        <f>AEP!Y41</f>
        <v>0</v>
      </c>
      <c r="Z32" s="160">
        <f>AEP!Z41</f>
        <v>0</v>
      </c>
      <c r="AA32" s="160">
        <f>AEP!AA41</f>
        <v>0</v>
      </c>
      <c r="AB32" s="1221">
        <f>AEP!AB41</f>
        <v>0</v>
      </c>
      <c r="AC32" s="245">
        <f>AEP!AC41</f>
        <v>0</v>
      </c>
      <c r="AD32" s="161">
        <f>AEP!AD41</f>
        <v>0</v>
      </c>
      <c r="AE32" s="160">
        <f>AEP!AE41</f>
        <v>0</v>
      </c>
      <c r="AF32" s="160">
        <f>AEP!AF41</f>
        <v>0</v>
      </c>
      <c r="AG32" s="1221">
        <f>AEP!AG41</f>
        <v>0</v>
      </c>
      <c r="AH32" s="245">
        <f>AEP!AH41</f>
        <v>0</v>
      </c>
      <c r="AI32" s="161">
        <f>AEP!AI41</f>
        <v>0</v>
      </c>
      <c r="AJ32" s="160">
        <f>AEP!AJ41</f>
        <v>0</v>
      </c>
      <c r="AK32" s="160">
        <f>AEP!AK41</f>
        <v>0</v>
      </c>
      <c r="AL32" s="1221">
        <f>AEP!AL41</f>
        <v>0</v>
      </c>
      <c r="AM32" s="245">
        <f>AEP!AM41</f>
        <v>0</v>
      </c>
      <c r="AN32" s="161">
        <f>AEP!AN41</f>
        <v>0</v>
      </c>
      <c r="AO32" s="160">
        <f>AEP!AO41</f>
        <v>0</v>
      </c>
      <c r="AP32" s="160">
        <f>AEP!AP41</f>
        <v>0</v>
      </c>
      <c r="AQ32" s="1221">
        <f>AEP!AQ41</f>
        <v>0</v>
      </c>
      <c r="AR32" s="245">
        <f>AEP!AR41</f>
        <v>0</v>
      </c>
      <c r="AS32" s="161">
        <f>AEP!AS41</f>
        <v>0</v>
      </c>
      <c r="AT32" s="160">
        <f>AEP!AT41</f>
        <v>0</v>
      </c>
      <c r="AU32" s="160">
        <f>AEP!AU41</f>
        <v>0</v>
      </c>
      <c r="AV32" s="1221">
        <f>AEP!AV41</f>
        <v>0</v>
      </c>
      <c r="AW32" s="245">
        <f>AEP!AW41</f>
        <v>0</v>
      </c>
      <c r="AX32" s="171">
        <v>0</v>
      </c>
      <c r="AY32" s="243">
        <v>0</v>
      </c>
      <c r="AZ32" s="243">
        <v>0</v>
      </c>
      <c r="BA32" s="173">
        <v>0</v>
      </c>
      <c r="BB32" s="245">
        <f>SUM(AX32:BA32)</f>
        <v>0</v>
      </c>
      <c r="BC32" s="171">
        <v>0</v>
      </c>
      <c r="BD32" s="243">
        <v>0</v>
      </c>
      <c r="BE32" s="243">
        <v>0</v>
      </c>
      <c r="BF32" s="173">
        <v>0</v>
      </c>
      <c r="BG32" s="245">
        <f>SUM(BC32:BF32)</f>
        <v>0</v>
      </c>
      <c r="BH32" s="171">
        <v>0</v>
      </c>
      <c r="BI32" s="243">
        <v>0</v>
      </c>
      <c r="BJ32" s="243">
        <v>0</v>
      </c>
      <c r="BK32" s="173">
        <v>0</v>
      </c>
      <c r="BL32" s="245">
        <f>SUM(BH32:BK32)</f>
        <v>0</v>
      </c>
      <c r="BM32" s="171">
        <v>0</v>
      </c>
      <c r="BN32" s="243">
        <v>0</v>
      </c>
      <c r="BO32" s="243">
        <v>0</v>
      </c>
      <c r="BP32" s="173">
        <v>0</v>
      </c>
      <c r="BQ32" s="245">
        <f>SUM(BM32:BP32)</f>
        <v>0</v>
      </c>
    </row>
    <row r="33" spans="1:70" s="50" customFormat="1">
      <c r="C33" s="50" t="s">
        <v>799</v>
      </c>
      <c r="E33" s="161"/>
      <c r="F33" s="160"/>
      <c r="G33" s="160"/>
      <c r="H33" s="144"/>
      <c r="I33" s="245"/>
      <c r="J33" s="161"/>
      <c r="K33" s="160"/>
      <c r="L33" s="160"/>
      <c r="M33" s="144"/>
      <c r="N33" s="245"/>
      <c r="O33" s="161"/>
      <c r="P33" s="160"/>
      <c r="Q33" s="160"/>
      <c r="R33" s="144"/>
      <c r="S33" s="245"/>
      <c r="T33" s="161"/>
      <c r="U33" s="160"/>
      <c r="V33" s="160"/>
      <c r="W33" s="1205"/>
      <c r="X33" s="245">
        <f>AEP!X42-'Vertically Integrated Utilities'!X36</f>
        <v>3</v>
      </c>
      <c r="Y33" s="161">
        <f>AEP!Y42-'Vertically Integrated Utilities'!Y36</f>
        <v>1</v>
      </c>
      <c r="Z33" s="160">
        <f>AEP!Z42-'Vertically Integrated Utilities'!Z36</f>
        <v>1</v>
      </c>
      <c r="AA33" s="160">
        <f>AEP!AA42-'Vertically Integrated Utilities'!AA36</f>
        <v>0</v>
      </c>
      <c r="AB33" s="1221">
        <f>AEP!AB42-'Vertically Integrated Utilities'!AB36</f>
        <v>2</v>
      </c>
      <c r="AC33" s="245">
        <f>AEP!AC42-'Vertically Integrated Utilities'!AC36</f>
        <v>4</v>
      </c>
      <c r="AD33" s="161">
        <f>AEP!AD42-'Vertically Integrated Utilities'!AD36</f>
        <v>1</v>
      </c>
      <c r="AE33" s="160">
        <f>AEP!AE42-'Vertically Integrated Utilities'!AE36</f>
        <v>1</v>
      </c>
      <c r="AF33" s="160">
        <f>AEP!AF42-'Vertically Integrated Utilities'!AF36</f>
        <v>0</v>
      </c>
      <c r="AG33" s="1221">
        <f>AEP!AG42-'Vertically Integrated Utilities'!AG36</f>
        <v>-2</v>
      </c>
      <c r="AH33" s="245">
        <f>AEP!AH42-'Vertically Integrated Utilities'!AH36</f>
        <v>0</v>
      </c>
      <c r="AI33" s="161">
        <f>AEP!AI42-'Vertically Integrated Utilities'!AI36</f>
        <v>1</v>
      </c>
      <c r="AJ33" s="160">
        <f>AEP!AJ42-'Vertically Integrated Utilities'!AJ36</f>
        <v>0</v>
      </c>
      <c r="AK33" s="160">
        <f>AEP!AK42-'Vertically Integrated Utilities'!AK36</f>
        <v>0</v>
      </c>
      <c r="AL33" s="1221">
        <f>AEP!AL42-'Vertically Integrated Utilities'!AL36</f>
        <v>0.5</v>
      </c>
      <c r="AM33" s="245">
        <f>AEP!AM42-'Vertically Integrated Utilities'!AM36</f>
        <v>1.5</v>
      </c>
      <c r="AN33" s="161">
        <f>AEP!AN42-'Vertically Integrated Utilities'!AN36</f>
        <v>0.79999999999999982</v>
      </c>
      <c r="AO33" s="160">
        <f>AEP!AO42-'Vertically Integrated Utilities'!AO36</f>
        <v>0.7</v>
      </c>
      <c r="AP33" s="160">
        <f>AEP!AP42-'Vertically Integrated Utilities'!AP36</f>
        <v>0.5</v>
      </c>
      <c r="AQ33" s="1221">
        <f>AEP!AQ42-'Vertically Integrated Utilities'!AQ36</f>
        <v>0.99999999999999956</v>
      </c>
      <c r="AR33" s="245">
        <f>AEP!AR42-'Vertically Integrated Utilities'!AR36</f>
        <v>3</v>
      </c>
      <c r="AS33" s="161">
        <f>AEP!AS42-'Vertically Integrated Utilities'!AS36</f>
        <v>1</v>
      </c>
      <c r="AT33" s="160">
        <f>AEP!AT42-'Vertically Integrated Utilities'!AT36</f>
        <v>0.6</v>
      </c>
      <c r="AU33" s="160">
        <f>AEP!AU42-'Vertically Integrated Utilities'!AU36</f>
        <v>1</v>
      </c>
      <c r="AV33" s="1221">
        <f>AEP!AV42-'Vertically Integrated Utilities'!AV36</f>
        <v>0.90000000000000036</v>
      </c>
      <c r="AW33" s="245">
        <f>AEP!AW42-'Vertically Integrated Utilities'!AW36</f>
        <v>3.5</v>
      </c>
      <c r="AX33" s="171">
        <v>0</v>
      </c>
      <c r="AY33" s="243">
        <v>0</v>
      </c>
      <c r="AZ33" s="243">
        <v>0</v>
      </c>
      <c r="BA33" s="173">
        <v>0</v>
      </c>
      <c r="BB33" s="245">
        <f>SUM(AX33:BA33)</f>
        <v>0</v>
      </c>
      <c r="BC33" s="171">
        <v>0</v>
      </c>
      <c r="BD33" s="243">
        <v>0</v>
      </c>
      <c r="BE33" s="243">
        <v>0</v>
      </c>
      <c r="BF33" s="173">
        <v>0</v>
      </c>
      <c r="BG33" s="245">
        <f>SUM(BC33:BF33)</f>
        <v>0</v>
      </c>
      <c r="BH33" s="171">
        <v>0</v>
      </c>
      <c r="BI33" s="243">
        <v>0</v>
      </c>
      <c r="BJ33" s="243">
        <v>0</v>
      </c>
      <c r="BK33" s="173">
        <v>0</v>
      </c>
      <c r="BL33" s="245">
        <f>SUM(BH33:BK33)</f>
        <v>0</v>
      </c>
      <c r="BM33" s="171">
        <v>0</v>
      </c>
      <c r="BN33" s="243">
        <v>0</v>
      </c>
      <c r="BO33" s="243">
        <v>0</v>
      </c>
      <c r="BP33" s="173">
        <v>0</v>
      </c>
      <c r="BQ33" s="245">
        <f>SUM(BM33:BP33)</f>
        <v>0</v>
      </c>
    </row>
    <row r="34" spans="1:70">
      <c r="C34" s="50" t="s">
        <v>11</v>
      </c>
      <c r="E34" s="161"/>
      <c r="F34" s="160"/>
      <c r="G34" s="160"/>
      <c r="H34" s="144"/>
      <c r="I34" s="245"/>
      <c r="J34" s="161"/>
      <c r="K34" s="160"/>
      <c r="L34" s="160"/>
      <c r="M34" s="144"/>
      <c r="N34" s="245"/>
      <c r="O34" s="161"/>
      <c r="P34" s="160"/>
      <c r="Q34" s="160"/>
      <c r="R34" s="144"/>
      <c r="S34" s="245"/>
      <c r="T34" s="161"/>
      <c r="U34" s="160"/>
      <c r="V34" s="160"/>
      <c r="W34" s="173"/>
      <c r="X34" s="245">
        <f>+AEP!X43-'Generation &amp; Marketing'!X34-'Vertically Integrated Utilities'!X35-'T&amp;D Utilities'!X34</f>
        <v>0</v>
      </c>
      <c r="Y34" s="161">
        <f>+AEP!Y43-'Generation &amp; Marketing'!Y34-'Vertically Integrated Utilities'!Y35-'T&amp;D Utilities'!Y34</f>
        <v>0</v>
      </c>
      <c r="Z34" s="160">
        <f>+AEP!Z43-'Generation &amp; Marketing'!Z34-'Vertically Integrated Utilities'!Z35-'T&amp;D Utilities'!Z34</f>
        <v>0</v>
      </c>
      <c r="AA34" s="160">
        <f>+AEP!AA43-'Generation &amp; Marketing'!AA34-'Vertically Integrated Utilities'!AA35-'T&amp;D Utilities'!AA34</f>
        <v>0</v>
      </c>
      <c r="AB34" s="1205">
        <f>+AEP!AB43-'Generation &amp; Marketing'!AB34-'Vertically Integrated Utilities'!AB35-'T&amp;D Utilities'!AB34</f>
        <v>0</v>
      </c>
      <c r="AC34" s="245">
        <f>+AEP!AC43-'Generation &amp; Marketing'!AC34-'Vertically Integrated Utilities'!AC35-'T&amp;D Utilities'!AC34</f>
        <v>0</v>
      </c>
      <c r="AD34" s="161">
        <f>+AEP!AD43-'Generation &amp; Marketing'!AD34-'Vertically Integrated Utilities'!AD35-'T&amp;D Utilities'!AD34</f>
        <v>0</v>
      </c>
      <c r="AE34" s="160">
        <f>+AEP!AE43-'Generation &amp; Marketing'!AE34-'Vertically Integrated Utilities'!AE35-'T&amp;D Utilities'!AE34</f>
        <v>0</v>
      </c>
      <c r="AF34" s="160">
        <f>+AEP!AF43-'Generation &amp; Marketing'!AF34-'Vertically Integrated Utilities'!AF35-'T&amp;D Utilities'!AF34</f>
        <v>0</v>
      </c>
      <c r="AG34" s="1205">
        <f>+AEP!AG43-'Generation &amp; Marketing'!AG34-'Vertically Integrated Utilities'!AG35-'T&amp;D Utilities'!AG34</f>
        <v>0</v>
      </c>
      <c r="AH34" s="245">
        <f>+AEP!AH43-'Generation &amp; Marketing'!AH34-'Vertically Integrated Utilities'!AH35-'T&amp;D Utilities'!AH34</f>
        <v>0</v>
      </c>
      <c r="AI34" s="161">
        <f>+AEP!AI43-'Generation &amp; Marketing'!AI34-'Vertically Integrated Utilities'!AI35-'T&amp;D Utilities'!AI34</f>
        <v>0</v>
      </c>
      <c r="AJ34" s="160">
        <f>+AEP!AJ43-'Generation &amp; Marketing'!AJ34-'Vertically Integrated Utilities'!AJ35-'T&amp;D Utilities'!AJ34</f>
        <v>0</v>
      </c>
      <c r="AK34" s="160">
        <f>+AEP!AK43-'Generation &amp; Marketing'!AK34-'Vertically Integrated Utilities'!AK35-'T&amp;D Utilities'!AK34</f>
        <v>0</v>
      </c>
      <c r="AL34" s="1205">
        <f>+AEP!AL43-'Generation &amp; Marketing'!AL34-'Vertically Integrated Utilities'!AL35-'T&amp;D Utilities'!AL34</f>
        <v>0</v>
      </c>
      <c r="AM34" s="245">
        <f>+AEP!AM43-'Generation &amp; Marketing'!AM34-'Vertically Integrated Utilities'!AM35-'T&amp;D Utilities'!AM34</f>
        <v>0</v>
      </c>
      <c r="AN34" s="161">
        <f>+AEP!AN43-'Generation &amp; Marketing'!AN34-'Vertically Integrated Utilities'!AN35-'T&amp;D Utilities'!AN34</f>
        <v>0</v>
      </c>
      <c r="AO34" s="160">
        <f>+AEP!AO43-'Generation &amp; Marketing'!AO34-'Vertically Integrated Utilities'!AO35-'T&amp;D Utilities'!AO34</f>
        <v>0</v>
      </c>
      <c r="AP34" s="160">
        <f>+AEP!AP43-'Generation &amp; Marketing'!AP34-'Vertically Integrated Utilities'!AP35-'T&amp;D Utilities'!AP34</f>
        <v>0</v>
      </c>
      <c r="AQ34" s="1205">
        <f>+AEP!AQ43-'Generation &amp; Marketing'!AQ34-'Vertically Integrated Utilities'!AQ35-'T&amp;D Utilities'!AQ34</f>
        <v>0</v>
      </c>
      <c r="AR34" s="245">
        <f>+AEP!AR43-'Generation &amp; Marketing'!AR34-'Vertically Integrated Utilities'!AR35-'T&amp;D Utilities'!AR34</f>
        <v>0</v>
      </c>
      <c r="AS34" s="161">
        <f>+AEP!AS43-'Generation &amp; Marketing'!AS34-'Vertically Integrated Utilities'!AS35-'T&amp;D Utilities'!AS34</f>
        <v>0</v>
      </c>
      <c r="AT34" s="160">
        <f>+AEP!AT43-'Generation &amp; Marketing'!AT34-'Vertically Integrated Utilities'!AT35-'T&amp;D Utilities'!AT34</f>
        <v>0</v>
      </c>
      <c r="AU34" s="160">
        <f>+AEP!AU43-'Generation &amp; Marketing'!AU34-'Vertically Integrated Utilities'!AU35-'T&amp;D Utilities'!AU34</f>
        <v>0</v>
      </c>
      <c r="AV34" s="1205">
        <f>+AEP!AV43-'Generation &amp; Marketing'!AV34-'Vertically Integrated Utilities'!AV35-'T&amp;D Utilities'!AV34</f>
        <v>0</v>
      </c>
      <c r="AW34" s="245">
        <f>+AEP!AW43-'Generation &amp; Marketing'!AW34-'Vertically Integrated Utilities'!AW35-'T&amp;D Utilities'!AW34</f>
        <v>0</v>
      </c>
      <c r="AX34" s="171">
        <v>0</v>
      </c>
      <c r="AY34" s="243">
        <v>0</v>
      </c>
      <c r="AZ34" s="243">
        <v>0</v>
      </c>
      <c r="BA34" s="173">
        <v>0</v>
      </c>
      <c r="BB34" s="245">
        <f>SUM(AX34:BA34)</f>
        <v>0</v>
      </c>
      <c r="BC34" s="171">
        <v>0</v>
      </c>
      <c r="BD34" s="243">
        <v>0</v>
      </c>
      <c r="BE34" s="243">
        <v>0</v>
      </c>
      <c r="BF34" s="173">
        <v>0</v>
      </c>
      <c r="BG34" s="245">
        <f>SUM(BC34:BF34)</f>
        <v>0</v>
      </c>
      <c r="BH34" s="171">
        <v>0</v>
      </c>
      <c r="BI34" s="243">
        <v>0</v>
      </c>
      <c r="BJ34" s="243">
        <v>0</v>
      </c>
      <c r="BK34" s="173">
        <v>0</v>
      </c>
      <c r="BL34" s="245">
        <f>SUM(BH34:BK34)</f>
        <v>0</v>
      </c>
      <c r="BM34" s="171">
        <v>0</v>
      </c>
      <c r="BN34" s="243">
        <v>0</v>
      </c>
      <c r="BO34" s="243">
        <v>0</v>
      </c>
      <c r="BP34" s="173">
        <v>0</v>
      </c>
      <c r="BQ34" s="245">
        <f>SUM(BM34:BP34)</f>
        <v>0</v>
      </c>
    </row>
    <row r="35" spans="1:70">
      <c r="C35" s="1272" t="s">
        <v>1125</v>
      </c>
      <c r="E35" s="161"/>
      <c r="F35" s="160"/>
      <c r="G35" s="160"/>
      <c r="H35" s="144"/>
      <c r="I35" s="245"/>
      <c r="J35" s="161"/>
      <c r="K35" s="160"/>
      <c r="L35" s="160"/>
      <c r="M35" s="144"/>
      <c r="N35" s="245"/>
      <c r="O35" s="161"/>
      <c r="P35" s="160"/>
      <c r="Q35" s="160"/>
      <c r="R35" s="144"/>
      <c r="S35" s="245"/>
      <c r="T35" s="161"/>
      <c r="U35" s="160"/>
      <c r="V35" s="160"/>
      <c r="W35" s="173"/>
      <c r="X35" s="245">
        <f>+AEP!X44</f>
        <v>0</v>
      </c>
      <c r="Y35" s="161">
        <f>+AEP!Y44</f>
        <v>0</v>
      </c>
      <c r="Z35" s="160">
        <f>+AEP!Z44</f>
        <v>0</v>
      </c>
      <c r="AA35" s="160">
        <f>+AEP!AA44</f>
        <v>0</v>
      </c>
      <c r="AB35" s="1205">
        <f>+AEP!AB44</f>
        <v>0</v>
      </c>
      <c r="AC35" s="245">
        <f>+AEP!AC44</f>
        <v>0</v>
      </c>
      <c r="AD35" s="161">
        <f>+AEP!AD44</f>
        <v>0</v>
      </c>
      <c r="AE35" s="160">
        <f>+AEP!AE44</f>
        <v>0</v>
      </c>
      <c r="AF35" s="160">
        <f>+AEP!AF44</f>
        <v>0</v>
      </c>
      <c r="AG35" s="1205">
        <f>+AEP!AG44</f>
        <v>0</v>
      </c>
      <c r="AH35" s="245">
        <f>+AEP!AH44</f>
        <v>0</v>
      </c>
      <c r="AI35" s="161">
        <f>+AEP!AI44</f>
        <v>0</v>
      </c>
      <c r="AJ35" s="160">
        <f>+AEP!AJ44</f>
        <v>0</v>
      </c>
      <c r="AK35" s="160">
        <f>+AEP!AK44</f>
        <v>8</v>
      </c>
      <c r="AL35" s="1205">
        <f>+AEP!AL44</f>
        <v>275.7</v>
      </c>
      <c r="AM35" s="245">
        <f>+AEP!AM44</f>
        <v>283.7</v>
      </c>
      <c r="AN35" s="161">
        <f>+AEP!AN44</f>
        <v>0</v>
      </c>
      <c r="AO35" s="160">
        <f>+AEP!AO44</f>
        <v>-2.5</v>
      </c>
      <c r="AP35" s="160">
        <f>+AEP!AP44</f>
        <v>0</v>
      </c>
      <c r="AQ35" s="1205">
        <f>+AEP!AQ44</f>
        <v>0</v>
      </c>
      <c r="AR35" s="245">
        <f>+AEP!AR44</f>
        <v>-2.5</v>
      </c>
      <c r="AS35" s="161">
        <f>+AEP!AS44</f>
        <v>0</v>
      </c>
      <c r="AT35" s="160">
        <f>+AEP!AT44</f>
        <v>0</v>
      </c>
      <c r="AU35" s="160">
        <f>+AEP!AU44</f>
        <v>0</v>
      </c>
      <c r="AV35" s="1205">
        <f>+AEP!AV44</f>
        <v>0</v>
      </c>
      <c r="AW35" s="245">
        <f>+AEP!AW44</f>
        <v>0</v>
      </c>
      <c r="AX35" s="171">
        <v>0</v>
      </c>
      <c r="AY35" s="243">
        <v>0</v>
      </c>
      <c r="AZ35" s="243">
        <v>0</v>
      </c>
      <c r="BA35" s="173">
        <v>0</v>
      </c>
      <c r="BB35" s="245">
        <f>SUM(AX35:BA35)</f>
        <v>0</v>
      </c>
      <c r="BC35" s="171">
        <v>0</v>
      </c>
      <c r="BD35" s="243">
        <v>0</v>
      </c>
      <c r="BE35" s="243">
        <v>0</v>
      </c>
      <c r="BF35" s="173">
        <v>0</v>
      </c>
      <c r="BG35" s="245">
        <f>SUM(BC35:BF35)</f>
        <v>0</v>
      </c>
      <c r="BH35" s="171">
        <v>0</v>
      </c>
      <c r="BI35" s="243">
        <v>0</v>
      </c>
      <c r="BJ35" s="243">
        <v>0</v>
      </c>
      <c r="BK35" s="173">
        <v>0</v>
      </c>
      <c r="BL35" s="245">
        <f>SUM(BH35:BK35)</f>
        <v>0</v>
      </c>
      <c r="BM35" s="171">
        <v>0</v>
      </c>
      <c r="BN35" s="243">
        <v>0</v>
      </c>
      <c r="BO35" s="243">
        <v>0</v>
      </c>
      <c r="BP35" s="173">
        <v>0</v>
      </c>
      <c r="BQ35" s="245">
        <f>SUM(BM35:BP35)</f>
        <v>0</v>
      </c>
    </row>
    <row r="36" spans="1:70">
      <c r="C36" s="50"/>
      <c r="E36" s="161"/>
      <c r="F36" s="160"/>
      <c r="G36" s="160"/>
      <c r="H36" s="144"/>
      <c r="I36" s="245"/>
      <c r="J36" s="161"/>
      <c r="K36" s="160"/>
      <c r="L36" s="160"/>
      <c r="M36" s="144"/>
      <c r="N36" s="245"/>
      <c r="O36" s="161"/>
      <c r="P36" s="160"/>
      <c r="Q36" s="160"/>
      <c r="R36" s="144"/>
      <c r="S36" s="245"/>
      <c r="T36" s="161"/>
      <c r="U36" s="160"/>
      <c r="V36" s="160"/>
      <c r="W36" s="144"/>
      <c r="X36" s="109"/>
      <c r="Y36" s="161"/>
      <c r="Z36" s="160"/>
      <c r="AA36" s="160"/>
      <c r="AB36" s="144"/>
      <c r="AC36" s="109"/>
      <c r="AD36" s="161"/>
      <c r="AE36" s="160"/>
      <c r="AF36" s="160"/>
      <c r="AG36" s="144"/>
      <c r="AH36" s="109"/>
      <c r="AI36" s="161"/>
      <c r="AJ36" s="160"/>
      <c r="AK36" s="160"/>
      <c r="AL36" s="144"/>
      <c r="AM36" s="109"/>
      <c r="AN36" s="161"/>
      <c r="AO36" s="160"/>
      <c r="AP36" s="160"/>
      <c r="AQ36" s="144"/>
      <c r="AR36" s="109"/>
      <c r="AS36" s="161"/>
      <c r="AT36" s="160"/>
      <c r="AU36" s="160"/>
      <c r="AV36" s="144"/>
      <c r="AW36" s="109"/>
      <c r="AX36" s="161"/>
      <c r="AY36" s="160"/>
      <c r="AZ36" s="160"/>
      <c r="BA36" s="144"/>
      <c r="BB36" s="109"/>
      <c r="BC36" s="161"/>
      <c r="BD36" s="160"/>
      <c r="BE36" s="160"/>
      <c r="BF36" s="144"/>
      <c r="BG36" s="109"/>
      <c r="BH36" s="161"/>
      <c r="BI36" s="160"/>
      <c r="BJ36" s="160"/>
      <c r="BK36" s="144"/>
      <c r="BL36" s="109"/>
      <c r="BM36" s="161"/>
      <c r="BN36" s="160"/>
      <c r="BO36" s="160"/>
      <c r="BP36" s="144"/>
      <c r="BQ36" s="109"/>
    </row>
    <row r="37" spans="1:70">
      <c r="B37" s="56"/>
      <c r="C37" s="56" t="s">
        <v>12</v>
      </c>
      <c r="D37" s="56"/>
      <c r="E37" s="149"/>
      <c r="F37" s="150"/>
      <c r="G37" s="150"/>
      <c r="H37" s="151"/>
      <c r="I37" s="112"/>
      <c r="J37" s="149"/>
      <c r="K37" s="150"/>
      <c r="L37" s="150"/>
      <c r="M37" s="151"/>
      <c r="N37" s="112"/>
      <c r="O37" s="149"/>
      <c r="P37" s="150"/>
      <c r="Q37" s="150"/>
      <c r="R37" s="151"/>
      <c r="S37" s="112"/>
      <c r="T37" s="149"/>
      <c r="U37" s="150"/>
      <c r="V37" s="150"/>
      <c r="W37" s="151"/>
      <c r="X37" s="112">
        <f t="shared" ref="X37:AE37" si="46">X30+X31+X32-X33-X34</f>
        <v>-91</v>
      </c>
      <c r="Y37" s="149">
        <f t="shared" si="46"/>
        <v>0</v>
      </c>
      <c r="Z37" s="150">
        <f t="shared" si="46"/>
        <v>109</v>
      </c>
      <c r="AA37" s="150">
        <f t="shared" si="46"/>
        <v>8</v>
      </c>
      <c r="AB37" s="151">
        <f t="shared" si="46"/>
        <v>4</v>
      </c>
      <c r="AC37" s="112">
        <f t="shared" si="46"/>
        <v>121</v>
      </c>
      <c r="AD37" s="149">
        <f t="shared" si="46"/>
        <v>-6</v>
      </c>
      <c r="AE37" s="150">
        <f t="shared" si="46"/>
        <v>-3</v>
      </c>
      <c r="AF37" s="150">
        <f t="shared" ref="AF37:AL37" si="47">AF30+AF31+AF32-AF33-AF34+AF35</f>
        <v>11</v>
      </c>
      <c r="AG37" s="151">
        <f t="shared" si="47"/>
        <v>4.7999999999994891</v>
      </c>
      <c r="AH37" s="112">
        <f t="shared" si="47"/>
        <v>6.7999999999993435</v>
      </c>
      <c r="AI37" s="149">
        <f t="shared" si="47"/>
        <v>-1.0000000000000071</v>
      </c>
      <c r="AJ37" s="150">
        <f t="shared" si="47"/>
        <v>-2.9999999999999538</v>
      </c>
      <c r="AK37" s="150">
        <f t="shared" si="47"/>
        <v>-8.9999999999999929</v>
      </c>
      <c r="AL37" s="151">
        <f t="shared" si="47"/>
        <v>225.4000000000006</v>
      </c>
      <c r="AM37" s="112">
        <f t="shared" ref="AM37:AR37" si="48">AM30+AM31+AM32-AM33-AM34+AM35</f>
        <v>212.39999999999969</v>
      </c>
      <c r="AN37" s="149">
        <f t="shared" si="48"/>
        <v>1.0000000000003419</v>
      </c>
      <c r="AO37" s="150">
        <f t="shared" si="48"/>
        <v>23.800000000000477</v>
      </c>
      <c r="AP37" s="150">
        <f t="shared" si="48"/>
        <v>36.599999999999199</v>
      </c>
      <c r="AQ37" s="151">
        <f t="shared" si="48"/>
        <v>19.20000000000001</v>
      </c>
      <c r="AR37" s="112">
        <f t="shared" si="48"/>
        <v>80.60000000000062</v>
      </c>
      <c r="AS37" s="149">
        <f>AS30+AS31+AS32-AS33-AS34+AS35</f>
        <v>-4.4000000000001407</v>
      </c>
      <c r="AT37" s="150">
        <f>AT30+AT31+AT32-AT33-AT34+AT35</f>
        <v>-11.799999999999949</v>
      </c>
      <c r="AU37" s="150">
        <f>AU30+AU31+AU32-AU33-AU34+AU35</f>
        <v>5.1999999999999389</v>
      </c>
      <c r="AV37" s="151">
        <f t="shared" ref="AV37:AW37" si="49">AV30+AV31+AV32-AV33-AV34+AV35</f>
        <v>-21.400000000001647</v>
      </c>
      <c r="AW37" s="112">
        <f t="shared" si="49"/>
        <v>-32.400000000001938</v>
      </c>
      <c r="AX37" s="149">
        <f t="shared" ref="AX37:BB37" si="50">AX30+AX31+AX32-AX33-AX34</f>
        <v>-5.4403812244403831</v>
      </c>
      <c r="AY37" s="150">
        <f t="shared" si="50"/>
        <v>-22.56927571727805</v>
      </c>
      <c r="AZ37" s="150">
        <f t="shared" si="50"/>
        <v>-14.923519609923833</v>
      </c>
      <c r="BA37" s="151">
        <f t="shared" si="50"/>
        <v>16.796531088220011</v>
      </c>
      <c r="BB37" s="112">
        <f t="shared" si="50"/>
        <v>-26.136645463422283</v>
      </c>
      <c r="BC37" s="149">
        <f t="shared" ref="BC37:BL37" si="51">BC30+BC31+BC32-BC33-BC34</f>
        <v>-20.832732939435704</v>
      </c>
      <c r="BD37" s="150">
        <f t="shared" si="51"/>
        <v>-24.739875016804145</v>
      </c>
      <c r="BE37" s="150">
        <f t="shared" si="51"/>
        <v>-39.595370274381594</v>
      </c>
      <c r="BF37" s="151">
        <f t="shared" si="51"/>
        <v>-0.60527723344608475</v>
      </c>
      <c r="BG37" s="112">
        <f t="shared" si="51"/>
        <v>-85.77325546406756</v>
      </c>
      <c r="BH37" s="149">
        <f t="shared" si="51"/>
        <v>-39.912392763425203</v>
      </c>
      <c r="BI37" s="150">
        <f t="shared" si="51"/>
        <v>-43.10920708621056</v>
      </c>
      <c r="BJ37" s="150">
        <f t="shared" si="51"/>
        <v>-46.906543954501913</v>
      </c>
      <c r="BK37" s="151">
        <f t="shared" si="51"/>
        <v>-7.3378425516427761</v>
      </c>
      <c r="BL37" s="112">
        <f t="shared" si="51"/>
        <v>-137.26598635578046</v>
      </c>
      <c r="BM37" s="149">
        <f>BM30+BM31+BM32-BM33-BM34</f>
        <v>-44.785418297836003</v>
      </c>
      <c r="BN37" s="150">
        <f>BN30+BN31+BN32-BN33-BN34</f>
        <v>-49.120832951659366</v>
      </c>
      <c r="BO37" s="150">
        <f>BO30+BO31+BO32-BO33-BO34</f>
        <v>-47.595699546177954</v>
      </c>
      <c r="BP37" s="151">
        <f>BP30+BP31+BP32-BP33-BP34</f>
        <v>-4.9275209047489561</v>
      </c>
      <c r="BQ37" s="112">
        <f>BQ30+BQ31+BQ32-BQ33-BQ34</f>
        <v>-146.42947170042231</v>
      </c>
    </row>
    <row r="38" spans="1:70">
      <c r="A38" s="56"/>
      <c r="C38" t="s">
        <v>13</v>
      </c>
      <c r="E38" s="161"/>
      <c r="F38" s="160"/>
      <c r="G38" s="160"/>
      <c r="H38" s="144"/>
      <c r="I38" s="109"/>
      <c r="J38" s="161"/>
      <c r="K38" s="160"/>
      <c r="L38" s="160"/>
      <c r="M38" s="144"/>
      <c r="N38" s="109"/>
      <c r="O38" s="161"/>
      <c r="P38" s="160"/>
      <c r="Q38" s="160"/>
      <c r="R38" s="144"/>
      <c r="S38" s="109"/>
      <c r="T38" s="161"/>
      <c r="U38" s="160"/>
      <c r="V38" s="160"/>
      <c r="W38" s="144"/>
      <c r="X38" s="109">
        <f>+AEP!X47-'Generation &amp; Marketing'!X37-'Vertically Integrated Utilities'!X40-'T&amp;D Utilities'!X37-'Transmission Holdco'!X31-'AEP River'!X31</f>
        <v>17</v>
      </c>
      <c r="Y38" s="161">
        <f>+AEP!Y47-'Generation &amp; Marketing'!Y37-'Vertically Integrated Utilities'!Y40-'T&amp;D Utilities'!Y37-'Transmission Holdco'!Y31-'AEP River'!Y31</f>
        <v>-1</v>
      </c>
      <c r="Z38" s="160">
        <f>+AEP!Z47-'Generation &amp; Marketing'!Z37-'Vertically Integrated Utilities'!Z40-'T&amp;D Utilities'!Z37-'Transmission Holdco'!Z31-'AEP River'!Z31</f>
        <v>-80</v>
      </c>
      <c r="AA38" s="160">
        <f>+AEP!AA47-'Generation &amp; Marketing'!AA37-'Vertically Integrated Utilities'!AA40-'T&amp;D Utilities'!AA37-'Transmission Holdco'!AA31-'AEP River'!AA31</f>
        <v>0</v>
      </c>
      <c r="AB38" s="144">
        <f>+AEP!AB47-'Generation &amp; Marketing'!AB37-'Vertically Integrated Utilities'!AB40-'T&amp;D Utilities'!AB37-'Transmission Holdco'!AB31-'AEP River'!AB31</f>
        <v>1</v>
      </c>
      <c r="AC38" s="109">
        <f>+AEP!AC47-'Generation &amp; Marketing'!AC37-'Vertically Integrated Utilities'!AC40-'T&amp;D Utilities'!AC37-'Transmission Holdco'!AC31-'AEP River'!AC31</f>
        <v>-80</v>
      </c>
      <c r="AD38" s="161">
        <f>+AEP!AD47-'Generation &amp; Marketing'!AD37-'Vertically Integrated Utilities'!AD40-'T&amp;D Utilities'!AD37-'Transmission Holdco'!AD31-'AEP River'!AD31</f>
        <v>0</v>
      </c>
      <c r="AE38" s="160">
        <f>+AEP!AE47-'Generation &amp; Marketing'!AE37-'Vertically Integrated Utilities'!AE40-'T&amp;D Utilities'!AE37-'Transmission Holdco'!AE31-'AEP River'!AE31</f>
        <v>0</v>
      </c>
      <c r="AF38" s="160">
        <f>+AEP!AF47-'Generation &amp; Marketing'!AF37-'Vertically Integrated Utilities'!AF40-'T&amp;D Utilities'!AF37-'Transmission Holdco'!AF31-'AEP River'!AF31</f>
        <v>0</v>
      </c>
      <c r="AG38" s="144">
        <f>+AEP!AG47-'Generation &amp; Marketing'!AG37-'Vertically Integrated Utilities'!AG40-'T&amp;D Utilities'!AG37-'Transmission Holdco'!AG31-'AEP River'!AG31</f>
        <v>0</v>
      </c>
      <c r="AH38" s="109">
        <f>+AEP!AH47-'Generation &amp; Marketing'!AH37-'Vertically Integrated Utilities'!AH40-'T&amp;D Utilities'!AH37-'Transmission Holdco'!AH31-'AEP River'!AH31</f>
        <v>0</v>
      </c>
      <c r="AI38" s="161">
        <f>+AEP!AI47-'Generation &amp; Marketing'!AI37-'Vertically Integrated Utilities'!AI40-'T&amp;D Utilities'!AI37-'Transmission Holdco'!AI31-'AEP River'!AI31</f>
        <v>0</v>
      </c>
      <c r="AJ38" s="160">
        <f>+AEP!AJ47-'Generation &amp; Marketing'!AJ37-'Vertically Integrated Utilities'!AJ40-'T&amp;D Utilities'!AJ37-'Transmission Holdco'!AJ31-'AEP River'!AJ31</f>
        <v>0</v>
      </c>
      <c r="AK38" s="160">
        <f>+AEP!AK47-'Generation &amp; Marketing'!AK37-'Vertically Integrated Utilities'!AK40-'T&amp;D Utilities'!AK37-'Transmission Holdco'!AK31-'AEP River'!AK31</f>
        <v>0</v>
      </c>
      <c r="AL38" s="144">
        <f>+AEP!AL47-'Generation &amp; Marketing'!AL37-'Vertically Integrated Utilities'!AL40-'T&amp;D Utilities'!AL37-'Transmission Holdco'!AL31-'AEP River'!AL31</f>
        <v>-239</v>
      </c>
      <c r="AM38" s="109">
        <f>+AEP!AM47-'Generation &amp; Marketing'!AM37-'Vertically Integrated Utilities'!AM40-'T&amp;D Utilities'!AM37-'Transmission Holdco'!AM31-'AEP River'!AM31</f>
        <v>-239</v>
      </c>
      <c r="AN38" s="161">
        <f>+AEP!AN47-'Generation &amp; Marketing'!AN37-'Vertically Integrated Utilities'!AN40-'T&amp;D Utilities'!AN37-'Transmission Holdco'!AN31-'AEP River'!AN31</f>
        <v>0</v>
      </c>
      <c r="AO38" s="160">
        <f>+AEP!AO47-'Generation &amp; Marketing'!AO37-'Vertically Integrated Utilities'!AO40-'T&amp;D Utilities'!AO37-'Transmission Holdco'!AO31-'AEP River'!AO31</f>
        <v>-32.700000000000003</v>
      </c>
      <c r="AP38" s="160">
        <f>+AEP!AP47-'Generation &amp; Marketing'!AP37-'Vertically Integrated Utilities'!AP40-'T&amp;D Utilities'!AP37-'Transmission Holdco'!AP31-'AEP River'!AP31</f>
        <v>-51.500000000000043</v>
      </c>
      <c r="AQ38" s="144">
        <f>+AEP!AQ47-'Generation &amp; Marketing'!AQ37-'Vertically Integrated Utilities'!AQ40-'T&amp;D Utilities'!AQ37-'Transmission Holdco'!AQ31-'AEP River'!AQ31</f>
        <v>-39.699999999999591</v>
      </c>
      <c r="AR38" s="109">
        <f>+AEP!AR47-'Generation &amp; Marketing'!AR37-'Vertically Integrated Utilities'!AR40-'T&amp;D Utilities'!AR37-'Transmission Holdco'!AR31-'AEP River'!AR31</f>
        <v>-123.89999999999968</v>
      </c>
      <c r="AS38" s="161">
        <f>+AEP!AS47-'Generation &amp; Marketing'!AS37-'Vertically Integrated Utilities'!AS40-'T&amp;D Utilities'!AS37-'Transmission Holdco'!AS31-'AEP River'!AS31</f>
        <v>0</v>
      </c>
      <c r="AT38" s="160">
        <f>+AEP!AT47-'Generation &amp; Marketing'!AT37-'Vertically Integrated Utilities'!AT40-'T&amp;D Utilities'!AT37-'Transmission Holdco'!AT31-'AEP River'!AT31</f>
        <v>0</v>
      </c>
      <c r="AU38" s="160">
        <f>+AEP!AU47-'Generation &amp; Marketing'!AU37-'Vertically Integrated Utilities'!AU40-'T&amp;D Utilities'!AU37-'Transmission Holdco'!AU31-'AEP River'!AU31</f>
        <v>0</v>
      </c>
      <c r="AV38" s="144">
        <f>+AEP!AV47-'Generation &amp; Marketing'!AV37-'Vertically Integrated Utilities'!AV40-'T&amp;D Utilities'!AV37-'Transmission Holdco'!AV31-'AEP River'!AV31</f>
        <v>35.199999999999982</v>
      </c>
      <c r="AW38" s="109">
        <f>+AEP!AW47-'Generation &amp; Marketing'!AW37-'Vertically Integrated Utilities'!AW40-'T&amp;D Utilities'!AW37-'Transmission Holdco'!AW31-'AEP River'!AW31</f>
        <v>35.199999999999982</v>
      </c>
      <c r="AX38" s="171">
        <f>+AEP!AX47-'Generation &amp; Marketing'!AX37-'Vertically Integrated Utilities'!AX40-'T&amp;D Utilities'!AX37-'Transmission Holdco'!AX31-'AEP River'!AX31</f>
        <v>0</v>
      </c>
      <c r="AY38" s="243">
        <f>+AEP!AY47-'Generation &amp; Marketing'!AY37-'Vertically Integrated Utilities'!AY40-'T&amp;D Utilities'!AY37-'Transmission Holdco'!AY31-'AEP River'!AY31</f>
        <v>0</v>
      </c>
      <c r="AZ38" s="243">
        <f>+AEP!AZ47-'Generation &amp; Marketing'!AZ37-'Vertically Integrated Utilities'!AZ40-'T&amp;D Utilities'!AZ37-'Transmission Holdco'!AZ31-'AEP River'!AZ31</f>
        <v>0</v>
      </c>
      <c r="BA38" s="173">
        <f>+AEP!BA47-'Generation &amp; Marketing'!BA37-'Vertically Integrated Utilities'!BA40-'T&amp;D Utilities'!BA37-'Transmission Holdco'!BA31-'AEP River'!BA31</f>
        <v>0</v>
      </c>
      <c r="BB38" s="245">
        <f>SUM(AX38:BA38)</f>
        <v>0</v>
      </c>
      <c r="BC38" s="171">
        <f>+AEP!BC47-'Generation &amp; Marketing'!BC37-'Vertically Integrated Utilities'!BC40-'T&amp;D Utilities'!BC37-'Transmission Holdco'!BC31-'AEP River'!BC31</f>
        <v>0</v>
      </c>
      <c r="BD38" s="243">
        <f>+AEP!BD47-'Generation &amp; Marketing'!BD37-'Vertically Integrated Utilities'!BD40-'T&amp;D Utilities'!BD37-'Transmission Holdco'!BD31-'AEP River'!BD31</f>
        <v>0</v>
      </c>
      <c r="BE38" s="243">
        <f>+AEP!BE47-'Generation &amp; Marketing'!BE37-'Vertically Integrated Utilities'!BE40-'T&amp;D Utilities'!BE37-'Transmission Holdco'!BE31-'AEP River'!BE31</f>
        <v>0</v>
      </c>
      <c r="BF38" s="173">
        <f>+AEP!BF47-'Generation &amp; Marketing'!BF37-'Vertically Integrated Utilities'!BF40-'T&amp;D Utilities'!BF37-'Transmission Holdco'!BF31-'AEP River'!BF31</f>
        <v>0</v>
      </c>
      <c r="BG38" s="245">
        <f>SUM(BC38:BF38)</f>
        <v>0</v>
      </c>
      <c r="BH38" s="171">
        <f>+AEP!BH47-'Generation &amp; Marketing'!BH37-'Vertically Integrated Utilities'!BH40-'T&amp;D Utilities'!BH37-'Transmission Holdco'!BH31-'AEP River'!BH31</f>
        <v>0</v>
      </c>
      <c r="BI38" s="243">
        <f>+AEP!BI47-'Generation &amp; Marketing'!BI37-'Vertically Integrated Utilities'!BI40-'T&amp;D Utilities'!BI37-'Transmission Holdco'!BI31-'AEP River'!BI31</f>
        <v>0</v>
      </c>
      <c r="BJ38" s="243">
        <f>+AEP!BJ47-'Generation &amp; Marketing'!BJ37-'Vertically Integrated Utilities'!BJ40-'T&amp;D Utilities'!BJ37-'Transmission Holdco'!BJ31-'AEP River'!BJ31</f>
        <v>0</v>
      </c>
      <c r="BK38" s="173">
        <f>+AEP!BK47-'Generation &amp; Marketing'!BK37-'Vertically Integrated Utilities'!BK40-'T&amp;D Utilities'!BK37-'Transmission Holdco'!BK31-'AEP River'!BK31</f>
        <v>0</v>
      </c>
      <c r="BL38" s="245">
        <f>SUM(BH38:BK38)</f>
        <v>0</v>
      </c>
      <c r="BM38" s="171">
        <f>+AEP!BM47-'Generation &amp; Marketing'!BM37-'Vertically Integrated Utilities'!BM40-'T&amp;D Utilities'!BM37-'Transmission Holdco'!BM31-'AEP River'!BM31</f>
        <v>0</v>
      </c>
      <c r="BN38" s="243">
        <f>+AEP!BN47-'Generation &amp; Marketing'!BN37-'Vertically Integrated Utilities'!BN40-'T&amp;D Utilities'!BN37-'Transmission Holdco'!BN31-'AEP River'!BN31</f>
        <v>0</v>
      </c>
      <c r="BO38" s="243">
        <f>+AEP!BO47-'Generation &amp; Marketing'!BO37-'Vertically Integrated Utilities'!BO40-'T&amp;D Utilities'!BO37-'Transmission Holdco'!BO31-'AEP River'!BO31</f>
        <v>0</v>
      </c>
      <c r="BP38" s="173">
        <f>+AEP!BP47-'Generation &amp; Marketing'!BP37-'Vertically Integrated Utilities'!BP40-'T&amp;D Utilities'!BP37-'Transmission Holdco'!BP31-'AEP River'!BP31</f>
        <v>0</v>
      </c>
      <c r="BQ38" s="245">
        <f>SUM(BM38:BP38)</f>
        <v>0</v>
      </c>
    </row>
    <row r="39" spans="1:70">
      <c r="C39" s="56" t="s">
        <v>16</v>
      </c>
      <c r="E39" s="149"/>
      <c r="F39" s="150"/>
      <c r="G39" s="150"/>
      <c r="H39" s="151"/>
      <c r="I39" s="112"/>
      <c r="J39" s="149"/>
      <c r="K39" s="150"/>
      <c r="L39" s="150"/>
      <c r="M39" s="151"/>
      <c r="N39" s="112"/>
      <c r="O39" s="149"/>
      <c r="P39" s="150"/>
      <c r="Q39" s="150"/>
      <c r="R39" s="151"/>
      <c r="S39" s="112"/>
      <c r="T39" s="149"/>
      <c r="U39" s="150"/>
      <c r="V39" s="150"/>
      <c r="W39" s="151"/>
      <c r="X39" s="112">
        <f t="shared" ref="X39:BB39" si="52">+X37+X38</f>
        <v>-74</v>
      </c>
      <c r="Y39" s="149">
        <f t="shared" si="52"/>
        <v>-1</v>
      </c>
      <c r="Z39" s="150">
        <f t="shared" si="52"/>
        <v>29</v>
      </c>
      <c r="AA39" s="150">
        <f t="shared" si="52"/>
        <v>8</v>
      </c>
      <c r="AB39" s="151">
        <f t="shared" si="52"/>
        <v>5</v>
      </c>
      <c r="AC39" s="112">
        <f t="shared" si="52"/>
        <v>41</v>
      </c>
      <c r="AD39" s="149">
        <f t="shared" si="52"/>
        <v>-6</v>
      </c>
      <c r="AE39" s="150">
        <f t="shared" si="52"/>
        <v>-3</v>
      </c>
      <c r="AF39" s="150">
        <f t="shared" si="52"/>
        <v>11</v>
      </c>
      <c r="AG39" s="151">
        <f t="shared" ref="AG39:AM39" si="53">+AG37+AG38</f>
        <v>4.7999999999994891</v>
      </c>
      <c r="AH39" s="112">
        <f t="shared" si="53"/>
        <v>6.7999999999993435</v>
      </c>
      <c r="AI39" s="149">
        <f t="shared" si="53"/>
        <v>-1.0000000000000071</v>
      </c>
      <c r="AJ39" s="150">
        <f t="shared" si="53"/>
        <v>-2.9999999999999538</v>
      </c>
      <c r="AK39" s="150">
        <f t="shared" si="53"/>
        <v>-8.9999999999999929</v>
      </c>
      <c r="AL39" s="151">
        <f t="shared" si="53"/>
        <v>-13.599999999999397</v>
      </c>
      <c r="AM39" s="112">
        <f t="shared" si="53"/>
        <v>-26.600000000000307</v>
      </c>
      <c r="AN39" s="149">
        <f t="shared" ref="AN39:AS39" si="54">+AN37+AN38</f>
        <v>1.0000000000003419</v>
      </c>
      <c r="AO39" s="150">
        <f t="shared" si="54"/>
        <v>-8.8999999999995261</v>
      </c>
      <c r="AP39" s="150">
        <f t="shared" si="54"/>
        <v>-14.900000000000844</v>
      </c>
      <c r="AQ39" s="151">
        <f t="shared" si="54"/>
        <v>-20.499999999999581</v>
      </c>
      <c r="AR39" s="112">
        <f t="shared" si="54"/>
        <v>-43.299999999999059</v>
      </c>
      <c r="AS39" s="149">
        <f t="shared" si="54"/>
        <v>-4.4000000000001407</v>
      </c>
      <c r="AT39" s="150">
        <f>+AT37+AT38</f>
        <v>-11.799999999999949</v>
      </c>
      <c r="AU39" s="150">
        <f>+AU37+AU38</f>
        <v>5.1999999999999389</v>
      </c>
      <c r="AV39" s="151">
        <f t="shared" ref="AV39:AW39" si="55">+AV37+AV38</f>
        <v>13.799999999998334</v>
      </c>
      <c r="AW39" s="112">
        <f t="shared" si="55"/>
        <v>2.7999999999980432</v>
      </c>
      <c r="AX39" s="149">
        <f t="shared" si="52"/>
        <v>-5.4403812244403831</v>
      </c>
      <c r="AY39" s="150">
        <f t="shared" si="52"/>
        <v>-22.56927571727805</v>
      </c>
      <c r="AZ39" s="150">
        <f t="shared" si="52"/>
        <v>-14.923519609923833</v>
      </c>
      <c r="BA39" s="151">
        <f t="shared" si="52"/>
        <v>16.796531088220011</v>
      </c>
      <c r="BB39" s="112">
        <f t="shared" si="52"/>
        <v>-26.136645463422283</v>
      </c>
      <c r="BC39" s="149">
        <f t="shared" ref="BC39:BL39" si="56">+BC37+BC38</f>
        <v>-20.832732939435704</v>
      </c>
      <c r="BD39" s="150">
        <f t="shared" si="56"/>
        <v>-24.739875016804145</v>
      </c>
      <c r="BE39" s="150">
        <f t="shared" si="56"/>
        <v>-39.595370274381594</v>
      </c>
      <c r="BF39" s="151">
        <f t="shared" si="56"/>
        <v>-0.60527723344608475</v>
      </c>
      <c r="BG39" s="112">
        <f t="shared" si="56"/>
        <v>-85.77325546406756</v>
      </c>
      <c r="BH39" s="149">
        <f t="shared" si="56"/>
        <v>-39.912392763425203</v>
      </c>
      <c r="BI39" s="150">
        <f t="shared" si="56"/>
        <v>-43.10920708621056</v>
      </c>
      <c r="BJ39" s="150">
        <f t="shared" si="56"/>
        <v>-46.906543954501913</v>
      </c>
      <c r="BK39" s="151">
        <f t="shared" si="56"/>
        <v>-7.3378425516427761</v>
      </c>
      <c r="BL39" s="112">
        <f t="shared" si="56"/>
        <v>-137.26598635578046</v>
      </c>
      <c r="BM39" s="149">
        <f>+BM37+BM38</f>
        <v>-44.785418297836003</v>
      </c>
      <c r="BN39" s="150">
        <f>+BN37+BN38</f>
        <v>-49.120832951659366</v>
      </c>
      <c r="BO39" s="150">
        <f>+BO37+BO38</f>
        <v>-47.595699546177954</v>
      </c>
      <c r="BP39" s="151">
        <f>+BP37+BP38</f>
        <v>-4.9275209047489561</v>
      </c>
      <c r="BQ39" s="112">
        <f>+BQ37+BQ38</f>
        <v>-146.42947170042231</v>
      </c>
    </row>
    <row r="40" spans="1:70">
      <c r="E40" s="161"/>
      <c r="F40" s="162"/>
      <c r="G40" s="162"/>
      <c r="H40" s="144"/>
      <c r="I40" s="109"/>
      <c r="J40" s="161"/>
      <c r="K40" s="162"/>
      <c r="L40" s="162"/>
      <c r="M40" s="144"/>
      <c r="N40" s="109"/>
      <c r="O40" s="161"/>
      <c r="P40" s="160"/>
      <c r="Q40" s="146"/>
      <c r="R40" s="144"/>
      <c r="S40" s="109"/>
      <c r="T40" s="161"/>
      <c r="U40" s="160"/>
      <c r="V40" s="160"/>
      <c r="W40" s="147"/>
      <c r="X40" s="109"/>
      <c r="Y40" s="161"/>
      <c r="Z40" s="160"/>
      <c r="AA40" s="160"/>
      <c r="AB40" s="147"/>
      <c r="AC40" s="109"/>
      <c r="AD40" s="161"/>
      <c r="AE40" s="160"/>
      <c r="AF40" s="160"/>
      <c r="AG40" s="147"/>
      <c r="AH40" s="109"/>
      <c r="AI40" s="161"/>
      <c r="AJ40" s="160"/>
      <c r="AK40" s="160"/>
      <c r="AL40" s="147"/>
      <c r="AM40" s="109"/>
      <c r="AN40" s="161"/>
      <c r="AO40" s="160"/>
      <c r="AP40" s="160"/>
      <c r="AQ40" s="147"/>
      <c r="AR40" s="109"/>
      <c r="AS40" s="161"/>
      <c r="AT40" s="160"/>
      <c r="AU40" s="160"/>
      <c r="AV40" s="147"/>
      <c r="AW40" s="109"/>
      <c r="AX40" s="161"/>
      <c r="AY40" s="163"/>
      <c r="AZ40" s="163"/>
      <c r="BA40" s="147"/>
      <c r="BB40" s="109"/>
      <c r="BC40" s="161"/>
      <c r="BD40" s="163"/>
      <c r="BE40" s="163"/>
      <c r="BF40" s="147"/>
      <c r="BG40" s="109"/>
      <c r="BH40" s="161"/>
      <c r="BI40" s="163"/>
      <c r="BJ40" s="163"/>
      <c r="BK40" s="147"/>
      <c r="BL40" s="109"/>
      <c r="BM40" s="161"/>
      <c r="BN40" s="163"/>
      <c r="BO40" s="163"/>
      <c r="BP40" s="147"/>
      <c r="BQ40" s="109"/>
    </row>
    <row r="41" spans="1:70">
      <c r="C41" s="113" t="s">
        <v>898</v>
      </c>
      <c r="E41" s="161"/>
      <c r="F41" s="160"/>
      <c r="G41" s="160"/>
      <c r="H41" s="144"/>
      <c r="I41" s="109"/>
      <c r="J41" s="161"/>
      <c r="K41" s="160"/>
      <c r="L41" s="160"/>
      <c r="M41" s="144"/>
      <c r="N41" s="109"/>
      <c r="O41" s="161"/>
      <c r="P41" s="160"/>
      <c r="Q41" s="160"/>
      <c r="R41" s="144"/>
      <c r="S41" s="109"/>
      <c r="T41" s="161"/>
      <c r="U41" s="160"/>
      <c r="V41" s="160"/>
      <c r="W41" s="144"/>
      <c r="X41" s="109">
        <f>AEP!X51</f>
        <v>484.68246900000003</v>
      </c>
      <c r="Y41" s="161">
        <f>AEP!Y51</f>
        <v>485.823668</v>
      </c>
      <c r="Z41" s="160">
        <f>AEP!Z51</f>
        <v>486.293026</v>
      </c>
      <c r="AA41" s="160">
        <f>AEP!AA51</f>
        <v>486.93274700000001</v>
      </c>
      <c r="AB41" s="144">
        <f>AEP!AB51</f>
        <v>487</v>
      </c>
      <c r="AC41" s="109">
        <f>AEP!AC51</f>
        <v>486.61955499999999</v>
      </c>
      <c r="AD41" s="161">
        <f>AEP!AD51</f>
        <v>487.86708900000002</v>
      </c>
      <c r="AE41" s="160">
        <f>AEP!AE51</f>
        <v>488.29157600000002</v>
      </c>
      <c r="AF41" s="160">
        <f>AEP!AF51</f>
        <v>488.912892</v>
      </c>
      <c r="AG41" s="144">
        <f>AEP!AG51</f>
        <v>489</v>
      </c>
      <c r="AH41" s="109">
        <f>AEP!AH51</f>
        <v>488.59299700000003</v>
      </c>
      <c r="AI41" s="161">
        <f>AEP!AI51</f>
        <v>489.59798599999999</v>
      </c>
      <c r="AJ41" s="160">
        <f>AEP!AJ51</f>
        <v>490.20748200000003</v>
      </c>
      <c r="AK41" s="160">
        <f>AEP!AK51</f>
        <v>490.64892900000001</v>
      </c>
      <c r="AL41" s="144">
        <f>AEP!AL51</f>
        <v>491</v>
      </c>
      <c r="AM41" s="109">
        <f>AEP!AM51</f>
        <v>490.34052200000002</v>
      </c>
      <c r="AN41" s="161">
        <f>AEP!AN51</f>
        <v>491.10839199999998</v>
      </c>
      <c r="AO41" s="160">
        <f>AEP!AO51</f>
        <v>491.459541</v>
      </c>
      <c r="AP41" s="160">
        <f>AEP!AP51</f>
        <v>491.69780900000001</v>
      </c>
      <c r="AQ41" s="144">
        <f>AEP!AQ51</f>
        <v>492</v>
      </c>
      <c r="AR41" s="109">
        <f>AEP!AR51</f>
        <v>491.49545799999999</v>
      </c>
      <c r="AS41" s="161">
        <f>AEP!AS51</f>
        <v>491.712042</v>
      </c>
      <c r="AT41" s="160">
        <f>AEP!AT51</f>
        <v>491.790752</v>
      </c>
      <c r="AU41" s="160">
        <f>AEP!AU51</f>
        <v>491.84072200000003</v>
      </c>
      <c r="AV41" s="144">
        <f>AEP!AV51</f>
        <v>492</v>
      </c>
      <c r="AW41" s="109">
        <f>AEP!AW51</f>
        <v>491.81465100000003</v>
      </c>
      <c r="AX41" s="161">
        <f>AEP!AX51</f>
        <v>492.18707302903601</v>
      </c>
      <c r="AY41" s="160">
        <f>AEP!AY51</f>
        <v>492.550023087108</v>
      </c>
      <c r="AZ41" s="160">
        <f>AEP!AZ51</f>
        <v>492.91297314517999</v>
      </c>
      <c r="BA41" s="144">
        <f>AEP!BA51</f>
        <v>493.27592320325198</v>
      </c>
      <c r="BB41" s="109">
        <f>AEP!BB51</f>
        <v>492.731498116144</v>
      </c>
      <c r="BC41" s="161">
        <f>AEP!BC51</f>
        <v>493.63887326132397</v>
      </c>
      <c r="BD41" s="160">
        <f>AEP!BD51</f>
        <v>494.00182331939595</v>
      </c>
      <c r="BE41" s="160">
        <f>AEP!BE51</f>
        <v>494.36477337746794</v>
      </c>
      <c r="BF41" s="144">
        <f>AEP!BF51</f>
        <v>494.72772343553993</v>
      </c>
      <c r="BG41" s="109">
        <f>AEP!BG51</f>
        <v>494.18329834843195</v>
      </c>
      <c r="BH41" s="161">
        <f>AEP!BH51</f>
        <v>495.81657360975595</v>
      </c>
      <c r="BI41" s="160">
        <f>AEP!BI51</f>
        <v>497.631323900116</v>
      </c>
      <c r="BJ41" s="160">
        <f>AEP!BJ51</f>
        <v>499.44607419047605</v>
      </c>
      <c r="BK41" s="144">
        <f>AEP!BK51</f>
        <v>501.26082448083611</v>
      </c>
      <c r="BL41" s="109">
        <f>AEP!BL51</f>
        <v>498.53869904529603</v>
      </c>
      <c r="BM41" s="161">
        <f>AEP!BM51</f>
        <v>503.48389358652719</v>
      </c>
      <c r="BN41" s="160">
        <f>AEP!BN51</f>
        <v>506.11528150754918</v>
      </c>
      <c r="BO41" s="160">
        <f>AEP!BO51</f>
        <v>508.74666942857129</v>
      </c>
      <c r="BP41" s="144">
        <f>AEP!BP51</f>
        <v>511.37805734959335</v>
      </c>
      <c r="BQ41" s="109">
        <f>AEP!BQ51</f>
        <v>507.43097546806024</v>
      </c>
    </row>
    <row r="42" spans="1:70">
      <c r="C42" s="100" t="s">
        <v>901</v>
      </c>
      <c r="E42" s="161"/>
      <c r="F42" s="160"/>
      <c r="G42" s="160"/>
      <c r="H42" s="144"/>
      <c r="I42" s="109"/>
      <c r="J42" s="161"/>
      <c r="K42" s="160"/>
      <c r="L42" s="160"/>
      <c r="M42" s="144"/>
      <c r="N42" s="109"/>
      <c r="O42" s="161"/>
      <c r="P42" s="160"/>
      <c r="Q42" s="160"/>
      <c r="R42" s="144"/>
      <c r="S42" s="109"/>
      <c r="T42" s="161"/>
      <c r="U42" s="160"/>
      <c r="V42" s="160"/>
      <c r="W42" s="144"/>
      <c r="X42" s="109">
        <f>AEP!X52</f>
        <v>485.08469400000001</v>
      </c>
      <c r="Y42" s="161">
        <f>AEP!Y52</f>
        <v>486.34403600000002</v>
      </c>
      <c r="Z42" s="160">
        <f>AEP!Z52</f>
        <v>486.86361499999998</v>
      </c>
      <c r="AA42" s="160">
        <f>AEP!AA52</f>
        <v>487.25890500000003</v>
      </c>
      <c r="AB42" s="144">
        <f>AEP!AB52</f>
        <v>487</v>
      </c>
      <c r="AC42" s="109">
        <f>AEP!AC52</f>
        <v>487.04095599999999</v>
      </c>
      <c r="AD42" s="161">
        <f>AEP!AD52</f>
        <v>488.27116699999999</v>
      </c>
      <c r="AE42" s="160">
        <f>AEP!AE52</f>
        <v>488.53822700000001</v>
      </c>
      <c r="AF42" s="160">
        <f>AEP!AF52</f>
        <v>488.97064699999999</v>
      </c>
      <c r="AG42" s="144">
        <f>AEP!AG52</f>
        <v>489</v>
      </c>
      <c r="AH42" s="109">
        <f>AEP!AH52</f>
        <v>488.89983999999998</v>
      </c>
      <c r="AI42" s="161">
        <f>AEP!AI52</f>
        <v>489.93672600000002</v>
      </c>
      <c r="AJ42" s="160">
        <f>AEP!AJ52</f>
        <v>490.48444999999998</v>
      </c>
      <c r="AK42" s="160">
        <f>AEP!AK52</f>
        <v>490.80033500000002</v>
      </c>
      <c r="AL42" s="144">
        <f>AEP!AL52</f>
        <v>491</v>
      </c>
      <c r="AM42" s="109">
        <f>AEP!AM52</f>
        <v>490.574568</v>
      </c>
      <c r="AN42" s="161">
        <f>AEP!AN52</f>
        <v>491.33230500000002</v>
      </c>
      <c r="AO42" s="160">
        <f>AEP!AO52</f>
        <v>491.64139999999998</v>
      </c>
      <c r="AP42" s="160">
        <f>AEP!AP52</f>
        <v>491.81385799999998</v>
      </c>
      <c r="AQ42" s="144">
        <f>AEP!AQ52</f>
        <v>492</v>
      </c>
      <c r="AR42" s="109">
        <f>AEP!AR52</f>
        <v>491.66200700000002</v>
      </c>
      <c r="AS42" s="161">
        <f>AEP!AS52</f>
        <v>492.03197499999999</v>
      </c>
      <c r="AT42" s="160">
        <f>AEP!AT52</f>
        <v>492.64210000000003</v>
      </c>
      <c r="AU42" s="160">
        <f>AEP!AU52</f>
        <v>492.98630700000001</v>
      </c>
      <c r="AV42" s="144">
        <f>AEP!AV52</f>
        <v>492</v>
      </c>
      <c r="AW42" s="109">
        <f>AEP!AW52</f>
        <v>492.61106699999999</v>
      </c>
      <c r="AX42" s="161">
        <f>AEP!AX52</f>
        <v>492.18707302903601</v>
      </c>
      <c r="AY42" s="160">
        <f>AEP!AY52</f>
        <v>492.550023087108</v>
      </c>
      <c r="AZ42" s="160">
        <f>AEP!AZ52</f>
        <v>492.91297314517999</v>
      </c>
      <c r="BA42" s="144">
        <f>AEP!BA52</f>
        <v>493.27592320325198</v>
      </c>
      <c r="BB42" s="109">
        <f>AEP!BB52</f>
        <v>492.731498116144</v>
      </c>
      <c r="BC42" s="161">
        <f>AEP!BC52</f>
        <v>493.63887326132397</v>
      </c>
      <c r="BD42" s="160">
        <f>AEP!BD52</f>
        <v>494.00182331939595</v>
      </c>
      <c r="BE42" s="160">
        <f>AEP!BE52</f>
        <v>494.36477337746794</v>
      </c>
      <c r="BF42" s="144">
        <f>AEP!BF52</f>
        <v>494.72772343553993</v>
      </c>
      <c r="BG42" s="109">
        <f>AEP!BG52</f>
        <v>494.18329834843195</v>
      </c>
      <c r="BH42" s="161">
        <f>AEP!BH52</f>
        <v>495.81657360975595</v>
      </c>
      <c r="BI42" s="160">
        <f>AEP!BI52</f>
        <v>497.631323900116</v>
      </c>
      <c r="BJ42" s="160">
        <f>AEP!BJ52</f>
        <v>499.44607419047605</v>
      </c>
      <c r="BK42" s="144">
        <f>AEP!BK52</f>
        <v>501.26082448083611</v>
      </c>
      <c r="BL42" s="109">
        <f>AEP!BL52</f>
        <v>498.53869904529603</v>
      </c>
      <c r="BM42" s="161">
        <f>AEP!BM52</f>
        <v>503.48389358652719</v>
      </c>
      <c r="BN42" s="160">
        <f>AEP!BN52</f>
        <v>506.11528150754918</v>
      </c>
      <c r="BO42" s="160">
        <f>AEP!BO52</f>
        <v>508.74666942857129</v>
      </c>
      <c r="BP42" s="144">
        <f>AEP!BP52</f>
        <v>511.37805734959335</v>
      </c>
      <c r="BQ42" s="109">
        <f>AEP!BQ52</f>
        <v>507.43097546806024</v>
      </c>
    </row>
    <row r="43" spans="1:70">
      <c r="C43" s="56"/>
      <c r="E43" s="148"/>
      <c r="F43" s="163"/>
      <c r="G43" s="163"/>
      <c r="H43" s="147"/>
      <c r="I43" s="72"/>
      <c r="J43" s="148"/>
      <c r="K43" s="163"/>
      <c r="L43" s="163"/>
      <c r="M43" s="147"/>
      <c r="N43" s="72"/>
      <c r="O43" s="148"/>
      <c r="P43" s="163"/>
      <c r="Q43" s="163"/>
      <c r="R43" s="147"/>
      <c r="S43" s="72"/>
      <c r="T43" s="148"/>
      <c r="U43" s="163"/>
      <c r="V43" s="163"/>
      <c r="W43" s="147"/>
      <c r="X43" s="72"/>
      <c r="Y43" s="148"/>
      <c r="Z43" s="163"/>
      <c r="AA43" s="163"/>
      <c r="AB43" s="147"/>
      <c r="AC43" s="72"/>
      <c r="AD43" s="148"/>
      <c r="AE43" s="163"/>
      <c r="AF43" s="163"/>
      <c r="AG43" s="147"/>
      <c r="AH43" s="72"/>
      <c r="AI43" s="148"/>
      <c r="AJ43" s="163"/>
      <c r="AK43" s="163"/>
      <c r="AL43" s="147"/>
      <c r="AM43" s="72"/>
      <c r="AN43" s="148"/>
      <c r="AO43" s="163"/>
      <c r="AP43" s="163"/>
      <c r="AQ43" s="147"/>
      <c r="AR43" s="72"/>
      <c r="AS43" s="148"/>
      <c r="AT43" s="163"/>
      <c r="AU43" s="163"/>
      <c r="AV43" s="147"/>
      <c r="AW43" s="72"/>
      <c r="AX43" s="148"/>
      <c r="AY43" s="163"/>
      <c r="AZ43" s="163"/>
      <c r="BA43" s="147"/>
      <c r="BB43" s="72"/>
      <c r="BC43" s="148"/>
      <c r="BD43" s="163"/>
      <c r="BE43" s="163"/>
      <c r="BF43" s="147"/>
      <c r="BG43" s="72"/>
      <c r="BH43" s="148"/>
      <c r="BI43" s="163"/>
      <c r="BJ43" s="163"/>
      <c r="BK43" s="147"/>
      <c r="BL43" s="72"/>
      <c r="BM43" s="148"/>
      <c r="BN43" s="163"/>
      <c r="BO43" s="163"/>
      <c r="BP43" s="147"/>
      <c r="BQ43" s="72"/>
    </row>
    <row r="44" spans="1:70">
      <c r="C44" t="s">
        <v>196</v>
      </c>
      <c r="E44" s="215"/>
      <c r="F44" s="216"/>
      <c r="G44" s="216"/>
      <c r="H44" s="217"/>
      <c r="I44" s="86"/>
      <c r="J44" s="215"/>
      <c r="K44" s="216"/>
      <c r="L44" s="216"/>
      <c r="M44" s="217"/>
      <c r="N44" s="86"/>
      <c r="O44" s="215"/>
      <c r="P44" s="216"/>
      <c r="Q44" s="216"/>
      <c r="R44" s="217"/>
      <c r="S44" s="86"/>
      <c r="T44" s="215"/>
      <c r="U44" s="216"/>
      <c r="V44" s="216"/>
      <c r="W44" s="217"/>
      <c r="X44" s="86">
        <f t="shared" ref="X44:AM44" si="57">+X37/X42</f>
        <v>-0.18759610667080748</v>
      </c>
      <c r="Y44" s="215">
        <f t="shared" si="57"/>
        <v>0</v>
      </c>
      <c r="Z44" s="216">
        <f t="shared" si="57"/>
        <v>0.22388200030104941</v>
      </c>
      <c r="AA44" s="216">
        <f t="shared" si="57"/>
        <v>1.6418376181344493E-2</v>
      </c>
      <c r="AB44" s="217">
        <f t="shared" si="57"/>
        <v>8.2135523613963042E-3</v>
      </c>
      <c r="AC44" s="86">
        <f t="shared" si="57"/>
        <v>0.24843906556392353</v>
      </c>
      <c r="AD44" s="215">
        <f t="shared" si="57"/>
        <v>-1.2288253752243372E-2</v>
      </c>
      <c r="AE44" s="216">
        <f t="shared" si="57"/>
        <v>-6.1407681818929595E-3</v>
      </c>
      <c r="AF44" s="216">
        <f t="shared" si="57"/>
        <v>2.2496237897895739E-2</v>
      </c>
      <c r="AG44" s="217">
        <f t="shared" si="57"/>
        <v>9.8159509202443533E-3</v>
      </c>
      <c r="AH44" s="86">
        <f t="shared" si="57"/>
        <v>1.3908779352432073E-2</v>
      </c>
      <c r="AI44" s="215">
        <f t="shared" si="57"/>
        <v>-2.0410798924267765E-3</v>
      </c>
      <c r="AJ44" s="216">
        <f t="shared" si="57"/>
        <v>-6.116401855349245E-3</v>
      </c>
      <c r="AK44" s="216">
        <f t="shared" si="57"/>
        <v>-1.8337395796602284E-2</v>
      </c>
      <c r="AL44" s="217">
        <f t="shared" si="57"/>
        <v>0.45906313645621305</v>
      </c>
      <c r="AM44" s="86">
        <f t="shared" si="57"/>
        <v>0.43296170216471491</v>
      </c>
      <c r="AN44" s="215">
        <f t="shared" ref="AN44:AR44" si="58">+AN37/AN42</f>
        <v>2.0352824144147042E-3</v>
      </c>
      <c r="AO44" s="216">
        <f t="shared" si="58"/>
        <v>4.8409267405064904E-2</v>
      </c>
      <c r="AP44" s="216">
        <f t="shared" si="58"/>
        <v>7.4418399165969012E-2</v>
      </c>
      <c r="AQ44" s="217">
        <f t="shared" si="58"/>
        <v>3.902439024390246E-2</v>
      </c>
      <c r="AR44" s="86">
        <f t="shared" si="58"/>
        <v>0.16393375703728236</v>
      </c>
      <c r="AS44" s="215">
        <f>+AS37/AS42</f>
        <v>-8.942508258736926E-3</v>
      </c>
      <c r="AT44" s="216">
        <f>+AT37/AT42</f>
        <v>-2.3952479903767764E-2</v>
      </c>
      <c r="AU44" s="216">
        <f>+AU37/AU42</f>
        <v>1.0547960310792038E-2</v>
      </c>
      <c r="AV44" s="217">
        <f t="shared" ref="AV44:AW44" si="59">+AV37/AV42</f>
        <v>-4.3495934959352944E-2</v>
      </c>
      <c r="AW44" s="86">
        <f t="shared" si="59"/>
        <v>-6.5771969349608495E-2</v>
      </c>
      <c r="AX44" s="215">
        <f t="shared" ref="AX44:BL44" si="60">+AX37/AX42</f>
        <v>-1.1053482552800475E-2</v>
      </c>
      <c r="AY44" s="216">
        <f t="shared" si="60"/>
        <v>-4.582128648745723E-2</v>
      </c>
      <c r="AZ44" s="216">
        <f t="shared" si="60"/>
        <v>-3.0276175355458412E-2</v>
      </c>
      <c r="BA44" s="217">
        <f t="shared" si="60"/>
        <v>3.405098505344864E-2</v>
      </c>
      <c r="BB44" s="86">
        <f t="shared" si="60"/>
        <v>-5.304439753364721E-2</v>
      </c>
      <c r="BC44" s="215">
        <f t="shared" si="60"/>
        <v>-4.2202375193428524E-2</v>
      </c>
      <c r="BD44" s="216">
        <f t="shared" si="60"/>
        <v>-5.0080533813756038E-2</v>
      </c>
      <c r="BE44" s="216">
        <f t="shared" si="60"/>
        <v>-8.0093429804612898E-2</v>
      </c>
      <c r="BF44" s="217">
        <f t="shared" si="60"/>
        <v>-1.2234552558382122E-3</v>
      </c>
      <c r="BG44" s="86">
        <f t="shared" si="60"/>
        <v>-0.17356567037114179</v>
      </c>
      <c r="BH44" s="215">
        <f t="shared" si="60"/>
        <v>-8.0498302976937566E-2</v>
      </c>
      <c r="BI44" s="216">
        <f t="shared" si="60"/>
        <v>-8.6628805333933107E-2</v>
      </c>
      <c r="BJ44" s="216">
        <f t="shared" si="60"/>
        <v>-9.3917134158137253E-2</v>
      </c>
      <c r="BK44" s="217">
        <f t="shared" si="60"/>
        <v>-1.4638771260935258E-2</v>
      </c>
      <c r="BL44" s="86">
        <f t="shared" si="60"/>
        <v>-0.27533667219544938</v>
      </c>
      <c r="BM44" s="215">
        <f>+BM37/BM42</f>
        <v>-8.8951044647745656E-2</v>
      </c>
      <c r="BN44" s="216">
        <f>+BN37/BN42</f>
        <v>-9.7054633097314769E-2</v>
      </c>
      <c r="BO44" s="216">
        <f>+BO37/BO42</f>
        <v>-9.355481304602517E-2</v>
      </c>
      <c r="BP44" s="217">
        <f>+BP37/BP42</f>
        <v>-9.6357691416946254E-3</v>
      </c>
      <c r="BQ44" s="86">
        <f>+BQ37/BQ42</f>
        <v>-0.28857022684780737</v>
      </c>
    </row>
    <row r="45" spans="1:70">
      <c r="C45" s="178" t="s">
        <v>197</v>
      </c>
      <c r="D45" s="179"/>
      <c r="E45" s="180"/>
      <c r="F45" s="105"/>
      <c r="G45" s="105"/>
      <c r="H45" s="106"/>
      <c r="I45" s="181"/>
      <c r="J45" s="180"/>
      <c r="K45" s="105"/>
      <c r="L45" s="105"/>
      <c r="M45" s="106"/>
      <c r="N45" s="181"/>
      <c r="O45" s="180"/>
      <c r="P45" s="105"/>
      <c r="Q45" s="105"/>
      <c r="R45" s="106"/>
      <c r="S45" s="181"/>
      <c r="T45" s="180"/>
      <c r="U45" s="105"/>
      <c r="V45" s="105"/>
      <c r="W45" s="106"/>
      <c r="X45" s="181">
        <f t="shared" ref="X45:AF45" si="61">+X39/X42</f>
        <v>-0.1525506801498874</v>
      </c>
      <c r="Y45" s="180">
        <f t="shared" si="61"/>
        <v>-2.0561576291232651E-3</v>
      </c>
      <c r="Z45" s="105">
        <f t="shared" si="61"/>
        <v>5.9564935859912231E-2</v>
      </c>
      <c r="AA45" s="105">
        <f t="shared" si="61"/>
        <v>1.6418376181344493E-2</v>
      </c>
      <c r="AB45" s="106">
        <f t="shared" si="61"/>
        <v>1.0266940451745379E-2</v>
      </c>
      <c r="AC45" s="181">
        <f t="shared" si="61"/>
        <v>8.4181832133230286E-2</v>
      </c>
      <c r="AD45" s="180">
        <f t="shared" si="61"/>
        <v>-1.2288253752243372E-2</v>
      </c>
      <c r="AE45" s="105">
        <f t="shared" si="61"/>
        <v>-6.1407681818929595E-3</v>
      </c>
      <c r="AF45" s="105">
        <f t="shared" si="61"/>
        <v>2.2496237897895739E-2</v>
      </c>
      <c r="AG45" s="106">
        <f t="shared" ref="AG45:AM45" si="62">+AG39/AG42</f>
        <v>9.8159509202443533E-3</v>
      </c>
      <c r="AH45" s="181">
        <f t="shared" si="62"/>
        <v>1.3908779352432073E-2</v>
      </c>
      <c r="AI45" s="180">
        <f t="shared" si="62"/>
        <v>-2.0410798924267765E-3</v>
      </c>
      <c r="AJ45" s="105">
        <f t="shared" si="62"/>
        <v>-6.116401855349245E-3</v>
      </c>
      <c r="AK45" s="105">
        <f t="shared" si="62"/>
        <v>-1.8337395796602284E-2</v>
      </c>
      <c r="AL45" s="106">
        <f t="shared" si="62"/>
        <v>-2.7698574338084314E-2</v>
      </c>
      <c r="AM45" s="181">
        <f t="shared" si="62"/>
        <v>-5.4222134075242782E-2</v>
      </c>
      <c r="AN45" s="180">
        <f t="shared" ref="AN45:AS45" si="63">+AN39/AN42</f>
        <v>2.0352824144147042E-3</v>
      </c>
      <c r="AO45" s="105">
        <f t="shared" si="63"/>
        <v>-1.8102625206094375E-2</v>
      </c>
      <c r="AP45" s="105">
        <f t="shared" si="63"/>
        <v>-3.0296014961011621E-2</v>
      </c>
      <c r="AQ45" s="106">
        <f t="shared" si="63"/>
        <v>-4.1666666666665818E-2</v>
      </c>
      <c r="AR45" s="181">
        <f t="shared" si="63"/>
        <v>-8.8068631261961752E-2</v>
      </c>
      <c r="AS45" s="180">
        <f t="shared" si="63"/>
        <v>-8.942508258736926E-3</v>
      </c>
      <c r="AT45" s="105">
        <f>+AT39/AT42</f>
        <v>-2.3952479903767764E-2</v>
      </c>
      <c r="AU45" s="105">
        <f>+AU39/AU42</f>
        <v>1.0547960310792038E-2</v>
      </c>
      <c r="AV45" s="106">
        <f t="shared" ref="AV45:AW45" si="64">+AV39/AV42</f>
        <v>2.8048780487801492E-2</v>
      </c>
      <c r="AW45" s="181">
        <f t="shared" si="64"/>
        <v>5.6839973511964223E-3</v>
      </c>
      <c r="AX45" s="180">
        <f t="shared" ref="AX45:BB45" si="65">+AX39/AX42</f>
        <v>-1.1053482552800475E-2</v>
      </c>
      <c r="AY45" s="105">
        <f t="shared" si="65"/>
        <v>-4.582128648745723E-2</v>
      </c>
      <c r="AZ45" s="105">
        <f t="shared" si="65"/>
        <v>-3.0276175355458412E-2</v>
      </c>
      <c r="BA45" s="106">
        <f t="shared" si="65"/>
        <v>3.405098505344864E-2</v>
      </c>
      <c r="BB45" s="181">
        <f t="shared" si="65"/>
        <v>-5.304439753364721E-2</v>
      </c>
      <c r="BC45" s="180">
        <f t="shared" ref="BC45:BL45" si="66">+BC39/BC42</f>
        <v>-4.2202375193428524E-2</v>
      </c>
      <c r="BD45" s="105">
        <f t="shared" si="66"/>
        <v>-5.0080533813756038E-2</v>
      </c>
      <c r="BE45" s="105">
        <f t="shared" si="66"/>
        <v>-8.0093429804612898E-2</v>
      </c>
      <c r="BF45" s="106">
        <f t="shared" si="66"/>
        <v>-1.2234552558382122E-3</v>
      </c>
      <c r="BG45" s="181">
        <f t="shared" si="66"/>
        <v>-0.17356567037114179</v>
      </c>
      <c r="BH45" s="180">
        <f t="shared" si="66"/>
        <v>-8.0498302976937566E-2</v>
      </c>
      <c r="BI45" s="105">
        <f t="shared" si="66"/>
        <v>-8.6628805333933107E-2</v>
      </c>
      <c r="BJ45" s="105">
        <f t="shared" si="66"/>
        <v>-9.3917134158137253E-2</v>
      </c>
      <c r="BK45" s="106">
        <f t="shared" si="66"/>
        <v>-1.4638771260935258E-2</v>
      </c>
      <c r="BL45" s="181">
        <f t="shared" si="66"/>
        <v>-0.27533667219544938</v>
      </c>
      <c r="BM45" s="180">
        <f>+BM39/BM42</f>
        <v>-8.8951044647745656E-2</v>
      </c>
      <c r="BN45" s="105">
        <f>+BN39/BN42</f>
        <v>-9.7054633097314769E-2</v>
      </c>
      <c r="BO45" s="105">
        <f>+BO39/BO42</f>
        <v>-9.355481304602517E-2</v>
      </c>
      <c r="BP45" s="106">
        <f>+BP39/BP42</f>
        <v>-9.6357691416946254E-3</v>
      </c>
      <c r="BQ45" s="181">
        <f>+BQ39/BQ42</f>
        <v>-0.28857022684780737</v>
      </c>
      <c r="BR45" s="1366"/>
    </row>
    <row r="46" spans="1:70" s="481" customFormat="1">
      <c r="B46" s="482"/>
      <c r="C46" s="269" t="s">
        <v>22</v>
      </c>
      <c r="D46" s="482"/>
      <c r="E46" s="483"/>
      <c r="F46" s="484"/>
      <c r="G46" s="484"/>
      <c r="H46" s="485"/>
      <c r="I46" s="482"/>
      <c r="J46" s="483"/>
      <c r="K46" s="484"/>
      <c r="L46" s="484"/>
      <c r="M46" s="485"/>
      <c r="N46" s="486"/>
      <c r="O46" s="483"/>
      <c r="P46" s="484"/>
      <c r="Q46" s="484"/>
      <c r="R46" s="485"/>
      <c r="S46" s="486"/>
      <c r="T46" s="483"/>
      <c r="U46" s="484"/>
      <c r="V46" s="484"/>
      <c r="W46" s="485"/>
      <c r="X46" s="486"/>
      <c r="Y46" s="483"/>
      <c r="Z46" s="484"/>
      <c r="AA46" s="484"/>
      <c r="AB46" s="485"/>
      <c r="AC46" s="486">
        <f>AC45/X45-1</f>
        <v>-1.5518286254149647</v>
      </c>
      <c r="AD46" s="483"/>
      <c r="AE46" s="484"/>
      <c r="AF46" s="484"/>
      <c r="AG46" s="485"/>
      <c r="AH46" s="486">
        <f>AH45/AC45-1</f>
        <v>-0.8347769465219127</v>
      </c>
      <c r="AI46" s="483"/>
      <c r="AJ46" s="484"/>
      <c r="AK46" s="484"/>
      <c r="AL46" s="485"/>
      <c r="AM46" s="486">
        <f>AM45/AH45-1</f>
        <v>-4.898410687330486</v>
      </c>
      <c r="AN46" s="483"/>
      <c r="AO46" s="484"/>
      <c r="AP46" s="484"/>
      <c r="AQ46" s="485"/>
      <c r="AR46" s="486">
        <f>AR45/AM45-1</f>
        <v>0.62421920058976244</v>
      </c>
      <c r="AS46" s="483"/>
      <c r="AT46" s="484"/>
      <c r="AU46" s="484"/>
      <c r="AV46" s="485"/>
      <c r="AW46" s="486">
        <f>AW45/AR45-1</f>
        <v>-1.0645405437753344</v>
      </c>
      <c r="AX46" s="483"/>
      <c r="AY46" s="484"/>
      <c r="AZ46" s="484"/>
      <c r="BA46" s="485"/>
      <c r="BB46" s="486">
        <f>BB45/AW45-1</f>
        <v>-10.332234738371564</v>
      </c>
      <c r="BC46" s="483"/>
      <c r="BD46" s="484"/>
      <c r="BE46" s="484"/>
      <c r="BF46" s="485"/>
      <c r="BG46" s="486">
        <f>BG45/BB45-1</f>
        <v>2.2720829803193698</v>
      </c>
      <c r="BH46" s="483"/>
      <c r="BI46" s="484"/>
      <c r="BJ46" s="484"/>
      <c r="BK46" s="485"/>
      <c r="BL46" s="486">
        <f>BL45/BG45-1</f>
        <v>0.58635444213528487</v>
      </c>
      <c r="BM46" s="483"/>
      <c r="BN46" s="484"/>
      <c r="BO46" s="484"/>
      <c r="BP46" s="485"/>
      <c r="BQ46" s="486">
        <f>BQ45/BL45-1</f>
        <v>4.8063174973524969E-2</v>
      </c>
    </row>
    <row r="47" spans="1:70">
      <c r="A47" s="50"/>
      <c r="C47" s="56"/>
      <c r="E47" s="289"/>
      <c r="F47" s="290"/>
      <c r="G47" s="290"/>
      <c r="H47" s="291"/>
      <c r="I47" s="191"/>
      <c r="J47" s="289"/>
      <c r="K47" s="290"/>
      <c r="L47" s="290"/>
      <c r="M47" s="291"/>
      <c r="N47" s="191"/>
      <c r="O47" s="289"/>
      <c r="P47" s="290"/>
      <c r="Q47" s="290"/>
      <c r="R47" s="291"/>
      <c r="S47" s="191"/>
      <c r="T47" s="289"/>
      <c r="U47" s="290"/>
      <c r="V47" s="290"/>
      <c r="W47" s="291"/>
      <c r="X47" s="191"/>
      <c r="Y47" s="289"/>
      <c r="Z47" s="290"/>
      <c r="AA47" s="290"/>
      <c r="AB47" s="291"/>
      <c r="AC47" s="191"/>
      <c r="AD47" s="289"/>
      <c r="AE47" s="290"/>
      <c r="AF47" s="290"/>
      <c r="AG47" s="291"/>
      <c r="AH47" s="191"/>
      <c r="AI47" s="289"/>
      <c r="AJ47" s="290"/>
      <c r="AK47" s="290"/>
      <c r="AL47" s="291"/>
      <c r="AM47" s="191"/>
      <c r="AN47" s="289"/>
      <c r="AO47" s="290"/>
      <c r="AP47" s="290"/>
      <c r="AQ47" s="291"/>
      <c r="AR47" s="191"/>
      <c r="AS47" s="289"/>
      <c r="AT47" s="290"/>
      <c r="AU47" s="290"/>
      <c r="AV47" s="291"/>
      <c r="AW47" s="191"/>
      <c r="AX47" s="289"/>
      <c r="AY47" s="290"/>
      <c r="AZ47" s="290"/>
      <c r="BA47" s="291"/>
      <c r="BB47" s="191"/>
      <c r="BC47" s="289"/>
      <c r="BD47" s="290"/>
      <c r="BE47" s="290"/>
      <c r="BF47" s="291"/>
      <c r="BG47" s="191"/>
      <c r="BH47" s="289"/>
      <c r="BI47" s="290"/>
      <c r="BJ47" s="290"/>
      <c r="BK47" s="291"/>
      <c r="BL47" s="191"/>
      <c r="BM47" s="289"/>
      <c r="BN47" s="290"/>
      <c r="BO47" s="290"/>
      <c r="BP47" s="291"/>
      <c r="BQ47" s="191"/>
    </row>
    <row r="48" spans="1:70">
      <c r="A48" s="50"/>
      <c r="C48" s="56"/>
      <c r="E48" s="289"/>
      <c r="F48" s="290"/>
      <c r="G48" s="290"/>
      <c r="H48" s="291"/>
      <c r="I48" s="191"/>
      <c r="J48" s="289"/>
      <c r="K48" s="290"/>
      <c r="L48" s="290"/>
      <c r="M48" s="291"/>
      <c r="N48" s="191"/>
      <c r="O48" s="289"/>
      <c r="P48" s="290"/>
      <c r="Q48" s="290"/>
      <c r="R48" s="291"/>
      <c r="S48" s="191"/>
      <c r="T48" s="289"/>
      <c r="U48" s="290"/>
      <c r="V48" s="290"/>
      <c r="W48" s="291"/>
      <c r="X48" s="191"/>
      <c r="Y48" s="289"/>
      <c r="Z48" s="290"/>
      <c r="AA48" s="290"/>
      <c r="AB48" s="291"/>
      <c r="AC48" s="191"/>
      <c r="AD48" s="289"/>
      <c r="AE48" s="290"/>
      <c r="AF48" s="290"/>
      <c r="AG48" s="291"/>
      <c r="AH48" s="191"/>
      <c r="AI48" s="289"/>
      <c r="AJ48" s="290"/>
      <c r="AK48" s="290"/>
      <c r="AL48" s="291"/>
      <c r="AM48" s="191"/>
      <c r="AN48" s="289"/>
      <c r="AO48" s="290"/>
      <c r="AP48" s="290"/>
      <c r="AQ48" s="291"/>
      <c r="AR48" s="191"/>
      <c r="AS48" s="289"/>
      <c r="AT48" s="290"/>
      <c r="AU48" s="290"/>
      <c r="AV48" s="291"/>
      <c r="AW48" s="191"/>
      <c r="AX48" s="289"/>
      <c r="AY48" s="290"/>
      <c r="AZ48" s="290"/>
      <c r="BA48" s="291"/>
      <c r="BB48" s="191"/>
      <c r="BC48" s="289"/>
      <c r="BD48" s="290"/>
      <c r="BE48" s="290"/>
      <c r="BF48" s="291"/>
      <c r="BG48" s="191"/>
      <c r="BH48" s="289"/>
      <c r="BI48" s="290"/>
      <c r="BJ48" s="290"/>
      <c r="BK48" s="291"/>
      <c r="BL48" s="191"/>
      <c r="BM48" s="289"/>
      <c r="BN48" s="290"/>
      <c r="BO48" s="290"/>
      <c r="BP48" s="291"/>
      <c r="BQ48" s="191"/>
    </row>
    <row r="49" spans="1:69">
      <c r="A49" s="112"/>
      <c r="B49" s="46" t="s">
        <v>258</v>
      </c>
      <c r="C49" s="46"/>
      <c r="D49" s="47"/>
      <c r="E49" s="289"/>
      <c r="F49" s="290"/>
      <c r="G49" s="290"/>
      <c r="H49" s="291"/>
      <c r="I49" s="191"/>
      <c r="J49" s="289"/>
      <c r="K49" s="290"/>
      <c r="L49" s="290"/>
      <c r="M49" s="291"/>
      <c r="N49" s="191"/>
      <c r="O49" s="289"/>
      <c r="P49" s="290"/>
      <c r="Q49" s="290"/>
      <c r="R49" s="291"/>
      <c r="S49" s="191"/>
      <c r="T49" s="289"/>
      <c r="U49" s="290"/>
      <c r="V49" s="290"/>
      <c r="W49" s="291"/>
      <c r="X49" s="191"/>
      <c r="Y49" s="289"/>
      <c r="Z49" s="290"/>
      <c r="AA49" s="290"/>
      <c r="AB49" s="291"/>
      <c r="AC49" s="191"/>
      <c r="AD49" s="289"/>
      <c r="AE49" s="290"/>
      <c r="AF49" s="290"/>
      <c r="AG49" s="291"/>
      <c r="AH49" s="191"/>
      <c r="AI49" s="289"/>
      <c r="AJ49" s="290"/>
      <c r="AK49" s="290"/>
      <c r="AL49" s="291"/>
      <c r="AM49" s="191"/>
      <c r="AN49" s="289"/>
      <c r="AO49" s="290"/>
      <c r="AP49" s="290"/>
      <c r="AQ49" s="291"/>
      <c r="AR49" s="191"/>
      <c r="AS49" s="289"/>
      <c r="AT49" s="290"/>
      <c r="AU49" s="290"/>
      <c r="AV49" s="291"/>
      <c r="AW49" s="191"/>
      <c r="AX49" s="289"/>
      <c r="AY49" s="290"/>
      <c r="AZ49" s="290"/>
      <c r="BA49" s="291"/>
      <c r="BB49" s="191"/>
      <c r="BC49" s="289"/>
      <c r="BD49" s="290"/>
      <c r="BE49" s="290"/>
      <c r="BF49" s="291"/>
      <c r="BG49" s="191"/>
      <c r="BH49" s="289"/>
      <c r="BI49" s="290"/>
      <c r="BJ49" s="290"/>
      <c r="BK49" s="291"/>
      <c r="BL49" s="191"/>
      <c r="BM49" s="289">
        <v>-4.2809632847885994E-3</v>
      </c>
      <c r="BN49" s="290">
        <v>-1.340503516411282E-2</v>
      </c>
      <c r="BO49" s="290">
        <v>-1.1228895765995645E-2</v>
      </c>
      <c r="BP49" s="291">
        <v>2.9072392712185695E-2</v>
      </c>
      <c r="BQ49" s="191"/>
    </row>
    <row r="50" spans="1:69">
      <c r="B50" s="50"/>
      <c r="C50" s="164" t="s">
        <v>35</v>
      </c>
      <c r="D50" s="50"/>
      <c r="E50" s="225"/>
      <c r="F50" s="226"/>
      <c r="G50" s="226"/>
      <c r="H50" s="227"/>
      <c r="I50" s="228"/>
      <c r="J50" s="225"/>
      <c r="K50" s="226"/>
      <c r="L50" s="226"/>
      <c r="M50" s="227"/>
      <c r="N50" s="228"/>
      <c r="O50" s="225"/>
      <c r="P50" s="226"/>
      <c r="Q50" s="226"/>
      <c r="R50" s="227"/>
      <c r="S50" s="228"/>
      <c r="T50" s="225"/>
      <c r="U50" s="226"/>
      <c r="V50" s="226"/>
      <c r="W50" s="227"/>
      <c r="X50" s="228"/>
      <c r="Y50" s="225"/>
      <c r="Z50" s="226"/>
      <c r="AA50" s="226"/>
      <c r="AB50" s="227"/>
      <c r="AC50" s="228"/>
      <c r="AD50" s="225"/>
      <c r="AE50" s="226"/>
      <c r="AF50" s="226"/>
      <c r="AG50" s="227"/>
      <c r="AH50" s="228"/>
      <c r="AI50" s="225"/>
      <c r="AJ50" s="226"/>
      <c r="AK50" s="226"/>
      <c r="AL50" s="227"/>
      <c r="AM50" s="228"/>
      <c r="AN50" s="225"/>
      <c r="AO50" s="226"/>
      <c r="AP50" s="226"/>
      <c r="AQ50" s="227"/>
      <c r="AR50" s="228"/>
      <c r="AS50" s="225"/>
      <c r="AT50" s="226"/>
      <c r="AU50" s="226"/>
      <c r="AV50" s="227"/>
      <c r="AW50" s="228"/>
      <c r="AX50" s="225"/>
      <c r="AY50" s="226"/>
      <c r="AZ50" s="226"/>
      <c r="BA50" s="227"/>
      <c r="BB50" s="228"/>
      <c r="BC50" s="225"/>
      <c r="BD50" s="226"/>
      <c r="BE50" s="226"/>
      <c r="BF50" s="227"/>
      <c r="BG50" s="228"/>
      <c r="BH50" s="225"/>
      <c r="BI50" s="226"/>
      <c r="BJ50" s="226"/>
      <c r="BK50" s="227"/>
      <c r="BL50" s="228"/>
      <c r="BM50" s="225"/>
      <c r="BN50" s="226"/>
      <c r="BO50" s="226"/>
      <c r="BP50" s="227"/>
      <c r="BQ50" s="228"/>
    </row>
    <row r="51" spans="1:69">
      <c r="B51" s="50"/>
      <c r="C51" s="100" t="s">
        <v>36</v>
      </c>
      <c r="D51" s="50"/>
      <c r="E51" s="161"/>
      <c r="F51" s="160"/>
      <c r="G51" s="160"/>
      <c r="H51" s="144"/>
      <c r="I51" s="109"/>
      <c r="J51" s="161"/>
      <c r="K51" s="160"/>
      <c r="L51" s="160"/>
      <c r="M51" s="144"/>
      <c r="N51" s="109"/>
      <c r="O51" s="161"/>
      <c r="P51" s="160"/>
      <c r="Q51" s="160"/>
      <c r="R51" s="144"/>
      <c r="S51" s="109"/>
      <c r="T51" s="161"/>
      <c r="U51" s="160"/>
      <c r="V51" s="160"/>
      <c r="W51" s="144"/>
      <c r="X51" s="109">
        <f t="shared" ref="X51:AO52" si="67">X65</f>
        <v>2856</v>
      </c>
      <c r="Y51" s="1202">
        <f t="shared" si="67"/>
        <v>671</v>
      </c>
      <c r="Z51" s="1204">
        <f t="shared" si="67"/>
        <v>270</v>
      </c>
      <c r="AA51" s="1204">
        <f t="shared" si="67"/>
        <v>1146</v>
      </c>
      <c r="AB51" s="1205">
        <f t="shared" si="67"/>
        <v>1120</v>
      </c>
      <c r="AC51" s="1258">
        <f t="shared" si="67"/>
        <v>3207</v>
      </c>
      <c r="AD51" s="1202">
        <f t="shared" si="67"/>
        <v>76</v>
      </c>
      <c r="AE51" s="1204">
        <f t="shared" si="67"/>
        <v>863</v>
      </c>
      <c r="AF51" s="1204">
        <f t="shared" si="67"/>
        <v>267</v>
      </c>
      <c r="AG51" s="1205">
        <f t="shared" si="67"/>
        <v>861</v>
      </c>
      <c r="AH51" s="1258">
        <f t="shared" si="67"/>
        <v>2067</v>
      </c>
      <c r="AI51" s="1202">
        <f t="shared" si="67"/>
        <v>774</v>
      </c>
      <c r="AJ51" s="1204">
        <f t="shared" si="67"/>
        <v>1829</v>
      </c>
      <c r="AK51" s="1204">
        <f t="shared" si="67"/>
        <v>328</v>
      </c>
      <c r="AL51" s="1205">
        <f t="shared" si="67"/>
        <v>505.59999999999991</v>
      </c>
      <c r="AM51" s="1258">
        <f t="shared" si="67"/>
        <v>3436.6</v>
      </c>
      <c r="AN51" s="1202">
        <f t="shared" si="67"/>
        <v>525.1</v>
      </c>
      <c r="AO51" s="1204">
        <f t="shared" si="67"/>
        <v>218.29999999999995</v>
      </c>
      <c r="AP51" s="1204">
        <f t="shared" ref="AP51:AT52" si="68">AP65</f>
        <v>816.19999999999993</v>
      </c>
      <c r="AQ51" s="1205">
        <f t="shared" si="68"/>
        <v>1035.3000000000002</v>
      </c>
      <c r="AR51" s="1258">
        <f t="shared" si="68"/>
        <v>2594.9</v>
      </c>
      <c r="AS51" s="161">
        <f t="shared" si="68"/>
        <v>5.9000000000000057</v>
      </c>
      <c r="AT51" s="160">
        <f t="shared" si="68"/>
        <v>122.10000000000002</v>
      </c>
      <c r="AU51" s="1204">
        <f>AU65</f>
        <v>667.69999999999982</v>
      </c>
      <c r="AV51" s="1205">
        <f t="shared" ref="AV51:AW51" si="69">AV65</f>
        <v>1051.4000000000001</v>
      </c>
      <c r="AW51" s="1258">
        <f t="shared" si="69"/>
        <v>1847.1</v>
      </c>
      <c r="AX51" s="161">
        <f>Debt!AV66</f>
        <v>0</v>
      </c>
      <c r="AY51" s="160">
        <f>Debt!AW66</f>
        <v>2332.7076957960949</v>
      </c>
      <c r="AZ51" s="160">
        <f>Debt!AX66</f>
        <v>0</v>
      </c>
      <c r="BA51" s="144">
        <f>Debt!AY66</f>
        <v>0</v>
      </c>
      <c r="BB51" s="64">
        <f>750+'Transmission Holdco'!BB73+1000</f>
        <v>2332.7076957960949</v>
      </c>
      <c r="BC51" s="161">
        <f>Debt!BA66</f>
        <v>0</v>
      </c>
      <c r="BD51" s="160">
        <f>Debt!BB66</f>
        <v>0</v>
      </c>
      <c r="BE51" s="160">
        <f>Debt!BC66</f>
        <v>2404.6071560574965</v>
      </c>
      <c r="BF51" s="144">
        <f>Debt!BD66</f>
        <v>0</v>
      </c>
      <c r="BG51" s="64">
        <f>1500+SUM('Vertically Integrated Utilities'!BX145,'Vertically Integrated Utilities'!BY145,'Vertically Integrated Utilities'!BZ145)*0.5+'Transmission Holdco'!BG73</f>
        <v>2404.6071560574965</v>
      </c>
      <c r="BH51" s="161">
        <f>Debt!BF66</f>
        <v>0</v>
      </c>
      <c r="BI51" s="160">
        <f>Debt!BG66</f>
        <v>0</v>
      </c>
      <c r="BJ51" s="160">
        <f>Debt!BH66</f>
        <v>577.50093121149894</v>
      </c>
      <c r="BK51" s="144">
        <f>Debt!BI66</f>
        <v>0</v>
      </c>
      <c r="BL51" s="64">
        <f>500+'Transmission Holdco'!BL73</f>
        <v>577.50093121149894</v>
      </c>
      <c r="BM51" s="161">
        <f>Debt!BK66</f>
        <v>0</v>
      </c>
      <c r="BN51" s="160">
        <f>Debt!BL66</f>
        <v>0</v>
      </c>
      <c r="BO51" s="160">
        <f>Debt!BM66</f>
        <v>933.14419712525705</v>
      </c>
      <c r="BP51" s="144">
        <f>Debt!BN66</f>
        <v>0</v>
      </c>
      <c r="BQ51" s="64">
        <f>500+'Transmission Holdco'!BQ73</f>
        <v>933.14419712525705</v>
      </c>
    </row>
    <row r="52" spans="1:69">
      <c r="B52" s="50"/>
      <c r="C52" s="100" t="s">
        <v>37</v>
      </c>
      <c r="D52" s="50"/>
      <c r="E52" s="161"/>
      <c r="F52" s="160"/>
      <c r="G52" s="160"/>
      <c r="H52" s="144"/>
      <c r="I52" s="109"/>
      <c r="J52" s="161"/>
      <c r="K52" s="160"/>
      <c r="L52" s="160"/>
      <c r="M52" s="144"/>
      <c r="N52" s="109"/>
      <c r="O52" s="161"/>
      <c r="P52" s="160"/>
      <c r="Q52" s="160"/>
      <c r="R52" s="144"/>
      <c r="S52" s="109"/>
      <c r="T52" s="161"/>
      <c r="U52" s="160"/>
      <c r="V52" s="160"/>
      <c r="W52" s="144"/>
      <c r="X52" s="109">
        <f t="shared" si="67"/>
        <v>-1714</v>
      </c>
      <c r="Y52" s="1202">
        <f t="shared" si="67"/>
        <v>-874</v>
      </c>
      <c r="Z52" s="1204">
        <f t="shared" si="67"/>
        <v>-232</v>
      </c>
      <c r="AA52" s="1204">
        <f t="shared" si="67"/>
        <v>-1228</v>
      </c>
      <c r="AB52" s="1205">
        <f t="shared" si="67"/>
        <v>-346</v>
      </c>
      <c r="AC52" s="1258">
        <f t="shared" si="67"/>
        <v>-2680</v>
      </c>
      <c r="AD52" s="1202">
        <f t="shared" si="67"/>
        <v>-403</v>
      </c>
      <c r="AE52" s="1204">
        <f t="shared" si="67"/>
        <v>-862</v>
      </c>
      <c r="AF52" s="1204">
        <f t="shared" si="67"/>
        <v>-364</v>
      </c>
      <c r="AG52" s="1205">
        <f t="shared" si="67"/>
        <v>-271</v>
      </c>
      <c r="AH52" s="1258">
        <f t="shared" si="67"/>
        <v>-1900</v>
      </c>
      <c r="AI52" s="1202">
        <f t="shared" si="67"/>
        <v>-270</v>
      </c>
      <c r="AJ52" s="1204">
        <f t="shared" si="67"/>
        <v>-1514</v>
      </c>
      <c r="AK52" s="1204">
        <f t="shared" si="67"/>
        <v>-421</v>
      </c>
      <c r="AL52" s="1205">
        <f t="shared" si="67"/>
        <v>-384.59999999999991</v>
      </c>
      <c r="AM52" s="1258">
        <f t="shared" si="67"/>
        <v>-2589.6</v>
      </c>
      <c r="AN52" s="1202">
        <f t="shared" si="67"/>
        <v>-347.29999999999995</v>
      </c>
      <c r="AO52" s="1204">
        <f t="shared" si="67"/>
        <v>-427.80000000000007</v>
      </c>
      <c r="AP52" s="1204">
        <f t="shared" si="68"/>
        <v>-554.4</v>
      </c>
      <c r="AQ52" s="1205">
        <f t="shared" si="68"/>
        <v>-512</v>
      </c>
      <c r="AR52" s="1258">
        <f t="shared" si="68"/>
        <v>-1841.5</v>
      </c>
      <c r="AS52" s="161">
        <f t="shared" si="68"/>
        <v>-184.09767000000002</v>
      </c>
      <c r="AT52" s="160">
        <f t="shared" si="68"/>
        <v>-133.70000000000005</v>
      </c>
      <c r="AU52" s="1204">
        <f>AU66</f>
        <v>-205.02740699999973</v>
      </c>
      <c r="AV52" s="1205">
        <f t="shared" ref="AV52:AW52" si="70">AV66</f>
        <v>-484.48524800000041</v>
      </c>
      <c r="AW52" s="1258">
        <f t="shared" si="70"/>
        <v>-1007.3103249999998</v>
      </c>
      <c r="AX52" s="161">
        <f>Debt!AV54</f>
        <v>0</v>
      </c>
      <c r="AY52" s="160">
        <f>Debt!AW54</f>
        <v>0</v>
      </c>
      <c r="AZ52" s="160">
        <f>Debt!AX54</f>
        <v>0</v>
      </c>
      <c r="BA52" s="144">
        <f>Debt!AY54</f>
        <v>-50</v>
      </c>
      <c r="BB52" s="109">
        <f>Debt!AZ54</f>
        <v>-50</v>
      </c>
      <c r="BC52" s="161">
        <f>Debt!BA54</f>
        <v>0</v>
      </c>
      <c r="BD52" s="160">
        <f>Debt!BB54</f>
        <v>0</v>
      </c>
      <c r="BE52" s="160">
        <f>Debt!BC54</f>
        <v>0</v>
      </c>
      <c r="BF52" s="144">
        <f>Debt!BD54</f>
        <v>-85</v>
      </c>
      <c r="BG52" s="109">
        <f>Debt!BE54</f>
        <v>-85</v>
      </c>
      <c r="BH52" s="161">
        <f>Debt!BF54</f>
        <v>0</v>
      </c>
      <c r="BI52" s="160">
        <f>Debt!BG54</f>
        <v>0</v>
      </c>
      <c r="BJ52" s="160">
        <f>Debt!BH54</f>
        <v>0</v>
      </c>
      <c r="BK52" s="144">
        <f>Debt!BI54</f>
        <v>0</v>
      </c>
      <c r="BL52" s="109">
        <f>Debt!BJ54</f>
        <v>0</v>
      </c>
      <c r="BM52" s="161">
        <f>Debt!BK54</f>
        <v>0</v>
      </c>
      <c r="BN52" s="160">
        <f>Debt!BL54</f>
        <v>0</v>
      </c>
      <c r="BO52" s="160">
        <f>Debt!BM54</f>
        <v>0</v>
      </c>
      <c r="BP52" s="144">
        <f>Debt!BN54</f>
        <v>-50</v>
      </c>
      <c r="BQ52" s="109">
        <f>Debt!BO54</f>
        <v>-50</v>
      </c>
    </row>
    <row r="53" spans="1:69">
      <c r="C53" s="56"/>
      <c r="E53" s="289"/>
      <c r="F53" s="290"/>
      <c r="G53" s="290"/>
      <c r="H53" s="291"/>
      <c r="I53" s="191"/>
      <c r="J53" s="289"/>
      <c r="K53" s="290"/>
      <c r="L53" s="290"/>
      <c r="M53" s="291"/>
      <c r="N53" s="191"/>
      <c r="O53" s="289"/>
      <c r="P53" s="290"/>
      <c r="Q53" s="290"/>
      <c r="R53" s="291"/>
      <c r="S53" s="191"/>
      <c r="T53" s="289"/>
      <c r="U53" s="290"/>
      <c r="V53" s="290"/>
      <c r="W53" s="291"/>
      <c r="X53" s="191"/>
      <c r="Y53" s="289"/>
      <c r="Z53" s="290"/>
      <c r="AA53" s="290"/>
      <c r="AB53" s="291"/>
      <c r="AC53" s="1259"/>
      <c r="AD53" s="289"/>
      <c r="AE53" s="290"/>
      <c r="AF53" s="290"/>
      <c r="AG53" s="291"/>
      <c r="AH53" s="1259"/>
      <c r="AI53" s="289"/>
      <c r="AJ53" s="290"/>
      <c r="AK53" s="290"/>
      <c r="AL53" s="291"/>
      <c r="AM53" s="1259"/>
      <c r="AN53" s="289"/>
      <c r="AO53" s="290"/>
      <c r="AP53" s="290"/>
      <c r="AQ53" s="291"/>
      <c r="AR53" s="1259"/>
      <c r="AS53" s="289"/>
      <c r="AT53" s="290"/>
      <c r="AU53" s="290"/>
      <c r="AV53" s="291"/>
      <c r="AW53" s="1259"/>
      <c r="AX53" s="289"/>
      <c r="AY53" s="290"/>
      <c r="AZ53" s="290"/>
      <c r="BA53" s="291"/>
      <c r="BB53" s="191"/>
      <c r="BC53" s="289"/>
      <c r="BD53" s="290"/>
      <c r="BE53" s="290"/>
      <c r="BF53" s="291"/>
      <c r="BG53" s="191"/>
      <c r="BH53" s="289"/>
      <c r="BI53" s="290"/>
      <c r="BJ53" s="290"/>
      <c r="BK53" s="291"/>
      <c r="BL53" s="191"/>
      <c r="BM53" s="289"/>
      <c r="BN53" s="290"/>
      <c r="BO53" s="290"/>
      <c r="BP53" s="291"/>
      <c r="BQ53" s="191"/>
    </row>
    <row r="54" spans="1:69">
      <c r="C54" s="56"/>
      <c r="E54" s="289"/>
      <c r="F54" s="290"/>
      <c r="G54" s="290"/>
      <c r="H54" s="291"/>
      <c r="I54" s="191"/>
      <c r="J54" s="289"/>
      <c r="K54" s="290"/>
      <c r="L54" s="290"/>
      <c r="M54" s="291"/>
      <c r="N54" s="191"/>
      <c r="O54" s="289"/>
      <c r="P54" s="290"/>
      <c r="Q54" s="290"/>
      <c r="R54" s="291"/>
      <c r="S54" s="191"/>
      <c r="T54" s="289"/>
      <c r="U54" s="290"/>
      <c r="V54" s="290"/>
      <c r="W54" s="291"/>
      <c r="X54" s="191"/>
      <c r="Y54" s="289"/>
      <c r="Z54" s="290"/>
      <c r="AA54" s="290"/>
      <c r="AB54" s="291"/>
      <c r="AC54" s="191"/>
      <c r="AD54" s="289"/>
      <c r="AE54" s="290"/>
      <c r="AF54" s="290"/>
      <c r="AG54" s="291"/>
      <c r="AH54" s="191"/>
      <c r="AI54" s="289"/>
      <c r="AJ54" s="290"/>
      <c r="AK54" s="290"/>
      <c r="AL54" s="291"/>
      <c r="AM54" s="191"/>
      <c r="AN54" s="289"/>
      <c r="AO54" s="290"/>
      <c r="AP54" s="290"/>
      <c r="AQ54" s="291"/>
      <c r="AR54" s="191"/>
      <c r="AS54" s="289"/>
      <c r="AT54" s="290"/>
      <c r="AU54" s="290"/>
      <c r="AV54" s="291"/>
      <c r="AW54" s="191"/>
      <c r="AX54" s="289"/>
      <c r="AY54" s="290"/>
      <c r="AZ54" s="290"/>
      <c r="BA54" s="291"/>
      <c r="BB54" s="191"/>
      <c r="BC54" s="289"/>
      <c r="BD54" s="290"/>
      <c r="BE54" s="290"/>
      <c r="BF54" s="291"/>
      <c r="BG54" s="191"/>
      <c r="BH54" s="289"/>
      <c r="BI54" s="290"/>
      <c r="BJ54" s="290"/>
      <c r="BK54" s="291"/>
      <c r="BL54" s="191"/>
      <c r="BM54" s="289"/>
      <c r="BN54" s="290"/>
      <c r="BO54" s="290"/>
      <c r="BP54" s="291"/>
      <c r="BQ54" s="191"/>
    </row>
    <row r="55" spans="1:69">
      <c r="B55" s="46" t="s">
        <v>226</v>
      </c>
      <c r="C55" s="46"/>
      <c r="D55" s="46"/>
      <c r="E55" s="289"/>
      <c r="F55" s="290"/>
      <c r="G55" s="290"/>
      <c r="H55" s="291"/>
      <c r="I55" s="191"/>
      <c r="J55" s="289"/>
      <c r="K55" s="290"/>
      <c r="L55" s="290"/>
      <c r="M55" s="291"/>
      <c r="N55" s="191"/>
      <c r="O55" s="289"/>
      <c r="P55" s="290"/>
      <c r="Q55" s="290"/>
      <c r="R55" s="291"/>
      <c r="S55" s="191"/>
      <c r="T55" s="289"/>
      <c r="U55" s="290"/>
      <c r="V55" s="290"/>
      <c r="W55" s="291"/>
      <c r="X55" s="191"/>
      <c r="Y55" s="289"/>
      <c r="Z55" s="290"/>
      <c r="AA55" s="290"/>
      <c r="AB55" s="291"/>
      <c r="AC55" s="191"/>
      <c r="AD55" s="289"/>
      <c r="AE55" s="290"/>
      <c r="AF55" s="290"/>
      <c r="AG55" s="291"/>
      <c r="AH55" s="191"/>
      <c r="AI55" s="289"/>
      <c r="AJ55" s="290"/>
      <c r="AK55" s="290"/>
      <c r="AL55" s="291"/>
      <c r="AM55" s="191"/>
      <c r="AN55" s="289"/>
      <c r="AO55" s="290"/>
      <c r="AP55" s="290"/>
      <c r="AQ55" s="291"/>
      <c r="AR55" s="191"/>
      <c r="AS55" s="289"/>
      <c r="AT55" s="290"/>
      <c r="AU55" s="290"/>
      <c r="AV55" s="291"/>
      <c r="AW55" s="191"/>
      <c r="AX55" s="289"/>
      <c r="AY55" s="290"/>
      <c r="AZ55" s="290"/>
      <c r="BA55" s="291"/>
      <c r="BB55" s="191"/>
      <c r="BC55" s="289"/>
      <c r="BD55" s="290"/>
      <c r="BE55" s="290"/>
      <c r="BF55" s="291"/>
      <c r="BG55" s="191"/>
      <c r="BH55" s="289"/>
      <c r="BI55" s="290"/>
      <c r="BJ55" s="290"/>
      <c r="BK55" s="291"/>
      <c r="BL55" s="191"/>
      <c r="BM55" s="289"/>
      <c r="BN55" s="290"/>
      <c r="BO55" s="290"/>
      <c r="BP55" s="291"/>
      <c r="BQ55" s="191"/>
    </row>
    <row r="56" spans="1:69">
      <c r="B56" s="109"/>
      <c r="C56" s="750" t="s">
        <v>78</v>
      </c>
      <c r="D56" s="109"/>
      <c r="E56" s="161"/>
      <c r="F56" s="160"/>
      <c r="G56" s="160"/>
      <c r="H56" s="144"/>
      <c r="I56" s="109"/>
      <c r="J56" s="161"/>
      <c r="K56" s="160"/>
      <c r="L56" s="160"/>
      <c r="M56" s="144"/>
      <c r="N56" s="109"/>
      <c r="O56" s="161"/>
      <c r="P56" s="160"/>
      <c r="Q56" s="160"/>
      <c r="R56" s="144"/>
      <c r="S56" s="109"/>
      <c r="T56" s="161"/>
      <c r="U56" s="160"/>
      <c r="V56" s="160"/>
      <c r="W56" s="144"/>
      <c r="X56" s="109">
        <f t="shared" ref="X56:AJ56" si="71">X37</f>
        <v>-91</v>
      </c>
      <c r="Y56" s="161">
        <f t="shared" si="71"/>
        <v>0</v>
      </c>
      <c r="Z56" s="160">
        <f t="shared" si="71"/>
        <v>109</v>
      </c>
      <c r="AA56" s="160">
        <f t="shared" si="71"/>
        <v>8</v>
      </c>
      <c r="AB56" s="144">
        <f t="shared" si="71"/>
        <v>4</v>
      </c>
      <c r="AC56" s="109">
        <f t="shared" si="71"/>
        <v>121</v>
      </c>
      <c r="AD56" s="161">
        <f t="shared" si="71"/>
        <v>-6</v>
      </c>
      <c r="AE56" s="160">
        <f t="shared" si="71"/>
        <v>-3</v>
      </c>
      <c r="AF56" s="160">
        <f t="shared" si="71"/>
        <v>11</v>
      </c>
      <c r="AG56" s="144">
        <f t="shared" si="71"/>
        <v>4.7999999999994891</v>
      </c>
      <c r="AH56" s="109">
        <f t="shared" si="71"/>
        <v>6.7999999999993435</v>
      </c>
      <c r="AI56" s="161">
        <f t="shared" si="71"/>
        <v>-1.0000000000000071</v>
      </c>
      <c r="AJ56" s="160">
        <f t="shared" si="71"/>
        <v>-2.9999999999999538</v>
      </c>
      <c r="AK56" s="160">
        <f>AK37</f>
        <v>-8.9999999999999929</v>
      </c>
      <c r="AL56" s="144">
        <f>AL37</f>
        <v>225.4000000000006</v>
      </c>
      <c r="AM56" s="109">
        <f>AM37</f>
        <v>212.39999999999969</v>
      </c>
      <c r="AN56" s="161">
        <f>AN37</f>
        <v>1.0000000000003419</v>
      </c>
      <c r="AO56" s="160">
        <f>AO37</f>
        <v>23.800000000000477</v>
      </c>
      <c r="AP56" s="160">
        <f t="shared" ref="AP56:BL56" si="72">AP37</f>
        <v>36.599999999999199</v>
      </c>
      <c r="AQ56" s="144">
        <f t="shared" ref="AQ56:AW56" si="73">AQ37</f>
        <v>19.20000000000001</v>
      </c>
      <c r="AR56" s="109">
        <f t="shared" si="73"/>
        <v>80.60000000000062</v>
      </c>
      <c r="AS56" s="161">
        <f t="shared" si="73"/>
        <v>-4.4000000000001407</v>
      </c>
      <c r="AT56" s="160">
        <f t="shared" si="73"/>
        <v>-11.799999999999949</v>
      </c>
      <c r="AU56" s="160">
        <f t="shared" si="73"/>
        <v>5.1999999999999389</v>
      </c>
      <c r="AV56" s="144">
        <f t="shared" si="73"/>
        <v>-21.400000000001647</v>
      </c>
      <c r="AW56" s="109">
        <f t="shared" si="73"/>
        <v>-32.400000000001938</v>
      </c>
      <c r="AX56" s="161">
        <f t="shared" si="72"/>
        <v>-5.4403812244403831</v>
      </c>
      <c r="AY56" s="160">
        <f t="shared" si="72"/>
        <v>-22.56927571727805</v>
      </c>
      <c r="AZ56" s="160">
        <f t="shared" si="72"/>
        <v>-14.923519609923833</v>
      </c>
      <c r="BA56" s="144">
        <f t="shared" si="72"/>
        <v>16.796531088220011</v>
      </c>
      <c r="BB56" s="109">
        <f t="shared" si="72"/>
        <v>-26.136645463422283</v>
      </c>
      <c r="BC56" s="161">
        <f t="shared" si="72"/>
        <v>-20.832732939435704</v>
      </c>
      <c r="BD56" s="160">
        <f t="shared" si="72"/>
        <v>-24.739875016804145</v>
      </c>
      <c r="BE56" s="160">
        <f t="shared" si="72"/>
        <v>-39.595370274381594</v>
      </c>
      <c r="BF56" s="144">
        <f t="shared" si="72"/>
        <v>-0.60527723344608475</v>
      </c>
      <c r="BG56" s="109">
        <f t="shared" si="72"/>
        <v>-85.77325546406756</v>
      </c>
      <c r="BH56" s="161">
        <f t="shared" si="72"/>
        <v>-39.912392763425203</v>
      </c>
      <c r="BI56" s="160">
        <f t="shared" si="72"/>
        <v>-43.10920708621056</v>
      </c>
      <c r="BJ56" s="160">
        <f t="shared" si="72"/>
        <v>-46.906543954501913</v>
      </c>
      <c r="BK56" s="144">
        <f t="shared" si="72"/>
        <v>-7.3378425516427761</v>
      </c>
      <c r="BL56" s="109">
        <f t="shared" si="72"/>
        <v>-137.26598635578046</v>
      </c>
      <c r="BM56" s="161">
        <f>BM37</f>
        <v>-44.785418297836003</v>
      </c>
      <c r="BN56" s="160">
        <f>BN37</f>
        <v>-49.120832951659366</v>
      </c>
      <c r="BO56" s="160">
        <f>BO37</f>
        <v>-47.595699546177954</v>
      </c>
      <c r="BP56" s="144">
        <f>BP37</f>
        <v>-4.9275209047489561</v>
      </c>
      <c r="BQ56" s="109">
        <f>BQ37</f>
        <v>-146.42947170042231</v>
      </c>
    </row>
    <row r="57" spans="1:69">
      <c r="B57" s="109"/>
      <c r="C57" s="100" t="s">
        <v>79</v>
      </c>
      <c r="D57" s="109"/>
      <c r="E57" s="161"/>
      <c r="F57" s="160"/>
      <c r="G57" s="160"/>
      <c r="H57" s="144"/>
      <c r="I57" s="109"/>
      <c r="J57" s="161"/>
      <c r="K57" s="160"/>
      <c r="L57" s="160"/>
      <c r="M57" s="144"/>
      <c r="N57" s="109"/>
      <c r="O57" s="161"/>
      <c r="P57" s="160"/>
      <c r="Q57" s="160"/>
      <c r="R57" s="144"/>
      <c r="S57" s="109"/>
      <c r="T57" s="161"/>
      <c r="U57" s="160"/>
      <c r="V57" s="160"/>
      <c r="W57" s="144"/>
      <c r="X57" s="109">
        <f t="shared" ref="X57:BL57" si="74">X13</f>
        <v>-33</v>
      </c>
      <c r="Y57" s="161">
        <f t="shared" si="74"/>
        <v>-20.25</v>
      </c>
      <c r="Z57" s="160">
        <f t="shared" si="74"/>
        <v>-13.25</v>
      </c>
      <c r="AA57" s="160">
        <f t="shared" si="74"/>
        <v>-18.25</v>
      </c>
      <c r="AB57" s="144">
        <f t="shared" si="74"/>
        <v>-14.25</v>
      </c>
      <c r="AC57" s="109">
        <f t="shared" si="74"/>
        <v>-66</v>
      </c>
      <c r="AD57" s="161">
        <f t="shared" si="74"/>
        <v>-3.75</v>
      </c>
      <c r="AE57" s="160">
        <f t="shared" si="74"/>
        <v>-34.75</v>
      </c>
      <c r="AF57" s="160">
        <f t="shared" si="74"/>
        <v>-1.75</v>
      </c>
      <c r="AG57" s="144">
        <f t="shared" si="74"/>
        <v>-3.5499999999999545</v>
      </c>
      <c r="AH57" s="109">
        <f t="shared" si="74"/>
        <v>-43.799999999999955</v>
      </c>
      <c r="AI57" s="161">
        <f t="shared" si="74"/>
        <v>4.25</v>
      </c>
      <c r="AJ57" s="160">
        <f t="shared" si="74"/>
        <v>8.25</v>
      </c>
      <c r="AK57" s="160">
        <f t="shared" si="74"/>
        <v>11.25</v>
      </c>
      <c r="AL57" s="144">
        <f t="shared" si="74"/>
        <v>-7.4499999999998181</v>
      </c>
      <c r="AM57" s="109">
        <f t="shared" si="74"/>
        <v>16.300000000000068</v>
      </c>
      <c r="AN57" s="161">
        <f t="shared" si="74"/>
        <v>9.8000000000000114</v>
      </c>
      <c r="AO57" s="160">
        <f t="shared" si="74"/>
        <v>9.0999999999999197</v>
      </c>
      <c r="AP57" s="160">
        <f t="shared" si="74"/>
        <v>12.599999999999959</v>
      </c>
      <c r="AQ57" s="144">
        <f t="shared" ref="AQ57:AW57" si="75">AQ13</f>
        <v>-14.599999999999746</v>
      </c>
      <c r="AR57" s="109">
        <f t="shared" si="75"/>
        <v>16.900000000000119</v>
      </c>
      <c r="AS57" s="161">
        <f t="shared" si="75"/>
        <v>17.099999999999987</v>
      </c>
      <c r="AT57" s="160">
        <f t="shared" si="75"/>
        <v>13.999999999999972</v>
      </c>
      <c r="AU57" s="160">
        <f t="shared" si="75"/>
        <v>15.09999999999993</v>
      </c>
      <c r="AV57" s="144">
        <f t="shared" si="75"/>
        <v>14.599999999999909</v>
      </c>
      <c r="AW57" s="109">
        <f t="shared" si="75"/>
        <v>60.8</v>
      </c>
      <c r="AX57" s="161">
        <f t="shared" si="74"/>
        <v>17.099999999999987</v>
      </c>
      <c r="AY57" s="160">
        <f t="shared" si="74"/>
        <v>13.999999999999972</v>
      </c>
      <c r="AZ57" s="160">
        <f t="shared" si="74"/>
        <v>10.09999999999993</v>
      </c>
      <c r="BA57" s="144">
        <f t="shared" si="74"/>
        <v>9.5999999999999091</v>
      </c>
      <c r="BB57" s="109">
        <f t="shared" si="74"/>
        <v>50.799999999999798</v>
      </c>
      <c r="BC57" s="161">
        <f t="shared" si="74"/>
        <v>17.099999999999987</v>
      </c>
      <c r="BD57" s="160">
        <f t="shared" si="74"/>
        <v>13.999999999999972</v>
      </c>
      <c r="BE57" s="160">
        <f t="shared" si="74"/>
        <v>10.09999999999993</v>
      </c>
      <c r="BF57" s="144">
        <f t="shared" si="74"/>
        <v>9.5999999999999091</v>
      </c>
      <c r="BG57" s="109">
        <f t="shared" si="74"/>
        <v>50.799999999999798</v>
      </c>
      <c r="BH57" s="161">
        <f t="shared" si="74"/>
        <v>17.099999999999987</v>
      </c>
      <c r="BI57" s="160">
        <f t="shared" si="74"/>
        <v>13.999999999999972</v>
      </c>
      <c r="BJ57" s="160">
        <f t="shared" si="74"/>
        <v>10.09999999999993</v>
      </c>
      <c r="BK57" s="144">
        <f t="shared" si="74"/>
        <v>9.5999999999999091</v>
      </c>
      <c r="BL57" s="109">
        <f t="shared" si="74"/>
        <v>50.799999999999798</v>
      </c>
      <c r="BM57" s="161">
        <f>BM13</f>
        <v>17.099999999999987</v>
      </c>
      <c r="BN57" s="160">
        <f>BN13</f>
        <v>13.999999999999972</v>
      </c>
      <c r="BO57" s="160">
        <f>BO13</f>
        <v>10.09999999999993</v>
      </c>
      <c r="BP57" s="144">
        <f>BP13</f>
        <v>9.5999999999999091</v>
      </c>
      <c r="BQ57" s="109">
        <f>BQ13</f>
        <v>50.799999999999798</v>
      </c>
    </row>
    <row r="58" spans="1:69">
      <c r="B58" s="109"/>
      <c r="C58" s="100" t="s">
        <v>259</v>
      </c>
      <c r="D58" s="109"/>
      <c r="E58" s="161"/>
      <c r="F58" s="160"/>
      <c r="G58" s="160"/>
      <c r="H58" s="144"/>
      <c r="I58" s="109"/>
      <c r="J58" s="161"/>
      <c r="K58" s="160"/>
      <c r="L58" s="160"/>
      <c r="M58" s="144"/>
      <c r="N58" s="109"/>
      <c r="O58" s="161"/>
      <c r="P58" s="160"/>
      <c r="Q58" s="160"/>
      <c r="R58" s="144"/>
      <c r="S58" s="109"/>
      <c r="T58" s="161"/>
      <c r="U58" s="160"/>
      <c r="V58" s="160"/>
      <c r="W58" s="144"/>
      <c r="X58" s="109">
        <f t="shared" ref="X58:BL58" si="76">X59-SUM(X56:X57)</f>
        <v>885</v>
      </c>
      <c r="Y58" s="161">
        <f t="shared" si="76"/>
        <v>-10.25</v>
      </c>
      <c r="Z58" s="160">
        <f t="shared" si="76"/>
        <v>-13.25</v>
      </c>
      <c r="AA58" s="160">
        <f t="shared" si="76"/>
        <v>661.75</v>
      </c>
      <c r="AB58" s="144">
        <f t="shared" si="76"/>
        <v>330.75</v>
      </c>
      <c r="AC58" s="109">
        <f t="shared" si="76"/>
        <v>969</v>
      </c>
      <c r="AD58" s="161">
        <f t="shared" si="76"/>
        <v>105.75</v>
      </c>
      <c r="AE58" s="160">
        <f t="shared" si="76"/>
        <v>254.75</v>
      </c>
      <c r="AF58" s="160">
        <f t="shared" si="76"/>
        <v>561.75</v>
      </c>
      <c r="AG58" s="144">
        <f t="shared" si="76"/>
        <v>266.4499999999997</v>
      </c>
      <c r="AH58" s="109">
        <f t="shared" si="76"/>
        <v>1188.7</v>
      </c>
      <c r="AI58" s="161">
        <f t="shared" si="76"/>
        <v>152</v>
      </c>
      <c r="AJ58" s="160">
        <f t="shared" si="76"/>
        <v>30.999999999999954</v>
      </c>
      <c r="AK58" s="160">
        <f t="shared" si="76"/>
        <v>676</v>
      </c>
      <c r="AL58" s="144">
        <f t="shared" si="76"/>
        <v>9.9999999999992042</v>
      </c>
      <c r="AM58" s="109">
        <f t="shared" si="76"/>
        <v>869.00000000000068</v>
      </c>
      <c r="AN58" s="161">
        <f t="shared" si="76"/>
        <v>-179.29999999999987</v>
      </c>
      <c r="AO58" s="160">
        <f t="shared" si="76"/>
        <v>-77.800000000000324</v>
      </c>
      <c r="AP58" s="160">
        <f t="shared" si="76"/>
        <v>1933.9000000000012</v>
      </c>
      <c r="AQ58" s="144">
        <f t="shared" ref="AQ58:AW58" si="77">AQ59-SUM(AQ56:AQ57)</f>
        <v>415.1000000000007</v>
      </c>
      <c r="AR58" s="109">
        <f t="shared" si="77"/>
        <v>2009.2000000000014</v>
      </c>
      <c r="AS58" s="161">
        <f t="shared" si="77"/>
        <v>-160.80000000000069</v>
      </c>
      <c r="AT58" s="160">
        <f t="shared" si="77"/>
        <v>170.19999999999953</v>
      </c>
      <c r="AU58" s="160">
        <f t="shared" si="77"/>
        <v>482.89999999999975</v>
      </c>
      <c r="AV58" s="144">
        <f t="shared" si="77"/>
        <v>396.10000000000178</v>
      </c>
      <c r="AW58" s="109">
        <f t="shared" si="77"/>
        <v>888.400000000001</v>
      </c>
      <c r="AX58" s="161">
        <f t="shared" si="76"/>
        <v>242.85185150659933</v>
      </c>
      <c r="AY58" s="160">
        <f t="shared" si="76"/>
        <v>233.90393595082153</v>
      </c>
      <c r="AZ58" s="160">
        <f t="shared" si="76"/>
        <v>318.64064142992345</v>
      </c>
      <c r="BA58" s="144">
        <f t="shared" si="76"/>
        <v>277.70131241238698</v>
      </c>
      <c r="BB58" s="109">
        <f t="shared" si="76"/>
        <v>1073.0977412997313</v>
      </c>
      <c r="BC58" s="161">
        <f t="shared" si="76"/>
        <v>131.06494493012505</v>
      </c>
      <c r="BD58" s="160">
        <f t="shared" si="76"/>
        <v>140.76387236913456</v>
      </c>
      <c r="BE58" s="160">
        <f t="shared" si="76"/>
        <v>167.99761419196395</v>
      </c>
      <c r="BF58" s="144">
        <f t="shared" si="76"/>
        <v>175.99905809180922</v>
      </c>
      <c r="BG58" s="109">
        <f t="shared" si="76"/>
        <v>615.825489583033</v>
      </c>
      <c r="BH58" s="161">
        <f t="shared" si="76"/>
        <v>96.100000000000165</v>
      </c>
      <c r="BI58" s="160">
        <f t="shared" si="76"/>
        <v>112.99999999999945</v>
      </c>
      <c r="BJ58" s="160">
        <f t="shared" si="76"/>
        <v>130.4999999999994</v>
      </c>
      <c r="BK58" s="144">
        <f t="shared" si="76"/>
        <v>149.09999999999917</v>
      </c>
      <c r="BL58" s="109">
        <f t="shared" si="76"/>
        <v>488.69999999999771</v>
      </c>
      <c r="BM58" s="161">
        <f>BM59-SUM(BM56:BM57)</f>
        <v>96.099999999998488</v>
      </c>
      <c r="BN58" s="160">
        <f>BN59-SUM(BN56:BN57)</f>
        <v>112.99999999999898</v>
      </c>
      <c r="BO58" s="160">
        <f>BO59-SUM(BO56:BO57)</f>
        <v>130.49999999999957</v>
      </c>
      <c r="BP58" s="144">
        <f>BP59-SUM(BP56:BP57)</f>
        <v>149.09999999999971</v>
      </c>
      <c r="BQ58" s="109">
        <f>BQ59-SUM(BQ56:BQ57)</f>
        <v>488.69999999999663</v>
      </c>
    </row>
    <row r="59" spans="1:69">
      <c r="B59" s="112"/>
      <c r="C59" s="164" t="s">
        <v>83</v>
      </c>
      <c r="D59" s="112"/>
      <c r="E59" s="149"/>
      <c r="F59" s="150"/>
      <c r="G59" s="150"/>
      <c r="H59" s="151"/>
      <c r="I59" s="112"/>
      <c r="J59" s="149"/>
      <c r="K59" s="150"/>
      <c r="L59" s="150"/>
      <c r="M59" s="151"/>
      <c r="N59" s="112"/>
      <c r="O59" s="149"/>
      <c r="P59" s="150"/>
      <c r="Q59" s="150"/>
      <c r="R59" s="151"/>
      <c r="S59" s="112"/>
      <c r="T59" s="149"/>
      <c r="U59" s="150"/>
      <c r="V59" s="150"/>
      <c r="W59" s="151"/>
      <c r="X59" s="112">
        <f>+AEP!X139-'Generation &amp; Marketing'!X346-'Vertically Integrated Utilities'!X180-'T&amp;D Utilities'!X161-('Transmission Holdco'!X32+'Transmission Holdco'!X59-'Transmission Holdco'!X60)</f>
        <v>761</v>
      </c>
      <c r="Y59" s="149">
        <f>+AEP!Y139-'Generation &amp; Marketing'!Y346-'Vertically Integrated Utilities'!Y180-'T&amp;D Utilities'!Y161-('Transmission Holdco'!Y32+'Transmission Holdco'!Y59-'Transmission Holdco'!Y60)</f>
        <v>-30.5</v>
      </c>
      <c r="Z59" s="150">
        <f>+AEP!Z139-'Generation &amp; Marketing'!Z346-'Vertically Integrated Utilities'!Z180-'T&amp;D Utilities'!Z161-('Transmission Holdco'!Z32+'Transmission Holdco'!Z59-'Transmission Holdco'!Z60)</f>
        <v>82.5</v>
      </c>
      <c r="AA59" s="150">
        <f>+AEP!AA139-'Generation &amp; Marketing'!AA346-'Vertically Integrated Utilities'!AA180-'T&amp;D Utilities'!AA161-('Transmission Holdco'!AA32+'Transmission Holdco'!AA59-'Transmission Holdco'!AA60)</f>
        <v>651.5</v>
      </c>
      <c r="AB59" s="151">
        <f>+AEP!AB139-'Generation &amp; Marketing'!AB346-'Vertically Integrated Utilities'!AB180-'T&amp;D Utilities'!AB161-('Transmission Holdco'!AB32+'Transmission Holdco'!AB59-'Transmission Holdco'!AB60)</f>
        <v>320.5</v>
      </c>
      <c r="AC59" s="112">
        <f>+AEP!AC139-'Generation &amp; Marketing'!AC346-'Vertically Integrated Utilities'!AC180-'T&amp;D Utilities'!AC161-('Transmission Holdco'!AC32+'Transmission Holdco'!AC59-'Transmission Holdco'!AC60)</f>
        <v>1024</v>
      </c>
      <c r="AD59" s="149">
        <f>+AEP!AD139-'Generation &amp; Marketing'!AD346-'Vertically Integrated Utilities'!AD180-'T&amp;D Utilities'!AD161-('Transmission Holdco'!AD32+'Transmission Holdco'!AD59-'Transmission Holdco'!AD60)</f>
        <v>96</v>
      </c>
      <c r="AE59" s="150">
        <f>+AEP!AE139-'Generation &amp; Marketing'!AE346-'Vertically Integrated Utilities'!AE180-'T&amp;D Utilities'!AE161-('Transmission Holdco'!AE32+'Transmission Holdco'!AE59-'Transmission Holdco'!AE60)</f>
        <v>217</v>
      </c>
      <c r="AF59" s="150">
        <f>+AEP!AF139-'Generation &amp; Marketing'!AF346-'Vertically Integrated Utilities'!AF180-'T&amp;D Utilities'!AF161-('Transmission Holdco'!AF32+'Transmission Holdco'!AF59-'Transmission Holdco'!AF60)</f>
        <v>571</v>
      </c>
      <c r="AG59" s="151">
        <f>+AEP!AG139-'Generation &amp; Marketing'!AG346-'Vertically Integrated Utilities'!AG180-'T&amp;D Utilities'!AG161-('Transmission Holdco'!AG32+'Transmission Holdco'!AG59-'Transmission Holdco'!AG60)</f>
        <v>267.69999999999925</v>
      </c>
      <c r="AH59" s="112">
        <f>+AEP!AH139-'Generation &amp; Marketing'!AH346-'Vertically Integrated Utilities'!AH180-'T&amp;D Utilities'!AH161-('Transmission Holdco'!AH32+'Transmission Holdco'!AH59-'Transmission Holdco'!AH60)</f>
        <v>1151.6999999999994</v>
      </c>
      <c r="AI59" s="149">
        <f>+AEP!AI139-'Generation &amp; Marketing'!AI346-'Vertically Integrated Utilities'!AI180-'T&amp;D Utilities'!AI161-SUM('Transmission Holdco'!AI32+'Transmission Holdco'!AI59-'Transmission Holdco'!AI60)</f>
        <v>155.25</v>
      </c>
      <c r="AJ59" s="150">
        <f>+AEP!AJ139-'Generation &amp; Marketing'!AJ346-'Vertically Integrated Utilities'!AJ180-'T&amp;D Utilities'!AJ161-SUM('Transmission Holdco'!AJ32+'Transmission Holdco'!AJ59-'Transmission Holdco'!AJ60)</f>
        <v>36.25</v>
      </c>
      <c r="AK59" s="150">
        <f>+AEP!AK139-'Generation &amp; Marketing'!AK346-'Vertically Integrated Utilities'!AK180-'T&amp;D Utilities'!AK161-SUM('Transmission Holdco'!AK32+'Transmission Holdco'!AK59-'Transmission Holdco'!AK60)</f>
        <v>678.25</v>
      </c>
      <c r="AL59" s="151">
        <f>+AEP!AL139-'Generation &amp; Marketing'!AL346-'Vertically Integrated Utilities'!AL180-'T&amp;D Utilities'!AL161-SUM('Transmission Holdco'!AL32+'Transmission Holdco'!AL59-'Transmission Holdco'!AL60)</f>
        <v>227.95</v>
      </c>
      <c r="AM59" s="112">
        <f>+AEP!AM139-'Generation &amp; Marketing'!AM346-'Vertically Integrated Utilities'!AM180-'T&amp;D Utilities'!AM161-SUM('Transmission Holdco'!AM32+'Transmission Holdco'!AM59-'Transmission Holdco'!AM60)</f>
        <v>1097.7000000000005</v>
      </c>
      <c r="AN59" s="149">
        <f>+AEP!AN139-'Generation &amp; Marketing'!AN346-'Vertically Integrated Utilities'!AN180-'T&amp;D Utilities'!AN161-SUM('Transmission Holdco'!AN32+'Transmission Holdco'!AN59-'Transmission Holdco'!AN60)</f>
        <v>-168.49999999999952</v>
      </c>
      <c r="AO59" s="150">
        <f>+AEP!AO139-'Generation &amp; Marketing'!AO346-'Vertically Integrated Utilities'!AO180-'T&amp;D Utilities'!AO161-SUM('Transmission Holdco'!AO32+'Transmission Holdco'!AO59-'Transmission Holdco'!AO60)</f>
        <v>-44.899999999999935</v>
      </c>
      <c r="AP59" s="150">
        <f>+AEP!AP139-'Generation &amp; Marketing'!AP346-'Vertically Integrated Utilities'!AP180-'T&amp;D Utilities'!AP161-SUM('Transmission Holdco'!AP32+'Transmission Holdco'!AP59-'Transmission Holdco'!AP60)</f>
        <v>1983.1000000000004</v>
      </c>
      <c r="AQ59" s="151">
        <f>+AEP!AQ139-'Generation &amp; Marketing'!AQ346-'Vertically Integrated Utilities'!AQ180-'T&amp;D Utilities'!AQ161-SUM('Transmission Holdco'!AQ32+'Transmission Holdco'!AQ59-'Transmission Holdco'!AQ60)</f>
        <v>419.70000000000095</v>
      </c>
      <c r="AR59" s="112">
        <f>+AEP!AR139-'Generation &amp; Marketing'!AR346-'Vertically Integrated Utilities'!AR180-'T&amp;D Utilities'!AR161-SUM('Transmission Holdco'!AR32+'Transmission Holdco'!AR59-'Transmission Holdco'!AR60)</f>
        <v>2106.7000000000021</v>
      </c>
      <c r="AS59" s="149">
        <f>+AEP!AS139-'Generation &amp; Marketing'!AS346-'Vertically Integrated Utilities'!AS180-'T&amp;D Utilities'!AS161-SUM('Transmission Holdco'!AS32+'Transmission Holdco'!AS59-'Transmission Holdco'!AS60)</f>
        <v>-148.10000000000085</v>
      </c>
      <c r="AT59" s="150">
        <f>+AEP!AT139-'Generation &amp; Marketing'!AT346-'Vertically Integrated Utilities'!AT180-'T&amp;D Utilities'!AT161-SUM('Transmission Holdco'!AT32+'Transmission Holdco'!AT59-'Transmission Holdco'!AT60)</f>
        <v>172.39999999999955</v>
      </c>
      <c r="AU59" s="150">
        <f>+AEP!AU139-'Generation &amp; Marketing'!AU346-'Vertically Integrated Utilities'!AU180-'T&amp;D Utilities'!AU161-SUM('Transmission Holdco'!AU32+'Transmission Holdco'!AU59-'Transmission Holdco'!AU60)</f>
        <v>503.19999999999959</v>
      </c>
      <c r="AV59" s="151">
        <f>+AEP!AV139-'Generation &amp; Marketing'!AV346-'Vertically Integrated Utilities'!AV180-'T&amp;D Utilities'!AV161-SUM('Transmission Holdco'!AV32+'Transmission Holdco'!AV59-'Transmission Holdco'!AV60)</f>
        <v>389.30000000000007</v>
      </c>
      <c r="AW59" s="112">
        <f>+AEP!AW139-'Generation &amp; Marketing'!AW346-'Vertically Integrated Utilities'!AW180-'T&amp;D Utilities'!AW161-SUM('Transmission Holdco'!AW32+'Transmission Holdco'!AW59-'Transmission Holdco'!AW60)</f>
        <v>916.79999999999905</v>
      </c>
      <c r="AX59" s="149">
        <f>+AEP!AX139-'Generation &amp; Marketing'!AX346-'Vertically Integrated Utilities'!AX180-'T&amp;D Utilities'!AX161-SUM('Transmission Holdco'!AX32+'Transmission Holdco'!AX59-'Transmission Holdco'!AX60)</f>
        <v>254.51147028215894</v>
      </c>
      <c r="AY59" s="150">
        <f>+AEP!AY139-'Generation &amp; Marketing'!AY346-'Vertically Integrated Utilities'!AY180-'T&amp;D Utilities'!AY161-SUM('Transmission Holdco'!AY32+'Transmission Holdco'!AY59-'Transmission Holdco'!AY60)</f>
        <v>225.33466023354345</v>
      </c>
      <c r="AZ59" s="150">
        <f>+AEP!AZ139-'Generation &amp; Marketing'!AZ346-'Vertically Integrated Utilities'!AZ180-'T&amp;D Utilities'!AZ161-SUM('Transmission Holdco'!AZ32+'Transmission Holdco'!AZ59-'Transmission Holdco'!AZ60)</f>
        <v>313.81712181999956</v>
      </c>
      <c r="BA59" s="151">
        <f>+AEP!BA139-'Generation &amp; Marketing'!BA346-'Vertically Integrated Utilities'!BA180-'T&amp;D Utilities'!BA161-SUM('Transmission Holdco'!BA32+'Transmission Holdco'!BA59-'Transmission Holdco'!BA60)</f>
        <v>304.09784350060693</v>
      </c>
      <c r="BB59" s="112">
        <f>+AEP!BB139-'Generation &amp; Marketing'!BB346-'Vertically Integrated Utilities'!BB180-'T&amp;D Utilities'!BB161-SUM('Transmission Holdco'!BB32+'Transmission Holdco'!BB59-'Transmission Holdco'!BB60)</f>
        <v>1097.7610958363089</v>
      </c>
      <c r="BC59" s="149">
        <f>+AEP!BC139-'Generation &amp; Marketing'!BC346-'Vertically Integrated Utilities'!BC180-'T&amp;D Utilities'!BC161-SUM('Transmission Holdco'!BC32+'Transmission Holdco'!BC59-'Transmission Holdco'!BC60)</f>
        <v>127.33221199068933</v>
      </c>
      <c r="BD59" s="150">
        <f>+AEP!BD139-'Generation &amp; Marketing'!BD346-'Vertically Integrated Utilities'!BD180-'T&amp;D Utilities'!BD161-SUM('Transmission Holdco'!BD32+'Transmission Holdco'!BD59-'Transmission Holdco'!BD60)</f>
        <v>130.02399735233038</v>
      </c>
      <c r="BE59" s="150">
        <f>+AEP!BE139-'Generation &amp; Marketing'!BE346-'Vertically Integrated Utilities'!BE180-'T&amp;D Utilities'!BE161-SUM('Transmission Holdco'!BE32+'Transmission Holdco'!BE59-'Transmission Holdco'!BE60)</f>
        <v>138.50224391758229</v>
      </c>
      <c r="BF59" s="151">
        <f>+AEP!BF139-'Generation &amp; Marketing'!BF346-'Vertically Integrated Utilities'!BF180-'T&amp;D Utilities'!BF161-SUM('Transmission Holdco'!BF32+'Transmission Holdco'!BF59-'Transmission Holdco'!BF60)</f>
        <v>184.99378085836304</v>
      </c>
      <c r="BG59" s="112">
        <f>+AEP!BG139-'Generation &amp; Marketing'!BG346-'Vertically Integrated Utilities'!BG180-'T&amp;D Utilities'!BG161-SUM('Transmission Holdco'!BG32+'Transmission Holdco'!BG59-'Transmission Holdco'!BG60)</f>
        <v>580.85223411896527</v>
      </c>
      <c r="BH59" s="149">
        <f>+AEP!BH139-'Generation &amp; Marketing'!BH346-'Vertically Integrated Utilities'!BH180-'T&amp;D Utilities'!BH161-SUM('Transmission Holdco'!BH32+'Transmission Holdco'!BH59-'Transmission Holdco'!BH60)</f>
        <v>73.287607236574956</v>
      </c>
      <c r="BI59" s="150">
        <f>+AEP!BI139-'Generation &amp; Marketing'!BI346-'Vertically Integrated Utilities'!BI180-'T&amp;D Utilities'!BI161-SUM('Transmission Holdco'!BI32+'Transmission Holdco'!BI59-'Transmission Holdco'!BI60)</f>
        <v>83.890792913788857</v>
      </c>
      <c r="BJ59" s="150">
        <f>+AEP!BJ139-'Generation &amp; Marketing'!BJ346-'Vertically Integrated Utilities'!BJ180-'T&amp;D Utilities'!BJ161-SUM('Transmission Holdco'!BJ32+'Transmission Holdco'!BJ59-'Transmission Holdco'!BJ60)</f>
        <v>93.693456045497413</v>
      </c>
      <c r="BK59" s="151">
        <f>+AEP!BK139-'Generation &amp; Marketing'!BK346-'Vertically Integrated Utilities'!BK180-'T&amp;D Utilities'!BK161-SUM('Transmission Holdco'!BK32+'Transmission Holdco'!BK59-'Transmission Holdco'!BK60)</f>
        <v>151.3621574483563</v>
      </c>
      <c r="BL59" s="112">
        <f>+AEP!BL139-'Generation &amp; Marketing'!BL346-'Vertically Integrated Utilities'!BL180-'T&amp;D Utilities'!BL161-SUM('Transmission Holdco'!BL32+'Transmission Holdco'!BL59-'Transmission Holdco'!BL60)</f>
        <v>402.23401364421704</v>
      </c>
      <c r="BM59" s="149">
        <f>+AEP!BM139-'Generation &amp; Marketing'!BM346-'Vertically Integrated Utilities'!BM180-'T&amp;D Utilities'!BM161-SUM('Transmission Holdco'!BM32+'Transmission Holdco'!BM59-'Transmission Holdco'!BM60)</f>
        <v>68.414581702162479</v>
      </c>
      <c r="BN59" s="150">
        <f>+AEP!BN139-'Generation &amp; Marketing'!BN346-'Vertically Integrated Utilities'!BN180-'T&amp;D Utilities'!BN161-SUM('Transmission Holdco'!BN32+'Transmission Holdco'!BN59-'Transmission Holdco'!BN60)</f>
        <v>77.879167048339582</v>
      </c>
      <c r="BO59" s="150">
        <f>+AEP!BO139-'Generation &amp; Marketing'!BO346-'Vertically Integrated Utilities'!BO180-'T&amp;D Utilities'!BO161-SUM('Transmission Holdco'!BO32+'Transmission Holdco'!BO59-'Transmission Holdco'!BO60)</f>
        <v>93.004300453821543</v>
      </c>
      <c r="BP59" s="151">
        <f>+AEP!BP139-'Generation &amp; Marketing'!BP346-'Vertically Integrated Utilities'!BP180-'T&amp;D Utilities'!BP161-SUM('Transmission Holdco'!BP32+'Transmission Holdco'!BP59-'Transmission Holdco'!BP60)</f>
        <v>153.77247909525067</v>
      </c>
      <c r="BQ59" s="112">
        <f>+AEP!BQ139-'Generation &amp; Marketing'!BQ346-'Vertically Integrated Utilities'!BQ180-'T&amp;D Utilities'!BQ161-SUM('Transmission Holdco'!BQ32+'Transmission Holdco'!BQ59-'Transmission Holdco'!BQ60)</f>
        <v>393.07052829957411</v>
      </c>
    </row>
    <row r="60" spans="1:69">
      <c r="B60" s="50"/>
      <c r="C60" s="100"/>
      <c r="D60" s="50"/>
      <c r="E60" s="161"/>
      <c r="F60" s="162"/>
      <c r="G60" s="162"/>
      <c r="H60" s="144"/>
      <c r="I60" s="109"/>
      <c r="J60" s="161"/>
      <c r="K60" s="162"/>
      <c r="L60" s="162"/>
      <c r="M60" s="144"/>
      <c r="N60" s="109"/>
      <c r="O60" s="161"/>
      <c r="P60" s="162"/>
      <c r="Q60" s="162"/>
      <c r="R60" s="144"/>
      <c r="S60" s="109"/>
      <c r="T60" s="161"/>
      <c r="U60" s="162"/>
      <c r="V60" s="162"/>
      <c r="W60" s="144"/>
      <c r="X60" s="109"/>
      <c r="Y60" s="161"/>
      <c r="Z60" s="162"/>
      <c r="AA60" s="162"/>
      <c r="AB60" s="144"/>
      <c r="AC60" s="109"/>
      <c r="AD60" s="161"/>
      <c r="AE60" s="162"/>
      <c r="AF60" s="162"/>
      <c r="AG60" s="144"/>
      <c r="AH60" s="109"/>
      <c r="AI60" s="161"/>
      <c r="AJ60" s="162"/>
      <c r="AK60" s="162"/>
      <c r="AL60" s="144"/>
      <c r="AM60" s="109"/>
      <c r="AN60" s="161"/>
      <c r="AO60" s="162"/>
      <c r="AP60" s="162"/>
      <c r="AQ60" s="144"/>
      <c r="AR60" s="109"/>
      <c r="AS60" s="161"/>
      <c r="AT60" s="162"/>
      <c r="AU60" s="162"/>
      <c r="AV60" s="144"/>
      <c r="AW60" s="109"/>
      <c r="AX60" s="161"/>
      <c r="AY60" s="162"/>
      <c r="AZ60" s="162"/>
      <c r="BA60" s="144"/>
      <c r="BB60" s="109"/>
      <c r="BC60" s="161"/>
      <c r="BD60" s="162"/>
      <c r="BE60" s="162"/>
      <c r="BF60" s="144"/>
      <c r="BG60" s="109"/>
      <c r="BH60" s="161"/>
      <c r="BI60" s="162"/>
      <c r="BJ60" s="162"/>
      <c r="BK60" s="144"/>
      <c r="BL60" s="109"/>
      <c r="BM60" s="161"/>
      <c r="BN60" s="162"/>
      <c r="BO60" s="162"/>
      <c r="BP60" s="144"/>
      <c r="BQ60" s="109"/>
    </row>
    <row r="61" spans="1:69">
      <c r="B61" s="109"/>
      <c r="C61" s="100" t="s">
        <v>231</v>
      </c>
      <c r="D61" s="109"/>
      <c r="E61" s="161"/>
      <c r="F61" s="160"/>
      <c r="G61" s="160"/>
      <c r="H61" s="144"/>
      <c r="I61" s="109"/>
      <c r="J61" s="161"/>
      <c r="K61" s="160"/>
      <c r="L61" s="160"/>
      <c r="M61" s="144"/>
      <c r="N61" s="109"/>
      <c r="O61" s="161"/>
      <c r="P61" s="160"/>
      <c r="Q61" s="160"/>
      <c r="R61" s="144"/>
      <c r="S61" s="109"/>
      <c r="T61" s="161"/>
      <c r="U61" s="160"/>
      <c r="V61" s="160"/>
      <c r="W61" s="144"/>
      <c r="X61" s="109">
        <f>+AEP!X141-'Generation &amp; Marketing'!X348-'Vertically Integrated Utilities'!X182-'T&amp;D Utilities'!X163+'Transmission Holdco'!X47+'AEP River'!X71</f>
        <v>112</v>
      </c>
      <c r="Y61" s="161">
        <f>+AEP!Y141-'Generation &amp; Marketing'!Y348-'Vertically Integrated Utilities'!Y182-'T&amp;D Utilities'!Y163+'Transmission Holdco'!Y47+'AEP River'!Y71</f>
        <v>89</v>
      </c>
      <c r="Z61" s="160">
        <f>+AEP!Z141-'Generation &amp; Marketing'!Z348-'Vertically Integrated Utilities'!Z182-'T&amp;D Utilities'!Z163+'Transmission Holdco'!Z47+'AEP River'!Z71</f>
        <v>138</v>
      </c>
      <c r="AA61" s="160">
        <f>+AEP!AA141-'Generation &amp; Marketing'!AA348-'Vertically Integrated Utilities'!AA182-'T&amp;D Utilities'!AA163+'Transmission Holdco'!AA47+'AEP River'!AA71</f>
        <v>88</v>
      </c>
      <c r="AB61" s="144">
        <f>+AEP!AB141-'Generation &amp; Marketing'!AB348-'Vertically Integrated Utilities'!AB182-'T&amp;D Utilities'!AB163+'Transmission Holdco'!AB47+'AEP River'!AB71</f>
        <v>-211</v>
      </c>
      <c r="AC61" s="109">
        <f>+AEP!AC141-'Generation &amp; Marketing'!AC348-'Vertically Integrated Utilities'!AC182-'T&amp;D Utilities'!AC163+'Transmission Holdco'!AC47+'AEP River'!AC71</f>
        <v>104</v>
      </c>
      <c r="AD61" s="161">
        <f>+AEP!AD141-'Generation &amp; Marketing'!AD348-'Vertically Integrated Utilities'!AD182-'T&amp;D Utilities'!AD163+'Transmission Holdco'!AD47+'AEP River'!AD71</f>
        <v>145.5</v>
      </c>
      <c r="AE61" s="160">
        <f>+AEP!AE141-'Generation &amp; Marketing'!AE348-'Vertically Integrated Utilities'!AE182-'T&amp;D Utilities'!AE163+'Transmission Holdco'!AE47+'AEP River'!AE71</f>
        <v>76.5</v>
      </c>
      <c r="AF61" s="160">
        <f>+AEP!AF141-'Generation &amp; Marketing'!AF348-'Vertically Integrated Utilities'!AF182-'T&amp;D Utilities'!AF163+'Transmission Holdco'!AF47+'AEP River'!AF71</f>
        <v>36.5</v>
      </c>
      <c r="AG61" s="144">
        <f>+AEP!AG141-'Generation &amp; Marketing'!AG348-'Vertically Integrated Utilities'!AG182-'T&amp;D Utilities'!AG163+'Transmission Holdco'!AG47+'AEP River'!AG71</f>
        <v>-182.5</v>
      </c>
      <c r="AH61" s="109">
        <f>+AEP!AH141-'Generation &amp; Marketing'!AH348-'Vertically Integrated Utilities'!AH182-'T&amp;D Utilities'!AH163+'Transmission Holdco'!AH47+'AEP River'!AH71</f>
        <v>76</v>
      </c>
      <c r="AI61" s="161">
        <f>+AEP!AI141-'Generation &amp; Marketing'!AI348-'Vertically Integrated Utilities'!AI182-'T&amp;D Utilities'!AI163+'Transmission Holdco'!AI47+'AEP River'!AI71</f>
        <v>59.550000000000068</v>
      </c>
      <c r="AJ61" s="160">
        <f>+AEP!AJ141-'Generation &amp; Marketing'!AJ348-'Vertically Integrated Utilities'!AJ182-'T&amp;D Utilities'!AJ163+'Transmission Holdco'!AJ47+'AEP River'!AJ71</f>
        <v>31.550000000000068</v>
      </c>
      <c r="AK61" s="160">
        <f>+AEP!AK141-'Generation &amp; Marketing'!AK348-'Vertically Integrated Utilities'!AK182-'T&amp;D Utilities'!AK163+'Transmission Holdco'!AK47+'AEP River'!AK71</f>
        <v>35.550000000000068</v>
      </c>
      <c r="AL61" s="144">
        <f>+AEP!AL141-'Generation &amp; Marketing'!AL348-'Vertically Integrated Utilities'!AL182-'T&amp;D Utilities'!AL163+'Transmission Holdco'!AL47+'AEP River'!AL71</f>
        <v>-488.45</v>
      </c>
      <c r="AM61" s="109">
        <f>+AEP!AM141-'Generation &amp; Marketing'!AM348-'Vertically Integrated Utilities'!AM182-'T&amp;D Utilities'!AM163+'Transmission Holdco'!AM47+'AEP River'!AM71</f>
        <v>-361.79999999999973</v>
      </c>
      <c r="AN61" s="161">
        <f>+AEP!AN141-'Generation &amp; Marketing'!AN348-'Vertically Integrated Utilities'!AN182-'T&amp;D Utilities'!AN163+'Transmission Holdco'!AN47+'AEP River'!AN71</f>
        <v>-13.193244949495011</v>
      </c>
      <c r="AO61" s="160">
        <f>+AEP!AO141-'Generation &amp; Marketing'!AO348-'Vertically Integrated Utilities'!AO182-'T&amp;D Utilities'!AO163+'Transmission Holdco'!AO47+'AEP River'!AO71</f>
        <v>108.00675505050481</v>
      </c>
      <c r="AP61" s="160">
        <f>AR61/4</f>
        <v>-4.9682449494951015</v>
      </c>
      <c r="AQ61" s="144">
        <f>+AEP!AQ141-'Generation &amp; Marketing'!AQ348-'Vertically Integrated Utilities'!AQ182-'T&amp;D Utilities'!AQ163+'Transmission Holdco'!AQ47+'AEP River'!AQ71</f>
        <v>-203.79324494949532</v>
      </c>
      <c r="AR61" s="109">
        <f>+AEP!AR141-'Generation &amp; Marketing'!AR348-'Vertically Integrated Utilities'!AR182-'T&amp;D Utilities'!AR163+'Transmission Holdco'!AR47+'AEP River'!AR71</f>
        <v>-19.872979797980406</v>
      </c>
      <c r="AS61" s="161">
        <f>+AEP!AS141-'Generation &amp; Marketing'!AS348-'Vertically Integrated Utilities'!AS182-'T&amp;D Utilities'!AS163+'Transmission Holdco'!AS47+'AEP River'!AS71</f>
        <v>81.887500000000045</v>
      </c>
      <c r="AT61" s="160">
        <f>+AEP!AT141-'Generation &amp; Marketing'!AT348-'Vertically Integrated Utilities'!AT182-'T&amp;D Utilities'!AT163+'Transmission Holdco'!AT47+'AEP River'!AT71</f>
        <v>303.08749999999986</v>
      </c>
      <c r="AU61" s="160">
        <f>+AEP!AU141-'Generation &amp; Marketing'!AU348-'Vertically Integrated Utilities'!AU182-'T&amp;D Utilities'!AU163+'Transmission Holdco'!AU47+'AEP River'!AU71</f>
        <v>179.88750000000027</v>
      </c>
      <c r="AV61" s="144">
        <f>+AEP!AV141-'Generation &amp; Marketing'!AV348-'Vertically Integrated Utilities'!AV182-'T&amp;D Utilities'!AV163+'Transmission Holdco'!AV47+'AEP River'!AV71</f>
        <v>-465.41250000000048</v>
      </c>
      <c r="AW61" s="109">
        <f>+AEP!AW141-'Generation &amp; Marketing'!AW348-'Vertically Integrated Utilities'!AW182-'T&amp;D Utilities'!AW163+'Transmission Holdco'!AW47+'AEP River'!AW71</f>
        <v>99.449999999999818</v>
      </c>
      <c r="AX61" s="161">
        <f>BB61/4</f>
        <v>-9</v>
      </c>
      <c r="AY61" s="160">
        <f>BB61/4</f>
        <v>-9</v>
      </c>
      <c r="AZ61" s="160">
        <f>BB61/4</f>
        <v>-9</v>
      </c>
      <c r="BA61" s="144">
        <f>BB61/4</f>
        <v>-9</v>
      </c>
      <c r="BB61" s="564">
        <f>-'Utility Detail'!BB87</f>
        <v>-36</v>
      </c>
      <c r="BC61" s="161">
        <f>BG61/4</f>
        <v>-4.25</v>
      </c>
      <c r="BD61" s="160">
        <f>BG61/4</f>
        <v>-4.25</v>
      </c>
      <c r="BE61" s="160">
        <f>BG61/4</f>
        <v>-4.25</v>
      </c>
      <c r="BF61" s="144">
        <f>BG61/4</f>
        <v>-4.25</v>
      </c>
      <c r="BG61" s="564">
        <f>-'Utility Detail'!BG87</f>
        <v>-17</v>
      </c>
      <c r="BH61" s="161">
        <f>BL61/4</f>
        <v>-9</v>
      </c>
      <c r="BI61" s="160">
        <f>BL61/4</f>
        <v>-9</v>
      </c>
      <c r="BJ61" s="160">
        <f>BL61/4</f>
        <v>-9</v>
      </c>
      <c r="BK61" s="144">
        <f>BL61/4</f>
        <v>-9</v>
      </c>
      <c r="BL61" s="564">
        <f>-'Utility Detail'!BL87</f>
        <v>-36</v>
      </c>
      <c r="BM61" s="161">
        <f>BQ61/4</f>
        <v>-9</v>
      </c>
      <c r="BN61" s="160">
        <f>BQ61/4</f>
        <v>-9</v>
      </c>
      <c r="BO61" s="160">
        <f>BQ61/4</f>
        <v>-9</v>
      </c>
      <c r="BP61" s="144">
        <f>BQ61/4</f>
        <v>-9</v>
      </c>
      <c r="BQ61" s="564">
        <f>-'Utility Detail'!BQ87</f>
        <v>-36</v>
      </c>
    </row>
    <row r="62" spans="1:69">
      <c r="B62" s="109"/>
      <c r="C62" s="100" t="s">
        <v>924</v>
      </c>
      <c r="D62" s="109"/>
      <c r="E62" s="161"/>
      <c r="F62" s="160"/>
      <c r="G62" s="160"/>
      <c r="H62" s="144"/>
      <c r="I62" s="109"/>
      <c r="J62" s="161"/>
      <c r="K62" s="160"/>
      <c r="L62" s="160"/>
      <c r="M62" s="144"/>
      <c r="N62" s="109"/>
      <c r="O62" s="161"/>
      <c r="P62" s="160"/>
      <c r="Q62" s="160"/>
      <c r="R62" s="144"/>
      <c r="S62" s="109"/>
      <c r="T62" s="161"/>
      <c r="U62" s="160"/>
      <c r="V62" s="160"/>
      <c r="W62" s="144"/>
      <c r="X62" s="109">
        <f t="shared" ref="X62:AJ62" si="78">+X63-X61</f>
        <v>-789</v>
      </c>
      <c r="Y62" s="161">
        <f t="shared" si="78"/>
        <v>-141.5</v>
      </c>
      <c r="Z62" s="160">
        <f t="shared" si="78"/>
        <v>-289.5</v>
      </c>
      <c r="AA62" s="160">
        <f t="shared" si="78"/>
        <v>-245.5</v>
      </c>
      <c r="AB62" s="144">
        <f t="shared" si="78"/>
        <v>-367.5</v>
      </c>
      <c r="AC62" s="109">
        <f t="shared" si="78"/>
        <v>-1044</v>
      </c>
      <c r="AD62" s="161">
        <f t="shared" si="78"/>
        <v>-312</v>
      </c>
      <c r="AE62" s="160">
        <f t="shared" si="78"/>
        <v>-349</v>
      </c>
      <c r="AF62" s="160">
        <f t="shared" si="78"/>
        <v>-235</v>
      </c>
      <c r="AG62" s="144">
        <f t="shared" si="78"/>
        <v>-328</v>
      </c>
      <c r="AH62" s="109">
        <f t="shared" si="78"/>
        <v>-1224</v>
      </c>
      <c r="AI62" s="161">
        <f t="shared" si="78"/>
        <v>-225.32499999999999</v>
      </c>
      <c r="AJ62" s="160">
        <f t="shared" si="78"/>
        <v>-353.32499999999999</v>
      </c>
      <c r="AK62" s="160">
        <f>+AK63-AK61</f>
        <v>-242.32499999999999</v>
      </c>
      <c r="AL62" s="144">
        <f>+AL63-AL61</f>
        <v>572.47500000000036</v>
      </c>
      <c r="AM62" s="109">
        <f>+AM63-AM61</f>
        <v>-248.49999999999977</v>
      </c>
      <c r="AN62" s="161">
        <f>+AN63-AN61</f>
        <v>-217.231755050505</v>
      </c>
      <c r="AO62" s="160">
        <f>+AO63-AO61</f>
        <v>-361.53175505050496</v>
      </c>
      <c r="AP62" s="160">
        <f t="shared" ref="AP62:BL62" si="79">+AP63-AP61</f>
        <v>-216.15675505050496</v>
      </c>
      <c r="AQ62" s="144">
        <f t="shared" ref="AQ62:AW62" si="80">+AQ63-AQ61</f>
        <v>-448.73175505050523</v>
      </c>
      <c r="AR62" s="109">
        <f t="shared" si="80"/>
        <v>-1337.7270202020202</v>
      </c>
      <c r="AS62" s="161">
        <f t="shared" si="80"/>
        <v>1820.4374999999998</v>
      </c>
      <c r="AT62" s="160">
        <f t="shared" si="80"/>
        <v>-466.06250000000011</v>
      </c>
      <c r="AU62" s="160">
        <f t="shared" si="80"/>
        <v>-423.26249999999993</v>
      </c>
      <c r="AV62" s="144">
        <f t="shared" si="80"/>
        <v>-456.86249999999961</v>
      </c>
      <c r="AW62" s="109">
        <f t="shared" si="80"/>
        <v>474.25000000000045</v>
      </c>
      <c r="AX62" s="161">
        <f t="shared" si="79"/>
        <v>-378.50000000000023</v>
      </c>
      <c r="AY62" s="160">
        <f t="shared" si="79"/>
        <v>-378.50000000000023</v>
      </c>
      <c r="AZ62" s="160">
        <f t="shared" si="79"/>
        <v>-378.50000000000023</v>
      </c>
      <c r="BA62" s="144">
        <f t="shared" si="79"/>
        <v>-378.5</v>
      </c>
      <c r="BB62" s="109">
        <f t="shared" si="79"/>
        <v>-1514</v>
      </c>
      <c r="BC62" s="161">
        <f t="shared" si="79"/>
        <v>-386.00000000000023</v>
      </c>
      <c r="BD62" s="160">
        <f t="shared" si="79"/>
        <v>-386.00000000000023</v>
      </c>
      <c r="BE62" s="160">
        <f t="shared" si="79"/>
        <v>-386.00000000000023</v>
      </c>
      <c r="BF62" s="144">
        <f t="shared" si="79"/>
        <v>-386</v>
      </c>
      <c r="BG62" s="109">
        <f t="shared" si="79"/>
        <v>-1544</v>
      </c>
      <c r="BH62" s="161">
        <f t="shared" si="79"/>
        <v>-325.25000000000023</v>
      </c>
      <c r="BI62" s="160">
        <f t="shared" si="79"/>
        <v>-325.25000000000023</v>
      </c>
      <c r="BJ62" s="160">
        <f t="shared" si="79"/>
        <v>-325.25000000000023</v>
      </c>
      <c r="BK62" s="144">
        <f t="shared" si="79"/>
        <v>-325.25</v>
      </c>
      <c r="BL62" s="109">
        <f t="shared" si="79"/>
        <v>-1301</v>
      </c>
      <c r="BM62" s="161">
        <f>+BM63-BM61</f>
        <v>-375</v>
      </c>
      <c r="BN62" s="160">
        <f>+BN63-BN61</f>
        <v>-375</v>
      </c>
      <c r="BO62" s="160">
        <f>+BO63-BO61</f>
        <v>-375</v>
      </c>
      <c r="BP62" s="144">
        <f>+BP63-BP61</f>
        <v>-375</v>
      </c>
      <c r="BQ62" s="109">
        <f>+BQ63-BQ61</f>
        <v>-1500</v>
      </c>
    </row>
    <row r="63" spans="1:69">
      <c r="B63" s="112"/>
      <c r="C63" s="164" t="s">
        <v>86</v>
      </c>
      <c r="D63" s="112"/>
      <c r="E63" s="149"/>
      <c r="F63" s="150"/>
      <c r="G63" s="150"/>
      <c r="H63" s="151"/>
      <c r="I63" s="112"/>
      <c r="J63" s="149"/>
      <c r="K63" s="150"/>
      <c r="L63" s="150"/>
      <c r="M63" s="151"/>
      <c r="N63" s="112"/>
      <c r="O63" s="149"/>
      <c r="P63" s="150"/>
      <c r="Q63" s="150"/>
      <c r="R63" s="151"/>
      <c r="S63" s="112"/>
      <c r="T63" s="149"/>
      <c r="U63" s="150"/>
      <c r="V63" s="150"/>
      <c r="W63" s="151"/>
      <c r="X63" s="112">
        <f>+AEP!X143-'Generation &amp; Marketing'!X350-'Vertically Integrated Utilities'!X184-'T&amp;D Utilities'!X165</f>
        <v>-677</v>
      </c>
      <c r="Y63" s="149">
        <f>+AEP!Y143-'Generation &amp; Marketing'!Y350-'Vertically Integrated Utilities'!Y184-'T&amp;D Utilities'!Y165</f>
        <v>-52.5</v>
      </c>
      <c r="Z63" s="150">
        <f>+AEP!Z143-'Generation &amp; Marketing'!Z350-'Vertically Integrated Utilities'!Z184-'T&amp;D Utilities'!Z165</f>
        <v>-151.5</v>
      </c>
      <c r="AA63" s="150">
        <f>+AEP!AA143-'Generation &amp; Marketing'!AA350-'Vertically Integrated Utilities'!AA184-'T&amp;D Utilities'!AA165</f>
        <v>-157.5</v>
      </c>
      <c r="AB63" s="151">
        <f>+AEP!AB143-'Generation &amp; Marketing'!AB350-'Vertically Integrated Utilities'!AB184-'T&amp;D Utilities'!AB165</f>
        <v>-578.5</v>
      </c>
      <c r="AC63" s="112">
        <f>+AEP!AC143-'Generation &amp; Marketing'!AC350-'Vertically Integrated Utilities'!AC184-'T&amp;D Utilities'!AC165</f>
        <v>-940</v>
      </c>
      <c r="AD63" s="149">
        <f>+AEP!AD143-'Generation &amp; Marketing'!AD350-'Vertically Integrated Utilities'!AD184-'T&amp;D Utilities'!AD165</f>
        <v>-166.5</v>
      </c>
      <c r="AE63" s="150">
        <f>+AEP!AE143-'Generation &amp; Marketing'!AE350-'Vertically Integrated Utilities'!AE184-'T&amp;D Utilities'!AE165</f>
        <v>-272.5</v>
      </c>
      <c r="AF63" s="150">
        <f>+AEP!AF143-'Generation &amp; Marketing'!AF350-'Vertically Integrated Utilities'!AF184-'T&amp;D Utilities'!AF165</f>
        <v>-198.5</v>
      </c>
      <c r="AG63" s="151">
        <f>+AEP!AG143-'Generation &amp; Marketing'!AG350-'Vertically Integrated Utilities'!AG184-'T&amp;D Utilities'!AG165</f>
        <v>-510.5</v>
      </c>
      <c r="AH63" s="112">
        <f>+AEP!AH143-'Generation &amp; Marketing'!AH350-'Vertically Integrated Utilities'!AH184-'T&amp;D Utilities'!AH165</f>
        <v>-1148</v>
      </c>
      <c r="AI63" s="149">
        <f>+AEP!AI143-'Generation &amp; Marketing'!AI350-'Vertically Integrated Utilities'!AI184-'T&amp;D Utilities'!AI165</f>
        <v>-165.77499999999992</v>
      </c>
      <c r="AJ63" s="150">
        <f>+AEP!AJ143-'Generation &amp; Marketing'!AJ350-'Vertically Integrated Utilities'!AJ184-'T&amp;D Utilities'!AJ165</f>
        <v>-321.77499999999992</v>
      </c>
      <c r="AK63" s="150">
        <f>+AEP!AK143-'Generation &amp; Marketing'!AK350-'Vertically Integrated Utilities'!AK184-'T&amp;D Utilities'!AK165</f>
        <v>-206.77499999999992</v>
      </c>
      <c r="AL63" s="151">
        <f>+AEP!AL143-'Generation &amp; Marketing'!AL350-'Vertically Integrated Utilities'!AL184-'T&amp;D Utilities'!AL165</f>
        <v>84.025000000000318</v>
      </c>
      <c r="AM63" s="112">
        <f>+AEP!AM143-'Generation &amp; Marketing'!AM350-'Vertically Integrated Utilities'!AM184-'T&amp;D Utilities'!AM165</f>
        <v>-610.2999999999995</v>
      </c>
      <c r="AN63" s="149">
        <f>+AEP!AN143-'Generation &amp; Marketing'!AN350-'Vertically Integrated Utilities'!AN184-'T&amp;D Utilities'!AN165</f>
        <v>-230.42500000000001</v>
      </c>
      <c r="AO63" s="150">
        <f>+AEP!AO143-'Generation &amp; Marketing'!AO350-'Vertically Integrated Utilities'!AO184-'T&amp;D Utilities'!AO165</f>
        <v>-253.52500000000015</v>
      </c>
      <c r="AP63" s="150">
        <f>+AEP!AP143-'Generation &amp; Marketing'!AP350-'Vertically Integrated Utilities'!AP184-'T&amp;D Utilities'!AP165</f>
        <v>-221.12500000000006</v>
      </c>
      <c r="AQ63" s="151">
        <f>+AEP!AQ143-'Generation &amp; Marketing'!AQ350-'Vertically Integrated Utilities'!AQ184-'T&amp;D Utilities'!AQ165</f>
        <v>-652.52500000000055</v>
      </c>
      <c r="AR63" s="112">
        <f>+AEP!AR143-'Generation &amp; Marketing'!AR350-'Vertically Integrated Utilities'!AR184-'T&amp;D Utilities'!AR165</f>
        <v>-1357.6000000000006</v>
      </c>
      <c r="AS63" s="149">
        <f>+AEP!AS143-'Generation &amp; Marketing'!AS350-'Vertically Integrated Utilities'!AS184-'T&amp;D Utilities'!AS165</f>
        <v>1902.3249999999998</v>
      </c>
      <c r="AT63" s="150">
        <f>+AEP!AT143-'Generation &amp; Marketing'!AT350-'Vertically Integrated Utilities'!AT184-'T&amp;D Utilities'!AT165</f>
        <v>-162.97500000000025</v>
      </c>
      <c r="AU63" s="150">
        <f>+AEP!AU143-'Generation &amp; Marketing'!AU350-'Vertically Integrated Utilities'!AU184-'T&amp;D Utilities'!AU165</f>
        <v>-243.37499999999966</v>
      </c>
      <c r="AV63" s="151">
        <f>+AEP!AV143-'Generation &amp; Marketing'!AV350-'Vertically Integrated Utilities'!AV184-'T&amp;D Utilities'!AV165</f>
        <v>-922.27500000000009</v>
      </c>
      <c r="AW63" s="112">
        <f>+AEP!AW143-'Generation &amp; Marketing'!AW350-'Vertically Integrated Utilities'!AW184-'T&amp;D Utilities'!AW165</f>
        <v>573.70000000000027</v>
      </c>
      <c r="AX63" s="149">
        <f>+AEP!AX143-'Generation &amp; Marketing'!AX350-'Vertically Integrated Utilities'!AX184-'T&amp;D Utilities'!AX165</f>
        <v>-387.50000000000023</v>
      </c>
      <c r="AY63" s="150">
        <f>+AEP!AY143-'Generation &amp; Marketing'!AY350-'Vertically Integrated Utilities'!AY184-'T&amp;D Utilities'!AY165</f>
        <v>-387.50000000000023</v>
      </c>
      <c r="AZ63" s="150">
        <f>+AEP!AZ143-'Generation &amp; Marketing'!AZ350-'Vertically Integrated Utilities'!AZ184-'T&amp;D Utilities'!AZ165</f>
        <v>-387.50000000000023</v>
      </c>
      <c r="BA63" s="151">
        <f>+AEP!BA143-'Generation &amp; Marketing'!BA350-'Vertically Integrated Utilities'!BA184-'T&amp;D Utilities'!BA165</f>
        <v>-387.5</v>
      </c>
      <c r="BB63" s="112">
        <f>+AEP!BB143-'Generation &amp; Marketing'!BB350-'Vertically Integrated Utilities'!BB184-'T&amp;D Utilities'!BB165</f>
        <v>-1550</v>
      </c>
      <c r="BC63" s="149">
        <f>+AEP!BC143-'Generation &amp; Marketing'!BC350-'Vertically Integrated Utilities'!BC184-'T&amp;D Utilities'!BC165</f>
        <v>-390.25000000000023</v>
      </c>
      <c r="BD63" s="150">
        <f>+AEP!BD143-'Generation &amp; Marketing'!BD350-'Vertically Integrated Utilities'!BD184-'T&amp;D Utilities'!BD165</f>
        <v>-390.25000000000023</v>
      </c>
      <c r="BE63" s="150">
        <f>+AEP!BE143-'Generation &amp; Marketing'!BE350-'Vertically Integrated Utilities'!BE184-'T&amp;D Utilities'!BE165</f>
        <v>-390.25000000000023</v>
      </c>
      <c r="BF63" s="151">
        <f>+AEP!BF143-'Generation &amp; Marketing'!BF350-'Vertically Integrated Utilities'!BF184-'T&amp;D Utilities'!BF165</f>
        <v>-390.25</v>
      </c>
      <c r="BG63" s="112">
        <f>+AEP!BG143-'Generation &amp; Marketing'!BG350-'Vertically Integrated Utilities'!BG184-'T&amp;D Utilities'!BG165</f>
        <v>-1561</v>
      </c>
      <c r="BH63" s="149">
        <f>+AEP!BH143-'Generation &amp; Marketing'!BH350-'Vertically Integrated Utilities'!BH184-'T&amp;D Utilities'!BH165</f>
        <v>-334.25000000000023</v>
      </c>
      <c r="BI63" s="150">
        <f>+AEP!BI143-'Generation &amp; Marketing'!BI350-'Vertically Integrated Utilities'!BI184-'T&amp;D Utilities'!BI165</f>
        <v>-334.25000000000023</v>
      </c>
      <c r="BJ63" s="150">
        <f>+AEP!BJ143-'Generation &amp; Marketing'!BJ350-'Vertically Integrated Utilities'!BJ184-'T&amp;D Utilities'!BJ165</f>
        <v>-334.25000000000023</v>
      </c>
      <c r="BK63" s="151">
        <f>+AEP!BK143-'Generation &amp; Marketing'!BK350-'Vertically Integrated Utilities'!BK184-'T&amp;D Utilities'!BK165</f>
        <v>-334.25</v>
      </c>
      <c r="BL63" s="112">
        <f>+AEP!BL143-'Generation &amp; Marketing'!BL350-'Vertically Integrated Utilities'!BL184-'T&amp;D Utilities'!BL165</f>
        <v>-1337</v>
      </c>
      <c r="BM63" s="149">
        <f>+AEP!BM143-'Generation &amp; Marketing'!BM350-'Vertically Integrated Utilities'!BM184-'T&amp;D Utilities'!BM165</f>
        <v>-384</v>
      </c>
      <c r="BN63" s="150">
        <f>+AEP!BN143-'Generation &amp; Marketing'!BN350-'Vertically Integrated Utilities'!BN184-'T&amp;D Utilities'!BN165</f>
        <v>-384</v>
      </c>
      <c r="BO63" s="150">
        <f>+AEP!BO143-'Generation &amp; Marketing'!BO350-'Vertically Integrated Utilities'!BO184-'T&amp;D Utilities'!BO165</f>
        <v>-384</v>
      </c>
      <c r="BP63" s="151">
        <f>+AEP!BP143-'Generation &amp; Marketing'!BP350-'Vertically Integrated Utilities'!BP184-'T&amp;D Utilities'!BP165</f>
        <v>-384</v>
      </c>
      <c r="BQ63" s="112">
        <f>+AEP!BQ143-'Generation &amp; Marketing'!BQ350-'Vertically Integrated Utilities'!BQ184-'T&amp;D Utilities'!BQ165</f>
        <v>-1536</v>
      </c>
    </row>
    <row r="64" spans="1:69">
      <c r="C64" s="100"/>
      <c r="E64" s="149"/>
      <c r="F64" s="156"/>
      <c r="G64" s="156"/>
      <c r="H64" s="151"/>
      <c r="I64" s="112"/>
      <c r="J64" s="149"/>
      <c r="K64" s="156"/>
      <c r="L64" s="156"/>
      <c r="M64" s="151"/>
      <c r="N64" s="112"/>
      <c r="O64" s="149"/>
      <c r="P64" s="156"/>
      <c r="Q64" s="156"/>
      <c r="R64" s="151"/>
      <c r="S64" s="112"/>
      <c r="T64" s="149"/>
      <c r="U64" s="156"/>
      <c r="V64" s="156"/>
      <c r="W64" s="151"/>
      <c r="X64" s="112"/>
      <c r="Y64" s="149"/>
      <c r="Z64" s="156"/>
      <c r="AA64" s="156"/>
      <c r="AB64" s="151"/>
      <c r="AC64" s="112"/>
      <c r="AD64" s="149"/>
      <c r="AE64" s="156"/>
      <c r="AF64" s="156"/>
      <c r="AG64" s="151"/>
      <c r="AH64" s="112"/>
      <c r="AI64" s="149"/>
      <c r="AJ64" s="156"/>
      <c r="AK64" s="156"/>
      <c r="AL64" s="151"/>
      <c r="AM64" s="112"/>
      <c r="AN64" s="149"/>
      <c r="AO64" s="156"/>
      <c r="AP64" s="156"/>
      <c r="AQ64" s="151"/>
      <c r="AR64" s="112"/>
      <c r="AS64" s="149"/>
      <c r="AT64" s="156"/>
      <c r="AU64" s="156"/>
      <c r="AV64" s="151"/>
      <c r="AW64" s="112"/>
      <c r="AX64" s="149"/>
      <c r="AY64" s="156"/>
      <c r="AZ64" s="156"/>
      <c r="BA64" s="151"/>
      <c r="BB64" s="112"/>
      <c r="BC64" s="149"/>
      <c r="BD64" s="156"/>
      <c r="BE64" s="156"/>
      <c r="BF64" s="151"/>
      <c r="BG64" s="112"/>
      <c r="BH64" s="149"/>
      <c r="BI64" s="156"/>
      <c r="BJ64" s="156"/>
      <c r="BK64" s="151"/>
      <c r="BL64" s="112"/>
      <c r="BM64" s="149"/>
      <c r="BN64" s="156"/>
      <c r="BO64" s="156"/>
      <c r="BP64" s="151"/>
      <c r="BQ64" s="112"/>
    </row>
    <row r="65" spans="2:69">
      <c r="B65" s="72"/>
      <c r="C65" s="100" t="s">
        <v>87</v>
      </c>
      <c r="D65" s="72"/>
      <c r="E65" s="161"/>
      <c r="F65" s="160"/>
      <c r="G65" s="160"/>
      <c r="H65" s="144"/>
      <c r="I65" s="109"/>
      <c r="J65" s="161"/>
      <c r="K65" s="160"/>
      <c r="L65" s="160"/>
      <c r="M65" s="144"/>
      <c r="N65" s="109"/>
      <c r="O65" s="161"/>
      <c r="P65" s="160"/>
      <c r="Q65" s="160"/>
      <c r="R65" s="144"/>
      <c r="S65" s="109"/>
      <c r="T65" s="161"/>
      <c r="U65" s="160"/>
      <c r="V65" s="160"/>
      <c r="W65" s="144"/>
      <c r="X65" s="109">
        <f>+AEP!X145-'Generation &amp; Marketing'!X352-'Vertically Integrated Utilities'!X186-'T&amp;D Utilities'!X167</f>
        <v>2856</v>
      </c>
      <c r="Y65" s="161">
        <f>+AEP!Y145-'Generation &amp; Marketing'!Y352-'Vertically Integrated Utilities'!Y186-'T&amp;D Utilities'!Y167</f>
        <v>671</v>
      </c>
      <c r="Z65" s="160">
        <f>+AEP!Z145-'Generation &amp; Marketing'!Z352-'Vertically Integrated Utilities'!Z186-'T&amp;D Utilities'!Z167</f>
        <v>270</v>
      </c>
      <c r="AA65" s="160">
        <f>+AEP!AA145-'Generation &amp; Marketing'!AA352-'Vertically Integrated Utilities'!AA186-'T&amp;D Utilities'!AA167</f>
        <v>1146</v>
      </c>
      <c r="AB65" s="144">
        <f>+AEP!AB145-'Generation &amp; Marketing'!AB352-'Vertically Integrated Utilities'!AB186-'T&amp;D Utilities'!AB167</f>
        <v>1120</v>
      </c>
      <c r="AC65" s="109">
        <f>+AEP!AC145-'Generation &amp; Marketing'!AC352-'Vertically Integrated Utilities'!AC186-'T&amp;D Utilities'!AC167</f>
        <v>3207</v>
      </c>
      <c r="AD65" s="161">
        <f>+AEP!AD145-'Generation &amp; Marketing'!AD352-'Vertically Integrated Utilities'!AD186-'T&amp;D Utilities'!AD167</f>
        <v>76</v>
      </c>
      <c r="AE65" s="160">
        <f>+AEP!AE145-'Generation &amp; Marketing'!AE352-'Vertically Integrated Utilities'!AE186-'T&amp;D Utilities'!AE167</f>
        <v>863</v>
      </c>
      <c r="AF65" s="160">
        <f>+AEP!AF145-'Generation &amp; Marketing'!AF352-'Vertically Integrated Utilities'!AF186-'T&amp;D Utilities'!AF167</f>
        <v>267</v>
      </c>
      <c r="AG65" s="144">
        <f>+AEP!AG145-'Generation &amp; Marketing'!AG352-'Vertically Integrated Utilities'!AG186-'T&amp;D Utilities'!AG167</f>
        <v>861</v>
      </c>
      <c r="AH65" s="109">
        <f>+AEP!AH145-'Generation &amp; Marketing'!AH352-'Vertically Integrated Utilities'!AH186-'T&amp;D Utilities'!AH167</f>
        <v>2067</v>
      </c>
      <c r="AI65" s="161">
        <f>+AEP!AI145-'Generation &amp; Marketing'!AI352-'Vertically Integrated Utilities'!AI186-'T&amp;D Utilities'!AI167</f>
        <v>774</v>
      </c>
      <c r="AJ65" s="160">
        <f>+AEP!AJ145-'Generation &amp; Marketing'!AJ352-'Vertically Integrated Utilities'!AJ186-'T&amp;D Utilities'!AJ167</f>
        <v>1829</v>
      </c>
      <c r="AK65" s="160">
        <f>+AEP!AK145-'Generation &amp; Marketing'!AK352-'Vertically Integrated Utilities'!AK186-'T&amp;D Utilities'!AK167</f>
        <v>328</v>
      </c>
      <c r="AL65" s="144">
        <f>+AEP!AL145-'Generation &amp; Marketing'!AL352-'Vertically Integrated Utilities'!AL186-'T&amp;D Utilities'!AL167</f>
        <v>505.59999999999991</v>
      </c>
      <c r="AM65" s="109">
        <f>+AEP!AM145-'Generation &amp; Marketing'!AM352-'Vertically Integrated Utilities'!AM186-'T&amp;D Utilities'!AM167</f>
        <v>3436.6</v>
      </c>
      <c r="AN65" s="161">
        <f>+AEP!AN145-'Generation &amp; Marketing'!AN352-'Vertically Integrated Utilities'!AN186-'T&amp;D Utilities'!AN167</f>
        <v>525.1</v>
      </c>
      <c r="AO65" s="160">
        <f>+AEP!AO145-'Generation &amp; Marketing'!AO352-'Vertically Integrated Utilities'!AO186-'T&amp;D Utilities'!AO167</f>
        <v>218.29999999999995</v>
      </c>
      <c r="AP65" s="160">
        <f>+AEP!AP145-'Generation &amp; Marketing'!AP352-'Vertically Integrated Utilities'!AP186-'T&amp;D Utilities'!AP167</f>
        <v>816.19999999999993</v>
      </c>
      <c r="AQ65" s="144">
        <f>+AEP!AQ145-'Generation &amp; Marketing'!AQ352-'Vertically Integrated Utilities'!AQ186-'T&amp;D Utilities'!AQ167</f>
        <v>1035.3000000000002</v>
      </c>
      <c r="AR65" s="109">
        <f>+AEP!AR145-'Generation &amp; Marketing'!AR352-'Vertically Integrated Utilities'!AR186-'T&amp;D Utilities'!AR167</f>
        <v>2594.9</v>
      </c>
      <c r="AS65" s="161">
        <f>+AEP!AS145-'Generation &amp; Marketing'!AS352-'Vertically Integrated Utilities'!AS186-'T&amp;D Utilities'!AS167</f>
        <v>5.9000000000000057</v>
      </c>
      <c r="AT65" s="160">
        <f>+AEP!AT145-'Generation &amp; Marketing'!AT352-'Vertically Integrated Utilities'!AT186-'T&amp;D Utilities'!AT167</f>
        <v>122.10000000000002</v>
      </c>
      <c r="AU65" s="160">
        <f>+AEP!AU145-'Generation &amp; Marketing'!AU352-'Vertically Integrated Utilities'!AU186-'T&amp;D Utilities'!AU167</f>
        <v>667.69999999999982</v>
      </c>
      <c r="AV65" s="144">
        <f>+AEP!AV145-'Generation &amp; Marketing'!AV352-'Vertically Integrated Utilities'!AV186-'T&amp;D Utilities'!AV167</f>
        <v>1051.4000000000001</v>
      </c>
      <c r="AW65" s="109">
        <f>+AEP!AW145-'Generation &amp; Marketing'!AW352-'Vertically Integrated Utilities'!AW186-'T&amp;D Utilities'!AW167</f>
        <v>1847.1</v>
      </c>
      <c r="AX65" s="161">
        <f t="shared" ref="AX65:BL65" si="81">+AX51</f>
        <v>0</v>
      </c>
      <c r="AY65" s="160">
        <f t="shared" si="81"/>
        <v>2332.7076957960949</v>
      </c>
      <c r="AZ65" s="160">
        <f t="shared" si="81"/>
        <v>0</v>
      </c>
      <c r="BA65" s="144">
        <f t="shared" si="81"/>
        <v>0</v>
      </c>
      <c r="BB65" s="109">
        <f t="shared" si="81"/>
        <v>2332.7076957960949</v>
      </c>
      <c r="BC65" s="161">
        <f t="shared" si="81"/>
        <v>0</v>
      </c>
      <c r="BD65" s="160">
        <f t="shared" si="81"/>
        <v>0</v>
      </c>
      <c r="BE65" s="160">
        <f t="shared" si="81"/>
        <v>2404.6071560574965</v>
      </c>
      <c r="BF65" s="144">
        <f t="shared" si="81"/>
        <v>0</v>
      </c>
      <c r="BG65" s="109">
        <f t="shared" si="81"/>
        <v>2404.6071560574965</v>
      </c>
      <c r="BH65" s="161">
        <f t="shared" si="81"/>
        <v>0</v>
      </c>
      <c r="BI65" s="160">
        <f t="shared" si="81"/>
        <v>0</v>
      </c>
      <c r="BJ65" s="160">
        <f t="shared" si="81"/>
        <v>577.50093121149894</v>
      </c>
      <c r="BK65" s="144">
        <f t="shared" si="81"/>
        <v>0</v>
      </c>
      <c r="BL65" s="109">
        <f t="shared" si="81"/>
        <v>577.50093121149894</v>
      </c>
      <c r="BM65" s="161">
        <f t="shared" ref="BM65:BQ66" si="82">+BM51</f>
        <v>0</v>
      </c>
      <c r="BN65" s="160">
        <f t="shared" si="82"/>
        <v>0</v>
      </c>
      <c r="BO65" s="160">
        <f t="shared" si="82"/>
        <v>933.14419712525705</v>
      </c>
      <c r="BP65" s="144">
        <f t="shared" si="82"/>
        <v>0</v>
      </c>
      <c r="BQ65" s="109">
        <f t="shared" si="82"/>
        <v>933.14419712525705</v>
      </c>
    </row>
    <row r="66" spans="2:69">
      <c r="B66" s="72"/>
      <c r="C66" s="100" t="s">
        <v>88</v>
      </c>
      <c r="D66" s="72"/>
      <c r="E66" s="161"/>
      <c r="F66" s="160"/>
      <c r="G66" s="160"/>
      <c r="H66" s="144"/>
      <c r="I66" s="109"/>
      <c r="J66" s="161"/>
      <c r="K66" s="160"/>
      <c r="L66" s="160"/>
      <c r="M66" s="144"/>
      <c r="N66" s="109"/>
      <c r="O66" s="161"/>
      <c r="P66" s="160"/>
      <c r="Q66" s="160"/>
      <c r="R66" s="144"/>
      <c r="S66" s="109"/>
      <c r="T66" s="161"/>
      <c r="U66" s="160"/>
      <c r="V66" s="160"/>
      <c r="W66" s="144"/>
      <c r="X66" s="109">
        <f>+AEP!X146-'Generation &amp; Marketing'!X353-'Vertically Integrated Utilities'!X187-'T&amp;D Utilities'!X168</f>
        <v>-1714</v>
      </c>
      <c r="Y66" s="161">
        <f>+AEP!Y146-'Generation &amp; Marketing'!Y353-'Vertically Integrated Utilities'!Y187-'T&amp;D Utilities'!Y168</f>
        <v>-874</v>
      </c>
      <c r="Z66" s="160">
        <f>+AEP!Z146-'Generation &amp; Marketing'!Z353-'Vertically Integrated Utilities'!Z187-'T&amp;D Utilities'!Z168</f>
        <v>-232</v>
      </c>
      <c r="AA66" s="160">
        <f>+AEP!AA146-'Generation &amp; Marketing'!AA353-'Vertically Integrated Utilities'!AA187-'T&amp;D Utilities'!AA168</f>
        <v>-1228</v>
      </c>
      <c r="AB66" s="144">
        <f>+AEP!AB146-'Generation &amp; Marketing'!AB353-'Vertically Integrated Utilities'!AB187-'T&amp;D Utilities'!AB168</f>
        <v>-346</v>
      </c>
      <c r="AC66" s="109">
        <f>+AEP!AC146-'Generation &amp; Marketing'!AC353-'Vertically Integrated Utilities'!AC187-'T&amp;D Utilities'!AC168</f>
        <v>-2680</v>
      </c>
      <c r="AD66" s="161">
        <f>+AEP!AD146-'Generation &amp; Marketing'!AD353-'Vertically Integrated Utilities'!AD187-'T&amp;D Utilities'!AD168</f>
        <v>-403</v>
      </c>
      <c r="AE66" s="160">
        <f>+AEP!AE146-'Generation &amp; Marketing'!AE353-'Vertically Integrated Utilities'!AE187-'T&amp;D Utilities'!AE168</f>
        <v>-862</v>
      </c>
      <c r="AF66" s="160">
        <f>+AEP!AF146-'Generation &amp; Marketing'!AF353-'Vertically Integrated Utilities'!AF187-'T&amp;D Utilities'!AF168</f>
        <v>-364</v>
      </c>
      <c r="AG66" s="144">
        <f>+AEP!AG146-'Generation &amp; Marketing'!AG353-'Vertically Integrated Utilities'!AG187-'T&amp;D Utilities'!AG168</f>
        <v>-271</v>
      </c>
      <c r="AH66" s="109">
        <f>+AEP!AH146-'Generation &amp; Marketing'!AH353-'Vertically Integrated Utilities'!AH187-'T&amp;D Utilities'!AH168</f>
        <v>-1900</v>
      </c>
      <c r="AI66" s="161">
        <f>+AEP!AI146-'Generation &amp; Marketing'!AI353-'Vertically Integrated Utilities'!AI187-'T&amp;D Utilities'!AI168</f>
        <v>-270</v>
      </c>
      <c r="AJ66" s="160">
        <f>+AEP!AJ146-'Generation &amp; Marketing'!AJ353-'Vertically Integrated Utilities'!AJ187-'T&amp;D Utilities'!AJ168</f>
        <v>-1514</v>
      </c>
      <c r="AK66" s="160">
        <f>+AEP!AK146-'Generation &amp; Marketing'!AK353-'Vertically Integrated Utilities'!AK187-'T&amp;D Utilities'!AK168</f>
        <v>-421</v>
      </c>
      <c r="AL66" s="144">
        <f>+AEP!AL146-'Generation &amp; Marketing'!AL353-'Vertically Integrated Utilities'!AL187-'T&amp;D Utilities'!AL168</f>
        <v>-384.59999999999991</v>
      </c>
      <c r="AM66" s="109">
        <f>+AEP!AM146-'Generation &amp; Marketing'!AM353-'Vertically Integrated Utilities'!AM187-'T&amp;D Utilities'!AM168</f>
        <v>-2589.6</v>
      </c>
      <c r="AN66" s="161">
        <f>+AEP!AN146-'Generation &amp; Marketing'!AN353-'Vertically Integrated Utilities'!AN187-'T&amp;D Utilities'!AN168</f>
        <v>-347.29999999999995</v>
      </c>
      <c r="AO66" s="160">
        <f>+AEP!AO146-'Generation &amp; Marketing'!AO353-'Vertically Integrated Utilities'!AO187-'T&amp;D Utilities'!AO168</f>
        <v>-427.80000000000007</v>
      </c>
      <c r="AP66" s="160">
        <f>+AEP!AP146-'Generation &amp; Marketing'!AP353-'Vertically Integrated Utilities'!AP187-'T&amp;D Utilities'!AP168</f>
        <v>-554.4</v>
      </c>
      <c r="AQ66" s="144">
        <f>+AEP!AQ146-'Generation &amp; Marketing'!AQ353-'Vertically Integrated Utilities'!AQ187-'T&amp;D Utilities'!AQ168</f>
        <v>-512</v>
      </c>
      <c r="AR66" s="109">
        <f>+AEP!AR146-'Generation &amp; Marketing'!AR353-'Vertically Integrated Utilities'!AR187-'T&amp;D Utilities'!AR168</f>
        <v>-1841.5</v>
      </c>
      <c r="AS66" s="161">
        <f>+AEP!AS146-'Generation &amp; Marketing'!AS353-'Vertically Integrated Utilities'!AS187-'T&amp;D Utilities'!AS168</f>
        <v>-184.09767000000002</v>
      </c>
      <c r="AT66" s="160">
        <f>+AEP!AT146-'Generation &amp; Marketing'!AT353-'Vertically Integrated Utilities'!AT187-'T&amp;D Utilities'!AT168</f>
        <v>-133.70000000000005</v>
      </c>
      <c r="AU66" s="160">
        <f>+AEP!AU146-'Generation &amp; Marketing'!AU353-'Vertically Integrated Utilities'!AU187-'T&amp;D Utilities'!AU168</f>
        <v>-205.02740699999973</v>
      </c>
      <c r="AV66" s="144">
        <f>+AEP!AV146-'Generation &amp; Marketing'!AV353-'Vertically Integrated Utilities'!AV187-'T&amp;D Utilities'!AV168</f>
        <v>-484.48524800000041</v>
      </c>
      <c r="AW66" s="109">
        <f>+AEP!AW146-'Generation &amp; Marketing'!AW353-'Vertically Integrated Utilities'!AW187-'T&amp;D Utilities'!AW168</f>
        <v>-1007.3103249999998</v>
      </c>
      <c r="AX66" s="161">
        <f t="shared" ref="AX66:BL66" si="83">+AX52</f>
        <v>0</v>
      </c>
      <c r="AY66" s="160">
        <f t="shared" si="83"/>
        <v>0</v>
      </c>
      <c r="AZ66" s="160">
        <f t="shared" si="83"/>
        <v>0</v>
      </c>
      <c r="BA66" s="144">
        <f t="shared" si="83"/>
        <v>-50</v>
      </c>
      <c r="BB66" s="109">
        <f t="shared" si="83"/>
        <v>-50</v>
      </c>
      <c r="BC66" s="161">
        <f t="shared" si="83"/>
        <v>0</v>
      </c>
      <c r="BD66" s="160">
        <f t="shared" si="83"/>
        <v>0</v>
      </c>
      <c r="BE66" s="160">
        <f t="shared" si="83"/>
        <v>0</v>
      </c>
      <c r="BF66" s="144">
        <f t="shared" si="83"/>
        <v>-85</v>
      </c>
      <c r="BG66" s="109">
        <f t="shared" si="83"/>
        <v>-85</v>
      </c>
      <c r="BH66" s="161">
        <f t="shared" si="83"/>
        <v>0</v>
      </c>
      <c r="BI66" s="160">
        <f t="shared" si="83"/>
        <v>0</v>
      </c>
      <c r="BJ66" s="160">
        <f t="shared" si="83"/>
        <v>0</v>
      </c>
      <c r="BK66" s="144">
        <f t="shared" si="83"/>
        <v>0</v>
      </c>
      <c r="BL66" s="109">
        <f t="shared" si="83"/>
        <v>0</v>
      </c>
      <c r="BM66" s="161">
        <f t="shared" si="82"/>
        <v>0</v>
      </c>
      <c r="BN66" s="160">
        <f t="shared" si="82"/>
        <v>0</v>
      </c>
      <c r="BO66" s="160">
        <f t="shared" si="82"/>
        <v>0</v>
      </c>
      <c r="BP66" s="144">
        <f t="shared" si="82"/>
        <v>-50</v>
      </c>
      <c r="BQ66" s="109">
        <f t="shared" si="82"/>
        <v>-50</v>
      </c>
    </row>
    <row r="67" spans="2:69">
      <c r="B67" s="72"/>
      <c r="C67" s="361" t="s">
        <v>260</v>
      </c>
      <c r="D67" s="361"/>
      <c r="E67" s="161"/>
      <c r="F67" s="160"/>
      <c r="G67" s="160"/>
      <c r="H67" s="144"/>
      <c r="I67" s="109"/>
      <c r="J67" s="161"/>
      <c r="K67" s="160"/>
      <c r="L67" s="160"/>
      <c r="M67" s="144"/>
      <c r="N67" s="109"/>
      <c r="O67" s="161"/>
      <c r="P67" s="160"/>
      <c r="Q67" s="160"/>
      <c r="R67" s="144"/>
      <c r="S67" s="109"/>
      <c r="T67" s="161"/>
      <c r="U67" s="160"/>
      <c r="V67" s="160"/>
      <c r="W67" s="144"/>
      <c r="X67" s="109">
        <f t="shared" ref="X67:AJ67" si="84">+X68-SUM(X65:X66)</f>
        <v>-1497</v>
      </c>
      <c r="Y67" s="161">
        <f t="shared" si="84"/>
        <v>119</v>
      </c>
      <c r="Z67" s="160">
        <f t="shared" si="84"/>
        <v>11</v>
      </c>
      <c r="AA67" s="160">
        <f t="shared" si="84"/>
        <v>-535</v>
      </c>
      <c r="AB67" s="144">
        <f t="shared" si="84"/>
        <v>-571</v>
      </c>
      <c r="AC67" s="109">
        <f t="shared" si="84"/>
        <v>-976</v>
      </c>
      <c r="AD67" s="161">
        <f t="shared" si="84"/>
        <v>349</v>
      </c>
      <c r="AE67" s="160">
        <f t="shared" si="84"/>
        <v>-80</v>
      </c>
      <c r="AF67" s="160">
        <f t="shared" si="84"/>
        <v>-414</v>
      </c>
      <c r="AG67" s="144">
        <f t="shared" si="84"/>
        <v>-184</v>
      </c>
      <c r="AH67" s="109">
        <f t="shared" si="84"/>
        <v>-329</v>
      </c>
      <c r="AI67" s="161">
        <f t="shared" si="84"/>
        <v>-717</v>
      </c>
      <c r="AJ67" s="160">
        <f t="shared" si="84"/>
        <v>-83</v>
      </c>
      <c r="AK67" s="160">
        <f>+AK68-SUM(AK65:AK66)</f>
        <v>-573</v>
      </c>
      <c r="AL67" s="144">
        <f>+AL68-SUM(AL65:AL66)</f>
        <v>-263.89999999999998</v>
      </c>
      <c r="AM67" s="109">
        <f>+AM68-SUM(AM65:AM66)</f>
        <v>-1636.9</v>
      </c>
      <c r="AN67" s="161">
        <f>+AN68-SUM(AN65:AN66)</f>
        <v>174.60000000000002</v>
      </c>
      <c r="AO67" s="160">
        <f>+AO68-SUM(AO65:AO66)</f>
        <v>563.89999999999986</v>
      </c>
      <c r="AP67" s="160">
        <f t="shared" ref="AP67:BL67" si="85">+AP68-SUM(AP65:AP66)</f>
        <v>-862.6</v>
      </c>
      <c r="AQ67" s="144">
        <f t="shared" ref="AQ67:AW67" si="86">+AQ68-SUM(AQ65:AQ66)</f>
        <v>-67.899999999999977</v>
      </c>
      <c r="AR67" s="109">
        <f t="shared" si="86"/>
        <v>-192</v>
      </c>
      <c r="AS67" s="161">
        <f t="shared" si="86"/>
        <v>-466.1999999999997</v>
      </c>
      <c r="AT67" s="160">
        <f t="shared" si="86"/>
        <v>14.299999999999955</v>
      </c>
      <c r="AU67" s="160">
        <f t="shared" si="86"/>
        <v>-1081.2000000000003</v>
      </c>
      <c r="AV67" s="144">
        <f t="shared" si="86"/>
        <v>162.00000000000011</v>
      </c>
      <c r="AW67" s="109">
        <f t="shared" si="86"/>
        <v>-1371.1000000000004</v>
      </c>
      <c r="AX67" s="161">
        <f t="shared" si="85"/>
        <v>-255.15598527800233</v>
      </c>
      <c r="AY67" s="160">
        <f t="shared" si="85"/>
        <v>-255.38101431400673</v>
      </c>
      <c r="AZ67" s="160">
        <f t="shared" si="85"/>
        <v>-255.60604335001153</v>
      </c>
      <c r="BA67" s="144">
        <f t="shared" si="85"/>
        <v>-268.06431528145691</v>
      </c>
      <c r="BB67" s="109">
        <f t="shared" si="85"/>
        <v>-1034.2073582234777</v>
      </c>
      <c r="BC67" s="161">
        <f t="shared" si="85"/>
        <v>-255.79834547890164</v>
      </c>
      <c r="BD67" s="160">
        <f t="shared" si="85"/>
        <v>-256.03237567634653</v>
      </c>
      <c r="BE67" s="160">
        <f t="shared" si="85"/>
        <v>-256.26640587379143</v>
      </c>
      <c r="BF67" s="144">
        <f t="shared" si="85"/>
        <v>-269.26045351408567</v>
      </c>
      <c r="BG67" s="109">
        <f t="shared" si="85"/>
        <v>-1037.3575805431251</v>
      </c>
      <c r="BH67" s="161">
        <f t="shared" si="85"/>
        <v>-44.990627730113488</v>
      </c>
      <c r="BI67" s="160">
        <f t="shared" si="85"/>
        <v>-46.207584756826577</v>
      </c>
      <c r="BJ67" s="160">
        <f t="shared" si="85"/>
        <v>-47.42454178353978</v>
      </c>
      <c r="BK67" s="144">
        <f t="shared" si="85"/>
        <v>-62.087158762662995</v>
      </c>
      <c r="BL67" s="109">
        <f t="shared" si="85"/>
        <v>-200.70991303314281</v>
      </c>
      <c r="BM67" s="161">
        <f>+BM68-SUM(BM65:BM66)</f>
        <v>-51.137562014695504</v>
      </c>
      <c r="BN67" s="160">
        <f>+BN68-SUM(BN65:BN66)</f>
        <v>-52.972733210978873</v>
      </c>
      <c r="BO67" s="160">
        <f>+BO68-SUM(BO65:BO66)</f>
        <v>-54.807904407262413</v>
      </c>
      <c r="BP67" s="144">
        <f>+BP68-SUM(BP65:BP66)</f>
        <v>-70.908798627687474</v>
      </c>
      <c r="BQ67" s="109">
        <f>+BQ68-SUM(BQ65:BQ66)</f>
        <v>-229.8269982606239</v>
      </c>
    </row>
    <row r="68" spans="2:69">
      <c r="B68" s="112"/>
      <c r="C68" s="164" t="s">
        <v>96</v>
      </c>
      <c r="D68" s="112"/>
      <c r="E68" s="149"/>
      <c r="F68" s="150"/>
      <c r="G68" s="150"/>
      <c r="H68" s="151"/>
      <c r="I68" s="112"/>
      <c r="J68" s="149"/>
      <c r="K68" s="150"/>
      <c r="L68" s="150"/>
      <c r="M68" s="151"/>
      <c r="N68" s="112"/>
      <c r="O68" s="149"/>
      <c r="P68" s="150"/>
      <c r="Q68" s="150"/>
      <c r="R68" s="151"/>
      <c r="S68" s="112"/>
      <c r="T68" s="149"/>
      <c r="U68" s="150"/>
      <c r="V68" s="150"/>
      <c r="W68" s="151"/>
      <c r="X68" s="112">
        <f>+AEP!X153-'Generation &amp; Marketing'!X359-'Vertically Integrated Utilities'!X193-'T&amp;D Utilities'!X174</f>
        <v>-355</v>
      </c>
      <c r="Y68" s="149">
        <f>+AEP!Y153-'Generation &amp; Marketing'!Y359-'Vertically Integrated Utilities'!Y193-'T&amp;D Utilities'!Y174</f>
        <v>-84</v>
      </c>
      <c r="Z68" s="150">
        <f>+AEP!Z153-'Generation &amp; Marketing'!Z359-'Vertically Integrated Utilities'!Z193-'T&amp;D Utilities'!Z174</f>
        <v>49</v>
      </c>
      <c r="AA68" s="150">
        <f>+AEP!AA153-'Generation &amp; Marketing'!AA359-'Vertically Integrated Utilities'!AA193-'T&amp;D Utilities'!AA174</f>
        <v>-617</v>
      </c>
      <c r="AB68" s="151">
        <f>+AEP!AB153-'Generation &amp; Marketing'!AB359-'Vertically Integrated Utilities'!AB193-'T&amp;D Utilities'!AB174</f>
        <v>203</v>
      </c>
      <c r="AC68" s="112">
        <f>+AEP!AC153-'Generation &amp; Marketing'!AC359-'Vertically Integrated Utilities'!AC193-'T&amp;D Utilities'!AC174</f>
        <v>-449</v>
      </c>
      <c r="AD68" s="149">
        <f>+AEP!AD153-'Generation &amp; Marketing'!AD359-'Vertically Integrated Utilities'!AD193-'T&amp;D Utilities'!AD174</f>
        <v>22</v>
      </c>
      <c r="AE68" s="150">
        <f>+AEP!AE153-'Generation &amp; Marketing'!AE359-'Vertically Integrated Utilities'!AE193-'T&amp;D Utilities'!AE174</f>
        <v>-79</v>
      </c>
      <c r="AF68" s="150">
        <f>+AEP!AF153-'Generation &amp; Marketing'!AF359-'Vertically Integrated Utilities'!AF193-'T&amp;D Utilities'!AF174</f>
        <v>-511</v>
      </c>
      <c r="AG68" s="151">
        <f>+AEP!AG153-'Generation &amp; Marketing'!AG359-'Vertically Integrated Utilities'!AG193-'T&amp;D Utilities'!AG174</f>
        <v>406</v>
      </c>
      <c r="AH68" s="112">
        <f>+AEP!AH153-'Generation &amp; Marketing'!AH359-'Vertically Integrated Utilities'!AH193-'T&amp;D Utilities'!AH174</f>
        <v>-162</v>
      </c>
      <c r="AI68" s="149">
        <f>+AEP!AI153-'Generation &amp; Marketing'!AI359-'Vertically Integrated Utilities'!AI193-'T&amp;D Utilities'!AI174</f>
        <v>-213</v>
      </c>
      <c r="AJ68" s="150">
        <f>+AEP!AJ153-'Generation &amp; Marketing'!AJ359-'Vertically Integrated Utilities'!AJ193-'T&amp;D Utilities'!AJ174</f>
        <v>232</v>
      </c>
      <c r="AK68" s="150">
        <f>+AEP!AK153-'Generation &amp; Marketing'!AK359-'Vertically Integrated Utilities'!AK193-'T&amp;D Utilities'!AK174</f>
        <v>-666</v>
      </c>
      <c r="AL68" s="151">
        <f>+AEP!AL153-'Generation &amp; Marketing'!AL359-'Vertically Integrated Utilities'!AL193-'T&amp;D Utilities'!AL174</f>
        <v>-142.9</v>
      </c>
      <c r="AM68" s="112">
        <f>+AEP!AM153-'Generation &amp; Marketing'!AM359-'Vertically Integrated Utilities'!AM193-'T&amp;D Utilities'!AM174</f>
        <v>-789.9</v>
      </c>
      <c r="AN68" s="149">
        <f>+AEP!AN153-'Generation &amp; Marketing'!AN359-'Vertically Integrated Utilities'!AN193-'T&amp;D Utilities'!AN174</f>
        <v>352.40000000000009</v>
      </c>
      <c r="AO68" s="150">
        <f>+AEP!AO153-'Generation &amp; Marketing'!AO359-'Vertically Integrated Utilities'!AO193-'T&amp;D Utilities'!AO174</f>
        <v>354.39999999999981</v>
      </c>
      <c r="AP68" s="150">
        <f>+AEP!AP153-'Generation &amp; Marketing'!AP359-'Vertically Integrated Utilities'!AP193-'T&amp;D Utilities'!AP174</f>
        <v>-600.80000000000007</v>
      </c>
      <c r="AQ68" s="151">
        <f>+AEP!AQ153-'Generation &amp; Marketing'!AQ359-'Vertically Integrated Utilities'!AQ193-'T&amp;D Utilities'!AQ174</f>
        <v>455.4000000000002</v>
      </c>
      <c r="AR68" s="112">
        <f>+AEP!AR153-'Generation &amp; Marketing'!AR359-'Vertically Integrated Utilities'!AR193-'T&amp;D Utilities'!AR174</f>
        <v>561.40000000000009</v>
      </c>
      <c r="AS68" s="149">
        <f>+AEP!AS153-'Generation &amp; Marketing'!AS359-'Vertically Integrated Utilities'!AS193-'T&amp;D Utilities'!AS174</f>
        <v>-644.39766999999972</v>
      </c>
      <c r="AT68" s="150">
        <f>+AEP!AT153-'Generation &amp; Marketing'!AT359-'Vertically Integrated Utilities'!AT193-'T&amp;D Utilities'!AT174</f>
        <v>2.6999999999999318</v>
      </c>
      <c r="AU68" s="150">
        <f>+AEP!AU153-'Generation &amp; Marketing'!AU359-'Vertically Integrated Utilities'!AU193-'T&amp;D Utilities'!AU174</f>
        <v>-618.52740700000004</v>
      </c>
      <c r="AV68" s="151">
        <f>+AEP!AV153-'Generation &amp; Marketing'!AV359-'Vertically Integrated Utilities'!AV193-'T&amp;D Utilities'!AV174</f>
        <v>728.91475199999979</v>
      </c>
      <c r="AW68" s="112">
        <f>+AEP!AW153-'Generation &amp; Marketing'!AW359-'Vertically Integrated Utilities'!AW193-'T&amp;D Utilities'!AW174</f>
        <v>-531.31032500000026</v>
      </c>
      <c r="AX68" s="149">
        <f>+AEP!AX153-'Generation &amp; Marketing'!AX359-'Vertically Integrated Utilities'!AX193-'T&amp;D Utilities'!AX174</f>
        <v>-255.15598527800233</v>
      </c>
      <c r="AY68" s="150">
        <f>+AEP!AY153-'Generation &amp; Marketing'!AY359-'Vertically Integrated Utilities'!AY193-'T&amp;D Utilities'!AY174</f>
        <v>2077.3266814820881</v>
      </c>
      <c r="AZ68" s="150">
        <f>+AEP!AZ153-'Generation &amp; Marketing'!AZ359-'Vertically Integrated Utilities'!AZ193-'T&amp;D Utilities'!AZ174</f>
        <v>-255.60604335001153</v>
      </c>
      <c r="BA68" s="151">
        <f>+AEP!BA153-'Generation &amp; Marketing'!BA359-'Vertically Integrated Utilities'!BA193-'T&amp;D Utilities'!BA174</f>
        <v>-318.06431528145691</v>
      </c>
      <c r="BB68" s="112">
        <f>+AEP!BB153-'Generation &amp; Marketing'!BB359-'Vertically Integrated Utilities'!BB193-'T&amp;D Utilities'!BB174</f>
        <v>1248.5003375726171</v>
      </c>
      <c r="BC68" s="149">
        <f>+AEP!BC153-'Generation &amp; Marketing'!BC359-'Vertically Integrated Utilities'!BC193-'T&amp;D Utilities'!BC174</f>
        <v>-255.79834547890164</v>
      </c>
      <c r="BD68" s="150">
        <f>+AEP!BD153-'Generation &amp; Marketing'!BD359-'Vertically Integrated Utilities'!BD193-'T&amp;D Utilities'!BD174</f>
        <v>-256.03237567634653</v>
      </c>
      <c r="BE68" s="150">
        <f>+AEP!BE153-'Generation &amp; Marketing'!BE359-'Vertically Integrated Utilities'!BE193-'T&amp;D Utilities'!BE174</f>
        <v>2148.340750183705</v>
      </c>
      <c r="BF68" s="151">
        <f>+AEP!BF153-'Generation &amp; Marketing'!BF359-'Vertically Integrated Utilities'!BF193-'T&amp;D Utilities'!BF174</f>
        <v>-354.26045351408567</v>
      </c>
      <c r="BG68" s="112">
        <f>+AEP!BG153-'Generation &amp; Marketing'!BG359-'Vertically Integrated Utilities'!BG193-'T&amp;D Utilities'!BG174</f>
        <v>1282.2495755143714</v>
      </c>
      <c r="BH68" s="149">
        <f>+AEP!BH153-'Generation &amp; Marketing'!BH359-'Vertically Integrated Utilities'!BH193-'T&amp;D Utilities'!BH174</f>
        <v>-44.990627730113488</v>
      </c>
      <c r="BI68" s="150">
        <f>+AEP!BI153-'Generation &amp; Marketing'!BI359-'Vertically Integrated Utilities'!BI193-'T&amp;D Utilities'!BI174</f>
        <v>-46.207584756826577</v>
      </c>
      <c r="BJ68" s="150">
        <f>+AEP!BJ153-'Generation &amp; Marketing'!BJ359-'Vertically Integrated Utilities'!BJ193-'T&amp;D Utilities'!BJ174</f>
        <v>530.07638942795916</v>
      </c>
      <c r="BK68" s="151">
        <f>+AEP!BK153-'Generation &amp; Marketing'!BK359-'Vertically Integrated Utilities'!BK193-'T&amp;D Utilities'!BK174</f>
        <v>-62.087158762662995</v>
      </c>
      <c r="BL68" s="112">
        <f>+AEP!BL153-'Generation &amp; Marketing'!BL359-'Vertically Integrated Utilities'!BL193-'T&amp;D Utilities'!BL174</f>
        <v>376.79101817835613</v>
      </c>
      <c r="BM68" s="149">
        <f>+AEP!BM153-'Generation &amp; Marketing'!BM359-'Vertically Integrated Utilities'!BM193-'T&amp;D Utilities'!BM174</f>
        <v>-51.137562014695504</v>
      </c>
      <c r="BN68" s="150">
        <f>+AEP!BN153-'Generation &amp; Marketing'!BN359-'Vertically Integrated Utilities'!BN193-'T&amp;D Utilities'!BN174</f>
        <v>-52.972733210978873</v>
      </c>
      <c r="BO68" s="150">
        <f>+AEP!BO153-'Generation &amp; Marketing'!BO359-'Vertically Integrated Utilities'!BO193-'T&amp;D Utilities'!BO174</f>
        <v>878.33629271799464</v>
      </c>
      <c r="BP68" s="151">
        <f>+AEP!BP153-'Generation &amp; Marketing'!BP359-'Vertically Integrated Utilities'!BP193-'T&amp;D Utilities'!BP174</f>
        <v>-120.90879862768747</v>
      </c>
      <c r="BQ68" s="112">
        <f>+AEP!BQ153-'Generation &amp; Marketing'!BQ359-'Vertically Integrated Utilities'!BQ193-'T&amp;D Utilities'!BQ174</f>
        <v>653.31719886463316</v>
      </c>
    </row>
    <row r="69" spans="2:69">
      <c r="C69" s="100"/>
      <c r="E69" s="149"/>
      <c r="F69" s="156"/>
      <c r="G69" s="156"/>
      <c r="H69" s="151"/>
      <c r="I69" s="112"/>
      <c r="J69" s="149"/>
      <c r="K69" s="156"/>
      <c r="L69" s="156"/>
      <c r="M69" s="151"/>
      <c r="N69" s="112"/>
      <c r="O69" s="149"/>
      <c r="P69" s="156"/>
      <c r="Q69" s="156"/>
      <c r="R69" s="151"/>
      <c r="S69" s="112"/>
      <c r="T69" s="149"/>
      <c r="U69" s="156"/>
      <c r="V69" s="156"/>
      <c r="W69" s="151"/>
      <c r="X69" s="112"/>
      <c r="Y69" s="149"/>
      <c r="Z69" s="156"/>
      <c r="AA69" s="156"/>
      <c r="AB69" s="151"/>
      <c r="AC69" s="112"/>
      <c r="AD69" s="149"/>
      <c r="AE69" s="156"/>
      <c r="AF69" s="156"/>
      <c r="AG69" s="151"/>
      <c r="AH69" s="112"/>
      <c r="AI69" s="149"/>
      <c r="AJ69" s="156"/>
      <c r="AK69" s="156"/>
      <c r="AL69" s="151"/>
      <c r="AM69" s="112"/>
      <c r="AN69" s="149"/>
      <c r="AO69" s="156"/>
      <c r="AP69" s="156"/>
      <c r="AQ69" s="151"/>
      <c r="AR69" s="112"/>
      <c r="AS69" s="149"/>
      <c r="AT69" s="156"/>
      <c r="AU69" s="156"/>
      <c r="AV69" s="151"/>
      <c r="AW69" s="112"/>
      <c r="AX69" s="149"/>
      <c r="AY69" s="156"/>
      <c r="AZ69" s="156"/>
      <c r="BA69" s="151"/>
      <c r="BB69" s="112"/>
      <c r="BC69" s="149"/>
      <c r="BD69" s="156"/>
      <c r="BE69" s="156"/>
      <c r="BF69" s="151"/>
      <c r="BG69" s="112"/>
      <c r="BH69" s="149"/>
      <c r="BI69" s="156"/>
      <c r="BJ69" s="156"/>
      <c r="BK69" s="151"/>
      <c r="BL69" s="112"/>
      <c r="BM69" s="149"/>
      <c r="BN69" s="156"/>
      <c r="BO69" s="156"/>
      <c r="BP69" s="151"/>
      <c r="BQ69" s="112"/>
    </row>
    <row r="70" spans="2:69">
      <c r="B70" s="112"/>
      <c r="C70" s="164" t="s">
        <v>97</v>
      </c>
      <c r="D70" s="112"/>
      <c r="E70" s="370"/>
      <c r="F70" s="371"/>
      <c r="G70" s="371"/>
      <c r="H70" s="372"/>
      <c r="I70" s="112"/>
      <c r="J70" s="370"/>
      <c r="K70" s="371"/>
      <c r="L70" s="371"/>
      <c r="M70" s="372"/>
      <c r="N70" s="112"/>
      <c r="O70" s="370"/>
      <c r="P70" s="371"/>
      <c r="Q70" s="371"/>
      <c r="R70" s="372"/>
      <c r="S70" s="112"/>
      <c r="T70" s="370"/>
      <c r="U70" s="371"/>
      <c r="V70" s="371"/>
      <c r="W70" s="372"/>
      <c r="X70" s="112">
        <f t="shared" ref="X70:AJ70" si="87">+X59+X63+X68</f>
        <v>-271</v>
      </c>
      <c r="Y70" s="370">
        <f t="shared" si="87"/>
        <v>-167</v>
      </c>
      <c r="Z70" s="371">
        <f t="shared" si="87"/>
        <v>-20</v>
      </c>
      <c r="AA70" s="371">
        <f t="shared" si="87"/>
        <v>-123</v>
      </c>
      <c r="AB70" s="372">
        <f t="shared" si="87"/>
        <v>-55</v>
      </c>
      <c r="AC70" s="112">
        <f t="shared" si="87"/>
        <v>-365</v>
      </c>
      <c r="AD70" s="370">
        <f t="shared" si="87"/>
        <v>-48.5</v>
      </c>
      <c r="AE70" s="371">
        <f t="shared" si="87"/>
        <v>-134.5</v>
      </c>
      <c r="AF70" s="371">
        <f t="shared" si="87"/>
        <v>-138.5</v>
      </c>
      <c r="AG70" s="372">
        <f t="shared" si="87"/>
        <v>163.19999999999925</v>
      </c>
      <c r="AH70" s="112">
        <f t="shared" si="87"/>
        <v>-158.30000000000064</v>
      </c>
      <c r="AI70" s="370">
        <f t="shared" si="87"/>
        <v>-223.52499999999992</v>
      </c>
      <c r="AJ70" s="371">
        <f t="shared" si="87"/>
        <v>-53.52499999999992</v>
      </c>
      <c r="AK70" s="371">
        <f>+AK59+AK63+AK68</f>
        <v>-194.52499999999992</v>
      </c>
      <c r="AL70" s="372">
        <f>+AL59+AL63+AL68</f>
        <v>169.0750000000003</v>
      </c>
      <c r="AM70" s="112">
        <f>+AM59+AM63+AM68</f>
        <v>-302.49999999999898</v>
      </c>
      <c r="AN70" s="370">
        <f>+AN59+AN63+AN68</f>
        <v>-46.524999999999409</v>
      </c>
      <c r="AO70" s="371">
        <f>+AO59+AO63+AO68</f>
        <v>55.974999999999739</v>
      </c>
      <c r="AP70" s="371">
        <f t="shared" ref="AP70:BL70" si="88">+AP59+AP63+AP68</f>
        <v>1161.1750000000002</v>
      </c>
      <c r="AQ70" s="372">
        <f t="shared" ref="AQ70:AW70" si="89">+AQ59+AQ63+AQ68</f>
        <v>222.57500000000061</v>
      </c>
      <c r="AR70" s="112">
        <f t="shared" si="89"/>
        <v>1310.5000000000016</v>
      </c>
      <c r="AS70" s="370">
        <f t="shared" si="89"/>
        <v>1109.8273299999992</v>
      </c>
      <c r="AT70" s="371">
        <f t="shared" si="89"/>
        <v>12.124999999999233</v>
      </c>
      <c r="AU70" s="371">
        <f t="shared" si="89"/>
        <v>-358.70240700000011</v>
      </c>
      <c r="AV70" s="372">
        <f t="shared" si="89"/>
        <v>195.93975199999977</v>
      </c>
      <c r="AW70" s="112">
        <f t="shared" si="89"/>
        <v>959.18967499999906</v>
      </c>
      <c r="AX70" s="370">
        <f t="shared" si="88"/>
        <v>-388.14451499584362</v>
      </c>
      <c r="AY70" s="371">
        <f t="shared" si="88"/>
        <v>1915.1613417156314</v>
      </c>
      <c r="AZ70" s="371">
        <f t="shared" si="88"/>
        <v>-329.2889215300122</v>
      </c>
      <c r="BA70" s="372">
        <f t="shared" si="88"/>
        <v>-401.46647178084999</v>
      </c>
      <c r="BB70" s="112">
        <f t="shared" si="88"/>
        <v>796.261433408926</v>
      </c>
      <c r="BC70" s="370">
        <f t="shared" si="88"/>
        <v>-518.71613348821256</v>
      </c>
      <c r="BD70" s="371">
        <f t="shared" si="88"/>
        <v>-516.25837832401635</v>
      </c>
      <c r="BE70" s="371">
        <f t="shared" si="88"/>
        <v>1896.5929941012871</v>
      </c>
      <c r="BF70" s="372">
        <f t="shared" si="88"/>
        <v>-559.51667265572269</v>
      </c>
      <c r="BG70" s="112">
        <f t="shared" si="88"/>
        <v>302.10180963333664</v>
      </c>
      <c r="BH70" s="370">
        <f t="shared" si="88"/>
        <v>-305.95302049353876</v>
      </c>
      <c r="BI70" s="371">
        <f t="shared" si="88"/>
        <v>-296.56679184303795</v>
      </c>
      <c r="BJ70" s="371">
        <f t="shared" si="88"/>
        <v>289.51984547345637</v>
      </c>
      <c r="BK70" s="372">
        <f t="shared" si="88"/>
        <v>-244.9750013143067</v>
      </c>
      <c r="BL70" s="112">
        <f t="shared" si="88"/>
        <v>-557.97496817742683</v>
      </c>
      <c r="BM70" s="370">
        <f>+BM59+BM63+BM68</f>
        <v>-366.72298031253302</v>
      </c>
      <c r="BN70" s="371">
        <f>+BN59+BN63+BN68</f>
        <v>-359.09356616263926</v>
      </c>
      <c r="BO70" s="371">
        <f>+BO59+BO63+BO68</f>
        <v>587.34059317181618</v>
      </c>
      <c r="BP70" s="372">
        <f>+BP59+BP63+BP68</f>
        <v>-351.1363195324368</v>
      </c>
      <c r="BQ70" s="112">
        <f>+BQ59+BQ63+BQ68</f>
        <v>-489.61227283579274</v>
      </c>
    </row>
    <row r="72" spans="2:69">
      <c r="N72" s="711"/>
      <c r="O72" s="711"/>
    </row>
  </sheetData>
  <phoneticPr fontId="40" type="noConversion"/>
  <pageMargins left="0.5" right="0.5" top="0.5" bottom="0.5" header="0" footer="0"/>
  <pageSetup scale="59" fitToHeight="4" orientation="landscape" r:id="rId1"/>
  <headerFooter alignWithMargins="0"/>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DT369"/>
  <sheetViews>
    <sheetView zoomScale="80" zoomScaleNormal="80" workbookViewId="0">
      <pane ySplit="15" topLeftCell="A16" activePane="bottomLeft" state="frozen"/>
      <selection pane="bottomLeft" activeCell="A16" sqref="A16"/>
    </sheetView>
  </sheetViews>
  <sheetFormatPr defaultRowHeight="12.75" customHeight="1" outlineLevelCol="1"/>
  <cols>
    <col min="1" max="2" width="2.7109375" customWidth="1"/>
    <col min="3" max="3" width="60" customWidth="1"/>
    <col min="4" max="4" width="1.28515625" customWidth="1"/>
    <col min="5" max="7" width="8.7109375" customWidth="1"/>
    <col min="8" max="8" width="12.5703125" customWidth="1"/>
    <col min="9" max="10" width="7.7109375" customWidth="1"/>
    <col min="11" max="11" width="1.85546875" customWidth="1"/>
    <col min="12" max="12" width="8.85546875" customWidth="1"/>
    <col min="13" max="16" width="8.85546875" hidden="1" customWidth="1" outlineLevel="1"/>
    <col min="17" max="17" width="8.85546875" customWidth="1" collapsed="1"/>
    <col min="18" max="21" width="8.85546875" hidden="1" customWidth="1" outlineLevel="1"/>
    <col min="22" max="22" width="8.85546875" customWidth="1" collapsed="1"/>
    <col min="23" max="26" width="8.85546875" hidden="1" customWidth="1" outlineLevel="1"/>
    <col min="27" max="27" width="8.85546875" customWidth="1" collapsed="1"/>
    <col min="28" max="31" width="8.85546875" hidden="1" customWidth="1" outlineLevel="1"/>
    <col min="32" max="32" width="8.85546875" customWidth="1" collapsed="1"/>
    <col min="33" max="36" width="8.85546875" hidden="1" customWidth="1" outlineLevel="1"/>
    <col min="37" max="37" width="8.85546875" customWidth="1" collapsed="1"/>
    <col min="38" max="41" width="8.85546875" hidden="1" customWidth="1" outlineLevel="1"/>
    <col min="42" max="42" width="8.85546875" customWidth="1" collapsed="1"/>
    <col min="43" max="46" width="8.85546875" hidden="1" customWidth="1" outlineLevel="1"/>
    <col min="47" max="47" width="8.85546875" customWidth="1" collapsed="1"/>
    <col min="48" max="51" width="8.85546875" hidden="1" customWidth="1" outlineLevel="1"/>
    <col min="52" max="52" width="8.85546875" customWidth="1" collapsed="1"/>
    <col min="53" max="56" width="8.85546875" hidden="1" customWidth="1" outlineLevel="1"/>
    <col min="57" max="57" width="8.85546875" customWidth="1" collapsed="1"/>
    <col min="58" max="61" width="8.85546875" hidden="1" customWidth="1" outlineLevel="1"/>
    <col min="62" max="62" width="8.85546875" customWidth="1" collapsed="1"/>
    <col min="63" max="66" width="8.85546875" hidden="1" customWidth="1" outlineLevel="1"/>
    <col min="67" max="67" width="8.85546875" customWidth="1" collapsed="1"/>
    <col min="68" max="68" width="2.5703125" customWidth="1"/>
    <col min="69" max="69" width="8.7109375" customWidth="1"/>
    <col min="70" max="73" width="8.7109375" hidden="1" customWidth="1" outlineLevel="1"/>
    <col min="74" max="74" width="8.7109375" customWidth="1" collapsed="1"/>
    <col min="75" max="78" width="8.7109375" hidden="1" customWidth="1" outlineLevel="1"/>
    <col min="79" max="79" width="8.7109375" customWidth="1" collapsed="1"/>
    <col min="80" max="83" width="8.7109375" hidden="1" customWidth="1" outlineLevel="1"/>
    <col min="84" max="84" width="8.7109375" customWidth="1" collapsed="1"/>
    <col min="85" max="88" width="8.7109375" hidden="1" customWidth="1" outlineLevel="1"/>
    <col min="89" max="89" width="8.7109375" customWidth="1" collapsed="1"/>
    <col min="90" max="93" width="8.7109375" hidden="1" customWidth="1" outlineLevel="1"/>
    <col min="94" max="94" width="8.7109375" customWidth="1" collapsed="1"/>
    <col min="95" max="98" width="8.7109375" hidden="1" customWidth="1" outlineLevel="1"/>
    <col min="99" max="99" width="8.7109375" customWidth="1" collapsed="1"/>
    <col min="100" max="103" width="8.7109375" hidden="1" customWidth="1" outlineLevel="1"/>
    <col min="104" max="104" width="8.7109375" customWidth="1" collapsed="1"/>
    <col min="105" max="108" width="8.7109375" customWidth="1" outlineLevel="1"/>
    <col min="109" max="109" width="8.7109375" customWidth="1"/>
    <col min="110" max="113" width="8.7109375" hidden="1" customWidth="1" outlineLevel="1"/>
    <col min="114" max="114" width="8.7109375" customWidth="1" collapsed="1"/>
    <col min="115" max="118" width="8.7109375" hidden="1" customWidth="1" outlineLevel="1"/>
    <col min="119" max="119" width="8.7109375" customWidth="1" collapsed="1"/>
    <col min="120" max="123" width="8.7109375" hidden="1" customWidth="1" outlineLevel="1"/>
    <col min="124" max="124" width="8.7109375" customWidth="1" collapsed="1"/>
  </cols>
  <sheetData>
    <row r="1" spans="1:124" ht="15" customHeight="1">
      <c r="A1" s="32"/>
      <c r="B1" s="32"/>
      <c r="C1" s="32"/>
      <c r="D1" s="32"/>
      <c r="E1" s="34"/>
      <c r="F1" s="34"/>
      <c r="G1" s="34"/>
      <c r="H1" s="34"/>
      <c r="I1" s="34"/>
      <c r="J1" s="34"/>
      <c r="K1" s="34"/>
      <c r="L1" s="373"/>
      <c r="M1" s="373"/>
      <c r="N1" s="373"/>
      <c r="O1" s="373"/>
      <c r="P1" s="373"/>
      <c r="Q1" s="373"/>
      <c r="R1" s="373"/>
      <c r="S1" s="373"/>
      <c r="T1" s="373"/>
      <c r="U1" s="373"/>
      <c r="V1" s="373"/>
      <c r="W1" s="373"/>
      <c r="X1" s="373"/>
      <c r="Y1" s="373"/>
      <c r="Z1" s="373"/>
      <c r="AA1" s="373"/>
      <c r="AB1" s="373"/>
      <c r="AC1" s="373"/>
      <c r="AD1" s="373"/>
      <c r="AE1" s="373"/>
      <c r="AF1" s="373"/>
      <c r="AG1" s="373"/>
      <c r="AH1" s="373"/>
      <c r="AI1" s="373"/>
      <c r="AJ1" s="373"/>
      <c r="AK1" s="373"/>
      <c r="AL1" s="373"/>
      <c r="AM1" s="373"/>
      <c r="AN1" s="373"/>
      <c r="AO1" s="373"/>
      <c r="AP1" s="373"/>
      <c r="AQ1" s="373"/>
      <c r="AR1" s="373"/>
      <c r="AS1" s="373"/>
      <c r="AT1" s="373"/>
      <c r="AU1" s="373"/>
      <c r="AV1" s="373"/>
      <c r="AW1" s="373"/>
      <c r="AX1" s="373"/>
      <c r="AY1" s="373"/>
      <c r="AZ1" s="373"/>
      <c r="BA1" s="373"/>
      <c r="BB1" s="373"/>
      <c r="BC1" s="373"/>
      <c r="BD1" s="373"/>
      <c r="BE1" s="373"/>
      <c r="BF1" s="373"/>
      <c r="BG1" s="373"/>
      <c r="BH1" s="373"/>
      <c r="BI1" s="373"/>
      <c r="BJ1" s="373"/>
      <c r="BK1" s="373"/>
      <c r="BL1" s="373"/>
      <c r="BM1" s="373"/>
      <c r="BN1" s="373"/>
      <c r="BO1" s="373"/>
      <c r="BP1" s="373"/>
      <c r="BQ1" s="373"/>
      <c r="BR1" s="373"/>
      <c r="BS1" s="373"/>
      <c r="BT1" s="373"/>
      <c r="BU1" s="373"/>
      <c r="BV1" s="373"/>
      <c r="BW1" s="373"/>
      <c r="BX1" s="373"/>
      <c r="BY1" s="373"/>
      <c r="BZ1" s="373"/>
      <c r="CA1" s="373"/>
      <c r="CB1" s="373"/>
      <c r="CC1" s="373"/>
      <c r="CD1" s="373"/>
      <c r="CE1" s="373"/>
      <c r="CF1" s="373"/>
      <c r="CG1" s="373"/>
      <c r="CH1" s="373"/>
      <c r="CI1" s="373"/>
      <c r="CJ1" s="373"/>
      <c r="CK1" s="373"/>
      <c r="CL1" s="373"/>
      <c r="CM1" s="373"/>
      <c r="CN1" s="373"/>
      <c r="CO1" s="373"/>
      <c r="CP1" s="373"/>
      <c r="CQ1" s="373"/>
      <c r="CR1" s="373"/>
      <c r="CS1" s="373"/>
      <c r="CT1" s="373"/>
      <c r="CU1" s="373"/>
      <c r="CV1" s="373"/>
      <c r="CW1" s="373"/>
      <c r="CX1" s="373"/>
      <c r="CY1" s="373"/>
      <c r="CZ1" s="373"/>
      <c r="DA1" s="373"/>
      <c r="DB1" s="373"/>
      <c r="DC1" s="373"/>
      <c r="DD1" s="373"/>
      <c r="DE1" s="373"/>
      <c r="DF1" s="373"/>
      <c r="DG1" s="373"/>
      <c r="DH1" s="373"/>
      <c r="DI1" s="373"/>
      <c r="DJ1" s="373"/>
      <c r="DK1" s="373"/>
      <c r="DL1" s="373"/>
      <c r="DM1" s="373"/>
      <c r="DN1" s="373"/>
      <c r="DO1" s="373"/>
      <c r="DP1" s="373"/>
      <c r="DQ1" s="373"/>
      <c r="DR1" s="373"/>
      <c r="DS1" s="373"/>
      <c r="DT1" s="373"/>
    </row>
    <row r="2" spans="1:124" ht="15" customHeight="1">
      <c r="A2" s="32"/>
      <c r="B2" s="32" t="str">
        <f>Cover!$B$2</f>
        <v>American Electric Power Company</v>
      </c>
      <c r="C2" s="32"/>
      <c r="D2" s="32"/>
      <c r="E2" s="34"/>
      <c r="F2" s="34"/>
      <c r="G2" s="34"/>
      <c r="H2" s="34"/>
      <c r="I2" s="34"/>
      <c r="J2" s="34"/>
      <c r="K2" s="34"/>
      <c r="L2" s="373"/>
      <c r="M2" s="373"/>
      <c r="N2" s="373"/>
      <c r="O2" s="373"/>
      <c r="P2" s="373"/>
      <c r="Q2" s="373"/>
      <c r="R2" s="373"/>
      <c r="S2" s="373"/>
      <c r="T2" s="373"/>
      <c r="U2" s="373"/>
      <c r="V2" s="373"/>
      <c r="W2" s="373"/>
      <c r="X2" s="373"/>
      <c r="Y2" s="373"/>
      <c r="Z2" s="373"/>
      <c r="AA2" s="373"/>
      <c r="AB2" s="373"/>
      <c r="AC2" s="373"/>
      <c r="AD2" s="373"/>
      <c r="AE2" s="373"/>
      <c r="AF2" s="373"/>
      <c r="AG2" s="373"/>
      <c r="AH2" s="373"/>
      <c r="AI2" s="373"/>
      <c r="AJ2" s="373"/>
      <c r="AK2" s="373"/>
      <c r="AL2" s="373"/>
      <c r="AM2" s="373"/>
      <c r="AN2" s="373"/>
      <c r="AO2" s="373"/>
      <c r="AP2" s="373"/>
      <c r="AQ2" s="373"/>
      <c r="AR2" s="373"/>
      <c r="AS2" s="373"/>
      <c r="AT2" s="373"/>
      <c r="AU2" s="373"/>
      <c r="AV2" s="373"/>
      <c r="AW2" s="373"/>
      <c r="AX2" s="373"/>
      <c r="AY2" s="373"/>
      <c r="AZ2" s="373"/>
      <c r="BA2" s="373"/>
      <c r="BB2" s="373"/>
      <c r="BC2" s="373"/>
      <c r="BD2" s="373"/>
      <c r="BE2" s="373"/>
      <c r="BF2" s="373"/>
      <c r="BG2" s="373"/>
      <c r="BH2" s="373"/>
      <c r="BI2" s="373"/>
      <c r="BJ2" s="373"/>
      <c r="BK2" s="373"/>
      <c r="BL2" s="373"/>
      <c r="BM2" s="373"/>
      <c r="BN2" s="373"/>
      <c r="BO2" s="373"/>
      <c r="BP2" s="373"/>
      <c r="BQ2" s="373"/>
      <c r="BR2" s="373"/>
      <c r="BS2" s="373"/>
      <c r="BT2" s="373"/>
      <c r="BU2" s="373"/>
      <c r="BV2" s="373"/>
      <c r="BW2" s="373"/>
      <c r="BX2" s="373"/>
      <c r="BY2" s="373"/>
      <c r="BZ2" s="373"/>
      <c r="CA2" s="373"/>
      <c r="CB2" s="373"/>
      <c r="CC2" s="373"/>
      <c r="CD2" s="373"/>
      <c r="CE2" s="373"/>
      <c r="CF2" s="373"/>
      <c r="CG2" s="373"/>
      <c r="CH2" s="373"/>
      <c r="CI2" s="373"/>
      <c r="CJ2" s="373"/>
      <c r="CK2" s="373"/>
      <c r="CL2" s="373"/>
      <c r="CM2" s="373"/>
      <c r="CN2" s="373"/>
      <c r="CO2" s="373"/>
      <c r="CP2" s="373"/>
      <c r="CQ2" s="373"/>
      <c r="CR2" s="373"/>
      <c r="CS2" s="373"/>
      <c r="CT2" s="373"/>
      <c r="CU2" s="373"/>
      <c r="CV2" s="373"/>
      <c r="CW2" s="373"/>
      <c r="CX2" s="373"/>
      <c r="CY2" s="373"/>
      <c r="CZ2" s="373"/>
      <c r="DA2" s="373"/>
      <c r="DB2" s="373"/>
      <c r="DC2" s="373"/>
      <c r="DD2" s="373"/>
      <c r="DE2" s="373"/>
      <c r="DF2" s="373"/>
      <c r="DG2" s="373"/>
      <c r="DH2" s="373"/>
      <c r="DI2" s="373"/>
      <c r="DJ2" s="373"/>
      <c r="DK2" s="373"/>
      <c r="DL2" s="373"/>
      <c r="DM2" s="373"/>
      <c r="DN2" s="373"/>
      <c r="DO2" s="373"/>
      <c r="DP2" s="373"/>
      <c r="DQ2" s="373"/>
      <c r="DR2" s="373"/>
      <c r="DS2" s="373"/>
      <c r="DT2" s="373"/>
    </row>
    <row r="3" spans="1:124" ht="15" customHeight="1">
      <c r="A3" s="35"/>
      <c r="B3" s="36" t="s">
        <v>261</v>
      </c>
      <c r="C3" s="36"/>
      <c r="D3" s="36"/>
      <c r="E3" s="34"/>
      <c r="F3" s="34"/>
      <c r="G3" s="34"/>
      <c r="H3" s="34"/>
      <c r="I3" s="34"/>
      <c r="J3" s="34"/>
      <c r="K3" s="34"/>
      <c r="L3" s="373"/>
      <c r="M3" s="373"/>
      <c r="N3" s="373"/>
      <c r="O3" s="373"/>
      <c r="P3" s="373"/>
      <c r="Q3" s="373"/>
      <c r="R3" s="373"/>
      <c r="S3" s="373"/>
      <c r="T3" s="373"/>
      <c r="U3" s="373"/>
      <c r="V3" s="373"/>
      <c r="W3" s="373"/>
      <c r="X3" s="373"/>
      <c r="Y3" s="373"/>
      <c r="Z3" s="373"/>
      <c r="AA3" s="373"/>
      <c r="AB3" s="373"/>
      <c r="AC3" s="373"/>
      <c r="AD3" s="373"/>
      <c r="AE3" s="373"/>
      <c r="AF3" s="373"/>
      <c r="AG3" s="373"/>
      <c r="AH3" s="373"/>
      <c r="AI3" s="373"/>
      <c r="AJ3" s="373"/>
      <c r="AK3" s="373"/>
      <c r="AL3" s="373"/>
      <c r="AM3" s="373"/>
      <c r="AN3" s="373"/>
      <c r="AO3" s="373"/>
      <c r="AP3" s="373"/>
      <c r="AQ3" s="373"/>
      <c r="AR3" s="373"/>
      <c r="AS3" s="373"/>
      <c r="AT3" s="373"/>
      <c r="AU3" s="373"/>
      <c r="AV3" s="373"/>
      <c r="AW3" s="373"/>
      <c r="AX3" s="373"/>
      <c r="AY3" s="373"/>
      <c r="AZ3" s="373"/>
      <c r="BA3" s="373"/>
      <c r="BB3" s="373"/>
      <c r="BC3" s="373"/>
      <c r="BD3" s="373"/>
      <c r="BE3" s="373"/>
      <c r="BF3" s="373"/>
      <c r="BG3" s="373"/>
      <c r="BH3" s="373"/>
      <c r="BI3" s="373"/>
      <c r="BJ3" s="373"/>
      <c r="BK3" s="373"/>
      <c r="BL3" s="373"/>
      <c r="BM3" s="373"/>
      <c r="BN3" s="373"/>
      <c r="BO3" s="373"/>
      <c r="BP3" s="373"/>
      <c r="BQ3" s="373"/>
      <c r="BR3" s="373"/>
      <c r="BS3" s="373"/>
      <c r="BT3" s="373"/>
      <c r="BU3" s="373"/>
      <c r="BV3" s="373"/>
      <c r="BW3" s="373"/>
      <c r="BX3" s="373"/>
      <c r="BY3" s="373"/>
      <c r="BZ3" s="373"/>
      <c r="CA3" s="373"/>
      <c r="CB3" s="373"/>
      <c r="CC3" s="373"/>
      <c r="CD3" s="373"/>
      <c r="CE3" s="373"/>
      <c r="CF3" s="373"/>
      <c r="CG3" s="373"/>
      <c r="CH3" s="373"/>
      <c r="CI3" s="373"/>
      <c r="CJ3" s="373"/>
      <c r="CK3" s="373"/>
      <c r="CL3" s="373"/>
      <c r="CM3" s="373"/>
      <c r="CN3" s="373"/>
      <c r="CO3" s="373"/>
      <c r="CP3" s="373"/>
      <c r="CQ3" s="373"/>
      <c r="CR3" s="373"/>
      <c r="CS3" s="373"/>
      <c r="CT3" s="373"/>
      <c r="CU3" s="373"/>
      <c r="CV3" s="373"/>
      <c r="CW3" s="373"/>
      <c r="CX3" s="373"/>
      <c r="CY3" s="373"/>
      <c r="CZ3" s="373"/>
      <c r="DA3" s="373"/>
      <c r="DB3" s="373"/>
      <c r="DC3" s="373"/>
      <c r="DD3" s="373"/>
      <c r="DE3" s="373"/>
      <c r="DF3" s="373"/>
      <c r="DG3" s="373"/>
      <c r="DH3" s="373"/>
      <c r="DI3" s="373"/>
      <c r="DJ3" s="373"/>
      <c r="DK3" s="373"/>
      <c r="DL3" s="373"/>
      <c r="DM3" s="373"/>
      <c r="DN3" s="373"/>
      <c r="DO3" s="373"/>
      <c r="DP3" s="373"/>
      <c r="DQ3" s="373"/>
      <c r="DR3" s="373"/>
      <c r="DS3" s="373"/>
      <c r="DT3" s="373"/>
    </row>
    <row r="4" spans="1:124" ht="12.75" customHeight="1">
      <c r="A4" s="38"/>
      <c r="B4" s="39" t="s">
        <v>828</v>
      </c>
      <c r="C4" s="39"/>
      <c r="D4" s="39"/>
      <c r="E4" s="41"/>
      <c r="F4" s="41"/>
      <c r="G4" s="41"/>
      <c r="H4" s="41"/>
      <c r="I4" s="41"/>
      <c r="J4" s="41"/>
      <c r="K4" s="41"/>
      <c r="L4" s="374"/>
      <c r="M4" s="374"/>
      <c r="N4" s="374"/>
      <c r="O4" s="374"/>
      <c r="P4" s="374"/>
      <c r="Q4" s="374"/>
      <c r="R4" s="374"/>
      <c r="S4" s="374"/>
      <c r="T4" s="374"/>
      <c r="U4" s="374"/>
      <c r="V4" s="374"/>
      <c r="W4" s="374"/>
      <c r="X4" s="374"/>
      <c r="Y4" s="374"/>
      <c r="Z4" s="374"/>
      <c r="AA4" s="374"/>
      <c r="AB4" s="374"/>
      <c r="AC4" s="374"/>
      <c r="AD4" s="374"/>
      <c r="AE4" s="374"/>
      <c r="AF4" s="374"/>
      <c r="AG4" s="374"/>
      <c r="AH4" s="374"/>
      <c r="AI4" s="374"/>
      <c r="AJ4" s="374"/>
      <c r="AK4" s="374"/>
      <c r="AL4" s="374"/>
      <c r="AM4" s="374"/>
      <c r="AN4" s="374"/>
      <c r="AO4" s="374"/>
      <c r="AP4" s="374"/>
      <c r="AQ4" s="374"/>
      <c r="AR4" s="374"/>
      <c r="AS4" s="374"/>
      <c r="AT4" s="374"/>
      <c r="AU4" s="374"/>
      <c r="AV4" s="374"/>
      <c r="AW4" s="374"/>
      <c r="AX4" s="374"/>
      <c r="AY4" s="374"/>
      <c r="AZ4" s="374"/>
      <c r="BA4" s="374"/>
      <c r="BB4" s="374"/>
      <c r="BC4" s="374"/>
      <c r="BD4" s="374"/>
      <c r="BE4" s="374"/>
      <c r="BF4" s="374"/>
      <c r="BG4" s="374"/>
      <c r="BH4" s="374"/>
      <c r="BI4" s="374"/>
      <c r="BJ4" s="374"/>
      <c r="BK4" s="374"/>
      <c r="BL4" s="374"/>
      <c r="BM4" s="374"/>
      <c r="BN4" s="374"/>
      <c r="BO4" s="374"/>
      <c r="BP4" s="374"/>
      <c r="BQ4" s="374"/>
      <c r="BR4" s="374"/>
      <c r="BS4" s="374"/>
      <c r="BT4" s="374"/>
      <c r="BU4" s="374"/>
      <c r="BV4" s="374"/>
      <c r="BW4" s="374"/>
      <c r="BX4" s="374"/>
      <c r="BY4" s="374"/>
      <c r="BZ4" s="374"/>
      <c r="CA4" s="374"/>
      <c r="CB4" s="374"/>
      <c r="CC4" s="374"/>
      <c r="CD4" s="374"/>
      <c r="CE4" s="374"/>
      <c r="CF4" s="374"/>
      <c r="CG4" s="374"/>
      <c r="CH4" s="374"/>
      <c r="CI4" s="374"/>
      <c r="CJ4" s="374"/>
      <c r="CK4" s="374"/>
      <c r="CL4" s="374"/>
      <c r="CM4" s="374"/>
      <c r="CN4" s="374"/>
      <c r="CO4" s="374"/>
      <c r="CP4" s="374"/>
      <c r="CQ4" s="374"/>
      <c r="CR4" s="374"/>
      <c r="CS4" s="374"/>
      <c r="CT4" s="374"/>
      <c r="CU4" s="374"/>
      <c r="CV4" s="374"/>
      <c r="CW4" s="374"/>
      <c r="CX4" s="374"/>
      <c r="CY4" s="374"/>
      <c r="CZ4" s="374"/>
      <c r="DA4" s="374"/>
      <c r="DB4" s="374"/>
      <c r="DC4" s="374"/>
      <c r="DD4" s="374"/>
      <c r="DE4" s="374"/>
      <c r="DF4" s="374"/>
      <c r="DG4" s="374"/>
      <c r="DH4" s="374"/>
      <c r="DI4" s="374"/>
      <c r="DJ4" s="374"/>
      <c r="DK4" s="374"/>
      <c r="DL4" s="374"/>
      <c r="DM4" s="374"/>
      <c r="DN4" s="374"/>
      <c r="DO4" s="374"/>
      <c r="DP4" s="374"/>
      <c r="DQ4" s="374"/>
      <c r="DR4" s="374"/>
      <c r="DS4" s="374"/>
      <c r="DT4" s="374"/>
    </row>
    <row r="5" spans="1:124" ht="12.75" customHeight="1">
      <c r="A5" s="375"/>
      <c r="B5" s="375" t="s">
        <v>859</v>
      </c>
      <c r="C5" s="375"/>
      <c r="D5" s="375"/>
      <c r="E5" s="376" t="s">
        <v>262</v>
      </c>
      <c r="F5" s="377">
        <v>2017</v>
      </c>
      <c r="G5" s="377">
        <v>2016</v>
      </c>
      <c r="H5" s="378" t="s">
        <v>263</v>
      </c>
      <c r="I5" s="378" t="s">
        <v>264</v>
      </c>
      <c r="J5" s="379" t="s">
        <v>265</v>
      </c>
      <c r="K5" s="380"/>
      <c r="L5" s="381">
        <v>2010</v>
      </c>
      <c r="M5" s="382" t="s">
        <v>945</v>
      </c>
      <c r="N5" s="383" t="s">
        <v>946</v>
      </c>
      <c r="O5" s="383" t="s">
        <v>353</v>
      </c>
      <c r="P5" s="384" t="s">
        <v>76</v>
      </c>
      <c r="Q5" s="381">
        <v>2011</v>
      </c>
      <c r="R5" s="382" t="s">
        <v>91</v>
      </c>
      <c r="S5" s="383" t="s">
        <v>92</v>
      </c>
      <c r="T5" s="383" t="s">
        <v>790</v>
      </c>
      <c r="U5" s="384" t="s">
        <v>644</v>
      </c>
      <c r="V5" s="1013">
        <v>2012</v>
      </c>
      <c r="W5" s="382" t="s">
        <v>646</v>
      </c>
      <c r="X5" s="383" t="s">
        <v>619</v>
      </c>
      <c r="Y5" s="383" t="s">
        <v>620</v>
      </c>
      <c r="Z5" s="384" t="s">
        <v>246</v>
      </c>
      <c r="AA5" s="1013">
        <v>2013</v>
      </c>
      <c r="AB5" s="382" t="s">
        <v>274</v>
      </c>
      <c r="AC5" s="383" t="s">
        <v>275</v>
      </c>
      <c r="AD5" s="383" t="s">
        <v>276</v>
      </c>
      <c r="AE5" s="384" t="s">
        <v>1060</v>
      </c>
      <c r="AF5" s="1013">
        <v>2014</v>
      </c>
      <c r="AG5" s="382" t="s">
        <v>1062</v>
      </c>
      <c r="AH5" s="383" t="s">
        <v>1063</v>
      </c>
      <c r="AI5" s="383" t="s">
        <v>1122</v>
      </c>
      <c r="AJ5" s="384" t="s">
        <v>1123</v>
      </c>
      <c r="AK5" s="1013">
        <v>2015</v>
      </c>
      <c r="AL5" s="382" t="s">
        <v>1131</v>
      </c>
      <c r="AM5" s="383" t="s">
        <v>1137</v>
      </c>
      <c r="AN5" s="383" t="s">
        <v>1274</v>
      </c>
      <c r="AO5" s="384" t="s">
        <v>1291</v>
      </c>
      <c r="AP5" s="1013">
        <v>2016</v>
      </c>
      <c r="AQ5" s="382" t="s">
        <v>1320</v>
      </c>
      <c r="AR5" s="383" t="s">
        <v>1324</v>
      </c>
      <c r="AS5" s="383" t="s">
        <v>1330</v>
      </c>
      <c r="AT5" s="384" t="s">
        <v>1354</v>
      </c>
      <c r="AU5" s="1013">
        <v>2017</v>
      </c>
      <c r="AV5" s="382" t="s">
        <v>69</v>
      </c>
      <c r="AW5" s="383" t="s">
        <v>70</v>
      </c>
      <c r="AX5" s="383" t="s">
        <v>71</v>
      </c>
      <c r="AY5" s="384" t="s">
        <v>72</v>
      </c>
      <c r="AZ5" s="385">
        <v>2018</v>
      </c>
      <c r="BA5" s="382" t="s">
        <v>1067</v>
      </c>
      <c r="BB5" s="383" t="s">
        <v>1068</v>
      </c>
      <c r="BC5" s="383" t="s">
        <v>1069</v>
      </c>
      <c r="BD5" s="384" t="s">
        <v>1070</v>
      </c>
      <c r="BE5" s="385">
        <v>2019</v>
      </c>
      <c r="BF5" s="126" t="s">
        <v>1071</v>
      </c>
      <c r="BG5" s="127" t="s">
        <v>1072</v>
      </c>
      <c r="BH5" s="127" t="s">
        <v>1073</v>
      </c>
      <c r="BI5" s="128" t="s">
        <v>1074</v>
      </c>
      <c r="BJ5" s="385">
        <v>2020</v>
      </c>
      <c r="BK5" s="126" t="s">
        <v>1278</v>
      </c>
      <c r="BL5" s="127" t="s">
        <v>1279</v>
      </c>
      <c r="BM5" s="127" t="s">
        <v>1280</v>
      </c>
      <c r="BN5" s="128" t="s">
        <v>1281</v>
      </c>
      <c r="BO5" s="385">
        <v>2021</v>
      </c>
      <c r="BP5" s="386"/>
      <c r="BQ5" s="381">
        <v>2010</v>
      </c>
      <c r="BR5" s="382" t="s">
        <v>945</v>
      </c>
      <c r="BS5" s="383" t="s">
        <v>946</v>
      </c>
      <c r="BT5" s="383" t="s">
        <v>353</v>
      </c>
      <c r="BU5" s="384" t="s">
        <v>76</v>
      </c>
      <c r="BV5" s="381">
        <v>2011</v>
      </c>
      <c r="BW5" s="382" t="s">
        <v>91</v>
      </c>
      <c r="BX5" s="383" t="s">
        <v>92</v>
      </c>
      <c r="BY5" s="383" t="s">
        <v>790</v>
      </c>
      <c r="BZ5" s="384" t="s">
        <v>644</v>
      </c>
      <c r="CA5" s="1013">
        <v>2012</v>
      </c>
      <c r="CB5" s="382" t="s">
        <v>646</v>
      </c>
      <c r="CC5" s="383" t="s">
        <v>619</v>
      </c>
      <c r="CD5" s="383" t="s">
        <v>620</v>
      </c>
      <c r="CE5" s="384" t="s">
        <v>246</v>
      </c>
      <c r="CF5" s="1013">
        <v>2013</v>
      </c>
      <c r="CG5" s="382" t="s">
        <v>274</v>
      </c>
      <c r="CH5" s="383" t="s">
        <v>275</v>
      </c>
      <c r="CI5" s="383" t="s">
        <v>276</v>
      </c>
      <c r="CJ5" s="384" t="s">
        <v>1060</v>
      </c>
      <c r="CK5" s="1013">
        <v>2014</v>
      </c>
      <c r="CL5" s="382" t="s">
        <v>1062</v>
      </c>
      <c r="CM5" s="383" t="s">
        <v>1063</v>
      </c>
      <c r="CN5" s="383" t="s">
        <v>1122</v>
      </c>
      <c r="CO5" s="384" t="s">
        <v>1123</v>
      </c>
      <c r="CP5" s="1013">
        <v>2015</v>
      </c>
      <c r="CQ5" s="382" t="s">
        <v>1131</v>
      </c>
      <c r="CR5" s="383" t="s">
        <v>1137</v>
      </c>
      <c r="CS5" s="383" t="s">
        <v>1274</v>
      </c>
      <c r="CT5" s="384" t="s">
        <v>1291</v>
      </c>
      <c r="CU5" s="1013">
        <v>2016</v>
      </c>
      <c r="CV5" s="382" t="s">
        <v>1320</v>
      </c>
      <c r="CW5" s="383" t="s">
        <v>1324</v>
      </c>
      <c r="CX5" s="383" t="s">
        <v>1330</v>
      </c>
      <c r="CY5" s="384" t="s">
        <v>1354</v>
      </c>
      <c r="CZ5" s="1013">
        <v>2017</v>
      </c>
      <c r="DA5" s="382" t="s">
        <v>69</v>
      </c>
      <c r="DB5" s="383" t="s">
        <v>70</v>
      </c>
      <c r="DC5" s="383" t="s">
        <v>71</v>
      </c>
      <c r="DD5" s="384" t="s">
        <v>72</v>
      </c>
      <c r="DE5" s="385">
        <v>2018</v>
      </c>
      <c r="DF5" s="382" t="s">
        <v>1067</v>
      </c>
      <c r="DG5" s="383" t="s">
        <v>1068</v>
      </c>
      <c r="DH5" s="383" t="s">
        <v>1069</v>
      </c>
      <c r="DI5" s="384" t="s">
        <v>1070</v>
      </c>
      <c r="DJ5" s="385">
        <v>2019</v>
      </c>
      <c r="DK5" s="126" t="s">
        <v>1071</v>
      </c>
      <c r="DL5" s="127" t="s">
        <v>1072</v>
      </c>
      <c r="DM5" s="127" t="s">
        <v>1073</v>
      </c>
      <c r="DN5" s="128" t="s">
        <v>1074</v>
      </c>
      <c r="DO5" s="385">
        <v>2020</v>
      </c>
      <c r="DP5" s="126" t="s">
        <v>1278</v>
      </c>
      <c r="DQ5" s="127" t="s">
        <v>1279</v>
      </c>
      <c r="DR5" s="127" t="s">
        <v>1280</v>
      </c>
      <c r="DS5" s="128" t="s">
        <v>1281</v>
      </c>
      <c r="DT5" s="385">
        <v>2021</v>
      </c>
    </row>
    <row r="6" spans="1:124" ht="12.75" customHeight="1" thickBot="1">
      <c r="B6" s="387"/>
      <c r="C6" s="388"/>
      <c r="D6" s="388"/>
      <c r="E6" s="389"/>
      <c r="F6" s="390"/>
      <c r="G6" s="390"/>
      <c r="H6" s="391"/>
      <c r="I6" s="391"/>
      <c r="J6" s="392"/>
      <c r="K6" s="393"/>
      <c r="L6" s="394" t="s">
        <v>266</v>
      </c>
      <c r="M6" s="395" t="s">
        <v>266</v>
      </c>
      <c r="N6" s="396" t="s">
        <v>266</v>
      </c>
      <c r="O6" s="396" t="s">
        <v>266</v>
      </c>
      <c r="P6" s="397" t="s">
        <v>266</v>
      </c>
      <c r="Q6" s="394" t="s">
        <v>266</v>
      </c>
      <c r="R6" s="395" t="s">
        <v>266</v>
      </c>
      <c r="S6" s="396" t="s">
        <v>266</v>
      </c>
      <c r="T6" s="396" t="s">
        <v>266</v>
      </c>
      <c r="U6" s="397" t="s">
        <v>266</v>
      </c>
      <c r="V6" s="394" t="s">
        <v>266</v>
      </c>
      <c r="W6" s="395" t="s">
        <v>266</v>
      </c>
      <c r="X6" s="396" t="s">
        <v>266</v>
      </c>
      <c r="Y6" s="396" t="s">
        <v>266</v>
      </c>
      <c r="Z6" s="397" t="s">
        <v>266</v>
      </c>
      <c r="AA6" s="394" t="s">
        <v>266</v>
      </c>
      <c r="AB6" s="395" t="s">
        <v>266</v>
      </c>
      <c r="AC6" s="396" t="s">
        <v>266</v>
      </c>
      <c r="AD6" s="396" t="s">
        <v>266</v>
      </c>
      <c r="AE6" s="397" t="s">
        <v>266</v>
      </c>
      <c r="AF6" s="394" t="s">
        <v>266</v>
      </c>
      <c r="AG6" s="395" t="s">
        <v>266</v>
      </c>
      <c r="AH6" s="396" t="s">
        <v>266</v>
      </c>
      <c r="AI6" s="396" t="s">
        <v>266</v>
      </c>
      <c r="AJ6" s="397" t="s">
        <v>266</v>
      </c>
      <c r="AK6" s="394" t="s">
        <v>266</v>
      </c>
      <c r="AL6" s="395" t="s">
        <v>266</v>
      </c>
      <c r="AM6" s="396" t="s">
        <v>266</v>
      </c>
      <c r="AN6" s="396" t="s">
        <v>266</v>
      </c>
      <c r="AO6" s="397" t="s">
        <v>266</v>
      </c>
      <c r="AP6" s="394" t="s">
        <v>266</v>
      </c>
      <c r="AQ6" s="395" t="s">
        <v>266</v>
      </c>
      <c r="AR6" s="396" t="s">
        <v>266</v>
      </c>
      <c r="AS6" s="396" t="s">
        <v>266</v>
      </c>
      <c r="AT6" s="397" t="s">
        <v>266</v>
      </c>
      <c r="AU6" s="394" t="s">
        <v>266</v>
      </c>
      <c r="AV6" s="395" t="s">
        <v>266</v>
      </c>
      <c r="AW6" s="396" t="s">
        <v>266</v>
      </c>
      <c r="AX6" s="396" t="s">
        <v>266</v>
      </c>
      <c r="AY6" s="397" t="s">
        <v>266</v>
      </c>
      <c r="AZ6" s="394" t="s">
        <v>266</v>
      </c>
      <c r="BA6" s="395" t="s">
        <v>266</v>
      </c>
      <c r="BB6" s="396" t="s">
        <v>266</v>
      </c>
      <c r="BC6" s="396" t="s">
        <v>266</v>
      </c>
      <c r="BD6" s="397" t="s">
        <v>266</v>
      </c>
      <c r="BE6" s="394" t="s">
        <v>266</v>
      </c>
      <c r="BF6" s="395" t="s">
        <v>266</v>
      </c>
      <c r="BG6" s="396" t="s">
        <v>266</v>
      </c>
      <c r="BH6" s="396" t="s">
        <v>266</v>
      </c>
      <c r="BI6" s="397" t="s">
        <v>266</v>
      </c>
      <c r="BJ6" s="394" t="s">
        <v>266</v>
      </c>
      <c r="BK6" s="395" t="s">
        <v>266</v>
      </c>
      <c r="BL6" s="396" t="s">
        <v>266</v>
      </c>
      <c r="BM6" s="396" t="s">
        <v>266</v>
      </c>
      <c r="BN6" s="397" t="s">
        <v>266</v>
      </c>
      <c r="BO6" s="394" t="s">
        <v>266</v>
      </c>
      <c r="BP6" s="398"/>
      <c r="BQ6" s="394" t="s">
        <v>267</v>
      </c>
      <c r="BR6" s="395" t="s">
        <v>267</v>
      </c>
      <c r="BS6" s="396" t="s">
        <v>267</v>
      </c>
      <c r="BT6" s="396" t="s">
        <v>267</v>
      </c>
      <c r="BU6" s="397" t="s">
        <v>267</v>
      </c>
      <c r="BV6" s="394" t="s">
        <v>267</v>
      </c>
      <c r="BW6" s="395" t="s">
        <v>267</v>
      </c>
      <c r="BX6" s="396" t="s">
        <v>267</v>
      </c>
      <c r="BY6" s="396" t="s">
        <v>267</v>
      </c>
      <c r="BZ6" s="397" t="s">
        <v>267</v>
      </c>
      <c r="CA6" s="394" t="s">
        <v>267</v>
      </c>
      <c r="CB6" s="395" t="s">
        <v>267</v>
      </c>
      <c r="CC6" s="396" t="s">
        <v>267</v>
      </c>
      <c r="CD6" s="396" t="s">
        <v>267</v>
      </c>
      <c r="CE6" s="397" t="s">
        <v>267</v>
      </c>
      <c r="CF6" s="394" t="s">
        <v>267</v>
      </c>
      <c r="CG6" s="395" t="s">
        <v>267</v>
      </c>
      <c r="CH6" s="396" t="s">
        <v>267</v>
      </c>
      <c r="CI6" s="396" t="s">
        <v>267</v>
      </c>
      <c r="CJ6" s="397" t="s">
        <v>267</v>
      </c>
      <c r="CK6" s="394" t="s">
        <v>267</v>
      </c>
      <c r="CL6" s="395" t="s">
        <v>267</v>
      </c>
      <c r="CM6" s="396" t="s">
        <v>267</v>
      </c>
      <c r="CN6" s="396" t="s">
        <v>267</v>
      </c>
      <c r="CO6" s="397" t="s">
        <v>267</v>
      </c>
      <c r="CP6" s="394" t="s">
        <v>267</v>
      </c>
      <c r="CQ6" s="395" t="s">
        <v>267</v>
      </c>
      <c r="CR6" s="396" t="s">
        <v>267</v>
      </c>
      <c r="CS6" s="396" t="s">
        <v>267</v>
      </c>
      <c r="CT6" s="397" t="s">
        <v>267</v>
      </c>
      <c r="CU6" s="394" t="s">
        <v>267</v>
      </c>
      <c r="CV6" s="395" t="s">
        <v>267</v>
      </c>
      <c r="CW6" s="396" t="s">
        <v>267</v>
      </c>
      <c r="CX6" s="396" t="s">
        <v>267</v>
      </c>
      <c r="CY6" s="397" t="s">
        <v>267</v>
      </c>
      <c r="CZ6" s="394" t="s">
        <v>267</v>
      </c>
      <c r="DA6" s="395" t="s">
        <v>267</v>
      </c>
      <c r="DB6" s="396" t="s">
        <v>267</v>
      </c>
      <c r="DC6" s="396" t="s">
        <v>267</v>
      </c>
      <c r="DD6" s="397" t="s">
        <v>267</v>
      </c>
      <c r="DE6" s="394" t="s">
        <v>267</v>
      </c>
      <c r="DF6" s="395" t="s">
        <v>267</v>
      </c>
      <c r="DG6" s="396" t="s">
        <v>267</v>
      </c>
      <c r="DH6" s="396" t="s">
        <v>267</v>
      </c>
      <c r="DI6" s="397" t="s">
        <v>267</v>
      </c>
      <c r="DJ6" s="394" t="s">
        <v>267</v>
      </c>
      <c r="DK6" s="395" t="s">
        <v>267</v>
      </c>
      <c r="DL6" s="396" t="s">
        <v>267</v>
      </c>
      <c r="DM6" s="396" t="s">
        <v>267</v>
      </c>
      <c r="DN6" s="397" t="s">
        <v>267</v>
      </c>
      <c r="DO6" s="394" t="s">
        <v>267</v>
      </c>
      <c r="DP6" s="395" t="s">
        <v>267</v>
      </c>
      <c r="DQ6" s="396" t="s">
        <v>267</v>
      </c>
      <c r="DR6" s="396" t="s">
        <v>267</v>
      </c>
      <c r="DS6" s="397" t="s">
        <v>267</v>
      </c>
      <c r="DT6" s="394" t="s">
        <v>267</v>
      </c>
    </row>
    <row r="7" spans="1:124" ht="12.75" customHeight="1">
      <c r="B7" s="46" t="s">
        <v>341</v>
      </c>
      <c r="C7" s="46"/>
      <c r="D7" s="46"/>
      <c r="E7" s="494"/>
      <c r="F7" s="495"/>
      <c r="G7" s="495"/>
      <c r="H7" s="399"/>
      <c r="I7" s="400"/>
      <c r="J7" s="401"/>
      <c r="K7" s="402"/>
      <c r="L7" s="403"/>
      <c r="M7" s="404"/>
      <c r="N7" s="405"/>
      <c r="O7" s="405"/>
      <c r="P7" s="406"/>
      <c r="Q7" s="407"/>
      <c r="R7" s="404"/>
      <c r="S7" s="405"/>
      <c r="T7" s="405"/>
      <c r="U7" s="406"/>
      <c r="V7" s="407"/>
      <c r="W7" s="404"/>
      <c r="X7" s="405"/>
      <c r="Y7" s="405"/>
      <c r="Z7" s="406"/>
      <c r="AA7" s="407"/>
      <c r="AB7" s="404"/>
      <c r="AC7" s="405"/>
      <c r="AD7" s="405"/>
      <c r="AE7" s="406"/>
      <c r="AF7" s="407"/>
      <c r="AG7" s="404"/>
      <c r="AH7" s="405"/>
      <c r="AI7" s="405"/>
      <c r="AJ7" s="406"/>
      <c r="AK7" s="407"/>
      <c r="AL7" s="161"/>
      <c r="AM7" s="160"/>
      <c r="AN7" s="160"/>
      <c r="AO7" s="147"/>
      <c r="AP7" s="72"/>
      <c r="AQ7" s="161"/>
      <c r="AR7" s="160"/>
      <c r="AS7" s="160"/>
      <c r="AT7" s="147"/>
      <c r="AU7" s="407"/>
      <c r="AV7" s="404"/>
      <c r="AW7" s="405"/>
      <c r="AX7" s="405"/>
      <c r="AY7" s="406"/>
      <c r="AZ7" s="407"/>
      <c r="BA7" s="404"/>
      <c r="BB7" s="405"/>
      <c r="BC7" s="405"/>
      <c r="BD7" s="406"/>
      <c r="BE7" s="407"/>
      <c r="BF7" s="404"/>
      <c r="BG7" s="405"/>
      <c r="BH7" s="405"/>
      <c r="BI7" s="406"/>
      <c r="BJ7" s="407"/>
      <c r="BK7" s="404"/>
      <c r="BL7" s="405"/>
      <c r="BM7" s="405"/>
      <c r="BN7" s="406"/>
      <c r="BO7" s="407"/>
      <c r="BP7" s="408"/>
      <c r="BQ7" s="409"/>
      <c r="BR7" s="410"/>
      <c r="BS7" s="411"/>
      <c r="BT7" s="411"/>
      <c r="BU7" s="412"/>
      <c r="BV7" s="413"/>
      <c r="BW7" s="410"/>
      <c r="BX7" s="411"/>
      <c r="BY7" s="411"/>
      <c r="BZ7" s="412"/>
      <c r="CA7" s="413"/>
      <c r="CB7" s="410"/>
      <c r="CC7" s="411"/>
      <c r="CD7" s="411"/>
      <c r="CE7" s="412"/>
      <c r="CF7" s="413"/>
      <c r="CG7" s="410"/>
      <c r="CH7" s="411"/>
      <c r="CI7" s="411"/>
      <c r="CJ7" s="412"/>
      <c r="CK7" s="413"/>
      <c r="CL7" s="410"/>
      <c r="CM7" s="411"/>
      <c r="CN7" s="411"/>
      <c r="CO7" s="412"/>
      <c r="CP7" s="413"/>
      <c r="CQ7" s="410"/>
      <c r="CR7" s="411"/>
      <c r="CS7" s="411"/>
      <c r="CT7" s="412"/>
      <c r="CU7" s="413"/>
      <c r="CV7" s="410"/>
      <c r="CW7" s="411"/>
      <c r="CX7" s="411"/>
      <c r="CY7" s="412"/>
      <c r="CZ7" s="413"/>
      <c r="DA7" s="410"/>
      <c r="DB7" s="411"/>
      <c r="DC7" s="411"/>
      <c r="DD7" s="412"/>
      <c r="DE7" s="413"/>
      <c r="DF7" s="410"/>
      <c r="DG7" s="411"/>
      <c r="DH7" s="411"/>
      <c r="DI7" s="412"/>
      <c r="DJ7" s="413"/>
      <c r="DK7" s="410"/>
      <c r="DL7" s="411"/>
      <c r="DM7" s="411"/>
      <c r="DN7" s="412"/>
      <c r="DO7" s="413"/>
      <c r="DP7" s="410"/>
      <c r="DQ7" s="411"/>
      <c r="DR7" s="411"/>
      <c r="DS7" s="412"/>
      <c r="DT7" s="413"/>
    </row>
    <row r="8" spans="1:124" ht="12.75" customHeight="1">
      <c r="C8" s="56"/>
      <c r="D8" s="56"/>
      <c r="E8" s="831"/>
      <c r="F8" s="1226"/>
      <c r="G8" s="1226"/>
      <c r="H8" s="15"/>
      <c r="I8" s="614"/>
      <c r="J8" s="616"/>
      <c r="K8" s="402"/>
      <c r="L8" s="403"/>
      <c r="M8" s="404"/>
      <c r="N8" s="405"/>
      <c r="O8" s="405"/>
      <c r="P8" s="406"/>
      <c r="Q8" s="407"/>
      <c r="R8" s="404"/>
      <c r="S8" s="405"/>
      <c r="T8" s="405"/>
      <c r="U8" s="406"/>
      <c r="V8" s="407"/>
      <c r="W8" s="404"/>
      <c r="X8" s="405"/>
      <c r="Y8" s="405"/>
      <c r="Z8" s="406"/>
      <c r="AA8" s="407"/>
      <c r="AB8" s="404"/>
      <c r="AC8" s="405"/>
      <c r="AD8" s="405"/>
      <c r="AE8" s="406"/>
      <c r="AF8" s="407"/>
      <c r="AG8" s="404"/>
      <c r="AH8" s="405"/>
      <c r="AI8" s="405"/>
      <c r="AJ8" s="406"/>
      <c r="AK8" s="407"/>
      <c r="AL8" s="404"/>
      <c r="AM8" s="405"/>
      <c r="AN8" s="160"/>
      <c r="AO8" s="147"/>
      <c r="AP8" s="72"/>
      <c r="AQ8" s="404"/>
      <c r="AR8" s="405"/>
      <c r="AS8" s="160"/>
      <c r="AT8" s="147"/>
      <c r="AU8" s="407"/>
      <c r="AV8" s="404"/>
      <c r="AW8" s="405"/>
      <c r="AX8" s="405"/>
      <c r="AY8" s="406"/>
      <c r="AZ8" s="407"/>
      <c r="BA8" s="404"/>
      <c r="BB8" s="405"/>
      <c r="BC8" s="405"/>
      <c r="BD8" s="406"/>
      <c r="BE8" s="407"/>
      <c r="BF8" s="404"/>
      <c r="BG8" s="405"/>
      <c r="BH8" s="405"/>
      <c r="BI8" s="406"/>
      <c r="BJ8" s="407"/>
      <c r="BK8" s="404"/>
      <c r="BL8" s="405"/>
      <c r="BM8" s="405"/>
      <c r="BN8" s="406"/>
      <c r="BO8" s="407"/>
      <c r="BP8" s="408"/>
      <c r="BQ8" s="409"/>
      <c r="BR8" s="410"/>
      <c r="BS8" s="411"/>
      <c r="BT8" s="411"/>
      <c r="BU8" s="412"/>
      <c r="BV8" s="413"/>
      <c r="BW8" s="410"/>
      <c r="BX8" s="411"/>
      <c r="BY8" s="411"/>
      <c r="BZ8" s="412"/>
      <c r="CA8" s="413"/>
      <c r="CB8" s="410"/>
      <c r="CC8" s="411"/>
      <c r="CD8" s="411"/>
      <c r="CE8" s="412"/>
      <c r="CF8" s="413"/>
      <c r="CG8" s="410"/>
      <c r="CH8" s="411"/>
      <c r="CI8" s="411"/>
      <c r="CJ8" s="412"/>
      <c r="CK8" s="413"/>
      <c r="CL8" s="410"/>
      <c r="CM8" s="411"/>
      <c r="CN8" s="411"/>
      <c r="CO8" s="412"/>
      <c r="CP8" s="413"/>
      <c r="CQ8" s="410"/>
      <c r="CR8" s="411"/>
      <c r="CS8" s="411"/>
      <c r="CT8" s="412"/>
      <c r="CU8" s="413"/>
      <c r="CV8" s="410"/>
      <c r="CW8" s="411"/>
      <c r="CX8" s="411"/>
      <c r="CY8" s="412"/>
      <c r="CZ8" s="413"/>
      <c r="DA8" s="410"/>
      <c r="DB8" s="411"/>
      <c r="DC8" s="411"/>
      <c r="DD8" s="412"/>
      <c r="DE8" s="413"/>
      <c r="DF8" s="410"/>
      <c r="DG8" s="411"/>
      <c r="DH8" s="411"/>
      <c r="DI8" s="412"/>
      <c r="DJ8" s="413"/>
      <c r="DK8" s="410"/>
      <c r="DL8" s="411"/>
      <c r="DM8" s="411"/>
      <c r="DN8" s="412"/>
      <c r="DO8" s="413"/>
      <c r="DP8" s="410"/>
      <c r="DQ8" s="411"/>
      <c r="DR8" s="411"/>
      <c r="DS8" s="412"/>
      <c r="DT8" s="413"/>
    </row>
    <row r="9" spans="1:124" ht="12.75" customHeight="1">
      <c r="C9" s="56" t="s">
        <v>277</v>
      </c>
      <c r="D9" s="56"/>
      <c r="E9" s="831"/>
      <c r="F9" s="1226"/>
      <c r="G9" s="1226"/>
      <c r="H9" s="15"/>
      <c r="I9" s="614"/>
      <c r="J9" s="616"/>
      <c r="K9" s="402"/>
      <c r="L9" s="403"/>
      <c r="M9" s="404"/>
      <c r="N9" s="405"/>
      <c r="O9" s="405"/>
      <c r="P9" s="406"/>
      <c r="Q9" s="407"/>
      <c r="R9" s="404"/>
      <c r="S9" s="405"/>
      <c r="T9" s="405"/>
      <c r="U9" s="406"/>
      <c r="V9" s="407"/>
      <c r="W9" s="404"/>
      <c r="X9" s="405"/>
      <c r="Y9" s="405"/>
      <c r="Z9" s="406"/>
      <c r="AA9" s="407"/>
      <c r="AB9" s="404"/>
      <c r="AC9" s="405"/>
      <c r="AD9" s="405"/>
      <c r="AE9" s="406"/>
      <c r="AF9" s="407"/>
      <c r="AG9" s="404"/>
      <c r="AH9" s="405"/>
      <c r="AI9" s="405"/>
      <c r="AJ9" s="406"/>
      <c r="AK9" s="407"/>
      <c r="AL9" s="404"/>
      <c r="AM9" s="405"/>
      <c r="AN9" s="405"/>
      <c r="AO9" s="406"/>
      <c r="AP9" s="407"/>
      <c r="AQ9" s="404"/>
      <c r="AR9" s="405"/>
      <c r="AS9" s="405"/>
      <c r="AT9" s="406"/>
      <c r="AU9" s="407"/>
      <c r="AV9" s="404"/>
      <c r="AW9" s="405"/>
      <c r="AX9" s="405"/>
      <c r="AY9" s="406"/>
      <c r="AZ9" s="407"/>
      <c r="BA9" s="404"/>
      <c r="BB9" s="405"/>
      <c r="BC9" s="405"/>
      <c r="BD9" s="406"/>
      <c r="BE9" s="407"/>
      <c r="BF9" s="404"/>
      <c r="BG9" s="405"/>
      <c r="BH9" s="405"/>
      <c r="BI9" s="406"/>
      <c r="BJ9" s="407"/>
      <c r="BK9" s="404"/>
      <c r="BL9" s="405"/>
      <c r="BM9" s="405"/>
      <c r="BN9" s="406"/>
      <c r="BO9" s="407"/>
      <c r="BP9" s="408"/>
      <c r="BQ9" s="409"/>
      <c r="BR9" s="410"/>
      <c r="BS9" s="411"/>
      <c r="BT9" s="411"/>
      <c r="BU9" s="412"/>
      <c r="BV9" s="413"/>
      <c r="BW9" s="410"/>
      <c r="BX9" s="411"/>
      <c r="BY9" s="411"/>
      <c r="BZ9" s="412"/>
      <c r="CA9" s="413"/>
      <c r="CB9" s="410"/>
      <c r="CC9" s="411"/>
      <c r="CD9" s="411"/>
      <c r="CE9" s="412"/>
      <c r="CF9" s="413"/>
      <c r="CG9" s="410"/>
      <c r="CH9" s="411"/>
      <c r="CI9" s="411"/>
      <c r="CJ9" s="412"/>
      <c r="CK9" s="413"/>
      <c r="CL9" s="410"/>
      <c r="CM9" s="411"/>
      <c r="CN9" s="411"/>
      <c r="CO9" s="412"/>
      <c r="CP9" s="413"/>
      <c r="CQ9" s="410"/>
      <c r="CR9" s="411"/>
      <c r="CS9" s="411"/>
      <c r="CT9" s="412"/>
      <c r="CU9" s="413"/>
      <c r="CV9" s="410"/>
      <c r="CW9" s="411"/>
      <c r="CX9" s="411"/>
      <c r="CY9" s="412"/>
      <c r="CZ9" s="413"/>
      <c r="DA9" s="410"/>
      <c r="DB9" s="411"/>
      <c r="DC9" s="411"/>
      <c r="DD9" s="412"/>
      <c r="DE9" s="413"/>
      <c r="DF9" s="410"/>
      <c r="DG9" s="411"/>
      <c r="DH9" s="411"/>
      <c r="DI9" s="412"/>
      <c r="DJ9" s="413"/>
      <c r="DK9" s="410"/>
      <c r="DL9" s="411"/>
      <c r="DM9" s="411"/>
      <c r="DN9" s="412"/>
      <c r="DO9" s="413"/>
      <c r="DP9" s="410"/>
      <c r="DQ9" s="411"/>
      <c r="DR9" s="411"/>
      <c r="DS9" s="412"/>
      <c r="DT9" s="413"/>
    </row>
    <row r="10" spans="1:124" ht="12.75" customHeight="1">
      <c r="A10" s="491"/>
      <c r="C10" s="50" t="s">
        <v>278</v>
      </c>
      <c r="D10" s="50"/>
      <c r="E10" s="831"/>
      <c r="G10" s="1225"/>
      <c r="H10" s="15"/>
      <c r="I10" s="614"/>
      <c r="J10" s="616"/>
      <c r="K10" s="402"/>
      <c r="L10" s="407">
        <f t="shared" ref="L10:AQ10" si="0">L194+L278+L54+L303+L322</f>
        <v>0</v>
      </c>
      <c r="M10" s="404">
        <f t="shared" si="0"/>
        <v>0</v>
      </c>
      <c r="N10" s="414">
        <f t="shared" si="0"/>
        <v>0</v>
      </c>
      <c r="O10" s="414">
        <f t="shared" si="0"/>
        <v>0</v>
      </c>
      <c r="P10" s="406">
        <f t="shared" si="0"/>
        <v>0</v>
      </c>
      <c r="Q10" s="407">
        <f t="shared" si="0"/>
        <v>0</v>
      </c>
      <c r="R10" s="404">
        <f t="shared" si="0"/>
        <v>0</v>
      </c>
      <c r="S10" s="414">
        <f t="shared" si="0"/>
        <v>0</v>
      </c>
      <c r="T10" s="414">
        <f t="shared" si="0"/>
        <v>0</v>
      </c>
      <c r="U10" s="406">
        <f t="shared" si="0"/>
        <v>0</v>
      </c>
      <c r="V10" s="407">
        <f t="shared" si="0"/>
        <v>0</v>
      </c>
      <c r="W10" s="404">
        <f t="shared" si="0"/>
        <v>0</v>
      </c>
      <c r="X10" s="414">
        <f t="shared" si="0"/>
        <v>0</v>
      </c>
      <c r="Y10" s="414">
        <f t="shared" si="0"/>
        <v>0</v>
      </c>
      <c r="Z10" s="406">
        <f t="shared" si="0"/>
        <v>0</v>
      </c>
      <c r="AA10" s="407">
        <f t="shared" si="0"/>
        <v>0</v>
      </c>
      <c r="AB10" s="404">
        <f t="shared" si="0"/>
        <v>0</v>
      </c>
      <c r="AC10" s="414">
        <f t="shared" si="0"/>
        <v>0</v>
      </c>
      <c r="AD10" s="414">
        <f t="shared" si="0"/>
        <v>0</v>
      </c>
      <c r="AE10" s="406">
        <f t="shared" si="0"/>
        <v>0</v>
      </c>
      <c r="AF10" s="407">
        <f t="shared" si="0"/>
        <v>0</v>
      </c>
      <c r="AG10" s="404">
        <f t="shared" si="0"/>
        <v>0</v>
      </c>
      <c r="AH10" s="414">
        <f t="shared" si="0"/>
        <v>0</v>
      </c>
      <c r="AI10" s="414">
        <f t="shared" si="0"/>
        <v>0</v>
      </c>
      <c r="AJ10" s="406">
        <f t="shared" si="0"/>
        <v>0</v>
      </c>
      <c r="AK10" s="407">
        <f t="shared" si="0"/>
        <v>0</v>
      </c>
      <c r="AL10" s="404">
        <f t="shared" si="0"/>
        <v>0</v>
      </c>
      <c r="AM10" s="414">
        <f t="shared" si="0"/>
        <v>-60</v>
      </c>
      <c r="AN10" s="414">
        <f t="shared" si="0"/>
        <v>0</v>
      </c>
      <c r="AO10" s="406">
        <f t="shared" si="0"/>
        <v>0</v>
      </c>
      <c r="AP10" s="407">
        <f t="shared" si="0"/>
        <v>-60</v>
      </c>
      <c r="AQ10" s="404">
        <f t="shared" si="0"/>
        <v>-1119.7023299999998</v>
      </c>
      <c r="AR10" s="414">
        <f t="shared" ref="AR10:BO10" si="1">AR194+AR278+AR54+AR303+AR322</f>
        <v>-540</v>
      </c>
      <c r="AS10" s="414">
        <f t="shared" si="1"/>
        <v>-341.27259300000003</v>
      </c>
      <c r="AT10" s="406">
        <f t="shared" si="1"/>
        <v>-629.61475199999995</v>
      </c>
      <c r="AU10" s="407">
        <f t="shared" si="1"/>
        <v>-2630.5896750000002</v>
      </c>
      <c r="AV10" s="404">
        <f t="shared" si="1"/>
        <v>-451.66203899999999</v>
      </c>
      <c r="AW10" s="414">
        <f t="shared" si="1"/>
        <v>-580</v>
      </c>
      <c r="AX10" s="414">
        <f t="shared" si="1"/>
        <v>0</v>
      </c>
      <c r="AY10" s="406">
        <f t="shared" si="1"/>
        <v>-250</v>
      </c>
      <c r="AZ10" s="407">
        <f t="shared" si="1"/>
        <v>-1281.662039</v>
      </c>
      <c r="BA10" s="404">
        <f t="shared" si="1"/>
        <v>-928.5</v>
      </c>
      <c r="BB10" s="414">
        <f t="shared" si="1"/>
        <v>-152.55974000000001</v>
      </c>
      <c r="BC10" s="414">
        <f t="shared" si="1"/>
        <v>-294.878311</v>
      </c>
      <c r="BD10" s="406">
        <f t="shared" si="1"/>
        <v>-476.29063500000001</v>
      </c>
      <c r="BE10" s="407">
        <f t="shared" si="1"/>
        <v>-1852.2286859999999</v>
      </c>
      <c r="BF10" s="404">
        <f t="shared" si="1"/>
        <v>0</v>
      </c>
      <c r="BG10" s="414">
        <f t="shared" si="1"/>
        <v>-332.12924299999997</v>
      </c>
      <c r="BH10" s="414">
        <f t="shared" si="1"/>
        <v>-494.7</v>
      </c>
      <c r="BI10" s="406">
        <f t="shared" si="1"/>
        <v>-42.767795999999997</v>
      </c>
      <c r="BJ10" s="407">
        <f t="shared" si="1"/>
        <v>-869.597039</v>
      </c>
      <c r="BK10" s="404">
        <f t="shared" si="1"/>
        <v>-652</v>
      </c>
      <c r="BL10" s="414">
        <f t="shared" si="1"/>
        <v>-133.81298200000001</v>
      </c>
      <c r="BM10" s="414">
        <f t="shared" si="1"/>
        <v>0</v>
      </c>
      <c r="BN10" s="406">
        <f t="shared" si="1"/>
        <v>-567.5</v>
      </c>
      <c r="BO10" s="407">
        <f t="shared" si="1"/>
        <v>-1353.3129819999999</v>
      </c>
      <c r="BP10" s="415"/>
      <c r="BQ10" s="413">
        <f t="shared" ref="BQ10:CV10" si="2">BQ194+BQ278+BQ54+BQ303+BQ322</f>
        <v>0</v>
      </c>
      <c r="BR10" s="410">
        <f t="shared" si="2"/>
        <v>0</v>
      </c>
      <c r="BS10" s="416">
        <f t="shared" si="2"/>
        <v>0</v>
      </c>
      <c r="BT10" s="416">
        <f t="shared" si="2"/>
        <v>0</v>
      </c>
      <c r="BU10" s="412">
        <f t="shared" si="2"/>
        <v>0</v>
      </c>
      <c r="BV10" s="413">
        <f t="shared" si="2"/>
        <v>0</v>
      </c>
      <c r="BW10" s="410">
        <f t="shared" si="2"/>
        <v>0</v>
      </c>
      <c r="BX10" s="416">
        <f t="shared" si="2"/>
        <v>0</v>
      </c>
      <c r="BY10" s="416">
        <f t="shared" si="2"/>
        <v>0</v>
      </c>
      <c r="BZ10" s="412">
        <f t="shared" si="2"/>
        <v>0</v>
      </c>
      <c r="CA10" s="413">
        <f t="shared" si="2"/>
        <v>0</v>
      </c>
      <c r="CB10" s="410">
        <f t="shared" si="2"/>
        <v>0</v>
      </c>
      <c r="CC10" s="416">
        <f t="shared" si="2"/>
        <v>0</v>
      </c>
      <c r="CD10" s="416">
        <f t="shared" si="2"/>
        <v>0</v>
      </c>
      <c r="CE10" s="412">
        <f t="shared" si="2"/>
        <v>0</v>
      </c>
      <c r="CF10" s="413">
        <f t="shared" si="2"/>
        <v>0</v>
      </c>
      <c r="CG10" s="410">
        <f t="shared" si="2"/>
        <v>0</v>
      </c>
      <c r="CH10" s="416">
        <f t="shared" si="2"/>
        <v>0</v>
      </c>
      <c r="CI10" s="416">
        <f t="shared" si="2"/>
        <v>0</v>
      </c>
      <c r="CJ10" s="412">
        <f t="shared" si="2"/>
        <v>0</v>
      </c>
      <c r="CK10" s="413">
        <f t="shared" si="2"/>
        <v>0</v>
      </c>
      <c r="CL10" s="410">
        <f t="shared" si="2"/>
        <v>0</v>
      </c>
      <c r="CM10" s="416">
        <f t="shared" si="2"/>
        <v>0</v>
      </c>
      <c r="CN10" s="416">
        <f t="shared" si="2"/>
        <v>0</v>
      </c>
      <c r="CO10" s="412">
        <f t="shared" si="2"/>
        <v>0</v>
      </c>
      <c r="CP10" s="413">
        <f t="shared" si="2"/>
        <v>0</v>
      </c>
      <c r="CQ10" s="410">
        <f t="shared" si="2"/>
        <v>0</v>
      </c>
      <c r="CR10" s="416">
        <f t="shared" si="2"/>
        <v>-0.51999999999999991</v>
      </c>
      <c r="CS10" s="416">
        <f t="shared" si="2"/>
        <v>-0.7799999999999998</v>
      </c>
      <c r="CT10" s="412">
        <f t="shared" si="2"/>
        <v>-0.7799999999999998</v>
      </c>
      <c r="CU10" s="413">
        <f t="shared" si="2"/>
        <v>-2.0799999999999996</v>
      </c>
      <c r="CV10" s="410">
        <f t="shared" si="2"/>
        <v>-13.045331164833332</v>
      </c>
      <c r="CW10" s="416">
        <f t="shared" ref="CW10:DT10" si="3">CW194+CW278+CW54+CW303+CW322</f>
        <v>-16.501381747250001</v>
      </c>
      <c r="CX10" s="416">
        <f t="shared" si="3"/>
        <v>-21.649854607485</v>
      </c>
      <c r="CY10" s="412">
        <f t="shared" si="3"/>
        <v>-26.302965100201668</v>
      </c>
      <c r="CZ10" s="413">
        <f t="shared" si="3"/>
        <v>-77.499532619770008</v>
      </c>
      <c r="DA10" s="410">
        <f t="shared" si="3"/>
        <v>-18.31089296237667</v>
      </c>
      <c r="DB10" s="416">
        <f t="shared" si="3"/>
        <v>-23.417284046626666</v>
      </c>
      <c r="DC10" s="416">
        <f t="shared" si="3"/>
        <v>-20.523394519724999</v>
      </c>
      <c r="DD10" s="412">
        <f t="shared" si="3"/>
        <v>-17.129034027008334</v>
      </c>
      <c r="DE10" s="413">
        <f t="shared" si="3"/>
        <v>-79.380605555736679</v>
      </c>
      <c r="DF10" s="410">
        <f t="shared" si="3"/>
        <v>-23.480441666666668</v>
      </c>
      <c r="DG10" s="416">
        <f t="shared" si="3"/>
        <v>-20.966547074999998</v>
      </c>
      <c r="DH10" s="416">
        <f t="shared" si="3"/>
        <v>-20.971311223097501</v>
      </c>
      <c r="DI10" s="412">
        <f t="shared" si="3"/>
        <v>-22.785914200180837</v>
      </c>
      <c r="DJ10" s="413">
        <f t="shared" si="3"/>
        <v>-88.204214164945</v>
      </c>
      <c r="DK10" s="410">
        <f t="shared" si="3"/>
        <v>-14.965664200180832</v>
      </c>
      <c r="DL10" s="416">
        <f t="shared" si="3"/>
        <v>-10.1789101119875</v>
      </c>
      <c r="DM10" s="416">
        <f t="shared" si="3"/>
        <v>-15.197844104170001</v>
      </c>
      <c r="DN10" s="412">
        <f t="shared" si="3"/>
        <v>-12.605628832086666</v>
      </c>
      <c r="DO10" s="413">
        <f t="shared" si="3"/>
        <v>-52.948047248425006</v>
      </c>
      <c r="DP10" s="410">
        <f t="shared" si="3"/>
        <v>-13.561212165419999</v>
      </c>
      <c r="DQ10" s="416">
        <f t="shared" si="3"/>
        <v>-16.676481892780004</v>
      </c>
      <c r="DR10" s="416">
        <f t="shared" si="3"/>
        <v>-9.6215337525000013</v>
      </c>
      <c r="DS10" s="412">
        <f t="shared" si="3"/>
        <v>-16.259041880833333</v>
      </c>
      <c r="DT10" s="413">
        <f t="shared" si="3"/>
        <v>-56.118269691533342</v>
      </c>
    </row>
    <row r="11" spans="1:124" ht="12.75" customHeight="1">
      <c r="A11" s="491"/>
      <c r="C11" s="417" t="s">
        <v>279</v>
      </c>
      <c r="D11" s="417"/>
      <c r="E11" s="5"/>
      <c r="F11" s="1228"/>
      <c r="G11" s="1228"/>
      <c r="H11" s="1310"/>
      <c r="I11" s="1311"/>
      <c r="J11" s="1312"/>
      <c r="K11" s="418"/>
      <c r="L11" s="419">
        <f t="shared" ref="L11:AQ11" si="4">L213+L289+L66+L311+L328</f>
        <v>0</v>
      </c>
      <c r="M11" s="420">
        <f t="shared" si="4"/>
        <v>0</v>
      </c>
      <c r="N11" s="421">
        <f t="shared" si="4"/>
        <v>0</v>
      </c>
      <c r="O11" s="421">
        <f t="shared" si="4"/>
        <v>0</v>
      </c>
      <c r="P11" s="422">
        <f t="shared" si="4"/>
        <v>0</v>
      </c>
      <c r="Q11" s="419">
        <f t="shared" si="4"/>
        <v>0</v>
      </c>
      <c r="R11" s="420">
        <f t="shared" si="4"/>
        <v>0</v>
      </c>
      <c r="S11" s="421">
        <f t="shared" si="4"/>
        <v>0</v>
      </c>
      <c r="T11" s="421">
        <f t="shared" si="4"/>
        <v>0</v>
      </c>
      <c r="U11" s="422">
        <f t="shared" si="4"/>
        <v>0</v>
      </c>
      <c r="V11" s="419">
        <f t="shared" si="4"/>
        <v>0</v>
      </c>
      <c r="W11" s="420">
        <f t="shared" si="4"/>
        <v>0</v>
      </c>
      <c r="X11" s="421">
        <f t="shared" si="4"/>
        <v>0</v>
      </c>
      <c r="Y11" s="421">
        <f t="shared" si="4"/>
        <v>0</v>
      </c>
      <c r="Z11" s="422">
        <f t="shared" si="4"/>
        <v>0</v>
      </c>
      <c r="AA11" s="419">
        <f t="shared" si="4"/>
        <v>0</v>
      </c>
      <c r="AB11" s="420">
        <f t="shared" si="4"/>
        <v>0</v>
      </c>
      <c r="AC11" s="421">
        <f t="shared" si="4"/>
        <v>0</v>
      </c>
      <c r="AD11" s="421">
        <f t="shared" si="4"/>
        <v>0</v>
      </c>
      <c r="AE11" s="422">
        <f t="shared" si="4"/>
        <v>0</v>
      </c>
      <c r="AF11" s="419">
        <f t="shared" si="4"/>
        <v>0</v>
      </c>
      <c r="AG11" s="420">
        <f t="shared" si="4"/>
        <v>0</v>
      </c>
      <c r="AH11" s="421">
        <f t="shared" si="4"/>
        <v>0</v>
      </c>
      <c r="AI11" s="421">
        <f t="shared" si="4"/>
        <v>0</v>
      </c>
      <c r="AJ11" s="422">
        <f t="shared" si="4"/>
        <v>0</v>
      </c>
      <c r="AK11" s="419">
        <f t="shared" si="4"/>
        <v>0</v>
      </c>
      <c r="AL11" s="420">
        <f t="shared" si="4"/>
        <v>0</v>
      </c>
      <c r="AM11" s="421">
        <f t="shared" si="4"/>
        <v>0</v>
      </c>
      <c r="AN11" s="421">
        <f t="shared" si="4"/>
        <v>0</v>
      </c>
      <c r="AO11" s="422">
        <f t="shared" si="4"/>
        <v>0</v>
      </c>
      <c r="AP11" s="419">
        <f t="shared" si="4"/>
        <v>0</v>
      </c>
      <c r="AQ11" s="420">
        <f t="shared" si="4"/>
        <v>84</v>
      </c>
      <c r="AR11" s="421">
        <f t="shared" ref="AR11:BO11" si="5">AR213+AR289+AR66+AR311+AR328</f>
        <v>977.1</v>
      </c>
      <c r="AS11" s="421">
        <f t="shared" si="5"/>
        <v>1650</v>
      </c>
      <c r="AT11" s="422">
        <f t="shared" si="5"/>
        <v>60</v>
      </c>
      <c r="AU11" s="419">
        <f t="shared" si="5"/>
        <v>2771.1</v>
      </c>
      <c r="AV11" s="420">
        <f t="shared" si="5"/>
        <v>0</v>
      </c>
      <c r="AW11" s="421">
        <f t="shared" si="5"/>
        <v>2332.7076957960949</v>
      </c>
      <c r="AX11" s="421">
        <f t="shared" si="5"/>
        <v>1810</v>
      </c>
      <c r="AY11" s="422">
        <f t="shared" si="5"/>
        <v>825</v>
      </c>
      <c r="AZ11" s="419">
        <f t="shared" si="5"/>
        <v>4967.7076957960944</v>
      </c>
      <c r="BA11" s="420">
        <f t="shared" si="5"/>
        <v>0</v>
      </c>
      <c r="BB11" s="421">
        <f t="shared" si="5"/>
        <v>0</v>
      </c>
      <c r="BC11" s="421">
        <f t="shared" si="5"/>
        <v>5899.6071560574965</v>
      </c>
      <c r="BD11" s="422">
        <f t="shared" si="5"/>
        <v>0</v>
      </c>
      <c r="BE11" s="419">
        <f t="shared" si="5"/>
        <v>5899.6071560574965</v>
      </c>
      <c r="BF11" s="420">
        <f t="shared" si="5"/>
        <v>1020</v>
      </c>
      <c r="BG11" s="421">
        <f t="shared" si="5"/>
        <v>0</v>
      </c>
      <c r="BH11" s="421">
        <f t="shared" si="5"/>
        <v>1652.5009312114989</v>
      </c>
      <c r="BI11" s="422">
        <f t="shared" si="5"/>
        <v>0</v>
      </c>
      <c r="BJ11" s="419">
        <f t="shared" si="5"/>
        <v>2672.5009312114989</v>
      </c>
      <c r="BK11" s="420">
        <f t="shared" si="5"/>
        <v>0</v>
      </c>
      <c r="BL11" s="421">
        <f t="shared" si="5"/>
        <v>0</v>
      </c>
      <c r="BM11" s="421">
        <f t="shared" si="5"/>
        <v>4233.1441971252571</v>
      </c>
      <c r="BN11" s="422">
        <f t="shared" si="5"/>
        <v>0</v>
      </c>
      <c r="BO11" s="419">
        <f t="shared" si="5"/>
        <v>4233.1441971252571</v>
      </c>
      <c r="BP11" s="423"/>
      <c r="BQ11" s="424">
        <f t="shared" ref="BQ11:CV11" si="6">BQ213+BQ289+BQ66+BQ311+BQ328</f>
        <v>0</v>
      </c>
      <c r="BR11" s="425">
        <f t="shared" si="6"/>
        <v>0</v>
      </c>
      <c r="BS11" s="426">
        <f t="shared" si="6"/>
        <v>0</v>
      </c>
      <c r="BT11" s="426">
        <f t="shared" si="6"/>
        <v>0</v>
      </c>
      <c r="BU11" s="427">
        <f t="shared" si="6"/>
        <v>0</v>
      </c>
      <c r="BV11" s="424">
        <f t="shared" si="6"/>
        <v>0</v>
      </c>
      <c r="BW11" s="425">
        <f t="shared" si="6"/>
        <v>0</v>
      </c>
      <c r="BX11" s="426">
        <f t="shared" si="6"/>
        <v>0</v>
      </c>
      <c r="BY11" s="426">
        <f t="shared" si="6"/>
        <v>0</v>
      </c>
      <c r="BZ11" s="427">
        <f t="shared" si="6"/>
        <v>0</v>
      </c>
      <c r="CA11" s="424">
        <f t="shared" si="6"/>
        <v>0</v>
      </c>
      <c r="CB11" s="425">
        <f t="shared" si="6"/>
        <v>0</v>
      </c>
      <c r="CC11" s="426">
        <f t="shared" si="6"/>
        <v>0</v>
      </c>
      <c r="CD11" s="426">
        <f t="shared" si="6"/>
        <v>0</v>
      </c>
      <c r="CE11" s="427">
        <f t="shared" si="6"/>
        <v>0</v>
      </c>
      <c r="CF11" s="424">
        <f t="shared" si="6"/>
        <v>0</v>
      </c>
      <c r="CG11" s="425">
        <f t="shared" si="6"/>
        <v>0</v>
      </c>
      <c r="CH11" s="426">
        <f t="shared" si="6"/>
        <v>0</v>
      </c>
      <c r="CI11" s="426">
        <f t="shared" si="6"/>
        <v>0</v>
      </c>
      <c r="CJ11" s="427">
        <f t="shared" si="6"/>
        <v>0</v>
      </c>
      <c r="CK11" s="424">
        <f t="shared" si="6"/>
        <v>0</v>
      </c>
      <c r="CL11" s="425">
        <f t="shared" si="6"/>
        <v>0</v>
      </c>
      <c r="CM11" s="426">
        <f t="shared" si="6"/>
        <v>0</v>
      </c>
      <c r="CN11" s="426">
        <f t="shared" si="6"/>
        <v>0</v>
      </c>
      <c r="CO11" s="427">
        <f t="shared" si="6"/>
        <v>0</v>
      </c>
      <c r="CP11" s="424">
        <f t="shared" si="6"/>
        <v>0</v>
      </c>
      <c r="CQ11" s="425">
        <f t="shared" si="6"/>
        <v>0</v>
      </c>
      <c r="CR11" s="426">
        <f t="shared" si="6"/>
        <v>0</v>
      </c>
      <c r="CS11" s="426">
        <f t="shared" si="6"/>
        <v>0</v>
      </c>
      <c r="CT11" s="427">
        <f t="shared" si="6"/>
        <v>0</v>
      </c>
      <c r="CU11" s="424">
        <f t="shared" si="6"/>
        <v>0</v>
      </c>
      <c r="CV11" s="425">
        <f t="shared" si="6"/>
        <v>0.89249999999999996</v>
      </c>
      <c r="CW11" s="426">
        <f t="shared" ref="CW11:DT11" si="7">CW213+CW289+CW66+CW311+CW328</f>
        <v>9.9936249999999998</v>
      </c>
      <c r="CX11" s="426">
        <f t="shared" si="7"/>
        <v>18.344291666666667</v>
      </c>
      <c r="CY11" s="427">
        <f t="shared" si="7"/>
        <v>23.995625</v>
      </c>
      <c r="CZ11" s="424">
        <f t="shared" si="7"/>
        <v>53.226041666666667</v>
      </c>
      <c r="DA11" s="425">
        <f t="shared" si="7"/>
        <v>23.103125000000002</v>
      </c>
      <c r="DB11" s="426">
        <f t="shared" si="7"/>
        <v>43.160846197451185</v>
      </c>
      <c r="DC11" s="426">
        <f t="shared" si="7"/>
        <v>57.435179530784524</v>
      </c>
      <c r="DD11" s="427">
        <f t="shared" si="7"/>
        <v>62.096346197451183</v>
      </c>
      <c r="DE11" s="424">
        <f t="shared" si="7"/>
        <v>185.7954969256869</v>
      </c>
      <c r="DF11" s="425">
        <f t="shared" si="7"/>
        <v>62.096346197451183</v>
      </c>
      <c r="DG11" s="426">
        <f t="shared" si="7"/>
        <v>32.9375</v>
      </c>
      <c r="DH11" s="426">
        <f t="shared" si="7"/>
        <v>84.057589450718709</v>
      </c>
      <c r="DI11" s="427">
        <f t="shared" si="7"/>
        <v>73.745089450718709</v>
      </c>
      <c r="DJ11" s="424">
        <f t="shared" si="7"/>
        <v>252.83652509888861</v>
      </c>
      <c r="DK11" s="425">
        <f t="shared" si="7"/>
        <v>86.495089450718709</v>
      </c>
      <c r="DL11" s="426">
        <f t="shared" si="7"/>
        <v>86.495089450718709</v>
      </c>
      <c r="DM11" s="426">
        <f t="shared" si="7"/>
        <v>33.40626164014374</v>
      </c>
      <c r="DN11" s="427">
        <f t="shared" si="7"/>
        <v>33.40626164014374</v>
      </c>
      <c r="DO11" s="424">
        <f t="shared" si="7"/>
        <v>239.8027021817249</v>
      </c>
      <c r="DP11" s="425">
        <f t="shared" si="7"/>
        <v>20.656261640143736</v>
      </c>
      <c r="DQ11" s="426">
        <f t="shared" si="7"/>
        <v>20.656261640143736</v>
      </c>
      <c r="DR11" s="426">
        <f t="shared" si="7"/>
        <v>41.25</v>
      </c>
      <c r="DS11" s="427">
        <f t="shared" si="7"/>
        <v>41.25</v>
      </c>
      <c r="DT11" s="424">
        <f t="shared" si="7"/>
        <v>123.81252328028748</v>
      </c>
    </row>
    <row r="12" spans="1:124" ht="12.75" customHeight="1">
      <c r="A12" s="491"/>
      <c r="C12" s="56" t="s">
        <v>280</v>
      </c>
      <c r="D12" s="56"/>
      <c r="E12" s="8"/>
      <c r="F12" s="1229">
        <f>+F194+F278+F54+F303+F322</f>
        <v>20960.032190000002</v>
      </c>
      <c r="G12" s="1229">
        <f>+G194+G278+G54+G303+G322</f>
        <v>20095.047261</v>
      </c>
      <c r="H12" s="1313"/>
      <c r="I12" s="1314"/>
      <c r="J12" s="621"/>
      <c r="K12" s="112"/>
      <c r="L12" s="428">
        <f>+L10+L11</f>
        <v>0</v>
      </c>
      <c r="M12" s="533">
        <f t="shared" ref="M12:AZ12" si="8">+M10+M11</f>
        <v>0</v>
      </c>
      <c r="N12" s="431">
        <f t="shared" si="8"/>
        <v>0</v>
      </c>
      <c r="O12" s="431">
        <f t="shared" si="8"/>
        <v>0</v>
      </c>
      <c r="P12" s="432">
        <f t="shared" si="8"/>
        <v>0</v>
      </c>
      <c r="Q12" s="429">
        <f t="shared" si="8"/>
        <v>0</v>
      </c>
      <c r="R12" s="430">
        <f t="shared" si="8"/>
        <v>0</v>
      </c>
      <c r="S12" s="431">
        <f t="shared" si="8"/>
        <v>0</v>
      </c>
      <c r="T12" s="431">
        <f t="shared" si="8"/>
        <v>0</v>
      </c>
      <c r="U12" s="432">
        <f t="shared" si="8"/>
        <v>0</v>
      </c>
      <c r="V12" s="429">
        <f t="shared" si="8"/>
        <v>0</v>
      </c>
      <c r="W12" s="430">
        <f t="shared" si="8"/>
        <v>0</v>
      </c>
      <c r="X12" s="431">
        <f t="shared" si="8"/>
        <v>0</v>
      </c>
      <c r="Y12" s="431">
        <f t="shared" si="8"/>
        <v>0</v>
      </c>
      <c r="Z12" s="432">
        <f t="shared" si="8"/>
        <v>0</v>
      </c>
      <c r="AA12" s="429">
        <f t="shared" si="8"/>
        <v>0</v>
      </c>
      <c r="AB12" s="430">
        <f t="shared" si="8"/>
        <v>0</v>
      </c>
      <c r="AC12" s="431">
        <f t="shared" si="8"/>
        <v>0</v>
      </c>
      <c r="AD12" s="431">
        <f t="shared" si="8"/>
        <v>0</v>
      </c>
      <c r="AE12" s="432">
        <f t="shared" si="8"/>
        <v>0</v>
      </c>
      <c r="AF12" s="429">
        <f t="shared" si="8"/>
        <v>0</v>
      </c>
      <c r="AG12" s="430">
        <f t="shared" si="8"/>
        <v>0</v>
      </c>
      <c r="AH12" s="431">
        <f t="shared" si="8"/>
        <v>0</v>
      </c>
      <c r="AI12" s="431">
        <f t="shared" si="8"/>
        <v>0</v>
      </c>
      <c r="AJ12" s="432">
        <f t="shared" si="8"/>
        <v>0</v>
      </c>
      <c r="AK12" s="429">
        <f t="shared" si="8"/>
        <v>0</v>
      </c>
      <c r="AL12" s="430">
        <f t="shared" si="8"/>
        <v>0</v>
      </c>
      <c r="AM12" s="431">
        <f t="shared" si="8"/>
        <v>-60</v>
      </c>
      <c r="AN12" s="431">
        <f t="shared" si="8"/>
        <v>0</v>
      </c>
      <c r="AO12" s="432">
        <f t="shared" si="8"/>
        <v>0</v>
      </c>
      <c r="AP12" s="429">
        <f t="shared" si="8"/>
        <v>-60</v>
      </c>
      <c r="AQ12" s="430">
        <f t="shared" si="8"/>
        <v>-1035.7023299999998</v>
      </c>
      <c r="AR12" s="431">
        <f t="shared" si="8"/>
        <v>437.1</v>
      </c>
      <c r="AS12" s="431">
        <f t="shared" si="8"/>
        <v>1308.7274069999999</v>
      </c>
      <c r="AT12" s="432">
        <f t="shared" si="8"/>
        <v>-569.61475199999995</v>
      </c>
      <c r="AU12" s="429">
        <f t="shared" si="8"/>
        <v>140.51032499999974</v>
      </c>
      <c r="AV12" s="430">
        <f t="shared" si="8"/>
        <v>-451.66203899999999</v>
      </c>
      <c r="AW12" s="431">
        <f t="shared" si="8"/>
        <v>1752.7076957960949</v>
      </c>
      <c r="AX12" s="431">
        <f t="shared" si="8"/>
        <v>1810</v>
      </c>
      <c r="AY12" s="432">
        <f t="shared" si="8"/>
        <v>575</v>
      </c>
      <c r="AZ12" s="429">
        <f t="shared" si="8"/>
        <v>3686.0456567960946</v>
      </c>
      <c r="BA12" s="430">
        <f t="shared" ref="BA12:BJ12" si="9">+BA10+BA11</f>
        <v>-928.5</v>
      </c>
      <c r="BB12" s="431">
        <f t="shared" si="9"/>
        <v>-152.55974000000001</v>
      </c>
      <c r="BC12" s="431">
        <f t="shared" si="9"/>
        <v>5604.7288450574961</v>
      </c>
      <c r="BD12" s="432">
        <f t="shared" si="9"/>
        <v>-476.29063500000001</v>
      </c>
      <c r="BE12" s="429">
        <f t="shared" si="9"/>
        <v>4047.3784700574965</v>
      </c>
      <c r="BF12" s="430">
        <f t="shared" si="9"/>
        <v>1020</v>
      </c>
      <c r="BG12" s="431">
        <f t="shared" si="9"/>
        <v>-332.12924299999997</v>
      </c>
      <c r="BH12" s="431">
        <f t="shared" si="9"/>
        <v>1157.8009312114989</v>
      </c>
      <c r="BI12" s="432">
        <f t="shared" si="9"/>
        <v>-42.767795999999997</v>
      </c>
      <c r="BJ12" s="429">
        <f t="shared" si="9"/>
        <v>1802.9038922114989</v>
      </c>
      <c r="BK12" s="430">
        <f>+BK10+BK11</f>
        <v>-652</v>
      </c>
      <c r="BL12" s="431">
        <f>+BL10+BL11</f>
        <v>-133.81298200000001</v>
      </c>
      <c r="BM12" s="431">
        <f>+BM10+BM11</f>
        <v>4233.1441971252571</v>
      </c>
      <c r="BN12" s="432">
        <f>+BN10+BN11</f>
        <v>-567.5</v>
      </c>
      <c r="BO12" s="429">
        <f>+BO10+BO11</f>
        <v>2879.8312151252571</v>
      </c>
      <c r="BP12" s="433"/>
      <c r="BQ12" s="434">
        <f t="shared" ref="BQ12:DE12" si="10">+BQ10+BQ11</f>
        <v>0</v>
      </c>
      <c r="BR12" s="435">
        <f t="shared" si="10"/>
        <v>0</v>
      </c>
      <c r="BS12" s="436">
        <f t="shared" si="10"/>
        <v>0</v>
      </c>
      <c r="BT12" s="436">
        <f t="shared" si="10"/>
        <v>0</v>
      </c>
      <c r="BU12" s="437">
        <f t="shared" si="10"/>
        <v>0</v>
      </c>
      <c r="BV12" s="434">
        <f t="shared" si="10"/>
        <v>0</v>
      </c>
      <c r="BW12" s="435">
        <f t="shared" si="10"/>
        <v>0</v>
      </c>
      <c r="BX12" s="436">
        <f t="shared" si="10"/>
        <v>0</v>
      </c>
      <c r="BY12" s="436">
        <f t="shared" si="10"/>
        <v>0</v>
      </c>
      <c r="BZ12" s="437">
        <f t="shared" si="10"/>
        <v>0</v>
      </c>
      <c r="CA12" s="434">
        <f t="shared" si="10"/>
        <v>0</v>
      </c>
      <c r="CB12" s="435">
        <f t="shared" si="10"/>
        <v>0</v>
      </c>
      <c r="CC12" s="436">
        <f t="shared" si="10"/>
        <v>0</v>
      </c>
      <c r="CD12" s="436">
        <f t="shared" si="10"/>
        <v>0</v>
      </c>
      <c r="CE12" s="437">
        <f t="shared" si="10"/>
        <v>0</v>
      </c>
      <c r="CF12" s="434">
        <f t="shared" si="10"/>
        <v>0</v>
      </c>
      <c r="CG12" s="435">
        <f t="shared" si="10"/>
        <v>0</v>
      </c>
      <c r="CH12" s="436">
        <f t="shared" si="10"/>
        <v>0</v>
      </c>
      <c r="CI12" s="436">
        <f t="shared" si="10"/>
        <v>0</v>
      </c>
      <c r="CJ12" s="437">
        <f t="shared" si="10"/>
        <v>0</v>
      </c>
      <c r="CK12" s="434">
        <f t="shared" si="10"/>
        <v>0</v>
      </c>
      <c r="CL12" s="435">
        <f t="shared" si="10"/>
        <v>0</v>
      </c>
      <c r="CM12" s="436">
        <f t="shared" si="10"/>
        <v>0</v>
      </c>
      <c r="CN12" s="436">
        <f t="shared" si="10"/>
        <v>0</v>
      </c>
      <c r="CO12" s="437">
        <f t="shared" si="10"/>
        <v>0</v>
      </c>
      <c r="CP12" s="434">
        <f t="shared" si="10"/>
        <v>0</v>
      </c>
      <c r="CQ12" s="435">
        <f t="shared" si="10"/>
        <v>0</v>
      </c>
      <c r="CR12" s="436">
        <f t="shared" si="10"/>
        <v>-0.51999999999999991</v>
      </c>
      <c r="CS12" s="436">
        <f t="shared" si="10"/>
        <v>-0.7799999999999998</v>
      </c>
      <c r="CT12" s="437">
        <f t="shared" si="10"/>
        <v>-0.7799999999999998</v>
      </c>
      <c r="CU12" s="434">
        <f t="shared" si="10"/>
        <v>-2.0799999999999996</v>
      </c>
      <c r="CV12" s="435">
        <f t="shared" si="10"/>
        <v>-12.152831164833332</v>
      </c>
      <c r="CW12" s="436">
        <f t="shared" si="10"/>
        <v>-6.5077567472500011</v>
      </c>
      <c r="CX12" s="436">
        <f t="shared" si="10"/>
        <v>-3.3055629408183336</v>
      </c>
      <c r="CY12" s="437">
        <f t="shared" si="10"/>
        <v>-2.3073401002016674</v>
      </c>
      <c r="CZ12" s="434">
        <f t="shared" si="10"/>
        <v>-24.273490953103341</v>
      </c>
      <c r="DA12" s="435">
        <f t="shared" si="10"/>
        <v>4.7922320376233323</v>
      </c>
      <c r="DB12" s="436">
        <f t="shared" si="10"/>
        <v>19.74356215082452</v>
      </c>
      <c r="DC12" s="436">
        <f t="shared" si="10"/>
        <v>36.911785011059521</v>
      </c>
      <c r="DD12" s="437">
        <f t="shared" si="10"/>
        <v>44.967312170442852</v>
      </c>
      <c r="DE12" s="434">
        <f t="shared" si="10"/>
        <v>106.41489136995023</v>
      </c>
      <c r="DF12" s="435">
        <f t="shared" ref="DF12:DO12" si="11">+DF10+DF11</f>
        <v>38.615904530784519</v>
      </c>
      <c r="DG12" s="436">
        <f t="shared" si="11"/>
        <v>11.970952925000002</v>
      </c>
      <c r="DH12" s="436">
        <f t="shared" si="11"/>
        <v>63.086278227621207</v>
      </c>
      <c r="DI12" s="437">
        <f t="shared" si="11"/>
        <v>50.959175250537868</v>
      </c>
      <c r="DJ12" s="434">
        <f t="shared" si="11"/>
        <v>164.63231093394361</v>
      </c>
      <c r="DK12" s="435">
        <f t="shared" si="11"/>
        <v>71.529425250537884</v>
      </c>
      <c r="DL12" s="436">
        <f t="shared" si="11"/>
        <v>76.316179338731203</v>
      </c>
      <c r="DM12" s="436">
        <f t="shared" si="11"/>
        <v>18.208417535973737</v>
      </c>
      <c r="DN12" s="437">
        <f t="shared" si="11"/>
        <v>20.800632808057074</v>
      </c>
      <c r="DO12" s="434">
        <f t="shared" si="11"/>
        <v>186.85465493329988</v>
      </c>
      <c r="DP12" s="435">
        <f>+DP10+DP11</f>
        <v>7.0950494747237371</v>
      </c>
      <c r="DQ12" s="436">
        <f>+DQ10+DQ11</f>
        <v>3.9797797473637324</v>
      </c>
      <c r="DR12" s="436">
        <f>+DR10+DR11</f>
        <v>31.6284662475</v>
      </c>
      <c r="DS12" s="437">
        <f>+DS10+DS11</f>
        <v>24.990958119166667</v>
      </c>
      <c r="DT12" s="434">
        <f>+DT10+DT11</f>
        <v>67.694253588754137</v>
      </c>
    </row>
    <row r="13" spans="1:124" ht="12.75" customHeight="1">
      <c r="A13" s="491"/>
      <c r="C13" s="56"/>
      <c r="D13" s="56"/>
      <c r="E13" s="8"/>
      <c r="F13" s="1313"/>
      <c r="G13" s="1313"/>
      <c r="H13" s="1313"/>
      <c r="I13" s="1314"/>
      <c r="J13" s="621"/>
      <c r="K13" s="112"/>
      <c r="L13" s="428"/>
      <c r="M13" s="430"/>
      <c r="N13" s="438"/>
      <c r="O13" s="438"/>
      <c r="P13" s="432"/>
      <c r="Q13" s="429"/>
      <c r="R13" s="430"/>
      <c r="S13" s="438"/>
      <c r="T13" s="438"/>
      <c r="U13" s="432"/>
      <c r="V13" s="429"/>
      <c r="W13" s="430"/>
      <c r="X13" s="438"/>
      <c r="Y13" s="438"/>
      <c r="Z13" s="432"/>
      <c r="AA13" s="429"/>
      <c r="AB13" s="430"/>
      <c r="AC13" s="438"/>
      <c r="AD13" s="438"/>
      <c r="AE13" s="432"/>
      <c r="AF13" s="429"/>
      <c r="AG13" s="430"/>
      <c r="AH13" s="438"/>
      <c r="AI13" s="438"/>
      <c r="AJ13" s="432"/>
      <c r="AK13" s="429"/>
      <c r="AL13" s="430"/>
      <c r="AM13" s="438"/>
      <c r="AN13" s="438"/>
      <c r="AO13" s="432"/>
      <c r="AP13" s="429"/>
      <c r="AQ13" s="430"/>
      <c r="AR13" s="438"/>
      <c r="AS13" s="438"/>
      <c r="AT13" s="432"/>
      <c r="AU13" s="429"/>
      <c r="AV13" s="430"/>
      <c r="AW13" s="438"/>
      <c r="AX13" s="438"/>
      <c r="AY13" s="432"/>
      <c r="AZ13" s="429"/>
      <c r="BA13" s="430"/>
      <c r="BB13" s="438"/>
      <c r="BC13" s="438"/>
      <c r="BD13" s="432"/>
      <c r="BE13" s="429"/>
      <c r="BF13" s="430"/>
      <c r="BG13" s="438"/>
      <c r="BH13" s="438"/>
      <c r="BI13" s="432"/>
      <c r="BJ13" s="429"/>
      <c r="BK13" s="430"/>
      <c r="BL13" s="438"/>
      <c r="BM13" s="438"/>
      <c r="BN13" s="432"/>
      <c r="BO13" s="429"/>
      <c r="BP13" s="433"/>
      <c r="BQ13" s="439"/>
      <c r="BR13" s="435"/>
      <c r="BS13" s="440"/>
      <c r="BT13" s="440"/>
      <c r="BU13" s="437"/>
      <c r="BV13" s="434"/>
      <c r="BW13" s="435"/>
      <c r="BX13" s="440"/>
      <c r="BY13" s="440"/>
      <c r="BZ13" s="437"/>
      <c r="CA13" s="434"/>
      <c r="CB13" s="435"/>
      <c r="CC13" s="440"/>
      <c r="CD13" s="440"/>
      <c r="CE13" s="437"/>
      <c r="CF13" s="434"/>
      <c r="CG13" s="435"/>
      <c r="CH13" s="440"/>
      <c r="CI13" s="440"/>
      <c r="CJ13" s="437"/>
      <c r="CK13" s="434"/>
      <c r="CL13" s="435"/>
      <c r="CM13" s="440"/>
      <c r="CN13" s="440"/>
      <c r="CO13" s="437"/>
      <c r="CP13" s="434"/>
      <c r="CQ13" s="435"/>
      <c r="CR13" s="440"/>
      <c r="CS13" s="440"/>
      <c r="CT13" s="437"/>
      <c r="CU13" s="434"/>
      <c r="CV13" s="435"/>
      <c r="CW13" s="440"/>
      <c r="CX13" s="440"/>
      <c r="CY13" s="437"/>
      <c r="CZ13" s="434"/>
      <c r="DA13" s="435"/>
      <c r="DB13" s="440"/>
      <c r="DC13" s="440"/>
      <c r="DD13" s="437"/>
      <c r="DE13" s="434"/>
      <c r="DF13" s="435"/>
      <c r="DG13" s="440"/>
      <c r="DH13" s="440"/>
      <c r="DI13" s="437"/>
      <c r="DJ13" s="434"/>
      <c r="DK13" s="435"/>
      <c r="DL13" s="440"/>
      <c r="DM13" s="440"/>
      <c r="DN13" s="437"/>
      <c r="DO13" s="434"/>
      <c r="DP13" s="435"/>
      <c r="DQ13" s="440"/>
      <c r="DR13" s="440"/>
      <c r="DS13" s="437"/>
      <c r="DT13" s="434"/>
    </row>
    <row r="14" spans="1:124" ht="12.75" customHeight="1" thickBot="1">
      <c r="A14" s="491"/>
      <c r="B14" s="441"/>
      <c r="C14" s="441"/>
      <c r="D14" s="441"/>
      <c r="E14" s="1315"/>
      <c r="F14" s="1316"/>
      <c r="G14" s="1316"/>
      <c r="H14" s="1316"/>
      <c r="I14" s="1317"/>
      <c r="J14" s="622"/>
      <c r="K14" s="442"/>
      <c r="L14" s="443"/>
      <c r="M14" s="420"/>
      <c r="N14" s="421"/>
      <c r="O14" s="421"/>
      <c r="P14" s="422"/>
      <c r="Q14" s="444"/>
      <c r="R14" s="420"/>
      <c r="S14" s="421"/>
      <c r="T14" s="421"/>
      <c r="U14" s="422"/>
      <c r="V14" s="444"/>
      <c r="W14" s="420"/>
      <c r="X14" s="421"/>
      <c r="Y14" s="421"/>
      <c r="Z14" s="422"/>
      <c r="AA14" s="444"/>
      <c r="AB14" s="420"/>
      <c r="AC14" s="421"/>
      <c r="AD14" s="421"/>
      <c r="AE14" s="422"/>
      <c r="AF14" s="444"/>
      <c r="AG14" s="420"/>
      <c r="AH14" s="421"/>
      <c r="AI14" s="421"/>
      <c r="AJ14" s="422"/>
      <c r="AK14" s="444"/>
      <c r="AL14" s="420"/>
      <c r="AM14" s="421"/>
      <c r="AN14" s="421"/>
      <c r="AO14" s="422"/>
      <c r="AP14" s="444"/>
      <c r="AQ14" s="420"/>
      <c r="AR14" s="421"/>
      <c r="AS14" s="421"/>
      <c r="AT14" s="422"/>
      <c r="AU14" s="444"/>
      <c r="AV14" s="420"/>
      <c r="AW14" s="421"/>
      <c r="AX14" s="421"/>
      <c r="AY14" s="422"/>
      <c r="AZ14" s="444"/>
      <c r="BA14" s="420"/>
      <c r="BB14" s="421"/>
      <c r="BC14" s="421"/>
      <c r="BD14" s="422"/>
      <c r="BE14" s="444"/>
      <c r="BF14" s="420"/>
      <c r="BG14" s="421"/>
      <c r="BH14" s="421"/>
      <c r="BI14" s="422"/>
      <c r="BJ14" s="444"/>
      <c r="BK14" s="420"/>
      <c r="BL14" s="421"/>
      <c r="BM14" s="421"/>
      <c r="BN14" s="422"/>
      <c r="BO14" s="444"/>
      <c r="BP14" s="445"/>
      <c r="BQ14" s="446"/>
      <c r="BR14" s="425"/>
      <c r="BS14" s="426"/>
      <c r="BT14" s="426"/>
      <c r="BU14" s="427"/>
      <c r="BV14" s="446"/>
      <c r="BW14" s="425"/>
      <c r="BX14" s="426"/>
      <c r="BY14" s="426"/>
      <c r="BZ14" s="427"/>
      <c r="CA14" s="446"/>
      <c r="CB14" s="425"/>
      <c r="CC14" s="426"/>
      <c r="CD14" s="426"/>
      <c r="CE14" s="427"/>
      <c r="CF14" s="446"/>
      <c r="CG14" s="425"/>
      <c r="CH14" s="426"/>
      <c r="CI14" s="426"/>
      <c r="CJ14" s="427"/>
      <c r="CK14" s="446"/>
      <c r="CL14" s="425"/>
      <c r="CM14" s="426"/>
      <c r="CN14" s="426"/>
      <c r="CO14" s="427"/>
      <c r="CP14" s="446"/>
      <c r="CQ14" s="425"/>
      <c r="CR14" s="426"/>
      <c r="CS14" s="426"/>
      <c r="CT14" s="427"/>
      <c r="CU14" s="446"/>
      <c r="CV14" s="425"/>
      <c r="CW14" s="426"/>
      <c r="CX14" s="426"/>
      <c r="CY14" s="427"/>
      <c r="CZ14" s="446"/>
      <c r="DA14" s="425"/>
      <c r="DB14" s="426"/>
      <c r="DC14" s="426"/>
      <c r="DD14" s="427"/>
      <c r="DE14" s="446"/>
      <c r="DF14" s="425"/>
      <c r="DG14" s="426"/>
      <c r="DH14" s="426"/>
      <c r="DI14" s="427"/>
      <c r="DJ14" s="446"/>
      <c r="DK14" s="425"/>
      <c r="DL14" s="426"/>
      <c r="DM14" s="426"/>
      <c r="DN14" s="427"/>
      <c r="DO14" s="446"/>
      <c r="DP14" s="425"/>
      <c r="DQ14" s="426"/>
      <c r="DR14" s="426"/>
      <c r="DS14" s="427"/>
      <c r="DT14" s="446"/>
    </row>
    <row r="15" spans="1:124" ht="12.75" customHeight="1">
      <c r="A15" s="491"/>
      <c r="B15" s="46" t="s">
        <v>281</v>
      </c>
      <c r="C15" s="46"/>
      <c r="D15" s="46"/>
      <c r="E15" s="831"/>
      <c r="F15" s="1226"/>
      <c r="G15" s="1226"/>
      <c r="H15" s="1318"/>
      <c r="I15" s="1318"/>
      <c r="J15" s="1319"/>
      <c r="K15" s="402"/>
      <c r="L15" s="407"/>
      <c r="M15" s="404"/>
      <c r="N15" s="405"/>
      <c r="O15" s="405"/>
      <c r="P15" s="406"/>
      <c r="Q15" s="407"/>
      <c r="R15" s="404"/>
      <c r="S15" s="405"/>
      <c r="T15" s="405"/>
      <c r="U15" s="406"/>
      <c r="V15" s="407"/>
      <c r="W15" s="404"/>
      <c r="X15" s="405"/>
      <c r="Y15" s="405"/>
      <c r="Z15" s="406"/>
      <c r="AA15" s="407"/>
      <c r="AB15" s="404"/>
      <c r="AC15" s="405"/>
      <c r="AD15" s="405"/>
      <c r="AE15" s="406"/>
      <c r="AF15" s="407"/>
      <c r="AG15" s="404"/>
      <c r="AH15" s="405"/>
      <c r="AI15" s="405"/>
      <c r="AJ15" s="406"/>
      <c r="AK15" s="407"/>
      <c r="AL15" s="404"/>
      <c r="AM15" s="405"/>
      <c r="AN15" s="405"/>
      <c r="AO15" s="406"/>
      <c r="AP15" s="407"/>
      <c r="AQ15" s="404"/>
      <c r="AR15" s="405"/>
      <c r="AS15" s="405"/>
      <c r="AT15" s="406"/>
      <c r="AU15" s="407"/>
      <c r="AV15" s="404"/>
      <c r="AW15" s="405"/>
      <c r="AX15" s="405"/>
      <c r="AY15" s="406"/>
      <c r="AZ15" s="407"/>
      <c r="BA15" s="404"/>
      <c r="BB15" s="405"/>
      <c r="BC15" s="405"/>
      <c r="BD15" s="406"/>
      <c r="BE15" s="407"/>
      <c r="BF15" s="404"/>
      <c r="BG15" s="405"/>
      <c r="BH15" s="405"/>
      <c r="BI15" s="406"/>
      <c r="BJ15" s="407"/>
      <c r="BK15" s="404"/>
      <c r="BL15" s="405"/>
      <c r="BM15" s="405"/>
      <c r="BN15" s="406"/>
      <c r="BO15" s="407"/>
      <c r="BP15" s="447"/>
      <c r="BQ15" s="409"/>
      <c r="BR15" s="410"/>
      <c r="BS15" s="411"/>
      <c r="BT15" s="411"/>
      <c r="BU15" s="412"/>
      <c r="BV15" s="413"/>
      <c r="BW15" s="410"/>
      <c r="BX15" s="411"/>
      <c r="BY15" s="411"/>
      <c r="BZ15" s="412"/>
      <c r="CA15" s="413"/>
      <c r="CB15" s="410"/>
      <c r="CC15" s="411"/>
      <c r="CD15" s="411"/>
      <c r="CE15" s="412"/>
      <c r="CF15" s="413"/>
      <c r="CG15" s="410"/>
      <c r="CH15" s="411"/>
      <c r="CI15" s="411"/>
      <c r="CJ15" s="412"/>
      <c r="CK15" s="413"/>
      <c r="CL15" s="410"/>
      <c r="CM15" s="411"/>
      <c r="CN15" s="411"/>
      <c r="CO15" s="412"/>
      <c r="CP15" s="413"/>
      <c r="CQ15" s="410"/>
      <c r="CR15" s="411"/>
      <c r="CS15" s="411"/>
      <c r="CT15" s="412"/>
      <c r="CU15" s="413"/>
      <c r="CV15" s="410"/>
      <c r="CW15" s="411"/>
      <c r="CX15" s="411"/>
      <c r="CY15" s="412"/>
      <c r="CZ15" s="413"/>
      <c r="DA15" s="410"/>
      <c r="DB15" s="411"/>
      <c r="DC15" s="411"/>
      <c r="DD15" s="412"/>
      <c r="DE15" s="413"/>
      <c r="DF15" s="410"/>
      <c r="DG15" s="411"/>
      <c r="DH15" s="411"/>
      <c r="DI15" s="412"/>
      <c r="DJ15" s="413"/>
      <c r="DK15" s="410"/>
      <c r="DL15" s="411"/>
      <c r="DM15" s="411"/>
      <c r="DN15" s="412"/>
      <c r="DO15" s="413"/>
      <c r="DP15" s="410"/>
      <c r="DQ15" s="411"/>
      <c r="DR15" s="411"/>
      <c r="DS15" s="412"/>
      <c r="DT15" s="413"/>
    </row>
    <row r="16" spans="1:124" ht="12.75" customHeight="1">
      <c r="A16" s="491"/>
      <c r="C16" s="56"/>
      <c r="D16" s="56"/>
      <c r="E16" s="831"/>
      <c r="F16" s="1226"/>
      <c r="G16" s="1226"/>
      <c r="H16" s="15"/>
      <c r="I16" s="1227"/>
      <c r="J16" s="616"/>
      <c r="K16" s="402"/>
      <c r="L16" s="403"/>
      <c r="M16" s="404"/>
      <c r="N16" s="405"/>
      <c r="O16" s="405"/>
      <c r="P16" s="406"/>
      <c r="Q16" s="407"/>
      <c r="R16" s="404"/>
      <c r="S16" s="405"/>
      <c r="T16" s="405"/>
      <c r="U16" s="406"/>
      <c r="V16" s="407"/>
      <c r="W16" s="404"/>
      <c r="X16" s="405"/>
      <c r="Y16" s="405"/>
      <c r="Z16" s="406"/>
      <c r="AA16" s="407"/>
      <c r="AB16" s="404"/>
      <c r="AC16" s="405"/>
      <c r="AD16" s="405"/>
      <c r="AE16" s="406"/>
      <c r="AF16" s="407"/>
      <c r="AG16" s="404"/>
      <c r="AH16" s="405"/>
      <c r="AI16" s="405"/>
      <c r="AJ16" s="406"/>
      <c r="AK16" s="407"/>
      <c r="AL16" s="404"/>
      <c r="AM16" s="405"/>
      <c r="AN16" s="405"/>
      <c r="AO16" s="406"/>
      <c r="AP16" s="407"/>
      <c r="AQ16" s="404"/>
      <c r="AR16" s="405"/>
      <c r="AS16" s="405"/>
      <c r="AT16" s="406"/>
      <c r="AU16" s="407"/>
      <c r="AV16" s="404"/>
      <c r="AW16" s="405"/>
      <c r="AX16" s="405"/>
      <c r="AY16" s="406"/>
      <c r="AZ16" s="407"/>
      <c r="BA16" s="404"/>
      <c r="BB16" s="405"/>
      <c r="BC16" s="405"/>
      <c r="BD16" s="406"/>
      <c r="BE16" s="407"/>
      <c r="BF16" s="404"/>
      <c r="BG16" s="405"/>
      <c r="BH16" s="405"/>
      <c r="BI16" s="406"/>
      <c r="BJ16" s="407"/>
      <c r="BK16" s="404"/>
      <c r="BL16" s="405"/>
      <c r="BM16" s="405"/>
      <c r="BN16" s="406"/>
      <c r="BO16" s="407"/>
      <c r="BP16" s="447"/>
      <c r="BQ16" s="409"/>
      <c r="BR16" s="410"/>
      <c r="BS16" s="411"/>
      <c r="BT16" s="411"/>
      <c r="BU16" s="412"/>
      <c r="BV16" s="413"/>
      <c r="BW16" s="410"/>
      <c r="BX16" s="411"/>
      <c r="BY16" s="411"/>
      <c r="BZ16" s="412"/>
      <c r="CA16" s="413"/>
      <c r="CB16" s="410"/>
      <c r="CC16" s="411"/>
      <c r="CD16" s="411"/>
      <c r="CE16" s="412"/>
      <c r="CF16" s="413"/>
      <c r="CG16" s="410"/>
      <c r="CH16" s="411"/>
      <c r="CI16" s="411"/>
      <c r="CJ16" s="412"/>
      <c r="CK16" s="413"/>
      <c r="CL16" s="410"/>
      <c r="CM16" s="411"/>
      <c r="CN16" s="411"/>
      <c r="CO16" s="412"/>
      <c r="CP16" s="413"/>
      <c r="CQ16" s="410"/>
      <c r="CR16" s="411"/>
      <c r="CS16" s="411"/>
      <c r="CT16" s="412"/>
      <c r="CU16" s="413"/>
      <c r="CV16" s="410"/>
      <c r="CW16" s="411"/>
      <c r="CX16" s="411"/>
      <c r="CY16" s="412"/>
      <c r="CZ16" s="413"/>
      <c r="DA16" s="410"/>
      <c r="DB16" s="411"/>
      <c r="DC16" s="411"/>
      <c r="DD16" s="412"/>
      <c r="DE16" s="413"/>
      <c r="DF16" s="410"/>
      <c r="DG16" s="411"/>
      <c r="DH16" s="411"/>
      <c r="DI16" s="412"/>
      <c r="DJ16" s="413"/>
      <c r="DK16" s="410"/>
      <c r="DL16" s="411"/>
      <c r="DM16" s="411"/>
      <c r="DN16" s="412"/>
      <c r="DO16" s="413"/>
      <c r="DP16" s="410"/>
      <c r="DQ16" s="411"/>
      <c r="DR16" s="411"/>
      <c r="DS16" s="412"/>
      <c r="DT16" s="413"/>
    </row>
    <row r="17" spans="1:124" ht="12.75" customHeight="1">
      <c r="A17" s="491"/>
      <c r="C17" s="261" t="s">
        <v>282</v>
      </c>
      <c r="D17" s="261"/>
      <c r="E17" s="25"/>
      <c r="F17" s="1233"/>
      <c r="G17" s="1233"/>
      <c r="H17" s="12"/>
      <c r="I17" s="614"/>
      <c r="J17" s="616"/>
      <c r="K17" s="448"/>
      <c r="L17" s="403"/>
      <c r="M17" s="404"/>
      <c r="N17" s="405"/>
      <c r="O17" s="405"/>
      <c r="P17" s="406"/>
      <c r="Q17" s="407"/>
      <c r="R17" s="404"/>
      <c r="S17" s="405"/>
      <c r="T17" s="405"/>
      <c r="U17" s="406"/>
      <c r="V17" s="407"/>
      <c r="W17" s="404"/>
      <c r="X17" s="405"/>
      <c r="Y17" s="405"/>
      <c r="Z17" s="406"/>
      <c r="AA17" s="407"/>
      <c r="AB17" s="404"/>
      <c r="AC17" s="405"/>
      <c r="AD17" s="405"/>
      <c r="AE17" s="406"/>
      <c r="AF17" s="407"/>
      <c r="AG17" s="404"/>
      <c r="AH17" s="405"/>
      <c r="AI17" s="405"/>
      <c r="AJ17" s="406"/>
      <c r="AK17" s="407"/>
      <c r="AL17" s="404"/>
      <c r="AM17" s="405"/>
      <c r="AN17" s="405"/>
      <c r="AO17" s="406"/>
      <c r="AP17" s="407"/>
      <c r="AQ17" s="404"/>
      <c r="AR17" s="405"/>
      <c r="AS17" s="405"/>
      <c r="AT17" s="406"/>
      <c r="AU17" s="407"/>
      <c r="AV17" s="404"/>
      <c r="AW17" s="405"/>
      <c r="AX17" s="405"/>
      <c r="AY17" s="406"/>
      <c r="AZ17" s="407"/>
      <c r="BA17" s="404"/>
      <c r="BB17" s="405"/>
      <c r="BC17" s="405"/>
      <c r="BD17" s="406"/>
      <c r="BE17" s="407"/>
      <c r="BF17" s="404"/>
      <c r="BG17" s="405"/>
      <c r="BH17" s="405"/>
      <c r="BI17" s="406"/>
      <c r="BJ17" s="407"/>
      <c r="BK17" s="404"/>
      <c r="BL17" s="405"/>
      <c r="BM17" s="405"/>
      <c r="BN17" s="406"/>
      <c r="BO17" s="407"/>
      <c r="BP17" s="447"/>
      <c r="BQ17" s="409"/>
      <c r="BR17" s="410"/>
      <c r="BS17" s="411"/>
      <c r="BT17" s="411"/>
      <c r="BU17" s="412"/>
      <c r="BV17" s="413"/>
      <c r="BW17" s="410"/>
      <c r="BX17" s="411"/>
      <c r="BY17" s="411"/>
      <c r="BZ17" s="412"/>
      <c r="CA17" s="413"/>
      <c r="CB17" s="410"/>
      <c r="CC17" s="411"/>
      <c r="CD17" s="411"/>
      <c r="CE17" s="412"/>
      <c r="CF17" s="413"/>
      <c r="CG17" s="410"/>
      <c r="CH17" s="411"/>
      <c r="CI17" s="411"/>
      <c r="CJ17" s="412"/>
      <c r="CK17" s="413"/>
      <c r="CL17" s="410"/>
      <c r="CM17" s="411"/>
      <c r="CN17" s="411"/>
      <c r="CO17" s="412"/>
      <c r="CP17" s="413"/>
      <c r="CQ17" s="410"/>
      <c r="CR17" s="411"/>
      <c r="CS17" s="411"/>
      <c r="CT17" s="412"/>
      <c r="CU17" s="413"/>
      <c r="CV17" s="410"/>
      <c r="CW17" s="411"/>
      <c r="CX17" s="411"/>
      <c r="CY17" s="412"/>
      <c r="CZ17" s="413"/>
      <c r="DA17" s="410"/>
      <c r="DB17" s="411"/>
      <c r="DC17" s="411"/>
      <c r="DD17" s="412"/>
      <c r="DE17" s="413"/>
      <c r="DF17" s="410"/>
      <c r="DG17" s="411"/>
      <c r="DH17" s="411"/>
      <c r="DI17" s="412"/>
      <c r="DJ17" s="413"/>
      <c r="DK17" s="410"/>
      <c r="DL17" s="411"/>
      <c r="DM17" s="411"/>
      <c r="DN17" s="412"/>
      <c r="DO17" s="413"/>
      <c r="DP17" s="410"/>
      <c r="DQ17" s="411"/>
      <c r="DR17" s="411"/>
      <c r="DS17" s="412"/>
      <c r="DT17" s="413"/>
    </row>
    <row r="18" spans="1:124" ht="12.75" customHeight="1">
      <c r="A18" s="491"/>
      <c r="C18" s="605" t="s">
        <v>365</v>
      </c>
      <c r="D18" s="605"/>
      <c r="E18" s="831"/>
      <c r="F18" s="1226"/>
      <c r="G18" s="1226"/>
      <c r="H18" s="610"/>
      <c r="I18" s="611"/>
      <c r="J18" s="612"/>
      <c r="K18" s="448"/>
      <c r="L18" s="403"/>
      <c r="M18" s="404"/>
      <c r="N18" s="405"/>
      <c r="O18" s="405"/>
      <c r="P18" s="406"/>
      <c r="Q18" s="407"/>
      <c r="R18" s="404"/>
      <c r="S18" s="405"/>
      <c r="T18" s="405"/>
      <c r="U18" s="406"/>
      <c r="V18" s="407"/>
      <c r="W18" s="404"/>
      <c r="X18" s="405"/>
      <c r="Y18" s="405"/>
      <c r="Z18" s="406"/>
      <c r="AA18" s="407"/>
      <c r="AB18" s="404"/>
      <c r="AC18" s="405"/>
      <c r="AD18" s="405"/>
      <c r="AE18" s="406"/>
      <c r="AF18" s="407"/>
      <c r="AG18" s="404"/>
      <c r="AH18" s="405"/>
      <c r="AI18" s="405"/>
      <c r="AJ18" s="406"/>
      <c r="AK18" s="407"/>
      <c r="AL18" s="404"/>
      <c r="AM18" s="405"/>
      <c r="AN18" s="405"/>
      <c r="AO18" s="406"/>
      <c r="AP18" s="407"/>
      <c r="AQ18" s="404"/>
      <c r="AR18" s="405"/>
      <c r="AS18" s="405"/>
      <c r="AT18" s="406"/>
      <c r="AU18" s="407"/>
      <c r="AV18" s="404"/>
      <c r="AW18" s="405"/>
      <c r="AX18" s="405"/>
      <c r="AY18" s="406"/>
      <c r="AZ18" s="407"/>
      <c r="BA18" s="404"/>
      <c r="BB18" s="405"/>
      <c r="BC18" s="405"/>
      <c r="BD18" s="406"/>
      <c r="BE18" s="407"/>
      <c r="BF18" s="404"/>
      <c r="BG18" s="405"/>
      <c r="BH18" s="405"/>
      <c r="BI18" s="406"/>
      <c r="BJ18" s="407"/>
      <c r="BK18" s="404"/>
      <c r="BL18" s="405"/>
      <c r="BM18" s="405"/>
      <c r="BN18" s="406"/>
      <c r="BO18" s="407"/>
      <c r="BP18" s="447"/>
      <c r="BQ18" s="409"/>
      <c r="BR18" s="410"/>
      <c r="BS18" s="411"/>
      <c r="BT18" s="411"/>
      <c r="BU18" s="412"/>
      <c r="BV18" s="413"/>
      <c r="BW18" s="410"/>
      <c r="BX18" s="411"/>
      <c r="BY18" s="411"/>
      <c r="BZ18" s="412"/>
      <c r="CA18" s="413"/>
      <c r="CB18" s="410"/>
      <c r="CC18" s="411"/>
      <c r="CD18" s="411"/>
      <c r="CE18" s="412"/>
      <c r="CF18" s="413"/>
      <c r="CG18" s="410"/>
      <c r="CH18" s="411"/>
      <c r="CI18" s="411"/>
      <c r="CJ18" s="412"/>
      <c r="CK18" s="413"/>
      <c r="CL18" s="410"/>
      <c r="CM18" s="411"/>
      <c r="CN18" s="411"/>
      <c r="CO18" s="412"/>
      <c r="CP18" s="413"/>
      <c r="CQ18" s="410"/>
      <c r="CR18" s="411"/>
      <c r="CS18" s="411"/>
      <c r="CT18" s="412"/>
      <c r="CU18" s="413"/>
      <c r="CV18" s="410"/>
      <c r="CW18" s="411"/>
      <c r="CX18" s="411"/>
      <c r="CY18" s="412"/>
      <c r="CZ18" s="413"/>
      <c r="DA18" s="410"/>
      <c r="DB18" s="411"/>
      <c r="DC18" s="411"/>
      <c r="DD18" s="412"/>
      <c r="DE18" s="413"/>
      <c r="DF18" s="410"/>
      <c r="DG18" s="411"/>
      <c r="DH18" s="411"/>
      <c r="DI18" s="412"/>
      <c r="DJ18" s="413"/>
      <c r="DK18" s="410"/>
      <c r="DL18" s="411"/>
      <c r="DM18" s="411"/>
      <c r="DN18" s="412"/>
      <c r="DO18" s="413"/>
      <c r="DP18" s="410"/>
      <c r="DQ18" s="411"/>
      <c r="DR18" s="411"/>
      <c r="DS18" s="412"/>
      <c r="DT18" s="413"/>
    </row>
    <row r="19" spans="1:124" ht="12.75" customHeight="1">
      <c r="A19" s="491"/>
      <c r="C19" s="1885" t="s">
        <v>928</v>
      </c>
      <c r="D19" s="1885"/>
      <c r="E19" s="1886">
        <f>IF(F19=0,G19,F19)</f>
        <v>104</v>
      </c>
      <c r="F19" s="1532">
        <v>104</v>
      </c>
      <c r="G19" s="1532">
        <v>104</v>
      </c>
      <c r="H19" s="610">
        <v>2022</v>
      </c>
      <c r="I19" s="1533">
        <v>3.3000000000000002E-2</v>
      </c>
      <c r="J19" s="615">
        <v>10</v>
      </c>
      <c r="K19" s="402"/>
      <c r="L19" s="407">
        <f t="shared" ref="L19:L32" si="12">IF(L$5=$H19,-$E19,0)</f>
        <v>0</v>
      </c>
      <c r="M19" s="404">
        <f t="shared" ref="M19:M28" si="13">IF(Q19=0,0,IF(Q19&lt;0,IF($J19=3,Q19,IF($J19=2,Q19,IF($J19=1,Q19,0)))))</f>
        <v>0</v>
      </c>
      <c r="N19" s="414">
        <f t="shared" ref="N19:N28" si="14">IF(Q19=0,0,IF(Q19&lt;0,IF($J19=6,Q19,IF($J19=5,Q19,IF($J19=4,Q19,0)))))</f>
        <v>0</v>
      </c>
      <c r="O19" s="414">
        <f t="shared" ref="O19:O28" si="15">IF(Q19=0,0,IF(Q19&lt;0,IF($J19=9,Q19,IF($J19=8,Q19,IF($J19=7,Q19,0)))))</f>
        <v>0</v>
      </c>
      <c r="P19" s="406">
        <f t="shared" ref="P19:P28" si="16">IF(Q19=0,0,IF(Q19&lt;0,IF($J19=12,Q19,IF($J19=11,Q19,IF($J19=10,Q19,0)))))</f>
        <v>0</v>
      </c>
      <c r="Q19" s="407">
        <f t="shared" ref="Q19:Q32" si="17">IF(Q$5=$H19,-$E19,0)</f>
        <v>0</v>
      </c>
      <c r="R19" s="404">
        <f t="shared" ref="R19:R28" si="18">IF(V19=0,0,IF(V19&lt;0,IF($J19=3,V19,IF($J19=2,V19,IF($J19=1,V19,0)))))</f>
        <v>0</v>
      </c>
      <c r="S19" s="414">
        <f t="shared" ref="S19:S28" si="19">IF(V19=0,0,IF(V19&lt;0,IF($J19=6,V19,IF($J19=5,V19,IF($J19=4,V19,0)))))</f>
        <v>0</v>
      </c>
      <c r="T19" s="414">
        <f t="shared" ref="T19:T28" si="20">IF(V19=0,0,IF(V19&lt;0,IF($J19=9,V19,IF($J19=8,V19,IF($J19=7,V19,0)))))</f>
        <v>0</v>
      </c>
      <c r="U19" s="406">
        <f t="shared" ref="U19:U28" si="21">IF(V19=0,0,IF(V19&lt;0,IF($J19=12,V19,IF($J19=11,V19,IF($J19=10,V19,0)))))</f>
        <v>0</v>
      </c>
      <c r="V19" s="407">
        <f t="shared" ref="V19:V32" si="22">IF(V$5=$H19,-$E19,0)</f>
        <v>0</v>
      </c>
      <c r="W19" s="404">
        <f t="shared" ref="W19:W28" si="23">IF(AA19=0,0,IF(AA19&lt;0,IF($J19=3,AA19,IF($J19=2,AA19,IF($J19=1,AA19,0)))))</f>
        <v>0</v>
      </c>
      <c r="X19" s="414">
        <f t="shared" ref="X19:X28" si="24">IF(AA19=0,0,IF(AA19&lt;0,IF($J19=6,AA19,IF($J19=5,AA19,IF($J19=4,AA19,0)))))</f>
        <v>0</v>
      </c>
      <c r="Y19" s="414">
        <f t="shared" ref="Y19:Y28" si="25">IF(AA19=0,0,IF(AA19&lt;0,IF($J19=9,AA19,IF($J19=8,AA19,IF($J19=7,AA19,0)))))</f>
        <v>0</v>
      </c>
      <c r="Z19" s="406">
        <f t="shared" ref="Z19:Z28" si="26">IF(AA19=0,0,IF(AA19&lt;0,IF($J19=12,AA19,IF($J19=11,AA19,IF($J19=10,AA19,0)))))</f>
        <v>0</v>
      </c>
      <c r="AA19" s="407">
        <f t="shared" ref="AA19:AA32" si="27">IF(AA$5=$H19,-$E19,0)</f>
        <v>0</v>
      </c>
      <c r="AB19" s="404">
        <f t="shared" ref="AB19:AB28" si="28">IF(AF19=0,0,IF(AF19&lt;0,IF($J19=3,AF19,IF($J19=2,AF19,IF($J19=1,AF19,0)))))</f>
        <v>0</v>
      </c>
      <c r="AC19" s="414">
        <f t="shared" ref="AC19:AC28" si="29">IF(AF19=0,0,IF(AF19&lt;0,IF($J19=6,AF19,IF($J19=5,AF19,IF($J19=4,AF19,0)))))</f>
        <v>0</v>
      </c>
      <c r="AD19" s="414">
        <f t="shared" ref="AD19:AD28" si="30">IF(AF19=0,0,IF(AF19&lt;0,IF($J19=9,AF19,IF($J19=8,AF19,IF($J19=7,AF19,0)))))</f>
        <v>0</v>
      </c>
      <c r="AE19" s="406">
        <f t="shared" ref="AE19:AE28" si="31">IF(AF19=0,0,IF(AF19&lt;0,IF($J19=12,AF19,IF($J19=11,AF19,IF($J19=10,AF19,0)))))</f>
        <v>0</v>
      </c>
      <c r="AF19" s="407">
        <f t="shared" ref="AF19:AF32" si="32">IF(AF$5=$H19,-$E19,0)</f>
        <v>0</v>
      </c>
      <c r="AG19" s="404">
        <f t="shared" ref="AG19:AG28" si="33">IF(AK19=0,0,IF(AK19&lt;0,IF($J19=3,AK19,IF($J19=2,AK19,IF($J19=1,AK19,0)))))</f>
        <v>0</v>
      </c>
      <c r="AH19" s="414">
        <f t="shared" ref="AH19:AH28" si="34">IF(AK19=0,0,IF(AK19&lt;0,IF($J19=6,AK19,IF($J19=5,AK19,IF($J19=4,AK19,0)))))</f>
        <v>0</v>
      </c>
      <c r="AI19" s="414">
        <f t="shared" ref="AI19:AI28" si="35">IF(AK19=0,0,IF(AK19&lt;0,IF($J19=9,AK19,IF($J19=8,AK19,IF($J19=7,AK19,0)))))</f>
        <v>0</v>
      </c>
      <c r="AJ19" s="406">
        <f t="shared" ref="AJ19:AJ28" si="36">IF(AK19=0,0,IF(AK19&lt;0,IF($J19=12,AK19,IF($J19=11,AK19,IF($J19=10,AK19,0)))))</f>
        <v>0</v>
      </c>
      <c r="AK19" s="407">
        <f t="shared" ref="AK19:AK32" si="37">IF(AK$5=$H19,-$E19,0)</f>
        <v>0</v>
      </c>
      <c r="AL19" s="404">
        <f t="shared" ref="AL19:AL28" si="38">IF(AP19=0,0,IF(AP19&lt;0,IF($J19=3,AP19,IF($J19=2,AP19,IF($J19=1,AP19,0)))))</f>
        <v>0</v>
      </c>
      <c r="AM19" s="414">
        <f t="shared" ref="AM19:AM28" si="39">IF(AP19=0,0,IF(AP19&lt;0,IF($J19=6,AP19,IF($J19=5,AP19,IF($J19=4,AP19,0)))))</f>
        <v>0</v>
      </c>
      <c r="AN19" s="414">
        <f t="shared" ref="AN19:AN28" si="40">IF(AP19=0,0,IF(AP19&lt;0,IF($J19=9,AP19,IF($J19=8,AP19,IF($J19=7,AP19,0)))))</f>
        <v>0</v>
      </c>
      <c r="AO19" s="406">
        <f t="shared" ref="AO19:AO28" si="41">IF(AP19=0,0,IF(AP19&lt;0,IF($J19=12,AP19,IF($J19=11,AP19,IF($J19=10,AP19,0)))))</f>
        <v>0</v>
      </c>
      <c r="AP19" s="407">
        <f t="shared" ref="AP19:AP32" si="42">IF(AP$5=$H19,-$E19,0)</f>
        <v>0</v>
      </c>
      <c r="AQ19" s="404">
        <f t="shared" ref="AQ19:AQ28" si="43">IF(AU19=0,0,IF(AU19&lt;0,IF($J19=3,AU19,IF($J19=2,AU19,IF($J19=1,AU19,0)))))</f>
        <v>0</v>
      </c>
      <c r="AR19" s="414">
        <f t="shared" ref="AR19:AR28" si="44">IF(AU19=0,0,IF(AU19&lt;0,IF($J19=6,AU19,IF($J19=5,AU19,IF($J19=4,AU19,0)))))</f>
        <v>0</v>
      </c>
      <c r="AS19" s="414">
        <f t="shared" ref="AS19:AS28" si="45">IF(AU19=0,0,IF(AU19&lt;0,IF($J19=9,AU19,IF($J19=8,AU19,IF($J19=7,AU19,0)))))</f>
        <v>0</v>
      </c>
      <c r="AT19" s="406">
        <f t="shared" ref="AT19:AT28" si="46">IF(AU19=0,0,IF(AU19&lt;0,IF($J19=12,AU19,IF($J19=11,AU19,IF($J19=10,AU19,0)))))</f>
        <v>0</v>
      </c>
      <c r="AU19" s="407">
        <f t="shared" ref="AU19:AU32" si="47">IF(AU$5=$H19,-$E19,0)</f>
        <v>0</v>
      </c>
      <c r="AV19" s="404">
        <f t="shared" ref="AV19:AV28" si="48">IF(AZ19=0,0,IF(AZ19&lt;0,IF($J19=3,AZ19,IF($J19=2,AZ19,IF($J19=1,AZ19,0)))))</f>
        <v>0</v>
      </c>
      <c r="AW19" s="414">
        <f t="shared" ref="AW19:AW28" si="49">IF(AZ19=0,0,IF(AZ19&lt;0,IF($J19=6,AZ19,IF($J19=5,AZ19,IF($J19=4,AZ19,0)))))</f>
        <v>0</v>
      </c>
      <c r="AX19" s="414">
        <f t="shared" ref="AX19:AX28" si="50">IF(AZ19=0,0,IF(AZ19&lt;0,IF($J19=9,AZ19,IF($J19=8,AZ19,IF($J19=7,AZ19,0)))))</f>
        <v>0</v>
      </c>
      <c r="AY19" s="406">
        <f t="shared" ref="AY19:AY28" si="51">IF(AZ19=0,0,IF(AZ19&lt;0,IF($J19=12,AZ19,IF($J19=11,AZ19,IF($J19=10,AZ19,0)))))</f>
        <v>0</v>
      </c>
      <c r="AZ19" s="407">
        <f t="shared" ref="AZ19:AZ32" si="52">IF(AZ$5=$H19,-$E19,0)</f>
        <v>0</v>
      </c>
      <c r="BA19" s="404">
        <f t="shared" ref="BA19:BA28" si="53">IF(BE19=0,0,IF(BE19&lt;0,IF($J19=3,BE19,IF($J19=2,BE19,IF($J19=1,BE19,0)))))</f>
        <v>0</v>
      </c>
      <c r="BB19" s="414">
        <f t="shared" ref="BB19:BB28" si="54">IF(BE19=0,0,IF(BE19&lt;0,IF($J19=6,BE19,IF($J19=5,BE19,IF($J19=4,BE19,0)))))</f>
        <v>0</v>
      </c>
      <c r="BC19" s="414">
        <f t="shared" ref="BC19:BC28" si="55">IF(BE19=0,0,IF(BE19&lt;0,IF($J19=9,BE19,IF($J19=8,BE19,IF($J19=7,BE19,0)))))</f>
        <v>0</v>
      </c>
      <c r="BD19" s="406">
        <f t="shared" ref="BD19:BD28" si="56">IF(BE19=0,0,IF(BE19&lt;0,IF($J19=12,BE19,IF($J19=11,BE19,IF($J19=10,BE19,0)))))</f>
        <v>0</v>
      </c>
      <c r="BE19" s="407">
        <f t="shared" ref="BE19:BE32" si="57">IF(BE$5=$H19,-$E19,0)</f>
        <v>0</v>
      </c>
      <c r="BF19" s="404">
        <f t="shared" ref="BF19:BF28" si="58">IF(BJ19=0,0,IF(BJ19&lt;0,IF($J19=3,BJ19,IF($J19=2,BJ19,IF($J19=1,BJ19,0)))))</f>
        <v>0</v>
      </c>
      <c r="BG19" s="414">
        <f t="shared" ref="BG19:BG28" si="59">IF(BJ19=0,0,IF(BJ19&lt;0,IF($J19=6,BJ19,IF($J19=5,BJ19,IF($J19=4,BJ19,0)))))</f>
        <v>0</v>
      </c>
      <c r="BH19" s="414">
        <f t="shared" ref="BH19:BH28" si="60">IF(BJ19=0,0,IF(BJ19&lt;0,IF($J19=9,BJ19,IF($J19=8,BJ19,IF($J19=7,BJ19,0)))))</f>
        <v>0</v>
      </c>
      <c r="BI19" s="406">
        <f t="shared" ref="BI19:BI28" si="61">IF(BJ19=0,0,IF(BJ19&lt;0,IF($J19=12,BJ19,IF($J19=11,BJ19,IF($J19=10,BJ19,0)))))</f>
        <v>0</v>
      </c>
      <c r="BJ19" s="407">
        <f t="shared" ref="BJ19:BJ32" si="62">IF(BJ$5=$H19,-$E19,0)</f>
        <v>0</v>
      </c>
      <c r="BK19" s="404">
        <f t="shared" ref="BK19:BK28" si="63">IF(BO19=0,0,IF(BO19&lt;0,IF($J19=3,BO19,IF($J19=2,BO19,IF($J19=1,BO19,0)))))</f>
        <v>0</v>
      </c>
      <c r="BL19" s="414">
        <f t="shared" ref="BL19:BL28" si="64">IF(BO19=0,0,IF(BO19&lt;0,IF($J19=6,BO19,IF($J19=5,BO19,IF($J19=4,BO19,0)))))</f>
        <v>0</v>
      </c>
      <c r="BM19" s="414">
        <f t="shared" ref="BM19:BM28" si="65">IF(BO19=0,0,IF(BO19&lt;0,IF($J19=9,BO19,IF($J19=8,BO19,IF($J19=7,BO19,0)))))</f>
        <v>0</v>
      </c>
      <c r="BN19" s="406">
        <f t="shared" ref="BN19:BN28" si="66">IF(BO19=0,0,IF(BO19&lt;0,IF($J19=12,BO19,IF($J19=11,BO19,IF($J19=10,BO19,0)))))</f>
        <v>0</v>
      </c>
      <c r="BO19" s="407">
        <f t="shared" ref="BO19:BO32" si="67">IF(BO$5=$H19,-$E19,0)</f>
        <v>0</v>
      </c>
      <c r="BP19" s="449"/>
      <c r="BQ19" s="413">
        <f t="shared" ref="BQ19:BQ28" si="68">IF(AND(AH19&lt;&gt;0,AH$5=$H19),-$I19*$E19-AH19,IF(BQ$5=$H19,-$I19*$E19*(12-$J19+1)/12,0))</f>
        <v>0</v>
      </c>
      <c r="BR19" s="410">
        <f t="shared" ref="BR19:BR28" si="69">IF($H19&lt;&gt;BV$5,0,IF(BV19&lt;0,IF($J19=1,-$E19*$I19/12*3,IF($J19=2,-$E19*$I19/12*2,IF($J19=3,-$E19*$I19/12*1,0)))))+IF(BQ$5&lt;&gt;$H19,0,IF(BQ19&lt;0,IF($J19=1,-$E19*$I19/12*0,IF($J19=2,-$E19*$I19/12*1,IF($J19=3,-$E19*$I19/12*2,IF($J19&gt;=4,-$E19*$I19/12*3,0))))))</f>
        <v>0</v>
      </c>
      <c r="BS19" s="416">
        <f t="shared" ref="BS19:BS28" si="70">IF($H19&lt;&gt;BV$5,0,IF(BV19&lt;0,IF(OR($J19=1,$J19=2,$J19=3,$J19=4),-$E19*$I19/12*3,IF($J19=5,-$E19*$I19/12*2,IF($J19=6,-$E19*$I19/12*1,0)))))+IF(BQ$5&lt;&gt;$H19,0,IF(BQ19&lt;0,IF($J19=4,-$E19*$I19/12*0,IF($J19=5,-$E19*$I19/12*1,IF($J19=6,-$E19*$I19/12*2,IF($J19&gt;=7,-$E19*$I19/12*3,0))))))</f>
        <v>0</v>
      </c>
      <c r="BT19" s="416">
        <f t="shared" ref="BT19:BT28" si="71">IF($H19&lt;&gt;BV$5,0,IF(BV19&lt;0,IF(OR($J19=1,$J19=2,$J19=3,$J19=4,$J19=5,$J19=6,$J19=7),-$E19*$I19/12*3,IF($J19=8,-$E19*$I19/12*2,IF($J19=9,-$E19*$I19/12*1,0)))))+IF(BQ$5&lt;&gt;$H19,0,IF(BQ19&lt;0,IF($J19=7,-$E19*$I19/12*0,IF($J19=8,-$E19*$I19/12*1,IF($J19=9,-$E19*$I19/12*2,IF($J19&gt;=10,-$E19*$I19/12*3,0))))))</f>
        <v>0</v>
      </c>
      <c r="BU19" s="412">
        <f t="shared" ref="BU19:BU28" si="72">IF($H19&lt;&gt;BV$5,0,IF(BV19&lt;0,IF(OR($J19=1,$J19=2,$J19=3,$J19=4,$J19=5,$J19=6,$J19=7,$J19=8,$J19=9,$J19=10),-$E19*$I19/12*3,IF($J19=11,-$E19*$I19/12*2,IF($J19=12,-$E19*$I19/12*1,0)))))+IF(BQ$5&lt;&gt;$H19,0,IF(BQ19&lt;0,IF($J19=10,-$E19*$I19/12*0,IF($J19=11,-$E19*$I19/12*1,IF($J19=12,-$E19*$I19/12*2,0)))))</f>
        <v>0</v>
      </c>
      <c r="BV19" s="413">
        <f t="shared" ref="BV19:BV28" si="73">IF(AND(BQ19&lt;&gt;0,BQ$5=$H19),-$I19*$E19-BQ19,IF(BV$5=$H19,-$I19*$E19*(12-$J19+1)/12,0))</f>
        <v>0</v>
      </c>
      <c r="BW19" s="410">
        <f t="shared" ref="BW19:BW28" si="74">IF($H19&lt;&gt;CA$5,0,IF(CA19&lt;0,IF($J19=1,-$E19*$I19/12*3,IF($J19=2,-$E19*$I19/12*2,IF($J19=3,-$E19*$I19/12*1,0)))))+IF(BV$5&lt;&gt;$H19,0,IF(BV19&lt;0,IF($J19=1,-$E19*$I19/12*0,IF($J19=2,-$E19*$I19/12*1,IF($J19=3,-$E19*$I19/12*2,IF($J19&gt;=4,-$E19*$I19/12*3,0))))))</f>
        <v>0</v>
      </c>
      <c r="BX19" s="416">
        <f t="shared" ref="BX19:BX28" si="75">IF($H19&lt;&gt;CA$5,0,IF(CA19&lt;0,IF(OR($J19=1,$J19=2,$J19=3,$J19=4),-$E19*$I19/12*3,IF($J19=5,-$E19*$I19/12*2,IF($J19=6,-$E19*$I19/12*1,0)))))+IF(BV$5&lt;&gt;$H19,0,IF(BV19&lt;0,IF($J19=4,-$E19*$I19/12*0,IF($J19=5,-$E19*$I19/12*1,IF($J19=6,-$E19*$I19/12*2,IF($J19&gt;=7,-$E19*$I19/12*3,0))))))</f>
        <v>0</v>
      </c>
      <c r="BY19" s="416">
        <f t="shared" ref="BY19:BY28" si="76">IF($H19&lt;&gt;CA$5,0,IF(CA19&lt;0,IF(OR($J19=1,$J19=2,$J19=3,$J19=4,$J19=5,$J19=6,$J19=7),-$E19*$I19/12*3,IF($J19=8,-$E19*$I19/12*2,IF($J19=9,-$E19*$I19/12*1,0)))))+IF(BV$5&lt;&gt;$H19,0,IF(BV19&lt;0,IF($J19=7,-$E19*$I19/12*0,IF($J19=8,-$E19*$I19/12*1,IF($J19=9,-$E19*$I19/12*2,IF($J19&gt;=10,-$E19*$I19/12*3,0))))))</f>
        <v>0</v>
      </c>
      <c r="BZ19" s="412">
        <f t="shared" ref="BZ19:BZ28" si="77">IF($H19&lt;&gt;CA$5,0,IF(CA19&lt;0,IF(OR($J19=1,$J19=2,$J19=3,$J19=4,$J19=5,$J19=6,$J19=7,$J19=8,$J19=9,$J19=10),-$E19*$I19/12*3,IF($J19=11,-$E19*$I19/12*2,IF($J19=12,-$E19*$I19/12*1,0)))))+IF(BV$5&lt;&gt;$H19,0,IF(BV19&lt;0,IF($J19=10,-$E19*$I19/12*0,IF($J19=11,-$E19*$I19/12*1,IF($J19=12,-$E19*$I19/12*2,0)))))</f>
        <v>0</v>
      </c>
      <c r="CA19" s="413">
        <f t="shared" ref="CA19:CA28" si="78">IF(AND(BV19&lt;&gt;0,BV$5=$H19),-$I19*$E19-BV19,IF(CA$5=$H19,-$I19*$E19*(12-$J19+1)/12,0))</f>
        <v>0</v>
      </c>
      <c r="CB19" s="410">
        <f t="shared" ref="CB19:CB28" si="79">IF($H19&lt;&gt;CF$5,0,IF(CF19&lt;0,IF($J19=1,-$E19*$I19/12*3,IF($J19=2,-$E19*$I19/12*2,IF($J19=3,-$E19*$I19/12*1,0)))))+IF(CA$5&lt;&gt;$H19,0,IF(CA19&lt;0,IF($J19=1,-$E19*$I19/12*0,IF($J19=2,-$E19*$I19/12*1,IF($J19=3,-$E19*$I19/12*2,IF($J19&gt;=4,-$E19*$I19/12*3,0))))))</f>
        <v>0</v>
      </c>
      <c r="CC19" s="416">
        <f t="shared" ref="CC19:CC28" si="80">IF($H19&lt;&gt;CF$5,0,IF(CF19&lt;0,IF(OR($J19=1,$J19=2,$J19=3,$J19=4),-$E19*$I19/12*3,IF($J19=5,-$E19*$I19/12*2,IF($J19=6,-$E19*$I19/12*1,0)))))+IF(CA$5&lt;&gt;$H19,0,IF(CA19&lt;0,IF($J19=4,-$E19*$I19/12*0,IF($J19=5,-$E19*$I19/12*1,IF($J19=6,-$E19*$I19/12*2,IF($J19&gt;=7,-$E19*$I19/12*3,0))))))</f>
        <v>0</v>
      </c>
      <c r="CD19" s="416">
        <f t="shared" ref="CD19:CD28" si="81">IF($H19&lt;&gt;CF$5,0,IF(CF19&lt;0,IF(OR($J19=1,$J19=2,$J19=3,$J19=4,$J19=5,$J19=6,$J19=7),-$E19*$I19/12*3,IF($J19=8,-$E19*$I19/12*2,IF($J19=9,-$E19*$I19/12*1,0)))))+IF(CA$5&lt;&gt;$H19,0,IF(CA19&lt;0,IF($J19=7,-$E19*$I19/12*0,IF($J19=8,-$E19*$I19/12*1,IF($J19=9,-$E19*$I19/12*2,IF($J19&gt;=10,-$E19*$I19/12*3,0))))))</f>
        <v>0</v>
      </c>
      <c r="CE19" s="412">
        <f t="shared" ref="CE19:CE28" si="82">IF($H19&lt;&gt;CF$5,0,IF(CF19&lt;0,IF(OR($J19=1,$J19=2,$J19=3,$J19=4,$J19=5,$J19=6,$J19=7,$J19=8,$J19=9,$J19=10),-$E19*$I19/12*3,IF($J19=11,-$E19*$I19/12*2,IF($J19=12,-$E19*$I19/12*1,0)))))+IF(CA$5&lt;&gt;$H19,0,IF(CA19&lt;0,IF($J19=10,-$E19*$I19/12*0,IF($J19=11,-$E19*$I19/12*1,IF($J19=12,-$E19*$I19/12*2,0)))))</f>
        <v>0</v>
      </c>
      <c r="CF19" s="413">
        <f t="shared" ref="CF19:CF28" si="83">IF(AND(CA19&lt;&gt;0,CA$5=$H19),-$I19*$E19-CA19,IF(CF$5=$H19,-$I19*$E19*(12-$J19+1)/12,0))</f>
        <v>0</v>
      </c>
      <c r="CG19" s="410">
        <f t="shared" ref="CG19:CG28" si="84">IF($H19&lt;&gt;CK$5,0,IF(CK19&lt;0,IF($J19=1,-$E19*$I19/12*3,IF($J19=2,-$E19*$I19/12*2,IF($J19=3,-$E19*$I19/12*1,0)))))+IF(CF$5&lt;&gt;$H19,0,IF(CF19&lt;0,IF($J19=1,-$E19*$I19/12*0,IF($J19=2,-$E19*$I19/12*1,IF($J19=3,-$E19*$I19/12*2,IF($J19&gt;=4,-$E19*$I19/12*3,0))))))</f>
        <v>0</v>
      </c>
      <c r="CH19" s="416">
        <f t="shared" ref="CH19:CH28" si="85">IF($H19&lt;&gt;CK$5,0,IF(CK19&lt;0,IF(OR($J19=1,$J19=2,$J19=3,$J19=4),-$E19*$I19/12*3,IF($J19=5,-$E19*$I19/12*2,IF($J19=6,-$E19*$I19/12*1,0)))))+IF(CF$5&lt;&gt;$H19,0,IF(CF19&lt;0,IF($J19=4,-$E19*$I19/12*0,IF($J19=5,-$E19*$I19/12*1,IF($J19=6,-$E19*$I19/12*2,IF($J19&gt;=7,-$E19*$I19/12*3,0))))))</f>
        <v>0</v>
      </c>
      <c r="CI19" s="416">
        <f t="shared" ref="CI19:CI28" si="86">IF($H19&lt;&gt;CK$5,0,IF(CK19&lt;0,IF(OR($J19=1,$J19=2,$J19=3,$J19=4,$J19=5,$J19=6,$J19=7),-$E19*$I19/12*3,IF($J19=8,-$E19*$I19/12*2,IF($J19=9,-$E19*$I19/12*1,0)))))+IF(CF$5&lt;&gt;$H19,0,IF(CF19&lt;0,IF($J19=7,-$E19*$I19/12*0,IF($J19=8,-$E19*$I19/12*1,IF($J19=9,-$E19*$I19/12*2,IF($J19&gt;=10,-$E19*$I19/12*3,0))))))</f>
        <v>0</v>
      </c>
      <c r="CJ19" s="412">
        <f t="shared" ref="CJ19:CJ28" si="87">IF($H19&lt;&gt;CK$5,0,IF(CK19&lt;0,IF(OR($J19=1,$J19=2,$J19=3,$J19=4,$J19=5,$J19=6,$J19=7,$J19=8,$J19=9,$J19=10),-$E19*$I19/12*3,IF($J19=11,-$E19*$I19/12*2,IF($J19=12,-$E19*$I19/12*1,0)))))+IF(CF$5&lt;&gt;$H19,0,IF(CF19&lt;0,IF($J19=10,-$E19*$I19/12*0,IF($J19=11,-$E19*$I19/12*1,IF($J19=12,-$E19*$I19/12*2,0)))))</f>
        <v>0</v>
      </c>
      <c r="CK19" s="413">
        <f t="shared" ref="CK19:CK28" si="88">IF(AND(CF19&lt;&gt;0,CF$5=$H19),-$I19*$E19-CF19,IF(CK$5=$H19,-$I19*$E19*(12-$J19+1)/12,0))</f>
        <v>0</v>
      </c>
      <c r="CL19" s="410">
        <f t="shared" ref="CL19:CL28" si="89">IF($H19&lt;&gt;CP$5,0,IF(CP19&lt;0,IF($J19=1,-$E19*$I19/12*3,IF($J19=2,-$E19*$I19/12*2,IF($J19=3,-$E19*$I19/12*1,0)))))+IF(CK$5&lt;&gt;$H19,0,IF(CK19&lt;0,IF($J19=1,-$E19*$I19/12*0,IF($J19=2,-$E19*$I19/12*1,IF($J19=3,-$E19*$I19/12*2,IF($J19&gt;=4,-$E19*$I19/12*3,0))))))</f>
        <v>0</v>
      </c>
      <c r="CM19" s="416">
        <f t="shared" ref="CM19:CM28" si="90">IF($H19&lt;&gt;CP$5,0,IF(CP19&lt;0,IF(OR($J19=1,$J19=2,$J19=3,$J19=4),-$E19*$I19/12*3,IF($J19=5,-$E19*$I19/12*2,IF($J19=6,-$E19*$I19/12*1,0)))))+IF(CK$5&lt;&gt;$H19,0,IF(CK19&lt;0,IF($J19=4,-$E19*$I19/12*0,IF($J19=5,-$E19*$I19/12*1,IF($J19=6,-$E19*$I19/12*2,IF($J19&gt;=7,-$E19*$I19/12*3,0))))))</f>
        <v>0</v>
      </c>
      <c r="CN19" s="416">
        <f t="shared" ref="CN19:CN28" si="91">IF($H19&lt;&gt;CP$5,0,IF(CP19&lt;0,IF(OR($J19=1,$J19=2,$J19=3,$J19=4,$J19=5,$J19=6,$J19=7),-$E19*$I19/12*3,IF($J19=8,-$E19*$I19/12*2,IF($J19=9,-$E19*$I19/12*1,0)))))+IF(CK$5&lt;&gt;$H19,0,IF(CK19&lt;0,IF($J19=7,-$E19*$I19/12*0,IF($J19=8,-$E19*$I19/12*1,IF($J19=9,-$E19*$I19/12*2,IF($J19&gt;=10,-$E19*$I19/12*3,0))))))</f>
        <v>0</v>
      </c>
      <c r="CO19" s="412">
        <f t="shared" ref="CO19:CO28" si="92">IF($H19&lt;&gt;CP$5,0,IF(CP19&lt;0,IF(OR($J19=1,$J19=2,$J19=3,$J19=4,$J19=5,$J19=6,$J19=7,$J19=8,$J19=9,$J19=10),-$E19*$I19/12*3,IF($J19=11,-$E19*$I19/12*2,IF($J19=12,-$E19*$I19/12*1,0)))))+IF(CK$5&lt;&gt;$H19,0,IF(CK19&lt;0,IF($J19=10,-$E19*$I19/12*0,IF($J19=11,-$E19*$I19/12*1,IF($J19=12,-$E19*$I19/12*2,0)))))</f>
        <v>0</v>
      </c>
      <c r="CP19" s="413">
        <f t="shared" ref="CP19:CP28" si="93">IF(AND(CK19&lt;&gt;0,CK$5=$H19),-$I19*$E19-CK19,IF(CP$5=$H19,-$I19*$E19*(12-$J19+1)/12,0))</f>
        <v>0</v>
      </c>
      <c r="CQ19" s="410">
        <f t="shared" ref="CQ19:CQ28" si="94">IF($H19&lt;&gt;CU$5,0,IF(CU19&lt;0,IF($J19=1,-$E19*$I19/12*3,IF($J19=2,-$E19*$I19/12*2,IF($J19=3,-$E19*$I19/12*1,0)))))+IF(CP$5&lt;&gt;$H19,0,IF(CP19&lt;0,IF($J19=1,-$E19*$I19/12*0,IF($J19=2,-$E19*$I19/12*1,IF($J19=3,-$E19*$I19/12*2,IF($J19&gt;=4,-$E19*$I19/12*3,0))))))</f>
        <v>0</v>
      </c>
      <c r="CR19" s="416">
        <f t="shared" ref="CR19:CR28" si="95">IF($H19&lt;&gt;CU$5,0,IF(CU19&lt;0,IF(OR($J19=1,$J19=2,$J19=3,$J19=4),-$E19*$I19/12*3,IF($J19=5,-$E19*$I19/12*2,IF($J19=6,-$E19*$I19/12*1,0)))))+IF(CP$5&lt;&gt;$H19,0,IF(CP19&lt;0,IF($J19=4,-$E19*$I19/12*0,IF($J19=5,-$E19*$I19/12*1,IF($J19=6,-$E19*$I19/12*2,IF($J19&gt;=7,-$E19*$I19/12*3,0))))))</f>
        <v>0</v>
      </c>
      <c r="CS19" s="416">
        <f t="shared" ref="CS19:CS28" si="96">IF($H19&lt;&gt;CU$5,0,IF(CU19&lt;0,IF(OR($J19=1,$J19=2,$J19=3,$J19=4,$J19=5,$J19=6,$J19=7),-$E19*$I19/12*3,IF($J19=8,-$E19*$I19/12*2,IF($J19=9,-$E19*$I19/12*1,0)))))+IF(CP$5&lt;&gt;$H19,0,IF(CP19&lt;0,IF($J19=7,-$E19*$I19/12*0,IF($J19=8,-$E19*$I19/12*1,IF($J19=9,-$E19*$I19/12*2,IF($J19&gt;=10,-$E19*$I19/12*3,0))))))</f>
        <v>0</v>
      </c>
      <c r="CT19" s="412">
        <f t="shared" ref="CT19:CT28" si="97">IF($H19&lt;&gt;CU$5,0,IF(CU19&lt;0,IF(OR($J19=1,$J19=2,$J19=3,$J19=4,$J19=5,$J19=6,$J19=7,$J19=8,$J19=9,$J19=10),-$E19*$I19/12*3,IF($J19=11,-$E19*$I19/12*2,IF($J19=12,-$E19*$I19/12*1,0)))))+IF(CP$5&lt;&gt;$H19,0,IF(CP19&lt;0,IF($J19=10,-$E19*$I19/12*0,IF($J19=11,-$E19*$I19/12*1,IF($J19=12,-$E19*$I19/12*2,0)))))</f>
        <v>0</v>
      </c>
      <c r="CU19" s="413">
        <f t="shared" ref="CU19:CU28" si="98">IF(AND(CP19&lt;&gt;0,CP$5=$H19),-$I19*$E19-CP19,IF(CU$5=$H19,-$I19*$E19*(12-$J19+1)/12,0))</f>
        <v>0</v>
      </c>
      <c r="CV19" s="410">
        <f t="shared" ref="CV19:CV28" si="99">IF($H19&lt;&gt;CZ$5,0,IF(CZ19&lt;0,IF($J19=1,-$E19*$I19/12*3,IF($J19=2,-$E19*$I19/12*2,IF($J19=3,-$E19*$I19/12*1,0)))))+IF(CU$5&lt;&gt;$H19,0,IF(CU19&lt;0,IF($J19=1,-$E19*$I19/12*0,IF($J19=2,-$E19*$I19/12*1,IF($J19=3,-$E19*$I19/12*2,IF($J19&gt;=4,-$E19*$I19/12*3,0))))))</f>
        <v>0</v>
      </c>
      <c r="CW19" s="416">
        <f t="shared" ref="CW19:CW28" si="100">IF($H19&lt;&gt;CZ$5,0,IF(CZ19&lt;0,IF(OR($J19=1,$J19=2,$J19=3,$J19=4),-$E19*$I19/12*3,IF($J19=5,-$E19*$I19/12*2,IF($J19=6,-$E19*$I19/12*1,0)))))+IF(CU$5&lt;&gt;$H19,0,IF(CU19&lt;0,IF($J19=4,-$E19*$I19/12*0,IF($J19=5,-$E19*$I19/12*1,IF($J19=6,-$E19*$I19/12*2,IF($J19&gt;=7,-$E19*$I19/12*3,0))))))</f>
        <v>0</v>
      </c>
      <c r="CX19" s="416">
        <f t="shared" ref="CX19:CX28" si="101">IF($H19&lt;&gt;CZ$5,0,IF(CZ19&lt;0,IF(OR($J19=1,$J19=2,$J19=3,$J19=4,$J19=5,$J19=6,$J19=7),-$E19*$I19/12*3,IF($J19=8,-$E19*$I19/12*2,IF($J19=9,-$E19*$I19/12*1,0)))))+IF(CU$5&lt;&gt;$H19,0,IF(CU19&lt;0,IF($J19=7,-$E19*$I19/12*0,IF($J19=8,-$E19*$I19/12*1,IF($J19=9,-$E19*$I19/12*2,IF($J19&gt;=10,-$E19*$I19/12*3,0))))))</f>
        <v>0</v>
      </c>
      <c r="CY19" s="412">
        <f t="shared" ref="CY19:CY28" si="102">IF($H19&lt;&gt;CZ$5,0,IF(CZ19&lt;0,IF(OR($J19=1,$J19=2,$J19=3,$J19=4,$J19=5,$J19=6,$J19=7,$J19=8,$J19=9,$J19=10),-$E19*$I19/12*3,IF($J19=11,-$E19*$I19/12*2,IF($J19=12,-$E19*$I19/12*1,0)))))+IF(CU$5&lt;&gt;$H19,0,IF(CU19&lt;0,IF($J19=10,-$E19*$I19/12*0,IF($J19=11,-$E19*$I19/12*1,IF($J19=12,-$E19*$I19/12*2,0)))))</f>
        <v>0</v>
      </c>
      <c r="CZ19" s="413">
        <f t="shared" ref="CZ19:CZ28" si="103">IF(AND(CU19&lt;&gt;0,CU$5=$H19),-$I19*$E19-CU19,IF(CZ$5=$H19,-$I19*$E19*(12-$J19+1)/12,0))</f>
        <v>0</v>
      </c>
      <c r="DA19" s="410">
        <f t="shared" ref="DA19:DA28" si="104">IF($H19&lt;&gt;DE$5,0,IF(DE19&lt;0,IF($J19=1,-$E19*$I19/12*3,IF($J19=2,-$E19*$I19/12*2,IF($J19=3,-$E19*$I19/12*1,0)))))+IF(CZ$5&lt;&gt;$H19,0,IF(CZ19&lt;0,IF($J19=1,-$E19*$I19/12*0,IF($J19=2,-$E19*$I19/12*1,IF($J19=3,-$E19*$I19/12*2,IF($J19&gt;=4,-$E19*$I19/12*3,0))))))</f>
        <v>0</v>
      </c>
      <c r="DB19" s="416">
        <f t="shared" ref="DB19:DB28" si="105">IF($H19&lt;&gt;DE$5,0,IF(DE19&lt;0,IF(OR($J19=1,$J19=2,$J19=3,$J19=4),-$E19*$I19/12*3,IF($J19=5,-$E19*$I19/12*2,IF($J19=6,-$E19*$I19/12*1,0)))))+IF(CZ$5&lt;&gt;$H19,0,IF(CZ19&lt;0,IF($J19=4,-$E19*$I19/12*0,IF($J19=5,-$E19*$I19/12*1,IF($J19=6,-$E19*$I19/12*2,IF($J19&gt;=7,-$E19*$I19/12*3,0))))))</f>
        <v>0</v>
      </c>
      <c r="DC19" s="416">
        <f t="shared" ref="DC19:DC28" si="106">IF($H19&lt;&gt;DE$5,0,IF(DE19&lt;0,IF(OR($J19=1,$J19=2,$J19=3,$J19=4,$J19=5,$J19=6,$J19=7),-$E19*$I19/12*3,IF($J19=8,-$E19*$I19/12*2,IF($J19=9,-$E19*$I19/12*1,0)))))+IF(CZ$5&lt;&gt;$H19,0,IF(CZ19&lt;0,IF($J19=7,-$E19*$I19/12*0,IF($J19=8,-$E19*$I19/12*1,IF($J19=9,-$E19*$I19/12*2,IF($J19&gt;=10,-$E19*$I19/12*3,0))))))</f>
        <v>0</v>
      </c>
      <c r="DD19" s="412">
        <f t="shared" ref="DD19:DD28" si="107">IF($H19&lt;&gt;DE$5,0,IF(DE19&lt;0,IF(OR($J19=1,$J19=2,$J19=3,$J19=4,$J19=5,$J19=6,$J19=7,$J19=8,$J19=9,$J19=10),-$E19*$I19/12*3,IF($J19=11,-$E19*$I19/12*2,IF($J19=12,-$E19*$I19/12*1,0)))))+IF(CZ$5&lt;&gt;$H19,0,IF(CZ19&lt;0,IF($J19=10,-$E19*$I19/12*0,IF($J19=11,-$E19*$I19/12*1,IF($J19=12,-$E19*$I19/12*2,0)))))</f>
        <v>0</v>
      </c>
      <c r="DE19" s="413">
        <f t="shared" ref="DE19:DE28" si="108">IF(AND(CZ19&lt;&gt;0,CZ$5=$H19),-$I19*$E19-CZ19,IF(DE$5=$H19,-$I19*$E19*(12-$J19+1)/12,0))</f>
        <v>0</v>
      </c>
      <c r="DF19" s="410">
        <f t="shared" ref="DF19:DF28" si="109">IF($H19&lt;&gt;DJ$5,0,IF(DJ19&lt;0,IF($J19=1,-$E19*$I19/12*3,IF($J19=2,-$E19*$I19/12*2,IF($J19=3,-$E19*$I19/12*1,0)))))+IF(DE$5&lt;&gt;$H19,0,IF(DE19&lt;0,IF($J19=1,-$E19*$I19/12*0,IF($J19=2,-$E19*$I19/12*1,IF($J19=3,-$E19*$I19/12*2,IF($J19&gt;=4,-$E19*$I19/12*3,0))))))</f>
        <v>0</v>
      </c>
      <c r="DG19" s="416">
        <f t="shared" ref="DG19:DG28" si="110">IF($H19&lt;&gt;DJ$5,0,IF(DJ19&lt;0,IF(OR($J19=1,$J19=2,$J19=3,$J19=4),-$E19*$I19/12*3,IF($J19=5,-$E19*$I19/12*2,IF($J19=6,-$E19*$I19/12*1,0)))))+IF(DE$5&lt;&gt;$H19,0,IF(DE19&lt;0,IF($J19=4,-$E19*$I19/12*0,IF($J19=5,-$E19*$I19/12*1,IF($J19=6,-$E19*$I19/12*2,IF($J19&gt;=7,-$E19*$I19/12*3,0))))))</f>
        <v>0</v>
      </c>
      <c r="DH19" s="416">
        <f t="shared" ref="DH19:DH28" si="111">IF($H19&lt;&gt;DJ$5,0,IF(DJ19&lt;0,IF(OR($J19=1,$J19=2,$J19=3,$J19=4,$J19=5,$J19=6,$J19=7),-$E19*$I19/12*3,IF($J19=8,-$E19*$I19/12*2,IF($J19=9,-$E19*$I19/12*1,0)))))+IF(DE$5&lt;&gt;$H19,0,IF(DE19&lt;0,IF($J19=7,-$E19*$I19/12*0,IF($J19=8,-$E19*$I19/12*1,IF($J19=9,-$E19*$I19/12*2,IF($J19&gt;=10,-$E19*$I19/12*3,0))))))</f>
        <v>0</v>
      </c>
      <c r="DI19" s="412">
        <f t="shared" ref="DI19:DI28" si="112">IF($H19&lt;&gt;DJ$5,0,IF(DJ19&lt;0,IF(OR($J19=1,$J19=2,$J19=3,$J19=4,$J19=5,$J19=6,$J19=7,$J19=8,$J19=9,$J19=10),-$E19*$I19/12*3,IF($J19=11,-$E19*$I19/12*2,IF($J19=12,-$E19*$I19/12*1,0)))))+IF(DE$5&lt;&gt;$H19,0,IF(DE19&lt;0,IF($J19=10,-$E19*$I19/12*0,IF($J19=11,-$E19*$I19/12*1,IF($J19=12,-$E19*$I19/12*2,0)))))</f>
        <v>0</v>
      </c>
      <c r="DJ19" s="413">
        <f t="shared" ref="DJ19:DJ28" si="113">IF(AND(DE19&lt;&gt;0,DE$5=$H19),-$I19*$E19-DE19,IF(DJ$5=$H19,-$I19*$E19*(12-$J19+1)/12,0))</f>
        <v>0</v>
      </c>
      <c r="DK19" s="410">
        <f t="shared" ref="DK19:DK28" si="114">IF($H19&lt;&gt;DO$5,0,IF(DO19&lt;0,IF($J19=1,-$E19*$I19/12*3,IF($J19=2,-$E19*$I19/12*2,IF($J19=3,-$E19*$I19/12*1,0)))))+IF(DJ$5&lt;&gt;$H19,0,IF(DJ19&lt;0,IF($J19=1,-$E19*$I19/12*0,IF($J19=2,-$E19*$I19/12*1,IF($J19=3,-$E19*$I19/12*2,IF($J19&gt;=4,-$E19*$I19/12*3,0))))))</f>
        <v>0</v>
      </c>
      <c r="DL19" s="416">
        <f t="shared" ref="DL19:DL28" si="115">IF($H19&lt;&gt;DO$5,0,IF(DO19&lt;0,IF(OR($J19=1,$J19=2,$J19=3,$J19=4),-$E19*$I19/12*3,IF($J19=5,-$E19*$I19/12*2,IF($J19=6,-$E19*$I19/12*1,0)))))+IF(DJ$5&lt;&gt;$H19,0,IF(DJ19&lt;0,IF($J19=4,-$E19*$I19/12*0,IF($J19=5,-$E19*$I19/12*1,IF($J19=6,-$E19*$I19/12*2,IF($J19&gt;=7,-$E19*$I19/12*3,0))))))</f>
        <v>0</v>
      </c>
      <c r="DM19" s="416">
        <f t="shared" ref="DM19:DM28" si="116">IF($H19&lt;&gt;DO$5,0,IF(DO19&lt;0,IF(OR($J19=1,$J19=2,$J19=3,$J19=4,$J19=5,$J19=6,$J19=7),-$E19*$I19/12*3,IF($J19=8,-$E19*$I19/12*2,IF($J19=9,-$E19*$I19/12*1,0)))))+IF(DJ$5&lt;&gt;$H19,0,IF(DJ19&lt;0,IF($J19=7,-$E19*$I19/12*0,IF($J19=8,-$E19*$I19/12*1,IF($J19=9,-$E19*$I19/12*2,IF($J19&gt;=10,-$E19*$I19/12*3,0))))))</f>
        <v>0</v>
      </c>
      <c r="DN19" s="412">
        <f t="shared" ref="DN19:DN28" si="117">IF($H19&lt;&gt;DO$5,0,IF(DO19&lt;0,IF(OR($J19=1,$J19=2,$J19=3,$J19=4,$J19=5,$J19=6,$J19=7,$J19=8,$J19=9,$J19=10),-$E19*$I19/12*3,IF($J19=11,-$E19*$I19/12*2,IF($J19=12,-$E19*$I19/12*1,0)))))+IF(DJ$5&lt;&gt;$H19,0,IF(DJ19&lt;0,IF($J19=10,-$E19*$I19/12*0,IF($J19=11,-$E19*$I19/12*1,IF($J19=12,-$E19*$I19/12*2,0)))))</f>
        <v>0</v>
      </c>
      <c r="DO19" s="413">
        <f t="shared" ref="DO19:DO28" si="118">IF(AND(DJ19&lt;&gt;0,DJ$5=$H19),-$I19*$E19-DJ19,IF(DO$5=$H19,-$I19*$E19*(12-$J19+1)/12,0))</f>
        <v>0</v>
      </c>
      <c r="DP19" s="410">
        <f t="shared" ref="DP19:DP28" si="119">IF($H19&lt;&gt;DT$5,0,IF(DT19&lt;0,IF($J19=1,-$E19*$I19/12*3,IF($J19=2,-$E19*$I19/12*2,IF($J19=3,-$E19*$I19/12*1,0)))))+IF(DO$5&lt;&gt;$H19,0,IF(DO19&lt;0,IF($J19=1,-$E19*$I19/12*0,IF($J19=2,-$E19*$I19/12*1,IF($J19=3,-$E19*$I19/12*2,IF($J19&gt;=4,-$E19*$I19/12*3,0))))))</f>
        <v>0</v>
      </c>
      <c r="DQ19" s="416">
        <f t="shared" ref="DQ19:DQ28" si="120">IF($H19&lt;&gt;DT$5,0,IF(DT19&lt;0,IF(OR($J19=1,$J19=2,$J19=3,$J19=4),-$E19*$I19/12*3,IF($J19=5,-$E19*$I19/12*2,IF($J19=6,-$E19*$I19/12*1,0)))))+IF(DO$5&lt;&gt;$H19,0,IF(DO19&lt;0,IF($J19=4,-$E19*$I19/12*0,IF($J19=5,-$E19*$I19/12*1,IF($J19=6,-$E19*$I19/12*2,IF($J19&gt;=7,-$E19*$I19/12*3,0))))))</f>
        <v>0</v>
      </c>
      <c r="DR19" s="416">
        <f t="shared" ref="DR19:DR28" si="121">IF($H19&lt;&gt;DT$5,0,IF(DT19&lt;0,IF(OR($J19=1,$J19=2,$J19=3,$J19=4,$J19=5,$J19=6,$J19=7),-$E19*$I19/12*3,IF($J19=8,-$E19*$I19/12*2,IF($J19=9,-$E19*$I19/12*1,0)))))+IF(DO$5&lt;&gt;$H19,0,IF(DO19&lt;0,IF($J19=7,-$E19*$I19/12*0,IF($J19=8,-$E19*$I19/12*1,IF($J19=9,-$E19*$I19/12*2,IF($J19&gt;=10,-$E19*$I19/12*3,0))))))</f>
        <v>0</v>
      </c>
      <c r="DS19" s="412">
        <f t="shared" ref="DS19:DS28" si="122">IF($H19&lt;&gt;DT$5,0,IF(DT19&lt;0,IF(OR($J19=1,$J19=2,$J19=3,$J19=4,$J19=5,$J19=6,$J19=7,$J19=8,$J19=9,$J19=10),-$E19*$I19/12*3,IF($J19=11,-$E19*$I19/12*2,IF($J19=12,-$E19*$I19/12*1,0)))))+IF(DO$5&lt;&gt;$H19,0,IF(DO19&lt;0,IF($J19=10,-$E19*$I19/12*0,IF($J19=11,-$E19*$I19/12*1,IF($J19=12,-$E19*$I19/12*2,0)))))</f>
        <v>0</v>
      </c>
      <c r="DT19" s="413">
        <f t="shared" ref="DT19:DT28" si="123">IF(AND(DO19&lt;&gt;0,DO$5=$H19),-$I19*$E19-DO19,IF(DT$5=$H19,-$I19*$E19*(12-$J19+1)/12,0))</f>
        <v>0</v>
      </c>
    </row>
    <row r="20" spans="1:124" ht="12.75" customHeight="1">
      <c r="A20" s="491"/>
      <c r="C20" s="1885" t="s">
        <v>929</v>
      </c>
      <c r="D20" s="1885"/>
      <c r="E20" s="1886">
        <f>IF(F20=0,G20,F20)</f>
        <v>85</v>
      </c>
      <c r="F20" s="1532">
        <v>85</v>
      </c>
      <c r="G20" s="1532">
        <v>85</v>
      </c>
      <c r="H20" s="610">
        <v>2032</v>
      </c>
      <c r="I20" s="1533">
        <v>0.04</v>
      </c>
      <c r="J20" s="615">
        <v>10</v>
      </c>
      <c r="K20" s="402"/>
      <c r="L20" s="407">
        <f t="shared" si="12"/>
        <v>0</v>
      </c>
      <c r="M20" s="404">
        <f t="shared" si="13"/>
        <v>0</v>
      </c>
      <c r="N20" s="414">
        <f t="shared" si="14"/>
        <v>0</v>
      </c>
      <c r="O20" s="414">
        <f t="shared" si="15"/>
        <v>0</v>
      </c>
      <c r="P20" s="406">
        <f t="shared" si="16"/>
        <v>0</v>
      </c>
      <c r="Q20" s="407">
        <f t="shared" si="17"/>
        <v>0</v>
      </c>
      <c r="R20" s="404">
        <f t="shared" si="18"/>
        <v>0</v>
      </c>
      <c r="S20" s="414">
        <f t="shared" si="19"/>
        <v>0</v>
      </c>
      <c r="T20" s="414">
        <f t="shared" si="20"/>
        <v>0</v>
      </c>
      <c r="U20" s="406">
        <f t="shared" si="21"/>
        <v>0</v>
      </c>
      <c r="V20" s="407">
        <f t="shared" si="22"/>
        <v>0</v>
      </c>
      <c r="W20" s="404">
        <f t="shared" si="23"/>
        <v>0</v>
      </c>
      <c r="X20" s="414">
        <f t="shared" si="24"/>
        <v>0</v>
      </c>
      <c r="Y20" s="414">
        <f t="shared" si="25"/>
        <v>0</v>
      </c>
      <c r="Z20" s="406">
        <f t="shared" si="26"/>
        <v>0</v>
      </c>
      <c r="AA20" s="407">
        <f t="shared" si="27"/>
        <v>0</v>
      </c>
      <c r="AB20" s="404">
        <f t="shared" si="28"/>
        <v>0</v>
      </c>
      <c r="AC20" s="414">
        <f t="shared" si="29"/>
        <v>0</v>
      </c>
      <c r="AD20" s="414">
        <f t="shared" si="30"/>
        <v>0</v>
      </c>
      <c r="AE20" s="406">
        <f t="shared" si="31"/>
        <v>0</v>
      </c>
      <c r="AF20" s="407">
        <f t="shared" si="32"/>
        <v>0</v>
      </c>
      <c r="AG20" s="404">
        <f t="shared" si="33"/>
        <v>0</v>
      </c>
      <c r="AH20" s="414">
        <f t="shared" si="34"/>
        <v>0</v>
      </c>
      <c r="AI20" s="414">
        <f t="shared" si="35"/>
        <v>0</v>
      </c>
      <c r="AJ20" s="406">
        <f t="shared" si="36"/>
        <v>0</v>
      </c>
      <c r="AK20" s="407">
        <f t="shared" si="37"/>
        <v>0</v>
      </c>
      <c r="AL20" s="404">
        <f t="shared" si="38"/>
        <v>0</v>
      </c>
      <c r="AM20" s="414">
        <f t="shared" si="39"/>
        <v>0</v>
      </c>
      <c r="AN20" s="414">
        <f t="shared" si="40"/>
        <v>0</v>
      </c>
      <c r="AO20" s="406">
        <f t="shared" si="41"/>
        <v>0</v>
      </c>
      <c r="AP20" s="407">
        <f t="shared" si="42"/>
        <v>0</v>
      </c>
      <c r="AQ20" s="404">
        <f t="shared" si="43"/>
        <v>0</v>
      </c>
      <c r="AR20" s="414">
        <f t="shared" si="44"/>
        <v>0</v>
      </c>
      <c r="AS20" s="414">
        <f t="shared" si="45"/>
        <v>0</v>
      </c>
      <c r="AT20" s="406">
        <f t="shared" si="46"/>
        <v>0</v>
      </c>
      <c r="AU20" s="407">
        <f t="shared" si="47"/>
        <v>0</v>
      </c>
      <c r="AV20" s="404">
        <f t="shared" si="48"/>
        <v>0</v>
      </c>
      <c r="AW20" s="414">
        <f t="shared" si="49"/>
        <v>0</v>
      </c>
      <c r="AX20" s="414">
        <f t="shared" si="50"/>
        <v>0</v>
      </c>
      <c r="AY20" s="406">
        <f t="shared" si="51"/>
        <v>0</v>
      </c>
      <c r="AZ20" s="407">
        <f t="shared" si="52"/>
        <v>0</v>
      </c>
      <c r="BA20" s="404">
        <f t="shared" si="53"/>
        <v>0</v>
      </c>
      <c r="BB20" s="414">
        <f t="shared" si="54"/>
        <v>0</v>
      </c>
      <c r="BC20" s="414">
        <f t="shared" si="55"/>
        <v>0</v>
      </c>
      <c r="BD20" s="406">
        <f t="shared" si="56"/>
        <v>0</v>
      </c>
      <c r="BE20" s="407">
        <f t="shared" si="57"/>
        <v>0</v>
      </c>
      <c r="BF20" s="404">
        <f t="shared" si="58"/>
        <v>0</v>
      </c>
      <c r="BG20" s="414">
        <f t="shared" si="59"/>
        <v>0</v>
      </c>
      <c r="BH20" s="414">
        <f t="shared" si="60"/>
        <v>0</v>
      </c>
      <c r="BI20" s="406">
        <f t="shared" si="61"/>
        <v>0</v>
      </c>
      <c r="BJ20" s="407">
        <f t="shared" si="62"/>
        <v>0</v>
      </c>
      <c r="BK20" s="404">
        <f t="shared" si="63"/>
        <v>0</v>
      </c>
      <c r="BL20" s="414">
        <f t="shared" si="64"/>
        <v>0</v>
      </c>
      <c r="BM20" s="414">
        <f t="shared" si="65"/>
        <v>0</v>
      </c>
      <c r="BN20" s="406">
        <f t="shared" si="66"/>
        <v>0</v>
      </c>
      <c r="BO20" s="407">
        <f t="shared" si="67"/>
        <v>0</v>
      </c>
      <c r="BP20" s="449"/>
      <c r="BQ20" s="413">
        <f t="shared" si="68"/>
        <v>0</v>
      </c>
      <c r="BR20" s="410">
        <f t="shared" si="69"/>
        <v>0</v>
      </c>
      <c r="BS20" s="416">
        <f t="shared" si="70"/>
        <v>0</v>
      </c>
      <c r="BT20" s="416">
        <f t="shared" si="71"/>
        <v>0</v>
      </c>
      <c r="BU20" s="412">
        <f t="shared" si="72"/>
        <v>0</v>
      </c>
      <c r="BV20" s="413">
        <f t="shared" si="73"/>
        <v>0</v>
      </c>
      <c r="BW20" s="410">
        <f t="shared" si="74"/>
        <v>0</v>
      </c>
      <c r="BX20" s="416">
        <f t="shared" si="75"/>
        <v>0</v>
      </c>
      <c r="BY20" s="416">
        <f t="shared" si="76"/>
        <v>0</v>
      </c>
      <c r="BZ20" s="412">
        <f t="shared" si="77"/>
        <v>0</v>
      </c>
      <c r="CA20" s="413">
        <f t="shared" si="78"/>
        <v>0</v>
      </c>
      <c r="CB20" s="410">
        <f t="shared" si="79"/>
        <v>0</v>
      </c>
      <c r="CC20" s="416">
        <f t="shared" si="80"/>
        <v>0</v>
      </c>
      <c r="CD20" s="416">
        <f t="shared" si="81"/>
        <v>0</v>
      </c>
      <c r="CE20" s="412">
        <f t="shared" si="82"/>
        <v>0</v>
      </c>
      <c r="CF20" s="413">
        <f t="shared" si="83"/>
        <v>0</v>
      </c>
      <c r="CG20" s="410">
        <f t="shared" si="84"/>
        <v>0</v>
      </c>
      <c r="CH20" s="416">
        <f t="shared" si="85"/>
        <v>0</v>
      </c>
      <c r="CI20" s="416">
        <f t="shared" si="86"/>
        <v>0</v>
      </c>
      <c r="CJ20" s="412">
        <f t="shared" si="87"/>
        <v>0</v>
      </c>
      <c r="CK20" s="413">
        <f t="shared" si="88"/>
        <v>0</v>
      </c>
      <c r="CL20" s="410">
        <f t="shared" si="89"/>
        <v>0</v>
      </c>
      <c r="CM20" s="416">
        <f t="shared" si="90"/>
        <v>0</v>
      </c>
      <c r="CN20" s="416">
        <f t="shared" si="91"/>
        <v>0</v>
      </c>
      <c r="CO20" s="412">
        <f t="shared" si="92"/>
        <v>0</v>
      </c>
      <c r="CP20" s="413">
        <f t="shared" si="93"/>
        <v>0</v>
      </c>
      <c r="CQ20" s="410">
        <f t="shared" si="94"/>
        <v>0</v>
      </c>
      <c r="CR20" s="416">
        <f t="shared" si="95"/>
        <v>0</v>
      </c>
      <c r="CS20" s="416">
        <f t="shared" si="96"/>
        <v>0</v>
      </c>
      <c r="CT20" s="412">
        <f t="shared" si="97"/>
        <v>0</v>
      </c>
      <c r="CU20" s="413">
        <f t="shared" si="98"/>
        <v>0</v>
      </c>
      <c r="CV20" s="410">
        <f t="shared" si="99"/>
        <v>0</v>
      </c>
      <c r="CW20" s="416">
        <f t="shared" si="100"/>
        <v>0</v>
      </c>
      <c r="CX20" s="416">
        <f t="shared" si="101"/>
        <v>0</v>
      </c>
      <c r="CY20" s="412">
        <f t="shared" si="102"/>
        <v>0</v>
      </c>
      <c r="CZ20" s="413">
        <f t="shared" si="103"/>
        <v>0</v>
      </c>
      <c r="DA20" s="410">
        <f t="shared" si="104"/>
        <v>0</v>
      </c>
      <c r="DB20" s="416">
        <f t="shared" si="105"/>
        <v>0</v>
      </c>
      <c r="DC20" s="416">
        <f t="shared" si="106"/>
        <v>0</v>
      </c>
      <c r="DD20" s="412">
        <f t="shared" si="107"/>
        <v>0</v>
      </c>
      <c r="DE20" s="413">
        <f t="shared" si="108"/>
        <v>0</v>
      </c>
      <c r="DF20" s="410">
        <f t="shared" si="109"/>
        <v>0</v>
      </c>
      <c r="DG20" s="416">
        <f t="shared" si="110"/>
        <v>0</v>
      </c>
      <c r="DH20" s="416">
        <f t="shared" si="111"/>
        <v>0</v>
      </c>
      <c r="DI20" s="412">
        <f t="shared" si="112"/>
        <v>0</v>
      </c>
      <c r="DJ20" s="413">
        <f t="shared" si="113"/>
        <v>0</v>
      </c>
      <c r="DK20" s="410">
        <f t="shared" si="114"/>
        <v>0</v>
      </c>
      <c r="DL20" s="416">
        <f t="shared" si="115"/>
        <v>0</v>
      </c>
      <c r="DM20" s="416">
        <f t="shared" si="116"/>
        <v>0</v>
      </c>
      <c r="DN20" s="412">
        <f t="shared" si="117"/>
        <v>0</v>
      </c>
      <c r="DO20" s="413">
        <f t="shared" si="118"/>
        <v>0</v>
      </c>
      <c r="DP20" s="410">
        <f t="shared" si="119"/>
        <v>0</v>
      </c>
      <c r="DQ20" s="416">
        <f t="shared" si="120"/>
        <v>0</v>
      </c>
      <c r="DR20" s="416">
        <f t="shared" si="121"/>
        <v>0</v>
      </c>
      <c r="DS20" s="412">
        <f t="shared" si="122"/>
        <v>0</v>
      </c>
      <c r="DT20" s="413">
        <f t="shared" si="123"/>
        <v>0</v>
      </c>
    </row>
    <row r="21" spans="1:124" ht="12.75" customHeight="1">
      <c r="A21" s="491"/>
      <c r="C21" s="1885" t="s">
        <v>930</v>
      </c>
      <c r="D21" s="1885"/>
      <c r="E21" s="1886">
        <f>IF(F21=0,G21,F21)</f>
        <v>61</v>
      </c>
      <c r="F21" s="1532">
        <v>61</v>
      </c>
      <c r="G21" s="1532">
        <v>61</v>
      </c>
      <c r="H21" s="610">
        <v>2042</v>
      </c>
      <c r="I21" s="1533">
        <v>4.7300000000000002E-2</v>
      </c>
      <c r="J21" s="615">
        <v>10</v>
      </c>
      <c r="K21" s="402"/>
      <c r="L21" s="407">
        <f t="shared" si="12"/>
        <v>0</v>
      </c>
      <c r="M21" s="404">
        <f t="shared" si="13"/>
        <v>0</v>
      </c>
      <c r="N21" s="414">
        <f t="shared" si="14"/>
        <v>0</v>
      </c>
      <c r="O21" s="414">
        <f t="shared" si="15"/>
        <v>0</v>
      </c>
      <c r="P21" s="406">
        <f t="shared" si="16"/>
        <v>0</v>
      </c>
      <c r="Q21" s="407">
        <f t="shared" si="17"/>
        <v>0</v>
      </c>
      <c r="R21" s="404">
        <f t="shared" si="18"/>
        <v>0</v>
      </c>
      <c r="S21" s="414">
        <f t="shared" si="19"/>
        <v>0</v>
      </c>
      <c r="T21" s="414">
        <f t="shared" si="20"/>
        <v>0</v>
      </c>
      <c r="U21" s="406">
        <f t="shared" si="21"/>
        <v>0</v>
      </c>
      <c r="V21" s="407">
        <f t="shared" si="22"/>
        <v>0</v>
      </c>
      <c r="W21" s="404">
        <f t="shared" si="23"/>
        <v>0</v>
      </c>
      <c r="X21" s="414">
        <f t="shared" si="24"/>
        <v>0</v>
      </c>
      <c r="Y21" s="414">
        <f t="shared" si="25"/>
        <v>0</v>
      </c>
      <c r="Z21" s="406">
        <f t="shared" si="26"/>
        <v>0</v>
      </c>
      <c r="AA21" s="407">
        <f t="shared" si="27"/>
        <v>0</v>
      </c>
      <c r="AB21" s="404">
        <f t="shared" si="28"/>
        <v>0</v>
      </c>
      <c r="AC21" s="414">
        <f t="shared" si="29"/>
        <v>0</v>
      </c>
      <c r="AD21" s="414">
        <f t="shared" si="30"/>
        <v>0</v>
      </c>
      <c r="AE21" s="406">
        <f t="shared" si="31"/>
        <v>0</v>
      </c>
      <c r="AF21" s="407">
        <f t="shared" si="32"/>
        <v>0</v>
      </c>
      <c r="AG21" s="404">
        <f t="shared" si="33"/>
        <v>0</v>
      </c>
      <c r="AH21" s="414">
        <f t="shared" si="34"/>
        <v>0</v>
      </c>
      <c r="AI21" s="414">
        <f t="shared" si="35"/>
        <v>0</v>
      </c>
      <c r="AJ21" s="406">
        <f t="shared" si="36"/>
        <v>0</v>
      </c>
      <c r="AK21" s="407">
        <f t="shared" si="37"/>
        <v>0</v>
      </c>
      <c r="AL21" s="404">
        <f t="shared" si="38"/>
        <v>0</v>
      </c>
      <c r="AM21" s="414">
        <f t="shared" si="39"/>
        <v>0</v>
      </c>
      <c r="AN21" s="414">
        <f t="shared" si="40"/>
        <v>0</v>
      </c>
      <c r="AO21" s="406">
        <f t="shared" si="41"/>
        <v>0</v>
      </c>
      <c r="AP21" s="407">
        <f t="shared" si="42"/>
        <v>0</v>
      </c>
      <c r="AQ21" s="404">
        <f t="shared" si="43"/>
        <v>0</v>
      </c>
      <c r="AR21" s="414">
        <f t="shared" si="44"/>
        <v>0</v>
      </c>
      <c r="AS21" s="414">
        <f t="shared" si="45"/>
        <v>0</v>
      </c>
      <c r="AT21" s="406">
        <f t="shared" si="46"/>
        <v>0</v>
      </c>
      <c r="AU21" s="407">
        <f t="shared" si="47"/>
        <v>0</v>
      </c>
      <c r="AV21" s="404">
        <f t="shared" si="48"/>
        <v>0</v>
      </c>
      <c r="AW21" s="414">
        <f t="shared" si="49"/>
        <v>0</v>
      </c>
      <c r="AX21" s="414">
        <f t="shared" si="50"/>
        <v>0</v>
      </c>
      <c r="AY21" s="406">
        <f t="shared" si="51"/>
        <v>0</v>
      </c>
      <c r="AZ21" s="407">
        <f t="shared" si="52"/>
        <v>0</v>
      </c>
      <c r="BA21" s="404">
        <f t="shared" si="53"/>
        <v>0</v>
      </c>
      <c r="BB21" s="414">
        <f t="shared" si="54"/>
        <v>0</v>
      </c>
      <c r="BC21" s="414">
        <f t="shared" si="55"/>
        <v>0</v>
      </c>
      <c r="BD21" s="406">
        <f t="shared" si="56"/>
        <v>0</v>
      </c>
      <c r="BE21" s="407">
        <f t="shared" si="57"/>
        <v>0</v>
      </c>
      <c r="BF21" s="404">
        <f t="shared" si="58"/>
        <v>0</v>
      </c>
      <c r="BG21" s="414">
        <f t="shared" si="59"/>
        <v>0</v>
      </c>
      <c r="BH21" s="414">
        <f t="shared" si="60"/>
        <v>0</v>
      </c>
      <c r="BI21" s="406">
        <f t="shared" si="61"/>
        <v>0</v>
      </c>
      <c r="BJ21" s="407">
        <f t="shared" si="62"/>
        <v>0</v>
      </c>
      <c r="BK21" s="404">
        <f t="shared" si="63"/>
        <v>0</v>
      </c>
      <c r="BL21" s="414">
        <f t="shared" si="64"/>
        <v>0</v>
      </c>
      <c r="BM21" s="414">
        <f t="shared" si="65"/>
        <v>0</v>
      </c>
      <c r="BN21" s="406">
        <f t="shared" si="66"/>
        <v>0</v>
      </c>
      <c r="BO21" s="407">
        <f t="shared" si="67"/>
        <v>0</v>
      </c>
      <c r="BP21" s="449"/>
      <c r="BQ21" s="413">
        <f t="shared" si="68"/>
        <v>0</v>
      </c>
      <c r="BR21" s="410">
        <f t="shared" si="69"/>
        <v>0</v>
      </c>
      <c r="BS21" s="416">
        <f t="shared" si="70"/>
        <v>0</v>
      </c>
      <c r="BT21" s="416">
        <f t="shared" si="71"/>
        <v>0</v>
      </c>
      <c r="BU21" s="412">
        <f t="shared" si="72"/>
        <v>0</v>
      </c>
      <c r="BV21" s="413">
        <f t="shared" si="73"/>
        <v>0</v>
      </c>
      <c r="BW21" s="410">
        <f t="shared" si="74"/>
        <v>0</v>
      </c>
      <c r="BX21" s="416">
        <f t="shared" si="75"/>
        <v>0</v>
      </c>
      <c r="BY21" s="416">
        <f t="shared" si="76"/>
        <v>0</v>
      </c>
      <c r="BZ21" s="412">
        <f t="shared" si="77"/>
        <v>0</v>
      </c>
      <c r="CA21" s="413">
        <f t="shared" si="78"/>
        <v>0</v>
      </c>
      <c r="CB21" s="410">
        <f t="shared" si="79"/>
        <v>0</v>
      </c>
      <c r="CC21" s="416">
        <f t="shared" si="80"/>
        <v>0</v>
      </c>
      <c r="CD21" s="416">
        <f t="shared" si="81"/>
        <v>0</v>
      </c>
      <c r="CE21" s="412">
        <f t="shared" si="82"/>
        <v>0</v>
      </c>
      <c r="CF21" s="413">
        <f t="shared" si="83"/>
        <v>0</v>
      </c>
      <c r="CG21" s="410">
        <f t="shared" si="84"/>
        <v>0</v>
      </c>
      <c r="CH21" s="416">
        <f t="shared" si="85"/>
        <v>0</v>
      </c>
      <c r="CI21" s="416">
        <f t="shared" si="86"/>
        <v>0</v>
      </c>
      <c r="CJ21" s="412">
        <f t="shared" si="87"/>
        <v>0</v>
      </c>
      <c r="CK21" s="413">
        <f t="shared" si="88"/>
        <v>0</v>
      </c>
      <c r="CL21" s="410">
        <f t="shared" si="89"/>
        <v>0</v>
      </c>
      <c r="CM21" s="416">
        <f t="shared" si="90"/>
        <v>0</v>
      </c>
      <c r="CN21" s="416">
        <f t="shared" si="91"/>
        <v>0</v>
      </c>
      <c r="CO21" s="412">
        <f t="shared" si="92"/>
        <v>0</v>
      </c>
      <c r="CP21" s="413">
        <f t="shared" si="93"/>
        <v>0</v>
      </c>
      <c r="CQ21" s="410">
        <f t="shared" si="94"/>
        <v>0</v>
      </c>
      <c r="CR21" s="416">
        <f t="shared" si="95"/>
        <v>0</v>
      </c>
      <c r="CS21" s="416">
        <f t="shared" si="96"/>
        <v>0</v>
      </c>
      <c r="CT21" s="412">
        <f t="shared" si="97"/>
        <v>0</v>
      </c>
      <c r="CU21" s="413">
        <f t="shared" si="98"/>
        <v>0</v>
      </c>
      <c r="CV21" s="410">
        <f t="shared" si="99"/>
        <v>0</v>
      </c>
      <c r="CW21" s="416">
        <f t="shared" si="100"/>
        <v>0</v>
      </c>
      <c r="CX21" s="416">
        <f t="shared" si="101"/>
        <v>0</v>
      </c>
      <c r="CY21" s="412">
        <f t="shared" si="102"/>
        <v>0</v>
      </c>
      <c r="CZ21" s="413">
        <f t="shared" si="103"/>
        <v>0</v>
      </c>
      <c r="DA21" s="410">
        <f t="shared" si="104"/>
        <v>0</v>
      </c>
      <c r="DB21" s="416">
        <f t="shared" si="105"/>
        <v>0</v>
      </c>
      <c r="DC21" s="416">
        <f t="shared" si="106"/>
        <v>0</v>
      </c>
      <c r="DD21" s="412">
        <f t="shared" si="107"/>
        <v>0</v>
      </c>
      <c r="DE21" s="413">
        <f t="shared" si="108"/>
        <v>0</v>
      </c>
      <c r="DF21" s="410">
        <f t="shared" si="109"/>
        <v>0</v>
      </c>
      <c r="DG21" s="416">
        <f t="shared" si="110"/>
        <v>0</v>
      </c>
      <c r="DH21" s="416">
        <f t="shared" si="111"/>
        <v>0</v>
      </c>
      <c r="DI21" s="412">
        <f t="shared" si="112"/>
        <v>0</v>
      </c>
      <c r="DJ21" s="413">
        <f t="shared" si="113"/>
        <v>0</v>
      </c>
      <c r="DK21" s="410">
        <f t="shared" si="114"/>
        <v>0</v>
      </c>
      <c r="DL21" s="416">
        <f t="shared" si="115"/>
        <v>0</v>
      </c>
      <c r="DM21" s="416">
        <f t="shared" si="116"/>
        <v>0</v>
      </c>
      <c r="DN21" s="412">
        <f t="shared" si="117"/>
        <v>0</v>
      </c>
      <c r="DO21" s="413">
        <f t="shared" si="118"/>
        <v>0</v>
      </c>
      <c r="DP21" s="410">
        <f t="shared" si="119"/>
        <v>0</v>
      </c>
      <c r="DQ21" s="416">
        <f t="shared" si="120"/>
        <v>0</v>
      </c>
      <c r="DR21" s="416">
        <f t="shared" si="121"/>
        <v>0</v>
      </c>
      <c r="DS21" s="412">
        <f t="shared" si="122"/>
        <v>0</v>
      </c>
      <c r="DT21" s="413">
        <f t="shared" si="123"/>
        <v>0</v>
      </c>
    </row>
    <row r="22" spans="1:124" ht="12.75" customHeight="1">
      <c r="A22" s="491"/>
      <c r="C22" s="1885" t="s">
        <v>927</v>
      </c>
      <c r="D22" s="1885"/>
      <c r="E22" s="1886">
        <f>IF(F22=0,G22,F22)</f>
        <v>75</v>
      </c>
      <c r="F22" s="1532">
        <v>75</v>
      </c>
      <c r="G22" s="1532">
        <v>75</v>
      </c>
      <c r="H22" s="610">
        <v>2042</v>
      </c>
      <c r="I22" s="1533">
        <v>4.7800000000000002E-2</v>
      </c>
      <c r="J22" s="615">
        <v>12</v>
      </c>
      <c r="K22" s="402"/>
      <c r="L22" s="407">
        <f>IF(L$5=$H22,-$E22,0)</f>
        <v>0</v>
      </c>
      <c r="M22" s="404">
        <f>IF(Q22=0,0,IF(Q22&lt;0,IF($J22=3,Q22,IF($J22=2,Q22,IF($J22=1,Q22,0)))))</f>
        <v>0</v>
      </c>
      <c r="N22" s="414">
        <f>IF(Q22=0,0,IF(Q22&lt;0,IF($J22=6,Q22,IF($J22=5,Q22,IF($J22=4,Q22,0)))))</f>
        <v>0</v>
      </c>
      <c r="O22" s="414">
        <f>IF(Q22=0,0,IF(Q22&lt;0,IF($J22=9,Q22,IF($J22=8,Q22,IF($J22=7,Q22,0)))))</f>
        <v>0</v>
      </c>
      <c r="P22" s="406">
        <f>IF(Q22=0,0,IF(Q22&lt;0,IF($J22=12,Q22,IF($J22=11,Q22,IF($J22=10,Q22,0)))))</f>
        <v>0</v>
      </c>
      <c r="Q22" s="407">
        <f>IF(Q$5=$H22,-$E22,0)</f>
        <v>0</v>
      </c>
      <c r="R22" s="404">
        <f>IF(V22=0,0,IF(V22&lt;0,IF($J22=3,V22,IF($J22=2,V22,IF($J22=1,V22,0)))))</f>
        <v>0</v>
      </c>
      <c r="S22" s="414">
        <f>IF(V22=0,0,IF(V22&lt;0,IF($J22=6,V22,IF($J22=5,V22,IF($J22=4,V22,0)))))</f>
        <v>0</v>
      </c>
      <c r="T22" s="414">
        <f>IF(V22=0,0,IF(V22&lt;0,IF($J22=9,V22,IF($J22=8,V22,IF($J22=7,V22,0)))))</f>
        <v>0</v>
      </c>
      <c r="U22" s="406">
        <f>IF(V22=0,0,IF(V22&lt;0,IF($J22=12,V22,IF($J22=11,V22,IF($J22=10,V22,0)))))</f>
        <v>0</v>
      </c>
      <c r="V22" s="407">
        <f>IF(V$5=$H22,-$E22,0)</f>
        <v>0</v>
      </c>
      <c r="W22" s="404">
        <f>IF(AA22=0,0,IF(AA22&lt;0,IF($J22=3,AA22,IF($J22=2,AA22,IF($J22=1,AA22,0)))))</f>
        <v>0</v>
      </c>
      <c r="X22" s="414">
        <f>IF(AA22=0,0,IF(AA22&lt;0,IF($J22=6,AA22,IF($J22=5,AA22,IF($J22=4,AA22,0)))))</f>
        <v>0</v>
      </c>
      <c r="Y22" s="414">
        <f>IF(AA22=0,0,IF(AA22&lt;0,IF($J22=9,AA22,IF($J22=8,AA22,IF($J22=7,AA22,0)))))</f>
        <v>0</v>
      </c>
      <c r="Z22" s="406">
        <f>IF(AA22=0,0,IF(AA22&lt;0,IF($J22=12,AA22,IF($J22=11,AA22,IF($J22=10,AA22,0)))))</f>
        <v>0</v>
      </c>
      <c r="AA22" s="407">
        <f>IF(AA$5=$H22,-$E22,0)</f>
        <v>0</v>
      </c>
      <c r="AB22" s="404">
        <f>IF(AF22=0,0,IF(AF22&lt;0,IF($J22=3,AF22,IF($J22=2,AF22,IF($J22=1,AF22,0)))))</f>
        <v>0</v>
      </c>
      <c r="AC22" s="414">
        <f>IF(AF22=0,0,IF(AF22&lt;0,IF($J22=6,AF22,IF($J22=5,AF22,IF($J22=4,AF22,0)))))</f>
        <v>0</v>
      </c>
      <c r="AD22" s="414">
        <f>IF(AF22=0,0,IF(AF22&lt;0,IF($J22=9,AF22,IF($J22=8,AF22,IF($J22=7,AF22,0)))))</f>
        <v>0</v>
      </c>
      <c r="AE22" s="406">
        <f>IF(AF22=0,0,IF(AF22&lt;0,IF($J22=12,AF22,IF($J22=11,AF22,IF($J22=10,AF22,0)))))</f>
        <v>0</v>
      </c>
      <c r="AF22" s="407">
        <f>IF(AF$5=$H22,-$E22,0)</f>
        <v>0</v>
      </c>
      <c r="AG22" s="404">
        <f>IF(AK22=0,0,IF(AK22&lt;0,IF($J22=3,AK22,IF($J22=2,AK22,IF($J22=1,AK22,0)))))</f>
        <v>0</v>
      </c>
      <c r="AH22" s="414">
        <f>IF(AK22=0,0,IF(AK22&lt;0,IF($J22=6,AK22,IF($J22=5,AK22,IF($J22=4,AK22,0)))))</f>
        <v>0</v>
      </c>
      <c r="AI22" s="414">
        <f>IF(AK22=0,0,IF(AK22&lt;0,IF($J22=9,AK22,IF($J22=8,AK22,IF($J22=7,AK22,0)))))</f>
        <v>0</v>
      </c>
      <c r="AJ22" s="406">
        <f>IF(AK22=0,0,IF(AK22&lt;0,IF($J22=12,AK22,IF($J22=11,AK22,IF($J22=10,AK22,0)))))</f>
        <v>0</v>
      </c>
      <c r="AK22" s="407">
        <f>IF(AK$5=$H22,-$E22,0)</f>
        <v>0</v>
      </c>
      <c r="AL22" s="404">
        <f>IF(AP22=0,0,IF(AP22&lt;0,IF($J22=3,AP22,IF($J22=2,AP22,IF($J22=1,AP22,0)))))</f>
        <v>0</v>
      </c>
      <c r="AM22" s="414">
        <f>IF(AP22=0,0,IF(AP22&lt;0,IF($J22=6,AP22,IF($J22=5,AP22,IF($J22=4,AP22,0)))))</f>
        <v>0</v>
      </c>
      <c r="AN22" s="414">
        <f>IF(AP22=0,0,IF(AP22&lt;0,IF($J22=9,AP22,IF($J22=8,AP22,IF($J22=7,AP22,0)))))</f>
        <v>0</v>
      </c>
      <c r="AO22" s="406">
        <f>IF(AP22=0,0,IF(AP22&lt;0,IF($J22=12,AP22,IF($J22=11,AP22,IF($J22=10,AP22,0)))))</f>
        <v>0</v>
      </c>
      <c r="AP22" s="407">
        <f>IF(AP$5=$H22,-$E22,0)</f>
        <v>0</v>
      </c>
      <c r="AQ22" s="404">
        <f>IF(AU22=0,0,IF(AU22&lt;0,IF($J22=3,AU22,IF($J22=2,AU22,IF($J22=1,AU22,0)))))</f>
        <v>0</v>
      </c>
      <c r="AR22" s="414">
        <f t="shared" si="44"/>
        <v>0</v>
      </c>
      <c r="AS22" s="414">
        <f>IF(AU22=0,0,IF(AU22&lt;0,IF($J22=9,AU22,IF($J22=8,AU22,IF($J22=7,AU22,0)))))</f>
        <v>0</v>
      </c>
      <c r="AT22" s="406">
        <f>IF(AU22=0,0,IF(AU22&lt;0,IF($J22=12,AU22,IF($J22=11,AU22,IF($J22=10,AU22,0)))))</f>
        <v>0</v>
      </c>
      <c r="AU22" s="407">
        <f>IF(AU$5=$H22,-$E22,0)</f>
        <v>0</v>
      </c>
      <c r="AV22" s="404">
        <f>IF(AZ22=0,0,IF(AZ22&lt;0,IF($J22=3,AZ22,IF($J22=2,AZ22,IF($J22=1,AZ22,0)))))</f>
        <v>0</v>
      </c>
      <c r="AW22" s="414">
        <f>IF(AZ22=0,0,IF(AZ22&lt;0,IF($J22=6,AZ22,IF($J22=5,AZ22,IF($J22=4,AZ22,0)))))</f>
        <v>0</v>
      </c>
      <c r="AX22" s="414">
        <f>IF(AZ22=0,0,IF(AZ22&lt;0,IF($J22=9,AZ22,IF($J22=8,AZ22,IF($J22=7,AZ22,0)))))</f>
        <v>0</v>
      </c>
      <c r="AY22" s="406">
        <f>IF(AZ22=0,0,IF(AZ22&lt;0,IF($J22=12,AZ22,IF($J22=11,AZ22,IF($J22=10,AZ22,0)))))</f>
        <v>0</v>
      </c>
      <c r="AZ22" s="407">
        <f>IF(AZ$5=$H22,-$E22,0)</f>
        <v>0</v>
      </c>
      <c r="BA22" s="404">
        <f>IF(BE22=0,0,IF(BE22&lt;0,IF($J22=3,BE22,IF($J22=2,BE22,IF($J22=1,BE22,0)))))</f>
        <v>0</v>
      </c>
      <c r="BB22" s="414">
        <f>IF(BE22=0,0,IF(BE22&lt;0,IF($J22=6,BE22,IF($J22=5,BE22,IF($J22=4,BE22,0)))))</f>
        <v>0</v>
      </c>
      <c r="BC22" s="414">
        <f>IF(BE22=0,0,IF(BE22&lt;0,IF($J22=9,BE22,IF($J22=8,BE22,IF($J22=7,BE22,0)))))</f>
        <v>0</v>
      </c>
      <c r="BD22" s="406">
        <f>IF(BE22=0,0,IF(BE22&lt;0,IF($J22=12,BE22,IF($J22=11,BE22,IF($J22=10,BE22,0)))))</f>
        <v>0</v>
      </c>
      <c r="BE22" s="407">
        <f>IF(BE$5=$H22,-$E22,0)</f>
        <v>0</v>
      </c>
      <c r="BF22" s="404">
        <f>IF(BJ22=0,0,IF(BJ22&lt;0,IF($J22=3,BJ22,IF($J22=2,BJ22,IF($J22=1,BJ22,0)))))</f>
        <v>0</v>
      </c>
      <c r="BG22" s="414">
        <f>IF(BJ22=0,0,IF(BJ22&lt;0,IF($J22=6,BJ22,IF($J22=5,BJ22,IF($J22=4,BJ22,0)))))</f>
        <v>0</v>
      </c>
      <c r="BH22" s="414">
        <f>IF(BJ22=0,0,IF(BJ22&lt;0,IF($J22=9,BJ22,IF($J22=8,BJ22,IF($J22=7,BJ22,0)))))</f>
        <v>0</v>
      </c>
      <c r="BI22" s="406">
        <f>IF(BJ22=0,0,IF(BJ22&lt;0,IF($J22=12,BJ22,IF($J22=11,BJ22,IF($J22=10,BJ22,0)))))</f>
        <v>0</v>
      </c>
      <c r="BJ22" s="407">
        <f>IF(BJ$5=$H22,-$E22,0)</f>
        <v>0</v>
      </c>
      <c r="BK22" s="404">
        <f>IF(BO22=0,0,IF(BO22&lt;0,IF($J22=3,BO22,IF($J22=2,BO22,IF($J22=1,BO22,0)))))</f>
        <v>0</v>
      </c>
      <c r="BL22" s="414">
        <f>IF(BO22=0,0,IF(BO22&lt;0,IF($J22=6,BO22,IF($J22=5,BO22,IF($J22=4,BO22,0)))))</f>
        <v>0</v>
      </c>
      <c r="BM22" s="414">
        <f>IF(BO22=0,0,IF(BO22&lt;0,IF($J22=9,BO22,IF($J22=8,BO22,IF($J22=7,BO22,0)))))</f>
        <v>0</v>
      </c>
      <c r="BN22" s="406">
        <f>IF(BO22=0,0,IF(BO22&lt;0,IF($J22=12,BO22,IF($J22=11,BO22,IF($J22=10,BO22,0)))))</f>
        <v>0</v>
      </c>
      <c r="BO22" s="407">
        <f>IF(BO$5=$H22,-$E22,0)</f>
        <v>0</v>
      </c>
      <c r="BP22" s="449"/>
      <c r="BQ22" s="413">
        <f>IF(AND(AH22&lt;&gt;0,AH$5=$H22),-$I22*$E22-AH22,IF(BQ$5=$H22,-$I22*$E22*(12-$J22+1)/12,0))</f>
        <v>0</v>
      </c>
      <c r="BR22" s="410">
        <f>IF($H22&lt;&gt;BV$5,0,IF(BV22&lt;0,IF($J22=1,-$E22*$I22/12*3,IF($J22=2,-$E22*$I22/12*2,IF($J22=3,-$E22*$I22/12*1,0)))))+IF(BQ$5&lt;&gt;$H22,0,IF(BQ22&lt;0,IF($J22=1,-$E22*$I22/12*0,IF($J22=2,-$E22*$I22/12*1,IF($J22=3,-$E22*$I22/12*2,IF($J22&gt;=4,-$E22*$I22/12*3,0))))))</f>
        <v>0</v>
      </c>
      <c r="BS22" s="416">
        <f>IF($H22&lt;&gt;BV$5,0,IF(BV22&lt;0,IF(OR($J22=1,$J22=2,$J22=3,$J22=4),-$E22*$I22/12*3,IF($J22=5,-$E22*$I22/12*2,IF($J22=6,-$E22*$I22/12*1,0)))))+IF(BQ$5&lt;&gt;$H22,0,IF(BQ22&lt;0,IF($J22=4,-$E22*$I22/12*0,IF($J22=5,-$E22*$I22/12*1,IF($J22=6,-$E22*$I22/12*2,IF($J22&gt;=7,-$E22*$I22/12*3,0))))))</f>
        <v>0</v>
      </c>
      <c r="BT22" s="416">
        <f>IF($H22&lt;&gt;BV$5,0,IF(BV22&lt;0,IF(OR($J22=1,$J22=2,$J22=3,$J22=4,$J22=5,$J22=6,$J22=7),-$E22*$I22/12*3,IF($J22=8,-$E22*$I22/12*2,IF($J22=9,-$E22*$I22/12*1,0)))))+IF(BQ$5&lt;&gt;$H22,0,IF(BQ22&lt;0,IF($J22=7,-$E22*$I22/12*0,IF($J22=8,-$E22*$I22/12*1,IF($J22=9,-$E22*$I22/12*2,IF($J22&gt;=10,-$E22*$I22/12*3,0))))))</f>
        <v>0</v>
      </c>
      <c r="BU22" s="412">
        <f>IF($H22&lt;&gt;BV$5,0,IF(BV22&lt;0,IF(OR($J22=1,$J22=2,$J22=3,$J22=4,$J22=5,$J22=6,$J22=7,$J22=8,$J22=9,$J22=10),-$E22*$I22/12*3,IF($J22=11,-$E22*$I22/12*2,IF($J22=12,-$E22*$I22/12*1,0)))))+IF(BQ$5&lt;&gt;$H22,0,IF(BQ22&lt;0,IF($J22=10,-$E22*$I22/12*0,IF($J22=11,-$E22*$I22/12*1,IF($J22=12,-$E22*$I22/12*2,0)))))</f>
        <v>0</v>
      </c>
      <c r="BV22" s="413">
        <f>IF(AND(BQ22&lt;&gt;0,BQ$5=$H22),-$I22*$E22-BQ22,IF(BV$5=$H22,-$I22*$E22*(12-$J22+1)/12,0))</f>
        <v>0</v>
      </c>
      <c r="BW22" s="410">
        <f>IF($H22&lt;&gt;CA$5,0,IF(CA22&lt;0,IF($J22=1,-$E22*$I22/12*3,IF($J22=2,-$E22*$I22/12*2,IF($J22=3,-$E22*$I22/12*1,0)))))+IF(BV$5&lt;&gt;$H22,0,IF(BV22&lt;0,IF($J22=1,-$E22*$I22/12*0,IF($J22=2,-$E22*$I22/12*1,IF($J22=3,-$E22*$I22/12*2,IF($J22&gt;=4,-$E22*$I22/12*3,0))))))</f>
        <v>0</v>
      </c>
      <c r="BX22" s="416">
        <f>IF($H22&lt;&gt;CA$5,0,IF(CA22&lt;0,IF(OR($J22=1,$J22=2,$J22=3,$J22=4),-$E22*$I22/12*3,IF($J22=5,-$E22*$I22/12*2,IF($J22=6,-$E22*$I22/12*1,0)))))+IF(BV$5&lt;&gt;$H22,0,IF(BV22&lt;0,IF($J22=4,-$E22*$I22/12*0,IF($J22=5,-$E22*$I22/12*1,IF($J22=6,-$E22*$I22/12*2,IF($J22&gt;=7,-$E22*$I22/12*3,0))))))</f>
        <v>0</v>
      </c>
      <c r="BY22" s="416">
        <f>IF($H22&lt;&gt;CA$5,0,IF(CA22&lt;0,IF(OR($J22=1,$J22=2,$J22=3,$J22=4,$J22=5,$J22=6,$J22=7),-$E22*$I22/12*3,IF($J22=8,-$E22*$I22/12*2,IF($J22=9,-$E22*$I22/12*1,0)))))+IF(BV$5&lt;&gt;$H22,0,IF(BV22&lt;0,IF($J22=7,-$E22*$I22/12*0,IF($J22=8,-$E22*$I22/12*1,IF($J22=9,-$E22*$I22/12*2,IF($J22&gt;=10,-$E22*$I22/12*3,0))))))</f>
        <v>0</v>
      </c>
      <c r="BZ22" s="412">
        <f>IF($H22&lt;&gt;CA$5,0,IF(CA22&lt;0,IF(OR($J22=1,$J22=2,$J22=3,$J22=4,$J22=5,$J22=6,$J22=7,$J22=8,$J22=9,$J22=10),-$E22*$I22/12*3,IF($J22=11,-$E22*$I22/12*2,IF($J22=12,-$E22*$I22/12*1,0)))))+IF(BV$5&lt;&gt;$H22,0,IF(BV22&lt;0,IF($J22=10,-$E22*$I22/12*0,IF($J22=11,-$E22*$I22/12*1,IF($J22=12,-$E22*$I22/12*2,0)))))</f>
        <v>0</v>
      </c>
      <c r="CA22" s="413">
        <f>IF(AND(BV22&lt;&gt;0,BV$5=$H22),-$I22*$E22-BV22,IF(CA$5=$H22,-$I22*$E22*(12-$J22+1)/12,0))</f>
        <v>0</v>
      </c>
      <c r="CB22" s="410">
        <f>IF($H22&lt;&gt;CF$5,0,IF(CF22&lt;0,IF($J22=1,-$E22*$I22/12*3,IF($J22=2,-$E22*$I22/12*2,IF($J22=3,-$E22*$I22/12*1,0)))))+IF(CA$5&lt;&gt;$H22,0,IF(CA22&lt;0,IF($J22=1,-$E22*$I22/12*0,IF($J22=2,-$E22*$I22/12*1,IF($J22=3,-$E22*$I22/12*2,IF($J22&gt;=4,-$E22*$I22/12*3,0))))))</f>
        <v>0</v>
      </c>
      <c r="CC22" s="416">
        <f>IF($H22&lt;&gt;CF$5,0,IF(CF22&lt;0,IF(OR($J22=1,$J22=2,$J22=3,$J22=4),-$E22*$I22/12*3,IF($J22=5,-$E22*$I22/12*2,IF($J22=6,-$E22*$I22/12*1,0)))))+IF(CA$5&lt;&gt;$H22,0,IF(CA22&lt;0,IF($J22=4,-$E22*$I22/12*0,IF($J22=5,-$E22*$I22/12*1,IF($J22=6,-$E22*$I22/12*2,IF($J22&gt;=7,-$E22*$I22/12*3,0))))))</f>
        <v>0</v>
      </c>
      <c r="CD22" s="416">
        <f>IF($H22&lt;&gt;CF$5,0,IF(CF22&lt;0,IF(OR($J22=1,$J22=2,$J22=3,$J22=4,$J22=5,$J22=6,$J22=7),-$E22*$I22/12*3,IF($J22=8,-$E22*$I22/12*2,IF($J22=9,-$E22*$I22/12*1,0)))))+IF(CA$5&lt;&gt;$H22,0,IF(CA22&lt;0,IF($J22=7,-$E22*$I22/12*0,IF($J22=8,-$E22*$I22/12*1,IF($J22=9,-$E22*$I22/12*2,IF($J22&gt;=10,-$E22*$I22/12*3,0))))))</f>
        <v>0</v>
      </c>
      <c r="CE22" s="412">
        <f>IF($H22&lt;&gt;CF$5,0,IF(CF22&lt;0,IF(OR($J22=1,$J22=2,$J22=3,$J22=4,$J22=5,$J22=6,$J22=7,$J22=8,$J22=9,$J22=10),-$E22*$I22/12*3,IF($J22=11,-$E22*$I22/12*2,IF($J22=12,-$E22*$I22/12*1,0)))))+IF(CA$5&lt;&gt;$H22,0,IF(CA22&lt;0,IF($J22=10,-$E22*$I22/12*0,IF($J22=11,-$E22*$I22/12*1,IF($J22=12,-$E22*$I22/12*2,0)))))</f>
        <v>0</v>
      </c>
      <c r="CF22" s="413">
        <f>IF(AND(CA22&lt;&gt;0,CA$5=$H22),-$I22*$E22-CA22,IF(CF$5=$H22,-$I22*$E22*(12-$J22+1)/12,0))</f>
        <v>0</v>
      </c>
      <c r="CG22" s="410">
        <f>IF($H22&lt;&gt;CK$5,0,IF(CK22&lt;0,IF($J22=1,-$E22*$I22/12*3,IF($J22=2,-$E22*$I22/12*2,IF($J22=3,-$E22*$I22/12*1,0)))))+IF(CF$5&lt;&gt;$H22,0,IF(CF22&lt;0,IF($J22=1,-$E22*$I22/12*0,IF($J22=2,-$E22*$I22/12*1,IF($J22=3,-$E22*$I22/12*2,IF($J22&gt;=4,-$E22*$I22/12*3,0))))))</f>
        <v>0</v>
      </c>
      <c r="CH22" s="416">
        <f>IF($H22&lt;&gt;CK$5,0,IF(CK22&lt;0,IF(OR($J22=1,$J22=2,$J22=3,$J22=4),-$E22*$I22/12*3,IF($J22=5,-$E22*$I22/12*2,IF($J22=6,-$E22*$I22/12*1,0)))))+IF(CF$5&lt;&gt;$H22,0,IF(CF22&lt;0,IF($J22=4,-$E22*$I22/12*0,IF($J22=5,-$E22*$I22/12*1,IF($J22=6,-$E22*$I22/12*2,IF($J22&gt;=7,-$E22*$I22/12*3,0))))))</f>
        <v>0</v>
      </c>
      <c r="CI22" s="416">
        <f>IF($H22&lt;&gt;CK$5,0,IF(CK22&lt;0,IF(OR($J22=1,$J22=2,$J22=3,$J22=4,$J22=5,$J22=6,$J22=7),-$E22*$I22/12*3,IF($J22=8,-$E22*$I22/12*2,IF($J22=9,-$E22*$I22/12*1,0)))))+IF(CF$5&lt;&gt;$H22,0,IF(CF22&lt;0,IF($J22=7,-$E22*$I22/12*0,IF($J22=8,-$E22*$I22/12*1,IF($J22=9,-$E22*$I22/12*2,IF($J22&gt;=10,-$E22*$I22/12*3,0))))))</f>
        <v>0</v>
      </c>
      <c r="CJ22" s="412">
        <f>IF($H22&lt;&gt;CK$5,0,IF(CK22&lt;0,IF(OR($J22=1,$J22=2,$J22=3,$J22=4,$J22=5,$J22=6,$J22=7,$J22=8,$J22=9,$J22=10),-$E22*$I22/12*3,IF($J22=11,-$E22*$I22/12*2,IF($J22=12,-$E22*$I22/12*1,0)))))+IF(CF$5&lt;&gt;$H22,0,IF(CF22&lt;0,IF($J22=10,-$E22*$I22/12*0,IF($J22=11,-$E22*$I22/12*1,IF($J22=12,-$E22*$I22/12*2,0)))))</f>
        <v>0</v>
      </c>
      <c r="CK22" s="413">
        <f>IF(AND(CF22&lt;&gt;0,CF$5=$H22),-$I22*$E22-CF22,IF(CK$5=$H22,-$I22*$E22*(12-$J22+1)/12,0))</f>
        <v>0</v>
      </c>
      <c r="CL22" s="410">
        <f>IF($H22&lt;&gt;CP$5,0,IF(CP22&lt;0,IF($J22=1,-$E22*$I22/12*3,IF($J22=2,-$E22*$I22/12*2,IF($J22=3,-$E22*$I22/12*1,0)))))+IF(CK$5&lt;&gt;$H22,0,IF(CK22&lt;0,IF($J22=1,-$E22*$I22/12*0,IF($J22=2,-$E22*$I22/12*1,IF($J22=3,-$E22*$I22/12*2,IF($J22&gt;=4,-$E22*$I22/12*3,0))))))</f>
        <v>0</v>
      </c>
      <c r="CM22" s="416">
        <f>IF($H22&lt;&gt;CP$5,0,IF(CP22&lt;0,IF(OR($J22=1,$J22=2,$J22=3,$J22=4),-$E22*$I22/12*3,IF($J22=5,-$E22*$I22/12*2,IF($J22=6,-$E22*$I22/12*1,0)))))+IF(CK$5&lt;&gt;$H22,0,IF(CK22&lt;0,IF($J22=4,-$E22*$I22/12*0,IF($J22=5,-$E22*$I22/12*1,IF($J22=6,-$E22*$I22/12*2,IF($J22&gt;=7,-$E22*$I22/12*3,0))))))</f>
        <v>0</v>
      </c>
      <c r="CN22" s="416">
        <f>IF($H22&lt;&gt;CP$5,0,IF(CP22&lt;0,IF(OR($J22=1,$J22=2,$J22=3,$J22=4,$J22=5,$J22=6,$J22=7),-$E22*$I22/12*3,IF($J22=8,-$E22*$I22/12*2,IF($J22=9,-$E22*$I22/12*1,0)))))+IF(CK$5&lt;&gt;$H22,0,IF(CK22&lt;0,IF($J22=7,-$E22*$I22/12*0,IF($J22=8,-$E22*$I22/12*1,IF($J22=9,-$E22*$I22/12*2,IF($J22&gt;=10,-$E22*$I22/12*3,0))))))</f>
        <v>0</v>
      </c>
      <c r="CO22" s="412">
        <f>IF($H22&lt;&gt;CP$5,0,IF(CP22&lt;0,IF(OR($J22=1,$J22=2,$J22=3,$J22=4,$J22=5,$J22=6,$J22=7,$J22=8,$J22=9,$J22=10),-$E22*$I22/12*3,IF($J22=11,-$E22*$I22/12*2,IF($J22=12,-$E22*$I22/12*1,0)))))+IF(CK$5&lt;&gt;$H22,0,IF(CK22&lt;0,IF($J22=10,-$E22*$I22/12*0,IF($J22=11,-$E22*$I22/12*1,IF($J22=12,-$E22*$I22/12*2,0)))))</f>
        <v>0</v>
      </c>
      <c r="CP22" s="413">
        <f>IF(AND(CK22&lt;&gt;0,CK$5=$H22),-$I22*$E22-CK22,IF(CP$5=$H22,-$I22*$E22*(12-$J22+1)/12,0))</f>
        <v>0</v>
      </c>
      <c r="CQ22" s="410">
        <f>IF($H22&lt;&gt;CU$5,0,IF(CU22&lt;0,IF($J22=1,-$E22*$I22/12*3,IF($J22=2,-$E22*$I22/12*2,IF($J22=3,-$E22*$I22/12*1,0)))))+IF(CP$5&lt;&gt;$H22,0,IF(CP22&lt;0,IF($J22=1,-$E22*$I22/12*0,IF($J22=2,-$E22*$I22/12*1,IF($J22=3,-$E22*$I22/12*2,IF($J22&gt;=4,-$E22*$I22/12*3,0))))))</f>
        <v>0</v>
      </c>
      <c r="CR22" s="416">
        <f>IF($H22&lt;&gt;CU$5,0,IF(CU22&lt;0,IF(OR($J22=1,$J22=2,$J22=3,$J22=4),-$E22*$I22/12*3,IF($J22=5,-$E22*$I22/12*2,IF($J22=6,-$E22*$I22/12*1,0)))))+IF(CP$5&lt;&gt;$H22,0,IF(CP22&lt;0,IF($J22=4,-$E22*$I22/12*0,IF($J22=5,-$E22*$I22/12*1,IF($J22=6,-$E22*$I22/12*2,IF($J22&gt;=7,-$E22*$I22/12*3,0))))))</f>
        <v>0</v>
      </c>
      <c r="CS22" s="416">
        <f>IF($H22&lt;&gt;CU$5,0,IF(CU22&lt;0,IF(OR($J22=1,$J22=2,$J22=3,$J22=4,$J22=5,$J22=6,$J22=7),-$E22*$I22/12*3,IF($J22=8,-$E22*$I22/12*2,IF($J22=9,-$E22*$I22/12*1,0)))))+IF(CP$5&lt;&gt;$H22,0,IF(CP22&lt;0,IF($J22=7,-$E22*$I22/12*0,IF($J22=8,-$E22*$I22/12*1,IF($J22=9,-$E22*$I22/12*2,IF($J22&gt;=10,-$E22*$I22/12*3,0))))))</f>
        <v>0</v>
      </c>
      <c r="CT22" s="412">
        <f>IF($H22&lt;&gt;CU$5,0,IF(CU22&lt;0,IF(OR($J22=1,$J22=2,$J22=3,$J22=4,$J22=5,$J22=6,$J22=7,$J22=8,$J22=9,$J22=10),-$E22*$I22/12*3,IF($J22=11,-$E22*$I22/12*2,IF($J22=12,-$E22*$I22/12*1,0)))))+IF(CP$5&lt;&gt;$H22,0,IF(CP22&lt;0,IF($J22=10,-$E22*$I22/12*0,IF($J22=11,-$E22*$I22/12*1,IF($J22=12,-$E22*$I22/12*2,0)))))</f>
        <v>0</v>
      </c>
      <c r="CU22" s="413">
        <f>IF(AND(CP22&lt;&gt;0,CP$5=$H22),-$I22*$E22-CP22,IF(CU$5=$H22,-$I22*$E22*(12-$J22+1)/12,0))</f>
        <v>0</v>
      </c>
      <c r="CV22" s="410">
        <f>IF($H22&lt;&gt;CZ$5,0,IF(CZ22&lt;0,IF($J22=1,-$E22*$I22/12*3,IF($J22=2,-$E22*$I22/12*2,IF($J22=3,-$E22*$I22/12*1,0)))))+IF(CU$5&lt;&gt;$H22,0,IF(CU22&lt;0,IF($J22=1,-$E22*$I22/12*0,IF($J22=2,-$E22*$I22/12*1,IF($J22=3,-$E22*$I22/12*2,IF($J22&gt;=4,-$E22*$I22/12*3,0))))))</f>
        <v>0</v>
      </c>
      <c r="CW22" s="416">
        <f>IF($H22&lt;&gt;CZ$5,0,IF(CZ22&lt;0,IF(OR($J22=1,$J22=2,$J22=3,$J22=4),-$E22*$I22/12*3,IF($J22=5,-$E22*$I22/12*2,IF($J22=6,-$E22*$I22/12*1,0)))))+IF(CU$5&lt;&gt;$H22,0,IF(CU22&lt;0,IF($J22=4,-$E22*$I22/12*0,IF($J22=5,-$E22*$I22/12*1,IF($J22=6,-$E22*$I22/12*2,IF($J22&gt;=7,-$E22*$I22/12*3,0))))))</f>
        <v>0</v>
      </c>
      <c r="CX22" s="416">
        <f>IF($H22&lt;&gt;CZ$5,0,IF(CZ22&lt;0,IF(OR($J22=1,$J22=2,$J22=3,$J22=4,$J22=5,$J22=6,$J22=7),-$E22*$I22/12*3,IF($J22=8,-$E22*$I22/12*2,IF($J22=9,-$E22*$I22/12*1,0)))))+IF(CU$5&lt;&gt;$H22,0,IF(CU22&lt;0,IF($J22=7,-$E22*$I22/12*0,IF($J22=8,-$E22*$I22/12*1,IF($J22=9,-$E22*$I22/12*2,IF($J22&gt;=10,-$E22*$I22/12*3,0))))))</f>
        <v>0</v>
      </c>
      <c r="CY22" s="412">
        <f>IF($H22&lt;&gt;CZ$5,0,IF(CZ22&lt;0,IF(OR($J22=1,$J22=2,$J22=3,$J22=4,$J22=5,$J22=6,$J22=7,$J22=8,$J22=9,$J22=10),-$E22*$I22/12*3,IF($J22=11,-$E22*$I22/12*2,IF($J22=12,-$E22*$I22/12*1,0)))))+IF(CU$5&lt;&gt;$H22,0,IF(CU22&lt;0,IF($J22=10,-$E22*$I22/12*0,IF($J22=11,-$E22*$I22/12*1,IF($J22=12,-$E22*$I22/12*2,0)))))</f>
        <v>0</v>
      </c>
      <c r="CZ22" s="413">
        <f>IF(AND(CU22&lt;&gt;0,CU$5=$H22),-$I22*$E22-CU22,IF(CZ$5=$H22,-$I22*$E22*(12-$J22+1)/12,0))</f>
        <v>0</v>
      </c>
      <c r="DA22" s="410">
        <f>IF($H22&lt;&gt;DE$5,0,IF(DE22&lt;0,IF($J22=1,-$E22*$I22/12*3,IF($J22=2,-$E22*$I22/12*2,IF($J22=3,-$E22*$I22/12*1,0)))))+IF(CZ$5&lt;&gt;$H22,0,IF(CZ22&lt;0,IF($J22=1,-$E22*$I22/12*0,IF($J22=2,-$E22*$I22/12*1,IF($J22=3,-$E22*$I22/12*2,IF($J22&gt;=4,-$E22*$I22/12*3,0))))))</f>
        <v>0</v>
      </c>
      <c r="DB22" s="416">
        <f>IF($H22&lt;&gt;DE$5,0,IF(DE22&lt;0,IF(OR($J22=1,$J22=2,$J22=3,$J22=4),-$E22*$I22/12*3,IF($J22=5,-$E22*$I22/12*2,IF($J22=6,-$E22*$I22/12*1,0)))))+IF(CZ$5&lt;&gt;$H22,0,IF(CZ22&lt;0,IF($J22=4,-$E22*$I22/12*0,IF($J22=5,-$E22*$I22/12*1,IF($J22=6,-$E22*$I22/12*2,IF($J22&gt;=7,-$E22*$I22/12*3,0))))))</f>
        <v>0</v>
      </c>
      <c r="DC22" s="416">
        <f>IF($H22&lt;&gt;DE$5,0,IF(DE22&lt;0,IF(OR($J22=1,$J22=2,$J22=3,$J22=4,$J22=5,$J22=6,$J22=7),-$E22*$I22/12*3,IF($J22=8,-$E22*$I22/12*2,IF($J22=9,-$E22*$I22/12*1,0)))))+IF(CZ$5&lt;&gt;$H22,0,IF(CZ22&lt;0,IF($J22=7,-$E22*$I22/12*0,IF($J22=8,-$E22*$I22/12*1,IF($J22=9,-$E22*$I22/12*2,IF($J22&gt;=10,-$E22*$I22/12*3,0))))))</f>
        <v>0</v>
      </c>
      <c r="DD22" s="412">
        <f>IF($H22&lt;&gt;DE$5,0,IF(DE22&lt;0,IF(OR($J22=1,$J22=2,$J22=3,$J22=4,$J22=5,$J22=6,$J22=7,$J22=8,$J22=9,$J22=10),-$E22*$I22/12*3,IF($J22=11,-$E22*$I22/12*2,IF($J22=12,-$E22*$I22/12*1,0)))))+IF(CZ$5&lt;&gt;$H22,0,IF(CZ22&lt;0,IF($J22=10,-$E22*$I22/12*0,IF($J22=11,-$E22*$I22/12*1,IF($J22=12,-$E22*$I22/12*2,0)))))</f>
        <v>0</v>
      </c>
      <c r="DE22" s="413">
        <f>IF(AND(CZ22&lt;&gt;0,CZ$5=$H22),-$I22*$E22-CZ22,IF(DE$5=$H22,-$I22*$E22*(12-$J22+1)/12,0))</f>
        <v>0</v>
      </c>
      <c r="DF22" s="410">
        <f>IF($H22&lt;&gt;DJ$5,0,IF(DJ22&lt;0,IF($J22=1,-$E22*$I22/12*3,IF($J22=2,-$E22*$I22/12*2,IF($J22=3,-$E22*$I22/12*1,0)))))+IF(DE$5&lt;&gt;$H22,0,IF(DE22&lt;0,IF($J22=1,-$E22*$I22/12*0,IF($J22=2,-$E22*$I22/12*1,IF($J22=3,-$E22*$I22/12*2,IF($J22&gt;=4,-$E22*$I22/12*3,0))))))</f>
        <v>0</v>
      </c>
      <c r="DG22" s="416">
        <f>IF($H22&lt;&gt;DJ$5,0,IF(DJ22&lt;0,IF(OR($J22=1,$J22=2,$J22=3,$J22=4),-$E22*$I22/12*3,IF($J22=5,-$E22*$I22/12*2,IF($J22=6,-$E22*$I22/12*1,0)))))+IF(DE$5&lt;&gt;$H22,0,IF(DE22&lt;0,IF($J22=4,-$E22*$I22/12*0,IF($J22=5,-$E22*$I22/12*1,IF($J22=6,-$E22*$I22/12*2,IF($J22&gt;=7,-$E22*$I22/12*3,0))))))</f>
        <v>0</v>
      </c>
      <c r="DH22" s="416">
        <f>IF($H22&lt;&gt;DJ$5,0,IF(DJ22&lt;0,IF(OR($J22=1,$J22=2,$J22=3,$J22=4,$J22=5,$J22=6,$J22=7),-$E22*$I22/12*3,IF($J22=8,-$E22*$I22/12*2,IF($J22=9,-$E22*$I22/12*1,0)))))+IF(DE$5&lt;&gt;$H22,0,IF(DE22&lt;0,IF($J22=7,-$E22*$I22/12*0,IF($J22=8,-$E22*$I22/12*1,IF($J22=9,-$E22*$I22/12*2,IF($J22&gt;=10,-$E22*$I22/12*3,0))))))</f>
        <v>0</v>
      </c>
      <c r="DI22" s="412">
        <f>IF($H22&lt;&gt;DJ$5,0,IF(DJ22&lt;0,IF(OR($J22=1,$J22=2,$J22=3,$J22=4,$J22=5,$J22=6,$J22=7,$J22=8,$J22=9,$J22=10),-$E22*$I22/12*3,IF($J22=11,-$E22*$I22/12*2,IF($J22=12,-$E22*$I22/12*1,0)))))+IF(DE$5&lt;&gt;$H22,0,IF(DE22&lt;0,IF($J22=10,-$E22*$I22/12*0,IF($J22=11,-$E22*$I22/12*1,IF($J22=12,-$E22*$I22/12*2,0)))))</f>
        <v>0</v>
      </c>
      <c r="DJ22" s="413">
        <f>IF(AND(DE22&lt;&gt;0,DE$5=$H22),-$I22*$E22-DE22,IF(DJ$5=$H22,-$I22*$E22*(12-$J22+1)/12,0))</f>
        <v>0</v>
      </c>
      <c r="DK22" s="410">
        <f>IF($H22&lt;&gt;DO$5,0,IF(DO22&lt;0,IF($J22=1,-$E22*$I22/12*3,IF($J22=2,-$E22*$I22/12*2,IF($J22=3,-$E22*$I22/12*1,0)))))+IF(DJ$5&lt;&gt;$H22,0,IF(DJ22&lt;0,IF($J22=1,-$E22*$I22/12*0,IF($J22=2,-$E22*$I22/12*1,IF($J22=3,-$E22*$I22/12*2,IF($J22&gt;=4,-$E22*$I22/12*3,0))))))</f>
        <v>0</v>
      </c>
      <c r="DL22" s="416">
        <f>IF($H22&lt;&gt;DO$5,0,IF(DO22&lt;0,IF(OR($J22=1,$J22=2,$J22=3,$J22=4),-$E22*$I22/12*3,IF($J22=5,-$E22*$I22/12*2,IF($J22=6,-$E22*$I22/12*1,0)))))+IF(DJ$5&lt;&gt;$H22,0,IF(DJ22&lt;0,IF($J22=4,-$E22*$I22/12*0,IF($J22=5,-$E22*$I22/12*1,IF($J22=6,-$E22*$I22/12*2,IF($J22&gt;=7,-$E22*$I22/12*3,0))))))</f>
        <v>0</v>
      </c>
      <c r="DM22" s="416">
        <f>IF($H22&lt;&gt;DO$5,0,IF(DO22&lt;0,IF(OR($J22=1,$J22=2,$J22=3,$J22=4,$J22=5,$J22=6,$J22=7),-$E22*$I22/12*3,IF($J22=8,-$E22*$I22/12*2,IF($J22=9,-$E22*$I22/12*1,0)))))+IF(DJ$5&lt;&gt;$H22,0,IF(DJ22&lt;0,IF($J22=7,-$E22*$I22/12*0,IF($J22=8,-$E22*$I22/12*1,IF($J22=9,-$E22*$I22/12*2,IF($J22&gt;=10,-$E22*$I22/12*3,0))))))</f>
        <v>0</v>
      </c>
      <c r="DN22" s="412">
        <f>IF($H22&lt;&gt;DO$5,0,IF(DO22&lt;0,IF(OR($J22=1,$J22=2,$J22=3,$J22=4,$J22=5,$J22=6,$J22=7,$J22=8,$J22=9,$J22=10),-$E22*$I22/12*3,IF($J22=11,-$E22*$I22/12*2,IF($J22=12,-$E22*$I22/12*1,0)))))+IF(DJ$5&lt;&gt;$H22,0,IF(DJ22&lt;0,IF($J22=10,-$E22*$I22/12*0,IF($J22=11,-$E22*$I22/12*1,IF($J22=12,-$E22*$I22/12*2,0)))))</f>
        <v>0</v>
      </c>
      <c r="DO22" s="413">
        <f>IF(AND(DJ22&lt;&gt;0,DJ$5=$H22),-$I22*$E22-DJ22,IF(DO$5=$H22,-$I22*$E22*(12-$J22+1)/12,0))</f>
        <v>0</v>
      </c>
      <c r="DP22" s="410">
        <f>IF($H22&lt;&gt;DT$5,0,IF(DT22&lt;0,IF($J22=1,-$E22*$I22/12*3,IF($J22=2,-$E22*$I22/12*2,IF($J22=3,-$E22*$I22/12*1,0)))))+IF(DO$5&lt;&gt;$H22,0,IF(DO22&lt;0,IF($J22=1,-$E22*$I22/12*0,IF($J22=2,-$E22*$I22/12*1,IF($J22=3,-$E22*$I22/12*2,IF($J22&gt;=4,-$E22*$I22/12*3,0))))))</f>
        <v>0</v>
      </c>
      <c r="DQ22" s="416">
        <f>IF($H22&lt;&gt;DT$5,0,IF(DT22&lt;0,IF(OR($J22=1,$J22=2,$J22=3,$J22=4),-$E22*$I22/12*3,IF($J22=5,-$E22*$I22/12*2,IF($J22=6,-$E22*$I22/12*1,0)))))+IF(DO$5&lt;&gt;$H22,0,IF(DO22&lt;0,IF($J22=4,-$E22*$I22/12*0,IF($J22=5,-$E22*$I22/12*1,IF($J22=6,-$E22*$I22/12*2,IF($J22&gt;=7,-$E22*$I22/12*3,0))))))</f>
        <v>0</v>
      </c>
      <c r="DR22" s="416">
        <f>IF($H22&lt;&gt;DT$5,0,IF(DT22&lt;0,IF(OR($J22=1,$J22=2,$J22=3,$J22=4,$J22=5,$J22=6,$J22=7),-$E22*$I22/12*3,IF($J22=8,-$E22*$I22/12*2,IF($J22=9,-$E22*$I22/12*1,0)))))+IF(DO$5&lt;&gt;$H22,0,IF(DO22&lt;0,IF($J22=7,-$E22*$I22/12*0,IF($J22=8,-$E22*$I22/12*1,IF($J22=9,-$E22*$I22/12*2,IF($J22&gt;=10,-$E22*$I22/12*3,0))))))</f>
        <v>0</v>
      </c>
      <c r="DS22" s="412">
        <f>IF($H22&lt;&gt;DT$5,0,IF(DT22&lt;0,IF(OR($J22=1,$J22=2,$J22=3,$J22=4,$J22=5,$J22=6,$J22=7,$J22=8,$J22=9,$J22=10),-$E22*$I22/12*3,IF($J22=11,-$E22*$I22/12*2,IF($J22=12,-$E22*$I22/12*1,0)))))+IF(DO$5&lt;&gt;$H22,0,IF(DO22&lt;0,IF($J22=10,-$E22*$I22/12*0,IF($J22=11,-$E22*$I22/12*1,IF($J22=12,-$E22*$I22/12*2,0)))))</f>
        <v>0</v>
      </c>
      <c r="DT22" s="413">
        <f>IF(AND(DO22&lt;&gt;0,DO$5=$H22),-$I22*$E22-DO22,IF(DT$5=$H22,-$I22*$E22*(12-$J22+1)/12,0))</f>
        <v>0</v>
      </c>
    </row>
    <row r="23" spans="1:124" ht="12.75" customHeight="1">
      <c r="A23" s="491"/>
      <c r="C23" s="1885" t="str">
        <f>CONCATENATE(I23*100,"% senior note due ", H23)</f>
        <v>4.83% senior note due 2043</v>
      </c>
      <c r="D23" s="1885"/>
      <c r="E23" s="1886">
        <f t="shared" ref="E23:E41" si="124">IF(F23=0,G23,F23)</f>
        <v>25</v>
      </c>
      <c r="F23" s="1532">
        <v>25</v>
      </c>
      <c r="G23" s="1532">
        <v>25</v>
      </c>
      <c r="H23" s="610">
        <v>2043</v>
      </c>
      <c r="I23" s="1533">
        <v>4.8300000000000003E-2</v>
      </c>
      <c r="J23" s="615">
        <v>3</v>
      </c>
      <c r="K23" s="402"/>
      <c r="L23" s="407">
        <f t="shared" si="12"/>
        <v>0</v>
      </c>
      <c r="M23" s="404">
        <f t="shared" si="13"/>
        <v>0</v>
      </c>
      <c r="N23" s="414">
        <f t="shared" si="14"/>
        <v>0</v>
      </c>
      <c r="O23" s="414">
        <f t="shared" si="15"/>
        <v>0</v>
      </c>
      <c r="P23" s="406">
        <f t="shared" si="16"/>
        <v>0</v>
      </c>
      <c r="Q23" s="407">
        <f t="shared" si="17"/>
        <v>0</v>
      </c>
      <c r="R23" s="404">
        <f t="shared" si="18"/>
        <v>0</v>
      </c>
      <c r="S23" s="414">
        <f t="shared" si="19"/>
        <v>0</v>
      </c>
      <c r="T23" s="414">
        <f t="shared" si="20"/>
        <v>0</v>
      </c>
      <c r="U23" s="406">
        <f t="shared" si="21"/>
        <v>0</v>
      </c>
      <c r="V23" s="407">
        <f t="shared" si="22"/>
        <v>0</v>
      </c>
      <c r="W23" s="404">
        <f t="shared" si="23"/>
        <v>0</v>
      </c>
      <c r="X23" s="414">
        <f t="shared" si="24"/>
        <v>0</v>
      </c>
      <c r="Y23" s="414">
        <f t="shared" si="25"/>
        <v>0</v>
      </c>
      <c r="Z23" s="406">
        <f t="shared" si="26"/>
        <v>0</v>
      </c>
      <c r="AA23" s="407">
        <f t="shared" si="27"/>
        <v>0</v>
      </c>
      <c r="AB23" s="404">
        <f t="shared" si="28"/>
        <v>0</v>
      </c>
      <c r="AC23" s="414">
        <f t="shared" si="29"/>
        <v>0</v>
      </c>
      <c r="AD23" s="414">
        <f t="shared" si="30"/>
        <v>0</v>
      </c>
      <c r="AE23" s="406">
        <f t="shared" si="31"/>
        <v>0</v>
      </c>
      <c r="AF23" s="407">
        <f t="shared" si="32"/>
        <v>0</v>
      </c>
      <c r="AG23" s="404">
        <f t="shared" si="33"/>
        <v>0</v>
      </c>
      <c r="AH23" s="414">
        <f t="shared" si="34"/>
        <v>0</v>
      </c>
      <c r="AI23" s="414">
        <f t="shared" si="35"/>
        <v>0</v>
      </c>
      <c r="AJ23" s="406">
        <f t="shared" si="36"/>
        <v>0</v>
      </c>
      <c r="AK23" s="407">
        <f t="shared" si="37"/>
        <v>0</v>
      </c>
      <c r="AL23" s="404">
        <f t="shared" si="38"/>
        <v>0</v>
      </c>
      <c r="AM23" s="414">
        <f t="shared" si="39"/>
        <v>0</v>
      </c>
      <c r="AN23" s="414">
        <f t="shared" si="40"/>
        <v>0</v>
      </c>
      <c r="AO23" s="406">
        <f t="shared" si="41"/>
        <v>0</v>
      </c>
      <c r="AP23" s="407">
        <f t="shared" si="42"/>
        <v>0</v>
      </c>
      <c r="AQ23" s="404">
        <f t="shared" si="43"/>
        <v>0</v>
      </c>
      <c r="AR23" s="414">
        <f t="shared" si="44"/>
        <v>0</v>
      </c>
      <c r="AS23" s="414">
        <f t="shared" si="45"/>
        <v>0</v>
      </c>
      <c r="AT23" s="406">
        <f t="shared" si="46"/>
        <v>0</v>
      </c>
      <c r="AU23" s="407">
        <f t="shared" si="47"/>
        <v>0</v>
      </c>
      <c r="AV23" s="404">
        <f t="shared" si="48"/>
        <v>0</v>
      </c>
      <c r="AW23" s="414">
        <f t="shared" si="49"/>
        <v>0</v>
      </c>
      <c r="AX23" s="414">
        <f t="shared" si="50"/>
        <v>0</v>
      </c>
      <c r="AY23" s="406">
        <f t="shared" si="51"/>
        <v>0</v>
      </c>
      <c r="AZ23" s="407">
        <f t="shared" si="52"/>
        <v>0</v>
      </c>
      <c r="BA23" s="404">
        <f t="shared" si="53"/>
        <v>0</v>
      </c>
      <c r="BB23" s="414">
        <f t="shared" si="54"/>
        <v>0</v>
      </c>
      <c r="BC23" s="414">
        <f t="shared" si="55"/>
        <v>0</v>
      </c>
      <c r="BD23" s="406">
        <f t="shared" si="56"/>
        <v>0</v>
      </c>
      <c r="BE23" s="407">
        <f t="shared" si="57"/>
        <v>0</v>
      </c>
      <c r="BF23" s="404">
        <f t="shared" si="58"/>
        <v>0</v>
      </c>
      <c r="BG23" s="414">
        <f t="shared" si="59"/>
        <v>0</v>
      </c>
      <c r="BH23" s="414">
        <f t="shared" si="60"/>
        <v>0</v>
      </c>
      <c r="BI23" s="406">
        <f t="shared" si="61"/>
        <v>0</v>
      </c>
      <c r="BJ23" s="407">
        <f t="shared" si="62"/>
        <v>0</v>
      </c>
      <c r="BK23" s="404">
        <f t="shared" si="63"/>
        <v>0</v>
      </c>
      <c r="BL23" s="414">
        <f t="shared" si="64"/>
        <v>0</v>
      </c>
      <c r="BM23" s="414">
        <f t="shared" si="65"/>
        <v>0</v>
      </c>
      <c r="BN23" s="406">
        <f t="shared" si="66"/>
        <v>0</v>
      </c>
      <c r="BO23" s="407">
        <f t="shared" si="67"/>
        <v>0</v>
      </c>
      <c r="BP23" s="449"/>
      <c r="BQ23" s="413">
        <f t="shared" si="68"/>
        <v>0</v>
      </c>
      <c r="BR23" s="410">
        <f t="shared" si="69"/>
        <v>0</v>
      </c>
      <c r="BS23" s="416">
        <f t="shared" si="70"/>
        <v>0</v>
      </c>
      <c r="BT23" s="416">
        <f t="shared" si="71"/>
        <v>0</v>
      </c>
      <c r="BU23" s="412">
        <f t="shared" si="72"/>
        <v>0</v>
      </c>
      <c r="BV23" s="413">
        <f t="shared" si="73"/>
        <v>0</v>
      </c>
      <c r="BW23" s="410">
        <f t="shared" si="74"/>
        <v>0</v>
      </c>
      <c r="BX23" s="416">
        <f t="shared" si="75"/>
        <v>0</v>
      </c>
      <c r="BY23" s="416">
        <f t="shared" si="76"/>
        <v>0</v>
      </c>
      <c r="BZ23" s="412">
        <f t="shared" si="77"/>
        <v>0</v>
      </c>
      <c r="CA23" s="413">
        <f t="shared" si="78"/>
        <v>0</v>
      </c>
      <c r="CB23" s="410">
        <f t="shared" si="79"/>
        <v>0</v>
      </c>
      <c r="CC23" s="416">
        <f t="shared" si="80"/>
        <v>0</v>
      </c>
      <c r="CD23" s="416">
        <f t="shared" si="81"/>
        <v>0</v>
      </c>
      <c r="CE23" s="412">
        <f t="shared" si="82"/>
        <v>0</v>
      </c>
      <c r="CF23" s="413">
        <f t="shared" si="83"/>
        <v>0</v>
      </c>
      <c r="CG23" s="410">
        <f t="shared" si="84"/>
        <v>0</v>
      </c>
      <c r="CH23" s="416">
        <f t="shared" si="85"/>
        <v>0</v>
      </c>
      <c r="CI23" s="416">
        <f t="shared" si="86"/>
        <v>0</v>
      </c>
      <c r="CJ23" s="412">
        <f t="shared" si="87"/>
        <v>0</v>
      </c>
      <c r="CK23" s="413">
        <f t="shared" si="88"/>
        <v>0</v>
      </c>
      <c r="CL23" s="410">
        <f t="shared" si="89"/>
        <v>0</v>
      </c>
      <c r="CM23" s="416">
        <f t="shared" si="90"/>
        <v>0</v>
      </c>
      <c r="CN23" s="416">
        <f t="shared" si="91"/>
        <v>0</v>
      </c>
      <c r="CO23" s="412">
        <f t="shared" si="92"/>
        <v>0</v>
      </c>
      <c r="CP23" s="413">
        <f t="shared" si="93"/>
        <v>0</v>
      </c>
      <c r="CQ23" s="410">
        <f t="shared" si="94"/>
        <v>0</v>
      </c>
      <c r="CR23" s="416">
        <f t="shared" si="95"/>
        <v>0</v>
      </c>
      <c r="CS23" s="416">
        <f t="shared" si="96"/>
        <v>0</v>
      </c>
      <c r="CT23" s="412">
        <f t="shared" si="97"/>
        <v>0</v>
      </c>
      <c r="CU23" s="413">
        <f t="shared" si="98"/>
        <v>0</v>
      </c>
      <c r="CV23" s="410">
        <f t="shared" si="99"/>
        <v>0</v>
      </c>
      <c r="CW23" s="416">
        <f t="shared" si="100"/>
        <v>0</v>
      </c>
      <c r="CX23" s="416">
        <f t="shared" si="101"/>
        <v>0</v>
      </c>
      <c r="CY23" s="412">
        <f t="shared" si="102"/>
        <v>0</v>
      </c>
      <c r="CZ23" s="413">
        <f t="shared" si="103"/>
        <v>0</v>
      </c>
      <c r="DA23" s="410">
        <f t="shared" si="104"/>
        <v>0</v>
      </c>
      <c r="DB23" s="416">
        <f t="shared" si="105"/>
        <v>0</v>
      </c>
      <c r="DC23" s="416">
        <f t="shared" si="106"/>
        <v>0</v>
      </c>
      <c r="DD23" s="412">
        <f t="shared" si="107"/>
        <v>0</v>
      </c>
      <c r="DE23" s="413">
        <f t="shared" si="108"/>
        <v>0</v>
      </c>
      <c r="DF23" s="410">
        <f t="shared" si="109"/>
        <v>0</v>
      </c>
      <c r="DG23" s="416">
        <f t="shared" si="110"/>
        <v>0</v>
      </c>
      <c r="DH23" s="416">
        <f t="shared" si="111"/>
        <v>0</v>
      </c>
      <c r="DI23" s="412">
        <f t="shared" si="112"/>
        <v>0</v>
      </c>
      <c r="DJ23" s="413">
        <f t="shared" si="113"/>
        <v>0</v>
      </c>
      <c r="DK23" s="410">
        <f t="shared" si="114"/>
        <v>0</v>
      </c>
      <c r="DL23" s="416">
        <f t="shared" si="115"/>
        <v>0</v>
      </c>
      <c r="DM23" s="416">
        <f t="shared" si="116"/>
        <v>0</v>
      </c>
      <c r="DN23" s="412">
        <f t="shared" si="117"/>
        <v>0</v>
      </c>
      <c r="DO23" s="413">
        <f t="shared" si="118"/>
        <v>0</v>
      </c>
      <c r="DP23" s="410">
        <f t="shared" si="119"/>
        <v>0</v>
      </c>
      <c r="DQ23" s="416">
        <f t="shared" si="120"/>
        <v>0</v>
      </c>
      <c r="DR23" s="416">
        <f t="shared" si="121"/>
        <v>0</v>
      </c>
      <c r="DS23" s="412">
        <f t="shared" si="122"/>
        <v>0</v>
      </c>
      <c r="DT23" s="413">
        <f t="shared" si="123"/>
        <v>0</v>
      </c>
    </row>
    <row r="24" spans="1:124" ht="12.75" customHeight="1">
      <c r="A24" s="491"/>
      <c r="C24" s="1885" t="s">
        <v>1085</v>
      </c>
      <c r="D24" s="1885"/>
      <c r="E24" s="1886">
        <f t="shared" si="124"/>
        <v>50</v>
      </c>
      <c r="F24" s="1532">
        <v>50</v>
      </c>
      <c r="G24" s="1532">
        <v>50</v>
      </c>
      <c r="H24" s="610">
        <v>2018</v>
      </c>
      <c r="I24" s="1533">
        <v>2.7300000000000001E-2</v>
      </c>
      <c r="J24" s="615">
        <v>11</v>
      </c>
      <c r="K24" s="402"/>
      <c r="L24" s="407">
        <f t="shared" si="12"/>
        <v>0</v>
      </c>
      <c r="M24" s="404">
        <f t="shared" si="13"/>
        <v>0</v>
      </c>
      <c r="N24" s="414">
        <f t="shared" si="14"/>
        <v>0</v>
      </c>
      <c r="O24" s="414">
        <f t="shared" si="15"/>
        <v>0</v>
      </c>
      <c r="P24" s="406">
        <f t="shared" si="16"/>
        <v>0</v>
      </c>
      <c r="Q24" s="407">
        <f t="shared" si="17"/>
        <v>0</v>
      </c>
      <c r="R24" s="404">
        <f t="shared" si="18"/>
        <v>0</v>
      </c>
      <c r="S24" s="414">
        <f t="shared" si="19"/>
        <v>0</v>
      </c>
      <c r="T24" s="414">
        <f t="shared" si="20"/>
        <v>0</v>
      </c>
      <c r="U24" s="406">
        <f t="shared" si="21"/>
        <v>0</v>
      </c>
      <c r="V24" s="407">
        <f t="shared" si="22"/>
        <v>0</v>
      </c>
      <c r="W24" s="404">
        <f t="shared" si="23"/>
        <v>0</v>
      </c>
      <c r="X24" s="414">
        <f t="shared" si="24"/>
        <v>0</v>
      </c>
      <c r="Y24" s="414">
        <f t="shared" si="25"/>
        <v>0</v>
      </c>
      <c r="Z24" s="406">
        <f t="shared" si="26"/>
        <v>0</v>
      </c>
      <c r="AA24" s="407">
        <f t="shared" si="27"/>
        <v>0</v>
      </c>
      <c r="AB24" s="404">
        <f t="shared" si="28"/>
        <v>0</v>
      </c>
      <c r="AC24" s="414">
        <f t="shared" si="29"/>
        <v>0</v>
      </c>
      <c r="AD24" s="414">
        <f t="shared" si="30"/>
        <v>0</v>
      </c>
      <c r="AE24" s="406">
        <f t="shared" si="31"/>
        <v>0</v>
      </c>
      <c r="AF24" s="407">
        <f t="shared" si="32"/>
        <v>0</v>
      </c>
      <c r="AG24" s="404">
        <f t="shared" si="33"/>
        <v>0</v>
      </c>
      <c r="AH24" s="414">
        <f t="shared" si="34"/>
        <v>0</v>
      </c>
      <c r="AI24" s="414">
        <f t="shared" si="35"/>
        <v>0</v>
      </c>
      <c r="AJ24" s="406">
        <f t="shared" si="36"/>
        <v>0</v>
      </c>
      <c r="AK24" s="407">
        <f t="shared" si="37"/>
        <v>0</v>
      </c>
      <c r="AL24" s="404">
        <f t="shared" si="38"/>
        <v>0</v>
      </c>
      <c r="AM24" s="414">
        <f t="shared" si="39"/>
        <v>0</v>
      </c>
      <c r="AN24" s="414">
        <f t="shared" si="40"/>
        <v>0</v>
      </c>
      <c r="AO24" s="406">
        <f t="shared" si="41"/>
        <v>0</v>
      </c>
      <c r="AP24" s="407">
        <f t="shared" si="42"/>
        <v>0</v>
      </c>
      <c r="AQ24" s="404">
        <f t="shared" si="43"/>
        <v>0</v>
      </c>
      <c r="AR24" s="414">
        <f t="shared" si="44"/>
        <v>0</v>
      </c>
      <c r="AS24" s="414">
        <f t="shared" si="45"/>
        <v>0</v>
      </c>
      <c r="AT24" s="406">
        <f t="shared" si="46"/>
        <v>0</v>
      </c>
      <c r="AU24" s="407">
        <f t="shared" si="47"/>
        <v>0</v>
      </c>
      <c r="AV24" s="404">
        <f t="shared" si="48"/>
        <v>0</v>
      </c>
      <c r="AW24" s="414">
        <f t="shared" si="49"/>
        <v>0</v>
      </c>
      <c r="AX24" s="414">
        <f t="shared" si="50"/>
        <v>0</v>
      </c>
      <c r="AY24" s="406">
        <f t="shared" si="51"/>
        <v>-50</v>
      </c>
      <c r="AZ24" s="407">
        <f t="shared" si="52"/>
        <v>-50</v>
      </c>
      <c r="BA24" s="404">
        <f t="shared" si="53"/>
        <v>0</v>
      </c>
      <c r="BB24" s="414">
        <f t="shared" si="54"/>
        <v>0</v>
      </c>
      <c r="BC24" s="414">
        <f t="shared" si="55"/>
        <v>0</v>
      </c>
      <c r="BD24" s="406">
        <f t="shared" si="56"/>
        <v>0</v>
      </c>
      <c r="BE24" s="407">
        <f t="shared" si="57"/>
        <v>0</v>
      </c>
      <c r="BF24" s="404">
        <f t="shared" si="58"/>
        <v>0</v>
      </c>
      <c r="BG24" s="414">
        <f t="shared" si="59"/>
        <v>0</v>
      </c>
      <c r="BH24" s="414">
        <f t="shared" si="60"/>
        <v>0</v>
      </c>
      <c r="BI24" s="406">
        <f t="shared" si="61"/>
        <v>0</v>
      </c>
      <c r="BJ24" s="407">
        <f t="shared" si="62"/>
        <v>0</v>
      </c>
      <c r="BK24" s="404">
        <f t="shared" si="63"/>
        <v>0</v>
      </c>
      <c r="BL24" s="414">
        <f t="shared" si="64"/>
        <v>0</v>
      </c>
      <c r="BM24" s="414">
        <f t="shared" si="65"/>
        <v>0</v>
      </c>
      <c r="BN24" s="406">
        <f t="shared" si="66"/>
        <v>0</v>
      </c>
      <c r="BO24" s="407">
        <f t="shared" si="67"/>
        <v>0</v>
      </c>
      <c r="BP24" s="449"/>
      <c r="BQ24" s="413">
        <f t="shared" si="68"/>
        <v>0</v>
      </c>
      <c r="BR24" s="410">
        <f t="shared" si="69"/>
        <v>0</v>
      </c>
      <c r="BS24" s="416">
        <f t="shared" si="70"/>
        <v>0</v>
      </c>
      <c r="BT24" s="416">
        <f t="shared" si="71"/>
        <v>0</v>
      </c>
      <c r="BU24" s="412">
        <f t="shared" si="72"/>
        <v>0</v>
      </c>
      <c r="BV24" s="413">
        <f t="shared" si="73"/>
        <v>0</v>
      </c>
      <c r="BW24" s="410">
        <f t="shared" si="74"/>
        <v>0</v>
      </c>
      <c r="BX24" s="416">
        <f t="shared" si="75"/>
        <v>0</v>
      </c>
      <c r="BY24" s="416">
        <f t="shared" si="76"/>
        <v>0</v>
      </c>
      <c r="BZ24" s="412">
        <f t="shared" si="77"/>
        <v>0</v>
      </c>
      <c r="CA24" s="413">
        <f t="shared" si="78"/>
        <v>0</v>
      </c>
      <c r="CB24" s="410">
        <f t="shared" si="79"/>
        <v>0</v>
      </c>
      <c r="CC24" s="416">
        <f t="shared" si="80"/>
        <v>0</v>
      </c>
      <c r="CD24" s="416">
        <f t="shared" si="81"/>
        <v>0</v>
      </c>
      <c r="CE24" s="412">
        <f t="shared" si="82"/>
        <v>0</v>
      </c>
      <c r="CF24" s="413">
        <f t="shared" si="83"/>
        <v>0</v>
      </c>
      <c r="CG24" s="410">
        <f t="shared" si="84"/>
        <v>0</v>
      </c>
      <c r="CH24" s="416">
        <f t="shared" si="85"/>
        <v>0</v>
      </c>
      <c r="CI24" s="416">
        <f t="shared" si="86"/>
        <v>0</v>
      </c>
      <c r="CJ24" s="412">
        <f t="shared" si="87"/>
        <v>0</v>
      </c>
      <c r="CK24" s="413">
        <f t="shared" si="88"/>
        <v>0</v>
      </c>
      <c r="CL24" s="410">
        <f t="shared" si="89"/>
        <v>0</v>
      </c>
      <c r="CM24" s="416">
        <f t="shared" si="90"/>
        <v>0</v>
      </c>
      <c r="CN24" s="416">
        <f t="shared" si="91"/>
        <v>0</v>
      </c>
      <c r="CO24" s="412">
        <f t="shared" si="92"/>
        <v>0</v>
      </c>
      <c r="CP24" s="413">
        <f t="shared" si="93"/>
        <v>0</v>
      </c>
      <c r="CQ24" s="410">
        <f t="shared" si="94"/>
        <v>0</v>
      </c>
      <c r="CR24" s="416">
        <f t="shared" si="95"/>
        <v>0</v>
      </c>
      <c r="CS24" s="416">
        <f t="shared" si="96"/>
        <v>0</v>
      </c>
      <c r="CT24" s="412">
        <f t="shared" si="97"/>
        <v>0</v>
      </c>
      <c r="CU24" s="413">
        <f t="shared" si="98"/>
        <v>0</v>
      </c>
      <c r="CV24" s="410">
        <f t="shared" si="99"/>
        <v>0</v>
      </c>
      <c r="CW24" s="416">
        <f t="shared" si="100"/>
        <v>0</v>
      </c>
      <c r="CX24" s="416">
        <f t="shared" si="101"/>
        <v>0</v>
      </c>
      <c r="CY24" s="412">
        <f t="shared" si="102"/>
        <v>0</v>
      </c>
      <c r="CZ24" s="413">
        <f t="shared" si="103"/>
        <v>0</v>
      </c>
      <c r="DA24" s="410">
        <f t="shared" si="104"/>
        <v>0</v>
      </c>
      <c r="DB24" s="416">
        <f t="shared" si="105"/>
        <v>0</v>
      </c>
      <c r="DC24" s="416">
        <f t="shared" si="106"/>
        <v>0</v>
      </c>
      <c r="DD24" s="412">
        <f t="shared" si="107"/>
        <v>-0.22750000000000001</v>
      </c>
      <c r="DE24" s="413">
        <f t="shared" si="108"/>
        <v>-0.22750000000000001</v>
      </c>
      <c r="DF24" s="410">
        <f t="shared" si="109"/>
        <v>-0.34125</v>
      </c>
      <c r="DG24" s="416">
        <f t="shared" si="110"/>
        <v>-0.34125</v>
      </c>
      <c r="DH24" s="416">
        <f t="shared" si="111"/>
        <v>-0.34125</v>
      </c>
      <c r="DI24" s="412">
        <f t="shared" si="112"/>
        <v>-0.11375</v>
      </c>
      <c r="DJ24" s="413">
        <f t="shared" si="113"/>
        <v>-1.1375</v>
      </c>
      <c r="DK24" s="410">
        <f t="shared" si="114"/>
        <v>0</v>
      </c>
      <c r="DL24" s="416">
        <f t="shared" si="115"/>
        <v>0</v>
      </c>
      <c r="DM24" s="416">
        <f t="shared" si="116"/>
        <v>0</v>
      </c>
      <c r="DN24" s="412">
        <f t="shared" si="117"/>
        <v>0</v>
      </c>
      <c r="DO24" s="413">
        <f t="shared" si="118"/>
        <v>0</v>
      </c>
      <c r="DP24" s="410">
        <f t="shared" si="119"/>
        <v>0</v>
      </c>
      <c r="DQ24" s="416">
        <f t="shared" si="120"/>
        <v>0</v>
      </c>
      <c r="DR24" s="416">
        <f t="shared" si="121"/>
        <v>0</v>
      </c>
      <c r="DS24" s="412">
        <f t="shared" si="122"/>
        <v>0</v>
      </c>
      <c r="DT24" s="413">
        <f t="shared" si="123"/>
        <v>0</v>
      </c>
    </row>
    <row r="25" spans="1:124" ht="12.75" customHeight="1">
      <c r="A25" s="491"/>
      <c r="C25" s="1885" t="s">
        <v>1086</v>
      </c>
      <c r="D25" s="1885"/>
      <c r="E25" s="1886">
        <f t="shared" si="124"/>
        <v>60</v>
      </c>
      <c r="F25" s="1532">
        <v>60</v>
      </c>
      <c r="G25" s="1532">
        <v>60</v>
      </c>
      <c r="H25" s="610">
        <v>2023</v>
      </c>
      <c r="I25" s="1533">
        <v>4.0500000000000001E-2</v>
      </c>
      <c r="J25" s="615">
        <v>11</v>
      </c>
      <c r="K25" s="402"/>
      <c r="L25" s="407">
        <f t="shared" si="12"/>
        <v>0</v>
      </c>
      <c r="M25" s="404">
        <f t="shared" si="13"/>
        <v>0</v>
      </c>
      <c r="N25" s="414">
        <f t="shared" si="14"/>
        <v>0</v>
      </c>
      <c r="O25" s="414">
        <f t="shared" si="15"/>
        <v>0</v>
      </c>
      <c r="P25" s="406">
        <f t="shared" si="16"/>
        <v>0</v>
      </c>
      <c r="Q25" s="407">
        <f t="shared" si="17"/>
        <v>0</v>
      </c>
      <c r="R25" s="404">
        <f t="shared" si="18"/>
        <v>0</v>
      </c>
      <c r="S25" s="414">
        <f t="shared" si="19"/>
        <v>0</v>
      </c>
      <c r="T25" s="414">
        <f t="shared" si="20"/>
        <v>0</v>
      </c>
      <c r="U25" s="406">
        <f t="shared" si="21"/>
        <v>0</v>
      </c>
      <c r="V25" s="407">
        <f t="shared" si="22"/>
        <v>0</v>
      </c>
      <c r="W25" s="404">
        <f t="shared" si="23"/>
        <v>0</v>
      </c>
      <c r="X25" s="414">
        <f t="shared" si="24"/>
        <v>0</v>
      </c>
      <c r="Y25" s="414">
        <f t="shared" si="25"/>
        <v>0</v>
      </c>
      <c r="Z25" s="406">
        <f t="shared" si="26"/>
        <v>0</v>
      </c>
      <c r="AA25" s="407">
        <f t="shared" si="27"/>
        <v>0</v>
      </c>
      <c r="AB25" s="404">
        <f t="shared" si="28"/>
        <v>0</v>
      </c>
      <c r="AC25" s="414">
        <f t="shared" si="29"/>
        <v>0</v>
      </c>
      <c r="AD25" s="414">
        <f t="shared" si="30"/>
        <v>0</v>
      </c>
      <c r="AE25" s="406">
        <f t="shared" si="31"/>
        <v>0</v>
      </c>
      <c r="AF25" s="407">
        <f t="shared" si="32"/>
        <v>0</v>
      </c>
      <c r="AG25" s="404">
        <f t="shared" si="33"/>
        <v>0</v>
      </c>
      <c r="AH25" s="414">
        <f t="shared" si="34"/>
        <v>0</v>
      </c>
      <c r="AI25" s="414">
        <f t="shared" si="35"/>
        <v>0</v>
      </c>
      <c r="AJ25" s="406">
        <f t="shared" si="36"/>
        <v>0</v>
      </c>
      <c r="AK25" s="407">
        <f t="shared" si="37"/>
        <v>0</v>
      </c>
      <c r="AL25" s="404">
        <f t="shared" si="38"/>
        <v>0</v>
      </c>
      <c r="AM25" s="414">
        <f t="shared" si="39"/>
        <v>0</v>
      </c>
      <c r="AN25" s="414">
        <f t="shared" si="40"/>
        <v>0</v>
      </c>
      <c r="AO25" s="406">
        <f t="shared" si="41"/>
        <v>0</v>
      </c>
      <c r="AP25" s="407">
        <f t="shared" si="42"/>
        <v>0</v>
      </c>
      <c r="AQ25" s="404">
        <f t="shared" si="43"/>
        <v>0</v>
      </c>
      <c r="AR25" s="414">
        <f t="shared" si="44"/>
        <v>0</v>
      </c>
      <c r="AS25" s="414">
        <f t="shared" si="45"/>
        <v>0</v>
      </c>
      <c r="AT25" s="406">
        <f t="shared" si="46"/>
        <v>0</v>
      </c>
      <c r="AU25" s="407">
        <f t="shared" si="47"/>
        <v>0</v>
      </c>
      <c r="AV25" s="404">
        <f t="shared" si="48"/>
        <v>0</v>
      </c>
      <c r="AW25" s="414">
        <f t="shared" si="49"/>
        <v>0</v>
      </c>
      <c r="AX25" s="414">
        <f t="shared" si="50"/>
        <v>0</v>
      </c>
      <c r="AY25" s="406">
        <f t="shared" si="51"/>
        <v>0</v>
      </c>
      <c r="AZ25" s="407">
        <f t="shared" si="52"/>
        <v>0</v>
      </c>
      <c r="BA25" s="404">
        <f t="shared" si="53"/>
        <v>0</v>
      </c>
      <c r="BB25" s="414">
        <f t="shared" si="54"/>
        <v>0</v>
      </c>
      <c r="BC25" s="414">
        <f t="shared" si="55"/>
        <v>0</v>
      </c>
      <c r="BD25" s="406">
        <f t="shared" si="56"/>
        <v>0</v>
      </c>
      <c r="BE25" s="407">
        <f t="shared" si="57"/>
        <v>0</v>
      </c>
      <c r="BF25" s="404">
        <f t="shared" si="58"/>
        <v>0</v>
      </c>
      <c r="BG25" s="414">
        <f t="shared" si="59"/>
        <v>0</v>
      </c>
      <c r="BH25" s="414">
        <f t="shared" si="60"/>
        <v>0</v>
      </c>
      <c r="BI25" s="406">
        <f t="shared" si="61"/>
        <v>0</v>
      </c>
      <c r="BJ25" s="407">
        <f t="shared" si="62"/>
        <v>0</v>
      </c>
      <c r="BK25" s="404">
        <f t="shared" si="63"/>
        <v>0</v>
      </c>
      <c r="BL25" s="414">
        <f t="shared" si="64"/>
        <v>0</v>
      </c>
      <c r="BM25" s="414">
        <f t="shared" si="65"/>
        <v>0</v>
      </c>
      <c r="BN25" s="406">
        <f t="shared" si="66"/>
        <v>0</v>
      </c>
      <c r="BO25" s="407">
        <f t="shared" si="67"/>
        <v>0</v>
      </c>
      <c r="BP25" s="449"/>
      <c r="BQ25" s="413">
        <f t="shared" si="68"/>
        <v>0</v>
      </c>
      <c r="BR25" s="410">
        <f t="shared" si="69"/>
        <v>0</v>
      </c>
      <c r="BS25" s="416">
        <f t="shared" si="70"/>
        <v>0</v>
      </c>
      <c r="BT25" s="416">
        <f t="shared" si="71"/>
        <v>0</v>
      </c>
      <c r="BU25" s="412">
        <f t="shared" si="72"/>
        <v>0</v>
      </c>
      <c r="BV25" s="413">
        <f t="shared" si="73"/>
        <v>0</v>
      </c>
      <c r="BW25" s="410">
        <f t="shared" si="74"/>
        <v>0</v>
      </c>
      <c r="BX25" s="416">
        <f t="shared" si="75"/>
        <v>0</v>
      </c>
      <c r="BY25" s="416">
        <f t="shared" si="76"/>
        <v>0</v>
      </c>
      <c r="BZ25" s="412">
        <f t="shared" si="77"/>
        <v>0</v>
      </c>
      <c r="CA25" s="413">
        <f t="shared" si="78"/>
        <v>0</v>
      </c>
      <c r="CB25" s="410">
        <f t="shared" si="79"/>
        <v>0</v>
      </c>
      <c r="CC25" s="416">
        <f t="shared" si="80"/>
        <v>0</v>
      </c>
      <c r="CD25" s="416">
        <f t="shared" si="81"/>
        <v>0</v>
      </c>
      <c r="CE25" s="412">
        <f t="shared" si="82"/>
        <v>0</v>
      </c>
      <c r="CF25" s="413">
        <f t="shared" si="83"/>
        <v>0</v>
      </c>
      <c r="CG25" s="410">
        <f t="shared" si="84"/>
        <v>0</v>
      </c>
      <c r="CH25" s="416">
        <f t="shared" si="85"/>
        <v>0</v>
      </c>
      <c r="CI25" s="416">
        <f t="shared" si="86"/>
        <v>0</v>
      </c>
      <c r="CJ25" s="412">
        <f t="shared" si="87"/>
        <v>0</v>
      </c>
      <c r="CK25" s="413">
        <f t="shared" si="88"/>
        <v>0</v>
      </c>
      <c r="CL25" s="410">
        <f t="shared" si="89"/>
        <v>0</v>
      </c>
      <c r="CM25" s="416">
        <f t="shared" si="90"/>
        <v>0</v>
      </c>
      <c r="CN25" s="416">
        <f t="shared" si="91"/>
        <v>0</v>
      </c>
      <c r="CO25" s="412">
        <f t="shared" si="92"/>
        <v>0</v>
      </c>
      <c r="CP25" s="413">
        <f t="shared" si="93"/>
        <v>0</v>
      </c>
      <c r="CQ25" s="410">
        <f t="shared" si="94"/>
        <v>0</v>
      </c>
      <c r="CR25" s="416">
        <f t="shared" si="95"/>
        <v>0</v>
      </c>
      <c r="CS25" s="416">
        <f t="shared" si="96"/>
        <v>0</v>
      </c>
      <c r="CT25" s="412">
        <f t="shared" si="97"/>
        <v>0</v>
      </c>
      <c r="CU25" s="413">
        <f t="shared" si="98"/>
        <v>0</v>
      </c>
      <c r="CV25" s="410">
        <f t="shared" si="99"/>
        <v>0</v>
      </c>
      <c r="CW25" s="416">
        <f t="shared" si="100"/>
        <v>0</v>
      </c>
      <c r="CX25" s="416">
        <f t="shared" si="101"/>
        <v>0</v>
      </c>
      <c r="CY25" s="412">
        <f t="shared" si="102"/>
        <v>0</v>
      </c>
      <c r="CZ25" s="413">
        <f t="shared" si="103"/>
        <v>0</v>
      </c>
      <c r="DA25" s="410">
        <f t="shared" si="104"/>
        <v>0</v>
      </c>
      <c r="DB25" s="416">
        <f t="shared" si="105"/>
        <v>0</v>
      </c>
      <c r="DC25" s="416">
        <f t="shared" si="106"/>
        <v>0</v>
      </c>
      <c r="DD25" s="412">
        <f t="shared" si="107"/>
        <v>0</v>
      </c>
      <c r="DE25" s="413">
        <f t="shared" si="108"/>
        <v>0</v>
      </c>
      <c r="DF25" s="410">
        <f t="shared" si="109"/>
        <v>0</v>
      </c>
      <c r="DG25" s="416">
        <f t="shared" si="110"/>
        <v>0</v>
      </c>
      <c r="DH25" s="416">
        <f t="shared" si="111"/>
        <v>0</v>
      </c>
      <c r="DI25" s="412">
        <f t="shared" si="112"/>
        <v>0</v>
      </c>
      <c r="DJ25" s="413">
        <f t="shared" si="113"/>
        <v>0</v>
      </c>
      <c r="DK25" s="410">
        <f t="shared" si="114"/>
        <v>0</v>
      </c>
      <c r="DL25" s="416">
        <f t="shared" si="115"/>
        <v>0</v>
      </c>
      <c r="DM25" s="416">
        <f t="shared" si="116"/>
        <v>0</v>
      </c>
      <c r="DN25" s="412">
        <f t="shared" si="117"/>
        <v>0</v>
      </c>
      <c r="DO25" s="413">
        <f t="shared" si="118"/>
        <v>0</v>
      </c>
      <c r="DP25" s="410">
        <f t="shared" si="119"/>
        <v>0</v>
      </c>
      <c r="DQ25" s="416">
        <f t="shared" si="120"/>
        <v>0</v>
      </c>
      <c r="DR25" s="416">
        <f t="shared" si="121"/>
        <v>0</v>
      </c>
      <c r="DS25" s="412">
        <f t="shared" si="122"/>
        <v>0</v>
      </c>
      <c r="DT25" s="413">
        <f t="shared" si="123"/>
        <v>0</v>
      </c>
    </row>
    <row r="26" spans="1:124" ht="12.75" customHeight="1">
      <c r="A26" s="491"/>
      <c r="C26" s="1885" t="s">
        <v>1087</v>
      </c>
      <c r="D26" s="1885"/>
      <c r="E26" s="1886">
        <f t="shared" si="124"/>
        <v>60</v>
      </c>
      <c r="F26" s="1532">
        <v>60</v>
      </c>
      <c r="G26" s="1532">
        <v>60</v>
      </c>
      <c r="H26" s="610">
        <v>2028</v>
      </c>
      <c r="I26" s="1533">
        <v>4.3799999999999999E-2</v>
      </c>
      <c r="J26" s="615">
        <v>11</v>
      </c>
      <c r="K26" s="402"/>
      <c r="L26" s="407">
        <f t="shared" si="12"/>
        <v>0</v>
      </c>
      <c r="M26" s="404">
        <f t="shared" si="13"/>
        <v>0</v>
      </c>
      <c r="N26" s="414">
        <f t="shared" si="14"/>
        <v>0</v>
      </c>
      <c r="O26" s="414">
        <f t="shared" si="15"/>
        <v>0</v>
      </c>
      <c r="P26" s="406">
        <f t="shared" si="16"/>
        <v>0</v>
      </c>
      <c r="Q26" s="407">
        <f t="shared" si="17"/>
        <v>0</v>
      </c>
      <c r="R26" s="404">
        <f t="shared" si="18"/>
        <v>0</v>
      </c>
      <c r="S26" s="414">
        <f t="shared" si="19"/>
        <v>0</v>
      </c>
      <c r="T26" s="414">
        <f t="shared" si="20"/>
        <v>0</v>
      </c>
      <c r="U26" s="406">
        <f t="shared" si="21"/>
        <v>0</v>
      </c>
      <c r="V26" s="407">
        <f t="shared" si="22"/>
        <v>0</v>
      </c>
      <c r="W26" s="404">
        <f t="shared" si="23"/>
        <v>0</v>
      </c>
      <c r="X26" s="414">
        <f t="shared" si="24"/>
        <v>0</v>
      </c>
      <c r="Y26" s="414">
        <f t="shared" si="25"/>
        <v>0</v>
      </c>
      <c r="Z26" s="406">
        <f t="shared" si="26"/>
        <v>0</v>
      </c>
      <c r="AA26" s="407">
        <f t="shared" si="27"/>
        <v>0</v>
      </c>
      <c r="AB26" s="404">
        <f t="shared" si="28"/>
        <v>0</v>
      </c>
      <c r="AC26" s="414">
        <f t="shared" si="29"/>
        <v>0</v>
      </c>
      <c r="AD26" s="414">
        <f t="shared" si="30"/>
        <v>0</v>
      </c>
      <c r="AE26" s="406">
        <f t="shared" si="31"/>
        <v>0</v>
      </c>
      <c r="AF26" s="407">
        <f t="shared" si="32"/>
        <v>0</v>
      </c>
      <c r="AG26" s="404">
        <f t="shared" si="33"/>
        <v>0</v>
      </c>
      <c r="AH26" s="414">
        <f t="shared" si="34"/>
        <v>0</v>
      </c>
      <c r="AI26" s="414">
        <f t="shared" si="35"/>
        <v>0</v>
      </c>
      <c r="AJ26" s="406">
        <f t="shared" si="36"/>
        <v>0</v>
      </c>
      <c r="AK26" s="407">
        <f t="shared" si="37"/>
        <v>0</v>
      </c>
      <c r="AL26" s="404">
        <f t="shared" si="38"/>
        <v>0</v>
      </c>
      <c r="AM26" s="414">
        <f t="shared" si="39"/>
        <v>0</v>
      </c>
      <c r="AN26" s="414">
        <f t="shared" si="40"/>
        <v>0</v>
      </c>
      <c r="AO26" s="406">
        <f t="shared" si="41"/>
        <v>0</v>
      </c>
      <c r="AP26" s="407">
        <f t="shared" si="42"/>
        <v>0</v>
      </c>
      <c r="AQ26" s="404">
        <f t="shared" si="43"/>
        <v>0</v>
      </c>
      <c r="AR26" s="414">
        <f t="shared" si="44"/>
        <v>0</v>
      </c>
      <c r="AS26" s="414">
        <f t="shared" si="45"/>
        <v>0</v>
      </c>
      <c r="AT26" s="406">
        <f t="shared" si="46"/>
        <v>0</v>
      </c>
      <c r="AU26" s="407">
        <f t="shared" si="47"/>
        <v>0</v>
      </c>
      <c r="AV26" s="404">
        <f t="shared" si="48"/>
        <v>0</v>
      </c>
      <c r="AW26" s="414">
        <f t="shared" si="49"/>
        <v>0</v>
      </c>
      <c r="AX26" s="414">
        <f t="shared" si="50"/>
        <v>0</v>
      </c>
      <c r="AY26" s="406">
        <f t="shared" si="51"/>
        <v>0</v>
      </c>
      <c r="AZ26" s="407">
        <f t="shared" si="52"/>
        <v>0</v>
      </c>
      <c r="BA26" s="404">
        <f t="shared" si="53"/>
        <v>0</v>
      </c>
      <c r="BB26" s="414">
        <f t="shared" si="54"/>
        <v>0</v>
      </c>
      <c r="BC26" s="414">
        <f t="shared" si="55"/>
        <v>0</v>
      </c>
      <c r="BD26" s="406">
        <f t="shared" si="56"/>
        <v>0</v>
      </c>
      <c r="BE26" s="407">
        <f t="shared" si="57"/>
        <v>0</v>
      </c>
      <c r="BF26" s="404">
        <f t="shared" si="58"/>
        <v>0</v>
      </c>
      <c r="BG26" s="414">
        <f t="shared" si="59"/>
        <v>0</v>
      </c>
      <c r="BH26" s="414">
        <f t="shared" si="60"/>
        <v>0</v>
      </c>
      <c r="BI26" s="406">
        <f t="shared" si="61"/>
        <v>0</v>
      </c>
      <c r="BJ26" s="407">
        <f t="shared" si="62"/>
        <v>0</v>
      </c>
      <c r="BK26" s="404">
        <f t="shared" si="63"/>
        <v>0</v>
      </c>
      <c r="BL26" s="414">
        <f t="shared" si="64"/>
        <v>0</v>
      </c>
      <c r="BM26" s="414">
        <f t="shared" si="65"/>
        <v>0</v>
      </c>
      <c r="BN26" s="406">
        <f t="shared" si="66"/>
        <v>0</v>
      </c>
      <c r="BO26" s="407">
        <f t="shared" si="67"/>
        <v>0</v>
      </c>
      <c r="BP26" s="449"/>
      <c r="BQ26" s="413">
        <f t="shared" si="68"/>
        <v>0</v>
      </c>
      <c r="BR26" s="410">
        <f t="shared" si="69"/>
        <v>0</v>
      </c>
      <c r="BS26" s="416">
        <f t="shared" si="70"/>
        <v>0</v>
      </c>
      <c r="BT26" s="416">
        <f t="shared" si="71"/>
        <v>0</v>
      </c>
      <c r="BU26" s="412">
        <f t="shared" si="72"/>
        <v>0</v>
      </c>
      <c r="BV26" s="413">
        <f t="shared" si="73"/>
        <v>0</v>
      </c>
      <c r="BW26" s="410">
        <f t="shared" si="74"/>
        <v>0</v>
      </c>
      <c r="BX26" s="416">
        <f t="shared" si="75"/>
        <v>0</v>
      </c>
      <c r="BY26" s="416">
        <f t="shared" si="76"/>
        <v>0</v>
      </c>
      <c r="BZ26" s="412">
        <f t="shared" si="77"/>
        <v>0</v>
      </c>
      <c r="CA26" s="413">
        <f t="shared" si="78"/>
        <v>0</v>
      </c>
      <c r="CB26" s="410">
        <f t="shared" si="79"/>
        <v>0</v>
      </c>
      <c r="CC26" s="416">
        <f t="shared" si="80"/>
        <v>0</v>
      </c>
      <c r="CD26" s="416">
        <f t="shared" si="81"/>
        <v>0</v>
      </c>
      <c r="CE26" s="412">
        <f t="shared" si="82"/>
        <v>0</v>
      </c>
      <c r="CF26" s="413">
        <f t="shared" si="83"/>
        <v>0</v>
      </c>
      <c r="CG26" s="410">
        <f t="shared" si="84"/>
        <v>0</v>
      </c>
      <c r="CH26" s="416">
        <f t="shared" si="85"/>
        <v>0</v>
      </c>
      <c r="CI26" s="416">
        <f t="shared" si="86"/>
        <v>0</v>
      </c>
      <c r="CJ26" s="412">
        <f t="shared" si="87"/>
        <v>0</v>
      </c>
      <c r="CK26" s="413">
        <f t="shared" si="88"/>
        <v>0</v>
      </c>
      <c r="CL26" s="410">
        <f t="shared" si="89"/>
        <v>0</v>
      </c>
      <c r="CM26" s="416">
        <f t="shared" si="90"/>
        <v>0</v>
      </c>
      <c r="CN26" s="416">
        <f t="shared" si="91"/>
        <v>0</v>
      </c>
      <c r="CO26" s="412">
        <f t="shared" si="92"/>
        <v>0</v>
      </c>
      <c r="CP26" s="413">
        <f t="shared" si="93"/>
        <v>0</v>
      </c>
      <c r="CQ26" s="410">
        <f t="shared" si="94"/>
        <v>0</v>
      </c>
      <c r="CR26" s="416">
        <f t="shared" si="95"/>
        <v>0</v>
      </c>
      <c r="CS26" s="416">
        <f t="shared" si="96"/>
        <v>0</v>
      </c>
      <c r="CT26" s="412">
        <f t="shared" si="97"/>
        <v>0</v>
      </c>
      <c r="CU26" s="413">
        <f t="shared" si="98"/>
        <v>0</v>
      </c>
      <c r="CV26" s="410">
        <f t="shared" si="99"/>
        <v>0</v>
      </c>
      <c r="CW26" s="416">
        <f t="shared" si="100"/>
        <v>0</v>
      </c>
      <c r="CX26" s="416">
        <f t="shared" si="101"/>
        <v>0</v>
      </c>
      <c r="CY26" s="412">
        <f t="shared" si="102"/>
        <v>0</v>
      </c>
      <c r="CZ26" s="413">
        <f t="shared" si="103"/>
        <v>0</v>
      </c>
      <c r="DA26" s="410">
        <f t="shared" si="104"/>
        <v>0</v>
      </c>
      <c r="DB26" s="416">
        <f t="shared" si="105"/>
        <v>0</v>
      </c>
      <c r="DC26" s="416">
        <f t="shared" si="106"/>
        <v>0</v>
      </c>
      <c r="DD26" s="412">
        <f t="shared" si="107"/>
        <v>0</v>
      </c>
      <c r="DE26" s="413">
        <f t="shared" si="108"/>
        <v>0</v>
      </c>
      <c r="DF26" s="410">
        <f t="shared" si="109"/>
        <v>0</v>
      </c>
      <c r="DG26" s="416">
        <f t="shared" si="110"/>
        <v>0</v>
      </c>
      <c r="DH26" s="416">
        <f t="shared" si="111"/>
        <v>0</v>
      </c>
      <c r="DI26" s="412">
        <f t="shared" si="112"/>
        <v>0</v>
      </c>
      <c r="DJ26" s="413">
        <f t="shared" si="113"/>
        <v>0</v>
      </c>
      <c r="DK26" s="410">
        <f t="shared" si="114"/>
        <v>0</v>
      </c>
      <c r="DL26" s="416">
        <f t="shared" si="115"/>
        <v>0</v>
      </c>
      <c r="DM26" s="416">
        <f t="shared" si="116"/>
        <v>0</v>
      </c>
      <c r="DN26" s="412">
        <f t="shared" si="117"/>
        <v>0</v>
      </c>
      <c r="DO26" s="413">
        <f t="shared" si="118"/>
        <v>0</v>
      </c>
      <c r="DP26" s="410">
        <f t="shared" si="119"/>
        <v>0</v>
      </c>
      <c r="DQ26" s="416">
        <f t="shared" si="120"/>
        <v>0</v>
      </c>
      <c r="DR26" s="416">
        <f t="shared" si="121"/>
        <v>0</v>
      </c>
      <c r="DS26" s="412">
        <f t="shared" si="122"/>
        <v>0</v>
      </c>
      <c r="DT26" s="413">
        <f t="shared" si="123"/>
        <v>0</v>
      </c>
    </row>
    <row r="27" spans="1:124" ht="12.75" customHeight="1">
      <c r="A27" s="491"/>
      <c r="C27" s="1885" t="s">
        <v>1088</v>
      </c>
      <c r="D27" s="1885"/>
      <c r="E27" s="1886">
        <f t="shared" si="124"/>
        <v>100</v>
      </c>
      <c r="F27" s="1532">
        <v>100</v>
      </c>
      <c r="G27" s="1532">
        <v>100</v>
      </c>
      <c r="H27" s="610">
        <v>2043</v>
      </c>
      <c r="I27" s="1533">
        <v>5.3199999999999997E-2</v>
      </c>
      <c r="J27" s="615">
        <v>11</v>
      </c>
      <c r="K27" s="402"/>
      <c r="L27" s="407">
        <f t="shared" si="12"/>
        <v>0</v>
      </c>
      <c r="M27" s="404">
        <f t="shared" si="13"/>
        <v>0</v>
      </c>
      <c r="N27" s="414">
        <f t="shared" si="14"/>
        <v>0</v>
      </c>
      <c r="O27" s="414">
        <f t="shared" si="15"/>
        <v>0</v>
      </c>
      <c r="P27" s="406">
        <f t="shared" si="16"/>
        <v>0</v>
      </c>
      <c r="Q27" s="407">
        <f t="shared" si="17"/>
        <v>0</v>
      </c>
      <c r="R27" s="404">
        <f t="shared" si="18"/>
        <v>0</v>
      </c>
      <c r="S27" s="414">
        <f t="shared" si="19"/>
        <v>0</v>
      </c>
      <c r="T27" s="414">
        <f t="shared" si="20"/>
        <v>0</v>
      </c>
      <c r="U27" s="406">
        <f t="shared" si="21"/>
        <v>0</v>
      </c>
      <c r="V27" s="407">
        <f t="shared" si="22"/>
        <v>0</v>
      </c>
      <c r="W27" s="404">
        <f t="shared" si="23"/>
        <v>0</v>
      </c>
      <c r="X27" s="414">
        <f t="shared" si="24"/>
        <v>0</v>
      </c>
      <c r="Y27" s="414">
        <f t="shared" si="25"/>
        <v>0</v>
      </c>
      <c r="Z27" s="406">
        <f t="shared" si="26"/>
        <v>0</v>
      </c>
      <c r="AA27" s="407">
        <f t="shared" si="27"/>
        <v>0</v>
      </c>
      <c r="AB27" s="404">
        <f t="shared" si="28"/>
        <v>0</v>
      </c>
      <c r="AC27" s="414">
        <f t="shared" si="29"/>
        <v>0</v>
      </c>
      <c r="AD27" s="414">
        <f t="shared" si="30"/>
        <v>0</v>
      </c>
      <c r="AE27" s="406">
        <f t="shared" si="31"/>
        <v>0</v>
      </c>
      <c r="AF27" s="407">
        <f t="shared" si="32"/>
        <v>0</v>
      </c>
      <c r="AG27" s="404">
        <f t="shared" si="33"/>
        <v>0</v>
      </c>
      <c r="AH27" s="414">
        <f t="shared" si="34"/>
        <v>0</v>
      </c>
      <c r="AI27" s="414">
        <f t="shared" si="35"/>
        <v>0</v>
      </c>
      <c r="AJ27" s="406">
        <f t="shared" si="36"/>
        <v>0</v>
      </c>
      <c r="AK27" s="407">
        <f t="shared" si="37"/>
        <v>0</v>
      </c>
      <c r="AL27" s="404">
        <f t="shared" si="38"/>
        <v>0</v>
      </c>
      <c r="AM27" s="414">
        <f t="shared" si="39"/>
        <v>0</v>
      </c>
      <c r="AN27" s="414">
        <f t="shared" si="40"/>
        <v>0</v>
      </c>
      <c r="AO27" s="406">
        <f t="shared" si="41"/>
        <v>0</v>
      </c>
      <c r="AP27" s="407">
        <f t="shared" si="42"/>
        <v>0</v>
      </c>
      <c r="AQ27" s="404">
        <f t="shared" si="43"/>
        <v>0</v>
      </c>
      <c r="AR27" s="414">
        <f t="shared" si="44"/>
        <v>0</v>
      </c>
      <c r="AS27" s="414">
        <f t="shared" si="45"/>
        <v>0</v>
      </c>
      <c r="AT27" s="406">
        <f t="shared" si="46"/>
        <v>0</v>
      </c>
      <c r="AU27" s="407">
        <f t="shared" si="47"/>
        <v>0</v>
      </c>
      <c r="AV27" s="404">
        <f t="shared" si="48"/>
        <v>0</v>
      </c>
      <c r="AW27" s="414">
        <f t="shared" si="49"/>
        <v>0</v>
      </c>
      <c r="AX27" s="414">
        <f t="shared" si="50"/>
        <v>0</v>
      </c>
      <c r="AY27" s="406">
        <f t="shared" si="51"/>
        <v>0</v>
      </c>
      <c r="AZ27" s="407">
        <f t="shared" si="52"/>
        <v>0</v>
      </c>
      <c r="BA27" s="404">
        <f t="shared" si="53"/>
        <v>0</v>
      </c>
      <c r="BB27" s="414">
        <f t="shared" si="54"/>
        <v>0</v>
      </c>
      <c r="BC27" s="414">
        <f t="shared" si="55"/>
        <v>0</v>
      </c>
      <c r="BD27" s="406">
        <f t="shared" si="56"/>
        <v>0</v>
      </c>
      <c r="BE27" s="407">
        <f t="shared" si="57"/>
        <v>0</v>
      </c>
      <c r="BF27" s="404">
        <f t="shared" si="58"/>
        <v>0</v>
      </c>
      <c r="BG27" s="414">
        <f t="shared" si="59"/>
        <v>0</v>
      </c>
      <c r="BH27" s="414">
        <f t="shared" si="60"/>
        <v>0</v>
      </c>
      <c r="BI27" s="406">
        <f t="shared" si="61"/>
        <v>0</v>
      </c>
      <c r="BJ27" s="407">
        <f t="shared" si="62"/>
        <v>0</v>
      </c>
      <c r="BK27" s="404">
        <f t="shared" si="63"/>
        <v>0</v>
      </c>
      <c r="BL27" s="414">
        <f t="shared" si="64"/>
        <v>0</v>
      </c>
      <c r="BM27" s="414">
        <f t="shared" si="65"/>
        <v>0</v>
      </c>
      <c r="BN27" s="406">
        <f t="shared" si="66"/>
        <v>0</v>
      </c>
      <c r="BO27" s="407">
        <f t="shared" si="67"/>
        <v>0</v>
      </c>
      <c r="BP27" s="449"/>
      <c r="BQ27" s="413">
        <f t="shared" si="68"/>
        <v>0</v>
      </c>
      <c r="BR27" s="410">
        <f t="shared" si="69"/>
        <v>0</v>
      </c>
      <c r="BS27" s="416">
        <f t="shared" si="70"/>
        <v>0</v>
      </c>
      <c r="BT27" s="416">
        <f t="shared" si="71"/>
        <v>0</v>
      </c>
      <c r="BU27" s="412">
        <f t="shared" si="72"/>
        <v>0</v>
      </c>
      <c r="BV27" s="413">
        <f t="shared" si="73"/>
        <v>0</v>
      </c>
      <c r="BW27" s="410">
        <f t="shared" si="74"/>
        <v>0</v>
      </c>
      <c r="BX27" s="416">
        <f t="shared" si="75"/>
        <v>0</v>
      </c>
      <c r="BY27" s="416">
        <f t="shared" si="76"/>
        <v>0</v>
      </c>
      <c r="BZ27" s="412">
        <f t="shared" si="77"/>
        <v>0</v>
      </c>
      <c r="CA27" s="413">
        <f t="shared" si="78"/>
        <v>0</v>
      </c>
      <c r="CB27" s="410">
        <f t="shared" si="79"/>
        <v>0</v>
      </c>
      <c r="CC27" s="416">
        <f t="shared" si="80"/>
        <v>0</v>
      </c>
      <c r="CD27" s="416">
        <f t="shared" si="81"/>
        <v>0</v>
      </c>
      <c r="CE27" s="412">
        <f t="shared" si="82"/>
        <v>0</v>
      </c>
      <c r="CF27" s="413">
        <f t="shared" si="83"/>
        <v>0</v>
      </c>
      <c r="CG27" s="410">
        <f t="shared" si="84"/>
        <v>0</v>
      </c>
      <c r="CH27" s="416">
        <f t="shared" si="85"/>
        <v>0</v>
      </c>
      <c r="CI27" s="416">
        <f t="shared" si="86"/>
        <v>0</v>
      </c>
      <c r="CJ27" s="412">
        <f t="shared" si="87"/>
        <v>0</v>
      </c>
      <c r="CK27" s="413">
        <f t="shared" si="88"/>
        <v>0</v>
      </c>
      <c r="CL27" s="410">
        <f t="shared" si="89"/>
        <v>0</v>
      </c>
      <c r="CM27" s="416">
        <f t="shared" si="90"/>
        <v>0</v>
      </c>
      <c r="CN27" s="416">
        <f t="shared" si="91"/>
        <v>0</v>
      </c>
      <c r="CO27" s="412">
        <f t="shared" si="92"/>
        <v>0</v>
      </c>
      <c r="CP27" s="413">
        <f t="shared" si="93"/>
        <v>0</v>
      </c>
      <c r="CQ27" s="410">
        <f t="shared" si="94"/>
        <v>0</v>
      </c>
      <c r="CR27" s="416">
        <f t="shared" si="95"/>
        <v>0</v>
      </c>
      <c r="CS27" s="416">
        <f t="shared" si="96"/>
        <v>0</v>
      </c>
      <c r="CT27" s="412">
        <f t="shared" si="97"/>
        <v>0</v>
      </c>
      <c r="CU27" s="413">
        <f t="shared" si="98"/>
        <v>0</v>
      </c>
      <c r="CV27" s="410">
        <f t="shared" si="99"/>
        <v>0</v>
      </c>
      <c r="CW27" s="416">
        <f t="shared" si="100"/>
        <v>0</v>
      </c>
      <c r="CX27" s="416">
        <f t="shared" si="101"/>
        <v>0</v>
      </c>
      <c r="CY27" s="412">
        <f t="shared" si="102"/>
        <v>0</v>
      </c>
      <c r="CZ27" s="413">
        <f t="shared" si="103"/>
        <v>0</v>
      </c>
      <c r="DA27" s="410">
        <f t="shared" si="104"/>
        <v>0</v>
      </c>
      <c r="DB27" s="416">
        <f t="shared" si="105"/>
        <v>0</v>
      </c>
      <c r="DC27" s="416">
        <f t="shared" si="106"/>
        <v>0</v>
      </c>
      <c r="DD27" s="412">
        <f t="shared" si="107"/>
        <v>0</v>
      </c>
      <c r="DE27" s="413">
        <f t="shared" si="108"/>
        <v>0</v>
      </c>
      <c r="DF27" s="410">
        <f t="shared" si="109"/>
        <v>0</v>
      </c>
      <c r="DG27" s="416">
        <f t="shared" si="110"/>
        <v>0</v>
      </c>
      <c r="DH27" s="416">
        <f t="shared" si="111"/>
        <v>0</v>
      </c>
      <c r="DI27" s="412">
        <f t="shared" si="112"/>
        <v>0</v>
      </c>
      <c r="DJ27" s="413">
        <f t="shared" si="113"/>
        <v>0</v>
      </c>
      <c r="DK27" s="410">
        <f t="shared" si="114"/>
        <v>0</v>
      </c>
      <c r="DL27" s="416">
        <f t="shared" si="115"/>
        <v>0</v>
      </c>
      <c r="DM27" s="416">
        <f t="shared" si="116"/>
        <v>0</v>
      </c>
      <c r="DN27" s="412">
        <f t="shared" si="117"/>
        <v>0</v>
      </c>
      <c r="DO27" s="413">
        <f t="shared" si="118"/>
        <v>0</v>
      </c>
      <c r="DP27" s="410">
        <f t="shared" si="119"/>
        <v>0</v>
      </c>
      <c r="DQ27" s="416">
        <f t="shared" si="120"/>
        <v>0</v>
      </c>
      <c r="DR27" s="416">
        <f t="shared" si="121"/>
        <v>0</v>
      </c>
      <c r="DS27" s="412">
        <f t="shared" si="122"/>
        <v>0</v>
      </c>
      <c r="DT27" s="413">
        <f t="shared" si="123"/>
        <v>0</v>
      </c>
    </row>
    <row r="28" spans="1:124" ht="12.75" customHeight="1">
      <c r="A28" s="491"/>
      <c r="C28" s="1885" t="s">
        <v>1089</v>
      </c>
      <c r="D28" s="1885"/>
      <c r="E28" s="1886">
        <f t="shared" si="124"/>
        <v>30</v>
      </c>
      <c r="F28" s="1532">
        <v>30</v>
      </c>
      <c r="G28" s="1532">
        <v>30</v>
      </c>
      <c r="H28" s="610">
        <v>2044</v>
      </c>
      <c r="I28" s="1533">
        <v>5.4199999999999998E-2</v>
      </c>
      <c r="J28" s="615">
        <v>4</v>
      </c>
      <c r="K28" s="402"/>
      <c r="L28" s="407">
        <f t="shared" si="12"/>
        <v>0</v>
      </c>
      <c r="M28" s="404">
        <f t="shared" si="13"/>
        <v>0</v>
      </c>
      <c r="N28" s="414">
        <f t="shared" si="14"/>
        <v>0</v>
      </c>
      <c r="O28" s="414">
        <f t="shared" si="15"/>
        <v>0</v>
      </c>
      <c r="P28" s="406">
        <f t="shared" si="16"/>
        <v>0</v>
      </c>
      <c r="Q28" s="407">
        <f t="shared" si="17"/>
        <v>0</v>
      </c>
      <c r="R28" s="404">
        <f t="shared" si="18"/>
        <v>0</v>
      </c>
      <c r="S28" s="414">
        <f t="shared" si="19"/>
        <v>0</v>
      </c>
      <c r="T28" s="414">
        <f t="shared" si="20"/>
        <v>0</v>
      </c>
      <c r="U28" s="406">
        <f t="shared" si="21"/>
        <v>0</v>
      </c>
      <c r="V28" s="407">
        <f t="shared" si="22"/>
        <v>0</v>
      </c>
      <c r="W28" s="404">
        <f t="shared" si="23"/>
        <v>0</v>
      </c>
      <c r="X28" s="414">
        <f t="shared" si="24"/>
        <v>0</v>
      </c>
      <c r="Y28" s="414">
        <f t="shared" si="25"/>
        <v>0</v>
      </c>
      <c r="Z28" s="406">
        <f t="shared" si="26"/>
        <v>0</v>
      </c>
      <c r="AA28" s="407">
        <f t="shared" si="27"/>
        <v>0</v>
      </c>
      <c r="AB28" s="404">
        <f t="shared" si="28"/>
        <v>0</v>
      </c>
      <c r="AC28" s="414">
        <f t="shared" si="29"/>
        <v>0</v>
      </c>
      <c r="AD28" s="414">
        <f t="shared" si="30"/>
        <v>0</v>
      </c>
      <c r="AE28" s="406">
        <f t="shared" si="31"/>
        <v>0</v>
      </c>
      <c r="AF28" s="407">
        <f t="shared" si="32"/>
        <v>0</v>
      </c>
      <c r="AG28" s="404">
        <f t="shared" si="33"/>
        <v>0</v>
      </c>
      <c r="AH28" s="414">
        <f t="shared" si="34"/>
        <v>0</v>
      </c>
      <c r="AI28" s="414">
        <f t="shared" si="35"/>
        <v>0</v>
      </c>
      <c r="AJ28" s="406">
        <f t="shared" si="36"/>
        <v>0</v>
      </c>
      <c r="AK28" s="407">
        <f t="shared" si="37"/>
        <v>0</v>
      </c>
      <c r="AL28" s="404">
        <f t="shared" si="38"/>
        <v>0</v>
      </c>
      <c r="AM28" s="414">
        <f t="shared" si="39"/>
        <v>0</v>
      </c>
      <c r="AN28" s="414">
        <f t="shared" si="40"/>
        <v>0</v>
      </c>
      <c r="AO28" s="406">
        <f t="shared" si="41"/>
        <v>0</v>
      </c>
      <c r="AP28" s="407">
        <f t="shared" si="42"/>
        <v>0</v>
      </c>
      <c r="AQ28" s="404">
        <f t="shared" si="43"/>
        <v>0</v>
      </c>
      <c r="AR28" s="414">
        <f t="shared" si="44"/>
        <v>0</v>
      </c>
      <c r="AS28" s="414">
        <f t="shared" si="45"/>
        <v>0</v>
      </c>
      <c r="AT28" s="406">
        <f t="shared" si="46"/>
        <v>0</v>
      </c>
      <c r="AU28" s="407">
        <f t="shared" si="47"/>
        <v>0</v>
      </c>
      <c r="AV28" s="404">
        <f t="shared" si="48"/>
        <v>0</v>
      </c>
      <c r="AW28" s="414">
        <f t="shared" si="49"/>
        <v>0</v>
      </c>
      <c r="AX28" s="414">
        <f t="shared" si="50"/>
        <v>0</v>
      </c>
      <c r="AY28" s="406">
        <f t="shared" si="51"/>
        <v>0</v>
      </c>
      <c r="AZ28" s="407">
        <f t="shared" si="52"/>
        <v>0</v>
      </c>
      <c r="BA28" s="404">
        <f t="shared" si="53"/>
        <v>0</v>
      </c>
      <c r="BB28" s="414">
        <f t="shared" si="54"/>
        <v>0</v>
      </c>
      <c r="BC28" s="414">
        <f t="shared" si="55"/>
        <v>0</v>
      </c>
      <c r="BD28" s="406">
        <f t="shared" si="56"/>
        <v>0</v>
      </c>
      <c r="BE28" s="407">
        <f t="shared" si="57"/>
        <v>0</v>
      </c>
      <c r="BF28" s="404">
        <f t="shared" si="58"/>
        <v>0</v>
      </c>
      <c r="BG28" s="414">
        <f t="shared" si="59"/>
        <v>0</v>
      </c>
      <c r="BH28" s="414">
        <f t="shared" si="60"/>
        <v>0</v>
      </c>
      <c r="BI28" s="406">
        <f t="shared" si="61"/>
        <v>0</v>
      </c>
      <c r="BJ28" s="407">
        <f t="shared" si="62"/>
        <v>0</v>
      </c>
      <c r="BK28" s="404">
        <f t="shared" si="63"/>
        <v>0</v>
      </c>
      <c r="BL28" s="414">
        <f t="shared" si="64"/>
        <v>0</v>
      </c>
      <c r="BM28" s="414">
        <f t="shared" si="65"/>
        <v>0</v>
      </c>
      <c r="BN28" s="406">
        <f t="shared" si="66"/>
        <v>0</v>
      </c>
      <c r="BO28" s="407">
        <f t="shared" si="67"/>
        <v>0</v>
      </c>
      <c r="BP28" s="449"/>
      <c r="BQ28" s="413">
        <f t="shared" si="68"/>
        <v>0</v>
      </c>
      <c r="BR28" s="410">
        <f t="shared" si="69"/>
        <v>0</v>
      </c>
      <c r="BS28" s="416">
        <f t="shared" si="70"/>
        <v>0</v>
      </c>
      <c r="BT28" s="416">
        <f t="shared" si="71"/>
        <v>0</v>
      </c>
      <c r="BU28" s="412">
        <f t="shared" si="72"/>
        <v>0</v>
      </c>
      <c r="BV28" s="413">
        <f t="shared" si="73"/>
        <v>0</v>
      </c>
      <c r="BW28" s="410">
        <f t="shared" si="74"/>
        <v>0</v>
      </c>
      <c r="BX28" s="416">
        <f t="shared" si="75"/>
        <v>0</v>
      </c>
      <c r="BY28" s="416">
        <f t="shared" si="76"/>
        <v>0</v>
      </c>
      <c r="BZ28" s="412">
        <f t="shared" si="77"/>
        <v>0</v>
      </c>
      <c r="CA28" s="413">
        <f t="shared" si="78"/>
        <v>0</v>
      </c>
      <c r="CB28" s="410">
        <f t="shared" si="79"/>
        <v>0</v>
      </c>
      <c r="CC28" s="416">
        <f t="shared" si="80"/>
        <v>0</v>
      </c>
      <c r="CD28" s="416">
        <f t="shared" si="81"/>
        <v>0</v>
      </c>
      <c r="CE28" s="412">
        <f t="shared" si="82"/>
        <v>0</v>
      </c>
      <c r="CF28" s="413">
        <f t="shared" si="83"/>
        <v>0</v>
      </c>
      <c r="CG28" s="410">
        <f t="shared" si="84"/>
        <v>0</v>
      </c>
      <c r="CH28" s="416">
        <f t="shared" si="85"/>
        <v>0</v>
      </c>
      <c r="CI28" s="416">
        <f t="shared" si="86"/>
        <v>0</v>
      </c>
      <c r="CJ28" s="412">
        <f t="shared" si="87"/>
        <v>0</v>
      </c>
      <c r="CK28" s="413">
        <f t="shared" si="88"/>
        <v>0</v>
      </c>
      <c r="CL28" s="410">
        <f t="shared" si="89"/>
        <v>0</v>
      </c>
      <c r="CM28" s="416">
        <f t="shared" si="90"/>
        <v>0</v>
      </c>
      <c r="CN28" s="416">
        <f t="shared" si="91"/>
        <v>0</v>
      </c>
      <c r="CO28" s="412">
        <f t="shared" si="92"/>
        <v>0</v>
      </c>
      <c r="CP28" s="413">
        <f t="shared" si="93"/>
        <v>0</v>
      </c>
      <c r="CQ28" s="410">
        <f t="shared" si="94"/>
        <v>0</v>
      </c>
      <c r="CR28" s="416">
        <f t="shared" si="95"/>
        <v>0</v>
      </c>
      <c r="CS28" s="416">
        <f t="shared" si="96"/>
        <v>0</v>
      </c>
      <c r="CT28" s="412">
        <f t="shared" si="97"/>
        <v>0</v>
      </c>
      <c r="CU28" s="413">
        <f t="shared" si="98"/>
        <v>0</v>
      </c>
      <c r="CV28" s="410">
        <f t="shared" si="99"/>
        <v>0</v>
      </c>
      <c r="CW28" s="416">
        <f t="shared" si="100"/>
        <v>0</v>
      </c>
      <c r="CX28" s="416">
        <f t="shared" si="101"/>
        <v>0</v>
      </c>
      <c r="CY28" s="412">
        <f t="shared" si="102"/>
        <v>0</v>
      </c>
      <c r="CZ28" s="413">
        <f t="shared" si="103"/>
        <v>0</v>
      </c>
      <c r="DA28" s="410">
        <f t="shared" si="104"/>
        <v>0</v>
      </c>
      <c r="DB28" s="416">
        <f t="shared" si="105"/>
        <v>0</v>
      </c>
      <c r="DC28" s="416">
        <f t="shared" si="106"/>
        <v>0</v>
      </c>
      <c r="DD28" s="412">
        <f t="shared" si="107"/>
        <v>0</v>
      </c>
      <c r="DE28" s="413">
        <f t="shared" si="108"/>
        <v>0</v>
      </c>
      <c r="DF28" s="410">
        <f t="shared" si="109"/>
        <v>0</v>
      </c>
      <c r="DG28" s="416">
        <f t="shared" si="110"/>
        <v>0</v>
      </c>
      <c r="DH28" s="416">
        <f t="shared" si="111"/>
        <v>0</v>
      </c>
      <c r="DI28" s="412">
        <f t="shared" si="112"/>
        <v>0</v>
      </c>
      <c r="DJ28" s="413">
        <f t="shared" si="113"/>
        <v>0</v>
      </c>
      <c r="DK28" s="410">
        <f t="shared" si="114"/>
        <v>0</v>
      </c>
      <c r="DL28" s="416">
        <f t="shared" si="115"/>
        <v>0</v>
      </c>
      <c r="DM28" s="416">
        <f t="shared" si="116"/>
        <v>0</v>
      </c>
      <c r="DN28" s="412">
        <f t="shared" si="117"/>
        <v>0</v>
      </c>
      <c r="DO28" s="413">
        <f t="shared" si="118"/>
        <v>0</v>
      </c>
      <c r="DP28" s="410">
        <f t="shared" si="119"/>
        <v>0</v>
      </c>
      <c r="DQ28" s="416">
        <f t="shared" si="120"/>
        <v>0</v>
      </c>
      <c r="DR28" s="416">
        <f t="shared" si="121"/>
        <v>0</v>
      </c>
      <c r="DS28" s="412">
        <f t="shared" si="122"/>
        <v>0</v>
      </c>
      <c r="DT28" s="413">
        <f t="shared" si="123"/>
        <v>0</v>
      </c>
    </row>
    <row r="29" spans="1:124" ht="12.75" customHeight="1">
      <c r="A29" s="491"/>
      <c r="C29" s="1885" t="s">
        <v>1303</v>
      </c>
      <c r="D29" s="1885"/>
      <c r="E29" s="1886">
        <f t="shared" si="124"/>
        <v>100</v>
      </c>
      <c r="F29" s="1532">
        <v>100</v>
      </c>
      <c r="G29" s="1532">
        <v>100</v>
      </c>
      <c r="H29" s="610">
        <v>2044</v>
      </c>
      <c r="I29" s="1533">
        <v>5.5199999999999999E-2</v>
      </c>
      <c r="J29" s="615">
        <v>10</v>
      </c>
      <c r="K29" s="402"/>
      <c r="L29" s="407">
        <f t="shared" si="12"/>
        <v>0</v>
      </c>
      <c r="M29" s="404">
        <f t="shared" ref="M29:M40" si="125">IF(Q29=0,0,IF(Q29&lt;0,IF($J29=3,Q29,IF($J29=2,Q29,IF($J29=1,Q29,0)))))</f>
        <v>0</v>
      </c>
      <c r="N29" s="414">
        <f t="shared" ref="N29:N40" si="126">IF(Q29=0,0,IF(Q29&lt;0,IF($J29=6,Q29,IF($J29=5,Q29,IF($J29=4,Q29,0)))))</f>
        <v>0</v>
      </c>
      <c r="O29" s="414">
        <f t="shared" ref="O29:O40" si="127">IF(Q29=0,0,IF(Q29&lt;0,IF($J29=9,Q29,IF($J29=8,Q29,IF($J29=7,Q29,0)))))</f>
        <v>0</v>
      </c>
      <c r="P29" s="406">
        <f t="shared" ref="P29:P40" si="128">IF(Q29=0,0,IF(Q29&lt;0,IF($J29=12,Q29,IF($J29=11,Q29,IF($J29=10,Q29,0)))))</f>
        <v>0</v>
      </c>
      <c r="Q29" s="407">
        <f t="shared" si="17"/>
        <v>0</v>
      </c>
      <c r="R29" s="404">
        <f t="shared" ref="R29:R40" si="129">IF(V29=0,0,IF(V29&lt;0,IF($J29=3,V29,IF($J29=2,V29,IF($J29=1,V29,0)))))</f>
        <v>0</v>
      </c>
      <c r="S29" s="414">
        <f t="shared" ref="S29:S40" si="130">IF(V29=0,0,IF(V29&lt;0,IF($J29=6,V29,IF($J29=5,V29,IF($J29=4,V29,0)))))</f>
        <v>0</v>
      </c>
      <c r="T29" s="414">
        <f t="shared" ref="T29:T40" si="131">IF(V29=0,0,IF(V29&lt;0,IF($J29=9,V29,IF($J29=8,V29,IF($J29=7,V29,0)))))</f>
        <v>0</v>
      </c>
      <c r="U29" s="406">
        <f t="shared" ref="U29:U40" si="132">IF(V29=0,0,IF(V29&lt;0,IF($J29=12,V29,IF($J29=11,V29,IF($J29=10,V29,0)))))</f>
        <v>0</v>
      </c>
      <c r="V29" s="407">
        <f t="shared" si="22"/>
        <v>0</v>
      </c>
      <c r="W29" s="404">
        <f t="shared" ref="W29:W40" si="133">IF(AA29=0,0,IF(AA29&lt;0,IF($J29=3,AA29,IF($J29=2,AA29,IF($J29=1,AA29,0)))))</f>
        <v>0</v>
      </c>
      <c r="X29" s="414">
        <f t="shared" ref="X29:X40" si="134">IF(AA29=0,0,IF(AA29&lt;0,IF($J29=6,AA29,IF($J29=5,AA29,IF($J29=4,AA29,0)))))</f>
        <v>0</v>
      </c>
      <c r="Y29" s="414">
        <f t="shared" ref="Y29:Y40" si="135">IF(AA29=0,0,IF(AA29&lt;0,IF($J29=9,AA29,IF($J29=8,AA29,IF($J29=7,AA29,0)))))</f>
        <v>0</v>
      </c>
      <c r="Z29" s="406">
        <f t="shared" ref="Z29:Z40" si="136">IF(AA29=0,0,IF(AA29&lt;0,IF($J29=12,AA29,IF($J29=11,AA29,IF($J29=10,AA29,0)))))</f>
        <v>0</v>
      </c>
      <c r="AA29" s="407">
        <f t="shared" si="27"/>
        <v>0</v>
      </c>
      <c r="AB29" s="404">
        <f t="shared" ref="AB29:AB40" si="137">IF(AF29=0,0,IF(AF29&lt;0,IF($J29=3,AF29,IF($J29=2,AF29,IF($J29=1,AF29,0)))))</f>
        <v>0</v>
      </c>
      <c r="AC29" s="414">
        <f t="shared" ref="AC29:AC40" si="138">IF(AF29=0,0,IF(AF29&lt;0,IF($J29=6,AF29,IF($J29=5,AF29,IF($J29=4,AF29,0)))))</f>
        <v>0</v>
      </c>
      <c r="AD29" s="414">
        <f t="shared" ref="AD29:AD40" si="139">IF(AF29=0,0,IF(AF29&lt;0,IF($J29=9,AF29,IF($J29=8,AF29,IF($J29=7,AF29,0)))))</f>
        <v>0</v>
      </c>
      <c r="AE29" s="406">
        <f t="shared" ref="AE29:AE40" si="140">IF(AF29=0,0,IF(AF29&lt;0,IF($J29=12,AF29,IF($J29=11,AF29,IF($J29=10,AF29,0)))))</f>
        <v>0</v>
      </c>
      <c r="AF29" s="407">
        <f t="shared" si="32"/>
        <v>0</v>
      </c>
      <c r="AG29" s="404">
        <f t="shared" ref="AG29:AG40" si="141">IF(AK29=0,0,IF(AK29&lt;0,IF($J29=3,AK29,IF($J29=2,AK29,IF($J29=1,AK29,0)))))</f>
        <v>0</v>
      </c>
      <c r="AH29" s="414">
        <f t="shared" ref="AH29:AH40" si="142">IF(AK29=0,0,IF(AK29&lt;0,IF($J29=6,AK29,IF($J29=5,AK29,IF($J29=4,AK29,0)))))</f>
        <v>0</v>
      </c>
      <c r="AI29" s="414">
        <f t="shared" ref="AI29:AI40" si="143">IF(AK29=0,0,IF(AK29&lt;0,IF($J29=9,AK29,IF($J29=8,AK29,IF($J29=7,AK29,0)))))</f>
        <v>0</v>
      </c>
      <c r="AJ29" s="406">
        <f t="shared" ref="AJ29:AJ40" si="144">IF(AK29=0,0,IF(AK29&lt;0,IF($J29=12,AK29,IF($J29=11,AK29,IF($J29=10,AK29,0)))))</f>
        <v>0</v>
      </c>
      <c r="AK29" s="407">
        <f t="shared" si="37"/>
        <v>0</v>
      </c>
      <c r="AL29" s="404">
        <f t="shared" ref="AL29:AL40" si="145">IF(AP29=0,0,IF(AP29&lt;0,IF($J29=3,AP29,IF($J29=2,AP29,IF($J29=1,AP29,0)))))</f>
        <v>0</v>
      </c>
      <c r="AM29" s="414">
        <f t="shared" ref="AM29:AM40" si="146">IF(AP29=0,0,IF(AP29&lt;0,IF($J29=6,AP29,IF($J29=5,AP29,IF($J29=4,AP29,0)))))</f>
        <v>0</v>
      </c>
      <c r="AN29" s="414">
        <f t="shared" ref="AN29:AN40" si="147">IF(AP29=0,0,IF(AP29&lt;0,IF($J29=9,AP29,IF($J29=8,AP29,IF($J29=7,AP29,0)))))</f>
        <v>0</v>
      </c>
      <c r="AO29" s="406">
        <f t="shared" ref="AO29:AO40" si="148">IF(AP29=0,0,IF(AP29&lt;0,IF($J29=12,AP29,IF($J29=11,AP29,IF($J29=10,AP29,0)))))</f>
        <v>0</v>
      </c>
      <c r="AP29" s="407">
        <f t="shared" si="42"/>
        <v>0</v>
      </c>
      <c r="AQ29" s="404">
        <f t="shared" ref="AQ29:AQ40" si="149">IF(AU29=0,0,IF(AU29&lt;0,IF($J29=3,AU29,IF($J29=2,AU29,IF($J29=1,AU29,0)))))</f>
        <v>0</v>
      </c>
      <c r="AR29" s="414">
        <f t="shared" ref="AR29:AR40" si="150">IF(AU29=0,0,IF(AU29&lt;0,IF($J29=6,AU29,IF($J29=5,AU29,IF($J29=4,AU29,0)))))</f>
        <v>0</v>
      </c>
      <c r="AS29" s="414">
        <f t="shared" ref="AS29:AS40" si="151">IF(AU29=0,0,IF(AU29&lt;0,IF($J29=9,AU29,IF($J29=8,AU29,IF($J29=7,AU29,0)))))</f>
        <v>0</v>
      </c>
      <c r="AT29" s="406">
        <f t="shared" ref="AT29:AT40" si="152">IF(AU29=0,0,IF(AU29&lt;0,IF($J29=12,AU29,IF($J29=11,AU29,IF($J29=10,AU29,0)))))</f>
        <v>0</v>
      </c>
      <c r="AU29" s="407">
        <f t="shared" si="47"/>
        <v>0</v>
      </c>
      <c r="AV29" s="404">
        <f t="shared" ref="AV29:AV40" si="153">IF(AZ29=0,0,IF(AZ29&lt;0,IF($J29=3,AZ29,IF($J29=2,AZ29,IF($J29=1,AZ29,0)))))</f>
        <v>0</v>
      </c>
      <c r="AW29" s="414">
        <f t="shared" ref="AW29:AW40" si="154">IF(AZ29=0,0,IF(AZ29&lt;0,IF($J29=6,AZ29,IF($J29=5,AZ29,IF($J29=4,AZ29,0)))))</f>
        <v>0</v>
      </c>
      <c r="AX29" s="414">
        <f t="shared" ref="AX29:AX40" si="155">IF(AZ29=0,0,IF(AZ29&lt;0,IF($J29=9,AZ29,IF($J29=8,AZ29,IF($J29=7,AZ29,0)))))</f>
        <v>0</v>
      </c>
      <c r="AY29" s="406">
        <f t="shared" ref="AY29:AY40" si="156">IF(AZ29=0,0,IF(AZ29&lt;0,IF($J29=12,AZ29,IF($J29=11,AZ29,IF($J29=10,AZ29,0)))))</f>
        <v>0</v>
      </c>
      <c r="AZ29" s="407">
        <f t="shared" si="52"/>
        <v>0</v>
      </c>
      <c r="BA29" s="404">
        <f t="shared" ref="BA29:BA40" si="157">IF(BE29=0,0,IF(BE29&lt;0,IF($J29=3,BE29,IF($J29=2,BE29,IF($J29=1,BE29,0)))))</f>
        <v>0</v>
      </c>
      <c r="BB29" s="414">
        <f t="shared" ref="BB29:BB40" si="158">IF(BE29=0,0,IF(BE29&lt;0,IF($J29=6,BE29,IF($J29=5,BE29,IF($J29=4,BE29,0)))))</f>
        <v>0</v>
      </c>
      <c r="BC29" s="414">
        <f t="shared" ref="BC29:BC40" si="159">IF(BE29=0,0,IF(BE29&lt;0,IF($J29=9,BE29,IF($J29=8,BE29,IF($J29=7,BE29,0)))))</f>
        <v>0</v>
      </c>
      <c r="BD29" s="406">
        <f t="shared" ref="BD29:BD40" si="160">IF(BE29=0,0,IF(BE29&lt;0,IF($J29=12,BE29,IF($J29=11,BE29,IF($J29=10,BE29,0)))))</f>
        <v>0</v>
      </c>
      <c r="BE29" s="407">
        <f t="shared" si="57"/>
        <v>0</v>
      </c>
      <c r="BF29" s="404">
        <f t="shared" ref="BF29:BF40" si="161">IF(BJ29=0,0,IF(BJ29&lt;0,IF($J29=3,BJ29,IF($J29=2,BJ29,IF($J29=1,BJ29,0)))))</f>
        <v>0</v>
      </c>
      <c r="BG29" s="414">
        <f t="shared" ref="BG29:BG40" si="162">IF(BJ29=0,0,IF(BJ29&lt;0,IF($J29=6,BJ29,IF($J29=5,BJ29,IF($J29=4,BJ29,0)))))</f>
        <v>0</v>
      </c>
      <c r="BH29" s="414">
        <f t="shared" ref="BH29:BH40" si="163">IF(BJ29=0,0,IF(BJ29&lt;0,IF($J29=9,BJ29,IF($J29=8,BJ29,IF($J29=7,BJ29,0)))))</f>
        <v>0</v>
      </c>
      <c r="BI29" s="406">
        <f t="shared" ref="BI29:BI40" si="164">IF(BJ29=0,0,IF(BJ29&lt;0,IF($J29=12,BJ29,IF($J29=11,BJ29,IF($J29=10,BJ29,0)))))</f>
        <v>0</v>
      </c>
      <c r="BJ29" s="407">
        <f t="shared" si="62"/>
        <v>0</v>
      </c>
      <c r="BK29" s="404">
        <f t="shared" ref="BK29:BK40" si="165">IF(BO29=0,0,IF(BO29&lt;0,IF($J29=3,BO29,IF($J29=2,BO29,IF($J29=1,BO29,0)))))</f>
        <v>0</v>
      </c>
      <c r="BL29" s="414">
        <f t="shared" ref="BL29:BL40" si="166">IF(BO29=0,0,IF(BO29&lt;0,IF($J29=6,BO29,IF($J29=5,BO29,IF($J29=4,BO29,0)))))</f>
        <v>0</v>
      </c>
      <c r="BM29" s="414">
        <f t="shared" ref="BM29:BM40" si="167">IF(BO29=0,0,IF(BO29&lt;0,IF($J29=9,BO29,IF($J29=8,BO29,IF($J29=7,BO29,0)))))</f>
        <v>0</v>
      </c>
      <c r="BN29" s="406">
        <f t="shared" ref="BN29:BN40" si="168">IF(BO29=0,0,IF(BO29&lt;0,IF($J29=12,BO29,IF($J29=11,BO29,IF($J29=10,BO29,0)))))</f>
        <v>0</v>
      </c>
      <c r="BO29" s="407">
        <f t="shared" si="67"/>
        <v>0</v>
      </c>
      <c r="BP29" s="449"/>
      <c r="BQ29" s="413">
        <f t="shared" ref="BQ29:BQ40" si="169">IF(AND(AH29&lt;&gt;0,AH$5=$H29),-$I29*$E29-AH29,IF(BQ$5=$H29,-$I29*$E29*(12-$J29+1)/12,0))</f>
        <v>0</v>
      </c>
      <c r="BR29" s="410">
        <f t="shared" ref="BR29:BR40" si="170">IF($H29&lt;&gt;BV$5,0,IF(BV29&lt;0,IF($J29=1,-$E29*$I29/12*3,IF($J29=2,-$E29*$I29/12*2,IF($J29=3,-$E29*$I29/12*1,0)))))+IF(BQ$5&lt;&gt;$H29,0,IF(BQ29&lt;0,IF($J29=1,-$E29*$I29/12*0,IF($J29=2,-$E29*$I29/12*1,IF($J29=3,-$E29*$I29/12*2,IF($J29&gt;=4,-$E29*$I29/12*3,0))))))</f>
        <v>0</v>
      </c>
      <c r="BS29" s="416">
        <f t="shared" ref="BS29:BS40" si="171">IF($H29&lt;&gt;BV$5,0,IF(BV29&lt;0,IF(OR($J29=1,$J29=2,$J29=3,$J29=4),-$E29*$I29/12*3,IF($J29=5,-$E29*$I29/12*2,IF($J29=6,-$E29*$I29/12*1,0)))))+IF(BQ$5&lt;&gt;$H29,0,IF(BQ29&lt;0,IF($J29=4,-$E29*$I29/12*0,IF($J29=5,-$E29*$I29/12*1,IF($J29=6,-$E29*$I29/12*2,IF($J29&gt;=7,-$E29*$I29/12*3,0))))))</f>
        <v>0</v>
      </c>
      <c r="BT29" s="416">
        <f t="shared" ref="BT29:BT40" si="172">IF($H29&lt;&gt;BV$5,0,IF(BV29&lt;0,IF(OR($J29=1,$J29=2,$J29=3,$J29=4,$J29=5,$J29=6,$J29=7),-$E29*$I29/12*3,IF($J29=8,-$E29*$I29/12*2,IF($J29=9,-$E29*$I29/12*1,0)))))+IF(BQ$5&lt;&gt;$H29,0,IF(BQ29&lt;0,IF($J29=7,-$E29*$I29/12*0,IF($J29=8,-$E29*$I29/12*1,IF($J29=9,-$E29*$I29/12*2,IF($J29&gt;=10,-$E29*$I29/12*3,0))))))</f>
        <v>0</v>
      </c>
      <c r="BU29" s="412">
        <f t="shared" ref="BU29:BU40" si="173">IF($H29&lt;&gt;BV$5,0,IF(BV29&lt;0,IF(OR($J29=1,$J29=2,$J29=3,$J29=4,$J29=5,$J29=6,$J29=7,$J29=8,$J29=9,$J29=10),-$E29*$I29/12*3,IF($J29=11,-$E29*$I29/12*2,IF($J29=12,-$E29*$I29/12*1,0)))))+IF(BQ$5&lt;&gt;$H29,0,IF(BQ29&lt;0,IF($J29=10,-$E29*$I29/12*0,IF($J29=11,-$E29*$I29/12*1,IF($J29=12,-$E29*$I29/12*2,0)))))</f>
        <v>0</v>
      </c>
      <c r="BV29" s="413">
        <f t="shared" ref="BV29:BV40" si="174">IF(AND(BQ29&lt;&gt;0,BQ$5=$H29),-$I29*$E29-BQ29,IF(BV$5=$H29,-$I29*$E29*(12-$J29+1)/12,0))</f>
        <v>0</v>
      </c>
      <c r="BW29" s="410">
        <f t="shared" ref="BW29:BW40" si="175">IF($H29&lt;&gt;CA$5,0,IF(CA29&lt;0,IF($J29=1,-$E29*$I29/12*3,IF($J29=2,-$E29*$I29/12*2,IF($J29=3,-$E29*$I29/12*1,0)))))+IF(BV$5&lt;&gt;$H29,0,IF(BV29&lt;0,IF($J29=1,-$E29*$I29/12*0,IF($J29=2,-$E29*$I29/12*1,IF($J29=3,-$E29*$I29/12*2,IF($J29&gt;=4,-$E29*$I29/12*3,0))))))</f>
        <v>0</v>
      </c>
      <c r="BX29" s="416">
        <f t="shared" ref="BX29:BX40" si="176">IF($H29&lt;&gt;CA$5,0,IF(CA29&lt;0,IF(OR($J29=1,$J29=2,$J29=3,$J29=4),-$E29*$I29/12*3,IF($J29=5,-$E29*$I29/12*2,IF($J29=6,-$E29*$I29/12*1,0)))))+IF(BV$5&lt;&gt;$H29,0,IF(BV29&lt;0,IF($J29=4,-$E29*$I29/12*0,IF($J29=5,-$E29*$I29/12*1,IF($J29=6,-$E29*$I29/12*2,IF($J29&gt;=7,-$E29*$I29/12*3,0))))))</f>
        <v>0</v>
      </c>
      <c r="BY29" s="416">
        <f t="shared" ref="BY29:BY40" si="177">IF($H29&lt;&gt;CA$5,0,IF(CA29&lt;0,IF(OR($J29=1,$J29=2,$J29=3,$J29=4,$J29=5,$J29=6,$J29=7),-$E29*$I29/12*3,IF($J29=8,-$E29*$I29/12*2,IF($J29=9,-$E29*$I29/12*1,0)))))+IF(BV$5&lt;&gt;$H29,0,IF(BV29&lt;0,IF($J29=7,-$E29*$I29/12*0,IF($J29=8,-$E29*$I29/12*1,IF($J29=9,-$E29*$I29/12*2,IF($J29&gt;=10,-$E29*$I29/12*3,0))))))</f>
        <v>0</v>
      </c>
      <c r="BZ29" s="412">
        <f t="shared" ref="BZ29:BZ40" si="178">IF($H29&lt;&gt;CA$5,0,IF(CA29&lt;0,IF(OR($J29=1,$J29=2,$J29=3,$J29=4,$J29=5,$J29=6,$J29=7,$J29=8,$J29=9,$J29=10),-$E29*$I29/12*3,IF($J29=11,-$E29*$I29/12*2,IF($J29=12,-$E29*$I29/12*1,0)))))+IF(BV$5&lt;&gt;$H29,0,IF(BV29&lt;0,IF($J29=10,-$E29*$I29/12*0,IF($J29=11,-$E29*$I29/12*1,IF($J29=12,-$E29*$I29/12*2,0)))))</f>
        <v>0</v>
      </c>
      <c r="CA29" s="413">
        <f t="shared" ref="CA29:CA40" si="179">IF(AND(BV29&lt;&gt;0,BV$5=$H29),-$I29*$E29-BV29,IF(CA$5=$H29,-$I29*$E29*(12-$J29+1)/12,0))</f>
        <v>0</v>
      </c>
      <c r="CB29" s="410">
        <f t="shared" ref="CB29:CB40" si="180">IF($H29&lt;&gt;CF$5,0,IF(CF29&lt;0,IF($J29=1,-$E29*$I29/12*3,IF($J29=2,-$E29*$I29/12*2,IF($J29=3,-$E29*$I29/12*1,0)))))+IF(CA$5&lt;&gt;$H29,0,IF(CA29&lt;0,IF($J29=1,-$E29*$I29/12*0,IF($J29=2,-$E29*$I29/12*1,IF($J29=3,-$E29*$I29/12*2,IF($J29&gt;=4,-$E29*$I29/12*3,0))))))</f>
        <v>0</v>
      </c>
      <c r="CC29" s="416">
        <f t="shared" ref="CC29:CC40" si="181">IF($H29&lt;&gt;CF$5,0,IF(CF29&lt;0,IF(OR($J29=1,$J29=2,$J29=3,$J29=4),-$E29*$I29/12*3,IF($J29=5,-$E29*$I29/12*2,IF($J29=6,-$E29*$I29/12*1,0)))))+IF(CA$5&lt;&gt;$H29,0,IF(CA29&lt;0,IF($J29=4,-$E29*$I29/12*0,IF($J29=5,-$E29*$I29/12*1,IF($J29=6,-$E29*$I29/12*2,IF($J29&gt;=7,-$E29*$I29/12*3,0))))))</f>
        <v>0</v>
      </c>
      <c r="CD29" s="416">
        <f t="shared" ref="CD29:CD40" si="182">IF($H29&lt;&gt;CF$5,0,IF(CF29&lt;0,IF(OR($J29=1,$J29=2,$J29=3,$J29=4,$J29=5,$J29=6,$J29=7),-$E29*$I29/12*3,IF($J29=8,-$E29*$I29/12*2,IF($J29=9,-$E29*$I29/12*1,0)))))+IF(CA$5&lt;&gt;$H29,0,IF(CA29&lt;0,IF($J29=7,-$E29*$I29/12*0,IF($J29=8,-$E29*$I29/12*1,IF($J29=9,-$E29*$I29/12*2,IF($J29&gt;=10,-$E29*$I29/12*3,0))))))</f>
        <v>0</v>
      </c>
      <c r="CE29" s="412">
        <f t="shared" ref="CE29:CE40" si="183">IF($H29&lt;&gt;CF$5,0,IF(CF29&lt;0,IF(OR($J29=1,$J29=2,$J29=3,$J29=4,$J29=5,$J29=6,$J29=7,$J29=8,$J29=9,$J29=10),-$E29*$I29/12*3,IF($J29=11,-$E29*$I29/12*2,IF($J29=12,-$E29*$I29/12*1,0)))))+IF(CA$5&lt;&gt;$H29,0,IF(CA29&lt;0,IF($J29=10,-$E29*$I29/12*0,IF($J29=11,-$E29*$I29/12*1,IF($J29=12,-$E29*$I29/12*2,0)))))</f>
        <v>0</v>
      </c>
      <c r="CF29" s="413">
        <f t="shared" ref="CF29:CF40" si="184">IF(AND(CA29&lt;&gt;0,CA$5=$H29),-$I29*$E29-CA29,IF(CF$5=$H29,-$I29*$E29*(12-$J29+1)/12,0))</f>
        <v>0</v>
      </c>
      <c r="CG29" s="410">
        <f t="shared" ref="CG29:CG40" si="185">IF($H29&lt;&gt;CK$5,0,IF(CK29&lt;0,IF($J29=1,-$E29*$I29/12*3,IF($J29=2,-$E29*$I29/12*2,IF($J29=3,-$E29*$I29/12*1,0)))))+IF(CF$5&lt;&gt;$H29,0,IF(CF29&lt;0,IF($J29=1,-$E29*$I29/12*0,IF($J29=2,-$E29*$I29/12*1,IF($J29=3,-$E29*$I29/12*2,IF($J29&gt;=4,-$E29*$I29/12*3,0))))))</f>
        <v>0</v>
      </c>
      <c r="CH29" s="416">
        <f t="shared" ref="CH29:CH40" si="186">IF($H29&lt;&gt;CK$5,0,IF(CK29&lt;0,IF(OR($J29=1,$J29=2,$J29=3,$J29=4),-$E29*$I29/12*3,IF($J29=5,-$E29*$I29/12*2,IF($J29=6,-$E29*$I29/12*1,0)))))+IF(CF$5&lt;&gt;$H29,0,IF(CF29&lt;0,IF($J29=4,-$E29*$I29/12*0,IF($J29=5,-$E29*$I29/12*1,IF($J29=6,-$E29*$I29/12*2,IF($J29&gt;=7,-$E29*$I29/12*3,0))))))</f>
        <v>0</v>
      </c>
      <c r="CI29" s="416">
        <f t="shared" ref="CI29:CI40" si="187">IF($H29&lt;&gt;CK$5,0,IF(CK29&lt;0,IF(OR($J29=1,$J29=2,$J29=3,$J29=4,$J29=5,$J29=6,$J29=7),-$E29*$I29/12*3,IF($J29=8,-$E29*$I29/12*2,IF($J29=9,-$E29*$I29/12*1,0)))))+IF(CF$5&lt;&gt;$H29,0,IF(CF29&lt;0,IF($J29=7,-$E29*$I29/12*0,IF($J29=8,-$E29*$I29/12*1,IF($J29=9,-$E29*$I29/12*2,IF($J29&gt;=10,-$E29*$I29/12*3,0))))))</f>
        <v>0</v>
      </c>
      <c r="CJ29" s="412">
        <f t="shared" ref="CJ29:CJ40" si="188">IF($H29&lt;&gt;CK$5,0,IF(CK29&lt;0,IF(OR($J29=1,$J29=2,$J29=3,$J29=4,$J29=5,$J29=6,$J29=7,$J29=8,$J29=9,$J29=10),-$E29*$I29/12*3,IF($J29=11,-$E29*$I29/12*2,IF($J29=12,-$E29*$I29/12*1,0)))))+IF(CF$5&lt;&gt;$H29,0,IF(CF29&lt;0,IF($J29=10,-$E29*$I29/12*0,IF($J29=11,-$E29*$I29/12*1,IF($J29=12,-$E29*$I29/12*2,0)))))</f>
        <v>0</v>
      </c>
      <c r="CK29" s="413">
        <f t="shared" ref="CK29:CK40" si="189">IF(AND(CF29&lt;&gt;0,CF$5=$H29),-$I29*$E29-CF29,IF(CK$5=$H29,-$I29*$E29*(12-$J29+1)/12,0))</f>
        <v>0</v>
      </c>
      <c r="CL29" s="410">
        <f t="shared" ref="CL29:CL40" si="190">IF($H29&lt;&gt;CP$5,0,IF(CP29&lt;0,IF($J29=1,-$E29*$I29/12*3,IF($J29=2,-$E29*$I29/12*2,IF($J29=3,-$E29*$I29/12*1,0)))))+IF(CK$5&lt;&gt;$H29,0,IF(CK29&lt;0,IF($J29=1,-$E29*$I29/12*0,IF($J29=2,-$E29*$I29/12*1,IF($J29=3,-$E29*$I29/12*2,IF($J29&gt;=4,-$E29*$I29/12*3,0))))))</f>
        <v>0</v>
      </c>
      <c r="CM29" s="416">
        <f t="shared" ref="CM29:CM40" si="191">IF($H29&lt;&gt;CP$5,0,IF(CP29&lt;0,IF(OR($J29=1,$J29=2,$J29=3,$J29=4),-$E29*$I29/12*3,IF($J29=5,-$E29*$I29/12*2,IF($J29=6,-$E29*$I29/12*1,0)))))+IF(CK$5&lt;&gt;$H29,0,IF(CK29&lt;0,IF($J29=4,-$E29*$I29/12*0,IF($J29=5,-$E29*$I29/12*1,IF($J29=6,-$E29*$I29/12*2,IF($J29&gt;=7,-$E29*$I29/12*3,0))))))</f>
        <v>0</v>
      </c>
      <c r="CN29" s="416">
        <f t="shared" ref="CN29:CN40" si="192">IF($H29&lt;&gt;CP$5,0,IF(CP29&lt;0,IF(OR($J29=1,$J29=2,$J29=3,$J29=4,$J29=5,$J29=6,$J29=7),-$E29*$I29/12*3,IF($J29=8,-$E29*$I29/12*2,IF($J29=9,-$E29*$I29/12*1,0)))))+IF(CK$5&lt;&gt;$H29,0,IF(CK29&lt;0,IF($J29=7,-$E29*$I29/12*0,IF($J29=8,-$E29*$I29/12*1,IF($J29=9,-$E29*$I29/12*2,IF($J29&gt;=10,-$E29*$I29/12*3,0))))))</f>
        <v>0</v>
      </c>
      <c r="CO29" s="412">
        <f t="shared" ref="CO29:CO40" si="193">IF($H29&lt;&gt;CP$5,0,IF(CP29&lt;0,IF(OR($J29=1,$J29=2,$J29=3,$J29=4,$J29=5,$J29=6,$J29=7,$J29=8,$J29=9,$J29=10),-$E29*$I29/12*3,IF($J29=11,-$E29*$I29/12*2,IF($J29=12,-$E29*$I29/12*1,0)))))+IF(CK$5&lt;&gt;$H29,0,IF(CK29&lt;0,IF($J29=10,-$E29*$I29/12*0,IF($J29=11,-$E29*$I29/12*1,IF($J29=12,-$E29*$I29/12*2,0)))))</f>
        <v>0</v>
      </c>
      <c r="CP29" s="413">
        <f t="shared" ref="CP29:CP40" si="194">IF(AND(CK29&lt;&gt;0,CK$5=$H29),-$I29*$E29-CK29,IF(CP$5=$H29,-$I29*$E29*(12-$J29+1)/12,0))</f>
        <v>0</v>
      </c>
      <c r="CQ29" s="410">
        <f t="shared" ref="CQ29:CQ40" si="195">IF($H29&lt;&gt;CU$5,0,IF(CU29&lt;0,IF($J29=1,-$E29*$I29/12*3,IF($J29=2,-$E29*$I29/12*2,IF($J29=3,-$E29*$I29/12*1,0)))))+IF(CP$5&lt;&gt;$H29,0,IF(CP29&lt;0,IF($J29=1,-$E29*$I29/12*0,IF($J29=2,-$E29*$I29/12*1,IF($J29=3,-$E29*$I29/12*2,IF($J29&gt;=4,-$E29*$I29/12*3,0))))))</f>
        <v>0</v>
      </c>
      <c r="CR29" s="416">
        <f t="shared" ref="CR29:CR40" si="196">IF($H29&lt;&gt;CU$5,0,IF(CU29&lt;0,IF(OR($J29=1,$J29=2,$J29=3,$J29=4),-$E29*$I29/12*3,IF($J29=5,-$E29*$I29/12*2,IF($J29=6,-$E29*$I29/12*1,0)))))+IF(CP$5&lt;&gt;$H29,0,IF(CP29&lt;0,IF($J29=4,-$E29*$I29/12*0,IF($J29=5,-$E29*$I29/12*1,IF($J29=6,-$E29*$I29/12*2,IF($J29&gt;=7,-$E29*$I29/12*3,0))))))</f>
        <v>0</v>
      </c>
      <c r="CS29" s="416">
        <f t="shared" ref="CS29:CS40" si="197">IF($H29&lt;&gt;CU$5,0,IF(CU29&lt;0,IF(OR($J29=1,$J29=2,$J29=3,$J29=4,$J29=5,$J29=6,$J29=7),-$E29*$I29/12*3,IF($J29=8,-$E29*$I29/12*2,IF($J29=9,-$E29*$I29/12*1,0)))))+IF(CP$5&lt;&gt;$H29,0,IF(CP29&lt;0,IF($J29=7,-$E29*$I29/12*0,IF($J29=8,-$E29*$I29/12*1,IF($J29=9,-$E29*$I29/12*2,IF($J29&gt;=10,-$E29*$I29/12*3,0))))))</f>
        <v>0</v>
      </c>
      <c r="CT29" s="412">
        <f t="shared" ref="CT29:CT40" si="198">IF($H29&lt;&gt;CU$5,0,IF(CU29&lt;0,IF(OR($J29=1,$J29=2,$J29=3,$J29=4,$J29=5,$J29=6,$J29=7,$J29=8,$J29=9,$J29=10),-$E29*$I29/12*3,IF($J29=11,-$E29*$I29/12*2,IF($J29=12,-$E29*$I29/12*1,0)))))+IF(CP$5&lt;&gt;$H29,0,IF(CP29&lt;0,IF($J29=10,-$E29*$I29/12*0,IF($J29=11,-$E29*$I29/12*1,IF($J29=12,-$E29*$I29/12*2,0)))))</f>
        <v>0</v>
      </c>
      <c r="CU29" s="413">
        <f t="shared" ref="CU29:CU40" si="199">IF(AND(CP29&lt;&gt;0,CP$5=$H29),-$I29*$E29-CP29,IF(CU$5=$H29,-$I29*$E29*(12-$J29+1)/12,0))</f>
        <v>0</v>
      </c>
      <c r="CV29" s="410">
        <f t="shared" ref="CV29:CV40" si="200">IF($H29&lt;&gt;CZ$5,0,IF(CZ29&lt;0,IF($J29=1,-$E29*$I29/12*3,IF($J29=2,-$E29*$I29/12*2,IF($J29=3,-$E29*$I29/12*1,0)))))+IF(CU$5&lt;&gt;$H29,0,IF(CU29&lt;0,IF($J29=1,-$E29*$I29/12*0,IF($J29=2,-$E29*$I29/12*1,IF($J29=3,-$E29*$I29/12*2,IF($J29&gt;=4,-$E29*$I29/12*3,0))))))</f>
        <v>0</v>
      </c>
      <c r="CW29" s="416">
        <f t="shared" ref="CW29:CW40" si="201">IF($H29&lt;&gt;CZ$5,0,IF(CZ29&lt;0,IF(OR($J29=1,$J29=2,$J29=3,$J29=4),-$E29*$I29/12*3,IF($J29=5,-$E29*$I29/12*2,IF($J29=6,-$E29*$I29/12*1,0)))))+IF(CU$5&lt;&gt;$H29,0,IF(CU29&lt;0,IF($J29=4,-$E29*$I29/12*0,IF($J29=5,-$E29*$I29/12*1,IF($J29=6,-$E29*$I29/12*2,IF($J29&gt;=7,-$E29*$I29/12*3,0))))))</f>
        <v>0</v>
      </c>
      <c r="CX29" s="416">
        <f t="shared" ref="CX29:CX40" si="202">IF($H29&lt;&gt;CZ$5,0,IF(CZ29&lt;0,IF(OR($J29=1,$J29=2,$J29=3,$J29=4,$J29=5,$J29=6,$J29=7),-$E29*$I29/12*3,IF($J29=8,-$E29*$I29/12*2,IF($J29=9,-$E29*$I29/12*1,0)))))+IF(CU$5&lt;&gt;$H29,0,IF(CU29&lt;0,IF($J29=7,-$E29*$I29/12*0,IF($J29=8,-$E29*$I29/12*1,IF($J29=9,-$E29*$I29/12*2,IF($J29&gt;=10,-$E29*$I29/12*3,0))))))</f>
        <v>0</v>
      </c>
      <c r="CY29" s="412">
        <f t="shared" ref="CY29:CY40" si="203">IF($H29&lt;&gt;CZ$5,0,IF(CZ29&lt;0,IF(OR($J29=1,$J29=2,$J29=3,$J29=4,$J29=5,$J29=6,$J29=7,$J29=8,$J29=9,$J29=10),-$E29*$I29/12*3,IF($J29=11,-$E29*$I29/12*2,IF($J29=12,-$E29*$I29/12*1,0)))))+IF(CU$5&lt;&gt;$H29,0,IF(CU29&lt;0,IF($J29=10,-$E29*$I29/12*0,IF($J29=11,-$E29*$I29/12*1,IF($J29=12,-$E29*$I29/12*2,0)))))</f>
        <v>0</v>
      </c>
      <c r="CZ29" s="413">
        <f t="shared" ref="CZ29:CZ40" si="204">IF(AND(CU29&lt;&gt;0,CU$5=$H29),-$I29*$E29-CU29,IF(CZ$5=$H29,-$I29*$E29*(12-$J29+1)/12,0))</f>
        <v>0</v>
      </c>
      <c r="DA29" s="410">
        <f t="shared" ref="DA29:DA40" si="205">IF($H29&lt;&gt;DE$5,0,IF(DE29&lt;0,IF($J29=1,-$E29*$I29/12*3,IF($J29=2,-$E29*$I29/12*2,IF($J29=3,-$E29*$I29/12*1,0)))))+IF(CZ$5&lt;&gt;$H29,0,IF(CZ29&lt;0,IF($J29=1,-$E29*$I29/12*0,IF($J29=2,-$E29*$I29/12*1,IF($J29=3,-$E29*$I29/12*2,IF($J29&gt;=4,-$E29*$I29/12*3,0))))))</f>
        <v>0</v>
      </c>
      <c r="DB29" s="416">
        <f t="shared" ref="DB29:DB40" si="206">IF($H29&lt;&gt;DE$5,0,IF(DE29&lt;0,IF(OR($J29=1,$J29=2,$J29=3,$J29=4),-$E29*$I29/12*3,IF($J29=5,-$E29*$I29/12*2,IF($J29=6,-$E29*$I29/12*1,0)))))+IF(CZ$5&lt;&gt;$H29,0,IF(CZ29&lt;0,IF($J29=4,-$E29*$I29/12*0,IF($J29=5,-$E29*$I29/12*1,IF($J29=6,-$E29*$I29/12*2,IF($J29&gt;=7,-$E29*$I29/12*3,0))))))</f>
        <v>0</v>
      </c>
      <c r="DC29" s="416">
        <f t="shared" ref="DC29:DC40" si="207">IF($H29&lt;&gt;DE$5,0,IF(DE29&lt;0,IF(OR($J29=1,$J29=2,$J29=3,$J29=4,$J29=5,$J29=6,$J29=7),-$E29*$I29/12*3,IF($J29=8,-$E29*$I29/12*2,IF($J29=9,-$E29*$I29/12*1,0)))))+IF(CZ$5&lt;&gt;$H29,0,IF(CZ29&lt;0,IF($J29=7,-$E29*$I29/12*0,IF($J29=8,-$E29*$I29/12*1,IF($J29=9,-$E29*$I29/12*2,IF($J29&gt;=10,-$E29*$I29/12*3,0))))))</f>
        <v>0</v>
      </c>
      <c r="DD29" s="412">
        <f t="shared" ref="DD29:DD40" si="208">IF($H29&lt;&gt;DE$5,0,IF(DE29&lt;0,IF(OR($J29=1,$J29=2,$J29=3,$J29=4,$J29=5,$J29=6,$J29=7,$J29=8,$J29=9,$J29=10),-$E29*$I29/12*3,IF($J29=11,-$E29*$I29/12*2,IF($J29=12,-$E29*$I29/12*1,0)))))+IF(CZ$5&lt;&gt;$H29,0,IF(CZ29&lt;0,IF($J29=10,-$E29*$I29/12*0,IF($J29=11,-$E29*$I29/12*1,IF($J29=12,-$E29*$I29/12*2,0)))))</f>
        <v>0</v>
      </c>
      <c r="DE29" s="413">
        <f t="shared" ref="DE29:DE40" si="209">IF(AND(CZ29&lt;&gt;0,CZ$5=$H29),-$I29*$E29-CZ29,IF(DE$5=$H29,-$I29*$E29*(12-$J29+1)/12,0))</f>
        <v>0</v>
      </c>
      <c r="DF29" s="410">
        <f t="shared" ref="DF29:DF40" si="210">IF($H29&lt;&gt;DJ$5,0,IF(DJ29&lt;0,IF($J29=1,-$E29*$I29/12*3,IF($J29=2,-$E29*$I29/12*2,IF($J29=3,-$E29*$I29/12*1,0)))))+IF(DE$5&lt;&gt;$H29,0,IF(DE29&lt;0,IF($J29=1,-$E29*$I29/12*0,IF($J29=2,-$E29*$I29/12*1,IF($J29=3,-$E29*$I29/12*2,IF($J29&gt;=4,-$E29*$I29/12*3,0))))))</f>
        <v>0</v>
      </c>
      <c r="DG29" s="416">
        <f t="shared" ref="DG29:DG40" si="211">IF($H29&lt;&gt;DJ$5,0,IF(DJ29&lt;0,IF(OR($J29=1,$J29=2,$J29=3,$J29=4),-$E29*$I29/12*3,IF($J29=5,-$E29*$I29/12*2,IF($J29=6,-$E29*$I29/12*1,0)))))+IF(DE$5&lt;&gt;$H29,0,IF(DE29&lt;0,IF($J29=4,-$E29*$I29/12*0,IF($J29=5,-$E29*$I29/12*1,IF($J29=6,-$E29*$I29/12*2,IF($J29&gt;=7,-$E29*$I29/12*3,0))))))</f>
        <v>0</v>
      </c>
      <c r="DH29" s="416">
        <f t="shared" ref="DH29:DH40" si="212">IF($H29&lt;&gt;DJ$5,0,IF(DJ29&lt;0,IF(OR($J29=1,$J29=2,$J29=3,$J29=4,$J29=5,$J29=6,$J29=7),-$E29*$I29/12*3,IF($J29=8,-$E29*$I29/12*2,IF($J29=9,-$E29*$I29/12*1,0)))))+IF(DE$5&lt;&gt;$H29,0,IF(DE29&lt;0,IF($J29=7,-$E29*$I29/12*0,IF($J29=8,-$E29*$I29/12*1,IF($J29=9,-$E29*$I29/12*2,IF($J29&gt;=10,-$E29*$I29/12*3,0))))))</f>
        <v>0</v>
      </c>
      <c r="DI29" s="412">
        <f t="shared" ref="DI29:DI40" si="213">IF($H29&lt;&gt;DJ$5,0,IF(DJ29&lt;0,IF(OR($J29=1,$J29=2,$J29=3,$J29=4,$J29=5,$J29=6,$J29=7,$J29=8,$J29=9,$J29=10),-$E29*$I29/12*3,IF($J29=11,-$E29*$I29/12*2,IF($J29=12,-$E29*$I29/12*1,0)))))+IF(DE$5&lt;&gt;$H29,0,IF(DE29&lt;0,IF($J29=10,-$E29*$I29/12*0,IF($J29=11,-$E29*$I29/12*1,IF($J29=12,-$E29*$I29/12*2,0)))))</f>
        <v>0</v>
      </c>
      <c r="DJ29" s="413">
        <f t="shared" ref="DJ29:DJ40" si="214">IF(AND(DE29&lt;&gt;0,DE$5=$H29),-$I29*$E29-DE29,IF(DJ$5=$H29,-$I29*$E29*(12-$J29+1)/12,0))</f>
        <v>0</v>
      </c>
      <c r="DK29" s="410">
        <f t="shared" ref="DK29:DK40" si="215">IF($H29&lt;&gt;DO$5,0,IF(DO29&lt;0,IF($J29=1,-$E29*$I29/12*3,IF($J29=2,-$E29*$I29/12*2,IF($J29=3,-$E29*$I29/12*1,0)))))+IF(DJ$5&lt;&gt;$H29,0,IF(DJ29&lt;0,IF($J29=1,-$E29*$I29/12*0,IF($J29=2,-$E29*$I29/12*1,IF($J29=3,-$E29*$I29/12*2,IF($J29&gt;=4,-$E29*$I29/12*3,0))))))</f>
        <v>0</v>
      </c>
      <c r="DL29" s="416">
        <f t="shared" ref="DL29:DL40" si="216">IF($H29&lt;&gt;DO$5,0,IF(DO29&lt;0,IF(OR($J29=1,$J29=2,$J29=3,$J29=4),-$E29*$I29/12*3,IF($J29=5,-$E29*$I29/12*2,IF($J29=6,-$E29*$I29/12*1,0)))))+IF(DJ$5&lt;&gt;$H29,0,IF(DJ29&lt;0,IF($J29=4,-$E29*$I29/12*0,IF($J29=5,-$E29*$I29/12*1,IF($J29=6,-$E29*$I29/12*2,IF($J29&gt;=7,-$E29*$I29/12*3,0))))))</f>
        <v>0</v>
      </c>
      <c r="DM29" s="416">
        <f t="shared" ref="DM29:DM40" si="217">IF($H29&lt;&gt;DO$5,0,IF(DO29&lt;0,IF(OR($J29=1,$J29=2,$J29=3,$J29=4,$J29=5,$J29=6,$J29=7),-$E29*$I29/12*3,IF($J29=8,-$E29*$I29/12*2,IF($J29=9,-$E29*$I29/12*1,0)))))+IF(DJ$5&lt;&gt;$H29,0,IF(DJ29&lt;0,IF($J29=7,-$E29*$I29/12*0,IF($J29=8,-$E29*$I29/12*1,IF($J29=9,-$E29*$I29/12*2,IF($J29&gt;=10,-$E29*$I29/12*3,0))))))</f>
        <v>0</v>
      </c>
      <c r="DN29" s="412">
        <f t="shared" ref="DN29:DN40" si="218">IF($H29&lt;&gt;DO$5,0,IF(DO29&lt;0,IF(OR($J29=1,$J29=2,$J29=3,$J29=4,$J29=5,$J29=6,$J29=7,$J29=8,$J29=9,$J29=10),-$E29*$I29/12*3,IF($J29=11,-$E29*$I29/12*2,IF($J29=12,-$E29*$I29/12*1,0)))))+IF(DJ$5&lt;&gt;$H29,0,IF(DJ29&lt;0,IF($J29=10,-$E29*$I29/12*0,IF($J29=11,-$E29*$I29/12*1,IF($J29=12,-$E29*$I29/12*2,0)))))</f>
        <v>0</v>
      </c>
      <c r="DO29" s="413">
        <f t="shared" ref="DO29:DO40" si="219">IF(AND(DJ29&lt;&gt;0,DJ$5=$H29),-$I29*$E29-DJ29,IF(DO$5=$H29,-$I29*$E29*(12-$J29+1)/12,0))</f>
        <v>0</v>
      </c>
      <c r="DP29" s="410">
        <f t="shared" ref="DP29:DP40" si="220">IF($H29&lt;&gt;DT$5,0,IF(DT29&lt;0,IF($J29=1,-$E29*$I29/12*3,IF($J29=2,-$E29*$I29/12*2,IF($J29=3,-$E29*$I29/12*1,0)))))+IF(DO$5&lt;&gt;$H29,0,IF(DO29&lt;0,IF($J29=1,-$E29*$I29/12*0,IF($J29=2,-$E29*$I29/12*1,IF($J29=3,-$E29*$I29/12*2,IF($J29&gt;=4,-$E29*$I29/12*3,0))))))</f>
        <v>0</v>
      </c>
      <c r="DQ29" s="416">
        <f t="shared" ref="DQ29:DQ40" si="221">IF($H29&lt;&gt;DT$5,0,IF(DT29&lt;0,IF(OR($J29=1,$J29=2,$J29=3,$J29=4),-$E29*$I29/12*3,IF($J29=5,-$E29*$I29/12*2,IF($J29=6,-$E29*$I29/12*1,0)))))+IF(DO$5&lt;&gt;$H29,0,IF(DO29&lt;0,IF($J29=4,-$E29*$I29/12*0,IF($J29=5,-$E29*$I29/12*1,IF($J29=6,-$E29*$I29/12*2,IF($J29&gt;=7,-$E29*$I29/12*3,0))))))</f>
        <v>0</v>
      </c>
      <c r="DR29" s="416">
        <f t="shared" ref="DR29:DR40" si="222">IF($H29&lt;&gt;DT$5,0,IF(DT29&lt;0,IF(OR($J29=1,$J29=2,$J29=3,$J29=4,$J29=5,$J29=6,$J29=7),-$E29*$I29/12*3,IF($J29=8,-$E29*$I29/12*2,IF($J29=9,-$E29*$I29/12*1,0)))))+IF(DO$5&lt;&gt;$H29,0,IF(DO29&lt;0,IF($J29=7,-$E29*$I29/12*0,IF($J29=8,-$E29*$I29/12*1,IF($J29=9,-$E29*$I29/12*2,IF($J29&gt;=10,-$E29*$I29/12*3,0))))))</f>
        <v>0</v>
      </c>
      <c r="DS29" s="412">
        <f t="shared" ref="DS29:DS40" si="223">IF($H29&lt;&gt;DT$5,0,IF(DT29&lt;0,IF(OR($J29=1,$J29=2,$J29=3,$J29=4,$J29=5,$J29=6,$J29=7,$J29=8,$J29=9,$J29=10),-$E29*$I29/12*3,IF($J29=11,-$E29*$I29/12*2,IF($J29=12,-$E29*$I29/12*1,0)))))+IF(DO$5&lt;&gt;$H29,0,IF(DO29&lt;0,IF($J29=10,-$E29*$I29/12*0,IF($J29=11,-$E29*$I29/12*1,IF($J29=12,-$E29*$I29/12*2,0)))))</f>
        <v>0</v>
      </c>
      <c r="DT29" s="413">
        <f t="shared" ref="DT29:DT40" si="224">IF(AND(DO29&lt;&gt;0,DO$5=$H29),-$I29*$E29-DO29,IF(DT$5=$H29,-$I29*$E29*(12-$J29+1)/12,0))</f>
        <v>0</v>
      </c>
    </row>
    <row r="30" spans="1:124" ht="12.75" customHeight="1">
      <c r="A30" s="491"/>
      <c r="C30" s="1885" t="s">
        <v>1304</v>
      </c>
      <c r="D30" s="1885"/>
      <c r="E30" s="1886">
        <f t="shared" si="124"/>
        <v>85</v>
      </c>
      <c r="F30" s="1532">
        <v>85</v>
      </c>
      <c r="G30" s="1532">
        <v>85</v>
      </c>
      <c r="H30" s="610">
        <v>2019</v>
      </c>
      <c r="I30" s="1533">
        <v>2.6800000000000001E-2</v>
      </c>
      <c r="J30" s="615">
        <v>11</v>
      </c>
      <c r="K30" s="402"/>
      <c r="L30" s="407">
        <f t="shared" si="12"/>
        <v>0</v>
      </c>
      <c r="M30" s="404">
        <f t="shared" si="125"/>
        <v>0</v>
      </c>
      <c r="N30" s="414">
        <f t="shared" si="126"/>
        <v>0</v>
      </c>
      <c r="O30" s="414">
        <f t="shared" si="127"/>
        <v>0</v>
      </c>
      <c r="P30" s="406">
        <f t="shared" si="128"/>
        <v>0</v>
      </c>
      <c r="Q30" s="407">
        <f t="shared" si="17"/>
        <v>0</v>
      </c>
      <c r="R30" s="404">
        <f t="shared" si="129"/>
        <v>0</v>
      </c>
      <c r="S30" s="414">
        <f t="shared" si="130"/>
        <v>0</v>
      </c>
      <c r="T30" s="414">
        <f t="shared" si="131"/>
        <v>0</v>
      </c>
      <c r="U30" s="406">
        <f t="shared" si="132"/>
        <v>0</v>
      </c>
      <c r="V30" s="407">
        <f t="shared" si="22"/>
        <v>0</v>
      </c>
      <c r="W30" s="404">
        <f t="shared" si="133"/>
        <v>0</v>
      </c>
      <c r="X30" s="414">
        <f t="shared" si="134"/>
        <v>0</v>
      </c>
      <c r="Y30" s="414">
        <f t="shared" si="135"/>
        <v>0</v>
      </c>
      <c r="Z30" s="406">
        <f t="shared" si="136"/>
        <v>0</v>
      </c>
      <c r="AA30" s="407">
        <f t="shared" si="27"/>
        <v>0</v>
      </c>
      <c r="AB30" s="404">
        <f t="shared" si="137"/>
        <v>0</v>
      </c>
      <c r="AC30" s="414">
        <f t="shared" si="138"/>
        <v>0</v>
      </c>
      <c r="AD30" s="414">
        <f t="shared" si="139"/>
        <v>0</v>
      </c>
      <c r="AE30" s="406">
        <f t="shared" si="140"/>
        <v>0</v>
      </c>
      <c r="AF30" s="407">
        <f t="shared" si="32"/>
        <v>0</v>
      </c>
      <c r="AG30" s="404">
        <f t="shared" si="141"/>
        <v>0</v>
      </c>
      <c r="AH30" s="414">
        <f t="shared" si="142"/>
        <v>0</v>
      </c>
      <c r="AI30" s="414">
        <f t="shared" si="143"/>
        <v>0</v>
      </c>
      <c r="AJ30" s="406">
        <f t="shared" si="144"/>
        <v>0</v>
      </c>
      <c r="AK30" s="407">
        <f t="shared" si="37"/>
        <v>0</v>
      </c>
      <c r="AL30" s="404">
        <f t="shared" si="145"/>
        <v>0</v>
      </c>
      <c r="AM30" s="414">
        <f t="shared" si="146"/>
        <v>0</v>
      </c>
      <c r="AN30" s="414">
        <f t="shared" si="147"/>
        <v>0</v>
      </c>
      <c r="AO30" s="406">
        <f t="shared" si="148"/>
        <v>0</v>
      </c>
      <c r="AP30" s="407">
        <f t="shared" si="42"/>
        <v>0</v>
      </c>
      <c r="AQ30" s="404">
        <f t="shared" si="149"/>
        <v>0</v>
      </c>
      <c r="AR30" s="414">
        <f t="shared" si="150"/>
        <v>0</v>
      </c>
      <c r="AS30" s="414">
        <f t="shared" si="151"/>
        <v>0</v>
      </c>
      <c r="AT30" s="406">
        <f t="shared" si="152"/>
        <v>0</v>
      </c>
      <c r="AU30" s="407">
        <f t="shared" si="47"/>
        <v>0</v>
      </c>
      <c r="AV30" s="404">
        <f t="shared" si="153"/>
        <v>0</v>
      </c>
      <c r="AW30" s="414">
        <f t="shared" si="154"/>
        <v>0</v>
      </c>
      <c r="AX30" s="414">
        <f t="shared" si="155"/>
        <v>0</v>
      </c>
      <c r="AY30" s="406">
        <f t="shared" si="156"/>
        <v>0</v>
      </c>
      <c r="AZ30" s="407">
        <f t="shared" si="52"/>
        <v>0</v>
      </c>
      <c r="BA30" s="404">
        <f t="shared" si="157"/>
        <v>0</v>
      </c>
      <c r="BB30" s="414">
        <f t="shared" si="158"/>
        <v>0</v>
      </c>
      <c r="BC30" s="414">
        <f t="shared" si="159"/>
        <v>0</v>
      </c>
      <c r="BD30" s="406">
        <f t="shared" si="160"/>
        <v>-85</v>
      </c>
      <c r="BE30" s="407">
        <f t="shared" si="57"/>
        <v>-85</v>
      </c>
      <c r="BF30" s="404">
        <f t="shared" si="161"/>
        <v>0</v>
      </c>
      <c r="BG30" s="414">
        <f t="shared" si="162"/>
        <v>0</v>
      </c>
      <c r="BH30" s="414">
        <f t="shared" si="163"/>
        <v>0</v>
      </c>
      <c r="BI30" s="406">
        <f t="shared" si="164"/>
        <v>0</v>
      </c>
      <c r="BJ30" s="407">
        <f t="shared" si="62"/>
        <v>0</v>
      </c>
      <c r="BK30" s="404">
        <f t="shared" si="165"/>
        <v>0</v>
      </c>
      <c r="BL30" s="414">
        <f t="shared" si="166"/>
        <v>0</v>
      </c>
      <c r="BM30" s="414">
        <f t="shared" si="167"/>
        <v>0</v>
      </c>
      <c r="BN30" s="406">
        <f t="shared" si="168"/>
        <v>0</v>
      </c>
      <c r="BO30" s="407">
        <f t="shared" si="67"/>
        <v>0</v>
      </c>
      <c r="BP30" s="449"/>
      <c r="BQ30" s="413">
        <f t="shared" si="169"/>
        <v>0</v>
      </c>
      <c r="BR30" s="410">
        <f t="shared" si="170"/>
        <v>0</v>
      </c>
      <c r="BS30" s="416">
        <f t="shared" si="171"/>
        <v>0</v>
      </c>
      <c r="BT30" s="416">
        <f t="shared" si="172"/>
        <v>0</v>
      </c>
      <c r="BU30" s="412">
        <f t="shared" si="173"/>
        <v>0</v>
      </c>
      <c r="BV30" s="413">
        <f t="shared" si="174"/>
        <v>0</v>
      </c>
      <c r="BW30" s="410">
        <f t="shared" si="175"/>
        <v>0</v>
      </c>
      <c r="BX30" s="416">
        <f t="shared" si="176"/>
        <v>0</v>
      </c>
      <c r="BY30" s="416">
        <f t="shared" si="177"/>
        <v>0</v>
      </c>
      <c r="BZ30" s="412">
        <f t="shared" si="178"/>
        <v>0</v>
      </c>
      <c r="CA30" s="413">
        <f t="shared" si="179"/>
        <v>0</v>
      </c>
      <c r="CB30" s="410">
        <f t="shared" si="180"/>
        <v>0</v>
      </c>
      <c r="CC30" s="416">
        <f t="shared" si="181"/>
        <v>0</v>
      </c>
      <c r="CD30" s="416">
        <f t="shared" si="182"/>
        <v>0</v>
      </c>
      <c r="CE30" s="412">
        <f t="shared" si="183"/>
        <v>0</v>
      </c>
      <c r="CF30" s="413">
        <f t="shared" si="184"/>
        <v>0</v>
      </c>
      <c r="CG30" s="410">
        <f t="shared" si="185"/>
        <v>0</v>
      </c>
      <c r="CH30" s="416">
        <f t="shared" si="186"/>
        <v>0</v>
      </c>
      <c r="CI30" s="416">
        <f t="shared" si="187"/>
        <v>0</v>
      </c>
      <c r="CJ30" s="412">
        <f t="shared" si="188"/>
        <v>0</v>
      </c>
      <c r="CK30" s="413">
        <f t="shared" si="189"/>
        <v>0</v>
      </c>
      <c r="CL30" s="410">
        <f t="shared" si="190"/>
        <v>0</v>
      </c>
      <c r="CM30" s="416">
        <f t="shared" si="191"/>
        <v>0</v>
      </c>
      <c r="CN30" s="416">
        <f t="shared" si="192"/>
        <v>0</v>
      </c>
      <c r="CO30" s="412">
        <f t="shared" si="193"/>
        <v>0</v>
      </c>
      <c r="CP30" s="413">
        <f t="shared" si="194"/>
        <v>0</v>
      </c>
      <c r="CQ30" s="410">
        <f t="shared" si="195"/>
        <v>0</v>
      </c>
      <c r="CR30" s="416">
        <f t="shared" si="196"/>
        <v>0</v>
      </c>
      <c r="CS30" s="416">
        <f t="shared" si="197"/>
        <v>0</v>
      </c>
      <c r="CT30" s="412">
        <f t="shared" si="198"/>
        <v>0</v>
      </c>
      <c r="CU30" s="413">
        <f t="shared" si="199"/>
        <v>0</v>
      </c>
      <c r="CV30" s="410">
        <f t="shared" si="200"/>
        <v>0</v>
      </c>
      <c r="CW30" s="416">
        <f t="shared" si="201"/>
        <v>0</v>
      </c>
      <c r="CX30" s="416">
        <f t="shared" si="202"/>
        <v>0</v>
      </c>
      <c r="CY30" s="412">
        <f t="shared" si="203"/>
        <v>0</v>
      </c>
      <c r="CZ30" s="413">
        <f t="shared" si="204"/>
        <v>0</v>
      </c>
      <c r="DA30" s="410">
        <f t="shared" si="205"/>
        <v>0</v>
      </c>
      <c r="DB30" s="416">
        <f t="shared" si="206"/>
        <v>0</v>
      </c>
      <c r="DC30" s="416">
        <f t="shared" si="207"/>
        <v>0</v>
      </c>
      <c r="DD30" s="412">
        <f t="shared" si="208"/>
        <v>0</v>
      </c>
      <c r="DE30" s="413">
        <f t="shared" si="209"/>
        <v>0</v>
      </c>
      <c r="DF30" s="410">
        <f t="shared" si="210"/>
        <v>0</v>
      </c>
      <c r="DG30" s="416">
        <f t="shared" si="211"/>
        <v>0</v>
      </c>
      <c r="DH30" s="416">
        <f t="shared" si="212"/>
        <v>0</v>
      </c>
      <c r="DI30" s="412">
        <f t="shared" si="213"/>
        <v>-0.37966666666666665</v>
      </c>
      <c r="DJ30" s="413">
        <f t="shared" si="214"/>
        <v>-0.37966666666666665</v>
      </c>
      <c r="DK30" s="410">
        <f t="shared" si="215"/>
        <v>-0.56950000000000001</v>
      </c>
      <c r="DL30" s="416">
        <f t="shared" si="216"/>
        <v>-0.56950000000000001</v>
      </c>
      <c r="DM30" s="416">
        <f t="shared" si="217"/>
        <v>-0.56950000000000001</v>
      </c>
      <c r="DN30" s="412">
        <f t="shared" si="218"/>
        <v>-0.18983333333333333</v>
      </c>
      <c r="DO30" s="413">
        <f t="shared" si="219"/>
        <v>-1.8983333333333334</v>
      </c>
      <c r="DP30" s="410">
        <f t="shared" si="220"/>
        <v>0</v>
      </c>
      <c r="DQ30" s="416">
        <f t="shared" si="221"/>
        <v>0</v>
      </c>
      <c r="DR30" s="416">
        <f t="shared" si="222"/>
        <v>0</v>
      </c>
      <c r="DS30" s="412">
        <f t="shared" si="223"/>
        <v>0</v>
      </c>
      <c r="DT30" s="413">
        <f t="shared" si="224"/>
        <v>0</v>
      </c>
    </row>
    <row r="31" spans="1:124" ht="12.75" customHeight="1">
      <c r="A31" s="491"/>
      <c r="C31" s="1885" t="s">
        <v>1305</v>
      </c>
      <c r="D31" s="1885"/>
      <c r="E31" s="1886">
        <f t="shared" si="124"/>
        <v>50</v>
      </c>
      <c r="F31" s="1532">
        <v>50</v>
      </c>
      <c r="G31" s="1532">
        <v>50</v>
      </c>
      <c r="H31" s="610">
        <v>2021</v>
      </c>
      <c r="I31" s="1533">
        <v>3.1800000000000002E-2</v>
      </c>
      <c r="J31" s="615">
        <v>11</v>
      </c>
      <c r="K31" s="402"/>
      <c r="L31" s="407">
        <f t="shared" si="12"/>
        <v>0</v>
      </c>
      <c r="M31" s="404">
        <f t="shared" si="125"/>
        <v>0</v>
      </c>
      <c r="N31" s="414">
        <f t="shared" si="126"/>
        <v>0</v>
      </c>
      <c r="O31" s="414">
        <f t="shared" si="127"/>
        <v>0</v>
      </c>
      <c r="P31" s="406">
        <f t="shared" si="128"/>
        <v>0</v>
      </c>
      <c r="Q31" s="407">
        <f t="shared" si="17"/>
        <v>0</v>
      </c>
      <c r="R31" s="404">
        <f t="shared" si="129"/>
        <v>0</v>
      </c>
      <c r="S31" s="414">
        <f t="shared" si="130"/>
        <v>0</v>
      </c>
      <c r="T31" s="414">
        <f t="shared" si="131"/>
        <v>0</v>
      </c>
      <c r="U31" s="406">
        <f t="shared" si="132"/>
        <v>0</v>
      </c>
      <c r="V31" s="407">
        <f t="shared" si="22"/>
        <v>0</v>
      </c>
      <c r="W31" s="404">
        <f t="shared" si="133"/>
        <v>0</v>
      </c>
      <c r="X31" s="414">
        <f t="shared" si="134"/>
        <v>0</v>
      </c>
      <c r="Y31" s="414">
        <f t="shared" si="135"/>
        <v>0</v>
      </c>
      <c r="Z31" s="406">
        <f t="shared" si="136"/>
        <v>0</v>
      </c>
      <c r="AA31" s="407">
        <f t="shared" si="27"/>
        <v>0</v>
      </c>
      <c r="AB31" s="404">
        <f t="shared" si="137"/>
        <v>0</v>
      </c>
      <c r="AC31" s="414">
        <f t="shared" si="138"/>
        <v>0</v>
      </c>
      <c r="AD31" s="414">
        <f t="shared" si="139"/>
        <v>0</v>
      </c>
      <c r="AE31" s="406">
        <f t="shared" si="140"/>
        <v>0</v>
      </c>
      <c r="AF31" s="407">
        <f t="shared" si="32"/>
        <v>0</v>
      </c>
      <c r="AG31" s="404">
        <f t="shared" si="141"/>
        <v>0</v>
      </c>
      <c r="AH31" s="414">
        <f t="shared" si="142"/>
        <v>0</v>
      </c>
      <c r="AI31" s="414">
        <f t="shared" si="143"/>
        <v>0</v>
      </c>
      <c r="AJ31" s="406">
        <f t="shared" si="144"/>
        <v>0</v>
      </c>
      <c r="AK31" s="407">
        <f t="shared" si="37"/>
        <v>0</v>
      </c>
      <c r="AL31" s="404">
        <f t="shared" si="145"/>
        <v>0</v>
      </c>
      <c r="AM31" s="414">
        <f t="shared" si="146"/>
        <v>0</v>
      </c>
      <c r="AN31" s="414">
        <f t="shared" si="147"/>
        <v>0</v>
      </c>
      <c r="AO31" s="406">
        <f t="shared" si="148"/>
        <v>0</v>
      </c>
      <c r="AP31" s="407">
        <f t="shared" si="42"/>
        <v>0</v>
      </c>
      <c r="AQ31" s="404">
        <f t="shared" si="149"/>
        <v>0</v>
      </c>
      <c r="AR31" s="414">
        <f t="shared" si="150"/>
        <v>0</v>
      </c>
      <c r="AS31" s="414">
        <f t="shared" si="151"/>
        <v>0</v>
      </c>
      <c r="AT31" s="406">
        <f t="shared" si="152"/>
        <v>0</v>
      </c>
      <c r="AU31" s="407">
        <f t="shared" si="47"/>
        <v>0</v>
      </c>
      <c r="AV31" s="404">
        <f t="shared" si="153"/>
        <v>0</v>
      </c>
      <c r="AW31" s="414">
        <f t="shared" si="154"/>
        <v>0</v>
      </c>
      <c r="AX31" s="414">
        <f t="shared" si="155"/>
        <v>0</v>
      </c>
      <c r="AY31" s="406">
        <f t="shared" si="156"/>
        <v>0</v>
      </c>
      <c r="AZ31" s="407">
        <f t="shared" si="52"/>
        <v>0</v>
      </c>
      <c r="BA31" s="404">
        <f t="shared" si="157"/>
        <v>0</v>
      </c>
      <c r="BB31" s="414">
        <f t="shared" si="158"/>
        <v>0</v>
      </c>
      <c r="BC31" s="414">
        <f t="shared" si="159"/>
        <v>0</v>
      </c>
      <c r="BD31" s="406">
        <f t="shared" si="160"/>
        <v>0</v>
      </c>
      <c r="BE31" s="407">
        <f t="shared" si="57"/>
        <v>0</v>
      </c>
      <c r="BF31" s="404">
        <f t="shared" si="161"/>
        <v>0</v>
      </c>
      <c r="BG31" s="414">
        <f t="shared" si="162"/>
        <v>0</v>
      </c>
      <c r="BH31" s="414">
        <f t="shared" si="163"/>
        <v>0</v>
      </c>
      <c r="BI31" s="406">
        <f t="shared" si="164"/>
        <v>0</v>
      </c>
      <c r="BJ31" s="407">
        <f t="shared" si="62"/>
        <v>0</v>
      </c>
      <c r="BK31" s="404">
        <f t="shared" si="165"/>
        <v>0</v>
      </c>
      <c r="BL31" s="414">
        <f t="shared" si="166"/>
        <v>0</v>
      </c>
      <c r="BM31" s="414">
        <f t="shared" si="167"/>
        <v>0</v>
      </c>
      <c r="BN31" s="406">
        <f t="shared" si="168"/>
        <v>-50</v>
      </c>
      <c r="BO31" s="407">
        <f t="shared" si="67"/>
        <v>-50</v>
      </c>
      <c r="BP31" s="449"/>
      <c r="BQ31" s="413">
        <f t="shared" si="169"/>
        <v>0</v>
      </c>
      <c r="BR31" s="410">
        <f t="shared" si="170"/>
        <v>0</v>
      </c>
      <c r="BS31" s="416">
        <f t="shared" si="171"/>
        <v>0</v>
      </c>
      <c r="BT31" s="416">
        <f t="shared" si="172"/>
        <v>0</v>
      </c>
      <c r="BU31" s="412">
        <f t="shared" si="173"/>
        <v>0</v>
      </c>
      <c r="BV31" s="413">
        <f t="shared" si="174"/>
        <v>0</v>
      </c>
      <c r="BW31" s="410">
        <f t="shared" si="175"/>
        <v>0</v>
      </c>
      <c r="BX31" s="416">
        <f t="shared" si="176"/>
        <v>0</v>
      </c>
      <c r="BY31" s="416">
        <f t="shared" si="177"/>
        <v>0</v>
      </c>
      <c r="BZ31" s="412">
        <f t="shared" si="178"/>
        <v>0</v>
      </c>
      <c r="CA31" s="413">
        <f t="shared" si="179"/>
        <v>0</v>
      </c>
      <c r="CB31" s="410">
        <f t="shared" si="180"/>
        <v>0</v>
      </c>
      <c r="CC31" s="416">
        <f t="shared" si="181"/>
        <v>0</v>
      </c>
      <c r="CD31" s="416">
        <f t="shared" si="182"/>
        <v>0</v>
      </c>
      <c r="CE31" s="412">
        <f t="shared" si="183"/>
        <v>0</v>
      </c>
      <c r="CF31" s="413">
        <f t="shared" si="184"/>
        <v>0</v>
      </c>
      <c r="CG31" s="410">
        <f t="shared" si="185"/>
        <v>0</v>
      </c>
      <c r="CH31" s="416">
        <f t="shared" si="186"/>
        <v>0</v>
      </c>
      <c r="CI31" s="416">
        <f t="shared" si="187"/>
        <v>0</v>
      </c>
      <c r="CJ31" s="412">
        <f t="shared" si="188"/>
        <v>0</v>
      </c>
      <c r="CK31" s="413">
        <f t="shared" si="189"/>
        <v>0</v>
      </c>
      <c r="CL31" s="410">
        <f t="shared" si="190"/>
        <v>0</v>
      </c>
      <c r="CM31" s="416">
        <f t="shared" si="191"/>
        <v>0</v>
      </c>
      <c r="CN31" s="416">
        <f t="shared" si="192"/>
        <v>0</v>
      </c>
      <c r="CO31" s="412">
        <f t="shared" si="193"/>
        <v>0</v>
      </c>
      <c r="CP31" s="413">
        <f t="shared" si="194"/>
        <v>0</v>
      </c>
      <c r="CQ31" s="410">
        <f t="shared" si="195"/>
        <v>0</v>
      </c>
      <c r="CR31" s="416">
        <f t="shared" si="196"/>
        <v>0</v>
      </c>
      <c r="CS31" s="416">
        <f t="shared" si="197"/>
        <v>0</v>
      </c>
      <c r="CT31" s="412">
        <f t="shared" si="198"/>
        <v>0</v>
      </c>
      <c r="CU31" s="413">
        <f t="shared" si="199"/>
        <v>0</v>
      </c>
      <c r="CV31" s="410">
        <f t="shared" si="200"/>
        <v>0</v>
      </c>
      <c r="CW31" s="416">
        <f t="shared" si="201"/>
        <v>0</v>
      </c>
      <c r="CX31" s="416">
        <f t="shared" si="202"/>
        <v>0</v>
      </c>
      <c r="CY31" s="412">
        <f t="shared" si="203"/>
        <v>0</v>
      </c>
      <c r="CZ31" s="413">
        <f t="shared" si="204"/>
        <v>0</v>
      </c>
      <c r="DA31" s="410">
        <f t="shared" si="205"/>
        <v>0</v>
      </c>
      <c r="DB31" s="416">
        <f t="shared" si="206"/>
        <v>0</v>
      </c>
      <c r="DC31" s="416">
        <f t="shared" si="207"/>
        <v>0</v>
      </c>
      <c r="DD31" s="412">
        <f t="shared" si="208"/>
        <v>0</v>
      </c>
      <c r="DE31" s="413">
        <f t="shared" si="209"/>
        <v>0</v>
      </c>
      <c r="DF31" s="410">
        <f t="shared" si="210"/>
        <v>0</v>
      </c>
      <c r="DG31" s="416">
        <f t="shared" si="211"/>
        <v>0</v>
      </c>
      <c r="DH31" s="416">
        <f t="shared" si="212"/>
        <v>0</v>
      </c>
      <c r="DI31" s="412">
        <f t="shared" si="213"/>
        <v>0</v>
      </c>
      <c r="DJ31" s="413">
        <f t="shared" si="214"/>
        <v>0</v>
      </c>
      <c r="DK31" s="410">
        <f t="shared" si="215"/>
        <v>0</v>
      </c>
      <c r="DL31" s="416">
        <f t="shared" si="216"/>
        <v>0</v>
      </c>
      <c r="DM31" s="416">
        <f t="shared" si="217"/>
        <v>0</v>
      </c>
      <c r="DN31" s="412">
        <f t="shared" si="218"/>
        <v>0</v>
      </c>
      <c r="DO31" s="413">
        <f t="shared" si="219"/>
        <v>0</v>
      </c>
      <c r="DP31" s="410">
        <f t="shared" si="220"/>
        <v>0</v>
      </c>
      <c r="DQ31" s="416">
        <f t="shared" si="221"/>
        <v>0</v>
      </c>
      <c r="DR31" s="416">
        <f t="shared" si="222"/>
        <v>0</v>
      </c>
      <c r="DS31" s="412">
        <f t="shared" si="223"/>
        <v>-0.26500000000000001</v>
      </c>
      <c r="DT31" s="413">
        <f t="shared" si="224"/>
        <v>-0.26500000000000001</v>
      </c>
    </row>
    <row r="32" spans="1:124" ht="12.75" customHeight="1">
      <c r="A32" s="491"/>
      <c r="C32" s="1885" t="s">
        <v>1306</v>
      </c>
      <c r="D32" s="1885"/>
      <c r="E32" s="1886">
        <f t="shared" si="124"/>
        <v>95</v>
      </c>
      <c r="F32" s="1532">
        <v>95</v>
      </c>
      <c r="G32" s="1532">
        <v>95</v>
      </c>
      <c r="H32" s="610">
        <v>2024</v>
      </c>
      <c r="I32" s="1533">
        <v>3.56E-2</v>
      </c>
      <c r="J32" s="615">
        <v>11</v>
      </c>
      <c r="K32" s="402"/>
      <c r="L32" s="407">
        <f t="shared" si="12"/>
        <v>0</v>
      </c>
      <c r="M32" s="404">
        <f t="shared" si="125"/>
        <v>0</v>
      </c>
      <c r="N32" s="414">
        <f t="shared" si="126"/>
        <v>0</v>
      </c>
      <c r="O32" s="414">
        <f t="shared" si="127"/>
        <v>0</v>
      </c>
      <c r="P32" s="406">
        <f t="shared" si="128"/>
        <v>0</v>
      </c>
      <c r="Q32" s="407">
        <f t="shared" si="17"/>
        <v>0</v>
      </c>
      <c r="R32" s="404">
        <f t="shared" si="129"/>
        <v>0</v>
      </c>
      <c r="S32" s="414">
        <f t="shared" si="130"/>
        <v>0</v>
      </c>
      <c r="T32" s="414">
        <f t="shared" si="131"/>
        <v>0</v>
      </c>
      <c r="U32" s="406">
        <f t="shared" si="132"/>
        <v>0</v>
      </c>
      <c r="V32" s="407">
        <f t="shared" si="22"/>
        <v>0</v>
      </c>
      <c r="W32" s="404">
        <f t="shared" si="133"/>
        <v>0</v>
      </c>
      <c r="X32" s="414">
        <f t="shared" si="134"/>
        <v>0</v>
      </c>
      <c r="Y32" s="414">
        <f t="shared" si="135"/>
        <v>0</v>
      </c>
      <c r="Z32" s="406">
        <f t="shared" si="136"/>
        <v>0</v>
      </c>
      <c r="AA32" s="407">
        <f t="shared" si="27"/>
        <v>0</v>
      </c>
      <c r="AB32" s="404">
        <f t="shared" si="137"/>
        <v>0</v>
      </c>
      <c r="AC32" s="414">
        <f t="shared" si="138"/>
        <v>0</v>
      </c>
      <c r="AD32" s="414">
        <f t="shared" si="139"/>
        <v>0</v>
      </c>
      <c r="AE32" s="406">
        <f t="shared" si="140"/>
        <v>0</v>
      </c>
      <c r="AF32" s="407">
        <f t="shared" si="32"/>
        <v>0</v>
      </c>
      <c r="AG32" s="404">
        <f t="shared" si="141"/>
        <v>0</v>
      </c>
      <c r="AH32" s="414">
        <f t="shared" si="142"/>
        <v>0</v>
      </c>
      <c r="AI32" s="414">
        <f t="shared" si="143"/>
        <v>0</v>
      </c>
      <c r="AJ32" s="406">
        <f t="shared" si="144"/>
        <v>0</v>
      </c>
      <c r="AK32" s="407">
        <f t="shared" si="37"/>
        <v>0</v>
      </c>
      <c r="AL32" s="404">
        <f t="shared" si="145"/>
        <v>0</v>
      </c>
      <c r="AM32" s="414">
        <f t="shared" si="146"/>
        <v>0</v>
      </c>
      <c r="AN32" s="414">
        <f t="shared" si="147"/>
        <v>0</v>
      </c>
      <c r="AO32" s="406">
        <f t="shared" si="148"/>
        <v>0</v>
      </c>
      <c r="AP32" s="407">
        <f t="shared" si="42"/>
        <v>0</v>
      </c>
      <c r="AQ32" s="404">
        <f t="shared" si="149"/>
        <v>0</v>
      </c>
      <c r="AR32" s="414">
        <f t="shared" si="150"/>
        <v>0</v>
      </c>
      <c r="AS32" s="414">
        <f t="shared" si="151"/>
        <v>0</v>
      </c>
      <c r="AT32" s="406">
        <f t="shared" si="152"/>
        <v>0</v>
      </c>
      <c r="AU32" s="407">
        <f t="shared" si="47"/>
        <v>0</v>
      </c>
      <c r="AV32" s="404">
        <f t="shared" si="153"/>
        <v>0</v>
      </c>
      <c r="AW32" s="414">
        <f t="shared" si="154"/>
        <v>0</v>
      </c>
      <c r="AX32" s="414">
        <f t="shared" si="155"/>
        <v>0</v>
      </c>
      <c r="AY32" s="406">
        <f t="shared" si="156"/>
        <v>0</v>
      </c>
      <c r="AZ32" s="407">
        <f t="shared" si="52"/>
        <v>0</v>
      </c>
      <c r="BA32" s="404">
        <f t="shared" si="157"/>
        <v>0</v>
      </c>
      <c r="BB32" s="414">
        <f t="shared" si="158"/>
        <v>0</v>
      </c>
      <c r="BC32" s="414">
        <f t="shared" si="159"/>
        <v>0</v>
      </c>
      <c r="BD32" s="406">
        <f t="shared" si="160"/>
        <v>0</v>
      </c>
      <c r="BE32" s="407">
        <f t="shared" si="57"/>
        <v>0</v>
      </c>
      <c r="BF32" s="404">
        <f t="shared" si="161"/>
        <v>0</v>
      </c>
      <c r="BG32" s="414">
        <f t="shared" si="162"/>
        <v>0</v>
      </c>
      <c r="BH32" s="414">
        <f t="shared" si="163"/>
        <v>0</v>
      </c>
      <c r="BI32" s="406">
        <f t="shared" si="164"/>
        <v>0</v>
      </c>
      <c r="BJ32" s="407">
        <f t="shared" si="62"/>
        <v>0</v>
      </c>
      <c r="BK32" s="404">
        <f t="shared" si="165"/>
        <v>0</v>
      </c>
      <c r="BL32" s="414">
        <f t="shared" si="166"/>
        <v>0</v>
      </c>
      <c r="BM32" s="414">
        <f t="shared" si="167"/>
        <v>0</v>
      </c>
      <c r="BN32" s="406">
        <f t="shared" si="168"/>
        <v>0</v>
      </c>
      <c r="BO32" s="407">
        <f t="shared" si="67"/>
        <v>0</v>
      </c>
      <c r="BP32" s="449"/>
      <c r="BQ32" s="413">
        <f t="shared" si="169"/>
        <v>0</v>
      </c>
      <c r="BR32" s="410">
        <f t="shared" si="170"/>
        <v>0</v>
      </c>
      <c r="BS32" s="416">
        <f t="shared" si="171"/>
        <v>0</v>
      </c>
      <c r="BT32" s="416">
        <f t="shared" si="172"/>
        <v>0</v>
      </c>
      <c r="BU32" s="412">
        <f t="shared" si="173"/>
        <v>0</v>
      </c>
      <c r="BV32" s="413">
        <f t="shared" si="174"/>
        <v>0</v>
      </c>
      <c r="BW32" s="410">
        <f t="shared" si="175"/>
        <v>0</v>
      </c>
      <c r="BX32" s="416">
        <f t="shared" si="176"/>
        <v>0</v>
      </c>
      <c r="BY32" s="416">
        <f t="shared" si="177"/>
        <v>0</v>
      </c>
      <c r="BZ32" s="412">
        <f t="shared" si="178"/>
        <v>0</v>
      </c>
      <c r="CA32" s="413">
        <f t="shared" si="179"/>
        <v>0</v>
      </c>
      <c r="CB32" s="410">
        <f t="shared" si="180"/>
        <v>0</v>
      </c>
      <c r="CC32" s="416">
        <f t="shared" si="181"/>
        <v>0</v>
      </c>
      <c r="CD32" s="416">
        <f t="shared" si="182"/>
        <v>0</v>
      </c>
      <c r="CE32" s="412">
        <f t="shared" si="183"/>
        <v>0</v>
      </c>
      <c r="CF32" s="413">
        <f t="shared" si="184"/>
        <v>0</v>
      </c>
      <c r="CG32" s="410">
        <f t="shared" si="185"/>
        <v>0</v>
      </c>
      <c r="CH32" s="416">
        <f t="shared" si="186"/>
        <v>0</v>
      </c>
      <c r="CI32" s="416">
        <f t="shared" si="187"/>
        <v>0</v>
      </c>
      <c r="CJ32" s="412">
        <f t="shared" si="188"/>
        <v>0</v>
      </c>
      <c r="CK32" s="413">
        <f t="shared" si="189"/>
        <v>0</v>
      </c>
      <c r="CL32" s="410">
        <f t="shared" si="190"/>
        <v>0</v>
      </c>
      <c r="CM32" s="416">
        <f t="shared" si="191"/>
        <v>0</v>
      </c>
      <c r="CN32" s="416">
        <f t="shared" si="192"/>
        <v>0</v>
      </c>
      <c r="CO32" s="412">
        <f t="shared" si="193"/>
        <v>0</v>
      </c>
      <c r="CP32" s="413">
        <f t="shared" si="194"/>
        <v>0</v>
      </c>
      <c r="CQ32" s="410">
        <f t="shared" si="195"/>
        <v>0</v>
      </c>
      <c r="CR32" s="416">
        <f t="shared" si="196"/>
        <v>0</v>
      </c>
      <c r="CS32" s="416">
        <f t="shared" si="197"/>
        <v>0</v>
      </c>
      <c r="CT32" s="412">
        <f t="shared" si="198"/>
        <v>0</v>
      </c>
      <c r="CU32" s="413">
        <f t="shared" si="199"/>
        <v>0</v>
      </c>
      <c r="CV32" s="410">
        <f t="shared" si="200"/>
        <v>0</v>
      </c>
      <c r="CW32" s="416">
        <f t="shared" si="201"/>
        <v>0</v>
      </c>
      <c r="CX32" s="416">
        <f t="shared" si="202"/>
        <v>0</v>
      </c>
      <c r="CY32" s="412">
        <f t="shared" si="203"/>
        <v>0</v>
      </c>
      <c r="CZ32" s="413">
        <f t="shared" si="204"/>
        <v>0</v>
      </c>
      <c r="DA32" s="410">
        <f t="shared" si="205"/>
        <v>0</v>
      </c>
      <c r="DB32" s="416">
        <f t="shared" si="206"/>
        <v>0</v>
      </c>
      <c r="DC32" s="416">
        <f t="shared" si="207"/>
        <v>0</v>
      </c>
      <c r="DD32" s="412">
        <f t="shared" si="208"/>
        <v>0</v>
      </c>
      <c r="DE32" s="413">
        <f t="shared" si="209"/>
        <v>0</v>
      </c>
      <c r="DF32" s="410">
        <f t="shared" si="210"/>
        <v>0</v>
      </c>
      <c r="DG32" s="416">
        <f t="shared" si="211"/>
        <v>0</v>
      </c>
      <c r="DH32" s="416">
        <f t="shared" si="212"/>
        <v>0</v>
      </c>
      <c r="DI32" s="412">
        <f t="shared" si="213"/>
        <v>0</v>
      </c>
      <c r="DJ32" s="413">
        <f t="shared" si="214"/>
        <v>0</v>
      </c>
      <c r="DK32" s="410">
        <f t="shared" si="215"/>
        <v>0</v>
      </c>
      <c r="DL32" s="416">
        <f t="shared" si="216"/>
        <v>0</v>
      </c>
      <c r="DM32" s="416">
        <f t="shared" si="217"/>
        <v>0</v>
      </c>
      <c r="DN32" s="412">
        <f t="shared" si="218"/>
        <v>0</v>
      </c>
      <c r="DO32" s="413">
        <f t="shared" si="219"/>
        <v>0</v>
      </c>
      <c r="DP32" s="410">
        <f t="shared" si="220"/>
        <v>0</v>
      </c>
      <c r="DQ32" s="416">
        <f t="shared" si="221"/>
        <v>0</v>
      </c>
      <c r="DR32" s="416">
        <f t="shared" si="222"/>
        <v>0</v>
      </c>
      <c r="DS32" s="412">
        <f t="shared" si="223"/>
        <v>0</v>
      </c>
      <c r="DT32" s="413">
        <f t="shared" si="224"/>
        <v>0</v>
      </c>
    </row>
    <row r="33" spans="1:124" ht="12.75" customHeight="1">
      <c r="A33" s="491"/>
      <c r="C33" s="1885" t="s">
        <v>1307</v>
      </c>
      <c r="D33" s="1885"/>
      <c r="E33" s="1886">
        <f t="shared" si="124"/>
        <v>50</v>
      </c>
      <c r="F33" s="1532">
        <v>50</v>
      </c>
      <c r="G33" s="1532">
        <v>50</v>
      </c>
      <c r="H33" s="610">
        <v>2025</v>
      </c>
      <c r="I33" s="1533">
        <v>3.6600000000000001E-2</v>
      </c>
      <c r="J33" s="615">
        <v>3</v>
      </c>
      <c r="K33" s="402"/>
      <c r="L33" s="407">
        <f t="shared" ref="L33:L42" si="225">IF(L$5=$H33,-$E33,0)</f>
        <v>0</v>
      </c>
      <c r="M33" s="404">
        <f t="shared" si="125"/>
        <v>0</v>
      </c>
      <c r="N33" s="414">
        <f t="shared" si="126"/>
        <v>0</v>
      </c>
      <c r="O33" s="414">
        <f t="shared" si="127"/>
        <v>0</v>
      </c>
      <c r="P33" s="406">
        <f t="shared" si="128"/>
        <v>0</v>
      </c>
      <c r="Q33" s="407">
        <f t="shared" ref="Q33:Q42" si="226">IF(Q$5=$H33,-$E33,0)</f>
        <v>0</v>
      </c>
      <c r="R33" s="404">
        <f t="shared" si="129"/>
        <v>0</v>
      </c>
      <c r="S33" s="414">
        <f t="shared" si="130"/>
        <v>0</v>
      </c>
      <c r="T33" s="414">
        <f t="shared" si="131"/>
        <v>0</v>
      </c>
      <c r="U33" s="406">
        <f t="shared" si="132"/>
        <v>0</v>
      </c>
      <c r="V33" s="407">
        <f t="shared" ref="V33:V42" si="227">IF(V$5=$H33,-$E33,0)</f>
        <v>0</v>
      </c>
      <c r="W33" s="404">
        <f t="shared" si="133"/>
        <v>0</v>
      </c>
      <c r="X33" s="414">
        <f t="shared" si="134"/>
        <v>0</v>
      </c>
      <c r="Y33" s="414">
        <f t="shared" si="135"/>
        <v>0</v>
      </c>
      <c r="Z33" s="406">
        <f t="shared" si="136"/>
        <v>0</v>
      </c>
      <c r="AA33" s="407">
        <f t="shared" ref="AA33:AA42" si="228">IF(AA$5=$H33,-$E33,0)</f>
        <v>0</v>
      </c>
      <c r="AB33" s="404">
        <f t="shared" si="137"/>
        <v>0</v>
      </c>
      <c r="AC33" s="414">
        <f t="shared" si="138"/>
        <v>0</v>
      </c>
      <c r="AD33" s="414">
        <f t="shared" si="139"/>
        <v>0</v>
      </c>
      <c r="AE33" s="406">
        <f t="shared" si="140"/>
        <v>0</v>
      </c>
      <c r="AF33" s="407">
        <f t="shared" ref="AF33:AF42" si="229">IF(AF$5=$H33,-$E33,0)</f>
        <v>0</v>
      </c>
      <c r="AG33" s="404">
        <f t="shared" si="141"/>
        <v>0</v>
      </c>
      <c r="AH33" s="414">
        <f t="shared" si="142"/>
        <v>0</v>
      </c>
      <c r="AI33" s="414">
        <f t="shared" si="143"/>
        <v>0</v>
      </c>
      <c r="AJ33" s="406">
        <f t="shared" si="144"/>
        <v>0</v>
      </c>
      <c r="AK33" s="407">
        <f t="shared" ref="AK33:AK42" si="230">IF(AK$5=$H33,-$E33,0)</f>
        <v>0</v>
      </c>
      <c r="AL33" s="404">
        <f t="shared" si="145"/>
        <v>0</v>
      </c>
      <c r="AM33" s="414">
        <f t="shared" si="146"/>
        <v>0</v>
      </c>
      <c r="AN33" s="414">
        <f t="shared" si="147"/>
        <v>0</v>
      </c>
      <c r="AO33" s="406">
        <f t="shared" si="148"/>
        <v>0</v>
      </c>
      <c r="AP33" s="407">
        <f t="shared" ref="AP33:AP42" si="231">IF(AP$5=$H33,-$E33,0)</f>
        <v>0</v>
      </c>
      <c r="AQ33" s="404">
        <f t="shared" si="149"/>
        <v>0</v>
      </c>
      <c r="AR33" s="414">
        <f t="shared" si="150"/>
        <v>0</v>
      </c>
      <c r="AS33" s="414">
        <f t="shared" si="151"/>
        <v>0</v>
      </c>
      <c r="AT33" s="406">
        <f t="shared" si="152"/>
        <v>0</v>
      </c>
      <c r="AU33" s="407">
        <f t="shared" ref="AU33:AU42" si="232">IF(AU$5=$H33,-$E33,0)</f>
        <v>0</v>
      </c>
      <c r="AV33" s="404">
        <f t="shared" si="153"/>
        <v>0</v>
      </c>
      <c r="AW33" s="414">
        <f t="shared" si="154"/>
        <v>0</v>
      </c>
      <c r="AX33" s="414">
        <f t="shared" si="155"/>
        <v>0</v>
      </c>
      <c r="AY33" s="406">
        <f t="shared" si="156"/>
        <v>0</v>
      </c>
      <c r="AZ33" s="407">
        <f t="shared" ref="AZ33:AZ42" si="233">IF(AZ$5=$H33,-$E33,0)</f>
        <v>0</v>
      </c>
      <c r="BA33" s="404">
        <f t="shared" si="157"/>
        <v>0</v>
      </c>
      <c r="BB33" s="414">
        <f t="shared" si="158"/>
        <v>0</v>
      </c>
      <c r="BC33" s="414">
        <f t="shared" si="159"/>
        <v>0</v>
      </c>
      <c r="BD33" s="406">
        <f t="shared" si="160"/>
        <v>0</v>
      </c>
      <c r="BE33" s="407">
        <f t="shared" ref="BE33:BE42" si="234">IF(BE$5=$H33,-$E33,0)</f>
        <v>0</v>
      </c>
      <c r="BF33" s="404">
        <f t="shared" si="161"/>
        <v>0</v>
      </c>
      <c r="BG33" s="414">
        <f t="shared" si="162"/>
        <v>0</v>
      </c>
      <c r="BH33" s="414">
        <f t="shared" si="163"/>
        <v>0</v>
      </c>
      <c r="BI33" s="406">
        <f t="shared" si="164"/>
        <v>0</v>
      </c>
      <c r="BJ33" s="407">
        <f t="shared" ref="BJ33:BJ42" si="235">IF(BJ$5=$H33,-$E33,0)</f>
        <v>0</v>
      </c>
      <c r="BK33" s="404">
        <f t="shared" si="165"/>
        <v>0</v>
      </c>
      <c r="BL33" s="414">
        <f t="shared" si="166"/>
        <v>0</v>
      </c>
      <c r="BM33" s="414">
        <f t="shared" si="167"/>
        <v>0</v>
      </c>
      <c r="BN33" s="406">
        <f t="shared" si="168"/>
        <v>0</v>
      </c>
      <c r="BO33" s="407">
        <f t="shared" ref="BO33:BO42" si="236">IF(BO$5=$H33,-$E33,0)</f>
        <v>0</v>
      </c>
      <c r="BP33" s="449"/>
      <c r="BQ33" s="413">
        <f t="shared" si="169"/>
        <v>0</v>
      </c>
      <c r="BR33" s="410">
        <f t="shared" si="170"/>
        <v>0</v>
      </c>
      <c r="BS33" s="416">
        <f t="shared" si="171"/>
        <v>0</v>
      </c>
      <c r="BT33" s="416">
        <f t="shared" si="172"/>
        <v>0</v>
      </c>
      <c r="BU33" s="412">
        <f t="shared" si="173"/>
        <v>0</v>
      </c>
      <c r="BV33" s="413">
        <f t="shared" si="174"/>
        <v>0</v>
      </c>
      <c r="BW33" s="410">
        <f t="shared" si="175"/>
        <v>0</v>
      </c>
      <c r="BX33" s="416">
        <f t="shared" si="176"/>
        <v>0</v>
      </c>
      <c r="BY33" s="416">
        <f t="shared" si="177"/>
        <v>0</v>
      </c>
      <c r="BZ33" s="412">
        <f t="shared" si="178"/>
        <v>0</v>
      </c>
      <c r="CA33" s="413">
        <f t="shared" si="179"/>
        <v>0</v>
      </c>
      <c r="CB33" s="410">
        <f t="shared" si="180"/>
        <v>0</v>
      </c>
      <c r="CC33" s="416">
        <f t="shared" si="181"/>
        <v>0</v>
      </c>
      <c r="CD33" s="416">
        <f t="shared" si="182"/>
        <v>0</v>
      </c>
      <c r="CE33" s="412">
        <f t="shared" si="183"/>
        <v>0</v>
      </c>
      <c r="CF33" s="413">
        <f t="shared" si="184"/>
        <v>0</v>
      </c>
      <c r="CG33" s="410">
        <f t="shared" si="185"/>
        <v>0</v>
      </c>
      <c r="CH33" s="416">
        <f t="shared" si="186"/>
        <v>0</v>
      </c>
      <c r="CI33" s="416">
        <f t="shared" si="187"/>
        <v>0</v>
      </c>
      <c r="CJ33" s="412">
        <f t="shared" si="188"/>
        <v>0</v>
      </c>
      <c r="CK33" s="413">
        <f t="shared" si="189"/>
        <v>0</v>
      </c>
      <c r="CL33" s="410">
        <f t="shared" si="190"/>
        <v>0</v>
      </c>
      <c r="CM33" s="416">
        <f t="shared" si="191"/>
        <v>0</v>
      </c>
      <c r="CN33" s="416">
        <f t="shared" si="192"/>
        <v>0</v>
      </c>
      <c r="CO33" s="412">
        <f t="shared" si="193"/>
        <v>0</v>
      </c>
      <c r="CP33" s="413">
        <f t="shared" si="194"/>
        <v>0</v>
      </c>
      <c r="CQ33" s="410">
        <f t="shared" si="195"/>
        <v>0</v>
      </c>
      <c r="CR33" s="416">
        <f t="shared" si="196"/>
        <v>0</v>
      </c>
      <c r="CS33" s="416">
        <f t="shared" si="197"/>
        <v>0</v>
      </c>
      <c r="CT33" s="412">
        <f t="shared" si="198"/>
        <v>0</v>
      </c>
      <c r="CU33" s="413">
        <f t="shared" si="199"/>
        <v>0</v>
      </c>
      <c r="CV33" s="410">
        <f t="shared" si="200"/>
        <v>0</v>
      </c>
      <c r="CW33" s="416">
        <f t="shared" si="201"/>
        <v>0</v>
      </c>
      <c r="CX33" s="416">
        <f t="shared" si="202"/>
        <v>0</v>
      </c>
      <c r="CY33" s="412">
        <f t="shared" si="203"/>
        <v>0</v>
      </c>
      <c r="CZ33" s="413">
        <f t="shared" si="204"/>
        <v>0</v>
      </c>
      <c r="DA33" s="410">
        <f t="shared" si="205"/>
        <v>0</v>
      </c>
      <c r="DB33" s="416">
        <f t="shared" si="206"/>
        <v>0</v>
      </c>
      <c r="DC33" s="416">
        <f t="shared" si="207"/>
        <v>0</v>
      </c>
      <c r="DD33" s="412">
        <f t="shared" si="208"/>
        <v>0</v>
      </c>
      <c r="DE33" s="413">
        <f t="shared" si="209"/>
        <v>0</v>
      </c>
      <c r="DF33" s="410">
        <f t="shared" si="210"/>
        <v>0</v>
      </c>
      <c r="DG33" s="416">
        <f t="shared" si="211"/>
        <v>0</v>
      </c>
      <c r="DH33" s="416">
        <f t="shared" si="212"/>
        <v>0</v>
      </c>
      <c r="DI33" s="412">
        <f t="shared" si="213"/>
        <v>0</v>
      </c>
      <c r="DJ33" s="413">
        <f t="shared" si="214"/>
        <v>0</v>
      </c>
      <c r="DK33" s="410">
        <f t="shared" si="215"/>
        <v>0</v>
      </c>
      <c r="DL33" s="416">
        <f t="shared" si="216"/>
        <v>0</v>
      </c>
      <c r="DM33" s="416">
        <f t="shared" si="217"/>
        <v>0</v>
      </c>
      <c r="DN33" s="412">
        <f t="shared" si="218"/>
        <v>0</v>
      </c>
      <c r="DO33" s="413">
        <f t="shared" si="219"/>
        <v>0</v>
      </c>
      <c r="DP33" s="410">
        <f t="shared" si="220"/>
        <v>0</v>
      </c>
      <c r="DQ33" s="416">
        <f t="shared" si="221"/>
        <v>0</v>
      </c>
      <c r="DR33" s="416">
        <f t="shared" si="222"/>
        <v>0</v>
      </c>
      <c r="DS33" s="412">
        <f t="shared" si="223"/>
        <v>0</v>
      </c>
      <c r="DT33" s="413">
        <f t="shared" si="224"/>
        <v>0</v>
      </c>
    </row>
    <row r="34" spans="1:124" ht="12.75" customHeight="1">
      <c r="A34" s="491"/>
      <c r="C34" s="1885" t="s">
        <v>1308</v>
      </c>
      <c r="D34" s="1885"/>
      <c r="E34" s="1886">
        <f t="shared" si="124"/>
        <v>40</v>
      </c>
      <c r="F34" s="1532">
        <v>40</v>
      </c>
      <c r="G34" s="1532">
        <v>40</v>
      </c>
      <c r="H34" s="610">
        <v>2025</v>
      </c>
      <c r="I34" s="1533">
        <v>3.7600000000000001E-2</v>
      </c>
      <c r="J34" s="615">
        <v>6</v>
      </c>
      <c r="K34" s="402"/>
      <c r="L34" s="407">
        <f t="shared" si="225"/>
        <v>0</v>
      </c>
      <c r="M34" s="404">
        <f t="shared" si="125"/>
        <v>0</v>
      </c>
      <c r="N34" s="414">
        <f t="shared" si="126"/>
        <v>0</v>
      </c>
      <c r="O34" s="414">
        <f t="shared" si="127"/>
        <v>0</v>
      </c>
      <c r="P34" s="406">
        <f t="shared" si="128"/>
        <v>0</v>
      </c>
      <c r="Q34" s="407">
        <f t="shared" si="226"/>
        <v>0</v>
      </c>
      <c r="R34" s="404">
        <f t="shared" si="129"/>
        <v>0</v>
      </c>
      <c r="S34" s="414">
        <f t="shared" si="130"/>
        <v>0</v>
      </c>
      <c r="T34" s="414">
        <f t="shared" si="131"/>
        <v>0</v>
      </c>
      <c r="U34" s="406">
        <f t="shared" si="132"/>
        <v>0</v>
      </c>
      <c r="V34" s="407">
        <f t="shared" si="227"/>
        <v>0</v>
      </c>
      <c r="W34" s="404">
        <f t="shared" si="133"/>
        <v>0</v>
      </c>
      <c r="X34" s="414">
        <f t="shared" si="134"/>
        <v>0</v>
      </c>
      <c r="Y34" s="414">
        <f t="shared" si="135"/>
        <v>0</v>
      </c>
      <c r="Z34" s="406">
        <f t="shared" si="136"/>
        <v>0</v>
      </c>
      <c r="AA34" s="407">
        <f t="shared" si="228"/>
        <v>0</v>
      </c>
      <c r="AB34" s="404">
        <f t="shared" si="137"/>
        <v>0</v>
      </c>
      <c r="AC34" s="414">
        <f t="shared" si="138"/>
        <v>0</v>
      </c>
      <c r="AD34" s="414">
        <f t="shared" si="139"/>
        <v>0</v>
      </c>
      <c r="AE34" s="406">
        <f t="shared" si="140"/>
        <v>0</v>
      </c>
      <c r="AF34" s="407">
        <f t="shared" si="229"/>
        <v>0</v>
      </c>
      <c r="AG34" s="404">
        <f t="shared" si="141"/>
        <v>0</v>
      </c>
      <c r="AH34" s="414">
        <f t="shared" si="142"/>
        <v>0</v>
      </c>
      <c r="AI34" s="414">
        <f t="shared" si="143"/>
        <v>0</v>
      </c>
      <c r="AJ34" s="406">
        <f t="shared" si="144"/>
        <v>0</v>
      </c>
      <c r="AK34" s="407">
        <f t="shared" si="230"/>
        <v>0</v>
      </c>
      <c r="AL34" s="404">
        <f t="shared" si="145"/>
        <v>0</v>
      </c>
      <c r="AM34" s="414">
        <f t="shared" si="146"/>
        <v>0</v>
      </c>
      <c r="AN34" s="414">
        <f t="shared" si="147"/>
        <v>0</v>
      </c>
      <c r="AO34" s="406">
        <f t="shared" si="148"/>
        <v>0</v>
      </c>
      <c r="AP34" s="407">
        <f t="shared" si="231"/>
        <v>0</v>
      </c>
      <c r="AQ34" s="404">
        <f t="shared" si="149"/>
        <v>0</v>
      </c>
      <c r="AR34" s="414">
        <f t="shared" si="150"/>
        <v>0</v>
      </c>
      <c r="AS34" s="414">
        <f t="shared" si="151"/>
        <v>0</v>
      </c>
      <c r="AT34" s="406">
        <f t="shared" si="152"/>
        <v>0</v>
      </c>
      <c r="AU34" s="407">
        <f t="shared" si="232"/>
        <v>0</v>
      </c>
      <c r="AV34" s="404">
        <f t="shared" si="153"/>
        <v>0</v>
      </c>
      <c r="AW34" s="414">
        <f t="shared" si="154"/>
        <v>0</v>
      </c>
      <c r="AX34" s="414">
        <f t="shared" si="155"/>
        <v>0</v>
      </c>
      <c r="AY34" s="406">
        <f t="shared" si="156"/>
        <v>0</v>
      </c>
      <c r="AZ34" s="407">
        <f t="shared" si="233"/>
        <v>0</v>
      </c>
      <c r="BA34" s="404">
        <f t="shared" si="157"/>
        <v>0</v>
      </c>
      <c r="BB34" s="414">
        <f t="shared" si="158"/>
        <v>0</v>
      </c>
      <c r="BC34" s="414">
        <f t="shared" si="159"/>
        <v>0</v>
      </c>
      <c r="BD34" s="406">
        <f t="shared" si="160"/>
        <v>0</v>
      </c>
      <c r="BE34" s="407">
        <f t="shared" si="234"/>
        <v>0</v>
      </c>
      <c r="BF34" s="404">
        <f t="shared" si="161"/>
        <v>0</v>
      </c>
      <c r="BG34" s="414">
        <f t="shared" si="162"/>
        <v>0</v>
      </c>
      <c r="BH34" s="414">
        <f t="shared" si="163"/>
        <v>0</v>
      </c>
      <c r="BI34" s="406">
        <f t="shared" si="164"/>
        <v>0</v>
      </c>
      <c r="BJ34" s="407">
        <f t="shared" si="235"/>
        <v>0</v>
      </c>
      <c r="BK34" s="404">
        <f t="shared" si="165"/>
        <v>0</v>
      </c>
      <c r="BL34" s="414">
        <f t="shared" si="166"/>
        <v>0</v>
      </c>
      <c r="BM34" s="414">
        <f t="shared" si="167"/>
        <v>0</v>
      </c>
      <c r="BN34" s="406">
        <f t="shared" si="168"/>
        <v>0</v>
      </c>
      <c r="BO34" s="407">
        <f t="shared" si="236"/>
        <v>0</v>
      </c>
      <c r="BP34" s="449"/>
      <c r="BQ34" s="413">
        <f t="shared" si="169"/>
        <v>0</v>
      </c>
      <c r="BR34" s="410">
        <f t="shared" si="170"/>
        <v>0</v>
      </c>
      <c r="BS34" s="416">
        <f t="shared" si="171"/>
        <v>0</v>
      </c>
      <c r="BT34" s="416">
        <f t="shared" si="172"/>
        <v>0</v>
      </c>
      <c r="BU34" s="412">
        <f t="shared" si="173"/>
        <v>0</v>
      </c>
      <c r="BV34" s="413">
        <f t="shared" si="174"/>
        <v>0</v>
      </c>
      <c r="BW34" s="410">
        <f t="shared" si="175"/>
        <v>0</v>
      </c>
      <c r="BX34" s="416">
        <f t="shared" si="176"/>
        <v>0</v>
      </c>
      <c r="BY34" s="416">
        <f t="shared" si="177"/>
        <v>0</v>
      </c>
      <c r="BZ34" s="412">
        <f t="shared" si="178"/>
        <v>0</v>
      </c>
      <c r="CA34" s="413">
        <f t="shared" si="179"/>
        <v>0</v>
      </c>
      <c r="CB34" s="410">
        <f t="shared" si="180"/>
        <v>0</v>
      </c>
      <c r="CC34" s="416">
        <f t="shared" si="181"/>
        <v>0</v>
      </c>
      <c r="CD34" s="416">
        <f t="shared" si="182"/>
        <v>0</v>
      </c>
      <c r="CE34" s="412">
        <f t="shared" si="183"/>
        <v>0</v>
      </c>
      <c r="CF34" s="413">
        <f t="shared" si="184"/>
        <v>0</v>
      </c>
      <c r="CG34" s="410">
        <f t="shared" si="185"/>
        <v>0</v>
      </c>
      <c r="CH34" s="416">
        <f t="shared" si="186"/>
        <v>0</v>
      </c>
      <c r="CI34" s="416">
        <f t="shared" si="187"/>
        <v>0</v>
      </c>
      <c r="CJ34" s="412">
        <f t="shared" si="188"/>
        <v>0</v>
      </c>
      <c r="CK34" s="413">
        <f t="shared" si="189"/>
        <v>0</v>
      </c>
      <c r="CL34" s="410">
        <f t="shared" si="190"/>
        <v>0</v>
      </c>
      <c r="CM34" s="416">
        <f t="shared" si="191"/>
        <v>0</v>
      </c>
      <c r="CN34" s="416">
        <f t="shared" si="192"/>
        <v>0</v>
      </c>
      <c r="CO34" s="412">
        <f t="shared" si="193"/>
        <v>0</v>
      </c>
      <c r="CP34" s="413">
        <f t="shared" si="194"/>
        <v>0</v>
      </c>
      <c r="CQ34" s="410">
        <f t="shared" si="195"/>
        <v>0</v>
      </c>
      <c r="CR34" s="416">
        <f t="shared" si="196"/>
        <v>0</v>
      </c>
      <c r="CS34" s="416">
        <f t="shared" si="197"/>
        <v>0</v>
      </c>
      <c r="CT34" s="412">
        <f t="shared" si="198"/>
        <v>0</v>
      </c>
      <c r="CU34" s="413">
        <f t="shared" si="199"/>
        <v>0</v>
      </c>
      <c r="CV34" s="410">
        <f t="shared" si="200"/>
        <v>0</v>
      </c>
      <c r="CW34" s="416">
        <f t="shared" si="201"/>
        <v>0</v>
      </c>
      <c r="CX34" s="416">
        <f t="shared" si="202"/>
        <v>0</v>
      </c>
      <c r="CY34" s="412">
        <f t="shared" si="203"/>
        <v>0</v>
      </c>
      <c r="CZ34" s="413">
        <f t="shared" si="204"/>
        <v>0</v>
      </c>
      <c r="DA34" s="410">
        <f t="shared" si="205"/>
        <v>0</v>
      </c>
      <c r="DB34" s="416">
        <f t="shared" si="206"/>
        <v>0</v>
      </c>
      <c r="DC34" s="416">
        <f t="shared" si="207"/>
        <v>0</v>
      </c>
      <c r="DD34" s="412">
        <f t="shared" si="208"/>
        <v>0</v>
      </c>
      <c r="DE34" s="413">
        <f t="shared" si="209"/>
        <v>0</v>
      </c>
      <c r="DF34" s="410">
        <f t="shared" si="210"/>
        <v>0</v>
      </c>
      <c r="DG34" s="416">
        <f t="shared" si="211"/>
        <v>0</v>
      </c>
      <c r="DH34" s="416">
        <f t="shared" si="212"/>
        <v>0</v>
      </c>
      <c r="DI34" s="412">
        <f t="shared" si="213"/>
        <v>0</v>
      </c>
      <c r="DJ34" s="413">
        <f t="shared" si="214"/>
        <v>0</v>
      </c>
      <c r="DK34" s="410">
        <f t="shared" si="215"/>
        <v>0</v>
      </c>
      <c r="DL34" s="416">
        <f t="shared" si="216"/>
        <v>0</v>
      </c>
      <c r="DM34" s="416">
        <f t="shared" si="217"/>
        <v>0</v>
      </c>
      <c r="DN34" s="412">
        <f t="shared" si="218"/>
        <v>0</v>
      </c>
      <c r="DO34" s="413">
        <f t="shared" si="219"/>
        <v>0</v>
      </c>
      <c r="DP34" s="410">
        <f t="shared" si="220"/>
        <v>0</v>
      </c>
      <c r="DQ34" s="416">
        <f t="shared" si="221"/>
        <v>0</v>
      </c>
      <c r="DR34" s="416">
        <f t="shared" si="222"/>
        <v>0</v>
      </c>
      <c r="DS34" s="412">
        <f t="shared" si="223"/>
        <v>0</v>
      </c>
      <c r="DT34" s="413">
        <f t="shared" si="224"/>
        <v>0</v>
      </c>
    </row>
    <row r="35" spans="1:124" ht="12.75" customHeight="1">
      <c r="A35" s="491"/>
      <c r="C35" s="1885" t="s">
        <v>1309</v>
      </c>
      <c r="D35" s="1885"/>
      <c r="E35" s="1886">
        <f t="shared" si="124"/>
        <v>55</v>
      </c>
      <c r="F35" s="1532">
        <v>55</v>
      </c>
      <c r="G35" s="1532">
        <v>55</v>
      </c>
      <c r="H35" s="610">
        <v>2029</v>
      </c>
      <c r="I35" s="1533">
        <v>3.7499999999999999E-2</v>
      </c>
      <c r="J35" s="615">
        <v>11</v>
      </c>
      <c r="K35" s="402"/>
      <c r="L35" s="407">
        <f t="shared" si="225"/>
        <v>0</v>
      </c>
      <c r="M35" s="404">
        <f t="shared" si="125"/>
        <v>0</v>
      </c>
      <c r="N35" s="414">
        <f t="shared" si="126"/>
        <v>0</v>
      </c>
      <c r="O35" s="414">
        <f t="shared" si="127"/>
        <v>0</v>
      </c>
      <c r="P35" s="406">
        <f t="shared" si="128"/>
        <v>0</v>
      </c>
      <c r="Q35" s="407">
        <f t="shared" si="226"/>
        <v>0</v>
      </c>
      <c r="R35" s="404">
        <f t="shared" si="129"/>
        <v>0</v>
      </c>
      <c r="S35" s="414">
        <f t="shared" si="130"/>
        <v>0</v>
      </c>
      <c r="T35" s="414">
        <f t="shared" si="131"/>
        <v>0</v>
      </c>
      <c r="U35" s="406">
        <f t="shared" si="132"/>
        <v>0</v>
      </c>
      <c r="V35" s="407">
        <f t="shared" si="227"/>
        <v>0</v>
      </c>
      <c r="W35" s="404">
        <f t="shared" si="133"/>
        <v>0</v>
      </c>
      <c r="X35" s="414">
        <f t="shared" si="134"/>
        <v>0</v>
      </c>
      <c r="Y35" s="414">
        <f t="shared" si="135"/>
        <v>0</v>
      </c>
      <c r="Z35" s="406">
        <f t="shared" si="136"/>
        <v>0</v>
      </c>
      <c r="AA35" s="407">
        <f t="shared" si="228"/>
        <v>0</v>
      </c>
      <c r="AB35" s="404">
        <f t="shared" si="137"/>
        <v>0</v>
      </c>
      <c r="AC35" s="414">
        <f t="shared" si="138"/>
        <v>0</v>
      </c>
      <c r="AD35" s="414">
        <f t="shared" si="139"/>
        <v>0</v>
      </c>
      <c r="AE35" s="406">
        <f t="shared" si="140"/>
        <v>0</v>
      </c>
      <c r="AF35" s="407">
        <f t="shared" si="229"/>
        <v>0</v>
      </c>
      <c r="AG35" s="404">
        <f t="shared" si="141"/>
        <v>0</v>
      </c>
      <c r="AH35" s="414">
        <f t="shared" si="142"/>
        <v>0</v>
      </c>
      <c r="AI35" s="414">
        <f t="shared" si="143"/>
        <v>0</v>
      </c>
      <c r="AJ35" s="406">
        <f t="shared" si="144"/>
        <v>0</v>
      </c>
      <c r="AK35" s="407">
        <f t="shared" si="230"/>
        <v>0</v>
      </c>
      <c r="AL35" s="404">
        <f t="shared" si="145"/>
        <v>0</v>
      </c>
      <c r="AM35" s="414">
        <f t="shared" si="146"/>
        <v>0</v>
      </c>
      <c r="AN35" s="414">
        <f t="shared" si="147"/>
        <v>0</v>
      </c>
      <c r="AO35" s="406">
        <f t="shared" si="148"/>
        <v>0</v>
      </c>
      <c r="AP35" s="407">
        <f t="shared" si="231"/>
        <v>0</v>
      </c>
      <c r="AQ35" s="404">
        <f t="shared" si="149"/>
        <v>0</v>
      </c>
      <c r="AR35" s="414">
        <f t="shared" si="150"/>
        <v>0</v>
      </c>
      <c r="AS35" s="414">
        <f t="shared" si="151"/>
        <v>0</v>
      </c>
      <c r="AT35" s="406">
        <f t="shared" si="152"/>
        <v>0</v>
      </c>
      <c r="AU35" s="407">
        <f t="shared" si="232"/>
        <v>0</v>
      </c>
      <c r="AV35" s="404">
        <f t="shared" si="153"/>
        <v>0</v>
      </c>
      <c r="AW35" s="414">
        <f t="shared" si="154"/>
        <v>0</v>
      </c>
      <c r="AX35" s="414">
        <f t="shared" si="155"/>
        <v>0</v>
      </c>
      <c r="AY35" s="406">
        <f t="shared" si="156"/>
        <v>0</v>
      </c>
      <c r="AZ35" s="407">
        <f t="shared" si="233"/>
        <v>0</v>
      </c>
      <c r="BA35" s="404">
        <f t="shared" si="157"/>
        <v>0</v>
      </c>
      <c r="BB35" s="414">
        <f t="shared" si="158"/>
        <v>0</v>
      </c>
      <c r="BC35" s="414">
        <f t="shared" si="159"/>
        <v>0</v>
      </c>
      <c r="BD35" s="406">
        <f t="shared" si="160"/>
        <v>0</v>
      </c>
      <c r="BE35" s="407">
        <f t="shared" si="234"/>
        <v>0</v>
      </c>
      <c r="BF35" s="404">
        <f t="shared" si="161"/>
        <v>0</v>
      </c>
      <c r="BG35" s="414">
        <f t="shared" si="162"/>
        <v>0</v>
      </c>
      <c r="BH35" s="414">
        <f t="shared" si="163"/>
        <v>0</v>
      </c>
      <c r="BI35" s="406">
        <f t="shared" si="164"/>
        <v>0</v>
      </c>
      <c r="BJ35" s="407">
        <f t="shared" si="235"/>
        <v>0</v>
      </c>
      <c r="BK35" s="404">
        <f t="shared" si="165"/>
        <v>0</v>
      </c>
      <c r="BL35" s="414">
        <f t="shared" si="166"/>
        <v>0</v>
      </c>
      <c r="BM35" s="414">
        <f t="shared" si="167"/>
        <v>0</v>
      </c>
      <c r="BN35" s="406">
        <f t="shared" si="168"/>
        <v>0</v>
      </c>
      <c r="BO35" s="407">
        <f t="shared" si="236"/>
        <v>0</v>
      </c>
      <c r="BP35" s="449"/>
      <c r="BQ35" s="413">
        <f t="shared" si="169"/>
        <v>0</v>
      </c>
      <c r="BR35" s="410">
        <f t="shared" si="170"/>
        <v>0</v>
      </c>
      <c r="BS35" s="416">
        <f t="shared" si="171"/>
        <v>0</v>
      </c>
      <c r="BT35" s="416">
        <f t="shared" si="172"/>
        <v>0</v>
      </c>
      <c r="BU35" s="412">
        <f t="shared" si="173"/>
        <v>0</v>
      </c>
      <c r="BV35" s="413">
        <f t="shared" si="174"/>
        <v>0</v>
      </c>
      <c r="BW35" s="410">
        <f t="shared" si="175"/>
        <v>0</v>
      </c>
      <c r="BX35" s="416">
        <f t="shared" si="176"/>
        <v>0</v>
      </c>
      <c r="BY35" s="416">
        <f t="shared" si="177"/>
        <v>0</v>
      </c>
      <c r="BZ35" s="412">
        <f t="shared" si="178"/>
        <v>0</v>
      </c>
      <c r="CA35" s="413">
        <f t="shared" si="179"/>
        <v>0</v>
      </c>
      <c r="CB35" s="410">
        <f t="shared" si="180"/>
        <v>0</v>
      </c>
      <c r="CC35" s="416">
        <f t="shared" si="181"/>
        <v>0</v>
      </c>
      <c r="CD35" s="416">
        <f t="shared" si="182"/>
        <v>0</v>
      </c>
      <c r="CE35" s="412">
        <f t="shared" si="183"/>
        <v>0</v>
      </c>
      <c r="CF35" s="413">
        <f t="shared" si="184"/>
        <v>0</v>
      </c>
      <c r="CG35" s="410">
        <f t="shared" si="185"/>
        <v>0</v>
      </c>
      <c r="CH35" s="416">
        <f t="shared" si="186"/>
        <v>0</v>
      </c>
      <c r="CI35" s="416">
        <f t="shared" si="187"/>
        <v>0</v>
      </c>
      <c r="CJ35" s="412">
        <f t="shared" si="188"/>
        <v>0</v>
      </c>
      <c r="CK35" s="413">
        <f t="shared" si="189"/>
        <v>0</v>
      </c>
      <c r="CL35" s="410">
        <f t="shared" si="190"/>
        <v>0</v>
      </c>
      <c r="CM35" s="416">
        <f t="shared" si="191"/>
        <v>0</v>
      </c>
      <c r="CN35" s="416">
        <f t="shared" si="192"/>
        <v>0</v>
      </c>
      <c r="CO35" s="412">
        <f t="shared" si="193"/>
        <v>0</v>
      </c>
      <c r="CP35" s="413">
        <f t="shared" si="194"/>
        <v>0</v>
      </c>
      <c r="CQ35" s="410">
        <f t="shared" si="195"/>
        <v>0</v>
      </c>
      <c r="CR35" s="416">
        <f t="shared" si="196"/>
        <v>0</v>
      </c>
      <c r="CS35" s="416">
        <f t="shared" si="197"/>
        <v>0</v>
      </c>
      <c r="CT35" s="412">
        <f t="shared" si="198"/>
        <v>0</v>
      </c>
      <c r="CU35" s="413">
        <f t="shared" si="199"/>
        <v>0</v>
      </c>
      <c r="CV35" s="410">
        <f t="shared" si="200"/>
        <v>0</v>
      </c>
      <c r="CW35" s="416">
        <f t="shared" si="201"/>
        <v>0</v>
      </c>
      <c r="CX35" s="416">
        <f t="shared" si="202"/>
        <v>0</v>
      </c>
      <c r="CY35" s="412">
        <f t="shared" si="203"/>
        <v>0</v>
      </c>
      <c r="CZ35" s="413">
        <f t="shared" si="204"/>
        <v>0</v>
      </c>
      <c r="DA35" s="410">
        <f t="shared" si="205"/>
        <v>0</v>
      </c>
      <c r="DB35" s="416">
        <f t="shared" si="206"/>
        <v>0</v>
      </c>
      <c r="DC35" s="416">
        <f t="shared" si="207"/>
        <v>0</v>
      </c>
      <c r="DD35" s="412">
        <f t="shared" si="208"/>
        <v>0</v>
      </c>
      <c r="DE35" s="413">
        <f t="shared" si="209"/>
        <v>0</v>
      </c>
      <c r="DF35" s="410">
        <f t="shared" si="210"/>
        <v>0</v>
      </c>
      <c r="DG35" s="416">
        <f t="shared" si="211"/>
        <v>0</v>
      </c>
      <c r="DH35" s="416">
        <f t="shared" si="212"/>
        <v>0</v>
      </c>
      <c r="DI35" s="412">
        <f t="shared" si="213"/>
        <v>0</v>
      </c>
      <c r="DJ35" s="413">
        <f t="shared" si="214"/>
        <v>0</v>
      </c>
      <c r="DK35" s="410">
        <f t="shared" si="215"/>
        <v>0</v>
      </c>
      <c r="DL35" s="416">
        <f t="shared" si="216"/>
        <v>0</v>
      </c>
      <c r="DM35" s="416">
        <f t="shared" si="217"/>
        <v>0</v>
      </c>
      <c r="DN35" s="412">
        <f t="shared" si="218"/>
        <v>0</v>
      </c>
      <c r="DO35" s="413">
        <f t="shared" si="219"/>
        <v>0</v>
      </c>
      <c r="DP35" s="410">
        <f t="shared" si="220"/>
        <v>0</v>
      </c>
      <c r="DQ35" s="416">
        <f t="shared" si="221"/>
        <v>0</v>
      </c>
      <c r="DR35" s="416">
        <f t="shared" si="222"/>
        <v>0</v>
      </c>
      <c r="DS35" s="412">
        <f t="shared" si="223"/>
        <v>0</v>
      </c>
      <c r="DT35" s="413">
        <f t="shared" si="224"/>
        <v>0</v>
      </c>
    </row>
    <row r="36" spans="1:124" ht="12.75" customHeight="1">
      <c r="A36" s="491"/>
      <c r="C36" s="1885" t="s">
        <v>1310</v>
      </c>
      <c r="D36" s="1885"/>
      <c r="E36" s="1886">
        <f t="shared" si="124"/>
        <v>60</v>
      </c>
      <c r="F36" s="1532">
        <v>60</v>
      </c>
      <c r="G36" s="1532">
        <v>60</v>
      </c>
      <c r="H36" s="610">
        <v>2030</v>
      </c>
      <c r="I36" s="1533">
        <v>4.0099999999999997E-2</v>
      </c>
      <c r="J36" s="615">
        <v>6</v>
      </c>
      <c r="K36" s="402"/>
      <c r="L36" s="407">
        <f t="shared" si="225"/>
        <v>0</v>
      </c>
      <c r="M36" s="404">
        <f t="shared" si="125"/>
        <v>0</v>
      </c>
      <c r="N36" s="414">
        <f t="shared" si="126"/>
        <v>0</v>
      </c>
      <c r="O36" s="414">
        <f t="shared" si="127"/>
        <v>0</v>
      </c>
      <c r="P36" s="406">
        <f t="shared" si="128"/>
        <v>0</v>
      </c>
      <c r="Q36" s="407">
        <f t="shared" si="226"/>
        <v>0</v>
      </c>
      <c r="R36" s="404">
        <f t="shared" si="129"/>
        <v>0</v>
      </c>
      <c r="S36" s="414">
        <f t="shared" si="130"/>
        <v>0</v>
      </c>
      <c r="T36" s="414">
        <f t="shared" si="131"/>
        <v>0</v>
      </c>
      <c r="U36" s="406">
        <f t="shared" si="132"/>
        <v>0</v>
      </c>
      <c r="V36" s="407">
        <f t="shared" si="227"/>
        <v>0</v>
      </c>
      <c r="W36" s="404">
        <f t="shared" si="133"/>
        <v>0</v>
      </c>
      <c r="X36" s="414">
        <f t="shared" si="134"/>
        <v>0</v>
      </c>
      <c r="Y36" s="414">
        <f t="shared" si="135"/>
        <v>0</v>
      </c>
      <c r="Z36" s="406">
        <f t="shared" si="136"/>
        <v>0</v>
      </c>
      <c r="AA36" s="407">
        <f t="shared" si="228"/>
        <v>0</v>
      </c>
      <c r="AB36" s="404">
        <f t="shared" si="137"/>
        <v>0</v>
      </c>
      <c r="AC36" s="414">
        <f t="shared" si="138"/>
        <v>0</v>
      </c>
      <c r="AD36" s="414">
        <f t="shared" si="139"/>
        <v>0</v>
      </c>
      <c r="AE36" s="406">
        <f t="shared" si="140"/>
        <v>0</v>
      </c>
      <c r="AF36" s="407">
        <f t="shared" si="229"/>
        <v>0</v>
      </c>
      <c r="AG36" s="404">
        <f t="shared" si="141"/>
        <v>0</v>
      </c>
      <c r="AH36" s="414">
        <f t="shared" si="142"/>
        <v>0</v>
      </c>
      <c r="AI36" s="414">
        <f t="shared" si="143"/>
        <v>0</v>
      </c>
      <c r="AJ36" s="406">
        <f t="shared" si="144"/>
        <v>0</v>
      </c>
      <c r="AK36" s="407">
        <f t="shared" si="230"/>
        <v>0</v>
      </c>
      <c r="AL36" s="404">
        <f t="shared" si="145"/>
        <v>0</v>
      </c>
      <c r="AM36" s="414">
        <f t="shared" si="146"/>
        <v>0</v>
      </c>
      <c r="AN36" s="414">
        <f t="shared" si="147"/>
        <v>0</v>
      </c>
      <c r="AO36" s="406">
        <f t="shared" si="148"/>
        <v>0</v>
      </c>
      <c r="AP36" s="407">
        <f t="shared" si="231"/>
        <v>0</v>
      </c>
      <c r="AQ36" s="404">
        <f t="shared" si="149"/>
        <v>0</v>
      </c>
      <c r="AR36" s="414">
        <f t="shared" si="150"/>
        <v>0</v>
      </c>
      <c r="AS36" s="414">
        <f t="shared" si="151"/>
        <v>0</v>
      </c>
      <c r="AT36" s="406">
        <f t="shared" si="152"/>
        <v>0</v>
      </c>
      <c r="AU36" s="407">
        <f t="shared" si="232"/>
        <v>0</v>
      </c>
      <c r="AV36" s="404">
        <f t="shared" si="153"/>
        <v>0</v>
      </c>
      <c r="AW36" s="414">
        <f t="shared" si="154"/>
        <v>0</v>
      </c>
      <c r="AX36" s="414">
        <f t="shared" si="155"/>
        <v>0</v>
      </c>
      <c r="AY36" s="406">
        <f t="shared" si="156"/>
        <v>0</v>
      </c>
      <c r="AZ36" s="407">
        <f t="shared" si="233"/>
        <v>0</v>
      </c>
      <c r="BA36" s="404">
        <f t="shared" si="157"/>
        <v>0</v>
      </c>
      <c r="BB36" s="414">
        <f t="shared" si="158"/>
        <v>0</v>
      </c>
      <c r="BC36" s="414">
        <f t="shared" si="159"/>
        <v>0</v>
      </c>
      <c r="BD36" s="406">
        <f t="shared" si="160"/>
        <v>0</v>
      </c>
      <c r="BE36" s="407">
        <f t="shared" si="234"/>
        <v>0</v>
      </c>
      <c r="BF36" s="404">
        <f t="shared" si="161"/>
        <v>0</v>
      </c>
      <c r="BG36" s="414">
        <f t="shared" si="162"/>
        <v>0</v>
      </c>
      <c r="BH36" s="414">
        <f t="shared" si="163"/>
        <v>0</v>
      </c>
      <c r="BI36" s="406">
        <f t="shared" si="164"/>
        <v>0</v>
      </c>
      <c r="BJ36" s="407">
        <f t="shared" si="235"/>
        <v>0</v>
      </c>
      <c r="BK36" s="404">
        <f t="shared" si="165"/>
        <v>0</v>
      </c>
      <c r="BL36" s="414">
        <f t="shared" si="166"/>
        <v>0</v>
      </c>
      <c r="BM36" s="414">
        <f t="shared" si="167"/>
        <v>0</v>
      </c>
      <c r="BN36" s="406">
        <f t="shared" si="168"/>
        <v>0</v>
      </c>
      <c r="BO36" s="407">
        <f t="shared" si="236"/>
        <v>0</v>
      </c>
      <c r="BP36" s="449"/>
      <c r="BQ36" s="413">
        <f t="shared" si="169"/>
        <v>0</v>
      </c>
      <c r="BR36" s="410">
        <f t="shared" si="170"/>
        <v>0</v>
      </c>
      <c r="BS36" s="416">
        <f t="shared" si="171"/>
        <v>0</v>
      </c>
      <c r="BT36" s="416">
        <f t="shared" si="172"/>
        <v>0</v>
      </c>
      <c r="BU36" s="412">
        <f t="shared" si="173"/>
        <v>0</v>
      </c>
      <c r="BV36" s="413">
        <f t="shared" si="174"/>
        <v>0</v>
      </c>
      <c r="BW36" s="410">
        <f t="shared" si="175"/>
        <v>0</v>
      </c>
      <c r="BX36" s="416">
        <f t="shared" si="176"/>
        <v>0</v>
      </c>
      <c r="BY36" s="416">
        <f t="shared" si="177"/>
        <v>0</v>
      </c>
      <c r="BZ36" s="412">
        <f t="shared" si="178"/>
        <v>0</v>
      </c>
      <c r="CA36" s="413">
        <f t="shared" si="179"/>
        <v>0</v>
      </c>
      <c r="CB36" s="410">
        <f t="shared" si="180"/>
        <v>0</v>
      </c>
      <c r="CC36" s="416">
        <f t="shared" si="181"/>
        <v>0</v>
      </c>
      <c r="CD36" s="416">
        <f t="shared" si="182"/>
        <v>0</v>
      </c>
      <c r="CE36" s="412">
        <f t="shared" si="183"/>
        <v>0</v>
      </c>
      <c r="CF36" s="413">
        <f t="shared" si="184"/>
        <v>0</v>
      </c>
      <c r="CG36" s="410">
        <f t="shared" si="185"/>
        <v>0</v>
      </c>
      <c r="CH36" s="416">
        <f t="shared" si="186"/>
        <v>0</v>
      </c>
      <c r="CI36" s="416">
        <f t="shared" si="187"/>
        <v>0</v>
      </c>
      <c r="CJ36" s="412">
        <f t="shared" si="188"/>
        <v>0</v>
      </c>
      <c r="CK36" s="413">
        <f t="shared" si="189"/>
        <v>0</v>
      </c>
      <c r="CL36" s="410">
        <f t="shared" si="190"/>
        <v>0</v>
      </c>
      <c r="CM36" s="416">
        <f t="shared" si="191"/>
        <v>0</v>
      </c>
      <c r="CN36" s="416">
        <f t="shared" si="192"/>
        <v>0</v>
      </c>
      <c r="CO36" s="412">
        <f t="shared" si="193"/>
        <v>0</v>
      </c>
      <c r="CP36" s="413">
        <f t="shared" si="194"/>
        <v>0</v>
      </c>
      <c r="CQ36" s="410">
        <f t="shared" si="195"/>
        <v>0</v>
      </c>
      <c r="CR36" s="416">
        <f t="shared" si="196"/>
        <v>0</v>
      </c>
      <c r="CS36" s="416">
        <f t="shared" si="197"/>
        <v>0</v>
      </c>
      <c r="CT36" s="412">
        <f t="shared" si="198"/>
        <v>0</v>
      </c>
      <c r="CU36" s="413">
        <f t="shared" si="199"/>
        <v>0</v>
      </c>
      <c r="CV36" s="410">
        <f t="shared" si="200"/>
        <v>0</v>
      </c>
      <c r="CW36" s="416">
        <f t="shared" si="201"/>
        <v>0</v>
      </c>
      <c r="CX36" s="416">
        <f t="shared" si="202"/>
        <v>0</v>
      </c>
      <c r="CY36" s="412">
        <f t="shared" si="203"/>
        <v>0</v>
      </c>
      <c r="CZ36" s="413">
        <f t="shared" si="204"/>
        <v>0</v>
      </c>
      <c r="DA36" s="410">
        <f t="shared" si="205"/>
        <v>0</v>
      </c>
      <c r="DB36" s="416">
        <f t="shared" si="206"/>
        <v>0</v>
      </c>
      <c r="DC36" s="416">
        <f t="shared" si="207"/>
        <v>0</v>
      </c>
      <c r="DD36" s="412">
        <f t="shared" si="208"/>
        <v>0</v>
      </c>
      <c r="DE36" s="413">
        <f t="shared" si="209"/>
        <v>0</v>
      </c>
      <c r="DF36" s="410">
        <f t="shared" si="210"/>
        <v>0</v>
      </c>
      <c r="DG36" s="416">
        <f t="shared" si="211"/>
        <v>0</v>
      </c>
      <c r="DH36" s="416">
        <f t="shared" si="212"/>
        <v>0</v>
      </c>
      <c r="DI36" s="412">
        <f t="shared" si="213"/>
        <v>0</v>
      </c>
      <c r="DJ36" s="413">
        <f t="shared" si="214"/>
        <v>0</v>
      </c>
      <c r="DK36" s="410">
        <f t="shared" si="215"/>
        <v>0</v>
      </c>
      <c r="DL36" s="416">
        <f t="shared" si="216"/>
        <v>0</v>
      </c>
      <c r="DM36" s="416">
        <f t="shared" si="217"/>
        <v>0</v>
      </c>
      <c r="DN36" s="412">
        <f t="shared" si="218"/>
        <v>0</v>
      </c>
      <c r="DO36" s="413">
        <f t="shared" si="219"/>
        <v>0</v>
      </c>
      <c r="DP36" s="410">
        <f t="shared" si="220"/>
        <v>0</v>
      </c>
      <c r="DQ36" s="416">
        <f t="shared" si="221"/>
        <v>0</v>
      </c>
      <c r="DR36" s="416">
        <f t="shared" si="222"/>
        <v>0</v>
      </c>
      <c r="DS36" s="412">
        <f t="shared" si="223"/>
        <v>0</v>
      </c>
      <c r="DT36" s="413">
        <f t="shared" si="224"/>
        <v>0</v>
      </c>
    </row>
    <row r="37" spans="1:124" ht="12.75" customHeight="1">
      <c r="A37" s="491"/>
      <c r="C37" s="1885" t="s">
        <v>1311</v>
      </c>
      <c r="D37" s="1885"/>
      <c r="E37" s="1886">
        <f t="shared" si="124"/>
        <v>25</v>
      </c>
      <c r="F37" s="1532">
        <v>25</v>
      </c>
      <c r="G37" s="1532">
        <v>25</v>
      </c>
      <c r="H37" s="610">
        <v>2034</v>
      </c>
      <c r="I37" s="1533">
        <v>4.0500000000000001E-2</v>
      </c>
      <c r="J37" s="615">
        <v>11</v>
      </c>
      <c r="K37" s="402"/>
      <c r="L37" s="407">
        <f t="shared" si="225"/>
        <v>0</v>
      </c>
      <c r="M37" s="404">
        <f t="shared" si="125"/>
        <v>0</v>
      </c>
      <c r="N37" s="414">
        <f t="shared" si="126"/>
        <v>0</v>
      </c>
      <c r="O37" s="414">
        <f t="shared" si="127"/>
        <v>0</v>
      </c>
      <c r="P37" s="406">
        <f t="shared" si="128"/>
        <v>0</v>
      </c>
      <c r="Q37" s="407">
        <f t="shared" si="226"/>
        <v>0</v>
      </c>
      <c r="R37" s="404">
        <f t="shared" si="129"/>
        <v>0</v>
      </c>
      <c r="S37" s="414">
        <f t="shared" si="130"/>
        <v>0</v>
      </c>
      <c r="T37" s="414">
        <f t="shared" si="131"/>
        <v>0</v>
      </c>
      <c r="U37" s="406">
        <f t="shared" si="132"/>
        <v>0</v>
      </c>
      <c r="V37" s="407">
        <f t="shared" si="227"/>
        <v>0</v>
      </c>
      <c r="W37" s="404">
        <f t="shared" si="133"/>
        <v>0</v>
      </c>
      <c r="X37" s="414">
        <f t="shared" si="134"/>
        <v>0</v>
      </c>
      <c r="Y37" s="414">
        <f t="shared" si="135"/>
        <v>0</v>
      </c>
      <c r="Z37" s="406">
        <f t="shared" si="136"/>
        <v>0</v>
      </c>
      <c r="AA37" s="407">
        <f t="shared" si="228"/>
        <v>0</v>
      </c>
      <c r="AB37" s="404">
        <f t="shared" si="137"/>
        <v>0</v>
      </c>
      <c r="AC37" s="414">
        <f t="shared" si="138"/>
        <v>0</v>
      </c>
      <c r="AD37" s="414">
        <f t="shared" si="139"/>
        <v>0</v>
      </c>
      <c r="AE37" s="406">
        <f t="shared" si="140"/>
        <v>0</v>
      </c>
      <c r="AF37" s="407">
        <f t="shared" si="229"/>
        <v>0</v>
      </c>
      <c r="AG37" s="404">
        <f t="shared" si="141"/>
        <v>0</v>
      </c>
      <c r="AH37" s="414">
        <f t="shared" si="142"/>
        <v>0</v>
      </c>
      <c r="AI37" s="414">
        <f t="shared" si="143"/>
        <v>0</v>
      </c>
      <c r="AJ37" s="406">
        <f t="shared" si="144"/>
        <v>0</v>
      </c>
      <c r="AK37" s="407">
        <f t="shared" si="230"/>
        <v>0</v>
      </c>
      <c r="AL37" s="404">
        <f t="shared" si="145"/>
        <v>0</v>
      </c>
      <c r="AM37" s="414">
        <f t="shared" si="146"/>
        <v>0</v>
      </c>
      <c r="AN37" s="414">
        <f t="shared" si="147"/>
        <v>0</v>
      </c>
      <c r="AO37" s="406">
        <f t="shared" si="148"/>
        <v>0</v>
      </c>
      <c r="AP37" s="407">
        <f t="shared" si="231"/>
        <v>0</v>
      </c>
      <c r="AQ37" s="404">
        <f t="shared" si="149"/>
        <v>0</v>
      </c>
      <c r="AR37" s="414">
        <f t="shared" si="150"/>
        <v>0</v>
      </c>
      <c r="AS37" s="414">
        <f t="shared" si="151"/>
        <v>0</v>
      </c>
      <c r="AT37" s="406">
        <f t="shared" si="152"/>
        <v>0</v>
      </c>
      <c r="AU37" s="407">
        <f t="shared" si="232"/>
        <v>0</v>
      </c>
      <c r="AV37" s="404">
        <f t="shared" si="153"/>
        <v>0</v>
      </c>
      <c r="AW37" s="414">
        <f t="shared" si="154"/>
        <v>0</v>
      </c>
      <c r="AX37" s="414">
        <f t="shared" si="155"/>
        <v>0</v>
      </c>
      <c r="AY37" s="406">
        <f t="shared" si="156"/>
        <v>0</v>
      </c>
      <c r="AZ37" s="407">
        <f t="shared" si="233"/>
        <v>0</v>
      </c>
      <c r="BA37" s="404">
        <f t="shared" si="157"/>
        <v>0</v>
      </c>
      <c r="BB37" s="414">
        <f t="shared" si="158"/>
        <v>0</v>
      </c>
      <c r="BC37" s="414">
        <f t="shared" si="159"/>
        <v>0</v>
      </c>
      <c r="BD37" s="406">
        <f t="shared" si="160"/>
        <v>0</v>
      </c>
      <c r="BE37" s="407">
        <f t="shared" si="234"/>
        <v>0</v>
      </c>
      <c r="BF37" s="404">
        <f t="shared" si="161"/>
        <v>0</v>
      </c>
      <c r="BG37" s="414">
        <f t="shared" si="162"/>
        <v>0</v>
      </c>
      <c r="BH37" s="414">
        <f t="shared" si="163"/>
        <v>0</v>
      </c>
      <c r="BI37" s="406">
        <f t="shared" si="164"/>
        <v>0</v>
      </c>
      <c r="BJ37" s="407">
        <f t="shared" si="235"/>
        <v>0</v>
      </c>
      <c r="BK37" s="404">
        <f t="shared" si="165"/>
        <v>0</v>
      </c>
      <c r="BL37" s="414">
        <f t="shared" si="166"/>
        <v>0</v>
      </c>
      <c r="BM37" s="414">
        <f t="shared" si="167"/>
        <v>0</v>
      </c>
      <c r="BN37" s="406">
        <f t="shared" si="168"/>
        <v>0</v>
      </c>
      <c r="BO37" s="407">
        <f t="shared" si="236"/>
        <v>0</v>
      </c>
      <c r="BP37" s="449"/>
      <c r="BQ37" s="413">
        <f t="shared" si="169"/>
        <v>0</v>
      </c>
      <c r="BR37" s="410">
        <f t="shared" si="170"/>
        <v>0</v>
      </c>
      <c r="BS37" s="416">
        <f t="shared" si="171"/>
        <v>0</v>
      </c>
      <c r="BT37" s="416">
        <f t="shared" si="172"/>
        <v>0</v>
      </c>
      <c r="BU37" s="412">
        <f t="shared" si="173"/>
        <v>0</v>
      </c>
      <c r="BV37" s="413">
        <f t="shared" si="174"/>
        <v>0</v>
      </c>
      <c r="BW37" s="410">
        <f t="shared" si="175"/>
        <v>0</v>
      </c>
      <c r="BX37" s="416">
        <f t="shared" si="176"/>
        <v>0</v>
      </c>
      <c r="BY37" s="416">
        <f t="shared" si="177"/>
        <v>0</v>
      </c>
      <c r="BZ37" s="412">
        <f t="shared" si="178"/>
        <v>0</v>
      </c>
      <c r="CA37" s="413">
        <f t="shared" si="179"/>
        <v>0</v>
      </c>
      <c r="CB37" s="410">
        <f t="shared" si="180"/>
        <v>0</v>
      </c>
      <c r="CC37" s="416">
        <f t="shared" si="181"/>
        <v>0</v>
      </c>
      <c r="CD37" s="416">
        <f t="shared" si="182"/>
        <v>0</v>
      </c>
      <c r="CE37" s="412">
        <f t="shared" si="183"/>
        <v>0</v>
      </c>
      <c r="CF37" s="413">
        <f t="shared" si="184"/>
        <v>0</v>
      </c>
      <c r="CG37" s="410">
        <f t="shared" si="185"/>
        <v>0</v>
      </c>
      <c r="CH37" s="416">
        <f t="shared" si="186"/>
        <v>0</v>
      </c>
      <c r="CI37" s="416">
        <f t="shared" si="187"/>
        <v>0</v>
      </c>
      <c r="CJ37" s="412">
        <f t="shared" si="188"/>
        <v>0</v>
      </c>
      <c r="CK37" s="413">
        <f t="shared" si="189"/>
        <v>0</v>
      </c>
      <c r="CL37" s="410">
        <f t="shared" si="190"/>
        <v>0</v>
      </c>
      <c r="CM37" s="416">
        <f t="shared" si="191"/>
        <v>0</v>
      </c>
      <c r="CN37" s="416">
        <f t="shared" si="192"/>
        <v>0</v>
      </c>
      <c r="CO37" s="412">
        <f t="shared" si="193"/>
        <v>0</v>
      </c>
      <c r="CP37" s="413">
        <f t="shared" si="194"/>
        <v>0</v>
      </c>
      <c r="CQ37" s="410">
        <f t="shared" si="195"/>
        <v>0</v>
      </c>
      <c r="CR37" s="416">
        <f t="shared" si="196"/>
        <v>0</v>
      </c>
      <c r="CS37" s="416">
        <f t="shared" si="197"/>
        <v>0</v>
      </c>
      <c r="CT37" s="412">
        <f t="shared" si="198"/>
        <v>0</v>
      </c>
      <c r="CU37" s="413">
        <f t="shared" si="199"/>
        <v>0</v>
      </c>
      <c r="CV37" s="410">
        <f t="shared" si="200"/>
        <v>0</v>
      </c>
      <c r="CW37" s="416">
        <f t="shared" si="201"/>
        <v>0</v>
      </c>
      <c r="CX37" s="416">
        <f t="shared" si="202"/>
        <v>0</v>
      </c>
      <c r="CY37" s="412">
        <f t="shared" si="203"/>
        <v>0</v>
      </c>
      <c r="CZ37" s="413">
        <f t="shared" si="204"/>
        <v>0</v>
      </c>
      <c r="DA37" s="410">
        <f t="shared" si="205"/>
        <v>0</v>
      </c>
      <c r="DB37" s="416">
        <f t="shared" si="206"/>
        <v>0</v>
      </c>
      <c r="DC37" s="416">
        <f t="shared" si="207"/>
        <v>0</v>
      </c>
      <c r="DD37" s="412">
        <f t="shared" si="208"/>
        <v>0</v>
      </c>
      <c r="DE37" s="413">
        <f t="shared" si="209"/>
        <v>0</v>
      </c>
      <c r="DF37" s="410">
        <f t="shared" si="210"/>
        <v>0</v>
      </c>
      <c r="DG37" s="416">
        <f t="shared" si="211"/>
        <v>0</v>
      </c>
      <c r="DH37" s="416">
        <f t="shared" si="212"/>
        <v>0</v>
      </c>
      <c r="DI37" s="412">
        <f t="shared" si="213"/>
        <v>0</v>
      </c>
      <c r="DJ37" s="413">
        <f t="shared" si="214"/>
        <v>0</v>
      </c>
      <c r="DK37" s="410">
        <f t="shared" si="215"/>
        <v>0</v>
      </c>
      <c r="DL37" s="416">
        <f t="shared" si="216"/>
        <v>0</v>
      </c>
      <c r="DM37" s="416">
        <f t="shared" si="217"/>
        <v>0</v>
      </c>
      <c r="DN37" s="412">
        <f t="shared" si="218"/>
        <v>0</v>
      </c>
      <c r="DO37" s="413">
        <f t="shared" si="219"/>
        <v>0</v>
      </c>
      <c r="DP37" s="410">
        <f t="shared" si="220"/>
        <v>0</v>
      </c>
      <c r="DQ37" s="416">
        <f t="shared" si="221"/>
        <v>0</v>
      </c>
      <c r="DR37" s="416">
        <f t="shared" si="222"/>
        <v>0</v>
      </c>
      <c r="DS37" s="412">
        <f t="shared" si="223"/>
        <v>0</v>
      </c>
      <c r="DT37" s="413">
        <f t="shared" si="224"/>
        <v>0</v>
      </c>
    </row>
    <row r="38" spans="1:124" ht="12.75" customHeight="1">
      <c r="A38" s="491"/>
      <c r="C38" s="1885" t="s">
        <v>1312</v>
      </c>
      <c r="D38" s="1885"/>
      <c r="E38" s="1886">
        <f t="shared" si="124"/>
        <v>40</v>
      </c>
      <c r="F38" s="1532">
        <v>40</v>
      </c>
      <c r="G38" s="1532">
        <v>40</v>
      </c>
      <c r="H38" s="610">
        <v>2044</v>
      </c>
      <c r="I38" s="1533">
        <v>4.53E-2</v>
      </c>
      <c r="J38" s="615">
        <v>11</v>
      </c>
      <c r="K38" s="402"/>
      <c r="L38" s="407">
        <f t="shared" si="225"/>
        <v>0</v>
      </c>
      <c r="M38" s="404">
        <f t="shared" si="125"/>
        <v>0</v>
      </c>
      <c r="N38" s="414">
        <f t="shared" si="126"/>
        <v>0</v>
      </c>
      <c r="O38" s="414">
        <f t="shared" si="127"/>
        <v>0</v>
      </c>
      <c r="P38" s="406">
        <f t="shared" si="128"/>
        <v>0</v>
      </c>
      <c r="Q38" s="407">
        <f t="shared" si="226"/>
        <v>0</v>
      </c>
      <c r="R38" s="404">
        <f t="shared" si="129"/>
        <v>0</v>
      </c>
      <c r="S38" s="414">
        <f t="shared" si="130"/>
        <v>0</v>
      </c>
      <c r="T38" s="414">
        <f t="shared" si="131"/>
        <v>0</v>
      </c>
      <c r="U38" s="406">
        <f t="shared" si="132"/>
        <v>0</v>
      </c>
      <c r="V38" s="407">
        <f t="shared" si="227"/>
        <v>0</v>
      </c>
      <c r="W38" s="404">
        <f t="shared" si="133"/>
        <v>0</v>
      </c>
      <c r="X38" s="414">
        <f t="shared" si="134"/>
        <v>0</v>
      </c>
      <c r="Y38" s="414">
        <f t="shared" si="135"/>
        <v>0</v>
      </c>
      <c r="Z38" s="406">
        <f t="shared" si="136"/>
        <v>0</v>
      </c>
      <c r="AA38" s="407">
        <f t="shared" si="228"/>
        <v>0</v>
      </c>
      <c r="AB38" s="404">
        <f t="shared" si="137"/>
        <v>0</v>
      </c>
      <c r="AC38" s="414">
        <f t="shared" si="138"/>
        <v>0</v>
      </c>
      <c r="AD38" s="414">
        <f t="shared" si="139"/>
        <v>0</v>
      </c>
      <c r="AE38" s="406">
        <f t="shared" si="140"/>
        <v>0</v>
      </c>
      <c r="AF38" s="407">
        <f t="shared" si="229"/>
        <v>0</v>
      </c>
      <c r="AG38" s="404">
        <f t="shared" si="141"/>
        <v>0</v>
      </c>
      <c r="AH38" s="414">
        <f t="shared" si="142"/>
        <v>0</v>
      </c>
      <c r="AI38" s="414">
        <f t="shared" si="143"/>
        <v>0</v>
      </c>
      <c r="AJ38" s="406">
        <f t="shared" si="144"/>
        <v>0</v>
      </c>
      <c r="AK38" s="407">
        <f t="shared" si="230"/>
        <v>0</v>
      </c>
      <c r="AL38" s="404">
        <f t="shared" si="145"/>
        <v>0</v>
      </c>
      <c r="AM38" s="414">
        <f t="shared" si="146"/>
        <v>0</v>
      </c>
      <c r="AN38" s="414">
        <f t="shared" si="147"/>
        <v>0</v>
      </c>
      <c r="AO38" s="406">
        <f t="shared" si="148"/>
        <v>0</v>
      </c>
      <c r="AP38" s="407">
        <f t="shared" si="231"/>
        <v>0</v>
      </c>
      <c r="AQ38" s="404">
        <f t="shared" si="149"/>
        <v>0</v>
      </c>
      <c r="AR38" s="414">
        <f t="shared" si="150"/>
        <v>0</v>
      </c>
      <c r="AS38" s="414">
        <f t="shared" si="151"/>
        <v>0</v>
      </c>
      <c r="AT38" s="406">
        <f t="shared" si="152"/>
        <v>0</v>
      </c>
      <c r="AU38" s="407">
        <f t="shared" si="232"/>
        <v>0</v>
      </c>
      <c r="AV38" s="404">
        <f t="shared" si="153"/>
        <v>0</v>
      </c>
      <c r="AW38" s="414">
        <f t="shared" si="154"/>
        <v>0</v>
      </c>
      <c r="AX38" s="414">
        <f t="shared" si="155"/>
        <v>0</v>
      </c>
      <c r="AY38" s="406">
        <f t="shared" si="156"/>
        <v>0</v>
      </c>
      <c r="AZ38" s="407">
        <f t="shared" si="233"/>
        <v>0</v>
      </c>
      <c r="BA38" s="404">
        <f t="shared" si="157"/>
        <v>0</v>
      </c>
      <c r="BB38" s="414">
        <f t="shared" si="158"/>
        <v>0</v>
      </c>
      <c r="BC38" s="414">
        <f t="shared" si="159"/>
        <v>0</v>
      </c>
      <c r="BD38" s="406">
        <f t="shared" si="160"/>
        <v>0</v>
      </c>
      <c r="BE38" s="407">
        <f t="shared" si="234"/>
        <v>0</v>
      </c>
      <c r="BF38" s="404">
        <f t="shared" si="161"/>
        <v>0</v>
      </c>
      <c r="BG38" s="414">
        <f t="shared" si="162"/>
        <v>0</v>
      </c>
      <c r="BH38" s="414">
        <f t="shared" si="163"/>
        <v>0</v>
      </c>
      <c r="BI38" s="406">
        <f t="shared" si="164"/>
        <v>0</v>
      </c>
      <c r="BJ38" s="407">
        <f t="shared" si="235"/>
        <v>0</v>
      </c>
      <c r="BK38" s="404">
        <f t="shared" si="165"/>
        <v>0</v>
      </c>
      <c r="BL38" s="414">
        <f t="shared" si="166"/>
        <v>0</v>
      </c>
      <c r="BM38" s="414">
        <f t="shared" si="167"/>
        <v>0</v>
      </c>
      <c r="BN38" s="406">
        <f t="shared" si="168"/>
        <v>0</v>
      </c>
      <c r="BO38" s="407">
        <f t="shared" si="236"/>
        <v>0</v>
      </c>
      <c r="BP38" s="449"/>
      <c r="BQ38" s="413">
        <f t="shared" si="169"/>
        <v>0</v>
      </c>
      <c r="BR38" s="410">
        <f t="shared" si="170"/>
        <v>0</v>
      </c>
      <c r="BS38" s="416">
        <f t="shared" si="171"/>
        <v>0</v>
      </c>
      <c r="BT38" s="416">
        <f t="shared" si="172"/>
        <v>0</v>
      </c>
      <c r="BU38" s="412">
        <f t="shared" si="173"/>
        <v>0</v>
      </c>
      <c r="BV38" s="413">
        <f t="shared" si="174"/>
        <v>0</v>
      </c>
      <c r="BW38" s="410">
        <f t="shared" si="175"/>
        <v>0</v>
      </c>
      <c r="BX38" s="416">
        <f t="shared" si="176"/>
        <v>0</v>
      </c>
      <c r="BY38" s="416">
        <f t="shared" si="177"/>
        <v>0</v>
      </c>
      <c r="BZ38" s="412">
        <f t="shared" si="178"/>
        <v>0</v>
      </c>
      <c r="CA38" s="413">
        <f t="shared" si="179"/>
        <v>0</v>
      </c>
      <c r="CB38" s="410">
        <f t="shared" si="180"/>
        <v>0</v>
      </c>
      <c r="CC38" s="416">
        <f t="shared" si="181"/>
        <v>0</v>
      </c>
      <c r="CD38" s="416">
        <f t="shared" si="182"/>
        <v>0</v>
      </c>
      <c r="CE38" s="412">
        <f t="shared" si="183"/>
        <v>0</v>
      </c>
      <c r="CF38" s="413">
        <f t="shared" si="184"/>
        <v>0</v>
      </c>
      <c r="CG38" s="410">
        <f t="shared" si="185"/>
        <v>0</v>
      </c>
      <c r="CH38" s="416">
        <f t="shared" si="186"/>
        <v>0</v>
      </c>
      <c r="CI38" s="416">
        <f t="shared" si="187"/>
        <v>0</v>
      </c>
      <c r="CJ38" s="412">
        <f t="shared" si="188"/>
        <v>0</v>
      </c>
      <c r="CK38" s="413">
        <f t="shared" si="189"/>
        <v>0</v>
      </c>
      <c r="CL38" s="410">
        <f t="shared" si="190"/>
        <v>0</v>
      </c>
      <c r="CM38" s="416">
        <f t="shared" si="191"/>
        <v>0</v>
      </c>
      <c r="CN38" s="416">
        <f t="shared" si="192"/>
        <v>0</v>
      </c>
      <c r="CO38" s="412">
        <f t="shared" si="193"/>
        <v>0</v>
      </c>
      <c r="CP38" s="413">
        <f t="shared" si="194"/>
        <v>0</v>
      </c>
      <c r="CQ38" s="410">
        <f t="shared" si="195"/>
        <v>0</v>
      </c>
      <c r="CR38" s="416">
        <f t="shared" si="196"/>
        <v>0</v>
      </c>
      <c r="CS38" s="416">
        <f t="shared" si="197"/>
        <v>0</v>
      </c>
      <c r="CT38" s="412">
        <f t="shared" si="198"/>
        <v>0</v>
      </c>
      <c r="CU38" s="413">
        <f t="shared" si="199"/>
        <v>0</v>
      </c>
      <c r="CV38" s="410">
        <f t="shared" si="200"/>
        <v>0</v>
      </c>
      <c r="CW38" s="416">
        <f t="shared" si="201"/>
        <v>0</v>
      </c>
      <c r="CX38" s="416">
        <f t="shared" si="202"/>
        <v>0</v>
      </c>
      <c r="CY38" s="412">
        <f t="shared" si="203"/>
        <v>0</v>
      </c>
      <c r="CZ38" s="413">
        <f t="shared" si="204"/>
        <v>0</v>
      </c>
      <c r="DA38" s="410">
        <f t="shared" si="205"/>
        <v>0</v>
      </c>
      <c r="DB38" s="416">
        <f t="shared" si="206"/>
        <v>0</v>
      </c>
      <c r="DC38" s="416">
        <f t="shared" si="207"/>
        <v>0</v>
      </c>
      <c r="DD38" s="412">
        <f t="shared" si="208"/>
        <v>0</v>
      </c>
      <c r="DE38" s="413">
        <f t="shared" si="209"/>
        <v>0</v>
      </c>
      <c r="DF38" s="410">
        <f t="shared" si="210"/>
        <v>0</v>
      </c>
      <c r="DG38" s="416">
        <f t="shared" si="211"/>
        <v>0</v>
      </c>
      <c r="DH38" s="416">
        <f t="shared" si="212"/>
        <v>0</v>
      </c>
      <c r="DI38" s="412">
        <f t="shared" si="213"/>
        <v>0</v>
      </c>
      <c r="DJ38" s="413">
        <f t="shared" si="214"/>
        <v>0</v>
      </c>
      <c r="DK38" s="410">
        <f t="shared" si="215"/>
        <v>0</v>
      </c>
      <c r="DL38" s="416">
        <f t="shared" si="216"/>
        <v>0</v>
      </c>
      <c r="DM38" s="416">
        <f t="shared" si="217"/>
        <v>0</v>
      </c>
      <c r="DN38" s="412">
        <f t="shared" si="218"/>
        <v>0</v>
      </c>
      <c r="DO38" s="413">
        <f t="shared" si="219"/>
        <v>0</v>
      </c>
      <c r="DP38" s="410">
        <f t="shared" si="220"/>
        <v>0</v>
      </c>
      <c r="DQ38" s="416">
        <f t="shared" si="221"/>
        <v>0</v>
      </c>
      <c r="DR38" s="416">
        <f t="shared" si="222"/>
        <v>0</v>
      </c>
      <c r="DS38" s="412">
        <f t="shared" si="223"/>
        <v>0</v>
      </c>
      <c r="DT38" s="413">
        <f t="shared" si="224"/>
        <v>0</v>
      </c>
    </row>
    <row r="39" spans="1:124" ht="12.75" customHeight="1">
      <c r="A39" s="491"/>
      <c r="C39" s="1885" t="s">
        <v>1313</v>
      </c>
      <c r="D39" s="1885"/>
      <c r="E39" s="1886">
        <f t="shared" si="124"/>
        <v>300</v>
      </c>
      <c r="F39" s="1532">
        <v>300</v>
      </c>
      <c r="G39" s="1532">
        <v>300</v>
      </c>
      <c r="H39" s="610">
        <v>2026</v>
      </c>
      <c r="I39" s="1533">
        <v>3.1E-2</v>
      </c>
      <c r="J39" s="615">
        <v>12</v>
      </c>
      <c r="K39" s="402"/>
      <c r="L39" s="407">
        <f t="shared" si="225"/>
        <v>0</v>
      </c>
      <c r="M39" s="404">
        <f t="shared" si="125"/>
        <v>0</v>
      </c>
      <c r="N39" s="414">
        <f t="shared" si="126"/>
        <v>0</v>
      </c>
      <c r="O39" s="414">
        <f t="shared" si="127"/>
        <v>0</v>
      </c>
      <c r="P39" s="406">
        <f t="shared" si="128"/>
        <v>0</v>
      </c>
      <c r="Q39" s="407">
        <f t="shared" si="226"/>
        <v>0</v>
      </c>
      <c r="R39" s="404">
        <f t="shared" si="129"/>
        <v>0</v>
      </c>
      <c r="S39" s="414">
        <f t="shared" si="130"/>
        <v>0</v>
      </c>
      <c r="T39" s="414">
        <f t="shared" si="131"/>
        <v>0</v>
      </c>
      <c r="U39" s="406">
        <f t="shared" si="132"/>
        <v>0</v>
      </c>
      <c r="V39" s="407">
        <f t="shared" si="227"/>
        <v>0</v>
      </c>
      <c r="W39" s="404">
        <f t="shared" si="133"/>
        <v>0</v>
      </c>
      <c r="X39" s="414">
        <f t="shared" si="134"/>
        <v>0</v>
      </c>
      <c r="Y39" s="414">
        <f t="shared" si="135"/>
        <v>0</v>
      </c>
      <c r="Z39" s="406">
        <f t="shared" si="136"/>
        <v>0</v>
      </c>
      <c r="AA39" s="407">
        <f t="shared" si="228"/>
        <v>0</v>
      </c>
      <c r="AB39" s="404">
        <f t="shared" si="137"/>
        <v>0</v>
      </c>
      <c r="AC39" s="414">
        <f t="shared" si="138"/>
        <v>0</v>
      </c>
      <c r="AD39" s="414">
        <f t="shared" si="139"/>
        <v>0</v>
      </c>
      <c r="AE39" s="406">
        <f t="shared" si="140"/>
        <v>0</v>
      </c>
      <c r="AF39" s="407">
        <f t="shared" si="229"/>
        <v>0</v>
      </c>
      <c r="AG39" s="404">
        <f t="shared" si="141"/>
        <v>0</v>
      </c>
      <c r="AH39" s="414">
        <f t="shared" si="142"/>
        <v>0</v>
      </c>
      <c r="AI39" s="414">
        <f t="shared" si="143"/>
        <v>0</v>
      </c>
      <c r="AJ39" s="406">
        <f t="shared" si="144"/>
        <v>0</v>
      </c>
      <c r="AK39" s="407">
        <f t="shared" si="230"/>
        <v>0</v>
      </c>
      <c r="AL39" s="404">
        <f t="shared" si="145"/>
        <v>0</v>
      </c>
      <c r="AM39" s="414">
        <f t="shared" si="146"/>
        <v>0</v>
      </c>
      <c r="AN39" s="414">
        <f t="shared" si="147"/>
        <v>0</v>
      </c>
      <c r="AO39" s="406">
        <f t="shared" si="148"/>
        <v>0</v>
      </c>
      <c r="AP39" s="407">
        <f t="shared" si="231"/>
        <v>0</v>
      </c>
      <c r="AQ39" s="404">
        <f t="shared" si="149"/>
        <v>0</v>
      </c>
      <c r="AR39" s="414">
        <f t="shared" si="150"/>
        <v>0</v>
      </c>
      <c r="AS39" s="414">
        <f t="shared" si="151"/>
        <v>0</v>
      </c>
      <c r="AT39" s="406">
        <f t="shared" si="152"/>
        <v>0</v>
      </c>
      <c r="AU39" s="407">
        <f t="shared" si="232"/>
        <v>0</v>
      </c>
      <c r="AV39" s="404">
        <f t="shared" si="153"/>
        <v>0</v>
      </c>
      <c r="AW39" s="414">
        <f t="shared" si="154"/>
        <v>0</v>
      </c>
      <c r="AX39" s="414">
        <f t="shared" si="155"/>
        <v>0</v>
      </c>
      <c r="AY39" s="406">
        <f t="shared" si="156"/>
        <v>0</v>
      </c>
      <c r="AZ39" s="407">
        <f t="shared" si="233"/>
        <v>0</v>
      </c>
      <c r="BA39" s="404">
        <f t="shared" si="157"/>
        <v>0</v>
      </c>
      <c r="BB39" s="414">
        <f t="shared" si="158"/>
        <v>0</v>
      </c>
      <c r="BC39" s="414">
        <f t="shared" si="159"/>
        <v>0</v>
      </c>
      <c r="BD39" s="406">
        <f t="shared" si="160"/>
        <v>0</v>
      </c>
      <c r="BE39" s="407">
        <f t="shared" si="234"/>
        <v>0</v>
      </c>
      <c r="BF39" s="404">
        <f t="shared" si="161"/>
        <v>0</v>
      </c>
      <c r="BG39" s="414">
        <f t="shared" si="162"/>
        <v>0</v>
      </c>
      <c r="BH39" s="414">
        <f t="shared" si="163"/>
        <v>0</v>
      </c>
      <c r="BI39" s="406">
        <f t="shared" si="164"/>
        <v>0</v>
      </c>
      <c r="BJ39" s="407">
        <f t="shared" si="235"/>
        <v>0</v>
      </c>
      <c r="BK39" s="404">
        <f t="shared" si="165"/>
        <v>0</v>
      </c>
      <c r="BL39" s="414">
        <f t="shared" si="166"/>
        <v>0</v>
      </c>
      <c r="BM39" s="414">
        <f t="shared" si="167"/>
        <v>0</v>
      </c>
      <c r="BN39" s="406">
        <f t="shared" si="168"/>
        <v>0</v>
      </c>
      <c r="BO39" s="407">
        <f t="shared" si="236"/>
        <v>0</v>
      </c>
      <c r="BP39" s="449"/>
      <c r="BQ39" s="413">
        <f t="shared" si="169"/>
        <v>0</v>
      </c>
      <c r="BR39" s="410">
        <f t="shared" si="170"/>
        <v>0</v>
      </c>
      <c r="BS39" s="416">
        <f t="shared" si="171"/>
        <v>0</v>
      </c>
      <c r="BT39" s="416">
        <f t="shared" si="172"/>
        <v>0</v>
      </c>
      <c r="BU39" s="412">
        <f t="shared" si="173"/>
        <v>0</v>
      </c>
      <c r="BV39" s="413">
        <f t="shared" si="174"/>
        <v>0</v>
      </c>
      <c r="BW39" s="410">
        <f t="shared" si="175"/>
        <v>0</v>
      </c>
      <c r="BX39" s="416">
        <f t="shared" si="176"/>
        <v>0</v>
      </c>
      <c r="BY39" s="416">
        <f t="shared" si="177"/>
        <v>0</v>
      </c>
      <c r="BZ39" s="412">
        <f t="shared" si="178"/>
        <v>0</v>
      </c>
      <c r="CA39" s="413">
        <f t="shared" si="179"/>
        <v>0</v>
      </c>
      <c r="CB39" s="410">
        <f t="shared" si="180"/>
        <v>0</v>
      </c>
      <c r="CC39" s="416">
        <f t="shared" si="181"/>
        <v>0</v>
      </c>
      <c r="CD39" s="416">
        <f t="shared" si="182"/>
        <v>0</v>
      </c>
      <c r="CE39" s="412">
        <f t="shared" si="183"/>
        <v>0</v>
      </c>
      <c r="CF39" s="413">
        <f t="shared" si="184"/>
        <v>0</v>
      </c>
      <c r="CG39" s="410">
        <f t="shared" si="185"/>
        <v>0</v>
      </c>
      <c r="CH39" s="416">
        <f t="shared" si="186"/>
        <v>0</v>
      </c>
      <c r="CI39" s="416">
        <f t="shared" si="187"/>
        <v>0</v>
      </c>
      <c r="CJ39" s="412">
        <f t="shared" si="188"/>
        <v>0</v>
      </c>
      <c r="CK39" s="413">
        <f t="shared" si="189"/>
        <v>0</v>
      </c>
      <c r="CL39" s="410">
        <f t="shared" si="190"/>
        <v>0</v>
      </c>
      <c r="CM39" s="416">
        <f t="shared" si="191"/>
        <v>0</v>
      </c>
      <c r="CN39" s="416">
        <f t="shared" si="192"/>
        <v>0</v>
      </c>
      <c r="CO39" s="412">
        <f t="shared" si="193"/>
        <v>0</v>
      </c>
      <c r="CP39" s="413">
        <f t="shared" si="194"/>
        <v>0</v>
      </c>
      <c r="CQ39" s="410">
        <f t="shared" si="195"/>
        <v>0</v>
      </c>
      <c r="CR39" s="416">
        <f t="shared" si="196"/>
        <v>0</v>
      </c>
      <c r="CS39" s="416">
        <f t="shared" si="197"/>
        <v>0</v>
      </c>
      <c r="CT39" s="412">
        <f t="shared" si="198"/>
        <v>0</v>
      </c>
      <c r="CU39" s="413">
        <f t="shared" si="199"/>
        <v>0</v>
      </c>
      <c r="CV39" s="410">
        <f t="shared" si="200"/>
        <v>0</v>
      </c>
      <c r="CW39" s="416">
        <f t="shared" si="201"/>
        <v>0</v>
      </c>
      <c r="CX39" s="416">
        <f t="shared" si="202"/>
        <v>0</v>
      </c>
      <c r="CY39" s="412">
        <f t="shared" si="203"/>
        <v>0</v>
      </c>
      <c r="CZ39" s="413">
        <f t="shared" si="204"/>
        <v>0</v>
      </c>
      <c r="DA39" s="410">
        <f t="shared" si="205"/>
        <v>0</v>
      </c>
      <c r="DB39" s="416">
        <f t="shared" si="206"/>
        <v>0</v>
      </c>
      <c r="DC39" s="416">
        <f t="shared" si="207"/>
        <v>0</v>
      </c>
      <c r="DD39" s="412">
        <f t="shared" si="208"/>
        <v>0</v>
      </c>
      <c r="DE39" s="413">
        <f t="shared" si="209"/>
        <v>0</v>
      </c>
      <c r="DF39" s="410">
        <f t="shared" si="210"/>
        <v>0</v>
      </c>
      <c r="DG39" s="416">
        <f t="shared" si="211"/>
        <v>0</v>
      </c>
      <c r="DH39" s="416">
        <f t="shared" si="212"/>
        <v>0</v>
      </c>
      <c r="DI39" s="412">
        <f t="shared" si="213"/>
        <v>0</v>
      </c>
      <c r="DJ39" s="413">
        <f t="shared" si="214"/>
        <v>0</v>
      </c>
      <c r="DK39" s="410">
        <f t="shared" si="215"/>
        <v>0</v>
      </c>
      <c r="DL39" s="416">
        <f t="shared" si="216"/>
        <v>0</v>
      </c>
      <c r="DM39" s="416">
        <f t="shared" si="217"/>
        <v>0</v>
      </c>
      <c r="DN39" s="412">
        <f t="shared" si="218"/>
        <v>0</v>
      </c>
      <c r="DO39" s="413">
        <f t="shared" si="219"/>
        <v>0</v>
      </c>
      <c r="DP39" s="410">
        <f t="shared" si="220"/>
        <v>0</v>
      </c>
      <c r="DQ39" s="416">
        <f t="shared" si="221"/>
        <v>0</v>
      </c>
      <c r="DR39" s="416">
        <f t="shared" si="222"/>
        <v>0</v>
      </c>
      <c r="DS39" s="412">
        <f t="shared" si="223"/>
        <v>0</v>
      </c>
      <c r="DT39" s="413">
        <f t="shared" si="224"/>
        <v>0</v>
      </c>
    </row>
    <row r="40" spans="1:124" ht="12.75" customHeight="1">
      <c r="A40" s="491"/>
      <c r="C40" s="1885" t="s">
        <v>1356</v>
      </c>
      <c r="D40" s="1885"/>
      <c r="E40" s="1886">
        <v>125</v>
      </c>
      <c r="F40" s="1532">
        <v>125</v>
      </c>
      <c r="G40" s="1532">
        <v>0</v>
      </c>
      <c r="H40" s="610">
        <v>2026</v>
      </c>
      <c r="I40" s="1533">
        <v>3.1E-2</v>
      </c>
      <c r="J40" s="615">
        <v>12</v>
      </c>
      <c r="K40" s="402"/>
      <c r="L40" s="407">
        <f t="shared" si="225"/>
        <v>0</v>
      </c>
      <c r="M40" s="404">
        <f t="shared" si="125"/>
        <v>0</v>
      </c>
      <c r="N40" s="414">
        <f t="shared" si="126"/>
        <v>0</v>
      </c>
      <c r="O40" s="414">
        <f t="shared" si="127"/>
        <v>0</v>
      </c>
      <c r="P40" s="406">
        <f t="shared" si="128"/>
        <v>0</v>
      </c>
      <c r="Q40" s="407">
        <f t="shared" si="226"/>
        <v>0</v>
      </c>
      <c r="R40" s="404">
        <f t="shared" si="129"/>
        <v>0</v>
      </c>
      <c r="S40" s="414">
        <f t="shared" si="130"/>
        <v>0</v>
      </c>
      <c r="T40" s="414">
        <f t="shared" si="131"/>
        <v>0</v>
      </c>
      <c r="U40" s="406">
        <f t="shared" si="132"/>
        <v>0</v>
      </c>
      <c r="V40" s="407">
        <f t="shared" si="227"/>
        <v>0</v>
      </c>
      <c r="W40" s="404">
        <f t="shared" si="133"/>
        <v>0</v>
      </c>
      <c r="X40" s="414">
        <f t="shared" si="134"/>
        <v>0</v>
      </c>
      <c r="Y40" s="414">
        <f t="shared" si="135"/>
        <v>0</v>
      </c>
      <c r="Z40" s="406">
        <f t="shared" si="136"/>
        <v>0</v>
      </c>
      <c r="AA40" s="407">
        <f t="shared" si="228"/>
        <v>0</v>
      </c>
      <c r="AB40" s="404">
        <f t="shared" si="137"/>
        <v>0</v>
      </c>
      <c r="AC40" s="414">
        <f t="shared" si="138"/>
        <v>0</v>
      </c>
      <c r="AD40" s="414">
        <f t="shared" si="139"/>
        <v>0</v>
      </c>
      <c r="AE40" s="406">
        <f t="shared" si="140"/>
        <v>0</v>
      </c>
      <c r="AF40" s="407">
        <f t="shared" si="229"/>
        <v>0</v>
      </c>
      <c r="AG40" s="404">
        <f t="shared" si="141"/>
        <v>0</v>
      </c>
      <c r="AH40" s="414">
        <f t="shared" si="142"/>
        <v>0</v>
      </c>
      <c r="AI40" s="414">
        <f t="shared" si="143"/>
        <v>0</v>
      </c>
      <c r="AJ40" s="406">
        <f t="shared" si="144"/>
        <v>0</v>
      </c>
      <c r="AK40" s="407">
        <f t="shared" si="230"/>
        <v>0</v>
      </c>
      <c r="AL40" s="404">
        <f t="shared" si="145"/>
        <v>0</v>
      </c>
      <c r="AM40" s="414">
        <f t="shared" si="146"/>
        <v>0</v>
      </c>
      <c r="AN40" s="414">
        <f t="shared" si="147"/>
        <v>0</v>
      </c>
      <c r="AO40" s="406">
        <f t="shared" si="148"/>
        <v>0</v>
      </c>
      <c r="AP40" s="407">
        <f t="shared" si="231"/>
        <v>0</v>
      </c>
      <c r="AQ40" s="404">
        <f t="shared" si="149"/>
        <v>0</v>
      </c>
      <c r="AR40" s="414">
        <f t="shared" si="150"/>
        <v>0</v>
      </c>
      <c r="AS40" s="414">
        <f t="shared" si="151"/>
        <v>0</v>
      </c>
      <c r="AT40" s="406">
        <f t="shared" si="152"/>
        <v>0</v>
      </c>
      <c r="AU40" s="407">
        <f t="shared" si="232"/>
        <v>0</v>
      </c>
      <c r="AV40" s="404">
        <f t="shared" si="153"/>
        <v>0</v>
      </c>
      <c r="AW40" s="414">
        <f t="shared" si="154"/>
        <v>0</v>
      </c>
      <c r="AX40" s="414">
        <f t="shared" si="155"/>
        <v>0</v>
      </c>
      <c r="AY40" s="406">
        <f t="shared" si="156"/>
        <v>0</v>
      </c>
      <c r="AZ40" s="407">
        <f t="shared" si="233"/>
        <v>0</v>
      </c>
      <c r="BA40" s="404">
        <f t="shared" si="157"/>
        <v>0</v>
      </c>
      <c r="BB40" s="414">
        <f t="shared" si="158"/>
        <v>0</v>
      </c>
      <c r="BC40" s="414">
        <f t="shared" si="159"/>
        <v>0</v>
      </c>
      <c r="BD40" s="406">
        <f t="shared" si="160"/>
        <v>0</v>
      </c>
      <c r="BE40" s="407">
        <f t="shared" si="234"/>
        <v>0</v>
      </c>
      <c r="BF40" s="404">
        <f t="shared" si="161"/>
        <v>0</v>
      </c>
      <c r="BG40" s="414">
        <f t="shared" si="162"/>
        <v>0</v>
      </c>
      <c r="BH40" s="414">
        <f t="shared" si="163"/>
        <v>0</v>
      </c>
      <c r="BI40" s="406">
        <f t="shared" si="164"/>
        <v>0</v>
      </c>
      <c r="BJ40" s="407">
        <f t="shared" si="235"/>
        <v>0</v>
      </c>
      <c r="BK40" s="404">
        <f t="shared" si="165"/>
        <v>0</v>
      </c>
      <c r="BL40" s="414">
        <f t="shared" si="166"/>
        <v>0</v>
      </c>
      <c r="BM40" s="414">
        <f t="shared" si="167"/>
        <v>0</v>
      </c>
      <c r="BN40" s="406">
        <f t="shared" si="168"/>
        <v>0</v>
      </c>
      <c r="BO40" s="407">
        <f t="shared" si="236"/>
        <v>0</v>
      </c>
      <c r="BP40" s="449"/>
      <c r="BQ40" s="413">
        <f t="shared" si="169"/>
        <v>0</v>
      </c>
      <c r="BR40" s="410">
        <f t="shared" si="170"/>
        <v>0</v>
      </c>
      <c r="BS40" s="416">
        <f t="shared" si="171"/>
        <v>0</v>
      </c>
      <c r="BT40" s="416">
        <f t="shared" si="172"/>
        <v>0</v>
      </c>
      <c r="BU40" s="412">
        <f t="shared" si="173"/>
        <v>0</v>
      </c>
      <c r="BV40" s="413">
        <f t="shared" si="174"/>
        <v>0</v>
      </c>
      <c r="BW40" s="410">
        <f t="shared" si="175"/>
        <v>0</v>
      </c>
      <c r="BX40" s="416">
        <f t="shared" si="176"/>
        <v>0</v>
      </c>
      <c r="BY40" s="416">
        <f t="shared" si="177"/>
        <v>0</v>
      </c>
      <c r="BZ40" s="412">
        <f t="shared" si="178"/>
        <v>0</v>
      </c>
      <c r="CA40" s="413">
        <f t="shared" si="179"/>
        <v>0</v>
      </c>
      <c r="CB40" s="410">
        <f t="shared" si="180"/>
        <v>0</v>
      </c>
      <c r="CC40" s="416">
        <f t="shared" si="181"/>
        <v>0</v>
      </c>
      <c r="CD40" s="416">
        <f t="shared" si="182"/>
        <v>0</v>
      </c>
      <c r="CE40" s="412">
        <f t="shared" si="183"/>
        <v>0</v>
      </c>
      <c r="CF40" s="413">
        <f t="shared" si="184"/>
        <v>0</v>
      </c>
      <c r="CG40" s="410">
        <f t="shared" si="185"/>
        <v>0</v>
      </c>
      <c r="CH40" s="416">
        <f t="shared" si="186"/>
        <v>0</v>
      </c>
      <c r="CI40" s="416">
        <f t="shared" si="187"/>
        <v>0</v>
      </c>
      <c r="CJ40" s="412">
        <f t="shared" si="188"/>
        <v>0</v>
      </c>
      <c r="CK40" s="413">
        <f t="shared" si="189"/>
        <v>0</v>
      </c>
      <c r="CL40" s="410">
        <f t="shared" si="190"/>
        <v>0</v>
      </c>
      <c r="CM40" s="416">
        <f t="shared" si="191"/>
        <v>0</v>
      </c>
      <c r="CN40" s="416">
        <f t="shared" si="192"/>
        <v>0</v>
      </c>
      <c r="CO40" s="412">
        <f t="shared" si="193"/>
        <v>0</v>
      </c>
      <c r="CP40" s="413">
        <f t="shared" si="194"/>
        <v>0</v>
      </c>
      <c r="CQ40" s="410">
        <f t="shared" si="195"/>
        <v>0</v>
      </c>
      <c r="CR40" s="416">
        <f t="shared" si="196"/>
        <v>0</v>
      </c>
      <c r="CS40" s="416">
        <f t="shared" si="197"/>
        <v>0</v>
      </c>
      <c r="CT40" s="412">
        <f t="shared" si="198"/>
        <v>0</v>
      </c>
      <c r="CU40" s="413">
        <f t="shared" si="199"/>
        <v>0</v>
      </c>
      <c r="CV40" s="410">
        <f t="shared" si="200"/>
        <v>0</v>
      </c>
      <c r="CW40" s="416">
        <f t="shared" si="201"/>
        <v>0</v>
      </c>
      <c r="CX40" s="416">
        <f t="shared" si="202"/>
        <v>0</v>
      </c>
      <c r="CY40" s="412">
        <f t="shared" si="203"/>
        <v>0</v>
      </c>
      <c r="CZ40" s="413">
        <f t="shared" si="204"/>
        <v>0</v>
      </c>
      <c r="DA40" s="410">
        <f t="shared" si="205"/>
        <v>0</v>
      </c>
      <c r="DB40" s="416">
        <f t="shared" si="206"/>
        <v>0</v>
      </c>
      <c r="DC40" s="416">
        <f t="shared" si="207"/>
        <v>0</v>
      </c>
      <c r="DD40" s="412">
        <f t="shared" si="208"/>
        <v>0</v>
      </c>
      <c r="DE40" s="413">
        <f t="shared" si="209"/>
        <v>0</v>
      </c>
      <c r="DF40" s="410">
        <f t="shared" si="210"/>
        <v>0</v>
      </c>
      <c r="DG40" s="416">
        <f t="shared" si="211"/>
        <v>0</v>
      </c>
      <c r="DH40" s="416">
        <f t="shared" si="212"/>
        <v>0</v>
      </c>
      <c r="DI40" s="412">
        <f t="shared" si="213"/>
        <v>0</v>
      </c>
      <c r="DJ40" s="413">
        <f t="shared" si="214"/>
        <v>0</v>
      </c>
      <c r="DK40" s="410">
        <f t="shared" si="215"/>
        <v>0</v>
      </c>
      <c r="DL40" s="416">
        <f t="shared" si="216"/>
        <v>0</v>
      </c>
      <c r="DM40" s="416">
        <f t="shared" si="217"/>
        <v>0</v>
      </c>
      <c r="DN40" s="412">
        <f t="shared" si="218"/>
        <v>0</v>
      </c>
      <c r="DO40" s="413">
        <f t="shared" si="219"/>
        <v>0</v>
      </c>
      <c r="DP40" s="410">
        <f t="shared" si="220"/>
        <v>0</v>
      </c>
      <c r="DQ40" s="416">
        <f t="shared" si="221"/>
        <v>0</v>
      </c>
      <c r="DR40" s="416">
        <f t="shared" si="222"/>
        <v>0</v>
      </c>
      <c r="DS40" s="412">
        <f t="shared" si="223"/>
        <v>0</v>
      </c>
      <c r="DT40" s="413">
        <f t="shared" si="224"/>
        <v>0</v>
      </c>
    </row>
    <row r="41" spans="1:124" s="1884" customFormat="1" ht="12.75" customHeight="1">
      <c r="A41" s="491"/>
      <c r="C41" s="1885" t="s">
        <v>1314</v>
      </c>
      <c r="D41" s="1885"/>
      <c r="E41" s="1886">
        <f t="shared" si="124"/>
        <v>400</v>
      </c>
      <c r="F41" s="1532">
        <v>400</v>
      </c>
      <c r="G41" s="1532">
        <v>400</v>
      </c>
      <c r="H41" s="610">
        <v>2046</v>
      </c>
      <c r="I41" s="1533">
        <v>0.04</v>
      </c>
      <c r="J41" s="615">
        <v>12</v>
      </c>
      <c r="K41" s="402"/>
      <c r="L41" s="407">
        <f t="shared" si="225"/>
        <v>0</v>
      </c>
      <c r="M41" s="404">
        <f t="shared" ref="M41:M42" si="237">IF(Q41=0,0,IF(Q41&lt;0,IF($J41=3,Q41,IF($J41=2,Q41,IF($J41=1,Q41,0)))))</f>
        <v>0</v>
      </c>
      <c r="N41" s="414">
        <f t="shared" ref="N41:N42" si="238">IF(Q41=0,0,IF(Q41&lt;0,IF($J41=6,Q41,IF($J41=5,Q41,IF($J41=4,Q41,0)))))</f>
        <v>0</v>
      </c>
      <c r="O41" s="414">
        <f t="shared" ref="O41:O42" si="239">IF(Q41=0,0,IF(Q41&lt;0,IF($J41=9,Q41,IF($J41=8,Q41,IF($J41=7,Q41,0)))))</f>
        <v>0</v>
      </c>
      <c r="P41" s="406">
        <f t="shared" ref="P41:P42" si="240">IF(Q41=0,0,IF(Q41&lt;0,IF($J41=12,Q41,IF($J41=11,Q41,IF($J41=10,Q41,0)))))</f>
        <v>0</v>
      </c>
      <c r="Q41" s="407">
        <f t="shared" si="226"/>
        <v>0</v>
      </c>
      <c r="R41" s="404">
        <f t="shared" ref="R41:R42" si="241">IF(V41=0,0,IF(V41&lt;0,IF($J41=3,V41,IF($J41=2,V41,IF($J41=1,V41,0)))))</f>
        <v>0</v>
      </c>
      <c r="S41" s="414">
        <f t="shared" ref="S41:S42" si="242">IF(V41=0,0,IF(V41&lt;0,IF($J41=6,V41,IF($J41=5,V41,IF($J41=4,V41,0)))))</f>
        <v>0</v>
      </c>
      <c r="T41" s="414">
        <f t="shared" ref="T41:T42" si="243">IF(V41=0,0,IF(V41&lt;0,IF($J41=9,V41,IF($J41=8,V41,IF($J41=7,V41,0)))))</f>
        <v>0</v>
      </c>
      <c r="U41" s="406">
        <f t="shared" ref="U41:U42" si="244">IF(V41=0,0,IF(V41&lt;0,IF($J41=12,V41,IF($J41=11,V41,IF($J41=10,V41,0)))))</f>
        <v>0</v>
      </c>
      <c r="V41" s="407">
        <f t="shared" si="227"/>
        <v>0</v>
      </c>
      <c r="W41" s="404">
        <f t="shared" ref="W41:W42" si="245">IF(AA41=0,0,IF(AA41&lt;0,IF($J41=3,AA41,IF($J41=2,AA41,IF($J41=1,AA41,0)))))</f>
        <v>0</v>
      </c>
      <c r="X41" s="414">
        <f t="shared" ref="X41:X42" si="246">IF(AA41=0,0,IF(AA41&lt;0,IF($J41=6,AA41,IF($J41=5,AA41,IF($J41=4,AA41,0)))))</f>
        <v>0</v>
      </c>
      <c r="Y41" s="414">
        <f t="shared" ref="Y41:Y42" si="247">IF(AA41=0,0,IF(AA41&lt;0,IF($J41=9,AA41,IF($J41=8,AA41,IF($J41=7,AA41,0)))))</f>
        <v>0</v>
      </c>
      <c r="Z41" s="406">
        <f t="shared" ref="Z41:Z42" si="248">IF(AA41=0,0,IF(AA41&lt;0,IF($J41=12,AA41,IF($J41=11,AA41,IF($J41=10,AA41,0)))))</f>
        <v>0</v>
      </c>
      <c r="AA41" s="407">
        <f t="shared" si="228"/>
        <v>0</v>
      </c>
      <c r="AB41" s="404">
        <f t="shared" ref="AB41:AB42" si="249">IF(AF41=0,0,IF(AF41&lt;0,IF($J41=3,AF41,IF($J41=2,AF41,IF($J41=1,AF41,0)))))</f>
        <v>0</v>
      </c>
      <c r="AC41" s="414">
        <f t="shared" ref="AC41:AC42" si="250">IF(AF41=0,0,IF(AF41&lt;0,IF($J41=6,AF41,IF($J41=5,AF41,IF($J41=4,AF41,0)))))</f>
        <v>0</v>
      </c>
      <c r="AD41" s="414">
        <f t="shared" ref="AD41:AD42" si="251">IF(AF41=0,0,IF(AF41&lt;0,IF($J41=9,AF41,IF($J41=8,AF41,IF($J41=7,AF41,0)))))</f>
        <v>0</v>
      </c>
      <c r="AE41" s="406">
        <f t="shared" ref="AE41:AE42" si="252">IF(AF41=0,0,IF(AF41&lt;0,IF($J41=12,AF41,IF($J41=11,AF41,IF($J41=10,AF41,0)))))</f>
        <v>0</v>
      </c>
      <c r="AF41" s="407">
        <f t="shared" si="229"/>
        <v>0</v>
      </c>
      <c r="AG41" s="404">
        <f t="shared" ref="AG41:AG42" si="253">IF(AK41=0,0,IF(AK41&lt;0,IF($J41=3,AK41,IF($J41=2,AK41,IF($J41=1,AK41,0)))))</f>
        <v>0</v>
      </c>
      <c r="AH41" s="414">
        <f t="shared" ref="AH41:AH42" si="254">IF(AK41=0,0,IF(AK41&lt;0,IF($J41=6,AK41,IF($J41=5,AK41,IF($J41=4,AK41,0)))))</f>
        <v>0</v>
      </c>
      <c r="AI41" s="414">
        <f t="shared" ref="AI41:AI42" si="255">IF(AK41=0,0,IF(AK41&lt;0,IF($J41=9,AK41,IF($J41=8,AK41,IF($J41=7,AK41,0)))))</f>
        <v>0</v>
      </c>
      <c r="AJ41" s="406">
        <f t="shared" ref="AJ41:AJ42" si="256">IF(AK41=0,0,IF(AK41&lt;0,IF($J41=12,AK41,IF($J41=11,AK41,IF($J41=10,AK41,0)))))</f>
        <v>0</v>
      </c>
      <c r="AK41" s="407">
        <f t="shared" si="230"/>
        <v>0</v>
      </c>
      <c r="AL41" s="404">
        <f t="shared" ref="AL41:AL42" si="257">IF(AP41=0,0,IF(AP41&lt;0,IF($J41=3,AP41,IF($J41=2,AP41,IF($J41=1,AP41,0)))))</f>
        <v>0</v>
      </c>
      <c r="AM41" s="414">
        <f t="shared" ref="AM41:AM42" si="258">IF(AP41=0,0,IF(AP41&lt;0,IF($J41=6,AP41,IF($J41=5,AP41,IF($J41=4,AP41,0)))))</f>
        <v>0</v>
      </c>
      <c r="AN41" s="414">
        <f t="shared" ref="AN41:AN42" si="259">IF(AP41=0,0,IF(AP41&lt;0,IF($J41=9,AP41,IF($J41=8,AP41,IF($J41=7,AP41,0)))))</f>
        <v>0</v>
      </c>
      <c r="AO41" s="406">
        <f t="shared" ref="AO41:AO42" si="260">IF(AP41=0,0,IF(AP41&lt;0,IF($J41=12,AP41,IF($J41=11,AP41,IF($J41=10,AP41,0)))))</f>
        <v>0</v>
      </c>
      <c r="AP41" s="407">
        <f t="shared" si="231"/>
        <v>0</v>
      </c>
      <c r="AQ41" s="404">
        <f t="shared" ref="AQ41:AQ42" si="261">IF(AU41=0,0,IF(AU41&lt;0,IF($J41=3,AU41,IF($J41=2,AU41,IF($J41=1,AU41,0)))))</f>
        <v>0</v>
      </c>
      <c r="AR41" s="414">
        <f t="shared" ref="AR41:AR42" si="262">IF(AU41=0,0,IF(AU41&lt;0,IF($J41=6,AU41,IF($J41=5,AU41,IF($J41=4,AU41,0)))))</f>
        <v>0</v>
      </c>
      <c r="AS41" s="414">
        <f t="shared" ref="AS41:AS42" si="263">IF(AU41=0,0,IF(AU41&lt;0,IF($J41=9,AU41,IF($J41=8,AU41,IF($J41=7,AU41,0)))))</f>
        <v>0</v>
      </c>
      <c r="AT41" s="406">
        <f t="shared" ref="AT41:AT42" si="264">IF(AU41=0,0,IF(AU41&lt;0,IF($J41=12,AU41,IF($J41=11,AU41,IF($J41=10,AU41,0)))))</f>
        <v>0</v>
      </c>
      <c r="AU41" s="407">
        <f t="shared" si="232"/>
        <v>0</v>
      </c>
      <c r="AV41" s="404">
        <f t="shared" ref="AV41:AV42" si="265">IF(AZ41=0,0,IF(AZ41&lt;0,IF($J41=3,AZ41,IF($J41=2,AZ41,IF($J41=1,AZ41,0)))))</f>
        <v>0</v>
      </c>
      <c r="AW41" s="414">
        <f t="shared" ref="AW41:AW42" si="266">IF(AZ41=0,0,IF(AZ41&lt;0,IF($J41=6,AZ41,IF($J41=5,AZ41,IF($J41=4,AZ41,0)))))</f>
        <v>0</v>
      </c>
      <c r="AX41" s="414">
        <f t="shared" ref="AX41:AX42" si="267">IF(AZ41=0,0,IF(AZ41&lt;0,IF($J41=9,AZ41,IF($J41=8,AZ41,IF($J41=7,AZ41,0)))))</f>
        <v>0</v>
      </c>
      <c r="AY41" s="406">
        <f t="shared" ref="AY41:AY42" si="268">IF(AZ41=0,0,IF(AZ41&lt;0,IF($J41=12,AZ41,IF($J41=11,AZ41,IF($J41=10,AZ41,0)))))</f>
        <v>0</v>
      </c>
      <c r="AZ41" s="407">
        <f t="shared" si="233"/>
        <v>0</v>
      </c>
      <c r="BA41" s="404">
        <f t="shared" ref="BA41:BA42" si="269">IF(BE41=0,0,IF(BE41&lt;0,IF($J41=3,BE41,IF($J41=2,BE41,IF($J41=1,BE41,0)))))</f>
        <v>0</v>
      </c>
      <c r="BB41" s="414">
        <f t="shared" ref="BB41:BB42" si="270">IF(BE41=0,0,IF(BE41&lt;0,IF($J41=6,BE41,IF($J41=5,BE41,IF($J41=4,BE41,0)))))</f>
        <v>0</v>
      </c>
      <c r="BC41" s="414">
        <f t="shared" ref="BC41:BC42" si="271">IF(BE41=0,0,IF(BE41&lt;0,IF($J41=9,BE41,IF($J41=8,BE41,IF($J41=7,BE41,0)))))</f>
        <v>0</v>
      </c>
      <c r="BD41" s="406">
        <f t="shared" ref="BD41:BD42" si="272">IF(BE41=0,0,IF(BE41&lt;0,IF($J41=12,BE41,IF($J41=11,BE41,IF($J41=10,BE41,0)))))</f>
        <v>0</v>
      </c>
      <c r="BE41" s="407">
        <f t="shared" si="234"/>
        <v>0</v>
      </c>
      <c r="BF41" s="404">
        <f t="shared" ref="BF41:BF42" si="273">IF(BJ41=0,0,IF(BJ41&lt;0,IF($J41=3,BJ41,IF($J41=2,BJ41,IF($J41=1,BJ41,0)))))</f>
        <v>0</v>
      </c>
      <c r="BG41" s="414">
        <f t="shared" ref="BG41:BG42" si="274">IF(BJ41=0,0,IF(BJ41&lt;0,IF($J41=6,BJ41,IF($J41=5,BJ41,IF($J41=4,BJ41,0)))))</f>
        <v>0</v>
      </c>
      <c r="BH41" s="414">
        <f t="shared" ref="BH41:BH42" si="275">IF(BJ41=0,0,IF(BJ41&lt;0,IF($J41=9,BJ41,IF($J41=8,BJ41,IF($J41=7,BJ41,0)))))</f>
        <v>0</v>
      </c>
      <c r="BI41" s="406">
        <f t="shared" ref="BI41:BI42" si="276">IF(BJ41=0,0,IF(BJ41&lt;0,IF($J41=12,BJ41,IF($J41=11,BJ41,IF($J41=10,BJ41,0)))))</f>
        <v>0</v>
      </c>
      <c r="BJ41" s="407">
        <f t="shared" si="235"/>
        <v>0</v>
      </c>
      <c r="BK41" s="404">
        <f t="shared" ref="BK41:BK42" si="277">IF(BO41=0,0,IF(BO41&lt;0,IF($J41=3,BO41,IF($J41=2,BO41,IF($J41=1,BO41,0)))))</f>
        <v>0</v>
      </c>
      <c r="BL41" s="414">
        <f t="shared" ref="BL41:BL42" si="278">IF(BO41=0,0,IF(BO41&lt;0,IF($J41=6,BO41,IF($J41=5,BO41,IF($J41=4,BO41,0)))))</f>
        <v>0</v>
      </c>
      <c r="BM41" s="414">
        <f t="shared" ref="BM41:BM42" si="279">IF(BO41=0,0,IF(BO41&lt;0,IF($J41=9,BO41,IF($J41=8,BO41,IF($J41=7,BO41,0)))))</f>
        <v>0</v>
      </c>
      <c r="BN41" s="406">
        <f t="shared" ref="BN41:BN42" si="280">IF(BO41=0,0,IF(BO41&lt;0,IF($J41=12,BO41,IF($J41=11,BO41,IF($J41=10,BO41,0)))))</f>
        <v>0</v>
      </c>
      <c r="BO41" s="407">
        <f t="shared" si="236"/>
        <v>0</v>
      </c>
      <c r="BP41" s="449"/>
      <c r="BQ41" s="413">
        <f t="shared" ref="BQ41:BQ42" si="281">IF(AND(AH41&lt;&gt;0,AH$5=$H41),-$I41*$E41-AH41,IF(BQ$5=$H41,-$I41*$E41*(12-$J41+1)/12,0))</f>
        <v>0</v>
      </c>
      <c r="BR41" s="410">
        <f t="shared" ref="BR41:BR42" si="282">IF($H41&lt;&gt;BV$5,0,IF(BV41&lt;0,IF($J41=1,-$E41*$I41/12*3,IF($J41=2,-$E41*$I41/12*2,IF($J41=3,-$E41*$I41/12*1,0)))))+IF(BQ$5&lt;&gt;$H41,0,IF(BQ41&lt;0,IF($J41=1,-$E41*$I41/12*0,IF($J41=2,-$E41*$I41/12*1,IF($J41=3,-$E41*$I41/12*2,IF($J41&gt;=4,-$E41*$I41/12*3,0))))))</f>
        <v>0</v>
      </c>
      <c r="BS41" s="416">
        <f t="shared" ref="BS41:BS42" si="283">IF($H41&lt;&gt;BV$5,0,IF(BV41&lt;0,IF(OR($J41=1,$J41=2,$J41=3,$J41=4),-$E41*$I41/12*3,IF($J41=5,-$E41*$I41/12*2,IF($J41=6,-$E41*$I41/12*1,0)))))+IF(BQ$5&lt;&gt;$H41,0,IF(BQ41&lt;0,IF($J41=4,-$E41*$I41/12*0,IF($J41=5,-$E41*$I41/12*1,IF($J41=6,-$E41*$I41/12*2,IF($J41&gt;=7,-$E41*$I41/12*3,0))))))</f>
        <v>0</v>
      </c>
      <c r="BT41" s="416">
        <f t="shared" ref="BT41:BT42" si="284">IF($H41&lt;&gt;BV$5,0,IF(BV41&lt;0,IF(OR($J41=1,$J41=2,$J41=3,$J41=4,$J41=5,$J41=6,$J41=7),-$E41*$I41/12*3,IF($J41=8,-$E41*$I41/12*2,IF($J41=9,-$E41*$I41/12*1,0)))))+IF(BQ$5&lt;&gt;$H41,0,IF(BQ41&lt;0,IF($J41=7,-$E41*$I41/12*0,IF($J41=8,-$E41*$I41/12*1,IF($J41=9,-$E41*$I41/12*2,IF($J41&gt;=10,-$E41*$I41/12*3,0))))))</f>
        <v>0</v>
      </c>
      <c r="BU41" s="412">
        <f t="shared" ref="BU41:BU42" si="285">IF($H41&lt;&gt;BV$5,0,IF(BV41&lt;0,IF(OR($J41=1,$J41=2,$J41=3,$J41=4,$J41=5,$J41=6,$J41=7,$J41=8,$J41=9,$J41=10),-$E41*$I41/12*3,IF($J41=11,-$E41*$I41/12*2,IF($J41=12,-$E41*$I41/12*1,0)))))+IF(BQ$5&lt;&gt;$H41,0,IF(BQ41&lt;0,IF($J41=10,-$E41*$I41/12*0,IF($J41=11,-$E41*$I41/12*1,IF($J41=12,-$E41*$I41/12*2,0)))))</f>
        <v>0</v>
      </c>
      <c r="BV41" s="413">
        <f t="shared" ref="BV41:BV42" si="286">IF(AND(BQ41&lt;&gt;0,BQ$5=$H41),-$I41*$E41-BQ41,IF(BV$5=$H41,-$I41*$E41*(12-$J41+1)/12,0))</f>
        <v>0</v>
      </c>
      <c r="BW41" s="410">
        <f t="shared" ref="BW41:BW42" si="287">IF($H41&lt;&gt;CA$5,0,IF(CA41&lt;0,IF($J41=1,-$E41*$I41/12*3,IF($J41=2,-$E41*$I41/12*2,IF($J41=3,-$E41*$I41/12*1,0)))))+IF(BV$5&lt;&gt;$H41,0,IF(BV41&lt;0,IF($J41=1,-$E41*$I41/12*0,IF($J41=2,-$E41*$I41/12*1,IF($J41=3,-$E41*$I41/12*2,IF($J41&gt;=4,-$E41*$I41/12*3,0))))))</f>
        <v>0</v>
      </c>
      <c r="BX41" s="416">
        <f t="shared" ref="BX41:BX42" si="288">IF($H41&lt;&gt;CA$5,0,IF(CA41&lt;0,IF(OR($J41=1,$J41=2,$J41=3,$J41=4),-$E41*$I41/12*3,IF($J41=5,-$E41*$I41/12*2,IF($J41=6,-$E41*$I41/12*1,0)))))+IF(BV$5&lt;&gt;$H41,0,IF(BV41&lt;0,IF($J41=4,-$E41*$I41/12*0,IF($J41=5,-$E41*$I41/12*1,IF($J41=6,-$E41*$I41/12*2,IF($J41&gt;=7,-$E41*$I41/12*3,0))))))</f>
        <v>0</v>
      </c>
      <c r="BY41" s="416">
        <f t="shared" ref="BY41:BY42" si="289">IF($H41&lt;&gt;CA$5,0,IF(CA41&lt;0,IF(OR($J41=1,$J41=2,$J41=3,$J41=4,$J41=5,$J41=6,$J41=7),-$E41*$I41/12*3,IF($J41=8,-$E41*$I41/12*2,IF($J41=9,-$E41*$I41/12*1,0)))))+IF(BV$5&lt;&gt;$H41,0,IF(BV41&lt;0,IF($J41=7,-$E41*$I41/12*0,IF($J41=8,-$E41*$I41/12*1,IF($J41=9,-$E41*$I41/12*2,IF($J41&gt;=10,-$E41*$I41/12*3,0))))))</f>
        <v>0</v>
      </c>
      <c r="BZ41" s="412">
        <f t="shared" ref="BZ41:BZ42" si="290">IF($H41&lt;&gt;CA$5,0,IF(CA41&lt;0,IF(OR($J41=1,$J41=2,$J41=3,$J41=4,$J41=5,$J41=6,$J41=7,$J41=8,$J41=9,$J41=10),-$E41*$I41/12*3,IF($J41=11,-$E41*$I41/12*2,IF($J41=12,-$E41*$I41/12*1,0)))))+IF(BV$5&lt;&gt;$H41,0,IF(BV41&lt;0,IF($J41=10,-$E41*$I41/12*0,IF($J41=11,-$E41*$I41/12*1,IF($J41=12,-$E41*$I41/12*2,0)))))</f>
        <v>0</v>
      </c>
      <c r="CA41" s="413">
        <f t="shared" ref="CA41:CA42" si="291">IF(AND(BV41&lt;&gt;0,BV$5=$H41),-$I41*$E41-BV41,IF(CA$5=$H41,-$I41*$E41*(12-$J41+1)/12,0))</f>
        <v>0</v>
      </c>
      <c r="CB41" s="410">
        <f t="shared" ref="CB41:CB42" si="292">IF($H41&lt;&gt;CF$5,0,IF(CF41&lt;0,IF($J41=1,-$E41*$I41/12*3,IF($J41=2,-$E41*$I41/12*2,IF($J41=3,-$E41*$I41/12*1,0)))))+IF(CA$5&lt;&gt;$H41,0,IF(CA41&lt;0,IF($J41=1,-$E41*$I41/12*0,IF($J41=2,-$E41*$I41/12*1,IF($J41=3,-$E41*$I41/12*2,IF($J41&gt;=4,-$E41*$I41/12*3,0))))))</f>
        <v>0</v>
      </c>
      <c r="CC41" s="416">
        <f t="shared" ref="CC41:CC42" si="293">IF($H41&lt;&gt;CF$5,0,IF(CF41&lt;0,IF(OR($J41=1,$J41=2,$J41=3,$J41=4),-$E41*$I41/12*3,IF($J41=5,-$E41*$I41/12*2,IF($J41=6,-$E41*$I41/12*1,0)))))+IF(CA$5&lt;&gt;$H41,0,IF(CA41&lt;0,IF($J41=4,-$E41*$I41/12*0,IF($J41=5,-$E41*$I41/12*1,IF($J41=6,-$E41*$I41/12*2,IF($J41&gt;=7,-$E41*$I41/12*3,0))))))</f>
        <v>0</v>
      </c>
      <c r="CD41" s="416">
        <f t="shared" ref="CD41:CD42" si="294">IF($H41&lt;&gt;CF$5,0,IF(CF41&lt;0,IF(OR($J41=1,$J41=2,$J41=3,$J41=4,$J41=5,$J41=6,$J41=7),-$E41*$I41/12*3,IF($J41=8,-$E41*$I41/12*2,IF($J41=9,-$E41*$I41/12*1,0)))))+IF(CA$5&lt;&gt;$H41,0,IF(CA41&lt;0,IF($J41=7,-$E41*$I41/12*0,IF($J41=8,-$E41*$I41/12*1,IF($J41=9,-$E41*$I41/12*2,IF($J41&gt;=10,-$E41*$I41/12*3,0))))))</f>
        <v>0</v>
      </c>
      <c r="CE41" s="412">
        <f t="shared" ref="CE41:CE42" si="295">IF($H41&lt;&gt;CF$5,0,IF(CF41&lt;0,IF(OR($J41=1,$J41=2,$J41=3,$J41=4,$J41=5,$J41=6,$J41=7,$J41=8,$J41=9,$J41=10),-$E41*$I41/12*3,IF($J41=11,-$E41*$I41/12*2,IF($J41=12,-$E41*$I41/12*1,0)))))+IF(CA$5&lt;&gt;$H41,0,IF(CA41&lt;0,IF($J41=10,-$E41*$I41/12*0,IF($J41=11,-$E41*$I41/12*1,IF($J41=12,-$E41*$I41/12*2,0)))))</f>
        <v>0</v>
      </c>
      <c r="CF41" s="413">
        <f t="shared" ref="CF41:CF42" si="296">IF(AND(CA41&lt;&gt;0,CA$5=$H41),-$I41*$E41-CA41,IF(CF$5=$H41,-$I41*$E41*(12-$J41+1)/12,0))</f>
        <v>0</v>
      </c>
      <c r="CG41" s="410">
        <f t="shared" ref="CG41:CG42" si="297">IF($H41&lt;&gt;CK$5,0,IF(CK41&lt;0,IF($J41=1,-$E41*$I41/12*3,IF($J41=2,-$E41*$I41/12*2,IF($J41=3,-$E41*$I41/12*1,0)))))+IF(CF$5&lt;&gt;$H41,0,IF(CF41&lt;0,IF($J41=1,-$E41*$I41/12*0,IF($J41=2,-$E41*$I41/12*1,IF($J41=3,-$E41*$I41/12*2,IF($J41&gt;=4,-$E41*$I41/12*3,0))))))</f>
        <v>0</v>
      </c>
      <c r="CH41" s="416">
        <f t="shared" ref="CH41:CH42" si="298">IF($H41&lt;&gt;CK$5,0,IF(CK41&lt;0,IF(OR($J41=1,$J41=2,$J41=3,$J41=4),-$E41*$I41/12*3,IF($J41=5,-$E41*$I41/12*2,IF($J41=6,-$E41*$I41/12*1,0)))))+IF(CF$5&lt;&gt;$H41,0,IF(CF41&lt;0,IF($J41=4,-$E41*$I41/12*0,IF($J41=5,-$E41*$I41/12*1,IF($J41=6,-$E41*$I41/12*2,IF($J41&gt;=7,-$E41*$I41/12*3,0))))))</f>
        <v>0</v>
      </c>
      <c r="CI41" s="416">
        <f t="shared" ref="CI41:CI42" si="299">IF($H41&lt;&gt;CK$5,0,IF(CK41&lt;0,IF(OR($J41=1,$J41=2,$J41=3,$J41=4,$J41=5,$J41=6,$J41=7),-$E41*$I41/12*3,IF($J41=8,-$E41*$I41/12*2,IF($J41=9,-$E41*$I41/12*1,0)))))+IF(CF$5&lt;&gt;$H41,0,IF(CF41&lt;0,IF($J41=7,-$E41*$I41/12*0,IF($J41=8,-$E41*$I41/12*1,IF($J41=9,-$E41*$I41/12*2,IF($J41&gt;=10,-$E41*$I41/12*3,0))))))</f>
        <v>0</v>
      </c>
      <c r="CJ41" s="412">
        <f t="shared" ref="CJ41:CJ42" si="300">IF($H41&lt;&gt;CK$5,0,IF(CK41&lt;0,IF(OR($J41=1,$J41=2,$J41=3,$J41=4,$J41=5,$J41=6,$J41=7,$J41=8,$J41=9,$J41=10),-$E41*$I41/12*3,IF($J41=11,-$E41*$I41/12*2,IF($J41=12,-$E41*$I41/12*1,0)))))+IF(CF$5&lt;&gt;$H41,0,IF(CF41&lt;0,IF($J41=10,-$E41*$I41/12*0,IF($J41=11,-$E41*$I41/12*1,IF($J41=12,-$E41*$I41/12*2,0)))))</f>
        <v>0</v>
      </c>
      <c r="CK41" s="413">
        <f t="shared" ref="CK41:CK42" si="301">IF(AND(CF41&lt;&gt;0,CF$5=$H41),-$I41*$E41-CF41,IF(CK$5=$H41,-$I41*$E41*(12-$J41+1)/12,0))</f>
        <v>0</v>
      </c>
      <c r="CL41" s="410">
        <f t="shared" ref="CL41:CL42" si="302">IF($H41&lt;&gt;CP$5,0,IF(CP41&lt;0,IF($J41=1,-$E41*$I41/12*3,IF($J41=2,-$E41*$I41/12*2,IF($J41=3,-$E41*$I41/12*1,0)))))+IF(CK$5&lt;&gt;$H41,0,IF(CK41&lt;0,IF($J41=1,-$E41*$I41/12*0,IF($J41=2,-$E41*$I41/12*1,IF($J41=3,-$E41*$I41/12*2,IF($J41&gt;=4,-$E41*$I41/12*3,0))))))</f>
        <v>0</v>
      </c>
      <c r="CM41" s="416">
        <f t="shared" ref="CM41:CM42" si="303">IF($H41&lt;&gt;CP$5,0,IF(CP41&lt;0,IF(OR($J41=1,$J41=2,$J41=3,$J41=4),-$E41*$I41/12*3,IF($J41=5,-$E41*$I41/12*2,IF($J41=6,-$E41*$I41/12*1,0)))))+IF(CK$5&lt;&gt;$H41,0,IF(CK41&lt;0,IF($J41=4,-$E41*$I41/12*0,IF($J41=5,-$E41*$I41/12*1,IF($J41=6,-$E41*$I41/12*2,IF($J41&gt;=7,-$E41*$I41/12*3,0))))))</f>
        <v>0</v>
      </c>
      <c r="CN41" s="416">
        <f t="shared" ref="CN41:CN42" si="304">IF($H41&lt;&gt;CP$5,0,IF(CP41&lt;0,IF(OR($J41=1,$J41=2,$J41=3,$J41=4,$J41=5,$J41=6,$J41=7),-$E41*$I41/12*3,IF($J41=8,-$E41*$I41/12*2,IF($J41=9,-$E41*$I41/12*1,0)))))+IF(CK$5&lt;&gt;$H41,0,IF(CK41&lt;0,IF($J41=7,-$E41*$I41/12*0,IF($J41=8,-$E41*$I41/12*1,IF($J41=9,-$E41*$I41/12*2,IF($J41&gt;=10,-$E41*$I41/12*3,0))))))</f>
        <v>0</v>
      </c>
      <c r="CO41" s="412">
        <f t="shared" ref="CO41:CO42" si="305">IF($H41&lt;&gt;CP$5,0,IF(CP41&lt;0,IF(OR($J41=1,$J41=2,$J41=3,$J41=4,$J41=5,$J41=6,$J41=7,$J41=8,$J41=9,$J41=10),-$E41*$I41/12*3,IF($J41=11,-$E41*$I41/12*2,IF($J41=12,-$E41*$I41/12*1,0)))))+IF(CK$5&lt;&gt;$H41,0,IF(CK41&lt;0,IF($J41=10,-$E41*$I41/12*0,IF($J41=11,-$E41*$I41/12*1,IF($J41=12,-$E41*$I41/12*2,0)))))</f>
        <v>0</v>
      </c>
      <c r="CP41" s="413">
        <f t="shared" ref="CP41:CP42" si="306">IF(AND(CK41&lt;&gt;0,CK$5=$H41),-$I41*$E41-CK41,IF(CP$5=$H41,-$I41*$E41*(12-$J41+1)/12,0))</f>
        <v>0</v>
      </c>
      <c r="CQ41" s="410">
        <f t="shared" ref="CQ41:CQ42" si="307">IF($H41&lt;&gt;CU$5,0,IF(CU41&lt;0,IF($J41=1,-$E41*$I41/12*3,IF($J41=2,-$E41*$I41/12*2,IF($J41=3,-$E41*$I41/12*1,0)))))+IF(CP$5&lt;&gt;$H41,0,IF(CP41&lt;0,IF($J41=1,-$E41*$I41/12*0,IF($J41=2,-$E41*$I41/12*1,IF($J41=3,-$E41*$I41/12*2,IF($J41&gt;=4,-$E41*$I41/12*3,0))))))</f>
        <v>0</v>
      </c>
      <c r="CR41" s="416">
        <f t="shared" ref="CR41:CR42" si="308">IF($H41&lt;&gt;CU$5,0,IF(CU41&lt;0,IF(OR($J41=1,$J41=2,$J41=3,$J41=4),-$E41*$I41/12*3,IF($J41=5,-$E41*$I41/12*2,IF($J41=6,-$E41*$I41/12*1,0)))))+IF(CP$5&lt;&gt;$H41,0,IF(CP41&lt;0,IF($J41=4,-$E41*$I41/12*0,IF($J41=5,-$E41*$I41/12*1,IF($J41=6,-$E41*$I41/12*2,IF($J41&gt;=7,-$E41*$I41/12*3,0))))))</f>
        <v>0</v>
      </c>
      <c r="CS41" s="416">
        <f t="shared" ref="CS41:CS42" si="309">IF($H41&lt;&gt;CU$5,0,IF(CU41&lt;0,IF(OR($J41=1,$J41=2,$J41=3,$J41=4,$J41=5,$J41=6,$J41=7),-$E41*$I41/12*3,IF($J41=8,-$E41*$I41/12*2,IF($J41=9,-$E41*$I41/12*1,0)))))+IF(CP$5&lt;&gt;$H41,0,IF(CP41&lt;0,IF($J41=7,-$E41*$I41/12*0,IF($J41=8,-$E41*$I41/12*1,IF($J41=9,-$E41*$I41/12*2,IF($J41&gt;=10,-$E41*$I41/12*3,0))))))</f>
        <v>0</v>
      </c>
      <c r="CT41" s="412">
        <f t="shared" ref="CT41:CT42" si="310">IF($H41&lt;&gt;CU$5,0,IF(CU41&lt;0,IF(OR($J41=1,$J41=2,$J41=3,$J41=4,$J41=5,$J41=6,$J41=7,$J41=8,$J41=9,$J41=10),-$E41*$I41/12*3,IF($J41=11,-$E41*$I41/12*2,IF($J41=12,-$E41*$I41/12*1,0)))))+IF(CP$5&lt;&gt;$H41,0,IF(CP41&lt;0,IF($J41=10,-$E41*$I41/12*0,IF($J41=11,-$E41*$I41/12*1,IF($J41=12,-$E41*$I41/12*2,0)))))</f>
        <v>0</v>
      </c>
      <c r="CU41" s="413">
        <f t="shared" ref="CU41:CU42" si="311">IF(AND(CP41&lt;&gt;0,CP$5=$H41),-$I41*$E41-CP41,IF(CU$5=$H41,-$I41*$E41*(12-$J41+1)/12,0))</f>
        <v>0</v>
      </c>
      <c r="CV41" s="410">
        <f t="shared" ref="CV41:CV42" si="312">IF($H41&lt;&gt;CZ$5,0,IF(CZ41&lt;0,IF($J41=1,-$E41*$I41/12*3,IF($J41=2,-$E41*$I41/12*2,IF($J41=3,-$E41*$I41/12*1,0)))))+IF(CU$5&lt;&gt;$H41,0,IF(CU41&lt;0,IF($J41=1,-$E41*$I41/12*0,IF($J41=2,-$E41*$I41/12*1,IF($J41=3,-$E41*$I41/12*2,IF($J41&gt;=4,-$E41*$I41/12*3,0))))))</f>
        <v>0</v>
      </c>
      <c r="CW41" s="416">
        <f t="shared" ref="CW41:CW42" si="313">IF($H41&lt;&gt;CZ$5,0,IF(CZ41&lt;0,IF(OR($J41=1,$J41=2,$J41=3,$J41=4),-$E41*$I41/12*3,IF($J41=5,-$E41*$I41/12*2,IF($J41=6,-$E41*$I41/12*1,0)))))+IF(CU$5&lt;&gt;$H41,0,IF(CU41&lt;0,IF($J41=4,-$E41*$I41/12*0,IF($J41=5,-$E41*$I41/12*1,IF($J41=6,-$E41*$I41/12*2,IF($J41&gt;=7,-$E41*$I41/12*3,0))))))</f>
        <v>0</v>
      </c>
      <c r="CX41" s="416">
        <f t="shared" ref="CX41:CX42" si="314">IF($H41&lt;&gt;CZ$5,0,IF(CZ41&lt;0,IF(OR($J41=1,$J41=2,$J41=3,$J41=4,$J41=5,$J41=6,$J41=7),-$E41*$I41/12*3,IF($J41=8,-$E41*$I41/12*2,IF($J41=9,-$E41*$I41/12*1,0)))))+IF(CU$5&lt;&gt;$H41,0,IF(CU41&lt;0,IF($J41=7,-$E41*$I41/12*0,IF($J41=8,-$E41*$I41/12*1,IF($J41=9,-$E41*$I41/12*2,IF($J41&gt;=10,-$E41*$I41/12*3,0))))))</f>
        <v>0</v>
      </c>
      <c r="CY41" s="412">
        <f t="shared" ref="CY41:CY42" si="315">IF($H41&lt;&gt;CZ$5,0,IF(CZ41&lt;0,IF(OR($J41=1,$J41=2,$J41=3,$J41=4,$J41=5,$J41=6,$J41=7,$J41=8,$J41=9,$J41=10),-$E41*$I41/12*3,IF($J41=11,-$E41*$I41/12*2,IF($J41=12,-$E41*$I41/12*1,0)))))+IF(CU$5&lt;&gt;$H41,0,IF(CU41&lt;0,IF($J41=10,-$E41*$I41/12*0,IF($J41=11,-$E41*$I41/12*1,IF($J41=12,-$E41*$I41/12*2,0)))))</f>
        <v>0</v>
      </c>
      <c r="CZ41" s="413">
        <f t="shared" ref="CZ41:CZ42" si="316">IF(AND(CU41&lt;&gt;0,CU$5=$H41),-$I41*$E41-CU41,IF(CZ$5=$H41,-$I41*$E41*(12-$J41+1)/12,0))</f>
        <v>0</v>
      </c>
      <c r="DA41" s="410">
        <f t="shared" ref="DA41:DA42" si="317">IF($H41&lt;&gt;DE$5,0,IF(DE41&lt;0,IF($J41=1,-$E41*$I41/12*3,IF($J41=2,-$E41*$I41/12*2,IF($J41=3,-$E41*$I41/12*1,0)))))+IF(CZ$5&lt;&gt;$H41,0,IF(CZ41&lt;0,IF($J41=1,-$E41*$I41/12*0,IF($J41=2,-$E41*$I41/12*1,IF($J41=3,-$E41*$I41/12*2,IF($J41&gt;=4,-$E41*$I41/12*3,0))))))</f>
        <v>0</v>
      </c>
      <c r="DB41" s="416">
        <f t="shared" ref="DB41:DB42" si="318">IF($H41&lt;&gt;DE$5,0,IF(DE41&lt;0,IF(OR($J41=1,$J41=2,$J41=3,$J41=4),-$E41*$I41/12*3,IF($J41=5,-$E41*$I41/12*2,IF($J41=6,-$E41*$I41/12*1,0)))))+IF(CZ$5&lt;&gt;$H41,0,IF(CZ41&lt;0,IF($J41=4,-$E41*$I41/12*0,IF($J41=5,-$E41*$I41/12*1,IF($J41=6,-$E41*$I41/12*2,IF($J41&gt;=7,-$E41*$I41/12*3,0))))))</f>
        <v>0</v>
      </c>
      <c r="DC41" s="416">
        <f t="shared" ref="DC41:DC42" si="319">IF($H41&lt;&gt;DE$5,0,IF(DE41&lt;0,IF(OR($J41=1,$J41=2,$J41=3,$J41=4,$J41=5,$J41=6,$J41=7),-$E41*$I41/12*3,IF($J41=8,-$E41*$I41/12*2,IF($J41=9,-$E41*$I41/12*1,0)))))+IF(CZ$5&lt;&gt;$H41,0,IF(CZ41&lt;0,IF($J41=7,-$E41*$I41/12*0,IF($J41=8,-$E41*$I41/12*1,IF($J41=9,-$E41*$I41/12*2,IF($J41&gt;=10,-$E41*$I41/12*3,0))))))</f>
        <v>0</v>
      </c>
      <c r="DD41" s="412">
        <f t="shared" ref="DD41:DD42" si="320">IF($H41&lt;&gt;DE$5,0,IF(DE41&lt;0,IF(OR($J41=1,$J41=2,$J41=3,$J41=4,$J41=5,$J41=6,$J41=7,$J41=8,$J41=9,$J41=10),-$E41*$I41/12*3,IF($J41=11,-$E41*$I41/12*2,IF($J41=12,-$E41*$I41/12*1,0)))))+IF(CZ$5&lt;&gt;$H41,0,IF(CZ41&lt;0,IF($J41=10,-$E41*$I41/12*0,IF($J41=11,-$E41*$I41/12*1,IF($J41=12,-$E41*$I41/12*2,0)))))</f>
        <v>0</v>
      </c>
      <c r="DE41" s="413">
        <f t="shared" ref="DE41:DE42" si="321">IF(AND(CZ41&lt;&gt;0,CZ$5=$H41),-$I41*$E41-CZ41,IF(DE$5=$H41,-$I41*$E41*(12-$J41+1)/12,0))</f>
        <v>0</v>
      </c>
      <c r="DF41" s="410">
        <f t="shared" ref="DF41:DF42" si="322">IF($H41&lt;&gt;DJ$5,0,IF(DJ41&lt;0,IF($J41=1,-$E41*$I41/12*3,IF($J41=2,-$E41*$I41/12*2,IF($J41=3,-$E41*$I41/12*1,0)))))+IF(DE$5&lt;&gt;$H41,0,IF(DE41&lt;0,IF($J41=1,-$E41*$I41/12*0,IF($J41=2,-$E41*$I41/12*1,IF($J41=3,-$E41*$I41/12*2,IF($J41&gt;=4,-$E41*$I41/12*3,0))))))</f>
        <v>0</v>
      </c>
      <c r="DG41" s="416">
        <f t="shared" ref="DG41:DG42" si="323">IF($H41&lt;&gt;DJ$5,0,IF(DJ41&lt;0,IF(OR($J41=1,$J41=2,$J41=3,$J41=4),-$E41*$I41/12*3,IF($J41=5,-$E41*$I41/12*2,IF($J41=6,-$E41*$I41/12*1,0)))))+IF(DE$5&lt;&gt;$H41,0,IF(DE41&lt;0,IF($J41=4,-$E41*$I41/12*0,IF($J41=5,-$E41*$I41/12*1,IF($J41=6,-$E41*$I41/12*2,IF($J41&gt;=7,-$E41*$I41/12*3,0))))))</f>
        <v>0</v>
      </c>
      <c r="DH41" s="416">
        <f t="shared" ref="DH41:DH42" si="324">IF($H41&lt;&gt;DJ$5,0,IF(DJ41&lt;0,IF(OR($J41=1,$J41=2,$J41=3,$J41=4,$J41=5,$J41=6,$J41=7),-$E41*$I41/12*3,IF($J41=8,-$E41*$I41/12*2,IF($J41=9,-$E41*$I41/12*1,0)))))+IF(DE$5&lt;&gt;$H41,0,IF(DE41&lt;0,IF($J41=7,-$E41*$I41/12*0,IF($J41=8,-$E41*$I41/12*1,IF($J41=9,-$E41*$I41/12*2,IF($J41&gt;=10,-$E41*$I41/12*3,0))))))</f>
        <v>0</v>
      </c>
      <c r="DI41" s="412">
        <f t="shared" ref="DI41:DI42" si="325">IF($H41&lt;&gt;DJ$5,0,IF(DJ41&lt;0,IF(OR($J41=1,$J41=2,$J41=3,$J41=4,$J41=5,$J41=6,$J41=7,$J41=8,$J41=9,$J41=10),-$E41*$I41/12*3,IF($J41=11,-$E41*$I41/12*2,IF($J41=12,-$E41*$I41/12*1,0)))))+IF(DE$5&lt;&gt;$H41,0,IF(DE41&lt;0,IF($J41=10,-$E41*$I41/12*0,IF($J41=11,-$E41*$I41/12*1,IF($J41=12,-$E41*$I41/12*2,0)))))</f>
        <v>0</v>
      </c>
      <c r="DJ41" s="413">
        <f t="shared" ref="DJ41:DJ42" si="326">IF(AND(DE41&lt;&gt;0,DE$5=$H41),-$I41*$E41-DE41,IF(DJ$5=$H41,-$I41*$E41*(12-$J41+1)/12,0))</f>
        <v>0</v>
      </c>
      <c r="DK41" s="410">
        <f t="shared" ref="DK41:DK42" si="327">IF($H41&lt;&gt;DO$5,0,IF(DO41&lt;0,IF($J41=1,-$E41*$I41/12*3,IF($J41=2,-$E41*$I41/12*2,IF($J41=3,-$E41*$I41/12*1,0)))))+IF(DJ$5&lt;&gt;$H41,0,IF(DJ41&lt;0,IF($J41=1,-$E41*$I41/12*0,IF($J41=2,-$E41*$I41/12*1,IF($J41=3,-$E41*$I41/12*2,IF($J41&gt;=4,-$E41*$I41/12*3,0))))))</f>
        <v>0</v>
      </c>
      <c r="DL41" s="416">
        <f t="shared" ref="DL41:DL42" si="328">IF($H41&lt;&gt;DO$5,0,IF(DO41&lt;0,IF(OR($J41=1,$J41=2,$J41=3,$J41=4),-$E41*$I41/12*3,IF($J41=5,-$E41*$I41/12*2,IF($J41=6,-$E41*$I41/12*1,0)))))+IF(DJ$5&lt;&gt;$H41,0,IF(DJ41&lt;0,IF($J41=4,-$E41*$I41/12*0,IF($J41=5,-$E41*$I41/12*1,IF($J41=6,-$E41*$I41/12*2,IF($J41&gt;=7,-$E41*$I41/12*3,0))))))</f>
        <v>0</v>
      </c>
      <c r="DM41" s="416">
        <f t="shared" ref="DM41:DM42" si="329">IF($H41&lt;&gt;DO$5,0,IF(DO41&lt;0,IF(OR($J41=1,$J41=2,$J41=3,$J41=4,$J41=5,$J41=6,$J41=7),-$E41*$I41/12*3,IF($J41=8,-$E41*$I41/12*2,IF($J41=9,-$E41*$I41/12*1,0)))))+IF(DJ$5&lt;&gt;$H41,0,IF(DJ41&lt;0,IF($J41=7,-$E41*$I41/12*0,IF($J41=8,-$E41*$I41/12*1,IF($J41=9,-$E41*$I41/12*2,IF($J41&gt;=10,-$E41*$I41/12*3,0))))))</f>
        <v>0</v>
      </c>
      <c r="DN41" s="412">
        <f t="shared" ref="DN41:DN42" si="330">IF($H41&lt;&gt;DO$5,0,IF(DO41&lt;0,IF(OR($J41=1,$J41=2,$J41=3,$J41=4,$J41=5,$J41=6,$J41=7,$J41=8,$J41=9,$J41=10),-$E41*$I41/12*3,IF($J41=11,-$E41*$I41/12*2,IF($J41=12,-$E41*$I41/12*1,0)))))+IF(DJ$5&lt;&gt;$H41,0,IF(DJ41&lt;0,IF($J41=10,-$E41*$I41/12*0,IF($J41=11,-$E41*$I41/12*1,IF($J41=12,-$E41*$I41/12*2,0)))))</f>
        <v>0</v>
      </c>
      <c r="DO41" s="413">
        <f t="shared" ref="DO41:DO42" si="331">IF(AND(DJ41&lt;&gt;0,DJ$5=$H41),-$I41*$E41-DJ41,IF(DO$5=$H41,-$I41*$E41*(12-$J41+1)/12,0))</f>
        <v>0</v>
      </c>
      <c r="DP41" s="410">
        <f t="shared" ref="DP41:DP42" si="332">IF($H41&lt;&gt;DT$5,0,IF(DT41&lt;0,IF($J41=1,-$E41*$I41/12*3,IF($J41=2,-$E41*$I41/12*2,IF($J41=3,-$E41*$I41/12*1,0)))))+IF(DO$5&lt;&gt;$H41,0,IF(DO41&lt;0,IF($J41=1,-$E41*$I41/12*0,IF($J41=2,-$E41*$I41/12*1,IF($J41=3,-$E41*$I41/12*2,IF($J41&gt;=4,-$E41*$I41/12*3,0))))))</f>
        <v>0</v>
      </c>
      <c r="DQ41" s="416">
        <f t="shared" ref="DQ41:DQ42" si="333">IF($H41&lt;&gt;DT$5,0,IF(DT41&lt;0,IF(OR($J41=1,$J41=2,$J41=3,$J41=4),-$E41*$I41/12*3,IF($J41=5,-$E41*$I41/12*2,IF($J41=6,-$E41*$I41/12*1,0)))))+IF(DO$5&lt;&gt;$H41,0,IF(DO41&lt;0,IF($J41=4,-$E41*$I41/12*0,IF($J41=5,-$E41*$I41/12*1,IF($J41=6,-$E41*$I41/12*2,IF($J41&gt;=7,-$E41*$I41/12*3,0))))))</f>
        <v>0</v>
      </c>
      <c r="DR41" s="416">
        <f t="shared" ref="DR41:DR42" si="334">IF($H41&lt;&gt;DT$5,0,IF(DT41&lt;0,IF(OR($J41=1,$J41=2,$J41=3,$J41=4,$J41=5,$J41=6,$J41=7),-$E41*$I41/12*3,IF($J41=8,-$E41*$I41/12*2,IF($J41=9,-$E41*$I41/12*1,0)))))+IF(DO$5&lt;&gt;$H41,0,IF(DO41&lt;0,IF($J41=7,-$E41*$I41/12*0,IF($J41=8,-$E41*$I41/12*1,IF($J41=9,-$E41*$I41/12*2,IF($J41&gt;=10,-$E41*$I41/12*3,0))))))</f>
        <v>0</v>
      </c>
      <c r="DS41" s="412">
        <f t="shared" ref="DS41:DS42" si="335">IF($H41&lt;&gt;DT$5,0,IF(DT41&lt;0,IF(OR($J41=1,$J41=2,$J41=3,$J41=4,$J41=5,$J41=6,$J41=7,$J41=8,$J41=9,$J41=10),-$E41*$I41/12*3,IF($J41=11,-$E41*$I41/12*2,IF($J41=12,-$E41*$I41/12*1,0)))))+IF(DO$5&lt;&gt;$H41,0,IF(DO41&lt;0,IF($J41=10,-$E41*$I41/12*0,IF($J41=11,-$E41*$I41/12*1,IF($J41=12,-$E41*$I41/12*2,0)))))</f>
        <v>0</v>
      </c>
      <c r="DT41" s="413">
        <f t="shared" ref="DT41:DT42" si="336">IF(AND(DO41&lt;&gt;0,DO$5=$H41),-$I41*$E41-DO41,IF(DT$5=$H41,-$I41*$E41*(12-$J41+1)/12,0))</f>
        <v>0</v>
      </c>
    </row>
    <row r="42" spans="1:124" s="1884" customFormat="1" ht="12.75" customHeight="1">
      <c r="A42" s="491"/>
      <c r="C42" s="1885" t="s">
        <v>1357</v>
      </c>
      <c r="D42" s="1885"/>
      <c r="E42" s="1886">
        <v>500</v>
      </c>
      <c r="F42" s="1532">
        <v>500</v>
      </c>
      <c r="G42" s="1532">
        <v>0</v>
      </c>
      <c r="H42" s="610">
        <v>2047</v>
      </c>
      <c r="I42" s="1533">
        <v>3.7499999999999999E-2</v>
      </c>
      <c r="J42" s="615">
        <v>12</v>
      </c>
      <c r="K42" s="402"/>
      <c r="L42" s="407">
        <f t="shared" si="225"/>
        <v>0</v>
      </c>
      <c r="M42" s="404">
        <f t="shared" si="237"/>
        <v>0</v>
      </c>
      <c r="N42" s="414">
        <f t="shared" si="238"/>
        <v>0</v>
      </c>
      <c r="O42" s="414">
        <f t="shared" si="239"/>
        <v>0</v>
      </c>
      <c r="P42" s="406">
        <f t="shared" si="240"/>
        <v>0</v>
      </c>
      <c r="Q42" s="407">
        <f t="shared" si="226"/>
        <v>0</v>
      </c>
      <c r="R42" s="404">
        <f t="shared" si="241"/>
        <v>0</v>
      </c>
      <c r="S42" s="414">
        <f t="shared" si="242"/>
        <v>0</v>
      </c>
      <c r="T42" s="414">
        <f t="shared" si="243"/>
        <v>0</v>
      </c>
      <c r="U42" s="406">
        <f t="shared" si="244"/>
        <v>0</v>
      </c>
      <c r="V42" s="407">
        <f t="shared" si="227"/>
        <v>0</v>
      </c>
      <c r="W42" s="404">
        <f t="shared" si="245"/>
        <v>0</v>
      </c>
      <c r="X42" s="414">
        <f t="shared" si="246"/>
        <v>0</v>
      </c>
      <c r="Y42" s="414">
        <f t="shared" si="247"/>
        <v>0</v>
      </c>
      <c r="Z42" s="406">
        <f t="shared" si="248"/>
        <v>0</v>
      </c>
      <c r="AA42" s="407">
        <f t="shared" si="228"/>
        <v>0</v>
      </c>
      <c r="AB42" s="404">
        <f t="shared" si="249"/>
        <v>0</v>
      </c>
      <c r="AC42" s="414">
        <f t="shared" si="250"/>
        <v>0</v>
      </c>
      <c r="AD42" s="414">
        <f t="shared" si="251"/>
        <v>0</v>
      </c>
      <c r="AE42" s="406">
        <f t="shared" si="252"/>
        <v>0</v>
      </c>
      <c r="AF42" s="407">
        <f t="shared" si="229"/>
        <v>0</v>
      </c>
      <c r="AG42" s="404">
        <f t="shared" si="253"/>
        <v>0</v>
      </c>
      <c r="AH42" s="414">
        <f t="shared" si="254"/>
        <v>0</v>
      </c>
      <c r="AI42" s="414">
        <f t="shared" si="255"/>
        <v>0</v>
      </c>
      <c r="AJ42" s="406">
        <f t="shared" si="256"/>
        <v>0</v>
      </c>
      <c r="AK42" s="407">
        <f t="shared" si="230"/>
        <v>0</v>
      </c>
      <c r="AL42" s="404">
        <f t="shared" si="257"/>
        <v>0</v>
      </c>
      <c r="AM42" s="414">
        <f t="shared" si="258"/>
        <v>0</v>
      </c>
      <c r="AN42" s="414">
        <f t="shared" si="259"/>
        <v>0</v>
      </c>
      <c r="AO42" s="406">
        <f t="shared" si="260"/>
        <v>0</v>
      </c>
      <c r="AP42" s="407">
        <f t="shared" si="231"/>
        <v>0</v>
      </c>
      <c r="AQ42" s="404">
        <f t="shared" si="261"/>
        <v>0</v>
      </c>
      <c r="AR42" s="414">
        <f t="shared" si="262"/>
        <v>0</v>
      </c>
      <c r="AS42" s="414">
        <f t="shared" si="263"/>
        <v>0</v>
      </c>
      <c r="AT42" s="406">
        <f t="shared" si="264"/>
        <v>0</v>
      </c>
      <c r="AU42" s="407">
        <f t="shared" si="232"/>
        <v>0</v>
      </c>
      <c r="AV42" s="404">
        <f t="shared" si="265"/>
        <v>0</v>
      </c>
      <c r="AW42" s="414">
        <f t="shared" si="266"/>
        <v>0</v>
      </c>
      <c r="AX42" s="414">
        <f t="shared" si="267"/>
        <v>0</v>
      </c>
      <c r="AY42" s="406">
        <f t="shared" si="268"/>
        <v>0</v>
      </c>
      <c r="AZ42" s="407">
        <f t="shared" si="233"/>
        <v>0</v>
      </c>
      <c r="BA42" s="404">
        <f t="shared" si="269"/>
        <v>0</v>
      </c>
      <c r="BB42" s="414">
        <f t="shared" si="270"/>
        <v>0</v>
      </c>
      <c r="BC42" s="414">
        <f t="shared" si="271"/>
        <v>0</v>
      </c>
      <c r="BD42" s="406">
        <f t="shared" si="272"/>
        <v>0</v>
      </c>
      <c r="BE42" s="407">
        <f t="shared" si="234"/>
        <v>0</v>
      </c>
      <c r="BF42" s="404">
        <f t="shared" si="273"/>
        <v>0</v>
      </c>
      <c r="BG42" s="414">
        <f t="shared" si="274"/>
        <v>0</v>
      </c>
      <c r="BH42" s="414">
        <f t="shared" si="275"/>
        <v>0</v>
      </c>
      <c r="BI42" s="406">
        <f t="shared" si="276"/>
        <v>0</v>
      </c>
      <c r="BJ42" s="407">
        <f t="shared" si="235"/>
        <v>0</v>
      </c>
      <c r="BK42" s="404">
        <f t="shared" si="277"/>
        <v>0</v>
      </c>
      <c r="BL42" s="414">
        <f t="shared" si="278"/>
        <v>0</v>
      </c>
      <c r="BM42" s="414">
        <f t="shared" si="279"/>
        <v>0</v>
      </c>
      <c r="BN42" s="406">
        <f t="shared" si="280"/>
        <v>0</v>
      </c>
      <c r="BO42" s="407">
        <f t="shared" si="236"/>
        <v>0</v>
      </c>
      <c r="BP42" s="449"/>
      <c r="BQ42" s="413">
        <f t="shared" si="281"/>
        <v>0</v>
      </c>
      <c r="BR42" s="410">
        <f t="shared" si="282"/>
        <v>0</v>
      </c>
      <c r="BS42" s="416">
        <f t="shared" si="283"/>
        <v>0</v>
      </c>
      <c r="BT42" s="416">
        <f t="shared" si="284"/>
        <v>0</v>
      </c>
      <c r="BU42" s="412">
        <f t="shared" si="285"/>
        <v>0</v>
      </c>
      <c r="BV42" s="413">
        <f t="shared" si="286"/>
        <v>0</v>
      </c>
      <c r="BW42" s="410">
        <f t="shared" si="287"/>
        <v>0</v>
      </c>
      <c r="BX42" s="416">
        <f t="shared" si="288"/>
        <v>0</v>
      </c>
      <c r="BY42" s="416">
        <f t="shared" si="289"/>
        <v>0</v>
      </c>
      <c r="BZ42" s="412">
        <f t="shared" si="290"/>
        <v>0</v>
      </c>
      <c r="CA42" s="413">
        <f t="shared" si="291"/>
        <v>0</v>
      </c>
      <c r="CB42" s="410">
        <f t="shared" si="292"/>
        <v>0</v>
      </c>
      <c r="CC42" s="416">
        <f t="shared" si="293"/>
        <v>0</v>
      </c>
      <c r="CD42" s="416">
        <f t="shared" si="294"/>
        <v>0</v>
      </c>
      <c r="CE42" s="412">
        <f t="shared" si="295"/>
        <v>0</v>
      </c>
      <c r="CF42" s="413">
        <f t="shared" si="296"/>
        <v>0</v>
      </c>
      <c r="CG42" s="410">
        <f t="shared" si="297"/>
        <v>0</v>
      </c>
      <c r="CH42" s="416">
        <f t="shared" si="298"/>
        <v>0</v>
      </c>
      <c r="CI42" s="416">
        <f t="shared" si="299"/>
        <v>0</v>
      </c>
      <c r="CJ42" s="412">
        <f t="shared" si="300"/>
        <v>0</v>
      </c>
      <c r="CK42" s="413">
        <f t="shared" si="301"/>
        <v>0</v>
      </c>
      <c r="CL42" s="410">
        <f t="shared" si="302"/>
        <v>0</v>
      </c>
      <c r="CM42" s="416">
        <f t="shared" si="303"/>
        <v>0</v>
      </c>
      <c r="CN42" s="416">
        <f t="shared" si="304"/>
        <v>0</v>
      </c>
      <c r="CO42" s="412">
        <f t="shared" si="305"/>
        <v>0</v>
      </c>
      <c r="CP42" s="413">
        <f t="shared" si="306"/>
        <v>0</v>
      </c>
      <c r="CQ42" s="410">
        <f t="shared" si="307"/>
        <v>0</v>
      </c>
      <c r="CR42" s="416">
        <f t="shared" si="308"/>
        <v>0</v>
      </c>
      <c r="CS42" s="416">
        <f t="shared" si="309"/>
        <v>0</v>
      </c>
      <c r="CT42" s="412">
        <f t="shared" si="310"/>
        <v>0</v>
      </c>
      <c r="CU42" s="413">
        <f t="shared" si="311"/>
        <v>0</v>
      </c>
      <c r="CV42" s="410">
        <f t="shared" si="312"/>
        <v>0</v>
      </c>
      <c r="CW42" s="416">
        <f t="shared" si="313"/>
        <v>0</v>
      </c>
      <c r="CX42" s="416">
        <f t="shared" si="314"/>
        <v>0</v>
      </c>
      <c r="CY42" s="412">
        <f t="shared" si="315"/>
        <v>0</v>
      </c>
      <c r="CZ42" s="413">
        <f t="shared" si="316"/>
        <v>0</v>
      </c>
      <c r="DA42" s="410">
        <f t="shared" si="317"/>
        <v>0</v>
      </c>
      <c r="DB42" s="416">
        <f t="shared" si="318"/>
        <v>0</v>
      </c>
      <c r="DC42" s="416">
        <f t="shared" si="319"/>
        <v>0</v>
      </c>
      <c r="DD42" s="412">
        <f t="shared" si="320"/>
        <v>0</v>
      </c>
      <c r="DE42" s="413">
        <f t="shared" si="321"/>
        <v>0</v>
      </c>
      <c r="DF42" s="410">
        <f t="shared" si="322"/>
        <v>0</v>
      </c>
      <c r="DG42" s="416">
        <f t="shared" si="323"/>
        <v>0</v>
      </c>
      <c r="DH42" s="416">
        <f t="shared" si="324"/>
        <v>0</v>
      </c>
      <c r="DI42" s="412">
        <f t="shared" si="325"/>
        <v>0</v>
      </c>
      <c r="DJ42" s="413">
        <f t="shared" si="326"/>
        <v>0</v>
      </c>
      <c r="DK42" s="410">
        <f t="shared" si="327"/>
        <v>0</v>
      </c>
      <c r="DL42" s="416">
        <f t="shared" si="328"/>
        <v>0</v>
      </c>
      <c r="DM42" s="416">
        <f t="shared" si="329"/>
        <v>0</v>
      </c>
      <c r="DN42" s="412">
        <f t="shared" si="330"/>
        <v>0</v>
      </c>
      <c r="DO42" s="413">
        <f t="shared" si="331"/>
        <v>0</v>
      </c>
      <c r="DP42" s="410">
        <f t="shared" si="332"/>
        <v>0</v>
      </c>
      <c r="DQ42" s="416">
        <f t="shared" si="333"/>
        <v>0</v>
      </c>
      <c r="DR42" s="416">
        <f t="shared" si="334"/>
        <v>0</v>
      </c>
      <c r="DS42" s="412">
        <f t="shared" si="335"/>
        <v>0</v>
      </c>
      <c r="DT42" s="413">
        <f t="shared" si="336"/>
        <v>0</v>
      </c>
    </row>
    <row r="43" spans="1:124" ht="12.75" customHeight="1">
      <c r="A43" s="491"/>
      <c r="C43" s="845"/>
      <c r="D43" s="845"/>
      <c r="E43" s="1531"/>
      <c r="F43" s="1532"/>
      <c r="G43" s="1532"/>
      <c r="H43" s="610"/>
      <c r="I43" s="1533"/>
      <c r="J43" s="615"/>
      <c r="K43" s="402"/>
      <c r="L43" s="407"/>
      <c r="M43" s="404"/>
      <c r="N43" s="414"/>
      <c r="O43" s="414"/>
      <c r="P43" s="406"/>
      <c r="Q43" s="407"/>
      <c r="R43" s="404"/>
      <c r="S43" s="414"/>
      <c r="T43" s="414"/>
      <c r="U43" s="406"/>
      <c r="V43" s="407"/>
      <c r="W43" s="404"/>
      <c r="X43" s="414"/>
      <c r="Y43" s="414"/>
      <c r="Z43" s="406"/>
      <c r="AA43" s="407"/>
      <c r="AB43" s="404"/>
      <c r="AC43" s="414"/>
      <c r="AD43" s="414"/>
      <c r="AE43" s="406"/>
      <c r="AF43" s="407"/>
      <c r="AG43" s="404"/>
      <c r="AH43" s="414"/>
      <c r="AI43" s="414"/>
      <c r="AJ43" s="406"/>
      <c r="AK43" s="407"/>
      <c r="AL43" s="404"/>
      <c r="AM43" s="414"/>
      <c r="AN43" s="414"/>
      <c r="AO43" s="406"/>
      <c r="AP43" s="407"/>
      <c r="AQ43" s="404"/>
      <c r="AR43" s="414"/>
      <c r="AS43" s="414"/>
      <c r="AT43" s="406"/>
      <c r="AU43" s="407"/>
      <c r="AV43" s="404"/>
      <c r="AW43" s="414"/>
      <c r="AX43" s="414"/>
      <c r="AY43" s="406"/>
      <c r="AZ43" s="407"/>
      <c r="BA43" s="404"/>
      <c r="BB43" s="414"/>
      <c r="BC43" s="414"/>
      <c r="BD43" s="406"/>
      <c r="BE43" s="407"/>
      <c r="BF43" s="404"/>
      <c r="BG43" s="414"/>
      <c r="BH43" s="414"/>
      <c r="BI43" s="406"/>
      <c r="BJ43" s="407"/>
      <c r="BK43" s="404"/>
      <c r="BL43" s="414"/>
      <c r="BM43" s="414"/>
      <c r="BN43" s="406"/>
      <c r="BO43" s="407"/>
      <c r="BP43" s="449"/>
      <c r="BQ43" s="413"/>
      <c r="BR43" s="410"/>
      <c r="BS43" s="416"/>
      <c r="BT43" s="416"/>
      <c r="BU43" s="412"/>
      <c r="BV43" s="413"/>
      <c r="BW43" s="410"/>
      <c r="BX43" s="416"/>
      <c r="BY43" s="416"/>
      <c r="BZ43" s="412"/>
      <c r="CA43" s="413"/>
      <c r="CB43" s="410"/>
      <c r="CC43" s="416"/>
      <c r="CD43" s="416"/>
      <c r="CE43" s="412"/>
      <c r="CF43" s="413"/>
      <c r="CG43" s="410"/>
      <c r="CH43" s="416"/>
      <c r="CI43" s="416"/>
      <c r="CJ43" s="412"/>
      <c r="CK43" s="413"/>
      <c r="CL43" s="410"/>
      <c r="CM43" s="416"/>
      <c r="CN43" s="416"/>
      <c r="CO43" s="412"/>
      <c r="CP43" s="413"/>
      <c r="CQ43" s="410"/>
      <c r="CR43" s="416"/>
      <c r="CS43" s="416"/>
      <c r="CT43" s="412"/>
      <c r="CU43" s="413"/>
      <c r="CV43" s="410"/>
      <c r="CW43" s="416"/>
      <c r="CX43" s="416"/>
      <c r="CY43" s="412"/>
      <c r="CZ43" s="413"/>
      <c r="DA43" s="410"/>
      <c r="DB43" s="416"/>
      <c r="DC43" s="416"/>
      <c r="DD43" s="412"/>
      <c r="DE43" s="413"/>
      <c r="DF43" s="410"/>
      <c r="DG43" s="416"/>
      <c r="DH43" s="416"/>
      <c r="DI43" s="412"/>
      <c r="DJ43" s="413"/>
      <c r="DK43" s="410"/>
      <c r="DL43" s="416"/>
      <c r="DM43" s="416"/>
      <c r="DN43" s="412"/>
      <c r="DO43" s="413"/>
      <c r="DP43" s="410"/>
      <c r="DQ43" s="416"/>
      <c r="DR43" s="416"/>
      <c r="DS43" s="412"/>
      <c r="DT43" s="413"/>
    </row>
    <row r="44" spans="1:124" ht="12.75" customHeight="1">
      <c r="A44" s="491"/>
      <c r="C44" s="1885" t="s">
        <v>931</v>
      </c>
      <c r="D44" s="1885"/>
      <c r="E44" s="1886">
        <f>IF(F44=0,G44,F44)</f>
        <v>550</v>
      </c>
      <c r="F44" s="1532">
        <v>0</v>
      </c>
      <c r="G44" s="1532">
        <v>550</v>
      </c>
      <c r="H44" s="610">
        <v>2017</v>
      </c>
      <c r="I44" s="1533">
        <v>1.6500000000000001E-2</v>
      </c>
      <c r="J44" s="615">
        <v>12</v>
      </c>
      <c r="K44" s="402"/>
      <c r="L44" s="407">
        <f>IF(L$5=$H44,-$E44,0)</f>
        <v>0</v>
      </c>
      <c r="M44" s="404">
        <f>IF(Q44=0,0,IF(Q44&lt;0,IF($J44=3,Q44,IF($J44=2,Q44,IF($J44=1,Q44,0)))))</f>
        <v>0</v>
      </c>
      <c r="N44" s="414">
        <f>IF(Q44=0,0,IF(Q44&lt;0,IF($J44=6,Q44,IF($J44=5,Q44,IF($J44=4,Q44,0)))))</f>
        <v>0</v>
      </c>
      <c r="O44" s="414">
        <f>IF(Q44=0,0,IF(Q44&lt;0,IF($J44=9,Q44,IF($J44=8,Q44,IF($J44=7,Q44,0)))))</f>
        <v>0</v>
      </c>
      <c r="P44" s="406">
        <f>IF(Q44=0,0,IF(Q44&lt;0,IF($J44=12,Q44,IF($J44=11,Q44,IF($J44=10,Q44,0)))))</f>
        <v>0</v>
      </c>
      <c r="Q44" s="407">
        <f>IF(Q$5=$H44,-$E44,0)</f>
        <v>0</v>
      </c>
      <c r="R44" s="404">
        <f>IF(V44=0,0,IF(V44&lt;0,IF($J44=3,V44,IF($J44=2,V44,IF($J44=1,V44,0)))))</f>
        <v>0</v>
      </c>
      <c r="S44" s="414">
        <f>IF(V44=0,0,IF(V44&lt;0,IF($J44=6,V44,IF($J44=5,V44,IF($J44=4,V44,0)))))</f>
        <v>0</v>
      </c>
      <c r="T44" s="414">
        <f>IF(V44=0,0,IF(V44&lt;0,IF($J44=9,V44,IF($J44=8,V44,IF($J44=7,V44,0)))))</f>
        <v>0</v>
      </c>
      <c r="U44" s="406">
        <f>IF(V44=0,0,IF(V44&lt;0,IF($J44=12,V44,IF($J44=11,V44,IF($J44=10,V44,0)))))</f>
        <v>0</v>
      </c>
      <c r="V44" s="407">
        <f>IF(V$5=$H44,-$E44,0)</f>
        <v>0</v>
      </c>
      <c r="W44" s="404">
        <f>IF(AA44=0,0,IF(AA44&lt;0,IF($J44=3,AA44,IF($J44=2,AA44,IF($J44=1,AA44,0)))))</f>
        <v>0</v>
      </c>
      <c r="X44" s="414">
        <f>IF(AA44=0,0,IF(AA44&lt;0,IF($J44=6,AA44,IF($J44=5,AA44,IF($J44=4,AA44,0)))))</f>
        <v>0</v>
      </c>
      <c r="Y44" s="414">
        <f>IF(AA44=0,0,IF(AA44&lt;0,IF($J44=9,AA44,IF($J44=8,AA44,IF($J44=7,AA44,0)))))</f>
        <v>0</v>
      </c>
      <c r="Z44" s="406">
        <f>IF(AA44=0,0,IF(AA44&lt;0,IF($J44=12,AA44,IF($J44=11,AA44,IF($J44=10,AA44,0)))))</f>
        <v>0</v>
      </c>
      <c r="AA44" s="407">
        <f>IF(AA$5=$H44,-$E44,0)</f>
        <v>0</v>
      </c>
      <c r="AB44" s="404">
        <f>IF(AF44=0,0,IF(AF44&lt;0,IF($J44=3,AF44,IF($J44=2,AF44,IF($J44=1,AF44,0)))))</f>
        <v>0</v>
      </c>
      <c r="AC44" s="414">
        <f>IF(AF44=0,0,IF(AF44&lt;0,IF($J44=6,AF44,IF($J44=5,AF44,IF($J44=4,AF44,0)))))</f>
        <v>0</v>
      </c>
      <c r="AD44" s="414">
        <f>IF(AF44=0,0,IF(AF44&lt;0,IF($J44=9,AF44,IF($J44=8,AF44,IF($J44=7,AF44,0)))))</f>
        <v>0</v>
      </c>
      <c r="AE44" s="406">
        <f>IF(AF44=0,0,IF(AF44&lt;0,IF($J44=12,AF44,IF($J44=11,AF44,IF($J44=10,AF44,0)))))</f>
        <v>0</v>
      </c>
      <c r="AF44" s="407">
        <f>IF(AF$5=$H44,-$E44,0)</f>
        <v>0</v>
      </c>
      <c r="AG44" s="404">
        <f>IF(AK44=0,0,IF(AK44&lt;0,IF($J44=3,AK44,IF($J44=2,AK44,IF($J44=1,AK44,0)))))</f>
        <v>0</v>
      </c>
      <c r="AH44" s="414">
        <f>IF(AK44=0,0,IF(AK44&lt;0,IF($J44=6,AK44,IF($J44=5,AK44,IF($J44=4,AK44,0)))))</f>
        <v>0</v>
      </c>
      <c r="AI44" s="414">
        <f>IF(AK44=0,0,IF(AK44&lt;0,IF($J44=9,AK44,IF($J44=8,AK44,IF($J44=7,AK44,0)))))</f>
        <v>0</v>
      </c>
      <c r="AJ44" s="406">
        <f>IF(AK44=0,0,IF(AK44&lt;0,IF($J44=12,AK44,IF($J44=11,AK44,IF($J44=10,AK44,0)))))</f>
        <v>0</v>
      </c>
      <c r="AK44" s="407">
        <f>IF(AK$5=$H44,-$E44,0)</f>
        <v>0</v>
      </c>
      <c r="AL44" s="404">
        <f>IF(AP44=0,0,IF(AP44&lt;0,IF($J44=3,AP44,IF($J44=2,AP44,IF($J44=1,AP44,0)))))</f>
        <v>0</v>
      </c>
      <c r="AM44" s="414">
        <f>IF(AP44=0,0,IF(AP44&lt;0,IF($J44=6,AP44,IF($J44=5,AP44,IF($J44=4,AP44,0)))))</f>
        <v>0</v>
      </c>
      <c r="AN44" s="414">
        <f>IF(AP44=0,0,IF(AP44&lt;0,IF($J44=9,AP44,IF($J44=8,AP44,IF($J44=7,AP44,0)))))</f>
        <v>0</v>
      </c>
      <c r="AO44" s="406">
        <f>IF(AP44=0,0,IF(AP44&lt;0,IF($J44=12,AP44,IF($J44=11,AP44,IF($J44=10,AP44,0)))))</f>
        <v>0</v>
      </c>
      <c r="AP44" s="407">
        <f>IF(AP$5=$H44,-$E44,0)</f>
        <v>0</v>
      </c>
      <c r="AQ44" s="404">
        <f>IF(AU44=0,0,IF(AU44&lt;0,IF($J44=3,AU44,IF($J44=2,AU44,IF($J44=1,AU44,0)))))</f>
        <v>0</v>
      </c>
      <c r="AR44" s="414">
        <f>IF(AU44=0,0,IF(AU44&lt;0,IF($J44=6,AU44,IF($J44=5,AU44,IF($J44=4,AU44,0)))))</f>
        <v>0</v>
      </c>
      <c r="AS44" s="414">
        <f>IF(AU44=0,0,IF(AU44&lt;0,IF($J44=9,AU44,IF($J44=8,AU44,IF($J44=7,AU44,0)))))</f>
        <v>0</v>
      </c>
      <c r="AT44" s="406">
        <f>IF(AU44=0,0,IF(AU44&lt;0,IF($J44=12,AU44,IF($J44=11,AU44,IF($J44=10,AU44,0)))))</f>
        <v>-550</v>
      </c>
      <c r="AU44" s="407">
        <f>IF(AU$5=$H44,-$E44,0)</f>
        <v>-550</v>
      </c>
      <c r="AV44" s="404">
        <f>IF(AZ44=0,0,IF(AZ44&lt;0,IF($J44=3,AZ44,IF($J44=2,AZ44,IF($J44=1,AZ44,0)))))</f>
        <v>0</v>
      </c>
      <c r="AW44" s="414">
        <f>IF(AZ44=0,0,IF(AZ44&lt;0,IF($J44=6,AZ44,IF($J44=5,AZ44,IF($J44=4,AZ44,0)))))</f>
        <v>0</v>
      </c>
      <c r="AX44" s="414">
        <f>IF(AZ44=0,0,IF(AZ44&lt;0,IF($J44=9,AZ44,IF($J44=8,AZ44,IF($J44=7,AZ44,0)))))</f>
        <v>0</v>
      </c>
      <c r="AY44" s="406">
        <f>IF(AZ44=0,0,IF(AZ44&lt;0,IF($J44=12,AZ44,IF($J44=11,AZ44,IF($J44=10,AZ44,0)))))</f>
        <v>0</v>
      </c>
      <c r="AZ44" s="407">
        <f>IF(AZ$5=$H44,-$E44,0)</f>
        <v>0</v>
      </c>
      <c r="BA44" s="404">
        <f>IF(BE44=0,0,IF(BE44&lt;0,IF($J44=3,BE44,IF($J44=2,BE44,IF($J44=1,BE44,0)))))</f>
        <v>0</v>
      </c>
      <c r="BB44" s="414">
        <f>IF(BE44=0,0,IF(BE44&lt;0,IF($J44=6,BE44,IF($J44=5,BE44,IF($J44=4,BE44,0)))))</f>
        <v>0</v>
      </c>
      <c r="BC44" s="414">
        <f>IF(BE44=0,0,IF(BE44&lt;0,IF($J44=9,BE44,IF($J44=8,BE44,IF($J44=7,BE44,0)))))</f>
        <v>0</v>
      </c>
      <c r="BD44" s="406">
        <f>IF(BE44=0,0,IF(BE44&lt;0,IF($J44=12,BE44,IF($J44=11,BE44,IF($J44=10,BE44,0)))))</f>
        <v>0</v>
      </c>
      <c r="BE44" s="407">
        <f>IF(BE$5=$H44,-$E44,0)</f>
        <v>0</v>
      </c>
      <c r="BF44" s="404">
        <f>IF(BJ44=0,0,IF(BJ44&lt;0,IF($J44=3,BJ44,IF($J44=2,BJ44,IF($J44=1,BJ44,0)))))</f>
        <v>0</v>
      </c>
      <c r="BG44" s="414">
        <f>IF(BJ44=0,0,IF(BJ44&lt;0,IF($J44=6,BJ44,IF($J44=5,BJ44,IF($J44=4,BJ44,0)))))</f>
        <v>0</v>
      </c>
      <c r="BH44" s="414">
        <f>IF(BJ44=0,0,IF(BJ44&lt;0,IF($J44=9,BJ44,IF($J44=8,BJ44,IF($J44=7,BJ44,0)))))</f>
        <v>0</v>
      </c>
      <c r="BI44" s="406">
        <f>IF(BJ44=0,0,IF(BJ44&lt;0,IF($J44=12,BJ44,IF($J44=11,BJ44,IF($J44=10,BJ44,0)))))</f>
        <v>0</v>
      </c>
      <c r="BJ44" s="407">
        <f>IF(BJ$5=$H44,-$E44,0)</f>
        <v>0</v>
      </c>
      <c r="BK44" s="404">
        <f>IF(BO44=0,0,IF(BO44&lt;0,IF($J44=3,BO44,IF($J44=2,BO44,IF($J44=1,BO44,0)))))</f>
        <v>0</v>
      </c>
      <c r="BL44" s="414">
        <f>IF(BO44=0,0,IF(BO44&lt;0,IF($J44=6,BO44,IF($J44=5,BO44,IF($J44=4,BO44,0)))))</f>
        <v>0</v>
      </c>
      <c r="BM44" s="414">
        <f>IF(BO44=0,0,IF(BO44&lt;0,IF($J44=9,BO44,IF($J44=8,BO44,IF($J44=7,BO44,0)))))</f>
        <v>0</v>
      </c>
      <c r="BN44" s="406">
        <f>IF(BO44=0,0,IF(BO44&lt;0,IF($J44=12,BO44,IF($J44=11,BO44,IF($J44=10,BO44,0)))))</f>
        <v>0</v>
      </c>
      <c r="BO44" s="407">
        <f>IF(BO$5=$H44,-$E44,0)</f>
        <v>0</v>
      </c>
      <c r="BP44" s="449"/>
      <c r="BQ44" s="413">
        <f>IF(AND(AH44&lt;&gt;0,AH$5=$H44),-$I44*$E44-AH44,IF(BQ$5=$H44,-$I44*$E44*(12-$J44+1)/12,0))</f>
        <v>0</v>
      </c>
      <c r="BR44" s="410">
        <f>IF($H44&lt;&gt;BV$5,0,IF(BV44&lt;0,IF($J44=1,-$E44*$I44/12*3,IF($J44=2,-$E44*$I44/12*2,IF($J44=3,-$E44*$I44/12*1,0)))))+IF(BQ$5&lt;&gt;$H44,0,IF(BQ44&lt;0,IF($J44=1,-$E44*$I44/12*0,IF($J44=2,-$E44*$I44/12*1,IF($J44=3,-$E44*$I44/12*2,IF($J44&gt;=4,-$E44*$I44/12*3,0))))))</f>
        <v>0</v>
      </c>
      <c r="BS44" s="416">
        <f>IF($H44&lt;&gt;BV$5,0,IF(BV44&lt;0,IF(OR($J44=1,$J44=2,$J44=3,$J44=4),-$E44*$I44/12*3,IF($J44=5,-$E44*$I44/12*2,IF($J44=6,-$E44*$I44/12*1,0)))))+IF(BQ$5&lt;&gt;$H44,0,IF(BQ44&lt;0,IF($J44=4,-$E44*$I44/12*0,IF($J44=5,-$E44*$I44/12*1,IF($J44=6,-$E44*$I44/12*2,IF($J44&gt;=7,-$E44*$I44/12*3,0))))))</f>
        <v>0</v>
      </c>
      <c r="BT44" s="416">
        <f>IF($H44&lt;&gt;BV$5,0,IF(BV44&lt;0,IF(OR($J44=1,$J44=2,$J44=3,$J44=4,$J44=5,$J44=6,$J44=7),-$E44*$I44/12*3,IF($J44=8,-$E44*$I44/12*2,IF($J44=9,-$E44*$I44/12*1,0)))))+IF(BQ$5&lt;&gt;$H44,0,IF(BQ44&lt;0,IF($J44=7,-$E44*$I44/12*0,IF($J44=8,-$E44*$I44/12*1,IF($J44=9,-$E44*$I44/12*2,IF($J44&gt;=10,-$E44*$I44/12*3,0))))))</f>
        <v>0</v>
      </c>
      <c r="BU44" s="412">
        <f>IF($H44&lt;&gt;BV$5,0,IF(BV44&lt;0,IF(OR($J44=1,$J44=2,$J44=3,$J44=4,$J44=5,$J44=6,$J44=7,$J44=8,$J44=9,$J44=10),-$E44*$I44/12*3,IF($J44=11,-$E44*$I44/12*2,IF($J44=12,-$E44*$I44/12*1,0)))))+IF(BQ$5&lt;&gt;$H44,0,IF(BQ44&lt;0,IF($J44=10,-$E44*$I44/12*0,IF($J44=11,-$E44*$I44/12*1,IF($J44=12,-$E44*$I44/12*2,0)))))</f>
        <v>0</v>
      </c>
      <c r="BV44" s="413">
        <f>IF(AND(BQ44&lt;&gt;0,BQ$5=$H44),-$I44*$E44-BQ44,IF(BV$5=$H44,-$I44*$E44*(12-$J44+1)/12,0))</f>
        <v>0</v>
      </c>
      <c r="BW44" s="410">
        <f>IF($H44&lt;&gt;CA$5,0,IF(CA44&lt;0,IF($J44=1,-$E44*$I44/12*3,IF($J44=2,-$E44*$I44/12*2,IF($J44=3,-$E44*$I44/12*1,0)))))+IF(BV$5&lt;&gt;$H44,0,IF(BV44&lt;0,IF($J44=1,-$E44*$I44/12*0,IF($J44=2,-$E44*$I44/12*1,IF($J44=3,-$E44*$I44/12*2,IF($J44&gt;=4,-$E44*$I44/12*3,0))))))</f>
        <v>0</v>
      </c>
      <c r="BX44" s="416">
        <f>IF($H44&lt;&gt;CA$5,0,IF(CA44&lt;0,IF(OR($J44=1,$J44=2,$J44=3,$J44=4),-$E44*$I44/12*3,IF($J44=5,-$E44*$I44/12*2,IF($J44=6,-$E44*$I44/12*1,0)))))+IF(BV$5&lt;&gt;$H44,0,IF(BV44&lt;0,IF($J44=4,-$E44*$I44/12*0,IF($J44=5,-$E44*$I44/12*1,IF($J44=6,-$E44*$I44/12*2,IF($J44&gt;=7,-$E44*$I44/12*3,0))))))</f>
        <v>0</v>
      </c>
      <c r="BY44" s="416">
        <f>IF($H44&lt;&gt;CA$5,0,IF(CA44&lt;0,IF(OR($J44=1,$J44=2,$J44=3,$J44=4,$J44=5,$J44=6,$J44=7),-$E44*$I44/12*3,IF($J44=8,-$E44*$I44/12*2,IF($J44=9,-$E44*$I44/12*1,0)))))+IF(BV$5&lt;&gt;$H44,0,IF(BV44&lt;0,IF($J44=7,-$E44*$I44/12*0,IF($J44=8,-$E44*$I44/12*1,IF($J44=9,-$E44*$I44/12*2,IF($J44&gt;=10,-$E44*$I44/12*3,0))))))</f>
        <v>0</v>
      </c>
      <c r="BZ44" s="412">
        <f>IF($H44&lt;&gt;CA$5,0,IF(CA44&lt;0,IF(OR($J44=1,$J44=2,$J44=3,$J44=4,$J44=5,$J44=6,$J44=7,$J44=8,$J44=9,$J44=10),-$E44*$I44/12*3,IF($J44=11,-$E44*$I44/12*2,IF($J44=12,-$E44*$I44/12*1,0)))))+IF(BV$5&lt;&gt;$H44,0,IF(BV44&lt;0,IF($J44=10,-$E44*$I44/12*0,IF($J44=11,-$E44*$I44/12*1,IF($J44=12,-$E44*$I44/12*2,0)))))</f>
        <v>0</v>
      </c>
      <c r="CA44" s="413">
        <f>IF(AND(BV44&lt;&gt;0,BV$5=$H44),-$I44*$E44-BV44,IF(CA$5=$H44,-$I44*$E44*(12-$J44+1)/12,0))</f>
        <v>0</v>
      </c>
      <c r="CB44" s="410">
        <f>IF($H44&lt;&gt;CF$5,0,IF(CF44&lt;0,IF($J44=1,-$E44*$I44/12*3,IF($J44=2,-$E44*$I44/12*2,IF($J44=3,-$E44*$I44/12*1,0)))))+IF(CA$5&lt;&gt;$H44,0,IF(CA44&lt;0,IF($J44=1,-$E44*$I44/12*0,IF($J44=2,-$E44*$I44/12*1,IF($J44=3,-$E44*$I44/12*2,IF($J44&gt;=4,-$E44*$I44/12*3,0))))))</f>
        <v>0</v>
      </c>
      <c r="CC44" s="416">
        <f>IF($H44&lt;&gt;CF$5,0,IF(CF44&lt;0,IF(OR($J44=1,$J44=2,$J44=3,$J44=4),-$E44*$I44/12*3,IF($J44=5,-$E44*$I44/12*2,IF($J44=6,-$E44*$I44/12*1,0)))))+IF(CA$5&lt;&gt;$H44,0,IF(CA44&lt;0,IF($J44=4,-$E44*$I44/12*0,IF($J44=5,-$E44*$I44/12*1,IF($J44=6,-$E44*$I44/12*2,IF($J44&gt;=7,-$E44*$I44/12*3,0))))))</f>
        <v>0</v>
      </c>
      <c r="CD44" s="416">
        <f>IF($H44&lt;&gt;CF$5,0,IF(CF44&lt;0,IF(OR($J44=1,$J44=2,$J44=3,$J44=4,$J44=5,$J44=6,$J44=7),-$E44*$I44/12*3,IF($J44=8,-$E44*$I44/12*2,IF($J44=9,-$E44*$I44/12*1,0)))))+IF(CA$5&lt;&gt;$H44,0,IF(CA44&lt;0,IF($J44=7,-$E44*$I44/12*0,IF($J44=8,-$E44*$I44/12*1,IF($J44=9,-$E44*$I44/12*2,IF($J44&gt;=10,-$E44*$I44/12*3,0))))))</f>
        <v>0</v>
      </c>
      <c r="CE44" s="412">
        <f>IF($H44&lt;&gt;CF$5,0,IF(CF44&lt;0,IF(OR($J44=1,$J44=2,$J44=3,$J44=4,$J44=5,$J44=6,$J44=7,$J44=8,$J44=9,$J44=10),-$E44*$I44/12*3,IF($J44=11,-$E44*$I44/12*2,IF($J44=12,-$E44*$I44/12*1,0)))))+IF(CA$5&lt;&gt;$H44,0,IF(CA44&lt;0,IF($J44=10,-$E44*$I44/12*0,IF($J44=11,-$E44*$I44/12*1,IF($J44=12,-$E44*$I44/12*2,0)))))</f>
        <v>0</v>
      </c>
      <c r="CF44" s="413">
        <f>IF(AND(CA44&lt;&gt;0,CA$5=$H44),-$I44*$E44-CA44,IF(CF$5=$H44,-$I44*$E44*(12-$J44+1)/12,0))</f>
        <v>0</v>
      </c>
      <c r="CG44" s="410">
        <f>IF($H44&lt;&gt;CK$5,0,IF(CK44&lt;0,IF($J44=1,-$E44*$I44/12*3,IF($J44=2,-$E44*$I44/12*2,IF($J44=3,-$E44*$I44/12*1,0)))))+IF(CF$5&lt;&gt;$H44,0,IF(CF44&lt;0,IF($J44=1,-$E44*$I44/12*0,IF($J44=2,-$E44*$I44/12*1,IF($J44=3,-$E44*$I44/12*2,IF($J44&gt;=4,-$E44*$I44/12*3,0))))))</f>
        <v>0</v>
      </c>
      <c r="CH44" s="416">
        <f>IF($H44&lt;&gt;CK$5,0,IF(CK44&lt;0,IF(OR($J44=1,$J44=2,$J44=3,$J44=4),-$E44*$I44/12*3,IF($J44=5,-$E44*$I44/12*2,IF($J44=6,-$E44*$I44/12*1,0)))))+IF(CF$5&lt;&gt;$H44,0,IF(CF44&lt;0,IF($J44=4,-$E44*$I44/12*0,IF($J44=5,-$E44*$I44/12*1,IF($J44=6,-$E44*$I44/12*2,IF($J44&gt;=7,-$E44*$I44/12*3,0))))))</f>
        <v>0</v>
      </c>
      <c r="CI44" s="416">
        <f>IF($H44&lt;&gt;CK$5,0,IF(CK44&lt;0,IF(OR($J44=1,$J44=2,$J44=3,$J44=4,$J44=5,$J44=6,$J44=7),-$E44*$I44/12*3,IF($J44=8,-$E44*$I44/12*2,IF($J44=9,-$E44*$I44/12*1,0)))))+IF(CF$5&lt;&gt;$H44,0,IF(CF44&lt;0,IF($J44=7,-$E44*$I44/12*0,IF($J44=8,-$E44*$I44/12*1,IF($J44=9,-$E44*$I44/12*2,IF($J44&gt;=10,-$E44*$I44/12*3,0))))))</f>
        <v>0</v>
      </c>
      <c r="CJ44" s="412">
        <f>IF($H44&lt;&gt;CK$5,0,IF(CK44&lt;0,IF(OR($J44=1,$J44=2,$J44=3,$J44=4,$J44=5,$J44=6,$J44=7,$J44=8,$J44=9,$J44=10),-$E44*$I44/12*3,IF($J44=11,-$E44*$I44/12*2,IF($J44=12,-$E44*$I44/12*1,0)))))+IF(CF$5&lt;&gt;$H44,0,IF(CF44&lt;0,IF($J44=10,-$E44*$I44/12*0,IF($J44=11,-$E44*$I44/12*1,IF($J44=12,-$E44*$I44/12*2,0)))))</f>
        <v>0</v>
      </c>
      <c r="CK44" s="413">
        <f>IF(AND(CF44&lt;&gt;0,CF$5=$H44),-$I44*$E44-CF44,IF(CK$5=$H44,-$I44*$E44*(12-$J44+1)/12,0))</f>
        <v>0</v>
      </c>
      <c r="CL44" s="410">
        <f>IF($H44&lt;&gt;CP$5,0,IF(CP44&lt;0,IF($J44=1,-$E44*$I44/12*3,IF($J44=2,-$E44*$I44/12*2,IF($J44=3,-$E44*$I44/12*1,0)))))+IF(CK$5&lt;&gt;$H44,0,IF(CK44&lt;0,IF($J44=1,-$E44*$I44/12*0,IF($J44=2,-$E44*$I44/12*1,IF($J44=3,-$E44*$I44/12*2,IF($J44&gt;=4,-$E44*$I44/12*3,0))))))</f>
        <v>0</v>
      </c>
      <c r="CM44" s="416">
        <f>IF($H44&lt;&gt;CP$5,0,IF(CP44&lt;0,IF(OR($J44=1,$J44=2,$J44=3,$J44=4),-$E44*$I44/12*3,IF($J44=5,-$E44*$I44/12*2,IF($J44=6,-$E44*$I44/12*1,0)))))+IF(CK$5&lt;&gt;$H44,0,IF(CK44&lt;0,IF($J44=4,-$E44*$I44/12*0,IF($J44=5,-$E44*$I44/12*1,IF($J44=6,-$E44*$I44/12*2,IF($J44&gt;=7,-$E44*$I44/12*3,0))))))</f>
        <v>0</v>
      </c>
      <c r="CN44" s="416">
        <f>IF($H44&lt;&gt;CP$5,0,IF(CP44&lt;0,IF(OR($J44=1,$J44=2,$J44=3,$J44=4,$J44=5,$J44=6,$J44=7),-$E44*$I44/12*3,IF($J44=8,-$E44*$I44/12*2,IF($J44=9,-$E44*$I44/12*1,0)))))+IF(CK$5&lt;&gt;$H44,0,IF(CK44&lt;0,IF($J44=7,-$E44*$I44/12*0,IF($J44=8,-$E44*$I44/12*1,IF($J44=9,-$E44*$I44/12*2,IF($J44&gt;=10,-$E44*$I44/12*3,0))))))</f>
        <v>0</v>
      </c>
      <c r="CO44" s="412">
        <f>IF($H44&lt;&gt;CP$5,0,IF(CP44&lt;0,IF(OR($J44=1,$J44=2,$J44=3,$J44=4,$J44=5,$J44=6,$J44=7,$J44=8,$J44=9,$J44=10),-$E44*$I44/12*3,IF($J44=11,-$E44*$I44/12*2,IF($J44=12,-$E44*$I44/12*1,0)))))+IF(CK$5&lt;&gt;$H44,0,IF(CK44&lt;0,IF($J44=10,-$E44*$I44/12*0,IF($J44=11,-$E44*$I44/12*1,IF($J44=12,-$E44*$I44/12*2,0)))))</f>
        <v>0</v>
      </c>
      <c r="CP44" s="413">
        <f>IF(AND(CK44&lt;&gt;0,CK$5=$H44),-$I44*$E44-CK44,IF(CP$5=$H44,-$I44*$E44*(12-$J44+1)/12,0))</f>
        <v>0</v>
      </c>
      <c r="CQ44" s="410">
        <f>IF($H44&lt;&gt;CU$5,0,IF(CU44&lt;0,IF($J44=1,-$E44*$I44/12*3,IF($J44=2,-$E44*$I44/12*2,IF($J44=3,-$E44*$I44/12*1,0)))))+IF(CP$5&lt;&gt;$H44,0,IF(CP44&lt;0,IF($J44=1,-$E44*$I44/12*0,IF($J44=2,-$E44*$I44/12*1,IF($J44=3,-$E44*$I44/12*2,IF($J44&gt;=4,-$E44*$I44/12*3,0))))))</f>
        <v>0</v>
      </c>
      <c r="CR44" s="416">
        <f>IF($H44&lt;&gt;CU$5,0,IF(CU44&lt;0,IF(OR($J44=1,$J44=2,$J44=3,$J44=4),-$E44*$I44/12*3,IF($J44=5,-$E44*$I44/12*2,IF($J44=6,-$E44*$I44/12*1,0)))))+IF(CP$5&lt;&gt;$H44,0,IF(CP44&lt;0,IF($J44=4,-$E44*$I44/12*0,IF($J44=5,-$E44*$I44/12*1,IF($J44=6,-$E44*$I44/12*2,IF($J44&gt;=7,-$E44*$I44/12*3,0))))))</f>
        <v>0</v>
      </c>
      <c r="CS44" s="416">
        <f>IF($H44&lt;&gt;CU$5,0,IF(CU44&lt;0,IF(OR($J44=1,$J44=2,$J44=3,$J44=4,$J44=5,$J44=6,$J44=7),-$E44*$I44/12*3,IF($J44=8,-$E44*$I44/12*2,IF($J44=9,-$E44*$I44/12*1,0)))))+IF(CP$5&lt;&gt;$H44,0,IF(CP44&lt;0,IF($J44=7,-$E44*$I44/12*0,IF($J44=8,-$E44*$I44/12*1,IF($J44=9,-$E44*$I44/12*2,IF($J44&gt;=10,-$E44*$I44/12*3,0))))))</f>
        <v>0</v>
      </c>
      <c r="CT44" s="412">
        <f>IF($H44&lt;&gt;CU$5,0,IF(CU44&lt;0,IF(OR($J44=1,$J44=2,$J44=3,$J44=4,$J44=5,$J44=6,$J44=7,$J44=8,$J44=9,$J44=10),-$E44*$I44/12*3,IF($J44=11,-$E44*$I44/12*2,IF($J44=12,-$E44*$I44/12*1,0)))))+IF(CP$5&lt;&gt;$H44,0,IF(CP44&lt;0,IF($J44=10,-$E44*$I44/12*0,IF($J44=11,-$E44*$I44/12*1,IF($J44=12,-$E44*$I44/12*2,0)))))</f>
        <v>0</v>
      </c>
      <c r="CU44" s="413">
        <f>IF(AND(CP44&lt;&gt;0,CP$5=$H44),-$I44*$E44-CP44,IF(CU$5=$H44,-$I44*$E44*(12-$J44+1)/12,0))</f>
        <v>0</v>
      </c>
      <c r="CV44" s="410">
        <f>IF($H44&lt;&gt;CZ$5,0,IF(CZ44&lt;0,IF($J44=1,-$E44*$I44/12*3,IF($J44=2,-$E44*$I44/12*2,IF($J44=3,-$E44*$I44/12*1,0)))))+IF(CU$5&lt;&gt;$H44,0,IF(CU44&lt;0,IF($J44=1,-$E44*$I44/12*0,IF($J44=2,-$E44*$I44/12*1,IF($J44=3,-$E44*$I44/12*2,IF($J44&gt;=4,-$E44*$I44/12*3,0))))))</f>
        <v>0</v>
      </c>
      <c r="CW44" s="416">
        <f>IF($H44&lt;&gt;CZ$5,0,IF(CZ44&lt;0,IF(OR($J44=1,$J44=2,$J44=3,$J44=4),-$E44*$I44/12*3,IF($J44=5,-$E44*$I44/12*2,IF($J44=6,-$E44*$I44/12*1,0)))))+IF(CU$5&lt;&gt;$H44,0,IF(CU44&lt;0,IF($J44=4,-$E44*$I44/12*0,IF($J44=5,-$E44*$I44/12*1,IF($J44=6,-$E44*$I44/12*2,IF($J44&gt;=7,-$E44*$I44/12*3,0))))))</f>
        <v>0</v>
      </c>
      <c r="CX44" s="416">
        <f>IF($H44&lt;&gt;CZ$5,0,IF(CZ44&lt;0,IF(OR($J44=1,$J44=2,$J44=3,$J44=4,$J44=5,$J44=6,$J44=7),-$E44*$I44/12*3,IF($J44=8,-$E44*$I44/12*2,IF($J44=9,-$E44*$I44/12*1,0)))))+IF(CU$5&lt;&gt;$H44,0,IF(CU44&lt;0,IF($J44=7,-$E44*$I44/12*0,IF($J44=8,-$E44*$I44/12*1,IF($J44=9,-$E44*$I44/12*2,IF($J44&gt;=10,-$E44*$I44/12*3,0))))))</f>
        <v>0</v>
      </c>
      <c r="CY44" s="412">
        <f>IF($H44&lt;&gt;CZ$5,0,IF(CZ44&lt;0,IF(OR($J44=1,$J44=2,$J44=3,$J44=4,$J44=5,$J44=6,$J44=7,$J44=8,$J44=9,$J44=10),-$E44*$I44/12*3,IF($J44=11,-$E44*$I44/12*2,IF($J44=12,-$E44*$I44/12*1,0)))))+IF(CU$5&lt;&gt;$H44,0,IF(CU44&lt;0,IF($J44=10,-$E44*$I44/12*0,IF($J44=11,-$E44*$I44/12*1,IF($J44=12,-$E44*$I44/12*2,0)))))</f>
        <v>-0.75625000000000009</v>
      </c>
      <c r="CZ44" s="413">
        <f>IF(AND(CU44&lt;&gt;0,CU$5=$H44),-$I44*$E44-CU44,IF(CZ$5=$H44,-$I44*$E44*(12-$J44+1)/12,0))</f>
        <v>-0.75625000000000009</v>
      </c>
      <c r="DA44" s="410">
        <f>IF($H44&lt;&gt;DE$5,0,IF(DE44&lt;0,IF($J44=1,-$E44*$I44/12*3,IF($J44=2,-$E44*$I44/12*2,IF($J44=3,-$E44*$I44/12*1,0)))))+IF(CZ$5&lt;&gt;$H44,0,IF(CZ44&lt;0,IF($J44=1,-$E44*$I44/12*0,IF($J44=2,-$E44*$I44/12*1,IF($J44=3,-$E44*$I44/12*2,IF($J44&gt;=4,-$E44*$I44/12*3,0))))))</f>
        <v>-2.2687500000000003</v>
      </c>
      <c r="DB44" s="416">
        <f>IF($H44&lt;&gt;DE$5,0,IF(DE44&lt;0,IF(OR($J44=1,$J44=2,$J44=3,$J44=4),-$E44*$I44/12*3,IF($J44=5,-$E44*$I44/12*2,IF($J44=6,-$E44*$I44/12*1,0)))))+IF(CZ$5&lt;&gt;$H44,0,IF(CZ44&lt;0,IF($J44=4,-$E44*$I44/12*0,IF($J44=5,-$E44*$I44/12*1,IF($J44=6,-$E44*$I44/12*2,IF($J44&gt;=7,-$E44*$I44/12*3,0))))))</f>
        <v>-2.2687500000000003</v>
      </c>
      <c r="DC44" s="416">
        <f>IF($H44&lt;&gt;DE$5,0,IF(DE44&lt;0,IF(OR($J44=1,$J44=2,$J44=3,$J44=4,$J44=5,$J44=6,$J44=7),-$E44*$I44/12*3,IF($J44=8,-$E44*$I44/12*2,IF($J44=9,-$E44*$I44/12*1,0)))))+IF(CZ$5&lt;&gt;$H44,0,IF(CZ44&lt;0,IF($J44=7,-$E44*$I44/12*0,IF($J44=8,-$E44*$I44/12*1,IF($J44=9,-$E44*$I44/12*2,IF($J44&gt;=10,-$E44*$I44/12*3,0))))))</f>
        <v>-2.2687500000000003</v>
      </c>
      <c r="DD44" s="412">
        <f>IF($H44&lt;&gt;DE$5,0,IF(DE44&lt;0,IF(OR($J44=1,$J44=2,$J44=3,$J44=4,$J44=5,$J44=6,$J44=7,$J44=8,$J44=9,$J44=10),-$E44*$I44/12*3,IF($J44=11,-$E44*$I44/12*2,IF($J44=12,-$E44*$I44/12*1,0)))))+IF(CZ$5&lt;&gt;$H44,0,IF(CZ44&lt;0,IF($J44=10,-$E44*$I44/12*0,IF($J44=11,-$E44*$I44/12*1,IF($J44=12,-$E44*$I44/12*2,0)))))</f>
        <v>-1.5125000000000002</v>
      </c>
      <c r="DE44" s="413">
        <f>IF(AND(CZ44&lt;&gt;0,CZ$5=$H44),-$I44*$E44-CZ44,IF(DE$5=$H44,-$I44*$E44*(12-$J44+1)/12,0))</f>
        <v>-8.3187500000000014</v>
      </c>
      <c r="DF44" s="410">
        <f>IF($H44&lt;&gt;DJ$5,0,IF(DJ44&lt;0,IF($J44=1,-$E44*$I44/12*3,IF($J44=2,-$E44*$I44/12*2,IF($J44=3,-$E44*$I44/12*1,0)))))+IF(DE$5&lt;&gt;$H44,0,IF(DE44&lt;0,IF($J44=1,-$E44*$I44/12*0,IF($J44=2,-$E44*$I44/12*1,IF($J44=3,-$E44*$I44/12*2,IF($J44&gt;=4,-$E44*$I44/12*3,0))))))</f>
        <v>0</v>
      </c>
      <c r="DG44" s="416">
        <f>IF($H44&lt;&gt;DJ$5,0,IF(DJ44&lt;0,IF(OR($J44=1,$J44=2,$J44=3,$J44=4),-$E44*$I44/12*3,IF($J44=5,-$E44*$I44/12*2,IF($J44=6,-$E44*$I44/12*1,0)))))+IF(DE$5&lt;&gt;$H44,0,IF(DE44&lt;0,IF($J44=4,-$E44*$I44/12*0,IF($J44=5,-$E44*$I44/12*1,IF($J44=6,-$E44*$I44/12*2,IF($J44&gt;=7,-$E44*$I44/12*3,0))))))</f>
        <v>0</v>
      </c>
      <c r="DH44" s="416">
        <f>IF($H44&lt;&gt;DJ$5,0,IF(DJ44&lt;0,IF(OR($J44=1,$J44=2,$J44=3,$J44=4,$J44=5,$J44=6,$J44=7),-$E44*$I44/12*3,IF($J44=8,-$E44*$I44/12*2,IF($J44=9,-$E44*$I44/12*1,0)))))+IF(DE$5&lt;&gt;$H44,0,IF(DE44&lt;0,IF($J44=7,-$E44*$I44/12*0,IF($J44=8,-$E44*$I44/12*1,IF($J44=9,-$E44*$I44/12*2,IF($J44&gt;=10,-$E44*$I44/12*3,0))))))</f>
        <v>0</v>
      </c>
      <c r="DI44" s="412">
        <f>IF($H44&lt;&gt;DJ$5,0,IF(DJ44&lt;0,IF(OR($J44=1,$J44=2,$J44=3,$J44=4,$J44=5,$J44=6,$J44=7,$J44=8,$J44=9,$J44=10),-$E44*$I44/12*3,IF($J44=11,-$E44*$I44/12*2,IF($J44=12,-$E44*$I44/12*1,0)))))+IF(DE$5&lt;&gt;$H44,0,IF(DE44&lt;0,IF($J44=10,-$E44*$I44/12*0,IF($J44=11,-$E44*$I44/12*1,IF($J44=12,-$E44*$I44/12*2,0)))))</f>
        <v>0</v>
      </c>
      <c r="DJ44" s="413">
        <f>IF(AND(DE44&lt;&gt;0,DE$5=$H44),-$I44*$E44-DE44,IF(DJ$5=$H44,-$I44*$E44*(12-$J44+1)/12,0))</f>
        <v>0</v>
      </c>
      <c r="DK44" s="410">
        <f>IF($H44&lt;&gt;DO$5,0,IF(DO44&lt;0,IF($J44=1,-$E44*$I44/12*3,IF($J44=2,-$E44*$I44/12*2,IF($J44=3,-$E44*$I44/12*1,0)))))+IF(DJ$5&lt;&gt;$H44,0,IF(DJ44&lt;0,IF($J44=1,-$E44*$I44/12*0,IF($J44=2,-$E44*$I44/12*1,IF($J44=3,-$E44*$I44/12*2,IF($J44&gt;=4,-$E44*$I44/12*3,0))))))</f>
        <v>0</v>
      </c>
      <c r="DL44" s="416">
        <f>IF($H44&lt;&gt;DO$5,0,IF(DO44&lt;0,IF(OR($J44=1,$J44=2,$J44=3,$J44=4),-$E44*$I44/12*3,IF($J44=5,-$E44*$I44/12*2,IF($J44=6,-$E44*$I44/12*1,0)))))+IF(DJ$5&lt;&gt;$H44,0,IF(DJ44&lt;0,IF($J44=4,-$E44*$I44/12*0,IF($J44=5,-$E44*$I44/12*1,IF($J44=6,-$E44*$I44/12*2,IF($J44&gt;=7,-$E44*$I44/12*3,0))))))</f>
        <v>0</v>
      </c>
      <c r="DM44" s="416">
        <f>IF($H44&lt;&gt;DO$5,0,IF(DO44&lt;0,IF(OR($J44=1,$J44=2,$J44=3,$J44=4,$J44=5,$J44=6,$J44=7),-$E44*$I44/12*3,IF($J44=8,-$E44*$I44/12*2,IF($J44=9,-$E44*$I44/12*1,0)))))+IF(DJ$5&lt;&gt;$H44,0,IF(DJ44&lt;0,IF($J44=7,-$E44*$I44/12*0,IF($J44=8,-$E44*$I44/12*1,IF($J44=9,-$E44*$I44/12*2,IF($J44&gt;=10,-$E44*$I44/12*3,0))))))</f>
        <v>0</v>
      </c>
      <c r="DN44" s="412">
        <f>IF($H44&lt;&gt;DO$5,0,IF(DO44&lt;0,IF(OR($J44=1,$J44=2,$J44=3,$J44=4,$J44=5,$J44=6,$J44=7,$J44=8,$J44=9,$J44=10),-$E44*$I44/12*3,IF($J44=11,-$E44*$I44/12*2,IF($J44=12,-$E44*$I44/12*1,0)))))+IF(DJ$5&lt;&gt;$H44,0,IF(DJ44&lt;0,IF($J44=10,-$E44*$I44/12*0,IF($J44=11,-$E44*$I44/12*1,IF($J44=12,-$E44*$I44/12*2,0)))))</f>
        <v>0</v>
      </c>
      <c r="DO44" s="413">
        <f>IF(AND(DJ44&lt;&gt;0,DJ$5=$H44),-$I44*$E44-DJ44,IF(DO$5=$H44,-$I44*$E44*(12-$J44+1)/12,0))</f>
        <v>0</v>
      </c>
      <c r="DP44" s="410">
        <f>IF($H44&lt;&gt;DT$5,0,IF(DT44&lt;0,IF($J44=1,-$E44*$I44/12*3,IF($J44=2,-$E44*$I44/12*2,IF($J44=3,-$E44*$I44/12*1,0)))))+IF(DO$5&lt;&gt;$H44,0,IF(DO44&lt;0,IF($J44=1,-$E44*$I44/12*0,IF($J44=2,-$E44*$I44/12*1,IF($J44=3,-$E44*$I44/12*2,IF($J44&gt;=4,-$E44*$I44/12*3,0))))))</f>
        <v>0</v>
      </c>
      <c r="DQ44" s="416">
        <f>IF($H44&lt;&gt;DT$5,0,IF(DT44&lt;0,IF(OR($J44=1,$J44=2,$J44=3,$J44=4),-$E44*$I44/12*3,IF($J44=5,-$E44*$I44/12*2,IF($J44=6,-$E44*$I44/12*1,0)))))+IF(DO$5&lt;&gt;$H44,0,IF(DO44&lt;0,IF($J44=4,-$E44*$I44/12*0,IF($J44=5,-$E44*$I44/12*1,IF($J44=6,-$E44*$I44/12*2,IF($J44&gt;=7,-$E44*$I44/12*3,0))))))</f>
        <v>0</v>
      </c>
      <c r="DR44" s="416">
        <f>IF($H44&lt;&gt;DT$5,0,IF(DT44&lt;0,IF(OR($J44=1,$J44=2,$J44=3,$J44=4,$J44=5,$J44=6,$J44=7),-$E44*$I44/12*3,IF($J44=8,-$E44*$I44/12*2,IF($J44=9,-$E44*$I44/12*1,0)))))+IF(DO$5&lt;&gt;$H44,0,IF(DO44&lt;0,IF($J44=7,-$E44*$I44/12*0,IF($J44=8,-$E44*$I44/12*1,IF($J44=9,-$E44*$I44/12*2,IF($J44&gt;=10,-$E44*$I44/12*3,0))))))</f>
        <v>0</v>
      </c>
      <c r="DS44" s="412">
        <f>IF($H44&lt;&gt;DT$5,0,IF(DT44&lt;0,IF(OR($J44=1,$J44=2,$J44=3,$J44=4,$J44=5,$J44=6,$J44=7,$J44=8,$J44=9,$J44=10),-$E44*$I44/12*3,IF($J44=11,-$E44*$I44/12*2,IF($J44=12,-$E44*$I44/12*1,0)))))+IF(DO$5&lt;&gt;$H44,0,IF(DO44&lt;0,IF($J44=10,-$E44*$I44/12*0,IF($J44=11,-$E44*$I44/12*1,IF($J44=12,-$E44*$I44/12*2,0)))))</f>
        <v>0</v>
      </c>
      <c r="DT44" s="413">
        <f>IF(AND(DO44&lt;&gt;0,DO$5=$H44),-$I44*$E44-DO44,IF(DT$5=$H44,-$I44*$E44*(12-$J44+1)/12,0))</f>
        <v>0</v>
      </c>
    </row>
    <row r="45" spans="1:124" ht="12.75" customHeight="1">
      <c r="A45" s="491"/>
      <c r="C45" s="1885" t="s">
        <v>1358</v>
      </c>
      <c r="D45" s="1885"/>
      <c r="E45" s="1886">
        <f>IF(F45=0,G45,F45)</f>
        <v>500</v>
      </c>
      <c r="F45" s="1532">
        <v>500</v>
      </c>
      <c r="G45" s="1532">
        <v>300</v>
      </c>
      <c r="H45" s="610">
        <v>2022</v>
      </c>
      <c r="I45" s="1533">
        <v>2.9499999999999998E-2</v>
      </c>
      <c r="J45" s="615">
        <v>12</v>
      </c>
      <c r="K45" s="402"/>
      <c r="L45" s="407">
        <f>IF(L$5=$H45,-$E45,0)</f>
        <v>0</v>
      </c>
      <c r="M45" s="404">
        <f>IF(Q45=0,0,IF(Q45&lt;0,IF($J45=3,Q45,IF($J45=2,Q45,IF($J45=1,Q45,0)))))</f>
        <v>0</v>
      </c>
      <c r="N45" s="414">
        <f>IF(Q45=0,0,IF(Q45&lt;0,IF($J45=6,Q45,IF($J45=5,Q45,IF($J45=4,Q45,0)))))</f>
        <v>0</v>
      </c>
      <c r="O45" s="414">
        <f>IF(Q45=0,0,IF(Q45&lt;0,IF($J45=9,Q45,IF($J45=8,Q45,IF($J45=7,Q45,0)))))</f>
        <v>0</v>
      </c>
      <c r="P45" s="406">
        <f>IF(Q45=0,0,IF(Q45&lt;0,IF($J45=12,Q45,IF($J45=11,Q45,IF($J45=10,Q45,0)))))</f>
        <v>0</v>
      </c>
      <c r="Q45" s="407">
        <f>IF(Q$5=$H45,-$E45,0)</f>
        <v>0</v>
      </c>
      <c r="R45" s="404">
        <f>IF(V45=0,0,IF(V45&lt;0,IF($J45=3,V45,IF($J45=2,V45,IF($J45=1,V45,0)))))</f>
        <v>0</v>
      </c>
      <c r="S45" s="414">
        <f>IF(V45=0,0,IF(V45&lt;0,IF($J45=6,V45,IF($J45=5,V45,IF($J45=4,V45,0)))))</f>
        <v>0</v>
      </c>
      <c r="T45" s="414">
        <f>IF(V45=0,0,IF(V45&lt;0,IF($J45=9,V45,IF($J45=8,V45,IF($J45=7,V45,0)))))</f>
        <v>0</v>
      </c>
      <c r="U45" s="406">
        <f>IF(V45=0,0,IF(V45&lt;0,IF($J45=12,V45,IF($J45=11,V45,IF($J45=10,V45,0)))))</f>
        <v>0</v>
      </c>
      <c r="V45" s="407">
        <f>IF(V$5=$H45,-$E45,0)</f>
        <v>0</v>
      </c>
      <c r="W45" s="404">
        <f>IF(AA45=0,0,IF(AA45&lt;0,IF($J45=3,AA45,IF($J45=2,AA45,IF($J45=1,AA45,0)))))</f>
        <v>0</v>
      </c>
      <c r="X45" s="414">
        <f>IF(AA45=0,0,IF(AA45&lt;0,IF($J45=6,AA45,IF($J45=5,AA45,IF($J45=4,AA45,0)))))</f>
        <v>0</v>
      </c>
      <c r="Y45" s="414">
        <f>IF(AA45=0,0,IF(AA45&lt;0,IF($J45=9,AA45,IF($J45=8,AA45,IF($J45=7,AA45,0)))))</f>
        <v>0</v>
      </c>
      <c r="Z45" s="406">
        <f>IF(AA45=0,0,IF(AA45&lt;0,IF($J45=12,AA45,IF($J45=11,AA45,IF($J45=10,AA45,0)))))</f>
        <v>0</v>
      </c>
      <c r="AA45" s="407">
        <f>IF(AA$5=$H45,-$E45,0)</f>
        <v>0</v>
      </c>
      <c r="AB45" s="404">
        <f>IF(AF45=0,0,IF(AF45&lt;0,IF($J45=3,AF45,IF($J45=2,AF45,IF($J45=1,AF45,0)))))</f>
        <v>0</v>
      </c>
      <c r="AC45" s="414">
        <f>IF(AF45=0,0,IF(AF45&lt;0,IF($J45=6,AF45,IF($J45=5,AF45,IF($J45=4,AF45,0)))))</f>
        <v>0</v>
      </c>
      <c r="AD45" s="414">
        <f>IF(AF45=0,0,IF(AF45&lt;0,IF($J45=9,AF45,IF($J45=8,AF45,IF($J45=7,AF45,0)))))</f>
        <v>0</v>
      </c>
      <c r="AE45" s="406">
        <f>IF(AF45=0,0,IF(AF45&lt;0,IF($J45=12,AF45,IF($J45=11,AF45,IF($J45=10,AF45,0)))))</f>
        <v>0</v>
      </c>
      <c r="AF45" s="407">
        <f>IF(AF$5=$H45,-$E45,0)</f>
        <v>0</v>
      </c>
      <c r="AG45" s="404">
        <f>IF(AK45=0,0,IF(AK45&lt;0,IF($J45=3,AK45,IF($J45=2,AK45,IF($J45=1,AK45,0)))))</f>
        <v>0</v>
      </c>
      <c r="AH45" s="414">
        <f>IF(AK45=0,0,IF(AK45&lt;0,IF($J45=6,AK45,IF($J45=5,AK45,IF($J45=4,AK45,0)))))</f>
        <v>0</v>
      </c>
      <c r="AI45" s="414">
        <f>IF(AK45=0,0,IF(AK45&lt;0,IF($J45=9,AK45,IF($J45=8,AK45,IF($J45=7,AK45,0)))))</f>
        <v>0</v>
      </c>
      <c r="AJ45" s="406">
        <f>IF(AK45=0,0,IF(AK45&lt;0,IF($J45=12,AK45,IF($J45=11,AK45,IF($J45=10,AK45,0)))))</f>
        <v>0</v>
      </c>
      <c r="AK45" s="407">
        <f>IF(AK$5=$H45,-$E45,0)</f>
        <v>0</v>
      </c>
      <c r="AL45" s="404">
        <f>IF(AP45=0,0,IF(AP45&lt;0,IF($J45=3,AP45,IF($J45=2,AP45,IF($J45=1,AP45,0)))))</f>
        <v>0</v>
      </c>
      <c r="AM45" s="414">
        <f>IF(AP45=0,0,IF(AP45&lt;0,IF($J45=6,AP45,IF($J45=5,AP45,IF($J45=4,AP45,0)))))</f>
        <v>0</v>
      </c>
      <c r="AN45" s="414">
        <f>IF(AP45=0,0,IF(AP45&lt;0,IF($J45=9,AP45,IF($J45=8,AP45,IF($J45=7,AP45,0)))))</f>
        <v>0</v>
      </c>
      <c r="AO45" s="406">
        <f>IF(AP45=0,0,IF(AP45&lt;0,IF($J45=12,AP45,IF($J45=11,AP45,IF($J45=10,AP45,0)))))</f>
        <v>0</v>
      </c>
      <c r="AP45" s="407">
        <f>IF(AP$5=$H45,-$E45,0)</f>
        <v>0</v>
      </c>
      <c r="AQ45" s="404">
        <f>IF(AU45=0,0,IF(AU45&lt;0,IF($J45=3,AU45,IF($J45=2,AU45,IF($J45=1,AU45,0)))))</f>
        <v>0</v>
      </c>
      <c r="AR45" s="414">
        <f>IF(AU45=0,0,IF(AU45&lt;0,IF($J45=6,AU45,IF($J45=5,AU45,IF($J45=4,AU45,0)))))</f>
        <v>0</v>
      </c>
      <c r="AS45" s="414">
        <f>IF(AU45=0,0,IF(AU45&lt;0,IF($J45=9,AU45,IF($J45=8,AU45,IF($J45=7,AU45,0)))))</f>
        <v>0</v>
      </c>
      <c r="AT45" s="406">
        <f>IF(AU45=0,0,IF(AU45&lt;0,IF($J45=12,AU45,IF($J45=11,AU45,IF($J45=10,AU45,0)))))</f>
        <v>0</v>
      </c>
      <c r="AU45" s="407">
        <f>IF(AU$5=$H45,-$E45,0)</f>
        <v>0</v>
      </c>
      <c r="AV45" s="404">
        <f>IF(AZ45=0,0,IF(AZ45&lt;0,IF($J45=3,AZ45,IF($J45=2,AZ45,IF($J45=1,AZ45,0)))))</f>
        <v>0</v>
      </c>
      <c r="AW45" s="414">
        <f>IF(AZ45=0,0,IF(AZ45&lt;0,IF($J45=6,AZ45,IF($J45=5,AZ45,IF($J45=4,AZ45,0)))))</f>
        <v>0</v>
      </c>
      <c r="AX45" s="414">
        <f>IF(AZ45=0,0,IF(AZ45&lt;0,IF($J45=9,AZ45,IF($J45=8,AZ45,IF($J45=7,AZ45,0)))))</f>
        <v>0</v>
      </c>
      <c r="AY45" s="406">
        <f>IF(AZ45=0,0,IF(AZ45&lt;0,IF($J45=12,AZ45,IF($J45=11,AZ45,IF($J45=10,AZ45,0)))))</f>
        <v>0</v>
      </c>
      <c r="AZ45" s="407">
        <f>IF(AZ$5=$H45,-$E45,0)</f>
        <v>0</v>
      </c>
      <c r="BA45" s="404">
        <f>IF(BE45=0,0,IF(BE45&lt;0,IF($J45=3,BE45,IF($J45=2,BE45,IF($J45=1,BE45,0)))))</f>
        <v>0</v>
      </c>
      <c r="BB45" s="414">
        <f>IF(BE45=0,0,IF(BE45&lt;0,IF($J45=6,BE45,IF($J45=5,BE45,IF($J45=4,BE45,0)))))</f>
        <v>0</v>
      </c>
      <c r="BC45" s="414">
        <f>IF(BE45=0,0,IF(BE45&lt;0,IF($J45=9,BE45,IF($J45=8,BE45,IF($J45=7,BE45,0)))))</f>
        <v>0</v>
      </c>
      <c r="BD45" s="406">
        <f>IF(BE45=0,0,IF(BE45&lt;0,IF($J45=12,BE45,IF($J45=11,BE45,IF($J45=10,BE45,0)))))</f>
        <v>0</v>
      </c>
      <c r="BE45" s="407">
        <f>IF(BE$5=$H45,-$E45,0)</f>
        <v>0</v>
      </c>
      <c r="BF45" s="404">
        <f>IF(BJ45=0,0,IF(BJ45&lt;0,IF($J45=3,BJ45,IF($J45=2,BJ45,IF($J45=1,BJ45,0)))))</f>
        <v>0</v>
      </c>
      <c r="BG45" s="414">
        <f>IF(BJ45=0,0,IF(BJ45&lt;0,IF($J45=6,BJ45,IF($J45=5,BJ45,IF($J45=4,BJ45,0)))))</f>
        <v>0</v>
      </c>
      <c r="BH45" s="414">
        <f>IF(BJ45=0,0,IF(BJ45&lt;0,IF($J45=9,BJ45,IF($J45=8,BJ45,IF($J45=7,BJ45,0)))))</f>
        <v>0</v>
      </c>
      <c r="BI45" s="406">
        <f>IF(BJ45=0,0,IF(BJ45&lt;0,IF($J45=12,BJ45,IF($J45=11,BJ45,IF($J45=10,BJ45,0)))))</f>
        <v>0</v>
      </c>
      <c r="BJ45" s="407">
        <f>IF(BJ$5=$H45,-$E45,0)</f>
        <v>0</v>
      </c>
      <c r="BK45" s="404">
        <f>IF(BO45=0,0,IF(BO45&lt;0,IF($J45=3,BO45,IF($J45=2,BO45,IF($J45=1,BO45,0)))))</f>
        <v>0</v>
      </c>
      <c r="BL45" s="414">
        <f>IF(BO45=0,0,IF(BO45&lt;0,IF($J45=6,BO45,IF($J45=5,BO45,IF($J45=4,BO45,0)))))</f>
        <v>0</v>
      </c>
      <c r="BM45" s="414">
        <f>IF(BO45=0,0,IF(BO45&lt;0,IF($J45=9,BO45,IF($J45=8,BO45,IF($J45=7,BO45,0)))))</f>
        <v>0</v>
      </c>
      <c r="BN45" s="406">
        <f>IF(BO45=0,0,IF(BO45&lt;0,IF($J45=12,BO45,IF($J45=11,BO45,IF($J45=10,BO45,0)))))</f>
        <v>0</v>
      </c>
      <c r="BO45" s="407">
        <f>IF(BO$5=$H45,-$E45,0)</f>
        <v>0</v>
      </c>
      <c r="BP45" s="449"/>
      <c r="BQ45" s="413">
        <f>IF(AND(AH45&lt;&gt;0,AH$5=$H45),-$I45*$E45-AH45,IF(BQ$5=$H45,-$I45*$E45*(12-$J45+1)/12,0))</f>
        <v>0</v>
      </c>
      <c r="BR45" s="410">
        <f>IF($H45&lt;&gt;BV$5,0,IF(BV45&lt;0,IF($J45=1,-$E45*$I45/12*3,IF($J45=2,-$E45*$I45/12*2,IF($J45=3,-$E45*$I45/12*1,0)))))+IF(BQ$5&lt;&gt;$H45,0,IF(BQ45&lt;0,IF($J45=1,-$E45*$I45/12*0,IF($J45=2,-$E45*$I45/12*1,IF($J45=3,-$E45*$I45/12*2,IF($J45&gt;=4,-$E45*$I45/12*3,0))))))</f>
        <v>0</v>
      </c>
      <c r="BS45" s="416">
        <f>IF($H45&lt;&gt;BV$5,0,IF(BV45&lt;0,IF(OR($J45=1,$J45=2,$J45=3,$J45=4),-$E45*$I45/12*3,IF($J45=5,-$E45*$I45/12*2,IF($J45=6,-$E45*$I45/12*1,0)))))+IF(BQ$5&lt;&gt;$H45,0,IF(BQ45&lt;0,IF($J45=4,-$E45*$I45/12*0,IF($J45=5,-$E45*$I45/12*1,IF($J45=6,-$E45*$I45/12*2,IF($J45&gt;=7,-$E45*$I45/12*3,0))))))</f>
        <v>0</v>
      </c>
      <c r="BT45" s="416">
        <f>IF($H45&lt;&gt;BV$5,0,IF(BV45&lt;0,IF(OR($J45=1,$J45=2,$J45=3,$J45=4,$J45=5,$J45=6,$J45=7),-$E45*$I45/12*3,IF($J45=8,-$E45*$I45/12*2,IF($J45=9,-$E45*$I45/12*1,0)))))+IF(BQ$5&lt;&gt;$H45,0,IF(BQ45&lt;0,IF($J45=7,-$E45*$I45/12*0,IF($J45=8,-$E45*$I45/12*1,IF($J45=9,-$E45*$I45/12*2,IF($J45&gt;=10,-$E45*$I45/12*3,0))))))</f>
        <v>0</v>
      </c>
      <c r="BU45" s="412">
        <f>IF($H45&lt;&gt;BV$5,0,IF(BV45&lt;0,IF(OR($J45=1,$J45=2,$J45=3,$J45=4,$J45=5,$J45=6,$J45=7,$J45=8,$J45=9,$J45=10),-$E45*$I45/12*3,IF($J45=11,-$E45*$I45/12*2,IF($J45=12,-$E45*$I45/12*1,0)))))+IF(BQ$5&lt;&gt;$H45,0,IF(BQ45&lt;0,IF($J45=10,-$E45*$I45/12*0,IF($J45=11,-$E45*$I45/12*1,IF($J45=12,-$E45*$I45/12*2,0)))))</f>
        <v>0</v>
      </c>
      <c r="BV45" s="413">
        <f>IF(AND(BQ45&lt;&gt;0,BQ$5=$H45),-$I45*$E45-BQ45,IF(BV$5=$H45,-$I45*$E45*(12-$J45+1)/12,0))</f>
        <v>0</v>
      </c>
      <c r="BW45" s="410">
        <f>IF($H45&lt;&gt;CA$5,0,IF(CA45&lt;0,IF($J45=1,-$E45*$I45/12*3,IF($J45=2,-$E45*$I45/12*2,IF($J45=3,-$E45*$I45/12*1,0)))))+IF(BV$5&lt;&gt;$H45,0,IF(BV45&lt;0,IF($J45=1,-$E45*$I45/12*0,IF($J45=2,-$E45*$I45/12*1,IF($J45=3,-$E45*$I45/12*2,IF($J45&gt;=4,-$E45*$I45/12*3,0))))))</f>
        <v>0</v>
      </c>
      <c r="BX45" s="416">
        <f>IF($H45&lt;&gt;CA$5,0,IF(CA45&lt;0,IF(OR($J45=1,$J45=2,$J45=3,$J45=4),-$E45*$I45/12*3,IF($J45=5,-$E45*$I45/12*2,IF($J45=6,-$E45*$I45/12*1,0)))))+IF(BV$5&lt;&gt;$H45,0,IF(BV45&lt;0,IF($J45=4,-$E45*$I45/12*0,IF($J45=5,-$E45*$I45/12*1,IF($J45=6,-$E45*$I45/12*2,IF($J45&gt;=7,-$E45*$I45/12*3,0))))))</f>
        <v>0</v>
      </c>
      <c r="BY45" s="416">
        <f>IF($H45&lt;&gt;CA$5,0,IF(CA45&lt;0,IF(OR($J45=1,$J45=2,$J45=3,$J45=4,$J45=5,$J45=6,$J45=7),-$E45*$I45/12*3,IF($J45=8,-$E45*$I45/12*2,IF($J45=9,-$E45*$I45/12*1,0)))))+IF(BV$5&lt;&gt;$H45,0,IF(BV45&lt;0,IF($J45=7,-$E45*$I45/12*0,IF($J45=8,-$E45*$I45/12*1,IF($J45=9,-$E45*$I45/12*2,IF($J45&gt;=10,-$E45*$I45/12*3,0))))))</f>
        <v>0</v>
      </c>
      <c r="BZ45" s="412">
        <f>IF($H45&lt;&gt;CA$5,0,IF(CA45&lt;0,IF(OR($J45=1,$J45=2,$J45=3,$J45=4,$J45=5,$J45=6,$J45=7,$J45=8,$J45=9,$J45=10),-$E45*$I45/12*3,IF($J45=11,-$E45*$I45/12*2,IF($J45=12,-$E45*$I45/12*1,0)))))+IF(BV$5&lt;&gt;$H45,0,IF(BV45&lt;0,IF($J45=10,-$E45*$I45/12*0,IF($J45=11,-$E45*$I45/12*1,IF($J45=12,-$E45*$I45/12*2,0)))))</f>
        <v>0</v>
      </c>
      <c r="CA45" s="413">
        <f>IF(AND(BV45&lt;&gt;0,BV$5=$H45),-$I45*$E45-BV45,IF(CA$5=$H45,-$I45*$E45*(12-$J45+1)/12,0))</f>
        <v>0</v>
      </c>
      <c r="CB45" s="410">
        <f>IF($H45&lt;&gt;CF$5,0,IF(CF45&lt;0,IF($J45=1,-$E45*$I45/12*3,IF($J45=2,-$E45*$I45/12*2,IF($J45=3,-$E45*$I45/12*1,0)))))+IF(CA$5&lt;&gt;$H45,0,IF(CA45&lt;0,IF($J45=1,-$E45*$I45/12*0,IF($J45=2,-$E45*$I45/12*1,IF($J45=3,-$E45*$I45/12*2,IF($J45&gt;=4,-$E45*$I45/12*3,0))))))</f>
        <v>0</v>
      </c>
      <c r="CC45" s="416">
        <f>IF($H45&lt;&gt;CF$5,0,IF(CF45&lt;0,IF(OR($J45=1,$J45=2,$J45=3,$J45=4),-$E45*$I45/12*3,IF($J45=5,-$E45*$I45/12*2,IF($J45=6,-$E45*$I45/12*1,0)))))+IF(CA$5&lt;&gt;$H45,0,IF(CA45&lt;0,IF($J45=4,-$E45*$I45/12*0,IF($J45=5,-$E45*$I45/12*1,IF($J45=6,-$E45*$I45/12*2,IF($J45&gt;=7,-$E45*$I45/12*3,0))))))</f>
        <v>0</v>
      </c>
      <c r="CD45" s="416">
        <f>IF($H45&lt;&gt;CF$5,0,IF(CF45&lt;0,IF(OR($J45=1,$J45=2,$J45=3,$J45=4,$J45=5,$J45=6,$J45=7),-$E45*$I45/12*3,IF($J45=8,-$E45*$I45/12*2,IF($J45=9,-$E45*$I45/12*1,0)))))+IF(CA$5&lt;&gt;$H45,0,IF(CA45&lt;0,IF($J45=7,-$E45*$I45/12*0,IF($J45=8,-$E45*$I45/12*1,IF($J45=9,-$E45*$I45/12*2,IF($J45&gt;=10,-$E45*$I45/12*3,0))))))</f>
        <v>0</v>
      </c>
      <c r="CE45" s="412">
        <f>IF($H45&lt;&gt;CF$5,0,IF(CF45&lt;0,IF(OR($J45=1,$J45=2,$J45=3,$J45=4,$J45=5,$J45=6,$J45=7,$J45=8,$J45=9,$J45=10),-$E45*$I45/12*3,IF($J45=11,-$E45*$I45/12*2,IF($J45=12,-$E45*$I45/12*1,0)))))+IF(CA$5&lt;&gt;$H45,0,IF(CA45&lt;0,IF($J45=10,-$E45*$I45/12*0,IF($J45=11,-$E45*$I45/12*1,IF($J45=12,-$E45*$I45/12*2,0)))))</f>
        <v>0</v>
      </c>
      <c r="CF45" s="413">
        <f>IF(AND(CA45&lt;&gt;0,CA$5=$H45),-$I45*$E45-CA45,IF(CF$5=$H45,-$I45*$E45*(12-$J45+1)/12,0))</f>
        <v>0</v>
      </c>
      <c r="CG45" s="410">
        <f>IF($H45&lt;&gt;CK$5,0,IF(CK45&lt;0,IF($J45=1,-$E45*$I45/12*3,IF($J45=2,-$E45*$I45/12*2,IF($J45=3,-$E45*$I45/12*1,0)))))+IF(CF$5&lt;&gt;$H45,0,IF(CF45&lt;0,IF($J45=1,-$E45*$I45/12*0,IF($J45=2,-$E45*$I45/12*1,IF($J45=3,-$E45*$I45/12*2,IF($J45&gt;=4,-$E45*$I45/12*3,0))))))</f>
        <v>0</v>
      </c>
      <c r="CH45" s="416">
        <f>IF($H45&lt;&gt;CK$5,0,IF(CK45&lt;0,IF(OR($J45=1,$J45=2,$J45=3,$J45=4),-$E45*$I45/12*3,IF($J45=5,-$E45*$I45/12*2,IF($J45=6,-$E45*$I45/12*1,0)))))+IF(CF$5&lt;&gt;$H45,0,IF(CF45&lt;0,IF($J45=4,-$E45*$I45/12*0,IF($J45=5,-$E45*$I45/12*1,IF($J45=6,-$E45*$I45/12*2,IF($J45&gt;=7,-$E45*$I45/12*3,0))))))</f>
        <v>0</v>
      </c>
      <c r="CI45" s="416">
        <f>IF($H45&lt;&gt;CK$5,0,IF(CK45&lt;0,IF(OR($J45=1,$J45=2,$J45=3,$J45=4,$J45=5,$J45=6,$J45=7),-$E45*$I45/12*3,IF($J45=8,-$E45*$I45/12*2,IF($J45=9,-$E45*$I45/12*1,0)))))+IF(CF$5&lt;&gt;$H45,0,IF(CF45&lt;0,IF($J45=7,-$E45*$I45/12*0,IF($J45=8,-$E45*$I45/12*1,IF($J45=9,-$E45*$I45/12*2,IF($J45&gt;=10,-$E45*$I45/12*3,0))))))</f>
        <v>0</v>
      </c>
      <c r="CJ45" s="412">
        <f>IF($H45&lt;&gt;CK$5,0,IF(CK45&lt;0,IF(OR($J45=1,$J45=2,$J45=3,$J45=4,$J45=5,$J45=6,$J45=7,$J45=8,$J45=9,$J45=10),-$E45*$I45/12*3,IF($J45=11,-$E45*$I45/12*2,IF($J45=12,-$E45*$I45/12*1,0)))))+IF(CF$5&lt;&gt;$H45,0,IF(CF45&lt;0,IF($J45=10,-$E45*$I45/12*0,IF($J45=11,-$E45*$I45/12*1,IF($J45=12,-$E45*$I45/12*2,0)))))</f>
        <v>0</v>
      </c>
      <c r="CK45" s="413">
        <f>IF(AND(CF45&lt;&gt;0,CF$5=$H45),-$I45*$E45-CF45,IF(CK$5=$H45,-$I45*$E45*(12-$J45+1)/12,0))</f>
        <v>0</v>
      </c>
      <c r="CL45" s="410">
        <f>IF($H45&lt;&gt;CP$5,0,IF(CP45&lt;0,IF($J45=1,-$E45*$I45/12*3,IF($J45=2,-$E45*$I45/12*2,IF($J45=3,-$E45*$I45/12*1,0)))))+IF(CK$5&lt;&gt;$H45,0,IF(CK45&lt;0,IF($J45=1,-$E45*$I45/12*0,IF($J45=2,-$E45*$I45/12*1,IF($J45=3,-$E45*$I45/12*2,IF($J45&gt;=4,-$E45*$I45/12*3,0))))))</f>
        <v>0</v>
      </c>
      <c r="CM45" s="416">
        <f>IF($H45&lt;&gt;CP$5,0,IF(CP45&lt;0,IF(OR($J45=1,$J45=2,$J45=3,$J45=4),-$E45*$I45/12*3,IF($J45=5,-$E45*$I45/12*2,IF($J45=6,-$E45*$I45/12*1,0)))))+IF(CK$5&lt;&gt;$H45,0,IF(CK45&lt;0,IF($J45=4,-$E45*$I45/12*0,IF($J45=5,-$E45*$I45/12*1,IF($J45=6,-$E45*$I45/12*2,IF($J45&gt;=7,-$E45*$I45/12*3,0))))))</f>
        <v>0</v>
      </c>
      <c r="CN45" s="416">
        <f>IF($H45&lt;&gt;CP$5,0,IF(CP45&lt;0,IF(OR($J45=1,$J45=2,$J45=3,$J45=4,$J45=5,$J45=6,$J45=7),-$E45*$I45/12*3,IF($J45=8,-$E45*$I45/12*2,IF($J45=9,-$E45*$I45/12*1,0)))))+IF(CK$5&lt;&gt;$H45,0,IF(CK45&lt;0,IF($J45=7,-$E45*$I45/12*0,IF($J45=8,-$E45*$I45/12*1,IF($J45=9,-$E45*$I45/12*2,IF($J45&gt;=10,-$E45*$I45/12*3,0))))))</f>
        <v>0</v>
      </c>
      <c r="CO45" s="412">
        <f>IF($H45&lt;&gt;CP$5,0,IF(CP45&lt;0,IF(OR($J45=1,$J45=2,$J45=3,$J45=4,$J45=5,$J45=6,$J45=7,$J45=8,$J45=9,$J45=10),-$E45*$I45/12*3,IF($J45=11,-$E45*$I45/12*2,IF($J45=12,-$E45*$I45/12*1,0)))))+IF(CK$5&lt;&gt;$H45,0,IF(CK45&lt;0,IF($J45=10,-$E45*$I45/12*0,IF($J45=11,-$E45*$I45/12*1,IF($J45=12,-$E45*$I45/12*2,0)))))</f>
        <v>0</v>
      </c>
      <c r="CP45" s="413">
        <f>IF(AND(CK45&lt;&gt;0,CK$5=$H45),-$I45*$E45-CK45,IF(CP$5=$H45,-$I45*$E45*(12-$J45+1)/12,0))</f>
        <v>0</v>
      </c>
      <c r="CQ45" s="410">
        <f>IF($H45&lt;&gt;CU$5,0,IF(CU45&lt;0,IF($J45=1,-$E45*$I45/12*3,IF($J45=2,-$E45*$I45/12*2,IF($J45=3,-$E45*$I45/12*1,0)))))+IF(CP$5&lt;&gt;$H45,0,IF(CP45&lt;0,IF($J45=1,-$E45*$I45/12*0,IF($J45=2,-$E45*$I45/12*1,IF($J45=3,-$E45*$I45/12*2,IF($J45&gt;=4,-$E45*$I45/12*3,0))))))</f>
        <v>0</v>
      </c>
      <c r="CR45" s="416">
        <f>IF($H45&lt;&gt;CU$5,0,IF(CU45&lt;0,IF(OR($J45=1,$J45=2,$J45=3,$J45=4),-$E45*$I45/12*3,IF($J45=5,-$E45*$I45/12*2,IF($J45=6,-$E45*$I45/12*1,0)))))+IF(CP$5&lt;&gt;$H45,0,IF(CP45&lt;0,IF($J45=4,-$E45*$I45/12*0,IF($J45=5,-$E45*$I45/12*1,IF($J45=6,-$E45*$I45/12*2,IF($J45&gt;=7,-$E45*$I45/12*3,0))))))</f>
        <v>0</v>
      </c>
      <c r="CS45" s="416">
        <f>IF($H45&lt;&gt;CU$5,0,IF(CU45&lt;0,IF(OR($J45=1,$J45=2,$J45=3,$J45=4,$J45=5,$J45=6,$J45=7),-$E45*$I45/12*3,IF($J45=8,-$E45*$I45/12*2,IF($J45=9,-$E45*$I45/12*1,0)))))+IF(CP$5&lt;&gt;$H45,0,IF(CP45&lt;0,IF($J45=7,-$E45*$I45/12*0,IF($J45=8,-$E45*$I45/12*1,IF($J45=9,-$E45*$I45/12*2,IF($J45&gt;=10,-$E45*$I45/12*3,0))))))</f>
        <v>0</v>
      </c>
      <c r="CT45" s="412">
        <f>IF($H45&lt;&gt;CU$5,0,IF(CU45&lt;0,IF(OR($J45=1,$J45=2,$J45=3,$J45=4,$J45=5,$J45=6,$J45=7,$J45=8,$J45=9,$J45=10),-$E45*$I45/12*3,IF($J45=11,-$E45*$I45/12*2,IF($J45=12,-$E45*$I45/12*1,0)))))+IF(CP$5&lt;&gt;$H45,0,IF(CP45&lt;0,IF($J45=10,-$E45*$I45/12*0,IF($J45=11,-$E45*$I45/12*1,IF($J45=12,-$E45*$I45/12*2,0)))))</f>
        <v>0</v>
      </c>
      <c r="CU45" s="413">
        <f>IF(AND(CP45&lt;&gt;0,CP$5=$H45),-$I45*$E45-CP45,IF(CU$5=$H45,-$I45*$E45*(12-$J45+1)/12,0))</f>
        <v>0</v>
      </c>
      <c r="CV45" s="410">
        <f>IF($H45&lt;&gt;CZ$5,0,IF(CZ45&lt;0,IF($J45=1,-$E45*$I45/12*3,IF($J45=2,-$E45*$I45/12*2,IF($J45=3,-$E45*$I45/12*1,0)))))+IF(CU$5&lt;&gt;$H45,0,IF(CU45&lt;0,IF($J45=1,-$E45*$I45/12*0,IF($J45=2,-$E45*$I45/12*1,IF($J45=3,-$E45*$I45/12*2,IF($J45&gt;=4,-$E45*$I45/12*3,0))))))</f>
        <v>0</v>
      </c>
      <c r="CW45" s="416">
        <f>IF($H45&lt;&gt;CZ$5,0,IF(CZ45&lt;0,IF(OR($J45=1,$J45=2,$J45=3,$J45=4),-$E45*$I45/12*3,IF($J45=5,-$E45*$I45/12*2,IF($J45=6,-$E45*$I45/12*1,0)))))+IF(CU$5&lt;&gt;$H45,0,IF(CU45&lt;0,IF($J45=4,-$E45*$I45/12*0,IF($J45=5,-$E45*$I45/12*1,IF($J45=6,-$E45*$I45/12*2,IF($J45&gt;=7,-$E45*$I45/12*3,0))))))</f>
        <v>0</v>
      </c>
      <c r="CX45" s="416">
        <f>IF($H45&lt;&gt;CZ$5,0,IF(CZ45&lt;0,IF(OR($J45=1,$J45=2,$J45=3,$J45=4,$J45=5,$J45=6,$J45=7),-$E45*$I45/12*3,IF($J45=8,-$E45*$I45/12*2,IF($J45=9,-$E45*$I45/12*1,0)))))+IF(CU$5&lt;&gt;$H45,0,IF(CU45&lt;0,IF($J45=7,-$E45*$I45/12*0,IF($J45=8,-$E45*$I45/12*1,IF($J45=9,-$E45*$I45/12*2,IF($J45&gt;=10,-$E45*$I45/12*3,0))))))</f>
        <v>0</v>
      </c>
      <c r="CY45" s="412">
        <f>IF($H45&lt;&gt;CZ$5,0,IF(CZ45&lt;0,IF(OR($J45=1,$J45=2,$J45=3,$J45=4,$J45=5,$J45=6,$J45=7,$J45=8,$J45=9,$J45=10),-$E45*$I45/12*3,IF($J45=11,-$E45*$I45/12*2,IF($J45=12,-$E45*$I45/12*1,0)))))+IF(CU$5&lt;&gt;$H45,0,IF(CU45&lt;0,IF($J45=10,-$E45*$I45/12*0,IF($J45=11,-$E45*$I45/12*1,IF($J45=12,-$E45*$I45/12*2,0)))))</f>
        <v>0</v>
      </c>
      <c r="CZ45" s="413">
        <f>IF(AND(CU45&lt;&gt;0,CU$5=$H45),-$I45*$E45-CU45,IF(CZ$5=$H45,-$I45*$E45*(12-$J45+1)/12,0))</f>
        <v>0</v>
      </c>
      <c r="DA45" s="410">
        <f>IF($H45&lt;&gt;DE$5,0,IF(DE45&lt;0,IF($J45=1,-$E45*$I45/12*3,IF($J45=2,-$E45*$I45/12*2,IF($J45=3,-$E45*$I45/12*1,0)))))+IF(CZ$5&lt;&gt;$H45,0,IF(CZ45&lt;0,IF($J45=1,-$E45*$I45/12*0,IF($J45=2,-$E45*$I45/12*1,IF($J45=3,-$E45*$I45/12*2,IF($J45&gt;=4,-$E45*$I45/12*3,0))))))</f>
        <v>0</v>
      </c>
      <c r="DB45" s="416">
        <f>IF($H45&lt;&gt;DE$5,0,IF(DE45&lt;0,IF(OR($J45=1,$J45=2,$J45=3,$J45=4),-$E45*$I45/12*3,IF($J45=5,-$E45*$I45/12*2,IF($J45=6,-$E45*$I45/12*1,0)))))+IF(CZ$5&lt;&gt;$H45,0,IF(CZ45&lt;0,IF($J45=4,-$E45*$I45/12*0,IF($J45=5,-$E45*$I45/12*1,IF($J45=6,-$E45*$I45/12*2,IF($J45&gt;=7,-$E45*$I45/12*3,0))))))</f>
        <v>0</v>
      </c>
      <c r="DC45" s="416">
        <f>IF($H45&lt;&gt;DE$5,0,IF(DE45&lt;0,IF(OR($J45=1,$J45=2,$J45=3,$J45=4,$J45=5,$J45=6,$J45=7),-$E45*$I45/12*3,IF($J45=8,-$E45*$I45/12*2,IF($J45=9,-$E45*$I45/12*1,0)))))+IF(CZ$5&lt;&gt;$H45,0,IF(CZ45&lt;0,IF($J45=7,-$E45*$I45/12*0,IF($J45=8,-$E45*$I45/12*1,IF($J45=9,-$E45*$I45/12*2,IF($J45&gt;=10,-$E45*$I45/12*3,0))))))</f>
        <v>0</v>
      </c>
      <c r="DD45" s="412">
        <f>IF($H45&lt;&gt;DE$5,0,IF(DE45&lt;0,IF(OR($J45=1,$J45=2,$J45=3,$J45=4,$J45=5,$J45=6,$J45=7,$J45=8,$J45=9,$J45=10),-$E45*$I45/12*3,IF($J45=11,-$E45*$I45/12*2,IF($J45=12,-$E45*$I45/12*1,0)))))+IF(CZ$5&lt;&gt;$H45,0,IF(CZ45&lt;0,IF($J45=10,-$E45*$I45/12*0,IF($J45=11,-$E45*$I45/12*1,IF($J45=12,-$E45*$I45/12*2,0)))))</f>
        <v>0</v>
      </c>
      <c r="DE45" s="413">
        <f>IF(AND(CZ45&lt;&gt;0,CZ$5=$H45),-$I45*$E45-CZ45,IF(DE$5=$H45,-$I45*$E45*(12-$J45+1)/12,0))</f>
        <v>0</v>
      </c>
      <c r="DF45" s="410">
        <f>IF($H45&lt;&gt;DJ$5,0,IF(DJ45&lt;0,IF($J45=1,-$E45*$I45/12*3,IF($J45=2,-$E45*$I45/12*2,IF($J45=3,-$E45*$I45/12*1,0)))))+IF(DE$5&lt;&gt;$H45,0,IF(DE45&lt;0,IF($J45=1,-$E45*$I45/12*0,IF($J45=2,-$E45*$I45/12*1,IF($J45=3,-$E45*$I45/12*2,IF($J45&gt;=4,-$E45*$I45/12*3,0))))))</f>
        <v>0</v>
      </c>
      <c r="DG45" s="416">
        <f>IF($H45&lt;&gt;DJ$5,0,IF(DJ45&lt;0,IF(OR($J45=1,$J45=2,$J45=3,$J45=4),-$E45*$I45/12*3,IF($J45=5,-$E45*$I45/12*2,IF($J45=6,-$E45*$I45/12*1,0)))))+IF(DE$5&lt;&gt;$H45,0,IF(DE45&lt;0,IF($J45=4,-$E45*$I45/12*0,IF($J45=5,-$E45*$I45/12*1,IF($J45=6,-$E45*$I45/12*2,IF($J45&gt;=7,-$E45*$I45/12*3,0))))))</f>
        <v>0</v>
      </c>
      <c r="DH45" s="416">
        <f>IF($H45&lt;&gt;DJ$5,0,IF(DJ45&lt;0,IF(OR($J45=1,$J45=2,$J45=3,$J45=4,$J45=5,$J45=6,$J45=7),-$E45*$I45/12*3,IF($J45=8,-$E45*$I45/12*2,IF($J45=9,-$E45*$I45/12*1,0)))))+IF(DE$5&lt;&gt;$H45,0,IF(DE45&lt;0,IF($J45=7,-$E45*$I45/12*0,IF($J45=8,-$E45*$I45/12*1,IF($J45=9,-$E45*$I45/12*2,IF($J45&gt;=10,-$E45*$I45/12*3,0))))))</f>
        <v>0</v>
      </c>
      <c r="DI45" s="412">
        <f>IF($H45&lt;&gt;DJ$5,0,IF(DJ45&lt;0,IF(OR($J45=1,$J45=2,$J45=3,$J45=4,$J45=5,$J45=6,$J45=7,$J45=8,$J45=9,$J45=10),-$E45*$I45/12*3,IF($J45=11,-$E45*$I45/12*2,IF($J45=12,-$E45*$I45/12*1,0)))))+IF(DE$5&lt;&gt;$H45,0,IF(DE45&lt;0,IF($J45=10,-$E45*$I45/12*0,IF($J45=11,-$E45*$I45/12*1,IF($J45=12,-$E45*$I45/12*2,0)))))</f>
        <v>0</v>
      </c>
      <c r="DJ45" s="413">
        <f>IF(AND(DE45&lt;&gt;0,DE$5=$H45),-$I45*$E45-DE45,IF(DJ$5=$H45,-$I45*$E45*(12-$J45+1)/12,0))</f>
        <v>0</v>
      </c>
      <c r="DK45" s="410">
        <f>IF($H45&lt;&gt;DO$5,0,IF(DO45&lt;0,IF($J45=1,-$E45*$I45/12*3,IF($J45=2,-$E45*$I45/12*2,IF($J45=3,-$E45*$I45/12*1,0)))))+IF(DJ$5&lt;&gt;$H45,0,IF(DJ45&lt;0,IF($J45=1,-$E45*$I45/12*0,IF($J45=2,-$E45*$I45/12*1,IF($J45=3,-$E45*$I45/12*2,IF($J45&gt;=4,-$E45*$I45/12*3,0))))))</f>
        <v>0</v>
      </c>
      <c r="DL45" s="416">
        <f>IF($H45&lt;&gt;DO$5,0,IF(DO45&lt;0,IF(OR($J45=1,$J45=2,$J45=3,$J45=4),-$E45*$I45/12*3,IF($J45=5,-$E45*$I45/12*2,IF($J45=6,-$E45*$I45/12*1,0)))))+IF(DJ$5&lt;&gt;$H45,0,IF(DJ45&lt;0,IF($J45=4,-$E45*$I45/12*0,IF($J45=5,-$E45*$I45/12*1,IF($J45=6,-$E45*$I45/12*2,IF($J45&gt;=7,-$E45*$I45/12*3,0))))))</f>
        <v>0</v>
      </c>
      <c r="DM45" s="416">
        <f>IF($H45&lt;&gt;DO$5,0,IF(DO45&lt;0,IF(OR($J45=1,$J45=2,$J45=3,$J45=4,$J45=5,$J45=6,$J45=7),-$E45*$I45/12*3,IF($J45=8,-$E45*$I45/12*2,IF($J45=9,-$E45*$I45/12*1,0)))))+IF(DJ$5&lt;&gt;$H45,0,IF(DJ45&lt;0,IF($J45=7,-$E45*$I45/12*0,IF($J45=8,-$E45*$I45/12*1,IF($J45=9,-$E45*$I45/12*2,IF($J45&gt;=10,-$E45*$I45/12*3,0))))))</f>
        <v>0</v>
      </c>
      <c r="DN45" s="412">
        <f>IF($H45&lt;&gt;DO$5,0,IF(DO45&lt;0,IF(OR($J45=1,$J45=2,$J45=3,$J45=4,$J45=5,$J45=6,$J45=7,$J45=8,$J45=9,$J45=10),-$E45*$I45/12*3,IF($J45=11,-$E45*$I45/12*2,IF($J45=12,-$E45*$I45/12*1,0)))))+IF(DJ$5&lt;&gt;$H45,0,IF(DJ45&lt;0,IF($J45=10,-$E45*$I45/12*0,IF($J45=11,-$E45*$I45/12*1,IF($J45=12,-$E45*$I45/12*2,0)))))</f>
        <v>0</v>
      </c>
      <c r="DO45" s="413">
        <f>IF(AND(DJ45&lt;&gt;0,DJ$5=$H45),-$I45*$E45-DJ45,IF(DO$5=$H45,-$I45*$E45*(12-$J45+1)/12,0))</f>
        <v>0</v>
      </c>
      <c r="DP45" s="410">
        <f>IF($H45&lt;&gt;DT$5,0,IF(DT45&lt;0,IF($J45=1,-$E45*$I45/12*3,IF($J45=2,-$E45*$I45/12*2,IF($J45=3,-$E45*$I45/12*1,0)))))+IF(DO$5&lt;&gt;$H45,0,IF(DO45&lt;0,IF($J45=1,-$E45*$I45/12*0,IF($J45=2,-$E45*$I45/12*1,IF($J45=3,-$E45*$I45/12*2,IF($J45&gt;=4,-$E45*$I45/12*3,0))))))</f>
        <v>0</v>
      </c>
      <c r="DQ45" s="416">
        <f>IF($H45&lt;&gt;DT$5,0,IF(DT45&lt;0,IF(OR($J45=1,$J45=2,$J45=3,$J45=4),-$E45*$I45/12*3,IF($J45=5,-$E45*$I45/12*2,IF($J45=6,-$E45*$I45/12*1,0)))))+IF(DO$5&lt;&gt;$H45,0,IF(DO45&lt;0,IF($J45=4,-$E45*$I45/12*0,IF($J45=5,-$E45*$I45/12*1,IF($J45=6,-$E45*$I45/12*2,IF($J45&gt;=7,-$E45*$I45/12*3,0))))))</f>
        <v>0</v>
      </c>
      <c r="DR45" s="416">
        <f>IF($H45&lt;&gt;DT$5,0,IF(DT45&lt;0,IF(OR($J45=1,$J45=2,$J45=3,$J45=4,$J45=5,$J45=6,$J45=7),-$E45*$I45/12*3,IF($J45=8,-$E45*$I45/12*2,IF($J45=9,-$E45*$I45/12*1,0)))))+IF(DO$5&lt;&gt;$H45,0,IF(DO45&lt;0,IF($J45=7,-$E45*$I45/12*0,IF($J45=8,-$E45*$I45/12*1,IF($J45=9,-$E45*$I45/12*2,IF($J45&gt;=10,-$E45*$I45/12*3,0))))))</f>
        <v>0</v>
      </c>
      <c r="DS45" s="412">
        <f>IF($H45&lt;&gt;DT$5,0,IF(DT45&lt;0,IF(OR($J45=1,$J45=2,$J45=3,$J45=4,$J45=5,$J45=6,$J45=7,$J45=8,$J45=9,$J45=10),-$E45*$I45/12*3,IF($J45=11,-$E45*$I45/12*2,IF($J45=12,-$E45*$I45/12*1,0)))))+IF(DO$5&lt;&gt;$H45,0,IF(DO45&lt;0,IF($J45=10,-$E45*$I45/12*0,IF($J45=11,-$E45*$I45/12*1,IF($J45=12,-$E45*$I45/12*2,0)))))</f>
        <v>0</v>
      </c>
      <c r="DT45" s="413">
        <f>IF(AND(DO45&lt;&gt;0,DO$5=$H45),-$I45*$E45-DO45,IF(DT$5=$H45,-$I45*$E45*(12-$J45+1)/12,0))</f>
        <v>0</v>
      </c>
    </row>
    <row r="46" spans="1:124" s="1884" customFormat="1" ht="12.75" customHeight="1">
      <c r="A46" s="491"/>
      <c r="C46" s="1885" t="s">
        <v>1359</v>
      </c>
      <c r="D46" s="1885"/>
      <c r="E46" s="1886">
        <f>IF(F46=0,G46,F46)</f>
        <v>500</v>
      </c>
      <c r="F46" s="1532">
        <v>500</v>
      </c>
      <c r="G46" s="1532">
        <v>0</v>
      </c>
      <c r="H46" s="610">
        <v>2022</v>
      </c>
      <c r="I46" s="1533">
        <v>2.9499999999999998E-2</v>
      </c>
      <c r="J46" s="615">
        <v>12</v>
      </c>
      <c r="K46" s="402"/>
      <c r="L46" s="407"/>
      <c r="M46" s="404"/>
      <c r="N46" s="414"/>
      <c r="O46" s="414"/>
      <c r="P46" s="406"/>
      <c r="Q46" s="407"/>
      <c r="R46" s="404"/>
      <c r="S46" s="414"/>
      <c r="T46" s="414"/>
      <c r="U46" s="406"/>
      <c r="V46" s="407"/>
      <c r="W46" s="404"/>
      <c r="X46" s="414"/>
      <c r="Y46" s="414"/>
      <c r="Z46" s="406"/>
      <c r="AA46" s="407"/>
      <c r="AB46" s="404"/>
      <c r="AC46" s="414"/>
      <c r="AD46" s="414"/>
      <c r="AE46" s="406"/>
      <c r="AF46" s="407"/>
      <c r="AG46" s="404"/>
      <c r="AH46" s="414"/>
      <c r="AI46" s="414"/>
      <c r="AJ46" s="406"/>
      <c r="AK46" s="407"/>
      <c r="AL46" s="404"/>
      <c r="AM46" s="414"/>
      <c r="AN46" s="414"/>
      <c r="AO46" s="406"/>
      <c r="AP46" s="407"/>
      <c r="AQ46" s="404"/>
      <c r="AR46" s="414"/>
      <c r="AS46" s="414"/>
      <c r="AT46" s="406"/>
      <c r="AU46" s="407"/>
      <c r="AV46" s="404"/>
      <c r="AW46" s="414"/>
      <c r="AX46" s="414"/>
      <c r="AY46" s="406"/>
      <c r="AZ46" s="407"/>
      <c r="BA46" s="404"/>
      <c r="BB46" s="414"/>
      <c r="BC46" s="414"/>
      <c r="BD46" s="406"/>
      <c r="BE46" s="407"/>
      <c r="BF46" s="404"/>
      <c r="BG46" s="414"/>
      <c r="BH46" s="414"/>
      <c r="BI46" s="406"/>
      <c r="BJ46" s="407"/>
      <c r="BK46" s="404"/>
      <c r="BL46" s="414"/>
      <c r="BM46" s="414"/>
      <c r="BN46" s="406"/>
      <c r="BO46" s="407"/>
      <c r="BP46" s="449"/>
      <c r="BQ46" s="413"/>
      <c r="BR46" s="410"/>
      <c r="BS46" s="416"/>
      <c r="BT46" s="416"/>
      <c r="BU46" s="412"/>
      <c r="BV46" s="413"/>
      <c r="BW46" s="410"/>
      <c r="BX46" s="416"/>
      <c r="BY46" s="416"/>
      <c r="BZ46" s="412"/>
      <c r="CA46" s="413"/>
      <c r="CB46" s="410"/>
      <c r="CC46" s="416"/>
      <c r="CD46" s="416"/>
      <c r="CE46" s="412"/>
      <c r="CF46" s="413"/>
      <c r="CG46" s="410"/>
      <c r="CH46" s="416"/>
      <c r="CI46" s="416"/>
      <c r="CJ46" s="412"/>
      <c r="CK46" s="413"/>
      <c r="CL46" s="410"/>
      <c r="CM46" s="416"/>
      <c r="CN46" s="416"/>
      <c r="CO46" s="412"/>
      <c r="CP46" s="413"/>
      <c r="CQ46" s="410"/>
      <c r="CR46" s="416"/>
      <c r="CS46" s="416"/>
      <c r="CT46" s="412"/>
      <c r="CU46" s="413"/>
      <c r="CV46" s="410"/>
      <c r="CW46" s="416"/>
      <c r="CX46" s="416"/>
      <c r="CY46" s="412"/>
      <c r="CZ46" s="413"/>
      <c r="DA46" s="410"/>
      <c r="DB46" s="416"/>
      <c r="DC46" s="416"/>
      <c r="DD46" s="412"/>
      <c r="DE46" s="413"/>
      <c r="DF46" s="410"/>
      <c r="DG46" s="416"/>
      <c r="DH46" s="416"/>
      <c r="DI46" s="412"/>
      <c r="DJ46" s="413"/>
      <c r="DK46" s="410"/>
      <c r="DL46" s="416"/>
      <c r="DM46" s="416"/>
      <c r="DN46" s="412"/>
      <c r="DO46" s="413"/>
      <c r="DP46" s="410"/>
      <c r="DQ46" s="416"/>
      <c r="DR46" s="416"/>
      <c r="DS46" s="412"/>
      <c r="DT46" s="413"/>
    </row>
    <row r="47" spans="1:124" s="1884" customFormat="1" ht="12.75" customHeight="1">
      <c r="A47" s="491"/>
      <c r="C47" s="1885" t="s">
        <v>932</v>
      </c>
      <c r="D47" s="1885"/>
      <c r="E47" s="1886">
        <f>IF(F47=0,G47,F47)</f>
        <v>300</v>
      </c>
      <c r="F47" s="1532">
        <v>300</v>
      </c>
      <c r="G47" s="1532">
        <v>0</v>
      </c>
      <c r="H47" s="610">
        <v>2022</v>
      </c>
      <c r="I47" s="1533">
        <v>2.9499999999999998E-2</v>
      </c>
      <c r="J47" s="615">
        <v>12</v>
      </c>
      <c r="K47" s="402"/>
      <c r="L47" s="407"/>
      <c r="M47" s="404"/>
      <c r="N47" s="414"/>
      <c r="O47" s="414"/>
      <c r="P47" s="406"/>
      <c r="Q47" s="407"/>
      <c r="R47" s="404"/>
      <c r="S47" s="414"/>
      <c r="T47" s="414"/>
      <c r="U47" s="406"/>
      <c r="V47" s="407"/>
      <c r="W47" s="404"/>
      <c r="X47" s="414"/>
      <c r="Y47" s="414"/>
      <c r="Z47" s="406"/>
      <c r="AA47" s="407"/>
      <c r="AB47" s="404"/>
      <c r="AC47" s="414"/>
      <c r="AD47" s="414"/>
      <c r="AE47" s="406"/>
      <c r="AF47" s="407"/>
      <c r="AG47" s="404"/>
      <c r="AH47" s="414"/>
      <c r="AI47" s="414"/>
      <c r="AJ47" s="406"/>
      <c r="AK47" s="407"/>
      <c r="AL47" s="404"/>
      <c r="AM47" s="414"/>
      <c r="AN47" s="414"/>
      <c r="AO47" s="406"/>
      <c r="AP47" s="407"/>
      <c r="AQ47" s="404"/>
      <c r="AR47" s="414"/>
      <c r="AS47" s="414"/>
      <c r="AT47" s="406"/>
      <c r="AU47" s="407"/>
      <c r="AV47" s="404"/>
      <c r="AW47" s="414"/>
      <c r="AX47" s="414"/>
      <c r="AY47" s="406"/>
      <c r="AZ47" s="407"/>
      <c r="BA47" s="404"/>
      <c r="BB47" s="414"/>
      <c r="BC47" s="414"/>
      <c r="BD47" s="406"/>
      <c r="BE47" s="407"/>
      <c r="BF47" s="404"/>
      <c r="BG47" s="414"/>
      <c r="BH47" s="414"/>
      <c r="BI47" s="406"/>
      <c r="BJ47" s="407"/>
      <c r="BK47" s="404"/>
      <c r="BL47" s="414"/>
      <c r="BM47" s="414"/>
      <c r="BN47" s="406"/>
      <c r="BO47" s="407"/>
      <c r="BP47" s="449"/>
      <c r="BQ47" s="413"/>
      <c r="BR47" s="410"/>
      <c r="BS47" s="416"/>
      <c r="BT47" s="416"/>
      <c r="BU47" s="412"/>
      <c r="BV47" s="413"/>
      <c r="BW47" s="410"/>
      <c r="BX47" s="416"/>
      <c r="BY47" s="416"/>
      <c r="BZ47" s="412"/>
      <c r="CA47" s="413"/>
      <c r="CB47" s="410"/>
      <c r="CC47" s="416"/>
      <c r="CD47" s="416"/>
      <c r="CE47" s="412"/>
      <c r="CF47" s="413"/>
      <c r="CG47" s="410"/>
      <c r="CH47" s="416"/>
      <c r="CI47" s="416"/>
      <c r="CJ47" s="412"/>
      <c r="CK47" s="413"/>
      <c r="CL47" s="410"/>
      <c r="CM47" s="416"/>
      <c r="CN47" s="416"/>
      <c r="CO47" s="412"/>
      <c r="CP47" s="413"/>
      <c r="CQ47" s="410"/>
      <c r="CR47" s="416"/>
      <c r="CS47" s="416"/>
      <c r="CT47" s="412"/>
      <c r="CU47" s="413"/>
      <c r="CV47" s="410"/>
      <c r="CW47" s="416"/>
      <c r="CX47" s="416"/>
      <c r="CY47" s="412"/>
      <c r="CZ47" s="413"/>
      <c r="DA47" s="410"/>
      <c r="DB47" s="416"/>
      <c r="DC47" s="416"/>
      <c r="DD47" s="412"/>
      <c r="DE47" s="413"/>
      <c r="DF47" s="410"/>
      <c r="DG47" s="416"/>
      <c r="DH47" s="416"/>
      <c r="DI47" s="412"/>
      <c r="DJ47" s="413"/>
      <c r="DK47" s="410"/>
      <c r="DL47" s="416"/>
      <c r="DM47" s="416"/>
      <c r="DN47" s="412"/>
      <c r="DO47" s="413"/>
      <c r="DP47" s="410"/>
      <c r="DQ47" s="416"/>
      <c r="DR47" s="416"/>
      <c r="DS47" s="412"/>
      <c r="DT47" s="413"/>
    </row>
    <row r="48" spans="1:124" ht="12.75" customHeight="1">
      <c r="A48" s="491"/>
      <c r="C48" s="845"/>
      <c r="D48" s="845"/>
      <c r="E48" s="1531"/>
      <c r="F48" s="1227"/>
      <c r="G48" s="1227"/>
      <c r="H48" s="610"/>
      <c r="I48" s="828"/>
      <c r="J48" s="617"/>
      <c r="K48" s="402"/>
      <c r="L48" s="407"/>
      <c r="M48" s="404"/>
      <c r="N48" s="414"/>
      <c r="O48" s="414"/>
      <c r="P48" s="406"/>
      <c r="Q48" s="407"/>
      <c r="R48" s="404"/>
      <c r="S48" s="414"/>
      <c r="T48" s="414"/>
      <c r="U48" s="406"/>
      <c r="V48" s="407"/>
      <c r="W48" s="404"/>
      <c r="X48" s="414"/>
      <c r="Y48" s="414"/>
      <c r="Z48" s="406"/>
      <c r="AA48" s="407"/>
      <c r="AB48" s="404"/>
      <c r="AC48" s="414"/>
      <c r="AD48" s="414"/>
      <c r="AE48" s="406"/>
      <c r="AF48" s="407"/>
      <c r="AG48" s="404"/>
      <c r="AH48" s="414"/>
      <c r="AI48" s="414"/>
      <c r="AJ48" s="406"/>
      <c r="AK48" s="407"/>
      <c r="AL48" s="404"/>
      <c r="AM48" s="414"/>
      <c r="AN48" s="414"/>
      <c r="AO48" s="406"/>
      <c r="AP48" s="407"/>
      <c r="AQ48" s="404"/>
      <c r="AR48" s="414"/>
      <c r="AS48" s="414"/>
      <c r="AT48" s="406"/>
      <c r="AU48" s="407"/>
      <c r="AV48" s="404"/>
      <c r="AW48" s="414"/>
      <c r="AX48" s="414"/>
      <c r="AY48" s="406"/>
      <c r="AZ48" s="407"/>
      <c r="BA48" s="404"/>
      <c r="BB48" s="414"/>
      <c r="BC48" s="414"/>
      <c r="BD48" s="406"/>
      <c r="BE48" s="407"/>
      <c r="BF48" s="404"/>
      <c r="BG48" s="414"/>
      <c r="BH48" s="414"/>
      <c r="BI48" s="406"/>
      <c r="BJ48" s="407"/>
      <c r="BK48" s="404"/>
      <c r="BL48" s="414"/>
      <c r="BM48" s="414"/>
      <c r="BN48" s="406"/>
      <c r="BO48" s="407"/>
      <c r="BP48" s="449"/>
      <c r="BQ48" s="413"/>
      <c r="BR48" s="410"/>
      <c r="BS48" s="416"/>
      <c r="BT48" s="416"/>
      <c r="BU48" s="412"/>
      <c r="BV48" s="413"/>
      <c r="BW48" s="410"/>
      <c r="BX48" s="416"/>
      <c r="BY48" s="416"/>
      <c r="BZ48" s="412"/>
      <c r="CA48" s="413"/>
      <c r="CB48" s="410"/>
      <c r="CC48" s="416"/>
      <c r="CD48" s="416"/>
      <c r="CE48" s="412"/>
      <c r="CF48" s="413"/>
      <c r="CG48" s="410"/>
      <c r="CH48" s="416"/>
      <c r="CI48" s="416"/>
      <c r="CJ48" s="412"/>
      <c r="CK48" s="413"/>
      <c r="CL48" s="410"/>
      <c r="CM48" s="416"/>
      <c r="CN48" s="416"/>
      <c r="CO48" s="412"/>
      <c r="CP48" s="413"/>
      <c r="CQ48" s="410"/>
      <c r="CR48" s="416"/>
      <c r="CS48" s="416"/>
      <c r="CT48" s="412"/>
      <c r="CU48" s="413"/>
      <c r="CV48" s="410"/>
      <c r="CW48" s="416"/>
      <c r="CX48" s="416"/>
      <c r="CY48" s="412"/>
      <c r="CZ48" s="413"/>
      <c r="DA48" s="410"/>
      <c r="DB48" s="416"/>
      <c r="DC48" s="416"/>
      <c r="DD48" s="412"/>
      <c r="DE48" s="413"/>
      <c r="DF48" s="410"/>
      <c r="DG48" s="416"/>
      <c r="DH48" s="416"/>
      <c r="DI48" s="412"/>
      <c r="DJ48" s="413"/>
      <c r="DK48" s="410"/>
      <c r="DL48" s="416"/>
      <c r="DM48" s="416"/>
      <c r="DN48" s="412"/>
      <c r="DO48" s="413"/>
      <c r="DP48" s="410"/>
      <c r="DQ48" s="416"/>
      <c r="DR48" s="416"/>
      <c r="DS48" s="412"/>
      <c r="DT48" s="413"/>
    </row>
    <row r="49" spans="1:124" ht="12.75" customHeight="1">
      <c r="A49" s="491"/>
      <c r="C49" s="1885" t="s">
        <v>1302</v>
      </c>
      <c r="D49" s="1885"/>
      <c r="E49" s="1886">
        <f>IF(F49=0,G49,F49)</f>
        <v>65</v>
      </c>
      <c r="F49" s="1532">
        <v>65</v>
      </c>
      <c r="G49" s="1532">
        <v>65</v>
      </c>
      <c r="H49" s="610">
        <v>2037</v>
      </c>
      <c r="I49" s="828">
        <v>4.4999999999999998E-2</v>
      </c>
      <c r="J49" s="615">
        <v>6</v>
      </c>
      <c r="K49" s="402"/>
      <c r="L49" s="407"/>
      <c r="M49" s="404"/>
      <c r="N49" s="414"/>
      <c r="O49" s="414"/>
      <c r="P49" s="406"/>
      <c r="Q49" s="407"/>
      <c r="R49" s="404"/>
      <c r="S49" s="414"/>
      <c r="T49" s="414"/>
      <c r="U49" s="406"/>
      <c r="V49" s="407"/>
      <c r="W49" s="404"/>
      <c r="X49" s="414"/>
      <c r="Y49" s="414"/>
      <c r="Z49" s="406"/>
      <c r="AA49" s="407"/>
      <c r="AB49" s="404"/>
      <c r="AC49" s="414"/>
      <c r="AD49" s="414"/>
      <c r="AE49" s="406"/>
      <c r="AF49" s="407"/>
      <c r="AG49" s="404"/>
      <c r="AH49" s="414"/>
      <c r="AI49" s="414"/>
      <c r="AJ49" s="406"/>
      <c r="AK49" s="407"/>
      <c r="AL49" s="404"/>
      <c r="AM49" s="414"/>
      <c r="AN49" s="414"/>
      <c r="AO49" s="406"/>
      <c r="AP49" s="407"/>
      <c r="AQ49" s="404"/>
      <c r="AR49" s="414"/>
      <c r="AS49" s="414"/>
      <c r="AT49" s="406"/>
      <c r="AU49" s="407"/>
      <c r="AV49" s="404"/>
      <c r="AW49" s="414"/>
      <c r="AX49" s="414"/>
      <c r="AY49" s="406"/>
      <c r="AZ49" s="407"/>
      <c r="BA49" s="404"/>
      <c r="BB49" s="414"/>
      <c r="BC49" s="414"/>
      <c r="BD49" s="406"/>
      <c r="BE49" s="407"/>
      <c r="BF49" s="404"/>
      <c r="BG49" s="414"/>
      <c r="BH49" s="414"/>
      <c r="BI49" s="406"/>
      <c r="BJ49" s="407"/>
      <c r="BK49" s="404"/>
      <c r="BL49" s="414"/>
      <c r="BM49" s="414"/>
      <c r="BN49" s="406"/>
      <c r="BO49" s="407"/>
      <c r="BP49" s="449"/>
      <c r="BQ49" s="413"/>
      <c r="BR49" s="410"/>
      <c r="BS49" s="416"/>
      <c r="BT49" s="416"/>
      <c r="BU49" s="412"/>
      <c r="BV49" s="413"/>
      <c r="BW49" s="410"/>
      <c r="BX49" s="416"/>
      <c r="BY49" s="416"/>
      <c r="BZ49" s="412"/>
      <c r="CA49" s="413"/>
      <c r="CB49" s="410"/>
      <c r="CC49" s="416"/>
      <c r="CD49" s="416"/>
      <c r="CE49" s="412"/>
      <c r="CF49" s="413"/>
      <c r="CG49" s="410"/>
      <c r="CH49" s="416"/>
      <c r="CI49" s="416"/>
      <c r="CJ49" s="412"/>
      <c r="CK49" s="413"/>
      <c r="CL49" s="410"/>
      <c r="CM49" s="416"/>
      <c r="CN49" s="416"/>
      <c r="CO49" s="412"/>
      <c r="CP49" s="413"/>
      <c r="CQ49" s="410"/>
      <c r="CR49" s="416"/>
      <c r="CS49" s="416"/>
      <c r="CT49" s="412"/>
      <c r="CU49" s="413"/>
      <c r="CV49" s="410"/>
      <c r="CW49" s="416"/>
      <c r="CX49" s="416"/>
      <c r="CY49" s="412"/>
      <c r="CZ49" s="413"/>
      <c r="DA49" s="410"/>
      <c r="DB49" s="416"/>
      <c r="DC49" s="416"/>
      <c r="DD49" s="412"/>
      <c r="DE49" s="413"/>
      <c r="DF49" s="410"/>
      <c r="DG49" s="416"/>
      <c r="DH49" s="416"/>
      <c r="DI49" s="412"/>
      <c r="DJ49" s="413"/>
      <c r="DK49" s="410"/>
      <c r="DL49" s="416"/>
      <c r="DM49" s="416"/>
      <c r="DN49" s="412"/>
      <c r="DO49" s="413"/>
      <c r="DP49" s="410"/>
      <c r="DQ49" s="416"/>
      <c r="DR49" s="416"/>
      <c r="DS49" s="412"/>
      <c r="DT49" s="413"/>
    </row>
    <row r="50" spans="1:124" ht="12.75" customHeight="1">
      <c r="A50" s="491"/>
      <c r="C50" s="1885" t="s">
        <v>1100</v>
      </c>
      <c r="D50" s="1885"/>
      <c r="E50" s="1886">
        <f>IF(F50=0,G50,F50)</f>
        <v>113</v>
      </c>
      <c r="F50" s="1532">
        <v>113</v>
      </c>
      <c r="G50" s="1532">
        <v>113</v>
      </c>
      <c r="H50" s="610">
        <v>2022</v>
      </c>
      <c r="I50" s="1533">
        <v>3.3599999999999998E-2</v>
      </c>
      <c r="J50" s="615">
        <v>6</v>
      </c>
      <c r="K50" s="402"/>
      <c r="L50" s="407">
        <f>IF(L$5=$H50,-$E50,0)</f>
        <v>0</v>
      </c>
      <c r="M50" s="404">
        <f>IF(Q50=0,0,IF(Q50&lt;0,IF($J50=3,Q50,IF($J50=2,Q50,IF($J50=1,Q50,0)))))</f>
        <v>0</v>
      </c>
      <c r="N50" s="414">
        <f>IF(Q50=0,0,IF(Q50&lt;0,IF($J50=6,Q50,IF($J50=5,Q50,IF($J50=4,Q50,0)))))</f>
        <v>0</v>
      </c>
      <c r="O50" s="414">
        <f>IF(Q50=0,0,IF(Q50&lt;0,IF($J50=9,Q50,IF($J50=8,Q50,IF($J50=7,Q50,0)))))</f>
        <v>0</v>
      </c>
      <c r="P50" s="406">
        <f>IF(Q50=0,0,IF(Q50&lt;0,IF($J50=12,Q50,IF($J50=11,Q50,IF($J50=10,Q50,0)))))</f>
        <v>0</v>
      </c>
      <c r="Q50" s="407">
        <f>IF(Q$5=$H50,-$E50,0)</f>
        <v>0</v>
      </c>
      <c r="R50" s="404">
        <f>IF(V50=0,0,IF(V50&lt;0,IF($J50=3,V50,IF($J50=2,V50,IF($J50=1,V50,0)))))</f>
        <v>0</v>
      </c>
      <c r="S50" s="414">
        <f>IF(V50=0,0,IF(V50&lt;0,IF($J50=6,V50,IF($J50=5,V50,IF($J50=4,V50,0)))))</f>
        <v>0</v>
      </c>
      <c r="T50" s="414">
        <f>IF(V50=0,0,IF(V50&lt;0,IF($J50=9,V50,IF($J50=8,V50,IF($J50=7,V50,0)))))</f>
        <v>0</v>
      </c>
      <c r="U50" s="406">
        <f>IF(V50=0,0,IF(V50&lt;0,IF($J50=12,V50,IF($J50=11,V50,IF($J50=10,V50,0)))))</f>
        <v>0</v>
      </c>
      <c r="V50" s="407">
        <f>IF(V$5=$H50,-$E50,0)</f>
        <v>0</v>
      </c>
      <c r="W50" s="404">
        <f>IF(AA50=0,0,IF(AA50&lt;0,IF($J50=3,AA50,IF($J50=2,AA50,IF($J50=1,AA50,0)))))</f>
        <v>0</v>
      </c>
      <c r="X50" s="414">
        <f>IF(AA50=0,0,IF(AA50&lt;0,IF($J50=6,AA50,IF($J50=5,AA50,IF($J50=4,AA50,0)))))</f>
        <v>0</v>
      </c>
      <c r="Y50" s="414">
        <f>IF(AA50=0,0,IF(AA50&lt;0,IF($J50=9,AA50,IF($J50=8,AA50,IF($J50=7,AA50,0)))))</f>
        <v>0</v>
      </c>
      <c r="Z50" s="406">
        <f>IF(AA50=0,0,IF(AA50&lt;0,IF($J50=12,AA50,IF($J50=11,AA50,IF($J50=10,AA50,0)))))</f>
        <v>0</v>
      </c>
      <c r="AA50" s="407">
        <f>IF(AA$5=$H50,-$E50,0)</f>
        <v>0</v>
      </c>
      <c r="AB50" s="404">
        <f>IF(AF50=0,0,IF(AF50&lt;0,IF($J50=3,AF50,IF($J50=2,AF50,IF($J50=1,AF50,0)))))</f>
        <v>0</v>
      </c>
      <c r="AC50" s="414">
        <f>IF(AF50=0,0,IF(AF50&lt;0,IF($J50=6,AF50,IF($J50=5,AF50,IF($J50=4,AF50,0)))))</f>
        <v>0</v>
      </c>
      <c r="AD50" s="414">
        <f>IF(AF50=0,0,IF(AF50&lt;0,IF($J50=9,AF50,IF($J50=8,AF50,IF($J50=7,AF50,0)))))</f>
        <v>0</v>
      </c>
      <c r="AE50" s="406">
        <f>IF(AF50=0,0,IF(AF50&lt;0,IF($J50=12,AF50,IF($J50=11,AF50,IF($J50=10,AF50,0)))))</f>
        <v>0</v>
      </c>
      <c r="AF50" s="407">
        <f>IF(AF$5=$H50,-$E50,0)</f>
        <v>0</v>
      </c>
      <c r="AG50" s="404">
        <f>IF(AK50=0,0,IF(AK50&lt;0,IF($J50=3,AK50,IF($J50=2,AK50,IF($J50=1,AK50,0)))))</f>
        <v>0</v>
      </c>
      <c r="AH50" s="414">
        <f>IF(AK50=0,0,IF(AK50&lt;0,IF($J50=6,AK50,IF($J50=5,AK50,IF($J50=4,AK50,0)))))</f>
        <v>0</v>
      </c>
      <c r="AI50" s="414">
        <f>IF(AK50=0,0,IF(AK50&lt;0,IF($J50=9,AK50,IF($J50=8,AK50,IF($J50=7,AK50,0)))))</f>
        <v>0</v>
      </c>
      <c r="AJ50" s="406">
        <f>IF(AK50=0,0,IF(AK50&lt;0,IF($J50=12,AK50,IF($J50=11,AK50,IF($J50=10,AK50,0)))))</f>
        <v>0</v>
      </c>
      <c r="AK50" s="407">
        <f>IF(AK$5=$H50,-$E50,0)</f>
        <v>0</v>
      </c>
      <c r="AL50" s="404">
        <f>IF(AP50=0,0,IF(AP50&lt;0,IF($J50=3,AP50,IF($J50=2,AP50,IF($J50=1,AP50,0)))))</f>
        <v>0</v>
      </c>
      <c r="AM50" s="414">
        <f>IF(AP50=0,0,IF(AP50&lt;0,IF($J50=6,AP50,IF($J50=5,AP50,IF($J50=4,AP50,0)))))</f>
        <v>0</v>
      </c>
      <c r="AN50" s="414">
        <f>IF(AP50=0,0,IF(AP50&lt;0,IF($J50=9,AP50,IF($J50=8,AP50,IF($J50=7,AP50,0)))))</f>
        <v>0</v>
      </c>
      <c r="AO50" s="406">
        <f>IF(AP50=0,0,IF(AP50&lt;0,IF($J50=12,AP50,IF($J50=11,AP50,IF($J50=10,AP50,0)))))</f>
        <v>0</v>
      </c>
      <c r="AP50" s="407">
        <f>IF(AP$5=$H50,-$E50,0)</f>
        <v>0</v>
      </c>
      <c r="AQ50" s="404">
        <f>IF(AU50=0,0,IF(AU50&lt;0,IF($J50=3,AU50,IF($J50=2,AU50,IF($J50=1,AU50,0)))))</f>
        <v>0</v>
      </c>
      <c r="AR50" s="414">
        <f>IF(AU50=0,0,IF(AU50&lt;0,IF($J50=6,AU50,IF($J50=5,AU50,IF($J50=4,AU50,0)))))</f>
        <v>0</v>
      </c>
      <c r="AS50" s="414">
        <f>IF(AU50=0,0,IF(AU50&lt;0,IF($J50=9,AU50,IF($J50=8,AU50,IF($J50=7,AU50,0)))))</f>
        <v>0</v>
      </c>
      <c r="AT50" s="406">
        <f>IF(AU50=0,0,IF(AU50&lt;0,IF($J50=12,AU50,IF($J50=11,AU50,IF($J50=10,AU50,0)))))</f>
        <v>0</v>
      </c>
      <c r="AU50" s="407">
        <f>IF(AU$5=$H50,-$E50,0)</f>
        <v>0</v>
      </c>
      <c r="AV50" s="404">
        <f>IF(AZ50=0,0,IF(AZ50&lt;0,IF($J50=3,AZ50,IF($J50=2,AZ50,IF($J50=1,AZ50,0)))))</f>
        <v>0</v>
      </c>
      <c r="AW50" s="414">
        <f>IF(AZ50=0,0,IF(AZ50&lt;0,IF($J50=6,AZ50,IF($J50=5,AZ50,IF($J50=4,AZ50,0)))))</f>
        <v>0</v>
      </c>
      <c r="AX50" s="414">
        <f>IF(AZ50=0,0,IF(AZ50&lt;0,IF($J50=9,AZ50,IF($J50=8,AZ50,IF($J50=7,AZ50,0)))))</f>
        <v>0</v>
      </c>
      <c r="AY50" s="406">
        <f>IF(AZ50=0,0,IF(AZ50&lt;0,IF($J50=12,AZ50,IF($J50=11,AZ50,IF($J50=10,AZ50,0)))))</f>
        <v>0</v>
      </c>
      <c r="AZ50" s="407">
        <f>IF(AZ$5=$H50,-$E50,0)</f>
        <v>0</v>
      </c>
      <c r="BA50" s="404">
        <f>IF(BE50=0,0,IF(BE50&lt;0,IF($J50=3,BE50,IF($J50=2,BE50,IF($J50=1,BE50,0)))))</f>
        <v>0</v>
      </c>
      <c r="BB50" s="414">
        <f>IF(BE50=0,0,IF(BE50&lt;0,IF($J50=6,BE50,IF($J50=5,BE50,IF($J50=4,BE50,0)))))</f>
        <v>0</v>
      </c>
      <c r="BC50" s="414">
        <f>IF(BE50=0,0,IF(BE50&lt;0,IF($J50=9,BE50,IF($J50=8,BE50,IF($J50=7,BE50,0)))))</f>
        <v>0</v>
      </c>
      <c r="BD50" s="406">
        <f>IF(BE50=0,0,IF(BE50&lt;0,IF($J50=12,BE50,IF($J50=11,BE50,IF($J50=10,BE50,0)))))</f>
        <v>0</v>
      </c>
      <c r="BE50" s="407">
        <f>IF(BE$5=$H50,-$E50,0)</f>
        <v>0</v>
      </c>
      <c r="BF50" s="404">
        <f>IF(BJ50=0,0,IF(BJ50&lt;0,IF($J50=3,BJ50,IF($J50=2,BJ50,IF($J50=1,BJ50,0)))))</f>
        <v>0</v>
      </c>
      <c r="BG50" s="414">
        <f>IF(BJ50=0,0,IF(BJ50&lt;0,IF($J50=6,BJ50,IF($J50=5,BJ50,IF($J50=4,BJ50,0)))))</f>
        <v>0</v>
      </c>
      <c r="BH50" s="414">
        <f>IF(BJ50=0,0,IF(BJ50&lt;0,IF($J50=9,BJ50,IF($J50=8,BJ50,IF($J50=7,BJ50,0)))))</f>
        <v>0</v>
      </c>
      <c r="BI50" s="406">
        <f>IF(BJ50=0,0,IF(BJ50&lt;0,IF($J50=12,BJ50,IF($J50=11,BJ50,IF($J50=10,BJ50,0)))))</f>
        <v>0</v>
      </c>
      <c r="BJ50" s="407">
        <f>IF(BJ$5=$H50,-$E50,0)</f>
        <v>0</v>
      </c>
      <c r="BK50" s="404">
        <f>IF(BO50=0,0,IF(BO50&lt;0,IF($J50=3,BO50,IF($J50=2,BO50,IF($J50=1,BO50,0)))))</f>
        <v>0</v>
      </c>
      <c r="BL50" s="414">
        <f>IF(BO50=0,0,IF(BO50&lt;0,IF($J50=6,BO50,IF($J50=5,BO50,IF($J50=4,BO50,0)))))</f>
        <v>0</v>
      </c>
      <c r="BM50" s="414">
        <f>IF(BO50=0,0,IF(BO50&lt;0,IF($J50=9,BO50,IF($J50=8,BO50,IF($J50=7,BO50,0)))))</f>
        <v>0</v>
      </c>
      <c r="BN50" s="406">
        <f>IF(BO50=0,0,IF(BO50&lt;0,IF($J50=12,BO50,IF($J50=11,BO50,IF($J50=10,BO50,0)))))</f>
        <v>0</v>
      </c>
      <c r="BO50" s="407">
        <f>IF(BO$5=$H50,-$E50,0)</f>
        <v>0</v>
      </c>
      <c r="BP50" s="449"/>
      <c r="BQ50" s="413">
        <f>IF(AND(AH50&lt;&gt;0,AH$5=$H50),-$I50*$E50-AH50,IF(BQ$5=$H50,-$I50*$E50*(12-$J50+1)/12,0))</f>
        <v>0</v>
      </c>
      <c r="BR50" s="410">
        <f>IF($H50&lt;&gt;BV$5,0,IF(BV50&lt;0,IF($J50=1,-$E50*$I50/12*3,IF($J50=2,-$E50*$I50/12*2,IF($J50=3,-$E50*$I50/12*1,0)))))+IF(BQ$5&lt;&gt;$H50,0,IF(BQ50&lt;0,IF($J50=1,-$E50*$I50/12*0,IF($J50=2,-$E50*$I50/12*1,IF($J50=3,-$E50*$I50/12*2,IF($J50&gt;=4,-$E50*$I50/12*3,0))))))</f>
        <v>0</v>
      </c>
      <c r="BS50" s="416">
        <f>IF($H50&lt;&gt;BV$5,0,IF(BV50&lt;0,IF(OR($J50=1,$J50=2,$J50=3,$J50=4),-$E50*$I50/12*3,IF($J50=5,-$E50*$I50/12*2,IF($J50=6,-$E50*$I50/12*1,0)))))+IF(BQ$5&lt;&gt;$H50,0,IF(BQ50&lt;0,IF($J50=4,-$E50*$I50/12*0,IF($J50=5,-$E50*$I50/12*1,IF($J50=6,-$E50*$I50/12*2,IF($J50&gt;=7,-$E50*$I50/12*3,0))))))</f>
        <v>0</v>
      </c>
      <c r="BT50" s="416">
        <f>IF($H50&lt;&gt;BV$5,0,IF(BV50&lt;0,IF(OR($J50=1,$J50=2,$J50=3,$J50=4,$J50=5,$J50=6,$J50=7),-$E50*$I50/12*3,IF($J50=8,-$E50*$I50/12*2,IF($J50=9,-$E50*$I50/12*1,0)))))+IF(BQ$5&lt;&gt;$H50,0,IF(BQ50&lt;0,IF($J50=7,-$E50*$I50/12*0,IF($J50=8,-$E50*$I50/12*1,IF($J50=9,-$E50*$I50/12*2,IF($J50&gt;=10,-$E50*$I50/12*3,0))))))</f>
        <v>0</v>
      </c>
      <c r="BU50" s="412">
        <f>IF($H50&lt;&gt;BV$5,0,IF(BV50&lt;0,IF(OR($J50=1,$J50=2,$J50=3,$J50=4,$J50=5,$J50=6,$J50=7,$J50=8,$J50=9,$J50=10),-$E50*$I50/12*3,IF($J50=11,-$E50*$I50/12*2,IF($J50=12,-$E50*$I50/12*1,0)))))+IF(BQ$5&lt;&gt;$H50,0,IF(BQ50&lt;0,IF($J50=10,-$E50*$I50/12*0,IF($J50=11,-$E50*$I50/12*1,IF($J50=12,-$E50*$I50/12*2,0)))))</f>
        <v>0</v>
      </c>
      <c r="BV50" s="413">
        <f>IF(AND(BQ50&lt;&gt;0,BQ$5=$H50),-$I50*$E50-BQ50,IF(BV$5=$H50,-$I50*$E50*(12-$J50+1)/12,0))</f>
        <v>0</v>
      </c>
      <c r="BW50" s="410">
        <f>IF($H50&lt;&gt;CA$5,0,IF(CA50&lt;0,IF($J50=1,-$E50*$I50/12*3,IF($J50=2,-$E50*$I50/12*2,IF($J50=3,-$E50*$I50/12*1,0)))))+IF(BV$5&lt;&gt;$H50,0,IF(BV50&lt;0,IF($J50=1,-$E50*$I50/12*0,IF($J50=2,-$E50*$I50/12*1,IF($J50=3,-$E50*$I50/12*2,IF($J50&gt;=4,-$E50*$I50/12*3,0))))))</f>
        <v>0</v>
      </c>
      <c r="BX50" s="416">
        <f>IF($H50&lt;&gt;CA$5,0,IF(CA50&lt;0,IF(OR($J50=1,$J50=2,$J50=3,$J50=4),-$E50*$I50/12*3,IF($J50=5,-$E50*$I50/12*2,IF($J50=6,-$E50*$I50/12*1,0)))))+IF(BV$5&lt;&gt;$H50,0,IF(BV50&lt;0,IF($J50=4,-$E50*$I50/12*0,IF($J50=5,-$E50*$I50/12*1,IF($J50=6,-$E50*$I50/12*2,IF($J50&gt;=7,-$E50*$I50/12*3,0))))))</f>
        <v>0</v>
      </c>
      <c r="BY50" s="416">
        <f>IF($H50&lt;&gt;CA$5,0,IF(CA50&lt;0,IF(OR($J50=1,$J50=2,$J50=3,$J50=4,$J50=5,$J50=6,$J50=7),-$E50*$I50/12*3,IF($J50=8,-$E50*$I50/12*2,IF($J50=9,-$E50*$I50/12*1,0)))))+IF(BV$5&lt;&gt;$H50,0,IF(BV50&lt;0,IF($J50=7,-$E50*$I50/12*0,IF($J50=8,-$E50*$I50/12*1,IF($J50=9,-$E50*$I50/12*2,IF($J50&gt;=10,-$E50*$I50/12*3,0))))))</f>
        <v>0</v>
      </c>
      <c r="BZ50" s="412">
        <f>IF($H50&lt;&gt;CA$5,0,IF(CA50&lt;0,IF(OR($J50=1,$J50=2,$J50=3,$J50=4,$J50=5,$J50=6,$J50=7,$J50=8,$J50=9,$J50=10),-$E50*$I50/12*3,IF($J50=11,-$E50*$I50/12*2,IF($J50=12,-$E50*$I50/12*1,0)))))+IF(BV$5&lt;&gt;$H50,0,IF(BV50&lt;0,IF($J50=10,-$E50*$I50/12*0,IF($J50=11,-$E50*$I50/12*1,IF($J50=12,-$E50*$I50/12*2,0)))))</f>
        <v>0</v>
      </c>
      <c r="CA50" s="413">
        <f>IF(AND(BV50&lt;&gt;0,BV$5=$H50),-$I50*$E50-BV50,IF(CA$5=$H50,-$I50*$E50*(12-$J50+1)/12,0))</f>
        <v>0</v>
      </c>
      <c r="CB50" s="410">
        <f>IF($H50&lt;&gt;CF$5,0,IF(CF50&lt;0,IF($J50=1,-$E50*$I50/12*3,IF($J50=2,-$E50*$I50/12*2,IF($J50=3,-$E50*$I50/12*1,0)))))+IF(CA$5&lt;&gt;$H50,0,IF(CA50&lt;0,IF($J50=1,-$E50*$I50/12*0,IF($J50=2,-$E50*$I50/12*1,IF($J50=3,-$E50*$I50/12*2,IF($J50&gt;=4,-$E50*$I50/12*3,0))))))</f>
        <v>0</v>
      </c>
      <c r="CC50" s="416">
        <f>IF($H50&lt;&gt;CF$5,0,IF(CF50&lt;0,IF(OR($J50=1,$J50=2,$J50=3,$J50=4),-$E50*$I50/12*3,IF($J50=5,-$E50*$I50/12*2,IF($J50=6,-$E50*$I50/12*1,0)))))+IF(CA$5&lt;&gt;$H50,0,IF(CA50&lt;0,IF($J50=4,-$E50*$I50/12*0,IF($J50=5,-$E50*$I50/12*1,IF($J50=6,-$E50*$I50/12*2,IF($J50&gt;=7,-$E50*$I50/12*3,0))))))</f>
        <v>0</v>
      </c>
      <c r="CD50" s="416">
        <f>IF($H50&lt;&gt;CF$5,0,IF(CF50&lt;0,IF(OR($J50=1,$J50=2,$J50=3,$J50=4,$J50=5,$J50=6,$J50=7),-$E50*$I50/12*3,IF($J50=8,-$E50*$I50/12*2,IF($J50=9,-$E50*$I50/12*1,0)))))+IF(CA$5&lt;&gt;$H50,0,IF(CA50&lt;0,IF($J50=7,-$E50*$I50/12*0,IF($J50=8,-$E50*$I50/12*1,IF($J50=9,-$E50*$I50/12*2,IF($J50&gt;=10,-$E50*$I50/12*3,0))))))</f>
        <v>0</v>
      </c>
      <c r="CE50" s="412">
        <f>IF($H50&lt;&gt;CF$5,0,IF(CF50&lt;0,IF(OR($J50=1,$J50=2,$J50=3,$J50=4,$J50=5,$J50=6,$J50=7,$J50=8,$J50=9,$J50=10),-$E50*$I50/12*3,IF($J50=11,-$E50*$I50/12*2,IF($J50=12,-$E50*$I50/12*1,0)))))+IF(CA$5&lt;&gt;$H50,0,IF(CA50&lt;0,IF($J50=10,-$E50*$I50/12*0,IF($J50=11,-$E50*$I50/12*1,IF($J50=12,-$E50*$I50/12*2,0)))))</f>
        <v>0</v>
      </c>
      <c r="CF50" s="413">
        <f>IF(AND(CA50&lt;&gt;0,CA$5=$H50),-$I50*$E50-CA50,IF(CF$5=$H50,-$I50*$E50*(12-$J50+1)/12,0))</f>
        <v>0</v>
      </c>
      <c r="CG50" s="410">
        <f>IF($H50&lt;&gt;CK$5,0,IF(CK50&lt;0,IF($J50=1,-$E50*$I50/12*3,IF($J50=2,-$E50*$I50/12*2,IF($J50=3,-$E50*$I50/12*1,0)))))+IF(CF$5&lt;&gt;$H50,0,IF(CF50&lt;0,IF($J50=1,-$E50*$I50/12*0,IF($J50=2,-$E50*$I50/12*1,IF($J50=3,-$E50*$I50/12*2,IF($J50&gt;=4,-$E50*$I50/12*3,0))))))</f>
        <v>0</v>
      </c>
      <c r="CH50" s="416">
        <f>IF($H50&lt;&gt;CK$5,0,IF(CK50&lt;0,IF(OR($J50=1,$J50=2,$J50=3,$J50=4),-$E50*$I50/12*3,IF($J50=5,-$E50*$I50/12*2,IF($J50=6,-$E50*$I50/12*1,0)))))+IF(CF$5&lt;&gt;$H50,0,IF(CF50&lt;0,IF($J50=4,-$E50*$I50/12*0,IF($J50=5,-$E50*$I50/12*1,IF($J50=6,-$E50*$I50/12*2,IF($J50&gt;=7,-$E50*$I50/12*3,0))))))</f>
        <v>0</v>
      </c>
      <c r="CI50" s="416">
        <f>IF($H50&lt;&gt;CK$5,0,IF(CK50&lt;0,IF(OR($J50=1,$J50=2,$J50=3,$J50=4,$J50=5,$J50=6,$J50=7),-$E50*$I50/12*3,IF($J50=8,-$E50*$I50/12*2,IF($J50=9,-$E50*$I50/12*1,0)))))+IF(CF$5&lt;&gt;$H50,0,IF(CF50&lt;0,IF($J50=7,-$E50*$I50/12*0,IF($J50=8,-$E50*$I50/12*1,IF($J50=9,-$E50*$I50/12*2,IF($J50&gt;=10,-$E50*$I50/12*3,0))))))</f>
        <v>0</v>
      </c>
      <c r="CJ50" s="412">
        <f>IF($H50&lt;&gt;CK$5,0,IF(CK50&lt;0,IF(OR($J50=1,$J50=2,$J50=3,$J50=4,$J50=5,$J50=6,$J50=7,$J50=8,$J50=9,$J50=10),-$E50*$I50/12*3,IF($J50=11,-$E50*$I50/12*2,IF($J50=12,-$E50*$I50/12*1,0)))))+IF(CF$5&lt;&gt;$H50,0,IF(CF50&lt;0,IF($J50=10,-$E50*$I50/12*0,IF($J50=11,-$E50*$I50/12*1,IF($J50=12,-$E50*$I50/12*2,0)))))</f>
        <v>0</v>
      </c>
      <c r="CK50" s="413">
        <f>IF(AND(CF50&lt;&gt;0,CF$5=$H50),-$I50*$E50-CF50,IF(CK$5=$H50,-$I50*$E50*(12-$J50+1)/12,0))</f>
        <v>0</v>
      </c>
      <c r="CL50" s="410">
        <f>IF($H50&lt;&gt;CP$5,0,IF(CP50&lt;0,IF($J50=1,-$E50*$I50/12*3,IF($J50=2,-$E50*$I50/12*2,IF($J50=3,-$E50*$I50/12*1,0)))))+IF(CK$5&lt;&gt;$H50,0,IF(CK50&lt;0,IF($J50=1,-$E50*$I50/12*0,IF($J50=2,-$E50*$I50/12*1,IF($J50=3,-$E50*$I50/12*2,IF($J50&gt;=4,-$E50*$I50/12*3,0))))))</f>
        <v>0</v>
      </c>
      <c r="CM50" s="416">
        <f>IF($H50&lt;&gt;CP$5,0,IF(CP50&lt;0,IF(OR($J50=1,$J50=2,$J50=3,$J50=4),-$E50*$I50/12*3,IF($J50=5,-$E50*$I50/12*2,IF($J50=6,-$E50*$I50/12*1,0)))))+IF(CK$5&lt;&gt;$H50,0,IF(CK50&lt;0,IF($J50=4,-$E50*$I50/12*0,IF($J50=5,-$E50*$I50/12*1,IF($J50=6,-$E50*$I50/12*2,IF($J50&gt;=7,-$E50*$I50/12*3,0))))))</f>
        <v>0</v>
      </c>
      <c r="CN50" s="416">
        <f>IF($H50&lt;&gt;CP$5,0,IF(CP50&lt;0,IF(OR($J50=1,$J50=2,$J50=3,$J50=4,$J50=5,$J50=6,$J50=7),-$E50*$I50/12*3,IF($J50=8,-$E50*$I50/12*2,IF($J50=9,-$E50*$I50/12*1,0)))))+IF(CK$5&lt;&gt;$H50,0,IF(CK50&lt;0,IF($J50=7,-$E50*$I50/12*0,IF($J50=8,-$E50*$I50/12*1,IF($J50=9,-$E50*$I50/12*2,IF($J50&gt;=10,-$E50*$I50/12*3,0))))))</f>
        <v>0</v>
      </c>
      <c r="CO50" s="412">
        <f>IF($H50&lt;&gt;CP$5,0,IF(CP50&lt;0,IF(OR($J50=1,$J50=2,$J50=3,$J50=4,$J50=5,$J50=6,$J50=7,$J50=8,$J50=9,$J50=10),-$E50*$I50/12*3,IF($J50=11,-$E50*$I50/12*2,IF($J50=12,-$E50*$I50/12*1,0)))))+IF(CK$5&lt;&gt;$H50,0,IF(CK50&lt;0,IF($J50=10,-$E50*$I50/12*0,IF($J50=11,-$E50*$I50/12*1,IF($J50=12,-$E50*$I50/12*2,0)))))</f>
        <v>0</v>
      </c>
      <c r="CP50" s="413">
        <f>IF(AND(CK50&lt;&gt;0,CK$5=$H50),-$I50*$E50-CK50,IF(CP$5=$H50,-$I50*$E50*(12-$J50+1)/12,0))</f>
        <v>0</v>
      </c>
      <c r="CQ50" s="410">
        <f>IF($H50&lt;&gt;CU$5,0,IF(CU50&lt;0,IF($J50=1,-$E50*$I50/12*3,IF($J50=2,-$E50*$I50/12*2,IF($J50=3,-$E50*$I50/12*1,0)))))+IF(CP$5&lt;&gt;$H50,0,IF(CP50&lt;0,IF($J50=1,-$E50*$I50/12*0,IF($J50=2,-$E50*$I50/12*1,IF($J50=3,-$E50*$I50/12*2,IF($J50&gt;=4,-$E50*$I50/12*3,0))))))</f>
        <v>0</v>
      </c>
      <c r="CR50" s="416">
        <f>IF($H50&lt;&gt;CU$5,0,IF(CU50&lt;0,IF(OR($J50=1,$J50=2,$J50=3,$J50=4),-$E50*$I50/12*3,IF($J50=5,-$E50*$I50/12*2,IF($J50=6,-$E50*$I50/12*1,0)))))+IF(CP$5&lt;&gt;$H50,0,IF(CP50&lt;0,IF($J50=4,-$E50*$I50/12*0,IF($J50=5,-$E50*$I50/12*1,IF($J50=6,-$E50*$I50/12*2,IF($J50&gt;=7,-$E50*$I50/12*3,0))))))</f>
        <v>0</v>
      </c>
      <c r="CS50" s="416">
        <f>IF($H50&lt;&gt;CU$5,0,IF(CU50&lt;0,IF(OR($J50=1,$J50=2,$J50=3,$J50=4,$J50=5,$J50=6,$J50=7),-$E50*$I50/12*3,IF($J50=8,-$E50*$I50/12*2,IF($J50=9,-$E50*$I50/12*1,0)))))+IF(CP$5&lt;&gt;$H50,0,IF(CP50&lt;0,IF($J50=7,-$E50*$I50/12*0,IF($J50=8,-$E50*$I50/12*1,IF($J50=9,-$E50*$I50/12*2,IF($J50&gt;=10,-$E50*$I50/12*3,0))))))</f>
        <v>0</v>
      </c>
      <c r="CT50" s="412">
        <f>IF($H50&lt;&gt;CU$5,0,IF(CU50&lt;0,IF(OR($J50=1,$J50=2,$J50=3,$J50=4,$J50=5,$J50=6,$J50=7,$J50=8,$J50=9,$J50=10),-$E50*$I50/12*3,IF($J50=11,-$E50*$I50/12*2,IF($J50=12,-$E50*$I50/12*1,0)))))+IF(CP$5&lt;&gt;$H50,0,IF(CP50&lt;0,IF($J50=10,-$E50*$I50/12*0,IF($J50=11,-$E50*$I50/12*1,IF($J50=12,-$E50*$I50/12*2,0)))))</f>
        <v>0</v>
      </c>
      <c r="CU50" s="413">
        <f>IF(AND(CP50&lt;&gt;0,CP$5=$H50),-$I50*$E50-CP50,IF(CU$5=$H50,-$I50*$E50*(12-$J50+1)/12,0))</f>
        <v>0</v>
      </c>
      <c r="CV50" s="410">
        <f>IF($H50&lt;&gt;CZ$5,0,IF(CZ50&lt;0,IF($J50=1,-$E50*$I50/12*3,IF($J50=2,-$E50*$I50/12*2,IF($J50=3,-$E50*$I50/12*1,0)))))+IF(CU$5&lt;&gt;$H50,0,IF(CU50&lt;0,IF($J50=1,-$E50*$I50/12*0,IF($J50=2,-$E50*$I50/12*1,IF($J50=3,-$E50*$I50/12*2,IF($J50&gt;=4,-$E50*$I50/12*3,0))))))</f>
        <v>0</v>
      </c>
      <c r="CW50" s="416">
        <f>IF($H50&lt;&gt;CZ$5,0,IF(CZ50&lt;0,IF(OR($J50=1,$J50=2,$J50=3,$J50=4),-$E50*$I50/12*3,IF($J50=5,-$E50*$I50/12*2,IF($J50=6,-$E50*$I50/12*1,0)))))+IF(CU$5&lt;&gt;$H50,0,IF(CU50&lt;0,IF($J50=4,-$E50*$I50/12*0,IF($J50=5,-$E50*$I50/12*1,IF($J50=6,-$E50*$I50/12*2,IF($J50&gt;=7,-$E50*$I50/12*3,0))))))</f>
        <v>0</v>
      </c>
      <c r="CX50" s="416">
        <f>IF($H50&lt;&gt;CZ$5,0,IF(CZ50&lt;0,IF(OR($J50=1,$J50=2,$J50=3,$J50=4,$J50=5,$J50=6,$J50=7),-$E50*$I50/12*3,IF($J50=8,-$E50*$I50/12*2,IF($J50=9,-$E50*$I50/12*1,0)))))+IF(CU$5&lt;&gt;$H50,0,IF(CU50&lt;0,IF($J50=7,-$E50*$I50/12*0,IF($J50=8,-$E50*$I50/12*1,IF($J50=9,-$E50*$I50/12*2,IF($J50&gt;=10,-$E50*$I50/12*3,0))))))</f>
        <v>0</v>
      </c>
      <c r="CY50" s="412">
        <f>IF($H50&lt;&gt;CZ$5,0,IF(CZ50&lt;0,IF(OR($J50=1,$J50=2,$J50=3,$J50=4,$J50=5,$J50=6,$J50=7,$J50=8,$J50=9,$J50=10),-$E50*$I50/12*3,IF($J50=11,-$E50*$I50/12*2,IF($J50=12,-$E50*$I50/12*1,0)))))+IF(CU$5&lt;&gt;$H50,0,IF(CU50&lt;0,IF($J50=10,-$E50*$I50/12*0,IF($J50=11,-$E50*$I50/12*1,IF($J50=12,-$E50*$I50/12*2,0)))))</f>
        <v>0</v>
      </c>
      <c r="CZ50" s="413">
        <f>IF(AND(CU50&lt;&gt;0,CU$5=$H50),-$I50*$E50-CU50,IF(CZ$5=$H50,-$I50*$E50*(12-$J50+1)/12,0))</f>
        <v>0</v>
      </c>
      <c r="DA50" s="410">
        <f>IF($H50&lt;&gt;DE$5,0,IF(DE50&lt;0,IF($J50=1,-$E50*$I50/12*3,IF($J50=2,-$E50*$I50/12*2,IF($J50=3,-$E50*$I50/12*1,0)))))+IF(CZ$5&lt;&gt;$H50,0,IF(CZ50&lt;0,IF($J50=1,-$E50*$I50/12*0,IF($J50=2,-$E50*$I50/12*1,IF($J50=3,-$E50*$I50/12*2,IF($J50&gt;=4,-$E50*$I50/12*3,0))))))</f>
        <v>0</v>
      </c>
      <c r="DB50" s="416">
        <f>IF($H50&lt;&gt;DE$5,0,IF(DE50&lt;0,IF(OR($J50=1,$J50=2,$J50=3,$J50=4),-$E50*$I50/12*3,IF($J50=5,-$E50*$I50/12*2,IF($J50=6,-$E50*$I50/12*1,0)))))+IF(CZ$5&lt;&gt;$H50,0,IF(CZ50&lt;0,IF($J50=4,-$E50*$I50/12*0,IF($J50=5,-$E50*$I50/12*1,IF($J50=6,-$E50*$I50/12*2,IF($J50&gt;=7,-$E50*$I50/12*3,0))))))</f>
        <v>0</v>
      </c>
      <c r="DC50" s="416">
        <f>IF($H50&lt;&gt;DE$5,0,IF(DE50&lt;0,IF(OR($J50=1,$J50=2,$J50=3,$J50=4,$J50=5,$J50=6,$J50=7),-$E50*$I50/12*3,IF($J50=8,-$E50*$I50/12*2,IF($J50=9,-$E50*$I50/12*1,0)))))+IF(CZ$5&lt;&gt;$H50,0,IF(CZ50&lt;0,IF($J50=7,-$E50*$I50/12*0,IF($J50=8,-$E50*$I50/12*1,IF($J50=9,-$E50*$I50/12*2,IF($J50&gt;=10,-$E50*$I50/12*3,0))))))</f>
        <v>0</v>
      </c>
      <c r="DD50" s="412">
        <f>IF($H50&lt;&gt;DE$5,0,IF(DE50&lt;0,IF(OR($J50=1,$J50=2,$J50=3,$J50=4,$J50=5,$J50=6,$J50=7,$J50=8,$J50=9,$J50=10),-$E50*$I50/12*3,IF($J50=11,-$E50*$I50/12*2,IF($J50=12,-$E50*$I50/12*1,0)))))+IF(CZ$5&lt;&gt;$H50,0,IF(CZ50&lt;0,IF($J50=10,-$E50*$I50/12*0,IF($J50=11,-$E50*$I50/12*1,IF($J50=12,-$E50*$I50/12*2,0)))))</f>
        <v>0</v>
      </c>
      <c r="DE50" s="413">
        <f>IF(AND(CZ50&lt;&gt;0,CZ$5=$H50),-$I50*$E50-CZ50,IF(DE$5=$H50,-$I50*$E50*(12-$J50+1)/12,0))</f>
        <v>0</v>
      </c>
      <c r="DF50" s="410">
        <f>IF($H50&lt;&gt;DJ$5,0,IF(DJ50&lt;0,IF($J50=1,-$E50*$I50/12*3,IF($J50=2,-$E50*$I50/12*2,IF($J50=3,-$E50*$I50/12*1,0)))))+IF(DE$5&lt;&gt;$H50,0,IF(DE50&lt;0,IF($J50=1,-$E50*$I50/12*0,IF($J50=2,-$E50*$I50/12*1,IF($J50=3,-$E50*$I50/12*2,IF($J50&gt;=4,-$E50*$I50/12*3,0))))))</f>
        <v>0</v>
      </c>
      <c r="DG50" s="416">
        <f>IF($H50&lt;&gt;DJ$5,0,IF(DJ50&lt;0,IF(OR($J50=1,$J50=2,$J50=3,$J50=4),-$E50*$I50/12*3,IF($J50=5,-$E50*$I50/12*2,IF($J50=6,-$E50*$I50/12*1,0)))))+IF(DE$5&lt;&gt;$H50,0,IF(DE50&lt;0,IF($J50=4,-$E50*$I50/12*0,IF($J50=5,-$E50*$I50/12*1,IF($J50=6,-$E50*$I50/12*2,IF($J50&gt;=7,-$E50*$I50/12*3,0))))))</f>
        <v>0</v>
      </c>
      <c r="DH50" s="416">
        <f>IF($H50&lt;&gt;DJ$5,0,IF(DJ50&lt;0,IF(OR($J50=1,$J50=2,$J50=3,$J50=4,$J50=5,$J50=6,$J50=7),-$E50*$I50/12*3,IF($J50=8,-$E50*$I50/12*2,IF($J50=9,-$E50*$I50/12*1,0)))))+IF(DE$5&lt;&gt;$H50,0,IF(DE50&lt;0,IF($J50=7,-$E50*$I50/12*0,IF($J50=8,-$E50*$I50/12*1,IF($J50=9,-$E50*$I50/12*2,IF($J50&gt;=10,-$E50*$I50/12*3,0))))))</f>
        <v>0</v>
      </c>
      <c r="DI50" s="412">
        <f>IF($H50&lt;&gt;DJ$5,0,IF(DJ50&lt;0,IF(OR($J50=1,$J50=2,$J50=3,$J50=4,$J50=5,$J50=6,$J50=7,$J50=8,$J50=9,$J50=10),-$E50*$I50/12*3,IF($J50=11,-$E50*$I50/12*2,IF($J50=12,-$E50*$I50/12*1,0)))))+IF(DE$5&lt;&gt;$H50,0,IF(DE50&lt;0,IF($J50=10,-$E50*$I50/12*0,IF($J50=11,-$E50*$I50/12*1,IF($J50=12,-$E50*$I50/12*2,0)))))</f>
        <v>0</v>
      </c>
      <c r="DJ50" s="413">
        <f>IF(AND(DE50&lt;&gt;0,DE$5=$H50),-$I50*$E50-DE50,IF(DJ$5=$H50,-$I50*$E50*(12-$J50+1)/12,0))</f>
        <v>0</v>
      </c>
      <c r="DK50" s="410">
        <f>IF($H50&lt;&gt;DO$5,0,IF(DO50&lt;0,IF($J50=1,-$E50*$I50/12*3,IF($J50=2,-$E50*$I50/12*2,IF($J50=3,-$E50*$I50/12*1,0)))))+IF(DJ$5&lt;&gt;$H50,0,IF(DJ50&lt;0,IF($J50=1,-$E50*$I50/12*0,IF($J50=2,-$E50*$I50/12*1,IF($J50=3,-$E50*$I50/12*2,IF($J50&gt;=4,-$E50*$I50/12*3,0))))))</f>
        <v>0</v>
      </c>
      <c r="DL50" s="416">
        <f>IF($H50&lt;&gt;DO$5,0,IF(DO50&lt;0,IF(OR($J50=1,$J50=2,$J50=3,$J50=4),-$E50*$I50/12*3,IF($J50=5,-$E50*$I50/12*2,IF($J50=6,-$E50*$I50/12*1,0)))))+IF(DJ$5&lt;&gt;$H50,0,IF(DJ50&lt;0,IF($J50=4,-$E50*$I50/12*0,IF($J50=5,-$E50*$I50/12*1,IF($J50=6,-$E50*$I50/12*2,IF($J50&gt;=7,-$E50*$I50/12*3,0))))))</f>
        <v>0</v>
      </c>
      <c r="DM50" s="416">
        <f>IF($H50&lt;&gt;DO$5,0,IF(DO50&lt;0,IF(OR($J50=1,$J50=2,$J50=3,$J50=4,$J50=5,$J50=6,$J50=7),-$E50*$I50/12*3,IF($J50=8,-$E50*$I50/12*2,IF($J50=9,-$E50*$I50/12*1,0)))))+IF(DJ$5&lt;&gt;$H50,0,IF(DJ50&lt;0,IF($J50=7,-$E50*$I50/12*0,IF($J50=8,-$E50*$I50/12*1,IF($J50=9,-$E50*$I50/12*2,IF($J50&gt;=10,-$E50*$I50/12*3,0))))))</f>
        <v>0</v>
      </c>
      <c r="DN50" s="412">
        <f>IF($H50&lt;&gt;DO$5,0,IF(DO50&lt;0,IF(OR($J50=1,$J50=2,$J50=3,$J50=4,$J50=5,$J50=6,$J50=7,$J50=8,$J50=9,$J50=10),-$E50*$I50/12*3,IF($J50=11,-$E50*$I50/12*2,IF($J50=12,-$E50*$I50/12*1,0)))))+IF(DJ$5&lt;&gt;$H50,0,IF(DJ50&lt;0,IF($J50=10,-$E50*$I50/12*0,IF($J50=11,-$E50*$I50/12*1,IF($J50=12,-$E50*$I50/12*2,0)))))</f>
        <v>0</v>
      </c>
      <c r="DO50" s="413">
        <f>IF(AND(DJ50&lt;&gt;0,DJ$5=$H50),-$I50*$E50-DJ50,IF(DO$5=$H50,-$I50*$E50*(12-$J50+1)/12,0))</f>
        <v>0</v>
      </c>
      <c r="DP50" s="410">
        <f>IF($H50&lt;&gt;DT$5,0,IF(DT50&lt;0,IF($J50=1,-$E50*$I50/12*3,IF($J50=2,-$E50*$I50/12*2,IF($J50=3,-$E50*$I50/12*1,0)))))+IF(DO$5&lt;&gt;$H50,0,IF(DO50&lt;0,IF($J50=1,-$E50*$I50/12*0,IF($J50=2,-$E50*$I50/12*1,IF($J50=3,-$E50*$I50/12*2,IF($J50&gt;=4,-$E50*$I50/12*3,0))))))</f>
        <v>0</v>
      </c>
      <c r="DQ50" s="416">
        <f>IF($H50&lt;&gt;DT$5,0,IF(DT50&lt;0,IF(OR($J50=1,$J50=2,$J50=3,$J50=4),-$E50*$I50/12*3,IF($J50=5,-$E50*$I50/12*2,IF($J50=6,-$E50*$I50/12*1,0)))))+IF(DO$5&lt;&gt;$H50,0,IF(DO50&lt;0,IF($J50=4,-$E50*$I50/12*0,IF($J50=5,-$E50*$I50/12*1,IF($J50=6,-$E50*$I50/12*2,IF($J50&gt;=7,-$E50*$I50/12*3,0))))))</f>
        <v>0</v>
      </c>
      <c r="DR50" s="416">
        <f>IF($H50&lt;&gt;DT$5,0,IF(DT50&lt;0,IF(OR($J50=1,$J50=2,$J50=3,$J50=4,$J50=5,$J50=6,$J50=7),-$E50*$I50/12*3,IF($J50=8,-$E50*$I50/12*2,IF($J50=9,-$E50*$I50/12*1,0)))))+IF(DO$5&lt;&gt;$H50,0,IF(DO50&lt;0,IF($J50=7,-$E50*$I50/12*0,IF($J50=8,-$E50*$I50/12*1,IF($J50=9,-$E50*$I50/12*2,IF($J50&gt;=10,-$E50*$I50/12*3,0))))))</f>
        <v>0</v>
      </c>
      <c r="DS50" s="412">
        <f>IF($H50&lt;&gt;DT$5,0,IF(DT50&lt;0,IF(OR($J50=1,$J50=2,$J50=3,$J50=4,$J50=5,$J50=6,$J50=7,$J50=8,$J50=9,$J50=10),-$E50*$I50/12*3,IF($J50=11,-$E50*$I50/12*2,IF($J50=12,-$E50*$I50/12*1,0)))))+IF(DO$5&lt;&gt;$H50,0,IF(DO50&lt;0,IF($J50=10,-$E50*$I50/12*0,IF($J50=11,-$E50*$I50/12*1,IF($J50=12,-$E50*$I50/12*2,0)))))</f>
        <v>0</v>
      </c>
      <c r="DT50" s="413">
        <f>IF(AND(DO50&lt;&gt;0,DO$5=$H50),-$I50*$E50-DO50,IF(DT$5=$H50,-$I50*$E50*(12-$J50+1)/12,0))</f>
        <v>0</v>
      </c>
    </row>
    <row r="51" spans="1:124" ht="12.75" customHeight="1">
      <c r="A51" s="491"/>
      <c r="C51" s="1885" t="s">
        <v>1101</v>
      </c>
      <c r="D51" s="1885"/>
      <c r="E51" s="1886">
        <f>IF(F51=0,G51,F51)</f>
        <v>122</v>
      </c>
      <c r="F51" s="1532">
        <v>122</v>
      </c>
      <c r="G51" s="1532">
        <v>122</v>
      </c>
      <c r="H51" s="610">
        <v>2025</v>
      </c>
      <c r="I51" s="1533">
        <v>3.6999999999999998E-2</v>
      </c>
      <c r="J51" s="615">
        <v>6</v>
      </c>
      <c r="K51" s="402"/>
      <c r="L51" s="407">
        <f>IF(L$5=$H51,-$E51,0)</f>
        <v>0</v>
      </c>
      <c r="M51" s="404">
        <f>IF(Q51=0,0,IF(Q51&lt;0,IF($J51=3,Q51,IF($J51=2,Q51,IF($J51=1,Q51,0)))))</f>
        <v>0</v>
      </c>
      <c r="N51" s="414">
        <f>IF(Q51=0,0,IF(Q51&lt;0,IF($J51=6,Q51,IF($J51=5,Q51,IF($J51=4,Q51,0)))))</f>
        <v>0</v>
      </c>
      <c r="O51" s="414">
        <f>IF(Q51=0,0,IF(Q51&lt;0,IF($J51=9,Q51,IF($J51=8,Q51,IF($J51=7,Q51,0)))))</f>
        <v>0</v>
      </c>
      <c r="P51" s="406">
        <f>IF(Q51=0,0,IF(Q51&lt;0,IF($J51=12,Q51,IF($J51=11,Q51,IF($J51=10,Q51,0)))))</f>
        <v>0</v>
      </c>
      <c r="Q51" s="407">
        <f>IF(Q$5=$H51,-$E51,0)</f>
        <v>0</v>
      </c>
      <c r="R51" s="404">
        <f>IF(V51=0,0,IF(V51&lt;0,IF($J51=3,V51,IF($J51=2,V51,IF($J51=1,V51,0)))))</f>
        <v>0</v>
      </c>
      <c r="S51" s="414">
        <f>IF(V51=0,0,IF(V51&lt;0,IF($J51=6,V51,IF($J51=5,V51,IF($J51=4,V51,0)))))</f>
        <v>0</v>
      </c>
      <c r="T51" s="414">
        <f>IF(V51=0,0,IF(V51&lt;0,IF($J51=9,V51,IF($J51=8,V51,IF($J51=7,V51,0)))))</f>
        <v>0</v>
      </c>
      <c r="U51" s="406">
        <f>IF(V51=0,0,IF(V51&lt;0,IF($J51=12,V51,IF($J51=11,V51,IF($J51=10,V51,0)))))</f>
        <v>0</v>
      </c>
      <c r="V51" s="407">
        <f>IF(V$5=$H51,-$E51,0)</f>
        <v>0</v>
      </c>
      <c r="W51" s="404">
        <f>IF(AA51=0,0,IF(AA51&lt;0,IF($J51=3,AA51,IF($J51=2,AA51,IF($J51=1,AA51,0)))))</f>
        <v>0</v>
      </c>
      <c r="X51" s="414">
        <f>IF(AA51=0,0,IF(AA51&lt;0,IF($J51=6,AA51,IF($J51=5,AA51,IF($J51=4,AA51,0)))))</f>
        <v>0</v>
      </c>
      <c r="Y51" s="414">
        <f>IF(AA51=0,0,IF(AA51&lt;0,IF($J51=9,AA51,IF($J51=8,AA51,IF($J51=7,AA51,0)))))</f>
        <v>0</v>
      </c>
      <c r="Z51" s="406">
        <f>IF(AA51=0,0,IF(AA51&lt;0,IF($J51=12,AA51,IF($J51=11,AA51,IF($J51=10,AA51,0)))))</f>
        <v>0</v>
      </c>
      <c r="AA51" s="407">
        <f>IF(AA$5=$H51,-$E51,0)</f>
        <v>0</v>
      </c>
      <c r="AB51" s="404">
        <f>IF(AF51=0,0,IF(AF51&lt;0,IF($J51=3,AF51,IF($J51=2,AF51,IF($J51=1,AF51,0)))))</f>
        <v>0</v>
      </c>
      <c r="AC51" s="414">
        <f>IF(AF51=0,0,IF(AF51&lt;0,IF($J51=6,AF51,IF($J51=5,AF51,IF($J51=4,AF51,0)))))</f>
        <v>0</v>
      </c>
      <c r="AD51" s="414">
        <f>IF(AF51=0,0,IF(AF51&lt;0,IF($J51=9,AF51,IF($J51=8,AF51,IF($J51=7,AF51,0)))))</f>
        <v>0</v>
      </c>
      <c r="AE51" s="406">
        <f>IF(AF51=0,0,IF(AF51&lt;0,IF($J51=12,AF51,IF($J51=11,AF51,IF($J51=10,AF51,0)))))</f>
        <v>0</v>
      </c>
      <c r="AF51" s="407">
        <f>IF(AF$5=$H51,-$E51,0)</f>
        <v>0</v>
      </c>
      <c r="AG51" s="404">
        <f>IF(AK51=0,0,IF(AK51&lt;0,IF($J51=3,AK51,IF($J51=2,AK51,IF($J51=1,AK51,0)))))</f>
        <v>0</v>
      </c>
      <c r="AH51" s="414">
        <f>IF(AK51=0,0,IF(AK51&lt;0,IF($J51=6,AK51,IF($J51=5,AK51,IF($J51=4,AK51,0)))))</f>
        <v>0</v>
      </c>
      <c r="AI51" s="414">
        <f>IF(AK51=0,0,IF(AK51&lt;0,IF($J51=9,AK51,IF($J51=8,AK51,IF($J51=7,AK51,0)))))</f>
        <v>0</v>
      </c>
      <c r="AJ51" s="406">
        <f>IF(AK51=0,0,IF(AK51&lt;0,IF($J51=12,AK51,IF($J51=11,AK51,IF($J51=10,AK51,0)))))</f>
        <v>0</v>
      </c>
      <c r="AK51" s="407">
        <f>IF(AK$5=$H51,-$E51,0)</f>
        <v>0</v>
      </c>
      <c r="AL51" s="404">
        <f>IF(AP51=0,0,IF(AP51&lt;0,IF($J51=3,AP51,IF($J51=2,AP51,IF($J51=1,AP51,0)))))</f>
        <v>0</v>
      </c>
      <c r="AM51" s="414">
        <f>IF(AP51=0,0,IF(AP51&lt;0,IF($J51=6,AP51,IF($J51=5,AP51,IF($J51=4,AP51,0)))))</f>
        <v>0</v>
      </c>
      <c r="AN51" s="414">
        <f>IF(AP51=0,0,IF(AP51&lt;0,IF($J51=9,AP51,IF($J51=8,AP51,IF($J51=7,AP51,0)))))</f>
        <v>0</v>
      </c>
      <c r="AO51" s="406">
        <f>IF(AP51=0,0,IF(AP51&lt;0,IF($J51=12,AP51,IF($J51=11,AP51,IF($J51=10,AP51,0)))))</f>
        <v>0</v>
      </c>
      <c r="AP51" s="407">
        <f>IF(AP$5=$H51,-$E51,0)</f>
        <v>0</v>
      </c>
      <c r="AQ51" s="404">
        <f>IF(AU51=0,0,IF(AU51&lt;0,IF($J51=3,AU51,IF($J51=2,AU51,IF($J51=1,AU51,0)))))</f>
        <v>0</v>
      </c>
      <c r="AR51" s="414">
        <f>IF(AU51=0,0,IF(AU51&lt;0,IF($J51=6,AU51,IF($J51=5,AU51,IF($J51=4,AU51,0)))))</f>
        <v>0</v>
      </c>
      <c r="AS51" s="414">
        <f>IF(AU51=0,0,IF(AU51&lt;0,IF($J51=9,AU51,IF($J51=8,AU51,IF($J51=7,AU51,0)))))</f>
        <v>0</v>
      </c>
      <c r="AT51" s="406">
        <f>IF(AU51=0,0,IF(AU51&lt;0,IF($J51=12,AU51,IF($J51=11,AU51,IF($J51=10,AU51,0)))))</f>
        <v>0</v>
      </c>
      <c r="AU51" s="407">
        <f>IF(AU$5=$H51,-$E51,0)</f>
        <v>0</v>
      </c>
      <c r="AV51" s="404">
        <f>IF(AZ51=0,0,IF(AZ51&lt;0,IF($J51=3,AZ51,IF($J51=2,AZ51,IF($J51=1,AZ51,0)))))</f>
        <v>0</v>
      </c>
      <c r="AW51" s="414">
        <f>IF(AZ51=0,0,IF(AZ51&lt;0,IF($J51=6,AZ51,IF($J51=5,AZ51,IF($J51=4,AZ51,0)))))</f>
        <v>0</v>
      </c>
      <c r="AX51" s="414">
        <f>IF(AZ51=0,0,IF(AZ51&lt;0,IF($J51=9,AZ51,IF($J51=8,AZ51,IF($J51=7,AZ51,0)))))</f>
        <v>0</v>
      </c>
      <c r="AY51" s="406">
        <f>IF(AZ51=0,0,IF(AZ51&lt;0,IF($J51=12,AZ51,IF($J51=11,AZ51,IF($J51=10,AZ51,0)))))</f>
        <v>0</v>
      </c>
      <c r="AZ51" s="407">
        <f>IF(AZ$5=$H51,-$E51,0)</f>
        <v>0</v>
      </c>
      <c r="BA51" s="404">
        <f>IF(BE51=0,0,IF(BE51&lt;0,IF($J51=3,BE51,IF($J51=2,BE51,IF($J51=1,BE51,0)))))</f>
        <v>0</v>
      </c>
      <c r="BB51" s="414">
        <f>IF(BE51=0,0,IF(BE51&lt;0,IF($J51=6,BE51,IF($J51=5,BE51,IF($J51=4,BE51,0)))))</f>
        <v>0</v>
      </c>
      <c r="BC51" s="414">
        <f>IF(BE51=0,0,IF(BE51&lt;0,IF($J51=9,BE51,IF($J51=8,BE51,IF($J51=7,BE51,0)))))</f>
        <v>0</v>
      </c>
      <c r="BD51" s="406">
        <f>IF(BE51=0,0,IF(BE51&lt;0,IF($J51=12,BE51,IF($J51=11,BE51,IF($J51=10,BE51,0)))))</f>
        <v>0</v>
      </c>
      <c r="BE51" s="407">
        <f>IF(BE$5=$H51,-$E51,0)</f>
        <v>0</v>
      </c>
      <c r="BF51" s="404">
        <f>IF(BJ51=0,0,IF(BJ51&lt;0,IF($J51=3,BJ51,IF($J51=2,BJ51,IF($J51=1,BJ51,0)))))</f>
        <v>0</v>
      </c>
      <c r="BG51" s="414">
        <f>IF(BJ51=0,0,IF(BJ51&lt;0,IF($J51=6,BJ51,IF($J51=5,BJ51,IF($J51=4,BJ51,0)))))</f>
        <v>0</v>
      </c>
      <c r="BH51" s="414">
        <f>IF(BJ51=0,0,IF(BJ51&lt;0,IF($J51=9,BJ51,IF($J51=8,BJ51,IF($J51=7,BJ51,0)))))</f>
        <v>0</v>
      </c>
      <c r="BI51" s="406">
        <f>IF(BJ51=0,0,IF(BJ51&lt;0,IF($J51=12,BJ51,IF($J51=11,BJ51,IF($J51=10,BJ51,0)))))</f>
        <v>0</v>
      </c>
      <c r="BJ51" s="407">
        <f>IF(BJ$5=$H51,-$E51,0)</f>
        <v>0</v>
      </c>
      <c r="BK51" s="404">
        <f>IF(BO51=0,0,IF(BO51&lt;0,IF($J51=3,BO51,IF($J51=2,BO51,IF($J51=1,BO51,0)))))</f>
        <v>0</v>
      </c>
      <c r="BL51" s="414">
        <f>IF(BO51=0,0,IF(BO51&lt;0,IF($J51=6,BO51,IF($J51=5,BO51,IF($J51=4,BO51,0)))))</f>
        <v>0</v>
      </c>
      <c r="BM51" s="414">
        <f>IF(BO51=0,0,IF(BO51&lt;0,IF($J51=9,BO51,IF($J51=8,BO51,IF($J51=7,BO51,0)))))</f>
        <v>0</v>
      </c>
      <c r="BN51" s="406">
        <f>IF(BO51=0,0,IF(BO51&lt;0,IF($J51=12,BO51,IF($J51=11,BO51,IF($J51=10,BO51,0)))))</f>
        <v>0</v>
      </c>
      <c r="BO51" s="407">
        <f>IF(BO$5=$H51,-$E51,0)</f>
        <v>0</v>
      </c>
      <c r="BP51" s="449"/>
      <c r="BQ51" s="413">
        <f>IF(AND(AH51&lt;&gt;0,AH$5=$H51),-$I51*$E51-AH51,IF(BQ$5=$H51,-$I51*$E51*(12-$J51+1)/12,0))</f>
        <v>0</v>
      </c>
      <c r="BR51" s="410">
        <f>IF($H51&lt;&gt;BV$5,0,IF(BV51&lt;0,IF($J51=1,-$E51*$I51/12*3,IF($J51=2,-$E51*$I51/12*2,IF($J51=3,-$E51*$I51/12*1,0)))))+IF(BQ$5&lt;&gt;$H51,0,IF(BQ51&lt;0,IF($J51=1,-$E51*$I51/12*0,IF($J51=2,-$E51*$I51/12*1,IF($J51=3,-$E51*$I51/12*2,IF($J51&gt;=4,-$E51*$I51/12*3,0))))))</f>
        <v>0</v>
      </c>
      <c r="BS51" s="416">
        <f>IF($H51&lt;&gt;BV$5,0,IF(BV51&lt;0,IF(OR($J51=1,$J51=2,$J51=3,$J51=4),-$E51*$I51/12*3,IF($J51=5,-$E51*$I51/12*2,IF($J51=6,-$E51*$I51/12*1,0)))))+IF(BQ$5&lt;&gt;$H51,0,IF(BQ51&lt;0,IF($J51=4,-$E51*$I51/12*0,IF($J51=5,-$E51*$I51/12*1,IF($J51=6,-$E51*$I51/12*2,IF($J51&gt;=7,-$E51*$I51/12*3,0))))))</f>
        <v>0</v>
      </c>
      <c r="BT51" s="416">
        <f>IF($H51&lt;&gt;BV$5,0,IF(BV51&lt;0,IF(OR($J51=1,$J51=2,$J51=3,$J51=4,$J51=5,$J51=6,$J51=7),-$E51*$I51/12*3,IF($J51=8,-$E51*$I51/12*2,IF($J51=9,-$E51*$I51/12*1,0)))))+IF(BQ$5&lt;&gt;$H51,0,IF(BQ51&lt;0,IF($J51=7,-$E51*$I51/12*0,IF($J51=8,-$E51*$I51/12*1,IF($J51=9,-$E51*$I51/12*2,IF($J51&gt;=10,-$E51*$I51/12*3,0))))))</f>
        <v>0</v>
      </c>
      <c r="BU51" s="412">
        <f>IF($H51&lt;&gt;BV$5,0,IF(BV51&lt;0,IF(OR($J51=1,$J51=2,$J51=3,$J51=4,$J51=5,$J51=6,$J51=7,$J51=8,$J51=9,$J51=10),-$E51*$I51/12*3,IF($J51=11,-$E51*$I51/12*2,IF($J51=12,-$E51*$I51/12*1,0)))))+IF(BQ$5&lt;&gt;$H51,0,IF(BQ51&lt;0,IF($J51=10,-$E51*$I51/12*0,IF($J51=11,-$E51*$I51/12*1,IF($J51=12,-$E51*$I51/12*2,0)))))</f>
        <v>0</v>
      </c>
      <c r="BV51" s="413">
        <f>IF(AND(BQ51&lt;&gt;0,BQ$5=$H51),-$I51*$E51-BQ51,IF(BV$5=$H51,-$I51*$E51*(12-$J51+1)/12,0))</f>
        <v>0</v>
      </c>
      <c r="BW51" s="410">
        <f>IF($H51&lt;&gt;CA$5,0,IF(CA51&lt;0,IF($J51=1,-$E51*$I51/12*3,IF($J51=2,-$E51*$I51/12*2,IF($J51=3,-$E51*$I51/12*1,0)))))+IF(BV$5&lt;&gt;$H51,0,IF(BV51&lt;0,IF($J51=1,-$E51*$I51/12*0,IF($J51=2,-$E51*$I51/12*1,IF($J51=3,-$E51*$I51/12*2,IF($J51&gt;=4,-$E51*$I51/12*3,0))))))</f>
        <v>0</v>
      </c>
      <c r="BX51" s="416">
        <f>IF($H51&lt;&gt;CA$5,0,IF(CA51&lt;0,IF(OR($J51=1,$J51=2,$J51=3,$J51=4),-$E51*$I51/12*3,IF($J51=5,-$E51*$I51/12*2,IF($J51=6,-$E51*$I51/12*1,0)))))+IF(BV$5&lt;&gt;$H51,0,IF(BV51&lt;0,IF($J51=4,-$E51*$I51/12*0,IF($J51=5,-$E51*$I51/12*1,IF($J51=6,-$E51*$I51/12*2,IF($J51&gt;=7,-$E51*$I51/12*3,0))))))</f>
        <v>0</v>
      </c>
      <c r="BY51" s="416">
        <f>IF($H51&lt;&gt;CA$5,0,IF(CA51&lt;0,IF(OR($J51=1,$J51=2,$J51=3,$J51=4,$J51=5,$J51=6,$J51=7),-$E51*$I51/12*3,IF($J51=8,-$E51*$I51/12*2,IF($J51=9,-$E51*$I51/12*1,0)))))+IF(BV$5&lt;&gt;$H51,0,IF(BV51&lt;0,IF($J51=7,-$E51*$I51/12*0,IF($J51=8,-$E51*$I51/12*1,IF($J51=9,-$E51*$I51/12*2,IF($J51&gt;=10,-$E51*$I51/12*3,0))))))</f>
        <v>0</v>
      </c>
      <c r="BZ51" s="412">
        <f>IF($H51&lt;&gt;CA$5,0,IF(CA51&lt;0,IF(OR($J51=1,$J51=2,$J51=3,$J51=4,$J51=5,$J51=6,$J51=7,$J51=8,$J51=9,$J51=10),-$E51*$I51/12*3,IF($J51=11,-$E51*$I51/12*2,IF($J51=12,-$E51*$I51/12*1,0)))))+IF(BV$5&lt;&gt;$H51,0,IF(BV51&lt;0,IF($J51=10,-$E51*$I51/12*0,IF($J51=11,-$E51*$I51/12*1,IF($J51=12,-$E51*$I51/12*2,0)))))</f>
        <v>0</v>
      </c>
      <c r="CA51" s="413">
        <f>IF(AND(BV51&lt;&gt;0,BV$5=$H51),-$I51*$E51-BV51,IF(CA$5=$H51,-$I51*$E51*(12-$J51+1)/12,0))</f>
        <v>0</v>
      </c>
      <c r="CB51" s="410">
        <f>IF($H51&lt;&gt;CF$5,0,IF(CF51&lt;0,IF($J51=1,-$E51*$I51/12*3,IF($J51=2,-$E51*$I51/12*2,IF($J51=3,-$E51*$I51/12*1,0)))))+IF(CA$5&lt;&gt;$H51,0,IF(CA51&lt;0,IF($J51=1,-$E51*$I51/12*0,IF($J51=2,-$E51*$I51/12*1,IF($J51=3,-$E51*$I51/12*2,IF($J51&gt;=4,-$E51*$I51/12*3,0))))))</f>
        <v>0</v>
      </c>
      <c r="CC51" s="416">
        <f>IF($H51&lt;&gt;CF$5,0,IF(CF51&lt;0,IF(OR($J51=1,$J51=2,$J51=3,$J51=4),-$E51*$I51/12*3,IF($J51=5,-$E51*$I51/12*2,IF($J51=6,-$E51*$I51/12*1,0)))))+IF(CA$5&lt;&gt;$H51,0,IF(CA51&lt;0,IF($J51=4,-$E51*$I51/12*0,IF($J51=5,-$E51*$I51/12*1,IF($J51=6,-$E51*$I51/12*2,IF($J51&gt;=7,-$E51*$I51/12*3,0))))))</f>
        <v>0</v>
      </c>
      <c r="CD51" s="416">
        <f>IF($H51&lt;&gt;CF$5,0,IF(CF51&lt;0,IF(OR($J51=1,$J51=2,$J51=3,$J51=4,$J51=5,$J51=6,$J51=7),-$E51*$I51/12*3,IF($J51=8,-$E51*$I51/12*2,IF($J51=9,-$E51*$I51/12*1,0)))))+IF(CA$5&lt;&gt;$H51,0,IF(CA51&lt;0,IF($J51=7,-$E51*$I51/12*0,IF($J51=8,-$E51*$I51/12*1,IF($J51=9,-$E51*$I51/12*2,IF($J51&gt;=10,-$E51*$I51/12*3,0))))))</f>
        <v>0</v>
      </c>
      <c r="CE51" s="412">
        <f>IF($H51&lt;&gt;CF$5,0,IF(CF51&lt;0,IF(OR($J51=1,$J51=2,$J51=3,$J51=4,$J51=5,$J51=6,$J51=7,$J51=8,$J51=9,$J51=10),-$E51*$I51/12*3,IF($J51=11,-$E51*$I51/12*2,IF($J51=12,-$E51*$I51/12*1,0)))))+IF(CA$5&lt;&gt;$H51,0,IF(CA51&lt;0,IF($J51=10,-$E51*$I51/12*0,IF($J51=11,-$E51*$I51/12*1,IF($J51=12,-$E51*$I51/12*2,0)))))</f>
        <v>0</v>
      </c>
      <c r="CF51" s="413">
        <f>IF(AND(CA51&lt;&gt;0,CA$5=$H51),-$I51*$E51-CA51,IF(CF$5=$H51,-$I51*$E51*(12-$J51+1)/12,0))</f>
        <v>0</v>
      </c>
      <c r="CG51" s="410">
        <f>IF($H51&lt;&gt;CK$5,0,IF(CK51&lt;0,IF($J51=1,-$E51*$I51/12*3,IF($J51=2,-$E51*$I51/12*2,IF($J51=3,-$E51*$I51/12*1,0)))))+IF(CF$5&lt;&gt;$H51,0,IF(CF51&lt;0,IF($J51=1,-$E51*$I51/12*0,IF($J51=2,-$E51*$I51/12*1,IF($J51=3,-$E51*$I51/12*2,IF($J51&gt;=4,-$E51*$I51/12*3,0))))))</f>
        <v>0</v>
      </c>
      <c r="CH51" s="416">
        <f>IF($H51&lt;&gt;CK$5,0,IF(CK51&lt;0,IF(OR($J51=1,$J51=2,$J51=3,$J51=4),-$E51*$I51/12*3,IF($J51=5,-$E51*$I51/12*2,IF($J51=6,-$E51*$I51/12*1,0)))))+IF(CF$5&lt;&gt;$H51,0,IF(CF51&lt;0,IF($J51=4,-$E51*$I51/12*0,IF($J51=5,-$E51*$I51/12*1,IF($J51=6,-$E51*$I51/12*2,IF($J51&gt;=7,-$E51*$I51/12*3,0))))))</f>
        <v>0</v>
      </c>
      <c r="CI51" s="416">
        <f>IF($H51&lt;&gt;CK$5,0,IF(CK51&lt;0,IF(OR($J51=1,$J51=2,$J51=3,$J51=4,$J51=5,$J51=6,$J51=7),-$E51*$I51/12*3,IF($J51=8,-$E51*$I51/12*2,IF($J51=9,-$E51*$I51/12*1,0)))))+IF(CF$5&lt;&gt;$H51,0,IF(CF51&lt;0,IF($J51=7,-$E51*$I51/12*0,IF($J51=8,-$E51*$I51/12*1,IF($J51=9,-$E51*$I51/12*2,IF($J51&gt;=10,-$E51*$I51/12*3,0))))))</f>
        <v>0</v>
      </c>
      <c r="CJ51" s="412">
        <f>IF($H51&lt;&gt;CK$5,0,IF(CK51&lt;0,IF(OR($J51=1,$J51=2,$J51=3,$J51=4,$J51=5,$J51=6,$J51=7,$J51=8,$J51=9,$J51=10),-$E51*$I51/12*3,IF($J51=11,-$E51*$I51/12*2,IF($J51=12,-$E51*$I51/12*1,0)))))+IF(CF$5&lt;&gt;$H51,0,IF(CF51&lt;0,IF($J51=10,-$E51*$I51/12*0,IF($J51=11,-$E51*$I51/12*1,IF($J51=12,-$E51*$I51/12*2,0)))))</f>
        <v>0</v>
      </c>
      <c r="CK51" s="413">
        <f>IF(AND(CF51&lt;&gt;0,CF$5=$H51),-$I51*$E51-CF51,IF(CK$5=$H51,-$I51*$E51*(12-$J51+1)/12,0))</f>
        <v>0</v>
      </c>
      <c r="CL51" s="410">
        <f>IF($H51&lt;&gt;CP$5,0,IF(CP51&lt;0,IF($J51=1,-$E51*$I51/12*3,IF($J51=2,-$E51*$I51/12*2,IF($J51=3,-$E51*$I51/12*1,0)))))+IF(CK$5&lt;&gt;$H51,0,IF(CK51&lt;0,IF($J51=1,-$E51*$I51/12*0,IF($J51=2,-$E51*$I51/12*1,IF($J51=3,-$E51*$I51/12*2,IF($J51&gt;=4,-$E51*$I51/12*3,0))))))</f>
        <v>0</v>
      </c>
      <c r="CM51" s="416">
        <f>IF($H51&lt;&gt;CP$5,0,IF(CP51&lt;0,IF(OR($J51=1,$J51=2,$J51=3,$J51=4),-$E51*$I51/12*3,IF($J51=5,-$E51*$I51/12*2,IF($J51=6,-$E51*$I51/12*1,0)))))+IF(CK$5&lt;&gt;$H51,0,IF(CK51&lt;0,IF($J51=4,-$E51*$I51/12*0,IF($J51=5,-$E51*$I51/12*1,IF($J51=6,-$E51*$I51/12*2,IF($J51&gt;=7,-$E51*$I51/12*3,0))))))</f>
        <v>0</v>
      </c>
      <c r="CN51" s="416">
        <f>IF($H51&lt;&gt;CP$5,0,IF(CP51&lt;0,IF(OR($J51=1,$J51=2,$J51=3,$J51=4,$J51=5,$J51=6,$J51=7),-$E51*$I51/12*3,IF($J51=8,-$E51*$I51/12*2,IF($J51=9,-$E51*$I51/12*1,0)))))+IF(CK$5&lt;&gt;$H51,0,IF(CK51&lt;0,IF($J51=7,-$E51*$I51/12*0,IF($J51=8,-$E51*$I51/12*1,IF($J51=9,-$E51*$I51/12*2,IF($J51&gt;=10,-$E51*$I51/12*3,0))))))</f>
        <v>0</v>
      </c>
      <c r="CO51" s="412">
        <f>IF($H51&lt;&gt;CP$5,0,IF(CP51&lt;0,IF(OR($J51=1,$J51=2,$J51=3,$J51=4,$J51=5,$J51=6,$J51=7,$J51=8,$J51=9,$J51=10),-$E51*$I51/12*3,IF($J51=11,-$E51*$I51/12*2,IF($J51=12,-$E51*$I51/12*1,0)))))+IF(CK$5&lt;&gt;$H51,0,IF(CK51&lt;0,IF($J51=10,-$E51*$I51/12*0,IF($J51=11,-$E51*$I51/12*1,IF($J51=12,-$E51*$I51/12*2,0)))))</f>
        <v>0</v>
      </c>
      <c r="CP51" s="413">
        <f>IF(AND(CK51&lt;&gt;0,CK$5=$H51),-$I51*$E51-CK51,IF(CP$5=$H51,-$I51*$E51*(12-$J51+1)/12,0))</f>
        <v>0</v>
      </c>
      <c r="CQ51" s="410">
        <f>IF($H51&lt;&gt;CU$5,0,IF(CU51&lt;0,IF($J51=1,-$E51*$I51/12*3,IF($J51=2,-$E51*$I51/12*2,IF($J51=3,-$E51*$I51/12*1,0)))))+IF(CP$5&lt;&gt;$H51,0,IF(CP51&lt;0,IF($J51=1,-$E51*$I51/12*0,IF($J51=2,-$E51*$I51/12*1,IF($J51=3,-$E51*$I51/12*2,IF($J51&gt;=4,-$E51*$I51/12*3,0))))))</f>
        <v>0</v>
      </c>
      <c r="CR51" s="416">
        <f>IF($H51&lt;&gt;CU$5,0,IF(CU51&lt;0,IF(OR($J51=1,$J51=2,$J51=3,$J51=4),-$E51*$I51/12*3,IF($J51=5,-$E51*$I51/12*2,IF($J51=6,-$E51*$I51/12*1,0)))))+IF(CP$5&lt;&gt;$H51,0,IF(CP51&lt;0,IF($J51=4,-$E51*$I51/12*0,IF($J51=5,-$E51*$I51/12*1,IF($J51=6,-$E51*$I51/12*2,IF($J51&gt;=7,-$E51*$I51/12*3,0))))))</f>
        <v>0</v>
      </c>
      <c r="CS51" s="416">
        <f>IF($H51&lt;&gt;CU$5,0,IF(CU51&lt;0,IF(OR($J51=1,$J51=2,$J51=3,$J51=4,$J51=5,$J51=6,$J51=7),-$E51*$I51/12*3,IF($J51=8,-$E51*$I51/12*2,IF($J51=9,-$E51*$I51/12*1,0)))))+IF(CP$5&lt;&gt;$H51,0,IF(CP51&lt;0,IF($J51=7,-$E51*$I51/12*0,IF($J51=8,-$E51*$I51/12*1,IF($J51=9,-$E51*$I51/12*2,IF($J51&gt;=10,-$E51*$I51/12*3,0))))))</f>
        <v>0</v>
      </c>
      <c r="CT51" s="412">
        <f>IF($H51&lt;&gt;CU$5,0,IF(CU51&lt;0,IF(OR($J51=1,$J51=2,$J51=3,$J51=4,$J51=5,$J51=6,$J51=7,$J51=8,$J51=9,$J51=10),-$E51*$I51/12*3,IF($J51=11,-$E51*$I51/12*2,IF($J51=12,-$E51*$I51/12*1,0)))))+IF(CP$5&lt;&gt;$H51,0,IF(CP51&lt;0,IF($J51=10,-$E51*$I51/12*0,IF($J51=11,-$E51*$I51/12*1,IF($J51=12,-$E51*$I51/12*2,0)))))</f>
        <v>0</v>
      </c>
      <c r="CU51" s="413">
        <f>IF(AND(CP51&lt;&gt;0,CP$5=$H51),-$I51*$E51-CP51,IF(CU$5=$H51,-$I51*$E51*(12-$J51+1)/12,0))</f>
        <v>0</v>
      </c>
      <c r="CV51" s="410">
        <f>IF($H51&lt;&gt;CZ$5,0,IF(CZ51&lt;0,IF($J51=1,-$E51*$I51/12*3,IF($J51=2,-$E51*$I51/12*2,IF($J51=3,-$E51*$I51/12*1,0)))))+IF(CU$5&lt;&gt;$H51,0,IF(CU51&lt;0,IF($J51=1,-$E51*$I51/12*0,IF($J51=2,-$E51*$I51/12*1,IF($J51=3,-$E51*$I51/12*2,IF($J51&gt;=4,-$E51*$I51/12*3,0))))))</f>
        <v>0</v>
      </c>
      <c r="CW51" s="416">
        <f>IF($H51&lt;&gt;CZ$5,0,IF(CZ51&lt;0,IF(OR($J51=1,$J51=2,$J51=3,$J51=4),-$E51*$I51/12*3,IF($J51=5,-$E51*$I51/12*2,IF($J51=6,-$E51*$I51/12*1,0)))))+IF(CU$5&lt;&gt;$H51,0,IF(CU51&lt;0,IF($J51=4,-$E51*$I51/12*0,IF($J51=5,-$E51*$I51/12*1,IF($J51=6,-$E51*$I51/12*2,IF($J51&gt;=7,-$E51*$I51/12*3,0))))))</f>
        <v>0</v>
      </c>
      <c r="CX51" s="416">
        <f>IF($H51&lt;&gt;CZ$5,0,IF(CZ51&lt;0,IF(OR($J51=1,$J51=2,$J51=3,$J51=4,$J51=5,$J51=6,$J51=7),-$E51*$I51/12*3,IF($J51=8,-$E51*$I51/12*2,IF($J51=9,-$E51*$I51/12*1,0)))))+IF(CU$5&lt;&gt;$H51,0,IF(CU51&lt;0,IF($J51=7,-$E51*$I51/12*0,IF($J51=8,-$E51*$I51/12*1,IF($J51=9,-$E51*$I51/12*2,IF($J51&gt;=10,-$E51*$I51/12*3,0))))))</f>
        <v>0</v>
      </c>
      <c r="CY51" s="412">
        <f>IF($H51&lt;&gt;CZ$5,0,IF(CZ51&lt;0,IF(OR($J51=1,$J51=2,$J51=3,$J51=4,$J51=5,$J51=6,$J51=7,$J51=8,$J51=9,$J51=10),-$E51*$I51/12*3,IF($J51=11,-$E51*$I51/12*2,IF($J51=12,-$E51*$I51/12*1,0)))))+IF(CU$5&lt;&gt;$H51,0,IF(CU51&lt;0,IF($J51=10,-$E51*$I51/12*0,IF($J51=11,-$E51*$I51/12*1,IF($J51=12,-$E51*$I51/12*2,0)))))</f>
        <v>0</v>
      </c>
      <c r="CZ51" s="413">
        <f>IF(AND(CU51&lt;&gt;0,CU$5=$H51),-$I51*$E51-CU51,IF(CZ$5=$H51,-$I51*$E51*(12-$J51+1)/12,0))</f>
        <v>0</v>
      </c>
      <c r="DA51" s="410">
        <f>IF($H51&lt;&gt;DE$5,0,IF(DE51&lt;0,IF($J51=1,-$E51*$I51/12*3,IF($J51=2,-$E51*$I51/12*2,IF($J51=3,-$E51*$I51/12*1,0)))))+IF(CZ$5&lt;&gt;$H51,0,IF(CZ51&lt;0,IF($J51=1,-$E51*$I51/12*0,IF($J51=2,-$E51*$I51/12*1,IF($J51=3,-$E51*$I51/12*2,IF($J51&gt;=4,-$E51*$I51/12*3,0))))))</f>
        <v>0</v>
      </c>
      <c r="DB51" s="416">
        <f>IF($H51&lt;&gt;DE$5,0,IF(DE51&lt;0,IF(OR($J51=1,$J51=2,$J51=3,$J51=4),-$E51*$I51/12*3,IF($J51=5,-$E51*$I51/12*2,IF($J51=6,-$E51*$I51/12*1,0)))))+IF(CZ$5&lt;&gt;$H51,0,IF(CZ51&lt;0,IF($J51=4,-$E51*$I51/12*0,IF($J51=5,-$E51*$I51/12*1,IF($J51=6,-$E51*$I51/12*2,IF($J51&gt;=7,-$E51*$I51/12*3,0))))))</f>
        <v>0</v>
      </c>
      <c r="DC51" s="416">
        <f>IF($H51&lt;&gt;DE$5,0,IF(DE51&lt;0,IF(OR($J51=1,$J51=2,$J51=3,$J51=4,$J51=5,$J51=6,$J51=7),-$E51*$I51/12*3,IF($J51=8,-$E51*$I51/12*2,IF($J51=9,-$E51*$I51/12*1,0)))))+IF(CZ$5&lt;&gt;$H51,0,IF(CZ51&lt;0,IF($J51=7,-$E51*$I51/12*0,IF($J51=8,-$E51*$I51/12*1,IF($J51=9,-$E51*$I51/12*2,IF($J51&gt;=10,-$E51*$I51/12*3,0))))))</f>
        <v>0</v>
      </c>
      <c r="DD51" s="412">
        <f>IF($H51&lt;&gt;DE$5,0,IF(DE51&lt;0,IF(OR($J51=1,$J51=2,$J51=3,$J51=4,$J51=5,$J51=6,$J51=7,$J51=8,$J51=9,$J51=10),-$E51*$I51/12*3,IF($J51=11,-$E51*$I51/12*2,IF($J51=12,-$E51*$I51/12*1,0)))))+IF(CZ$5&lt;&gt;$H51,0,IF(CZ51&lt;0,IF($J51=10,-$E51*$I51/12*0,IF($J51=11,-$E51*$I51/12*1,IF($J51=12,-$E51*$I51/12*2,0)))))</f>
        <v>0</v>
      </c>
      <c r="DE51" s="413">
        <f>IF(AND(CZ51&lt;&gt;0,CZ$5=$H51),-$I51*$E51-CZ51,IF(DE$5=$H51,-$I51*$E51*(12-$J51+1)/12,0))</f>
        <v>0</v>
      </c>
      <c r="DF51" s="410">
        <f>IF($H51&lt;&gt;DJ$5,0,IF(DJ51&lt;0,IF($J51=1,-$E51*$I51/12*3,IF($J51=2,-$E51*$I51/12*2,IF($J51=3,-$E51*$I51/12*1,0)))))+IF(DE$5&lt;&gt;$H51,0,IF(DE51&lt;0,IF($J51=1,-$E51*$I51/12*0,IF($J51=2,-$E51*$I51/12*1,IF($J51=3,-$E51*$I51/12*2,IF($J51&gt;=4,-$E51*$I51/12*3,0))))))</f>
        <v>0</v>
      </c>
      <c r="DG51" s="416">
        <f>IF($H51&lt;&gt;DJ$5,0,IF(DJ51&lt;0,IF(OR($J51=1,$J51=2,$J51=3,$J51=4),-$E51*$I51/12*3,IF($J51=5,-$E51*$I51/12*2,IF($J51=6,-$E51*$I51/12*1,0)))))+IF(DE$5&lt;&gt;$H51,0,IF(DE51&lt;0,IF($J51=4,-$E51*$I51/12*0,IF($J51=5,-$E51*$I51/12*1,IF($J51=6,-$E51*$I51/12*2,IF($J51&gt;=7,-$E51*$I51/12*3,0))))))</f>
        <v>0</v>
      </c>
      <c r="DH51" s="416">
        <f>IF($H51&lt;&gt;DJ$5,0,IF(DJ51&lt;0,IF(OR($J51=1,$J51=2,$J51=3,$J51=4,$J51=5,$J51=6,$J51=7),-$E51*$I51/12*3,IF($J51=8,-$E51*$I51/12*2,IF($J51=9,-$E51*$I51/12*1,0)))))+IF(DE$5&lt;&gt;$H51,0,IF(DE51&lt;0,IF($J51=7,-$E51*$I51/12*0,IF($J51=8,-$E51*$I51/12*1,IF($J51=9,-$E51*$I51/12*2,IF($J51&gt;=10,-$E51*$I51/12*3,0))))))</f>
        <v>0</v>
      </c>
      <c r="DI51" s="412">
        <f>IF($H51&lt;&gt;DJ$5,0,IF(DJ51&lt;0,IF(OR($J51=1,$J51=2,$J51=3,$J51=4,$J51=5,$J51=6,$J51=7,$J51=8,$J51=9,$J51=10),-$E51*$I51/12*3,IF($J51=11,-$E51*$I51/12*2,IF($J51=12,-$E51*$I51/12*1,0)))))+IF(DE$5&lt;&gt;$H51,0,IF(DE51&lt;0,IF($J51=10,-$E51*$I51/12*0,IF($J51=11,-$E51*$I51/12*1,IF($J51=12,-$E51*$I51/12*2,0)))))</f>
        <v>0</v>
      </c>
      <c r="DJ51" s="413">
        <f>IF(AND(DE51&lt;&gt;0,DE$5=$H51),-$I51*$E51-DE51,IF(DJ$5=$H51,-$I51*$E51*(12-$J51+1)/12,0))</f>
        <v>0</v>
      </c>
      <c r="DK51" s="410">
        <f>IF($H51&lt;&gt;DO$5,0,IF(DO51&lt;0,IF($J51=1,-$E51*$I51/12*3,IF($J51=2,-$E51*$I51/12*2,IF($J51=3,-$E51*$I51/12*1,0)))))+IF(DJ$5&lt;&gt;$H51,0,IF(DJ51&lt;0,IF($J51=1,-$E51*$I51/12*0,IF($J51=2,-$E51*$I51/12*1,IF($J51=3,-$E51*$I51/12*2,IF($J51&gt;=4,-$E51*$I51/12*3,0))))))</f>
        <v>0</v>
      </c>
      <c r="DL51" s="416">
        <f>IF($H51&lt;&gt;DO$5,0,IF(DO51&lt;0,IF(OR($J51=1,$J51=2,$J51=3,$J51=4),-$E51*$I51/12*3,IF($J51=5,-$E51*$I51/12*2,IF($J51=6,-$E51*$I51/12*1,0)))))+IF(DJ$5&lt;&gt;$H51,0,IF(DJ51&lt;0,IF($J51=4,-$E51*$I51/12*0,IF($J51=5,-$E51*$I51/12*1,IF($J51=6,-$E51*$I51/12*2,IF($J51&gt;=7,-$E51*$I51/12*3,0))))))</f>
        <v>0</v>
      </c>
      <c r="DM51" s="416">
        <f>IF($H51&lt;&gt;DO$5,0,IF(DO51&lt;0,IF(OR($J51=1,$J51=2,$J51=3,$J51=4,$J51=5,$J51=6,$J51=7),-$E51*$I51/12*3,IF($J51=8,-$E51*$I51/12*2,IF($J51=9,-$E51*$I51/12*1,0)))))+IF(DJ$5&lt;&gt;$H51,0,IF(DJ51&lt;0,IF($J51=7,-$E51*$I51/12*0,IF($J51=8,-$E51*$I51/12*1,IF($J51=9,-$E51*$I51/12*2,IF($J51&gt;=10,-$E51*$I51/12*3,0))))))</f>
        <v>0</v>
      </c>
      <c r="DN51" s="412">
        <f>IF($H51&lt;&gt;DO$5,0,IF(DO51&lt;0,IF(OR($J51=1,$J51=2,$J51=3,$J51=4,$J51=5,$J51=6,$J51=7,$J51=8,$J51=9,$J51=10),-$E51*$I51/12*3,IF($J51=11,-$E51*$I51/12*2,IF($J51=12,-$E51*$I51/12*1,0)))))+IF(DJ$5&lt;&gt;$H51,0,IF(DJ51&lt;0,IF($J51=10,-$E51*$I51/12*0,IF($J51=11,-$E51*$I51/12*1,IF($J51=12,-$E51*$I51/12*2,0)))))</f>
        <v>0</v>
      </c>
      <c r="DO51" s="413">
        <f>IF(AND(DJ51&lt;&gt;0,DJ$5=$H51),-$I51*$E51-DJ51,IF(DO$5=$H51,-$I51*$E51*(12-$J51+1)/12,0))</f>
        <v>0</v>
      </c>
      <c r="DP51" s="410">
        <f>IF($H51&lt;&gt;DT$5,0,IF(DT51&lt;0,IF($J51=1,-$E51*$I51/12*3,IF($J51=2,-$E51*$I51/12*2,IF($J51=3,-$E51*$I51/12*1,0)))))+IF(DO$5&lt;&gt;$H51,0,IF(DO51&lt;0,IF($J51=1,-$E51*$I51/12*0,IF($J51=2,-$E51*$I51/12*1,IF($J51=3,-$E51*$I51/12*2,IF($J51&gt;=4,-$E51*$I51/12*3,0))))))</f>
        <v>0</v>
      </c>
      <c r="DQ51" s="416">
        <f>IF($H51&lt;&gt;DT$5,0,IF(DT51&lt;0,IF(OR($J51=1,$J51=2,$J51=3,$J51=4),-$E51*$I51/12*3,IF($J51=5,-$E51*$I51/12*2,IF($J51=6,-$E51*$I51/12*1,0)))))+IF(DO$5&lt;&gt;$H51,0,IF(DO51&lt;0,IF($J51=4,-$E51*$I51/12*0,IF($J51=5,-$E51*$I51/12*1,IF($J51=6,-$E51*$I51/12*2,IF($J51&gt;=7,-$E51*$I51/12*3,0))))))</f>
        <v>0</v>
      </c>
      <c r="DR51" s="416">
        <f>IF($H51&lt;&gt;DT$5,0,IF(DT51&lt;0,IF(OR($J51=1,$J51=2,$J51=3,$J51=4,$J51=5,$J51=6,$J51=7),-$E51*$I51/12*3,IF($J51=8,-$E51*$I51/12*2,IF($J51=9,-$E51*$I51/12*1,0)))))+IF(DO$5&lt;&gt;$H51,0,IF(DO51&lt;0,IF($J51=7,-$E51*$I51/12*0,IF($J51=8,-$E51*$I51/12*1,IF($J51=9,-$E51*$I51/12*2,IF($J51&gt;=10,-$E51*$I51/12*3,0))))))</f>
        <v>0</v>
      </c>
      <c r="DS51" s="412">
        <f>IF($H51&lt;&gt;DT$5,0,IF(DT51&lt;0,IF(OR($J51=1,$J51=2,$J51=3,$J51=4,$J51=5,$J51=6,$J51=7,$J51=8,$J51=9,$J51=10),-$E51*$I51/12*3,IF($J51=11,-$E51*$I51/12*2,IF($J51=12,-$E51*$I51/12*1,0)))))+IF(DO$5&lt;&gt;$H51,0,IF(DO51&lt;0,IF($J51=10,-$E51*$I51/12*0,IF($J51=11,-$E51*$I51/12*1,IF($J51=12,-$E51*$I51/12*2,0)))))</f>
        <v>0</v>
      </c>
      <c r="DT51" s="413">
        <f>IF(AND(DO51&lt;&gt;0,DO$5=$H51),-$I51*$E51-DO51,IF(DT$5=$H51,-$I51*$E51*(12-$J51+1)/12,0))</f>
        <v>0</v>
      </c>
    </row>
    <row r="52" spans="1:124" ht="12.75" customHeight="1">
      <c r="A52" s="491"/>
      <c r="C52" s="1885" t="s">
        <v>1102</v>
      </c>
      <c r="D52" s="1885"/>
      <c r="E52" s="1886">
        <f>IF(F52=0,G52,F52)</f>
        <v>50</v>
      </c>
      <c r="F52" s="1532">
        <v>50</v>
      </c>
      <c r="G52" s="1532">
        <v>50</v>
      </c>
      <c r="H52" s="610">
        <v>2035</v>
      </c>
      <c r="I52" s="1533">
        <v>4.2000000000000003E-2</v>
      </c>
      <c r="J52" s="615">
        <v>6</v>
      </c>
      <c r="K52" s="402"/>
      <c r="L52" s="407">
        <f>IF(L$5=$H52,-$E52,0)</f>
        <v>0</v>
      </c>
      <c r="M52" s="404">
        <f>IF(Q52=0,0,IF(Q52&lt;0,IF($J52=3,Q52,IF($J52=2,Q52,IF($J52=1,Q52,0)))))</f>
        <v>0</v>
      </c>
      <c r="N52" s="414">
        <f>IF(Q52=0,0,IF(Q52&lt;0,IF($J52=6,Q52,IF($J52=5,Q52,IF($J52=4,Q52,0)))))</f>
        <v>0</v>
      </c>
      <c r="O52" s="414">
        <f>IF(Q52=0,0,IF(Q52&lt;0,IF($J52=9,Q52,IF($J52=8,Q52,IF($J52=7,Q52,0)))))</f>
        <v>0</v>
      </c>
      <c r="P52" s="406">
        <f>IF(Q52=0,0,IF(Q52&lt;0,IF($J52=12,Q52,IF($J52=11,Q52,IF($J52=10,Q52,0)))))</f>
        <v>0</v>
      </c>
      <c r="Q52" s="407">
        <f>IF(Q$5=$H52,-$E52,0)</f>
        <v>0</v>
      </c>
      <c r="R52" s="404">
        <f>IF(V52=0,0,IF(V52&lt;0,IF($J52=3,V52,IF($J52=2,V52,IF($J52=1,V52,0)))))</f>
        <v>0</v>
      </c>
      <c r="S52" s="414">
        <f>IF(V52=0,0,IF(V52&lt;0,IF($J52=6,V52,IF($J52=5,V52,IF($J52=4,V52,0)))))</f>
        <v>0</v>
      </c>
      <c r="T52" s="414">
        <f>IF(V52=0,0,IF(V52&lt;0,IF($J52=9,V52,IF($J52=8,V52,IF($J52=7,V52,0)))))</f>
        <v>0</v>
      </c>
      <c r="U52" s="406">
        <f>IF(V52=0,0,IF(V52&lt;0,IF($J52=12,V52,IF($J52=11,V52,IF($J52=10,V52,0)))))</f>
        <v>0</v>
      </c>
      <c r="V52" s="407">
        <f>IF(V$5=$H52,-$E52,0)</f>
        <v>0</v>
      </c>
      <c r="W52" s="404">
        <f>IF(AA52=0,0,IF(AA52&lt;0,IF($J52=3,AA52,IF($J52=2,AA52,IF($J52=1,AA52,0)))))</f>
        <v>0</v>
      </c>
      <c r="X52" s="414">
        <f>IF(AA52=0,0,IF(AA52&lt;0,IF($J52=6,AA52,IF($J52=5,AA52,IF($J52=4,AA52,0)))))</f>
        <v>0</v>
      </c>
      <c r="Y52" s="414">
        <f>IF(AA52=0,0,IF(AA52&lt;0,IF($J52=9,AA52,IF($J52=8,AA52,IF($J52=7,AA52,0)))))</f>
        <v>0</v>
      </c>
      <c r="Z52" s="406">
        <f>IF(AA52=0,0,IF(AA52&lt;0,IF($J52=12,AA52,IF($J52=11,AA52,IF($J52=10,AA52,0)))))</f>
        <v>0</v>
      </c>
      <c r="AA52" s="407">
        <f>IF(AA$5=$H52,-$E52,0)</f>
        <v>0</v>
      </c>
      <c r="AB52" s="404">
        <f>IF(AF52=0,0,IF(AF52&lt;0,IF($J52=3,AF52,IF($J52=2,AF52,IF($J52=1,AF52,0)))))</f>
        <v>0</v>
      </c>
      <c r="AC52" s="414">
        <f>IF(AF52=0,0,IF(AF52&lt;0,IF($J52=6,AF52,IF($J52=5,AF52,IF($J52=4,AF52,0)))))</f>
        <v>0</v>
      </c>
      <c r="AD52" s="414">
        <f>IF(AF52=0,0,IF(AF52&lt;0,IF($J52=9,AF52,IF($J52=8,AF52,IF($J52=7,AF52,0)))))</f>
        <v>0</v>
      </c>
      <c r="AE52" s="406">
        <f>IF(AF52=0,0,IF(AF52&lt;0,IF($J52=12,AF52,IF($J52=11,AF52,IF($J52=10,AF52,0)))))</f>
        <v>0</v>
      </c>
      <c r="AF52" s="407">
        <f>IF(AF$5=$H52,-$E52,0)</f>
        <v>0</v>
      </c>
      <c r="AG52" s="404">
        <f>IF(AK52=0,0,IF(AK52&lt;0,IF($J52=3,AK52,IF($J52=2,AK52,IF($J52=1,AK52,0)))))</f>
        <v>0</v>
      </c>
      <c r="AH52" s="414">
        <f>IF(AK52=0,0,IF(AK52&lt;0,IF($J52=6,AK52,IF($J52=5,AK52,IF($J52=4,AK52,0)))))</f>
        <v>0</v>
      </c>
      <c r="AI52" s="414">
        <f>IF(AK52=0,0,IF(AK52&lt;0,IF($J52=9,AK52,IF($J52=8,AK52,IF($J52=7,AK52,0)))))</f>
        <v>0</v>
      </c>
      <c r="AJ52" s="406">
        <f>IF(AK52=0,0,IF(AK52&lt;0,IF($J52=12,AK52,IF($J52=11,AK52,IF($J52=10,AK52,0)))))</f>
        <v>0</v>
      </c>
      <c r="AK52" s="407">
        <f>IF(AK$5=$H52,-$E52,0)</f>
        <v>0</v>
      </c>
      <c r="AL52" s="404">
        <f>IF(AP52=0,0,IF(AP52&lt;0,IF($J52=3,AP52,IF($J52=2,AP52,IF($J52=1,AP52,0)))))</f>
        <v>0</v>
      </c>
      <c r="AM52" s="414">
        <f>IF(AP52=0,0,IF(AP52&lt;0,IF($J52=6,AP52,IF($J52=5,AP52,IF($J52=4,AP52,0)))))</f>
        <v>0</v>
      </c>
      <c r="AN52" s="414">
        <f>IF(AP52=0,0,IF(AP52&lt;0,IF($J52=9,AP52,IF($J52=8,AP52,IF($J52=7,AP52,0)))))</f>
        <v>0</v>
      </c>
      <c r="AO52" s="406">
        <f>IF(AP52=0,0,IF(AP52&lt;0,IF($J52=12,AP52,IF($J52=11,AP52,IF($J52=10,AP52,0)))))</f>
        <v>0</v>
      </c>
      <c r="AP52" s="407">
        <f>IF(AP$5=$H52,-$E52,0)</f>
        <v>0</v>
      </c>
      <c r="AQ52" s="404">
        <f>IF(AU52=0,0,IF(AU52&lt;0,IF($J52=3,AU52,IF($J52=2,AU52,IF($J52=1,AU52,0)))))</f>
        <v>0</v>
      </c>
      <c r="AR52" s="414">
        <f>IF(AU52=0,0,IF(AU52&lt;0,IF($J52=6,AU52,IF($J52=5,AU52,IF($J52=4,AU52,0)))))</f>
        <v>0</v>
      </c>
      <c r="AS52" s="414">
        <f>IF(AU52=0,0,IF(AU52&lt;0,IF($J52=9,AU52,IF($J52=8,AU52,IF($J52=7,AU52,0)))))</f>
        <v>0</v>
      </c>
      <c r="AT52" s="406">
        <f>IF(AU52=0,0,IF(AU52&lt;0,IF($J52=12,AU52,IF($J52=11,AU52,IF($J52=10,AU52,0)))))</f>
        <v>0</v>
      </c>
      <c r="AU52" s="407">
        <f>IF(AU$5=$H52,-$E52,0)</f>
        <v>0</v>
      </c>
      <c r="AV52" s="404">
        <f>IF(AZ52=0,0,IF(AZ52&lt;0,IF($J52=3,AZ52,IF($J52=2,AZ52,IF($J52=1,AZ52,0)))))</f>
        <v>0</v>
      </c>
      <c r="AW52" s="414">
        <f>IF(AZ52=0,0,IF(AZ52&lt;0,IF($J52=6,AZ52,IF($J52=5,AZ52,IF($J52=4,AZ52,0)))))</f>
        <v>0</v>
      </c>
      <c r="AX52" s="414">
        <f>IF(AZ52=0,0,IF(AZ52&lt;0,IF($J52=9,AZ52,IF($J52=8,AZ52,IF($J52=7,AZ52,0)))))</f>
        <v>0</v>
      </c>
      <c r="AY52" s="406">
        <f>IF(AZ52=0,0,IF(AZ52&lt;0,IF($J52=12,AZ52,IF($J52=11,AZ52,IF($J52=10,AZ52,0)))))</f>
        <v>0</v>
      </c>
      <c r="AZ52" s="407">
        <f>IF(AZ$5=$H52,-$E52,0)</f>
        <v>0</v>
      </c>
      <c r="BA52" s="404">
        <f>IF(BE52=0,0,IF(BE52&lt;0,IF($J52=3,BE52,IF($J52=2,BE52,IF($J52=1,BE52,0)))))</f>
        <v>0</v>
      </c>
      <c r="BB52" s="414">
        <f>IF(BE52=0,0,IF(BE52&lt;0,IF($J52=6,BE52,IF($J52=5,BE52,IF($J52=4,BE52,0)))))</f>
        <v>0</v>
      </c>
      <c r="BC52" s="414">
        <f>IF(BE52=0,0,IF(BE52&lt;0,IF($J52=9,BE52,IF($J52=8,BE52,IF($J52=7,BE52,0)))))</f>
        <v>0</v>
      </c>
      <c r="BD52" s="406">
        <f>IF(BE52=0,0,IF(BE52&lt;0,IF($J52=12,BE52,IF($J52=11,BE52,IF($J52=10,BE52,0)))))</f>
        <v>0</v>
      </c>
      <c r="BE52" s="407">
        <f>IF(BE$5=$H52,-$E52,0)</f>
        <v>0</v>
      </c>
      <c r="BF52" s="404">
        <f>IF(BJ52=0,0,IF(BJ52&lt;0,IF($J52=3,BJ52,IF($J52=2,BJ52,IF($J52=1,BJ52,0)))))</f>
        <v>0</v>
      </c>
      <c r="BG52" s="414">
        <f>IF(BJ52=0,0,IF(BJ52&lt;0,IF($J52=6,BJ52,IF($J52=5,BJ52,IF($J52=4,BJ52,0)))))</f>
        <v>0</v>
      </c>
      <c r="BH52" s="414">
        <f>IF(BJ52=0,0,IF(BJ52&lt;0,IF($J52=9,BJ52,IF($J52=8,BJ52,IF($J52=7,BJ52,0)))))</f>
        <v>0</v>
      </c>
      <c r="BI52" s="406">
        <f>IF(BJ52=0,0,IF(BJ52&lt;0,IF($J52=12,BJ52,IF($J52=11,BJ52,IF($J52=10,BJ52,0)))))</f>
        <v>0</v>
      </c>
      <c r="BJ52" s="407">
        <f>IF(BJ$5=$H52,-$E52,0)</f>
        <v>0</v>
      </c>
      <c r="BK52" s="404">
        <f>IF(BO52=0,0,IF(BO52&lt;0,IF($J52=3,BO52,IF($J52=2,BO52,IF($J52=1,BO52,0)))))</f>
        <v>0</v>
      </c>
      <c r="BL52" s="414">
        <f>IF(BO52=0,0,IF(BO52&lt;0,IF($J52=6,BO52,IF($J52=5,BO52,IF($J52=4,BO52,0)))))</f>
        <v>0</v>
      </c>
      <c r="BM52" s="414">
        <f>IF(BO52=0,0,IF(BO52&lt;0,IF($J52=9,BO52,IF($J52=8,BO52,IF($J52=7,BO52,0)))))</f>
        <v>0</v>
      </c>
      <c r="BN52" s="406">
        <f>IF(BO52=0,0,IF(BO52&lt;0,IF($J52=12,BO52,IF($J52=11,BO52,IF($J52=10,BO52,0)))))</f>
        <v>0</v>
      </c>
      <c r="BO52" s="407">
        <f>IF(BO$5=$H52,-$E52,0)</f>
        <v>0</v>
      </c>
      <c r="BP52" s="449"/>
      <c r="BQ52" s="413">
        <f>IF(AND(AH52&lt;&gt;0,AH$5=$H52),-$I52*$E52-AH52,IF(BQ$5=$H52,-$I52*$E52*(12-$J52+1)/12,0))</f>
        <v>0</v>
      </c>
      <c r="BR52" s="410">
        <f>IF($H52&lt;&gt;BV$5,0,IF(BV52&lt;0,IF($J52=1,-$E52*$I52/12*3,IF($J52=2,-$E52*$I52/12*2,IF($J52=3,-$E52*$I52/12*1,0)))))+IF(BQ$5&lt;&gt;$H52,0,IF(BQ52&lt;0,IF($J52=1,-$E52*$I52/12*0,IF($J52=2,-$E52*$I52/12*1,IF($J52=3,-$E52*$I52/12*2,IF($J52&gt;=4,-$E52*$I52/12*3,0))))))</f>
        <v>0</v>
      </c>
      <c r="BS52" s="416">
        <f>IF($H52&lt;&gt;BV$5,0,IF(BV52&lt;0,IF(OR($J52=1,$J52=2,$J52=3,$J52=4),-$E52*$I52/12*3,IF($J52=5,-$E52*$I52/12*2,IF($J52=6,-$E52*$I52/12*1,0)))))+IF(BQ$5&lt;&gt;$H52,0,IF(BQ52&lt;0,IF($J52=4,-$E52*$I52/12*0,IF($J52=5,-$E52*$I52/12*1,IF($J52=6,-$E52*$I52/12*2,IF($J52&gt;=7,-$E52*$I52/12*3,0))))))</f>
        <v>0</v>
      </c>
      <c r="BT52" s="416">
        <f>IF($H52&lt;&gt;BV$5,0,IF(BV52&lt;0,IF(OR($J52=1,$J52=2,$J52=3,$J52=4,$J52=5,$J52=6,$J52=7),-$E52*$I52/12*3,IF($J52=8,-$E52*$I52/12*2,IF($J52=9,-$E52*$I52/12*1,0)))))+IF(BQ$5&lt;&gt;$H52,0,IF(BQ52&lt;0,IF($J52=7,-$E52*$I52/12*0,IF($J52=8,-$E52*$I52/12*1,IF($J52=9,-$E52*$I52/12*2,IF($J52&gt;=10,-$E52*$I52/12*3,0))))))</f>
        <v>0</v>
      </c>
      <c r="BU52" s="412">
        <f>IF($H52&lt;&gt;BV$5,0,IF(BV52&lt;0,IF(OR($J52=1,$J52=2,$J52=3,$J52=4,$J52=5,$J52=6,$J52=7,$J52=8,$J52=9,$J52=10),-$E52*$I52/12*3,IF($J52=11,-$E52*$I52/12*2,IF($J52=12,-$E52*$I52/12*1,0)))))+IF(BQ$5&lt;&gt;$H52,0,IF(BQ52&lt;0,IF($J52=10,-$E52*$I52/12*0,IF($J52=11,-$E52*$I52/12*1,IF($J52=12,-$E52*$I52/12*2,0)))))</f>
        <v>0</v>
      </c>
      <c r="BV52" s="413">
        <f>IF(AND(BQ52&lt;&gt;0,BQ$5=$H52),-$I52*$E52-BQ52,IF(BV$5=$H52,-$I52*$E52*(12-$J52+1)/12,0))</f>
        <v>0</v>
      </c>
      <c r="BW52" s="410">
        <f>IF($H52&lt;&gt;CA$5,0,IF(CA52&lt;0,IF($J52=1,-$E52*$I52/12*3,IF($J52=2,-$E52*$I52/12*2,IF($J52=3,-$E52*$I52/12*1,0)))))+IF(BV$5&lt;&gt;$H52,0,IF(BV52&lt;0,IF($J52=1,-$E52*$I52/12*0,IF($J52=2,-$E52*$I52/12*1,IF($J52=3,-$E52*$I52/12*2,IF($J52&gt;=4,-$E52*$I52/12*3,0))))))</f>
        <v>0</v>
      </c>
      <c r="BX52" s="416">
        <f>IF($H52&lt;&gt;CA$5,0,IF(CA52&lt;0,IF(OR($J52=1,$J52=2,$J52=3,$J52=4),-$E52*$I52/12*3,IF($J52=5,-$E52*$I52/12*2,IF($J52=6,-$E52*$I52/12*1,0)))))+IF(BV$5&lt;&gt;$H52,0,IF(BV52&lt;0,IF($J52=4,-$E52*$I52/12*0,IF($J52=5,-$E52*$I52/12*1,IF($J52=6,-$E52*$I52/12*2,IF($J52&gt;=7,-$E52*$I52/12*3,0))))))</f>
        <v>0</v>
      </c>
      <c r="BY52" s="416">
        <f>IF($H52&lt;&gt;CA$5,0,IF(CA52&lt;0,IF(OR($J52=1,$J52=2,$J52=3,$J52=4,$J52=5,$J52=6,$J52=7),-$E52*$I52/12*3,IF($J52=8,-$E52*$I52/12*2,IF($J52=9,-$E52*$I52/12*1,0)))))+IF(BV$5&lt;&gt;$H52,0,IF(BV52&lt;0,IF($J52=7,-$E52*$I52/12*0,IF($J52=8,-$E52*$I52/12*1,IF($J52=9,-$E52*$I52/12*2,IF($J52&gt;=10,-$E52*$I52/12*3,0))))))</f>
        <v>0</v>
      </c>
      <c r="BZ52" s="412">
        <f>IF($H52&lt;&gt;CA$5,0,IF(CA52&lt;0,IF(OR($J52=1,$J52=2,$J52=3,$J52=4,$J52=5,$J52=6,$J52=7,$J52=8,$J52=9,$J52=10),-$E52*$I52/12*3,IF($J52=11,-$E52*$I52/12*2,IF($J52=12,-$E52*$I52/12*1,0)))))+IF(BV$5&lt;&gt;$H52,0,IF(BV52&lt;0,IF($J52=10,-$E52*$I52/12*0,IF($J52=11,-$E52*$I52/12*1,IF($J52=12,-$E52*$I52/12*2,0)))))</f>
        <v>0</v>
      </c>
      <c r="CA52" s="413">
        <f>IF(AND(BV52&lt;&gt;0,BV$5=$H52),-$I52*$E52-BV52,IF(CA$5=$H52,-$I52*$E52*(12-$J52+1)/12,0))</f>
        <v>0</v>
      </c>
      <c r="CB52" s="410">
        <f>IF($H52&lt;&gt;CF$5,0,IF(CF52&lt;0,IF($J52=1,-$E52*$I52/12*3,IF($J52=2,-$E52*$I52/12*2,IF($J52=3,-$E52*$I52/12*1,0)))))+IF(CA$5&lt;&gt;$H52,0,IF(CA52&lt;0,IF($J52=1,-$E52*$I52/12*0,IF($J52=2,-$E52*$I52/12*1,IF($J52=3,-$E52*$I52/12*2,IF($J52&gt;=4,-$E52*$I52/12*3,0))))))</f>
        <v>0</v>
      </c>
      <c r="CC52" s="416">
        <f>IF($H52&lt;&gt;CF$5,0,IF(CF52&lt;0,IF(OR($J52=1,$J52=2,$J52=3,$J52=4),-$E52*$I52/12*3,IF($J52=5,-$E52*$I52/12*2,IF($J52=6,-$E52*$I52/12*1,0)))))+IF(CA$5&lt;&gt;$H52,0,IF(CA52&lt;0,IF($J52=4,-$E52*$I52/12*0,IF($J52=5,-$E52*$I52/12*1,IF($J52=6,-$E52*$I52/12*2,IF($J52&gt;=7,-$E52*$I52/12*3,0))))))</f>
        <v>0</v>
      </c>
      <c r="CD52" s="416">
        <f>IF($H52&lt;&gt;CF$5,0,IF(CF52&lt;0,IF(OR($J52=1,$J52=2,$J52=3,$J52=4,$J52=5,$J52=6,$J52=7),-$E52*$I52/12*3,IF($J52=8,-$E52*$I52/12*2,IF($J52=9,-$E52*$I52/12*1,0)))))+IF(CA$5&lt;&gt;$H52,0,IF(CA52&lt;0,IF($J52=7,-$E52*$I52/12*0,IF($J52=8,-$E52*$I52/12*1,IF($J52=9,-$E52*$I52/12*2,IF($J52&gt;=10,-$E52*$I52/12*3,0))))))</f>
        <v>0</v>
      </c>
      <c r="CE52" s="412">
        <f>IF($H52&lt;&gt;CF$5,0,IF(CF52&lt;0,IF(OR($J52=1,$J52=2,$J52=3,$J52=4,$J52=5,$J52=6,$J52=7,$J52=8,$J52=9,$J52=10),-$E52*$I52/12*3,IF($J52=11,-$E52*$I52/12*2,IF($J52=12,-$E52*$I52/12*1,0)))))+IF(CA$5&lt;&gt;$H52,0,IF(CA52&lt;0,IF($J52=10,-$E52*$I52/12*0,IF($J52=11,-$E52*$I52/12*1,IF($J52=12,-$E52*$I52/12*2,0)))))</f>
        <v>0</v>
      </c>
      <c r="CF52" s="413">
        <f>IF(AND(CA52&lt;&gt;0,CA$5=$H52),-$I52*$E52-CA52,IF(CF$5=$H52,-$I52*$E52*(12-$J52+1)/12,0))</f>
        <v>0</v>
      </c>
      <c r="CG52" s="410">
        <f>IF($H52&lt;&gt;CK$5,0,IF(CK52&lt;0,IF($J52=1,-$E52*$I52/12*3,IF($J52=2,-$E52*$I52/12*2,IF($J52=3,-$E52*$I52/12*1,0)))))+IF(CF$5&lt;&gt;$H52,0,IF(CF52&lt;0,IF($J52=1,-$E52*$I52/12*0,IF($J52=2,-$E52*$I52/12*1,IF($J52=3,-$E52*$I52/12*2,IF($J52&gt;=4,-$E52*$I52/12*3,0))))))</f>
        <v>0</v>
      </c>
      <c r="CH52" s="416">
        <f>IF($H52&lt;&gt;CK$5,0,IF(CK52&lt;0,IF(OR($J52=1,$J52=2,$J52=3,$J52=4),-$E52*$I52/12*3,IF($J52=5,-$E52*$I52/12*2,IF($J52=6,-$E52*$I52/12*1,0)))))+IF(CF$5&lt;&gt;$H52,0,IF(CF52&lt;0,IF($J52=4,-$E52*$I52/12*0,IF($J52=5,-$E52*$I52/12*1,IF($J52=6,-$E52*$I52/12*2,IF($J52&gt;=7,-$E52*$I52/12*3,0))))))</f>
        <v>0</v>
      </c>
      <c r="CI52" s="416">
        <f>IF($H52&lt;&gt;CK$5,0,IF(CK52&lt;0,IF(OR($J52=1,$J52=2,$J52=3,$J52=4,$J52=5,$J52=6,$J52=7),-$E52*$I52/12*3,IF($J52=8,-$E52*$I52/12*2,IF($J52=9,-$E52*$I52/12*1,0)))))+IF(CF$5&lt;&gt;$H52,0,IF(CF52&lt;0,IF($J52=7,-$E52*$I52/12*0,IF($J52=8,-$E52*$I52/12*1,IF($J52=9,-$E52*$I52/12*2,IF($J52&gt;=10,-$E52*$I52/12*3,0))))))</f>
        <v>0</v>
      </c>
      <c r="CJ52" s="412">
        <f>IF($H52&lt;&gt;CK$5,0,IF(CK52&lt;0,IF(OR($J52=1,$J52=2,$J52=3,$J52=4,$J52=5,$J52=6,$J52=7,$J52=8,$J52=9,$J52=10),-$E52*$I52/12*3,IF($J52=11,-$E52*$I52/12*2,IF($J52=12,-$E52*$I52/12*1,0)))))+IF(CF$5&lt;&gt;$H52,0,IF(CF52&lt;0,IF($J52=10,-$E52*$I52/12*0,IF($J52=11,-$E52*$I52/12*1,IF($J52=12,-$E52*$I52/12*2,0)))))</f>
        <v>0</v>
      </c>
      <c r="CK52" s="413">
        <f>IF(AND(CF52&lt;&gt;0,CF$5=$H52),-$I52*$E52-CF52,IF(CK$5=$H52,-$I52*$E52*(12-$J52+1)/12,0))</f>
        <v>0</v>
      </c>
      <c r="CL52" s="410">
        <f>IF($H52&lt;&gt;CP$5,0,IF(CP52&lt;0,IF($J52=1,-$E52*$I52/12*3,IF($J52=2,-$E52*$I52/12*2,IF($J52=3,-$E52*$I52/12*1,0)))))+IF(CK$5&lt;&gt;$H52,0,IF(CK52&lt;0,IF($J52=1,-$E52*$I52/12*0,IF($J52=2,-$E52*$I52/12*1,IF($J52=3,-$E52*$I52/12*2,IF($J52&gt;=4,-$E52*$I52/12*3,0))))))</f>
        <v>0</v>
      </c>
      <c r="CM52" s="416">
        <f>IF($H52&lt;&gt;CP$5,0,IF(CP52&lt;0,IF(OR($J52=1,$J52=2,$J52=3,$J52=4),-$E52*$I52/12*3,IF($J52=5,-$E52*$I52/12*2,IF($J52=6,-$E52*$I52/12*1,0)))))+IF(CK$5&lt;&gt;$H52,0,IF(CK52&lt;0,IF($J52=4,-$E52*$I52/12*0,IF($J52=5,-$E52*$I52/12*1,IF($J52=6,-$E52*$I52/12*2,IF($J52&gt;=7,-$E52*$I52/12*3,0))))))</f>
        <v>0</v>
      </c>
      <c r="CN52" s="416">
        <f>IF($H52&lt;&gt;CP$5,0,IF(CP52&lt;0,IF(OR($J52=1,$J52=2,$J52=3,$J52=4,$J52=5,$J52=6,$J52=7),-$E52*$I52/12*3,IF($J52=8,-$E52*$I52/12*2,IF($J52=9,-$E52*$I52/12*1,0)))))+IF(CK$5&lt;&gt;$H52,0,IF(CK52&lt;0,IF($J52=7,-$E52*$I52/12*0,IF($J52=8,-$E52*$I52/12*1,IF($J52=9,-$E52*$I52/12*2,IF($J52&gt;=10,-$E52*$I52/12*3,0))))))</f>
        <v>0</v>
      </c>
      <c r="CO52" s="412">
        <f>IF($H52&lt;&gt;CP$5,0,IF(CP52&lt;0,IF(OR($J52=1,$J52=2,$J52=3,$J52=4,$J52=5,$J52=6,$J52=7,$J52=8,$J52=9,$J52=10),-$E52*$I52/12*3,IF($J52=11,-$E52*$I52/12*2,IF($J52=12,-$E52*$I52/12*1,0)))))+IF(CK$5&lt;&gt;$H52,0,IF(CK52&lt;0,IF($J52=10,-$E52*$I52/12*0,IF($J52=11,-$E52*$I52/12*1,IF($J52=12,-$E52*$I52/12*2,0)))))</f>
        <v>0</v>
      </c>
      <c r="CP52" s="413">
        <f>IF(AND(CK52&lt;&gt;0,CK$5=$H52),-$I52*$E52-CK52,IF(CP$5=$H52,-$I52*$E52*(12-$J52+1)/12,0))</f>
        <v>0</v>
      </c>
      <c r="CQ52" s="410">
        <f>IF($H52&lt;&gt;CU$5,0,IF(CU52&lt;0,IF($J52=1,-$E52*$I52/12*3,IF($J52=2,-$E52*$I52/12*2,IF($J52=3,-$E52*$I52/12*1,0)))))+IF(CP$5&lt;&gt;$H52,0,IF(CP52&lt;0,IF($J52=1,-$E52*$I52/12*0,IF($J52=2,-$E52*$I52/12*1,IF($J52=3,-$E52*$I52/12*2,IF($J52&gt;=4,-$E52*$I52/12*3,0))))))</f>
        <v>0</v>
      </c>
      <c r="CR52" s="416">
        <f>IF($H52&lt;&gt;CU$5,0,IF(CU52&lt;0,IF(OR($J52=1,$J52=2,$J52=3,$J52=4),-$E52*$I52/12*3,IF($J52=5,-$E52*$I52/12*2,IF($J52=6,-$E52*$I52/12*1,0)))))+IF(CP$5&lt;&gt;$H52,0,IF(CP52&lt;0,IF($J52=4,-$E52*$I52/12*0,IF($J52=5,-$E52*$I52/12*1,IF($J52=6,-$E52*$I52/12*2,IF($J52&gt;=7,-$E52*$I52/12*3,0))))))</f>
        <v>0</v>
      </c>
      <c r="CS52" s="416">
        <f>IF($H52&lt;&gt;CU$5,0,IF(CU52&lt;0,IF(OR($J52=1,$J52=2,$J52=3,$J52=4,$J52=5,$J52=6,$J52=7),-$E52*$I52/12*3,IF($J52=8,-$E52*$I52/12*2,IF($J52=9,-$E52*$I52/12*1,0)))))+IF(CP$5&lt;&gt;$H52,0,IF(CP52&lt;0,IF($J52=7,-$E52*$I52/12*0,IF($J52=8,-$E52*$I52/12*1,IF($J52=9,-$E52*$I52/12*2,IF($J52&gt;=10,-$E52*$I52/12*3,0))))))</f>
        <v>0</v>
      </c>
      <c r="CT52" s="412">
        <f>IF($H52&lt;&gt;CU$5,0,IF(CU52&lt;0,IF(OR($J52=1,$J52=2,$J52=3,$J52=4,$J52=5,$J52=6,$J52=7,$J52=8,$J52=9,$J52=10),-$E52*$I52/12*3,IF($J52=11,-$E52*$I52/12*2,IF($J52=12,-$E52*$I52/12*1,0)))))+IF(CP$5&lt;&gt;$H52,0,IF(CP52&lt;0,IF($J52=10,-$E52*$I52/12*0,IF($J52=11,-$E52*$I52/12*1,IF($J52=12,-$E52*$I52/12*2,0)))))</f>
        <v>0</v>
      </c>
      <c r="CU52" s="413">
        <f>IF(AND(CP52&lt;&gt;0,CP$5=$H52),-$I52*$E52-CP52,IF(CU$5=$H52,-$I52*$E52*(12-$J52+1)/12,0))</f>
        <v>0</v>
      </c>
      <c r="CV52" s="410">
        <f>IF($H52&lt;&gt;CZ$5,0,IF(CZ52&lt;0,IF($J52=1,-$E52*$I52/12*3,IF($J52=2,-$E52*$I52/12*2,IF($J52=3,-$E52*$I52/12*1,0)))))+IF(CU$5&lt;&gt;$H52,0,IF(CU52&lt;0,IF($J52=1,-$E52*$I52/12*0,IF($J52=2,-$E52*$I52/12*1,IF($J52=3,-$E52*$I52/12*2,IF($J52&gt;=4,-$E52*$I52/12*3,0))))))</f>
        <v>0</v>
      </c>
      <c r="CW52" s="416">
        <f>IF($H52&lt;&gt;CZ$5,0,IF(CZ52&lt;0,IF(OR($J52=1,$J52=2,$J52=3,$J52=4),-$E52*$I52/12*3,IF($J52=5,-$E52*$I52/12*2,IF($J52=6,-$E52*$I52/12*1,0)))))+IF(CU$5&lt;&gt;$H52,0,IF(CU52&lt;0,IF($J52=4,-$E52*$I52/12*0,IF($J52=5,-$E52*$I52/12*1,IF($J52=6,-$E52*$I52/12*2,IF($J52&gt;=7,-$E52*$I52/12*3,0))))))</f>
        <v>0</v>
      </c>
      <c r="CX52" s="416">
        <f>IF($H52&lt;&gt;CZ$5,0,IF(CZ52&lt;0,IF(OR($J52=1,$J52=2,$J52=3,$J52=4,$J52=5,$J52=6,$J52=7),-$E52*$I52/12*3,IF($J52=8,-$E52*$I52/12*2,IF($J52=9,-$E52*$I52/12*1,0)))))+IF(CU$5&lt;&gt;$H52,0,IF(CU52&lt;0,IF($J52=7,-$E52*$I52/12*0,IF($J52=8,-$E52*$I52/12*1,IF($J52=9,-$E52*$I52/12*2,IF($J52&gt;=10,-$E52*$I52/12*3,0))))))</f>
        <v>0</v>
      </c>
      <c r="CY52" s="412">
        <f>IF($H52&lt;&gt;CZ$5,0,IF(CZ52&lt;0,IF(OR($J52=1,$J52=2,$J52=3,$J52=4,$J52=5,$J52=6,$J52=7,$J52=8,$J52=9,$J52=10),-$E52*$I52/12*3,IF($J52=11,-$E52*$I52/12*2,IF($J52=12,-$E52*$I52/12*1,0)))))+IF(CU$5&lt;&gt;$H52,0,IF(CU52&lt;0,IF($J52=10,-$E52*$I52/12*0,IF($J52=11,-$E52*$I52/12*1,IF($J52=12,-$E52*$I52/12*2,0)))))</f>
        <v>0</v>
      </c>
      <c r="CZ52" s="413">
        <f>IF(AND(CU52&lt;&gt;0,CU$5=$H52),-$I52*$E52-CU52,IF(CZ$5=$H52,-$I52*$E52*(12-$J52+1)/12,0))</f>
        <v>0</v>
      </c>
      <c r="DA52" s="410">
        <f>IF($H52&lt;&gt;DE$5,0,IF(DE52&lt;0,IF($J52=1,-$E52*$I52/12*3,IF($J52=2,-$E52*$I52/12*2,IF($J52=3,-$E52*$I52/12*1,0)))))+IF(CZ$5&lt;&gt;$H52,0,IF(CZ52&lt;0,IF($J52=1,-$E52*$I52/12*0,IF($J52=2,-$E52*$I52/12*1,IF($J52=3,-$E52*$I52/12*2,IF($J52&gt;=4,-$E52*$I52/12*3,0))))))</f>
        <v>0</v>
      </c>
      <c r="DB52" s="416">
        <f>IF($H52&lt;&gt;DE$5,0,IF(DE52&lt;0,IF(OR($J52=1,$J52=2,$J52=3,$J52=4),-$E52*$I52/12*3,IF($J52=5,-$E52*$I52/12*2,IF($J52=6,-$E52*$I52/12*1,0)))))+IF(CZ$5&lt;&gt;$H52,0,IF(CZ52&lt;0,IF($J52=4,-$E52*$I52/12*0,IF($J52=5,-$E52*$I52/12*1,IF($J52=6,-$E52*$I52/12*2,IF($J52&gt;=7,-$E52*$I52/12*3,0))))))</f>
        <v>0</v>
      </c>
      <c r="DC52" s="416">
        <f>IF($H52&lt;&gt;DE$5,0,IF(DE52&lt;0,IF(OR($J52=1,$J52=2,$J52=3,$J52=4,$J52=5,$J52=6,$J52=7),-$E52*$I52/12*3,IF($J52=8,-$E52*$I52/12*2,IF($J52=9,-$E52*$I52/12*1,0)))))+IF(CZ$5&lt;&gt;$H52,0,IF(CZ52&lt;0,IF($J52=7,-$E52*$I52/12*0,IF($J52=8,-$E52*$I52/12*1,IF($J52=9,-$E52*$I52/12*2,IF($J52&gt;=10,-$E52*$I52/12*3,0))))))</f>
        <v>0</v>
      </c>
      <c r="DD52" s="412">
        <f>IF($H52&lt;&gt;DE$5,0,IF(DE52&lt;0,IF(OR($J52=1,$J52=2,$J52=3,$J52=4,$J52=5,$J52=6,$J52=7,$J52=8,$J52=9,$J52=10),-$E52*$I52/12*3,IF($J52=11,-$E52*$I52/12*2,IF($J52=12,-$E52*$I52/12*1,0)))))+IF(CZ$5&lt;&gt;$H52,0,IF(CZ52&lt;0,IF($J52=10,-$E52*$I52/12*0,IF($J52=11,-$E52*$I52/12*1,IF($J52=12,-$E52*$I52/12*2,0)))))</f>
        <v>0</v>
      </c>
      <c r="DE52" s="413">
        <f>IF(AND(CZ52&lt;&gt;0,CZ$5=$H52),-$I52*$E52-CZ52,IF(DE$5=$H52,-$I52*$E52*(12-$J52+1)/12,0))</f>
        <v>0</v>
      </c>
      <c r="DF52" s="410">
        <f>IF($H52&lt;&gt;DJ$5,0,IF(DJ52&lt;0,IF($J52=1,-$E52*$I52/12*3,IF($J52=2,-$E52*$I52/12*2,IF($J52=3,-$E52*$I52/12*1,0)))))+IF(DE$5&lt;&gt;$H52,0,IF(DE52&lt;0,IF($J52=1,-$E52*$I52/12*0,IF($J52=2,-$E52*$I52/12*1,IF($J52=3,-$E52*$I52/12*2,IF($J52&gt;=4,-$E52*$I52/12*3,0))))))</f>
        <v>0</v>
      </c>
      <c r="DG52" s="416">
        <f>IF($H52&lt;&gt;DJ$5,0,IF(DJ52&lt;0,IF(OR($J52=1,$J52=2,$J52=3,$J52=4),-$E52*$I52/12*3,IF($J52=5,-$E52*$I52/12*2,IF($J52=6,-$E52*$I52/12*1,0)))))+IF(DE$5&lt;&gt;$H52,0,IF(DE52&lt;0,IF($J52=4,-$E52*$I52/12*0,IF($J52=5,-$E52*$I52/12*1,IF($J52=6,-$E52*$I52/12*2,IF($J52&gt;=7,-$E52*$I52/12*3,0))))))</f>
        <v>0</v>
      </c>
      <c r="DH52" s="416">
        <f>IF($H52&lt;&gt;DJ$5,0,IF(DJ52&lt;0,IF(OR($J52=1,$J52=2,$J52=3,$J52=4,$J52=5,$J52=6,$J52=7),-$E52*$I52/12*3,IF($J52=8,-$E52*$I52/12*2,IF($J52=9,-$E52*$I52/12*1,0)))))+IF(DE$5&lt;&gt;$H52,0,IF(DE52&lt;0,IF($J52=7,-$E52*$I52/12*0,IF($J52=8,-$E52*$I52/12*1,IF($J52=9,-$E52*$I52/12*2,IF($J52&gt;=10,-$E52*$I52/12*3,0))))))</f>
        <v>0</v>
      </c>
      <c r="DI52" s="412">
        <f>IF($H52&lt;&gt;DJ$5,0,IF(DJ52&lt;0,IF(OR($J52=1,$J52=2,$J52=3,$J52=4,$J52=5,$J52=6,$J52=7,$J52=8,$J52=9,$J52=10),-$E52*$I52/12*3,IF($J52=11,-$E52*$I52/12*2,IF($J52=12,-$E52*$I52/12*1,0)))))+IF(DE$5&lt;&gt;$H52,0,IF(DE52&lt;0,IF($J52=10,-$E52*$I52/12*0,IF($J52=11,-$E52*$I52/12*1,IF($J52=12,-$E52*$I52/12*2,0)))))</f>
        <v>0</v>
      </c>
      <c r="DJ52" s="413">
        <f>IF(AND(DE52&lt;&gt;0,DE$5=$H52),-$I52*$E52-DE52,IF(DJ$5=$H52,-$I52*$E52*(12-$J52+1)/12,0))</f>
        <v>0</v>
      </c>
      <c r="DK52" s="410">
        <f>IF($H52&lt;&gt;DO$5,0,IF(DO52&lt;0,IF($J52=1,-$E52*$I52/12*3,IF($J52=2,-$E52*$I52/12*2,IF($J52=3,-$E52*$I52/12*1,0)))))+IF(DJ$5&lt;&gt;$H52,0,IF(DJ52&lt;0,IF($J52=1,-$E52*$I52/12*0,IF($J52=2,-$E52*$I52/12*1,IF($J52=3,-$E52*$I52/12*2,IF($J52&gt;=4,-$E52*$I52/12*3,0))))))</f>
        <v>0</v>
      </c>
      <c r="DL52" s="416">
        <f>IF($H52&lt;&gt;DO$5,0,IF(DO52&lt;0,IF(OR($J52=1,$J52=2,$J52=3,$J52=4),-$E52*$I52/12*3,IF($J52=5,-$E52*$I52/12*2,IF($J52=6,-$E52*$I52/12*1,0)))))+IF(DJ$5&lt;&gt;$H52,0,IF(DJ52&lt;0,IF($J52=4,-$E52*$I52/12*0,IF($J52=5,-$E52*$I52/12*1,IF($J52=6,-$E52*$I52/12*2,IF($J52&gt;=7,-$E52*$I52/12*3,0))))))</f>
        <v>0</v>
      </c>
      <c r="DM52" s="416">
        <f>IF($H52&lt;&gt;DO$5,0,IF(DO52&lt;0,IF(OR($J52=1,$J52=2,$J52=3,$J52=4,$J52=5,$J52=6,$J52=7),-$E52*$I52/12*3,IF($J52=8,-$E52*$I52/12*2,IF($J52=9,-$E52*$I52/12*1,0)))))+IF(DJ$5&lt;&gt;$H52,0,IF(DJ52&lt;0,IF($J52=7,-$E52*$I52/12*0,IF($J52=8,-$E52*$I52/12*1,IF($J52=9,-$E52*$I52/12*2,IF($J52&gt;=10,-$E52*$I52/12*3,0))))))</f>
        <v>0</v>
      </c>
      <c r="DN52" s="412">
        <f>IF($H52&lt;&gt;DO$5,0,IF(DO52&lt;0,IF(OR($J52=1,$J52=2,$J52=3,$J52=4,$J52=5,$J52=6,$J52=7,$J52=8,$J52=9,$J52=10),-$E52*$I52/12*3,IF($J52=11,-$E52*$I52/12*2,IF($J52=12,-$E52*$I52/12*1,0)))))+IF(DJ$5&lt;&gt;$H52,0,IF(DJ52&lt;0,IF($J52=10,-$E52*$I52/12*0,IF($J52=11,-$E52*$I52/12*1,IF($J52=12,-$E52*$I52/12*2,0)))))</f>
        <v>0</v>
      </c>
      <c r="DO52" s="413">
        <f>IF(AND(DJ52&lt;&gt;0,DJ$5=$H52),-$I52*$E52-DJ52,IF(DO$5=$H52,-$I52*$E52*(12-$J52+1)/12,0))</f>
        <v>0</v>
      </c>
      <c r="DP52" s="410">
        <f>IF($H52&lt;&gt;DT$5,0,IF(DT52&lt;0,IF($J52=1,-$E52*$I52/12*3,IF($J52=2,-$E52*$I52/12*2,IF($J52=3,-$E52*$I52/12*1,0)))))+IF(DO$5&lt;&gt;$H52,0,IF(DO52&lt;0,IF($J52=1,-$E52*$I52/12*0,IF($J52=2,-$E52*$I52/12*1,IF($J52=3,-$E52*$I52/12*2,IF($J52&gt;=4,-$E52*$I52/12*3,0))))))</f>
        <v>0</v>
      </c>
      <c r="DQ52" s="416">
        <f>IF($H52&lt;&gt;DT$5,0,IF(DT52&lt;0,IF(OR($J52=1,$J52=2,$J52=3,$J52=4),-$E52*$I52/12*3,IF($J52=5,-$E52*$I52/12*2,IF($J52=6,-$E52*$I52/12*1,0)))))+IF(DO$5&lt;&gt;$H52,0,IF(DO52&lt;0,IF($J52=4,-$E52*$I52/12*0,IF($J52=5,-$E52*$I52/12*1,IF($J52=6,-$E52*$I52/12*2,IF($J52&gt;=7,-$E52*$I52/12*3,0))))))</f>
        <v>0</v>
      </c>
      <c r="DR52" s="416">
        <f>IF($H52&lt;&gt;DT$5,0,IF(DT52&lt;0,IF(OR($J52=1,$J52=2,$J52=3,$J52=4,$J52=5,$J52=6,$J52=7),-$E52*$I52/12*3,IF($J52=8,-$E52*$I52/12*2,IF($J52=9,-$E52*$I52/12*1,0)))))+IF(DO$5&lt;&gt;$H52,0,IF(DO52&lt;0,IF($J52=7,-$E52*$I52/12*0,IF($J52=8,-$E52*$I52/12*1,IF($J52=9,-$E52*$I52/12*2,IF($J52&gt;=10,-$E52*$I52/12*3,0))))))</f>
        <v>0</v>
      </c>
      <c r="DS52" s="412">
        <f>IF($H52&lt;&gt;DT$5,0,IF(DT52&lt;0,IF(OR($J52=1,$J52=2,$J52=3,$J52=4,$J52=5,$J52=6,$J52=7,$J52=8,$J52=9,$J52=10),-$E52*$I52/12*3,IF($J52=11,-$E52*$I52/12*2,IF($J52=12,-$E52*$I52/12*1,0)))))+IF(DO$5&lt;&gt;$H52,0,IF(DO52&lt;0,IF($J52=10,-$E52*$I52/12*0,IF($J52=11,-$E52*$I52/12*1,IF($J52=12,-$E52*$I52/12*2,0)))))</f>
        <v>0</v>
      </c>
      <c r="DT52" s="413">
        <f>IF(AND(DO52&lt;&gt;0,DO$5=$H52),-$I52*$E52-DO52,IF(DT$5=$H52,-$I52*$E52*(12-$J52+1)/12,0))</f>
        <v>0</v>
      </c>
    </row>
    <row r="53" spans="1:124" ht="12.75" customHeight="1">
      <c r="A53" s="491"/>
      <c r="C53" s="4"/>
      <c r="D53" s="4"/>
      <c r="E53" s="5" t="s">
        <v>255</v>
      </c>
      <c r="F53" s="1228"/>
      <c r="G53" s="1228"/>
      <c r="H53" s="6"/>
      <c r="I53" s="7"/>
      <c r="J53" s="618"/>
      <c r="K53" s="451"/>
      <c r="L53" s="419"/>
      <c r="M53" s="420"/>
      <c r="N53" s="421"/>
      <c r="O53" s="421"/>
      <c r="P53" s="422"/>
      <c r="Q53" s="419"/>
      <c r="R53" s="420"/>
      <c r="S53" s="421"/>
      <c r="T53" s="421"/>
      <c r="U53" s="422"/>
      <c r="V53" s="419"/>
      <c r="W53" s="420"/>
      <c r="X53" s="421"/>
      <c r="Y53" s="421"/>
      <c r="Z53" s="422"/>
      <c r="AA53" s="419"/>
      <c r="AB53" s="420"/>
      <c r="AC53" s="421"/>
      <c r="AD53" s="421"/>
      <c r="AE53" s="422"/>
      <c r="AF53" s="419"/>
      <c r="AG53" s="420"/>
      <c r="AH53" s="421"/>
      <c r="AI53" s="421"/>
      <c r="AJ53" s="422"/>
      <c r="AK53" s="419"/>
      <c r="AL53" s="420"/>
      <c r="AM53" s="421"/>
      <c r="AN53" s="421"/>
      <c r="AO53" s="422"/>
      <c r="AP53" s="419"/>
      <c r="AQ53" s="420"/>
      <c r="AR53" s="421"/>
      <c r="AS53" s="421"/>
      <c r="AT53" s="422"/>
      <c r="AU53" s="419"/>
      <c r="AV53" s="420"/>
      <c r="AW53" s="421"/>
      <c r="AX53" s="421"/>
      <c r="AY53" s="422"/>
      <c r="AZ53" s="419"/>
      <c r="BA53" s="420"/>
      <c r="BB53" s="421"/>
      <c r="BC53" s="421"/>
      <c r="BD53" s="422"/>
      <c r="BE53" s="419"/>
      <c r="BF53" s="420"/>
      <c r="BG53" s="421"/>
      <c r="BH53" s="421"/>
      <c r="BI53" s="422"/>
      <c r="BJ53" s="419"/>
      <c r="BK53" s="420"/>
      <c r="BL53" s="421"/>
      <c r="BM53" s="421"/>
      <c r="BN53" s="422"/>
      <c r="BO53" s="419"/>
      <c r="BP53" s="452"/>
      <c r="BQ53" s="424"/>
      <c r="BR53" s="425"/>
      <c r="BS53" s="426"/>
      <c r="BT53" s="426"/>
      <c r="BU53" s="427"/>
      <c r="BV53" s="424"/>
      <c r="BW53" s="425"/>
      <c r="BX53" s="426"/>
      <c r="BY53" s="426"/>
      <c r="BZ53" s="427"/>
      <c r="CA53" s="424"/>
      <c r="CB53" s="425"/>
      <c r="CC53" s="426"/>
      <c r="CD53" s="426"/>
      <c r="CE53" s="427"/>
      <c r="CF53" s="424"/>
      <c r="CG53" s="425"/>
      <c r="CH53" s="426"/>
      <c r="CI53" s="426"/>
      <c r="CJ53" s="427"/>
      <c r="CK53" s="424"/>
      <c r="CL53" s="425"/>
      <c r="CM53" s="426"/>
      <c r="CN53" s="426"/>
      <c r="CO53" s="427"/>
      <c r="CP53" s="424"/>
      <c r="CQ53" s="425"/>
      <c r="CR53" s="426"/>
      <c r="CS53" s="426"/>
      <c r="CT53" s="427"/>
      <c r="CU53" s="424"/>
      <c r="CV53" s="425"/>
      <c r="CW53" s="426"/>
      <c r="CX53" s="426"/>
      <c r="CY53" s="427"/>
      <c r="CZ53" s="424"/>
      <c r="DA53" s="425"/>
      <c r="DB53" s="426"/>
      <c r="DC53" s="426"/>
      <c r="DD53" s="427"/>
      <c r="DE53" s="424"/>
      <c r="DF53" s="425"/>
      <c r="DG53" s="426"/>
      <c r="DH53" s="426"/>
      <c r="DI53" s="427"/>
      <c r="DJ53" s="424"/>
      <c r="DK53" s="425"/>
      <c r="DL53" s="426"/>
      <c r="DM53" s="426"/>
      <c r="DN53" s="427"/>
      <c r="DO53" s="424"/>
      <c r="DP53" s="425"/>
      <c r="DQ53" s="426"/>
      <c r="DR53" s="426"/>
      <c r="DS53" s="427"/>
      <c r="DT53" s="424"/>
    </row>
    <row r="54" spans="1:124" ht="12.75" customHeight="1">
      <c r="A54" s="515"/>
      <c r="B54" s="56"/>
      <c r="C54" s="751" t="s">
        <v>48</v>
      </c>
      <c r="D54" s="751"/>
      <c r="E54" s="8">
        <f>SUM(E19:E53)</f>
        <v>4775</v>
      </c>
      <c r="F54" s="1229">
        <f>SUM(F19:F53)</f>
        <v>4225</v>
      </c>
      <c r="G54" s="1229">
        <f>SUM(G19:G53)</f>
        <v>3150</v>
      </c>
      <c r="H54" s="9"/>
      <c r="I54" s="10"/>
      <c r="J54" s="619"/>
      <c r="K54" s="453"/>
      <c r="L54" s="429">
        <f t="shared" ref="L54:AQ54" si="337">SUM(L19:L53)</f>
        <v>0</v>
      </c>
      <c r="M54" s="430">
        <f t="shared" si="337"/>
        <v>0</v>
      </c>
      <c r="N54" s="431">
        <f t="shared" si="337"/>
        <v>0</v>
      </c>
      <c r="O54" s="431">
        <f t="shared" si="337"/>
        <v>0</v>
      </c>
      <c r="P54" s="432">
        <f t="shared" si="337"/>
        <v>0</v>
      </c>
      <c r="Q54" s="429">
        <f t="shared" si="337"/>
        <v>0</v>
      </c>
      <c r="R54" s="430">
        <f t="shared" si="337"/>
        <v>0</v>
      </c>
      <c r="S54" s="431">
        <f t="shared" si="337"/>
        <v>0</v>
      </c>
      <c r="T54" s="431">
        <f t="shared" si="337"/>
        <v>0</v>
      </c>
      <c r="U54" s="432">
        <f t="shared" si="337"/>
        <v>0</v>
      </c>
      <c r="V54" s="429">
        <f t="shared" si="337"/>
        <v>0</v>
      </c>
      <c r="W54" s="430">
        <f t="shared" si="337"/>
        <v>0</v>
      </c>
      <c r="X54" s="431">
        <f t="shared" si="337"/>
        <v>0</v>
      </c>
      <c r="Y54" s="431">
        <f t="shared" si="337"/>
        <v>0</v>
      </c>
      <c r="Z54" s="432">
        <f t="shared" si="337"/>
        <v>0</v>
      </c>
      <c r="AA54" s="429">
        <f t="shared" si="337"/>
        <v>0</v>
      </c>
      <c r="AB54" s="430">
        <f t="shared" si="337"/>
        <v>0</v>
      </c>
      <c r="AC54" s="431">
        <f t="shared" si="337"/>
        <v>0</v>
      </c>
      <c r="AD54" s="431">
        <f t="shared" si="337"/>
        <v>0</v>
      </c>
      <c r="AE54" s="432">
        <f t="shared" si="337"/>
        <v>0</v>
      </c>
      <c r="AF54" s="429">
        <f t="shared" si="337"/>
        <v>0</v>
      </c>
      <c r="AG54" s="430">
        <f t="shared" si="337"/>
        <v>0</v>
      </c>
      <c r="AH54" s="431">
        <f t="shared" si="337"/>
        <v>0</v>
      </c>
      <c r="AI54" s="431">
        <f t="shared" si="337"/>
        <v>0</v>
      </c>
      <c r="AJ54" s="432">
        <f t="shared" si="337"/>
        <v>0</v>
      </c>
      <c r="AK54" s="429">
        <f t="shared" si="337"/>
        <v>0</v>
      </c>
      <c r="AL54" s="430">
        <f t="shared" si="337"/>
        <v>0</v>
      </c>
      <c r="AM54" s="431">
        <f t="shared" si="337"/>
        <v>0</v>
      </c>
      <c r="AN54" s="431">
        <f t="shared" si="337"/>
        <v>0</v>
      </c>
      <c r="AO54" s="432">
        <f t="shared" si="337"/>
        <v>0</v>
      </c>
      <c r="AP54" s="429">
        <f t="shared" si="337"/>
        <v>0</v>
      </c>
      <c r="AQ54" s="430">
        <f t="shared" si="337"/>
        <v>0</v>
      </c>
      <c r="AR54" s="431">
        <f t="shared" ref="AR54:BO54" si="338">SUM(AR19:AR53)</f>
        <v>0</v>
      </c>
      <c r="AS54" s="431">
        <f t="shared" si="338"/>
        <v>0</v>
      </c>
      <c r="AT54" s="432">
        <f t="shared" si="338"/>
        <v>-550</v>
      </c>
      <c r="AU54" s="429">
        <f t="shared" si="338"/>
        <v>-550</v>
      </c>
      <c r="AV54" s="430">
        <f t="shared" si="338"/>
        <v>0</v>
      </c>
      <c r="AW54" s="431">
        <f t="shared" si="338"/>
        <v>0</v>
      </c>
      <c r="AX54" s="431">
        <f t="shared" si="338"/>
        <v>0</v>
      </c>
      <c r="AY54" s="432">
        <f t="shared" si="338"/>
        <v>-50</v>
      </c>
      <c r="AZ54" s="429">
        <f t="shared" si="338"/>
        <v>-50</v>
      </c>
      <c r="BA54" s="430">
        <f t="shared" si="338"/>
        <v>0</v>
      </c>
      <c r="BB54" s="431">
        <f t="shared" si="338"/>
        <v>0</v>
      </c>
      <c r="BC54" s="431">
        <f t="shared" si="338"/>
        <v>0</v>
      </c>
      <c r="BD54" s="432">
        <f t="shared" si="338"/>
        <v>-85</v>
      </c>
      <c r="BE54" s="429">
        <f t="shared" si="338"/>
        <v>-85</v>
      </c>
      <c r="BF54" s="430">
        <f t="shared" si="338"/>
        <v>0</v>
      </c>
      <c r="BG54" s="431">
        <f t="shared" si="338"/>
        <v>0</v>
      </c>
      <c r="BH54" s="431">
        <f t="shared" si="338"/>
        <v>0</v>
      </c>
      <c r="BI54" s="432">
        <f t="shared" si="338"/>
        <v>0</v>
      </c>
      <c r="BJ54" s="429">
        <f t="shared" si="338"/>
        <v>0</v>
      </c>
      <c r="BK54" s="430">
        <f t="shared" si="338"/>
        <v>0</v>
      </c>
      <c r="BL54" s="431">
        <f t="shared" si="338"/>
        <v>0</v>
      </c>
      <c r="BM54" s="431">
        <f t="shared" si="338"/>
        <v>0</v>
      </c>
      <c r="BN54" s="432">
        <f t="shared" si="338"/>
        <v>-50</v>
      </c>
      <c r="BO54" s="429">
        <f t="shared" si="338"/>
        <v>-50</v>
      </c>
      <c r="BP54" s="454"/>
      <c r="BQ54" s="434">
        <f t="shared" ref="BQ54:CV54" si="339">SUM(BQ19:BQ53)</f>
        <v>0</v>
      </c>
      <c r="BR54" s="435">
        <f t="shared" si="339"/>
        <v>0</v>
      </c>
      <c r="BS54" s="436">
        <f t="shared" si="339"/>
        <v>0</v>
      </c>
      <c r="BT54" s="436">
        <f t="shared" si="339"/>
        <v>0</v>
      </c>
      <c r="BU54" s="437">
        <f t="shared" si="339"/>
        <v>0</v>
      </c>
      <c r="BV54" s="434">
        <f t="shared" si="339"/>
        <v>0</v>
      </c>
      <c r="BW54" s="435">
        <f t="shared" si="339"/>
        <v>0</v>
      </c>
      <c r="BX54" s="436">
        <f t="shared" si="339"/>
        <v>0</v>
      </c>
      <c r="BY54" s="436">
        <f t="shared" si="339"/>
        <v>0</v>
      </c>
      <c r="BZ54" s="437">
        <f t="shared" si="339"/>
        <v>0</v>
      </c>
      <c r="CA54" s="434">
        <f t="shared" si="339"/>
        <v>0</v>
      </c>
      <c r="CB54" s="435">
        <f t="shared" si="339"/>
        <v>0</v>
      </c>
      <c r="CC54" s="436">
        <f t="shared" si="339"/>
        <v>0</v>
      </c>
      <c r="CD54" s="436">
        <f t="shared" si="339"/>
        <v>0</v>
      </c>
      <c r="CE54" s="437">
        <f t="shared" si="339"/>
        <v>0</v>
      </c>
      <c r="CF54" s="434">
        <f t="shared" si="339"/>
        <v>0</v>
      </c>
      <c r="CG54" s="435">
        <f t="shared" si="339"/>
        <v>0</v>
      </c>
      <c r="CH54" s="436">
        <f t="shared" si="339"/>
        <v>0</v>
      </c>
      <c r="CI54" s="436">
        <f t="shared" si="339"/>
        <v>0</v>
      </c>
      <c r="CJ54" s="437">
        <f t="shared" si="339"/>
        <v>0</v>
      </c>
      <c r="CK54" s="434">
        <f t="shared" si="339"/>
        <v>0</v>
      </c>
      <c r="CL54" s="435">
        <f t="shared" si="339"/>
        <v>0</v>
      </c>
      <c r="CM54" s="436">
        <f t="shared" si="339"/>
        <v>0</v>
      </c>
      <c r="CN54" s="436">
        <f t="shared" si="339"/>
        <v>0</v>
      </c>
      <c r="CO54" s="437">
        <f t="shared" si="339"/>
        <v>0</v>
      </c>
      <c r="CP54" s="434">
        <f t="shared" si="339"/>
        <v>0</v>
      </c>
      <c r="CQ54" s="435">
        <f t="shared" si="339"/>
        <v>0</v>
      </c>
      <c r="CR54" s="436">
        <f t="shared" si="339"/>
        <v>0</v>
      </c>
      <c r="CS54" s="436">
        <f t="shared" si="339"/>
        <v>0</v>
      </c>
      <c r="CT54" s="437">
        <f t="shared" si="339"/>
        <v>0</v>
      </c>
      <c r="CU54" s="434">
        <f t="shared" si="339"/>
        <v>0</v>
      </c>
      <c r="CV54" s="435">
        <f t="shared" si="339"/>
        <v>0</v>
      </c>
      <c r="CW54" s="436">
        <f t="shared" ref="CW54:DT54" si="340">SUM(CW19:CW53)</f>
        <v>0</v>
      </c>
      <c r="CX54" s="436">
        <f t="shared" si="340"/>
        <v>0</v>
      </c>
      <c r="CY54" s="437">
        <f t="shared" si="340"/>
        <v>-0.75625000000000009</v>
      </c>
      <c r="CZ54" s="434">
        <f t="shared" si="340"/>
        <v>-0.75625000000000009</v>
      </c>
      <c r="DA54" s="435">
        <f t="shared" si="340"/>
        <v>-2.2687500000000003</v>
      </c>
      <c r="DB54" s="436">
        <f t="shared" si="340"/>
        <v>-2.2687500000000003</v>
      </c>
      <c r="DC54" s="436">
        <f t="shared" si="340"/>
        <v>-2.2687500000000003</v>
      </c>
      <c r="DD54" s="437">
        <f t="shared" si="340"/>
        <v>-1.7400000000000002</v>
      </c>
      <c r="DE54" s="434">
        <f t="shared" si="340"/>
        <v>-8.5462500000000006</v>
      </c>
      <c r="DF54" s="435">
        <f t="shared" si="340"/>
        <v>-0.34125</v>
      </c>
      <c r="DG54" s="436">
        <f t="shared" si="340"/>
        <v>-0.34125</v>
      </c>
      <c r="DH54" s="436">
        <f t="shared" si="340"/>
        <v>-0.34125</v>
      </c>
      <c r="DI54" s="437">
        <f t="shared" si="340"/>
        <v>-0.49341666666666667</v>
      </c>
      <c r="DJ54" s="434">
        <f t="shared" si="340"/>
        <v>-1.5171666666666666</v>
      </c>
      <c r="DK54" s="435">
        <f t="shared" si="340"/>
        <v>-0.56950000000000001</v>
      </c>
      <c r="DL54" s="436">
        <f t="shared" si="340"/>
        <v>-0.56950000000000001</v>
      </c>
      <c r="DM54" s="436">
        <f t="shared" si="340"/>
        <v>-0.56950000000000001</v>
      </c>
      <c r="DN54" s="437">
        <f t="shared" si="340"/>
        <v>-0.18983333333333333</v>
      </c>
      <c r="DO54" s="434">
        <f t="shared" si="340"/>
        <v>-1.8983333333333334</v>
      </c>
      <c r="DP54" s="435">
        <f t="shared" si="340"/>
        <v>0</v>
      </c>
      <c r="DQ54" s="436">
        <f t="shared" si="340"/>
        <v>0</v>
      </c>
      <c r="DR54" s="436">
        <f t="shared" si="340"/>
        <v>0</v>
      </c>
      <c r="DS54" s="437">
        <f t="shared" si="340"/>
        <v>-0.26500000000000001</v>
      </c>
      <c r="DT54" s="434">
        <f t="shared" si="340"/>
        <v>-0.26500000000000001</v>
      </c>
    </row>
    <row r="55" spans="1:124" ht="12.75" customHeight="1">
      <c r="A55" s="491"/>
      <c r="C55" s="11"/>
      <c r="D55" s="11"/>
      <c r="E55" s="831"/>
      <c r="F55" s="1226"/>
      <c r="G55" s="1226"/>
      <c r="H55" s="12"/>
      <c r="I55" s="13"/>
      <c r="J55" s="620" t="s">
        <v>255</v>
      </c>
      <c r="K55" s="402"/>
      <c r="L55" s="403"/>
      <c r="M55" s="404"/>
      <c r="N55" s="405"/>
      <c r="O55" s="405"/>
      <c r="P55" s="406"/>
      <c r="Q55" s="407"/>
      <c r="R55" s="404"/>
      <c r="S55" s="405"/>
      <c r="T55" s="405"/>
      <c r="U55" s="406"/>
      <c r="V55" s="407"/>
      <c r="W55" s="404"/>
      <c r="X55" s="405"/>
      <c r="Y55" s="405"/>
      <c r="Z55" s="406"/>
      <c r="AA55" s="407"/>
      <c r="AB55" s="404"/>
      <c r="AC55" s="405"/>
      <c r="AD55" s="405"/>
      <c r="AE55" s="406"/>
      <c r="AF55" s="407"/>
      <c r="AG55" s="404"/>
      <c r="AH55" s="405"/>
      <c r="AI55" s="405"/>
      <c r="AJ55" s="406"/>
      <c r="AK55" s="407"/>
      <c r="AL55" s="404"/>
      <c r="AM55" s="405"/>
      <c r="AN55" s="405"/>
      <c r="AO55" s="406"/>
      <c r="AP55" s="407"/>
      <c r="AQ55" s="404"/>
      <c r="AR55" s="405"/>
      <c r="AS55" s="405"/>
      <c r="AT55" s="406"/>
      <c r="AU55" s="407"/>
      <c r="AV55" s="404"/>
      <c r="AW55" s="405"/>
      <c r="AX55" s="405"/>
      <c r="AY55" s="406"/>
      <c r="AZ55" s="407"/>
      <c r="BA55" s="404"/>
      <c r="BB55" s="405"/>
      <c r="BC55" s="405"/>
      <c r="BD55" s="406"/>
      <c r="BE55" s="407"/>
      <c r="BF55" s="404"/>
      <c r="BG55" s="405"/>
      <c r="BH55" s="405"/>
      <c r="BI55" s="406"/>
      <c r="BJ55" s="407"/>
      <c r="BK55" s="404"/>
      <c r="BL55" s="405"/>
      <c r="BM55" s="405"/>
      <c r="BN55" s="406"/>
      <c r="BO55" s="407"/>
      <c r="BP55" s="449"/>
      <c r="BQ55" s="409"/>
      <c r="BR55" s="410"/>
      <c r="BS55" s="411"/>
      <c r="BT55" s="411"/>
      <c r="BU55" s="412"/>
      <c r="BV55" s="413"/>
      <c r="BW55" s="410"/>
      <c r="BX55" s="411"/>
      <c r="BY55" s="411"/>
      <c r="BZ55" s="412"/>
      <c r="CA55" s="413"/>
      <c r="CB55" s="410"/>
      <c r="CC55" s="411"/>
      <c r="CD55" s="411"/>
      <c r="CE55" s="412"/>
      <c r="CF55" s="413"/>
      <c r="CG55" s="410"/>
      <c r="CH55" s="411"/>
      <c r="CI55" s="411"/>
      <c r="CJ55" s="412"/>
      <c r="CK55" s="413"/>
      <c r="CL55" s="410"/>
      <c r="CM55" s="411"/>
      <c r="CN55" s="411"/>
      <c r="CO55" s="412"/>
      <c r="CP55" s="413"/>
      <c r="CQ55" s="410"/>
      <c r="CR55" s="411"/>
      <c r="CS55" s="411"/>
      <c r="CT55" s="412"/>
      <c r="CU55" s="413"/>
      <c r="CV55" s="410"/>
      <c r="CW55" s="411"/>
      <c r="CX55" s="411"/>
      <c r="CY55" s="412"/>
      <c r="CZ55" s="413"/>
      <c r="DA55" s="410"/>
      <c r="DB55" s="411"/>
      <c r="DC55" s="411"/>
      <c r="DD55" s="412"/>
      <c r="DE55" s="413"/>
      <c r="DF55" s="410"/>
      <c r="DG55" s="411"/>
      <c r="DH55" s="411"/>
      <c r="DI55" s="412"/>
      <c r="DJ55" s="413"/>
      <c r="DK55" s="410"/>
      <c r="DL55" s="411"/>
      <c r="DM55" s="411"/>
      <c r="DN55" s="412"/>
      <c r="DO55" s="413"/>
      <c r="DP55" s="410"/>
      <c r="DQ55" s="411"/>
      <c r="DR55" s="411"/>
      <c r="DS55" s="412"/>
      <c r="DT55" s="413"/>
    </row>
    <row r="56" spans="1:124" ht="12.75" customHeight="1">
      <c r="A56" s="491"/>
      <c r="C56" s="14" t="s">
        <v>279</v>
      </c>
      <c r="D56" s="14"/>
      <c r="E56" s="831"/>
      <c r="F56" s="1226"/>
      <c r="G56" s="1226"/>
      <c r="H56" s="15"/>
      <c r="I56" s="614"/>
      <c r="J56" s="616"/>
      <c r="K56" s="402"/>
      <c r="L56" s="403"/>
      <c r="M56" s="404"/>
      <c r="N56" s="405"/>
      <c r="O56" s="405"/>
      <c r="P56" s="406"/>
      <c r="Q56" s="407"/>
      <c r="R56" s="404"/>
      <c r="S56" s="405"/>
      <c r="T56" s="405"/>
      <c r="U56" s="406"/>
      <c r="V56" s="407"/>
      <c r="W56" s="404"/>
      <c r="X56" s="405"/>
      <c r="Y56" s="405"/>
      <c r="Z56" s="406"/>
      <c r="AA56" s="407"/>
      <c r="AB56" s="404"/>
      <c r="AC56" s="405"/>
      <c r="AD56" s="405"/>
      <c r="AE56" s="406"/>
      <c r="AF56" s="407"/>
      <c r="AG56" s="404"/>
      <c r="AH56" s="405"/>
      <c r="AI56" s="405"/>
      <c r="AJ56" s="406"/>
      <c r="AK56" s="407"/>
      <c r="AL56" s="404"/>
      <c r="AM56" s="405"/>
      <c r="AN56" s="405"/>
      <c r="AO56" s="406"/>
      <c r="AP56" s="407"/>
      <c r="AQ56" s="404"/>
      <c r="AR56" s="405"/>
      <c r="AS56" s="405"/>
      <c r="AT56" s="406"/>
      <c r="AU56" s="407"/>
      <c r="AV56" s="404"/>
      <c r="AW56" s="405"/>
      <c r="AX56" s="405"/>
      <c r="AY56" s="406"/>
      <c r="AZ56" s="407"/>
      <c r="BA56" s="404"/>
      <c r="BB56" s="405"/>
      <c r="BC56" s="405"/>
      <c r="BD56" s="406"/>
      <c r="BE56" s="407"/>
      <c r="BF56" s="404"/>
      <c r="BG56" s="405"/>
      <c r="BH56" s="405"/>
      <c r="BI56" s="406"/>
      <c r="BJ56" s="407"/>
      <c r="BK56" s="404"/>
      <c r="BL56" s="405"/>
      <c r="BM56" s="405"/>
      <c r="BN56" s="406"/>
      <c r="BO56" s="407"/>
      <c r="BP56" s="447"/>
      <c r="BQ56" s="409"/>
      <c r="BR56" s="410"/>
      <c r="BS56" s="411"/>
      <c r="BT56" s="411"/>
      <c r="BU56" s="412"/>
      <c r="BV56" s="413"/>
      <c r="BW56" s="410"/>
      <c r="BX56" s="411"/>
      <c r="BY56" s="411"/>
      <c r="BZ56" s="412"/>
      <c r="CA56" s="413"/>
      <c r="CB56" s="410"/>
      <c r="CC56" s="411"/>
      <c r="CD56" s="411"/>
      <c r="CE56" s="412"/>
      <c r="CF56" s="413"/>
      <c r="CG56" s="410"/>
      <c r="CH56" s="411"/>
      <c r="CI56" s="411"/>
      <c r="CJ56" s="412"/>
      <c r="CK56" s="413"/>
      <c r="CL56" s="410"/>
      <c r="CM56" s="411"/>
      <c r="CN56" s="411"/>
      <c r="CO56" s="412"/>
      <c r="CP56" s="413"/>
      <c r="CQ56" s="410"/>
      <c r="CR56" s="411"/>
      <c r="CS56" s="411"/>
      <c r="CT56" s="412"/>
      <c r="CU56" s="413"/>
      <c r="CV56" s="410"/>
      <c r="CW56" s="411"/>
      <c r="CX56" s="411"/>
      <c r="CY56" s="412"/>
      <c r="CZ56" s="413"/>
      <c r="DA56" s="410"/>
      <c r="DB56" s="411"/>
      <c r="DC56" s="411"/>
      <c r="DD56" s="412"/>
      <c r="DE56" s="413"/>
      <c r="DF56" s="410"/>
      <c r="DG56" s="411"/>
      <c r="DH56" s="411"/>
      <c r="DI56" s="412"/>
      <c r="DJ56" s="413"/>
      <c r="DK56" s="410"/>
      <c r="DL56" s="411"/>
      <c r="DM56" s="411"/>
      <c r="DN56" s="412"/>
      <c r="DO56" s="413"/>
      <c r="DP56" s="410"/>
      <c r="DQ56" s="411"/>
      <c r="DR56" s="411"/>
      <c r="DS56" s="412"/>
      <c r="DT56" s="413"/>
    </row>
    <row r="57" spans="1:124" ht="12.75" customHeight="1">
      <c r="A57" s="491"/>
      <c r="C57" s="1885" t="s">
        <v>127</v>
      </c>
      <c r="D57" s="1885"/>
      <c r="E57" s="1869">
        <v>7</v>
      </c>
      <c r="F57" s="1532"/>
      <c r="G57" s="1532"/>
      <c r="H57" s="610">
        <v>2017</v>
      </c>
      <c r="I57" s="828">
        <v>4.4999999999999998E-2</v>
      </c>
      <c r="J57" s="615">
        <v>3</v>
      </c>
      <c r="K57" s="402"/>
      <c r="L57" s="407">
        <f t="shared" ref="L57:L64" si="341">IF(L$5=$H57,$E57,0)</f>
        <v>0</v>
      </c>
      <c r="M57" s="404">
        <f t="shared" ref="M57:M60" si="342">IF(Q57=0,0,IF(Q57&gt;0,IF($J57=3,Q57,IF($J57=2,Q57,IF($J57=1,Q57,0)))))</f>
        <v>0</v>
      </c>
      <c r="N57" s="414">
        <f t="shared" ref="N57:N60" si="343">IF(Q57=0,0,IF(Q57&gt;0,IF($J57=6,Q57,IF($J57=5,Q57,IF($J57=4,Q57,0)))))</f>
        <v>0</v>
      </c>
      <c r="O57" s="414">
        <f t="shared" ref="O57:O60" si="344">IF(Q57=0,0,IF(Q57&gt;0,IF($J57=9,Q57,IF($J57=8,Q57,IF($J57=7,Q57,0)))))</f>
        <v>0</v>
      </c>
      <c r="P57" s="406">
        <f t="shared" ref="P57:P60" si="345">IF(Q57=0,0,IF(Q57&gt;0,IF($J57=12,Q57,IF($J57=11,Q57,IF($J57=10,Q57,0)))))</f>
        <v>0</v>
      </c>
      <c r="Q57" s="407">
        <f t="shared" ref="Q57:Q64" si="346">IF(Q$5=$H57,$E57,0)</f>
        <v>0</v>
      </c>
      <c r="R57" s="404">
        <f t="shared" ref="R57:R60" si="347">IF(V57=0,0,IF(V57&gt;0,IF($J57=3,V57,IF($J57=2,V57,IF($J57=1,V57,0)))))</f>
        <v>0</v>
      </c>
      <c r="S57" s="414">
        <f t="shared" ref="S57:S60" si="348">IF(V57=0,0,IF(V57&gt;0,IF($J57=6,V57,IF($J57=5,V57,IF($J57=4,V57,0)))))</f>
        <v>0</v>
      </c>
      <c r="T57" s="414">
        <f t="shared" ref="T57:T60" si="349">IF(V57=0,0,IF(V57&gt;0,IF($J57=9,V57,IF($J57=8,V57,IF($J57=7,V57,0)))))</f>
        <v>0</v>
      </c>
      <c r="U57" s="406">
        <f t="shared" ref="U57:U60" si="350">IF(V57=0,0,IF(V57&gt;0,IF($J57=12,V57,IF($J57=11,V57,IF($J57=10,V57,0)))))</f>
        <v>0</v>
      </c>
      <c r="V57" s="407">
        <f t="shared" ref="V57:V64" si="351">IF(V$5=$H57,$E57,0)</f>
        <v>0</v>
      </c>
      <c r="W57" s="404">
        <f t="shared" ref="W57:W60" si="352">IF(AA57=0,0,IF(AA57&gt;0,IF($J57=3,AA57,IF($J57=2,AA57,IF($J57=1,AA57,0)))))</f>
        <v>0</v>
      </c>
      <c r="X57" s="414">
        <f t="shared" ref="X57:X60" si="353">IF(AA57=0,0,IF(AA57&gt;0,IF($J57=6,AA57,IF($J57=5,AA57,IF($J57=4,AA57,0)))))</f>
        <v>0</v>
      </c>
      <c r="Y57" s="414">
        <f t="shared" ref="Y57:Y60" si="354">IF(AA57=0,0,IF(AA57&gt;0,IF($J57=9,AA57,IF($J57=8,AA57,IF($J57=7,AA57,0)))))</f>
        <v>0</v>
      </c>
      <c r="Z57" s="406">
        <f t="shared" ref="Z57:Z60" si="355">IF(AA57=0,0,IF(AA57&gt;0,IF($J57=12,AA57,IF($J57=11,AA57,IF($J57=10,AA57,0)))))</f>
        <v>0</v>
      </c>
      <c r="AA57" s="407">
        <f t="shared" ref="AA57:AA64" si="356">IF(AA$5=$H57,$E57,0)</f>
        <v>0</v>
      </c>
      <c r="AB57" s="404">
        <f t="shared" ref="AB57:AB60" si="357">IF(AF57=0,0,IF(AF57&gt;0,IF($J57=3,AF57,IF($J57=2,AF57,IF($J57=1,AF57,0)))))</f>
        <v>0</v>
      </c>
      <c r="AC57" s="414">
        <f t="shared" ref="AC57:AC60" si="358">IF(AF57=0,0,IF(AF57&gt;0,IF($J57=6,AF57,IF($J57=5,AF57,IF($J57=4,AF57,0)))))</f>
        <v>0</v>
      </c>
      <c r="AD57" s="414">
        <f t="shared" ref="AD57:AD60" si="359">IF(AF57=0,0,IF(AF57&gt;0,IF($J57=9,AF57,IF($J57=8,AF57,IF($J57=7,AF57,0)))))</f>
        <v>0</v>
      </c>
      <c r="AE57" s="406">
        <f t="shared" ref="AE57:AE60" si="360">IF(AF57=0,0,IF(AF57&gt;0,IF($J57=12,AF57,IF($J57=11,AF57,IF($J57=10,AF57,0)))))</f>
        <v>0</v>
      </c>
      <c r="AF57" s="407">
        <f t="shared" ref="AF57:AF64" si="361">IF(AF$5=$H57,$E57,0)</f>
        <v>0</v>
      </c>
      <c r="AG57" s="404">
        <f t="shared" ref="AG57:AG60" si="362">IF(AK57=0,0,IF(AK57&gt;0,IF($J57=3,AK57,IF($J57=2,AK57,IF($J57=1,AK57,0)))))</f>
        <v>0</v>
      </c>
      <c r="AH57" s="414">
        <f t="shared" ref="AH57:AH60" si="363">IF(AK57=0,0,IF(AK57&gt;0,IF($J57=6,AK57,IF($J57=5,AK57,IF($J57=4,AK57,0)))))</f>
        <v>0</v>
      </c>
      <c r="AI57" s="414">
        <f t="shared" ref="AI57:AI60" si="364">IF(AK57=0,0,IF(AK57&gt;0,IF($J57=9,AK57,IF($J57=8,AK57,IF($J57=7,AK57,0)))))</f>
        <v>0</v>
      </c>
      <c r="AJ57" s="406">
        <f t="shared" ref="AJ57:AJ60" si="365">IF(AK57=0,0,IF(AK57&gt;0,IF($J57=12,AK57,IF($J57=11,AK57,IF($J57=10,AK57,0)))))</f>
        <v>0</v>
      </c>
      <c r="AK57" s="407">
        <f t="shared" ref="AK57:AK64" si="366">IF(AK$5=$H57,$E57,0)</f>
        <v>0</v>
      </c>
      <c r="AL57" s="404">
        <f t="shared" ref="AL57:AL60" si="367">IF(AP57=0,0,IF(AP57&gt;0,IF($J57=3,AP57,IF($J57=2,AP57,IF($J57=1,AP57,0)))))</f>
        <v>0</v>
      </c>
      <c r="AM57" s="414">
        <f t="shared" ref="AM57:AM60" si="368">IF(AP57=0,0,IF(AP57&gt;0,IF($J57=6,AP57,IF($J57=5,AP57,IF($J57=4,AP57,0)))))</f>
        <v>0</v>
      </c>
      <c r="AN57" s="414">
        <f t="shared" ref="AN57:AN60" si="369">IF(AP57=0,0,IF(AP57&gt;0,IF($J57=9,AP57,IF($J57=8,AP57,IF($J57=7,AP57,0)))))</f>
        <v>0</v>
      </c>
      <c r="AO57" s="406">
        <f t="shared" ref="AO57:AO60" si="370">IF(AP57=0,0,IF(AP57&gt;0,IF($J57=12,AP57,IF($J57=11,AP57,IF($J57=10,AP57,0)))))</f>
        <v>0</v>
      </c>
      <c r="AP57" s="407">
        <f t="shared" ref="AP57:AP64" si="371">IF(AP$5=$H57,$E57,0)</f>
        <v>0</v>
      </c>
      <c r="AQ57" s="404">
        <f t="shared" ref="AQ57:AQ60" si="372">IF(AU57=0,0,IF(AU57&gt;0,IF($J57=3,AU57,IF($J57=2,AU57,IF($J57=1,AU57,0)))))</f>
        <v>7</v>
      </c>
      <c r="AR57" s="414">
        <f t="shared" ref="AR57:AR64" si="373">IF(AU57=0,0,IF(AU57&gt;0,IF($J57=6,AU57,IF($J57=5,AU57,IF($J57=4,AU57,0)))))</f>
        <v>0</v>
      </c>
      <c r="AS57" s="414">
        <f t="shared" ref="AS57:AS60" si="374">IF(AU57=0,0,IF(AU57&gt;0,IF($J57=9,AU57,IF($J57=8,AU57,IF($J57=7,AU57,0)))))</f>
        <v>0</v>
      </c>
      <c r="AT57" s="406">
        <f t="shared" ref="AT57:AT60" si="375">IF(AU57=0,0,IF(AU57&gt;0,IF($J57=12,AU57,IF($J57=11,AU57,IF($J57=10,AU57,0)))))</f>
        <v>0</v>
      </c>
      <c r="AU57" s="407">
        <f t="shared" ref="AU57:AU64" si="376">IF(AU$5=$H57,$E57,0)</f>
        <v>7</v>
      </c>
      <c r="AV57" s="404">
        <f t="shared" ref="AV57:AV60" si="377">IF(AZ57=0,0,IF(AZ57&gt;0,IF($J57=3,AZ57,IF($J57=2,AZ57,IF($J57=1,AZ57,0)))))</f>
        <v>0</v>
      </c>
      <c r="AW57" s="414">
        <f t="shared" ref="AW57:AW60" si="378">IF(AZ57=0,0,IF(AZ57&gt;0,IF($J57=6,AZ57,IF($J57=5,AZ57,IF($J57=4,AZ57,0)))))</f>
        <v>0</v>
      </c>
      <c r="AX57" s="414">
        <f t="shared" ref="AX57:AX60" si="379">IF(AZ57=0,0,IF(AZ57&gt;0,IF($J57=9,AZ57,IF($J57=8,AZ57,IF($J57=7,AZ57,0)))))</f>
        <v>0</v>
      </c>
      <c r="AY57" s="406">
        <f t="shared" ref="AY57:AY60" si="380">IF(AZ57=0,0,IF(AZ57&gt;0,IF($J57=12,AZ57,IF($J57=11,AZ57,IF($J57=10,AZ57,0)))))</f>
        <v>0</v>
      </c>
      <c r="AZ57" s="407">
        <f t="shared" ref="AZ57:AZ64" si="381">IF(AZ$5=$H57,$E57,0)</f>
        <v>0</v>
      </c>
      <c r="BA57" s="404">
        <f t="shared" ref="BA57:BA60" si="382">IF(BE57=0,0,IF(BE57&gt;0,IF($J57=3,BE57,IF($J57=2,BE57,IF($J57=1,BE57,0)))))</f>
        <v>0</v>
      </c>
      <c r="BB57" s="414">
        <f t="shared" ref="BB57:BB60" si="383">IF(BE57=0,0,IF(BE57&gt;0,IF($J57=6,BE57,IF($J57=5,BE57,IF($J57=4,BE57,0)))))</f>
        <v>0</v>
      </c>
      <c r="BC57" s="414">
        <f t="shared" ref="BC57:BC60" si="384">IF(BE57=0,0,IF(BE57&gt;0,IF($J57=9,BE57,IF($J57=8,BE57,IF($J57=7,BE57,0)))))</f>
        <v>0</v>
      </c>
      <c r="BD57" s="406">
        <f t="shared" ref="BD57:BD60" si="385">IF(BE57=0,0,IF(BE57&gt;0,IF($J57=12,BE57,IF($J57=11,BE57,IF($J57=10,BE57,0)))))</f>
        <v>0</v>
      </c>
      <c r="BE57" s="407">
        <f t="shared" ref="BE57:BE64" si="386">IF(BE$5=$H57,$E57,0)</f>
        <v>0</v>
      </c>
      <c r="BF57" s="404">
        <f t="shared" ref="BF57:BF60" si="387">IF(BJ57=0,0,IF(BJ57&gt;0,IF($J57=3,BJ57,IF($J57=2,BJ57,IF($J57=1,BJ57,0)))))</f>
        <v>0</v>
      </c>
      <c r="BG57" s="414">
        <f t="shared" ref="BG57:BG60" si="388">IF(BJ57=0,0,IF(BJ57&gt;0,IF($J57=6,BJ57,IF($J57=5,BJ57,IF($J57=4,BJ57,0)))))</f>
        <v>0</v>
      </c>
      <c r="BH57" s="414">
        <f t="shared" ref="BH57:BH60" si="389">IF(BJ57=0,0,IF(BJ57&gt;0,IF($J57=9,BJ57,IF($J57=8,BJ57,IF($J57=7,BJ57,0)))))</f>
        <v>0</v>
      </c>
      <c r="BI57" s="406">
        <f t="shared" ref="BI57:BI60" si="390">IF(BJ57=0,0,IF(BJ57&gt;0,IF($J57=12,BJ57,IF($J57=11,BJ57,IF($J57=10,BJ57,0)))))</f>
        <v>0</v>
      </c>
      <c r="BJ57" s="407">
        <f t="shared" ref="BJ57:BJ64" si="391">IF(BJ$5=$H57,$E57,0)</f>
        <v>0</v>
      </c>
      <c r="BK57" s="404">
        <f t="shared" ref="BK57:BK64" si="392">IF(BO57=0,0,IF(BO57&gt;0,IF($J57=3,BO57,IF($J57=2,BO57,IF($J57=1,BO57,0)))))</f>
        <v>0</v>
      </c>
      <c r="BL57" s="414">
        <f t="shared" ref="BL57:BL64" si="393">IF(BO57=0,0,IF(BO57&gt;0,IF($J57=6,BO57,IF($J57=5,BO57,IF($J57=4,BO57,0)))))</f>
        <v>0</v>
      </c>
      <c r="BM57" s="414">
        <f t="shared" ref="BM57:BM64" si="394">IF(BO57=0,0,IF(BO57&gt;0,IF($J57=9,BO57,IF($J57=8,BO57,IF($J57=7,BO57,0)))))</f>
        <v>0</v>
      </c>
      <c r="BN57" s="406">
        <f t="shared" ref="BN57:BN64" si="395">IF(BO57=0,0,IF(BO57&gt;0,IF($J57=12,BO57,IF($J57=11,BO57,IF($J57=10,BO57,0)))))</f>
        <v>0</v>
      </c>
      <c r="BO57" s="407">
        <f t="shared" ref="BO57:BO64" si="396">IF(BO$5=$H57,$E57,0)</f>
        <v>0</v>
      </c>
      <c r="BP57" s="447"/>
      <c r="BQ57" s="413">
        <f t="shared" ref="BQ57:BQ60" si="397">IF(AND(AH57&lt;&gt;0,AH$5=$H57),$I57*$E57-AH57,IF(BQ$5=$H57,$I57*$E57*(12-$J57+1)/12,0))</f>
        <v>0</v>
      </c>
      <c r="BR57" s="410">
        <f t="shared" ref="BR57:BR60" si="398">IF($H57&lt;&gt;BV$5,0,IF(BV57&gt;0,IF($J57=1,$E57*$I57/12*3,IF($J57=2,$E57*$I57/12*2,IF($J57=3,$E57*$I57/12*1,0)))))+IF(BQ$5&lt;&gt;$H57,0,IF(BQ57&gt;0,IF($J57=1,$E57*$I57/12*0,IF($J57=2,$E57*$I57/12*1,IF($J57=3,$E57*$I57/12*2,IF($J57&gt;=4,$E57*$I57/12*3,0))))))</f>
        <v>0</v>
      </c>
      <c r="BS57" s="416">
        <f t="shared" ref="BS57:BS60" si="399">IF($H57&lt;&gt;BV$5,0,IF(BV57&gt;0,IF(OR($J57=1,$J57=2,$J57=3,$J57=4),$E57*$I57/12*3,IF($J57=5,$E57*$I57/12*2,IF($J57=6,$E57*$I57/12*1,0)))))+IF(BQ$5&lt;&gt;$H57,0,IF(BQ57&gt;0,IF($J57=4,$E57*$I57/12*0,IF($J57=5,$E57*$I57/12*1,IF($J57=6,$E57*$I57/12*2,IF($J57&gt;=7,$E57*$I57/12*3,0))))))</f>
        <v>0</v>
      </c>
      <c r="BT57" s="416">
        <f t="shared" ref="BT57:BT60" si="400">IF($H57&lt;&gt;BV$5,0,IF(BV57&gt;0,IF(OR($J57=1,$J57=2,$J57=3,$J57=4,$J57=5,$J57=6,$J57=7),$E57*$I57/12*3,IF($J57=8,$E57*$I57/12*2,IF($J57=9,$E57*$I57/12*1,0)))))+IF(BQ$5&lt;&gt;$H57,0,IF(BQ57&gt;0,IF($J57=7,$E57*$I57/12*0,IF($J57=8,$E57*$I57/12*1,IF($J57=9,$E57*$I57/12*2,IF($J57&gt;=10,$E57*$I57/12*3,0))))))</f>
        <v>0</v>
      </c>
      <c r="BU57" s="412">
        <f t="shared" ref="BU57:BU60" si="401">IF($H57&lt;&gt;BV$5,0,IF(BV57&gt;0,IF(OR($J57=1,$J57=2,$J57=3,$J57=4,$J57=5,$J57=6,$J57=7,$J57=8,$J57=9,$J57=10),$E57*$I57/12*3,IF($J57=11,$E57*$I57/12*2,IF($J57=12,$E57*$I57/12*1,0)))))+IF(BQ$5&lt;&gt;$H57,0,IF(BQ57&gt;0,IF($J57=10,$E57*$I57/12*0,IF($J57=11,$E57*$I57/12*1,IF($J57=12,$E57*$I57/12*2,0)))))</f>
        <v>0</v>
      </c>
      <c r="BV57" s="413">
        <f t="shared" ref="BV57:BV60" si="402">IF(AND(BQ57&lt;&gt;0,BQ$5=$H57),$I57*$E57-BQ57,IF(BV$5=$H57,$I57*$E57*(12-$J57+1)/12,0))</f>
        <v>0</v>
      </c>
      <c r="BW57" s="410">
        <f t="shared" ref="BW57:BW60" si="403">IF($H57&lt;&gt;CA$5,0,IF(CA57&gt;0,IF($J57=1,$E57*$I57/12*3,IF($J57=2,$E57*$I57/12*2,IF($J57=3,$E57*$I57/12*1,0)))))+IF(BV$5&lt;&gt;$H57,0,IF(BV57&gt;0,IF($J57=1,$E57*$I57/12*0,IF($J57=2,$E57*$I57/12*1,IF($J57=3,$E57*$I57/12*2,IF($J57&gt;=4,$E57*$I57/12*3,0))))))</f>
        <v>0</v>
      </c>
      <c r="BX57" s="416">
        <f t="shared" ref="BX57:BX60" si="404">IF($H57&lt;&gt;CA$5,0,IF(CA57&gt;0,IF(OR($J57=1,$J57=2,$J57=3,$J57=4),$E57*$I57/12*3,IF($J57=5,$E57*$I57/12*2,IF($J57=6,$E57*$I57/12*1,0)))))+IF(BV$5&lt;&gt;$H57,0,IF(BV57&gt;0,IF($J57=4,$E57*$I57/12*0,IF($J57=5,$E57*$I57/12*1,IF($J57=6,$E57*$I57/12*2,IF($J57&gt;=7,$E57*$I57/12*3,0))))))</f>
        <v>0</v>
      </c>
      <c r="BY57" s="416">
        <f t="shared" ref="BY57:BY60" si="405">IF($H57&lt;&gt;CA$5,0,IF(CA57&gt;0,IF(OR($J57=1,$J57=2,$J57=3,$J57=4,$J57=5,$J57=6,$J57=7),$E57*$I57/12*3,IF($J57=8,$E57*$I57/12*2,IF($J57=9,$E57*$I57/12*1,0)))))+IF(BV$5&lt;&gt;$H57,0,IF(BV57&gt;0,IF($J57=7,$E57*$I57/12*0,IF($J57=8,$E57*$I57/12*1,IF($J57=9,$E57*$I57/12*2,IF($J57&gt;=10,$E57*$I57/12*3,0))))))</f>
        <v>0</v>
      </c>
      <c r="BZ57" s="412">
        <f t="shared" ref="BZ57:BZ60" si="406">IF($H57&lt;&gt;CA$5,0,IF(CA57&gt;0,IF(OR($J57=1,$J57=2,$J57=3,$J57=4,$J57=5,$J57=6,$J57=7,$J57=8,$J57=9,$J57=10),$E57*$I57/12*3,IF($J57=11,$E57*$I57/12*2,IF($J57=12,$E57*$I57/12*1,0)))))+IF(BV$5&lt;&gt;$H57,0,IF(BV57&gt;0,IF($J57=10,$E57*$I57/12*0,IF($J57=11,$E57*$I57/12*1,IF($J57=12,$E57*$I57/12*2,0)))))</f>
        <v>0</v>
      </c>
      <c r="CA57" s="413">
        <f t="shared" ref="CA57:CA60" si="407">IF(AND(BV57&lt;&gt;0,BV$5=$H57),$I57*$E57-BV57,IF(CA$5=$H57,$I57*$E57*(12-$J57+1)/12,0))</f>
        <v>0</v>
      </c>
      <c r="CB57" s="410">
        <f t="shared" ref="CB57:CB60" si="408">IF($H57&lt;&gt;CF$5,0,IF(CF57&gt;0,IF($J57=1,$E57*$I57/12*3,IF($J57=2,$E57*$I57/12*2,IF($J57=3,$E57*$I57/12*1,0)))))+IF(CA$5&lt;&gt;$H57,0,IF(CA57&gt;0,IF($J57=1,$E57*$I57/12*0,IF($J57=2,$E57*$I57/12*1,IF($J57=3,$E57*$I57/12*2,IF($J57&gt;=4,$E57*$I57/12*3,0))))))</f>
        <v>0</v>
      </c>
      <c r="CC57" s="416">
        <f t="shared" ref="CC57:CC60" si="409">IF($H57&lt;&gt;CF$5,0,IF(CF57&gt;0,IF(OR($J57=1,$J57=2,$J57=3,$J57=4),$E57*$I57/12*3,IF($J57=5,$E57*$I57/12*2,IF($J57=6,$E57*$I57/12*1,0)))))+IF(CA$5&lt;&gt;$H57,0,IF(CA57&gt;0,IF($J57=4,$E57*$I57/12*0,IF($J57=5,$E57*$I57/12*1,IF($J57=6,$E57*$I57/12*2,IF($J57&gt;=7,$E57*$I57/12*3,0))))))</f>
        <v>0</v>
      </c>
      <c r="CD57" s="416">
        <f t="shared" ref="CD57:CD60" si="410">IF($H57&lt;&gt;CF$5,0,IF(CF57&gt;0,IF(OR($J57=1,$J57=2,$J57=3,$J57=4,$J57=5,$J57=6,$J57=7),$E57*$I57/12*3,IF($J57=8,$E57*$I57/12*2,IF($J57=9,$E57*$I57/12*1,0)))))+IF(CA$5&lt;&gt;$H57,0,IF(CA57&gt;0,IF($J57=7,$E57*$I57/12*0,IF($J57=8,$E57*$I57/12*1,IF($J57=9,$E57*$I57/12*2,IF($J57&gt;=10,$E57*$I57/12*3,0))))))</f>
        <v>0</v>
      </c>
      <c r="CE57" s="412">
        <f t="shared" ref="CE57:CE60" si="411">IF($H57&lt;&gt;CF$5,0,IF(CF57&gt;0,IF(OR($J57=1,$J57=2,$J57=3,$J57=4,$J57=5,$J57=6,$J57=7,$J57=8,$J57=9,$J57=10),$E57*$I57/12*3,IF($J57=11,$E57*$I57/12*2,IF($J57=12,$E57*$I57/12*1,0)))))+IF(CA$5&lt;&gt;$H57,0,IF(CA57&gt;0,IF($J57=10,$E57*$I57/12*0,IF($J57=11,$E57*$I57/12*1,IF($J57=12,$E57*$I57/12*2,0)))))</f>
        <v>0</v>
      </c>
      <c r="CF57" s="413">
        <f t="shared" ref="CF57:CF60" si="412">IF(AND(CA57&lt;&gt;0,CA$5=$H57),$I57*$E57-CA57,IF(CF$5=$H57,$I57*$E57*(12-$J57+1)/12,0))</f>
        <v>0</v>
      </c>
      <c r="CG57" s="410">
        <f t="shared" ref="CG57:CG60" si="413">IF($H57&lt;&gt;CK$5,0,IF(CK57&gt;0,IF($J57=1,$E57*$I57/12*3,IF($J57=2,$E57*$I57/12*2,IF($J57=3,$E57*$I57/12*1,0)))))+IF(CF$5&lt;&gt;$H57,0,IF(CF57&gt;0,IF($J57=1,$E57*$I57/12*0,IF($J57=2,$E57*$I57/12*1,IF($J57=3,$E57*$I57/12*2,IF($J57&gt;=4,$E57*$I57/12*3,0))))))</f>
        <v>0</v>
      </c>
      <c r="CH57" s="416">
        <f t="shared" ref="CH57:CH60" si="414">IF($H57&lt;&gt;CK$5,0,IF(CK57&gt;0,IF(OR($J57=1,$J57=2,$J57=3,$J57=4),$E57*$I57/12*3,IF($J57=5,$E57*$I57/12*2,IF($J57=6,$E57*$I57/12*1,0)))))+IF(CF$5&lt;&gt;$H57,0,IF(CF57&gt;0,IF($J57=4,$E57*$I57/12*0,IF($J57=5,$E57*$I57/12*1,IF($J57=6,$E57*$I57/12*2,IF($J57&gt;=7,$E57*$I57/12*3,0))))))</f>
        <v>0</v>
      </c>
      <c r="CI57" s="416">
        <f t="shared" ref="CI57:CI60" si="415">IF($H57&lt;&gt;CK$5,0,IF(CK57&gt;0,IF(OR($J57=1,$J57=2,$J57=3,$J57=4,$J57=5,$J57=6,$J57=7),$E57*$I57/12*3,IF($J57=8,$E57*$I57/12*2,IF($J57=9,$E57*$I57/12*1,0)))))+IF(CF$5&lt;&gt;$H57,0,IF(CF57&gt;0,IF($J57=7,$E57*$I57/12*0,IF($J57=8,$E57*$I57/12*1,IF($J57=9,$E57*$I57/12*2,IF($J57&gt;=10,$E57*$I57/12*3,0))))))</f>
        <v>0</v>
      </c>
      <c r="CJ57" s="412">
        <f t="shared" ref="CJ57:CJ60" si="416">IF($H57&lt;&gt;CK$5,0,IF(CK57&gt;0,IF(OR($J57=1,$J57=2,$J57=3,$J57=4,$J57=5,$J57=6,$J57=7,$J57=8,$J57=9,$J57=10),$E57*$I57/12*3,IF($J57=11,$E57*$I57/12*2,IF($J57=12,$E57*$I57/12*1,0)))))+IF(CF$5&lt;&gt;$H57,0,IF(CF57&gt;0,IF($J57=10,$E57*$I57/12*0,IF($J57=11,$E57*$I57/12*1,IF($J57=12,$E57*$I57/12*2,0)))))</f>
        <v>0</v>
      </c>
      <c r="CK57" s="413">
        <f t="shared" ref="CK57:CK60" si="417">IF(AND(CF57&lt;&gt;0,CF$5=$H57),$I57*$E57-CF57,IF(CK$5=$H57,$I57*$E57*(12-$J57+1)/12,0))</f>
        <v>0</v>
      </c>
      <c r="CL57" s="410">
        <f t="shared" ref="CL57:CL60" si="418">IF($H57&lt;&gt;CP$5,0,IF(CP57&gt;0,IF($J57=1,$E57*$I57/12*3,IF($J57=2,$E57*$I57/12*2,IF($J57=3,$E57*$I57/12*1,0)))))+IF(CK$5&lt;&gt;$H57,0,IF(CK57&gt;0,IF($J57=1,$E57*$I57/12*0,IF($J57=2,$E57*$I57/12*1,IF($J57=3,$E57*$I57/12*2,IF($J57&gt;=4,$E57*$I57/12*3,0))))))</f>
        <v>0</v>
      </c>
      <c r="CM57" s="416">
        <f t="shared" ref="CM57:CM60" si="419">IF($H57&lt;&gt;CP$5,0,IF(CP57&gt;0,IF(OR($J57=1,$J57=2,$J57=3,$J57=4),$E57*$I57/12*3,IF($J57=5,$E57*$I57/12*2,IF($J57=6,$E57*$I57/12*1,0)))))+IF(CK$5&lt;&gt;$H57,0,IF(CK57&gt;0,IF($J57=4,$E57*$I57/12*0,IF($J57=5,$E57*$I57/12*1,IF($J57=6,$E57*$I57/12*2,IF($J57&gt;=7,$E57*$I57/12*3,0))))))</f>
        <v>0</v>
      </c>
      <c r="CN57" s="416">
        <f t="shared" ref="CN57:CN60" si="420">IF($H57&lt;&gt;CP$5,0,IF(CP57&gt;0,IF(OR($J57=1,$J57=2,$J57=3,$J57=4,$J57=5,$J57=6,$J57=7),$E57*$I57/12*3,IF($J57=8,$E57*$I57/12*2,IF($J57=9,$E57*$I57/12*1,0)))))+IF(CK$5&lt;&gt;$H57,0,IF(CK57&gt;0,IF($J57=7,$E57*$I57/12*0,IF($J57=8,$E57*$I57/12*1,IF($J57=9,$E57*$I57/12*2,IF($J57&gt;=10,$E57*$I57/12*3,0))))))</f>
        <v>0</v>
      </c>
      <c r="CO57" s="412">
        <f t="shared" ref="CO57:CO60" si="421">IF($H57&lt;&gt;CP$5,0,IF(CP57&gt;0,IF(OR($J57=1,$J57=2,$J57=3,$J57=4,$J57=5,$J57=6,$J57=7,$J57=8,$J57=9,$J57=10),$E57*$I57/12*3,IF($J57=11,$E57*$I57/12*2,IF($J57=12,$E57*$I57/12*1,0)))))+IF(CK$5&lt;&gt;$H57,0,IF(CK57&gt;0,IF($J57=10,$E57*$I57/12*0,IF($J57=11,$E57*$I57/12*1,IF($J57=12,$E57*$I57/12*2,0)))))</f>
        <v>0</v>
      </c>
      <c r="CP57" s="413">
        <f t="shared" ref="CP57:CP60" si="422">IF(AND(CK57&lt;&gt;0,CK$5=$H57),$I57*$E57-CK57,IF(CP$5=$H57,$I57*$E57*(12-$J57+1)/12,0))</f>
        <v>0</v>
      </c>
      <c r="CQ57" s="410">
        <f t="shared" ref="CQ57:CQ60" si="423">IF($H57&lt;&gt;CU$5,0,IF(CU57&gt;0,IF($J57=1,$E57*$I57/12*3,IF($J57=2,$E57*$I57/12*2,IF($J57=3,$E57*$I57/12*1,0)))))+IF(CP$5&lt;&gt;$H57,0,IF(CP57&gt;0,IF($J57=1,$E57*$I57/12*0,IF($J57=2,$E57*$I57/12*1,IF($J57=3,$E57*$I57/12*2,IF($J57&gt;=4,$E57*$I57/12*3,0))))))</f>
        <v>0</v>
      </c>
      <c r="CR57" s="416">
        <f t="shared" ref="CR57:CR60" si="424">IF($H57&lt;&gt;CU$5,0,IF(CU57&gt;0,IF(OR($J57=1,$J57=2,$J57=3,$J57=4),$E57*$I57/12*3,IF($J57=5,$E57*$I57/12*2,IF($J57=6,$E57*$I57/12*1,0)))))+IF(CP$5&lt;&gt;$H57,0,IF(CP57&gt;0,IF($J57=4,$E57*$I57/12*0,IF($J57=5,$E57*$I57/12*1,IF($J57=6,$E57*$I57/12*2,IF($J57&gt;=7,$E57*$I57/12*3,0))))))</f>
        <v>0</v>
      </c>
      <c r="CS57" s="416">
        <f t="shared" ref="CS57:CS60" si="425">IF($H57&lt;&gt;CU$5,0,IF(CU57&gt;0,IF(OR($J57=1,$J57=2,$J57=3,$J57=4,$J57=5,$J57=6,$J57=7),$E57*$I57/12*3,IF($J57=8,$E57*$I57/12*2,IF($J57=9,$E57*$I57/12*1,0)))))+IF(CP$5&lt;&gt;$H57,0,IF(CP57&gt;0,IF($J57=7,$E57*$I57/12*0,IF($J57=8,$E57*$I57/12*1,IF($J57=9,$E57*$I57/12*2,IF($J57&gt;=10,$E57*$I57/12*3,0))))))</f>
        <v>0</v>
      </c>
      <c r="CT57" s="412">
        <f t="shared" ref="CT57:CT60" si="426">IF($H57&lt;&gt;CU$5,0,IF(CU57&gt;0,IF(OR($J57=1,$J57=2,$J57=3,$J57=4,$J57=5,$J57=6,$J57=7,$J57=8,$J57=9,$J57=10),$E57*$I57/12*3,IF($J57=11,$E57*$I57/12*2,IF($J57=12,$E57*$I57/12*1,0)))))+IF(CP$5&lt;&gt;$H57,0,IF(CP57&gt;0,IF($J57=10,$E57*$I57/12*0,IF($J57=11,$E57*$I57/12*1,IF($J57=12,$E57*$I57/12*2,0)))))</f>
        <v>0</v>
      </c>
      <c r="CU57" s="413">
        <f t="shared" ref="CU57:CU60" si="427">IF(AND(CP57&lt;&gt;0,CP$5=$H57),$I57*$E57-CP57,IF(CU$5=$H57,$I57*$E57*(12-$J57+1)/12,0))</f>
        <v>0</v>
      </c>
      <c r="CV57" s="410">
        <f t="shared" ref="CV57:CV60" si="428">IF($H57&lt;&gt;CZ$5,0,IF(CZ57&gt;0,IF($J57=1,$E57*$I57/12*3,IF($J57=2,$E57*$I57/12*2,IF($J57=3,$E57*$I57/12*1,0)))))+IF(CU$5&lt;&gt;$H57,0,IF(CU57&gt;0,IF($J57=1,$E57*$I57/12*0,IF($J57=2,$E57*$I57/12*1,IF($J57=3,$E57*$I57/12*2,IF($J57&gt;=4,$E57*$I57/12*3,0))))))</f>
        <v>2.6249999999999999E-2</v>
      </c>
      <c r="CW57" s="416">
        <f t="shared" ref="CW57:CW60" si="429">IF($H57&lt;&gt;CZ$5,0,IF(CZ57&gt;0,IF(OR($J57=1,$J57=2,$J57=3,$J57=4),$E57*$I57/12*3,IF($J57=5,$E57*$I57/12*2,IF($J57=6,$E57*$I57/12*1,0)))))+IF(CU$5&lt;&gt;$H57,0,IF(CU57&gt;0,IF($J57=4,$E57*$I57/12*0,IF($J57=5,$E57*$I57/12*1,IF($J57=6,$E57*$I57/12*2,IF($J57&gt;=7,$E57*$I57/12*3,0))))))</f>
        <v>7.8750000000000001E-2</v>
      </c>
      <c r="CX57" s="416">
        <f t="shared" ref="CX57:CX60" si="430">IF($H57&lt;&gt;CZ$5,0,IF(CZ57&gt;0,IF(OR($J57=1,$J57=2,$J57=3,$J57=4,$J57=5,$J57=6,$J57=7),$E57*$I57/12*3,IF($J57=8,$E57*$I57/12*2,IF($J57=9,$E57*$I57/12*1,0)))))+IF(CU$5&lt;&gt;$H57,0,IF(CU57&gt;0,IF($J57=7,$E57*$I57/12*0,IF($J57=8,$E57*$I57/12*1,IF($J57=9,$E57*$I57/12*2,IF($J57&gt;=10,$E57*$I57/12*3,0))))))</f>
        <v>7.8750000000000001E-2</v>
      </c>
      <c r="CY57" s="412">
        <f t="shared" ref="CY57:CY60" si="431">IF($H57&lt;&gt;CZ$5,0,IF(CZ57&gt;0,IF(OR($J57=1,$J57=2,$J57=3,$J57=4,$J57=5,$J57=6,$J57=7,$J57=8,$J57=9,$J57=10),$E57*$I57/12*3,IF($J57=11,$E57*$I57/12*2,IF($J57=12,$E57*$I57/12*1,0)))))+IF(CU$5&lt;&gt;$H57,0,IF(CU57&gt;0,IF($J57=10,$E57*$I57/12*0,IF($J57=11,$E57*$I57/12*1,IF($J57=12,$E57*$I57/12*2,0)))))</f>
        <v>7.8750000000000001E-2</v>
      </c>
      <c r="CZ57" s="413">
        <f t="shared" ref="CZ57:CZ60" si="432">IF(AND(CU57&lt;&gt;0,CU$5=$H57),$I57*$E57-CU57,IF(CZ$5=$H57,$I57*$E57*(12-$J57+1)/12,0))</f>
        <v>0.26250000000000001</v>
      </c>
      <c r="DA57" s="410">
        <f t="shared" ref="DA57:DA60" si="433">IF($H57&lt;&gt;DE$5,0,IF(DE57&gt;0,IF($J57=1,$E57*$I57/12*3,IF($J57=2,$E57*$I57/12*2,IF($J57=3,$E57*$I57/12*1,0)))))+IF(CZ$5&lt;&gt;$H57,0,IF(CZ57&gt;0,IF($J57=1,$E57*$I57/12*0,IF($J57=2,$E57*$I57/12*1,IF($J57=3,$E57*$I57/12*2,IF($J57&gt;=4,$E57*$I57/12*3,0))))))</f>
        <v>5.2499999999999998E-2</v>
      </c>
      <c r="DB57" s="416">
        <f t="shared" ref="DB57:DB60" si="434">IF($H57&lt;&gt;DE$5,0,IF(DE57&gt;0,IF(OR($J57=1,$J57=2,$J57=3,$J57=4),$E57*$I57/12*3,IF($J57=5,$E57*$I57/12*2,IF($J57=6,$E57*$I57/12*1,0)))))+IF(CZ$5&lt;&gt;$H57,0,IF(CZ57&gt;0,IF($J57=4,$E57*$I57/12*0,IF($J57=5,$E57*$I57/12*1,IF($J57=6,$E57*$I57/12*2,IF($J57&gt;=7,$E57*$I57/12*3,0))))))</f>
        <v>0</v>
      </c>
      <c r="DC57" s="416">
        <f t="shared" ref="DC57:DC60" si="435">IF($H57&lt;&gt;DE$5,0,IF(DE57&gt;0,IF(OR($J57=1,$J57=2,$J57=3,$J57=4,$J57=5,$J57=6,$J57=7),$E57*$I57/12*3,IF($J57=8,$E57*$I57/12*2,IF($J57=9,$E57*$I57/12*1,0)))))+IF(CZ$5&lt;&gt;$H57,0,IF(CZ57&gt;0,IF($J57=7,$E57*$I57/12*0,IF($J57=8,$E57*$I57/12*1,IF($J57=9,$E57*$I57/12*2,IF($J57&gt;=10,$E57*$I57/12*3,0))))))</f>
        <v>0</v>
      </c>
      <c r="DD57" s="412">
        <f t="shared" ref="DD57:DD60" si="436">IF($H57&lt;&gt;DE$5,0,IF(DE57&gt;0,IF(OR($J57=1,$J57=2,$J57=3,$J57=4,$J57=5,$J57=6,$J57=7,$J57=8,$J57=9,$J57=10),$E57*$I57/12*3,IF($J57=11,$E57*$I57/12*2,IF($J57=12,$E57*$I57/12*1,0)))))+IF(CZ$5&lt;&gt;$H57,0,IF(CZ57&gt;0,IF($J57=10,$E57*$I57/12*0,IF($J57=11,$E57*$I57/12*1,IF($J57=12,$E57*$I57/12*2,0)))))</f>
        <v>0</v>
      </c>
      <c r="DE57" s="413">
        <f t="shared" ref="DE57:DE60" si="437">IF(AND(CZ57&lt;&gt;0,CZ$5=$H57),$I57*$E57-CZ57,IF(DE$5=$H57,$I57*$E57*(12-$J57+1)/12,0))</f>
        <v>5.2499999999999991E-2</v>
      </c>
      <c r="DF57" s="410">
        <f t="shared" ref="DF57:DF60" si="438">IF($H57&lt;&gt;DJ$5,0,IF(DJ57&gt;0,IF($J57=1,$E57*$I57/12*3,IF($J57=2,$E57*$I57/12*2,IF($J57=3,$E57*$I57/12*1,0)))))+IF(DE$5&lt;&gt;$H57,0,IF(DE57&gt;0,IF($J57=1,$E57*$I57/12*0,IF($J57=2,$E57*$I57/12*1,IF($J57=3,$E57*$I57/12*2,IF($J57&gt;=4,$E57*$I57/12*3,0))))))</f>
        <v>0</v>
      </c>
      <c r="DG57" s="416">
        <f t="shared" ref="DG57:DG60" si="439">IF($H57&lt;&gt;DJ$5,0,IF(DJ57&gt;0,IF(OR($J57=1,$J57=2,$J57=3,$J57=4),$E57*$I57/12*3,IF($J57=5,$E57*$I57/12*2,IF($J57=6,$E57*$I57/12*1,0)))))+IF(DE$5&lt;&gt;$H57,0,IF(DE57&gt;0,IF($J57=4,$E57*$I57/12*0,IF($J57=5,$E57*$I57/12*1,IF($J57=6,$E57*$I57/12*2,IF($J57&gt;=7,$E57*$I57/12*3,0))))))</f>
        <v>0</v>
      </c>
      <c r="DH57" s="416">
        <f t="shared" ref="DH57:DH60" si="440">IF($H57&lt;&gt;DJ$5,0,IF(DJ57&gt;0,IF(OR($J57=1,$J57=2,$J57=3,$J57=4,$J57=5,$J57=6,$J57=7),$E57*$I57/12*3,IF($J57=8,$E57*$I57/12*2,IF($J57=9,$E57*$I57/12*1,0)))))+IF(DE$5&lt;&gt;$H57,0,IF(DE57&gt;0,IF($J57=7,$E57*$I57/12*0,IF($J57=8,$E57*$I57/12*1,IF($J57=9,$E57*$I57/12*2,IF($J57&gt;=10,$E57*$I57/12*3,0))))))</f>
        <v>0</v>
      </c>
      <c r="DI57" s="412">
        <f t="shared" ref="DI57:DI60" si="441">IF($H57&lt;&gt;DJ$5,0,IF(DJ57&gt;0,IF(OR($J57=1,$J57=2,$J57=3,$J57=4,$J57=5,$J57=6,$J57=7,$J57=8,$J57=9,$J57=10),$E57*$I57/12*3,IF($J57=11,$E57*$I57/12*2,IF($J57=12,$E57*$I57/12*1,0)))))+IF(DE$5&lt;&gt;$H57,0,IF(DE57&gt;0,IF($J57=10,$E57*$I57/12*0,IF($J57=11,$E57*$I57/12*1,IF($J57=12,$E57*$I57/12*2,0)))))</f>
        <v>0</v>
      </c>
      <c r="DJ57" s="413">
        <f t="shared" ref="DJ57:DJ60" si="442">IF(AND(DE57&lt;&gt;0,DE$5=$H57),$I57*$E57-DE57,IF(DJ$5=$H57,$I57*$E57*(12-$J57+1)/12,0))</f>
        <v>0</v>
      </c>
      <c r="DK57" s="410">
        <f t="shared" ref="DK57:DK60" si="443">IF($H57&lt;&gt;DO$5,0,IF(DO57&gt;0,IF($J57=1,$E57*$I57/12*3,IF($J57=2,$E57*$I57/12*2,IF($J57=3,$E57*$I57/12*1,0)))))+IF(DJ$5&lt;&gt;$H57,0,IF(DJ57&gt;0,IF($J57=1,$E57*$I57/12*0,IF($J57=2,$E57*$I57/12*1,IF($J57=3,$E57*$I57/12*2,IF($J57&gt;=4,$E57*$I57/12*3,0))))))</f>
        <v>0</v>
      </c>
      <c r="DL57" s="416">
        <f t="shared" ref="DL57:DL60" si="444">IF($H57&lt;&gt;DO$5,0,IF(DO57&gt;0,IF(OR($J57=1,$J57=2,$J57=3,$J57=4),$E57*$I57/12*3,IF($J57=5,$E57*$I57/12*2,IF($J57=6,$E57*$I57/12*1,0)))))+IF(DJ$5&lt;&gt;$H57,0,IF(DJ57&gt;0,IF($J57=4,$E57*$I57/12*0,IF($J57=5,$E57*$I57/12*1,IF($J57=6,$E57*$I57/12*2,IF($J57&gt;=7,$E57*$I57/12*3,0))))))</f>
        <v>0</v>
      </c>
      <c r="DM57" s="416">
        <f t="shared" ref="DM57:DM60" si="445">IF($H57&lt;&gt;DO$5,0,IF(DO57&gt;0,IF(OR($J57=1,$J57=2,$J57=3,$J57=4,$J57=5,$J57=6,$J57=7),$E57*$I57/12*3,IF($J57=8,$E57*$I57/12*2,IF($J57=9,$E57*$I57/12*1,0)))))+IF(DJ$5&lt;&gt;$H57,0,IF(DJ57&gt;0,IF($J57=7,$E57*$I57/12*0,IF($J57=8,$E57*$I57/12*1,IF($J57=9,$E57*$I57/12*2,IF($J57&gt;=10,$E57*$I57/12*3,0))))))</f>
        <v>0</v>
      </c>
      <c r="DN57" s="412">
        <f t="shared" ref="DN57:DN60" si="446">IF($H57&lt;&gt;DO$5,0,IF(DO57&gt;0,IF(OR($J57=1,$J57=2,$J57=3,$J57=4,$J57=5,$J57=6,$J57=7,$J57=8,$J57=9,$J57=10),$E57*$I57/12*3,IF($J57=11,$E57*$I57/12*2,IF($J57=12,$E57*$I57/12*1,0)))))+IF(DJ$5&lt;&gt;$H57,0,IF(DJ57&gt;0,IF($J57=10,$E57*$I57/12*0,IF($J57=11,$E57*$I57/12*1,IF($J57=12,$E57*$I57/12*2,0)))))</f>
        <v>0</v>
      </c>
      <c r="DO57" s="413">
        <f t="shared" ref="DO57:DO60" si="447">IF(AND(DJ57&lt;&gt;0,DJ$5=$H57),$I57*$E57-DJ57,IF(DO$5=$H57,$I57*$E57*(12-$J57+1)/12,0))</f>
        <v>0</v>
      </c>
      <c r="DP57" s="410">
        <f t="shared" ref="DP57:DP64" si="448">IF($H57&lt;&gt;DT$5,0,IF(DT57&gt;0,IF($J57=1,$E57*$I57/12*3,IF($J57=2,$E57*$I57/12*2,IF($J57=3,$E57*$I57/12*1,0)))))+IF(DO$5&lt;&gt;$H57,0,IF(DO57&gt;0,IF($J57=1,$E57*$I57/12*0,IF($J57=2,$E57*$I57/12*1,IF($J57=3,$E57*$I57/12*2,IF($J57&gt;=4,$E57*$I57/12*3,0))))))</f>
        <v>0</v>
      </c>
      <c r="DQ57" s="416">
        <f t="shared" ref="DQ57:DQ64" si="449">IF($H57&lt;&gt;DT$5,0,IF(DT57&gt;0,IF(OR($J57=1,$J57=2,$J57=3,$J57=4),$E57*$I57/12*3,IF($J57=5,$E57*$I57/12*2,IF($J57=6,$E57*$I57/12*1,0)))))+IF(DO$5&lt;&gt;$H57,0,IF(DO57&gt;0,IF($J57=4,$E57*$I57/12*0,IF($J57=5,$E57*$I57/12*1,IF($J57=6,$E57*$I57/12*2,IF($J57&gt;=7,$E57*$I57/12*3,0))))))</f>
        <v>0</v>
      </c>
      <c r="DR57" s="416">
        <f t="shared" ref="DR57:DR64" si="450">IF($H57&lt;&gt;DT$5,0,IF(DT57&gt;0,IF(OR($J57=1,$J57=2,$J57=3,$J57=4,$J57=5,$J57=6,$J57=7),$E57*$I57/12*3,IF($J57=8,$E57*$I57/12*2,IF($J57=9,$E57*$I57/12*1,0)))))+IF(DO$5&lt;&gt;$H57,0,IF(DO57&gt;0,IF($J57=7,$E57*$I57/12*0,IF($J57=8,$E57*$I57/12*1,IF($J57=9,$E57*$I57/12*2,IF($J57&gt;=10,$E57*$I57/12*3,0))))))</f>
        <v>0</v>
      </c>
      <c r="DS57" s="412">
        <f t="shared" ref="DS57:DS64" si="451">IF($H57&lt;&gt;DT$5,0,IF(DT57&gt;0,IF(OR($J57=1,$J57=2,$J57=3,$J57=4,$J57=5,$J57=6,$J57=7,$J57=8,$J57=9,$J57=10),$E57*$I57/12*3,IF($J57=11,$E57*$I57/12*2,IF($J57=12,$E57*$I57/12*1,0)))))+IF(DO$5&lt;&gt;$H57,0,IF(DO57&gt;0,IF($J57=10,$E57*$I57/12*0,IF($J57=11,$E57*$I57/12*1,IF($J57=12,$E57*$I57/12*2,0)))))</f>
        <v>0</v>
      </c>
      <c r="DT57" s="413">
        <f t="shared" ref="DT57:DT64" si="452">IF(AND(DO57&lt;&gt;0,DO$5=$H57),$I57*$E57-DO57,IF(DT$5=$H57,$I57*$E57*(12-$J57+1)/12,0))</f>
        <v>0</v>
      </c>
    </row>
    <row r="58" spans="1:124" ht="12.75" customHeight="1">
      <c r="A58" s="491"/>
      <c r="C58" s="1885" t="s">
        <v>1329</v>
      </c>
      <c r="D58" s="1885"/>
      <c r="E58" s="1869">
        <v>132.1</v>
      </c>
      <c r="F58" s="1532"/>
      <c r="G58" s="1532"/>
      <c r="H58" s="610">
        <v>2017</v>
      </c>
      <c r="I58" s="828">
        <v>4.4999999999999998E-2</v>
      </c>
      <c r="J58" s="617">
        <v>4</v>
      </c>
      <c r="K58" s="402"/>
      <c r="L58" s="407">
        <f t="shared" si="341"/>
        <v>0</v>
      </c>
      <c r="M58" s="404">
        <f t="shared" si="342"/>
        <v>0</v>
      </c>
      <c r="N58" s="414">
        <f t="shared" si="343"/>
        <v>0</v>
      </c>
      <c r="O58" s="414">
        <f t="shared" si="344"/>
        <v>0</v>
      </c>
      <c r="P58" s="406">
        <f t="shared" si="345"/>
        <v>0</v>
      </c>
      <c r="Q58" s="407">
        <f t="shared" si="346"/>
        <v>0</v>
      </c>
      <c r="R58" s="404">
        <f t="shared" si="347"/>
        <v>0</v>
      </c>
      <c r="S58" s="414">
        <f t="shared" si="348"/>
        <v>0</v>
      </c>
      <c r="T58" s="414">
        <f t="shared" si="349"/>
        <v>0</v>
      </c>
      <c r="U58" s="406">
        <f t="shared" si="350"/>
        <v>0</v>
      </c>
      <c r="V58" s="407">
        <f t="shared" si="351"/>
        <v>0</v>
      </c>
      <c r="W58" s="404">
        <f t="shared" si="352"/>
        <v>0</v>
      </c>
      <c r="X58" s="414">
        <f t="shared" si="353"/>
        <v>0</v>
      </c>
      <c r="Y58" s="414">
        <f t="shared" si="354"/>
        <v>0</v>
      </c>
      <c r="Z58" s="406">
        <f t="shared" si="355"/>
        <v>0</v>
      </c>
      <c r="AA58" s="407">
        <f t="shared" si="356"/>
        <v>0</v>
      </c>
      <c r="AB58" s="404">
        <f t="shared" si="357"/>
        <v>0</v>
      </c>
      <c r="AC58" s="414">
        <f t="shared" si="358"/>
        <v>0</v>
      </c>
      <c r="AD58" s="414">
        <f t="shared" si="359"/>
        <v>0</v>
      </c>
      <c r="AE58" s="406">
        <f t="shared" si="360"/>
        <v>0</v>
      </c>
      <c r="AF58" s="407">
        <f t="shared" si="361"/>
        <v>0</v>
      </c>
      <c r="AG58" s="404">
        <f t="shared" si="362"/>
        <v>0</v>
      </c>
      <c r="AH58" s="414">
        <f t="shared" si="363"/>
        <v>0</v>
      </c>
      <c r="AI58" s="414">
        <f t="shared" si="364"/>
        <v>0</v>
      </c>
      <c r="AJ58" s="406">
        <f t="shared" si="365"/>
        <v>0</v>
      </c>
      <c r="AK58" s="407">
        <f t="shared" si="366"/>
        <v>0</v>
      </c>
      <c r="AL58" s="404">
        <f t="shared" si="367"/>
        <v>0</v>
      </c>
      <c r="AM58" s="414">
        <f t="shared" si="368"/>
        <v>0</v>
      </c>
      <c r="AN58" s="414">
        <f t="shared" si="369"/>
        <v>0</v>
      </c>
      <c r="AO58" s="406">
        <f t="shared" si="370"/>
        <v>0</v>
      </c>
      <c r="AP58" s="407">
        <f t="shared" si="371"/>
        <v>0</v>
      </c>
      <c r="AQ58" s="404">
        <f t="shared" si="372"/>
        <v>0</v>
      </c>
      <c r="AR58" s="414">
        <f t="shared" si="373"/>
        <v>132.1</v>
      </c>
      <c r="AS58" s="414">
        <f t="shared" si="374"/>
        <v>0</v>
      </c>
      <c r="AT58" s="406">
        <f t="shared" si="375"/>
        <v>0</v>
      </c>
      <c r="AU58" s="407">
        <f t="shared" si="376"/>
        <v>132.1</v>
      </c>
      <c r="AV58" s="404">
        <f t="shared" si="377"/>
        <v>0</v>
      </c>
      <c r="AW58" s="414">
        <f t="shared" si="378"/>
        <v>0</v>
      </c>
      <c r="AX58" s="414">
        <f t="shared" si="379"/>
        <v>0</v>
      </c>
      <c r="AY58" s="406">
        <f t="shared" si="380"/>
        <v>0</v>
      </c>
      <c r="AZ58" s="407">
        <f t="shared" si="381"/>
        <v>0</v>
      </c>
      <c r="BA58" s="404">
        <f t="shared" si="382"/>
        <v>0</v>
      </c>
      <c r="BB58" s="414">
        <f t="shared" si="383"/>
        <v>0</v>
      </c>
      <c r="BC58" s="414">
        <f t="shared" si="384"/>
        <v>0</v>
      </c>
      <c r="BD58" s="406">
        <f t="shared" si="385"/>
        <v>0</v>
      </c>
      <c r="BE58" s="407">
        <f t="shared" si="386"/>
        <v>0</v>
      </c>
      <c r="BF58" s="404">
        <f t="shared" si="387"/>
        <v>0</v>
      </c>
      <c r="BG58" s="414">
        <f t="shared" si="388"/>
        <v>0</v>
      </c>
      <c r="BH58" s="414">
        <f t="shared" si="389"/>
        <v>0</v>
      </c>
      <c r="BI58" s="406">
        <f t="shared" si="390"/>
        <v>0</v>
      </c>
      <c r="BJ58" s="407">
        <f t="shared" si="391"/>
        <v>0</v>
      </c>
      <c r="BK58" s="404">
        <f>IF(BO58=0,0,IF(BO58&gt;0,IF($J58=3,BO58,IF($J58=2,BO58,IF($J58=1,BO58,0)))))</f>
        <v>0</v>
      </c>
      <c r="BL58" s="414">
        <f>IF(BO58=0,0,IF(BO58&gt;0,IF($J58=6,BO58,IF($J58=5,BO58,IF($J58=4,BO58,0)))))</f>
        <v>0</v>
      </c>
      <c r="BM58" s="414">
        <f>IF(BO58=0,0,IF(BO58&gt;0,IF($J58=9,BO58,IF($J58=8,BO58,IF($J58=7,BO58,0)))))</f>
        <v>0</v>
      </c>
      <c r="BN58" s="406">
        <f>IF(BO58=0,0,IF(BO58&gt;0,IF($J58=12,BO58,IF($J58=11,BO58,IF($J58=10,BO58,0)))))</f>
        <v>0</v>
      </c>
      <c r="BO58" s="407">
        <f t="shared" si="396"/>
        <v>0</v>
      </c>
      <c r="BP58" s="447"/>
      <c r="BQ58" s="413">
        <f t="shared" si="397"/>
        <v>0</v>
      </c>
      <c r="BR58" s="410">
        <f t="shared" si="398"/>
        <v>0</v>
      </c>
      <c r="BS58" s="416">
        <f t="shared" si="399"/>
        <v>0</v>
      </c>
      <c r="BT58" s="416">
        <f t="shared" si="400"/>
        <v>0</v>
      </c>
      <c r="BU58" s="412">
        <f t="shared" si="401"/>
        <v>0</v>
      </c>
      <c r="BV58" s="413">
        <f t="shared" si="402"/>
        <v>0</v>
      </c>
      <c r="BW58" s="410">
        <f t="shared" si="403"/>
        <v>0</v>
      </c>
      <c r="BX58" s="416">
        <f t="shared" si="404"/>
        <v>0</v>
      </c>
      <c r="BY58" s="416">
        <f t="shared" si="405"/>
        <v>0</v>
      </c>
      <c r="BZ58" s="412">
        <f t="shared" si="406"/>
        <v>0</v>
      </c>
      <c r="CA58" s="413">
        <f t="shared" si="407"/>
        <v>0</v>
      </c>
      <c r="CB58" s="410">
        <f t="shared" si="408"/>
        <v>0</v>
      </c>
      <c r="CC58" s="416">
        <f t="shared" si="409"/>
        <v>0</v>
      </c>
      <c r="CD58" s="416">
        <f t="shared" si="410"/>
        <v>0</v>
      </c>
      <c r="CE58" s="412">
        <f t="shared" si="411"/>
        <v>0</v>
      </c>
      <c r="CF58" s="413">
        <f t="shared" si="412"/>
        <v>0</v>
      </c>
      <c r="CG58" s="410">
        <f t="shared" si="413"/>
        <v>0</v>
      </c>
      <c r="CH58" s="416">
        <f t="shared" si="414"/>
        <v>0</v>
      </c>
      <c r="CI58" s="416">
        <f t="shared" si="415"/>
        <v>0</v>
      </c>
      <c r="CJ58" s="412">
        <f t="shared" si="416"/>
        <v>0</v>
      </c>
      <c r="CK58" s="413">
        <f t="shared" si="417"/>
        <v>0</v>
      </c>
      <c r="CL58" s="410">
        <f t="shared" si="418"/>
        <v>0</v>
      </c>
      <c r="CM58" s="416">
        <f t="shared" si="419"/>
        <v>0</v>
      </c>
      <c r="CN58" s="416">
        <f t="shared" si="420"/>
        <v>0</v>
      </c>
      <c r="CO58" s="412">
        <f t="shared" si="421"/>
        <v>0</v>
      </c>
      <c r="CP58" s="413">
        <f t="shared" si="422"/>
        <v>0</v>
      </c>
      <c r="CQ58" s="410">
        <f t="shared" si="423"/>
        <v>0</v>
      </c>
      <c r="CR58" s="416">
        <f t="shared" si="424"/>
        <v>0</v>
      </c>
      <c r="CS58" s="416">
        <f t="shared" si="425"/>
        <v>0</v>
      </c>
      <c r="CT58" s="412">
        <f t="shared" si="426"/>
        <v>0</v>
      </c>
      <c r="CU58" s="413">
        <f t="shared" si="427"/>
        <v>0</v>
      </c>
      <c r="CV58" s="410">
        <f t="shared" si="428"/>
        <v>0</v>
      </c>
      <c r="CW58" s="416">
        <f t="shared" si="429"/>
        <v>1.4861249999999999</v>
      </c>
      <c r="CX58" s="416">
        <f t="shared" si="430"/>
        <v>1.4861249999999999</v>
      </c>
      <c r="CY58" s="412">
        <f t="shared" si="431"/>
        <v>1.4861249999999999</v>
      </c>
      <c r="CZ58" s="413">
        <f t="shared" si="432"/>
        <v>4.4583749999999993</v>
      </c>
      <c r="DA58" s="410">
        <f t="shared" si="433"/>
        <v>1.4861249999999999</v>
      </c>
      <c r="DB58" s="416">
        <f t="shared" si="434"/>
        <v>0</v>
      </c>
      <c r="DC58" s="416">
        <f t="shared" si="435"/>
        <v>0</v>
      </c>
      <c r="DD58" s="412">
        <f t="shared" si="436"/>
        <v>0</v>
      </c>
      <c r="DE58" s="413">
        <f t="shared" si="437"/>
        <v>1.4861250000000004</v>
      </c>
      <c r="DF58" s="410">
        <f t="shared" si="438"/>
        <v>0</v>
      </c>
      <c r="DG58" s="416">
        <f t="shared" si="439"/>
        <v>0</v>
      </c>
      <c r="DH58" s="416">
        <f t="shared" si="440"/>
        <v>0</v>
      </c>
      <c r="DI58" s="412">
        <f t="shared" si="441"/>
        <v>0</v>
      </c>
      <c r="DJ58" s="413">
        <f t="shared" si="442"/>
        <v>0</v>
      </c>
      <c r="DK58" s="410">
        <f t="shared" si="443"/>
        <v>0</v>
      </c>
      <c r="DL58" s="416">
        <f t="shared" si="444"/>
        <v>0</v>
      </c>
      <c r="DM58" s="416">
        <f t="shared" si="445"/>
        <v>0</v>
      </c>
      <c r="DN58" s="412">
        <f t="shared" si="446"/>
        <v>0</v>
      </c>
      <c r="DO58" s="413">
        <f t="shared" si="447"/>
        <v>0</v>
      </c>
      <c r="DP58" s="410">
        <f>IF($H58&lt;&gt;DT$5,0,IF(DT58&gt;0,IF($J58=1,$E58*$I58/12*3,IF($J58=2,$E58*$I58/12*2,IF($J58=3,$E58*$I58/12*1,0)))))+IF(DO$5&lt;&gt;$H58,0,IF(DO58&gt;0,IF($J58=1,$E58*$I58/12*0,IF($J58=2,$E58*$I58/12*1,IF($J58=3,$E58*$I58/12*2,IF($J58&gt;=4,$E58*$I58/12*3,0))))))</f>
        <v>0</v>
      </c>
      <c r="DQ58" s="416">
        <f>IF($H58&lt;&gt;DT$5,0,IF(DT58&gt;0,IF(OR($J58=1,$J58=2,$J58=3,$J58=4),$E58*$I58/12*3,IF($J58=5,$E58*$I58/12*2,IF($J58=6,$E58*$I58/12*1,0)))))+IF(DO$5&lt;&gt;$H58,0,IF(DO58&gt;0,IF($J58=4,$E58*$I58/12*0,IF($J58=5,$E58*$I58/12*1,IF($J58=6,$E58*$I58/12*2,IF($J58&gt;=7,$E58*$I58/12*3,0))))))</f>
        <v>0</v>
      </c>
      <c r="DR58" s="416">
        <f>IF($H58&lt;&gt;DT$5,0,IF(DT58&gt;0,IF(OR($J58=1,$J58=2,$J58=3,$J58=4,$J58=5,$J58=6,$J58=7),$E58*$I58/12*3,IF($J58=8,$E58*$I58/12*2,IF($J58=9,$E58*$I58/12*1,0)))))+IF(DO$5&lt;&gt;$H58,0,IF(DO58&gt;0,IF($J58=7,$E58*$I58/12*0,IF($J58=8,$E58*$I58/12*1,IF($J58=9,$E58*$I58/12*2,IF($J58&gt;=10,$E58*$I58/12*3,0))))))</f>
        <v>0</v>
      </c>
      <c r="DS58" s="412">
        <f>IF($H58&lt;&gt;DT$5,0,IF(DT58&gt;0,IF(OR($J58=1,$J58=2,$J58=3,$J58=4,$J58=5,$J58=6,$J58=7,$J58=8,$J58=9,$J58=10),$E58*$I58/12*3,IF($J58=11,$E58*$I58/12*2,IF($J58=12,$E58*$I58/12*1,0)))))+IF(DO$5&lt;&gt;$H58,0,IF(DO58&gt;0,IF($J58=10,$E58*$I58/12*0,IF($J58=11,$E58*$I58/12*1,IF($J58=12,$E58*$I58/12*2,0)))))</f>
        <v>0</v>
      </c>
      <c r="DT58" s="413">
        <f>IF(AND(DO58&lt;&gt;0,DO$5=$H58),$I58*$E58-DO58,IF(DT$5=$H58,$I58*$E58*(12-$J58+1)/12,0))</f>
        <v>0</v>
      </c>
    </row>
    <row r="59" spans="1:124" ht="12.75" customHeight="1">
      <c r="A59" s="491"/>
      <c r="C59" s="1885" t="s">
        <v>1331</v>
      </c>
      <c r="D59" s="1885"/>
      <c r="E59" s="1869">
        <v>125</v>
      </c>
      <c r="F59" s="1532"/>
      <c r="G59" s="1532"/>
      <c r="H59" s="610">
        <v>2017</v>
      </c>
      <c r="I59" s="1533">
        <v>3.1E-2</v>
      </c>
      <c r="J59" s="615">
        <v>7</v>
      </c>
      <c r="K59" s="402"/>
      <c r="L59" s="407">
        <f t="shared" si="341"/>
        <v>0</v>
      </c>
      <c r="M59" s="404">
        <f t="shared" si="342"/>
        <v>0</v>
      </c>
      <c r="N59" s="414">
        <f t="shared" si="343"/>
        <v>0</v>
      </c>
      <c r="O59" s="414">
        <f t="shared" si="344"/>
        <v>0</v>
      </c>
      <c r="P59" s="406">
        <f t="shared" si="345"/>
        <v>0</v>
      </c>
      <c r="Q59" s="407">
        <f t="shared" si="346"/>
        <v>0</v>
      </c>
      <c r="R59" s="404">
        <f t="shared" si="347"/>
        <v>0</v>
      </c>
      <c r="S59" s="414">
        <f t="shared" si="348"/>
        <v>0</v>
      </c>
      <c r="T59" s="414">
        <f t="shared" si="349"/>
        <v>0</v>
      </c>
      <c r="U59" s="406">
        <f t="shared" si="350"/>
        <v>0</v>
      </c>
      <c r="V59" s="407">
        <f t="shared" si="351"/>
        <v>0</v>
      </c>
      <c r="W59" s="404">
        <f t="shared" si="352"/>
        <v>0</v>
      </c>
      <c r="X59" s="414">
        <f t="shared" si="353"/>
        <v>0</v>
      </c>
      <c r="Y59" s="414">
        <f t="shared" si="354"/>
        <v>0</v>
      </c>
      <c r="Z59" s="406">
        <f t="shared" si="355"/>
        <v>0</v>
      </c>
      <c r="AA59" s="407">
        <f t="shared" si="356"/>
        <v>0</v>
      </c>
      <c r="AB59" s="404">
        <f t="shared" si="357"/>
        <v>0</v>
      </c>
      <c r="AC59" s="414">
        <f t="shared" si="358"/>
        <v>0</v>
      </c>
      <c r="AD59" s="414">
        <f t="shared" si="359"/>
        <v>0</v>
      </c>
      <c r="AE59" s="406">
        <f t="shared" si="360"/>
        <v>0</v>
      </c>
      <c r="AF59" s="407">
        <f t="shared" si="361"/>
        <v>0</v>
      </c>
      <c r="AG59" s="404">
        <f t="shared" si="362"/>
        <v>0</v>
      </c>
      <c r="AH59" s="414">
        <f t="shared" si="363"/>
        <v>0</v>
      </c>
      <c r="AI59" s="414">
        <f t="shared" si="364"/>
        <v>0</v>
      </c>
      <c r="AJ59" s="406">
        <f t="shared" si="365"/>
        <v>0</v>
      </c>
      <c r="AK59" s="407">
        <f t="shared" si="366"/>
        <v>0</v>
      </c>
      <c r="AL59" s="404">
        <f t="shared" si="367"/>
        <v>0</v>
      </c>
      <c r="AM59" s="414">
        <f t="shared" si="368"/>
        <v>0</v>
      </c>
      <c r="AN59" s="414">
        <f t="shared" si="369"/>
        <v>0</v>
      </c>
      <c r="AO59" s="406">
        <f t="shared" si="370"/>
        <v>0</v>
      </c>
      <c r="AP59" s="407">
        <f t="shared" si="371"/>
        <v>0</v>
      </c>
      <c r="AQ59" s="404">
        <f t="shared" si="372"/>
        <v>0</v>
      </c>
      <c r="AR59" s="414">
        <f>IF(AU59=0,0,IF(AU59&gt;0,IF($J59=6,AU59,IF($J59=5,AU59,IF($J59=4,AU59,0)))))</f>
        <v>0</v>
      </c>
      <c r="AS59" s="414">
        <f t="shared" si="374"/>
        <v>125</v>
      </c>
      <c r="AT59" s="406">
        <f t="shared" si="375"/>
        <v>0</v>
      </c>
      <c r="AU59" s="407">
        <f t="shared" si="376"/>
        <v>125</v>
      </c>
      <c r="AV59" s="404">
        <f t="shared" si="377"/>
        <v>0</v>
      </c>
      <c r="AW59" s="414">
        <f t="shared" si="378"/>
        <v>0</v>
      </c>
      <c r="AX59" s="414">
        <f t="shared" si="379"/>
        <v>0</v>
      </c>
      <c r="AY59" s="406">
        <f t="shared" si="380"/>
        <v>0</v>
      </c>
      <c r="AZ59" s="407">
        <f t="shared" si="381"/>
        <v>0</v>
      </c>
      <c r="BA59" s="404">
        <f t="shared" si="382"/>
        <v>0</v>
      </c>
      <c r="BB59" s="414">
        <f t="shared" si="383"/>
        <v>0</v>
      </c>
      <c r="BC59" s="414">
        <f t="shared" si="384"/>
        <v>0</v>
      </c>
      <c r="BD59" s="406">
        <f t="shared" si="385"/>
        <v>0</v>
      </c>
      <c r="BE59" s="407">
        <f t="shared" si="386"/>
        <v>0</v>
      </c>
      <c r="BF59" s="404">
        <f t="shared" si="387"/>
        <v>0</v>
      </c>
      <c r="BG59" s="414">
        <f t="shared" si="388"/>
        <v>0</v>
      </c>
      <c r="BH59" s="414">
        <f t="shared" si="389"/>
        <v>0</v>
      </c>
      <c r="BI59" s="406">
        <f t="shared" si="390"/>
        <v>0</v>
      </c>
      <c r="BJ59" s="407">
        <f t="shared" si="391"/>
        <v>0</v>
      </c>
      <c r="BK59" s="404">
        <f>IF(BO59=0,0,IF(BO59&gt;0,IF($J59=3,BO59,IF($J59=2,BO59,IF($J59=1,BO59,0)))))</f>
        <v>0</v>
      </c>
      <c r="BL59" s="414">
        <f>IF(BO59=0,0,IF(BO59&gt;0,IF($J59=6,BO59,IF($J59=5,BO59,IF($J59=4,BO59,0)))))</f>
        <v>0</v>
      </c>
      <c r="BM59" s="414">
        <f>IF(BO59=0,0,IF(BO59&gt;0,IF($J59=9,BO59,IF($J59=8,BO59,IF($J59=7,BO59,0)))))</f>
        <v>0</v>
      </c>
      <c r="BN59" s="406">
        <f>IF(BO59=0,0,IF(BO59&gt;0,IF($J59=12,BO59,IF($J59=11,BO59,IF($J59=10,BO59,0)))))</f>
        <v>0</v>
      </c>
      <c r="BO59" s="407">
        <f t="shared" si="396"/>
        <v>0</v>
      </c>
      <c r="BP59" s="447"/>
      <c r="BQ59" s="413">
        <f t="shared" si="397"/>
        <v>0</v>
      </c>
      <c r="BR59" s="410">
        <f t="shared" si="398"/>
        <v>0</v>
      </c>
      <c r="BS59" s="416">
        <f t="shared" si="399"/>
        <v>0</v>
      </c>
      <c r="BT59" s="416">
        <f t="shared" si="400"/>
        <v>0</v>
      </c>
      <c r="BU59" s="412">
        <f t="shared" si="401"/>
        <v>0</v>
      </c>
      <c r="BV59" s="413">
        <f t="shared" si="402"/>
        <v>0</v>
      </c>
      <c r="BW59" s="410">
        <f t="shared" si="403"/>
        <v>0</v>
      </c>
      <c r="BX59" s="416">
        <f t="shared" si="404"/>
        <v>0</v>
      </c>
      <c r="BY59" s="416">
        <f t="shared" si="405"/>
        <v>0</v>
      </c>
      <c r="BZ59" s="412">
        <f t="shared" si="406"/>
        <v>0</v>
      </c>
      <c r="CA59" s="413">
        <f t="shared" si="407"/>
        <v>0</v>
      </c>
      <c r="CB59" s="410">
        <f t="shared" si="408"/>
        <v>0</v>
      </c>
      <c r="CC59" s="416">
        <f t="shared" si="409"/>
        <v>0</v>
      </c>
      <c r="CD59" s="416">
        <f t="shared" si="410"/>
        <v>0</v>
      </c>
      <c r="CE59" s="412">
        <f t="shared" si="411"/>
        <v>0</v>
      </c>
      <c r="CF59" s="413">
        <f t="shared" si="412"/>
        <v>0</v>
      </c>
      <c r="CG59" s="410">
        <f t="shared" si="413"/>
        <v>0</v>
      </c>
      <c r="CH59" s="416">
        <f t="shared" si="414"/>
        <v>0</v>
      </c>
      <c r="CI59" s="416">
        <f t="shared" si="415"/>
        <v>0</v>
      </c>
      <c r="CJ59" s="412">
        <f t="shared" si="416"/>
        <v>0</v>
      </c>
      <c r="CK59" s="413">
        <f t="shared" si="417"/>
        <v>0</v>
      </c>
      <c r="CL59" s="410">
        <f t="shared" si="418"/>
        <v>0</v>
      </c>
      <c r="CM59" s="416">
        <f t="shared" si="419"/>
        <v>0</v>
      </c>
      <c r="CN59" s="416">
        <f t="shared" si="420"/>
        <v>0</v>
      </c>
      <c r="CO59" s="412">
        <f t="shared" si="421"/>
        <v>0</v>
      </c>
      <c r="CP59" s="413">
        <f t="shared" si="422"/>
        <v>0</v>
      </c>
      <c r="CQ59" s="410">
        <f t="shared" si="423"/>
        <v>0</v>
      </c>
      <c r="CR59" s="416">
        <f t="shared" si="424"/>
        <v>0</v>
      </c>
      <c r="CS59" s="416">
        <f t="shared" si="425"/>
        <v>0</v>
      </c>
      <c r="CT59" s="412">
        <f t="shared" si="426"/>
        <v>0</v>
      </c>
      <c r="CU59" s="413">
        <f t="shared" si="427"/>
        <v>0</v>
      </c>
      <c r="CV59" s="410">
        <f t="shared" si="428"/>
        <v>0</v>
      </c>
      <c r="CW59" s="416">
        <f t="shared" si="429"/>
        <v>0</v>
      </c>
      <c r="CX59" s="416">
        <f t="shared" si="430"/>
        <v>0.96875</v>
      </c>
      <c r="CY59" s="412">
        <f t="shared" si="431"/>
        <v>0.96875</v>
      </c>
      <c r="CZ59" s="413">
        <f t="shared" si="432"/>
        <v>1.9375</v>
      </c>
      <c r="DA59" s="410">
        <f t="shared" si="433"/>
        <v>0.96875</v>
      </c>
      <c r="DB59" s="416">
        <f t="shared" si="434"/>
        <v>0.96875</v>
      </c>
      <c r="DC59" s="416">
        <f t="shared" si="435"/>
        <v>0</v>
      </c>
      <c r="DD59" s="412">
        <f t="shared" si="436"/>
        <v>0</v>
      </c>
      <c r="DE59" s="413">
        <f t="shared" si="437"/>
        <v>1.9375</v>
      </c>
      <c r="DF59" s="410">
        <f t="shared" si="438"/>
        <v>0</v>
      </c>
      <c r="DG59" s="416">
        <f t="shared" si="439"/>
        <v>0</v>
      </c>
      <c r="DH59" s="416">
        <f t="shared" si="440"/>
        <v>0</v>
      </c>
      <c r="DI59" s="412">
        <f t="shared" si="441"/>
        <v>0</v>
      </c>
      <c r="DJ59" s="413">
        <f t="shared" si="442"/>
        <v>0</v>
      </c>
      <c r="DK59" s="410">
        <f t="shared" si="443"/>
        <v>0</v>
      </c>
      <c r="DL59" s="416">
        <f t="shared" si="444"/>
        <v>0</v>
      </c>
      <c r="DM59" s="416">
        <f t="shared" si="445"/>
        <v>0</v>
      </c>
      <c r="DN59" s="412">
        <f t="shared" si="446"/>
        <v>0</v>
      </c>
      <c r="DO59" s="413">
        <f t="shared" si="447"/>
        <v>0</v>
      </c>
      <c r="DP59" s="410">
        <f>IF($H59&lt;&gt;DT$5,0,IF(DT59&gt;0,IF($J59=1,$E59*$I59/12*3,IF($J59=2,$E59*$I59/12*2,IF($J59=3,$E59*$I59/12*1,0)))))+IF(DO$5&lt;&gt;$H59,0,IF(DO59&gt;0,IF($J59=1,$E59*$I59/12*0,IF($J59=2,$E59*$I59/12*1,IF($J59=3,$E59*$I59/12*2,IF($J59&gt;=4,$E59*$I59/12*3,0))))))</f>
        <v>0</v>
      </c>
      <c r="DQ59" s="416">
        <f>IF($H59&lt;&gt;DT$5,0,IF(DT59&gt;0,IF(OR($J59=1,$J59=2,$J59=3,$J59=4),$E59*$I59/12*3,IF($J59=5,$E59*$I59/12*2,IF($J59=6,$E59*$I59/12*1,0)))))+IF(DO$5&lt;&gt;$H59,0,IF(DO59&gt;0,IF($J59=4,$E59*$I59/12*0,IF($J59=5,$E59*$I59/12*1,IF($J59=6,$E59*$I59/12*2,IF($J59&gt;=7,$E59*$I59/12*3,0))))))</f>
        <v>0</v>
      </c>
      <c r="DR59" s="416">
        <f>IF($H59&lt;&gt;DT$5,0,IF(DT59&gt;0,IF(OR($J59=1,$J59=2,$J59=3,$J59=4,$J59=5,$J59=6,$J59=7),$E59*$I59/12*3,IF($J59=8,$E59*$I59/12*2,IF($J59=9,$E59*$I59/12*1,0)))))+IF(DO$5&lt;&gt;$H59,0,IF(DO59&gt;0,IF($J59=7,$E59*$I59/12*0,IF($J59=8,$E59*$I59/12*1,IF($J59=9,$E59*$I59/12*2,IF($J59&gt;=10,$E59*$I59/12*3,0))))))</f>
        <v>0</v>
      </c>
      <c r="DS59" s="412">
        <f>IF($H59&lt;&gt;DT$5,0,IF(DT59&gt;0,IF(OR($J59=1,$J59=2,$J59=3,$J59=4,$J59=5,$J59=6,$J59=7,$J59=8,$J59=9,$J59=10),$E59*$I59/12*3,IF($J59=11,$E59*$I59/12*2,IF($J59=12,$E59*$I59/12*1,0)))))+IF(DO$5&lt;&gt;$H59,0,IF(DO59&gt;0,IF($J59=10,$E59*$I59/12*0,IF($J59=11,$E59*$I59/12*1,IF($J59=12,$E59*$I59/12*2,0)))))</f>
        <v>0</v>
      </c>
      <c r="DT59" s="413">
        <f>IF(AND(DO59&lt;&gt;0,DO$5=$H59),$I59*$E59-DO59,IF(DT$5=$H59,$I59*$E59*(12-$J59+1)/12,0))</f>
        <v>0</v>
      </c>
    </row>
    <row r="60" spans="1:124" ht="12.75" customHeight="1">
      <c r="A60" s="491"/>
      <c r="C60" s="1885" t="s">
        <v>1332</v>
      </c>
      <c r="D60" s="1885"/>
      <c r="E60" s="1869">
        <v>500</v>
      </c>
      <c r="F60" s="1532"/>
      <c r="G60" s="1532"/>
      <c r="H60" s="610">
        <v>2017</v>
      </c>
      <c r="I60" s="1533">
        <v>3.7499999999999999E-2</v>
      </c>
      <c r="J60" s="615">
        <v>7</v>
      </c>
      <c r="K60" s="402"/>
      <c r="L60" s="407">
        <f t="shared" si="341"/>
        <v>0</v>
      </c>
      <c r="M60" s="404">
        <f t="shared" si="342"/>
        <v>0</v>
      </c>
      <c r="N60" s="414">
        <f t="shared" si="343"/>
        <v>0</v>
      </c>
      <c r="O60" s="414">
        <f t="shared" si="344"/>
        <v>0</v>
      </c>
      <c r="P60" s="406">
        <f t="shared" si="345"/>
        <v>0</v>
      </c>
      <c r="Q60" s="407">
        <f t="shared" si="346"/>
        <v>0</v>
      </c>
      <c r="R60" s="404">
        <f t="shared" si="347"/>
        <v>0</v>
      </c>
      <c r="S60" s="414">
        <f t="shared" si="348"/>
        <v>0</v>
      </c>
      <c r="T60" s="414">
        <f t="shared" si="349"/>
        <v>0</v>
      </c>
      <c r="U60" s="406">
        <f t="shared" si="350"/>
        <v>0</v>
      </c>
      <c r="V60" s="407">
        <f t="shared" si="351"/>
        <v>0</v>
      </c>
      <c r="W60" s="404">
        <f t="shared" si="352"/>
        <v>0</v>
      </c>
      <c r="X60" s="414">
        <f t="shared" si="353"/>
        <v>0</v>
      </c>
      <c r="Y60" s="414">
        <f t="shared" si="354"/>
        <v>0</v>
      </c>
      <c r="Z60" s="406">
        <f t="shared" si="355"/>
        <v>0</v>
      </c>
      <c r="AA60" s="407">
        <f t="shared" si="356"/>
        <v>0</v>
      </c>
      <c r="AB60" s="404">
        <f t="shared" si="357"/>
        <v>0</v>
      </c>
      <c r="AC60" s="414">
        <f t="shared" si="358"/>
        <v>0</v>
      </c>
      <c r="AD60" s="414">
        <f t="shared" si="359"/>
        <v>0</v>
      </c>
      <c r="AE60" s="406">
        <f t="shared" si="360"/>
        <v>0</v>
      </c>
      <c r="AF60" s="407">
        <f t="shared" si="361"/>
        <v>0</v>
      </c>
      <c r="AG60" s="404">
        <f t="shared" si="362"/>
        <v>0</v>
      </c>
      <c r="AH60" s="414">
        <f t="shared" si="363"/>
        <v>0</v>
      </c>
      <c r="AI60" s="414">
        <f t="shared" si="364"/>
        <v>0</v>
      </c>
      <c r="AJ60" s="406">
        <f t="shared" si="365"/>
        <v>0</v>
      </c>
      <c r="AK60" s="407">
        <f t="shared" si="366"/>
        <v>0</v>
      </c>
      <c r="AL60" s="404">
        <f t="shared" si="367"/>
        <v>0</v>
      </c>
      <c r="AM60" s="414">
        <f t="shared" si="368"/>
        <v>0</v>
      </c>
      <c r="AN60" s="414">
        <f t="shared" si="369"/>
        <v>0</v>
      </c>
      <c r="AO60" s="406">
        <f t="shared" si="370"/>
        <v>0</v>
      </c>
      <c r="AP60" s="407">
        <f t="shared" si="371"/>
        <v>0</v>
      </c>
      <c r="AQ60" s="404">
        <f t="shared" si="372"/>
        <v>0</v>
      </c>
      <c r="AR60" s="414">
        <f>IF(AU60=0,0,IF(AU60&gt;0,IF($J60=6,AU60,IF($J60=5,AU60,IF($J60=4,AU60,0)))))</f>
        <v>0</v>
      </c>
      <c r="AS60" s="414">
        <f t="shared" si="374"/>
        <v>500</v>
      </c>
      <c r="AT60" s="406">
        <f t="shared" si="375"/>
        <v>0</v>
      </c>
      <c r="AU60" s="407">
        <f t="shared" si="376"/>
        <v>500</v>
      </c>
      <c r="AV60" s="404">
        <f t="shared" si="377"/>
        <v>0</v>
      </c>
      <c r="AW60" s="414">
        <f t="shared" si="378"/>
        <v>0</v>
      </c>
      <c r="AX60" s="414">
        <f t="shared" si="379"/>
        <v>0</v>
      </c>
      <c r="AY60" s="406">
        <f t="shared" si="380"/>
        <v>0</v>
      </c>
      <c r="AZ60" s="407">
        <f t="shared" si="381"/>
        <v>0</v>
      </c>
      <c r="BA60" s="404">
        <f t="shared" si="382"/>
        <v>0</v>
      </c>
      <c r="BB60" s="414">
        <f t="shared" si="383"/>
        <v>0</v>
      </c>
      <c r="BC60" s="414">
        <f t="shared" si="384"/>
        <v>0</v>
      </c>
      <c r="BD60" s="406">
        <f t="shared" si="385"/>
        <v>0</v>
      </c>
      <c r="BE60" s="407">
        <f t="shared" si="386"/>
        <v>0</v>
      </c>
      <c r="BF60" s="404">
        <f t="shared" si="387"/>
        <v>0</v>
      </c>
      <c r="BG60" s="414">
        <f t="shared" si="388"/>
        <v>0</v>
      </c>
      <c r="BH60" s="414">
        <f t="shared" si="389"/>
        <v>0</v>
      </c>
      <c r="BI60" s="406">
        <f t="shared" si="390"/>
        <v>0</v>
      </c>
      <c r="BJ60" s="407">
        <f t="shared" si="391"/>
        <v>0</v>
      </c>
      <c r="BK60" s="404">
        <f>IF(BO60=0,0,IF(BO60&gt;0,IF($J60=3,BO60,IF($J60=2,BO60,IF($J60=1,BO60,0)))))</f>
        <v>0</v>
      </c>
      <c r="BL60" s="414">
        <f>IF(BO60=0,0,IF(BO60&gt;0,IF($J60=6,BO60,IF($J60=5,BO60,IF($J60=4,BO60,0)))))</f>
        <v>0</v>
      </c>
      <c r="BM60" s="414">
        <f>IF(BO60=0,0,IF(BO60&gt;0,IF($J60=9,BO60,IF($J60=8,BO60,IF($J60=7,BO60,0)))))</f>
        <v>0</v>
      </c>
      <c r="BN60" s="406">
        <f>IF(BO60=0,0,IF(BO60&gt;0,IF($J60=12,BO60,IF($J60=11,BO60,IF($J60=10,BO60,0)))))</f>
        <v>0</v>
      </c>
      <c r="BO60" s="407">
        <f t="shared" si="396"/>
        <v>0</v>
      </c>
      <c r="BP60" s="447"/>
      <c r="BQ60" s="413">
        <f t="shared" si="397"/>
        <v>0</v>
      </c>
      <c r="BR60" s="410">
        <f t="shared" si="398"/>
        <v>0</v>
      </c>
      <c r="BS60" s="416">
        <f t="shared" si="399"/>
        <v>0</v>
      </c>
      <c r="BT60" s="416">
        <f t="shared" si="400"/>
        <v>0</v>
      </c>
      <c r="BU60" s="412">
        <f t="shared" si="401"/>
        <v>0</v>
      </c>
      <c r="BV60" s="413">
        <f t="shared" si="402"/>
        <v>0</v>
      </c>
      <c r="BW60" s="410">
        <f t="shared" si="403"/>
        <v>0</v>
      </c>
      <c r="BX60" s="416">
        <f t="shared" si="404"/>
        <v>0</v>
      </c>
      <c r="BY60" s="416">
        <f t="shared" si="405"/>
        <v>0</v>
      </c>
      <c r="BZ60" s="412">
        <f t="shared" si="406"/>
        <v>0</v>
      </c>
      <c r="CA60" s="413">
        <f t="shared" si="407"/>
        <v>0</v>
      </c>
      <c r="CB60" s="410">
        <f t="shared" si="408"/>
        <v>0</v>
      </c>
      <c r="CC60" s="416">
        <f t="shared" si="409"/>
        <v>0</v>
      </c>
      <c r="CD60" s="416">
        <f t="shared" si="410"/>
        <v>0</v>
      </c>
      <c r="CE60" s="412">
        <f t="shared" si="411"/>
        <v>0</v>
      </c>
      <c r="CF60" s="413">
        <f t="shared" si="412"/>
        <v>0</v>
      </c>
      <c r="CG60" s="410">
        <f t="shared" si="413"/>
        <v>0</v>
      </c>
      <c r="CH60" s="416">
        <f t="shared" si="414"/>
        <v>0</v>
      </c>
      <c r="CI60" s="416">
        <f t="shared" si="415"/>
        <v>0</v>
      </c>
      <c r="CJ60" s="412">
        <f t="shared" si="416"/>
        <v>0</v>
      </c>
      <c r="CK60" s="413">
        <f t="shared" si="417"/>
        <v>0</v>
      </c>
      <c r="CL60" s="410">
        <f t="shared" si="418"/>
        <v>0</v>
      </c>
      <c r="CM60" s="416">
        <f t="shared" si="419"/>
        <v>0</v>
      </c>
      <c r="CN60" s="416">
        <f t="shared" si="420"/>
        <v>0</v>
      </c>
      <c r="CO60" s="412">
        <f t="shared" si="421"/>
        <v>0</v>
      </c>
      <c r="CP60" s="413">
        <f t="shared" si="422"/>
        <v>0</v>
      </c>
      <c r="CQ60" s="410">
        <f t="shared" si="423"/>
        <v>0</v>
      </c>
      <c r="CR60" s="416">
        <f t="shared" si="424"/>
        <v>0</v>
      </c>
      <c r="CS60" s="416">
        <f t="shared" si="425"/>
        <v>0</v>
      </c>
      <c r="CT60" s="412">
        <f t="shared" si="426"/>
        <v>0</v>
      </c>
      <c r="CU60" s="413">
        <f t="shared" si="427"/>
        <v>0</v>
      </c>
      <c r="CV60" s="410">
        <f t="shared" si="428"/>
        <v>0</v>
      </c>
      <c r="CW60" s="416">
        <f t="shared" si="429"/>
        <v>0</v>
      </c>
      <c r="CX60" s="416">
        <f t="shared" si="430"/>
        <v>4.6875</v>
      </c>
      <c r="CY60" s="412">
        <f t="shared" si="431"/>
        <v>4.6875</v>
      </c>
      <c r="CZ60" s="413">
        <f t="shared" si="432"/>
        <v>9.375</v>
      </c>
      <c r="DA60" s="410">
        <f t="shared" si="433"/>
        <v>4.6875</v>
      </c>
      <c r="DB60" s="416">
        <f t="shared" si="434"/>
        <v>4.6875</v>
      </c>
      <c r="DC60" s="416">
        <f t="shared" si="435"/>
        <v>0</v>
      </c>
      <c r="DD60" s="412">
        <f t="shared" si="436"/>
        <v>0</v>
      </c>
      <c r="DE60" s="413">
        <f t="shared" si="437"/>
        <v>9.375</v>
      </c>
      <c r="DF60" s="410">
        <f t="shared" si="438"/>
        <v>0</v>
      </c>
      <c r="DG60" s="416">
        <f t="shared" si="439"/>
        <v>0</v>
      </c>
      <c r="DH60" s="416">
        <f t="shared" si="440"/>
        <v>0</v>
      </c>
      <c r="DI60" s="412">
        <f t="shared" si="441"/>
        <v>0</v>
      </c>
      <c r="DJ60" s="413">
        <f t="shared" si="442"/>
        <v>0</v>
      </c>
      <c r="DK60" s="410">
        <f t="shared" si="443"/>
        <v>0</v>
      </c>
      <c r="DL60" s="416">
        <f t="shared" si="444"/>
        <v>0</v>
      </c>
      <c r="DM60" s="416">
        <f t="shared" si="445"/>
        <v>0</v>
      </c>
      <c r="DN60" s="412">
        <f t="shared" si="446"/>
        <v>0</v>
      </c>
      <c r="DO60" s="413">
        <f t="shared" si="447"/>
        <v>0</v>
      </c>
      <c r="DP60" s="410">
        <f>IF($H60&lt;&gt;DT$5,0,IF(DT60&gt;0,IF($J60=1,$E60*$I60/12*3,IF($J60=2,$E60*$I60/12*2,IF($J60=3,$E60*$I60/12*1,0)))))+IF(DO$5&lt;&gt;$H60,0,IF(DO60&gt;0,IF($J60=1,$E60*$I60/12*0,IF($J60=2,$E60*$I60/12*1,IF($J60=3,$E60*$I60/12*2,IF($J60&gt;=4,$E60*$I60/12*3,0))))))</f>
        <v>0</v>
      </c>
      <c r="DQ60" s="416">
        <f>IF($H60&lt;&gt;DT$5,0,IF(DT60&gt;0,IF(OR($J60=1,$J60=2,$J60=3,$J60=4),$E60*$I60/12*3,IF($J60=5,$E60*$I60/12*2,IF($J60=6,$E60*$I60/12*1,0)))))+IF(DO$5&lt;&gt;$H60,0,IF(DO60&gt;0,IF($J60=4,$E60*$I60/12*0,IF($J60=5,$E60*$I60/12*1,IF($J60=6,$E60*$I60/12*2,IF($J60&gt;=7,$E60*$I60/12*3,0))))))</f>
        <v>0</v>
      </c>
      <c r="DR60" s="416">
        <f>IF($H60&lt;&gt;DT$5,0,IF(DT60&gt;0,IF(OR($J60=1,$J60=2,$J60=3,$J60=4,$J60=5,$J60=6,$J60=7),$E60*$I60/12*3,IF($J60=8,$E60*$I60/12*2,IF($J60=9,$E60*$I60/12*1,0)))))+IF(DO$5&lt;&gt;$H60,0,IF(DO60&gt;0,IF($J60=7,$E60*$I60/12*0,IF($J60=8,$E60*$I60/12*1,IF($J60=9,$E60*$I60/12*2,IF($J60&gt;=10,$E60*$I60/12*3,0))))))</f>
        <v>0</v>
      </c>
      <c r="DS60" s="412">
        <f>IF($H60&lt;&gt;DT$5,0,IF(DT60&gt;0,IF(OR($J60=1,$J60=2,$J60=3,$J60=4,$J60=5,$J60=6,$J60=7,$J60=8,$J60=9,$J60=10),$E60*$I60/12*3,IF($J60=11,$E60*$I60/12*2,IF($J60=12,$E60*$I60/12*1,0)))))+IF(DO$5&lt;&gt;$H60,0,IF(DO60&gt;0,IF($J60=10,$E60*$I60/12*0,IF($J60=11,$E60*$I60/12*1,IF($J60=12,$E60*$I60/12*2,0)))))</f>
        <v>0</v>
      </c>
      <c r="DT60" s="413">
        <f>IF(AND(DO60&lt;&gt;0,DO$5=$H60),$I60*$E60-DO60,IF(DT$5=$H60,$I60*$E60*(12-$J60+1)/12,0))</f>
        <v>0</v>
      </c>
    </row>
    <row r="61" spans="1:124" ht="12.75" customHeight="1">
      <c r="A61" s="491"/>
      <c r="C61" s="1885" t="s">
        <v>74</v>
      </c>
      <c r="D61" s="1885"/>
      <c r="E61" s="1887">
        <f>Parent!BB51</f>
        <v>2332.7076957960949</v>
      </c>
      <c r="F61" s="1888"/>
      <c r="G61" s="1888"/>
      <c r="H61" s="16">
        <v>2018</v>
      </c>
      <c r="I61" s="1889">
        <f>+'Utility Detail'!$AW$13</f>
        <v>0.05</v>
      </c>
      <c r="J61" s="617">
        <v>4</v>
      </c>
      <c r="K61" s="402"/>
      <c r="L61" s="407">
        <f t="shared" si="341"/>
        <v>0</v>
      </c>
      <c r="M61" s="404">
        <f t="shared" ref="M61:M64" si="453">IF(Q61=0,0,IF(Q61&gt;0,IF($J61=3,Q61,IF($J61=2,Q61,IF($J61=1,Q61,0)))))</f>
        <v>0</v>
      </c>
      <c r="N61" s="414">
        <f t="shared" ref="N61:N64" si="454">IF(Q61=0,0,IF(Q61&gt;0,IF($J61=6,Q61,IF($J61=5,Q61,IF($J61=4,Q61,0)))))</f>
        <v>0</v>
      </c>
      <c r="O61" s="414">
        <f t="shared" ref="O61:O64" si="455">IF(Q61=0,0,IF(Q61&gt;0,IF($J61=9,Q61,IF($J61=8,Q61,IF($J61=7,Q61,0)))))</f>
        <v>0</v>
      </c>
      <c r="P61" s="406">
        <f t="shared" ref="P61:P64" si="456">IF(Q61=0,0,IF(Q61&gt;0,IF($J61=12,Q61,IF($J61=11,Q61,IF($J61=10,Q61,0)))))</f>
        <v>0</v>
      </c>
      <c r="Q61" s="407">
        <f t="shared" si="346"/>
        <v>0</v>
      </c>
      <c r="R61" s="404">
        <f t="shared" ref="R61:R64" si="457">IF(V61=0,0,IF(V61&gt;0,IF($J61=3,V61,IF($J61=2,V61,IF($J61=1,V61,0)))))</f>
        <v>0</v>
      </c>
      <c r="S61" s="414">
        <f t="shared" ref="S61:S64" si="458">IF(V61=0,0,IF(V61&gt;0,IF($J61=6,V61,IF($J61=5,V61,IF($J61=4,V61,0)))))</f>
        <v>0</v>
      </c>
      <c r="T61" s="414">
        <f t="shared" ref="T61:T64" si="459">IF(V61=0,0,IF(V61&gt;0,IF($J61=9,V61,IF($J61=8,V61,IF($J61=7,V61,0)))))</f>
        <v>0</v>
      </c>
      <c r="U61" s="406">
        <f t="shared" ref="U61:U64" si="460">IF(V61=0,0,IF(V61&gt;0,IF($J61=12,V61,IF($J61=11,V61,IF($J61=10,V61,0)))))</f>
        <v>0</v>
      </c>
      <c r="V61" s="407">
        <f t="shared" si="351"/>
        <v>0</v>
      </c>
      <c r="W61" s="404">
        <f t="shared" ref="W61:W64" si="461">IF(AA61=0,0,IF(AA61&gt;0,IF($J61=3,AA61,IF($J61=2,AA61,IF($J61=1,AA61,0)))))</f>
        <v>0</v>
      </c>
      <c r="X61" s="414">
        <f t="shared" ref="X61:X64" si="462">IF(AA61=0,0,IF(AA61&gt;0,IF($J61=6,AA61,IF($J61=5,AA61,IF($J61=4,AA61,0)))))</f>
        <v>0</v>
      </c>
      <c r="Y61" s="414">
        <f t="shared" ref="Y61:Y64" si="463">IF(AA61=0,0,IF(AA61&gt;0,IF($J61=9,AA61,IF($J61=8,AA61,IF($J61=7,AA61,0)))))</f>
        <v>0</v>
      </c>
      <c r="Z61" s="406">
        <f t="shared" ref="Z61:Z64" si="464">IF(AA61=0,0,IF(AA61&gt;0,IF($J61=12,AA61,IF($J61=11,AA61,IF($J61=10,AA61,0)))))</f>
        <v>0</v>
      </c>
      <c r="AA61" s="407">
        <f t="shared" si="356"/>
        <v>0</v>
      </c>
      <c r="AB61" s="404">
        <f t="shared" ref="AB61:AB64" si="465">IF(AF61=0,0,IF(AF61&gt;0,IF($J61=3,AF61,IF($J61=2,AF61,IF($J61=1,AF61,0)))))</f>
        <v>0</v>
      </c>
      <c r="AC61" s="414">
        <f t="shared" ref="AC61:AC64" si="466">IF(AF61=0,0,IF(AF61&gt;0,IF($J61=6,AF61,IF($J61=5,AF61,IF($J61=4,AF61,0)))))</f>
        <v>0</v>
      </c>
      <c r="AD61" s="414">
        <f t="shared" ref="AD61:AD64" si="467">IF(AF61=0,0,IF(AF61&gt;0,IF($J61=9,AF61,IF($J61=8,AF61,IF($J61=7,AF61,0)))))</f>
        <v>0</v>
      </c>
      <c r="AE61" s="406">
        <f t="shared" ref="AE61:AE64" si="468">IF(AF61=0,0,IF(AF61&gt;0,IF($J61=12,AF61,IF($J61=11,AF61,IF($J61=10,AF61,0)))))</f>
        <v>0</v>
      </c>
      <c r="AF61" s="407">
        <f t="shared" si="361"/>
        <v>0</v>
      </c>
      <c r="AG61" s="404">
        <f t="shared" ref="AG61:AG64" si="469">IF(AK61=0,0,IF(AK61&gt;0,IF($J61=3,AK61,IF($J61=2,AK61,IF($J61=1,AK61,0)))))</f>
        <v>0</v>
      </c>
      <c r="AH61" s="414">
        <f t="shared" ref="AH61:AH64" si="470">IF(AK61=0,0,IF(AK61&gt;0,IF($J61=6,AK61,IF($J61=5,AK61,IF($J61=4,AK61,0)))))</f>
        <v>0</v>
      </c>
      <c r="AI61" s="414">
        <f t="shared" ref="AI61:AI64" si="471">IF(AK61=0,0,IF(AK61&gt;0,IF($J61=9,AK61,IF($J61=8,AK61,IF($J61=7,AK61,0)))))</f>
        <v>0</v>
      </c>
      <c r="AJ61" s="406">
        <f t="shared" ref="AJ61:AJ64" si="472">IF(AK61=0,0,IF(AK61&gt;0,IF($J61=12,AK61,IF($J61=11,AK61,IF($J61=10,AK61,0)))))</f>
        <v>0</v>
      </c>
      <c r="AK61" s="407">
        <f t="shared" si="366"/>
        <v>0</v>
      </c>
      <c r="AL61" s="404">
        <f t="shared" ref="AL61:AL64" si="473">IF(AP61=0,0,IF(AP61&gt;0,IF($J61=3,AP61,IF($J61=2,AP61,IF($J61=1,AP61,0)))))</f>
        <v>0</v>
      </c>
      <c r="AM61" s="414">
        <f t="shared" ref="AM61:AM64" si="474">IF(AP61=0,0,IF(AP61&gt;0,IF($J61=6,AP61,IF($J61=5,AP61,IF($J61=4,AP61,0)))))</f>
        <v>0</v>
      </c>
      <c r="AN61" s="414">
        <f t="shared" ref="AN61:AN64" si="475">IF(AP61=0,0,IF(AP61&gt;0,IF($J61=9,AP61,IF($J61=8,AP61,IF($J61=7,AP61,0)))))</f>
        <v>0</v>
      </c>
      <c r="AO61" s="406">
        <f t="shared" ref="AO61:AO64" si="476">IF(AP61=0,0,IF(AP61&gt;0,IF($J61=12,AP61,IF($J61=11,AP61,IF($J61=10,AP61,0)))))</f>
        <v>0</v>
      </c>
      <c r="AP61" s="407">
        <f t="shared" si="371"/>
        <v>0</v>
      </c>
      <c r="AQ61" s="404">
        <f t="shared" ref="AQ61:AQ64" si="477">IF(AU61=0,0,IF(AU61&gt;0,IF($J61=3,AU61,IF($J61=2,AU61,IF($J61=1,AU61,0)))))</f>
        <v>0</v>
      </c>
      <c r="AR61" s="414">
        <f t="shared" si="373"/>
        <v>0</v>
      </c>
      <c r="AS61" s="414">
        <f t="shared" ref="AS61:AS64" si="478">IF(AU61=0,0,IF(AU61&gt;0,IF($J61=9,AU61,IF($J61=8,AU61,IF($J61=7,AU61,0)))))</f>
        <v>0</v>
      </c>
      <c r="AT61" s="406">
        <f t="shared" ref="AT61:AT64" si="479">IF(AU61=0,0,IF(AU61&gt;0,IF($J61=12,AU61,IF($J61=11,AU61,IF($J61=10,AU61,0)))))</f>
        <v>0</v>
      </c>
      <c r="AU61" s="407">
        <f t="shared" si="376"/>
        <v>0</v>
      </c>
      <c r="AV61" s="404">
        <f t="shared" ref="AV61:AV64" si="480">IF(AZ61=0,0,IF(AZ61&gt;0,IF($J61=3,AZ61,IF($J61=2,AZ61,IF($J61=1,AZ61,0)))))</f>
        <v>0</v>
      </c>
      <c r="AW61" s="414">
        <f t="shared" ref="AW61:AW64" si="481">IF(AZ61=0,0,IF(AZ61&gt;0,IF($J61=6,AZ61,IF($J61=5,AZ61,IF($J61=4,AZ61,0)))))</f>
        <v>2332.7076957960949</v>
      </c>
      <c r="AX61" s="414">
        <f t="shared" ref="AX61:AX64" si="482">IF(AZ61=0,0,IF(AZ61&gt;0,IF($J61=9,AZ61,IF($J61=8,AZ61,IF($J61=7,AZ61,0)))))</f>
        <v>0</v>
      </c>
      <c r="AY61" s="406">
        <f t="shared" ref="AY61:AY64" si="483">IF(AZ61=0,0,IF(AZ61&gt;0,IF($J61=12,AZ61,IF($J61=11,AZ61,IF($J61=10,AZ61,0)))))</f>
        <v>0</v>
      </c>
      <c r="AZ61" s="407">
        <f t="shared" si="381"/>
        <v>2332.7076957960949</v>
      </c>
      <c r="BA61" s="404">
        <f t="shared" ref="BA61:BA64" si="484">IF(BE61=0,0,IF(BE61&gt;0,IF($J61=3,BE61,IF($J61=2,BE61,IF($J61=1,BE61,0)))))</f>
        <v>0</v>
      </c>
      <c r="BB61" s="414">
        <f t="shared" ref="BB61:BB64" si="485">IF(BE61=0,0,IF(BE61&gt;0,IF($J61=6,BE61,IF($J61=5,BE61,IF($J61=4,BE61,0)))))</f>
        <v>0</v>
      </c>
      <c r="BC61" s="414">
        <f t="shared" ref="BC61:BC64" si="486">IF(BE61=0,0,IF(BE61&gt;0,IF($J61=9,BE61,IF($J61=8,BE61,IF($J61=7,BE61,0)))))</f>
        <v>0</v>
      </c>
      <c r="BD61" s="406">
        <f t="shared" ref="BD61:BD64" si="487">IF(BE61=0,0,IF(BE61&gt;0,IF($J61=12,BE61,IF($J61=11,BE61,IF($J61=10,BE61,0)))))</f>
        <v>0</v>
      </c>
      <c r="BE61" s="407">
        <f t="shared" si="386"/>
        <v>0</v>
      </c>
      <c r="BF61" s="404">
        <f t="shared" ref="BF61:BF64" si="488">IF(BJ61=0,0,IF(BJ61&gt;0,IF($J61=3,BJ61,IF($J61=2,BJ61,IF($J61=1,BJ61,0)))))</f>
        <v>0</v>
      </c>
      <c r="BG61" s="414">
        <f t="shared" ref="BG61:BG64" si="489">IF(BJ61=0,0,IF(BJ61&gt;0,IF($J61=6,BJ61,IF($J61=5,BJ61,IF($J61=4,BJ61,0)))))</f>
        <v>0</v>
      </c>
      <c r="BH61" s="414">
        <f t="shared" ref="BH61:BH64" si="490">IF(BJ61=0,0,IF(BJ61&gt;0,IF($J61=9,BJ61,IF($J61=8,BJ61,IF($J61=7,BJ61,0)))))</f>
        <v>0</v>
      </c>
      <c r="BI61" s="406">
        <f t="shared" ref="BI61:BI64" si="491">IF(BJ61=0,0,IF(BJ61&gt;0,IF($J61=12,BJ61,IF($J61=11,BJ61,IF($J61=10,BJ61,0)))))</f>
        <v>0</v>
      </c>
      <c r="BJ61" s="407">
        <f t="shared" si="391"/>
        <v>0</v>
      </c>
      <c r="BK61" s="404">
        <f t="shared" si="392"/>
        <v>0</v>
      </c>
      <c r="BL61" s="414">
        <f t="shared" si="393"/>
        <v>0</v>
      </c>
      <c r="BM61" s="414">
        <f t="shared" si="394"/>
        <v>0</v>
      </c>
      <c r="BN61" s="406">
        <f t="shared" si="395"/>
        <v>0</v>
      </c>
      <c r="BO61" s="407">
        <f t="shared" si="396"/>
        <v>0</v>
      </c>
      <c r="BP61" s="447"/>
      <c r="BQ61" s="413">
        <f t="shared" ref="BQ61:BQ64" si="492">IF(AND(AH61&lt;&gt;0,AH$5=$H61),$I61*$E61-AH61,IF(BQ$5=$H61,$I61*$E61*(12-$J61+1)/12,0))</f>
        <v>0</v>
      </c>
      <c r="BR61" s="410">
        <f t="shared" ref="BR61:BR64" si="493">IF($H61&lt;&gt;BV$5,0,IF(BV61&gt;0,IF($J61=1,$E61*$I61/12*3,IF($J61=2,$E61*$I61/12*2,IF($J61=3,$E61*$I61/12*1,0)))))+IF(BQ$5&lt;&gt;$H61,0,IF(BQ61&gt;0,IF($J61=1,$E61*$I61/12*0,IF($J61=2,$E61*$I61/12*1,IF($J61=3,$E61*$I61/12*2,IF($J61&gt;=4,$E61*$I61/12*3,0))))))</f>
        <v>0</v>
      </c>
      <c r="BS61" s="416">
        <f t="shared" ref="BS61:BS64" si="494">IF($H61&lt;&gt;BV$5,0,IF(BV61&gt;0,IF(OR($J61=1,$J61=2,$J61=3,$J61=4),$E61*$I61/12*3,IF($J61=5,$E61*$I61/12*2,IF($J61=6,$E61*$I61/12*1,0)))))+IF(BQ$5&lt;&gt;$H61,0,IF(BQ61&gt;0,IF($J61=4,$E61*$I61/12*0,IF($J61=5,$E61*$I61/12*1,IF($J61=6,$E61*$I61/12*2,IF($J61&gt;=7,$E61*$I61/12*3,0))))))</f>
        <v>0</v>
      </c>
      <c r="BT61" s="416">
        <f t="shared" ref="BT61:BT64" si="495">IF($H61&lt;&gt;BV$5,0,IF(BV61&gt;0,IF(OR($J61=1,$J61=2,$J61=3,$J61=4,$J61=5,$J61=6,$J61=7),$E61*$I61/12*3,IF($J61=8,$E61*$I61/12*2,IF($J61=9,$E61*$I61/12*1,0)))))+IF(BQ$5&lt;&gt;$H61,0,IF(BQ61&gt;0,IF($J61=7,$E61*$I61/12*0,IF($J61=8,$E61*$I61/12*1,IF($J61=9,$E61*$I61/12*2,IF($J61&gt;=10,$E61*$I61/12*3,0))))))</f>
        <v>0</v>
      </c>
      <c r="BU61" s="412">
        <f t="shared" ref="BU61:BU64" si="496">IF($H61&lt;&gt;BV$5,0,IF(BV61&gt;0,IF(OR($J61=1,$J61=2,$J61=3,$J61=4,$J61=5,$J61=6,$J61=7,$J61=8,$J61=9,$J61=10),$E61*$I61/12*3,IF($J61=11,$E61*$I61/12*2,IF($J61=12,$E61*$I61/12*1,0)))))+IF(BQ$5&lt;&gt;$H61,0,IF(BQ61&gt;0,IF($J61=10,$E61*$I61/12*0,IF($J61=11,$E61*$I61/12*1,IF($J61=12,$E61*$I61/12*2,0)))))</f>
        <v>0</v>
      </c>
      <c r="BV61" s="413">
        <f t="shared" ref="BV61:BV64" si="497">IF(AND(BQ61&lt;&gt;0,BQ$5=$H61),$I61*$E61-BQ61,IF(BV$5=$H61,$I61*$E61*(12-$J61+1)/12,0))</f>
        <v>0</v>
      </c>
      <c r="BW61" s="410">
        <f t="shared" ref="BW61:BW64" si="498">IF($H61&lt;&gt;CA$5,0,IF(CA61&gt;0,IF($J61=1,$E61*$I61/12*3,IF($J61=2,$E61*$I61/12*2,IF($J61=3,$E61*$I61/12*1,0)))))+IF(BV$5&lt;&gt;$H61,0,IF(BV61&gt;0,IF($J61=1,$E61*$I61/12*0,IF($J61=2,$E61*$I61/12*1,IF($J61=3,$E61*$I61/12*2,IF($J61&gt;=4,$E61*$I61/12*3,0))))))</f>
        <v>0</v>
      </c>
      <c r="BX61" s="416">
        <f t="shared" ref="BX61:BX64" si="499">IF($H61&lt;&gt;CA$5,0,IF(CA61&gt;0,IF(OR($J61=1,$J61=2,$J61=3,$J61=4),$E61*$I61/12*3,IF($J61=5,$E61*$I61/12*2,IF($J61=6,$E61*$I61/12*1,0)))))+IF(BV$5&lt;&gt;$H61,0,IF(BV61&gt;0,IF($J61=4,$E61*$I61/12*0,IF($J61=5,$E61*$I61/12*1,IF($J61=6,$E61*$I61/12*2,IF($J61&gt;=7,$E61*$I61/12*3,0))))))</f>
        <v>0</v>
      </c>
      <c r="BY61" s="416">
        <f t="shared" ref="BY61:BY64" si="500">IF($H61&lt;&gt;CA$5,0,IF(CA61&gt;0,IF(OR($J61=1,$J61=2,$J61=3,$J61=4,$J61=5,$J61=6,$J61=7),$E61*$I61/12*3,IF($J61=8,$E61*$I61/12*2,IF($J61=9,$E61*$I61/12*1,0)))))+IF(BV$5&lt;&gt;$H61,0,IF(BV61&gt;0,IF($J61=7,$E61*$I61/12*0,IF($J61=8,$E61*$I61/12*1,IF($J61=9,$E61*$I61/12*2,IF($J61&gt;=10,$E61*$I61/12*3,0))))))</f>
        <v>0</v>
      </c>
      <c r="BZ61" s="412">
        <f t="shared" ref="BZ61:BZ64" si="501">IF($H61&lt;&gt;CA$5,0,IF(CA61&gt;0,IF(OR($J61=1,$J61=2,$J61=3,$J61=4,$J61=5,$J61=6,$J61=7,$J61=8,$J61=9,$J61=10),$E61*$I61/12*3,IF($J61=11,$E61*$I61/12*2,IF($J61=12,$E61*$I61/12*1,0)))))+IF(BV$5&lt;&gt;$H61,0,IF(BV61&gt;0,IF($J61=10,$E61*$I61/12*0,IF($J61=11,$E61*$I61/12*1,IF($J61=12,$E61*$I61/12*2,0)))))</f>
        <v>0</v>
      </c>
      <c r="CA61" s="413">
        <f t="shared" ref="CA61:CA64" si="502">IF(AND(BV61&lt;&gt;0,BV$5=$H61),$I61*$E61-BV61,IF(CA$5=$H61,$I61*$E61*(12-$J61+1)/12,0))</f>
        <v>0</v>
      </c>
      <c r="CB61" s="410">
        <f t="shared" ref="CB61:CB64" si="503">IF($H61&lt;&gt;CF$5,0,IF(CF61&gt;0,IF($J61=1,$E61*$I61/12*3,IF($J61=2,$E61*$I61/12*2,IF($J61=3,$E61*$I61/12*1,0)))))+IF(CA$5&lt;&gt;$H61,0,IF(CA61&gt;0,IF($J61=1,$E61*$I61/12*0,IF($J61=2,$E61*$I61/12*1,IF($J61=3,$E61*$I61/12*2,IF($J61&gt;=4,$E61*$I61/12*3,0))))))</f>
        <v>0</v>
      </c>
      <c r="CC61" s="416">
        <f t="shared" ref="CC61:CC64" si="504">IF($H61&lt;&gt;CF$5,0,IF(CF61&gt;0,IF(OR($J61=1,$J61=2,$J61=3,$J61=4),$E61*$I61/12*3,IF($J61=5,$E61*$I61/12*2,IF($J61=6,$E61*$I61/12*1,0)))))+IF(CA$5&lt;&gt;$H61,0,IF(CA61&gt;0,IF($J61=4,$E61*$I61/12*0,IF($J61=5,$E61*$I61/12*1,IF($J61=6,$E61*$I61/12*2,IF($J61&gt;=7,$E61*$I61/12*3,0))))))</f>
        <v>0</v>
      </c>
      <c r="CD61" s="416">
        <f t="shared" ref="CD61:CD64" si="505">IF($H61&lt;&gt;CF$5,0,IF(CF61&gt;0,IF(OR($J61=1,$J61=2,$J61=3,$J61=4,$J61=5,$J61=6,$J61=7),$E61*$I61/12*3,IF($J61=8,$E61*$I61/12*2,IF($J61=9,$E61*$I61/12*1,0)))))+IF(CA$5&lt;&gt;$H61,0,IF(CA61&gt;0,IF($J61=7,$E61*$I61/12*0,IF($J61=8,$E61*$I61/12*1,IF($J61=9,$E61*$I61/12*2,IF($J61&gt;=10,$E61*$I61/12*3,0))))))</f>
        <v>0</v>
      </c>
      <c r="CE61" s="412">
        <f t="shared" ref="CE61:CE64" si="506">IF($H61&lt;&gt;CF$5,0,IF(CF61&gt;0,IF(OR($J61=1,$J61=2,$J61=3,$J61=4,$J61=5,$J61=6,$J61=7,$J61=8,$J61=9,$J61=10),$E61*$I61/12*3,IF($J61=11,$E61*$I61/12*2,IF($J61=12,$E61*$I61/12*1,0)))))+IF(CA$5&lt;&gt;$H61,0,IF(CA61&gt;0,IF($J61=10,$E61*$I61/12*0,IF($J61=11,$E61*$I61/12*1,IF($J61=12,$E61*$I61/12*2,0)))))</f>
        <v>0</v>
      </c>
      <c r="CF61" s="413">
        <f t="shared" ref="CF61:CF64" si="507">IF(AND(CA61&lt;&gt;0,CA$5=$H61),$I61*$E61-CA61,IF(CF$5=$H61,$I61*$E61*(12-$J61+1)/12,0))</f>
        <v>0</v>
      </c>
      <c r="CG61" s="410">
        <f t="shared" ref="CG61:CG64" si="508">IF($H61&lt;&gt;CK$5,0,IF(CK61&gt;0,IF($J61=1,$E61*$I61/12*3,IF($J61=2,$E61*$I61/12*2,IF($J61=3,$E61*$I61/12*1,0)))))+IF(CF$5&lt;&gt;$H61,0,IF(CF61&gt;0,IF($J61=1,$E61*$I61/12*0,IF($J61=2,$E61*$I61/12*1,IF($J61=3,$E61*$I61/12*2,IF($J61&gt;=4,$E61*$I61/12*3,0))))))</f>
        <v>0</v>
      </c>
      <c r="CH61" s="416">
        <f t="shared" ref="CH61:CH64" si="509">IF($H61&lt;&gt;CK$5,0,IF(CK61&gt;0,IF(OR($J61=1,$J61=2,$J61=3,$J61=4),$E61*$I61/12*3,IF($J61=5,$E61*$I61/12*2,IF($J61=6,$E61*$I61/12*1,0)))))+IF(CF$5&lt;&gt;$H61,0,IF(CF61&gt;0,IF($J61=4,$E61*$I61/12*0,IF($J61=5,$E61*$I61/12*1,IF($J61=6,$E61*$I61/12*2,IF($J61&gt;=7,$E61*$I61/12*3,0))))))</f>
        <v>0</v>
      </c>
      <c r="CI61" s="416">
        <f t="shared" ref="CI61:CI64" si="510">IF($H61&lt;&gt;CK$5,0,IF(CK61&gt;0,IF(OR($J61=1,$J61=2,$J61=3,$J61=4,$J61=5,$J61=6,$J61=7),$E61*$I61/12*3,IF($J61=8,$E61*$I61/12*2,IF($J61=9,$E61*$I61/12*1,0)))))+IF(CF$5&lt;&gt;$H61,0,IF(CF61&gt;0,IF($J61=7,$E61*$I61/12*0,IF($J61=8,$E61*$I61/12*1,IF($J61=9,$E61*$I61/12*2,IF($J61&gt;=10,$E61*$I61/12*3,0))))))</f>
        <v>0</v>
      </c>
      <c r="CJ61" s="412">
        <f t="shared" ref="CJ61:CJ64" si="511">IF($H61&lt;&gt;CK$5,0,IF(CK61&gt;0,IF(OR($J61=1,$J61=2,$J61=3,$J61=4,$J61=5,$J61=6,$J61=7,$J61=8,$J61=9,$J61=10),$E61*$I61/12*3,IF($J61=11,$E61*$I61/12*2,IF($J61=12,$E61*$I61/12*1,0)))))+IF(CF$5&lt;&gt;$H61,0,IF(CF61&gt;0,IF($J61=10,$E61*$I61/12*0,IF($J61=11,$E61*$I61/12*1,IF($J61=12,$E61*$I61/12*2,0)))))</f>
        <v>0</v>
      </c>
      <c r="CK61" s="413">
        <f t="shared" ref="CK61:CK64" si="512">IF(AND(CF61&lt;&gt;0,CF$5=$H61),$I61*$E61-CF61,IF(CK$5=$H61,$I61*$E61*(12-$J61+1)/12,0))</f>
        <v>0</v>
      </c>
      <c r="CL61" s="410">
        <f t="shared" ref="CL61:CL64" si="513">IF($H61&lt;&gt;CP$5,0,IF(CP61&gt;0,IF($J61=1,$E61*$I61/12*3,IF($J61=2,$E61*$I61/12*2,IF($J61=3,$E61*$I61/12*1,0)))))+IF(CK$5&lt;&gt;$H61,0,IF(CK61&gt;0,IF($J61=1,$E61*$I61/12*0,IF($J61=2,$E61*$I61/12*1,IF($J61=3,$E61*$I61/12*2,IF($J61&gt;=4,$E61*$I61/12*3,0))))))</f>
        <v>0</v>
      </c>
      <c r="CM61" s="416">
        <f t="shared" ref="CM61:CM64" si="514">IF($H61&lt;&gt;CP$5,0,IF(CP61&gt;0,IF(OR($J61=1,$J61=2,$J61=3,$J61=4),$E61*$I61/12*3,IF($J61=5,$E61*$I61/12*2,IF($J61=6,$E61*$I61/12*1,0)))))+IF(CK$5&lt;&gt;$H61,0,IF(CK61&gt;0,IF($J61=4,$E61*$I61/12*0,IF($J61=5,$E61*$I61/12*1,IF($J61=6,$E61*$I61/12*2,IF($J61&gt;=7,$E61*$I61/12*3,0))))))</f>
        <v>0</v>
      </c>
      <c r="CN61" s="416">
        <f t="shared" ref="CN61:CN64" si="515">IF($H61&lt;&gt;CP$5,0,IF(CP61&gt;0,IF(OR($J61=1,$J61=2,$J61=3,$J61=4,$J61=5,$J61=6,$J61=7),$E61*$I61/12*3,IF($J61=8,$E61*$I61/12*2,IF($J61=9,$E61*$I61/12*1,0)))))+IF(CK$5&lt;&gt;$H61,0,IF(CK61&gt;0,IF($J61=7,$E61*$I61/12*0,IF($J61=8,$E61*$I61/12*1,IF($J61=9,$E61*$I61/12*2,IF($J61&gt;=10,$E61*$I61/12*3,0))))))</f>
        <v>0</v>
      </c>
      <c r="CO61" s="412">
        <f t="shared" ref="CO61:CO64" si="516">IF($H61&lt;&gt;CP$5,0,IF(CP61&gt;0,IF(OR($J61=1,$J61=2,$J61=3,$J61=4,$J61=5,$J61=6,$J61=7,$J61=8,$J61=9,$J61=10),$E61*$I61/12*3,IF($J61=11,$E61*$I61/12*2,IF($J61=12,$E61*$I61/12*1,0)))))+IF(CK$5&lt;&gt;$H61,0,IF(CK61&gt;0,IF($J61=10,$E61*$I61/12*0,IF($J61=11,$E61*$I61/12*1,IF($J61=12,$E61*$I61/12*2,0)))))</f>
        <v>0</v>
      </c>
      <c r="CP61" s="413">
        <f t="shared" ref="CP61:CP64" si="517">IF(AND(CK61&lt;&gt;0,CK$5=$H61),$I61*$E61-CK61,IF(CP$5=$H61,$I61*$E61*(12-$J61+1)/12,0))</f>
        <v>0</v>
      </c>
      <c r="CQ61" s="410">
        <f t="shared" ref="CQ61:CQ64" si="518">IF($H61&lt;&gt;CU$5,0,IF(CU61&gt;0,IF($J61=1,$E61*$I61/12*3,IF($J61=2,$E61*$I61/12*2,IF($J61=3,$E61*$I61/12*1,0)))))+IF(CP$5&lt;&gt;$H61,0,IF(CP61&gt;0,IF($J61=1,$E61*$I61/12*0,IF($J61=2,$E61*$I61/12*1,IF($J61=3,$E61*$I61/12*2,IF($J61&gt;=4,$E61*$I61/12*3,0))))))</f>
        <v>0</v>
      </c>
      <c r="CR61" s="416">
        <f t="shared" ref="CR61:CR64" si="519">IF($H61&lt;&gt;CU$5,0,IF(CU61&gt;0,IF(OR($J61=1,$J61=2,$J61=3,$J61=4),$E61*$I61/12*3,IF($J61=5,$E61*$I61/12*2,IF($J61=6,$E61*$I61/12*1,0)))))+IF(CP$5&lt;&gt;$H61,0,IF(CP61&gt;0,IF($J61=4,$E61*$I61/12*0,IF($J61=5,$E61*$I61/12*1,IF($J61=6,$E61*$I61/12*2,IF($J61&gt;=7,$E61*$I61/12*3,0))))))</f>
        <v>0</v>
      </c>
      <c r="CS61" s="416">
        <f t="shared" ref="CS61:CS64" si="520">IF($H61&lt;&gt;CU$5,0,IF(CU61&gt;0,IF(OR($J61=1,$J61=2,$J61=3,$J61=4,$J61=5,$J61=6,$J61=7),$E61*$I61/12*3,IF($J61=8,$E61*$I61/12*2,IF($J61=9,$E61*$I61/12*1,0)))))+IF(CP$5&lt;&gt;$H61,0,IF(CP61&gt;0,IF($J61=7,$E61*$I61/12*0,IF($J61=8,$E61*$I61/12*1,IF($J61=9,$E61*$I61/12*2,IF($J61&gt;=10,$E61*$I61/12*3,0))))))</f>
        <v>0</v>
      </c>
      <c r="CT61" s="412">
        <f t="shared" ref="CT61:CT64" si="521">IF($H61&lt;&gt;CU$5,0,IF(CU61&gt;0,IF(OR($J61=1,$J61=2,$J61=3,$J61=4,$J61=5,$J61=6,$J61=7,$J61=8,$J61=9,$J61=10),$E61*$I61/12*3,IF($J61=11,$E61*$I61/12*2,IF($J61=12,$E61*$I61/12*1,0)))))+IF(CP$5&lt;&gt;$H61,0,IF(CP61&gt;0,IF($J61=10,$E61*$I61/12*0,IF($J61=11,$E61*$I61/12*1,IF($J61=12,$E61*$I61/12*2,0)))))</f>
        <v>0</v>
      </c>
      <c r="CU61" s="413">
        <f t="shared" ref="CU61:CU64" si="522">IF(AND(CP61&lt;&gt;0,CP$5=$H61),$I61*$E61-CP61,IF(CU$5=$H61,$I61*$E61*(12-$J61+1)/12,0))</f>
        <v>0</v>
      </c>
      <c r="CV61" s="410">
        <f t="shared" ref="CV61:CV64" si="523">IF($H61&lt;&gt;CZ$5,0,IF(CZ61&gt;0,IF($J61=1,$E61*$I61/12*3,IF($J61=2,$E61*$I61/12*2,IF($J61=3,$E61*$I61/12*1,0)))))+IF(CU$5&lt;&gt;$H61,0,IF(CU61&gt;0,IF($J61=1,$E61*$I61/12*0,IF($J61=2,$E61*$I61/12*1,IF($J61=3,$E61*$I61/12*2,IF($J61&gt;=4,$E61*$I61/12*3,0))))))</f>
        <v>0</v>
      </c>
      <c r="CW61" s="416">
        <f t="shared" ref="CW61:CW64" si="524">IF($H61&lt;&gt;CZ$5,0,IF(CZ61&gt;0,IF(OR($J61=1,$J61=2,$J61=3,$J61=4),$E61*$I61/12*3,IF($J61=5,$E61*$I61/12*2,IF($J61=6,$E61*$I61/12*1,0)))))+IF(CU$5&lt;&gt;$H61,0,IF(CU61&gt;0,IF($J61=4,$E61*$I61/12*0,IF($J61=5,$E61*$I61/12*1,IF($J61=6,$E61*$I61/12*2,IF($J61&gt;=7,$E61*$I61/12*3,0))))))</f>
        <v>0</v>
      </c>
      <c r="CX61" s="416">
        <f t="shared" ref="CX61:CX64" si="525">IF($H61&lt;&gt;CZ$5,0,IF(CZ61&gt;0,IF(OR($J61=1,$J61=2,$J61=3,$J61=4,$J61=5,$J61=6,$J61=7),$E61*$I61/12*3,IF($J61=8,$E61*$I61/12*2,IF($J61=9,$E61*$I61/12*1,0)))))+IF(CU$5&lt;&gt;$H61,0,IF(CU61&gt;0,IF($J61=7,$E61*$I61/12*0,IF($J61=8,$E61*$I61/12*1,IF($J61=9,$E61*$I61/12*2,IF($J61&gt;=10,$E61*$I61/12*3,0))))))</f>
        <v>0</v>
      </c>
      <c r="CY61" s="412">
        <f t="shared" ref="CY61:CY64" si="526">IF($H61&lt;&gt;CZ$5,0,IF(CZ61&gt;0,IF(OR($J61=1,$J61=2,$J61=3,$J61=4,$J61=5,$J61=6,$J61=7,$J61=8,$J61=9,$J61=10),$E61*$I61/12*3,IF($J61=11,$E61*$I61/12*2,IF($J61=12,$E61*$I61/12*1,0)))))+IF(CU$5&lt;&gt;$H61,0,IF(CU61&gt;0,IF($J61=10,$E61*$I61/12*0,IF($J61=11,$E61*$I61/12*1,IF($J61=12,$E61*$I61/12*2,0)))))</f>
        <v>0</v>
      </c>
      <c r="CZ61" s="413">
        <f t="shared" ref="CZ61:CZ64" si="527">IF(AND(CU61&lt;&gt;0,CU$5=$H61),$I61*$E61-CU61,IF(CZ$5=$H61,$I61*$E61*(12-$J61+1)/12,0))</f>
        <v>0</v>
      </c>
      <c r="DA61" s="410">
        <f t="shared" ref="DA61:DA64" si="528">IF($H61&lt;&gt;DE$5,0,IF(DE61&gt;0,IF($J61=1,$E61*$I61/12*3,IF($J61=2,$E61*$I61/12*2,IF($J61=3,$E61*$I61/12*1,0)))))+IF(CZ$5&lt;&gt;$H61,0,IF(CZ61&gt;0,IF($J61=1,$E61*$I61/12*0,IF($J61=2,$E61*$I61/12*1,IF($J61=3,$E61*$I61/12*2,IF($J61&gt;=4,$E61*$I61/12*3,0))))))</f>
        <v>0</v>
      </c>
      <c r="DB61" s="416">
        <f t="shared" ref="DB61:DB64" si="529">IF($H61&lt;&gt;DE$5,0,IF(DE61&gt;0,IF(OR($J61=1,$J61=2,$J61=3,$J61=4),$E61*$I61/12*3,IF($J61=5,$E61*$I61/12*2,IF($J61=6,$E61*$I61/12*1,0)))))+IF(CZ$5&lt;&gt;$H61,0,IF(CZ61&gt;0,IF($J61=4,$E61*$I61/12*0,IF($J61=5,$E61*$I61/12*1,IF($J61=6,$E61*$I61/12*2,IF($J61&gt;=7,$E61*$I61/12*3,0))))))</f>
        <v>29.158846197451187</v>
      </c>
      <c r="DC61" s="416">
        <f t="shared" ref="DC61:DC64" si="530">IF($H61&lt;&gt;DE$5,0,IF(DE61&gt;0,IF(OR($J61=1,$J61=2,$J61=3,$J61=4,$J61=5,$J61=6,$J61=7),$E61*$I61/12*3,IF($J61=8,$E61*$I61/12*2,IF($J61=9,$E61*$I61/12*1,0)))))+IF(CZ$5&lt;&gt;$H61,0,IF(CZ61&gt;0,IF($J61=7,$E61*$I61/12*0,IF($J61=8,$E61*$I61/12*1,IF($J61=9,$E61*$I61/12*2,IF($J61&gt;=10,$E61*$I61/12*3,0))))))</f>
        <v>29.158846197451187</v>
      </c>
      <c r="DD61" s="412">
        <f t="shared" ref="DD61:DD64" si="531">IF($H61&lt;&gt;DE$5,0,IF(DE61&gt;0,IF(OR($J61=1,$J61=2,$J61=3,$J61=4,$J61=5,$J61=6,$J61=7,$J61=8,$J61=9,$J61=10),$E61*$I61/12*3,IF($J61=11,$E61*$I61/12*2,IF($J61=12,$E61*$I61/12*1,0)))))+IF(CZ$5&lt;&gt;$H61,0,IF(CZ61&gt;0,IF($J61=10,$E61*$I61/12*0,IF($J61=11,$E61*$I61/12*1,IF($J61=12,$E61*$I61/12*2,0)))))</f>
        <v>29.158846197451187</v>
      </c>
      <c r="DE61" s="413">
        <f t="shared" ref="DE61:DE64" si="532">IF(AND(CZ61&lt;&gt;0,CZ$5=$H61),$I61*$E61-CZ61,IF(DE$5=$H61,$I61*$E61*(12-$J61+1)/12,0))</f>
        <v>87.476538592353563</v>
      </c>
      <c r="DF61" s="410">
        <f t="shared" ref="DF61:DF64" si="533">IF($H61&lt;&gt;DJ$5,0,IF(DJ61&gt;0,IF($J61=1,$E61*$I61/12*3,IF($J61=2,$E61*$I61/12*2,IF($J61=3,$E61*$I61/12*1,0)))))+IF(DE$5&lt;&gt;$H61,0,IF(DE61&gt;0,IF($J61=1,$E61*$I61/12*0,IF($J61=2,$E61*$I61/12*1,IF($J61=3,$E61*$I61/12*2,IF($J61&gt;=4,$E61*$I61/12*3,0))))))</f>
        <v>29.158846197451187</v>
      </c>
      <c r="DG61" s="416">
        <f t="shared" ref="DG61:DG64" si="534">IF($H61&lt;&gt;DJ$5,0,IF(DJ61&gt;0,IF(OR($J61=1,$J61=2,$J61=3,$J61=4),$E61*$I61/12*3,IF($J61=5,$E61*$I61/12*2,IF($J61=6,$E61*$I61/12*1,0)))))+IF(DE$5&lt;&gt;$H61,0,IF(DE61&gt;0,IF($J61=4,$E61*$I61/12*0,IF($J61=5,$E61*$I61/12*1,IF($J61=6,$E61*$I61/12*2,IF($J61&gt;=7,$E61*$I61/12*3,0))))))</f>
        <v>0</v>
      </c>
      <c r="DH61" s="416">
        <f t="shared" ref="DH61:DH64" si="535">IF($H61&lt;&gt;DJ$5,0,IF(DJ61&gt;0,IF(OR($J61=1,$J61=2,$J61=3,$J61=4,$J61=5,$J61=6,$J61=7),$E61*$I61/12*3,IF($J61=8,$E61*$I61/12*2,IF($J61=9,$E61*$I61/12*1,0)))))+IF(DE$5&lt;&gt;$H61,0,IF(DE61&gt;0,IF($J61=7,$E61*$I61/12*0,IF($J61=8,$E61*$I61/12*1,IF($J61=9,$E61*$I61/12*2,IF($J61&gt;=10,$E61*$I61/12*3,0))))))</f>
        <v>0</v>
      </c>
      <c r="DI61" s="412">
        <f t="shared" ref="DI61:DI64" si="536">IF($H61&lt;&gt;DJ$5,0,IF(DJ61&gt;0,IF(OR($J61=1,$J61=2,$J61=3,$J61=4,$J61=5,$J61=6,$J61=7,$J61=8,$J61=9,$J61=10),$E61*$I61/12*3,IF($J61=11,$E61*$I61/12*2,IF($J61=12,$E61*$I61/12*1,0)))))+IF(DE$5&lt;&gt;$H61,0,IF(DE61&gt;0,IF($J61=10,$E61*$I61/12*0,IF($J61=11,$E61*$I61/12*1,IF($J61=12,$E61*$I61/12*2,0)))))</f>
        <v>0</v>
      </c>
      <c r="DJ61" s="413">
        <f t="shared" ref="DJ61:DJ64" si="537">IF(AND(DE61&lt;&gt;0,DE$5=$H61),$I61*$E61-DE61,IF(DJ$5=$H61,$I61*$E61*(12-$J61+1)/12,0))</f>
        <v>29.158846197451183</v>
      </c>
      <c r="DK61" s="410">
        <f t="shared" ref="DK61:DK64" si="538">IF($H61&lt;&gt;DO$5,0,IF(DO61&gt;0,IF($J61=1,$E61*$I61/12*3,IF($J61=2,$E61*$I61/12*2,IF($J61=3,$E61*$I61/12*1,0)))))+IF(DJ$5&lt;&gt;$H61,0,IF(DJ61&gt;0,IF($J61=1,$E61*$I61/12*0,IF($J61=2,$E61*$I61/12*1,IF($J61=3,$E61*$I61/12*2,IF($J61&gt;=4,$E61*$I61/12*3,0))))))</f>
        <v>0</v>
      </c>
      <c r="DL61" s="416">
        <f t="shared" ref="DL61:DL64" si="539">IF($H61&lt;&gt;DO$5,0,IF(DO61&gt;0,IF(OR($J61=1,$J61=2,$J61=3,$J61=4),$E61*$I61/12*3,IF($J61=5,$E61*$I61/12*2,IF($J61=6,$E61*$I61/12*1,0)))))+IF(DJ$5&lt;&gt;$H61,0,IF(DJ61&gt;0,IF($J61=4,$E61*$I61/12*0,IF($J61=5,$E61*$I61/12*1,IF($J61=6,$E61*$I61/12*2,IF($J61&gt;=7,$E61*$I61/12*3,0))))))</f>
        <v>0</v>
      </c>
      <c r="DM61" s="416">
        <f t="shared" ref="DM61:DM64" si="540">IF($H61&lt;&gt;DO$5,0,IF(DO61&gt;0,IF(OR($J61=1,$J61=2,$J61=3,$J61=4,$J61=5,$J61=6,$J61=7),$E61*$I61/12*3,IF($J61=8,$E61*$I61/12*2,IF($J61=9,$E61*$I61/12*1,0)))))+IF(DJ$5&lt;&gt;$H61,0,IF(DJ61&gt;0,IF($J61=7,$E61*$I61/12*0,IF($J61=8,$E61*$I61/12*1,IF($J61=9,$E61*$I61/12*2,IF($J61&gt;=10,$E61*$I61/12*3,0))))))</f>
        <v>0</v>
      </c>
      <c r="DN61" s="412">
        <f t="shared" ref="DN61:DN64" si="541">IF($H61&lt;&gt;DO$5,0,IF(DO61&gt;0,IF(OR($J61=1,$J61=2,$J61=3,$J61=4,$J61=5,$J61=6,$J61=7,$J61=8,$J61=9,$J61=10),$E61*$I61/12*3,IF($J61=11,$E61*$I61/12*2,IF($J61=12,$E61*$I61/12*1,0)))))+IF(DJ$5&lt;&gt;$H61,0,IF(DJ61&gt;0,IF($J61=10,$E61*$I61/12*0,IF($J61=11,$E61*$I61/12*1,IF($J61=12,$E61*$I61/12*2,0)))))</f>
        <v>0</v>
      </c>
      <c r="DO61" s="413">
        <f t="shared" ref="DO61:DO64" si="542">IF(AND(DJ61&lt;&gt;0,DJ$5=$H61),$I61*$E61-DJ61,IF(DO$5=$H61,$I61*$E61*(12-$J61+1)/12,0))</f>
        <v>0</v>
      </c>
      <c r="DP61" s="410">
        <f t="shared" si="448"/>
        <v>0</v>
      </c>
      <c r="DQ61" s="416">
        <f t="shared" si="449"/>
        <v>0</v>
      </c>
      <c r="DR61" s="416">
        <f t="shared" si="450"/>
        <v>0</v>
      </c>
      <c r="DS61" s="412">
        <f t="shared" si="451"/>
        <v>0</v>
      </c>
      <c r="DT61" s="413">
        <f t="shared" si="452"/>
        <v>0</v>
      </c>
    </row>
    <row r="62" spans="1:124" ht="12.75" customHeight="1">
      <c r="A62" s="491"/>
      <c r="C62" s="1885" t="s">
        <v>1083</v>
      </c>
      <c r="D62" s="1885"/>
      <c r="E62" s="1887">
        <f>Parent!$BG$51</f>
        <v>2404.6071560574965</v>
      </c>
      <c r="F62" s="1888"/>
      <c r="G62" s="1888"/>
      <c r="H62" s="16">
        <v>2019</v>
      </c>
      <c r="I62" s="1889">
        <f>+'Utility Detail'!$AW$13</f>
        <v>0.05</v>
      </c>
      <c r="J62" s="617">
        <v>7</v>
      </c>
      <c r="K62" s="402"/>
      <c r="L62" s="407">
        <f t="shared" si="341"/>
        <v>0</v>
      </c>
      <c r="M62" s="404">
        <f t="shared" si="453"/>
        <v>0</v>
      </c>
      <c r="N62" s="414">
        <f t="shared" si="454"/>
        <v>0</v>
      </c>
      <c r="O62" s="414">
        <f t="shared" si="455"/>
        <v>0</v>
      </c>
      <c r="P62" s="406">
        <f t="shared" si="456"/>
        <v>0</v>
      </c>
      <c r="Q62" s="407">
        <f t="shared" si="346"/>
        <v>0</v>
      </c>
      <c r="R62" s="404">
        <f t="shared" si="457"/>
        <v>0</v>
      </c>
      <c r="S62" s="414">
        <f t="shared" si="458"/>
        <v>0</v>
      </c>
      <c r="T62" s="414">
        <f t="shared" si="459"/>
        <v>0</v>
      </c>
      <c r="U62" s="406">
        <f t="shared" si="460"/>
        <v>0</v>
      </c>
      <c r="V62" s="407">
        <f t="shared" si="351"/>
        <v>0</v>
      </c>
      <c r="W62" s="404">
        <f t="shared" si="461"/>
        <v>0</v>
      </c>
      <c r="X62" s="414">
        <f t="shared" si="462"/>
        <v>0</v>
      </c>
      <c r="Y62" s="414">
        <f t="shared" si="463"/>
        <v>0</v>
      </c>
      <c r="Z62" s="406">
        <f t="shared" si="464"/>
        <v>0</v>
      </c>
      <c r="AA62" s="407">
        <f t="shared" si="356"/>
        <v>0</v>
      </c>
      <c r="AB62" s="404">
        <f t="shared" si="465"/>
        <v>0</v>
      </c>
      <c r="AC62" s="414">
        <f t="shared" si="466"/>
        <v>0</v>
      </c>
      <c r="AD62" s="414">
        <f t="shared" si="467"/>
        <v>0</v>
      </c>
      <c r="AE62" s="406">
        <f t="shared" si="468"/>
        <v>0</v>
      </c>
      <c r="AF62" s="407">
        <f t="shared" si="361"/>
        <v>0</v>
      </c>
      <c r="AG62" s="404">
        <f t="shared" si="469"/>
        <v>0</v>
      </c>
      <c r="AH62" s="414">
        <f t="shared" si="470"/>
        <v>0</v>
      </c>
      <c r="AI62" s="414">
        <f t="shared" si="471"/>
        <v>0</v>
      </c>
      <c r="AJ62" s="406">
        <f t="shared" si="472"/>
        <v>0</v>
      </c>
      <c r="AK62" s="407">
        <f t="shared" si="366"/>
        <v>0</v>
      </c>
      <c r="AL62" s="404">
        <f t="shared" si="473"/>
        <v>0</v>
      </c>
      <c r="AM62" s="414">
        <f t="shared" si="474"/>
        <v>0</v>
      </c>
      <c r="AN62" s="414">
        <f t="shared" si="475"/>
        <v>0</v>
      </c>
      <c r="AO62" s="406">
        <f t="shared" si="476"/>
        <v>0</v>
      </c>
      <c r="AP62" s="407">
        <f t="shared" si="371"/>
        <v>0</v>
      </c>
      <c r="AQ62" s="404">
        <f t="shared" si="477"/>
        <v>0</v>
      </c>
      <c r="AR62" s="414">
        <f t="shared" si="373"/>
        <v>0</v>
      </c>
      <c r="AS62" s="414">
        <f t="shared" si="478"/>
        <v>0</v>
      </c>
      <c r="AT62" s="406">
        <f t="shared" si="479"/>
        <v>0</v>
      </c>
      <c r="AU62" s="407">
        <f t="shared" si="376"/>
        <v>0</v>
      </c>
      <c r="AV62" s="404">
        <f t="shared" si="480"/>
        <v>0</v>
      </c>
      <c r="AW62" s="414">
        <f t="shared" si="481"/>
        <v>0</v>
      </c>
      <c r="AX62" s="414">
        <f t="shared" si="482"/>
        <v>0</v>
      </c>
      <c r="AY62" s="406">
        <f t="shared" si="483"/>
        <v>0</v>
      </c>
      <c r="AZ62" s="407">
        <f t="shared" si="381"/>
        <v>0</v>
      </c>
      <c r="BA62" s="404">
        <f t="shared" si="484"/>
        <v>0</v>
      </c>
      <c r="BB62" s="414">
        <f t="shared" si="485"/>
        <v>0</v>
      </c>
      <c r="BC62" s="414">
        <f t="shared" si="486"/>
        <v>2404.6071560574965</v>
      </c>
      <c r="BD62" s="406">
        <f t="shared" si="487"/>
        <v>0</v>
      </c>
      <c r="BE62" s="407">
        <f t="shared" si="386"/>
        <v>2404.6071560574965</v>
      </c>
      <c r="BF62" s="404">
        <f t="shared" si="488"/>
        <v>0</v>
      </c>
      <c r="BG62" s="414">
        <f t="shared" si="489"/>
        <v>0</v>
      </c>
      <c r="BH62" s="414">
        <f t="shared" si="490"/>
        <v>0</v>
      </c>
      <c r="BI62" s="406">
        <f t="shared" si="491"/>
        <v>0</v>
      </c>
      <c r="BJ62" s="407">
        <f t="shared" si="391"/>
        <v>0</v>
      </c>
      <c r="BK62" s="404">
        <f t="shared" si="392"/>
        <v>0</v>
      </c>
      <c r="BL62" s="414">
        <f t="shared" si="393"/>
        <v>0</v>
      </c>
      <c r="BM62" s="414">
        <f t="shared" si="394"/>
        <v>0</v>
      </c>
      <c r="BN62" s="406">
        <f t="shared" si="395"/>
        <v>0</v>
      </c>
      <c r="BO62" s="407">
        <f t="shared" si="396"/>
        <v>0</v>
      </c>
      <c r="BP62" s="447"/>
      <c r="BQ62" s="413">
        <f t="shared" si="492"/>
        <v>0</v>
      </c>
      <c r="BR62" s="410">
        <f t="shared" si="493"/>
        <v>0</v>
      </c>
      <c r="BS62" s="416">
        <f t="shared" si="494"/>
        <v>0</v>
      </c>
      <c r="BT62" s="416">
        <f t="shared" si="495"/>
        <v>0</v>
      </c>
      <c r="BU62" s="412">
        <f t="shared" si="496"/>
        <v>0</v>
      </c>
      <c r="BV62" s="413">
        <f t="shared" si="497"/>
        <v>0</v>
      </c>
      <c r="BW62" s="410">
        <f t="shared" si="498"/>
        <v>0</v>
      </c>
      <c r="BX62" s="416">
        <f t="shared" si="499"/>
        <v>0</v>
      </c>
      <c r="BY62" s="416">
        <f t="shared" si="500"/>
        <v>0</v>
      </c>
      <c r="BZ62" s="412">
        <f t="shared" si="501"/>
        <v>0</v>
      </c>
      <c r="CA62" s="413">
        <f t="shared" si="502"/>
        <v>0</v>
      </c>
      <c r="CB62" s="410">
        <f t="shared" si="503"/>
        <v>0</v>
      </c>
      <c r="CC62" s="416">
        <f t="shared" si="504"/>
        <v>0</v>
      </c>
      <c r="CD62" s="416">
        <f t="shared" si="505"/>
        <v>0</v>
      </c>
      <c r="CE62" s="412">
        <f t="shared" si="506"/>
        <v>0</v>
      </c>
      <c r="CF62" s="413">
        <f t="shared" si="507"/>
        <v>0</v>
      </c>
      <c r="CG62" s="410">
        <f t="shared" si="508"/>
        <v>0</v>
      </c>
      <c r="CH62" s="416">
        <f t="shared" si="509"/>
        <v>0</v>
      </c>
      <c r="CI62" s="416">
        <f t="shared" si="510"/>
        <v>0</v>
      </c>
      <c r="CJ62" s="412">
        <f t="shared" si="511"/>
        <v>0</v>
      </c>
      <c r="CK62" s="413">
        <f t="shared" si="512"/>
        <v>0</v>
      </c>
      <c r="CL62" s="410">
        <f t="shared" si="513"/>
        <v>0</v>
      </c>
      <c r="CM62" s="416">
        <f t="shared" si="514"/>
        <v>0</v>
      </c>
      <c r="CN62" s="416">
        <f t="shared" si="515"/>
        <v>0</v>
      </c>
      <c r="CO62" s="412">
        <f t="shared" si="516"/>
        <v>0</v>
      </c>
      <c r="CP62" s="413">
        <f t="shared" si="517"/>
        <v>0</v>
      </c>
      <c r="CQ62" s="410">
        <f t="shared" si="518"/>
        <v>0</v>
      </c>
      <c r="CR62" s="416">
        <f t="shared" si="519"/>
        <v>0</v>
      </c>
      <c r="CS62" s="416">
        <f t="shared" si="520"/>
        <v>0</v>
      </c>
      <c r="CT62" s="412">
        <f t="shared" si="521"/>
        <v>0</v>
      </c>
      <c r="CU62" s="413">
        <f t="shared" si="522"/>
        <v>0</v>
      </c>
      <c r="CV62" s="410">
        <f t="shared" si="523"/>
        <v>0</v>
      </c>
      <c r="CW62" s="416">
        <f t="shared" si="524"/>
        <v>0</v>
      </c>
      <c r="CX62" s="416">
        <f t="shared" si="525"/>
        <v>0</v>
      </c>
      <c r="CY62" s="412">
        <f t="shared" si="526"/>
        <v>0</v>
      </c>
      <c r="CZ62" s="413">
        <f t="shared" si="527"/>
        <v>0</v>
      </c>
      <c r="DA62" s="410">
        <f t="shared" si="528"/>
        <v>0</v>
      </c>
      <c r="DB62" s="416">
        <f t="shared" si="529"/>
        <v>0</v>
      </c>
      <c r="DC62" s="416">
        <f t="shared" si="530"/>
        <v>0</v>
      </c>
      <c r="DD62" s="412">
        <f t="shared" si="531"/>
        <v>0</v>
      </c>
      <c r="DE62" s="413">
        <f t="shared" si="532"/>
        <v>0</v>
      </c>
      <c r="DF62" s="410">
        <f t="shared" si="533"/>
        <v>0</v>
      </c>
      <c r="DG62" s="416">
        <f t="shared" si="534"/>
        <v>0</v>
      </c>
      <c r="DH62" s="416">
        <f t="shared" si="535"/>
        <v>30.057589450718709</v>
      </c>
      <c r="DI62" s="412">
        <f t="shared" si="536"/>
        <v>30.057589450718709</v>
      </c>
      <c r="DJ62" s="413">
        <f t="shared" si="537"/>
        <v>60.115178901437417</v>
      </c>
      <c r="DK62" s="410">
        <f t="shared" si="538"/>
        <v>30.057589450718709</v>
      </c>
      <c r="DL62" s="416">
        <f t="shared" si="539"/>
        <v>30.057589450718709</v>
      </c>
      <c r="DM62" s="416">
        <f t="shared" si="540"/>
        <v>0</v>
      </c>
      <c r="DN62" s="412">
        <f t="shared" si="541"/>
        <v>0</v>
      </c>
      <c r="DO62" s="413">
        <f t="shared" si="542"/>
        <v>60.115178901437417</v>
      </c>
      <c r="DP62" s="410">
        <f t="shared" si="448"/>
        <v>0</v>
      </c>
      <c r="DQ62" s="416">
        <f t="shared" si="449"/>
        <v>0</v>
      </c>
      <c r="DR62" s="416">
        <f t="shared" si="450"/>
        <v>0</v>
      </c>
      <c r="DS62" s="412">
        <f t="shared" si="451"/>
        <v>0</v>
      </c>
      <c r="DT62" s="413">
        <f t="shared" si="452"/>
        <v>0</v>
      </c>
    </row>
    <row r="63" spans="1:124" ht="12.75" customHeight="1">
      <c r="A63" s="491"/>
      <c r="C63" s="1885" t="s">
        <v>1084</v>
      </c>
      <c r="D63" s="1885"/>
      <c r="E63" s="1887">
        <f>Parent!$BL$51</f>
        <v>577.50093121149894</v>
      </c>
      <c r="F63" s="1888"/>
      <c r="G63" s="1888"/>
      <c r="H63" s="16">
        <v>2020</v>
      </c>
      <c r="I63" s="1889">
        <f>+'Utility Detail'!$AW$13</f>
        <v>0.05</v>
      </c>
      <c r="J63" s="617">
        <v>7</v>
      </c>
      <c r="K63" s="402"/>
      <c r="L63" s="407">
        <f t="shared" si="341"/>
        <v>0</v>
      </c>
      <c r="M63" s="404">
        <f t="shared" si="453"/>
        <v>0</v>
      </c>
      <c r="N63" s="414">
        <f t="shared" si="454"/>
        <v>0</v>
      </c>
      <c r="O63" s="414">
        <f t="shared" si="455"/>
        <v>0</v>
      </c>
      <c r="P63" s="406">
        <f t="shared" si="456"/>
        <v>0</v>
      </c>
      <c r="Q63" s="407">
        <f t="shared" si="346"/>
        <v>0</v>
      </c>
      <c r="R63" s="404">
        <f t="shared" si="457"/>
        <v>0</v>
      </c>
      <c r="S63" s="414">
        <f t="shared" si="458"/>
        <v>0</v>
      </c>
      <c r="T63" s="414">
        <f t="shared" si="459"/>
        <v>0</v>
      </c>
      <c r="U63" s="406">
        <f t="shared" si="460"/>
        <v>0</v>
      </c>
      <c r="V63" s="407">
        <f t="shared" si="351"/>
        <v>0</v>
      </c>
      <c r="W63" s="404">
        <f t="shared" si="461"/>
        <v>0</v>
      </c>
      <c r="X63" s="414">
        <f t="shared" si="462"/>
        <v>0</v>
      </c>
      <c r="Y63" s="414">
        <f t="shared" si="463"/>
        <v>0</v>
      </c>
      <c r="Z63" s="406">
        <f t="shared" si="464"/>
        <v>0</v>
      </c>
      <c r="AA63" s="407">
        <f t="shared" si="356"/>
        <v>0</v>
      </c>
      <c r="AB63" s="404">
        <f t="shared" si="465"/>
        <v>0</v>
      </c>
      <c r="AC63" s="414">
        <f t="shared" si="466"/>
        <v>0</v>
      </c>
      <c r="AD63" s="414">
        <f t="shared" si="467"/>
        <v>0</v>
      </c>
      <c r="AE63" s="406">
        <f t="shared" si="468"/>
        <v>0</v>
      </c>
      <c r="AF63" s="407">
        <f t="shared" si="361"/>
        <v>0</v>
      </c>
      <c r="AG63" s="404">
        <f t="shared" si="469"/>
        <v>0</v>
      </c>
      <c r="AH63" s="414">
        <f t="shared" si="470"/>
        <v>0</v>
      </c>
      <c r="AI63" s="414">
        <f t="shared" si="471"/>
        <v>0</v>
      </c>
      <c r="AJ63" s="406">
        <f t="shared" si="472"/>
        <v>0</v>
      </c>
      <c r="AK63" s="407">
        <f t="shared" si="366"/>
        <v>0</v>
      </c>
      <c r="AL63" s="404">
        <f t="shared" si="473"/>
        <v>0</v>
      </c>
      <c r="AM63" s="414">
        <f t="shared" si="474"/>
        <v>0</v>
      </c>
      <c r="AN63" s="414">
        <f t="shared" si="475"/>
        <v>0</v>
      </c>
      <c r="AO63" s="406">
        <f t="shared" si="476"/>
        <v>0</v>
      </c>
      <c r="AP63" s="407">
        <f t="shared" si="371"/>
        <v>0</v>
      </c>
      <c r="AQ63" s="404">
        <f t="shared" si="477"/>
        <v>0</v>
      </c>
      <c r="AR63" s="414">
        <f t="shared" si="373"/>
        <v>0</v>
      </c>
      <c r="AS63" s="414">
        <f t="shared" si="478"/>
        <v>0</v>
      </c>
      <c r="AT63" s="406">
        <f t="shared" si="479"/>
        <v>0</v>
      </c>
      <c r="AU63" s="407">
        <f t="shared" si="376"/>
        <v>0</v>
      </c>
      <c r="AV63" s="404">
        <f t="shared" si="480"/>
        <v>0</v>
      </c>
      <c r="AW63" s="414">
        <f t="shared" si="481"/>
        <v>0</v>
      </c>
      <c r="AX63" s="414">
        <f t="shared" si="482"/>
        <v>0</v>
      </c>
      <c r="AY63" s="406">
        <f t="shared" si="483"/>
        <v>0</v>
      </c>
      <c r="AZ63" s="407">
        <f t="shared" si="381"/>
        <v>0</v>
      </c>
      <c r="BA63" s="404">
        <f t="shared" si="484"/>
        <v>0</v>
      </c>
      <c r="BB63" s="414">
        <f t="shared" si="485"/>
        <v>0</v>
      </c>
      <c r="BC63" s="414">
        <f t="shared" si="486"/>
        <v>0</v>
      </c>
      <c r="BD63" s="406">
        <f t="shared" si="487"/>
        <v>0</v>
      </c>
      <c r="BE63" s="407">
        <f t="shared" si="386"/>
        <v>0</v>
      </c>
      <c r="BF63" s="404">
        <f t="shared" si="488"/>
        <v>0</v>
      </c>
      <c r="BG63" s="414">
        <f t="shared" si="489"/>
        <v>0</v>
      </c>
      <c r="BH63" s="414">
        <f t="shared" si="490"/>
        <v>577.50093121149894</v>
      </c>
      <c r="BI63" s="406">
        <f t="shared" si="491"/>
        <v>0</v>
      </c>
      <c r="BJ63" s="407">
        <f t="shared" si="391"/>
        <v>577.50093121149894</v>
      </c>
      <c r="BK63" s="404">
        <f t="shared" si="392"/>
        <v>0</v>
      </c>
      <c r="BL63" s="414">
        <f t="shared" si="393"/>
        <v>0</v>
      </c>
      <c r="BM63" s="414">
        <f t="shared" si="394"/>
        <v>0</v>
      </c>
      <c r="BN63" s="406">
        <f t="shared" si="395"/>
        <v>0</v>
      </c>
      <c r="BO63" s="407">
        <f t="shared" si="396"/>
        <v>0</v>
      </c>
      <c r="BP63" s="447"/>
      <c r="BQ63" s="413">
        <f t="shared" si="492"/>
        <v>0</v>
      </c>
      <c r="BR63" s="410">
        <f t="shared" si="493"/>
        <v>0</v>
      </c>
      <c r="BS63" s="416">
        <f t="shared" si="494"/>
        <v>0</v>
      </c>
      <c r="BT63" s="416">
        <f t="shared" si="495"/>
        <v>0</v>
      </c>
      <c r="BU63" s="412">
        <f t="shared" si="496"/>
        <v>0</v>
      </c>
      <c r="BV63" s="413">
        <f t="shared" si="497"/>
        <v>0</v>
      </c>
      <c r="BW63" s="410">
        <f t="shared" si="498"/>
        <v>0</v>
      </c>
      <c r="BX63" s="416">
        <f t="shared" si="499"/>
        <v>0</v>
      </c>
      <c r="BY63" s="416">
        <f t="shared" si="500"/>
        <v>0</v>
      </c>
      <c r="BZ63" s="412">
        <f t="shared" si="501"/>
        <v>0</v>
      </c>
      <c r="CA63" s="413">
        <f t="shared" si="502"/>
        <v>0</v>
      </c>
      <c r="CB63" s="410">
        <f t="shared" si="503"/>
        <v>0</v>
      </c>
      <c r="CC63" s="416">
        <f t="shared" si="504"/>
        <v>0</v>
      </c>
      <c r="CD63" s="416">
        <f t="shared" si="505"/>
        <v>0</v>
      </c>
      <c r="CE63" s="412">
        <f t="shared" si="506"/>
        <v>0</v>
      </c>
      <c r="CF63" s="413">
        <f t="shared" si="507"/>
        <v>0</v>
      </c>
      <c r="CG63" s="410">
        <f t="shared" si="508"/>
        <v>0</v>
      </c>
      <c r="CH63" s="416">
        <f t="shared" si="509"/>
        <v>0</v>
      </c>
      <c r="CI63" s="416">
        <f t="shared" si="510"/>
        <v>0</v>
      </c>
      <c r="CJ63" s="412">
        <f t="shared" si="511"/>
        <v>0</v>
      </c>
      <c r="CK63" s="413">
        <f t="shared" si="512"/>
        <v>0</v>
      </c>
      <c r="CL63" s="410">
        <f t="shared" si="513"/>
        <v>0</v>
      </c>
      <c r="CM63" s="416">
        <f t="shared" si="514"/>
        <v>0</v>
      </c>
      <c r="CN63" s="416">
        <f t="shared" si="515"/>
        <v>0</v>
      </c>
      <c r="CO63" s="412">
        <f t="shared" si="516"/>
        <v>0</v>
      </c>
      <c r="CP63" s="413">
        <f t="shared" si="517"/>
        <v>0</v>
      </c>
      <c r="CQ63" s="410">
        <f t="shared" si="518"/>
        <v>0</v>
      </c>
      <c r="CR63" s="416">
        <f t="shared" si="519"/>
        <v>0</v>
      </c>
      <c r="CS63" s="416">
        <f t="shared" si="520"/>
        <v>0</v>
      </c>
      <c r="CT63" s="412">
        <f t="shared" si="521"/>
        <v>0</v>
      </c>
      <c r="CU63" s="413">
        <f t="shared" si="522"/>
        <v>0</v>
      </c>
      <c r="CV63" s="410">
        <f t="shared" si="523"/>
        <v>0</v>
      </c>
      <c r="CW63" s="416">
        <f t="shared" si="524"/>
        <v>0</v>
      </c>
      <c r="CX63" s="416">
        <f t="shared" si="525"/>
        <v>0</v>
      </c>
      <c r="CY63" s="412">
        <f t="shared" si="526"/>
        <v>0</v>
      </c>
      <c r="CZ63" s="413">
        <f t="shared" si="527"/>
        <v>0</v>
      </c>
      <c r="DA63" s="410">
        <f t="shared" si="528"/>
        <v>0</v>
      </c>
      <c r="DB63" s="416">
        <f t="shared" si="529"/>
        <v>0</v>
      </c>
      <c r="DC63" s="416">
        <f t="shared" si="530"/>
        <v>0</v>
      </c>
      <c r="DD63" s="412">
        <f t="shared" si="531"/>
        <v>0</v>
      </c>
      <c r="DE63" s="413">
        <f t="shared" si="532"/>
        <v>0</v>
      </c>
      <c r="DF63" s="410">
        <f t="shared" si="533"/>
        <v>0</v>
      </c>
      <c r="DG63" s="416">
        <f t="shared" si="534"/>
        <v>0</v>
      </c>
      <c r="DH63" s="416">
        <f t="shared" si="535"/>
        <v>0</v>
      </c>
      <c r="DI63" s="412">
        <f t="shared" si="536"/>
        <v>0</v>
      </c>
      <c r="DJ63" s="413">
        <f t="shared" si="537"/>
        <v>0</v>
      </c>
      <c r="DK63" s="410">
        <f t="shared" si="538"/>
        <v>0</v>
      </c>
      <c r="DL63" s="416">
        <f t="shared" si="539"/>
        <v>0</v>
      </c>
      <c r="DM63" s="416">
        <f t="shared" si="540"/>
        <v>7.2187616401437369</v>
      </c>
      <c r="DN63" s="412">
        <f t="shared" si="541"/>
        <v>7.2187616401437369</v>
      </c>
      <c r="DO63" s="413">
        <f t="shared" si="542"/>
        <v>14.437523280287474</v>
      </c>
      <c r="DP63" s="410">
        <f t="shared" si="448"/>
        <v>7.2187616401437369</v>
      </c>
      <c r="DQ63" s="416">
        <f t="shared" si="449"/>
        <v>7.2187616401437369</v>
      </c>
      <c r="DR63" s="416">
        <f t="shared" si="450"/>
        <v>0</v>
      </c>
      <c r="DS63" s="412">
        <f t="shared" si="451"/>
        <v>0</v>
      </c>
      <c r="DT63" s="413">
        <f t="shared" si="452"/>
        <v>14.437523280287474</v>
      </c>
    </row>
    <row r="64" spans="1:124" ht="12.75" customHeight="1">
      <c r="A64" s="491"/>
      <c r="C64" s="1885" t="s">
        <v>1288</v>
      </c>
      <c r="D64" s="1885"/>
      <c r="E64" s="1887">
        <f>Parent!$BQ$51</f>
        <v>933.14419712525705</v>
      </c>
      <c r="F64" s="1888"/>
      <c r="G64" s="1888"/>
      <c r="H64" s="16">
        <v>2021</v>
      </c>
      <c r="I64" s="1889">
        <f>+'Utility Detail'!$AW$13</f>
        <v>0.05</v>
      </c>
      <c r="J64" s="617">
        <v>7</v>
      </c>
      <c r="K64" s="402"/>
      <c r="L64" s="407">
        <f t="shared" si="341"/>
        <v>0</v>
      </c>
      <c r="M64" s="404">
        <f t="shared" si="453"/>
        <v>0</v>
      </c>
      <c r="N64" s="414">
        <f t="shared" si="454"/>
        <v>0</v>
      </c>
      <c r="O64" s="414">
        <f t="shared" si="455"/>
        <v>0</v>
      </c>
      <c r="P64" s="406">
        <f t="shared" si="456"/>
        <v>0</v>
      </c>
      <c r="Q64" s="407">
        <f t="shared" si="346"/>
        <v>0</v>
      </c>
      <c r="R64" s="404">
        <f t="shared" si="457"/>
        <v>0</v>
      </c>
      <c r="S64" s="414">
        <f t="shared" si="458"/>
        <v>0</v>
      </c>
      <c r="T64" s="414">
        <f t="shared" si="459"/>
        <v>0</v>
      </c>
      <c r="U64" s="406">
        <f t="shared" si="460"/>
        <v>0</v>
      </c>
      <c r="V64" s="407">
        <f t="shared" si="351"/>
        <v>0</v>
      </c>
      <c r="W64" s="404">
        <f t="shared" si="461"/>
        <v>0</v>
      </c>
      <c r="X64" s="414">
        <f t="shared" si="462"/>
        <v>0</v>
      </c>
      <c r="Y64" s="414">
        <f t="shared" si="463"/>
        <v>0</v>
      </c>
      <c r="Z64" s="406">
        <f t="shared" si="464"/>
        <v>0</v>
      </c>
      <c r="AA64" s="407">
        <f t="shared" si="356"/>
        <v>0</v>
      </c>
      <c r="AB64" s="404">
        <f t="shared" si="465"/>
        <v>0</v>
      </c>
      <c r="AC64" s="414">
        <f t="shared" si="466"/>
        <v>0</v>
      </c>
      <c r="AD64" s="414">
        <f t="shared" si="467"/>
        <v>0</v>
      </c>
      <c r="AE64" s="406">
        <f t="shared" si="468"/>
        <v>0</v>
      </c>
      <c r="AF64" s="407">
        <f t="shared" si="361"/>
        <v>0</v>
      </c>
      <c r="AG64" s="404">
        <f t="shared" si="469"/>
        <v>0</v>
      </c>
      <c r="AH64" s="414">
        <f t="shared" si="470"/>
        <v>0</v>
      </c>
      <c r="AI64" s="414">
        <f t="shared" si="471"/>
        <v>0</v>
      </c>
      <c r="AJ64" s="406">
        <f t="shared" si="472"/>
        <v>0</v>
      </c>
      <c r="AK64" s="407">
        <f t="shared" si="366"/>
        <v>0</v>
      </c>
      <c r="AL64" s="404">
        <f t="shared" si="473"/>
        <v>0</v>
      </c>
      <c r="AM64" s="414">
        <f t="shared" si="474"/>
        <v>0</v>
      </c>
      <c r="AN64" s="414">
        <f t="shared" si="475"/>
        <v>0</v>
      </c>
      <c r="AO64" s="406">
        <f t="shared" si="476"/>
        <v>0</v>
      </c>
      <c r="AP64" s="407">
        <f t="shared" si="371"/>
        <v>0</v>
      </c>
      <c r="AQ64" s="404">
        <f t="shared" si="477"/>
        <v>0</v>
      </c>
      <c r="AR64" s="414">
        <f t="shared" si="373"/>
        <v>0</v>
      </c>
      <c r="AS64" s="414">
        <f t="shared" si="478"/>
        <v>0</v>
      </c>
      <c r="AT64" s="406">
        <f t="shared" si="479"/>
        <v>0</v>
      </c>
      <c r="AU64" s="407">
        <f t="shared" si="376"/>
        <v>0</v>
      </c>
      <c r="AV64" s="404">
        <f t="shared" si="480"/>
        <v>0</v>
      </c>
      <c r="AW64" s="414">
        <f t="shared" si="481"/>
        <v>0</v>
      </c>
      <c r="AX64" s="414">
        <f t="shared" si="482"/>
        <v>0</v>
      </c>
      <c r="AY64" s="406">
        <f t="shared" si="483"/>
        <v>0</v>
      </c>
      <c r="AZ64" s="407">
        <f t="shared" si="381"/>
        <v>0</v>
      </c>
      <c r="BA64" s="404">
        <f t="shared" si="484"/>
        <v>0</v>
      </c>
      <c r="BB64" s="414">
        <f t="shared" si="485"/>
        <v>0</v>
      </c>
      <c r="BC64" s="414">
        <f t="shared" si="486"/>
        <v>0</v>
      </c>
      <c r="BD64" s="406">
        <f t="shared" si="487"/>
        <v>0</v>
      </c>
      <c r="BE64" s="407">
        <f t="shared" si="386"/>
        <v>0</v>
      </c>
      <c r="BF64" s="404">
        <f t="shared" si="488"/>
        <v>0</v>
      </c>
      <c r="BG64" s="414">
        <f t="shared" si="489"/>
        <v>0</v>
      </c>
      <c r="BH64" s="414">
        <f t="shared" si="490"/>
        <v>0</v>
      </c>
      <c r="BI64" s="406">
        <f t="shared" si="491"/>
        <v>0</v>
      </c>
      <c r="BJ64" s="407">
        <f t="shared" si="391"/>
        <v>0</v>
      </c>
      <c r="BK64" s="404">
        <f t="shared" si="392"/>
        <v>0</v>
      </c>
      <c r="BL64" s="414">
        <f t="shared" si="393"/>
        <v>0</v>
      </c>
      <c r="BM64" s="414">
        <f t="shared" si="394"/>
        <v>933.14419712525705</v>
      </c>
      <c r="BN64" s="406">
        <f t="shared" si="395"/>
        <v>0</v>
      </c>
      <c r="BO64" s="407">
        <f t="shared" si="396"/>
        <v>933.14419712525705</v>
      </c>
      <c r="BP64" s="447"/>
      <c r="BQ64" s="413">
        <f t="shared" si="492"/>
        <v>0</v>
      </c>
      <c r="BR64" s="410">
        <f t="shared" si="493"/>
        <v>0</v>
      </c>
      <c r="BS64" s="416">
        <f t="shared" si="494"/>
        <v>0</v>
      </c>
      <c r="BT64" s="416">
        <f t="shared" si="495"/>
        <v>0</v>
      </c>
      <c r="BU64" s="412">
        <f t="shared" si="496"/>
        <v>0</v>
      </c>
      <c r="BV64" s="413">
        <f t="shared" si="497"/>
        <v>0</v>
      </c>
      <c r="BW64" s="410">
        <f t="shared" si="498"/>
        <v>0</v>
      </c>
      <c r="BX64" s="416">
        <f t="shared" si="499"/>
        <v>0</v>
      </c>
      <c r="BY64" s="416">
        <f t="shared" si="500"/>
        <v>0</v>
      </c>
      <c r="BZ64" s="412">
        <f t="shared" si="501"/>
        <v>0</v>
      </c>
      <c r="CA64" s="413">
        <f t="shared" si="502"/>
        <v>0</v>
      </c>
      <c r="CB64" s="410">
        <f t="shared" si="503"/>
        <v>0</v>
      </c>
      <c r="CC64" s="416">
        <f t="shared" si="504"/>
        <v>0</v>
      </c>
      <c r="CD64" s="416">
        <f t="shared" si="505"/>
        <v>0</v>
      </c>
      <c r="CE64" s="412">
        <f t="shared" si="506"/>
        <v>0</v>
      </c>
      <c r="CF64" s="413">
        <f t="shared" si="507"/>
        <v>0</v>
      </c>
      <c r="CG64" s="410">
        <f t="shared" si="508"/>
        <v>0</v>
      </c>
      <c r="CH64" s="416">
        <f t="shared" si="509"/>
        <v>0</v>
      </c>
      <c r="CI64" s="416">
        <f t="shared" si="510"/>
        <v>0</v>
      </c>
      <c r="CJ64" s="412">
        <f t="shared" si="511"/>
        <v>0</v>
      </c>
      <c r="CK64" s="413">
        <f t="shared" si="512"/>
        <v>0</v>
      </c>
      <c r="CL64" s="410">
        <f t="shared" si="513"/>
        <v>0</v>
      </c>
      <c r="CM64" s="416">
        <f t="shared" si="514"/>
        <v>0</v>
      </c>
      <c r="CN64" s="416">
        <f t="shared" si="515"/>
        <v>0</v>
      </c>
      <c r="CO64" s="412">
        <f t="shared" si="516"/>
        <v>0</v>
      </c>
      <c r="CP64" s="413">
        <f t="shared" si="517"/>
        <v>0</v>
      </c>
      <c r="CQ64" s="410">
        <f t="shared" si="518"/>
        <v>0</v>
      </c>
      <c r="CR64" s="416">
        <f t="shared" si="519"/>
        <v>0</v>
      </c>
      <c r="CS64" s="416">
        <f t="shared" si="520"/>
        <v>0</v>
      </c>
      <c r="CT64" s="412">
        <f t="shared" si="521"/>
        <v>0</v>
      </c>
      <c r="CU64" s="413">
        <f t="shared" si="522"/>
        <v>0</v>
      </c>
      <c r="CV64" s="410">
        <f t="shared" si="523"/>
        <v>0</v>
      </c>
      <c r="CW64" s="416">
        <f t="shared" si="524"/>
        <v>0</v>
      </c>
      <c r="CX64" s="416">
        <f t="shared" si="525"/>
        <v>0</v>
      </c>
      <c r="CY64" s="412">
        <f t="shared" si="526"/>
        <v>0</v>
      </c>
      <c r="CZ64" s="413">
        <f t="shared" si="527"/>
        <v>0</v>
      </c>
      <c r="DA64" s="410">
        <f t="shared" si="528"/>
        <v>0</v>
      </c>
      <c r="DB64" s="416">
        <f t="shared" si="529"/>
        <v>0</v>
      </c>
      <c r="DC64" s="416">
        <f t="shared" si="530"/>
        <v>0</v>
      </c>
      <c r="DD64" s="412">
        <f t="shared" si="531"/>
        <v>0</v>
      </c>
      <c r="DE64" s="413">
        <f t="shared" si="532"/>
        <v>0</v>
      </c>
      <c r="DF64" s="410">
        <f t="shared" si="533"/>
        <v>0</v>
      </c>
      <c r="DG64" s="416">
        <f t="shared" si="534"/>
        <v>0</v>
      </c>
      <c r="DH64" s="416">
        <f t="shared" si="535"/>
        <v>0</v>
      </c>
      <c r="DI64" s="412">
        <f t="shared" si="536"/>
        <v>0</v>
      </c>
      <c r="DJ64" s="413">
        <f t="shared" si="537"/>
        <v>0</v>
      </c>
      <c r="DK64" s="410">
        <f t="shared" si="538"/>
        <v>0</v>
      </c>
      <c r="DL64" s="416">
        <f t="shared" si="539"/>
        <v>0</v>
      </c>
      <c r="DM64" s="416">
        <f t="shared" si="540"/>
        <v>0</v>
      </c>
      <c r="DN64" s="412">
        <f t="shared" si="541"/>
        <v>0</v>
      </c>
      <c r="DO64" s="413">
        <f t="shared" si="542"/>
        <v>0</v>
      </c>
      <c r="DP64" s="410">
        <f t="shared" si="448"/>
        <v>0</v>
      </c>
      <c r="DQ64" s="416">
        <f t="shared" si="449"/>
        <v>0</v>
      </c>
      <c r="DR64" s="416">
        <f t="shared" si="450"/>
        <v>11.664302464065713</v>
      </c>
      <c r="DS64" s="412">
        <f t="shared" si="451"/>
        <v>11.664302464065713</v>
      </c>
      <c r="DT64" s="413">
        <f t="shared" si="452"/>
        <v>23.328604928131426</v>
      </c>
    </row>
    <row r="65" spans="1:124" ht="12.75" customHeight="1">
      <c r="A65" s="491"/>
      <c r="C65" s="17"/>
      <c r="D65" s="17"/>
      <c r="E65" s="5"/>
      <c r="F65" s="1228"/>
      <c r="G65" s="1228"/>
      <c r="H65" s="18"/>
      <c r="I65" s="7"/>
      <c r="J65" s="632"/>
      <c r="K65" s="418"/>
      <c r="L65" s="419"/>
      <c r="M65" s="420"/>
      <c r="N65" s="421"/>
      <c r="O65" s="421"/>
      <c r="P65" s="422"/>
      <c r="Q65" s="419"/>
      <c r="R65" s="420"/>
      <c r="S65" s="421"/>
      <c r="T65" s="421"/>
      <c r="U65" s="422"/>
      <c r="V65" s="419"/>
      <c r="W65" s="420"/>
      <c r="X65" s="421"/>
      <c r="Y65" s="421"/>
      <c r="Z65" s="422"/>
      <c r="AA65" s="419"/>
      <c r="AB65" s="420"/>
      <c r="AC65" s="421"/>
      <c r="AD65" s="421"/>
      <c r="AE65" s="422"/>
      <c r="AF65" s="419"/>
      <c r="AG65" s="420"/>
      <c r="AH65" s="421"/>
      <c r="AI65" s="421"/>
      <c r="AJ65" s="422"/>
      <c r="AK65" s="419"/>
      <c r="AL65" s="420"/>
      <c r="AM65" s="421"/>
      <c r="AN65" s="421"/>
      <c r="AO65" s="422"/>
      <c r="AP65" s="419"/>
      <c r="AQ65" s="420"/>
      <c r="AR65" s="421"/>
      <c r="AS65" s="421"/>
      <c r="AT65" s="422"/>
      <c r="AU65" s="419"/>
      <c r="AV65" s="420"/>
      <c r="AW65" s="421"/>
      <c r="AX65" s="421"/>
      <c r="AY65" s="422"/>
      <c r="AZ65" s="419"/>
      <c r="BA65" s="420"/>
      <c r="BB65" s="421"/>
      <c r="BC65" s="421"/>
      <c r="BD65" s="422"/>
      <c r="BE65" s="419"/>
      <c r="BF65" s="420"/>
      <c r="BG65" s="421"/>
      <c r="BH65" s="421"/>
      <c r="BI65" s="422"/>
      <c r="BJ65" s="419"/>
      <c r="BK65" s="420"/>
      <c r="BL65" s="421"/>
      <c r="BM65" s="421"/>
      <c r="BN65" s="422"/>
      <c r="BO65" s="419"/>
      <c r="BP65" s="477"/>
      <c r="BQ65" s="424"/>
      <c r="BR65" s="425"/>
      <c r="BS65" s="426"/>
      <c r="BT65" s="426"/>
      <c r="BU65" s="427"/>
      <c r="BV65" s="424"/>
      <c r="BW65" s="425"/>
      <c r="BX65" s="426"/>
      <c r="BY65" s="426"/>
      <c r="BZ65" s="427"/>
      <c r="CA65" s="424"/>
      <c r="CB65" s="425"/>
      <c r="CC65" s="426"/>
      <c r="CD65" s="426"/>
      <c r="CE65" s="427"/>
      <c r="CF65" s="424"/>
      <c r="CG65" s="425"/>
      <c r="CH65" s="426"/>
      <c r="CI65" s="426"/>
      <c r="CJ65" s="427"/>
      <c r="CK65" s="424"/>
      <c r="CL65" s="425"/>
      <c r="CM65" s="426"/>
      <c r="CN65" s="426"/>
      <c r="CO65" s="427"/>
      <c r="CP65" s="424"/>
      <c r="CQ65" s="425"/>
      <c r="CR65" s="426"/>
      <c r="CS65" s="426"/>
      <c r="CT65" s="427"/>
      <c r="CU65" s="424"/>
      <c r="CV65" s="425"/>
      <c r="CW65" s="426"/>
      <c r="CX65" s="426"/>
      <c r="CY65" s="427"/>
      <c r="CZ65" s="424"/>
      <c r="DA65" s="425"/>
      <c r="DB65" s="426"/>
      <c r="DC65" s="426"/>
      <c r="DD65" s="427"/>
      <c r="DE65" s="424"/>
      <c r="DF65" s="425"/>
      <c r="DG65" s="426"/>
      <c r="DH65" s="426"/>
      <c r="DI65" s="427"/>
      <c r="DJ65" s="424"/>
      <c r="DK65" s="425"/>
      <c r="DL65" s="426"/>
      <c r="DM65" s="426"/>
      <c r="DN65" s="427"/>
      <c r="DO65" s="424"/>
      <c r="DP65" s="425"/>
      <c r="DQ65" s="426"/>
      <c r="DR65" s="426"/>
      <c r="DS65" s="427"/>
      <c r="DT65" s="424"/>
    </row>
    <row r="66" spans="1:124" ht="12.75" customHeight="1">
      <c r="A66" s="515"/>
      <c r="B66" s="56"/>
      <c r="C66" s="164" t="s">
        <v>48</v>
      </c>
      <c r="D66" s="164"/>
      <c r="E66" s="8">
        <f>SUM(E57:E64)</f>
        <v>7012.0599801903472</v>
      </c>
      <c r="F66" s="1230"/>
      <c r="G66" s="1230"/>
      <c r="H66" s="1320"/>
      <c r="I66" s="1314"/>
      <c r="J66" s="621"/>
      <c r="K66" s="453"/>
      <c r="L66" s="429">
        <f t="shared" ref="L66:AO66" si="543">SUM(L57:L63)</f>
        <v>0</v>
      </c>
      <c r="M66" s="430">
        <f t="shared" si="543"/>
        <v>0</v>
      </c>
      <c r="N66" s="431">
        <f t="shared" si="543"/>
        <v>0</v>
      </c>
      <c r="O66" s="431">
        <f t="shared" si="543"/>
        <v>0</v>
      </c>
      <c r="P66" s="432">
        <f t="shared" si="543"/>
        <v>0</v>
      </c>
      <c r="Q66" s="429">
        <f t="shared" si="543"/>
        <v>0</v>
      </c>
      <c r="R66" s="430">
        <f t="shared" si="543"/>
        <v>0</v>
      </c>
      <c r="S66" s="431">
        <f t="shared" si="543"/>
        <v>0</v>
      </c>
      <c r="T66" s="431">
        <f t="shared" si="543"/>
        <v>0</v>
      </c>
      <c r="U66" s="432">
        <f t="shared" si="543"/>
        <v>0</v>
      </c>
      <c r="V66" s="429">
        <f t="shared" si="543"/>
        <v>0</v>
      </c>
      <c r="W66" s="430">
        <f t="shared" si="543"/>
        <v>0</v>
      </c>
      <c r="X66" s="431">
        <f t="shared" si="543"/>
        <v>0</v>
      </c>
      <c r="Y66" s="431">
        <f t="shared" si="543"/>
        <v>0</v>
      </c>
      <c r="Z66" s="432">
        <f t="shared" si="543"/>
        <v>0</v>
      </c>
      <c r="AA66" s="429">
        <f t="shared" si="543"/>
        <v>0</v>
      </c>
      <c r="AB66" s="430">
        <f t="shared" si="543"/>
        <v>0</v>
      </c>
      <c r="AC66" s="431">
        <f t="shared" si="543"/>
        <v>0</v>
      </c>
      <c r="AD66" s="431">
        <f t="shared" si="543"/>
        <v>0</v>
      </c>
      <c r="AE66" s="432">
        <f t="shared" si="543"/>
        <v>0</v>
      </c>
      <c r="AF66" s="429">
        <f t="shared" si="543"/>
        <v>0</v>
      </c>
      <c r="AG66" s="430">
        <f t="shared" si="543"/>
        <v>0</v>
      </c>
      <c r="AH66" s="431">
        <f t="shared" si="543"/>
        <v>0</v>
      </c>
      <c r="AI66" s="431">
        <f t="shared" si="543"/>
        <v>0</v>
      </c>
      <c r="AJ66" s="432">
        <f t="shared" si="543"/>
        <v>0</v>
      </c>
      <c r="AK66" s="429">
        <f t="shared" si="543"/>
        <v>0</v>
      </c>
      <c r="AL66" s="430">
        <f t="shared" si="543"/>
        <v>0</v>
      </c>
      <c r="AM66" s="431">
        <f t="shared" si="543"/>
        <v>0</v>
      </c>
      <c r="AN66" s="431">
        <f t="shared" si="543"/>
        <v>0</v>
      </c>
      <c r="AO66" s="432">
        <f t="shared" si="543"/>
        <v>0</v>
      </c>
      <c r="AP66" s="429">
        <f>SUM(AP57:AP64)</f>
        <v>0</v>
      </c>
      <c r="AQ66" s="430">
        <f>SUM(AQ57:AQ63)</f>
        <v>7</v>
      </c>
      <c r="AR66" s="431">
        <f>SUM(AR57:AR63)</f>
        <v>132.1</v>
      </c>
      <c r="AS66" s="431">
        <f>SUM(AS57:AS63)</f>
        <v>625</v>
      </c>
      <c r="AT66" s="432">
        <f>SUM(AT57:AT63)</f>
        <v>0</v>
      </c>
      <c r="AU66" s="429">
        <f>SUM(AU57:AU64)</f>
        <v>764.1</v>
      </c>
      <c r="AV66" s="430">
        <f>SUM(AV57:AV63)</f>
        <v>0</v>
      </c>
      <c r="AW66" s="431">
        <f>SUM(AW57:AW63)</f>
        <v>2332.7076957960949</v>
      </c>
      <c r="AX66" s="431">
        <f>SUM(AX57:AX63)</f>
        <v>0</v>
      </c>
      <c r="AY66" s="432">
        <f>SUM(AY57:AY63)</f>
        <v>0</v>
      </c>
      <c r="AZ66" s="429">
        <f>SUM(AZ57:AZ64)</f>
        <v>2332.7076957960949</v>
      </c>
      <c r="BA66" s="430">
        <f>SUM(BA57:BA63)</f>
        <v>0</v>
      </c>
      <c r="BB66" s="431">
        <f>SUM(BB57:BB63)</f>
        <v>0</v>
      </c>
      <c r="BC66" s="431">
        <f>SUM(BC57:BC63)</f>
        <v>2404.6071560574965</v>
      </c>
      <c r="BD66" s="432">
        <f>SUM(BD57:BD63)</f>
        <v>0</v>
      </c>
      <c r="BE66" s="429">
        <f t="shared" ref="BE66:BO66" si="544">SUM(BE57:BE64)</f>
        <v>2404.6071560574965</v>
      </c>
      <c r="BF66" s="430">
        <f t="shared" si="544"/>
        <v>0</v>
      </c>
      <c r="BG66" s="431">
        <f t="shared" si="544"/>
        <v>0</v>
      </c>
      <c r="BH66" s="431">
        <f t="shared" si="544"/>
        <v>577.50093121149894</v>
      </c>
      <c r="BI66" s="432">
        <f t="shared" si="544"/>
        <v>0</v>
      </c>
      <c r="BJ66" s="429">
        <f t="shared" si="544"/>
        <v>577.50093121149894</v>
      </c>
      <c r="BK66" s="430">
        <f t="shared" si="544"/>
        <v>0</v>
      </c>
      <c r="BL66" s="431">
        <f t="shared" si="544"/>
        <v>0</v>
      </c>
      <c r="BM66" s="431">
        <f t="shared" si="544"/>
        <v>933.14419712525705</v>
      </c>
      <c r="BN66" s="432">
        <f t="shared" si="544"/>
        <v>0</v>
      </c>
      <c r="BO66" s="429">
        <f t="shared" si="544"/>
        <v>933.14419712525705</v>
      </c>
      <c r="BP66" s="463"/>
      <c r="BQ66" s="434">
        <f t="shared" ref="BQ66:CV66" si="545">SUM(BQ57:BQ63)</f>
        <v>0</v>
      </c>
      <c r="BR66" s="435">
        <f t="shared" si="545"/>
        <v>0</v>
      </c>
      <c r="BS66" s="436">
        <f t="shared" si="545"/>
        <v>0</v>
      </c>
      <c r="BT66" s="436">
        <f t="shared" si="545"/>
        <v>0</v>
      </c>
      <c r="BU66" s="437">
        <f t="shared" si="545"/>
        <v>0</v>
      </c>
      <c r="BV66" s="434">
        <f t="shared" si="545"/>
        <v>0</v>
      </c>
      <c r="BW66" s="435">
        <f t="shared" si="545"/>
        <v>0</v>
      </c>
      <c r="BX66" s="436">
        <f t="shared" si="545"/>
        <v>0</v>
      </c>
      <c r="BY66" s="436">
        <f t="shared" si="545"/>
        <v>0</v>
      </c>
      <c r="BZ66" s="437">
        <f t="shared" si="545"/>
        <v>0</v>
      </c>
      <c r="CA66" s="434">
        <f t="shared" si="545"/>
        <v>0</v>
      </c>
      <c r="CB66" s="435">
        <f t="shared" si="545"/>
        <v>0</v>
      </c>
      <c r="CC66" s="436">
        <f t="shared" si="545"/>
        <v>0</v>
      </c>
      <c r="CD66" s="436">
        <f t="shared" si="545"/>
        <v>0</v>
      </c>
      <c r="CE66" s="437">
        <f t="shared" si="545"/>
        <v>0</v>
      </c>
      <c r="CF66" s="434">
        <f t="shared" si="545"/>
        <v>0</v>
      </c>
      <c r="CG66" s="435">
        <f t="shared" si="545"/>
        <v>0</v>
      </c>
      <c r="CH66" s="436">
        <f t="shared" si="545"/>
        <v>0</v>
      </c>
      <c r="CI66" s="436">
        <f t="shared" si="545"/>
        <v>0</v>
      </c>
      <c r="CJ66" s="437">
        <f t="shared" si="545"/>
        <v>0</v>
      </c>
      <c r="CK66" s="434">
        <f t="shared" si="545"/>
        <v>0</v>
      </c>
      <c r="CL66" s="435">
        <f t="shared" si="545"/>
        <v>0</v>
      </c>
      <c r="CM66" s="436">
        <f t="shared" si="545"/>
        <v>0</v>
      </c>
      <c r="CN66" s="436">
        <f t="shared" si="545"/>
        <v>0</v>
      </c>
      <c r="CO66" s="437">
        <f t="shared" si="545"/>
        <v>0</v>
      </c>
      <c r="CP66" s="434">
        <f t="shared" si="545"/>
        <v>0</v>
      </c>
      <c r="CQ66" s="435">
        <f t="shared" si="545"/>
        <v>0</v>
      </c>
      <c r="CR66" s="436">
        <f t="shared" si="545"/>
        <v>0</v>
      </c>
      <c r="CS66" s="436">
        <f t="shared" si="545"/>
        <v>0</v>
      </c>
      <c r="CT66" s="437">
        <f t="shared" si="545"/>
        <v>0</v>
      </c>
      <c r="CU66" s="434">
        <f t="shared" si="545"/>
        <v>0</v>
      </c>
      <c r="CV66" s="435">
        <f t="shared" si="545"/>
        <v>2.6249999999999999E-2</v>
      </c>
      <c r="CW66" s="436">
        <f t="shared" ref="CW66:DT66" si="546">SUM(CW57:CW63)</f>
        <v>1.564875</v>
      </c>
      <c r="CX66" s="436">
        <f t="shared" si="546"/>
        <v>7.2211249999999998</v>
      </c>
      <c r="CY66" s="437">
        <f t="shared" si="546"/>
        <v>7.2211249999999998</v>
      </c>
      <c r="CZ66" s="434">
        <f t="shared" si="546"/>
        <v>16.033374999999999</v>
      </c>
      <c r="DA66" s="435">
        <f t="shared" si="546"/>
        <v>7.1948749999999997</v>
      </c>
      <c r="DB66" s="436">
        <f t="shared" si="546"/>
        <v>34.815096197451183</v>
      </c>
      <c r="DC66" s="436">
        <f t="shared" si="546"/>
        <v>29.158846197451187</v>
      </c>
      <c r="DD66" s="437">
        <f t="shared" si="546"/>
        <v>29.158846197451187</v>
      </c>
      <c r="DE66" s="434">
        <f t="shared" si="546"/>
        <v>100.32766359235356</v>
      </c>
      <c r="DF66" s="435">
        <f t="shared" si="546"/>
        <v>29.158846197451187</v>
      </c>
      <c r="DG66" s="436">
        <f t="shared" si="546"/>
        <v>0</v>
      </c>
      <c r="DH66" s="436">
        <f t="shared" si="546"/>
        <v>30.057589450718709</v>
      </c>
      <c r="DI66" s="437">
        <f t="shared" si="546"/>
        <v>30.057589450718709</v>
      </c>
      <c r="DJ66" s="434">
        <f t="shared" si="546"/>
        <v>89.2740250988886</v>
      </c>
      <c r="DK66" s="435">
        <f t="shared" si="546"/>
        <v>30.057589450718709</v>
      </c>
      <c r="DL66" s="436">
        <f t="shared" si="546"/>
        <v>30.057589450718709</v>
      </c>
      <c r="DM66" s="436">
        <f t="shared" si="546"/>
        <v>7.2187616401437369</v>
      </c>
      <c r="DN66" s="437">
        <f t="shared" si="546"/>
        <v>7.2187616401437369</v>
      </c>
      <c r="DO66" s="434">
        <f t="shared" si="546"/>
        <v>74.552702181724896</v>
      </c>
      <c r="DP66" s="435">
        <f t="shared" si="546"/>
        <v>7.2187616401437369</v>
      </c>
      <c r="DQ66" s="436">
        <f t="shared" si="546"/>
        <v>7.2187616401437369</v>
      </c>
      <c r="DR66" s="436">
        <f t="shared" si="546"/>
        <v>0</v>
      </c>
      <c r="DS66" s="437">
        <f t="shared" si="546"/>
        <v>0</v>
      </c>
      <c r="DT66" s="434">
        <f t="shared" si="546"/>
        <v>14.437523280287474</v>
      </c>
    </row>
    <row r="67" spans="1:124" ht="12.75" customHeight="1">
      <c r="A67" s="491"/>
      <c r="C67" s="50"/>
      <c r="D67" s="50"/>
      <c r="E67" s="831"/>
      <c r="F67" s="1226"/>
      <c r="G67" s="1226"/>
      <c r="H67" s="30"/>
      <c r="I67" s="614"/>
      <c r="J67" s="616"/>
      <c r="K67" s="402"/>
      <c r="L67" s="403"/>
      <c r="M67" s="404"/>
      <c r="N67" s="405"/>
      <c r="O67" s="405"/>
      <c r="P67" s="406"/>
      <c r="Q67" s="407"/>
      <c r="R67" s="404"/>
      <c r="S67" s="405"/>
      <c r="T67" s="405"/>
      <c r="U67" s="406"/>
      <c r="V67" s="407"/>
      <c r="W67" s="404"/>
      <c r="X67" s="405"/>
      <c r="Y67" s="405"/>
      <c r="Z67" s="406"/>
      <c r="AA67" s="407"/>
      <c r="AB67" s="404"/>
      <c r="AC67" s="405"/>
      <c r="AD67" s="405"/>
      <c r="AE67" s="406"/>
      <c r="AF67" s="407"/>
      <c r="AG67" s="404"/>
      <c r="AH67" s="405"/>
      <c r="AI67" s="405"/>
      <c r="AJ67" s="406"/>
      <c r="AK67" s="407"/>
      <c r="AL67" s="404"/>
      <c r="AM67" s="405"/>
      <c r="AN67" s="405"/>
      <c r="AO67" s="406"/>
      <c r="AP67" s="407"/>
      <c r="AQ67" s="404"/>
      <c r="AR67" s="405"/>
      <c r="AS67" s="405"/>
      <c r="AT67" s="406"/>
      <c r="AU67" s="407"/>
      <c r="AV67" s="404"/>
      <c r="AW67" s="405"/>
      <c r="AX67" s="405"/>
      <c r="AY67" s="406"/>
      <c r="AZ67" s="407"/>
      <c r="BA67" s="404"/>
      <c r="BB67" s="405"/>
      <c r="BC67" s="405"/>
      <c r="BD67" s="406"/>
      <c r="BE67" s="407"/>
      <c r="BF67" s="404"/>
      <c r="BG67" s="405"/>
      <c r="BH67" s="405"/>
      <c r="BI67" s="406"/>
      <c r="BJ67" s="407"/>
      <c r="BK67" s="404"/>
      <c r="BL67" s="405"/>
      <c r="BM67" s="405"/>
      <c r="BN67" s="406"/>
      <c r="BO67" s="407"/>
      <c r="BP67" s="447"/>
      <c r="BQ67" s="409"/>
      <c r="BR67" s="410"/>
      <c r="BS67" s="411"/>
      <c r="BT67" s="411"/>
      <c r="BU67" s="412"/>
      <c r="BV67" s="413"/>
      <c r="BW67" s="410"/>
      <c r="BX67" s="411"/>
      <c r="BY67" s="411"/>
      <c r="BZ67" s="412"/>
      <c r="CA67" s="413"/>
      <c r="CB67" s="410"/>
      <c r="CC67" s="411"/>
      <c r="CD67" s="411"/>
      <c r="CE67" s="412"/>
      <c r="CF67" s="413"/>
      <c r="CG67" s="410"/>
      <c r="CH67" s="411"/>
      <c r="CI67" s="411"/>
      <c r="CJ67" s="412"/>
      <c r="CK67" s="413"/>
      <c r="CL67" s="410"/>
      <c r="CM67" s="411"/>
      <c r="CN67" s="411"/>
      <c r="CO67" s="412"/>
      <c r="CP67" s="413"/>
      <c r="CQ67" s="410"/>
      <c r="CR67" s="411"/>
      <c r="CS67" s="411"/>
      <c r="CT67" s="412"/>
      <c r="CU67" s="413"/>
      <c r="CV67" s="410"/>
      <c r="CW67" s="411"/>
      <c r="CX67" s="411"/>
      <c r="CY67" s="412"/>
      <c r="CZ67" s="413"/>
      <c r="DA67" s="410"/>
      <c r="DB67" s="411"/>
      <c r="DC67" s="411"/>
      <c r="DD67" s="412"/>
      <c r="DE67" s="413"/>
      <c r="DF67" s="410"/>
      <c r="DG67" s="411"/>
      <c r="DH67" s="411"/>
      <c r="DI67" s="412"/>
      <c r="DJ67" s="413"/>
      <c r="DK67" s="410"/>
      <c r="DL67" s="411"/>
      <c r="DM67" s="411"/>
      <c r="DN67" s="412"/>
      <c r="DO67" s="413"/>
      <c r="DP67" s="410"/>
      <c r="DQ67" s="411"/>
      <c r="DR67" s="411"/>
      <c r="DS67" s="412"/>
      <c r="DT67" s="413"/>
    </row>
    <row r="68" spans="1:124" ht="12.75" customHeight="1">
      <c r="A68" s="491"/>
      <c r="C68" s="56" t="s">
        <v>283</v>
      </c>
      <c r="D68" s="56"/>
      <c r="E68" s="8"/>
      <c r="F68" s="1230"/>
      <c r="G68" s="1230"/>
      <c r="H68" s="1320"/>
      <c r="I68" s="1314"/>
      <c r="J68" s="621"/>
      <c r="K68" s="453"/>
      <c r="L68" s="429">
        <f t="shared" ref="L68:AQ68" si="547">+L54+L66</f>
        <v>0</v>
      </c>
      <c r="M68" s="430">
        <f t="shared" si="547"/>
        <v>0</v>
      </c>
      <c r="N68" s="431">
        <f t="shared" si="547"/>
        <v>0</v>
      </c>
      <c r="O68" s="431">
        <f t="shared" si="547"/>
        <v>0</v>
      </c>
      <c r="P68" s="432">
        <f t="shared" si="547"/>
        <v>0</v>
      </c>
      <c r="Q68" s="429">
        <f t="shared" si="547"/>
        <v>0</v>
      </c>
      <c r="R68" s="430">
        <f t="shared" si="547"/>
        <v>0</v>
      </c>
      <c r="S68" s="431">
        <f t="shared" si="547"/>
        <v>0</v>
      </c>
      <c r="T68" s="431">
        <f t="shared" si="547"/>
        <v>0</v>
      </c>
      <c r="U68" s="432">
        <f t="shared" si="547"/>
        <v>0</v>
      </c>
      <c r="V68" s="429">
        <f t="shared" si="547"/>
        <v>0</v>
      </c>
      <c r="W68" s="430">
        <f t="shared" si="547"/>
        <v>0</v>
      </c>
      <c r="X68" s="431">
        <f t="shared" si="547"/>
        <v>0</v>
      </c>
      <c r="Y68" s="431">
        <f t="shared" si="547"/>
        <v>0</v>
      </c>
      <c r="Z68" s="432">
        <f t="shared" si="547"/>
        <v>0</v>
      </c>
      <c r="AA68" s="429">
        <f t="shared" si="547"/>
        <v>0</v>
      </c>
      <c r="AB68" s="430">
        <f t="shared" si="547"/>
        <v>0</v>
      </c>
      <c r="AC68" s="431">
        <f t="shared" si="547"/>
        <v>0</v>
      </c>
      <c r="AD68" s="431">
        <f t="shared" si="547"/>
        <v>0</v>
      </c>
      <c r="AE68" s="432">
        <f t="shared" si="547"/>
        <v>0</v>
      </c>
      <c r="AF68" s="429">
        <f t="shared" si="547"/>
        <v>0</v>
      </c>
      <c r="AG68" s="430">
        <f t="shared" si="547"/>
        <v>0</v>
      </c>
      <c r="AH68" s="431">
        <f t="shared" si="547"/>
        <v>0</v>
      </c>
      <c r="AI68" s="431">
        <f t="shared" si="547"/>
        <v>0</v>
      </c>
      <c r="AJ68" s="432">
        <f t="shared" si="547"/>
        <v>0</v>
      </c>
      <c r="AK68" s="429">
        <f t="shared" si="547"/>
        <v>0</v>
      </c>
      <c r="AL68" s="430">
        <f t="shared" si="547"/>
        <v>0</v>
      </c>
      <c r="AM68" s="431">
        <f t="shared" si="547"/>
        <v>0</v>
      </c>
      <c r="AN68" s="431">
        <f t="shared" si="547"/>
        <v>0</v>
      </c>
      <c r="AO68" s="432">
        <f t="shared" si="547"/>
        <v>0</v>
      </c>
      <c r="AP68" s="429">
        <f t="shared" si="547"/>
        <v>0</v>
      </c>
      <c r="AQ68" s="430">
        <f t="shared" si="547"/>
        <v>7</v>
      </c>
      <c r="AR68" s="431">
        <f t="shared" ref="AR68:BO68" si="548">+AR54+AR66</f>
        <v>132.1</v>
      </c>
      <c r="AS68" s="431">
        <f t="shared" si="548"/>
        <v>625</v>
      </c>
      <c r="AT68" s="432">
        <f t="shared" si="548"/>
        <v>-550</v>
      </c>
      <c r="AU68" s="429">
        <f t="shared" si="548"/>
        <v>214.10000000000002</v>
      </c>
      <c r="AV68" s="430">
        <f t="shared" si="548"/>
        <v>0</v>
      </c>
      <c r="AW68" s="431">
        <f t="shared" si="548"/>
        <v>2332.7076957960949</v>
      </c>
      <c r="AX68" s="431">
        <f t="shared" si="548"/>
        <v>0</v>
      </c>
      <c r="AY68" s="432">
        <f t="shared" si="548"/>
        <v>-50</v>
      </c>
      <c r="AZ68" s="429">
        <f t="shared" si="548"/>
        <v>2282.7076957960949</v>
      </c>
      <c r="BA68" s="430">
        <f t="shared" si="548"/>
        <v>0</v>
      </c>
      <c r="BB68" s="431">
        <f t="shared" si="548"/>
        <v>0</v>
      </c>
      <c r="BC68" s="431">
        <f t="shared" si="548"/>
        <v>2404.6071560574965</v>
      </c>
      <c r="BD68" s="432">
        <f t="shared" si="548"/>
        <v>-85</v>
      </c>
      <c r="BE68" s="429">
        <f t="shared" si="548"/>
        <v>2319.6071560574965</v>
      </c>
      <c r="BF68" s="430">
        <f t="shared" si="548"/>
        <v>0</v>
      </c>
      <c r="BG68" s="431">
        <f t="shared" si="548"/>
        <v>0</v>
      </c>
      <c r="BH68" s="431">
        <f t="shared" si="548"/>
        <v>577.50093121149894</v>
      </c>
      <c r="BI68" s="432">
        <f t="shared" si="548"/>
        <v>0</v>
      </c>
      <c r="BJ68" s="429">
        <f t="shared" si="548"/>
        <v>577.50093121149894</v>
      </c>
      <c r="BK68" s="430">
        <f t="shared" si="548"/>
        <v>0</v>
      </c>
      <c r="BL68" s="431">
        <f t="shared" si="548"/>
        <v>0</v>
      </c>
      <c r="BM68" s="431">
        <f t="shared" si="548"/>
        <v>933.14419712525705</v>
      </c>
      <c r="BN68" s="432">
        <f t="shared" si="548"/>
        <v>-50</v>
      </c>
      <c r="BO68" s="429">
        <f t="shared" si="548"/>
        <v>883.14419712525705</v>
      </c>
      <c r="BP68" s="463"/>
      <c r="BQ68" s="434">
        <f t="shared" ref="BQ68:CV68" si="549">+BQ54+BQ66</f>
        <v>0</v>
      </c>
      <c r="BR68" s="435">
        <f t="shared" si="549"/>
        <v>0</v>
      </c>
      <c r="BS68" s="436">
        <f t="shared" si="549"/>
        <v>0</v>
      </c>
      <c r="BT68" s="436">
        <f t="shared" si="549"/>
        <v>0</v>
      </c>
      <c r="BU68" s="437">
        <f t="shared" si="549"/>
        <v>0</v>
      </c>
      <c r="BV68" s="434">
        <f t="shared" si="549"/>
        <v>0</v>
      </c>
      <c r="BW68" s="435">
        <f t="shared" si="549"/>
        <v>0</v>
      </c>
      <c r="BX68" s="436">
        <f t="shared" si="549"/>
        <v>0</v>
      </c>
      <c r="BY68" s="436">
        <f t="shared" si="549"/>
        <v>0</v>
      </c>
      <c r="BZ68" s="437">
        <f t="shared" si="549"/>
        <v>0</v>
      </c>
      <c r="CA68" s="434">
        <f t="shared" si="549"/>
        <v>0</v>
      </c>
      <c r="CB68" s="435">
        <f t="shared" si="549"/>
        <v>0</v>
      </c>
      <c r="CC68" s="436">
        <f t="shared" si="549"/>
        <v>0</v>
      </c>
      <c r="CD68" s="436">
        <f t="shared" si="549"/>
        <v>0</v>
      </c>
      <c r="CE68" s="437">
        <f t="shared" si="549"/>
        <v>0</v>
      </c>
      <c r="CF68" s="434">
        <f t="shared" si="549"/>
        <v>0</v>
      </c>
      <c r="CG68" s="435">
        <f t="shared" si="549"/>
        <v>0</v>
      </c>
      <c r="CH68" s="436">
        <f t="shared" si="549"/>
        <v>0</v>
      </c>
      <c r="CI68" s="436">
        <f t="shared" si="549"/>
        <v>0</v>
      </c>
      <c r="CJ68" s="437">
        <f t="shared" si="549"/>
        <v>0</v>
      </c>
      <c r="CK68" s="434">
        <f t="shared" si="549"/>
        <v>0</v>
      </c>
      <c r="CL68" s="435">
        <f t="shared" si="549"/>
        <v>0</v>
      </c>
      <c r="CM68" s="436">
        <f t="shared" si="549"/>
        <v>0</v>
      </c>
      <c r="CN68" s="436">
        <f t="shared" si="549"/>
        <v>0</v>
      </c>
      <c r="CO68" s="437">
        <f t="shared" si="549"/>
        <v>0</v>
      </c>
      <c r="CP68" s="434">
        <f t="shared" si="549"/>
        <v>0</v>
      </c>
      <c r="CQ68" s="435">
        <f t="shared" si="549"/>
        <v>0</v>
      </c>
      <c r="CR68" s="436">
        <f t="shared" si="549"/>
        <v>0</v>
      </c>
      <c r="CS68" s="436">
        <f t="shared" si="549"/>
        <v>0</v>
      </c>
      <c r="CT68" s="437">
        <f t="shared" si="549"/>
        <v>0</v>
      </c>
      <c r="CU68" s="434">
        <f t="shared" si="549"/>
        <v>0</v>
      </c>
      <c r="CV68" s="435">
        <f t="shared" si="549"/>
        <v>2.6249999999999999E-2</v>
      </c>
      <c r="CW68" s="436">
        <f t="shared" ref="CW68:DT68" si="550">+CW54+CW66</f>
        <v>1.564875</v>
      </c>
      <c r="CX68" s="436">
        <f t="shared" si="550"/>
        <v>7.2211249999999998</v>
      </c>
      <c r="CY68" s="437">
        <f t="shared" si="550"/>
        <v>6.4648749999999993</v>
      </c>
      <c r="CZ68" s="434">
        <f t="shared" si="550"/>
        <v>15.277125</v>
      </c>
      <c r="DA68" s="435">
        <f t="shared" si="550"/>
        <v>4.926124999999999</v>
      </c>
      <c r="DB68" s="436">
        <f t="shared" si="550"/>
        <v>32.546346197451186</v>
      </c>
      <c r="DC68" s="436">
        <f t="shared" si="550"/>
        <v>26.890096197451186</v>
      </c>
      <c r="DD68" s="437">
        <f t="shared" si="550"/>
        <v>27.418846197451188</v>
      </c>
      <c r="DE68" s="434">
        <f t="shared" si="550"/>
        <v>91.781413592353559</v>
      </c>
      <c r="DF68" s="435">
        <f t="shared" si="550"/>
        <v>28.817596197451188</v>
      </c>
      <c r="DG68" s="436">
        <f t="shared" si="550"/>
        <v>-0.34125</v>
      </c>
      <c r="DH68" s="436">
        <f t="shared" si="550"/>
        <v>29.71633945071871</v>
      </c>
      <c r="DI68" s="437">
        <f t="shared" si="550"/>
        <v>29.56417278405204</v>
      </c>
      <c r="DJ68" s="434">
        <f t="shared" si="550"/>
        <v>87.756858432221932</v>
      </c>
      <c r="DK68" s="435">
        <f t="shared" si="550"/>
        <v>29.488089450718707</v>
      </c>
      <c r="DL68" s="436">
        <f t="shared" si="550"/>
        <v>29.488089450718707</v>
      </c>
      <c r="DM68" s="436">
        <f t="shared" si="550"/>
        <v>6.6492616401437372</v>
      </c>
      <c r="DN68" s="437">
        <f t="shared" si="550"/>
        <v>7.0289283068104034</v>
      </c>
      <c r="DO68" s="434">
        <f t="shared" si="550"/>
        <v>72.654368848391556</v>
      </c>
      <c r="DP68" s="435">
        <f t="shared" si="550"/>
        <v>7.2187616401437369</v>
      </c>
      <c r="DQ68" s="436">
        <f t="shared" si="550"/>
        <v>7.2187616401437369</v>
      </c>
      <c r="DR68" s="436">
        <f t="shared" si="550"/>
        <v>0</v>
      </c>
      <c r="DS68" s="437">
        <f t="shared" si="550"/>
        <v>-0.26500000000000001</v>
      </c>
      <c r="DT68" s="434">
        <f t="shared" si="550"/>
        <v>14.172523280287473</v>
      </c>
    </row>
    <row r="69" spans="1:124" ht="12.75" customHeight="1">
      <c r="A69" s="491"/>
      <c r="C69" s="56"/>
      <c r="D69" s="56"/>
      <c r="E69" s="8"/>
      <c r="F69" s="1230"/>
      <c r="G69" s="1230"/>
      <c r="H69" s="1320"/>
      <c r="I69" s="1314"/>
      <c r="J69" s="621"/>
      <c r="K69" s="453"/>
      <c r="L69" s="464"/>
      <c r="M69" s="430"/>
      <c r="N69" s="438"/>
      <c r="O69" s="438"/>
      <c r="P69" s="432"/>
      <c r="Q69" s="429"/>
      <c r="R69" s="430"/>
      <c r="S69" s="438"/>
      <c r="T69" s="438"/>
      <c r="U69" s="432"/>
      <c r="V69" s="429"/>
      <c r="W69" s="430"/>
      <c r="X69" s="438"/>
      <c r="Y69" s="438"/>
      <c r="Z69" s="432"/>
      <c r="AA69" s="429"/>
      <c r="AB69" s="430"/>
      <c r="AC69" s="438"/>
      <c r="AD69" s="438"/>
      <c r="AE69" s="432"/>
      <c r="AF69" s="429"/>
      <c r="AG69" s="430"/>
      <c r="AH69" s="438"/>
      <c r="AI69" s="438"/>
      <c r="AJ69" s="432"/>
      <c r="AK69" s="429"/>
      <c r="AL69" s="430"/>
      <c r="AM69" s="438"/>
      <c r="AN69" s="438"/>
      <c r="AO69" s="432"/>
      <c r="AP69" s="429"/>
      <c r="AQ69" s="430"/>
      <c r="AR69" s="438"/>
      <c r="AS69" s="438"/>
      <c r="AT69" s="432"/>
      <c r="AU69" s="429"/>
      <c r="AV69" s="430"/>
      <c r="AW69" s="438"/>
      <c r="AX69" s="438"/>
      <c r="AY69" s="432"/>
      <c r="AZ69" s="429"/>
      <c r="BA69" s="430"/>
      <c r="BB69" s="438"/>
      <c r="BC69" s="438"/>
      <c r="BD69" s="432"/>
      <c r="BE69" s="429"/>
      <c r="BF69" s="430"/>
      <c r="BG69" s="438"/>
      <c r="BH69" s="438"/>
      <c r="BI69" s="432"/>
      <c r="BJ69" s="429"/>
      <c r="BK69" s="430"/>
      <c r="BL69" s="438"/>
      <c r="BM69" s="438"/>
      <c r="BN69" s="432"/>
      <c r="BO69" s="429"/>
      <c r="BP69" s="463"/>
      <c r="BQ69" s="439"/>
      <c r="BR69" s="435"/>
      <c r="BS69" s="440"/>
      <c r="BT69" s="440"/>
      <c r="BU69" s="437"/>
      <c r="BV69" s="434"/>
      <c r="BW69" s="435"/>
      <c r="BX69" s="440"/>
      <c r="BY69" s="440"/>
      <c r="BZ69" s="437"/>
      <c r="CA69" s="434"/>
      <c r="CB69" s="435"/>
      <c r="CC69" s="440"/>
      <c r="CD69" s="440"/>
      <c r="CE69" s="437"/>
      <c r="CF69" s="434"/>
      <c r="CG69" s="435"/>
      <c r="CH69" s="440"/>
      <c r="CI69" s="440"/>
      <c r="CJ69" s="437"/>
      <c r="CK69" s="434"/>
      <c r="CL69" s="435"/>
      <c r="CM69" s="440"/>
      <c r="CN69" s="440"/>
      <c r="CO69" s="437"/>
      <c r="CP69" s="434"/>
      <c r="CQ69" s="435"/>
      <c r="CR69" s="440"/>
      <c r="CS69" s="440"/>
      <c r="CT69" s="437"/>
      <c r="CU69" s="434"/>
      <c r="CV69" s="435"/>
      <c r="CW69" s="440"/>
      <c r="CX69" s="440"/>
      <c r="CY69" s="437"/>
      <c r="CZ69" s="434"/>
      <c r="DA69" s="435"/>
      <c r="DB69" s="440"/>
      <c r="DC69" s="440"/>
      <c r="DD69" s="437"/>
      <c r="DE69" s="434"/>
      <c r="DF69" s="435"/>
      <c r="DG69" s="440"/>
      <c r="DH69" s="440"/>
      <c r="DI69" s="437"/>
      <c r="DJ69" s="434"/>
      <c r="DK69" s="435"/>
      <c r="DL69" s="440"/>
      <c r="DM69" s="440"/>
      <c r="DN69" s="437"/>
      <c r="DO69" s="434"/>
      <c r="DP69" s="435"/>
      <c r="DQ69" s="440"/>
      <c r="DR69" s="440"/>
      <c r="DS69" s="437"/>
      <c r="DT69" s="434"/>
    </row>
    <row r="70" spans="1:124" ht="12.75" customHeight="1" thickBot="1">
      <c r="A70" s="491"/>
      <c r="B70" s="387"/>
      <c r="C70" s="387"/>
      <c r="D70" s="387"/>
      <c r="E70" s="1315"/>
      <c r="F70" s="1231"/>
      <c r="G70" s="1231"/>
      <c r="H70" s="1321"/>
      <c r="I70" s="1317"/>
      <c r="J70" s="622"/>
      <c r="K70" s="465"/>
      <c r="L70" s="444"/>
      <c r="M70" s="466"/>
      <c r="N70" s="467"/>
      <c r="O70" s="467"/>
      <c r="P70" s="468"/>
      <c r="Q70" s="444"/>
      <c r="R70" s="466"/>
      <c r="S70" s="467"/>
      <c r="T70" s="467"/>
      <c r="U70" s="468"/>
      <c r="V70" s="444"/>
      <c r="W70" s="466"/>
      <c r="X70" s="467"/>
      <c r="Y70" s="467"/>
      <c r="Z70" s="468"/>
      <c r="AA70" s="444"/>
      <c r="AB70" s="466"/>
      <c r="AC70" s="467"/>
      <c r="AD70" s="467"/>
      <c r="AE70" s="468"/>
      <c r="AF70" s="444"/>
      <c r="AG70" s="466"/>
      <c r="AH70" s="467"/>
      <c r="AI70" s="467"/>
      <c r="AJ70" s="468"/>
      <c r="AK70" s="444"/>
      <c r="AL70" s="466"/>
      <c r="AM70" s="467"/>
      <c r="AN70" s="467"/>
      <c r="AO70" s="468"/>
      <c r="AP70" s="444"/>
      <c r="AQ70" s="466"/>
      <c r="AR70" s="467"/>
      <c r="AS70" s="467"/>
      <c r="AT70" s="468"/>
      <c r="AU70" s="444"/>
      <c r="AV70" s="466"/>
      <c r="AW70" s="467"/>
      <c r="AX70" s="467"/>
      <c r="AY70" s="468"/>
      <c r="AZ70" s="444"/>
      <c r="BA70" s="466"/>
      <c r="BB70" s="467"/>
      <c r="BC70" s="467"/>
      <c r="BD70" s="468"/>
      <c r="BE70" s="444"/>
      <c r="BF70" s="466"/>
      <c r="BG70" s="467"/>
      <c r="BH70" s="467"/>
      <c r="BI70" s="468"/>
      <c r="BJ70" s="444"/>
      <c r="BK70" s="466"/>
      <c r="BL70" s="467"/>
      <c r="BM70" s="467"/>
      <c r="BN70" s="468"/>
      <c r="BO70" s="444"/>
      <c r="BP70" s="469"/>
      <c r="BQ70" s="446"/>
      <c r="BR70" s="470"/>
      <c r="BS70" s="471"/>
      <c r="BT70" s="471"/>
      <c r="BU70" s="472"/>
      <c r="BV70" s="446"/>
      <c r="BW70" s="470"/>
      <c r="BX70" s="471"/>
      <c r="BY70" s="471"/>
      <c r="BZ70" s="472"/>
      <c r="CA70" s="446"/>
      <c r="CB70" s="470"/>
      <c r="CC70" s="471"/>
      <c r="CD70" s="471"/>
      <c r="CE70" s="472"/>
      <c r="CF70" s="446"/>
      <c r="CG70" s="470"/>
      <c r="CH70" s="471"/>
      <c r="CI70" s="471"/>
      <c r="CJ70" s="472"/>
      <c r="CK70" s="446"/>
      <c r="CL70" s="470"/>
      <c r="CM70" s="471"/>
      <c r="CN70" s="471"/>
      <c r="CO70" s="472"/>
      <c r="CP70" s="446"/>
      <c r="CQ70" s="470"/>
      <c r="CR70" s="471"/>
      <c r="CS70" s="471"/>
      <c r="CT70" s="472"/>
      <c r="CU70" s="446"/>
      <c r="CV70" s="470"/>
      <c r="CW70" s="471"/>
      <c r="CX70" s="471"/>
      <c r="CY70" s="472"/>
      <c r="CZ70" s="446"/>
      <c r="DA70" s="470"/>
      <c r="DB70" s="471"/>
      <c r="DC70" s="471"/>
      <c r="DD70" s="472"/>
      <c r="DE70" s="446"/>
      <c r="DF70" s="470"/>
      <c r="DG70" s="471"/>
      <c r="DH70" s="471"/>
      <c r="DI70" s="472"/>
      <c r="DJ70" s="446"/>
      <c r="DK70" s="470"/>
      <c r="DL70" s="471"/>
      <c r="DM70" s="471"/>
      <c r="DN70" s="472"/>
      <c r="DO70" s="446"/>
      <c r="DP70" s="470"/>
      <c r="DQ70" s="471"/>
      <c r="DR70" s="471"/>
      <c r="DS70" s="472"/>
      <c r="DT70" s="446"/>
    </row>
    <row r="71" spans="1:124" ht="12.75" customHeight="1">
      <c r="A71" s="491"/>
      <c r="B71" s="46" t="s">
        <v>122</v>
      </c>
      <c r="C71" s="46"/>
      <c r="D71" s="46"/>
      <c r="E71" s="831"/>
      <c r="F71" s="1226"/>
      <c r="G71" s="1226"/>
      <c r="H71" s="1322"/>
      <c r="I71" s="1323"/>
      <c r="J71" s="623"/>
      <c r="K71" s="473"/>
      <c r="L71" s="407"/>
      <c r="M71" s="404"/>
      <c r="N71" s="414"/>
      <c r="O71" s="414"/>
      <c r="P71" s="406"/>
      <c r="Q71" s="407"/>
      <c r="R71" s="404"/>
      <c r="S71" s="414"/>
      <c r="T71" s="414"/>
      <c r="U71" s="406"/>
      <c r="V71" s="407"/>
      <c r="W71" s="404"/>
      <c r="X71" s="414"/>
      <c r="Y71" s="414"/>
      <c r="Z71" s="406"/>
      <c r="AA71" s="407"/>
      <c r="AB71" s="404"/>
      <c r="AC71" s="414"/>
      <c r="AD71" s="414"/>
      <c r="AE71" s="406"/>
      <c r="AF71" s="407"/>
      <c r="AG71" s="404"/>
      <c r="AH71" s="414"/>
      <c r="AI71" s="414"/>
      <c r="AJ71" s="406"/>
      <c r="AK71" s="407"/>
      <c r="AL71" s="404"/>
      <c r="AM71" s="414"/>
      <c r="AN71" s="414"/>
      <c r="AO71" s="406"/>
      <c r="AP71" s="407"/>
      <c r="AQ71" s="404"/>
      <c r="AR71" s="414"/>
      <c r="AS71" s="414"/>
      <c r="AT71" s="406"/>
      <c r="AU71" s="407"/>
      <c r="AV71" s="404"/>
      <c r="AW71" s="414"/>
      <c r="AX71" s="414"/>
      <c r="AY71" s="406"/>
      <c r="AZ71" s="407"/>
      <c r="BA71" s="404"/>
      <c r="BB71" s="414"/>
      <c r="BC71" s="414"/>
      <c r="BD71" s="406"/>
      <c r="BE71" s="407"/>
      <c r="BF71" s="404"/>
      <c r="BG71" s="414"/>
      <c r="BH71" s="414"/>
      <c r="BI71" s="406"/>
      <c r="BJ71" s="407"/>
      <c r="BK71" s="404"/>
      <c r="BL71" s="414"/>
      <c r="BM71" s="414"/>
      <c r="BN71" s="406"/>
      <c r="BO71" s="407"/>
      <c r="BP71" s="474"/>
      <c r="BQ71" s="413"/>
      <c r="BR71" s="410"/>
      <c r="BS71" s="416"/>
      <c r="BT71" s="416"/>
      <c r="BU71" s="412"/>
      <c r="BV71" s="413"/>
      <c r="BW71" s="410"/>
      <c r="BX71" s="416"/>
      <c r="BY71" s="416"/>
      <c r="BZ71" s="412"/>
      <c r="CA71" s="413"/>
      <c r="CB71" s="410"/>
      <c r="CC71" s="416"/>
      <c r="CD71" s="416"/>
      <c r="CE71" s="412"/>
      <c r="CF71" s="413"/>
      <c r="CG71" s="410"/>
      <c r="CH71" s="416"/>
      <c r="CI71" s="416"/>
      <c r="CJ71" s="412"/>
      <c r="CK71" s="413"/>
      <c r="CL71" s="410"/>
      <c r="CM71" s="416"/>
      <c r="CN71" s="416"/>
      <c r="CO71" s="412"/>
      <c r="CP71" s="413"/>
      <c r="CQ71" s="410"/>
      <c r="CR71" s="416"/>
      <c r="CS71" s="416"/>
      <c r="CT71" s="412"/>
      <c r="CU71" s="413"/>
      <c r="CV71" s="410"/>
      <c r="CW71" s="416"/>
      <c r="CX71" s="416"/>
      <c r="CY71" s="412"/>
      <c r="CZ71" s="413"/>
      <c r="DA71" s="410"/>
      <c r="DB71" s="416"/>
      <c r="DC71" s="416"/>
      <c r="DD71" s="412"/>
      <c r="DE71" s="413"/>
      <c r="DF71" s="410"/>
      <c r="DG71" s="416"/>
      <c r="DH71" s="416"/>
      <c r="DI71" s="412"/>
      <c r="DJ71" s="413"/>
      <c r="DK71" s="410"/>
      <c r="DL71" s="416"/>
      <c r="DM71" s="416"/>
      <c r="DN71" s="412"/>
      <c r="DO71" s="413"/>
      <c r="DP71" s="410"/>
      <c r="DQ71" s="416"/>
      <c r="DR71" s="416"/>
      <c r="DS71" s="412"/>
      <c r="DT71" s="413"/>
    </row>
    <row r="72" spans="1:124" ht="12.75" customHeight="1">
      <c r="A72" s="491"/>
      <c r="C72" s="56"/>
      <c r="D72" s="56"/>
      <c r="E72" s="831"/>
      <c r="F72" s="1226"/>
      <c r="G72" s="1226"/>
      <c r="H72" s="1322"/>
      <c r="I72" s="1323"/>
      <c r="J72" s="623"/>
      <c r="K72" s="475"/>
      <c r="L72" s="407"/>
      <c r="M72" s="404"/>
      <c r="N72" s="414"/>
      <c r="O72" s="414"/>
      <c r="P72" s="406"/>
      <c r="Q72" s="407"/>
      <c r="R72" s="404"/>
      <c r="S72" s="414"/>
      <c r="T72" s="414"/>
      <c r="U72" s="406"/>
      <c r="V72" s="407"/>
      <c r="W72" s="404"/>
      <c r="X72" s="414"/>
      <c r="Y72" s="414"/>
      <c r="Z72" s="406"/>
      <c r="AA72" s="407"/>
      <c r="AB72" s="404"/>
      <c r="AC72" s="414"/>
      <c r="AD72" s="414"/>
      <c r="AE72" s="406"/>
      <c r="AF72" s="407"/>
      <c r="AG72" s="404"/>
      <c r="AH72" s="414"/>
      <c r="AI72" s="414"/>
      <c r="AJ72" s="406"/>
      <c r="AK72" s="407"/>
      <c r="AL72" s="404"/>
      <c r="AM72" s="414"/>
      <c r="AN72" s="414"/>
      <c r="AO72" s="406"/>
      <c r="AP72" s="407"/>
      <c r="AQ72" s="404"/>
      <c r="AR72" s="414"/>
      <c r="AS72" s="414"/>
      <c r="AT72" s="406"/>
      <c r="AU72" s="407"/>
      <c r="AV72" s="404"/>
      <c r="AW72" s="414"/>
      <c r="AX72" s="414"/>
      <c r="AY72" s="406"/>
      <c r="AZ72" s="407"/>
      <c r="BA72" s="404"/>
      <c r="BB72" s="414"/>
      <c r="BC72" s="414"/>
      <c r="BD72" s="406"/>
      <c r="BE72" s="407"/>
      <c r="BF72" s="404"/>
      <c r="BG72" s="414"/>
      <c r="BH72" s="414"/>
      <c r="BI72" s="406"/>
      <c r="BJ72" s="407"/>
      <c r="BK72" s="404"/>
      <c r="BL72" s="414"/>
      <c r="BM72" s="414"/>
      <c r="BN72" s="406"/>
      <c r="BO72" s="407"/>
      <c r="BP72" s="447"/>
      <c r="BQ72" s="413"/>
      <c r="BR72" s="410"/>
      <c r="BS72" s="416"/>
      <c r="BT72" s="416"/>
      <c r="BU72" s="412"/>
      <c r="BV72" s="413"/>
      <c r="BW72" s="410"/>
      <c r="BX72" s="416"/>
      <c r="BY72" s="416"/>
      <c r="BZ72" s="412"/>
      <c r="CA72" s="413"/>
      <c r="CB72" s="410"/>
      <c r="CC72" s="416"/>
      <c r="CD72" s="416"/>
      <c r="CE72" s="412"/>
      <c r="CF72" s="413"/>
      <c r="CG72" s="410"/>
      <c r="CH72" s="416"/>
      <c r="CI72" s="416"/>
      <c r="CJ72" s="412"/>
      <c r="CK72" s="413"/>
      <c r="CL72" s="410"/>
      <c r="CM72" s="416"/>
      <c r="CN72" s="416"/>
      <c r="CO72" s="412"/>
      <c r="CP72" s="413"/>
      <c r="CQ72" s="410"/>
      <c r="CR72" s="416"/>
      <c r="CS72" s="416"/>
      <c r="CT72" s="412"/>
      <c r="CU72" s="413"/>
      <c r="CV72" s="410"/>
      <c r="CW72" s="416"/>
      <c r="CX72" s="416"/>
      <c r="CY72" s="412"/>
      <c r="CZ72" s="413"/>
      <c r="DA72" s="410"/>
      <c r="DB72" s="416"/>
      <c r="DC72" s="416"/>
      <c r="DD72" s="412"/>
      <c r="DE72" s="413"/>
      <c r="DF72" s="410"/>
      <c r="DG72" s="416"/>
      <c r="DH72" s="416"/>
      <c r="DI72" s="412"/>
      <c r="DJ72" s="413"/>
      <c r="DK72" s="410"/>
      <c r="DL72" s="416"/>
      <c r="DM72" s="416"/>
      <c r="DN72" s="412"/>
      <c r="DO72" s="413"/>
      <c r="DP72" s="410"/>
      <c r="DQ72" s="416"/>
      <c r="DR72" s="416"/>
      <c r="DS72" s="412"/>
      <c r="DT72" s="413"/>
    </row>
    <row r="73" spans="1:124" ht="12.75" customHeight="1">
      <c r="A73" s="491"/>
      <c r="C73" s="261" t="s">
        <v>354</v>
      </c>
      <c r="D73" s="261"/>
      <c r="E73" s="831"/>
      <c r="F73" s="1226"/>
      <c r="G73" s="1226"/>
      <c r="H73" s="1322"/>
      <c r="I73" s="1323"/>
      <c r="J73" s="623"/>
      <c r="K73" s="475"/>
      <c r="L73" s="407"/>
      <c r="M73" s="404"/>
      <c r="N73" s="414"/>
      <c r="O73" s="414"/>
      <c r="P73" s="406"/>
      <c r="Q73" s="407"/>
      <c r="R73" s="404"/>
      <c r="S73" s="414"/>
      <c r="T73" s="414"/>
      <c r="U73" s="406"/>
      <c r="V73" s="407"/>
      <c r="W73" s="404"/>
      <c r="X73" s="414"/>
      <c r="Y73" s="414"/>
      <c r="Z73" s="406"/>
      <c r="AA73" s="407"/>
      <c r="AB73" s="404"/>
      <c r="AC73" s="414"/>
      <c r="AD73" s="414"/>
      <c r="AE73" s="406"/>
      <c r="AF73" s="407"/>
      <c r="AG73" s="404"/>
      <c r="AH73" s="414"/>
      <c r="AI73" s="414"/>
      <c r="AJ73" s="406"/>
      <c r="AK73" s="407"/>
      <c r="AL73" s="404"/>
      <c r="AM73" s="414"/>
      <c r="AN73" s="414"/>
      <c r="AO73" s="406"/>
      <c r="AP73" s="407"/>
      <c r="AQ73" s="404"/>
      <c r="AR73" s="414"/>
      <c r="AS73" s="414"/>
      <c r="AT73" s="406"/>
      <c r="AU73" s="407"/>
      <c r="AV73" s="404"/>
      <c r="AW73" s="414"/>
      <c r="AX73" s="414"/>
      <c r="AY73" s="406"/>
      <c r="AZ73" s="407"/>
      <c r="BA73" s="404"/>
      <c r="BB73" s="414"/>
      <c r="BC73" s="414"/>
      <c r="BD73" s="406"/>
      <c r="BE73" s="407"/>
      <c r="BF73" s="404"/>
      <c r="BG73" s="414"/>
      <c r="BH73" s="414"/>
      <c r="BI73" s="406"/>
      <c r="BJ73" s="407"/>
      <c r="BK73" s="404"/>
      <c r="BL73" s="414"/>
      <c r="BM73" s="414"/>
      <c r="BN73" s="406"/>
      <c r="BO73" s="407"/>
      <c r="BP73" s="447"/>
      <c r="BQ73" s="413"/>
      <c r="BR73" s="410"/>
      <c r="BS73" s="416"/>
      <c r="BT73" s="416"/>
      <c r="BU73" s="412"/>
      <c r="BV73" s="413"/>
      <c r="BW73" s="410"/>
      <c r="BX73" s="416"/>
      <c r="BY73" s="416"/>
      <c r="BZ73" s="412"/>
      <c r="CA73" s="413"/>
      <c r="CB73" s="410"/>
      <c r="CC73" s="416"/>
      <c r="CD73" s="416"/>
      <c r="CE73" s="412"/>
      <c r="CF73" s="413"/>
      <c r="CG73" s="410"/>
      <c r="CH73" s="416"/>
      <c r="CI73" s="416"/>
      <c r="CJ73" s="412"/>
      <c r="CK73" s="413"/>
      <c r="CL73" s="410"/>
      <c r="CM73" s="416"/>
      <c r="CN73" s="416"/>
      <c r="CO73" s="412"/>
      <c r="CP73" s="413"/>
      <c r="CQ73" s="410"/>
      <c r="CR73" s="416"/>
      <c r="CS73" s="416"/>
      <c r="CT73" s="412"/>
      <c r="CU73" s="413"/>
      <c r="CV73" s="410"/>
      <c r="CW73" s="416"/>
      <c r="CX73" s="416"/>
      <c r="CY73" s="412"/>
      <c r="CZ73" s="413"/>
      <c r="DA73" s="410"/>
      <c r="DB73" s="416"/>
      <c r="DC73" s="416"/>
      <c r="DD73" s="412"/>
      <c r="DE73" s="413"/>
      <c r="DF73" s="410"/>
      <c r="DG73" s="416"/>
      <c r="DH73" s="416"/>
      <c r="DI73" s="412"/>
      <c r="DJ73" s="413"/>
      <c r="DK73" s="410"/>
      <c r="DL73" s="416"/>
      <c r="DM73" s="416"/>
      <c r="DN73" s="412"/>
      <c r="DO73" s="413"/>
      <c r="DP73" s="410"/>
      <c r="DQ73" s="416"/>
      <c r="DR73" s="416"/>
      <c r="DS73" s="412"/>
      <c r="DT73" s="413"/>
    </row>
    <row r="74" spans="1:124" ht="12.75" customHeight="1">
      <c r="A74" s="491"/>
      <c r="C74" s="261"/>
      <c r="D74" s="261"/>
      <c r="E74" s="831"/>
      <c r="F74" s="1226"/>
      <c r="G74" s="1226"/>
      <c r="H74" s="1322"/>
      <c r="I74" s="1323"/>
      <c r="J74" s="623"/>
      <c r="K74" s="475"/>
      <c r="L74" s="407"/>
      <c r="M74" s="404"/>
      <c r="N74" s="414"/>
      <c r="O74" s="414"/>
      <c r="P74" s="406"/>
      <c r="Q74" s="407"/>
      <c r="R74" s="404"/>
      <c r="S74" s="414"/>
      <c r="T74" s="414"/>
      <c r="U74" s="406"/>
      <c r="V74" s="407"/>
      <c r="W74" s="404"/>
      <c r="X74" s="414"/>
      <c r="Y74" s="414"/>
      <c r="Z74" s="406"/>
      <c r="AA74" s="407"/>
      <c r="AB74" s="404"/>
      <c r="AC74" s="414"/>
      <c r="AD74" s="414"/>
      <c r="AE74" s="406"/>
      <c r="AF74" s="407"/>
      <c r="AG74" s="404"/>
      <c r="AH74" s="414"/>
      <c r="AI74" s="414"/>
      <c r="AJ74" s="406"/>
      <c r="AK74" s="407"/>
      <c r="AL74" s="404"/>
      <c r="AM74" s="414"/>
      <c r="AN74" s="414"/>
      <c r="AO74" s="406"/>
      <c r="AP74" s="407"/>
      <c r="AQ74" s="404"/>
      <c r="AR74" s="414"/>
      <c r="AS74" s="414"/>
      <c r="AT74" s="406"/>
      <c r="AU74" s="407"/>
      <c r="AV74" s="404"/>
      <c r="AW74" s="414"/>
      <c r="AX74" s="414"/>
      <c r="AY74" s="406"/>
      <c r="AZ74" s="407"/>
      <c r="BA74" s="404"/>
      <c r="BB74" s="414"/>
      <c r="BC74" s="414"/>
      <c r="BD74" s="406"/>
      <c r="BE74" s="407"/>
      <c r="BF74" s="404"/>
      <c r="BG74" s="414"/>
      <c r="BH74" s="414"/>
      <c r="BI74" s="406"/>
      <c r="BJ74" s="407"/>
      <c r="BK74" s="404"/>
      <c r="BL74" s="414"/>
      <c r="BM74" s="414"/>
      <c r="BN74" s="406"/>
      <c r="BO74" s="407"/>
      <c r="BP74" s="447"/>
      <c r="BQ74" s="413"/>
      <c r="BR74" s="410"/>
      <c r="BS74" s="416"/>
      <c r="BT74" s="416"/>
      <c r="BU74" s="412"/>
      <c r="BV74" s="413"/>
      <c r="BW74" s="410"/>
      <c r="BX74" s="416"/>
      <c r="BY74" s="416"/>
      <c r="BZ74" s="412"/>
      <c r="CA74" s="413"/>
      <c r="CB74" s="410"/>
      <c r="CC74" s="416"/>
      <c r="CD74" s="416"/>
      <c r="CE74" s="412"/>
      <c r="CF74" s="413"/>
      <c r="CG74" s="410"/>
      <c r="CH74" s="416"/>
      <c r="CI74" s="416"/>
      <c r="CJ74" s="412"/>
      <c r="CK74" s="413"/>
      <c r="CL74" s="410"/>
      <c r="CM74" s="416"/>
      <c r="CN74" s="416"/>
      <c r="CO74" s="412"/>
      <c r="CP74" s="413"/>
      <c r="CQ74" s="410"/>
      <c r="CR74" s="416"/>
      <c r="CS74" s="416"/>
      <c r="CT74" s="412"/>
      <c r="CU74" s="413"/>
      <c r="CV74" s="410"/>
      <c r="CW74" s="416"/>
      <c r="CX74" s="416"/>
      <c r="CY74" s="412"/>
      <c r="CZ74" s="413"/>
      <c r="DA74" s="410"/>
      <c r="DB74" s="416"/>
      <c r="DC74" s="416"/>
      <c r="DD74" s="412"/>
      <c r="DE74" s="413"/>
      <c r="DF74" s="410"/>
      <c r="DG74" s="416"/>
      <c r="DH74" s="416"/>
      <c r="DI74" s="412"/>
      <c r="DJ74" s="413"/>
      <c r="DK74" s="410"/>
      <c r="DL74" s="416"/>
      <c r="DM74" s="416"/>
      <c r="DN74" s="412"/>
      <c r="DO74" s="413"/>
      <c r="DP74" s="410"/>
      <c r="DQ74" s="416"/>
      <c r="DR74" s="416"/>
      <c r="DS74" s="412"/>
      <c r="DT74" s="413"/>
    </row>
    <row r="75" spans="1:124" ht="12.75" customHeight="1">
      <c r="A75" s="491"/>
      <c r="C75" s="261" t="s">
        <v>282</v>
      </c>
      <c r="D75" s="261"/>
      <c r="E75" s="831"/>
      <c r="F75" s="1226"/>
      <c r="G75" s="1226"/>
      <c r="H75" s="1324"/>
      <c r="I75" s="624"/>
      <c r="J75" s="624"/>
      <c r="K75" s="476"/>
      <c r="L75" s="407"/>
      <c r="M75" s="404"/>
      <c r="N75" s="414"/>
      <c r="O75" s="414"/>
      <c r="P75" s="406"/>
      <c r="Q75" s="407"/>
      <c r="R75" s="404"/>
      <c r="S75" s="414"/>
      <c r="T75" s="414"/>
      <c r="U75" s="406"/>
      <c r="V75" s="407"/>
      <c r="W75" s="404"/>
      <c r="X75" s="414"/>
      <c r="Y75" s="414"/>
      <c r="Z75" s="406"/>
      <c r="AA75" s="407"/>
      <c r="AB75" s="404"/>
      <c r="AC75" s="414"/>
      <c r="AD75" s="414"/>
      <c r="AE75" s="406"/>
      <c r="AF75" s="407"/>
      <c r="AG75" s="404"/>
      <c r="AH75" s="414"/>
      <c r="AI75" s="414"/>
      <c r="AJ75" s="406"/>
      <c r="AK75" s="407"/>
      <c r="AL75" s="404"/>
      <c r="AM75" s="414"/>
      <c r="AN75" s="414"/>
      <c r="AO75" s="406"/>
      <c r="AP75" s="407"/>
      <c r="AQ75" s="404"/>
      <c r="AR75" s="414"/>
      <c r="AS75" s="414"/>
      <c r="AT75" s="406"/>
      <c r="AU75" s="407"/>
      <c r="AV75" s="404"/>
      <c r="AW75" s="414"/>
      <c r="AX75" s="414"/>
      <c r="AY75" s="406"/>
      <c r="AZ75" s="407"/>
      <c r="BA75" s="404"/>
      <c r="BB75" s="414"/>
      <c r="BC75" s="414"/>
      <c r="BD75" s="406"/>
      <c r="BE75" s="407"/>
      <c r="BF75" s="404"/>
      <c r="BG75" s="414"/>
      <c r="BH75" s="414"/>
      <c r="BI75" s="406"/>
      <c r="BJ75" s="407"/>
      <c r="BK75" s="404"/>
      <c r="BL75" s="414"/>
      <c r="BM75" s="414"/>
      <c r="BN75" s="406"/>
      <c r="BO75" s="407"/>
      <c r="BP75" s="447"/>
      <c r="BQ75" s="413"/>
      <c r="BR75" s="410"/>
      <c r="BS75" s="416"/>
      <c r="BT75" s="416"/>
      <c r="BU75" s="412"/>
      <c r="BV75" s="413"/>
      <c r="BW75" s="410"/>
      <c r="BX75" s="416"/>
      <c r="BY75" s="416"/>
      <c r="BZ75" s="412"/>
      <c r="CA75" s="413"/>
      <c r="CB75" s="410"/>
      <c r="CC75" s="416"/>
      <c r="CD75" s="416"/>
      <c r="CE75" s="412"/>
      <c r="CF75" s="413"/>
      <c r="CG75" s="410"/>
      <c r="CH75" s="416"/>
      <c r="CI75" s="416"/>
      <c r="CJ75" s="412"/>
      <c r="CK75" s="413"/>
      <c r="CL75" s="410"/>
      <c r="CM75" s="416"/>
      <c r="CN75" s="416"/>
      <c r="CO75" s="412"/>
      <c r="CP75" s="413"/>
      <c r="CQ75" s="410"/>
      <c r="CR75" s="416"/>
      <c r="CS75" s="416"/>
      <c r="CT75" s="412"/>
      <c r="CU75" s="413"/>
      <c r="CV75" s="410"/>
      <c r="CW75" s="416"/>
      <c r="CX75" s="416"/>
      <c r="CY75" s="412"/>
      <c r="CZ75" s="413"/>
      <c r="DA75" s="410"/>
      <c r="DB75" s="416"/>
      <c r="DC75" s="416"/>
      <c r="DD75" s="412"/>
      <c r="DE75" s="413"/>
      <c r="DF75" s="410"/>
      <c r="DG75" s="416"/>
      <c r="DH75" s="416"/>
      <c r="DI75" s="412"/>
      <c r="DJ75" s="413"/>
      <c r="DK75" s="410"/>
      <c r="DL75" s="416"/>
      <c r="DM75" s="416"/>
      <c r="DN75" s="412"/>
      <c r="DO75" s="413"/>
      <c r="DP75" s="410"/>
      <c r="DQ75" s="416"/>
      <c r="DR75" s="416"/>
      <c r="DS75" s="412"/>
      <c r="DT75" s="413"/>
    </row>
    <row r="76" spans="1:124" ht="12.75" customHeight="1">
      <c r="A76" s="491"/>
      <c r="C76" s="613" t="s">
        <v>406</v>
      </c>
      <c r="D76" s="613"/>
      <c r="E76" s="831"/>
      <c r="F76" s="1226"/>
      <c r="G76" s="1226"/>
      <c r="H76" s="610"/>
      <c r="I76" s="830"/>
      <c r="J76" s="615"/>
      <c r="K76" s="402"/>
      <c r="L76" s="407"/>
      <c r="M76" s="404"/>
      <c r="N76" s="414"/>
      <c r="O76" s="414"/>
      <c r="P76" s="406"/>
      <c r="Q76" s="407"/>
      <c r="R76" s="404"/>
      <c r="S76" s="414"/>
      <c r="T76" s="414"/>
      <c r="U76" s="406"/>
      <c r="V76" s="407"/>
      <c r="W76" s="404"/>
      <c r="X76" s="414"/>
      <c r="Y76" s="414"/>
      <c r="Z76" s="406"/>
      <c r="AA76" s="407"/>
      <c r="AB76" s="404"/>
      <c r="AC76" s="414"/>
      <c r="AD76" s="414"/>
      <c r="AE76" s="406"/>
      <c r="AF76" s="407"/>
      <c r="AG76" s="404"/>
      <c r="AH76" s="414"/>
      <c r="AI76" s="414"/>
      <c r="AJ76" s="406"/>
      <c r="AK76" s="407"/>
      <c r="AL76" s="404"/>
      <c r="AM76" s="414"/>
      <c r="AN76" s="414"/>
      <c r="AO76" s="406"/>
      <c r="AP76" s="407"/>
      <c r="AQ76" s="404"/>
      <c r="AR76" s="414"/>
      <c r="AS76" s="414"/>
      <c r="AT76" s="406"/>
      <c r="AU76" s="407"/>
      <c r="AV76" s="404"/>
      <c r="AW76" s="414"/>
      <c r="AX76" s="414"/>
      <c r="AY76" s="406"/>
      <c r="AZ76" s="407"/>
      <c r="BA76" s="404"/>
      <c r="BB76" s="414"/>
      <c r="BC76" s="414"/>
      <c r="BD76" s="406"/>
      <c r="BE76" s="407"/>
      <c r="BF76" s="404"/>
      <c r="BG76" s="414"/>
      <c r="BH76" s="414"/>
      <c r="BI76" s="406"/>
      <c r="BJ76" s="407"/>
      <c r="BK76" s="404"/>
      <c r="BL76" s="414"/>
      <c r="BM76" s="414"/>
      <c r="BN76" s="406"/>
      <c r="BO76" s="407"/>
      <c r="BP76" s="449"/>
      <c r="BQ76" s="413"/>
      <c r="BR76" s="410"/>
      <c r="BS76" s="416"/>
      <c r="BT76" s="416"/>
      <c r="BU76" s="412"/>
      <c r="BV76" s="413"/>
      <c r="BW76" s="410"/>
      <c r="BX76" s="416"/>
      <c r="BY76" s="416"/>
      <c r="BZ76" s="412"/>
      <c r="CA76" s="413"/>
      <c r="CB76" s="410"/>
      <c r="CC76" s="416"/>
      <c r="CD76" s="416"/>
      <c r="CE76" s="412"/>
      <c r="CF76" s="413"/>
      <c r="CG76" s="410"/>
      <c r="CH76" s="416"/>
      <c r="CI76" s="416"/>
      <c r="CJ76" s="412"/>
      <c r="CK76" s="413"/>
      <c r="CL76" s="410"/>
      <c r="CM76" s="416"/>
      <c r="CN76" s="416"/>
      <c r="CO76" s="412"/>
      <c r="CP76" s="413"/>
      <c r="CQ76" s="410"/>
      <c r="CR76" s="416"/>
      <c r="CS76" s="416"/>
      <c r="CT76" s="412"/>
      <c r="CU76" s="413"/>
      <c r="CV76" s="410"/>
      <c r="CW76" s="416"/>
      <c r="CX76" s="416"/>
      <c r="CY76" s="412"/>
      <c r="CZ76" s="413"/>
      <c r="DA76" s="410"/>
      <c r="DB76" s="416"/>
      <c r="DC76" s="416"/>
      <c r="DD76" s="412"/>
      <c r="DE76" s="413"/>
      <c r="DF76" s="410"/>
      <c r="DG76" s="416"/>
      <c r="DH76" s="416"/>
      <c r="DI76" s="412"/>
      <c r="DJ76" s="413"/>
      <c r="DK76" s="410"/>
      <c r="DL76" s="416"/>
      <c r="DM76" s="416"/>
      <c r="DN76" s="412"/>
      <c r="DO76" s="413"/>
      <c r="DP76" s="410"/>
      <c r="DQ76" s="416"/>
      <c r="DR76" s="416"/>
      <c r="DS76" s="412"/>
      <c r="DT76" s="413"/>
    </row>
    <row r="77" spans="1:124" s="1884" customFormat="1" ht="12.75" customHeight="1">
      <c r="A77" s="491"/>
      <c r="C77" s="601" t="s">
        <v>1294</v>
      </c>
      <c r="D77" s="601"/>
      <c r="E77" s="1886">
        <f>IF(F77=0,G77,F77)</f>
        <v>125</v>
      </c>
      <c r="F77" s="1532">
        <v>125</v>
      </c>
      <c r="G77" s="1532">
        <v>125</v>
      </c>
      <c r="H77" s="610">
        <v>2019</v>
      </c>
      <c r="I77" s="1533">
        <v>4.4999999999999998E-2</v>
      </c>
      <c r="J77" s="615">
        <v>6</v>
      </c>
      <c r="K77" s="402"/>
      <c r="L77" s="407">
        <f>IF(L$5=$H77,-$E77,0)</f>
        <v>0</v>
      </c>
      <c r="M77" s="404">
        <f>IF(Q77=0,0,IF(Q77&lt;0,IF($J77=3,Q77,IF($J77=2,Q77,IF($J77=1,Q77,0)))))</f>
        <v>0</v>
      </c>
      <c r="N77" s="414">
        <f>IF(Q77=0,0,IF(Q77&lt;0,IF($J77=6,Q77,IF($J77=5,Q77,IF($J77=4,Q77,0)))))</f>
        <v>0</v>
      </c>
      <c r="O77" s="414">
        <f>IF(Q77=0,0,IF(Q77&lt;0,IF($J77=9,Q77,IF($J77=8,Q77,IF($J77=7,Q77,0)))))</f>
        <v>0</v>
      </c>
      <c r="P77" s="406">
        <f>IF(Q77=0,0,IF(Q77&lt;0,IF($J77=12,Q77,IF($J77=11,Q77,IF($J77=10,Q77,0)))))</f>
        <v>0</v>
      </c>
      <c r="Q77" s="407">
        <f>IF(Q$5=$H77,-$E77,0)</f>
        <v>0</v>
      </c>
      <c r="R77" s="404">
        <f>IF(V77=0,0,IF(V77&lt;0,IF($J77=3,V77,IF($J77=2,V77,IF($J77=1,V77,0)))))</f>
        <v>0</v>
      </c>
      <c r="S77" s="414">
        <f>IF(V77=0,0,IF(V77&lt;0,IF($J77=6,V77,IF($J77=5,V77,IF($J77=4,V77,0)))))</f>
        <v>0</v>
      </c>
      <c r="T77" s="414">
        <f>IF(V77=0,0,IF(V77&lt;0,IF($J77=9,V77,IF($J77=8,V77,IF($J77=7,V77,0)))))</f>
        <v>0</v>
      </c>
      <c r="U77" s="406">
        <f>IF(V77=0,0,IF(V77&lt;0,IF($J77=12,V77,IF($J77=11,V77,IF($J77=10,V77,0)))))</f>
        <v>0</v>
      </c>
      <c r="V77" s="407">
        <f>IF(V$5=$H77,-$E77,0)</f>
        <v>0</v>
      </c>
      <c r="W77" s="404">
        <f>IF(AA77=0,0,IF(AA77&lt;0,IF($J77=3,AA77,IF($J77=2,AA77,IF($J77=1,AA77,0)))))</f>
        <v>0</v>
      </c>
      <c r="X77" s="414">
        <f>IF(AA77=0,0,IF(AA77&lt;0,IF($J77=6,AA77,IF($J77=5,AA77,IF($J77=4,AA77,0)))))</f>
        <v>0</v>
      </c>
      <c r="Y77" s="414">
        <f>IF(AA77=0,0,IF(AA77&lt;0,IF($J77=9,AA77,IF($J77=8,AA77,IF($J77=7,AA77,0)))))</f>
        <v>0</v>
      </c>
      <c r="Z77" s="406">
        <f>IF(AA77=0,0,IF(AA77&lt;0,IF($J77=12,AA77,IF($J77=11,AA77,IF($J77=10,AA77,0)))))</f>
        <v>0</v>
      </c>
      <c r="AA77" s="407">
        <f>IF(AA$5=$H77,-$E77,0)</f>
        <v>0</v>
      </c>
      <c r="AB77" s="404">
        <f>IF(AF77=0,0,IF(AF77&lt;0,IF($J77=3,AF77,IF($J77=2,AF77,IF($J77=1,AF77,0)))))</f>
        <v>0</v>
      </c>
      <c r="AC77" s="414">
        <f>IF(AF77=0,0,IF(AF77&lt;0,IF($J77=6,AF77,IF($J77=5,AF77,IF($J77=4,AF77,0)))))</f>
        <v>0</v>
      </c>
      <c r="AD77" s="414">
        <f>IF(AF77=0,0,IF(AF77&lt;0,IF($J77=9,AF77,IF($J77=8,AF77,IF($J77=7,AF77,0)))))</f>
        <v>0</v>
      </c>
      <c r="AE77" s="406">
        <f>IF(AF77=0,0,IF(AF77&lt;0,IF($J77=12,AF77,IF($J77=11,AF77,IF($J77=10,AF77,0)))))</f>
        <v>0</v>
      </c>
      <c r="AF77" s="407">
        <f>IF(AF$5=$H77,-$E77,0)</f>
        <v>0</v>
      </c>
      <c r="AG77" s="404">
        <f>IF(AK77=0,0,IF(AK77&lt;0,IF($J77=3,AK77,IF($J77=2,AK77,IF($J77=1,AK77,0)))))</f>
        <v>0</v>
      </c>
      <c r="AH77" s="414">
        <f>IF(AK77=0,0,IF(AK77&lt;0,IF($J77=6,AK77,IF($J77=5,AK77,IF($J77=4,AK77,0)))))</f>
        <v>0</v>
      </c>
      <c r="AI77" s="414">
        <f>IF(AK77=0,0,IF(AK77&lt;0,IF($J77=9,AK77,IF($J77=8,AK77,IF($J77=7,AK77,0)))))</f>
        <v>0</v>
      </c>
      <c r="AJ77" s="406">
        <f>IF(AK77=0,0,IF(AK77&lt;0,IF($J77=12,AK77,IF($J77=11,AK77,IF($J77=10,AK77,0)))))</f>
        <v>0</v>
      </c>
      <c r="AK77" s="407">
        <f>IF(AK$5=$H77,-$E77,0)</f>
        <v>0</v>
      </c>
      <c r="AL77" s="404">
        <f>IF(AP77=0,0,IF(AP77&lt;0,IF($J77=3,AP77,IF($J77=2,AP77,IF($J77=1,AP77,0)))))</f>
        <v>0</v>
      </c>
      <c r="AM77" s="414">
        <f>IF(AP77=0,0,IF(AP77&lt;0,IF($J77=6,AP77,IF($J77=5,AP77,IF($J77=4,AP77,0)))))</f>
        <v>0</v>
      </c>
      <c r="AN77" s="414">
        <f>IF(AP77=0,0,IF(AP77&lt;0,IF($J77=9,AP77,IF($J77=8,AP77,IF($J77=7,AP77,0)))))</f>
        <v>0</v>
      </c>
      <c r="AO77" s="406">
        <f>IF(AP77=0,0,IF(AP77&lt;0,IF($J77=12,AP77,IF($J77=11,AP77,IF($J77=10,AP77,0)))))</f>
        <v>0</v>
      </c>
      <c r="AP77" s="407">
        <f>IF(AP$5=$H77,-$E77,0)</f>
        <v>0</v>
      </c>
      <c r="AQ77" s="404">
        <f>IF(AU77=0,0,IF(AU77&lt;0,IF($J77=3,AU77,IF($J77=2,AU77,IF($J77=1,AU77,0)))))</f>
        <v>0</v>
      </c>
      <c r="AR77" s="414">
        <f t="shared" ref="AR77" si="551">IF(AU77=0,0,IF(AU77&lt;0,IF($J77=6,AU77,IF($J77=5,AU77,IF($J77=4,AU77,0)))))</f>
        <v>0</v>
      </c>
      <c r="AS77" s="414">
        <f>IF(AU77=0,0,IF(AU77&lt;0,IF($J77=9,AU77,IF($J77=8,AU77,IF($J77=7,AU77,0)))))</f>
        <v>0</v>
      </c>
      <c r="AT77" s="406">
        <f>IF(AU77=0,0,IF(AU77&lt;0,IF($J77=12,AU77,IF($J77=11,AU77,IF($J77=10,AU77,0)))))</f>
        <v>0</v>
      </c>
      <c r="AU77" s="407">
        <f>IF(AU$5=$H77,-$E77,0)</f>
        <v>0</v>
      </c>
      <c r="AV77" s="404">
        <f>IF(AZ77=0,0,IF(AZ77&lt;0,IF($J77=3,AZ77,IF($J77=2,AZ77,IF($J77=1,AZ77,0)))))</f>
        <v>0</v>
      </c>
      <c r="AW77" s="414">
        <f>IF(AZ77=0,0,IF(AZ77&lt;0,IF($J77=6,AZ77,IF($J77=5,AZ77,IF($J77=4,AZ77,0)))))</f>
        <v>0</v>
      </c>
      <c r="AX77" s="414">
        <f>IF(AZ77=0,0,IF(AZ77&lt;0,IF($J77=9,AZ77,IF($J77=8,AZ77,IF($J77=7,AZ77,0)))))</f>
        <v>0</v>
      </c>
      <c r="AY77" s="406">
        <f>IF(AZ77=0,0,IF(AZ77&lt;0,IF($J77=12,AZ77,IF($J77=11,AZ77,IF($J77=10,AZ77,0)))))</f>
        <v>0</v>
      </c>
      <c r="AZ77" s="407">
        <f>IF(AZ$5=$H77,-$E77,0)</f>
        <v>0</v>
      </c>
      <c r="BA77" s="404">
        <f>IF(BE77=0,0,IF(BE77&lt;0,IF($J77=3,BE77,IF($J77=2,BE77,IF($J77=1,BE77,0)))))</f>
        <v>0</v>
      </c>
      <c r="BB77" s="414">
        <f>IF(BE77=0,0,IF(BE77&lt;0,IF($J77=6,BE77,IF($J77=5,BE77,IF($J77=4,BE77,0)))))</f>
        <v>-125</v>
      </c>
      <c r="BC77" s="414">
        <f>IF(BE77=0,0,IF(BE77&lt;0,IF($J77=9,BE77,IF($J77=8,BE77,IF($J77=7,BE77,0)))))</f>
        <v>0</v>
      </c>
      <c r="BD77" s="406">
        <f>IF(BE77=0,0,IF(BE77&lt;0,IF($J77=12,BE77,IF($J77=11,BE77,IF($J77=10,BE77,0)))))</f>
        <v>0</v>
      </c>
      <c r="BE77" s="407">
        <f>IF(BE$5=$H77,-$E77,0)</f>
        <v>-125</v>
      </c>
      <c r="BF77" s="404">
        <f>IF(BJ77=0,0,IF(BJ77&lt;0,IF($J77=3,BJ77,IF($J77=2,BJ77,IF($J77=1,BJ77,0)))))</f>
        <v>0</v>
      </c>
      <c r="BG77" s="414">
        <f>IF(BJ77=0,0,IF(BJ77&lt;0,IF($J77=6,BJ77,IF($J77=5,BJ77,IF($J77=4,BJ77,0)))))</f>
        <v>0</v>
      </c>
      <c r="BH77" s="414">
        <f>IF(BJ77=0,0,IF(BJ77&lt;0,IF($J77=9,BJ77,IF($J77=8,BJ77,IF($J77=7,BJ77,0)))))</f>
        <v>0</v>
      </c>
      <c r="BI77" s="406">
        <f>IF(BJ77=0,0,IF(BJ77&lt;0,IF($J77=12,BJ77,IF($J77=11,BJ77,IF($J77=10,BJ77,0)))))</f>
        <v>0</v>
      </c>
      <c r="BJ77" s="407">
        <f>IF(BJ$5=$H77,-$E77,0)</f>
        <v>0</v>
      </c>
      <c r="BK77" s="404">
        <f>IF(BO77=0,0,IF(BO77&lt;0,IF($J77=3,BO77,IF($J77=2,BO77,IF($J77=1,BO77,0)))))</f>
        <v>0</v>
      </c>
      <c r="BL77" s="414">
        <f>IF(BO77=0,0,IF(BO77&lt;0,IF($J77=6,BO77,IF($J77=5,BO77,IF($J77=4,BO77,0)))))</f>
        <v>0</v>
      </c>
      <c r="BM77" s="414">
        <f>IF(BO77=0,0,IF(BO77&lt;0,IF($J77=9,BO77,IF($J77=8,BO77,IF($J77=7,BO77,0)))))</f>
        <v>0</v>
      </c>
      <c r="BN77" s="406">
        <f>IF(BO77=0,0,IF(BO77&lt;0,IF($J77=12,BO77,IF($J77=11,BO77,IF($J77=10,BO77,0)))))</f>
        <v>0</v>
      </c>
      <c r="BO77" s="407">
        <f>IF(BO$5=$H77,-$E77,0)</f>
        <v>0</v>
      </c>
      <c r="BP77" s="449"/>
      <c r="BQ77" s="413">
        <f>IF(AND(AH77&lt;&gt;0,AH$5=$H77),-$I77*$E77-AH77,IF(BQ$5=$H77,-$I77*$E77*(12-$J77+1)/12,0))</f>
        <v>0</v>
      </c>
      <c r="BR77" s="410">
        <f>IF($H77&lt;&gt;BV$5,0,IF(BV77&lt;0,IF($J77=1,-$E77*$I77/12*3,IF($J77=2,-$E77*$I77/12*2,IF($J77=3,-$E77*$I77/12*1,0)))))+IF(BQ$5&lt;&gt;$H77,0,IF(BQ77&lt;0,IF($J77=1,-$E77*$I77/12*0,IF($J77=2,-$E77*$I77/12*1,IF($J77=3,-$E77*$I77/12*2,IF($J77&gt;=4,-$E77*$I77/12*3,0))))))</f>
        <v>0</v>
      </c>
      <c r="BS77" s="416">
        <f>IF($H77&lt;&gt;BV$5,0,IF(BV77&lt;0,IF(OR($J77=1,$J77=2,$J77=3,$J77=4),-$E77*$I77/12*3,IF($J77=5,-$E77*$I77/12*2,IF($J77=6,-$E77*$I77/12*1,0)))))+IF(BQ$5&lt;&gt;$H77,0,IF(BQ77&lt;0,IF($J77=4,-$E77*$I77/12*0,IF($J77=5,-$E77*$I77/12*1,IF($J77=6,-$E77*$I77/12*2,IF($J77&gt;=7,-$E77*$I77/12*3,0))))))</f>
        <v>0</v>
      </c>
      <c r="BT77" s="416">
        <f>IF($H77&lt;&gt;BV$5,0,IF(BV77&lt;0,IF(OR($J77=1,$J77=2,$J77=3,$J77=4,$J77=5,$J77=6,$J77=7),-$E77*$I77/12*3,IF($J77=8,-$E77*$I77/12*2,IF($J77=9,-$E77*$I77/12*1,0)))))+IF(BQ$5&lt;&gt;$H77,0,IF(BQ77&lt;0,IF($J77=7,-$E77*$I77/12*0,IF($J77=8,-$E77*$I77/12*1,IF($J77=9,-$E77*$I77/12*2,IF($J77&gt;=10,-$E77*$I77/12*3,0))))))</f>
        <v>0</v>
      </c>
      <c r="BU77" s="412">
        <f>IF($H77&lt;&gt;BV$5,0,IF(BV77&lt;0,IF(OR($J77=1,$J77=2,$J77=3,$J77=4,$J77=5,$J77=6,$J77=7,$J77=8,$J77=9,$J77=10),-$E77*$I77/12*3,IF($J77=11,-$E77*$I77/12*2,IF($J77=12,-$E77*$I77/12*1,0)))))+IF(BQ$5&lt;&gt;$H77,0,IF(BQ77&lt;0,IF($J77=10,-$E77*$I77/12*0,IF($J77=11,-$E77*$I77/12*1,IF($J77=12,-$E77*$I77/12*2,0)))))</f>
        <v>0</v>
      </c>
      <c r="BV77" s="413">
        <f>IF(AND(BQ77&lt;&gt;0,BQ$5=$H77),-$I77*$E77-BQ77,IF(BV$5=$H77,-$I77*$E77*(12-$J77+1)/12,0))</f>
        <v>0</v>
      </c>
      <c r="BW77" s="410">
        <f>IF($H77&lt;&gt;CA$5,0,IF(CA77&lt;0,IF($J77=1,-$E77*$I77/12*3,IF($J77=2,-$E77*$I77/12*2,IF($J77=3,-$E77*$I77/12*1,0)))))+IF(BV$5&lt;&gt;$H77,0,IF(BV77&lt;0,IF($J77=1,-$E77*$I77/12*0,IF($J77=2,-$E77*$I77/12*1,IF($J77=3,-$E77*$I77/12*2,IF($J77&gt;=4,-$E77*$I77/12*3,0))))))</f>
        <v>0</v>
      </c>
      <c r="BX77" s="416">
        <f>IF($H77&lt;&gt;CA$5,0,IF(CA77&lt;0,IF(OR($J77=1,$J77=2,$J77=3,$J77=4),-$E77*$I77/12*3,IF($J77=5,-$E77*$I77/12*2,IF($J77=6,-$E77*$I77/12*1,0)))))+IF(BV$5&lt;&gt;$H77,0,IF(BV77&lt;0,IF($J77=4,-$E77*$I77/12*0,IF($J77=5,-$E77*$I77/12*1,IF($J77=6,-$E77*$I77/12*2,IF($J77&gt;=7,-$E77*$I77/12*3,0))))))</f>
        <v>0</v>
      </c>
      <c r="BY77" s="416">
        <f>IF($H77&lt;&gt;CA$5,0,IF(CA77&lt;0,IF(OR($J77=1,$J77=2,$J77=3,$J77=4,$J77=5,$J77=6,$J77=7),-$E77*$I77/12*3,IF($J77=8,-$E77*$I77/12*2,IF($J77=9,-$E77*$I77/12*1,0)))))+IF(BV$5&lt;&gt;$H77,0,IF(BV77&lt;0,IF($J77=7,-$E77*$I77/12*0,IF($J77=8,-$E77*$I77/12*1,IF($J77=9,-$E77*$I77/12*2,IF($J77&gt;=10,-$E77*$I77/12*3,0))))))</f>
        <v>0</v>
      </c>
      <c r="BZ77" s="412">
        <f>IF($H77&lt;&gt;CA$5,0,IF(CA77&lt;0,IF(OR($J77=1,$J77=2,$J77=3,$J77=4,$J77=5,$J77=6,$J77=7,$J77=8,$J77=9,$J77=10),-$E77*$I77/12*3,IF($J77=11,-$E77*$I77/12*2,IF($J77=12,-$E77*$I77/12*1,0)))))+IF(BV$5&lt;&gt;$H77,0,IF(BV77&lt;0,IF($J77=10,-$E77*$I77/12*0,IF($J77=11,-$E77*$I77/12*1,IF($J77=12,-$E77*$I77/12*2,0)))))</f>
        <v>0</v>
      </c>
      <c r="CA77" s="413">
        <f>IF(AND(BV77&lt;&gt;0,BV$5=$H77),-$I77*$E77-BV77,IF(CA$5=$H77,-$I77*$E77*(12-$J77+1)/12,0))</f>
        <v>0</v>
      </c>
      <c r="CB77" s="410">
        <f>IF($H77&lt;&gt;CF$5,0,IF(CF77&lt;0,IF($J77=1,-$E77*$I77/12*3,IF($J77=2,-$E77*$I77/12*2,IF($J77=3,-$E77*$I77/12*1,0)))))+IF(CA$5&lt;&gt;$H77,0,IF(CA77&lt;0,IF($J77=1,-$E77*$I77/12*0,IF($J77=2,-$E77*$I77/12*1,IF($J77=3,-$E77*$I77/12*2,IF($J77&gt;=4,-$E77*$I77/12*3,0))))))</f>
        <v>0</v>
      </c>
      <c r="CC77" s="416">
        <f>IF($H77&lt;&gt;CF$5,0,IF(CF77&lt;0,IF(OR($J77=1,$J77=2,$J77=3,$J77=4),-$E77*$I77/12*3,IF($J77=5,-$E77*$I77/12*2,IF($J77=6,-$E77*$I77/12*1,0)))))+IF(CA$5&lt;&gt;$H77,0,IF(CA77&lt;0,IF($J77=4,-$E77*$I77/12*0,IF($J77=5,-$E77*$I77/12*1,IF($J77=6,-$E77*$I77/12*2,IF($J77&gt;=7,-$E77*$I77/12*3,0))))))</f>
        <v>0</v>
      </c>
      <c r="CD77" s="416">
        <f>IF($H77&lt;&gt;CF$5,0,IF(CF77&lt;0,IF(OR($J77=1,$J77=2,$J77=3,$J77=4,$J77=5,$J77=6,$J77=7),-$E77*$I77/12*3,IF($J77=8,-$E77*$I77/12*2,IF($J77=9,-$E77*$I77/12*1,0)))))+IF(CA$5&lt;&gt;$H77,0,IF(CA77&lt;0,IF($J77=7,-$E77*$I77/12*0,IF($J77=8,-$E77*$I77/12*1,IF($J77=9,-$E77*$I77/12*2,IF($J77&gt;=10,-$E77*$I77/12*3,0))))))</f>
        <v>0</v>
      </c>
      <c r="CE77" s="412">
        <f>IF($H77&lt;&gt;CF$5,0,IF(CF77&lt;0,IF(OR($J77=1,$J77=2,$J77=3,$J77=4,$J77=5,$J77=6,$J77=7,$J77=8,$J77=9,$J77=10),-$E77*$I77/12*3,IF($J77=11,-$E77*$I77/12*2,IF($J77=12,-$E77*$I77/12*1,0)))))+IF(CA$5&lt;&gt;$H77,0,IF(CA77&lt;0,IF($J77=10,-$E77*$I77/12*0,IF($J77=11,-$E77*$I77/12*1,IF($J77=12,-$E77*$I77/12*2,0)))))</f>
        <v>0</v>
      </c>
      <c r="CF77" s="413">
        <f>IF(AND(CA77&lt;&gt;0,CA$5=$H77),-$I77*$E77-CA77,IF(CF$5=$H77,-$I77*$E77*(12-$J77+1)/12,0))</f>
        <v>0</v>
      </c>
      <c r="CG77" s="410">
        <f>IF($H77&lt;&gt;CK$5,0,IF(CK77&lt;0,IF($J77=1,-$E77*$I77/12*3,IF($J77=2,-$E77*$I77/12*2,IF($J77=3,-$E77*$I77/12*1,0)))))+IF(CF$5&lt;&gt;$H77,0,IF(CF77&lt;0,IF($J77=1,-$E77*$I77/12*0,IF($J77=2,-$E77*$I77/12*1,IF($J77=3,-$E77*$I77/12*2,IF($J77&gt;=4,-$E77*$I77/12*3,0))))))</f>
        <v>0</v>
      </c>
      <c r="CH77" s="416">
        <f>IF($H77&lt;&gt;CK$5,0,IF(CK77&lt;0,IF(OR($J77=1,$J77=2,$J77=3,$J77=4),-$E77*$I77/12*3,IF($J77=5,-$E77*$I77/12*2,IF($J77=6,-$E77*$I77/12*1,0)))))+IF(CF$5&lt;&gt;$H77,0,IF(CF77&lt;0,IF($J77=4,-$E77*$I77/12*0,IF($J77=5,-$E77*$I77/12*1,IF($J77=6,-$E77*$I77/12*2,IF($J77&gt;=7,-$E77*$I77/12*3,0))))))</f>
        <v>0</v>
      </c>
      <c r="CI77" s="416">
        <f>IF($H77&lt;&gt;CK$5,0,IF(CK77&lt;0,IF(OR($J77=1,$J77=2,$J77=3,$J77=4,$J77=5,$J77=6,$J77=7),-$E77*$I77/12*3,IF($J77=8,-$E77*$I77/12*2,IF($J77=9,-$E77*$I77/12*1,0)))))+IF(CF$5&lt;&gt;$H77,0,IF(CF77&lt;0,IF($J77=7,-$E77*$I77/12*0,IF($J77=8,-$E77*$I77/12*1,IF($J77=9,-$E77*$I77/12*2,IF($J77&gt;=10,-$E77*$I77/12*3,0))))))</f>
        <v>0</v>
      </c>
      <c r="CJ77" s="412">
        <f>IF($H77&lt;&gt;CK$5,0,IF(CK77&lt;0,IF(OR($J77=1,$J77=2,$J77=3,$J77=4,$J77=5,$J77=6,$J77=7,$J77=8,$J77=9,$J77=10),-$E77*$I77/12*3,IF($J77=11,-$E77*$I77/12*2,IF($J77=12,-$E77*$I77/12*1,0)))))+IF(CF$5&lt;&gt;$H77,0,IF(CF77&lt;0,IF($J77=10,-$E77*$I77/12*0,IF($J77=11,-$E77*$I77/12*1,IF($J77=12,-$E77*$I77/12*2,0)))))</f>
        <v>0</v>
      </c>
      <c r="CK77" s="413">
        <f>IF(AND(CF77&lt;&gt;0,CF$5=$H77),-$I77*$E77-CF77,IF(CK$5=$H77,-$I77*$E77*(12-$J77+1)/12,0))</f>
        <v>0</v>
      </c>
      <c r="CL77" s="410">
        <f>IF($H77&lt;&gt;CP$5,0,IF(CP77&lt;0,IF($J77=1,-$E77*$I77/12*3,IF($J77=2,-$E77*$I77/12*2,IF($J77=3,-$E77*$I77/12*1,0)))))+IF(CK$5&lt;&gt;$H77,0,IF(CK77&lt;0,IF($J77=1,-$E77*$I77/12*0,IF($J77=2,-$E77*$I77/12*1,IF($J77=3,-$E77*$I77/12*2,IF($J77&gt;=4,-$E77*$I77/12*3,0))))))</f>
        <v>0</v>
      </c>
      <c r="CM77" s="416">
        <f>IF($H77&lt;&gt;CP$5,0,IF(CP77&lt;0,IF(OR($J77=1,$J77=2,$J77=3,$J77=4),-$E77*$I77/12*3,IF($J77=5,-$E77*$I77/12*2,IF($J77=6,-$E77*$I77/12*1,0)))))+IF(CK$5&lt;&gt;$H77,0,IF(CK77&lt;0,IF($J77=4,-$E77*$I77/12*0,IF($J77=5,-$E77*$I77/12*1,IF($J77=6,-$E77*$I77/12*2,IF($J77&gt;=7,-$E77*$I77/12*3,0))))))</f>
        <v>0</v>
      </c>
      <c r="CN77" s="416">
        <f>IF($H77&lt;&gt;CP$5,0,IF(CP77&lt;0,IF(OR($J77=1,$J77=2,$J77=3,$J77=4,$J77=5,$J77=6,$J77=7),-$E77*$I77/12*3,IF($J77=8,-$E77*$I77/12*2,IF($J77=9,-$E77*$I77/12*1,0)))))+IF(CK$5&lt;&gt;$H77,0,IF(CK77&lt;0,IF($J77=7,-$E77*$I77/12*0,IF($J77=8,-$E77*$I77/12*1,IF($J77=9,-$E77*$I77/12*2,IF($J77&gt;=10,-$E77*$I77/12*3,0))))))</f>
        <v>0</v>
      </c>
      <c r="CO77" s="412">
        <f>IF($H77&lt;&gt;CP$5,0,IF(CP77&lt;0,IF(OR($J77=1,$J77=2,$J77=3,$J77=4,$J77=5,$J77=6,$J77=7,$J77=8,$J77=9,$J77=10),-$E77*$I77/12*3,IF($J77=11,-$E77*$I77/12*2,IF($J77=12,-$E77*$I77/12*1,0)))))+IF(CK$5&lt;&gt;$H77,0,IF(CK77&lt;0,IF($J77=10,-$E77*$I77/12*0,IF($J77=11,-$E77*$I77/12*1,IF($J77=12,-$E77*$I77/12*2,0)))))</f>
        <v>0</v>
      </c>
      <c r="CP77" s="413">
        <f>IF(AND(CK77&lt;&gt;0,CK$5=$H77),-$I77*$E77-CK77,IF(CP$5=$H77,-$I77*$E77*(12-$J77+1)/12,0))</f>
        <v>0</v>
      </c>
      <c r="CQ77" s="410">
        <f>IF($H77&lt;&gt;CU$5,0,IF(CU77&lt;0,IF($J77=1,-$E77*$I77/12*3,IF($J77=2,-$E77*$I77/12*2,IF($J77=3,-$E77*$I77/12*1,0)))))+IF(CP$5&lt;&gt;$H77,0,IF(CP77&lt;0,IF($J77=1,-$E77*$I77/12*0,IF($J77=2,-$E77*$I77/12*1,IF($J77=3,-$E77*$I77/12*2,IF($J77&gt;=4,-$E77*$I77/12*3,0))))))</f>
        <v>0</v>
      </c>
      <c r="CR77" s="416">
        <f>IF($H77&lt;&gt;CU$5,0,IF(CU77&lt;0,IF(OR($J77=1,$J77=2,$J77=3,$J77=4),-$E77*$I77/12*3,IF($J77=5,-$E77*$I77/12*2,IF($J77=6,-$E77*$I77/12*1,0)))))+IF(CP$5&lt;&gt;$H77,0,IF(CP77&lt;0,IF($J77=4,-$E77*$I77/12*0,IF($J77=5,-$E77*$I77/12*1,IF($J77=6,-$E77*$I77/12*2,IF($J77&gt;=7,-$E77*$I77/12*3,0))))))</f>
        <v>0</v>
      </c>
      <c r="CS77" s="416">
        <f>IF($H77&lt;&gt;CU$5,0,IF(CU77&lt;0,IF(OR($J77=1,$J77=2,$J77=3,$J77=4,$J77=5,$J77=6,$J77=7),-$E77*$I77/12*3,IF($J77=8,-$E77*$I77/12*2,IF($J77=9,-$E77*$I77/12*1,0)))))+IF(CP$5&lt;&gt;$H77,0,IF(CP77&lt;0,IF($J77=7,-$E77*$I77/12*0,IF($J77=8,-$E77*$I77/12*1,IF($J77=9,-$E77*$I77/12*2,IF($J77&gt;=10,-$E77*$I77/12*3,0))))))</f>
        <v>0</v>
      </c>
      <c r="CT77" s="412">
        <f>IF($H77&lt;&gt;CU$5,0,IF(CU77&lt;0,IF(OR($J77=1,$J77=2,$J77=3,$J77=4,$J77=5,$J77=6,$J77=7,$J77=8,$J77=9,$J77=10),-$E77*$I77/12*3,IF($J77=11,-$E77*$I77/12*2,IF($J77=12,-$E77*$I77/12*1,0)))))+IF(CP$5&lt;&gt;$H77,0,IF(CP77&lt;0,IF($J77=10,-$E77*$I77/12*0,IF($J77=11,-$E77*$I77/12*1,IF($J77=12,-$E77*$I77/12*2,0)))))</f>
        <v>0</v>
      </c>
      <c r="CU77" s="413">
        <f>IF(AND(CP77&lt;&gt;0,CP$5=$H77),-$I77*$E77-CP77,IF(CU$5=$H77,-$I77*$E77*(12-$J77+1)/12,0))</f>
        <v>0</v>
      </c>
      <c r="CV77" s="410">
        <f>IF($H77&lt;&gt;CZ$5,0,IF(CZ77&lt;0,IF($J77=1,-$E77*$I77/12*3,IF($J77=2,-$E77*$I77/12*2,IF($J77=3,-$E77*$I77/12*1,0)))))+IF(CU$5&lt;&gt;$H77,0,IF(CU77&lt;0,IF($J77=1,-$E77*$I77/12*0,IF($J77=2,-$E77*$I77/12*1,IF($J77=3,-$E77*$I77/12*2,IF($J77&gt;=4,-$E77*$I77/12*3,0))))))</f>
        <v>0</v>
      </c>
      <c r="CW77" s="416">
        <f>IF($H77&lt;&gt;CZ$5,0,IF(CZ77&lt;0,IF(OR($J77=1,$J77=2,$J77=3,$J77=4),-$E77*$I77/12*3,IF($J77=5,-$E77*$I77/12*2,IF($J77=6,-$E77*$I77/12*1,0)))))+IF(CU$5&lt;&gt;$H77,0,IF(CU77&lt;0,IF($J77=4,-$E77*$I77/12*0,IF($J77=5,-$E77*$I77/12*1,IF($J77=6,-$E77*$I77/12*2,IF($J77&gt;=7,-$E77*$I77/12*3,0))))))</f>
        <v>0</v>
      </c>
      <c r="CX77" s="416">
        <f>IF($H77&lt;&gt;CZ$5,0,IF(CZ77&lt;0,IF(OR($J77=1,$J77=2,$J77=3,$J77=4,$J77=5,$J77=6,$J77=7),-$E77*$I77/12*3,IF($J77=8,-$E77*$I77/12*2,IF($J77=9,-$E77*$I77/12*1,0)))))+IF(CU$5&lt;&gt;$H77,0,IF(CU77&lt;0,IF($J77=7,-$E77*$I77/12*0,IF($J77=8,-$E77*$I77/12*1,IF($J77=9,-$E77*$I77/12*2,IF($J77&gt;=10,-$E77*$I77/12*3,0))))))</f>
        <v>0</v>
      </c>
      <c r="CY77" s="412">
        <f>IF($H77&lt;&gt;CZ$5,0,IF(CZ77&lt;0,IF(OR($J77=1,$J77=2,$J77=3,$J77=4,$J77=5,$J77=6,$J77=7,$J77=8,$J77=9,$J77=10),-$E77*$I77/12*3,IF($J77=11,-$E77*$I77/12*2,IF($J77=12,-$E77*$I77/12*1,0)))))+IF(CU$5&lt;&gt;$H77,0,IF(CU77&lt;0,IF($J77=10,-$E77*$I77/12*0,IF($J77=11,-$E77*$I77/12*1,IF($J77=12,-$E77*$I77/12*2,0)))))</f>
        <v>0</v>
      </c>
      <c r="CZ77" s="413">
        <f>IF(AND(CU77&lt;&gt;0,CU$5=$H77),-$I77*$E77-CU77,IF(CZ$5=$H77,-$I77*$E77*(12-$J77+1)/12,0))</f>
        <v>0</v>
      </c>
      <c r="DA77" s="410">
        <f>IF($H77&lt;&gt;DE$5,0,IF(DE77&lt;0,IF($J77=1,-$E77*$I77/12*3,IF($J77=2,-$E77*$I77/12*2,IF($J77=3,-$E77*$I77/12*1,0)))))+IF(CZ$5&lt;&gt;$H77,0,IF(CZ77&lt;0,IF($J77=1,-$E77*$I77/12*0,IF($J77=2,-$E77*$I77/12*1,IF($J77=3,-$E77*$I77/12*2,IF($J77&gt;=4,-$E77*$I77/12*3,0))))))</f>
        <v>0</v>
      </c>
      <c r="DB77" s="416">
        <f>IF($H77&lt;&gt;DE$5,0,IF(DE77&lt;0,IF(OR($J77=1,$J77=2,$J77=3,$J77=4),-$E77*$I77/12*3,IF($J77=5,-$E77*$I77/12*2,IF($J77=6,-$E77*$I77/12*1,0)))))+IF(CZ$5&lt;&gt;$H77,0,IF(CZ77&lt;0,IF($J77=4,-$E77*$I77/12*0,IF($J77=5,-$E77*$I77/12*1,IF($J77=6,-$E77*$I77/12*2,IF($J77&gt;=7,-$E77*$I77/12*3,0))))))</f>
        <v>0</v>
      </c>
      <c r="DC77" s="416">
        <f>IF($H77&lt;&gt;DE$5,0,IF(DE77&lt;0,IF(OR($J77=1,$J77=2,$J77=3,$J77=4,$J77=5,$J77=6,$J77=7),-$E77*$I77/12*3,IF($J77=8,-$E77*$I77/12*2,IF($J77=9,-$E77*$I77/12*1,0)))))+IF(CZ$5&lt;&gt;$H77,0,IF(CZ77&lt;0,IF($J77=7,-$E77*$I77/12*0,IF($J77=8,-$E77*$I77/12*1,IF($J77=9,-$E77*$I77/12*2,IF($J77&gt;=10,-$E77*$I77/12*3,0))))))</f>
        <v>0</v>
      </c>
      <c r="DD77" s="412">
        <f>IF($H77&lt;&gt;DE$5,0,IF(DE77&lt;0,IF(OR($J77=1,$J77=2,$J77=3,$J77=4,$J77=5,$J77=6,$J77=7,$J77=8,$J77=9,$J77=10),-$E77*$I77/12*3,IF($J77=11,-$E77*$I77/12*2,IF($J77=12,-$E77*$I77/12*1,0)))))+IF(CZ$5&lt;&gt;$H77,0,IF(CZ77&lt;0,IF($J77=10,-$E77*$I77/12*0,IF($J77=11,-$E77*$I77/12*1,IF($J77=12,-$E77*$I77/12*2,0)))))</f>
        <v>0</v>
      </c>
      <c r="DE77" s="413">
        <f>IF(AND(CZ77&lt;&gt;0,CZ$5=$H77),-$I77*$E77-CZ77,IF(DE$5=$H77,-$I77*$E77*(12-$J77+1)/12,0))</f>
        <v>0</v>
      </c>
      <c r="DF77" s="410">
        <f>IF($H77&lt;&gt;DJ$5,0,IF(DJ77&lt;0,IF($J77=1,-$E77*$I77/12*3,IF($J77=2,-$E77*$I77/12*2,IF($J77=3,-$E77*$I77/12*1,0)))))+IF(DE$5&lt;&gt;$H77,0,IF(DE77&lt;0,IF($J77=1,-$E77*$I77/12*0,IF($J77=2,-$E77*$I77/12*1,IF($J77=3,-$E77*$I77/12*2,IF($J77&gt;=4,-$E77*$I77/12*3,0))))))</f>
        <v>0</v>
      </c>
      <c r="DG77" s="416">
        <f>IF($H77&lt;&gt;DJ$5,0,IF(DJ77&lt;0,IF(OR($J77=1,$J77=2,$J77=3,$J77=4),-$E77*$I77/12*3,IF($J77=5,-$E77*$I77/12*2,IF($J77=6,-$E77*$I77/12*1,0)))))+IF(DE$5&lt;&gt;$H77,0,IF(DE77&lt;0,IF($J77=4,-$E77*$I77/12*0,IF($J77=5,-$E77*$I77/12*1,IF($J77=6,-$E77*$I77/12*2,IF($J77&gt;=7,-$E77*$I77/12*3,0))))))</f>
        <v>-0.46875</v>
      </c>
      <c r="DH77" s="416">
        <f>IF($H77&lt;&gt;DJ$5,0,IF(DJ77&lt;0,IF(OR($J77=1,$J77=2,$J77=3,$J77=4,$J77=5,$J77=6,$J77=7),-$E77*$I77/12*3,IF($J77=8,-$E77*$I77/12*2,IF($J77=9,-$E77*$I77/12*1,0)))))+IF(DE$5&lt;&gt;$H77,0,IF(DE77&lt;0,IF($J77=7,-$E77*$I77/12*0,IF($J77=8,-$E77*$I77/12*1,IF($J77=9,-$E77*$I77/12*2,IF($J77&gt;=10,-$E77*$I77/12*3,0))))))</f>
        <v>-1.40625</v>
      </c>
      <c r="DI77" s="412">
        <f>IF($H77&lt;&gt;DJ$5,0,IF(DJ77&lt;0,IF(OR($J77=1,$J77=2,$J77=3,$J77=4,$J77=5,$J77=6,$J77=7,$J77=8,$J77=9,$J77=10),-$E77*$I77/12*3,IF($J77=11,-$E77*$I77/12*2,IF($J77=12,-$E77*$I77/12*1,0)))))+IF(DE$5&lt;&gt;$H77,0,IF(DE77&lt;0,IF($J77=10,-$E77*$I77/12*0,IF($J77=11,-$E77*$I77/12*1,IF($J77=12,-$E77*$I77/12*2,0)))))</f>
        <v>-1.40625</v>
      </c>
      <c r="DJ77" s="413">
        <f>IF(AND(DE77&lt;&gt;0,DE$5=$H77),-$I77*$E77-DE77,IF(DJ$5=$H77,-$I77*$E77*(12-$J77+1)/12,0))</f>
        <v>-3.28125</v>
      </c>
      <c r="DK77" s="410">
        <f>IF($H77&lt;&gt;DO$5,0,IF(DO77&lt;0,IF($J77=1,-$E77*$I77/12*3,IF($J77=2,-$E77*$I77/12*2,IF($J77=3,-$E77*$I77/12*1,0)))))+IF(DJ$5&lt;&gt;$H77,0,IF(DJ77&lt;0,IF($J77=1,-$E77*$I77/12*0,IF($J77=2,-$E77*$I77/12*1,IF($J77=3,-$E77*$I77/12*2,IF($J77&gt;=4,-$E77*$I77/12*3,0))))))</f>
        <v>-1.40625</v>
      </c>
      <c r="DL77" s="416">
        <f>IF($H77&lt;&gt;DO$5,0,IF(DO77&lt;0,IF(OR($J77=1,$J77=2,$J77=3,$J77=4),-$E77*$I77/12*3,IF($J77=5,-$E77*$I77/12*2,IF($J77=6,-$E77*$I77/12*1,0)))))+IF(DJ$5&lt;&gt;$H77,0,IF(DJ77&lt;0,IF($J77=4,-$E77*$I77/12*0,IF($J77=5,-$E77*$I77/12*1,IF($J77=6,-$E77*$I77/12*2,IF($J77&gt;=7,-$E77*$I77/12*3,0))))))</f>
        <v>-0.9375</v>
      </c>
      <c r="DM77" s="416">
        <f>IF($H77&lt;&gt;DO$5,0,IF(DO77&lt;0,IF(OR($J77=1,$J77=2,$J77=3,$J77=4,$J77=5,$J77=6,$J77=7),-$E77*$I77/12*3,IF($J77=8,-$E77*$I77/12*2,IF($J77=9,-$E77*$I77/12*1,0)))))+IF(DJ$5&lt;&gt;$H77,0,IF(DJ77&lt;0,IF($J77=7,-$E77*$I77/12*0,IF($J77=8,-$E77*$I77/12*1,IF($J77=9,-$E77*$I77/12*2,IF($J77&gt;=10,-$E77*$I77/12*3,0))))))</f>
        <v>0</v>
      </c>
      <c r="DN77" s="412">
        <f>IF($H77&lt;&gt;DO$5,0,IF(DO77&lt;0,IF(OR($J77=1,$J77=2,$J77=3,$J77=4,$J77=5,$J77=6,$J77=7,$J77=8,$J77=9,$J77=10),-$E77*$I77/12*3,IF($J77=11,-$E77*$I77/12*2,IF($J77=12,-$E77*$I77/12*1,0)))))+IF(DJ$5&lt;&gt;$H77,0,IF(DJ77&lt;0,IF($J77=10,-$E77*$I77/12*0,IF($J77=11,-$E77*$I77/12*1,IF($J77=12,-$E77*$I77/12*2,0)))))</f>
        <v>0</v>
      </c>
      <c r="DO77" s="413">
        <f>IF(AND(DJ77&lt;&gt;0,DJ$5=$H77),-$I77*$E77-DJ77,IF(DO$5=$H77,-$I77*$E77*(12-$J77+1)/12,0))</f>
        <v>-2.34375</v>
      </c>
      <c r="DP77" s="410">
        <f>IF($H77&lt;&gt;DT$5,0,IF(DT77&lt;0,IF($J77=1,-$E77*$I77/12*3,IF($J77=2,-$E77*$I77/12*2,IF($J77=3,-$E77*$I77/12*1,0)))))+IF(DO$5&lt;&gt;$H77,0,IF(DO77&lt;0,IF($J77=1,-$E77*$I77/12*0,IF($J77=2,-$E77*$I77/12*1,IF($J77=3,-$E77*$I77/12*2,IF($J77&gt;=4,-$E77*$I77/12*3,0))))))</f>
        <v>0</v>
      </c>
      <c r="DQ77" s="416">
        <f>IF($H77&lt;&gt;DT$5,0,IF(DT77&lt;0,IF(OR($J77=1,$J77=2,$J77=3,$J77=4),-$E77*$I77/12*3,IF($J77=5,-$E77*$I77/12*2,IF($J77=6,-$E77*$I77/12*1,0)))))+IF(DO$5&lt;&gt;$H77,0,IF(DO77&lt;0,IF($J77=4,-$E77*$I77/12*0,IF($J77=5,-$E77*$I77/12*1,IF($J77=6,-$E77*$I77/12*2,IF($J77&gt;=7,-$E77*$I77/12*3,0))))))</f>
        <v>0</v>
      </c>
      <c r="DR77" s="416">
        <f>IF($H77&lt;&gt;DT$5,0,IF(DT77&lt;0,IF(OR($J77=1,$J77=2,$J77=3,$J77=4,$J77=5,$J77=6,$J77=7),-$E77*$I77/12*3,IF($J77=8,-$E77*$I77/12*2,IF($J77=9,-$E77*$I77/12*1,0)))))+IF(DO$5&lt;&gt;$H77,0,IF(DO77&lt;0,IF($J77=7,-$E77*$I77/12*0,IF($J77=8,-$E77*$I77/12*1,IF($J77=9,-$E77*$I77/12*2,IF($J77&gt;=10,-$E77*$I77/12*3,0))))))</f>
        <v>0</v>
      </c>
      <c r="DS77" s="412">
        <f>IF($H77&lt;&gt;DT$5,0,IF(DT77&lt;0,IF(OR($J77=1,$J77=2,$J77=3,$J77=4,$J77=5,$J77=6,$J77=7,$J77=8,$J77=9,$J77=10),-$E77*$I77/12*3,IF($J77=11,-$E77*$I77/12*2,IF($J77=12,-$E77*$I77/12*1,0)))))+IF(DO$5&lt;&gt;$H77,0,IF(DO77&lt;0,IF($J77=10,-$E77*$I77/12*0,IF($J77=11,-$E77*$I77/12*1,IF($J77=12,-$E77*$I77/12*2,0)))))</f>
        <v>0</v>
      </c>
      <c r="DT77" s="413">
        <f>IF(AND(DO77&lt;&gt;0,DO$5=$H77),-$I77*$E77-DO77,IF(DT$5=$H77,-$I77*$E77*(12-$J77+1)/12,0))</f>
        <v>0</v>
      </c>
    </row>
    <row r="78" spans="1:124" s="1884" customFormat="1" ht="12.75" customHeight="1">
      <c r="A78" s="491"/>
      <c r="D78" s="601"/>
      <c r="E78" s="1531"/>
      <c r="F78" s="1532"/>
      <c r="G78" s="1532"/>
      <c r="H78" s="610"/>
      <c r="I78" s="1534"/>
      <c r="J78" s="615"/>
      <c r="K78" s="402"/>
      <c r="L78" s="407"/>
      <c r="M78" s="404"/>
      <c r="N78" s="414"/>
      <c r="O78" s="414"/>
      <c r="P78" s="406"/>
      <c r="Q78" s="407"/>
      <c r="R78" s="404"/>
      <c r="S78" s="414"/>
      <c r="T78" s="414"/>
      <c r="U78" s="406"/>
      <c r="V78" s="407"/>
      <c r="W78" s="404"/>
      <c r="X78" s="414"/>
      <c r="Y78" s="414"/>
      <c r="Z78" s="406"/>
      <c r="AA78" s="407"/>
      <c r="AB78" s="404"/>
      <c r="AC78" s="414"/>
      <c r="AD78" s="414"/>
      <c r="AE78" s="406"/>
      <c r="AF78" s="407"/>
      <c r="AG78" s="404"/>
      <c r="AH78" s="414"/>
      <c r="AI78" s="414"/>
      <c r="AJ78" s="406"/>
      <c r="AK78" s="407"/>
      <c r="AL78" s="404"/>
      <c r="AM78" s="414"/>
      <c r="AN78" s="414"/>
      <c r="AO78" s="406"/>
      <c r="AP78" s="407"/>
      <c r="AQ78" s="404"/>
      <c r="AR78" s="414"/>
      <c r="AS78" s="414"/>
      <c r="AT78" s="406"/>
      <c r="AU78" s="407"/>
      <c r="AV78" s="404"/>
      <c r="AW78" s="414"/>
      <c r="AX78" s="414"/>
      <c r="AY78" s="406"/>
      <c r="AZ78" s="407"/>
      <c r="BA78" s="404"/>
      <c r="BB78" s="414"/>
      <c r="BC78" s="414"/>
      <c r="BD78" s="406"/>
      <c r="BE78" s="407"/>
      <c r="BF78" s="404"/>
      <c r="BG78" s="414"/>
      <c r="BH78" s="414"/>
      <c r="BI78" s="406"/>
      <c r="BJ78" s="407"/>
      <c r="BK78" s="404"/>
      <c r="BL78" s="414"/>
      <c r="BM78" s="414"/>
      <c r="BN78" s="406"/>
      <c r="BO78" s="407"/>
      <c r="BP78" s="449"/>
      <c r="BQ78" s="413"/>
      <c r="BR78" s="410"/>
      <c r="BS78" s="416"/>
      <c r="BT78" s="416"/>
      <c r="BU78" s="412"/>
      <c r="BV78" s="413"/>
      <c r="BW78" s="410"/>
      <c r="BX78" s="416"/>
      <c r="BY78" s="416"/>
      <c r="BZ78" s="412"/>
      <c r="CA78" s="413"/>
      <c r="CB78" s="410"/>
      <c r="CC78" s="416"/>
      <c r="CD78" s="416"/>
      <c r="CE78" s="412"/>
      <c r="CF78" s="413"/>
      <c r="CG78" s="410"/>
      <c r="CH78" s="416"/>
      <c r="CI78" s="416"/>
      <c r="CJ78" s="412"/>
      <c r="CK78" s="413"/>
      <c r="CL78" s="410"/>
      <c r="CM78" s="416"/>
      <c r="CN78" s="416"/>
      <c r="CO78" s="412"/>
      <c r="CP78" s="413"/>
      <c r="CQ78" s="410"/>
      <c r="CR78" s="416"/>
      <c r="CS78" s="416"/>
      <c r="CT78" s="412"/>
      <c r="CU78" s="413"/>
      <c r="CV78" s="410"/>
      <c r="CW78" s="416"/>
      <c r="CX78" s="416"/>
      <c r="CY78" s="412"/>
      <c r="CZ78" s="413"/>
      <c r="DA78" s="410"/>
      <c r="DB78" s="416"/>
      <c r="DC78" s="416"/>
      <c r="DD78" s="412"/>
      <c r="DE78" s="413"/>
      <c r="DF78" s="410"/>
      <c r="DG78" s="416"/>
      <c r="DH78" s="416"/>
      <c r="DI78" s="412"/>
      <c r="DJ78" s="413"/>
      <c r="DK78" s="410"/>
      <c r="DL78" s="416"/>
      <c r="DM78" s="416"/>
      <c r="DN78" s="412"/>
      <c r="DO78" s="413"/>
      <c r="DP78" s="410"/>
      <c r="DQ78" s="416"/>
      <c r="DR78" s="416"/>
      <c r="DS78" s="412"/>
      <c r="DT78" s="413"/>
    </row>
    <row r="79" spans="1:124" ht="12.75" customHeight="1">
      <c r="A79" s="491"/>
      <c r="C79" s="1884" t="s">
        <v>571</v>
      </c>
      <c r="D79" s="601"/>
      <c r="E79" s="1886">
        <f>IF(F79=0,G79,F79)</f>
        <v>54.375</v>
      </c>
      <c r="F79" s="1532">
        <v>0</v>
      </c>
      <c r="G79" s="1532">
        <v>54.375</v>
      </c>
      <c r="H79" s="610">
        <v>2017</v>
      </c>
      <c r="I79" s="1534">
        <v>4.4999999999999998E-2</v>
      </c>
      <c r="J79" s="615">
        <v>2</v>
      </c>
      <c r="K79" s="402"/>
      <c r="L79" s="407">
        <f>IF(L$5=$H79,-$E79,0)</f>
        <v>0</v>
      </c>
      <c r="M79" s="404">
        <f>IF(Q79=0,0,IF(Q79&lt;0,IF($J79=3,Q79,IF($J79=2,Q79,IF($J79=1,Q79,0)))))</f>
        <v>0</v>
      </c>
      <c r="N79" s="414">
        <f>IF(Q79=0,0,IF(Q79&lt;0,IF($J79=6,Q79,IF($J79=5,Q79,IF($J79=4,Q79,0)))))</f>
        <v>0</v>
      </c>
      <c r="O79" s="414">
        <f>IF(Q79=0,0,IF(Q79&lt;0,IF($J79=9,Q79,IF($J79=8,Q79,IF($J79=7,Q79,0)))))</f>
        <v>0</v>
      </c>
      <c r="P79" s="406">
        <f>IF(Q79=0,0,IF(Q79&lt;0,IF($J79=12,Q79,IF($J79=11,Q79,IF($J79=10,Q79,0)))))</f>
        <v>0</v>
      </c>
      <c r="Q79" s="407">
        <f>IF(Q$5=$H79,-$E79,0)</f>
        <v>0</v>
      </c>
      <c r="R79" s="404">
        <f>IF(V79=0,0,IF(V79&lt;0,IF($J79=3,V79,IF($J79=2,V79,IF($J79=1,V79,0)))))</f>
        <v>0</v>
      </c>
      <c r="S79" s="414">
        <f>IF(V79=0,0,IF(V79&lt;0,IF($J79=6,V79,IF($J79=5,V79,IF($J79=4,V79,0)))))</f>
        <v>0</v>
      </c>
      <c r="T79" s="414">
        <f>IF(V79=0,0,IF(V79&lt;0,IF($J79=9,V79,IF($J79=8,V79,IF($J79=7,V79,0)))))</f>
        <v>0</v>
      </c>
      <c r="U79" s="406">
        <f>IF(V79=0,0,IF(V79&lt;0,IF($J79=12,V79,IF($J79=11,V79,IF($J79=10,V79,0)))))</f>
        <v>0</v>
      </c>
      <c r="V79" s="407">
        <f>IF(V$5=$H79,-$E79,0)</f>
        <v>0</v>
      </c>
      <c r="W79" s="404">
        <f>IF(AA79=0,0,IF(AA79&lt;0,IF($J79=3,AA79,IF($J79=2,AA79,IF($J79=1,AA79,0)))))</f>
        <v>0</v>
      </c>
      <c r="X79" s="414">
        <f>IF(AA79=0,0,IF(AA79&lt;0,IF($J79=6,AA79,IF($J79=5,AA79,IF($J79=4,AA79,0)))))</f>
        <v>0</v>
      </c>
      <c r="Y79" s="414">
        <f>IF(AA79=0,0,IF(AA79&lt;0,IF($J79=9,AA79,IF($J79=8,AA79,IF($J79=7,AA79,0)))))</f>
        <v>0</v>
      </c>
      <c r="Z79" s="406">
        <f>IF(AA79=0,0,IF(AA79&lt;0,IF($J79=12,AA79,IF($J79=11,AA79,IF($J79=10,AA79,0)))))</f>
        <v>0</v>
      </c>
      <c r="AA79" s="407">
        <f>IF(AA$5=$H79,-$E79,0)</f>
        <v>0</v>
      </c>
      <c r="AB79" s="404">
        <f>IF(AF79=0,0,IF(AF79&lt;0,IF($J79=3,AF79,IF($J79=2,AF79,IF($J79=1,AF79,0)))))</f>
        <v>0</v>
      </c>
      <c r="AC79" s="414">
        <f>IF(AF79=0,0,IF(AF79&lt;0,IF($J79=6,AF79,IF($J79=5,AF79,IF($J79=4,AF79,0)))))</f>
        <v>0</v>
      </c>
      <c r="AD79" s="414">
        <f>IF(AF79=0,0,IF(AF79&lt;0,IF($J79=9,AF79,IF($J79=8,AF79,IF($J79=7,AF79,0)))))</f>
        <v>0</v>
      </c>
      <c r="AE79" s="406">
        <f>IF(AF79=0,0,IF(AF79&lt;0,IF($J79=12,AF79,IF($J79=11,AF79,IF($J79=10,AF79,0)))))</f>
        <v>0</v>
      </c>
      <c r="AF79" s="407">
        <f>IF(AF$5=$H79,-$E79,0)</f>
        <v>0</v>
      </c>
      <c r="AG79" s="404">
        <f>IF(AK79=0,0,IF(AK79&lt;0,IF($J79=3,AK79,IF($J79=2,AK79,IF($J79=1,AK79,0)))))</f>
        <v>0</v>
      </c>
      <c r="AH79" s="414">
        <f>IF(AK79=0,0,IF(AK79&lt;0,IF($J79=6,AK79,IF($J79=5,AK79,IF($J79=4,AK79,0)))))</f>
        <v>0</v>
      </c>
      <c r="AI79" s="414">
        <f>IF(AK79=0,0,IF(AK79&lt;0,IF($J79=9,AK79,IF($J79=8,AK79,IF($J79=7,AK79,0)))))</f>
        <v>0</v>
      </c>
      <c r="AJ79" s="406">
        <f>IF(AK79=0,0,IF(AK79&lt;0,IF($J79=12,AK79,IF($J79=11,AK79,IF($J79=10,AK79,0)))))</f>
        <v>0</v>
      </c>
      <c r="AK79" s="407">
        <f>IF(AK$5=$H79,-$E79,0)</f>
        <v>0</v>
      </c>
      <c r="AL79" s="404">
        <f>IF(AP79=0,0,IF(AP79&lt;0,IF($J79=3,AP79,IF($J79=2,AP79,IF($J79=1,AP79,0)))))</f>
        <v>0</v>
      </c>
      <c r="AM79" s="414">
        <f>IF(AP79=0,0,IF(AP79&lt;0,IF($J79=6,AP79,IF($J79=5,AP79,IF($J79=4,AP79,0)))))</f>
        <v>0</v>
      </c>
      <c r="AN79" s="414">
        <f>IF(AP79=0,0,IF(AP79&lt;0,IF($J79=9,AP79,IF($J79=8,AP79,IF($J79=7,AP79,0)))))</f>
        <v>0</v>
      </c>
      <c r="AO79" s="406">
        <f>IF(AP79=0,0,IF(AP79&lt;0,IF($J79=12,AP79,IF($J79=11,AP79,IF($J79=10,AP79,0)))))</f>
        <v>0</v>
      </c>
      <c r="AP79" s="407">
        <f>IF(AP$5=$H79,-$E79,0)</f>
        <v>0</v>
      </c>
      <c r="AQ79" s="404">
        <f>IF(AU79=0,0,IF(AU79&lt;0,IF($J79=3,AU79,IF($J79=2,AU79,IF($J79=1,AU79,0)))))</f>
        <v>-54.375</v>
      </c>
      <c r="AR79" s="414">
        <f t="shared" ref="AR79:AR89" si="552">IF(AU79=0,0,IF(AU79&lt;0,IF($J79=6,AU79,IF($J79=5,AU79,IF($J79=4,AU79,0)))))</f>
        <v>0</v>
      </c>
      <c r="AS79" s="414">
        <f>IF(AU79=0,0,IF(AU79&lt;0,IF($J79=9,AU79,IF($J79=8,AU79,IF($J79=7,AU79,0)))))</f>
        <v>0</v>
      </c>
      <c r="AT79" s="406">
        <f>IF(AU79=0,0,IF(AU79&lt;0,IF($J79=12,AU79,IF($J79=11,AU79,IF($J79=10,AU79,0)))))</f>
        <v>0</v>
      </c>
      <c r="AU79" s="407">
        <f>IF(AU$5=$H79,-$E79,0)</f>
        <v>-54.375</v>
      </c>
      <c r="AV79" s="404">
        <f>IF(AZ79=0,0,IF(AZ79&lt;0,IF($J79=3,AZ79,IF($J79=2,AZ79,IF($J79=1,AZ79,0)))))</f>
        <v>0</v>
      </c>
      <c r="AW79" s="414">
        <f>IF(AZ79=0,0,IF(AZ79&lt;0,IF($J79=6,AZ79,IF($J79=5,AZ79,IF($J79=4,AZ79,0)))))</f>
        <v>0</v>
      </c>
      <c r="AX79" s="414">
        <f>IF(AZ79=0,0,IF(AZ79&lt;0,IF($J79=9,AZ79,IF($J79=8,AZ79,IF($J79=7,AZ79,0)))))</f>
        <v>0</v>
      </c>
      <c r="AY79" s="406">
        <f>IF(AZ79=0,0,IF(AZ79&lt;0,IF($J79=12,AZ79,IF($J79=11,AZ79,IF($J79=10,AZ79,0)))))</f>
        <v>0</v>
      </c>
      <c r="AZ79" s="407">
        <f>IF(AZ$5=$H79,-$E79,0)</f>
        <v>0</v>
      </c>
      <c r="BA79" s="404">
        <f>IF(BE79=0,0,IF(BE79&lt;0,IF($J79=3,BE79,IF($J79=2,BE79,IF($J79=1,BE79,0)))))</f>
        <v>0</v>
      </c>
      <c r="BB79" s="414">
        <f>IF(BE79=0,0,IF(BE79&lt;0,IF($J79=6,BE79,IF($J79=5,BE79,IF($J79=4,BE79,0)))))</f>
        <v>0</v>
      </c>
      <c r="BC79" s="414">
        <f>IF(BE79=0,0,IF(BE79&lt;0,IF($J79=9,BE79,IF($J79=8,BE79,IF($J79=7,BE79,0)))))</f>
        <v>0</v>
      </c>
      <c r="BD79" s="406">
        <f>IF(BE79=0,0,IF(BE79&lt;0,IF($J79=12,BE79,IF($J79=11,BE79,IF($J79=10,BE79,0)))))</f>
        <v>0</v>
      </c>
      <c r="BE79" s="407">
        <f>IF(BE$5=$H79,-$E79,0)</f>
        <v>0</v>
      </c>
      <c r="BF79" s="404">
        <f>IF(BJ79=0,0,IF(BJ79&lt;0,IF($J79=3,BJ79,IF($J79=2,BJ79,IF($J79=1,BJ79,0)))))</f>
        <v>0</v>
      </c>
      <c r="BG79" s="414">
        <f>IF(BJ79=0,0,IF(BJ79&lt;0,IF($J79=6,BJ79,IF($J79=5,BJ79,IF($J79=4,BJ79,0)))))</f>
        <v>0</v>
      </c>
      <c r="BH79" s="414">
        <f>IF(BJ79=0,0,IF(BJ79&lt;0,IF($J79=9,BJ79,IF($J79=8,BJ79,IF($J79=7,BJ79,0)))))</f>
        <v>0</v>
      </c>
      <c r="BI79" s="406">
        <f>IF(BJ79=0,0,IF(BJ79&lt;0,IF($J79=12,BJ79,IF($J79=11,BJ79,IF($J79=10,BJ79,0)))))</f>
        <v>0</v>
      </c>
      <c r="BJ79" s="407">
        <f>IF(BJ$5=$H79,-$E79,0)</f>
        <v>0</v>
      </c>
      <c r="BK79" s="404">
        <f>IF(BO79=0,0,IF(BO79&lt;0,IF($J79=3,BO79,IF($J79=2,BO79,IF($J79=1,BO79,0)))))</f>
        <v>0</v>
      </c>
      <c r="BL79" s="414">
        <f>IF(BO79=0,0,IF(BO79&lt;0,IF($J79=6,BO79,IF($J79=5,BO79,IF($J79=4,BO79,0)))))</f>
        <v>0</v>
      </c>
      <c r="BM79" s="414">
        <f>IF(BO79=0,0,IF(BO79&lt;0,IF($J79=9,BO79,IF($J79=8,BO79,IF($J79=7,BO79,0)))))</f>
        <v>0</v>
      </c>
      <c r="BN79" s="406">
        <f>IF(BO79=0,0,IF(BO79&lt;0,IF($J79=12,BO79,IF($J79=11,BO79,IF($J79=10,BO79,0)))))</f>
        <v>0</v>
      </c>
      <c r="BO79" s="407">
        <f>IF(BO$5=$H79,-$E79,0)</f>
        <v>0</v>
      </c>
      <c r="BP79" s="449"/>
      <c r="BQ79" s="413">
        <f>IF(AND(AH79&lt;&gt;0,AH$5=$H79),-$I79*$E79-AH79,IF(BQ$5=$H79,-$I79*$E79*(12-$J79+1)/12,0))</f>
        <v>0</v>
      </c>
      <c r="BR79" s="410">
        <f>IF($H79&lt;&gt;BV$5,0,IF(BV79&lt;0,IF($J79=1,-$E79*$I79/12*3,IF($J79=2,-$E79*$I79/12*2,IF($J79=3,-$E79*$I79/12*1,0)))))+IF(BQ$5&lt;&gt;$H79,0,IF(BQ79&lt;0,IF($J79=1,-$E79*$I79/12*0,IF($J79=2,-$E79*$I79/12*1,IF($J79=3,-$E79*$I79/12*2,IF($J79&gt;=4,-$E79*$I79/12*3,0))))))</f>
        <v>0</v>
      </c>
      <c r="BS79" s="416">
        <f>IF($H79&lt;&gt;BV$5,0,IF(BV79&lt;0,IF(OR($J79=1,$J79=2,$J79=3,$J79=4),-$E79*$I79/12*3,IF($J79=5,-$E79*$I79/12*2,IF($J79=6,-$E79*$I79/12*1,0)))))+IF(BQ$5&lt;&gt;$H79,0,IF(BQ79&lt;0,IF($J79=4,-$E79*$I79/12*0,IF($J79=5,-$E79*$I79/12*1,IF($J79=6,-$E79*$I79/12*2,IF($J79&gt;=7,-$E79*$I79/12*3,0))))))</f>
        <v>0</v>
      </c>
      <c r="BT79" s="416">
        <f>IF($H79&lt;&gt;BV$5,0,IF(BV79&lt;0,IF(OR($J79=1,$J79=2,$J79=3,$J79=4,$J79=5,$J79=6,$J79=7),-$E79*$I79/12*3,IF($J79=8,-$E79*$I79/12*2,IF($J79=9,-$E79*$I79/12*1,0)))))+IF(BQ$5&lt;&gt;$H79,0,IF(BQ79&lt;0,IF($J79=7,-$E79*$I79/12*0,IF($J79=8,-$E79*$I79/12*1,IF($J79=9,-$E79*$I79/12*2,IF($J79&gt;=10,-$E79*$I79/12*3,0))))))</f>
        <v>0</v>
      </c>
      <c r="BU79" s="412">
        <f>IF($H79&lt;&gt;BV$5,0,IF(BV79&lt;0,IF(OR($J79=1,$J79=2,$J79=3,$J79=4,$J79=5,$J79=6,$J79=7,$J79=8,$J79=9,$J79=10),-$E79*$I79/12*3,IF($J79=11,-$E79*$I79/12*2,IF($J79=12,-$E79*$I79/12*1,0)))))+IF(BQ$5&lt;&gt;$H79,0,IF(BQ79&lt;0,IF($J79=10,-$E79*$I79/12*0,IF($J79=11,-$E79*$I79/12*1,IF($J79=12,-$E79*$I79/12*2,0)))))</f>
        <v>0</v>
      </c>
      <c r="BV79" s="413">
        <f>IF(AND(BQ79&lt;&gt;0,BQ$5=$H79),-$I79*$E79-BQ79,IF(BV$5=$H79,-$I79*$E79*(12-$J79+1)/12,0))</f>
        <v>0</v>
      </c>
      <c r="BW79" s="410">
        <f>IF($H79&lt;&gt;CA$5,0,IF(CA79&lt;0,IF($J79=1,-$E79*$I79/12*3,IF($J79=2,-$E79*$I79/12*2,IF($J79=3,-$E79*$I79/12*1,0)))))+IF(BV$5&lt;&gt;$H79,0,IF(BV79&lt;0,IF($J79=1,-$E79*$I79/12*0,IF($J79=2,-$E79*$I79/12*1,IF($J79=3,-$E79*$I79/12*2,IF($J79&gt;=4,-$E79*$I79/12*3,0))))))</f>
        <v>0</v>
      </c>
      <c r="BX79" s="416">
        <f>IF($H79&lt;&gt;CA$5,0,IF(CA79&lt;0,IF(OR($J79=1,$J79=2,$J79=3,$J79=4),-$E79*$I79/12*3,IF($J79=5,-$E79*$I79/12*2,IF($J79=6,-$E79*$I79/12*1,0)))))+IF(BV$5&lt;&gt;$H79,0,IF(BV79&lt;0,IF($J79=4,-$E79*$I79/12*0,IF($J79=5,-$E79*$I79/12*1,IF($J79=6,-$E79*$I79/12*2,IF($J79&gt;=7,-$E79*$I79/12*3,0))))))</f>
        <v>0</v>
      </c>
      <c r="BY79" s="416">
        <f>IF($H79&lt;&gt;CA$5,0,IF(CA79&lt;0,IF(OR($J79=1,$J79=2,$J79=3,$J79=4,$J79=5,$J79=6,$J79=7),-$E79*$I79/12*3,IF($J79=8,-$E79*$I79/12*2,IF($J79=9,-$E79*$I79/12*1,0)))))+IF(BV$5&lt;&gt;$H79,0,IF(BV79&lt;0,IF($J79=7,-$E79*$I79/12*0,IF($J79=8,-$E79*$I79/12*1,IF($J79=9,-$E79*$I79/12*2,IF($J79&gt;=10,-$E79*$I79/12*3,0))))))</f>
        <v>0</v>
      </c>
      <c r="BZ79" s="412">
        <f>IF($H79&lt;&gt;CA$5,0,IF(CA79&lt;0,IF(OR($J79=1,$J79=2,$J79=3,$J79=4,$J79=5,$J79=6,$J79=7,$J79=8,$J79=9,$J79=10),-$E79*$I79/12*3,IF($J79=11,-$E79*$I79/12*2,IF($J79=12,-$E79*$I79/12*1,0)))))+IF(BV$5&lt;&gt;$H79,0,IF(BV79&lt;0,IF($J79=10,-$E79*$I79/12*0,IF($J79=11,-$E79*$I79/12*1,IF($J79=12,-$E79*$I79/12*2,0)))))</f>
        <v>0</v>
      </c>
      <c r="CA79" s="413">
        <f>IF(AND(BV79&lt;&gt;0,BV$5=$H79),-$I79*$E79-BV79,IF(CA$5=$H79,-$I79*$E79*(12-$J79+1)/12,0))</f>
        <v>0</v>
      </c>
      <c r="CB79" s="410">
        <f>IF($H79&lt;&gt;CF$5,0,IF(CF79&lt;0,IF($J79=1,-$E79*$I79/12*3,IF($J79=2,-$E79*$I79/12*2,IF($J79=3,-$E79*$I79/12*1,0)))))+IF(CA$5&lt;&gt;$H79,0,IF(CA79&lt;0,IF($J79=1,-$E79*$I79/12*0,IF($J79=2,-$E79*$I79/12*1,IF($J79=3,-$E79*$I79/12*2,IF($J79&gt;=4,-$E79*$I79/12*3,0))))))</f>
        <v>0</v>
      </c>
      <c r="CC79" s="416">
        <f>IF($H79&lt;&gt;CF$5,0,IF(CF79&lt;0,IF(OR($J79=1,$J79=2,$J79=3,$J79=4),-$E79*$I79/12*3,IF($J79=5,-$E79*$I79/12*2,IF($J79=6,-$E79*$I79/12*1,0)))))+IF(CA$5&lt;&gt;$H79,0,IF(CA79&lt;0,IF($J79=4,-$E79*$I79/12*0,IF($J79=5,-$E79*$I79/12*1,IF($J79=6,-$E79*$I79/12*2,IF($J79&gt;=7,-$E79*$I79/12*3,0))))))</f>
        <v>0</v>
      </c>
      <c r="CD79" s="416">
        <f>IF($H79&lt;&gt;CF$5,0,IF(CF79&lt;0,IF(OR($J79=1,$J79=2,$J79=3,$J79=4,$J79=5,$J79=6,$J79=7),-$E79*$I79/12*3,IF($J79=8,-$E79*$I79/12*2,IF($J79=9,-$E79*$I79/12*1,0)))))+IF(CA$5&lt;&gt;$H79,0,IF(CA79&lt;0,IF($J79=7,-$E79*$I79/12*0,IF($J79=8,-$E79*$I79/12*1,IF($J79=9,-$E79*$I79/12*2,IF($J79&gt;=10,-$E79*$I79/12*3,0))))))</f>
        <v>0</v>
      </c>
      <c r="CE79" s="412">
        <f>IF($H79&lt;&gt;CF$5,0,IF(CF79&lt;0,IF(OR($J79=1,$J79=2,$J79=3,$J79=4,$J79=5,$J79=6,$J79=7,$J79=8,$J79=9,$J79=10),-$E79*$I79/12*3,IF($J79=11,-$E79*$I79/12*2,IF($J79=12,-$E79*$I79/12*1,0)))))+IF(CA$5&lt;&gt;$H79,0,IF(CA79&lt;0,IF($J79=10,-$E79*$I79/12*0,IF($J79=11,-$E79*$I79/12*1,IF($J79=12,-$E79*$I79/12*2,0)))))</f>
        <v>0</v>
      </c>
      <c r="CF79" s="413">
        <f>IF(AND(CA79&lt;&gt;0,CA$5=$H79),-$I79*$E79-CA79,IF(CF$5=$H79,-$I79*$E79*(12-$J79+1)/12,0))</f>
        <v>0</v>
      </c>
      <c r="CG79" s="410">
        <f>IF($H79&lt;&gt;CK$5,0,IF(CK79&lt;0,IF($J79=1,-$E79*$I79/12*3,IF($J79=2,-$E79*$I79/12*2,IF($J79=3,-$E79*$I79/12*1,0)))))+IF(CF$5&lt;&gt;$H79,0,IF(CF79&lt;0,IF($J79=1,-$E79*$I79/12*0,IF($J79=2,-$E79*$I79/12*1,IF($J79=3,-$E79*$I79/12*2,IF($J79&gt;=4,-$E79*$I79/12*3,0))))))</f>
        <v>0</v>
      </c>
      <c r="CH79" s="416">
        <f>IF($H79&lt;&gt;CK$5,0,IF(CK79&lt;0,IF(OR($J79=1,$J79=2,$J79=3,$J79=4),-$E79*$I79/12*3,IF($J79=5,-$E79*$I79/12*2,IF($J79=6,-$E79*$I79/12*1,0)))))+IF(CF$5&lt;&gt;$H79,0,IF(CF79&lt;0,IF($J79=4,-$E79*$I79/12*0,IF($J79=5,-$E79*$I79/12*1,IF($J79=6,-$E79*$I79/12*2,IF($J79&gt;=7,-$E79*$I79/12*3,0))))))</f>
        <v>0</v>
      </c>
      <c r="CI79" s="416">
        <f>IF($H79&lt;&gt;CK$5,0,IF(CK79&lt;0,IF(OR($J79=1,$J79=2,$J79=3,$J79=4,$J79=5,$J79=6,$J79=7),-$E79*$I79/12*3,IF($J79=8,-$E79*$I79/12*2,IF($J79=9,-$E79*$I79/12*1,0)))))+IF(CF$5&lt;&gt;$H79,0,IF(CF79&lt;0,IF($J79=7,-$E79*$I79/12*0,IF($J79=8,-$E79*$I79/12*1,IF($J79=9,-$E79*$I79/12*2,IF($J79&gt;=10,-$E79*$I79/12*3,0))))))</f>
        <v>0</v>
      </c>
      <c r="CJ79" s="412">
        <f>IF($H79&lt;&gt;CK$5,0,IF(CK79&lt;0,IF(OR($J79=1,$J79=2,$J79=3,$J79=4,$J79=5,$J79=6,$J79=7,$J79=8,$J79=9,$J79=10),-$E79*$I79/12*3,IF($J79=11,-$E79*$I79/12*2,IF($J79=12,-$E79*$I79/12*1,0)))))+IF(CF$5&lt;&gt;$H79,0,IF(CF79&lt;0,IF($J79=10,-$E79*$I79/12*0,IF($J79=11,-$E79*$I79/12*1,IF($J79=12,-$E79*$I79/12*2,0)))))</f>
        <v>0</v>
      </c>
      <c r="CK79" s="413">
        <f>IF(AND(CF79&lt;&gt;0,CF$5=$H79),-$I79*$E79-CF79,IF(CK$5=$H79,-$I79*$E79*(12-$J79+1)/12,0))</f>
        <v>0</v>
      </c>
      <c r="CL79" s="410">
        <f>IF($H79&lt;&gt;CP$5,0,IF(CP79&lt;0,IF($J79=1,-$E79*$I79/12*3,IF($J79=2,-$E79*$I79/12*2,IF($J79=3,-$E79*$I79/12*1,0)))))+IF(CK$5&lt;&gt;$H79,0,IF(CK79&lt;0,IF($J79=1,-$E79*$I79/12*0,IF($J79=2,-$E79*$I79/12*1,IF($J79=3,-$E79*$I79/12*2,IF($J79&gt;=4,-$E79*$I79/12*3,0))))))</f>
        <v>0</v>
      </c>
      <c r="CM79" s="416">
        <f>IF($H79&lt;&gt;CP$5,0,IF(CP79&lt;0,IF(OR($J79=1,$J79=2,$J79=3,$J79=4),-$E79*$I79/12*3,IF($J79=5,-$E79*$I79/12*2,IF($J79=6,-$E79*$I79/12*1,0)))))+IF(CK$5&lt;&gt;$H79,0,IF(CK79&lt;0,IF($J79=4,-$E79*$I79/12*0,IF($J79=5,-$E79*$I79/12*1,IF($J79=6,-$E79*$I79/12*2,IF($J79&gt;=7,-$E79*$I79/12*3,0))))))</f>
        <v>0</v>
      </c>
      <c r="CN79" s="416">
        <f>IF($H79&lt;&gt;CP$5,0,IF(CP79&lt;0,IF(OR($J79=1,$J79=2,$J79=3,$J79=4,$J79=5,$J79=6,$J79=7),-$E79*$I79/12*3,IF($J79=8,-$E79*$I79/12*2,IF($J79=9,-$E79*$I79/12*1,0)))))+IF(CK$5&lt;&gt;$H79,0,IF(CK79&lt;0,IF($J79=7,-$E79*$I79/12*0,IF($J79=8,-$E79*$I79/12*1,IF($J79=9,-$E79*$I79/12*2,IF($J79&gt;=10,-$E79*$I79/12*3,0))))))</f>
        <v>0</v>
      </c>
      <c r="CO79" s="412">
        <f>IF($H79&lt;&gt;CP$5,0,IF(CP79&lt;0,IF(OR($J79=1,$J79=2,$J79=3,$J79=4,$J79=5,$J79=6,$J79=7,$J79=8,$J79=9,$J79=10),-$E79*$I79/12*3,IF($J79=11,-$E79*$I79/12*2,IF($J79=12,-$E79*$I79/12*1,0)))))+IF(CK$5&lt;&gt;$H79,0,IF(CK79&lt;0,IF($J79=10,-$E79*$I79/12*0,IF($J79=11,-$E79*$I79/12*1,IF($J79=12,-$E79*$I79/12*2,0)))))</f>
        <v>0</v>
      </c>
      <c r="CP79" s="413">
        <f>IF(AND(CK79&lt;&gt;0,CK$5=$H79),-$I79*$E79-CK79,IF(CP$5=$H79,-$I79*$E79*(12-$J79+1)/12,0))</f>
        <v>0</v>
      </c>
      <c r="CQ79" s="410">
        <f>IF($H79&lt;&gt;CU$5,0,IF(CU79&lt;0,IF($J79=1,-$E79*$I79/12*3,IF($J79=2,-$E79*$I79/12*2,IF($J79=3,-$E79*$I79/12*1,0)))))+IF(CP$5&lt;&gt;$H79,0,IF(CP79&lt;0,IF($J79=1,-$E79*$I79/12*0,IF($J79=2,-$E79*$I79/12*1,IF($J79=3,-$E79*$I79/12*2,IF($J79&gt;=4,-$E79*$I79/12*3,0))))))</f>
        <v>0</v>
      </c>
      <c r="CR79" s="416">
        <f>IF($H79&lt;&gt;CU$5,0,IF(CU79&lt;0,IF(OR($J79=1,$J79=2,$J79=3,$J79=4),-$E79*$I79/12*3,IF($J79=5,-$E79*$I79/12*2,IF($J79=6,-$E79*$I79/12*1,0)))))+IF(CP$5&lt;&gt;$H79,0,IF(CP79&lt;0,IF($J79=4,-$E79*$I79/12*0,IF($J79=5,-$E79*$I79/12*1,IF($J79=6,-$E79*$I79/12*2,IF($J79&gt;=7,-$E79*$I79/12*3,0))))))</f>
        <v>0</v>
      </c>
      <c r="CS79" s="416">
        <f>IF($H79&lt;&gt;CU$5,0,IF(CU79&lt;0,IF(OR($J79=1,$J79=2,$J79=3,$J79=4,$J79=5,$J79=6,$J79=7),-$E79*$I79/12*3,IF($J79=8,-$E79*$I79/12*2,IF($J79=9,-$E79*$I79/12*1,0)))))+IF(CP$5&lt;&gt;$H79,0,IF(CP79&lt;0,IF($J79=7,-$E79*$I79/12*0,IF($J79=8,-$E79*$I79/12*1,IF($J79=9,-$E79*$I79/12*2,IF($J79&gt;=10,-$E79*$I79/12*3,0))))))</f>
        <v>0</v>
      </c>
      <c r="CT79" s="412">
        <f>IF($H79&lt;&gt;CU$5,0,IF(CU79&lt;0,IF(OR($J79=1,$J79=2,$J79=3,$J79=4,$J79=5,$J79=6,$J79=7,$J79=8,$J79=9,$J79=10),-$E79*$I79/12*3,IF($J79=11,-$E79*$I79/12*2,IF($J79=12,-$E79*$I79/12*1,0)))))+IF(CP$5&lt;&gt;$H79,0,IF(CP79&lt;0,IF($J79=10,-$E79*$I79/12*0,IF($J79=11,-$E79*$I79/12*1,IF($J79=12,-$E79*$I79/12*2,0)))))</f>
        <v>0</v>
      </c>
      <c r="CU79" s="413">
        <f>IF(AND(CP79&lt;&gt;0,CP$5=$H79),-$I79*$E79-CP79,IF(CU$5=$H79,-$I79*$E79*(12-$J79+1)/12,0))</f>
        <v>0</v>
      </c>
      <c r="CV79" s="410">
        <f>IF($H79&lt;&gt;CZ$5,0,IF(CZ79&lt;0,IF($J79=1,-$E79*$I79/12*3,IF($J79=2,-$E79*$I79/12*2,IF($J79=3,-$E79*$I79/12*1,0)))))+IF(CU$5&lt;&gt;$H79,0,IF(CU79&lt;0,IF($J79=1,-$E79*$I79/12*0,IF($J79=2,-$E79*$I79/12*1,IF($J79=3,-$E79*$I79/12*2,IF($J79&gt;=4,-$E79*$I79/12*3,0))))))</f>
        <v>-0.40781249999999997</v>
      </c>
      <c r="CW79" s="416">
        <f>IF($H79&lt;&gt;CZ$5,0,IF(CZ79&lt;0,IF(OR($J79=1,$J79=2,$J79=3,$J79=4),-$E79*$I79/12*3,IF($J79=5,-$E79*$I79/12*2,IF($J79=6,-$E79*$I79/12*1,0)))))+IF(CU$5&lt;&gt;$H79,0,IF(CU79&lt;0,IF($J79=4,-$E79*$I79/12*0,IF($J79=5,-$E79*$I79/12*1,IF($J79=6,-$E79*$I79/12*2,IF($J79&gt;=7,-$E79*$I79/12*3,0))))))</f>
        <v>-0.61171874999999998</v>
      </c>
      <c r="CX79" s="416">
        <f>IF($H79&lt;&gt;CZ$5,0,IF(CZ79&lt;0,IF(OR($J79=1,$J79=2,$J79=3,$J79=4,$J79=5,$J79=6,$J79=7),-$E79*$I79/12*3,IF($J79=8,-$E79*$I79/12*2,IF($J79=9,-$E79*$I79/12*1,0)))))+IF(CU$5&lt;&gt;$H79,0,IF(CU79&lt;0,IF($J79=7,-$E79*$I79/12*0,IF($J79=8,-$E79*$I79/12*1,IF($J79=9,-$E79*$I79/12*2,IF($J79&gt;=10,-$E79*$I79/12*3,0))))))</f>
        <v>-0.61171874999999998</v>
      </c>
      <c r="CY79" s="412">
        <f>IF($H79&lt;&gt;CZ$5,0,IF(CZ79&lt;0,IF(OR($J79=1,$J79=2,$J79=3,$J79=4,$J79=5,$J79=6,$J79=7,$J79=8,$J79=9,$J79=10),-$E79*$I79/12*3,IF($J79=11,-$E79*$I79/12*2,IF($J79=12,-$E79*$I79/12*1,0)))))+IF(CU$5&lt;&gt;$H79,0,IF(CU79&lt;0,IF($J79=10,-$E79*$I79/12*0,IF($J79=11,-$E79*$I79/12*1,IF($J79=12,-$E79*$I79/12*2,0)))))</f>
        <v>-0.61171874999999998</v>
      </c>
      <c r="CZ79" s="413">
        <f>IF(AND(CU79&lt;&gt;0,CU$5=$H79),-$I79*$E79-CU79,IF(CZ$5=$H79,-$I79*$E79*(12-$J79+1)/12,0))</f>
        <v>-2.2429687499999997</v>
      </c>
      <c r="DA79" s="410">
        <f>IF($H79&lt;&gt;DE$5,0,IF(DE79&lt;0,IF($J79=1,-$E79*$I79/12*3,IF($J79=2,-$E79*$I79/12*2,IF($J79=3,-$E79*$I79/12*1,0)))))+IF(CZ$5&lt;&gt;$H79,0,IF(CZ79&lt;0,IF($J79=1,-$E79*$I79/12*0,IF($J79=2,-$E79*$I79/12*1,IF($J79=3,-$E79*$I79/12*2,IF($J79&gt;=4,-$E79*$I79/12*3,0))))))</f>
        <v>-0.20390624999999998</v>
      </c>
      <c r="DB79" s="416">
        <f>IF($H79&lt;&gt;DE$5,0,IF(DE79&lt;0,IF(OR($J79=1,$J79=2,$J79=3,$J79=4),-$E79*$I79/12*3,IF($J79=5,-$E79*$I79/12*2,IF($J79=6,-$E79*$I79/12*1,0)))))+IF(CZ$5&lt;&gt;$H79,0,IF(CZ79&lt;0,IF($J79=4,-$E79*$I79/12*0,IF($J79=5,-$E79*$I79/12*1,IF($J79=6,-$E79*$I79/12*2,IF($J79&gt;=7,-$E79*$I79/12*3,0))))))</f>
        <v>0</v>
      </c>
      <c r="DC79" s="416">
        <f>IF($H79&lt;&gt;DE$5,0,IF(DE79&lt;0,IF(OR($J79=1,$J79=2,$J79=3,$J79=4,$J79=5,$J79=6,$J79=7),-$E79*$I79/12*3,IF($J79=8,-$E79*$I79/12*2,IF($J79=9,-$E79*$I79/12*1,0)))))+IF(CZ$5&lt;&gt;$H79,0,IF(CZ79&lt;0,IF($J79=7,-$E79*$I79/12*0,IF($J79=8,-$E79*$I79/12*1,IF($J79=9,-$E79*$I79/12*2,IF($J79&gt;=10,-$E79*$I79/12*3,0))))))</f>
        <v>0</v>
      </c>
      <c r="DD79" s="412">
        <f>IF($H79&lt;&gt;DE$5,0,IF(DE79&lt;0,IF(OR($J79=1,$J79=2,$J79=3,$J79=4,$J79=5,$J79=6,$J79=7,$J79=8,$J79=9,$J79=10),-$E79*$I79/12*3,IF($J79=11,-$E79*$I79/12*2,IF($J79=12,-$E79*$I79/12*1,0)))))+IF(CZ$5&lt;&gt;$H79,0,IF(CZ79&lt;0,IF($J79=10,-$E79*$I79/12*0,IF($J79=11,-$E79*$I79/12*1,IF($J79=12,-$E79*$I79/12*2,0)))))</f>
        <v>0</v>
      </c>
      <c r="DE79" s="413">
        <f>IF(AND(CZ79&lt;&gt;0,CZ$5=$H79),-$I79*$E79-CZ79,IF(DE$5=$H79,-$I79*$E79*(12-$J79+1)/12,0))</f>
        <v>-0.20390625000000018</v>
      </c>
      <c r="DF79" s="410">
        <f>IF($H79&lt;&gt;DJ$5,0,IF(DJ79&lt;0,IF($J79=1,-$E79*$I79/12*3,IF($J79=2,-$E79*$I79/12*2,IF($J79=3,-$E79*$I79/12*1,0)))))+IF(DE$5&lt;&gt;$H79,0,IF(DE79&lt;0,IF($J79=1,-$E79*$I79/12*0,IF($J79=2,-$E79*$I79/12*1,IF($J79=3,-$E79*$I79/12*2,IF($J79&gt;=4,-$E79*$I79/12*3,0))))))</f>
        <v>0</v>
      </c>
      <c r="DG79" s="416">
        <f>IF($H79&lt;&gt;DJ$5,0,IF(DJ79&lt;0,IF(OR($J79=1,$J79=2,$J79=3,$J79=4),-$E79*$I79/12*3,IF($J79=5,-$E79*$I79/12*2,IF($J79=6,-$E79*$I79/12*1,0)))))+IF(DE$5&lt;&gt;$H79,0,IF(DE79&lt;0,IF($J79=4,-$E79*$I79/12*0,IF($J79=5,-$E79*$I79/12*1,IF($J79=6,-$E79*$I79/12*2,IF($J79&gt;=7,-$E79*$I79/12*3,0))))))</f>
        <v>0</v>
      </c>
      <c r="DH79" s="416">
        <f>IF($H79&lt;&gt;DJ$5,0,IF(DJ79&lt;0,IF(OR($J79=1,$J79=2,$J79=3,$J79=4,$J79=5,$J79=6,$J79=7),-$E79*$I79/12*3,IF($J79=8,-$E79*$I79/12*2,IF($J79=9,-$E79*$I79/12*1,0)))))+IF(DE$5&lt;&gt;$H79,0,IF(DE79&lt;0,IF($J79=7,-$E79*$I79/12*0,IF($J79=8,-$E79*$I79/12*1,IF($J79=9,-$E79*$I79/12*2,IF($J79&gt;=10,-$E79*$I79/12*3,0))))))</f>
        <v>0</v>
      </c>
      <c r="DI79" s="412">
        <f>IF($H79&lt;&gt;DJ$5,0,IF(DJ79&lt;0,IF(OR($J79=1,$J79=2,$J79=3,$J79=4,$J79=5,$J79=6,$J79=7,$J79=8,$J79=9,$J79=10),-$E79*$I79/12*3,IF($J79=11,-$E79*$I79/12*2,IF($J79=12,-$E79*$I79/12*1,0)))))+IF(DE$5&lt;&gt;$H79,0,IF(DE79&lt;0,IF($J79=10,-$E79*$I79/12*0,IF($J79=11,-$E79*$I79/12*1,IF($J79=12,-$E79*$I79/12*2,0)))))</f>
        <v>0</v>
      </c>
      <c r="DJ79" s="413">
        <f>IF(AND(DE79&lt;&gt;0,DE$5=$H79),-$I79*$E79-DE79,IF(DJ$5=$H79,-$I79*$E79*(12-$J79+1)/12,0))</f>
        <v>0</v>
      </c>
      <c r="DK79" s="410">
        <f>IF($H79&lt;&gt;DO$5,0,IF(DO79&lt;0,IF($J79=1,-$E79*$I79/12*3,IF($J79=2,-$E79*$I79/12*2,IF($J79=3,-$E79*$I79/12*1,0)))))+IF(DJ$5&lt;&gt;$H79,0,IF(DJ79&lt;0,IF($J79=1,-$E79*$I79/12*0,IF($J79=2,-$E79*$I79/12*1,IF($J79=3,-$E79*$I79/12*2,IF($J79&gt;=4,-$E79*$I79/12*3,0))))))</f>
        <v>0</v>
      </c>
      <c r="DL79" s="416">
        <f>IF($H79&lt;&gt;DO$5,0,IF(DO79&lt;0,IF(OR($J79=1,$J79=2,$J79=3,$J79=4),-$E79*$I79/12*3,IF($J79=5,-$E79*$I79/12*2,IF($J79=6,-$E79*$I79/12*1,0)))))+IF(DJ$5&lt;&gt;$H79,0,IF(DJ79&lt;0,IF($J79=4,-$E79*$I79/12*0,IF($J79=5,-$E79*$I79/12*1,IF($J79=6,-$E79*$I79/12*2,IF($J79&gt;=7,-$E79*$I79/12*3,0))))))</f>
        <v>0</v>
      </c>
      <c r="DM79" s="416">
        <f>IF($H79&lt;&gt;DO$5,0,IF(DO79&lt;0,IF(OR($J79=1,$J79=2,$J79=3,$J79=4,$J79=5,$J79=6,$J79=7),-$E79*$I79/12*3,IF($J79=8,-$E79*$I79/12*2,IF($J79=9,-$E79*$I79/12*1,0)))))+IF(DJ$5&lt;&gt;$H79,0,IF(DJ79&lt;0,IF($J79=7,-$E79*$I79/12*0,IF($J79=8,-$E79*$I79/12*1,IF($J79=9,-$E79*$I79/12*2,IF($J79&gt;=10,-$E79*$I79/12*3,0))))))</f>
        <v>0</v>
      </c>
      <c r="DN79" s="412">
        <f>IF($H79&lt;&gt;DO$5,0,IF(DO79&lt;0,IF(OR($J79=1,$J79=2,$J79=3,$J79=4,$J79=5,$J79=6,$J79=7,$J79=8,$J79=9,$J79=10),-$E79*$I79/12*3,IF($J79=11,-$E79*$I79/12*2,IF($J79=12,-$E79*$I79/12*1,0)))))+IF(DJ$5&lt;&gt;$H79,0,IF(DJ79&lt;0,IF($J79=10,-$E79*$I79/12*0,IF($J79=11,-$E79*$I79/12*1,IF($J79=12,-$E79*$I79/12*2,0)))))</f>
        <v>0</v>
      </c>
      <c r="DO79" s="413">
        <f>IF(AND(DJ79&lt;&gt;0,DJ$5=$H79),-$I79*$E79-DJ79,IF(DO$5=$H79,-$I79*$E79*(12-$J79+1)/12,0))</f>
        <v>0</v>
      </c>
      <c r="DP79" s="410">
        <f>IF($H79&lt;&gt;DT$5,0,IF(DT79&lt;0,IF($J79=1,-$E79*$I79/12*3,IF($J79=2,-$E79*$I79/12*2,IF($J79=3,-$E79*$I79/12*1,0)))))+IF(DO$5&lt;&gt;$H79,0,IF(DO79&lt;0,IF($J79=1,-$E79*$I79/12*0,IF($J79=2,-$E79*$I79/12*1,IF($J79=3,-$E79*$I79/12*2,IF($J79&gt;=4,-$E79*$I79/12*3,0))))))</f>
        <v>0</v>
      </c>
      <c r="DQ79" s="416">
        <f>IF($H79&lt;&gt;DT$5,0,IF(DT79&lt;0,IF(OR($J79=1,$J79=2,$J79=3,$J79=4),-$E79*$I79/12*3,IF($J79=5,-$E79*$I79/12*2,IF($J79=6,-$E79*$I79/12*1,0)))))+IF(DO$5&lt;&gt;$H79,0,IF(DO79&lt;0,IF($J79=4,-$E79*$I79/12*0,IF($J79=5,-$E79*$I79/12*1,IF($J79=6,-$E79*$I79/12*2,IF($J79&gt;=7,-$E79*$I79/12*3,0))))))</f>
        <v>0</v>
      </c>
      <c r="DR79" s="416">
        <f>IF($H79&lt;&gt;DT$5,0,IF(DT79&lt;0,IF(OR($J79=1,$J79=2,$J79=3,$J79=4,$J79=5,$J79=6,$J79=7),-$E79*$I79/12*3,IF($J79=8,-$E79*$I79/12*2,IF($J79=9,-$E79*$I79/12*1,0)))))+IF(DO$5&lt;&gt;$H79,0,IF(DO79&lt;0,IF($J79=7,-$E79*$I79/12*0,IF($J79=8,-$E79*$I79/12*1,IF($J79=9,-$E79*$I79/12*2,IF($J79&gt;=10,-$E79*$I79/12*3,0))))))</f>
        <v>0</v>
      </c>
      <c r="DS79" s="412">
        <f>IF($H79&lt;&gt;DT$5,0,IF(DT79&lt;0,IF(OR($J79=1,$J79=2,$J79=3,$J79=4,$J79=5,$J79=6,$J79=7,$J79=8,$J79=9,$J79=10),-$E79*$I79/12*3,IF($J79=11,-$E79*$I79/12*2,IF($J79=12,-$E79*$I79/12*1,0)))))+IF(DO$5&lt;&gt;$H79,0,IF(DO79&lt;0,IF($J79=10,-$E79*$I79/12*0,IF($J79=11,-$E79*$I79/12*1,IF($J79=12,-$E79*$I79/12*2,0)))))</f>
        <v>0</v>
      </c>
      <c r="DT79" s="413">
        <f>IF(AND(DO79&lt;&gt;0,DO$5=$H79),-$I79*$E79-DO79,IF(DT$5=$H79,-$I79*$E79*(12-$J79+1)/12,0))</f>
        <v>0</v>
      </c>
    </row>
    <row r="80" spans="1:124" ht="12.75" customHeight="1">
      <c r="A80" s="491"/>
      <c r="C80" s="1884" t="s">
        <v>572</v>
      </c>
      <c r="D80" s="601"/>
      <c r="E80" s="1886">
        <f>IF(F80=0,G80,F80)</f>
        <v>50</v>
      </c>
      <c r="F80" s="1532">
        <v>0</v>
      </c>
      <c r="G80" s="1532">
        <v>50</v>
      </c>
      <c r="H80" s="610">
        <v>2017</v>
      </c>
      <c r="I80" s="1534">
        <v>4.4999999999999998E-2</v>
      </c>
      <c r="J80" s="615">
        <v>2</v>
      </c>
      <c r="K80" s="402"/>
      <c r="L80" s="407">
        <f>IF(L$5=$H80,-$E80,0)</f>
        <v>0</v>
      </c>
      <c r="M80" s="404">
        <f>IF(Q80=0,0,IF(Q80&lt;0,IF($J80=3,Q80,IF($J80=2,Q80,IF($J80=1,Q80,0)))))</f>
        <v>0</v>
      </c>
      <c r="N80" s="414">
        <f>IF(Q80=0,0,IF(Q80&lt;0,IF($J80=6,Q80,IF($J80=5,Q80,IF($J80=4,Q80,0)))))</f>
        <v>0</v>
      </c>
      <c r="O80" s="414">
        <f>IF(Q80=0,0,IF(Q80&lt;0,IF($J80=9,Q80,IF($J80=8,Q80,IF($J80=7,Q80,0)))))</f>
        <v>0</v>
      </c>
      <c r="P80" s="406">
        <f>IF(Q80=0,0,IF(Q80&lt;0,IF($J80=12,Q80,IF($J80=11,Q80,IF($J80=10,Q80,0)))))</f>
        <v>0</v>
      </c>
      <c r="Q80" s="407">
        <f>IF(Q$5=$H80,-$E80,0)</f>
        <v>0</v>
      </c>
      <c r="R80" s="404">
        <f>IF(V80=0,0,IF(V80&lt;0,IF($J80=3,V80,IF($J80=2,V80,IF($J80=1,V80,0)))))</f>
        <v>0</v>
      </c>
      <c r="S80" s="414">
        <f>IF(V80=0,0,IF(V80&lt;0,IF($J80=6,V80,IF($J80=5,V80,IF($J80=4,V80,0)))))</f>
        <v>0</v>
      </c>
      <c r="T80" s="414">
        <f>IF(V80=0,0,IF(V80&lt;0,IF($J80=9,V80,IF($J80=8,V80,IF($J80=7,V80,0)))))</f>
        <v>0</v>
      </c>
      <c r="U80" s="406">
        <f>IF(V80=0,0,IF(V80&lt;0,IF($J80=12,V80,IF($J80=11,V80,IF($J80=10,V80,0)))))</f>
        <v>0</v>
      </c>
      <c r="V80" s="407">
        <f>IF(V$5=$H80,-$E80,0)</f>
        <v>0</v>
      </c>
      <c r="W80" s="404">
        <f>IF(AA80=0,0,IF(AA80&lt;0,IF($J80=3,AA80,IF($J80=2,AA80,IF($J80=1,AA80,0)))))</f>
        <v>0</v>
      </c>
      <c r="X80" s="414">
        <f>IF(AA80=0,0,IF(AA80&lt;0,IF($J80=6,AA80,IF($J80=5,AA80,IF($J80=4,AA80,0)))))</f>
        <v>0</v>
      </c>
      <c r="Y80" s="414">
        <f>IF(AA80=0,0,IF(AA80&lt;0,IF($J80=9,AA80,IF($J80=8,AA80,IF($J80=7,AA80,0)))))</f>
        <v>0</v>
      </c>
      <c r="Z80" s="406">
        <f>IF(AA80=0,0,IF(AA80&lt;0,IF($J80=12,AA80,IF($J80=11,AA80,IF($J80=10,AA80,0)))))</f>
        <v>0</v>
      </c>
      <c r="AA80" s="407">
        <f>IF(AA$5=$H80,-$E80,0)</f>
        <v>0</v>
      </c>
      <c r="AB80" s="404">
        <f>IF(AF80=0,0,IF(AF80&lt;0,IF($J80=3,AF80,IF($J80=2,AF80,IF($J80=1,AF80,0)))))</f>
        <v>0</v>
      </c>
      <c r="AC80" s="414">
        <f>IF(AF80=0,0,IF(AF80&lt;0,IF($J80=6,AF80,IF($J80=5,AF80,IF($J80=4,AF80,0)))))</f>
        <v>0</v>
      </c>
      <c r="AD80" s="414">
        <f>IF(AF80=0,0,IF(AF80&lt;0,IF($J80=9,AF80,IF($J80=8,AF80,IF($J80=7,AF80,0)))))</f>
        <v>0</v>
      </c>
      <c r="AE80" s="406">
        <f>IF(AF80=0,0,IF(AF80&lt;0,IF($J80=12,AF80,IF($J80=11,AF80,IF($J80=10,AF80,0)))))</f>
        <v>0</v>
      </c>
      <c r="AF80" s="407">
        <f>IF(AF$5=$H80,-$E80,0)</f>
        <v>0</v>
      </c>
      <c r="AG80" s="404">
        <f>IF(AK80=0,0,IF(AK80&lt;0,IF($J80=3,AK80,IF($J80=2,AK80,IF($J80=1,AK80,0)))))</f>
        <v>0</v>
      </c>
      <c r="AH80" s="414">
        <f>IF(AK80=0,0,IF(AK80&lt;0,IF($J80=6,AK80,IF($J80=5,AK80,IF($J80=4,AK80,0)))))</f>
        <v>0</v>
      </c>
      <c r="AI80" s="414">
        <f>IF(AK80=0,0,IF(AK80&lt;0,IF($J80=9,AK80,IF($J80=8,AK80,IF($J80=7,AK80,0)))))</f>
        <v>0</v>
      </c>
      <c r="AJ80" s="406">
        <f>IF(AK80=0,0,IF(AK80&lt;0,IF($J80=12,AK80,IF($J80=11,AK80,IF($J80=10,AK80,0)))))</f>
        <v>0</v>
      </c>
      <c r="AK80" s="407">
        <f>IF(AK$5=$H80,-$E80,0)</f>
        <v>0</v>
      </c>
      <c r="AL80" s="404">
        <f>IF(AP80=0,0,IF(AP80&lt;0,IF($J80=3,AP80,IF($J80=2,AP80,IF($J80=1,AP80,0)))))</f>
        <v>0</v>
      </c>
      <c r="AM80" s="414">
        <f>IF(AP80=0,0,IF(AP80&lt;0,IF($J80=6,AP80,IF($J80=5,AP80,IF($J80=4,AP80,0)))))</f>
        <v>0</v>
      </c>
      <c r="AN80" s="414">
        <f>IF(AP80=0,0,IF(AP80&lt;0,IF($J80=9,AP80,IF($J80=8,AP80,IF($J80=7,AP80,0)))))</f>
        <v>0</v>
      </c>
      <c r="AO80" s="406">
        <f>IF(AP80=0,0,IF(AP80&lt;0,IF($J80=12,AP80,IF($J80=11,AP80,IF($J80=10,AP80,0)))))</f>
        <v>0</v>
      </c>
      <c r="AP80" s="407">
        <f>IF(AP$5=$H80,-$E80,0)</f>
        <v>0</v>
      </c>
      <c r="AQ80" s="404">
        <f>IF(AU80=0,0,IF(AU80&lt;0,IF($J80=3,AU80,IF($J80=2,AU80,IF($J80=1,AU80,0)))))</f>
        <v>-50</v>
      </c>
      <c r="AR80" s="414">
        <f t="shared" si="552"/>
        <v>0</v>
      </c>
      <c r="AS80" s="414">
        <f>IF(AU80=0,0,IF(AU80&lt;0,IF($J80=9,AU80,IF($J80=8,AU80,IF($J80=7,AU80,0)))))</f>
        <v>0</v>
      </c>
      <c r="AT80" s="406">
        <f>IF(AU80=0,0,IF(AU80&lt;0,IF($J80=12,AU80,IF($J80=11,AU80,IF($J80=10,AU80,0)))))</f>
        <v>0</v>
      </c>
      <c r="AU80" s="407">
        <f>IF(AU$5=$H80,-$E80,0)</f>
        <v>-50</v>
      </c>
      <c r="AV80" s="404">
        <f>IF(AZ80=0,0,IF(AZ80&lt;0,IF($J80=3,AZ80,IF($J80=2,AZ80,IF($J80=1,AZ80,0)))))</f>
        <v>0</v>
      </c>
      <c r="AW80" s="414">
        <f>IF(AZ80=0,0,IF(AZ80&lt;0,IF($J80=6,AZ80,IF($J80=5,AZ80,IF($J80=4,AZ80,0)))))</f>
        <v>0</v>
      </c>
      <c r="AX80" s="414">
        <f>IF(AZ80=0,0,IF(AZ80&lt;0,IF($J80=9,AZ80,IF($J80=8,AZ80,IF($J80=7,AZ80,0)))))</f>
        <v>0</v>
      </c>
      <c r="AY80" s="406">
        <f>IF(AZ80=0,0,IF(AZ80&lt;0,IF($J80=12,AZ80,IF($J80=11,AZ80,IF($J80=10,AZ80,0)))))</f>
        <v>0</v>
      </c>
      <c r="AZ80" s="407">
        <f>IF(AZ$5=$H80,-$E80,0)</f>
        <v>0</v>
      </c>
      <c r="BA80" s="404">
        <f>IF(BE80=0,0,IF(BE80&lt;0,IF($J80=3,BE80,IF($J80=2,BE80,IF($J80=1,BE80,0)))))</f>
        <v>0</v>
      </c>
      <c r="BB80" s="414">
        <f>IF(BE80=0,0,IF(BE80&lt;0,IF($J80=6,BE80,IF($J80=5,BE80,IF($J80=4,BE80,0)))))</f>
        <v>0</v>
      </c>
      <c r="BC80" s="414">
        <f>IF(BE80=0,0,IF(BE80&lt;0,IF($J80=9,BE80,IF($J80=8,BE80,IF($J80=7,BE80,0)))))</f>
        <v>0</v>
      </c>
      <c r="BD80" s="406">
        <f>IF(BE80=0,0,IF(BE80&lt;0,IF($J80=12,BE80,IF($J80=11,BE80,IF($J80=10,BE80,0)))))</f>
        <v>0</v>
      </c>
      <c r="BE80" s="407">
        <f>IF(BE$5=$H80,-$E80,0)</f>
        <v>0</v>
      </c>
      <c r="BF80" s="404">
        <f>IF(BJ80=0,0,IF(BJ80&lt;0,IF($J80=3,BJ80,IF($J80=2,BJ80,IF($J80=1,BJ80,0)))))</f>
        <v>0</v>
      </c>
      <c r="BG80" s="414">
        <f>IF(BJ80=0,0,IF(BJ80&lt;0,IF($J80=6,BJ80,IF($J80=5,BJ80,IF($J80=4,BJ80,0)))))</f>
        <v>0</v>
      </c>
      <c r="BH80" s="414">
        <f>IF(BJ80=0,0,IF(BJ80&lt;0,IF($J80=9,BJ80,IF($J80=8,BJ80,IF($J80=7,BJ80,0)))))</f>
        <v>0</v>
      </c>
      <c r="BI80" s="406">
        <f>IF(BJ80=0,0,IF(BJ80&lt;0,IF($J80=12,BJ80,IF($J80=11,BJ80,IF($J80=10,BJ80,0)))))</f>
        <v>0</v>
      </c>
      <c r="BJ80" s="407">
        <f>IF(BJ$5=$H80,-$E80,0)</f>
        <v>0</v>
      </c>
      <c r="BK80" s="404">
        <f>IF(BO80=0,0,IF(BO80&lt;0,IF($J80=3,BO80,IF($J80=2,BO80,IF($J80=1,BO80,0)))))</f>
        <v>0</v>
      </c>
      <c r="BL80" s="414">
        <f>IF(BO80=0,0,IF(BO80&lt;0,IF($J80=6,BO80,IF($J80=5,BO80,IF($J80=4,BO80,0)))))</f>
        <v>0</v>
      </c>
      <c r="BM80" s="414">
        <f>IF(BO80=0,0,IF(BO80&lt;0,IF($J80=9,BO80,IF($J80=8,BO80,IF($J80=7,BO80,0)))))</f>
        <v>0</v>
      </c>
      <c r="BN80" s="406">
        <f>IF(BO80=0,0,IF(BO80&lt;0,IF($J80=12,BO80,IF($J80=11,BO80,IF($J80=10,BO80,0)))))</f>
        <v>0</v>
      </c>
      <c r="BO80" s="407">
        <f>IF(BO$5=$H80,-$E80,0)</f>
        <v>0</v>
      </c>
      <c r="BP80" s="449"/>
      <c r="BQ80" s="413">
        <f>IF(AND(AH80&lt;&gt;0,AH$5=$H80),-$I80*$E80-AH80,IF(BQ$5=$H80,-$I80*$E80*(12-$J80+1)/12,0))</f>
        <v>0</v>
      </c>
      <c r="BR80" s="410">
        <f>IF($H80&lt;&gt;BV$5,0,IF(BV80&lt;0,IF($J80=1,-$E80*$I80/12*3,IF($J80=2,-$E80*$I80/12*2,IF($J80=3,-$E80*$I80/12*1,0)))))+IF(BQ$5&lt;&gt;$H80,0,IF(BQ80&lt;0,IF($J80=1,-$E80*$I80/12*0,IF($J80=2,-$E80*$I80/12*1,IF($J80=3,-$E80*$I80/12*2,IF($J80&gt;=4,-$E80*$I80/12*3,0))))))</f>
        <v>0</v>
      </c>
      <c r="BS80" s="416">
        <f>IF($H80&lt;&gt;BV$5,0,IF(BV80&lt;0,IF(OR($J80=1,$J80=2,$J80=3,$J80=4),-$E80*$I80/12*3,IF($J80=5,-$E80*$I80/12*2,IF($J80=6,-$E80*$I80/12*1,0)))))+IF(BQ$5&lt;&gt;$H80,0,IF(BQ80&lt;0,IF($J80=4,-$E80*$I80/12*0,IF($J80=5,-$E80*$I80/12*1,IF($J80=6,-$E80*$I80/12*2,IF($J80&gt;=7,-$E80*$I80/12*3,0))))))</f>
        <v>0</v>
      </c>
      <c r="BT80" s="416">
        <f>IF($H80&lt;&gt;BV$5,0,IF(BV80&lt;0,IF(OR($J80=1,$J80=2,$J80=3,$J80=4,$J80=5,$J80=6,$J80=7),-$E80*$I80/12*3,IF($J80=8,-$E80*$I80/12*2,IF($J80=9,-$E80*$I80/12*1,0)))))+IF(BQ$5&lt;&gt;$H80,0,IF(BQ80&lt;0,IF($J80=7,-$E80*$I80/12*0,IF($J80=8,-$E80*$I80/12*1,IF($J80=9,-$E80*$I80/12*2,IF($J80&gt;=10,-$E80*$I80/12*3,0))))))</f>
        <v>0</v>
      </c>
      <c r="BU80" s="412">
        <f>IF($H80&lt;&gt;BV$5,0,IF(BV80&lt;0,IF(OR($J80=1,$J80=2,$J80=3,$J80=4,$J80=5,$J80=6,$J80=7,$J80=8,$J80=9,$J80=10),-$E80*$I80/12*3,IF($J80=11,-$E80*$I80/12*2,IF($J80=12,-$E80*$I80/12*1,0)))))+IF(BQ$5&lt;&gt;$H80,0,IF(BQ80&lt;0,IF($J80=10,-$E80*$I80/12*0,IF($J80=11,-$E80*$I80/12*1,IF($J80=12,-$E80*$I80/12*2,0)))))</f>
        <v>0</v>
      </c>
      <c r="BV80" s="413">
        <f>IF(AND(BQ80&lt;&gt;0,BQ$5=$H80),-$I80*$E80-BQ80,IF(BV$5=$H80,-$I80*$E80*(12-$J80+1)/12,0))</f>
        <v>0</v>
      </c>
      <c r="BW80" s="410">
        <f>IF($H80&lt;&gt;CA$5,0,IF(CA80&lt;0,IF($J80=1,-$E80*$I80/12*3,IF($J80=2,-$E80*$I80/12*2,IF($J80=3,-$E80*$I80/12*1,0)))))+IF(BV$5&lt;&gt;$H80,0,IF(BV80&lt;0,IF($J80=1,-$E80*$I80/12*0,IF($J80=2,-$E80*$I80/12*1,IF($J80=3,-$E80*$I80/12*2,IF($J80&gt;=4,-$E80*$I80/12*3,0))))))</f>
        <v>0</v>
      </c>
      <c r="BX80" s="416">
        <f>IF($H80&lt;&gt;CA$5,0,IF(CA80&lt;0,IF(OR($J80=1,$J80=2,$J80=3,$J80=4),-$E80*$I80/12*3,IF($J80=5,-$E80*$I80/12*2,IF($J80=6,-$E80*$I80/12*1,0)))))+IF(BV$5&lt;&gt;$H80,0,IF(BV80&lt;0,IF($J80=4,-$E80*$I80/12*0,IF($J80=5,-$E80*$I80/12*1,IF($J80=6,-$E80*$I80/12*2,IF($J80&gt;=7,-$E80*$I80/12*3,0))))))</f>
        <v>0</v>
      </c>
      <c r="BY80" s="416">
        <f>IF($H80&lt;&gt;CA$5,0,IF(CA80&lt;0,IF(OR($J80=1,$J80=2,$J80=3,$J80=4,$J80=5,$J80=6,$J80=7),-$E80*$I80/12*3,IF($J80=8,-$E80*$I80/12*2,IF($J80=9,-$E80*$I80/12*1,0)))))+IF(BV$5&lt;&gt;$H80,0,IF(BV80&lt;0,IF($J80=7,-$E80*$I80/12*0,IF($J80=8,-$E80*$I80/12*1,IF($J80=9,-$E80*$I80/12*2,IF($J80&gt;=10,-$E80*$I80/12*3,0))))))</f>
        <v>0</v>
      </c>
      <c r="BZ80" s="412">
        <f>IF($H80&lt;&gt;CA$5,0,IF(CA80&lt;0,IF(OR($J80=1,$J80=2,$J80=3,$J80=4,$J80=5,$J80=6,$J80=7,$J80=8,$J80=9,$J80=10),-$E80*$I80/12*3,IF($J80=11,-$E80*$I80/12*2,IF($J80=12,-$E80*$I80/12*1,0)))))+IF(BV$5&lt;&gt;$H80,0,IF(BV80&lt;0,IF($J80=10,-$E80*$I80/12*0,IF($J80=11,-$E80*$I80/12*1,IF($J80=12,-$E80*$I80/12*2,0)))))</f>
        <v>0</v>
      </c>
      <c r="CA80" s="413">
        <f>IF(AND(BV80&lt;&gt;0,BV$5=$H80),-$I80*$E80-BV80,IF(CA$5=$H80,-$I80*$E80*(12-$J80+1)/12,0))</f>
        <v>0</v>
      </c>
      <c r="CB80" s="410">
        <f>IF($H80&lt;&gt;CF$5,0,IF(CF80&lt;0,IF($J80=1,-$E80*$I80/12*3,IF($J80=2,-$E80*$I80/12*2,IF($J80=3,-$E80*$I80/12*1,0)))))+IF(CA$5&lt;&gt;$H80,0,IF(CA80&lt;0,IF($J80=1,-$E80*$I80/12*0,IF($J80=2,-$E80*$I80/12*1,IF($J80=3,-$E80*$I80/12*2,IF($J80&gt;=4,-$E80*$I80/12*3,0))))))</f>
        <v>0</v>
      </c>
      <c r="CC80" s="416">
        <f>IF($H80&lt;&gt;CF$5,0,IF(CF80&lt;0,IF(OR($J80=1,$J80=2,$J80=3,$J80=4),-$E80*$I80/12*3,IF($J80=5,-$E80*$I80/12*2,IF($J80=6,-$E80*$I80/12*1,0)))))+IF(CA$5&lt;&gt;$H80,0,IF(CA80&lt;0,IF($J80=4,-$E80*$I80/12*0,IF($J80=5,-$E80*$I80/12*1,IF($J80=6,-$E80*$I80/12*2,IF($J80&gt;=7,-$E80*$I80/12*3,0))))))</f>
        <v>0</v>
      </c>
      <c r="CD80" s="416">
        <f>IF($H80&lt;&gt;CF$5,0,IF(CF80&lt;0,IF(OR($J80=1,$J80=2,$J80=3,$J80=4,$J80=5,$J80=6,$J80=7),-$E80*$I80/12*3,IF($J80=8,-$E80*$I80/12*2,IF($J80=9,-$E80*$I80/12*1,0)))))+IF(CA$5&lt;&gt;$H80,0,IF(CA80&lt;0,IF($J80=7,-$E80*$I80/12*0,IF($J80=8,-$E80*$I80/12*1,IF($J80=9,-$E80*$I80/12*2,IF($J80&gt;=10,-$E80*$I80/12*3,0))))))</f>
        <v>0</v>
      </c>
      <c r="CE80" s="412">
        <f>IF($H80&lt;&gt;CF$5,0,IF(CF80&lt;0,IF(OR($J80=1,$J80=2,$J80=3,$J80=4,$J80=5,$J80=6,$J80=7,$J80=8,$J80=9,$J80=10),-$E80*$I80/12*3,IF($J80=11,-$E80*$I80/12*2,IF($J80=12,-$E80*$I80/12*1,0)))))+IF(CA$5&lt;&gt;$H80,0,IF(CA80&lt;0,IF($J80=10,-$E80*$I80/12*0,IF($J80=11,-$E80*$I80/12*1,IF($J80=12,-$E80*$I80/12*2,0)))))</f>
        <v>0</v>
      </c>
      <c r="CF80" s="413">
        <f>IF(AND(CA80&lt;&gt;0,CA$5=$H80),-$I80*$E80-CA80,IF(CF$5=$H80,-$I80*$E80*(12-$J80+1)/12,0))</f>
        <v>0</v>
      </c>
      <c r="CG80" s="410">
        <f>IF($H80&lt;&gt;CK$5,0,IF(CK80&lt;0,IF($J80=1,-$E80*$I80/12*3,IF($J80=2,-$E80*$I80/12*2,IF($J80=3,-$E80*$I80/12*1,0)))))+IF(CF$5&lt;&gt;$H80,0,IF(CF80&lt;0,IF($J80=1,-$E80*$I80/12*0,IF($J80=2,-$E80*$I80/12*1,IF($J80=3,-$E80*$I80/12*2,IF($J80&gt;=4,-$E80*$I80/12*3,0))))))</f>
        <v>0</v>
      </c>
      <c r="CH80" s="416">
        <f>IF($H80&lt;&gt;CK$5,0,IF(CK80&lt;0,IF(OR($J80=1,$J80=2,$J80=3,$J80=4),-$E80*$I80/12*3,IF($J80=5,-$E80*$I80/12*2,IF($J80=6,-$E80*$I80/12*1,0)))))+IF(CF$5&lt;&gt;$H80,0,IF(CF80&lt;0,IF($J80=4,-$E80*$I80/12*0,IF($J80=5,-$E80*$I80/12*1,IF($J80=6,-$E80*$I80/12*2,IF($J80&gt;=7,-$E80*$I80/12*3,0))))))</f>
        <v>0</v>
      </c>
      <c r="CI80" s="416">
        <f>IF($H80&lt;&gt;CK$5,0,IF(CK80&lt;0,IF(OR($J80=1,$J80=2,$J80=3,$J80=4,$J80=5,$J80=6,$J80=7),-$E80*$I80/12*3,IF($J80=8,-$E80*$I80/12*2,IF($J80=9,-$E80*$I80/12*1,0)))))+IF(CF$5&lt;&gt;$H80,0,IF(CF80&lt;0,IF($J80=7,-$E80*$I80/12*0,IF($J80=8,-$E80*$I80/12*1,IF($J80=9,-$E80*$I80/12*2,IF($J80&gt;=10,-$E80*$I80/12*3,0))))))</f>
        <v>0</v>
      </c>
      <c r="CJ80" s="412">
        <f>IF($H80&lt;&gt;CK$5,0,IF(CK80&lt;0,IF(OR($J80=1,$J80=2,$J80=3,$J80=4,$J80=5,$J80=6,$J80=7,$J80=8,$J80=9,$J80=10),-$E80*$I80/12*3,IF($J80=11,-$E80*$I80/12*2,IF($J80=12,-$E80*$I80/12*1,0)))))+IF(CF$5&lt;&gt;$H80,0,IF(CF80&lt;0,IF($J80=10,-$E80*$I80/12*0,IF($J80=11,-$E80*$I80/12*1,IF($J80=12,-$E80*$I80/12*2,0)))))</f>
        <v>0</v>
      </c>
      <c r="CK80" s="413">
        <f>IF(AND(CF80&lt;&gt;0,CF$5=$H80),-$I80*$E80-CF80,IF(CK$5=$H80,-$I80*$E80*(12-$J80+1)/12,0))</f>
        <v>0</v>
      </c>
      <c r="CL80" s="410">
        <f>IF($H80&lt;&gt;CP$5,0,IF(CP80&lt;0,IF($J80=1,-$E80*$I80/12*3,IF($J80=2,-$E80*$I80/12*2,IF($J80=3,-$E80*$I80/12*1,0)))))+IF(CK$5&lt;&gt;$H80,0,IF(CK80&lt;0,IF($J80=1,-$E80*$I80/12*0,IF($J80=2,-$E80*$I80/12*1,IF($J80=3,-$E80*$I80/12*2,IF($J80&gt;=4,-$E80*$I80/12*3,0))))))</f>
        <v>0</v>
      </c>
      <c r="CM80" s="416">
        <f>IF($H80&lt;&gt;CP$5,0,IF(CP80&lt;0,IF(OR($J80=1,$J80=2,$J80=3,$J80=4),-$E80*$I80/12*3,IF($J80=5,-$E80*$I80/12*2,IF($J80=6,-$E80*$I80/12*1,0)))))+IF(CK$5&lt;&gt;$H80,0,IF(CK80&lt;0,IF($J80=4,-$E80*$I80/12*0,IF($J80=5,-$E80*$I80/12*1,IF($J80=6,-$E80*$I80/12*2,IF($J80&gt;=7,-$E80*$I80/12*3,0))))))</f>
        <v>0</v>
      </c>
      <c r="CN80" s="416">
        <f>IF($H80&lt;&gt;CP$5,0,IF(CP80&lt;0,IF(OR($J80=1,$J80=2,$J80=3,$J80=4,$J80=5,$J80=6,$J80=7),-$E80*$I80/12*3,IF($J80=8,-$E80*$I80/12*2,IF($J80=9,-$E80*$I80/12*1,0)))))+IF(CK$5&lt;&gt;$H80,0,IF(CK80&lt;0,IF($J80=7,-$E80*$I80/12*0,IF($J80=8,-$E80*$I80/12*1,IF($J80=9,-$E80*$I80/12*2,IF($J80&gt;=10,-$E80*$I80/12*3,0))))))</f>
        <v>0</v>
      </c>
      <c r="CO80" s="412">
        <f>IF($H80&lt;&gt;CP$5,0,IF(CP80&lt;0,IF(OR($J80=1,$J80=2,$J80=3,$J80=4,$J80=5,$J80=6,$J80=7,$J80=8,$J80=9,$J80=10),-$E80*$I80/12*3,IF($J80=11,-$E80*$I80/12*2,IF($J80=12,-$E80*$I80/12*1,0)))))+IF(CK$5&lt;&gt;$H80,0,IF(CK80&lt;0,IF($J80=10,-$E80*$I80/12*0,IF($J80=11,-$E80*$I80/12*1,IF($J80=12,-$E80*$I80/12*2,0)))))</f>
        <v>0</v>
      </c>
      <c r="CP80" s="413">
        <f>IF(AND(CK80&lt;&gt;0,CK$5=$H80),-$I80*$E80-CK80,IF(CP$5=$H80,-$I80*$E80*(12-$J80+1)/12,0))</f>
        <v>0</v>
      </c>
      <c r="CQ80" s="410">
        <f>IF($H80&lt;&gt;CU$5,0,IF(CU80&lt;0,IF($J80=1,-$E80*$I80/12*3,IF($J80=2,-$E80*$I80/12*2,IF($J80=3,-$E80*$I80/12*1,0)))))+IF(CP$5&lt;&gt;$H80,0,IF(CP80&lt;0,IF($J80=1,-$E80*$I80/12*0,IF($J80=2,-$E80*$I80/12*1,IF($J80=3,-$E80*$I80/12*2,IF($J80&gt;=4,-$E80*$I80/12*3,0))))))</f>
        <v>0</v>
      </c>
      <c r="CR80" s="416">
        <f>IF($H80&lt;&gt;CU$5,0,IF(CU80&lt;0,IF(OR($J80=1,$J80=2,$J80=3,$J80=4),-$E80*$I80/12*3,IF($J80=5,-$E80*$I80/12*2,IF($J80=6,-$E80*$I80/12*1,0)))))+IF(CP$5&lt;&gt;$H80,0,IF(CP80&lt;0,IF($J80=4,-$E80*$I80/12*0,IF($J80=5,-$E80*$I80/12*1,IF($J80=6,-$E80*$I80/12*2,IF($J80&gt;=7,-$E80*$I80/12*3,0))))))</f>
        <v>0</v>
      </c>
      <c r="CS80" s="416">
        <f>IF($H80&lt;&gt;CU$5,0,IF(CU80&lt;0,IF(OR($J80=1,$J80=2,$J80=3,$J80=4,$J80=5,$J80=6,$J80=7),-$E80*$I80/12*3,IF($J80=8,-$E80*$I80/12*2,IF($J80=9,-$E80*$I80/12*1,0)))))+IF(CP$5&lt;&gt;$H80,0,IF(CP80&lt;0,IF($J80=7,-$E80*$I80/12*0,IF($J80=8,-$E80*$I80/12*1,IF($J80=9,-$E80*$I80/12*2,IF($J80&gt;=10,-$E80*$I80/12*3,0))))))</f>
        <v>0</v>
      </c>
      <c r="CT80" s="412">
        <f>IF($H80&lt;&gt;CU$5,0,IF(CU80&lt;0,IF(OR($J80=1,$J80=2,$J80=3,$J80=4,$J80=5,$J80=6,$J80=7,$J80=8,$J80=9,$J80=10),-$E80*$I80/12*3,IF($J80=11,-$E80*$I80/12*2,IF($J80=12,-$E80*$I80/12*1,0)))))+IF(CP$5&lt;&gt;$H80,0,IF(CP80&lt;0,IF($J80=10,-$E80*$I80/12*0,IF($J80=11,-$E80*$I80/12*1,IF($J80=12,-$E80*$I80/12*2,0)))))</f>
        <v>0</v>
      </c>
      <c r="CU80" s="413">
        <f>IF(AND(CP80&lt;&gt;0,CP$5=$H80),-$I80*$E80-CP80,IF(CU$5=$H80,-$I80*$E80*(12-$J80+1)/12,0))</f>
        <v>0</v>
      </c>
      <c r="CV80" s="410">
        <f>IF($H80&lt;&gt;CZ$5,0,IF(CZ80&lt;0,IF($J80=1,-$E80*$I80/12*3,IF($J80=2,-$E80*$I80/12*2,IF($J80=3,-$E80*$I80/12*1,0)))))+IF(CU$5&lt;&gt;$H80,0,IF(CU80&lt;0,IF($J80=1,-$E80*$I80/12*0,IF($J80=2,-$E80*$I80/12*1,IF($J80=3,-$E80*$I80/12*2,IF($J80&gt;=4,-$E80*$I80/12*3,0))))))</f>
        <v>-0.375</v>
      </c>
      <c r="CW80" s="416">
        <f>IF($H80&lt;&gt;CZ$5,0,IF(CZ80&lt;0,IF(OR($J80=1,$J80=2,$J80=3,$J80=4),-$E80*$I80/12*3,IF($J80=5,-$E80*$I80/12*2,IF($J80=6,-$E80*$I80/12*1,0)))))+IF(CU$5&lt;&gt;$H80,0,IF(CU80&lt;0,IF($J80=4,-$E80*$I80/12*0,IF($J80=5,-$E80*$I80/12*1,IF($J80=6,-$E80*$I80/12*2,IF($J80&gt;=7,-$E80*$I80/12*3,0))))))</f>
        <v>-0.5625</v>
      </c>
      <c r="CX80" s="416">
        <f>IF($H80&lt;&gt;CZ$5,0,IF(CZ80&lt;0,IF(OR($J80=1,$J80=2,$J80=3,$J80=4,$J80=5,$J80=6,$J80=7),-$E80*$I80/12*3,IF($J80=8,-$E80*$I80/12*2,IF($J80=9,-$E80*$I80/12*1,0)))))+IF(CU$5&lt;&gt;$H80,0,IF(CU80&lt;0,IF($J80=7,-$E80*$I80/12*0,IF($J80=8,-$E80*$I80/12*1,IF($J80=9,-$E80*$I80/12*2,IF($J80&gt;=10,-$E80*$I80/12*3,0))))))</f>
        <v>-0.5625</v>
      </c>
      <c r="CY80" s="412">
        <f>IF($H80&lt;&gt;CZ$5,0,IF(CZ80&lt;0,IF(OR($J80=1,$J80=2,$J80=3,$J80=4,$J80=5,$J80=6,$J80=7,$J80=8,$J80=9,$J80=10),-$E80*$I80/12*3,IF($J80=11,-$E80*$I80/12*2,IF($J80=12,-$E80*$I80/12*1,0)))))+IF(CU$5&lt;&gt;$H80,0,IF(CU80&lt;0,IF($J80=10,-$E80*$I80/12*0,IF($J80=11,-$E80*$I80/12*1,IF($J80=12,-$E80*$I80/12*2,0)))))</f>
        <v>-0.5625</v>
      </c>
      <c r="CZ80" s="413">
        <f>IF(AND(CU80&lt;&gt;0,CU$5=$H80),-$I80*$E80-CU80,IF(CZ$5=$H80,-$I80*$E80*(12-$J80+1)/12,0))</f>
        <v>-2.0625</v>
      </c>
      <c r="DA80" s="410">
        <f>IF($H80&lt;&gt;DE$5,0,IF(DE80&lt;0,IF($J80=1,-$E80*$I80/12*3,IF($J80=2,-$E80*$I80/12*2,IF($J80=3,-$E80*$I80/12*1,0)))))+IF(CZ$5&lt;&gt;$H80,0,IF(CZ80&lt;0,IF($J80=1,-$E80*$I80/12*0,IF($J80=2,-$E80*$I80/12*1,IF($J80=3,-$E80*$I80/12*2,IF($J80&gt;=4,-$E80*$I80/12*3,0))))))</f>
        <v>-0.1875</v>
      </c>
      <c r="DB80" s="416">
        <f>IF($H80&lt;&gt;DE$5,0,IF(DE80&lt;0,IF(OR($J80=1,$J80=2,$J80=3,$J80=4),-$E80*$I80/12*3,IF($J80=5,-$E80*$I80/12*2,IF($J80=6,-$E80*$I80/12*1,0)))))+IF(CZ$5&lt;&gt;$H80,0,IF(CZ80&lt;0,IF($J80=4,-$E80*$I80/12*0,IF($J80=5,-$E80*$I80/12*1,IF($J80=6,-$E80*$I80/12*2,IF($J80&gt;=7,-$E80*$I80/12*3,0))))))</f>
        <v>0</v>
      </c>
      <c r="DC80" s="416">
        <f>IF($H80&lt;&gt;DE$5,0,IF(DE80&lt;0,IF(OR($J80=1,$J80=2,$J80=3,$J80=4,$J80=5,$J80=6,$J80=7),-$E80*$I80/12*3,IF($J80=8,-$E80*$I80/12*2,IF($J80=9,-$E80*$I80/12*1,0)))))+IF(CZ$5&lt;&gt;$H80,0,IF(CZ80&lt;0,IF($J80=7,-$E80*$I80/12*0,IF($J80=8,-$E80*$I80/12*1,IF($J80=9,-$E80*$I80/12*2,IF($J80&gt;=10,-$E80*$I80/12*3,0))))))</f>
        <v>0</v>
      </c>
      <c r="DD80" s="412">
        <f>IF($H80&lt;&gt;DE$5,0,IF(DE80&lt;0,IF(OR($J80=1,$J80=2,$J80=3,$J80=4,$J80=5,$J80=6,$J80=7,$J80=8,$J80=9,$J80=10),-$E80*$I80/12*3,IF($J80=11,-$E80*$I80/12*2,IF($J80=12,-$E80*$I80/12*1,0)))))+IF(CZ$5&lt;&gt;$H80,0,IF(CZ80&lt;0,IF($J80=10,-$E80*$I80/12*0,IF($J80=11,-$E80*$I80/12*1,IF($J80=12,-$E80*$I80/12*2,0)))))</f>
        <v>0</v>
      </c>
      <c r="DE80" s="413">
        <f>IF(AND(CZ80&lt;&gt;0,CZ$5=$H80),-$I80*$E80-CZ80,IF(DE$5=$H80,-$I80*$E80*(12-$J80+1)/12,0))</f>
        <v>-0.1875</v>
      </c>
      <c r="DF80" s="410">
        <f>IF($H80&lt;&gt;DJ$5,0,IF(DJ80&lt;0,IF($J80=1,-$E80*$I80/12*3,IF($J80=2,-$E80*$I80/12*2,IF($J80=3,-$E80*$I80/12*1,0)))))+IF(DE$5&lt;&gt;$H80,0,IF(DE80&lt;0,IF($J80=1,-$E80*$I80/12*0,IF($J80=2,-$E80*$I80/12*1,IF($J80=3,-$E80*$I80/12*2,IF($J80&gt;=4,-$E80*$I80/12*3,0))))))</f>
        <v>0</v>
      </c>
      <c r="DG80" s="416">
        <f>IF($H80&lt;&gt;DJ$5,0,IF(DJ80&lt;0,IF(OR($J80=1,$J80=2,$J80=3,$J80=4),-$E80*$I80/12*3,IF($J80=5,-$E80*$I80/12*2,IF($J80=6,-$E80*$I80/12*1,0)))))+IF(DE$5&lt;&gt;$H80,0,IF(DE80&lt;0,IF($J80=4,-$E80*$I80/12*0,IF($J80=5,-$E80*$I80/12*1,IF($J80=6,-$E80*$I80/12*2,IF($J80&gt;=7,-$E80*$I80/12*3,0))))))</f>
        <v>0</v>
      </c>
      <c r="DH80" s="416">
        <f>IF($H80&lt;&gt;DJ$5,0,IF(DJ80&lt;0,IF(OR($J80=1,$J80=2,$J80=3,$J80=4,$J80=5,$J80=6,$J80=7),-$E80*$I80/12*3,IF($J80=8,-$E80*$I80/12*2,IF($J80=9,-$E80*$I80/12*1,0)))))+IF(DE$5&lt;&gt;$H80,0,IF(DE80&lt;0,IF($J80=7,-$E80*$I80/12*0,IF($J80=8,-$E80*$I80/12*1,IF($J80=9,-$E80*$I80/12*2,IF($J80&gt;=10,-$E80*$I80/12*3,0))))))</f>
        <v>0</v>
      </c>
      <c r="DI80" s="412">
        <f>IF($H80&lt;&gt;DJ$5,0,IF(DJ80&lt;0,IF(OR($J80=1,$J80=2,$J80=3,$J80=4,$J80=5,$J80=6,$J80=7,$J80=8,$J80=9,$J80=10),-$E80*$I80/12*3,IF($J80=11,-$E80*$I80/12*2,IF($J80=12,-$E80*$I80/12*1,0)))))+IF(DE$5&lt;&gt;$H80,0,IF(DE80&lt;0,IF($J80=10,-$E80*$I80/12*0,IF($J80=11,-$E80*$I80/12*1,IF($J80=12,-$E80*$I80/12*2,0)))))</f>
        <v>0</v>
      </c>
      <c r="DJ80" s="413">
        <f>IF(AND(DE80&lt;&gt;0,DE$5=$H80),-$I80*$E80-DE80,IF(DJ$5=$H80,-$I80*$E80*(12-$J80+1)/12,0))</f>
        <v>0</v>
      </c>
      <c r="DK80" s="410">
        <f>IF($H80&lt;&gt;DO$5,0,IF(DO80&lt;0,IF($J80=1,-$E80*$I80/12*3,IF($J80=2,-$E80*$I80/12*2,IF($J80=3,-$E80*$I80/12*1,0)))))+IF(DJ$5&lt;&gt;$H80,0,IF(DJ80&lt;0,IF($J80=1,-$E80*$I80/12*0,IF($J80=2,-$E80*$I80/12*1,IF($J80=3,-$E80*$I80/12*2,IF($J80&gt;=4,-$E80*$I80/12*3,0))))))</f>
        <v>0</v>
      </c>
      <c r="DL80" s="416">
        <f>IF($H80&lt;&gt;DO$5,0,IF(DO80&lt;0,IF(OR($J80=1,$J80=2,$J80=3,$J80=4),-$E80*$I80/12*3,IF($J80=5,-$E80*$I80/12*2,IF($J80=6,-$E80*$I80/12*1,0)))))+IF(DJ$5&lt;&gt;$H80,0,IF(DJ80&lt;0,IF($J80=4,-$E80*$I80/12*0,IF($J80=5,-$E80*$I80/12*1,IF($J80=6,-$E80*$I80/12*2,IF($J80&gt;=7,-$E80*$I80/12*3,0))))))</f>
        <v>0</v>
      </c>
      <c r="DM80" s="416">
        <f>IF($H80&lt;&gt;DO$5,0,IF(DO80&lt;0,IF(OR($J80=1,$J80=2,$J80=3,$J80=4,$J80=5,$J80=6,$J80=7),-$E80*$I80/12*3,IF($J80=8,-$E80*$I80/12*2,IF($J80=9,-$E80*$I80/12*1,0)))))+IF(DJ$5&lt;&gt;$H80,0,IF(DJ80&lt;0,IF($J80=7,-$E80*$I80/12*0,IF($J80=8,-$E80*$I80/12*1,IF($J80=9,-$E80*$I80/12*2,IF($J80&gt;=10,-$E80*$I80/12*3,0))))))</f>
        <v>0</v>
      </c>
      <c r="DN80" s="412">
        <f>IF($H80&lt;&gt;DO$5,0,IF(DO80&lt;0,IF(OR($J80=1,$J80=2,$J80=3,$J80=4,$J80=5,$J80=6,$J80=7,$J80=8,$J80=9,$J80=10),-$E80*$I80/12*3,IF($J80=11,-$E80*$I80/12*2,IF($J80=12,-$E80*$I80/12*1,0)))))+IF(DJ$5&lt;&gt;$H80,0,IF(DJ80&lt;0,IF($J80=10,-$E80*$I80/12*0,IF($J80=11,-$E80*$I80/12*1,IF($J80=12,-$E80*$I80/12*2,0)))))</f>
        <v>0</v>
      </c>
      <c r="DO80" s="413">
        <f>IF(AND(DJ80&lt;&gt;0,DJ$5=$H80),-$I80*$E80-DJ80,IF(DO$5=$H80,-$I80*$E80*(12-$J80+1)/12,0))</f>
        <v>0</v>
      </c>
      <c r="DP80" s="410">
        <f>IF($H80&lt;&gt;DT$5,0,IF(DT80&lt;0,IF($J80=1,-$E80*$I80/12*3,IF($J80=2,-$E80*$I80/12*2,IF($J80=3,-$E80*$I80/12*1,0)))))+IF(DO$5&lt;&gt;$H80,0,IF(DO80&lt;0,IF($J80=1,-$E80*$I80/12*0,IF($J80=2,-$E80*$I80/12*1,IF($J80=3,-$E80*$I80/12*2,IF($J80&gt;=4,-$E80*$I80/12*3,0))))))</f>
        <v>0</v>
      </c>
      <c r="DQ80" s="416">
        <f>IF($H80&lt;&gt;DT$5,0,IF(DT80&lt;0,IF(OR($J80=1,$J80=2,$J80=3,$J80=4),-$E80*$I80/12*3,IF($J80=5,-$E80*$I80/12*2,IF($J80=6,-$E80*$I80/12*1,0)))))+IF(DO$5&lt;&gt;$H80,0,IF(DO80&lt;0,IF($J80=4,-$E80*$I80/12*0,IF($J80=5,-$E80*$I80/12*1,IF($J80=6,-$E80*$I80/12*2,IF($J80&gt;=7,-$E80*$I80/12*3,0))))))</f>
        <v>0</v>
      </c>
      <c r="DR80" s="416">
        <f>IF($H80&lt;&gt;DT$5,0,IF(DT80&lt;0,IF(OR($J80=1,$J80=2,$J80=3,$J80=4,$J80=5,$J80=6,$J80=7),-$E80*$I80/12*3,IF($J80=8,-$E80*$I80/12*2,IF($J80=9,-$E80*$I80/12*1,0)))))+IF(DO$5&lt;&gt;$H80,0,IF(DO80&lt;0,IF($J80=7,-$E80*$I80/12*0,IF($J80=8,-$E80*$I80/12*1,IF($J80=9,-$E80*$I80/12*2,IF($J80&gt;=10,-$E80*$I80/12*3,0))))))</f>
        <v>0</v>
      </c>
      <c r="DS80" s="412">
        <f>IF($H80&lt;&gt;DT$5,0,IF(DT80&lt;0,IF(OR($J80=1,$J80=2,$J80=3,$J80=4,$J80=5,$J80=6,$J80=7,$J80=8,$J80=9,$J80=10),-$E80*$I80/12*3,IF($J80=11,-$E80*$I80/12*2,IF($J80=12,-$E80*$I80/12*1,0)))))+IF(DO$5&lt;&gt;$H80,0,IF(DO80&lt;0,IF($J80=10,-$E80*$I80/12*0,IF($J80=11,-$E80*$I80/12*1,IF($J80=12,-$E80*$I80/12*2,0)))))</f>
        <v>0</v>
      </c>
      <c r="DT80" s="413">
        <f>IF(AND(DO80&lt;&gt;0,DO$5=$H80),-$I80*$E80-DO80,IF(DT$5=$H80,-$I80*$E80*(12-$J80+1)/12,0))</f>
        <v>0</v>
      </c>
    </row>
    <row r="81" spans="1:124" ht="12.75" customHeight="1">
      <c r="A81" s="491"/>
      <c r="C81" s="1885" t="s">
        <v>407</v>
      </c>
      <c r="D81" s="1885"/>
      <c r="E81" s="1886">
        <f>IF(F81=0,G81,F81)</f>
        <v>30</v>
      </c>
      <c r="F81" s="1532">
        <v>30</v>
      </c>
      <c r="G81" s="1532">
        <v>30</v>
      </c>
      <c r="H81" s="610">
        <v>2019</v>
      </c>
      <c r="I81" s="1533">
        <v>3.2500000000000001E-2</v>
      </c>
      <c r="J81" s="615">
        <v>5</v>
      </c>
      <c r="K81" s="402"/>
      <c r="L81" s="407">
        <f>IF(L$5=$H81,-$E81,0)</f>
        <v>0</v>
      </c>
      <c r="M81" s="404">
        <f>IF(Q81=0,0,IF(Q81&lt;0,IF($J81=3,Q81,IF($J81=2,Q81,IF($J81=1,Q81,0)))))</f>
        <v>0</v>
      </c>
      <c r="N81" s="414">
        <f>IF(Q81=0,0,IF(Q81&lt;0,IF($J81=6,Q81,IF($J81=5,Q81,IF($J81=4,Q81,0)))))</f>
        <v>0</v>
      </c>
      <c r="O81" s="414">
        <f>IF(Q81=0,0,IF(Q81&lt;0,IF($J81=9,Q81,IF($J81=8,Q81,IF($J81=7,Q81,0)))))</f>
        <v>0</v>
      </c>
      <c r="P81" s="406">
        <f>IF(Q81=0,0,IF(Q81&lt;0,IF($J81=12,Q81,IF($J81=11,Q81,IF($J81=10,Q81,0)))))</f>
        <v>0</v>
      </c>
      <c r="Q81" s="407">
        <f>IF(Q$5=$H81,-$E81,0)</f>
        <v>0</v>
      </c>
      <c r="R81" s="404">
        <f>IF(V81=0,0,IF(V81&lt;0,IF($J81=3,V81,IF($J81=2,V81,IF($J81=1,V81,0)))))</f>
        <v>0</v>
      </c>
      <c r="S81" s="414">
        <f>IF(V81=0,0,IF(V81&lt;0,IF($J81=6,V81,IF($J81=5,V81,IF($J81=4,V81,0)))))</f>
        <v>0</v>
      </c>
      <c r="T81" s="414">
        <f>IF(V81=0,0,IF(V81&lt;0,IF($J81=9,V81,IF($J81=8,V81,IF($J81=7,V81,0)))))</f>
        <v>0</v>
      </c>
      <c r="U81" s="406">
        <f>IF(V81=0,0,IF(V81&lt;0,IF($J81=12,V81,IF($J81=11,V81,IF($J81=10,V81,0)))))</f>
        <v>0</v>
      </c>
      <c r="V81" s="407">
        <f>IF(V$5=$H81,-$E81,0)</f>
        <v>0</v>
      </c>
      <c r="W81" s="404">
        <f>IF(AA81=0,0,IF(AA81&lt;0,IF($J81=3,AA81,IF($J81=2,AA81,IF($J81=1,AA81,0)))))</f>
        <v>0</v>
      </c>
      <c r="X81" s="414">
        <f>IF(AA81=0,0,IF(AA81&lt;0,IF($J81=6,AA81,IF($J81=5,AA81,IF($J81=4,AA81,0)))))</f>
        <v>0</v>
      </c>
      <c r="Y81" s="414">
        <f>IF(AA81=0,0,IF(AA81&lt;0,IF($J81=9,AA81,IF($J81=8,AA81,IF($J81=7,AA81,0)))))</f>
        <v>0</v>
      </c>
      <c r="Z81" s="406">
        <f>IF(AA81=0,0,IF(AA81&lt;0,IF($J81=12,AA81,IF($J81=11,AA81,IF($J81=10,AA81,0)))))</f>
        <v>0</v>
      </c>
      <c r="AA81" s="407">
        <f>IF(AA$5=$H81,-$E81,0)</f>
        <v>0</v>
      </c>
      <c r="AB81" s="404">
        <f>IF(AF81=0,0,IF(AF81&lt;0,IF($J81=3,AF81,IF($J81=2,AF81,IF($J81=1,AF81,0)))))</f>
        <v>0</v>
      </c>
      <c r="AC81" s="414">
        <f>IF(AF81=0,0,IF(AF81&lt;0,IF($J81=6,AF81,IF($J81=5,AF81,IF($J81=4,AF81,0)))))</f>
        <v>0</v>
      </c>
      <c r="AD81" s="414">
        <f>IF(AF81=0,0,IF(AF81&lt;0,IF($J81=9,AF81,IF($J81=8,AF81,IF($J81=7,AF81,0)))))</f>
        <v>0</v>
      </c>
      <c r="AE81" s="406">
        <f>IF(AF81=0,0,IF(AF81&lt;0,IF($J81=12,AF81,IF($J81=11,AF81,IF($J81=10,AF81,0)))))</f>
        <v>0</v>
      </c>
      <c r="AF81" s="407">
        <f>IF(AF$5=$H81,-$E81,0)</f>
        <v>0</v>
      </c>
      <c r="AG81" s="404">
        <f>IF(AK81=0,0,IF(AK81&lt;0,IF($J81=3,AK81,IF($J81=2,AK81,IF($J81=1,AK81,0)))))</f>
        <v>0</v>
      </c>
      <c r="AH81" s="414">
        <f>IF(AK81=0,0,IF(AK81&lt;0,IF($J81=6,AK81,IF($J81=5,AK81,IF($J81=4,AK81,0)))))</f>
        <v>0</v>
      </c>
      <c r="AI81" s="414">
        <f>IF(AK81=0,0,IF(AK81&lt;0,IF($J81=9,AK81,IF($J81=8,AK81,IF($J81=7,AK81,0)))))</f>
        <v>0</v>
      </c>
      <c r="AJ81" s="406">
        <f>IF(AK81=0,0,IF(AK81&lt;0,IF($J81=12,AK81,IF($J81=11,AK81,IF($J81=10,AK81,0)))))</f>
        <v>0</v>
      </c>
      <c r="AK81" s="407">
        <f>IF(AK$5=$H81,-$E81,0)</f>
        <v>0</v>
      </c>
      <c r="AL81" s="404">
        <f>IF(AP81=0,0,IF(AP81&lt;0,IF($J81=3,AP81,IF($J81=2,AP81,IF($J81=1,AP81,0)))))</f>
        <v>0</v>
      </c>
      <c r="AM81" s="414">
        <f>IF(AP81=0,0,IF(AP81&lt;0,IF($J81=6,AP81,IF($J81=5,AP81,IF($J81=4,AP81,0)))))</f>
        <v>0</v>
      </c>
      <c r="AN81" s="414">
        <f>IF(AP81=0,0,IF(AP81&lt;0,IF($J81=9,AP81,IF($J81=8,AP81,IF($J81=7,AP81,0)))))</f>
        <v>0</v>
      </c>
      <c r="AO81" s="406">
        <f>IF(AP81=0,0,IF(AP81&lt;0,IF($J81=12,AP81,IF($J81=11,AP81,IF($J81=10,AP81,0)))))</f>
        <v>0</v>
      </c>
      <c r="AP81" s="407">
        <f>IF(AP$5=$H81,-$E81,0)</f>
        <v>0</v>
      </c>
      <c r="AQ81" s="404">
        <f>IF(AU81=0,0,IF(AU81&lt;0,IF($J81=3,AU81,IF($J81=2,AU81,IF($J81=1,AU81,0)))))</f>
        <v>0</v>
      </c>
      <c r="AR81" s="414">
        <f t="shared" si="552"/>
        <v>0</v>
      </c>
      <c r="AS81" s="414">
        <f>IF(AU81=0,0,IF(AU81&lt;0,IF($J81=9,AU81,IF($J81=8,AU81,IF($J81=7,AU81,0)))))</f>
        <v>0</v>
      </c>
      <c r="AT81" s="406">
        <f>IF(AU81=0,0,IF(AU81&lt;0,IF($J81=12,AU81,IF($J81=11,AU81,IF($J81=10,AU81,0)))))</f>
        <v>0</v>
      </c>
      <c r="AU81" s="407">
        <f>IF(AU$5=$H81,-$E81,0)</f>
        <v>0</v>
      </c>
      <c r="AV81" s="404">
        <f>IF(AZ81=0,0,IF(AZ81&lt;0,IF($J81=3,AZ81,IF($J81=2,AZ81,IF($J81=1,AZ81,0)))))</f>
        <v>0</v>
      </c>
      <c r="AW81" s="414">
        <f>IF(AZ81=0,0,IF(AZ81&lt;0,IF($J81=6,AZ81,IF($J81=5,AZ81,IF($J81=4,AZ81,0)))))</f>
        <v>0</v>
      </c>
      <c r="AX81" s="414">
        <f>IF(AZ81=0,0,IF(AZ81&lt;0,IF($J81=9,AZ81,IF($J81=8,AZ81,IF($J81=7,AZ81,0)))))</f>
        <v>0</v>
      </c>
      <c r="AY81" s="406">
        <f>IF(AZ81=0,0,IF(AZ81&lt;0,IF($J81=12,AZ81,IF($J81=11,AZ81,IF($J81=10,AZ81,0)))))</f>
        <v>0</v>
      </c>
      <c r="AZ81" s="407">
        <f>IF(AZ$5=$H81,-$E81,0)</f>
        <v>0</v>
      </c>
      <c r="BA81" s="404">
        <f>IF(BE81=0,0,IF(BE81&lt;0,IF($J81=3,BE81,IF($J81=2,BE81,IF($J81=1,BE81,0)))))</f>
        <v>0</v>
      </c>
      <c r="BB81" s="414">
        <f>IF(BE81=0,0,IF(BE81&lt;0,IF($J81=6,BE81,IF($J81=5,BE81,IF($J81=4,BE81,0)))))</f>
        <v>-30</v>
      </c>
      <c r="BC81" s="414">
        <f>IF(BE81=0,0,IF(BE81&lt;0,IF($J81=9,BE81,IF($J81=8,BE81,IF($J81=7,BE81,0)))))</f>
        <v>0</v>
      </c>
      <c r="BD81" s="406">
        <f>IF(BE81=0,0,IF(BE81&lt;0,IF($J81=12,BE81,IF($J81=11,BE81,IF($J81=10,BE81,0)))))</f>
        <v>0</v>
      </c>
      <c r="BE81" s="407">
        <f>IF(BE$5=$H81,-$E81,0)</f>
        <v>-30</v>
      </c>
      <c r="BF81" s="404">
        <f>IF(BJ81=0,0,IF(BJ81&lt;0,IF($J81=3,BJ81,IF($J81=2,BJ81,IF($J81=1,BJ81,0)))))</f>
        <v>0</v>
      </c>
      <c r="BG81" s="414">
        <f>IF(BJ81=0,0,IF(BJ81&lt;0,IF($J81=6,BJ81,IF($J81=5,BJ81,IF($J81=4,BJ81,0)))))</f>
        <v>0</v>
      </c>
      <c r="BH81" s="414">
        <f>IF(BJ81=0,0,IF(BJ81&lt;0,IF($J81=9,BJ81,IF($J81=8,BJ81,IF($J81=7,BJ81,0)))))</f>
        <v>0</v>
      </c>
      <c r="BI81" s="406">
        <f>IF(BJ81=0,0,IF(BJ81&lt;0,IF($J81=12,BJ81,IF($J81=11,BJ81,IF($J81=10,BJ81,0)))))</f>
        <v>0</v>
      </c>
      <c r="BJ81" s="407">
        <f>IF(BJ$5=$H81,-$E81,0)</f>
        <v>0</v>
      </c>
      <c r="BK81" s="404">
        <f>IF(BO81=0,0,IF(BO81&lt;0,IF($J81=3,BO81,IF($J81=2,BO81,IF($J81=1,BO81,0)))))</f>
        <v>0</v>
      </c>
      <c r="BL81" s="414">
        <f>IF(BO81=0,0,IF(BO81&lt;0,IF($J81=6,BO81,IF($J81=5,BO81,IF($J81=4,BO81,0)))))</f>
        <v>0</v>
      </c>
      <c r="BM81" s="414">
        <f>IF(BO81=0,0,IF(BO81&lt;0,IF($J81=9,BO81,IF($J81=8,BO81,IF($J81=7,BO81,0)))))</f>
        <v>0</v>
      </c>
      <c r="BN81" s="406">
        <f>IF(BO81=0,0,IF(BO81&lt;0,IF($J81=12,BO81,IF($J81=11,BO81,IF($J81=10,BO81,0)))))</f>
        <v>0</v>
      </c>
      <c r="BO81" s="407">
        <f>IF(BO$5=$H81,-$E81,0)</f>
        <v>0</v>
      </c>
      <c r="BP81" s="449"/>
      <c r="BQ81" s="413">
        <f>IF(AND(AH81&lt;&gt;0,AH$5=$H81),-$I81*$E81-AH81,IF(BQ$5=$H81,-$I81*$E81*(12-$J81+1)/12,0))</f>
        <v>0</v>
      </c>
      <c r="BR81" s="410">
        <f>IF($H81&lt;&gt;BV$5,0,IF(BV81&lt;0,IF($J81=1,-$E81*$I81/12*3,IF($J81=2,-$E81*$I81/12*2,IF($J81=3,-$E81*$I81/12*1,0)))))+IF(BQ$5&lt;&gt;$H81,0,IF(BQ81&lt;0,IF($J81=1,-$E81*$I81/12*0,IF($J81=2,-$E81*$I81/12*1,IF($J81=3,-$E81*$I81/12*2,IF($J81&gt;=4,-$E81*$I81/12*3,0))))))</f>
        <v>0</v>
      </c>
      <c r="BS81" s="416">
        <f>IF($H81&lt;&gt;BV$5,0,IF(BV81&lt;0,IF(OR($J81=1,$J81=2,$J81=3,$J81=4),-$E81*$I81/12*3,IF($J81=5,-$E81*$I81/12*2,IF($J81=6,-$E81*$I81/12*1,0)))))+IF(BQ$5&lt;&gt;$H81,0,IF(BQ81&lt;0,IF($J81=4,-$E81*$I81/12*0,IF($J81=5,-$E81*$I81/12*1,IF($J81=6,-$E81*$I81/12*2,IF($J81&gt;=7,-$E81*$I81/12*3,0))))))</f>
        <v>0</v>
      </c>
      <c r="BT81" s="416">
        <f>IF($H81&lt;&gt;BV$5,0,IF(BV81&lt;0,IF(OR($J81=1,$J81=2,$J81=3,$J81=4,$J81=5,$J81=6,$J81=7),-$E81*$I81/12*3,IF($J81=8,-$E81*$I81/12*2,IF($J81=9,-$E81*$I81/12*1,0)))))+IF(BQ$5&lt;&gt;$H81,0,IF(BQ81&lt;0,IF($J81=7,-$E81*$I81/12*0,IF($J81=8,-$E81*$I81/12*1,IF($J81=9,-$E81*$I81/12*2,IF($J81&gt;=10,-$E81*$I81/12*3,0))))))</f>
        <v>0</v>
      </c>
      <c r="BU81" s="412">
        <f>IF($H81&lt;&gt;BV$5,0,IF(BV81&lt;0,IF(OR($J81=1,$J81=2,$J81=3,$J81=4,$J81=5,$J81=6,$J81=7,$J81=8,$J81=9,$J81=10),-$E81*$I81/12*3,IF($J81=11,-$E81*$I81/12*2,IF($J81=12,-$E81*$I81/12*1,0)))))+IF(BQ$5&lt;&gt;$H81,0,IF(BQ81&lt;0,IF($J81=10,-$E81*$I81/12*0,IF($J81=11,-$E81*$I81/12*1,IF($J81=12,-$E81*$I81/12*2,0)))))</f>
        <v>0</v>
      </c>
      <c r="BV81" s="413">
        <f>IF(AND(BQ81&lt;&gt;0,BQ$5=$H81),-$I81*$E81-BQ81,IF(BV$5=$H81,-$I81*$E81*(12-$J81+1)/12,0))</f>
        <v>0</v>
      </c>
      <c r="BW81" s="410">
        <f>IF($H81&lt;&gt;CA$5,0,IF(CA81&lt;0,IF($J81=1,-$E81*$I81/12*3,IF($J81=2,-$E81*$I81/12*2,IF($J81=3,-$E81*$I81/12*1,0)))))+IF(BV$5&lt;&gt;$H81,0,IF(BV81&lt;0,IF($J81=1,-$E81*$I81/12*0,IF($J81=2,-$E81*$I81/12*1,IF($J81=3,-$E81*$I81/12*2,IF($J81&gt;=4,-$E81*$I81/12*3,0))))))</f>
        <v>0</v>
      </c>
      <c r="BX81" s="416">
        <f>IF($H81&lt;&gt;CA$5,0,IF(CA81&lt;0,IF(OR($J81=1,$J81=2,$J81=3,$J81=4),-$E81*$I81/12*3,IF($J81=5,-$E81*$I81/12*2,IF($J81=6,-$E81*$I81/12*1,0)))))+IF(BV$5&lt;&gt;$H81,0,IF(BV81&lt;0,IF($J81=4,-$E81*$I81/12*0,IF($J81=5,-$E81*$I81/12*1,IF($J81=6,-$E81*$I81/12*2,IF($J81&gt;=7,-$E81*$I81/12*3,0))))))</f>
        <v>0</v>
      </c>
      <c r="BY81" s="416">
        <f>IF($H81&lt;&gt;CA$5,0,IF(CA81&lt;0,IF(OR($J81=1,$J81=2,$J81=3,$J81=4,$J81=5,$J81=6,$J81=7),-$E81*$I81/12*3,IF($J81=8,-$E81*$I81/12*2,IF($J81=9,-$E81*$I81/12*1,0)))))+IF(BV$5&lt;&gt;$H81,0,IF(BV81&lt;0,IF($J81=7,-$E81*$I81/12*0,IF($J81=8,-$E81*$I81/12*1,IF($J81=9,-$E81*$I81/12*2,IF($J81&gt;=10,-$E81*$I81/12*3,0))))))</f>
        <v>0</v>
      </c>
      <c r="BZ81" s="412">
        <f>IF($H81&lt;&gt;CA$5,0,IF(CA81&lt;0,IF(OR($J81=1,$J81=2,$J81=3,$J81=4,$J81=5,$J81=6,$J81=7,$J81=8,$J81=9,$J81=10),-$E81*$I81/12*3,IF($J81=11,-$E81*$I81/12*2,IF($J81=12,-$E81*$I81/12*1,0)))))+IF(BV$5&lt;&gt;$H81,0,IF(BV81&lt;0,IF($J81=10,-$E81*$I81/12*0,IF($J81=11,-$E81*$I81/12*1,IF($J81=12,-$E81*$I81/12*2,0)))))</f>
        <v>0</v>
      </c>
      <c r="CA81" s="413">
        <f>IF(AND(BV81&lt;&gt;0,BV$5=$H81),-$I81*$E81-BV81,IF(CA$5=$H81,-$I81*$E81*(12-$J81+1)/12,0))</f>
        <v>0</v>
      </c>
      <c r="CB81" s="410">
        <f>IF($H81&lt;&gt;CF$5,0,IF(CF81&lt;0,IF($J81=1,-$E81*$I81/12*3,IF($J81=2,-$E81*$I81/12*2,IF($J81=3,-$E81*$I81/12*1,0)))))+IF(CA$5&lt;&gt;$H81,0,IF(CA81&lt;0,IF($J81=1,-$E81*$I81/12*0,IF($J81=2,-$E81*$I81/12*1,IF($J81=3,-$E81*$I81/12*2,IF($J81&gt;=4,-$E81*$I81/12*3,0))))))</f>
        <v>0</v>
      </c>
      <c r="CC81" s="416">
        <f>IF($H81&lt;&gt;CF$5,0,IF(CF81&lt;0,IF(OR($J81=1,$J81=2,$J81=3,$J81=4),-$E81*$I81/12*3,IF($J81=5,-$E81*$I81/12*2,IF($J81=6,-$E81*$I81/12*1,0)))))+IF(CA$5&lt;&gt;$H81,0,IF(CA81&lt;0,IF($J81=4,-$E81*$I81/12*0,IF($J81=5,-$E81*$I81/12*1,IF($J81=6,-$E81*$I81/12*2,IF($J81&gt;=7,-$E81*$I81/12*3,0))))))</f>
        <v>0</v>
      </c>
      <c r="CD81" s="416">
        <f>IF($H81&lt;&gt;CF$5,0,IF(CF81&lt;0,IF(OR($J81=1,$J81=2,$J81=3,$J81=4,$J81=5,$J81=6,$J81=7),-$E81*$I81/12*3,IF($J81=8,-$E81*$I81/12*2,IF($J81=9,-$E81*$I81/12*1,0)))))+IF(CA$5&lt;&gt;$H81,0,IF(CA81&lt;0,IF($J81=7,-$E81*$I81/12*0,IF($J81=8,-$E81*$I81/12*1,IF($J81=9,-$E81*$I81/12*2,IF($J81&gt;=10,-$E81*$I81/12*3,0))))))</f>
        <v>0</v>
      </c>
      <c r="CE81" s="412">
        <f>IF($H81&lt;&gt;CF$5,0,IF(CF81&lt;0,IF(OR($J81=1,$J81=2,$J81=3,$J81=4,$J81=5,$J81=6,$J81=7,$J81=8,$J81=9,$J81=10),-$E81*$I81/12*3,IF($J81=11,-$E81*$I81/12*2,IF($J81=12,-$E81*$I81/12*1,0)))))+IF(CA$5&lt;&gt;$H81,0,IF(CA81&lt;0,IF($J81=10,-$E81*$I81/12*0,IF($J81=11,-$E81*$I81/12*1,IF($J81=12,-$E81*$I81/12*2,0)))))</f>
        <v>0</v>
      </c>
      <c r="CF81" s="413">
        <f>IF(AND(CA81&lt;&gt;0,CA$5=$H81),-$I81*$E81-CA81,IF(CF$5=$H81,-$I81*$E81*(12-$J81+1)/12,0))</f>
        <v>0</v>
      </c>
      <c r="CG81" s="410">
        <f>IF($H81&lt;&gt;CK$5,0,IF(CK81&lt;0,IF($J81=1,-$E81*$I81/12*3,IF($J81=2,-$E81*$I81/12*2,IF($J81=3,-$E81*$I81/12*1,0)))))+IF(CF$5&lt;&gt;$H81,0,IF(CF81&lt;0,IF($J81=1,-$E81*$I81/12*0,IF($J81=2,-$E81*$I81/12*1,IF($J81=3,-$E81*$I81/12*2,IF($J81&gt;=4,-$E81*$I81/12*3,0))))))</f>
        <v>0</v>
      </c>
      <c r="CH81" s="416">
        <f>IF($H81&lt;&gt;CK$5,0,IF(CK81&lt;0,IF(OR($J81=1,$J81=2,$J81=3,$J81=4),-$E81*$I81/12*3,IF($J81=5,-$E81*$I81/12*2,IF($J81=6,-$E81*$I81/12*1,0)))))+IF(CF$5&lt;&gt;$H81,0,IF(CF81&lt;0,IF($J81=4,-$E81*$I81/12*0,IF($J81=5,-$E81*$I81/12*1,IF($J81=6,-$E81*$I81/12*2,IF($J81&gt;=7,-$E81*$I81/12*3,0))))))</f>
        <v>0</v>
      </c>
      <c r="CI81" s="416">
        <f>IF($H81&lt;&gt;CK$5,0,IF(CK81&lt;0,IF(OR($J81=1,$J81=2,$J81=3,$J81=4,$J81=5,$J81=6,$J81=7),-$E81*$I81/12*3,IF($J81=8,-$E81*$I81/12*2,IF($J81=9,-$E81*$I81/12*1,0)))))+IF(CF$5&lt;&gt;$H81,0,IF(CF81&lt;0,IF($J81=7,-$E81*$I81/12*0,IF($J81=8,-$E81*$I81/12*1,IF($J81=9,-$E81*$I81/12*2,IF($J81&gt;=10,-$E81*$I81/12*3,0))))))</f>
        <v>0</v>
      </c>
      <c r="CJ81" s="412">
        <f>IF($H81&lt;&gt;CK$5,0,IF(CK81&lt;0,IF(OR($J81=1,$J81=2,$J81=3,$J81=4,$J81=5,$J81=6,$J81=7,$J81=8,$J81=9,$J81=10),-$E81*$I81/12*3,IF($J81=11,-$E81*$I81/12*2,IF($J81=12,-$E81*$I81/12*1,0)))))+IF(CF$5&lt;&gt;$H81,0,IF(CF81&lt;0,IF($J81=10,-$E81*$I81/12*0,IF($J81=11,-$E81*$I81/12*1,IF($J81=12,-$E81*$I81/12*2,0)))))</f>
        <v>0</v>
      </c>
      <c r="CK81" s="413">
        <f>IF(AND(CF81&lt;&gt;0,CF$5=$H81),-$I81*$E81-CF81,IF(CK$5=$H81,-$I81*$E81*(12-$J81+1)/12,0))</f>
        <v>0</v>
      </c>
      <c r="CL81" s="410">
        <f>IF($H81&lt;&gt;CP$5,0,IF(CP81&lt;0,IF($J81=1,-$E81*$I81/12*3,IF($J81=2,-$E81*$I81/12*2,IF($J81=3,-$E81*$I81/12*1,0)))))+IF(CK$5&lt;&gt;$H81,0,IF(CK81&lt;0,IF($J81=1,-$E81*$I81/12*0,IF($J81=2,-$E81*$I81/12*1,IF($J81=3,-$E81*$I81/12*2,IF($J81&gt;=4,-$E81*$I81/12*3,0))))))</f>
        <v>0</v>
      </c>
      <c r="CM81" s="416">
        <f>IF($H81&lt;&gt;CP$5,0,IF(CP81&lt;0,IF(OR($J81=1,$J81=2,$J81=3,$J81=4),-$E81*$I81/12*3,IF($J81=5,-$E81*$I81/12*2,IF($J81=6,-$E81*$I81/12*1,0)))))+IF(CK$5&lt;&gt;$H81,0,IF(CK81&lt;0,IF($J81=4,-$E81*$I81/12*0,IF($J81=5,-$E81*$I81/12*1,IF($J81=6,-$E81*$I81/12*2,IF($J81&gt;=7,-$E81*$I81/12*3,0))))))</f>
        <v>0</v>
      </c>
      <c r="CN81" s="416">
        <f>IF($H81&lt;&gt;CP$5,0,IF(CP81&lt;0,IF(OR($J81=1,$J81=2,$J81=3,$J81=4,$J81=5,$J81=6,$J81=7),-$E81*$I81/12*3,IF($J81=8,-$E81*$I81/12*2,IF($J81=9,-$E81*$I81/12*1,0)))))+IF(CK$5&lt;&gt;$H81,0,IF(CK81&lt;0,IF($J81=7,-$E81*$I81/12*0,IF($J81=8,-$E81*$I81/12*1,IF($J81=9,-$E81*$I81/12*2,IF($J81&gt;=10,-$E81*$I81/12*3,0))))))</f>
        <v>0</v>
      </c>
      <c r="CO81" s="412">
        <f>IF($H81&lt;&gt;CP$5,0,IF(CP81&lt;0,IF(OR($J81=1,$J81=2,$J81=3,$J81=4,$J81=5,$J81=6,$J81=7,$J81=8,$J81=9,$J81=10),-$E81*$I81/12*3,IF($J81=11,-$E81*$I81/12*2,IF($J81=12,-$E81*$I81/12*1,0)))))+IF(CK$5&lt;&gt;$H81,0,IF(CK81&lt;0,IF($J81=10,-$E81*$I81/12*0,IF($J81=11,-$E81*$I81/12*1,IF($J81=12,-$E81*$I81/12*2,0)))))</f>
        <v>0</v>
      </c>
      <c r="CP81" s="413">
        <f>IF(AND(CK81&lt;&gt;0,CK$5=$H81),-$I81*$E81-CK81,IF(CP$5=$H81,-$I81*$E81*(12-$J81+1)/12,0))</f>
        <v>0</v>
      </c>
      <c r="CQ81" s="410">
        <f>IF($H81&lt;&gt;CU$5,0,IF(CU81&lt;0,IF($J81=1,-$E81*$I81/12*3,IF($J81=2,-$E81*$I81/12*2,IF($J81=3,-$E81*$I81/12*1,0)))))+IF(CP$5&lt;&gt;$H81,0,IF(CP81&lt;0,IF($J81=1,-$E81*$I81/12*0,IF($J81=2,-$E81*$I81/12*1,IF($J81=3,-$E81*$I81/12*2,IF($J81&gt;=4,-$E81*$I81/12*3,0))))))</f>
        <v>0</v>
      </c>
      <c r="CR81" s="416">
        <f>IF($H81&lt;&gt;CU$5,0,IF(CU81&lt;0,IF(OR($J81=1,$J81=2,$J81=3,$J81=4),-$E81*$I81/12*3,IF($J81=5,-$E81*$I81/12*2,IF($J81=6,-$E81*$I81/12*1,0)))))+IF(CP$5&lt;&gt;$H81,0,IF(CP81&lt;0,IF($J81=4,-$E81*$I81/12*0,IF($J81=5,-$E81*$I81/12*1,IF($J81=6,-$E81*$I81/12*2,IF($J81&gt;=7,-$E81*$I81/12*3,0))))))</f>
        <v>0</v>
      </c>
      <c r="CS81" s="416">
        <f>IF($H81&lt;&gt;CU$5,0,IF(CU81&lt;0,IF(OR($J81=1,$J81=2,$J81=3,$J81=4,$J81=5,$J81=6,$J81=7),-$E81*$I81/12*3,IF($J81=8,-$E81*$I81/12*2,IF($J81=9,-$E81*$I81/12*1,0)))))+IF(CP$5&lt;&gt;$H81,0,IF(CP81&lt;0,IF($J81=7,-$E81*$I81/12*0,IF($J81=8,-$E81*$I81/12*1,IF($J81=9,-$E81*$I81/12*2,IF($J81&gt;=10,-$E81*$I81/12*3,0))))))</f>
        <v>0</v>
      </c>
      <c r="CT81" s="412">
        <f>IF($H81&lt;&gt;CU$5,0,IF(CU81&lt;0,IF(OR($J81=1,$J81=2,$J81=3,$J81=4,$J81=5,$J81=6,$J81=7,$J81=8,$J81=9,$J81=10),-$E81*$I81/12*3,IF($J81=11,-$E81*$I81/12*2,IF($J81=12,-$E81*$I81/12*1,0)))))+IF(CP$5&lt;&gt;$H81,0,IF(CP81&lt;0,IF($J81=10,-$E81*$I81/12*0,IF($J81=11,-$E81*$I81/12*1,IF($J81=12,-$E81*$I81/12*2,0)))))</f>
        <v>0</v>
      </c>
      <c r="CU81" s="413">
        <f>IF(AND(CP81&lt;&gt;0,CP$5=$H81),-$I81*$E81-CP81,IF(CU$5=$H81,-$I81*$E81*(12-$J81+1)/12,0))</f>
        <v>0</v>
      </c>
      <c r="CV81" s="410">
        <f>IF($H81&lt;&gt;CZ$5,0,IF(CZ81&lt;0,IF($J81=1,-$E81*$I81/12*3,IF($J81=2,-$E81*$I81/12*2,IF($J81=3,-$E81*$I81/12*1,0)))))+IF(CU$5&lt;&gt;$H81,0,IF(CU81&lt;0,IF($J81=1,-$E81*$I81/12*0,IF($J81=2,-$E81*$I81/12*1,IF($J81=3,-$E81*$I81/12*2,IF($J81&gt;=4,-$E81*$I81/12*3,0))))))</f>
        <v>0</v>
      </c>
      <c r="CW81" s="416">
        <f>IF($H81&lt;&gt;CZ$5,0,IF(CZ81&lt;0,IF(OR($J81=1,$J81=2,$J81=3,$J81=4),-$E81*$I81/12*3,IF($J81=5,-$E81*$I81/12*2,IF($J81=6,-$E81*$I81/12*1,0)))))+IF(CU$5&lt;&gt;$H81,0,IF(CU81&lt;0,IF($J81=4,-$E81*$I81/12*0,IF($J81=5,-$E81*$I81/12*1,IF($J81=6,-$E81*$I81/12*2,IF($J81&gt;=7,-$E81*$I81/12*3,0))))))</f>
        <v>0</v>
      </c>
      <c r="CX81" s="416">
        <f>IF($H81&lt;&gt;CZ$5,0,IF(CZ81&lt;0,IF(OR($J81=1,$J81=2,$J81=3,$J81=4,$J81=5,$J81=6,$J81=7),-$E81*$I81/12*3,IF($J81=8,-$E81*$I81/12*2,IF($J81=9,-$E81*$I81/12*1,0)))))+IF(CU$5&lt;&gt;$H81,0,IF(CU81&lt;0,IF($J81=7,-$E81*$I81/12*0,IF($J81=8,-$E81*$I81/12*1,IF($J81=9,-$E81*$I81/12*2,IF($J81&gt;=10,-$E81*$I81/12*3,0))))))</f>
        <v>0</v>
      </c>
      <c r="CY81" s="412">
        <f>IF($H81&lt;&gt;CZ$5,0,IF(CZ81&lt;0,IF(OR($J81=1,$J81=2,$J81=3,$J81=4,$J81=5,$J81=6,$J81=7,$J81=8,$J81=9,$J81=10),-$E81*$I81/12*3,IF($J81=11,-$E81*$I81/12*2,IF($J81=12,-$E81*$I81/12*1,0)))))+IF(CU$5&lt;&gt;$H81,0,IF(CU81&lt;0,IF($J81=10,-$E81*$I81/12*0,IF($J81=11,-$E81*$I81/12*1,IF($J81=12,-$E81*$I81/12*2,0)))))</f>
        <v>0</v>
      </c>
      <c r="CZ81" s="413">
        <f>IF(AND(CU81&lt;&gt;0,CU$5=$H81),-$I81*$E81-CU81,IF(CZ$5=$H81,-$I81*$E81*(12-$J81+1)/12,0))</f>
        <v>0</v>
      </c>
      <c r="DA81" s="410">
        <f>IF($H81&lt;&gt;DE$5,0,IF(DE81&lt;0,IF($J81=1,-$E81*$I81/12*3,IF($J81=2,-$E81*$I81/12*2,IF($J81=3,-$E81*$I81/12*1,0)))))+IF(CZ$5&lt;&gt;$H81,0,IF(CZ81&lt;0,IF($J81=1,-$E81*$I81/12*0,IF($J81=2,-$E81*$I81/12*1,IF($J81=3,-$E81*$I81/12*2,IF($J81&gt;=4,-$E81*$I81/12*3,0))))))</f>
        <v>0</v>
      </c>
      <c r="DB81" s="416">
        <f>IF($H81&lt;&gt;DE$5,0,IF(DE81&lt;0,IF(OR($J81=1,$J81=2,$J81=3,$J81=4),-$E81*$I81/12*3,IF($J81=5,-$E81*$I81/12*2,IF($J81=6,-$E81*$I81/12*1,0)))))+IF(CZ$5&lt;&gt;$H81,0,IF(CZ81&lt;0,IF($J81=4,-$E81*$I81/12*0,IF($J81=5,-$E81*$I81/12*1,IF($J81=6,-$E81*$I81/12*2,IF($J81&gt;=7,-$E81*$I81/12*3,0))))))</f>
        <v>0</v>
      </c>
      <c r="DC81" s="416">
        <f>IF($H81&lt;&gt;DE$5,0,IF(DE81&lt;0,IF(OR($J81=1,$J81=2,$J81=3,$J81=4,$J81=5,$J81=6,$J81=7),-$E81*$I81/12*3,IF($J81=8,-$E81*$I81/12*2,IF($J81=9,-$E81*$I81/12*1,0)))))+IF(CZ$5&lt;&gt;$H81,0,IF(CZ81&lt;0,IF($J81=7,-$E81*$I81/12*0,IF($J81=8,-$E81*$I81/12*1,IF($J81=9,-$E81*$I81/12*2,IF($J81&gt;=10,-$E81*$I81/12*3,0))))))</f>
        <v>0</v>
      </c>
      <c r="DD81" s="412">
        <f>IF($H81&lt;&gt;DE$5,0,IF(DE81&lt;0,IF(OR($J81=1,$J81=2,$J81=3,$J81=4,$J81=5,$J81=6,$J81=7,$J81=8,$J81=9,$J81=10),-$E81*$I81/12*3,IF($J81=11,-$E81*$I81/12*2,IF($J81=12,-$E81*$I81/12*1,0)))))+IF(CZ$5&lt;&gt;$H81,0,IF(CZ81&lt;0,IF($J81=10,-$E81*$I81/12*0,IF($J81=11,-$E81*$I81/12*1,IF($J81=12,-$E81*$I81/12*2,0)))))</f>
        <v>0</v>
      </c>
      <c r="DE81" s="413">
        <f>IF(AND(CZ81&lt;&gt;0,CZ$5=$H81),-$I81*$E81-CZ81,IF(DE$5=$H81,-$I81*$E81*(12-$J81+1)/12,0))</f>
        <v>0</v>
      </c>
      <c r="DF81" s="410">
        <f>IF($H81&lt;&gt;DJ$5,0,IF(DJ81&lt;0,IF($J81=1,-$E81*$I81/12*3,IF($J81=2,-$E81*$I81/12*2,IF($J81=3,-$E81*$I81/12*1,0)))))+IF(DE$5&lt;&gt;$H81,0,IF(DE81&lt;0,IF($J81=1,-$E81*$I81/12*0,IF($J81=2,-$E81*$I81/12*1,IF($J81=3,-$E81*$I81/12*2,IF($J81&gt;=4,-$E81*$I81/12*3,0))))))</f>
        <v>0</v>
      </c>
      <c r="DG81" s="416">
        <f>IF($H81&lt;&gt;DJ$5,0,IF(DJ81&lt;0,IF(OR($J81=1,$J81=2,$J81=3,$J81=4),-$E81*$I81/12*3,IF($J81=5,-$E81*$I81/12*2,IF($J81=6,-$E81*$I81/12*1,0)))))+IF(DE$5&lt;&gt;$H81,0,IF(DE81&lt;0,IF($J81=4,-$E81*$I81/12*0,IF($J81=5,-$E81*$I81/12*1,IF($J81=6,-$E81*$I81/12*2,IF($J81&gt;=7,-$E81*$I81/12*3,0))))))</f>
        <v>-0.16250000000000001</v>
      </c>
      <c r="DH81" s="416">
        <f>IF($H81&lt;&gt;DJ$5,0,IF(DJ81&lt;0,IF(OR($J81=1,$J81=2,$J81=3,$J81=4,$J81=5,$J81=6,$J81=7),-$E81*$I81/12*3,IF($J81=8,-$E81*$I81/12*2,IF($J81=9,-$E81*$I81/12*1,0)))))+IF(DE$5&lt;&gt;$H81,0,IF(DE81&lt;0,IF($J81=7,-$E81*$I81/12*0,IF($J81=8,-$E81*$I81/12*1,IF($J81=9,-$E81*$I81/12*2,IF($J81&gt;=10,-$E81*$I81/12*3,0))))))</f>
        <v>-0.24375000000000002</v>
      </c>
      <c r="DI81" s="412">
        <f>IF($H81&lt;&gt;DJ$5,0,IF(DJ81&lt;0,IF(OR($J81=1,$J81=2,$J81=3,$J81=4,$J81=5,$J81=6,$J81=7,$J81=8,$J81=9,$J81=10),-$E81*$I81/12*3,IF($J81=11,-$E81*$I81/12*2,IF($J81=12,-$E81*$I81/12*1,0)))))+IF(DE$5&lt;&gt;$H81,0,IF(DE81&lt;0,IF($J81=10,-$E81*$I81/12*0,IF($J81=11,-$E81*$I81/12*1,IF($J81=12,-$E81*$I81/12*2,0)))))</f>
        <v>-0.24375000000000002</v>
      </c>
      <c r="DJ81" s="413">
        <f>IF(AND(DE81&lt;&gt;0,DE$5=$H81),-$I81*$E81-DE81,IF(DJ$5=$H81,-$I81*$E81*(12-$J81+1)/12,0))</f>
        <v>-0.65</v>
      </c>
      <c r="DK81" s="410">
        <f>IF($H81&lt;&gt;DO$5,0,IF(DO81&lt;0,IF($J81=1,-$E81*$I81/12*3,IF($J81=2,-$E81*$I81/12*2,IF($J81=3,-$E81*$I81/12*1,0)))))+IF(DJ$5&lt;&gt;$H81,0,IF(DJ81&lt;0,IF($J81=1,-$E81*$I81/12*0,IF($J81=2,-$E81*$I81/12*1,IF($J81=3,-$E81*$I81/12*2,IF($J81&gt;=4,-$E81*$I81/12*3,0))))))</f>
        <v>-0.24375000000000002</v>
      </c>
      <c r="DL81" s="416">
        <f>IF($H81&lt;&gt;DO$5,0,IF(DO81&lt;0,IF(OR($J81=1,$J81=2,$J81=3,$J81=4),-$E81*$I81/12*3,IF($J81=5,-$E81*$I81/12*2,IF($J81=6,-$E81*$I81/12*1,0)))))+IF(DJ$5&lt;&gt;$H81,0,IF(DJ81&lt;0,IF($J81=4,-$E81*$I81/12*0,IF($J81=5,-$E81*$I81/12*1,IF($J81=6,-$E81*$I81/12*2,IF($J81&gt;=7,-$E81*$I81/12*3,0))))))</f>
        <v>-8.1250000000000003E-2</v>
      </c>
      <c r="DM81" s="416">
        <f>IF($H81&lt;&gt;DO$5,0,IF(DO81&lt;0,IF(OR($J81=1,$J81=2,$J81=3,$J81=4,$J81=5,$J81=6,$J81=7),-$E81*$I81/12*3,IF($J81=8,-$E81*$I81/12*2,IF($J81=9,-$E81*$I81/12*1,0)))))+IF(DJ$5&lt;&gt;$H81,0,IF(DJ81&lt;0,IF($J81=7,-$E81*$I81/12*0,IF($J81=8,-$E81*$I81/12*1,IF($J81=9,-$E81*$I81/12*2,IF($J81&gt;=10,-$E81*$I81/12*3,0))))))</f>
        <v>0</v>
      </c>
      <c r="DN81" s="412">
        <f>IF($H81&lt;&gt;DO$5,0,IF(DO81&lt;0,IF(OR($J81=1,$J81=2,$J81=3,$J81=4,$J81=5,$J81=6,$J81=7,$J81=8,$J81=9,$J81=10),-$E81*$I81/12*3,IF($J81=11,-$E81*$I81/12*2,IF($J81=12,-$E81*$I81/12*1,0)))))+IF(DJ$5&lt;&gt;$H81,0,IF(DJ81&lt;0,IF($J81=10,-$E81*$I81/12*0,IF($J81=11,-$E81*$I81/12*1,IF($J81=12,-$E81*$I81/12*2,0)))))</f>
        <v>0</v>
      </c>
      <c r="DO81" s="413">
        <f>IF(AND(DJ81&lt;&gt;0,DJ$5=$H81),-$I81*$E81-DJ81,IF(DO$5=$H81,-$I81*$E81*(12-$J81+1)/12,0))</f>
        <v>-0.32500000000000007</v>
      </c>
      <c r="DP81" s="410">
        <f>IF($H81&lt;&gt;DT$5,0,IF(DT81&lt;0,IF($J81=1,-$E81*$I81/12*3,IF($J81=2,-$E81*$I81/12*2,IF($J81=3,-$E81*$I81/12*1,0)))))+IF(DO$5&lt;&gt;$H81,0,IF(DO81&lt;0,IF($J81=1,-$E81*$I81/12*0,IF($J81=2,-$E81*$I81/12*1,IF($J81=3,-$E81*$I81/12*2,IF($J81&gt;=4,-$E81*$I81/12*3,0))))))</f>
        <v>0</v>
      </c>
      <c r="DQ81" s="416">
        <f>IF($H81&lt;&gt;DT$5,0,IF(DT81&lt;0,IF(OR($J81=1,$J81=2,$J81=3,$J81=4),-$E81*$I81/12*3,IF($J81=5,-$E81*$I81/12*2,IF($J81=6,-$E81*$I81/12*1,0)))))+IF(DO$5&lt;&gt;$H81,0,IF(DO81&lt;0,IF($J81=4,-$E81*$I81/12*0,IF($J81=5,-$E81*$I81/12*1,IF($J81=6,-$E81*$I81/12*2,IF($J81&gt;=7,-$E81*$I81/12*3,0))))))</f>
        <v>0</v>
      </c>
      <c r="DR81" s="416">
        <f>IF($H81&lt;&gt;DT$5,0,IF(DT81&lt;0,IF(OR($J81=1,$J81=2,$J81=3,$J81=4,$J81=5,$J81=6,$J81=7),-$E81*$I81/12*3,IF($J81=8,-$E81*$I81/12*2,IF($J81=9,-$E81*$I81/12*1,0)))))+IF(DO$5&lt;&gt;$H81,0,IF(DO81&lt;0,IF($J81=7,-$E81*$I81/12*0,IF($J81=8,-$E81*$I81/12*1,IF($J81=9,-$E81*$I81/12*2,IF($J81&gt;=10,-$E81*$I81/12*3,0))))))</f>
        <v>0</v>
      </c>
      <c r="DS81" s="412">
        <f>IF($H81&lt;&gt;DT$5,0,IF(DT81&lt;0,IF(OR($J81=1,$J81=2,$J81=3,$J81=4,$J81=5,$J81=6,$J81=7,$J81=8,$J81=9,$J81=10),-$E81*$I81/12*3,IF($J81=11,-$E81*$I81/12*2,IF($J81=12,-$E81*$I81/12*1,0)))))+IF(DO$5&lt;&gt;$H81,0,IF(DO81&lt;0,IF($J81=10,-$E81*$I81/12*0,IF($J81=11,-$E81*$I81/12*1,IF($J81=12,-$E81*$I81/12*2,0)))))</f>
        <v>0</v>
      </c>
      <c r="DT81" s="413">
        <f>IF(AND(DO81&lt;&gt;0,DO$5=$H81),-$I81*$E81-DO81,IF(DT$5=$H81,-$I81*$E81*(12-$J81+1)/12,0))</f>
        <v>0</v>
      </c>
    </row>
    <row r="82" spans="1:124" ht="12.75" customHeight="1">
      <c r="A82" s="491"/>
      <c r="C82" s="601" t="s">
        <v>1090</v>
      </c>
      <c r="D82" s="601"/>
      <c r="E82" s="1886">
        <f t="shared" ref="E82:E89" si="553">IF(F82=0,G82,F82)</f>
        <v>17.5</v>
      </c>
      <c r="F82" s="1532">
        <v>17.5</v>
      </c>
      <c r="G82" s="1532">
        <v>17.5</v>
      </c>
      <c r="H82" s="610">
        <v>2021</v>
      </c>
      <c r="I82" s="1533">
        <v>4.6249999999999999E-2</v>
      </c>
      <c r="J82" s="615">
        <v>11</v>
      </c>
      <c r="K82" s="402"/>
      <c r="L82" s="407">
        <f t="shared" ref="L82:L89" si="554">IF(L$5=$H82,-$E82,0)</f>
        <v>0</v>
      </c>
      <c r="M82" s="404">
        <f t="shared" ref="M82:M89" si="555">IF(Q82=0,0,IF(Q82&lt;0,IF($J82=3,Q82,IF($J82=2,Q82,IF($J82=1,Q82,0)))))</f>
        <v>0</v>
      </c>
      <c r="N82" s="414">
        <f t="shared" ref="N82:N89" si="556">IF(Q82=0,0,IF(Q82&lt;0,IF($J82=6,Q82,IF($J82=5,Q82,IF($J82=4,Q82,0)))))</f>
        <v>0</v>
      </c>
      <c r="O82" s="414">
        <f t="shared" ref="O82:O89" si="557">IF(Q82=0,0,IF(Q82&lt;0,IF($J82=9,Q82,IF($J82=8,Q82,IF($J82=7,Q82,0)))))</f>
        <v>0</v>
      </c>
      <c r="P82" s="406">
        <f t="shared" ref="P82:P89" si="558">IF(Q82=0,0,IF(Q82&lt;0,IF($J82=12,Q82,IF($J82=11,Q82,IF($J82=10,Q82,0)))))</f>
        <v>0</v>
      </c>
      <c r="Q82" s="407">
        <f t="shared" ref="Q82:Q89" si="559">IF(Q$5=$H82,-$E82,0)</f>
        <v>0</v>
      </c>
      <c r="R82" s="404">
        <f t="shared" ref="R82:R89" si="560">IF(V82=0,0,IF(V82&lt;0,IF($J82=3,V82,IF($J82=2,V82,IF($J82=1,V82,0)))))</f>
        <v>0</v>
      </c>
      <c r="S82" s="414">
        <f t="shared" ref="S82:S89" si="561">IF(V82=0,0,IF(V82&lt;0,IF($J82=6,V82,IF($J82=5,V82,IF($J82=4,V82,0)))))</f>
        <v>0</v>
      </c>
      <c r="T82" s="414">
        <f t="shared" ref="T82:T89" si="562">IF(V82=0,0,IF(V82&lt;0,IF($J82=9,V82,IF($J82=8,V82,IF($J82=7,V82,0)))))</f>
        <v>0</v>
      </c>
      <c r="U82" s="406">
        <f t="shared" ref="U82:U89" si="563">IF(V82=0,0,IF(V82&lt;0,IF($J82=12,V82,IF($J82=11,V82,IF($J82=10,V82,0)))))</f>
        <v>0</v>
      </c>
      <c r="V82" s="407">
        <f t="shared" ref="V82:V89" si="564">IF(V$5=$H82,-$E82,0)</f>
        <v>0</v>
      </c>
      <c r="W82" s="404">
        <f t="shared" ref="W82:W89" si="565">IF(AA82=0,0,IF(AA82&lt;0,IF($J82=3,AA82,IF($J82=2,AA82,IF($J82=1,AA82,0)))))</f>
        <v>0</v>
      </c>
      <c r="X82" s="414">
        <f t="shared" ref="X82:X89" si="566">IF(AA82=0,0,IF(AA82&lt;0,IF($J82=6,AA82,IF($J82=5,AA82,IF($J82=4,AA82,0)))))</f>
        <v>0</v>
      </c>
      <c r="Y82" s="414">
        <f t="shared" ref="Y82:Y89" si="567">IF(AA82=0,0,IF(AA82&lt;0,IF($J82=9,AA82,IF($J82=8,AA82,IF($J82=7,AA82,0)))))</f>
        <v>0</v>
      </c>
      <c r="Z82" s="406">
        <f t="shared" ref="Z82:Z89" si="568">IF(AA82=0,0,IF(AA82&lt;0,IF($J82=12,AA82,IF($J82=11,AA82,IF($J82=10,AA82,0)))))</f>
        <v>0</v>
      </c>
      <c r="AA82" s="407">
        <f t="shared" ref="AA82:AA89" si="569">IF(AA$5=$H82,-$E82,0)</f>
        <v>0</v>
      </c>
      <c r="AB82" s="404">
        <f t="shared" ref="AB82:AB89" si="570">IF(AF82=0,0,IF(AF82&lt;0,IF($J82=3,AF82,IF($J82=2,AF82,IF($J82=1,AF82,0)))))</f>
        <v>0</v>
      </c>
      <c r="AC82" s="414">
        <f t="shared" ref="AC82:AC89" si="571">IF(AF82=0,0,IF(AF82&lt;0,IF($J82=6,AF82,IF($J82=5,AF82,IF($J82=4,AF82,0)))))</f>
        <v>0</v>
      </c>
      <c r="AD82" s="414">
        <f t="shared" ref="AD82:AD89" si="572">IF(AF82=0,0,IF(AF82&lt;0,IF($J82=9,AF82,IF($J82=8,AF82,IF($J82=7,AF82,0)))))</f>
        <v>0</v>
      </c>
      <c r="AE82" s="406">
        <f t="shared" ref="AE82:AE89" si="573">IF(AF82=0,0,IF(AF82&lt;0,IF($J82=12,AF82,IF($J82=11,AF82,IF($J82=10,AF82,0)))))</f>
        <v>0</v>
      </c>
      <c r="AF82" s="407">
        <f t="shared" ref="AF82:AF89" si="574">IF(AF$5=$H82,-$E82,0)</f>
        <v>0</v>
      </c>
      <c r="AG82" s="404">
        <f t="shared" ref="AG82:AG89" si="575">IF(AK82=0,0,IF(AK82&lt;0,IF($J82=3,AK82,IF($J82=2,AK82,IF($J82=1,AK82,0)))))</f>
        <v>0</v>
      </c>
      <c r="AH82" s="414">
        <f t="shared" ref="AH82:AH89" si="576">IF(AK82=0,0,IF(AK82&lt;0,IF($J82=6,AK82,IF($J82=5,AK82,IF($J82=4,AK82,0)))))</f>
        <v>0</v>
      </c>
      <c r="AI82" s="414">
        <f t="shared" ref="AI82:AI89" si="577">IF(AK82=0,0,IF(AK82&lt;0,IF($J82=9,AK82,IF($J82=8,AK82,IF($J82=7,AK82,0)))))</f>
        <v>0</v>
      </c>
      <c r="AJ82" s="406">
        <f t="shared" ref="AJ82:AJ89" si="578">IF(AK82=0,0,IF(AK82&lt;0,IF($J82=12,AK82,IF($J82=11,AK82,IF($J82=10,AK82,0)))))</f>
        <v>0</v>
      </c>
      <c r="AK82" s="407">
        <f t="shared" ref="AK82:AK89" si="579">IF(AK$5=$H82,-$E82,0)</f>
        <v>0</v>
      </c>
      <c r="AL82" s="404">
        <f t="shared" ref="AL82:AL89" si="580">IF(AP82=0,0,IF(AP82&lt;0,IF($J82=3,AP82,IF($J82=2,AP82,IF($J82=1,AP82,0)))))</f>
        <v>0</v>
      </c>
      <c r="AM82" s="414">
        <f t="shared" ref="AM82:AM89" si="581">IF(AP82=0,0,IF(AP82&lt;0,IF($J82=6,AP82,IF($J82=5,AP82,IF($J82=4,AP82,0)))))</f>
        <v>0</v>
      </c>
      <c r="AN82" s="414">
        <f t="shared" ref="AN82:AN89" si="582">IF(AP82=0,0,IF(AP82&lt;0,IF($J82=9,AP82,IF($J82=8,AP82,IF($J82=7,AP82,0)))))</f>
        <v>0</v>
      </c>
      <c r="AO82" s="406">
        <f t="shared" ref="AO82:AO89" si="583">IF(AP82=0,0,IF(AP82&lt;0,IF($J82=12,AP82,IF($J82=11,AP82,IF($J82=10,AP82,0)))))</f>
        <v>0</v>
      </c>
      <c r="AP82" s="407">
        <f t="shared" ref="AP82:AP89" si="584">IF(AP$5=$H82,-$E82,0)</f>
        <v>0</v>
      </c>
      <c r="AQ82" s="404">
        <f t="shared" ref="AQ82:AQ89" si="585">IF(AU82=0,0,IF(AU82&lt;0,IF($J82=3,AU82,IF($J82=2,AU82,IF($J82=1,AU82,0)))))</f>
        <v>0</v>
      </c>
      <c r="AR82" s="414">
        <f t="shared" si="552"/>
        <v>0</v>
      </c>
      <c r="AS82" s="414">
        <f t="shared" ref="AS82:AS89" si="586">IF(AU82=0,0,IF(AU82&lt;0,IF($J82=9,AU82,IF($J82=8,AU82,IF($J82=7,AU82,0)))))</f>
        <v>0</v>
      </c>
      <c r="AT82" s="406">
        <f t="shared" ref="AT82:AT89" si="587">IF(AU82=0,0,IF(AU82&lt;0,IF($J82=12,AU82,IF($J82=11,AU82,IF($J82=10,AU82,0)))))</f>
        <v>0</v>
      </c>
      <c r="AU82" s="407">
        <f t="shared" ref="AU82:AU89" si="588">IF(AU$5=$H82,-$E82,0)</f>
        <v>0</v>
      </c>
      <c r="AV82" s="404">
        <f t="shared" ref="AV82:AV89" si="589">IF(AZ82=0,0,IF(AZ82&lt;0,IF($J82=3,AZ82,IF($J82=2,AZ82,IF($J82=1,AZ82,0)))))</f>
        <v>0</v>
      </c>
      <c r="AW82" s="414">
        <f t="shared" ref="AW82:AW89" si="590">IF(AZ82=0,0,IF(AZ82&lt;0,IF($J82=6,AZ82,IF($J82=5,AZ82,IF($J82=4,AZ82,0)))))</f>
        <v>0</v>
      </c>
      <c r="AX82" s="414">
        <f t="shared" ref="AX82:AX89" si="591">IF(AZ82=0,0,IF(AZ82&lt;0,IF($J82=9,AZ82,IF($J82=8,AZ82,IF($J82=7,AZ82,0)))))</f>
        <v>0</v>
      </c>
      <c r="AY82" s="406">
        <f t="shared" ref="AY82:AY89" si="592">IF(AZ82=0,0,IF(AZ82&lt;0,IF($J82=12,AZ82,IF($J82=11,AZ82,IF($J82=10,AZ82,0)))))</f>
        <v>0</v>
      </c>
      <c r="AZ82" s="407">
        <f t="shared" ref="AZ82:AZ89" si="593">IF(AZ$5=$H82,-$E82,0)</f>
        <v>0</v>
      </c>
      <c r="BA82" s="404">
        <f t="shared" ref="BA82:BA89" si="594">IF(BE82=0,0,IF(BE82&lt;0,IF($J82=3,BE82,IF($J82=2,BE82,IF($J82=1,BE82,0)))))</f>
        <v>0</v>
      </c>
      <c r="BB82" s="414">
        <f t="shared" ref="BB82:BB89" si="595">IF(BE82=0,0,IF(BE82&lt;0,IF($J82=6,BE82,IF($J82=5,BE82,IF($J82=4,BE82,0)))))</f>
        <v>0</v>
      </c>
      <c r="BC82" s="414">
        <f t="shared" ref="BC82:BC89" si="596">IF(BE82=0,0,IF(BE82&lt;0,IF($J82=9,BE82,IF($J82=8,BE82,IF($J82=7,BE82,0)))))</f>
        <v>0</v>
      </c>
      <c r="BD82" s="406">
        <f t="shared" ref="BD82:BD89" si="597">IF(BE82=0,0,IF(BE82&lt;0,IF($J82=12,BE82,IF($J82=11,BE82,IF($J82=10,BE82,0)))))</f>
        <v>0</v>
      </c>
      <c r="BE82" s="407">
        <f t="shared" ref="BE82:BE89" si="598">IF(BE$5=$H82,-$E82,0)</f>
        <v>0</v>
      </c>
      <c r="BF82" s="404">
        <f t="shared" ref="BF82:BF89" si="599">IF(BJ82=0,0,IF(BJ82&lt;0,IF($J82=3,BJ82,IF($J82=2,BJ82,IF($J82=1,BJ82,0)))))</f>
        <v>0</v>
      </c>
      <c r="BG82" s="414">
        <f t="shared" ref="BG82:BG89" si="600">IF(BJ82=0,0,IF(BJ82&lt;0,IF($J82=6,BJ82,IF($J82=5,BJ82,IF($J82=4,BJ82,0)))))</f>
        <v>0</v>
      </c>
      <c r="BH82" s="414">
        <f t="shared" ref="BH82:BH89" si="601">IF(BJ82=0,0,IF(BJ82&lt;0,IF($J82=9,BJ82,IF($J82=8,BJ82,IF($J82=7,BJ82,0)))))</f>
        <v>0</v>
      </c>
      <c r="BI82" s="406">
        <f t="shared" ref="BI82:BI89" si="602">IF(BJ82=0,0,IF(BJ82&lt;0,IF($J82=12,BJ82,IF($J82=11,BJ82,IF($J82=10,BJ82,0)))))</f>
        <v>0</v>
      </c>
      <c r="BJ82" s="407">
        <f t="shared" ref="BJ82:BJ89" si="603">IF(BJ$5=$H82,-$E82,0)</f>
        <v>0</v>
      </c>
      <c r="BK82" s="404">
        <f t="shared" ref="BK82:BK89" si="604">IF(BO82=0,0,IF(BO82&lt;0,IF($J82=3,BO82,IF($J82=2,BO82,IF($J82=1,BO82,0)))))</f>
        <v>0</v>
      </c>
      <c r="BL82" s="414">
        <f t="shared" ref="BL82:BL89" si="605">IF(BO82=0,0,IF(BO82&lt;0,IF($J82=6,BO82,IF($J82=5,BO82,IF($J82=4,BO82,0)))))</f>
        <v>0</v>
      </c>
      <c r="BM82" s="414">
        <f t="shared" ref="BM82:BM89" si="606">IF(BO82=0,0,IF(BO82&lt;0,IF($J82=9,BO82,IF($J82=8,BO82,IF($J82=7,BO82,0)))))</f>
        <v>0</v>
      </c>
      <c r="BN82" s="406">
        <f t="shared" ref="BN82:BN89" si="607">IF(BO82=0,0,IF(BO82&lt;0,IF($J82=12,BO82,IF($J82=11,BO82,IF($J82=10,BO82,0)))))</f>
        <v>-17.5</v>
      </c>
      <c r="BO82" s="407">
        <f t="shared" ref="BO82:BO89" si="608">IF(BO$5=$H82,-$E82,0)</f>
        <v>-17.5</v>
      </c>
      <c r="BP82" s="449"/>
      <c r="BQ82" s="413">
        <f t="shared" ref="BQ82:BQ89" si="609">IF(AND(AH82&lt;&gt;0,AH$5=$H82),-$I82*$E82-AH82,IF(BQ$5=$H82,-$I82*$E82*(12-$J82+1)/12,0))</f>
        <v>0</v>
      </c>
      <c r="BR82" s="410">
        <f t="shared" ref="BR82:BR89" si="610">IF($H82&lt;&gt;BV$5,0,IF(BV82&lt;0,IF($J82=1,-$E82*$I82/12*3,IF($J82=2,-$E82*$I82/12*2,IF($J82=3,-$E82*$I82/12*1,0)))))+IF(BQ$5&lt;&gt;$H82,0,IF(BQ82&lt;0,IF($J82=1,-$E82*$I82/12*0,IF($J82=2,-$E82*$I82/12*1,IF($J82=3,-$E82*$I82/12*2,IF($J82&gt;=4,-$E82*$I82/12*3,0))))))</f>
        <v>0</v>
      </c>
      <c r="BS82" s="416">
        <f t="shared" ref="BS82:BS89" si="611">IF($H82&lt;&gt;BV$5,0,IF(BV82&lt;0,IF(OR($J82=1,$J82=2,$J82=3,$J82=4),-$E82*$I82/12*3,IF($J82=5,-$E82*$I82/12*2,IF($J82=6,-$E82*$I82/12*1,0)))))+IF(BQ$5&lt;&gt;$H82,0,IF(BQ82&lt;0,IF($J82=4,-$E82*$I82/12*0,IF($J82=5,-$E82*$I82/12*1,IF($J82=6,-$E82*$I82/12*2,IF($J82&gt;=7,-$E82*$I82/12*3,0))))))</f>
        <v>0</v>
      </c>
      <c r="BT82" s="416">
        <f t="shared" ref="BT82:BT89" si="612">IF($H82&lt;&gt;BV$5,0,IF(BV82&lt;0,IF(OR($J82=1,$J82=2,$J82=3,$J82=4,$J82=5,$J82=6,$J82=7),-$E82*$I82/12*3,IF($J82=8,-$E82*$I82/12*2,IF($J82=9,-$E82*$I82/12*1,0)))))+IF(BQ$5&lt;&gt;$H82,0,IF(BQ82&lt;0,IF($J82=7,-$E82*$I82/12*0,IF($J82=8,-$E82*$I82/12*1,IF($J82=9,-$E82*$I82/12*2,IF($J82&gt;=10,-$E82*$I82/12*3,0))))))</f>
        <v>0</v>
      </c>
      <c r="BU82" s="412">
        <f t="shared" ref="BU82:BU89" si="613">IF($H82&lt;&gt;BV$5,0,IF(BV82&lt;0,IF(OR($J82=1,$J82=2,$J82=3,$J82=4,$J82=5,$J82=6,$J82=7,$J82=8,$J82=9,$J82=10),-$E82*$I82/12*3,IF($J82=11,-$E82*$I82/12*2,IF($J82=12,-$E82*$I82/12*1,0)))))+IF(BQ$5&lt;&gt;$H82,0,IF(BQ82&lt;0,IF($J82=10,-$E82*$I82/12*0,IF($J82=11,-$E82*$I82/12*1,IF($J82=12,-$E82*$I82/12*2,0)))))</f>
        <v>0</v>
      </c>
      <c r="BV82" s="413">
        <f t="shared" ref="BV82:BV89" si="614">IF(AND(BQ82&lt;&gt;0,BQ$5=$H82),-$I82*$E82-BQ82,IF(BV$5=$H82,-$I82*$E82*(12-$J82+1)/12,0))</f>
        <v>0</v>
      </c>
      <c r="BW82" s="410">
        <f t="shared" ref="BW82:BW89" si="615">IF($H82&lt;&gt;CA$5,0,IF(CA82&lt;0,IF($J82=1,-$E82*$I82/12*3,IF($J82=2,-$E82*$I82/12*2,IF($J82=3,-$E82*$I82/12*1,0)))))+IF(BV$5&lt;&gt;$H82,0,IF(BV82&lt;0,IF($J82=1,-$E82*$I82/12*0,IF($J82=2,-$E82*$I82/12*1,IF($J82=3,-$E82*$I82/12*2,IF($J82&gt;=4,-$E82*$I82/12*3,0))))))</f>
        <v>0</v>
      </c>
      <c r="BX82" s="416">
        <f t="shared" ref="BX82:BX89" si="616">IF($H82&lt;&gt;CA$5,0,IF(CA82&lt;0,IF(OR($J82=1,$J82=2,$J82=3,$J82=4),-$E82*$I82/12*3,IF($J82=5,-$E82*$I82/12*2,IF($J82=6,-$E82*$I82/12*1,0)))))+IF(BV$5&lt;&gt;$H82,0,IF(BV82&lt;0,IF($J82=4,-$E82*$I82/12*0,IF($J82=5,-$E82*$I82/12*1,IF($J82=6,-$E82*$I82/12*2,IF($J82&gt;=7,-$E82*$I82/12*3,0))))))</f>
        <v>0</v>
      </c>
      <c r="BY82" s="416">
        <f t="shared" ref="BY82:BY89" si="617">IF($H82&lt;&gt;CA$5,0,IF(CA82&lt;0,IF(OR($J82=1,$J82=2,$J82=3,$J82=4,$J82=5,$J82=6,$J82=7),-$E82*$I82/12*3,IF($J82=8,-$E82*$I82/12*2,IF($J82=9,-$E82*$I82/12*1,0)))))+IF(BV$5&lt;&gt;$H82,0,IF(BV82&lt;0,IF($J82=7,-$E82*$I82/12*0,IF($J82=8,-$E82*$I82/12*1,IF($J82=9,-$E82*$I82/12*2,IF($J82&gt;=10,-$E82*$I82/12*3,0))))))</f>
        <v>0</v>
      </c>
      <c r="BZ82" s="412">
        <f t="shared" ref="BZ82:BZ89" si="618">IF($H82&lt;&gt;CA$5,0,IF(CA82&lt;0,IF(OR($J82=1,$J82=2,$J82=3,$J82=4,$J82=5,$J82=6,$J82=7,$J82=8,$J82=9,$J82=10),-$E82*$I82/12*3,IF($J82=11,-$E82*$I82/12*2,IF($J82=12,-$E82*$I82/12*1,0)))))+IF(BV$5&lt;&gt;$H82,0,IF(BV82&lt;0,IF($J82=10,-$E82*$I82/12*0,IF($J82=11,-$E82*$I82/12*1,IF($J82=12,-$E82*$I82/12*2,0)))))</f>
        <v>0</v>
      </c>
      <c r="CA82" s="413">
        <f t="shared" ref="CA82:CA89" si="619">IF(AND(BV82&lt;&gt;0,BV$5=$H82),-$I82*$E82-BV82,IF(CA$5=$H82,-$I82*$E82*(12-$J82+1)/12,0))</f>
        <v>0</v>
      </c>
      <c r="CB82" s="410">
        <f t="shared" ref="CB82:CB89" si="620">IF($H82&lt;&gt;CF$5,0,IF(CF82&lt;0,IF($J82=1,-$E82*$I82/12*3,IF($J82=2,-$E82*$I82/12*2,IF($J82=3,-$E82*$I82/12*1,0)))))+IF(CA$5&lt;&gt;$H82,0,IF(CA82&lt;0,IF($J82=1,-$E82*$I82/12*0,IF($J82=2,-$E82*$I82/12*1,IF($J82=3,-$E82*$I82/12*2,IF($J82&gt;=4,-$E82*$I82/12*3,0))))))</f>
        <v>0</v>
      </c>
      <c r="CC82" s="416">
        <f t="shared" ref="CC82:CC89" si="621">IF($H82&lt;&gt;CF$5,0,IF(CF82&lt;0,IF(OR($J82=1,$J82=2,$J82=3,$J82=4),-$E82*$I82/12*3,IF($J82=5,-$E82*$I82/12*2,IF($J82=6,-$E82*$I82/12*1,0)))))+IF(CA$5&lt;&gt;$H82,0,IF(CA82&lt;0,IF($J82=4,-$E82*$I82/12*0,IF($J82=5,-$E82*$I82/12*1,IF($J82=6,-$E82*$I82/12*2,IF($J82&gt;=7,-$E82*$I82/12*3,0))))))</f>
        <v>0</v>
      </c>
      <c r="CD82" s="416">
        <f t="shared" ref="CD82:CD89" si="622">IF($H82&lt;&gt;CF$5,0,IF(CF82&lt;0,IF(OR($J82=1,$J82=2,$J82=3,$J82=4,$J82=5,$J82=6,$J82=7),-$E82*$I82/12*3,IF($J82=8,-$E82*$I82/12*2,IF($J82=9,-$E82*$I82/12*1,0)))))+IF(CA$5&lt;&gt;$H82,0,IF(CA82&lt;0,IF($J82=7,-$E82*$I82/12*0,IF($J82=8,-$E82*$I82/12*1,IF($J82=9,-$E82*$I82/12*2,IF($J82&gt;=10,-$E82*$I82/12*3,0))))))</f>
        <v>0</v>
      </c>
      <c r="CE82" s="412">
        <f t="shared" ref="CE82:CE89" si="623">IF($H82&lt;&gt;CF$5,0,IF(CF82&lt;0,IF(OR($J82=1,$J82=2,$J82=3,$J82=4,$J82=5,$J82=6,$J82=7,$J82=8,$J82=9,$J82=10),-$E82*$I82/12*3,IF($J82=11,-$E82*$I82/12*2,IF($J82=12,-$E82*$I82/12*1,0)))))+IF(CA$5&lt;&gt;$H82,0,IF(CA82&lt;0,IF($J82=10,-$E82*$I82/12*0,IF($J82=11,-$E82*$I82/12*1,IF($J82=12,-$E82*$I82/12*2,0)))))</f>
        <v>0</v>
      </c>
      <c r="CF82" s="413">
        <f t="shared" ref="CF82:CF89" si="624">IF(AND(CA82&lt;&gt;0,CA$5=$H82),-$I82*$E82-CA82,IF(CF$5=$H82,-$I82*$E82*(12-$J82+1)/12,0))</f>
        <v>0</v>
      </c>
      <c r="CG82" s="410">
        <f t="shared" ref="CG82:CG89" si="625">IF($H82&lt;&gt;CK$5,0,IF(CK82&lt;0,IF($J82=1,-$E82*$I82/12*3,IF($J82=2,-$E82*$I82/12*2,IF($J82=3,-$E82*$I82/12*1,0)))))+IF(CF$5&lt;&gt;$H82,0,IF(CF82&lt;0,IF($J82=1,-$E82*$I82/12*0,IF($J82=2,-$E82*$I82/12*1,IF($J82=3,-$E82*$I82/12*2,IF($J82&gt;=4,-$E82*$I82/12*3,0))))))</f>
        <v>0</v>
      </c>
      <c r="CH82" s="416">
        <f t="shared" ref="CH82:CH89" si="626">IF($H82&lt;&gt;CK$5,0,IF(CK82&lt;0,IF(OR($J82=1,$J82=2,$J82=3,$J82=4),-$E82*$I82/12*3,IF($J82=5,-$E82*$I82/12*2,IF($J82=6,-$E82*$I82/12*1,0)))))+IF(CF$5&lt;&gt;$H82,0,IF(CF82&lt;0,IF($J82=4,-$E82*$I82/12*0,IF($J82=5,-$E82*$I82/12*1,IF($J82=6,-$E82*$I82/12*2,IF($J82&gt;=7,-$E82*$I82/12*3,0))))))</f>
        <v>0</v>
      </c>
      <c r="CI82" s="416">
        <f t="shared" ref="CI82:CI89" si="627">IF($H82&lt;&gt;CK$5,0,IF(CK82&lt;0,IF(OR($J82=1,$J82=2,$J82=3,$J82=4,$J82=5,$J82=6,$J82=7),-$E82*$I82/12*3,IF($J82=8,-$E82*$I82/12*2,IF($J82=9,-$E82*$I82/12*1,0)))))+IF(CF$5&lt;&gt;$H82,0,IF(CF82&lt;0,IF($J82=7,-$E82*$I82/12*0,IF($J82=8,-$E82*$I82/12*1,IF($J82=9,-$E82*$I82/12*2,IF($J82&gt;=10,-$E82*$I82/12*3,0))))))</f>
        <v>0</v>
      </c>
      <c r="CJ82" s="412">
        <f t="shared" ref="CJ82:CJ89" si="628">IF($H82&lt;&gt;CK$5,0,IF(CK82&lt;0,IF(OR($J82=1,$J82=2,$J82=3,$J82=4,$J82=5,$J82=6,$J82=7,$J82=8,$J82=9,$J82=10),-$E82*$I82/12*3,IF($J82=11,-$E82*$I82/12*2,IF($J82=12,-$E82*$I82/12*1,0)))))+IF(CF$5&lt;&gt;$H82,0,IF(CF82&lt;0,IF($J82=10,-$E82*$I82/12*0,IF($J82=11,-$E82*$I82/12*1,IF($J82=12,-$E82*$I82/12*2,0)))))</f>
        <v>0</v>
      </c>
      <c r="CK82" s="413">
        <f t="shared" ref="CK82:CK89" si="629">IF(AND(CF82&lt;&gt;0,CF$5=$H82),-$I82*$E82-CF82,IF(CK$5=$H82,-$I82*$E82*(12-$J82+1)/12,0))</f>
        <v>0</v>
      </c>
      <c r="CL82" s="410">
        <f t="shared" ref="CL82:CL89" si="630">IF($H82&lt;&gt;CP$5,0,IF(CP82&lt;0,IF($J82=1,-$E82*$I82/12*3,IF($J82=2,-$E82*$I82/12*2,IF($J82=3,-$E82*$I82/12*1,0)))))+IF(CK$5&lt;&gt;$H82,0,IF(CK82&lt;0,IF($J82=1,-$E82*$I82/12*0,IF($J82=2,-$E82*$I82/12*1,IF($J82=3,-$E82*$I82/12*2,IF($J82&gt;=4,-$E82*$I82/12*3,0))))))</f>
        <v>0</v>
      </c>
      <c r="CM82" s="416">
        <f t="shared" ref="CM82:CM89" si="631">IF($H82&lt;&gt;CP$5,0,IF(CP82&lt;0,IF(OR($J82=1,$J82=2,$J82=3,$J82=4),-$E82*$I82/12*3,IF($J82=5,-$E82*$I82/12*2,IF($J82=6,-$E82*$I82/12*1,0)))))+IF(CK$5&lt;&gt;$H82,0,IF(CK82&lt;0,IF($J82=4,-$E82*$I82/12*0,IF($J82=5,-$E82*$I82/12*1,IF($J82=6,-$E82*$I82/12*2,IF($J82&gt;=7,-$E82*$I82/12*3,0))))))</f>
        <v>0</v>
      </c>
      <c r="CN82" s="416">
        <f t="shared" ref="CN82:CN89" si="632">IF($H82&lt;&gt;CP$5,0,IF(CP82&lt;0,IF(OR($J82=1,$J82=2,$J82=3,$J82=4,$J82=5,$J82=6,$J82=7),-$E82*$I82/12*3,IF($J82=8,-$E82*$I82/12*2,IF($J82=9,-$E82*$I82/12*1,0)))))+IF(CK$5&lt;&gt;$H82,0,IF(CK82&lt;0,IF($J82=7,-$E82*$I82/12*0,IF($J82=8,-$E82*$I82/12*1,IF($J82=9,-$E82*$I82/12*2,IF($J82&gt;=10,-$E82*$I82/12*3,0))))))</f>
        <v>0</v>
      </c>
      <c r="CO82" s="412">
        <f t="shared" ref="CO82:CO89" si="633">IF($H82&lt;&gt;CP$5,0,IF(CP82&lt;0,IF(OR($J82=1,$J82=2,$J82=3,$J82=4,$J82=5,$J82=6,$J82=7,$J82=8,$J82=9,$J82=10),-$E82*$I82/12*3,IF($J82=11,-$E82*$I82/12*2,IF($J82=12,-$E82*$I82/12*1,0)))))+IF(CK$5&lt;&gt;$H82,0,IF(CK82&lt;0,IF($J82=10,-$E82*$I82/12*0,IF($J82=11,-$E82*$I82/12*1,IF($J82=12,-$E82*$I82/12*2,0)))))</f>
        <v>0</v>
      </c>
      <c r="CP82" s="413">
        <f t="shared" ref="CP82:CP89" si="634">IF(AND(CK82&lt;&gt;0,CK$5=$H82),-$I82*$E82-CK82,IF(CP$5=$H82,-$I82*$E82*(12-$J82+1)/12,0))</f>
        <v>0</v>
      </c>
      <c r="CQ82" s="410">
        <f t="shared" ref="CQ82:CQ89" si="635">IF($H82&lt;&gt;CU$5,0,IF(CU82&lt;0,IF($J82=1,-$E82*$I82/12*3,IF($J82=2,-$E82*$I82/12*2,IF($J82=3,-$E82*$I82/12*1,0)))))+IF(CP$5&lt;&gt;$H82,0,IF(CP82&lt;0,IF($J82=1,-$E82*$I82/12*0,IF($J82=2,-$E82*$I82/12*1,IF($J82=3,-$E82*$I82/12*2,IF($J82&gt;=4,-$E82*$I82/12*3,0))))))</f>
        <v>0</v>
      </c>
      <c r="CR82" s="416">
        <f t="shared" ref="CR82:CR89" si="636">IF($H82&lt;&gt;CU$5,0,IF(CU82&lt;0,IF(OR($J82=1,$J82=2,$J82=3,$J82=4),-$E82*$I82/12*3,IF($J82=5,-$E82*$I82/12*2,IF($J82=6,-$E82*$I82/12*1,0)))))+IF(CP$5&lt;&gt;$H82,0,IF(CP82&lt;0,IF($J82=4,-$E82*$I82/12*0,IF($J82=5,-$E82*$I82/12*1,IF($J82=6,-$E82*$I82/12*2,IF($J82&gt;=7,-$E82*$I82/12*3,0))))))</f>
        <v>0</v>
      </c>
      <c r="CS82" s="416">
        <f t="shared" ref="CS82:CS89" si="637">IF($H82&lt;&gt;CU$5,0,IF(CU82&lt;0,IF(OR($J82=1,$J82=2,$J82=3,$J82=4,$J82=5,$J82=6,$J82=7),-$E82*$I82/12*3,IF($J82=8,-$E82*$I82/12*2,IF($J82=9,-$E82*$I82/12*1,0)))))+IF(CP$5&lt;&gt;$H82,0,IF(CP82&lt;0,IF($J82=7,-$E82*$I82/12*0,IF($J82=8,-$E82*$I82/12*1,IF($J82=9,-$E82*$I82/12*2,IF($J82&gt;=10,-$E82*$I82/12*3,0))))))</f>
        <v>0</v>
      </c>
      <c r="CT82" s="412">
        <f t="shared" ref="CT82:CT89" si="638">IF($H82&lt;&gt;CU$5,0,IF(CU82&lt;0,IF(OR($J82=1,$J82=2,$J82=3,$J82=4,$J82=5,$J82=6,$J82=7,$J82=8,$J82=9,$J82=10),-$E82*$I82/12*3,IF($J82=11,-$E82*$I82/12*2,IF($J82=12,-$E82*$I82/12*1,0)))))+IF(CP$5&lt;&gt;$H82,0,IF(CP82&lt;0,IF($J82=10,-$E82*$I82/12*0,IF($J82=11,-$E82*$I82/12*1,IF($J82=12,-$E82*$I82/12*2,0)))))</f>
        <v>0</v>
      </c>
      <c r="CU82" s="413">
        <f t="shared" ref="CU82:CU89" si="639">IF(AND(CP82&lt;&gt;0,CP$5=$H82),-$I82*$E82-CP82,IF(CU$5=$H82,-$I82*$E82*(12-$J82+1)/12,0))</f>
        <v>0</v>
      </c>
      <c r="CV82" s="410">
        <f t="shared" ref="CV82:CV89" si="640">IF($H82&lt;&gt;CZ$5,0,IF(CZ82&lt;0,IF($J82=1,-$E82*$I82/12*3,IF($J82=2,-$E82*$I82/12*2,IF($J82=3,-$E82*$I82/12*1,0)))))+IF(CU$5&lt;&gt;$H82,0,IF(CU82&lt;0,IF($J82=1,-$E82*$I82/12*0,IF($J82=2,-$E82*$I82/12*1,IF($J82=3,-$E82*$I82/12*2,IF($J82&gt;=4,-$E82*$I82/12*3,0))))))</f>
        <v>0</v>
      </c>
      <c r="CW82" s="416">
        <f t="shared" ref="CW82:CW89" si="641">IF($H82&lt;&gt;CZ$5,0,IF(CZ82&lt;0,IF(OR($J82=1,$J82=2,$J82=3,$J82=4),-$E82*$I82/12*3,IF($J82=5,-$E82*$I82/12*2,IF($J82=6,-$E82*$I82/12*1,0)))))+IF(CU$5&lt;&gt;$H82,0,IF(CU82&lt;0,IF($J82=4,-$E82*$I82/12*0,IF($J82=5,-$E82*$I82/12*1,IF($J82=6,-$E82*$I82/12*2,IF($J82&gt;=7,-$E82*$I82/12*3,0))))))</f>
        <v>0</v>
      </c>
      <c r="CX82" s="416">
        <f t="shared" ref="CX82:CX89" si="642">IF($H82&lt;&gt;CZ$5,0,IF(CZ82&lt;0,IF(OR($J82=1,$J82=2,$J82=3,$J82=4,$J82=5,$J82=6,$J82=7),-$E82*$I82/12*3,IF($J82=8,-$E82*$I82/12*2,IF($J82=9,-$E82*$I82/12*1,0)))))+IF(CU$5&lt;&gt;$H82,0,IF(CU82&lt;0,IF($J82=7,-$E82*$I82/12*0,IF($J82=8,-$E82*$I82/12*1,IF($J82=9,-$E82*$I82/12*2,IF($J82&gt;=10,-$E82*$I82/12*3,0))))))</f>
        <v>0</v>
      </c>
      <c r="CY82" s="412">
        <f t="shared" ref="CY82:CY89" si="643">IF($H82&lt;&gt;CZ$5,0,IF(CZ82&lt;0,IF(OR($J82=1,$J82=2,$J82=3,$J82=4,$J82=5,$J82=6,$J82=7,$J82=8,$J82=9,$J82=10),-$E82*$I82/12*3,IF($J82=11,-$E82*$I82/12*2,IF($J82=12,-$E82*$I82/12*1,0)))))+IF(CU$5&lt;&gt;$H82,0,IF(CU82&lt;0,IF($J82=10,-$E82*$I82/12*0,IF($J82=11,-$E82*$I82/12*1,IF($J82=12,-$E82*$I82/12*2,0)))))</f>
        <v>0</v>
      </c>
      <c r="CZ82" s="413">
        <f t="shared" ref="CZ82:CZ89" si="644">IF(AND(CU82&lt;&gt;0,CU$5=$H82),-$I82*$E82-CU82,IF(CZ$5=$H82,-$I82*$E82*(12-$J82+1)/12,0))</f>
        <v>0</v>
      </c>
      <c r="DA82" s="410">
        <f t="shared" ref="DA82:DA89" si="645">IF($H82&lt;&gt;DE$5,0,IF(DE82&lt;0,IF($J82=1,-$E82*$I82/12*3,IF($J82=2,-$E82*$I82/12*2,IF($J82=3,-$E82*$I82/12*1,0)))))+IF(CZ$5&lt;&gt;$H82,0,IF(CZ82&lt;0,IF($J82=1,-$E82*$I82/12*0,IF($J82=2,-$E82*$I82/12*1,IF($J82=3,-$E82*$I82/12*2,IF($J82&gt;=4,-$E82*$I82/12*3,0))))))</f>
        <v>0</v>
      </c>
      <c r="DB82" s="416">
        <f t="shared" ref="DB82:DB89" si="646">IF($H82&lt;&gt;DE$5,0,IF(DE82&lt;0,IF(OR($J82=1,$J82=2,$J82=3,$J82=4),-$E82*$I82/12*3,IF($J82=5,-$E82*$I82/12*2,IF($J82=6,-$E82*$I82/12*1,0)))))+IF(CZ$5&lt;&gt;$H82,0,IF(CZ82&lt;0,IF($J82=4,-$E82*$I82/12*0,IF($J82=5,-$E82*$I82/12*1,IF($J82=6,-$E82*$I82/12*2,IF($J82&gt;=7,-$E82*$I82/12*3,0))))))</f>
        <v>0</v>
      </c>
      <c r="DC82" s="416">
        <f t="shared" ref="DC82:DC89" si="647">IF($H82&lt;&gt;DE$5,0,IF(DE82&lt;0,IF(OR($J82=1,$J82=2,$J82=3,$J82=4,$J82=5,$J82=6,$J82=7),-$E82*$I82/12*3,IF($J82=8,-$E82*$I82/12*2,IF($J82=9,-$E82*$I82/12*1,0)))))+IF(CZ$5&lt;&gt;$H82,0,IF(CZ82&lt;0,IF($J82=7,-$E82*$I82/12*0,IF($J82=8,-$E82*$I82/12*1,IF($J82=9,-$E82*$I82/12*2,IF($J82&gt;=10,-$E82*$I82/12*3,0))))))</f>
        <v>0</v>
      </c>
      <c r="DD82" s="412">
        <f t="shared" ref="DD82:DD89" si="648">IF($H82&lt;&gt;DE$5,0,IF(DE82&lt;0,IF(OR($J82=1,$J82=2,$J82=3,$J82=4,$J82=5,$J82=6,$J82=7,$J82=8,$J82=9,$J82=10),-$E82*$I82/12*3,IF($J82=11,-$E82*$I82/12*2,IF($J82=12,-$E82*$I82/12*1,0)))))+IF(CZ$5&lt;&gt;$H82,0,IF(CZ82&lt;0,IF($J82=10,-$E82*$I82/12*0,IF($J82=11,-$E82*$I82/12*1,IF($J82=12,-$E82*$I82/12*2,0)))))</f>
        <v>0</v>
      </c>
      <c r="DE82" s="413">
        <f t="shared" ref="DE82:DE89" si="649">IF(AND(CZ82&lt;&gt;0,CZ$5=$H82),-$I82*$E82-CZ82,IF(DE$5=$H82,-$I82*$E82*(12-$J82+1)/12,0))</f>
        <v>0</v>
      </c>
      <c r="DF82" s="410">
        <f t="shared" ref="DF82:DF89" si="650">IF($H82&lt;&gt;DJ$5,0,IF(DJ82&lt;0,IF($J82=1,-$E82*$I82/12*3,IF($J82=2,-$E82*$I82/12*2,IF($J82=3,-$E82*$I82/12*1,0)))))+IF(DE$5&lt;&gt;$H82,0,IF(DE82&lt;0,IF($J82=1,-$E82*$I82/12*0,IF($J82=2,-$E82*$I82/12*1,IF($J82=3,-$E82*$I82/12*2,IF($J82&gt;=4,-$E82*$I82/12*3,0))))))</f>
        <v>0</v>
      </c>
      <c r="DG82" s="416">
        <f t="shared" ref="DG82:DG89" si="651">IF($H82&lt;&gt;DJ$5,0,IF(DJ82&lt;0,IF(OR($J82=1,$J82=2,$J82=3,$J82=4),-$E82*$I82/12*3,IF($J82=5,-$E82*$I82/12*2,IF($J82=6,-$E82*$I82/12*1,0)))))+IF(DE$5&lt;&gt;$H82,0,IF(DE82&lt;0,IF($J82=4,-$E82*$I82/12*0,IF($J82=5,-$E82*$I82/12*1,IF($J82=6,-$E82*$I82/12*2,IF($J82&gt;=7,-$E82*$I82/12*3,0))))))</f>
        <v>0</v>
      </c>
      <c r="DH82" s="416">
        <f t="shared" ref="DH82:DH89" si="652">IF($H82&lt;&gt;DJ$5,0,IF(DJ82&lt;0,IF(OR($J82=1,$J82=2,$J82=3,$J82=4,$J82=5,$J82=6,$J82=7),-$E82*$I82/12*3,IF($J82=8,-$E82*$I82/12*2,IF($J82=9,-$E82*$I82/12*1,0)))))+IF(DE$5&lt;&gt;$H82,0,IF(DE82&lt;0,IF($J82=7,-$E82*$I82/12*0,IF($J82=8,-$E82*$I82/12*1,IF($J82=9,-$E82*$I82/12*2,IF($J82&gt;=10,-$E82*$I82/12*3,0))))))</f>
        <v>0</v>
      </c>
      <c r="DI82" s="412">
        <f t="shared" ref="DI82:DI89" si="653">IF($H82&lt;&gt;DJ$5,0,IF(DJ82&lt;0,IF(OR($J82=1,$J82=2,$J82=3,$J82=4,$J82=5,$J82=6,$J82=7,$J82=8,$J82=9,$J82=10),-$E82*$I82/12*3,IF($J82=11,-$E82*$I82/12*2,IF($J82=12,-$E82*$I82/12*1,0)))))+IF(DE$5&lt;&gt;$H82,0,IF(DE82&lt;0,IF($J82=10,-$E82*$I82/12*0,IF($J82=11,-$E82*$I82/12*1,IF($J82=12,-$E82*$I82/12*2,0)))))</f>
        <v>0</v>
      </c>
      <c r="DJ82" s="413">
        <f t="shared" ref="DJ82:DJ89" si="654">IF(AND(DE82&lt;&gt;0,DE$5=$H82),-$I82*$E82-DE82,IF(DJ$5=$H82,-$I82*$E82*(12-$J82+1)/12,0))</f>
        <v>0</v>
      </c>
      <c r="DK82" s="410">
        <f t="shared" ref="DK82:DK89" si="655">IF($H82&lt;&gt;DO$5,0,IF(DO82&lt;0,IF($J82=1,-$E82*$I82/12*3,IF($J82=2,-$E82*$I82/12*2,IF($J82=3,-$E82*$I82/12*1,0)))))+IF(DJ$5&lt;&gt;$H82,0,IF(DJ82&lt;0,IF($J82=1,-$E82*$I82/12*0,IF($J82=2,-$E82*$I82/12*1,IF($J82=3,-$E82*$I82/12*2,IF($J82&gt;=4,-$E82*$I82/12*3,0))))))</f>
        <v>0</v>
      </c>
      <c r="DL82" s="416">
        <f t="shared" ref="DL82:DL89" si="656">IF($H82&lt;&gt;DO$5,0,IF(DO82&lt;0,IF(OR($J82=1,$J82=2,$J82=3,$J82=4),-$E82*$I82/12*3,IF($J82=5,-$E82*$I82/12*2,IF($J82=6,-$E82*$I82/12*1,0)))))+IF(DJ$5&lt;&gt;$H82,0,IF(DJ82&lt;0,IF($J82=4,-$E82*$I82/12*0,IF($J82=5,-$E82*$I82/12*1,IF($J82=6,-$E82*$I82/12*2,IF($J82&gt;=7,-$E82*$I82/12*3,0))))))</f>
        <v>0</v>
      </c>
      <c r="DM82" s="416">
        <f t="shared" ref="DM82:DM89" si="657">IF($H82&lt;&gt;DO$5,0,IF(DO82&lt;0,IF(OR($J82=1,$J82=2,$J82=3,$J82=4,$J82=5,$J82=6,$J82=7),-$E82*$I82/12*3,IF($J82=8,-$E82*$I82/12*2,IF($J82=9,-$E82*$I82/12*1,0)))))+IF(DJ$5&lt;&gt;$H82,0,IF(DJ82&lt;0,IF($J82=7,-$E82*$I82/12*0,IF($J82=8,-$E82*$I82/12*1,IF($J82=9,-$E82*$I82/12*2,IF($J82&gt;=10,-$E82*$I82/12*3,0))))))</f>
        <v>0</v>
      </c>
      <c r="DN82" s="412">
        <f t="shared" ref="DN82:DN89" si="658">IF($H82&lt;&gt;DO$5,0,IF(DO82&lt;0,IF(OR($J82=1,$J82=2,$J82=3,$J82=4,$J82=5,$J82=6,$J82=7,$J82=8,$J82=9,$J82=10),-$E82*$I82/12*3,IF($J82=11,-$E82*$I82/12*2,IF($J82=12,-$E82*$I82/12*1,0)))))+IF(DJ$5&lt;&gt;$H82,0,IF(DJ82&lt;0,IF($J82=10,-$E82*$I82/12*0,IF($J82=11,-$E82*$I82/12*1,IF($J82=12,-$E82*$I82/12*2,0)))))</f>
        <v>0</v>
      </c>
      <c r="DO82" s="413">
        <f t="shared" ref="DO82:DO89" si="659">IF(AND(DJ82&lt;&gt;0,DJ$5=$H82),-$I82*$E82-DJ82,IF(DO$5=$H82,-$I82*$E82*(12-$J82+1)/12,0))</f>
        <v>0</v>
      </c>
      <c r="DP82" s="410">
        <f t="shared" ref="DP82:DP89" si="660">IF($H82&lt;&gt;DT$5,0,IF(DT82&lt;0,IF($J82=1,-$E82*$I82/12*3,IF($J82=2,-$E82*$I82/12*2,IF($J82=3,-$E82*$I82/12*1,0)))))+IF(DO$5&lt;&gt;$H82,0,IF(DO82&lt;0,IF($J82=1,-$E82*$I82/12*0,IF($J82=2,-$E82*$I82/12*1,IF($J82=3,-$E82*$I82/12*2,IF($J82&gt;=4,-$E82*$I82/12*3,0))))))</f>
        <v>0</v>
      </c>
      <c r="DQ82" s="416">
        <f t="shared" ref="DQ82:DQ89" si="661">IF($H82&lt;&gt;DT$5,0,IF(DT82&lt;0,IF(OR($J82=1,$J82=2,$J82=3,$J82=4),-$E82*$I82/12*3,IF($J82=5,-$E82*$I82/12*2,IF($J82=6,-$E82*$I82/12*1,0)))))+IF(DO$5&lt;&gt;$H82,0,IF(DO82&lt;0,IF($J82=4,-$E82*$I82/12*0,IF($J82=5,-$E82*$I82/12*1,IF($J82=6,-$E82*$I82/12*2,IF($J82&gt;=7,-$E82*$I82/12*3,0))))))</f>
        <v>0</v>
      </c>
      <c r="DR82" s="416">
        <f t="shared" ref="DR82:DR89" si="662">IF($H82&lt;&gt;DT$5,0,IF(DT82&lt;0,IF(OR($J82=1,$J82=2,$J82=3,$J82=4,$J82=5,$J82=6,$J82=7),-$E82*$I82/12*3,IF($J82=8,-$E82*$I82/12*2,IF($J82=9,-$E82*$I82/12*1,0)))))+IF(DO$5&lt;&gt;$H82,0,IF(DO82&lt;0,IF($J82=7,-$E82*$I82/12*0,IF($J82=8,-$E82*$I82/12*1,IF($J82=9,-$E82*$I82/12*2,IF($J82&gt;=10,-$E82*$I82/12*3,0))))))</f>
        <v>0</v>
      </c>
      <c r="DS82" s="412">
        <f t="shared" ref="DS82:DS89" si="663">IF($H82&lt;&gt;DT$5,0,IF(DT82&lt;0,IF(OR($J82=1,$J82=2,$J82=3,$J82=4,$J82=5,$J82=6,$J82=7,$J82=8,$J82=9,$J82=10),-$E82*$I82/12*3,IF($J82=11,-$E82*$I82/12*2,IF($J82=12,-$E82*$I82/12*1,0)))))+IF(DO$5&lt;&gt;$H82,0,IF(DO82&lt;0,IF($J82=10,-$E82*$I82/12*0,IF($J82=11,-$E82*$I82/12*1,IF($J82=12,-$E82*$I82/12*2,0)))))</f>
        <v>-0.13489583333333333</v>
      </c>
      <c r="DT82" s="413">
        <f t="shared" ref="DT82:DT89" si="664">IF(AND(DO82&lt;&gt;0,DO$5=$H82),-$I82*$E82-DO82,IF(DT$5=$H82,-$I82*$E82*(12-$J82+1)/12,0))</f>
        <v>-0.13489583333333333</v>
      </c>
    </row>
    <row r="83" spans="1:124" ht="12.75" customHeight="1">
      <c r="A83" s="491"/>
      <c r="C83" s="1885" t="s">
        <v>407</v>
      </c>
      <c r="D83" s="1885"/>
      <c r="E83" s="1886">
        <f>IF(F83=0,G83,F83)</f>
        <v>40</v>
      </c>
      <c r="F83" s="1532">
        <v>40</v>
      </c>
      <c r="G83" s="1532">
        <v>40</v>
      </c>
      <c r="H83" s="610">
        <v>2019</v>
      </c>
      <c r="I83" s="1533">
        <v>3.2500000000000001E-2</v>
      </c>
      <c r="J83" s="615">
        <v>5</v>
      </c>
      <c r="K83" s="402"/>
      <c r="L83" s="407">
        <f>IF(L$5=$H83,-$E83,0)</f>
        <v>0</v>
      </c>
      <c r="M83" s="404">
        <f>IF(Q83=0,0,IF(Q83&lt;0,IF($J83=3,Q83,IF($J83=2,Q83,IF($J83=1,Q83,0)))))</f>
        <v>0</v>
      </c>
      <c r="N83" s="414">
        <f>IF(Q83=0,0,IF(Q83&lt;0,IF($J83=6,Q83,IF($J83=5,Q83,IF($J83=4,Q83,0)))))</f>
        <v>0</v>
      </c>
      <c r="O83" s="414">
        <f>IF(Q83=0,0,IF(Q83&lt;0,IF($J83=9,Q83,IF($J83=8,Q83,IF($J83=7,Q83,0)))))</f>
        <v>0</v>
      </c>
      <c r="P83" s="406">
        <f>IF(Q83=0,0,IF(Q83&lt;0,IF($J83=12,Q83,IF($J83=11,Q83,IF($J83=10,Q83,0)))))</f>
        <v>0</v>
      </c>
      <c r="Q83" s="407">
        <f>IF(Q$5=$H83,-$E83,0)</f>
        <v>0</v>
      </c>
      <c r="R83" s="404">
        <f>IF(V83=0,0,IF(V83&lt;0,IF($J83=3,V83,IF($J83=2,V83,IF($J83=1,V83,0)))))</f>
        <v>0</v>
      </c>
      <c r="S83" s="414">
        <f>IF(V83=0,0,IF(V83&lt;0,IF($J83=6,V83,IF($J83=5,V83,IF($J83=4,V83,0)))))</f>
        <v>0</v>
      </c>
      <c r="T83" s="414">
        <f>IF(V83=0,0,IF(V83&lt;0,IF($J83=9,V83,IF($J83=8,V83,IF($J83=7,V83,0)))))</f>
        <v>0</v>
      </c>
      <c r="U83" s="406">
        <f>IF(V83=0,0,IF(V83&lt;0,IF($J83=12,V83,IF($J83=11,V83,IF($J83=10,V83,0)))))</f>
        <v>0</v>
      </c>
      <c r="V83" s="407">
        <f>IF(V$5=$H83,-$E83,0)</f>
        <v>0</v>
      </c>
      <c r="W83" s="404">
        <f>IF(AA83=0,0,IF(AA83&lt;0,IF($J83=3,AA83,IF($J83=2,AA83,IF($J83=1,AA83,0)))))</f>
        <v>0</v>
      </c>
      <c r="X83" s="414">
        <f>IF(AA83=0,0,IF(AA83&lt;0,IF($J83=6,AA83,IF($J83=5,AA83,IF($J83=4,AA83,0)))))</f>
        <v>0</v>
      </c>
      <c r="Y83" s="414">
        <f>IF(AA83=0,0,IF(AA83&lt;0,IF($J83=9,AA83,IF($J83=8,AA83,IF($J83=7,AA83,0)))))</f>
        <v>0</v>
      </c>
      <c r="Z83" s="406">
        <f>IF(AA83=0,0,IF(AA83&lt;0,IF($J83=12,AA83,IF($J83=11,AA83,IF($J83=10,AA83,0)))))</f>
        <v>0</v>
      </c>
      <c r="AA83" s="407">
        <f>IF(AA$5=$H83,-$E83,0)</f>
        <v>0</v>
      </c>
      <c r="AB83" s="404">
        <f>IF(AF83=0,0,IF(AF83&lt;0,IF($J83=3,AF83,IF($J83=2,AF83,IF($J83=1,AF83,0)))))</f>
        <v>0</v>
      </c>
      <c r="AC83" s="414">
        <f>IF(AF83=0,0,IF(AF83&lt;0,IF($J83=6,AF83,IF($J83=5,AF83,IF($J83=4,AF83,0)))))</f>
        <v>0</v>
      </c>
      <c r="AD83" s="414">
        <f>IF(AF83=0,0,IF(AF83&lt;0,IF($J83=9,AF83,IF($J83=8,AF83,IF($J83=7,AF83,0)))))</f>
        <v>0</v>
      </c>
      <c r="AE83" s="406">
        <f>IF(AF83=0,0,IF(AF83&lt;0,IF($J83=12,AF83,IF($J83=11,AF83,IF($J83=10,AF83,0)))))</f>
        <v>0</v>
      </c>
      <c r="AF83" s="407">
        <f>IF(AF$5=$H83,-$E83,0)</f>
        <v>0</v>
      </c>
      <c r="AG83" s="404">
        <f>IF(AK83=0,0,IF(AK83&lt;0,IF($J83=3,AK83,IF($J83=2,AK83,IF($J83=1,AK83,0)))))</f>
        <v>0</v>
      </c>
      <c r="AH83" s="414">
        <f>IF(AK83=0,0,IF(AK83&lt;0,IF($J83=6,AK83,IF($J83=5,AK83,IF($J83=4,AK83,0)))))</f>
        <v>0</v>
      </c>
      <c r="AI83" s="414">
        <f>IF(AK83=0,0,IF(AK83&lt;0,IF($J83=9,AK83,IF($J83=8,AK83,IF($J83=7,AK83,0)))))</f>
        <v>0</v>
      </c>
      <c r="AJ83" s="406">
        <f>IF(AK83=0,0,IF(AK83&lt;0,IF($J83=12,AK83,IF($J83=11,AK83,IF($J83=10,AK83,0)))))</f>
        <v>0</v>
      </c>
      <c r="AK83" s="407">
        <f>IF(AK$5=$H83,-$E83,0)</f>
        <v>0</v>
      </c>
      <c r="AL83" s="404">
        <f>IF(AP83=0,0,IF(AP83&lt;0,IF($J83=3,AP83,IF($J83=2,AP83,IF($J83=1,AP83,0)))))</f>
        <v>0</v>
      </c>
      <c r="AM83" s="414">
        <f>IF(AP83=0,0,IF(AP83&lt;0,IF($J83=6,AP83,IF($J83=5,AP83,IF($J83=4,AP83,0)))))</f>
        <v>0</v>
      </c>
      <c r="AN83" s="414">
        <f>IF(AP83=0,0,IF(AP83&lt;0,IF($J83=9,AP83,IF($J83=8,AP83,IF($J83=7,AP83,0)))))</f>
        <v>0</v>
      </c>
      <c r="AO83" s="406">
        <f>IF(AP83=0,0,IF(AP83&lt;0,IF($J83=12,AP83,IF($J83=11,AP83,IF($J83=10,AP83,0)))))</f>
        <v>0</v>
      </c>
      <c r="AP83" s="407">
        <f>IF(AP$5=$H83,-$E83,0)</f>
        <v>0</v>
      </c>
      <c r="AQ83" s="404">
        <f>IF(AU83=0,0,IF(AU83&lt;0,IF($J83=3,AU83,IF($J83=2,AU83,IF($J83=1,AU83,0)))))</f>
        <v>0</v>
      </c>
      <c r="AR83" s="414">
        <f t="shared" si="552"/>
        <v>0</v>
      </c>
      <c r="AS83" s="414">
        <f>IF(AU83=0,0,IF(AU83&lt;0,IF($J83=9,AU83,IF($J83=8,AU83,IF($J83=7,AU83,0)))))</f>
        <v>0</v>
      </c>
      <c r="AT83" s="406">
        <f>IF(AU83=0,0,IF(AU83&lt;0,IF($J83=12,AU83,IF($J83=11,AU83,IF($J83=10,AU83,0)))))</f>
        <v>0</v>
      </c>
      <c r="AU83" s="407">
        <f>IF(AU$5=$H83,-$E83,0)</f>
        <v>0</v>
      </c>
      <c r="AV83" s="404">
        <f>IF(AZ83=0,0,IF(AZ83&lt;0,IF($J83=3,AZ83,IF($J83=2,AZ83,IF($J83=1,AZ83,0)))))</f>
        <v>0</v>
      </c>
      <c r="AW83" s="414">
        <f>IF(AZ83=0,0,IF(AZ83&lt;0,IF($J83=6,AZ83,IF($J83=5,AZ83,IF($J83=4,AZ83,0)))))</f>
        <v>0</v>
      </c>
      <c r="AX83" s="414">
        <f>IF(AZ83=0,0,IF(AZ83&lt;0,IF($J83=9,AZ83,IF($J83=8,AZ83,IF($J83=7,AZ83,0)))))</f>
        <v>0</v>
      </c>
      <c r="AY83" s="406">
        <f>IF(AZ83=0,0,IF(AZ83&lt;0,IF($J83=12,AZ83,IF($J83=11,AZ83,IF($J83=10,AZ83,0)))))</f>
        <v>0</v>
      </c>
      <c r="AZ83" s="407">
        <f>IF(AZ$5=$H83,-$E83,0)</f>
        <v>0</v>
      </c>
      <c r="BA83" s="404">
        <f>IF(BE83=0,0,IF(BE83&lt;0,IF($J83=3,BE83,IF($J83=2,BE83,IF($J83=1,BE83,0)))))</f>
        <v>0</v>
      </c>
      <c r="BB83" s="414">
        <f>IF(BE83=0,0,IF(BE83&lt;0,IF($J83=6,BE83,IF($J83=5,BE83,IF($J83=4,BE83,0)))))</f>
        <v>-40</v>
      </c>
      <c r="BC83" s="414">
        <f>IF(BE83=0,0,IF(BE83&lt;0,IF($J83=9,BE83,IF($J83=8,BE83,IF($J83=7,BE83,0)))))</f>
        <v>0</v>
      </c>
      <c r="BD83" s="406">
        <f>IF(BE83=0,0,IF(BE83&lt;0,IF($J83=12,BE83,IF($J83=11,BE83,IF($J83=10,BE83,0)))))</f>
        <v>0</v>
      </c>
      <c r="BE83" s="407">
        <f>IF(BE$5=$H83,-$E83,0)</f>
        <v>-40</v>
      </c>
      <c r="BF83" s="404">
        <f>IF(BJ83=0,0,IF(BJ83&lt;0,IF($J83=3,BJ83,IF($J83=2,BJ83,IF($J83=1,BJ83,0)))))</f>
        <v>0</v>
      </c>
      <c r="BG83" s="414">
        <f>IF(BJ83=0,0,IF(BJ83&lt;0,IF($J83=6,BJ83,IF($J83=5,BJ83,IF($J83=4,BJ83,0)))))</f>
        <v>0</v>
      </c>
      <c r="BH83" s="414">
        <f>IF(BJ83=0,0,IF(BJ83&lt;0,IF($J83=9,BJ83,IF($J83=8,BJ83,IF($J83=7,BJ83,0)))))</f>
        <v>0</v>
      </c>
      <c r="BI83" s="406">
        <f>IF(BJ83=0,0,IF(BJ83&lt;0,IF($J83=12,BJ83,IF($J83=11,BJ83,IF($J83=10,BJ83,0)))))</f>
        <v>0</v>
      </c>
      <c r="BJ83" s="407">
        <f>IF(BJ$5=$H83,-$E83,0)</f>
        <v>0</v>
      </c>
      <c r="BK83" s="404">
        <f>IF(BO83=0,0,IF(BO83&lt;0,IF($J83=3,BO83,IF($J83=2,BO83,IF($J83=1,BO83,0)))))</f>
        <v>0</v>
      </c>
      <c r="BL83" s="414">
        <f>IF(BO83=0,0,IF(BO83&lt;0,IF($J83=6,BO83,IF($J83=5,BO83,IF($J83=4,BO83,0)))))</f>
        <v>0</v>
      </c>
      <c r="BM83" s="414">
        <f>IF(BO83=0,0,IF(BO83&lt;0,IF($J83=9,BO83,IF($J83=8,BO83,IF($J83=7,BO83,0)))))</f>
        <v>0</v>
      </c>
      <c r="BN83" s="406">
        <f>IF(BO83=0,0,IF(BO83&lt;0,IF($J83=12,BO83,IF($J83=11,BO83,IF($J83=10,BO83,0)))))</f>
        <v>0</v>
      </c>
      <c r="BO83" s="407">
        <f>IF(BO$5=$H83,-$E83,0)</f>
        <v>0</v>
      </c>
      <c r="BP83" s="449"/>
      <c r="BQ83" s="413">
        <f>IF(AND(AH83&lt;&gt;0,AH$5=$H83),-$I83*$E83-AH83,IF(BQ$5=$H83,-$I83*$E83*(12-$J83+1)/12,0))</f>
        <v>0</v>
      </c>
      <c r="BR83" s="410">
        <f>IF($H83&lt;&gt;BV$5,0,IF(BV83&lt;0,IF($J83=1,-$E83*$I83/12*3,IF($J83=2,-$E83*$I83/12*2,IF($J83=3,-$E83*$I83/12*1,0)))))+IF(BQ$5&lt;&gt;$H83,0,IF(BQ83&lt;0,IF($J83=1,-$E83*$I83/12*0,IF($J83=2,-$E83*$I83/12*1,IF($J83=3,-$E83*$I83/12*2,IF($J83&gt;=4,-$E83*$I83/12*3,0))))))</f>
        <v>0</v>
      </c>
      <c r="BS83" s="416">
        <f>IF($H83&lt;&gt;BV$5,0,IF(BV83&lt;0,IF(OR($J83=1,$J83=2,$J83=3,$J83=4),-$E83*$I83/12*3,IF($J83=5,-$E83*$I83/12*2,IF($J83=6,-$E83*$I83/12*1,0)))))+IF(BQ$5&lt;&gt;$H83,0,IF(BQ83&lt;0,IF($J83=4,-$E83*$I83/12*0,IF($J83=5,-$E83*$I83/12*1,IF($J83=6,-$E83*$I83/12*2,IF($J83&gt;=7,-$E83*$I83/12*3,0))))))</f>
        <v>0</v>
      </c>
      <c r="BT83" s="416">
        <f>IF($H83&lt;&gt;BV$5,0,IF(BV83&lt;0,IF(OR($J83=1,$J83=2,$J83=3,$J83=4,$J83=5,$J83=6,$J83=7),-$E83*$I83/12*3,IF($J83=8,-$E83*$I83/12*2,IF($J83=9,-$E83*$I83/12*1,0)))))+IF(BQ$5&lt;&gt;$H83,0,IF(BQ83&lt;0,IF($J83=7,-$E83*$I83/12*0,IF($J83=8,-$E83*$I83/12*1,IF($J83=9,-$E83*$I83/12*2,IF($J83&gt;=10,-$E83*$I83/12*3,0))))))</f>
        <v>0</v>
      </c>
      <c r="BU83" s="412">
        <f>IF($H83&lt;&gt;BV$5,0,IF(BV83&lt;0,IF(OR($J83=1,$J83=2,$J83=3,$J83=4,$J83=5,$J83=6,$J83=7,$J83=8,$J83=9,$J83=10),-$E83*$I83/12*3,IF($J83=11,-$E83*$I83/12*2,IF($J83=12,-$E83*$I83/12*1,0)))))+IF(BQ$5&lt;&gt;$H83,0,IF(BQ83&lt;0,IF($J83=10,-$E83*$I83/12*0,IF($J83=11,-$E83*$I83/12*1,IF($J83=12,-$E83*$I83/12*2,0)))))</f>
        <v>0</v>
      </c>
      <c r="BV83" s="413">
        <f>IF(AND(BQ83&lt;&gt;0,BQ$5=$H83),-$I83*$E83-BQ83,IF(BV$5=$H83,-$I83*$E83*(12-$J83+1)/12,0))</f>
        <v>0</v>
      </c>
      <c r="BW83" s="410">
        <f>IF($H83&lt;&gt;CA$5,0,IF(CA83&lt;0,IF($J83=1,-$E83*$I83/12*3,IF($J83=2,-$E83*$I83/12*2,IF($J83=3,-$E83*$I83/12*1,0)))))+IF(BV$5&lt;&gt;$H83,0,IF(BV83&lt;0,IF($J83=1,-$E83*$I83/12*0,IF($J83=2,-$E83*$I83/12*1,IF($J83=3,-$E83*$I83/12*2,IF($J83&gt;=4,-$E83*$I83/12*3,0))))))</f>
        <v>0</v>
      </c>
      <c r="BX83" s="416">
        <f>IF($H83&lt;&gt;CA$5,0,IF(CA83&lt;0,IF(OR($J83=1,$J83=2,$J83=3,$J83=4),-$E83*$I83/12*3,IF($J83=5,-$E83*$I83/12*2,IF($J83=6,-$E83*$I83/12*1,0)))))+IF(BV$5&lt;&gt;$H83,0,IF(BV83&lt;0,IF($J83=4,-$E83*$I83/12*0,IF($J83=5,-$E83*$I83/12*1,IF($J83=6,-$E83*$I83/12*2,IF($J83&gt;=7,-$E83*$I83/12*3,0))))))</f>
        <v>0</v>
      </c>
      <c r="BY83" s="416">
        <f>IF($H83&lt;&gt;CA$5,0,IF(CA83&lt;0,IF(OR($J83=1,$J83=2,$J83=3,$J83=4,$J83=5,$J83=6,$J83=7),-$E83*$I83/12*3,IF($J83=8,-$E83*$I83/12*2,IF($J83=9,-$E83*$I83/12*1,0)))))+IF(BV$5&lt;&gt;$H83,0,IF(BV83&lt;0,IF($J83=7,-$E83*$I83/12*0,IF($J83=8,-$E83*$I83/12*1,IF($J83=9,-$E83*$I83/12*2,IF($J83&gt;=10,-$E83*$I83/12*3,0))))))</f>
        <v>0</v>
      </c>
      <c r="BZ83" s="412">
        <f>IF($H83&lt;&gt;CA$5,0,IF(CA83&lt;0,IF(OR($J83=1,$J83=2,$J83=3,$J83=4,$J83=5,$J83=6,$J83=7,$J83=8,$J83=9,$J83=10),-$E83*$I83/12*3,IF($J83=11,-$E83*$I83/12*2,IF($J83=12,-$E83*$I83/12*1,0)))))+IF(BV$5&lt;&gt;$H83,0,IF(BV83&lt;0,IF($J83=10,-$E83*$I83/12*0,IF($J83=11,-$E83*$I83/12*1,IF($J83=12,-$E83*$I83/12*2,0)))))</f>
        <v>0</v>
      </c>
      <c r="CA83" s="413">
        <f>IF(AND(BV83&lt;&gt;0,BV$5=$H83),-$I83*$E83-BV83,IF(CA$5=$H83,-$I83*$E83*(12-$J83+1)/12,0))</f>
        <v>0</v>
      </c>
      <c r="CB83" s="410">
        <f>IF($H83&lt;&gt;CF$5,0,IF(CF83&lt;0,IF($J83=1,-$E83*$I83/12*3,IF($J83=2,-$E83*$I83/12*2,IF($J83=3,-$E83*$I83/12*1,0)))))+IF(CA$5&lt;&gt;$H83,0,IF(CA83&lt;0,IF($J83=1,-$E83*$I83/12*0,IF($J83=2,-$E83*$I83/12*1,IF($J83=3,-$E83*$I83/12*2,IF($J83&gt;=4,-$E83*$I83/12*3,0))))))</f>
        <v>0</v>
      </c>
      <c r="CC83" s="416">
        <f>IF($H83&lt;&gt;CF$5,0,IF(CF83&lt;0,IF(OR($J83=1,$J83=2,$J83=3,$J83=4),-$E83*$I83/12*3,IF($J83=5,-$E83*$I83/12*2,IF($J83=6,-$E83*$I83/12*1,0)))))+IF(CA$5&lt;&gt;$H83,0,IF(CA83&lt;0,IF($J83=4,-$E83*$I83/12*0,IF($J83=5,-$E83*$I83/12*1,IF($J83=6,-$E83*$I83/12*2,IF($J83&gt;=7,-$E83*$I83/12*3,0))))))</f>
        <v>0</v>
      </c>
      <c r="CD83" s="416">
        <f>IF($H83&lt;&gt;CF$5,0,IF(CF83&lt;0,IF(OR($J83=1,$J83=2,$J83=3,$J83=4,$J83=5,$J83=6,$J83=7),-$E83*$I83/12*3,IF($J83=8,-$E83*$I83/12*2,IF($J83=9,-$E83*$I83/12*1,0)))))+IF(CA$5&lt;&gt;$H83,0,IF(CA83&lt;0,IF($J83=7,-$E83*$I83/12*0,IF($J83=8,-$E83*$I83/12*1,IF($J83=9,-$E83*$I83/12*2,IF($J83&gt;=10,-$E83*$I83/12*3,0))))))</f>
        <v>0</v>
      </c>
      <c r="CE83" s="412">
        <f>IF($H83&lt;&gt;CF$5,0,IF(CF83&lt;0,IF(OR($J83=1,$J83=2,$J83=3,$J83=4,$J83=5,$J83=6,$J83=7,$J83=8,$J83=9,$J83=10),-$E83*$I83/12*3,IF($J83=11,-$E83*$I83/12*2,IF($J83=12,-$E83*$I83/12*1,0)))))+IF(CA$5&lt;&gt;$H83,0,IF(CA83&lt;0,IF($J83=10,-$E83*$I83/12*0,IF($J83=11,-$E83*$I83/12*1,IF($J83=12,-$E83*$I83/12*2,0)))))</f>
        <v>0</v>
      </c>
      <c r="CF83" s="413">
        <f>IF(AND(CA83&lt;&gt;0,CA$5=$H83),-$I83*$E83-CA83,IF(CF$5=$H83,-$I83*$E83*(12-$J83+1)/12,0))</f>
        <v>0</v>
      </c>
      <c r="CG83" s="410">
        <f>IF($H83&lt;&gt;CK$5,0,IF(CK83&lt;0,IF($J83=1,-$E83*$I83/12*3,IF($J83=2,-$E83*$I83/12*2,IF($J83=3,-$E83*$I83/12*1,0)))))+IF(CF$5&lt;&gt;$H83,0,IF(CF83&lt;0,IF($J83=1,-$E83*$I83/12*0,IF($J83=2,-$E83*$I83/12*1,IF($J83=3,-$E83*$I83/12*2,IF($J83&gt;=4,-$E83*$I83/12*3,0))))))</f>
        <v>0</v>
      </c>
      <c r="CH83" s="416">
        <f>IF($H83&lt;&gt;CK$5,0,IF(CK83&lt;0,IF(OR($J83=1,$J83=2,$J83=3,$J83=4),-$E83*$I83/12*3,IF($J83=5,-$E83*$I83/12*2,IF($J83=6,-$E83*$I83/12*1,0)))))+IF(CF$5&lt;&gt;$H83,0,IF(CF83&lt;0,IF($J83=4,-$E83*$I83/12*0,IF($J83=5,-$E83*$I83/12*1,IF($J83=6,-$E83*$I83/12*2,IF($J83&gt;=7,-$E83*$I83/12*3,0))))))</f>
        <v>0</v>
      </c>
      <c r="CI83" s="416">
        <f>IF($H83&lt;&gt;CK$5,0,IF(CK83&lt;0,IF(OR($J83=1,$J83=2,$J83=3,$J83=4,$J83=5,$J83=6,$J83=7),-$E83*$I83/12*3,IF($J83=8,-$E83*$I83/12*2,IF($J83=9,-$E83*$I83/12*1,0)))))+IF(CF$5&lt;&gt;$H83,0,IF(CF83&lt;0,IF($J83=7,-$E83*$I83/12*0,IF($J83=8,-$E83*$I83/12*1,IF($J83=9,-$E83*$I83/12*2,IF($J83&gt;=10,-$E83*$I83/12*3,0))))))</f>
        <v>0</v>
      </c>
      <c r="CJ83" s="412">
        <f>IF($H83&lt;&gt;CK$5,0,IF(CK83&lt;0,IF(OR($J83=1,$J83=2,$J83=3,$J83=4,$J83=5,$J83=6,$J83=7,$J83=8,$J83=9,$J83=10),-$E83*$I83/12*3,IF($J83=11,-$E83*$I83/12*2,IF($J83=12,-$E83*$I83/12*1,0)))))+IF(CF$5&lt;&gt;$H83,0,IF(CF83&lt;0,IF($J83=10,-$E83*$I83/12*0,IF($J83=11,-$E83*$I83/12*1,IF($J83=12,-$E83*$I83/12*2,0)))))</f>
        <v>0</v>
      </c>
      <c r="CK83" s="413">
        <f>IF(AND(CF83&lt;&gt;0,CF$5=$H83),-$I83*$E83-CF83,IF(CK$5=$H83,-$I83*$E83*(12-$J83+1)/12,0))</f>
        <v>0</v>
      </c>
      <c r="CL83" s="410">
        <f>IF($H83&lt;&gt;CP$5,0,IF(CP83&lt;0,IF($J83=1,-$E83*$I83/12*3,IF($J83=2,-$E83*$I83/12*2,IF($J83=3,-$E83*$I83/12*1,0)))))+IF(CK$5&lt;&gt;$H83,0,IF(CK83&lt;0,IF($J83=1,-$E83*$I83/12*0,IF($J83=2,-$E83*$I83/12*1,IF($J83=3,-$E83*$I83/12*2,IF($J83&gt;=4,-$E83*$I83/12*3,0))))))</f>
        <v>0</v>
      </c>
      <c r="CM83" s="416">
        <f>IF($H83&lt;&gt;CP$5,0,IF(CP83&lt;0,IF(OR($J83=1,$J83=2,$J83=3,$J83=4),-$E83*$I83/12*3,IF($J83=5,-$E83*$I83/12*2,IF($J83=6,-$E83*$I83/12*1,0)))))+IF(CK$5&lt;&gt;$H83,0,IF(CK83&lt;0,IF($J83=4,-$E83*$I83/12*0,IF($J83=5,-$E83*$I83/12*1,IF($J83=6,-$E83*$I83/12*2,IF($J83&gt;=7,-$E83*$I83/12*3,0))))))</f>
        <v>0</v>
      </c>
      <c r="CN83" s="416">
        <f>IF($H83&lt;&gt;CP$5,0,IF(CP83&lt;0,IF(OR($J83=1,$J83=2,$J83=3,$J83=4,$J83=5,$J83=6,$J83=7),-$E83*$I83/12*3,IF($J83=8,-$E83*$I83/12*2,IF($J83=9,-$E83*$I83/12*1,0)))))+IF(CK$5&lt;&gt;$H83,0,IF(CK83&lt;0,IF($J83=7,-$E83*$I83/12*0,IF($J83=8,-$E83*$I83/12*1,IF($J83=9,-$E83*$I83/12*2,IF($J83&gt;=10,-$E83*$I83/12*3,0))))))</f>
        <v>0</v>
      </c>
      <c r="CO83" s="412">
        <f>IF($H83&lt;&gt;CP$5,0,IF(CP83&lt;0,IF(OR($J83=1,$J83=2,$J83=3,$J83=4,$J83=5,$J83=6,$J83=7,$J83=8,$J83=9,$J83=10),-$E83*$I83/12*3,IF($J83=11,-$E83*$I83/12*2,IF($J83=12,-$E83*$I83/12*1,0)))))+IF(CK$5&lt;&gt;$H83,0,IF(CK83&lt;0,IF($J83=10,-$E83*$I83/12*0,IF($J83=11,-$E83*$I83/12*1,IF($J83=12,-$E83*$I83/12*2,0)))))</f>
        <v>0</v>
      </c>
      <c r="CP83" s="413">
        <f>IF(AND(CK83&lt;&gt;0,CK$5=$H83),-$I83*$E83-CK83,IF(CP$5=$H83,-$I83*$E83*(12-$J83+1)/12,0))</f>
        <v>0</v>
      </c>
      <c r="CQ83" s="410">
        <f>IF($H83&lt;&gt;CU$5,0,IF(CU83&lt;0,IF($J83=1,-$E83*$I83/12*3,IF($J83=2,-$E83*$I83/12*2,IF($J83=3,-$E83*$I83/12*1,0)))))+IF(CP$5&lt;&gt;$H83,0,IF(CP83&lt;0,IF($J83=1,-$E83*$I83/12*0,IF($J83=2,-$E83*$I83/12*1,IF($J83=3,-$E83*$I83/12*2,IF($J83&gt;=4,-$E83*$I83/12*3,0))))))</f>
        <v>0</v>
      </c>
      <c r="CR83" s="416">
        <f>IF($H83&lt;&gt;CU$5,0,IF(CU83&lt;0,IF(OR($J83=1,$J83=2,$J83=3,$J83=4),-$E83*$I83/12*3,IF($J83=5,-$E83*$I83/12*2,IF($J83=6,-$E83*$I83/12*1,0)))))+IF(CP$5&lt;&gt;$H83,0,IF(CP83&lt;0,IF($J83=4,-$E83*$I83/12*0,IF($J83=5,-$E83*$I83/12*1,IF($J83=6,-$E83*$I83/12*2,IF($J83&gt;=7,-$E83*$I83/12*3,0))))))</f>
        <v>0</v>
      </c>
      <c r="CS83" s="416">
        <f>IF($H83&lt;&gt;CU$5,0,IF(CU83&lt;0,IF(OR($J83=1,$J83=2,$J83=3,$J83=4,$J83=5,$J83=6,$J83=7),-$E83*$I83/12*3,IF($J83=8,-$E83*$I83/12*2,IF($J83=9,-$E83*$I83/12*1,0)))))+IF(CP$5&lt;&gt;$H83,0,IF(CP83&lt;0,IF($J83=7,-$E83*$I83/12*0,IF($J83=8,-$E83*$I83/12*1,IF($J83=9,-$E83*$I83/12*2,IF($J83&gt;=10,-$E83*$I83/12*3,0))))))</f>
        <v>0</v>
      </c>
      <c r="CT83" s="412">
        <f>IF($H83&lt;&gt;CU$5,0,IF(CU83&lt;0,IF(OR($J83=1,$J83=2,$J83=3,$J83=4,$J83=5,$J83=6,$J83=7,$J83=8,$J83=9,$J83=10),-$E83*$I83/12*3,IF($J83=11,-$E83*$I83/12*2,IF($J83=12,-$E83*$I83/12*1,0)))))+IF(CP$5&lt;&gt;$H83,0,IF(CP83&lt;0,IF($J83=10,-$E83*$I83/12*0,IF($J83=11,-$E83*$I83/12*1,IF($J83=12,-$E83*$I83/12*2,0)))))</f>
        <v>0</v>
      </c>
      <c r="CU83" s="413">
        <f>IF(AND(CP83&lt;&gt;0,CP$5=$H83),-$I83*$E83-CP83,IF(CU$5=$H83,-$I83*$E83*(12-$J83+1)/12,0))</f>
        <v>0</v>
      </c>
      <c r="CV83" s="410">
        <f>IF($H83&lt;&gt;CZ$5,0,IF(CZ83&lt;0,IF($J83=1,-$E83*$I83/12*3,IF($J83=2,-$E83*$I83/12*2,IF($J83=3,-$E83*$I83/12*1,0)))))+IF(CU$5&lt;&gt;$H83,0,IF(CU83&lt;0,IF($J83=1,-$E83*$I83/12*0,IF($J83=2,-$E83*$I83/12*1,IF($J83=3,-$E83*$I83/12*2,IF($J83&gt;=4,-$E83*$I83/12*3,0))))))</f>
        <v>0</v>
      </c>
      <c r="CW83" s="416">
        <f>IF($H83&lt;&gt;CZ$5,0,IF(CZ83&lt;0,IF(OR($J83=1,$J83=2,$J83=3,$J83=4),-$E83*$I83/12*3,IF($J83=5,-$E83*$I83/12*2,IF($J83=6,-$E83*$I83/12*1,0)))))+IF(CU$5&lt;&gt;$H83,0,IF(CU83&lt;0,IF($J83=4,-$E83*$I83/12*0,IF($J83=5,-$E83*$I83/12*1,IF($J83=6,-$E83*$I83/12*2,IF($J83&gt;=7,-$E83*$I83/12*3,0))))))</f>
        <v>0</v>
      </c>
      <c r="CX83" s="416">
        <f>IF($H83&lt;&gt;CZ$5,0,IF(CZ83&lt;0,IF(OR($J83=1,$J83=2,$J83=3,$J83=4,$J83=5,$J83=6,$J83=7),-$E83*$I83/12*3,IF($J83=8,-$E83*$I83/12*2,IF($J83=9,-$E83*$I83/12*1,0)))))+IF(CU$5&lt;&gt;$H83,0,IF(CU83&lt;0,IF($J83=7,-$E83*$I83/12*0,IF($J83=8,-$E83*$I83/12*1,IF($J83=9,-$E83*$I83/12*2,IF($J83&gt;=10,-$E83*$I83/12*3,0))))))</f>
        <v>0</v>
      </c>
      <c r="CY83" s="412">
        <f>IF($H83&lt;&gt;CZ$5,0,IF(CZ83&lt;0,IF(OR($J83=1,$J83=2,$J83=3,$J83=4,$J83=5,$J83=6,$J83=7,$J83=8,$J83=9,$J83=10),-$E83*$I83/12*3,IF($J83=11,-$E83*$I83/12*2,IF($J83=12,-$E83*$I83/12*1,0)))))+IF(CU$5&lt;&gt;$H83,0,IF(CU83&lt;0,IF($J83=10,-$E83*$I83/12*0,IF($J83=11,-$E83*$I83/12*1,IF($J83=12,-$E83*$I83/12*2,0)))))</f>
        <v>0</v>
      </c>
      <c r="CZ83" s="413">
        <f>IF(AND(CU83&lt;&gt;0,CU$5=$H83),-$I83*$E83-CU83,IF(CZ$5=$H83,-$I83*$E83*(12-$J83+1)/12,0))</f>
        <v>0</v>
      </c>
      <c r="DA83" s="410">
        <f>IF($H83&lt;&gt;DE$5,0,IF(DE83&lt;0,IF($J83=1,-$E83*$I83/12*3,IF($J83=2,-$E83*$I83/12*2,IF($J83=3,-$E83*$I83/12*1,0)))))+IF(CZ$5&lt;&gt;$H83,0,IF(CZ83&lt;0,IF($J83=1,-$E83*$I83/12*0,IF($J83=2,-$E83*$I83/12*1,IF($J83=3,-$E83*$I83/12*2,IF($J83&gt;=4,-$E83*$I83/12*3,0))))))</f>
        <v>0</v>
      </c>
      <c r="DB83" s="416">
        <f>IF($H83&lt;&gt;DE$5,0,IF(DE83&lt;0,IF(OR($J83=1,$J83=2,$J83=3,$J83=4),-$E83*$I83/12*3,IF($J83=5,-$E83*$I83/12*2,IF($J83=6,-$E83*$I83/12*1,0)))))+IF(CZ$5&lt;&gt;$H83,0,IF(CZ83&lt;0,IF($J83=4,-$E83*$I83/12*0,IF($J83=5,-$E83*$I83/12*1,IF($J83=6,-$E83*$I83/12*2,IF($J83&gt;=7,-$E83*$I83/12*3,0))))))</f>
        <v>0</v>
      </c>
      <c r="DC83" s="416">
        <f>IF($H83&lt;&gt;DE$5,0,IF(DE83&lt;0,IF(OR($J83=1,$J83=2,$J83=3,$J83=4,$J83=5,$J83=6,$J83=7),-$E83*$I83/12*3,IF($J83=8,-$E83*$I83/12*2,IF($J83=9,-$E83*$I83/12*1,0)))))+IF(CZ$5&lt;&gt;$H83,0,IF(CZ83&lt;0,IF($J83=7,-$E83*$I83/12*0,IF($J83=8,-$E83*$I83/12*1,IF($J83=9,-$E83*$I83/12*2,IF($J83&gt;=10,-$E83*$I83/12*3,0))))))</f>
        <v>0</v>
      </c>
      <c r="DD83" s="412">
        <f>IF($H83&lt;&gt;DE$5,0,IF(DE83&lt;0,IF(OR($J83=1,$J83=2,$J83=3,$J83=4,$J83=5,$J83=6,$J83=7,$J83=8,$J83=9,$J83=10),-$E83*$I83/12*3,IF($J83=11,-$E83*$I83/12*2,IF($J83=12,-$E83*$I83/12*1,0)))))+IF(CZ$5&lt;&gt;$H83,0,IF(CZ83&lt;0,IF($J83=10,-$E83*$I83/12*0,IF($J83=11,-$E83*$I83/12*1,IF($J83=12,-$E83*$I83/12*2,0)))))</f>
        <v>0</v>
      </c>
      <c r="DE83" s="413">
        <f>IF(AND(CZ83&lt;&gt;0,CZ$5=$H83),-$I83*$E83-CZ83,IF(DE$5=$H83,-$I83*$E83*(12-$J83+1)/12,0))</f>
        <v>0</v>
      </c>
      <c r="DF83" s="410">
        <f>IF($H83&lt;&gt;DJ$5,0,IF(DJ83&lt;0,IF($J83=1,-$E83*$I83/12*3,IF($J83=2,-$E83*$I83/12*2,IF($J83=3,-$E83*$I83/12*1,0)))))+IF(DE$5&lt;&gt;$H83,0,IF(DE83&lt;0,IF($J83=1,-$E83*$I83/12*0,IF($J83=2,-$E83*$I83/12*1,IF($J83=3,-$E83*$I83/12*2,IF($J83&gt;=4,-$E83*$I83/12*3,0))))))</f>
        <v>0</v>
      </c>
      <c r="DG83" s="416">
        <f>IF($H83&lt;&gt;DJ$5,0,IF(DJ83&lt;0,IF(OR($J83=1,$J83=2,$J83=3,$J83=4),-$E83*$I83/12*3,IF($J83=5,-$E83*$I83/12*2,IF($J83=6,-$E83*$I83/12*1,0)))))+IF(DE$5&lt;&gt;$H83,0,IF(DE83&lt;0,IF($J83=4,-$E83*$I83/12*0,IF($J83=5,-$E83*$I83/12*1,IF($J83=6,-$E83*$I83/12*2,IF($J83&gt;=7,-$E83*$I83/12*3,0))))))</f>
        <v>-0.21666666666666667</v>
      </c>
      <c r="DH83" s="416">
        <f>IF($H83&lt;&gt;DJ$5,0,IF(DJ83&lt;0,IF(OR($J83=1,$J83=2,$J83=3,$J83=4,$J83=5,$J83=6,$J83=7),-$E83*$I83/12*3,IF($J83=8,-$E83*$I83/12*2,IF($J83=9,-$E83*$I83/12*1,0)))))+IF(DE$5&lt;&gt;$H83,0,IF(DE83&lt;0,IF($J83=7,-$E83*$I83/12*0,IF($J83=8,-$E83*$I83/12*1,IF($J83=9,-$E83*$I83/12*2,IF($J83&gt;=10,-$E83*$I83/12*3,0))))))</f>
        <v>-0.32500000000000001</v>
      </c>
      <c r="DI83" s="412">
        <f>IF($H83&lt;&gt;DJ$5,0,IF(DJ83&lt;0,IF(OR($J83=1,$J83=2,$J83=3,$J83=4,$J83=5,$J83=6,$J83=7,$J83=8,$J83=9,$J83=10),-$E83*$I83/12*3,IF($J83=11,-$E83*$I83/12*2,IF($J83=12,-$E83*$I83/12*1,0)))))+IF(DE$5&lt;&gt;$H83,0,IF(DE83&lt;0,IF($J83=10,-$E83*$I83/12*0,IF($J83=11,-$E83*$I83/12*1,IF($J83=12,-$E83*$I83/12*2,0)))))</f>
        <v>-0.32500000000000001</v>
      </c>
      <c r="DJ83" s="413">
        <f>IF(AND(DE83&lt;&gt;0,DE$5=$H83),-$I83*$E83-DE83,IF(DJ$5=$H83,-$I83*$E83*(12-$J83+1)/12,0))</f>
        <v>-0.8666666666666667</v>
      </c>
      <c r="DK83" s="410">
        <f>IF($H83&lt;&gt;DO$5,0,IF(DO83&lt;0,IF($J83=1,-$E83*$I83/12*3,IF($J83=2,-$E83*$I83/12*2,IF($J83=3,-$E83*$I83/12*1,0)))))+IF(DJ$5&lt;&gt;$H83,0,IF(DJ83&lt;0,IF($J83=1,-$E83*$I83/12*0,IF($J83=2,-$E83*$I83/12*1,IF($J83=3,-$E83*$I83/12*2,IF($J83&gt;=4,-$E83*$I83/12*3,0))))))</f>
        <v>-0.32500000000000001</v>
      </c>
      <c r="DL83" s="416">
        <f>IF($H83&lt;&gt;DO$5,0,IF(DO83&lt;0,IF(OR($J83=1,$J83=2,$J83=3,$J83=4),-$E83*$I83/12*3,IF($J83=5,-$E83*$I83/12*2,IF($J83=6,-$E83*$I83/12*1,0)))))+IF(DJ$5&lt;&gt;$H83,0,IF(DJ83&lt;0,IF($J83=4,-$E83*$I83/12*0,IF($J83=5,-$E83*$I83/12*1,IF($J83=6,-$E83*$I83/12*2,IF($J83&gt;=7,-$E83*$I83/12*3,0))))))</f>
        <v>-0.10833333333333334</v>
      </c>
      <c r="DM83" s="416">
        <f>IF($H83&lt;&gt;DO$5,0,IF(DO83&lt;0,IF(OR($J83=1,$J83=2,$J83=3,$J83=4,$J83=5,$J83=6,$J83=7),-$E83*$I83/12*3,IF($J83=8,-$E83*$I83/12*2,IF($J83=9,-$E83*$I83/12*1,0)))))+IF(DJ$5&lt;&gt;$H83,0,IF(DJ83&lt;0,IF($J83=7,-$E83*$I83/12*0,IF($J83=8,-$E83*$I83/12*1,IF($J83=9,-$E83*$I83/12*2,IF($J83&gt;=10,-$E83*$I83/12*3,0))))))</f>
        <v>0</v>
      </c>
      <c r="DN83" s="412">
        <f>IF($H83&lt;&gt;DO$5,0,IF(DO83&lt;0,IF(OR($J83=1,$J83=2,$J83=3,$J83=4,$J83=5,$J83=6,$J83=7,$J83=8,$J83=9,$J83=10),-$E83*$I83/12*3,IF($J83=11,-$E83*$I83/12*2,IF($J83=12,-$E83*$I83/12*1,0)))))+IF(DJ$5&lt;&gt;$H83,0,IF(DJ83&lt;0,IF($J83=10,-$E83*$I83/12*0,IF($J83=11,-$E83*$I83/12*1,IF($J83=12,-$E83*$I83/12*2,0)))))</f>
        <v>0</v>
      </c>
      <c r="DO83" s="413">
        <f>IF(AND(DJ83&lt;&gt;0,DJ$5=$H83),-$I83*$E83-DJ83,IF(DO$5=$H83,-$I83*$E83*(12-$J83+1)/12,0))</f>
        <v>-0.43333333333333335</v>
      </c>
      <c r="DP83" s="410">
        <f>IF($H83&lt;&gt;DT$5,0,IF(DT83&lt;0,IF($J83=1,-$E83*$I83/12*3,IF($J83=2,-$E83*$I83/12*2,IF($J83=3,-$E83*$I83/12*1,0)))))+IF(DO$5&lt;&gt;$H83,0,IF(DO83&lt;0,IF($J83=1,-$E83*$I83/12*0,IF($J83=2,-$E83*$I83/12*1,IF($J83=3,-$E83*$I83/12*2,IF($J83&gt;=4,-$E83*$I83/12*3,0))))))</f>
        <v>0</v>
      </c>
      <c r="DQ83" s="416">
        <f>IF($H83&lt;&gt;DT$5,0,IF(DT83&lt;0,IF(OR($J83=1,$J83=2,$J83=3,$J83=4),-$E83*$I83/12*3,IF($J83=5,-$E83*$I83/12*2,IF($J83=6,-$E83*$I83/12*1,0)))))+IF(DO$5&lt;&gt;$H83,0,IF(DO83&lt;0,IF($J83=4,-$E83*$I83/12*0,IF($J83=5,-$E83*$I83/12*1,IF($J83=6,-$E83*$I83/12*2,IF($J83&gt;=7,-$E83*$I83/12*3,0))))))</f>
        <v>0</v>
      </c>
      <c r="DR83" s="416">
        <f>IF($H83&lt;&gt;DT$5,0,IF(DT83&lt;0,IF(OR($J83=1,$J83=2,$J83=3,$J83=4,$J83=5,$J83=6,$J83=7),-$E83*$I83/12*3,IF($J83=8,-$E83*$I83/12*2,IF($J83=9,-$E83*$I83/12*1,0)))))+IF(DO$5&lt;&gt;$H83,0,IF(DO83&lt;0,IF($J83=7,-$E83*$I83/12*0,IF($J83=8,-$E83*$I83/12*1,IF($J83=9,-$E83*$I83/12*2,IF($J83&gt;=10,-$E83*$I83/12*3,0))))))</f>
        <v>0</v>
      </c>
      <c r="DS83" s="412">
        <f>IF($H83&lt;&gt;DT$5,0,IF(DT83&lt;0,IF(OR($J83=1,$J83=2,$J83=3,$J83=4,$J83=5,$J83=6,$J83=7,$J83=8,$J83=9,$J83=10),-$E83*$I83/12*3,IF($J83=11,-$E83*$I83/12*2,IF($J83=12,-$E83*$I83/12*1,0)))))+IF(DO$5&lt;&gt;$H83,0,IF(DO83&lt;0,IF($J83=10,-$E83*$I83/12*0,IF($J83=11,-$E83*$I83/12*1,IF($J83=12,-$E83*$I83/12*2,0)))))</f>
        <v>0</v>
      </c>
      <c r="DT83" s="413">
        <f>IF(AND(DO83&lt;&gt;0,DO$5=$H83),-$I83*$E83-DO83,IF(DT$5=$H83,-$I83*$E83*(12-$J83+1)/12,0))</f>
        <v>0</v>
      </c>
    </row>
    <row r="84" spans="1:124" ht="12.75" customHeight="1">
      <c r="A84" s="491"/>
      <c r="C84" s="601" t="s">
        <v>1360</v>
      </c>
      <c r="D84" s="601"/>
      <c r="E84" s="1886">
        <f t="shared" si="553"/>
        <v>100</v>
      </c>
      <c r="F84" s="1532">
        <v>100</v>
      </c>
      <c r="G84" s="1532">
        <v>100</v>
      </c>
      <c r="H84" s="610">
        <v>2022</v>
      </c>
      <c r="I84" s="1533">
        <v>1.6250000000000001E-2</v>
      </c>
      <c r="J84" s="615">
        <v>10</v>
      </c>
      <c r="K84" s="402"/>
      <c r="L84" s="407">
        <f t="shared" si="554"/>
        <v>0</v>
      </c>
      <c r="M84" s="404">
        <f t="shared" si="555"/>
        <v>0</v>
      </c>
      <c r="N84" s="414">
        <f t="shared" si="556"/>
        <v>0</v>
      </c>
      <c r="O84" s="414">
        <f t="shared" si="557"/>
        <v>0</v>
      </c>
      <c r="P84" s="406">
        <f t="shared" si="558"/>
        <v>0</v>
      </c>
      <c r="Q84" s="407">
        <f t="shared" si="559"/>
        <v>0</v>
      </c>
      <c r="R84" s="404">
        <f t="shared" si="560"/>
        <v>0</v>
      </c>
      <c r="S84" s="414">
        <f t="shared" si="561"/>
        <v>0</v>
      </c>
      <c r="T84" s="414">
        <f t="shared" si="562"/>
        <v>0</v>
      </c>
      <c r="U84" s="406">
        <f t="shared" si="563"/>
        <v>0</v>
      </c>
      <c r="V84" s="407">
        <f t="shared" si="564"/>
        <v>0</v>
      </c>
      <c r="W84" s="404">
        <f t="shared" si="565"/>
        <v>0</v>
      </c>
      <c r="X84" s="414">
        <f t="shared" si="566"/>
        <v>0</v>
      </c>
      <c r="Y84" s="414">
        <f t="shared" si="567"/>
        <v>0</v>
      </c>
      <c r="Z84" s="406">
        <f t="shared" si="568"/>
        <v>0</v>
      </c>
      <c r="AA84" s="407">
        <f t="shared" si="569"/>
        <v>0</v>
      </c>
      <c r="AB84" s="404">
        <f t="shared" si="570"/>
        <v>0</v>
      </c>
      <c r="AC84" s="414">
        <f t="shared" si="571"/>
        <v>0</v>
      </c>
      <c r="AD84" s="414">
        <f t="shared" si="572"/>
        <v>0</v>
      </c>
      <c r="AE84" s="406">
        <f t="shared" si="573"/>
        <v>0</v>
      </c>
      <c r="AF84" s="407">
        <f t="shared" si="574"/>
        <v>0</v>
      </c>
      <c r="AG84" s="404">
        <f t="shared" si="575"/>
        <v>0</v>
      </c>
      <c r="AH84" s="414">
        <f t="shared" si="576"/>
        <v>0</v>
      </c>
      <c r="AI84" s="414">
        <f t="shared" si="577"/>
        <v>0</v>
      </c>
      <c r="AJ84" s="406">
        <f t="shared" si="578"/>
        <v>0</v>
      </c>
      <c r="AK84" s="407">
        <f t="shared" si="579"/>
        <v>0</v>
      </c>
      <c r="AL84" s="404">
        <f t="shared" si="580"/>
        <v>0</v>
      </c>
      <c r="AM84" s="414">
        <f t="shared" si="581"/>
        <v>0</v>
      </c>
      <c r="AN84" s="414">
        <f t="shared" si="582"/>
        <v>0</v>
      </c>
      <c r="AO84" s="406">
        <f t="shared" si="583"/>
        <v>0</v>
      </c>
      <c r="AP84" s="407">
        <f t="shared" si="584"/>
        <v>0</v>
      </c>
      <c r="AQ84" s="404">
        <f t="shared" si="585"/>
        <v>0</v>
      </c>
      <c r="AR84" s="414">
        <f t="shared" si="552"/>
        <v>0</v>
      </c>
      <c r="AS84" s="414">
        <f t="shared" si="586"/>
        <v>0</v>
      </c>
      <c r="AT84" s="406">
        <f t="shared" si="587"/>
        <v>0</v>
      </c>
      <c r="AU84" s="407">
        <f t="shared" si="588"/>
        <v>0</v>
      </c>
      <c r="AV84" s="404">
        <f t="shared" si="589"/>
        <v>0</v>
      </c>
      <c r="AW84" s="414">
        <f t="shared" si="590"/>
        <v>0</v>
      </c>
      <c r="AX84" s="414">
        <f t="shared" si="591"/>
        <v>0</v>
      </c>
      <c r="AY84" s="406">
        <f t="shared" si="592"/>
        <v>0</v>
      </c>
      <c r="AZ84" s="407">
        <f t="shared" si="593"/>
        <v>0</v>
      </c>
      <c r="BA84" s="404">
        <f t="shared" si="594"/>
        <v>0</v>
      </c>
      <c r="BB84" s="414">
        <f t="shared" si="595"/>
        <v>0</v>
      </c>
      <c r="BC84" s="414">
        <f t="shared" si="596"/>
        <v>0</v>
      </c>
      <c r="BD84" s="406">
        <f t="shared" si="597"/>
        <v>0</v>
      </c>
      <c r="BE84" s="407">
        <f t="shared" si="598"/>
        <v>0</v>
      </c>
      <c r="BF84" s="404">
        <f t="shared" si="599"/>
        <v>0</v>
      </c>
      <c r="BG84" s="414">
        <f t="shared" si="600"/>
        <v>0</v>
      </c>
      <c r="BH84" s="414">
        <f t="shared" si="601"/>
        <v>0</v>
      </c>
      <c r="BI84" s="406">
        <f t="shared" si="602"/>
        <v>0</v>
      </c>
      <c r="BJ84" s="407">
        <f t="shared" si="603"/>
        <v>0</v>
      </c>
      <c r="BK84" s="404">
        <f t="shared" si="604"/>
        <v>0</v>
      </c>
      <c r="BL84" s="414">
        <f t="shared" si="605"/>
        <v>0</v>
      </c>
      <c r="BM84" s="414">
        <f t="shared" si="606"/>
        <v>0</v>
      </c>
      <c r="BN84" s="406">
        <f t="shared" si="607"/>
        <v>0</v>
      </c>
      <c r="BO84" s="407">
        <f t="shared" si="608"/>
        <v>0</v>
      </c>
      <c r="BP84" s="449"/>
      <c r="BQ84" s="413">
        <f t="shared" si="609"/>
        <v>0</v>
      </c>
      <c r="BR84" s="410">
        <f t="shared" si="610"/>
        <v>0</v>
      </c>
      <c r="BS84" s="416">
        <f t="shared" si="611"/>
        <v>0</v>
      </c>
      <c r="BT84" s="416">
        <f t="shared" si="612"/>
        <v>0</v>
      </c>
      <c r="BU84" s="412">
        <f t="shared" si="613"/>
        <v>0</v>
      </c>
      <c r="BV84" s="413">
        <f t="shared" si="614"/>
        <v>0</v>
      </c>
      <c r="BW84" s="410">
        <f t="shared" si="615"/>
        <v>0</v>
      </c>
      <c r="BX84" s="416">
        <f t="shared" si="616"/>
        <v>0</v>
      </c>
      <c r="BY84" s="416">
        <f t="shared" si="617"/>
        <v>0</v>
      </c>
      <c r="BZ84" s="412">
        <f t="shared" si="618"/>
        <v>0</v>
      </c>
      <c r="CA84" s="413">
        <f t="shared" si="619"/>
        <v>0</v>
      </c>
      <c r="CB84" s="410">
        <f t="shared" si="620"/>
        <v>0</v>
      </c>
      <c r="CC84" s="416">
        <f t="shared" si="621"/>
        <v>0</v>
      </c>
      <c r="CD84" s="416">
        <f t="shared" si="622"/>
        <v>0</v>
      </c>
      <c r="CE84" s="412">
        <f t="shared" si="623"/>
        <v>0</v>
      </c>
      <c r="CF84" s="413">
        <f t="shared" si="624"/>
        <v>0</v>
      </c>
      <c r="CG84" s="410">
        <f t="shared" si="625"/>
        <v>0</v>
      </c>
      <c r="CH84" s="416">
        <f t="shared" si="626"/>
        <v>0</v>
      </c>
      <c r="CI84" s="416">
        <f t="shared" si="627"/>
        <v>0</v>
      </c>
      <c r="CJ84" s="412">
        <f t="shared" si="628"/>
        <v>0</v>
      </c>
      <c r="CK84" s="413">
        <f t="shared" si="629"/>
        <v>0</v>
      </c>
      <c r="CL84" s="410">
        <f t="shared" si="630"/>
        <v>0</v>
      </c>
      <c r="CM84" s="416">
        <f t="shared" si="631"/>
        <v>0</v>
      </c>
      <c r="CN84" s="416">
        <f t="shared" si="632"/>
        <v>0</v>
      </c>
      <c r="CO84" s="412">
        <f t="shared" si="633"/>
        <v>0</v>
      </c>
      <c r="CP84" s="413">
        <f t="shared" si="634"/>
        <v>0</v>
      </c>
      <c r="CQ84" s="410">
        <f t="shared" si="635"/>
        <v>0</v>
      </c>
      <c r="CR84" s="416">
        <f t="shared" si="636"/>
        <v>0</v>
      </c>
      <c r="CS84" s="416">
        <f t="shared" si="637"/>
        <v>0</v>
      </c>
      <c r="CT84" s="412">
        <f t="shared" si="638"/>
        <v>0</v>
      </c>
      <c r="CU84" s="413">
        <f t="shared" si="639"/>
        <v>0</v>
      </c>
      <c r="CV84" s="410">
        <f t="shared" si="640"/>
        <v>0</v>
      </c>
      <c r="CW84" s="416">
        <f t="shared" si="641"/>
        <v>0</v>
      </c>
      <c r="CX84" s="416">
        <f t="shared" si="642"/>
        <v>0</v>
      </c>
      <c r="CY84" s="412">
        <f t="shared" si="643"/>
        <v>0</v>
      </c>
      <c r="CZ84" s="413">
        <f t="shared" si="644"/>
        <v>0</v>
      </c>
      <c r="DA84" s="410">
        <f t="shared" si="645"/>
        <v>0</v>
      </c>
      <c r="DB84" s="416">
        <f t="shared" si="646"/>
        <v>0</v>
      </c>
      <c r="DC84" s="416">
        <f t="shared" si="647"/>
        <v>0</v>
      </c>
      <c r="DD84" s="412">
        <f t="shared" si="648"/>
        <v>0</v>
      </c>
      <c r="DE84" s="413">
        <f t="shared" si="649"/>
        <v>0</v>
      </c>
      <c r="DF84" s="410">
        <f t="shared" si="650"/>
        <v>0</v>
      </c>
      <c r="DG84" s="416">
        <f t="shared" si="651"/>
        <v>0</v>
      </c>
      <c r="DH84" s="416">
        <f t="shared" si="652"/>
        <v>0</v>
      </c>
      <c r="DI84" s="412">
        <f t="shared" si="653"/>
        <v>0</v>
      </c>
      <c r="DJ84" s="413">
        <f t="shared" si="654"/>
        <v>0</v>
      </c>
      <c r="DK84" s="410">
        <f t="shared" si="655"/>
        <v>0</v>
      </c>
      <c r="DL84" s="416">
        <f t="shared" si="656"/>
        <v>0</v>
      </c>
      <c r="DM84" s="416">
        <f t="shared" si="657"/>
        <v>0</v>
      </c>
      <c r="DN84" s="412">
        <f t="shared" si="658"/>
        <v>0</v>
      </c>
      <c r="DO84" s="413">
        <f t="shared" si="659"/>
        <v>0</v>
      </c>
      <c r="DP84" s="410">
        <f t="shared" si="660"/>
        <v>0</v>
      </c>
      <c r="DQ84" s="416">
        <f t="shared" si="661"/>
        <v>0</v>
      </c>
      <c r="DR84" s="416">
        <f t="shared" si="662"/>
        <v>0</v>
      </c>
      <c r="DS84" s="412">
        <f t="shared" si="663"/>
        <v>0</v>
      </c>
      <c r="DT84" s="413">
        <f t="shared" si="664"/>
        <v>0</v>
      </c>
    </row>
    <row r="85" spans="1:124" ht="12.75" customHeight="1">
      <c r="A85" s="491"/>
      <c r="C85" s="601" t="s">
        <v>410</v>
      </c>
      <c r="D85" s="601"/>
      <c r="E85" s="1886">
        <f t="shared" si="553"/>
        <v>50.274999999999999</v>
      </c>
      <c r="F85" s="1532">
        <v>50.274999999999999</v>
      </c>
      <c r="G85" s="1532">
        <v>50.274999999999999</v>
      </c>
      <c r="H85" s="610">
        <v>2036</v>
      </c>
      <c r="I85" s="1534">
        <v>4.4999999999999998E-2</v>
      </c>
      <c r="J85" s="615">
        <v>2</v>
      </c>
      <c r="K85" s="402"/>
      <c r="L85" s="407">
        <f t="shared" si="554"/>
        <v>0</v>
      </c>
      <c r="M85" s="404">
        <f t="shared" si="555"/>
        <v>0</v>
      </c>
      <c r="N85" s="414">
        <f t="shared" si="556"/>
        <v>0</v>
      </c>
      <c r="O85" s="414">
        <f t="shared" si="557"/>
        <v>0</v>
      </c>
      <c r="P85" s="406">
        <f t="shared" si="558"/>
        <v>0</v>
      </c>
      <c r="Q85" s="407">
        <f t="shared" si="559"/>
        <v>0</v>
      </c>
      <c r="R85" s="404">
        <f t="shared" si="560"/>
        <v>0</v>
      </c>
      <c r="S85" s="414">
        <f t="shared" si="561"/>
        <v>0</v>
      </c>
      <c r="T85" s="414">
        <f t="shared" si="562"/>
        <v>0</v>
      </c>
      <c r="U85" s="406">
        <f t="shared" si="563"/>
        <v>0</v>
      </c>
      <c r="V85" s="407">
        <f t="shared" si="564"/>
        <v>0</v>
      </c>
      <c r="W85" s="404">
        <f t="shared" si="565"/>
        <v>0</v>
      </c>
      <c r="X85" s="414">
        <f t="shared" si="566"/>
        <v>0</v>
      </c>
      <c r="Y85" s="414">
        <f t="shared" si="567"/>
        <v>0</v>
      </c>
      <c r="Z85" s="406">
        <f t="shared" si="568"/>
        <v>0</v>
      </c>
      <c r="AA85" s="407">
        <f t="shared" si="569"/>
        <v>0</v>
      </c>
      <c r="AB85" s="404">
        <f t="shared" si="570"/>
        <v>0</v>
      </c>
      <c r="AC85" s="414">
        <f t="shared" si="571"/>
        <v>0</v>
      </c>
      <c r="AD85" s="414">
        <f t="shared" si="572"/>
        <v>0</v>
      </c>
      <c r="AE85" s="406">
        <f t="shared" si="573"/>
        <v>0</v>
      </c>
      <c r="AF85" s="407">
        <f t="shared" si="574"/>
        <v>0</v>
      </c>
      <c r="AG85" s="404">
        <f t="shared" si="575"/>
        <v>0</v>
      </c>
      <c r="AH85" s="414">
        <f t="shared" si="576"/>
        <v>0</v>
      </c>
      <c r="AI85" s="414">
        <f t="shared" si="577"/>
        <v>0</v>
      </c>
      <c r="AJ85" s="406">
        <f t="shared" si="578"/>
        <v>0</v>
      </c>
      <c r="AK85" s="407">
        <f t="shared" si="579"/>
        <v>0</v>
      </c>
      <c r="AL85" s="404">
        <f t="shared" si="580"/>
        <v>0</v>
      </c>
      <c r="AM85" s="414">
        <f t="shared" si="581"/>
        <v>0</v>
      </c>
      <c r="AN85" s="414">
        <f t="shared" si="582"/>
        <v>0</v>
      </c>
      <c r="AO85" s="406">
        <f t="shared" si="583"/>
        <v>0</v>
      </c>
      <c r="AP85" s="407">
        <f t="shared" si="584"/>
        <v>0</v>
      </c>
      <c r="AQ85" s="404">
        <f t="shared" si="585"/>
        <v>0</v>
      </c>
      <c r="AR85" s="414">
        <f t="shared" si="552"/>
        <v>0</v>
      </c>
      <c r="AS85" s="414">
        <f t="shared" si="586"/>
        <v>0</v>
      </c>
      <c r="AT85" s="406">
        <f t="shared" si="587"/>
        <v>0</v>
      </c>
      <c r="AU85" s="407">
        <f t="shared" si="588"/>
        <v>0</v>
      </c>
      <c r="AV85" s="404">
        <f t="shared" si="589"/>
        <v>0</v>
      </c>
      <c r="AW85" s="414">
        <f t="shared" si="590"/>
        <v>0</v>
      </c>
      <c r="AX85" s="414">
        <f t="shared" si="591"/>
        <v>0</v>
      </c>
      <c r="AY85" s="406">
        <f t="shared" si="592"/>
        <v>0</v>
      </c>
      <c r="AZ85" s="407">
        <f t="shared" si="593"/>
        <v>0</v>
      </c>
      <c r="BA85" s="404">
        <f t="shared" si="594"/>
        <v>0</v>
      </c>
      <c r="BB85" s="414">
        <f t="shared" si="595"/>
        <v>0</v>
      </c>
      <c r="BC85" s="414">
        <f t="shared" si="596"/>
        <v>0</v>
      </c>
      <c r="BD85" s="406">
        <f t="shared" si="597"/>
        <v>0</v>
      </c>
      <c r="BE85" s="407">
        <f t="shared" si="598"/>
        <v>0</v>
      </c>
      <c r="BF85" s="404">
        <f t="shared" si="599"/>
        <v>0</v>
      </c>
      <c r="BG85" s="414">
        <f t="shared" si="600"/>
        <v>0</v>
      </c>
      <c r="BH85" s="414">
        <f t="shared" si="601"/>
        <v>0</v>
      </c>
      <c r="BI85" s="406">
        <f t="shared" si="602"/>
        <v>0</v>
      </c>
      <c r="BJ85" s="407">
        <f t="shared" si="603"/>
        <v>0</v>
      </c>
      <c r="BK85" s="404">
        <f t="shared" si="604"/>
        <v>0</v>
      </c>
      <c r="BL85" s="414">
        <f t="shared" si="605"/>
        <v>0</v>
      </c>
      <c r="BM85" s="414">
        <f t="shared" si="606"/>
        <v>0</v>
      </c>
      <c r="BN85" s="406">
        <f t="shared" si="607"/>
        <v>0</v>
      </c>
      <c r="BO85" s="407">
        <f t="shared" si="608"/>
        <v>0</v>
      </c>
      <c r="BP85" s="449"/>
      <c r="BQ85" s="413">
        <f t="shared" si="609"/>
        <v>0</v>
      </c>
      <c r="BR85" s="410">
        <f t="shared" si="610"/>
        <v>0</v>
      </c>
      <c r="BS85" s="416">
        <f t="shared" si="611"/>
        <v>0</v>
      </c>
      <c r="BT85" s="416">
        <f t="shared" si="612"/>
        <v>0</v>
      </c>
      <c r="BU85" s="412">
        <f t="shared" si="613"/>
        <v>0</v>
      </c>
      <c r="BV85" s="413">
        <f t="shared" si="614"/>
        <v>0</v>
      </c>
      <c r="BW85" s="410">
        <f t="shared" si="615"/>
        <v>0</v>
      </c>
      <c r="BX85" s="416">
        <f t="shared" si="616"/>
        <v>0</v>
      </c>
      <c r="BY85" s="416">
        <f t="shared" si="617"/>
        <v>0</v>
      </c>
      <c r="BZ85" s="412">
        <f t="shared" si="618"/>
        <v>0</v>
      </c>
      <c r="CA85" s="413">
        <f t="shared" si="619"/>
        <v>0</v>
      </c>
      <c r="CB85" s="410">
        <f t="shared" si="620"/>
        <v>0</v>
      </c>
      <c r="CC85" s="416">
        <f t="shared" si="621"/>
        <v>0</v>
      </c>
      <c r="CD85" s="416">
        <f t="shared" si="622"/>
        <v>0</v>
      </c>
      <c r="CE85" s="412">
        <f t="shared" si="623"/>
        <v>0</v>
      </c>
      <c r="CF85" s="413">
        <f t="shared" si="624"/>
        <v>0</v>
      </c>
      <c r="CG85" s="410">
        <f t="shared" si="625"/>
        <v>0</v>
      </c>
      <c r="CH85" s="416">
        <f t="shared" si="626"/>
        <v>0</v>
      </c>
      <c r="CI85" s="416">
        <f t="shared" si="627"/>
        <v>0</v>
      </c>
      <c r="CJ85" s="412">
        <f t="shared" si="628"/>
        <v>0</v>
      </c>
      <c r="CK85" s="413">
        <f t="shared" si="629"/>
        <v>0</v>
      </c>
      <c r="CL85" s="410">
        <f t="shared" si="630"/>
        <v>0</v>
      </c>
      <c r="CM85" s="416">
        <f t="shared" si="631"/>
        <v>0</v>
      </c>
      <c r="CN85" s="416">
        <f t="shared" si="632"/>
        <v>0</v>
      </c>
      <c r="CO85" s="412">
        <f t="shared" si="633"/>
        <v>0</v>
      </c>
      <c r="CP85" s="413">
        <f t="shared" si="634"/>
        <v>0</v>
      </c>
      <c r="CQ85" s="410">
        <f t="shared" si="635"/>
        <v>0</v>
      </c>
      <c r="CR85" s="416">
        <f t="shared" si="636"/>
        <v>0</v>
      </c>
      <c r="CS85" s="416">
        <f t="shared" si="637"/>
        <v>0</v>
      </c>
      <c r="CT85" s="412">
        <f t="shared" si="638"/>
        <v>0</v>
      </c>
      <c r="CU85" s="413">
        <f t="shared" si="639"/>
        <v>0</v>
      </c>
      <c r="CV85" s="410">
        <f t="shared" si="640"/>
        <v>0</v>
      </c>
      <c r="CW85" s="416">
        <f t="shared" si="641"/>
        <v>0</v>
      </c>
      <c r="CX85" s="416">
        <f t="shared" si="642"/>
        <v>0</v>
      </c>
      <c r="CY85" s="412">
        <f t="shared" si="643"/>
        <v>0</v>
      </c>
      <c r="CZ85" s="413">
        <f t="shared" si="644"/>
        <v>0</v>
      </c>
      <c r="DA85" s="410">
        <f t="shared" si="645"/>
        <v>0</v>
      </c>
      <c r="DB85" s="416">
        <f t="shared" si="646"/>
        <v>0</v>
      </c>
      <c r="DC85" s="416">
        <f t="shared" si="647"/>
        <v>0</v>
      </c>
      <c r="DD85" s="412">
        <f t="shared" si="648"/>
        <v>0</v>
      </c>
      <c r="DE85" s="413">
        <f t="shared" si="649"/>
        <v>0</v>
      </c>
      <c r="DF85" s="410">
        <f t="shared" si="650"/>
        <v>0</v>
      </c>
      <c r="DG85" s="416">
        <f t="shared" si="651"/>
        <v>0</v>
      </c>
      <c r="DH85" s="416">
        <f t="shared" si="652"/>
        <v>0</v>
      </c>
      <c r="DI85" s="412">
        <f t="shared" si="653"/>
        <v>0</v>
      </c>
      <c r="DJ85" s="413">
        <f t="shared" si="654"/>
        <v>0</v>
      </c>
      <c r="DK85" s="410">
        <f t="shared" si="655"/>
        <v>0</v>
      </c>
      <c r="DL85" s="416">
        <f t="shared" si="656"/>
        <v>0</v>
      </c>
      <c r="DM85" s="416">
        <f t="shared" si="657"/>
        <v>0</v>
      </c>
      <c r="DN85" s="412">
        <f t="shared" si="658"/>
        <v>0</v>
      </c>
      <c r="DO85" s="413">
        <f t="shared" si="659"/>
        <v>0</v>
      </c>
      <c r="DP85" s="410">
        <f t="shared" si="660"/>
        <v>0</v>
      </c>
      <c r="DQ85" s="416">
        <f t="shared" si="661"/>
        <v>0</v>
      </c>
      <c r="DR85" s="416">
        <f t="shared" si="662"/>
        <v>0</v>
      </c>
      <c r="DS85" s="412">
        <f t="shared" si="663"/>
        <v>0</v>
      </c>
      <c r="DT85" s="413">
        <f t="shared" si="664"/>
        <v>0</v>
      </c>
    </row>
    <row r="86" spans="1:124" ht="12.75" customHeight="1">
      <c r="A86" s="491"/>
      <c r="C86" s="601" t="s">
        <v>411</v>
      </c>
      <c r="D86" s="601"/>
      <c r="E86" s="1886">
        <f t="shared" si="553"/>
        <v>75</v>
      </c>
      <c r="F86" s="1532">
        <v>75</v>
      </c>
      <c r="G86" s="1532">
        <v>75</v>
      </c>
      <c r="H86" s="610">
        <v>2036</v>
      </c>
      <c r="I86" s="1534">
        <v>4.4999999999999998E-2</v>
      </c>
      <c r="J86" s="615">
        <v>2</v>
      </c>
      <c r="K86" s="402"/>
      <c r="L86" s="407">
        <f t="shared" si="554"/>
        <v>0</v>
      </c>
      <c r="M86" s="404">
        <f t="shared" si="555"/>
        <v>0</v>
      </c>
      <c r="N86" s="414">
        <f t="shared" si="556"/>
        <v>0</v>
      </c>
      <c r="O86" s="414">
        <f t="shared" si="557"/>
        <v>0</v>
      </c>
      <c r="P86" s="406">
        <f t="shared" si="558"/>
        <v>0</v>
      </c>
      <c r="Q86" s="407">
        <f t="shared" si="559"/>
        <v>0</v>
      </c>
      <c r="R86" s="404">
        <f t="shared" si="560"/>
        <v>0</v>
      </c>
      <c r="S86" s="414">
        <f t="shared" si="561"/>
        <v>0</v>
      </c>
      <c r="T86" s="414">
        <f t="shared" si="562"/>
        <v>0</v>
      </c>
      <c r="U86" s="406">
        <f t="shared" si="563"/>
        <v>0</v>
      </c>
      <c r="V86" s="407">
        <f t="shared" si="564"/>
        <v>0</v>
      </c>
      <c r="W86" s="404">
        <f t="shared" si="565"/>
        <v>0</v>
      </c>
      <c r="X86" s="414">
        <f t="shared" si="566"/>
        <v>0</v>
      </c>
      <c r="Y86" s="414">
        <f t="shared" si="567"/>
        <v>0</v>
      </c>
      <c r="Z86" s="406">
        <f t="shared" si="568"/>
        <v>0</v>
      </c>
      <c r="AA86" s="407">
        <f t="shared" si="569"/>
        <v>0</v>
      </c>
      <c r="AB86" s="404">
        <f t="shared" si="570"/>
        <v>0</v>
      </c>
      <c r="AC86" s="414">
        <f t="shared" si="571"/>
        <v>0</v>
      </c>
      <c r="AD86" s="414">
        <f t="shared" si="572"/>
        <v>0</v>
      </c>
      <c r="AE86" s="406">
        <f t="shared" si="573"/>
        <v>0</v>
      </c>
      <c r="AF86" s="407">
        <f t="shared" si="574"/>
        <v>0</v>
      </c>
      <c r="AG86" s="404">
        <f t="shared" si="575"/>
        <v>0</v>
      </c>
      <c r="AH86" s="414">
        <f t="shared" si="576"/>
        <v>0</v>
      </c>
      <c r="AI86" s="414">
        <f t="shared" si="577"/>
        <v>0</v>
      </c>
      <c r="AJ86" s="406">
        <f t="shared" si="578"/>
        <v>0</v>
      </c>
      <c r="AK86" s="407">
        <f t="shared" si="579"/>
        <v>0</v>
      </c>
      <c r="AL86" s="404">
        <f t="shared" si="580"/>
        <v>0</v>
      </c>
      <c r="AM86" s="414">
        <f t="shared" si="581"/>
        <v>0</v>
      </c>
      <c r="AN86" s="414">
        <f t="shared" si="582"/>
        <v>0</v>
      </c>
      <c r="AO86" s="406">
        <f t="shared" si="583"/>
        <v>0</v>
      </c>
      <c r="AP86" s="407">
        <f t="shared" si="584"/>
        <v>0</v>
      </c>
      <c r="AQ86" s="404">
        <f t="shared" si="585"/>
        <v>0</v>
      </c>
      <c r="AR86" s="414">
        <f t="shared" si="552"/>
        <v>0</v>
      </c>
      <c r="AS86" s="414">
        <f t="shared" si="586"/>
        <v>0</v>
      </c>
      <c r="AT86" s="406">
        <f t="shared" si="587"/>
        <v>0</v>
      </c>
      <c r="AU86" s="407">
        <f t="shared" si="588"/>
        <v>0</v>
      </c>
      <c r="AV86" s="404">
        <f t="shared" si="589"/>
        <v>0</v>
      </c>
      <c r="AW86" s="414">
        <f t="shared" si="590"/>
        <v>0</v>
      </c>
      <c r="AX86" s="414">
        <f t="shared" si="591"/>
        <v>0</v>
      </c>
      <c r="AY86" s="406">
        <f t="shared" si="592"/>
        <v>0</v>
      </c>
      <c r="AZ86" s="407">
        <f t="shared" si="593"/>
        <v>0</v>
      </c>
      <c r="BA86" s="404">
        <f t="shared" si="594"/>
        <v>0</v>
      </c>
      <c r="BB86" s="414">
        <f t="shared" si="595"/>
        <v>0</v>
      </c>
      <c r="BC86" s="414">
        <f t="shared" si="596"/>
        <v>0</v>
      </c>
      <c r="BD86" s="406">
        <f t="shared" si="597"/>
        <v>0</v>
      </c>
      <c r="BE86" s="407">
        <f t="shared" si="598"/>
        <v>0</v>
      </c>
      <c r="BF86" s="404">
        <f t="shared" si="599"/>
        <v>0</v>
      </c>
      <c r="BG86" s="414">
        <f t="shared" si="600"/>
        <v>0</v>
      </c>
      <c r="BH86" s="414">
        <f t="shared" si="601"/>
        <v>0</v>
      </c>
      <c r="BI86" s="406">
        <f t="shared" si="602"/>
        <v>0</v>
      </c>
      <c r="BJ86" s="407">
        <f t="shared" si="603"/>
        <v>0</v>
      </c>
      <c r="BK86" s="404">
        <f t="shared" si="604"/>
        <v>0</v>
      </c>
      <c r="BL86" s="414">
        <f t="shared" si="605"/>
        <v>0</v>
      </c>
      <c r="BM86" s="414">
        <f t="shared" si="606"/>
        <v>0</v>
      </c>
      <c r="BN86" s="406">
        <f t="shared" si="607"/>
        <v>0</v>
      </c>
      <c r="BO86" s="407">
        <f t="shared" si="608"/>
        <v>0</v>
      </c>
      <c r="BP86" s="449"/>
      <c r="BQ86" s="413">
        <f t="shared" si="609"/>
        <v>0</v>
      </c>
      <c r="BR86" s="410">
        <f t="shared" si="610"/>
        <v>0</v>
      </c>
      <c r="BS86" s="416">
        <f t="shared" si="611"/>
        <v>0</v>
      </c>
      <c r="BT86" s="416">
        <f t="shared" si="612"/>
        <v>0</v>
      </c>
      <c r="BU86" s="412">
        <f t="shared" si="613"/>
        <v>0</v>
      </c>
      <c r="BV86" s="413">
        <f t="shared" si="614"/>
        <v>0</v>
      </c>
      <c r="BW86" s="410">
        <f t="shared" si="615"/>
        <v>0</v>
      </c>
      <c r="BX86" s="416">
        <f t="shared" si="616"/>
        <v>0</v>
      </c>
      <c r="BY86" s="416">
        <f t="shared" si="617"/>
        <v>0</v>
      </c>
      <c r="BZ86" s="412">
        <f t="shared" si="618"/>
        <v>0</v>
      </c>
      <c r="CA86" s="413">
        <f t="shared" si="619"/>
        <v>0</v>
      </c>
      <c r="CB86" s="410">
        <f t="shared" si="620"/>
        <v>0</v>
      </c>
      <c r="CC86" s="416">
        <f t="shared" si="621"/>
        <v>0</v>
      </c>
      <c r="CD86" s="416">
        <f t="shared" si="622"/>
        <v>0</v>
      </c>
      <c r="CE86" s="412">
        <f t="shared" si="623"/>
        <v>0</v>
      </c>
      <c r="CF86" s="413">
        <f t="shared" si="624"/>
        <v>0</v>
      </c>
      <c r="CG86" s="410">
        <f t="shared" si="625"/>
        <v>0</v>
      </c>
      <c r="CH86" s="416">
        <f t="shared" si="626"/>
        <v>0</v>
      </c>
      <c r="CI86" s="416">
        <f t="shared" si="627"/>
        <v>0</v>
      </c>
      <c r="CJ86" s="412">
        <f t="shared" si="628"/>
        <v>0</v>
      </c>
      <c r="CK86" s="413">
        <f t="shared" si="629"/>
        <v>0</v>
      </c>
      <c r="CL86" s="410">
        <f t="shared" si="630"/>
        <v>0</v>
      </c>
      <c r="CM86" s="416">
        <f t="shared" si="631"/>
        <v>0</v>
      </c>
      <c r="CN86" s="416">
        <f t="shared" si="632"/>
        <v>0</v>
      </c>
      <c r="CO86" s="412">
        <f t="shared" si="633"/>
        <v>0</v>
      </c>
      <c r="CP86" s="413">
        <f t="shared" si="634"/>
        <v>0</v>
      </c>
      <c r="CQ86" s="410">
        <f t="shared" si="635"/>
        <v>0</v>
      </c>
      <c r="CR86" s="416">
        <f t="shared" si="636"/>
        <v>0</v>
      </c>
      <c r="CS86" s="416">
        <f t="shared" si="637"/>
        <v>0</v>
      </c>
      <c r="CT86" s="412">
        <f t="shared" si="638"/>
        <v>0</v>
      </c>
      <c r="CU86" s="413">
        <f t="shared" si="639"/>
        <v>0</v>
      </c>
      <c r="CV86" s="410">
        <f t="shared" si="640"/>
        <v>0</v>
      </c>
      <c r="CW86" s="416">
        <f t="shared" si="641"/>
        <v>0</v>
      </c>
      <c r="CX86" s="416">
        <f t="shared" si="642"/>
        <v>0</v>
      </c>
      <c r="CY86" s="412">
        <f t="shared" si="643"/>
        <v>0</v>
      </c>
      <c r="CZ86" s="413">
        <f t="shared" si="644"/>
        <v>0</v>
      </c>
      <c r="DA86" s="410">
        <f t="shared" si="645"/>
        <v>0</v>
      </c>
      <c r="DB86" s="416">
        <f t="shared" si="646"/>
        <v>0</v>
      </c>
      <c r="DC86" s="416">
        <f t="shared" si="647"/>
        <v>0</v>
      </c>
      <c r="DD86" s="412">
        <f t="shared" si="648"/>
        <v>0</v>
      </c>
      <c r="DE86" s="413">
        <f t="shared" si="649"/>
        <v>0</v>
      </c>
      <c r="DF86" s="410">
        <f t="shared" si="650"/>
        <v>0</v>
      </c>
      <c r="DG86" s="416">
        <f t="shared" si="651"/>
        <v>0</v>
      </c>
      <c r="DH86" s="416">
        <f t="shared" si="652"/>
        <v>0</v>
      </c>
      <c r="DI86" s="412">
        <f t="shared" si="653"/>
        <v>0</v>
      </c>
      <c r="DJ86" s="413">
        <f t="shared" si="654"/>
        <v>0</v>
      </c>
      <c r="DK86" s="410">
        <f t="shared" si="655"/>
        <v>0</v>
      </c>
      <c r="DL86" s="416">
        <f t="shared" si="656"/>
        <v>0</v>
      </c>
      <c r="DM86" s="416">
        <f t="shared" si="657"/>
        <v>0</v>
      </c>
      <c r="DN86" s="412">
        <f t="shared" si="658"/>
        <v>0</v>
      </c>
      <c r="DO86" s="413">
        <f t="shared" si="659"/>
        <v>0</v>
      </c>
      <c r="DP86" s="410">
        <f t="shared" si="660"/>
        <v>0</v>
      </c>
      <c r="DQ86" s="416">
        <f t="shared" si="661"/>
        <v>0</v>
      </c>
      <c r="DR86" s="416">
        <f t="shared" si="662"/>
        <v>0</v>
      </c>
      <c r="DS86" s="412">
        <f t="shared" si="663"/>
        <v>0</v>
      </c>
      <c r="DT86" s="413">
        <f t="shared" si="664"/>
        <v>0</v>
      </c>
    </row>
    <row r="87" spans="1:124" ht="12.75" customHeight="1">
      <c r="A87" s="491"/>
      <c r="C87" s="601" t="s">
        <v>567</v>
      </c>
      <c r="D87" s="601"/>
      <c r="E87" s="1886">
        <f t="shared" si="553"/>
        <v>50</v>
      </c>
      <c r="F87" s="1532">
        <v>50</v>
      </c>
      <c r="G87" s="1532">
        <v>50</v>
      </c>
      <c r="H87" s="610">
        <v>2038</v>
      </c>
      <c r="I87" s="1533">
        <v>5.3749999999999999E-2</v>
      </c>
      <c r="J87" s="615">
        <v>12</v>
      </c>
      <c r="K87" s="402"/>
      <c r="L87" s="407">
        <f t="shared" si="554"/>
        <v>0</v>
      </c>
      <c r="M87" s="404">
        <f t="shared" si="555"/>
        <v>0</v>
      </c>
      <c r="N87" s="414">
        <f t="shared" si="556"/>
        <v>0</v>
      </c>
      <c r="O87" s="414">
        <f t="shared" si="557"/>
        <v>0</v>
      </c>
      <c r="P87" s="406">
        <f t="shared" si="558"/>
        <v>0</v>
      </c>
      <c r="Q87" s="407">
        <f t="shared" si="559"/>
        <v>0</v>
      </c>
      <c r="R87" s="404">
        <f t="shared" si="560"/>
        <v>0</v>
      </c>
      <c r="S87" s="414">
        <f t="shared" si="561"/>
        <v>0</v>
      </c>
      <c r="T87" s="414">
        <f t="shared" si="562"/>
        <v>0</v>
      </c>
      <c r="U87" s="406">
        <f t="shared" si="563"/>
        <v>0</v>
      </c>
      <c r="V87" s="407">
        <f t="shared" si="564"/>
        <v>0</v>
      </c>
      <c r="W87" s="404">
        <f t="shared" si="565"/>
        <v>0</v>
      </c>
      <c r="X87" s="414">
        <f t="shared" si="566"/>
        <v>0</v>
      </c>
      <c r="Y87" s="414">
        <f t="shared" si="567"/>
        <v>0</v>
      </c>
      <c r="Z87" s="406">
        <f t="shared" si="568"/>
        <v>0</v>
      </c>
      <c r="AA87" s="407">
        <f t="shared" si="569"/>
        <v>0</v>
      </c>
      <c r="AB87" s="404">
        <f t="shared" si="570"/>
        <v>0</v>
      </c>
      <c r="AC87" s="414">
        <f t="shared" si="571"/>
        <v>0</v>
      </c>
      <c r="AD87" s="414">
        <f t="shared" si="572"/>
        <v>0</v>
      </c>
      <c r="AE87" s="406">
        <f t="shared" si="573"/>
        <v>0</v>
      </c>
      <c r="AF87" s="407">
        <f t="shared" si="574"/>
        <v>0</v>
      </c>
      <c r="AG87" s="404">
        <f t="shared" si="575"/>
        <v>0</v>
      </c>
      <c r="AH87" s="414">
        <f t="shared" si="576"/>
        <v>0</v>
      </c>
      <c r="AI87" s="414">
        <f t="shared" si="577"/>
        <v>0</v>
      </c>
      <c r="AJ87" s="406">
        <f t="shared" si="578"/>
        <v>0</v>
      </c>
      <c r="AK87" s="407">
        <f t="shared" si="579"/>
        <v>0</v>
      </c>
      <c r="AL87" s="404">
        <f t="shared" si="580"/>
        <v>0</v>
      </c>
      <c r="AM87" s="414">
        <f t="shared" si="581"/>
        <v>0</v>
      </c>
      <c r="AN87" s="414">
        <f t="shared" si="582"/>
        <v>0</v>
      </c>
      <c r="AO87" s="406">
        <f t="shared" si="583"/>
        <v>0</v>
      </c>
      <c r="AP87" s="407">
        <f t="shared" si="584"/>
        <v>0</v>
      </c>
      <c r="AQ87" s="404">
        <f t="shared" si="585"/>
        <v>0</v>
      </c>
      <c r="AR87" s="414">
        <f t="shared" si="552"/>
        <v>0</v>
      </c>
      <c r="AS87" s="414">
        <f t="shared" si="586"/>
        <v>0</v>
      </c>
      <c r="AT87" s="406">
        <f t="shared" si="587"/>
        <v>0</v>
      </c>
      <c r="AU87" s="407">
        <f t="shared" si="588"/>
        <v>0</v>
      </c>
      <c r="AV87" s="404">
        <f t="shared" si="589"/>
        <v>0</v>
      </c>
      <c r="AW87" s="414">
        <f t="shared" si="590"/>
        <v>0</v>
      </c>
      <c r="AX87" s="414">
        <f t="shared" si="591"/>
        <v>0</v>
      </c>
      <c r="AY87" s="406">
        <f t="shared" si="592"/>
        <v>0</v>
      </c>
      <c r="AZ87" s="407">
        <f t="shared" si="593"/>
        <v>0</v>
      </c>
      <c r="BA87" s="404">
        <f t="shared" si="594"/>
        <v>0</v>
      </c>
      <c r="BB87" s="414">
        <f t="shared" si="595"/>
        <v>0</v>
      </c>
      <c r="BC87" s="414">
        <f t="shared" si="596"/>
        <v>0</v>
      </c>
      <c r="BD87" s="406">
        <f t="shared" si="597"/>
        <v>0</v>
      </c>
      <c r="BE87" s="407">
        <f t="shared" si="598"/>
        <v>0</v>
      </c>
      <c r="BF87" s="404">
        <f t="shared" si="599"/>
        <v>0</v>
      </c>
      <c r="BG87" s="414">
        <f t="shared" si="600"/>
        <v>0</v>
      </c>
      <c r="BH87" s="414">
        <f t="shared" si="601"/>
        <v>0</v>
      </c>
      <c r="BI87" s="406">
        <f t="shared" si="602"/>
        <v>0</v>
      </c>
      <c r="BJ87" s="407">
        <f t="shared" si="603"/>
        <v>0</v>
      </c>
      <c r="BK87" s="404">
        <f t="shared" si="604"/>
        <v>0</v>
      </c>
      <c r="BL87" s="414">
        <f t="shared" si="605"/>
        <v>0</v>
      </c>
      <c r="BM87" s="414">
        <f t="shared" si="606"/>
        <v>0</v>
      </c>
      <c r="BN87" s="406">
        <f t="shared" si="607"/>
        <v>0</v>
      </c>
      <c r="BO87" s="407">
        <f t="shared" si="608"/>
        <v>0</v>
      </c>
      <c r="BP87" s="449"/>
      <c r="BQ87" s="413">
        <f t="shared" si="609"/>
        <v>0</v>
      </c>
      <c r="BR87" s="410">
        <f t="shared" si="610"/>
        <v>0</v>
      </c>
      <c r="BS87" s="416">
        <f t="shared" si="611"/>
        <v>0</v>
      </c>
      <c r="BT87" s="416">
        <f t="shared" si="612"/>
        <v>0</v>
      </c>
      <c r="BU87" s="412">
        <f t="shared" si="613"/>
        <v>0</v>
      </c>
      <c r="BV87" s="413">
        <f t="shared" si="614"/>
        <v>0</v>
      </c>
      <c r="BW87" s="410">
        <f t="shared" si="615"/>
        <v>0</v>
      </c>
      <c r="BX87" s="416">
        <f t="shared" si="616"/>
        <v>0</v>
      </c>
      <c r="BY87" s="416">
        <f t="shared" si="617"/>
        <v>0</v>
      </c>
      <c r="BZ87" s="412">
        <f t="shared" si="618"/>
        <v>0</v>
      </c>
      <c r="CA87" s="413">
        <f t="shared" si="619"/>
        <v>0</v>
      </c>
      <c r="CB87" s="410">
        <f t="shared" si="620"/>
        <v>0</v>
      </c>
      <c r="CC87" s="416">
        <f t="shared" si="621"/>
        <v>0</v>
      </c>
      <c r="CD87" s="416">
        <f t="shared" si="622"/>
        <v>0</v>
      </c>
      <c r="CE87" s="412">
        <f t="shared" si="623"/>
        <v>0</v>
      </c>
      <c r="CF87" s="413">
        <f t="shared" si="624"/>
        <v>0</v>
      </c>
      <c r="CG87" s="410">
        <f t="shared" si="625"/>
        <v>0</v>
      </c>
      <c r="CH87" s="416">
        <f t="shared" si="626"/>
        <v>0</v>
      </c>
      <c r="CI87" s="416">
        <f t="shared" si="627"/>
        <v>0</v>
      </c>
      <c r="CJ87" s="412">
        <f t="shared" si="628"/>
        <v>0</v>
      </c>
      <c r="CK87" s="413">
        <f t="shared" si="629"/>
        <v>0</v>
      </c>
      <c r="CL87" s="410">
        <f t="shared" si="630"/>
        <v>0</v>
      </c>
      <c r="CM87" s="416">
        <f t="shared" si="631"/>
        <v>0</v>
      </c>
      <c r="CN87" s="416">
        <f t="shared" si="632"/>
        <v>0</v>
      </c>
      <c r="CO87" s="412">
        <f t="shared" si="633"/>
        <v>0</v>
      </c>
      <c r="CP87" s="413">
        <f t="shared" si="634"/>
        <v>0</v>
      </c>
      <c r="CQ87" s="410">
        <f t="shared" si="635"/>
        <v>0</v>
      </c>
      <c r="CR87" s="416">
        <f t="shared" si="636"/>
        <v>0</v>
      </c>
      <c r="CS87" s="416">
        <f t="shared" si="637"/>
        <v>0</v>
      </c>
      <c r="CT87" s="412">
        <f t="shared" si="638"/>
        <v>0</v>
      </c>
      <c r="CU87" s="413">
        <f t="shared" si="639"/>
        <v>0</v>
      </c>
      <c r="CV87" s="410">
        <f t="shared" si="640"/>
        <v>0</v>
      </c>
      <c r="CW87" s="416">
        <f t="shared" si="641"/>
        <v>0</v>
      </c>
      <c r="CX87" s="416">
        <f t="shared" si="642"/>
        <v>0</v>
      </c>
      <c r="CY87" s="412">
        <f t="shared" si="643"/>
        <v>0</v>
      </c>
      <c r="CZ87" s="413">
        <f t="shared" si="644"/>
        <v>0</v>
      </c>
      <c r="DA87" s="410">
        <f t="shared" si="645"/>
        <v>0</v>
      </c>
      <c r="DB87" s="416">
        <f t="shared" si="646"/>
        <v>0</v>
      </c>
      <c r="DC87" s="416">
        <f t="shared" si="647"/>
        <v>0</v>
      </c>
      <c r="DD87" s="412">
        <f t="shared" si="648"/>
        <v>0</v>
      </c>
      <c r="DE87" s="413">
        <f t="shared" si="649"/>
        <v>0</v>
      </c>
      <c r="DF87" s="410">
        <f t="shared" si="650"/>
        <v>0</v>
      </c>
      <c r="DG87" s="416">
        <f t="shared" si="651"/>
        <v>0</v>
      </c>
      <c r="DH87" s="416">
        <f t="shared" si="652"/>
        <v>0</v>
      </c>
      <c r="DI87" s="412">
        <f t="shared" si="653"/>
        <v>0</v>
      </c>
      <c r="DJ87" s="413">
        <f t="shared" si="654"/>
        <v>0</v>
      </c>
      <c r="DK87" s="410">
        <f t="shared" si="655"/>
        <v>0</v>
      </c>
      <c r="DL87" s="416">
        <f t="shared" si="656"/>
        <v>0</v>
      </c>
      <c r="DM87" s="416">
        <f t="shared" si="657"/>
        <v>0</v>
      </c>
      <c r="DN87" s="412">
        <f t="shared" si="658"/>
        <v>0</v>
      </c>
      <c r="DO87" s="413">
        <f t="shared" si="659"/>
        <v>0</v>
      </c>
      <c r="DP87" s="410">
        <f t="shared" si="660"/>
        <v>0</v>
      </c>
      <c r="DQ87" s="416">
        <f t="shared" si="661"/>
        <v>0</v>
      </c>
      <c r="DR87" s="416">
        <f t="shared" si="662"/>
        <v>0</v>
      </c>
      <c r="DS87" s="412">
        <f t="shared" si="663"/>
        <v>0</v>
      </c>
      <c r="DT87" s="413">
        <f t="shared" si="664"/>
        <v>0</v>
      </c>
    </row>
    <row r="88" spans="1:124" ht="12.75" customHeight="1">
      <c r="A88" s="491"/>
      <c r="C88" s="601" t="s">
        <v>1361</v>
      </c>
      <c r="D88" s="601"/>
      <c r="E88" s="1886">
        <f t="shared" si="553"/>
        <v>65.349999999999994</v>
      </c>
      <c r="F88" s="1532">
        <v>65.349999999999994</v>
      </c>
      <c r="G88" s="1532">
        <v>65.349999999999994</v>
      </c>
      <c r="H88" s="610">
        <v>2041</v>
      </c>
      <c r="I88" s="1533">
        <v>1.7000000000000001E-2</v>
      </c>
      <c r="J88" s="615">
        <v>1</v>
      </c>
      <c r="K88" s="402"/>
      <c r="L88" s="407">
        <f t="shared" si="554"/>
        <v>0</v>
      </c>
      <c r="M88" s="404">
        <f t="shared" si="555"/>
        <v>0</v>
      </c>
      <c r="N88" s="414">
        <f t="shared" si="556"/>
        <v>0</v>
      </c>
      <c r="O88" s="414">
        <f t="shared" si="557"/>
        <v>0</v>
      </c>
      <c r="P88" s="406">
        <f t="shared" si="558"/>
        <v>0</v>
      </c>
      <c r="Q88" s="407">
        <f t="shared" si="559"/>
        <v>0</v>
      </c>
      <c r="R88" s="404">
        <f t="shared" si="560"/>
        <v>0</v>
      </c>
      <c r="S88" s="414">
        <f t="shared" si="561"/>
        <v>0</v>
      </c>
      <c r="T88" s="414">
        <f t="shared" si="562"/>
        <v>0</v>
      </c>
      <c r="U88" s="406">
        <f t="shared" si="563"/>
        <v>0</v>
      </c>
      <c r="V88" s="407">
        <f t="shared" si="564"/>
        <v>0</v>
      </c>
      <c r="W88" s="404">
        <f t="shared" si="565"/>
        <v>0</v>
      </c>
      <c r="X88" s="414">
        <f t="shared" si="566"/>
        <v>0</v>
      </c>
      <c r="Y88" s="414">
        <f t="shared" si="567"/>
        <v>0</v>
      </c>
      <c r="Z88" s="406">
        <f t="shared" si="568"/>
        <v>0</v>
      </c>
      <c r="AA88" s="407">
        <f t="shared" si="569"/>
        <v>0</v>
      </c>
      <c r="AB88" s="404">
        <f t="shared" si="570"/>
        <v>0</v>
      </c>
      <c r="AC88" s="414">
        <f t="shared" si="571"/>
        <v>0</v>
      </c>
      <c r="AD88" s="414">
        <f t="shared" si="572"/>
        <v>0</v>
      </c>
      <c r="AE88" s="406">
        <f t="shared" si="573"/>
        <v>0</v>
      </c>
      <c r="AF88" s="407">
        <f t="shared" si="574"/>
        <v>0</v>
      </c>
      <c r="AG88" s="404">
        <f t="shared" si="575"/>
        <v>0</v>
      </c>
      <c r="AH88" s="414">
        <f t="shared" si="576"/>
        <v>0</v>
      </c>
      <c r="AI88" s="414">
        <f t="shared" si="577"/>
        <v>0</v>
      </c>
      <c r="AJ88" s="406">
        <f t="shared" si="578"/>
        <v>0</v>
      </c>
      <c r="AK88" s="407">
        <f t="shared" si="579"/>
        <v>0</v>
      </c>
      <c r="AL88" s="404">
        <f t="shared" si="580"/>
        <v>0</v>
      </c>
      <c r="AM88" s="414">
        <f t="shared" si="581"/>
        <v>0</v>
      </c>
      <c r="AN88" s="414">
        <f t="shared" si="582"/>
        <v>0</v>
      </c>
      <c r="AO88" s="406">
        <f t="shared" si="583"/>
        <v>0</v>
      </c>
      <c r="AP88" s="407">
        <f t="shared" si="584"/>
        <v>0</v>
      </c>
      <c r="AQ88" s="404">
        <f t="shared" si="585"/>
        <v>0</v>
      </c>
      <c r="AR88" s="414">
        <f t="shared" si="552"/>
        <v>0</v>
      </c>
      <c r="AS88" s="414">
        <f t="shared" si="586"/>
        <v>0</v>
      </c>
      <c r="AT88" s="406">
        <f t="shared" si="587"/>
        <v>0</v>
      </c>
      <c r="AU88" s="407">
        <f t="shared" si="588"/>
        <v>0</v>
      </c>
      <c r="AV88" s="404">
        <f t="shared" si="589"/>
        <v>0</v>
      </c>
      <c r="AW88" s="414">
        <f t="shared" si="590"/>
        <v>0</v>
      </c>
      <c r="AX88" s="414">
        <f t="shared" si="591"/>
        <v>0</v>
      </c>
      <c r="AY88" s="406">
        <f t="shared" si="592"/>
        <v>0</v>
      </c>
      <c r="AZ88" s="407">
        <f t="shared" si="593"/>
        <v>0</v>
      </c>
      <c r="BA88" s="404">
        <f t="shared" si="594"/>
        <v>0</v>
      </c>
      <c r="BB88" s="414">
        <f t="shared" si="595"/>
        <v>0</v>
      </c>
      <c r="BC88" s="414">
        <f t="shared" si="596"/>
        <v>0</v>
      </c>
      <c r="BD88" s="406">
        <f t="shared" si="597"/>
        <v>0</v>
      </c>
      <c r="BE88" s="407">
        <f t="shared" si="598"/>
        <v>0</v>
      </c>
      <c r="BF88" s="404">
        <f t="shared" si="599"/>
        <v>0</v>
      </c>
      <c r="BG88" s="414">
        <f t="shared" si="600"/>
        <v>0</v>
      </c>
      <c r="BH88" s="414">
        <f t="shared" si="601"/>
        <v>0</v>
      </c>
      <c r="BI88" s="406">
        <f t="shared" si="602"/>
        <v>0</v>
      </c>
      <c r="BJ88" s="407">
        <f t="shared" si="603"/>
        <v>0</v>
      </c>
      <c r="BK88" s="404">
        <f t="shared" si="604"/>
        <v>0</v>
      </c>
      <c r="BL88" s="414">
        <f t="shared" si="605"/>
        <v>0</v>
      </c>
      <c r="BM88" s="414">
        <f t="shared" si="606"/>
        <v>0</v>
      </c>
      <c r="BN88" s="406">
        <f t="shared" si="607"/>
        <v>0</v>
      </c>
      <c r="BO88" s="407">
        <f t="shared" si="608"/>
        <v>0</v>
      </c>
      <c r="BP88" s="449"/>
      <c r="BQ88" s="413">
        <f t="shared" si="609"/>
        <v>0</v>
      </c>
      <c r="BR88" s="410">
        <f t="shared" si="610"/>
        <v>0</v>
      </c>
      <c r="BS88" s="416">
        <f t="shared" si="611"/>
        <v>0</v>
      </c>
      <c r="BT88" s="416">
        <f t="shared" si="612"/>
        <v>0</v>
      </c>
      <c r="BU88" s="412">
        <f t="shared" si="613"/>
        <v>0</v>
      </c>
      <c r="BV88" s="413">
        <f t="shared" si="614"/>
        <v>0</v>
      </c>
      <c r="BW88" s="410">
        <f t="shared" si="615"/>
        <v>0</v>
      </c>
      <c r="BX88" s="416">
        <f t="shared" si="616"/>
        <v>0</v>
      </c>
      <c r="BY88" s="416">
        <f t="shared" si="617"/>
        <v>0</v>
      </c>
      <c r="BZ88" s="412">
        <f t="shared" si="618"/>
        <v>0</v>
      </c>
      <c r="CA88" s="413">
        <f t="shared" si="619"/>
        <v>0</v>
      </c>
      <c r="CB88" s="410">
        <f t="shared" si="620"/>
        <v>0</v>
      </c>
      <c r="CC88" s="416">
        <f t="shared" si="621"/>
        <v>0</v>
      </c>
      <c r="CD88" s="416">
        <f t="shared" si="622"/>
        <v>0</v>
      </c>
      <c r="CE88" s="412">
        <f t="shared" si="623"/>
        <v>0</v>
      </c>
      <c r="CF88" s="413">
        <f t="shared" si="624"/>
        <v>0</v>
      </c>
      <c r="CG88" s="410">
        <f t="shared" si="625"/>
        <v>0</v>
      </c>
      <c r="CH88" s="416">
        <f t="shared" si="626"/>
        <v>0</v>
      </c>
      <c r="CI88" s="416">
        <f t="shared" si="627"/>
        <v>0</v>
      </c>
      <c r="CJ88" s="412">
        <f t="shared" si="628"/>
        <v>0</v>
      </c>
      <c r="CK88" s="413">
        <f t="shared" si="629"/>
        <v>0</v>
      </c>
      <c r="CL88" s="410">
        <f t="shared" si="630"/>
        <v>0</v>
      </c>
      <c r="CM88" s="416">
        <f t="shared" si="631"/>
        <v>0</v>
      </c>
      <c r="CN88" s="416">
        <f t="shared" si="632"/>
        <v>0</v>
      </c>
      <c r="CO88" s="412">
        <f t="shared" si="633"/>
        <v>0</v>
      </c>
      <c r="CP88" s="413">
        <f t="shared" si="634"/>
        <v>0</v>
      </c>
      <c r="CQ88" s="410">
        <f t="shared" si="635"/>
        <v>0</v>
      </c>
      <c r="CR88" s="416">
        <f t="shared" si="636"/>
        <v>0</v>
      </c>
      <c r="CS88" s="416">
        <f t="shared" si="637"/>
        <v>0</v>
      </c>
      <c r="CT88" s="412">
        <f t="shared" si="638"/>
        <v>0</v>
      </c>
      <c r="CU88" s="413">
        <f t="shared" si="639"/>
        <v>0</v>
      </c>
      <c r="CV88" s="410">
        <f t="shared" si="640"/>
        <v>0</v>
      </c>
      <c r="CW88" s="416">
        <f t="shared" si="641"/>
        <v>0</v>
      </c>
      <c r="CX88" s="416">
        <f t="shared" si="642"/>
        <v>0</v>
      </c>
      <c r="CY88" s="412">
        <f t="shared" si="643"/>
        <v>0</v>
      </c>
      <c r="CZ88" s="413">
        <f t="shared" si="644"/>
        <v>0</v>
      </c>
      <c r="DA88" s="410">
        <f t="shared" si="645"/>
        <v>0</v>
      </c>
      <c r="DB88" s="416">
        <f t="shared" si="646"/>
        <v>0</v>
      </c>
      <c r="DC88" s="416">
        <f t="shared" si="647"/>
        <v>0</v>
      </c>
      <c r="DD88" s="412">
        <f t="shared" si="648"/>
        <v>0</v>
      </c>
      <c r="DE88" s="413">
        <f t="shared" si="649"/>
        <v>0</v>
      </c>
      <c r="DF88" s="410">
        <f t="shared" si="650"/>
        <v>0</v>
      </c>
      <c r="DG88" s="416">
        <f t="shared" si="651"/>
        <v>0</v>
      </c>
      <c r="DH88" s="416">
        <f t="shared" si="652"/>
        <v>0</v>
      </c>
      <c r="DI88" s="412">
        <f t="shared" si="653"/>
        <v>0</v>
      </c>
      <c r="DJ88" s="413">
        <f t="shared" si="654"/>
        <v>0</v>
      </c>
      <c r="DK88" s="410">
        <f t="shared" si="655"/>
        <v>0</v>
      </c>
      <c r="DL88" s="416">
        <f t="shared" si="656"/>
        <v>0</v>
      </c>
      <c r="DM88" s="416">
        <f t="shared" si="657"/>
        <v>0</v>
      </c>
      <c r="DN88" s="412">
        <f t="shared" si="658"/>
        <v>0</v>
      </c>
      <c r="DO88" s="413">
        <f t="shared" si="659"/>
        <v>0</v>
      </c>
      <c r="DP88" s="410">
        <f t="shared" si="660"/>
        <v>0</v>
      </c>
      <c r="DQ88" s="416">
        <f t="shared" si="661"/>
        <v>0</v>
      </c>
      <c r="DR88" s="416">
        <f t="shared" si="662"/>
        <v>0</v>
      </c>
      <c r="DS88" s="412">
        <f t="shared" si="663"/>
        <v>0</v>
      </c>
      <c r="DT88" s="413">
        <f t="shared" si="664"/>
        <v>0</v>
      </c>
    </row>
    <row r="89" spans="1:124" ht="12.75" customHeight="1">
      <c r="A89" s="491"/>
      <c r="C89" s="601" t="s">
        <v>1104</v>
      </c>
      <c r="D89" s="601"/>
      <c r="E89" s="1886">
        <f t="shared" si="553"/>
        <v>86</v>
      </c>
      <c r="F89" s="1532">
        <v>86</v>
      </c>
      <c r="G89" s="1532">
        <v>86</v>
      </c>
      <c r="H89" s="610">
        <v>2043</v>
      </c>
      <c r="I89" s="1533">
        <v>1.9E-2</v>
      </c>
      <c r="J89" s="615">
        <v>3</v>
      </c>
      <c r="K89" s="402"/>
      <c r="L89" s="407">
        <f t="shared" si="554"/>
        <v>0</v>
      </c>
      <c r="M89" s="404">
        <f t="shared" si="555"/>
        <v>0</v>
      </c>
      <c r="N89" s="414">
        <f t="shared" si="556"/>
        <v>0</v>
      </c>
      <c r="O89" s="414">
        <f t="shared" si="557"/>
        <v>0</v>
      </c>
      <c r="P89" s="406">
        <f t="shared" si="558"/>
        <v>0</v>
      </c>
      <c r="Q89" s="407">
        <f t="shared" si="559"/>
        <v>0</v>
      </c>
      <c r="R89" s="404">
        <f t="shared" si="560"/>
        <v>0</v>
      </c>
      <c r="S89" s="414">
        <f t="shared" si="561"/>
        <v>0</v>
      </c>
      <c r="T89" s="414">
        <f t="shared" si="562"/>
        <v>0</v>
      </c>
      <c r="U89" s="406">
        <f t="shared" si="563"/>
        <v>0</v>
      </c>
      <c r="V89" s="407">
        <f t="shared" si="564"/>
        <v>0</v>
      </c>
      <c r="W89" s="404">
        <f t="shared" si="565"/>
        <v>0</v>
      </c>
      <c r="X89" s="414">
        <f t="shared" si="566"/>
        <v>0</v>
      </c>
      <c r="Y89" s="414">
        <f t="shared" si="567"/>
        <v>0</v>
      </c>
      <c r="Z89" s="406">
        <f t="shared" si="568"/>
        <v>0</v>
      </c>
      <c r="AA89" s="407">
        <f t="shared" si="569"/>
        <v>0</v>
      </c>
      <c r="AB89" s="404">
        <f t="shared" si="570"/>
        <v>0</v>
      </c>
      <c r="AC89" s="414">
        <f t="shared" si="571"/>
        <v>0</v>
      </c>
      <c r="AD89" s="414">
        <f t="shared" si="572"/>
        <v>0</v>
      </c>
      <c r="AE89" s="406">
        <f t="shared" si="573"/>
        <v>0</v>
      </c>
      <c r="AF89" s="407">
        <f t="shared" si="574"/>
        <v>0</v>
      </c>
      <c r="AG89" s="404">
        <f t="shared" si="575"/>
        <v>0</v>
      </c>
      <c r="AH89" s="414">
        <f t="shared" si="576"/>
        <v>0</v>
      </c>
      <c r="AI89" s="414">
        <f t="shared" si="577"/>
        <v>0</v>
      </c>
      <c r="AJ89" s="406">
        <f t="shared" si="578"/>
        <v>0</v>
      </c>
      <c r="AK89" s="407">
        <f t="shared" si="579"/>
        <v>0</v>
      </c>
      <c r="AL89" s="404">
        <f t="shared" si="580"/>
        <v>0</v>
      </c>
      <c r="AM89" s="414">
        <f t="shared" si="581"/>
        <v>0</v>
      </c>
      <c r="AN89" s="414">
        <f t="shared" si="582"/>
        <v>0</v>
      </c>
      <c r="AO89" s="406">
        <f t="shared" si="583"/>
        <v>0</v>
      </c>
      <c r="AP89" s="407">
        <f t="shared" si="584"/>
        <v>0</v>
      </c>
      <c r="AQ89" s="404">
        <f t="shared" si="585"/>
        <v>0</v>
      </c>
      <c r="AR89" s="414">
        <f t="shared" si="552"/>
        <v>0</v>
      </c>
      <c r="AS89" s="414">
        <f t="shared" si="586"/>
        <v>0</v>
      </c>
      <c r="AT89" s="406">
        <f t="shared" si="587"/>
        <v>0</v>
      </c>
      <c r="AU89" s="407">
        <f t="shared" si="588"/>
        <v>0</v>
      </c>
      <c r="AV89" s="404">
        <f t="shared" si="589"/>
        <v>0</v>
      </c>
      <c r="AW89" s="414">
        <f t="shared" si="590"/>
        <v>0</v>
      </c>
      <c r="AX89" s="414">
        <f t="shared" si="591"/>
        <v>0</v>
      </c>
      <c r="AY89" s="406">
        <f t="shared" si="592"/>
        <v>0</v>
      </c>
      <c r="AZ89" s="407">
        <f t="shared" si="593"/>
        <v>0</v>
      </c>
      <c r="BA89" s="404">
        <f t="shared" si="594"/>
        <v>0</v>
      </c>
      <c r="BB89" s="414">
        <f t="shared" si="595"/>
        <v>0</v>
      </c>
      <c r="BC89" s="414">
        <f t="shared" si="596"/>
        <v>0</v>
      </c>
      <c r="BD89" s="406">
        <f t="shared" si="597"/>
        <v>0</v>
      </c>
      <c r="BE89" s="407">
        <f t="shared" si="598"/>
        <v>0</v>
      </c>
      <c r="BF89" s="404">
        <f t="shared" si="599"/>
        <v>0</v>
      </c>
      <c r="BG89" s="414">
        <f t="shared" si="600"/>
        <v>0</v>
      </c>
      <c r="BH89" s="414">
        <f t="shared" si="601"/>
        <v>0</v>
      </c>
      <c r="BI89" s="406">
        <f t="shared" si="602"/>
        <v>0</v>
      </c>
      <c r="BJ89" s="407">
        <f t="shared" si="603"/>
        <v>0</v>
      </c>
      <c r="BK89" s="404">
        <f t="shared" si="604"/>
        <v>0</v>
      </c>
      <c r="BL89" s="414">
        <f t="shared" si="605"/>
        <v>0</v>
      </c>
      <c r="BM89" s="414">
        <f t="shared" si="606"/>
        <v>0</v>
      </c>
      <c r="BN89" s="406">
        <f t="shared" si="607"/>
        <v>0</v>
      </c>
      <c r="BO89" s="407">
        <f t="shared" si="608"/>
        <v>0</v>
      </c>
      <c r="BP89" s="449"/>
      <c r="BQ89" s="413">
        <f t="shared" si="609"/>
        <v>0</v>
      </c>
      <c r="BR89" s="410">
        <f t="shared" si="610"/>
        <v>0</v>
      </c>
      <c r="BS89" s="416">
        <f t="shared" si="611"/>
        <v>0</v>
      </c>
      <c r="BT89" s="416">
        <f t="shared" si="612"/>
        <v>0</v>
      </c>
      <c r="BU89" s="412">
        <f t="shared" si="613"/>
        <v>0</v>
      </c>
      <c r="BV89" s="413">
        <f t="shared" si="614"/>
        <v>0</v>
      </c>
      <c r="BW89" s="410">
        <f t="shared" si="615"/>
        <v>0</v>
      </c>
      <c r="BX89" s="416">
        <f t="shared" si="616"/>
        <v>0</v>
      </c>
      <c r="BY89" s="416">
        <f t="shared" si="617"/>
        <v>0</v>
      </c>
      <c r="BZ89" s="412">
        <f t="shared" si="618"/>
        <v>0</v>
      </c>
      <c r="CA89" s="413">
        <f t="shared" si="619"/>
        <v>0</v>
      </c>
      <c r="CB89" s="410">
        <f t="shared" si="620"/>
        <v>0</v>
      </c>
      <c r="CC89" s="416">
        <f t="shared" si="621"/>
        <v>0</v>
      </c>
      <c r="CD89" s="416">
        <f t="shared" si="622"/>
        <v>0</v>
      </c>
      <c r="CE89" s="412">
        <f t="shared" si="623"/>
        <v>0</v>
      </c>
      <c r="CF89" s="413">
        <f t="shared" si="624"/>
        <v>0</v>
      </c>
      <c r="CG89" s="410">
        <f t="shared" si="625"/>
        <v>0</v>
      </c>
      <c r="CH89" s="416">
        <f t="shared" si="626"/>
        <v>0</v>
      </c>
      <c r="CI89" s="416">
        <f t="shared" si="627"/>
        <v>0</v>
      </c>
      <c r="CJ89" s="412">
        <f t="shared" si="628"/>
        <v>0</v>
      </c>
      <c r="CK89" s="413">
        <f t="shared" si="629"/>
        <v>0</v>
      </c>
      <c r="CL89" s="410">
        <f t="shared" si="630"/>
        <v>0</v>
      </c>
      <c r="CM89" s="416">
        <f t="shared" si="631"/>
        <v>0</v>
      </c>
      <c r="CN89" s="416">
        <f t="shared" si="632"/>
        <v>0</v>
      </c>
      <c r="CO89" s="412">
        <f t="shared" si="633"/>
        <v>0</v>
      </c>
      <c r="CP89" s="413">
        <f t="shared" si="634"/>
        <v>0</v>
      </c>
      <c r="CQ89" s="410">
        <f t="shared" si="635"/>
        <v>0</v>
      </c>
      <c r="CR89" s="416">
        <f t="shared" si="636"/>
        <v>0</v>
      </c>
      <c r="CS89" s="416">
        <f t="shared" si="637"/>
        <v>0</v>
      </c>
      <c r="CT89" s="412">
        <f t="shared" si="638"/>
        <v>0</v>
      </c>
      <c r="CU89" s="413">
        <f t="shared" si="639"/>
        <v>0</v>
      </c>
      <c r="CV89" s="410">
        <f t="shared" si="640"/>
        <v>0</v>
      </c>
      <c r="CW89" s="416">
        <f t="shared" si="641"/>
        <v>0</v>
      </c>
      <c r="CX89" s="416">
        <f t="shared" si="642"/>
        <v>0</v>
      </c>
      <c r="CY89" s="412">
        <f t="shared" si="643"/>
        <v>0</v>
      </c>
      <c r="CZ89" s="413">
        <f t="shared" si="644"/>
        <v>0</v>
      </c>
      <c r="DA89" s="410">
        <f t="shared" si="645"/>
        <v>0</v>
      </c>
      <c r="DB89" s="416">
        <f t="shared" si="646"/>
        <v>0</v>
      </c>
      <c r="DC89" s="416">
        <f t="shared" si="647"/>
        <v>0</v>
      </c>
      <c r="DD89" s="412">
        <f t="shared" si="648"/>
        <v>0</v>
      </c>
      <c r="DE89" s="413">
        <f t="shared" si="649"/>
        <v>0</v>
      </c>
      <c r="DF89" s="410">
        <f t="shared" si="650"/>
        <v>0</v>
      </c>
      <c r="DG89" s="416">
        <f t="shared" si="651"/>
        <v>0</v>
      </c>
      <c r="DH89" s="416">
        <f t="shared" si="652"/>
        <v>0</v>
      </c>
      <c r="DI89" s="412">
        <f t="shared" si="653"/>
        <v>0</v>
      </c>
      <c r="DJ89" s="413">
        <f t="shared" si="654"/>
        <v>0</v>
      </c>
      <c r="DK89" s="410">
        <f t="shared" si="655"/>
        <v>0</v>
      </c>
      <c r="DL89" s="416">
        <f t="shared" si="656"/>
        <v>0</v>
      </c>
      <c r="DM89" s="416">
        <f t="shared" si="657"/>
        <v>0</v>
      </c>
      <c r="DN89" s="412">
        <f t="shared" si="658"/>
        <v>0</v>
      </c>
      <c r="DO89" s="413">
        <f t="shared" si="659"/>
        <v>0</v>
      </c>
      <c r="DP89" s="410">
        <f t="shared" si="660"/>
        <v>0</v>
      </c>
      <c r="DQ89" s="416">
        <f t="shared" si="661"/>
        <v>0</v>
      </c>
      <c r="DR89" s="416">
        <f t="shared" si="662"/>
        <v>0</v>
      </c>
      <c r="DS89" s="412">
        <f t="shared" si="663"/>
        <v>0</v>
      </c>
      <c r="DT89" s="413">
        <f t="shared" si="664"/>
        <v>0</v>
      </c>
    </row>
    <row r="90" spans="1:124" ht="12.75" customHeight="1">
      <c r="A90" s="491"/>
      <c r="C90" s="601"/>
      <c r="D90" s="601"/>
      <c r="E90" s="1531"/>
      <c r="F90" s="1535"/>
      <c r="G90" s="1535"/>
      <c r="H90" s="610"/>
      <c r="I90" s="1534"/>
      <c r="J90" s="615"/>
      <c r="K90" s="402"/>
      <c r="L90" s="407"/>
      <c r="M90" s="404"/>
      <c r="N90" s="414"/>
      <c r="O90" s="414"/>
      <c r="P90" s="406"/>
      <c r="Q90" s="407"/>
      <c r="R90" s="404"/>
      <c r="S90" s="414"/>
      <c r="T90" s="414"/>
      <c r="U90" s="406"/>
      <c r="V90" s="407"/>
      <c r="W90" s="404"/>
      <c r="X90" s="414"/>
      <c r="Y90" s="414"/>
      <c r="Z90" s="406"/>
      <c r="AA90" s="407"/>
      <c r="AB90" s="404"/>
      <c r="AC90" s="414"/>
      <c r="AD90" s="414"/>
      <c r="AE90" s="406"/>
      <c r="AF90" s="407"/>
      <c r="AG90" s="404"/>
      <c r="AH90" s="414"/>
      <c r="AI90" s="414"/>
      <c r="AJ90" s="406"/>
      <c r="AK90" s="407"/>
      <c r="AL90" s="404"/>
      <c r="AM90" s="414"/>
      <c r="AN90" s="414"/>
      <c r="AO90" s="406"/>
      <c r="AP90" s="407"/>
      <c r="AQ90" s="404"/>
      <c r="AR90" s="414"/>
      <c r="AS90" s="414"/>
      <c r="AT90" s="406"/>
      <c r="AU90" s="407"/>
      <c r="AV90" s="404"/>
      <c r="AW90" s="414"/>
      <c r="AX90" s="414"/>
      <c r="AY90" s="406"/>
      <c r="AZ90" s="407"/>
      <c r="BA90" s="404"/>
      <c r="BB90" s="414"/>
      <c r="BC90" s="414"/>
      <c r="BD90" s="406"/>
      <c r="BE90" s="407"/>
      <c r="BF90" s="404"/>
      <c r="BG90" s="414"/>
      <c r="BH90" s="414"/>
      <c r="BI90" s="406"/>
      <c r="BJ90" s="407"/>
      <c r="BK90" s="404"/>
      <c r="BL90" s="414"/>
      <c r="BM90" s="414"/>
      <c r="BN90" s="406"/>
      <c r="BO90" s="407"/>
      <c r="BP90" s="449"/>
      <c r="BQ90" s="413"/>
      <c r="BR90" s="410"/>
      <c r="BS90" s="416"/>
      <c r="BT90" s="416"/>
      <c r="BU90" s="412"/>
      <c r="BV90" s="413"/>
      <c r="BW90" s="410"/>
      <c r="BX90" s="416"/>
      <c r="BY90" s="416"/>
      <c r="BZ90" s="412"/>
      <c r="CA90" s="413"/>
      <c r="CB90" s="410"/>
      <c r="CC90" s="416"/>
      <c r="CD90" s="416"/>
      <c r="CE90" s="412"/>
      <c r="CF90" s="413"/>
      <c r="CG90" s="410"/>
      <c r="CH90" s="416"/>
      <c r="CI90" s="416"/>
      <c r="CJ90" s="412"/>
      <c r="CK90" s="413"/>
      <c r="CL90" s="410"/>
      <c r="CM90" s="416"/>
      <c r="CN90" s="416"/>
      <c r="CO90" s="412"/>
      <c r="CP90" s="413"/>
      <c r="CQ90" s="410"/>
      <c r="CR90" s="416"/>
      <c r="CS90" s="416"/>
      <c r="CT90" s="412"/>
      <c r="CU90" s="413"/>
      <c r="CV90" s="410"/>
      <c r="CW90" s="416"/>
      <c r="CX90" s="416"/>
      <c r="CY90" s="412"/>
      <c r="CZ90" s="413"/>
      <c r="DA90" s="410"/>
      <c r="DB90" s="416"/>
      <c r="DC90" s="416"/>
      <c r="DD90" s="412"/>
      <c r="DE90" s="413"/>
      <c r="DF90" s="410"/>
      <c r="DG90" s="416"/>
      <c r="DH90" s="416"/>
      <c r="DI90" s="412"/>
      <c r="DJ90" s="413"/>
      <c r="DK90" s="410"/>
      <c r="DL90" s="416"/>
      <c r="DM90" s="416"/>
      <c r="DN90" s="412"/>
      <c r="DO90" s="413"/>
      <c r="DP90" s="410"/>
      <c r="DQ90" s="416"/>
      <c r="DR90" s="416"/>
      <c r="DS90" s="412"/>
      <c r="DT90" s="413"/>
    </row>
    <row r="91" spans="1:124" ht="12.75" customHeight="1">
      <c r="A91" s="491"/>
      <c r="C91" s="613" t="s">
        <v>412</v>
      </c>
      <c r="D91" s="613"/>
      <c r="E91" s="1531"/>
      <c r="F91" s="1535"/>
      <c r="G91" s="1535"/>
      <c r="H91" s="610"/>
      <c r="I91" s="1533"/>
      <c r="J91" s="615"/>
      <c r="K91" s="402"/>
      <c r="L91" s="407"/>
      <c r="M91" s="404"/>
      <c r="N91" s="414"/>
      <c r="O91" s="414"/>
      <c r="P91" s="406"/>
      <c r="Q91" s="407"/>
      <c r="R91" s="404"/>
      <c r="S91" s="414"/>
      <c r="T91" s="414"/>
      <c r="U91" s="406"/>
      <c r="V91" s="407"/>
      <c r="W91" s="404"/>
      <c r="X91" s="414"/>
      <c r="Y91" s="414"/>
      <c r="Z91" s="406"/>
      <c r="AA91" s="407"/>
      <c r="AB91" s="404"/>
      <c r="AC91" s="414"/>
      <c r="AD91" s="414"/>
      <c r="AE91" s="406"/>
      <c r="AF91" s="407"/>
      <c r="AG91" s="404"/>
      <c r="AH91" s="414"/>
      <c r="AI91" s="414"/>
      <c r="AJ91" s="406"/>
      <c r="AK91" s="407"/>
      <c r="AL91" s="404"/>
      <c r="AM91" s="414"/>
      <c r="AN91" s="414"/>
      <c r="AO91" s="406"/>
      <c r="AP91" s="407"/>
      <c r="AQ91" s="404"/>
      <c r="AR91" s="414"/>
      <c r="AS91" s="414"/>
      <c r="AT91" s="406"/>
      <c r="AU91" s="407"/>
      <c r="AV91" s="404"/>
      <c r="AW91" s="414"/>
      <c r="AX91" s="414"/>
      <c r="AY91" s="406"/>
      <c r="AZ91" s="407"/>
      <c r="BA91" s="404"/>
      <c r="BB91" s="414"/>
      <c r="BC91" s="414"/>
      <c r="BD91" s="406"/>
      <c r="BE91" s="407"/>
      <c r="BF91" s="404"/>
      <c r="BG91" s="414"/>
      <c r="BH91" s="414"/>
      <c r="BI91" s="406"/>
      <c r="BJ91" s="407"/>
      <c r="BK91" s="404"/>
      <c r="BL91" s="414"/>
      <c r="BM91" s="414"/>
      <c r="BN91" s="406"/>
      <c r="BO91" s="407"/>
      <c r="BP91" s="449"/>
      <c r="BQ91" s="413"/>
      <c r="BR91" s="410"/>
      <c r="BS91" s="416"/>
      <c r="BT91" s="416"/>
      <c r="BU91" s="412"/>
      <c r="BV91" s="413"/>
      <c r="BW91" s="410"/>
      <c r="BX91" s="416"/>
      <c r="BY91" s="416"/>
      <c r="BZ91" s="412"/>
      <c r="CA91" s="413"/>
      <c r="CB91" s="410"/>
      <c r="CC91" s="416"/>
      <c r="CD91" s="416"/>
      <c r="CE91" s="412"/>
      <c r="CF91" s="413"/>
      <c r="CG91" s="410"/>
      <c r="CH91" s="416"/>
      <c r="CI91" s="416"/>
      <c r="CJ91" s="412"/>
      <c r="CK91" s="413"/>
      <c r="CL91" s="410"/>
      <c r="CM91" s="416"/>
      <c r="CN91" s="416"/>
      <c r="CO91" s="412"/>
      <c r="CP91" s="413"/>
      <c r="CQ91" s="410"/>
      <c r="CR91" s="416"/>
      <c r="CS91" s="416"/>
      <c r="CT91" s="412"/>
      <c r="CU91" s="413"/>
      <c r="CV91" s="410"/>
      <c r="CW91" s="416"/>
      <c r="CX91" s="416"/>
      <c r="CY91" s="412"/>
      <c r="CZ91" s="413"/>
      <c r="DA91" s="410"/>
      <c r="DB91" s="416"/>
      <c r="DC91" s="416"/>
      <c r="DD91" s="412"/>
      <c r="DE91" s="413"/>
      <c r="DF91" s="410"/>
      <c r="DG91" s="416"/>
      <c r="DH91" s="416"/>
      <c r="DI91" s="412"/>
      <c r="DJ91" s="413"/>
      <c r="DK91" s="410"/>
      <c r="DL91" s="416"/>
      <c r="DM91" s="416"/>
      <c r="DN91" s="412"/>
      <c r="DO91" s="413"/>
      <c r="DP91" s="410"/>
      <c r="DQ91" s="416"/>
      <c r="DR91" s="416"/>
      <c r="DS91" s="412"/>
      <c r="DT91" s="413"/>
    </row>
    <row r="92" spans="1:124" ht="12.75" customHeight="1">
      <c r="A92" s="491"/>
      <c r="C92" s="601" t="s">
        <v>413</v>
      </c>
      <c r="D92" s="601"/>
      <c r="E92" s="1886">
        <f t="shared" ref="E92:E102" si="665">IF(F92=0,G92,F92)</f>
        <v>250</v>
      </c>
      <c r="F92" s="1532">
        <v>0</v>
      </c>
      <c r="G92" s="1532">
        <v>250</v>
      </c>
      <c r="H92" s="610">
        <v>2017</v>
      </c>
      <c r="I92" s="1533">
        <v>0.05</v>
      </c>
      <c r="J92" s="615">
        <v>6</v>
      </c>
      <c r="K92" s="402"/>
      <c r="L92" s="407">
        <f t="shared" ref="L92:L102" si="666">IF(L$5=$H92,-$E92,0)</f>
        <v>0</v>
      </c>
      <c r="M92" s="404">
        <f t="shared" ref="M92:M101" si="667">IF(Q92=0,0,IF(Q92&lt;0,IF($J92=3,Q92,IF($J92=2,Q92,IF($J92=1,Q92,0)))))</f>
        <v>0</v>
      </c>
      <c r="N92" s="414">
        <f t="shared" ref="N92:N101" si="668">IF(Q92=0,0,IF(Q92&lt;0,IF($J92=6,Q92,IF($J92=5,Q92,IF($J92=4,Q92,0)))))</f>
        <v>0</v>
      </c>
      <c r="O92" s="414">
        <f t="shared" ref="O92:O101" si="669">IF(Q92=0,0,IF(Q92&lt;0,IF($J92=9,Q92,IF($J92=8,Q92,IF($J92=7,Q92,0)))))</f>
        <v>0</v>
      </c>
      <c r="P92" s="406">
        <f t="shared" ref="P92:P101" si="670">IF(Q92=0,0,IF(Q92&lt;0,IF($J92=12,Q92,IF($J92=11,Q92,IF($J92=10,Q92,0)))))</f>
        <v>0</v>
      </c>
      <c r="Q92" s="407">
        <f t="shared" ref="Q92:Q102" si="671">IF(Q$5=$H92,-$E92,0)</f>
        <v>0</v>
      </c>
      <c r="R92" s="404">
        <f t="shared" ref="R92:R101" si="672">IF(V92=0,0,IF(V92&lt;0,IF($J92=3,V92,IF($J92=2,V92,IF($J92=1,V92,0)))))</f>
        <v>0</v>
      </c>
      <c r="S92" s="414">
        <f t="shared" ref="S92:S101" si="673">IF(V92=0,0,IF(V92&lt;0,IF($J92=6,V92,IF($J92=5,V92,IF($J92=4,V92,0)))))</f>
        <v>0</v>
      </c>
      <c r="T92" s="414">
        <f t="shared" ref="T92:T101" si="674">IF(V92=0,0,IF(V92&lt;0,IF($J92=9,V92,IF($J92=8,V92,IF($J92=7,V92,0)))))</f>
        <v>0</v>
      </c>
      <c r="U92" s="406">
        <f t="shared" ref="U92:U101" si="675">IF(V92=0,0,IF(V92&lt;0,IF($J92=12,V92,IF($J92=11,V92,IF($J92=10,V92,0)))))</f>
        <v>0</v>
      </c>
      <c r="V92" s="407">
        <f t="shared" ref="V92:V102" si="676">IF(V$5=$H92,-$E92,0)</f>
        <v>0</v>
      </c>
      <c r="W92" s="404">
        <f t="shared" ref="W92:W101" si="677">IF(AA92=0,0,IF(AA92&lt;0,IF($J92=3,AA92,IF($J92=2,AA92,IF($J92=1,AA92,0)))))</f>
        <v>0</v>
      </c>
      <c r="X92" s="414">
        <f t="shared" ref="X92:X101" si="678">IF(AA92=0,0,IF(AA92&lt;0,IF($J92=6,AA92,IF($J92=5,AA92,IF($J92=4,AA92,0)))))</f>
        <v>0</v>
      </c>
      <c r="Y92" s="414">
        <f t="shared" ref="Y92:Y101" si="679">IF(AA92=0,0,IF(AA92&lt;0,IF($J92=9,AA92,IF($J92=8,AA92,IF($J92=7,AA92,0)))))</f>
        <v>0</v>
      </c>
      <c r="Z92" s="406">
        <f t="shared" ref="Z92:Z101" si="680">IF(AA92=0,0,IF(AA92&lt;0,IF($J92=12,AA92,IF($J92=11,AA92,IF($J92=10,AA92,0)))))</f>
        <v>0</v>
      </c>
      <c r="AA92" s="407">
        <f t="shared" ref="AA92:AA102" si="681">IF(AA$5=$H92,-$E92,0)</f>
        <v>0</v>
      </c>
      <c r="AB92" s="404">
        <f t="shared" ref="AB92:AB101" si="682">IF(AF92=0,0,IF(AF92&lt;0,IF($J92=3,AF92,IF($J92=2,AF92,IF($J92=1,AF92,0)))))</f>
        <v>0</v>
      </c>
      <c r="AC92" s="414">
        <f t="shared" ref="AC92:AC101" si="683">IF(AF92=0,0,IF(AF92&lt;0,IF($J92=6,AF92,IF($J92=5,AF92,IF($J92=4,AF92,0)))))</f>
        <v>0</v>
      </c>
      <c r="AD92" s="414">
        <f t="shared" ref="AD92:AD101" si="684">IF(AF92=0,0,IF(AF92&lt;0,IF($J92=9,AF92,IF($J92=8,AF92,IF($J92=7,AF92,0)))))</f>
        <v>0</v>
      </c>
      <c r="AE92" s="406">
        <f t="shared" ref="AE92:AE101" si="685">IF(AF92=0,0,IF(AF92&lt;0,IF($J92=12,AF92,IF($J92=11,AF92,IF($J92=10,AF92,0)))))</f>
        <v>0</v>
      </c>
      <c r="AF92" s="407">
        <f t="shared" ref="AF92:AF102" si="686">IF(AF$5=$H92,-$E92,0)</f>
        <v>0</v>
      </c>
      <c r="AG92" s="404">
        <f t="shared" ref="AG92:AG101" si="687">IF(AK92=0,0,IF(AK92&lt;0,IF($J92=3,AK92,IF($J92=2,AK92,IF($J92=1,AK92,0)))))</f>
        <v>0</v>
      </c>
      <c r="AH92" s="414">
        <f t="shared" ref="AH92:AH101" si="688">IF(AK92=0,0,IF(AK92&lt;0,IF($J92=6,AK92,IF($J92=5,AK92,IF($J92=4,AK92,0)))))</f>
        <v>0</v>
      </c>
      <c r="AI92" s="414">
        <f t="shared" ref="AI92:AI101" si="689">IF(AK92=0,0,IF(AK92&lt;0,IF($J92=9,AK92,IF($J92=8,AK92,IF($J92=7,AK92,0)))))</f>
        <v>0</v>
      </c>
      <c r="AJ92" s="406">
        <f t="shared" ref="AJ92:AJ101" si="690">IF(AK92=0,0,IF(AK92&lt;0,IF($J92=12,AK92,IF($J92=11,AK92,IF($J92=10,AK92,0)))))</f>
        <v>0</v>
      </c>
      <c r="AK92" s="407">
        <f t="shared" ref="AK92:AK102" si="691">IF(AK$5=$H92,-$E92,0)</f>
        <v>0</v>
      </c>
      <c r="AL92" s="404">
        <f t="shared" ref="AL92:AL101" si="692">IF(AP92=0,0,IF(AP92&lt;0,IF($J92=3,AP92,IF($J92=2,AP92,IF($J92=1,AP92,0)))))</f>
        <v>0</v>
      </c>
      <c r="AM92" s="414">
        <f t="shared" ref="AM92:AM101" si="693">IF(AP92=0,0,IF(AP92&lt;0,IF($J92=6,AP92,IF($J92=5,AP92,IF($J92=4,AP92,0)))))</f>
        <v>0</v>
      </c>
      <c r="AN92" s="414">
        <f t="shared" ref="AN92:AN101" si="694">IF(AP92=0,0,IF(AP92&lt;0,IF($J92=9,AP92,IF($J92=8,AP92,IF($J92=7,AP92,0)))))</f>
        <v>0</v>
      </c>
      <c r="AO92" s="406">
        <f t="shared" ref="AO92:AO101" si="695">IF(AP92=0,0,IF(AP92&lt;0,IF($J92=12,AP92,IF($J92=11,AP92,IF($J92=10,AP92,0)))))</f>
        <v>0</v>
      </c>
      <c r="AP92" s="407">
        <f t="shared" ref="AP92:AP102" si="696">IF(AP$5=$H92,-$E92,0)</f>
        <v>0</v>
      </c>
      <c r="AQ92" s="404">
        <f t="shared" ref="AQ92:AQ101" si="697">IF(AU92=0,0,IF(AU92&lt;0,IF($J92=3,AU92,IF($J92=2,AU92,IF($J92=1,AU92,0)))))</f>
        <v>0</v>
      </c>
      <c r="AR92" s="414">
        <f>IF(AU92=0,0,IF(AU92&lt;0,IF($J92=6,AU92,IF($J92=5,AU92,IF($J92=4,AU92,0)))))</f>
        <v>-250</v>
      </c>
      <c r="AS92" s="414">
        <f t="shared" ref="AS92:AS101" si="698">IF(AU92=0,0,IF(AU92&lt;0,IF($J92=9,AU92,IF($J92=8,AU92,IF($J92=7,AU92,0)))))</f>
        <v>0</v>
      </c>
      <c r="AT92" s="406">
        <f t="shared" ref="AT92:AT101" si="699">IF(AU92=0,0,IF(AU92&lt;0,IF($J92=12,AU92,IF($J92=11,AU92,IF($J92=10,AU92,0)))))</f>
        <v>0</v>
      </c>
      <c r="AU92" s="407">
        <f t="shared" ref="AU92:AU102" si="700">IF(AU$5=$H92,-$E92,0)</f>
        <v>-250</v>
      </c>
      <c r="AV92" s="404">
        <f t="shared" ref="AV92:AV101" si="701">IF(AZ92=0,0,IF(AZ92&lt;0,IF($J92=3,AZ92,IF($J92=2,AZ92,IF($J92=1,AZ92,0)))))</f>
        <v>0</v>
      </c>
      <c r="AW92" s="414">
        <f t="shared" ref="AW92:AW101" si="702">IF(AZ92=0,0,IF(AZ92&lt;0,IF($J92=6,AZ92,IF($J92=5,AZ92,IF($J92=4,AZ92,0)))))</f>
        <v>0</v>
      </c>
      <c r="AX92" s="414">
        <f t="shared" ref="AX92:AX101" si="703">IF(AZ92=0,0,IF(AZ92&lt;0,IF($J92=9,AZ92,IF($J92=8,AZ92,IF($J92=7,AZ92,0)))))</f>
        <v>0</v>
      </c>
      <c r="AY92" s="406">
        <f t="shared" ref="AY92:AY101" si="704">IF(AZ92=0,0,IF(AZ92&lt;0,IF($J92=12,AZ92,IF($J92=11,AZ92,IF($J92=10,AZ92,0)))))</f>
        <v>0</v>
      </c>
      <c r="AZ92" s="407">
        <f t="shared" ref="AZ92:AZ102" si="705">IF(AZ$5=$H92,-$E92,0)</f>
        <v>0</v>
      </c>
      <c r="BA92" s="404">
        <f t="shared" ref="BA92:BA101" si="706">IF(BE92=0,0,IF(BE92&lt;0,IF($J92=3,BE92,IF($J92=2,BE92,IF($J92=1,BE92,0)))))</f>
        <v>0</v>
      </c>
      <c r="BB92" s="414">
        <f t="shared" ref="BB92:BB101" si="707">IF(BE92=0,0,IF(BE92&lt;0,IF($J92=6,BE92,IF($J92=5,BE92,IF($J92=4,BE92,0)))))</f>
        <v>0</v>
      </c>
      <c r="BC92" s="414">
        <f t="shared" ref="BC92:BC101" si="708">IF(BE92=0,0,IF(BE92&lt;0,IF($J92=9,BE92,IF($J92=8,BE92,IF($J92=7,BE92,0)))))</f>
        <v>0</v>
      </c>
      <c r="BD92" s="406">
        <f t="shared" ref="BD92:BD101" si="709">IF(BE92=0,0,IF(BE92&lt;0,IF($J92=12,BE92,IF($J92=11,BE92,IF($J92=10,BE92,0)))))</f>
        <v>0</v>
      </c>
      <c r="BE92" s="407">
        <f t="shared" ref="BE92:BE102" si="710">IF(BE$5=$H92,-$E92,0)</f>
        <v>0</v>
      </c>
      <c r="BF92" s="404">
        <f t="shared" ref="BF92:BF101" si="711">IF(BJ92=0,0,IF(BJ92&lt;0,IF($J92=3,BJ92,IF($J92=2,BJ92,IF($J92=1,BJ92,0)))))</f>
        <v>0</v>
      </c>
      <c r="BG92" s="414">
        <f t="shared" ref="BG92:BG101" si="712">IF(BJ92=0,0,IF(BJ92&lt;0,IF($J92=6,BJ92,IF($J92=5,BJ92,IF($J92=4,BJ92,0)))))</f>
        <v>0</v>
      </c>
      <c r="BH92" s="414">
        <f t="shared" ref="BH92:BH101" si="713">IF(BJ92=0,0,IF(BJ92&lt;0,IF($J92=9,BJ92,IF($J92=8,BJ92,IF($J92=7,BJ92,0)))))</f>
        <v>0</v>
      </c>
      <c r="BI92" s="406">
        <f t="shared" ref="BI92:BI101" si="714">IF(BJ92=0,0,IF(BJ92&lt;0,IF($J92=12,BJ92,IF($J92=11,BJ92,IF($J92=10,BJ92,0)))))</f>
        <v>0</v>
      </c>
      <c r="BJ92" s="407">
        <f t="shared" ref="BJ92:BJ102" si="715">IF(BJ$5=$H92,-$E92,0)</f>
        <v>0</v>
      </c>
      <c r="BK92" s="404">
        <f t="shared" ref="BK92:BK101" si="716">IF(BO92=0,0,IF(BO92&lt;0,IF($J92=3,BO92,IF($J92=2,BO92,IF($J92=1,BO92,0)))))</f>
        <v>0</v>
      </c>
      <c r="BL92" s="414">
        <f t="shared" ref="BL92:BL101" si="717">IF(BO92=0,0,IF(BO92&lt;0,IF($J92=6,BO92,IF($J92=5,BO92,IF($J92=4,BO92,0)))))</f>
        <v>0</v>
      </c>
      <c r="BM92" s="414">
        <f t="shared" ref="BM92:BM101" si="718">IF(BO92=0,0,IF(BO92&lt;0,IF($J92=9,BO92,IF($J92=8,BO92,IF($J92=7,BO92,0)))))</f>
        <v>0</v>
      </c>
      <c r="BN92" s="406">
        <f t="shared" ref="BN92:BN101" si="719">IF(BO92=0,0,IF(BO92&lt;0,IF($J92=12,BO92,IF($J92=11,BO92,IF($J92=10,BO92,0)))))</f>
        <v>0</v>
      </c>
      <c r="BO92" s="407">
        <f t="shared" ref="BO92:BO102" si="720">IF(BO$5=$H92,-$E92,0)</f>
        <v>0</v>
      </c>
      <c r="BP92" s="449"/>
      <c r="BQ92" s="413">
        <f t="shared" ref="BQ92:BQ101" si="721">IF(AND(AH92&lt;&gt;0,AH$5=$H92),-$I92*$E92-AH92,IF(BQ$5=$H92,-$I92*$E92*(12-$J92+1)/12,0))</f>
        <v>0</v>
      </c>
      <c r="BR92" s="410">
        <f t="shared" ref="BR92:BR101" si="722">IF($H92&lt;&gt;BV$5,0,IF(BV92&lt;0,IF($J92=1,-$E92*$I92/12*3,IF($J92=2,-$E92*$I92/12*2,IF($J92=3,-$E92*$I92/12*1,0)))))+IF(BQ$5&lt;&gt;$H92,0,IF(BQ92&lt;0,IF($J92=1,-$E92*$I92/12*0,IF($J92=2,-$E92*$I92/12*1,IF($J92=3,-$E92*$I92/12*2,IF($J92&gt;=4,-$E92*$I92/12*3,0))))))</f>
        <v>0</v>
      </c>
      <c r="BS92" s="416">
        <f t="shared" ref="BS92:BS101" si="723">IF($H92&lt;&gt;BV$5,0,IF(BV92&lt;0,IF(OR($J92=1,$J92=2,$J92=3,$J92=4),-$E92*$I92/12*3,IF($J92=5,-$E92*$I92/12*2,IF($J92=6,-$E92*$I92/12*1,0)))))+IF(BQ$5&lt;&gt;$H92,0,IF(BQ92&lt;0,IF($J92=4,-$E92*$I92/12*0,IF($J92=5,-$E92*$I92/12*1,IF($J92=6,-$E92*$I92/12*2,IF($J92&gt;=7,-$E92*$I92/12*3,0))))))</f>
        <v>0</v>
      </c>
      <c r="BT92" s="416">
        <f t="shared" ref="BT92:BT101" si="724">IF($H92&lt;&gt;BV$5,0,IF(BV92&lt;0,IF(OR($J92=1,$J92=2,$J92=3,$J92=4,$J92=5,$J92=6,$J92=7),-$E92*$I92/12*3,IF($J92=8,-$E92*$I92/12*2,IF($J92=9,-$E92*$I92/12*1,0)))))+IF(BQ$5&lt;&gt;$H92,0,IF(BQ92&lt;0,IF($J92=7,-$E92*$I92/12*0,IF($J92=8,-$E92*$I92/12*1,IF($J92=9,-$E92*$I92/12*2,IF($J92&gt;=10,-$E92*$I92/12*3,0))))))</f>
        <v>0</v>
      </c>
      <c r="BU92" s="412">
        <f t="shared" ref="BU92:BU101" si="725">IF($H92&lt;&gt;BV$5,0,IF(BV92&lt;0,IF(OR($J92=1,$J92=2,$J92=3,$J92=4,$J92=5,$J92=6,$J92=7,$J92=8,$J92=9,$J92=10),-$E92*$I92/12*3,IF($J92=11,-$E92*$I92/12*2,IF($J92=12,-$E92*$I92/12*1,0)))))+IF(BQ$5&lt;&gt;$H92,0,IF(BQ92&lt;0,IF($J92=10,-$E92*$I92/12*0,IF($J92=11,-$E92*$I92/12*1,IF($J92=12,-$E92*$I92/12*2,0)))))</f>
        <v>0</v>
      </c>
      <c r="BV92" s="413">
        <f t="shared" ref="BV92:BV101" si="726">IF(AND(BQ92&lt;&gt;0,BQ$5=$H92),-$I92*$E92-BQ92,IF(BV$5=$H92,-$I92*$E92*(12-$J92+1)/12,0))</f>
        <v>0</v>
      </c>
      <c r="BW92" s="410">
        <f t="shared" ref="BW92:BW101" si="727">IF($H92&lt;&gt;CA$5,0,IF(CA92&lt;0,IF($J92=1,-$E92*$I92/12*3,IF($J92=2,-$E92*$I92/12*2,IF($J92=3,-$E92*$I92/12*1,0)))))+IF(BV$5&lt;&gt;$H92,0,IF(BV92&lt;0,IF($J92=1,-$E92*$I92/12*0,IF($J92=2,-$E92*$I92/12*1,IF($J92=3,-$E92*$I92/12*2,IF($J92&gt;=4,-$E92*$I92/12*3,0))))))</f>
        <v>0</v>
      </c>
      <c r="BX92" s="416">
        <f t="shared" ref="BX92:BX101" si="728">IF($H92&lt;&gt;CA$5,0,IF(CA92&lt;0,IF(OR($J92=1,$J92=2,$J92=3,$J92=4),-$E92*$I92/12*3,IF($J92=5,-$E92*$I92/12*2,IF($J92=6,-$E92*$I92/12*1,0)))))+IF(BV$5&lt;&gt;$H92,0,IF(BV92&lt;0,IF($J92=4,-$E92*$I92/12*0,IF($J92=5,-$E92*$I92/12*1,IF($J92=6,-$E92*$I92/12*2,IF($J92&gt;=7,-$E92*$I92/12*3,0))))))</f>
        <v>0</v>
      </c>
      <c r="BY92" s="416">
        <f t="shared" ref="BY92:BY101" si="729">IF($H92&lt;&gt;CA$5,0,IF(CA92&lt;0,IF(OR($J92=1,$J92=2,$J92=3,$J92=4,$J92=5,$J92=6,$J92=7),-$E92*$I92/12*3,IF($J92=8,-$E92*$I92/12*2,IF($J92=9,-$E92*$I92/12*1,0)))))+IF(BV$5&lt;&gt;$H92,0,IF(BV92&lt;0,IF($J92=7,-$E92*$I92/12*0,IF($J92=8,-$E92*$I92/12*1,IF($J92=9,-$E92*$I92/12*2,IF($J92&gt;=10,-$E92*$I92/12*3,0))))))</f>
        <v>0</v>
      </c>
      <c r="BZ92" s="412">
        <f t="shared" ref="BZ92:BZ101" si="730">IF($H92&lt;&gt;CA$5,0,IF(CA92&lt;0,IF(OR($J92=1,$J92=2,$J92=3,$J92=4,$J92=5,$J92=6,$J92=7,$J92=8,$J92=9,$J92=10),-$E92*$I92/12*3,IF($J92=11,-$E92*$I92/12*2,IF($J92=12,-$E92*$I92/12*1,0)))))+IF(BV$5&lt;&gt;$H92,0,IF(BV92&lt;0,IF($J92=10,-$E92*$I92/12*0,IF($J92=11,-$E92*$I92/12*1,IF($J92=12,-$E92*$I92/12*2,0)))))</f>
        <v>0</v>
      </c>
      <c r="CA92" s="413">
        <f t="shared" ref="CA92:CA101" si="731">IF(AND(BV92&lt;&gt;0,BV$5=$H92),-$I92*$E92-BV92,IF(CA$5=$H92,-$I92*$E92*(12-$J92+1)/12,0))</f>
        <v>0</v>
      </c>
      <c r="CB92" s="410">
        <f t="shared" ref="CB92:CB101" si="732">IF($H92&lt;&gt;CF$5,0,IF(CF92&lt;0,IF($J92=1,-$E92*$I92/12*3,IF($J92=2,-$E92*$I92/12*2,IF($J92=3,-$E92*$I92/12*1,0)))))+IF(CA$5&lt;&gt;$H92,0,IF(CA92&lt;0,IF($J92=1,-$E92*$I92/12*0,IF($J92=2,-$E92*$I92/12*1,IF($J92=3,-$E92*$I92/12*2,IF($J92&gt;=4,-$E92*$I92/12*3,0))))))</f>
        <v>0</v>
      </c>
      <c r="CC92" s="416">
        <f t="shared" ref="CC92:CC101" si="733">IF($H92&lt;&gt;CF$5,0,IF(CF92&lt;0,IF(OR($J92=1,$J92=2,$J92=3,$J92=4),-$E92*$I92/12*3,IF($J92=5,-$E92*$I92/12*2,IF($J92=6,-$E92*$I92/12*1,0)))))+IF(CA$5&lt;&gt;$H92,0,IF(CA92&lt;0,IF($J92=4,-$E92*$I92/12*0,IF($J92=5,-$E92*$I92/12*1,IF($J92=6,-$E92*$I92/12*2,IF($J92&gt;=7,-$E92*$I92/12*3,0))))))</f>
        <v>0</v>
      </c>
      <c r="CD92" s="416">
        <f t="shared" ref="CD92:CD101" si="734">IF($H92&lt;&gt;CF$5,0,IF(CF92&lt;0,IF(OR($J92=1,$J92=2,$J92=3,$J92=4,$J92=5,$J92=6,$J92=7),-$E92*$I92/12*3,IF($J92=8,-$E92*$I92/12*2,IF($J92=9,-$E92*$I92/12*1,0)))))+IF(CA$5&lt;&gt;$H92,0,IF(CA92&lt;0,IF($J92=7,-$E92*$I92/12*0,IF($J92=8,-$E92*$I92/12*1,IF($J92=9,-$E92*$I92/12*2,IF($J92&gt;=10,-$E92*$I92/12*3,0))))))</f>
        <v>0</v>
      </c>
      <c r="CE92" s="412">
        <f t="shared" ref="CE92:CE101" si="735">IF($H92&lt;&gt;CF$5,0,IF(CF92&lt;0,IF(OR($J92=1,$J92=2,$J92=3,$J92=4,$J92=5,$J92=6,$J92=7,$J92=8,$J92=9,$J92=10),-$E92*$I92/12*3,IF($J92=11,-$E92*$I92/12*2,IF($J92=12,-$E92*$I92/12*1,0)))))+IF(CA$5&lt;&gt;$H92,0,IF(CA92&lt;0,IF($J92=10,-$E92*$I92/12*0,IF($J92=11,-$E92*$I92/12*1,IF($J92=12,-$E92*$I92/12*2,0)))))</f>
        <v>0</v>
      </c>
      <c r="CF92" s="413">
        <f t="shared" ref="CF92:CF101" si="736">IF(AND(CA92&lt;&gt;0,CA$5=$H92),-$I92*$E92-CA92,IF(CF$5=$H92,-$I92*$E92*(12-$J92+1)/12,0))</f>
        <v>0</v>
      </c>
      <c r="CG92" s="410">
        <f t="shared" ref="CG92:CG101" si="737">IF($H92&lt;&gt;CK$5,0,IF(CK92&lt;0,IF($J92=1,-$E92*$I92/12*3,IF($J92=2,-$E92*$I92/12*2,IF($J92=3,-$E92*$I92/12*1,0)))))+IF(CF$5&lt;&gt;$H92,0,IF(CF92&lt;0,IF($J92=1,-$E92*$I92/12*0,IF($J92=2,-$E92*$I92/12*1,IF($J92=3,-$E92*$I92/12*2,IF($J92&gt;=4,-$E92*$I92/12*3,0))))))</f>
        <v>0</v>
      </c>
      <c r="CH92" s="416">
        <f t="shared" ref="CH92:CH101" si="738">IF($H92&lt;&gt;CK$5,0,IF(CK92&lt;0,IF(OR($J92=1,$J92=2,$J92=3,$J92=4),-$E92*$I92/12*3,IF($J92=5,-$E92*$I92/12*2,IF($J92=6,-$E92*$I92/12*1,0)))))+IF(CF$5&lt;&gt;$H92,0,IF(CF92&lt;0,IF($J92=4,-$E92*$I92/12*0,IF($J92=5,-$E92*$I92/12*1,IF($J92=6,-$E92*$I92/12*2,IF($J92&gt;=7,-$E92*$I92/12*3,0))))))</f>
        <v>0</v>
      </c>
      <c r="CI92" s="416">
        <f t="shared" ref="CI92:CI101" si="739">IF($H92&lt;&gt;CK$5,0,IF(CK92&lt;0,IF(OR($J92=1,$J92=2,$J92=3,$J92=4,$J92=5,$J92=6,$J92=7),-$E92*$I92/12*3,IF($J92=8,-$E92*$I92/12*2,IF($J92=9,-$E92*$I92/12*1,0)))))+IF(CF$5&lt;&gt;$H92,0,IF(CF92&lt;0,IF($J92=7,-$E92*$I92/12*0,IF($J92=8,-$E92*$I92/12*1,IF($J92=9,-$E92*$I92/12*2,IF($J92&gt;=10,-$E92*$I92/12*3,0))))))</f>
        <v>0</v>
      </c>
      <c r="CJ92" s="412">
        <f t="shared" ref="CJ92:CJ101" si="740">IF($H92&lt;&gt;CK$5,0,IF(CK92&lt;0,IF(OR($J92=1,$J92=2,$J92=3,$J92=4,$J92=5,$J92=6,$J92=7,$J92=8,$J92=9,$J92=10),-$E92*$I92/12*3,IF($J92=11,-$E92*$I92/12*2,IF($J92=12,-$E92*$I92/12*1,0)))))+IF(CF$5&lt;&gt;$H92,0,IF(CF92&lt;0,IF($J92=10,-$E92*$I92/12*0,IF($J92=11,-$E92*$I92/12*1,IF($J92=12,-$E92*$I92/12*2,0)))))</f>
        <v>0</v>
      </c>
      <c r="CK92" s="413">
        <f t="shared" ref="CK92:CK101" si="741">IF(AND(CF92&lt;&gt;0,CF$5=$H92),-$I92*$E92-CF92,IF(CK$5=$H92,-$I92*$E92*(12-$J92+1)/12,0))</f>
        <v>0</v>
      </c>
      <c r="CL92" s="410">
        <f t="shared" ref="CL92:CL101" si="742">IF($H92&lt;&gt;CP$5,0,IF(CP92&lt;0,IF($J92=1,-$E92*$I92/12*3,IF($J92=2,-$E92*$I92/12*2,IF($J92=3,-$E92*$I92/12*1,0)))))+IF(CK$5&lt;&gt;$H92,0,IF(CK92&lt;0,IF($J92=1,-$E92*$I92/12*0,IF($J92=2,-$E92*$I92/12*1,IF($J92=3,-$E92*$I92/12*2,IF($J92&gt;=4,-$E92*$I92/12*3,0))))))</f>
        <v>0</v>
      </c>
      <c r="CM92" s="416">
        <f t="shared" ref="CM92:CM101" si="743">IF($H92&lt;&gt;CP$5,0,IF(CP92&lt;0,IF(OR($J92=1,$J92=2,$J92=3,$J92=4),-$E92*$I92/12*3,IF($J92=5,-$E92*$I92/12*2,IF($J92=6,-$E92*$I92/12*1,0)))))+IF(CK$5&lt;&gt;$H92,0,IF(CK92&lt;0,IF($J92=4,-$E92*$I92/12*0,IF($J92=5,-$E92*$I92/12*1,IF($J92=6,-$E92*$I92/12*2,IF($J92&gt;=7,-$E92*$I92/12*3,0))))))</f>
        <v>0</v>
      </c>
      <c r="CN92" s="416">
        <f t="shared" ref="CN92:CN101" si="744">IF($H92&lt;&gt;CP$5,0,IF(CP92&lt;0,IF(OR($J92=1,$J92=2,$J92=3,$J92=4,$J92=5,$J92=6,$J92=7),-$E92*$I92/12*3,IF($J92=8,-$E92*$I92/12*2,IF($J92=9,-$E92*$I92/12*1,0)))))+IF(CK$5&lt;&gt;$H92,0,IF(CK92&lt;0,IF($J92=7,-$E92*$I92/12*0,IF($J92=8,-$E92*$I92/12*1,IF($J92=9,-$E92*$I92/12*2,IF($J92&gt;=10,-$E92*$I92/12*3,0))))))</f>
        <v>0</v>
      </c>
      <c r="CO92" s="412">
        <f t="shared" ref="CO92:CO101" si="745">IF($H92&lt;&gt;CP$5,0,IF(CP92&lt;0,IF(OR($J92=1,$J92=2,$J92=3,$J92=4,$J92=5,$J92=6,$J92=7,$J92=8,$J92=9,$J92=10),-$E92*$I92/12*3,IF($J92=11,-$E92*$I92/12*2,IF($J92=12,-$E92*$I92/12*1,0)))))+IF(CK$5&lt;&gt;$H92,0,IF(CK92&lt;0,IF($J92=10,-$E92*$I92/12*0,IF($J92=11,-$E92*$I92/12*1,IF($J92=12,-$E92*$I92/12*2,0)))))</f>
        <v>0</v>
      </c>
      <c r="CP92" s="413">
        <f t="shared" ref="CP92:CP101" si="746">IF(AND(CK92&lt;&gt;0,CK$5=$H92),-$I92*$E92-CK92,IF(CP$5=$H92,-$I92*$E92*(12-$J92+1)/12,0))</f>
        <v>0</v>
      </c>
      <c r="CQ92" s="410">
        <f t="shared" ref="CQ92:CQ101" si="747">IF($H92&lt;&gt;CU$5,0,IF(CU92&lt;0,IF($J92=1,-$E92*$I92/12*3,IF($J92=2,-$E92*$I92/12*2,IF($J92=3,-$E92*$I92/12*1,0)))))+IF(CP$5&lt;&gt;$H92,0,IF(CP92&lt;0,IF($J92=1,-$E92*$I92/12*0,IF($J92=2,-$E92*$I92/12*1,IF($J92=3,-$E92*$I92/12*2,IF($J92&gt;=4,-$E92*$I92/12*3,0))))))</f>
        <v>0</v>
      </c>
      <c r="CR92" s="416">
        <f t="shared" ref="CR92:CR101" si="748">IF($H92&lt;&gt;CU$5,0,IF(CU92&lt;0,IF(OR($J92=1,$J92=2,$J92=3,$J92=4),-$E92*$I92/12*3,IF($J92=5,-$E92*$I92/12*2,IF($J92=6,-$E92*$I92/12*1,0)))))+IF(CP$5&lt;&gt;$H92,0,IF(CP92&lt;0,IF($J92=4,-$E92*$I92/12*0,IF($J92=5,-$E92*$I92/12*1,IF($J92=6,-$E92*$I92/12*2,IF($J92&gt;=7,-$E92*$I92/12*3,0))))))</f>
        <v>0</v>
      </c>
      <c r="CS92" s="416">
        <f t="shared" ref="CS92:CS101" si="749">IF($H92&lt;&gt;CU$5,0,IF(CU92&lt;0,IF(OR($J92=1,$J92=2,$J92=3,$J92=4,$J92=5,$J92=6,$J92=7),-$E92*$I92/12*3,IF($J92=8,-$E92*$I92/12*2,IF($J92=9,-$E92*$I92/12*1,0)))))+IF(CP$5&lt;&gt;$H92,0,IF(CP92&lt;0,IF($J92=7,-$E92*$I92/12*0,IF($J92=8,-$E92*$I92/12*1,IF($J92=9,-$E92*$I92/12*2,IF($J92&gt;=10,-$E92*$I92/12*3,0))))))</f>
        <v>0</v>
      </c>
      <c r="CT92" s="412">
        <f t="shared" ref="CT92:CT101" si="750">IF($H92&lt;&gt;CU$5,0,IF(CU92&lt;0,IF(OR($J92=1,$J92=2,$J92=3,$J92=4,$J92=5,$J92=6,$J92=7,$J92=8,$J92=9,$J92=10),-$E92*$I92/12*3,IF($J92=11,-$E92*$I92/12*2,IF($J92=12,-$E92*$I92/12*1,0)))))+IF(CP$5&lt;&gt;$H92,0,IF(CP92&lt;0,IF($J92=10,-$E92*$I92/12*0,IF($J92=11,-$E92*$I92/12*1,IF($J92=12,-$E92*$I92/12*2,0)))))</f>
        <v>0</v>
      </c>
      <c r="CU92" s="413">
        <f t="shared" ref="CU92:CU101" si="751">IF(AND(CP92&lt;&gt;0,CP$5=$H92),-$I92*$E92-CP92,IF(CU$5=$H92,-$I92*$E92*(12-$J92+1)/12,0))</f>
        <v>0</v>
      </c>
      <c r="CV92" s="410">
        <f t="shared" ref="CV92:CV101" si="752">IF($H92&lt;&gt;CZ$5,0,IF(CZ92&lt;0,IF($J92=1,-$E92*$I92/12*3,IF($J92=2,-$E92*$I92/12*2,IF($J92=3,-$E92*$I92/12*1,0)))))+IF(CU$5&lt;&gt;$H92,0,IF(CU92&lt;0,IF($J92=1,-$E92*$I92/12*0,IF($J92=2,-$E92*$I92/12*1,IF($J92=3,-$E92*$I92/12*2,IF($J92&gt;=4,-$E92*$I92/12*3,0))))))</f>
        <v>0</v>
      </c>
      <c r="CW92" s="416">
        <f t="shared" ref="CW92:CW101" si="753">IF($H92&lt;&gt;CZ$5,0,IF(CZ92&lt;0,IF(OR($J92=1,$J92=2,$J92=3,$J92=4),-$E92*$I92/12*3,IF($J92=5,-$E92*$I92/12*2,IF($J92=6,-$E92*$I92/12*1,0)))))+IF(CU$5&lt;&gt;$H92,0,IF(CU92&lt;0,IF($J92=4,-$E92*$I92/12*0,IF($J92=5,-$E92*$I92/12*1,IF($J92=6,-$E92*$I92/12*2,IF($J92&gt;=7,-$E92*$I92/12*3,0))))))</f>
        <v>-1.0416666666666667</v>
      </c>
      <c r="CX92" s="416">
        <f t="shared" ref="CX92:CX101" si="754">IF($H92&lt;&gt;CZ$5,0,IF(CZ92&lt;0,IF(OR($J92=1,$J92=2,$J92=3,$J92=4,$J92=5,$J92=6,$J92=7),-$E92*$I92/12*3,IF($J92=8,-$E92*$I92/12*2,IF($J92=9,-$E92*$I92/12*1,0)))))+IF(CU$5&lt;&gt;$H92,0,IF(CU92&lt;0,IF($J92=7,-$E92*$I92/12*0,IF($J92=8,-$E92*$I92/12*1,IF($J92=9,-$E92*$I92/12*2,IF($J92&gt;=10,-$E92*$I92/12*3,0))))))</f>
        <v>-3.125</v>
      </c>
      <c r="CY92" s="412">
        <f t="shared" ref="CY92:CY101" si="755">IF($H92&lt;&gt;CZ$5,0,IF(CZ92&lt;0,IF(OR($J92=1,$J92=2,$J92=3,$J92=4,$J92=5,$J92=6,$J92=7,$J92=8,$J92=9,$J92=10),-$E92*$I92/12*3,IF($J92=11,-$E92*$I92/12*2,IF($J92=12,-$E92*$I92/12*1,0)))))+IF(CU$5&lt;&gt;$H92,0,IF(CU92&lt;0,IF($J92=10,-$E92*$I92/12*0,IF($J92=11,-$E92*$I92/12*1,IF($J92=12,-$E92*$I92/12*2,0)))))</f>
        <v>-3.125</v>
      </c>
      <c r="CZ92" s="413">
        <f t="shared" ref="CZ92:CZ101" si="756">IF(AND(CU92&lt;&gt;0,CU$5=$H92),-$I92*$E92-CU92,IF(CZ$5=$H92,-$I92*$E92*(12-$J92+1)/12,0))</f>
        <v>-7.291666666666667</v>
      </c>
      <c r="DA92" s="410">
        <f t="shared" ref="DA92:DA101" si="757">IF($H92&lt;&gt;DE$5,0,IF(DE92&lt;0,IF($J92=1,-$E92*$I92/12*3,IF($J92=2,-$E92*$I92/12*2,IF($J92=3,-$E92*$I92/12*1,0)))))+IF(CZ$5&lt;&gt;$H92,0,IF(CZ92&lt;0,IF($J92=1,-$E92*$I92/12*0,IF($J92=2,-$E92*$I92/12*1,IF($J92=3,-$E92*$I92/12*2,IF($J92&gt;=4,-$E92*$I92/12*3,0))))))</f>
        <v>-3.125</v>
      </c>
      <c r="DB92" s="416">
        <f t="shared" ref="DB92:DB101" si="758">IF($H92&lt;&gt;DE$5,0,IF(DE92&lt;0,IF(OR($J92=1,$J92=2,$J92=3,$J92=4),-$E92*$I92/12*3,IF($J92=5,-$E92*$I92/12*2,IF($J92=6,-$E92*$I92/12*1,0)))))+IF(CZ$5&lt;&gt;$H92,0,IF(CZ92&lt;0,IF($J92=4,-$E92*$I92/12*0,IF($J92=5,-$E92*$I92/12*1,IF($J92=6,-$E92*$I92/12*2,IF($J92&gt;=7,-$E92*$I92/12*3,0))))))</f>
        <v>-2.0833333333333335</v>
      </c>
      <c r="DC92" s="416">
        <f t="shared" ref="DC92:DC101" si="759">IF($H92&lt;&gt;DE$5,0,IF(DE92&lt;0,IF(OR($J92=1,$J92=2,$J92=3,$J92=4,$J92=5,$J92=6,$J92=7),-$E92*$I92/12*3,IF($J92=8,-$E92*$I92/12*2,IF($J92=9,-$E92*$I92/12*1,0)))))+IF(CZ$5&lt;&gt;$H92,0,IF(CZ92&lt;0,IF($J92=7,-$E92*$I92/12*0,IF($J92=8,-$E92*$I92/12*1,IF($J92=9,-$E92*$I92/12*2,IF($J92&gt;=10,-$E92*$I92/12*3,0))))))</f>
        <v>0</v>
      </c>
      <c r="DD92" s="412">
        <f t="shared" ref="DD92:DD101" si="760">IF($H92&lt;&gt;DE$5,0,IF(DE92&lt;0,IF(OR($J92=1,$J92=2,$J92=3,$J92=4,$J92=5,$J92=6,$J92=7,$J92=8,$J92=9,$J92=10),-$E92*$I92/12*3,IF($J92=11,-$E92*$I92/12*2,IF($J92=12,-$E92*$I92/12*1,0)))))+IF(CZ$5&lt;&gt;$H92,0,IF(CZ92&lt;0,IF($J92=10,-$E92*$I92/12*0,IF($J92=11,-$E92*$I92/12*1,IF($J92=12,-$E92*$I92/12*2,0)))))</f>
        <v>0</v>
      </c>
      <c r="DE92" s="413">
        <f t="shared" ref="DE92:DE101" si="761">IF(AND(CZ92&lt;&gt;0,CZ$5=$H92),-$I92*$E92-CZ92,IF(DE$5=$H92,-$I92*$E92*(12-$J92+1)/12,0))</f>
        <v>-5.208333333333333</v>
      </c>
      <c r="DF92" s="410">
        <f t="shared" ref="DF92:DF101" si="762">IF($H92&lt;&gt;DJ$5,0,IF(DJ92&lt;0,IF($J92=1,-$E92*$I92/12*3,IF($J92=2,-$E92*$I92/12*2,IF($J92=3,-$E92*$I92/12*1,0)))))+IF(DE$5&lt;&gt;$H92,0,IF(DE92&lt;0,IF($J92=1,-$E92*$I92/12*0,IF($J92=2,-$E92*$I92/12*1,IF($J92=3,-$E92*$I92/12*2,IF($J92&gt;=4,-$E92*$I92/12*3,0))))))</f>
        <v>0</v>
      </c>
      <c r="DG92" s="416">
        <f t="shared" ref="DG92:DG101" si="763">IF($H92&lt;&gt;DJ$5,0,IF(DJ92&lt;0,IF(OR($J92=1,$J92=2,$J92=3,$J92=4),-$E92*$I92/12*3,IF($J92=5,-$E92*$I92/12*2,IF($J92=6,-$E92*$I92/12*1,0)))))+IF(DE$5&lt;&gt;$H92,0,IF(DE92&lt;0,IF($J92=4,-$E92*$I92/12*0,IF($J92=5,-$E92*$I92/12*1,IF($J92=6,-$E92*$I92/12*2,IF($J92&gt;=7,-$E92*$I92/12*3,0))))))</f>
        <v>0</v>
      </c>
      <c r="DH92" s="416">
        <f t="shared" ref="DH92:DH101" si="764">IF($H92&lt;&gt;DJ$5,0,IF(DJ92&lt;0,IF(OR($J92=1,$J92=2,$J92=3,$J92=4,$J92=5,$J92=6,$J92=7),-$E92*$I92/12*3,IF($J92=8,-$E92*$I92/12*2,IF($J92=9,-$E92*$I92/12*1,0)))))+IF(DE$5&lt;&gt;$H92,0,IF(DE92&lt;0,IF($J92=7,-$E92*$I92/12*0,IF($J92=8,-$E92*$I92/12*1,IF($J92=9,-$E92*$I92/12*2,IF($J92&gt;=10,-$E92*$I92/12*3,0))))))</f>
        <v>0</v>
      </c>
      <c r="DI92" s="412">
        <f t="shared" ref="DI92:DI101" si="765">IF($H92&lt;&gt;DJ$5,0,IF(DJ92&lt;0,IF(OR($J92=1,$J92=2,$J92=3,$J92=4,$J92=5,$J92=6,$J92=7,$J92=8,$J92=9,$J92=10),-$E92*$I92/12*3,IF($J92=11,-$E92*$I92/12*2,IF($J92=12,-$E92*$I92/12*1,0)))))+IF(DE$5&lt;&gt;$H92,0,IF(DE92&lt;0,IF($J92=10,-$E92*$I92/12*0,IF($J92=11,-$E92*$I92/12*1,IF($J92=12,-$E92*$I92/12*2,0)))))</f>
        <v>0</v>
      </c>
      <c r="DJ92" s="413">
        <f t="shared" ref="DJ92:DJ101" si="766">IF(AND(DE92&lt;&gt;0,DE$5=$H92),-$I92*$E92-DE92,IF(DJ$5=$H92,-$I92*$E92*(12-$J92+1)/12,0))</f>
        <v>0</v>
      </c>
      <c r="DK92" s="410">
        <f t="shared" ref="DK92:DK101" si="767">IF($H92&lt;&gt;DO$5,0,IF(DO92&lt;0,IF($J92=1,-$E92*$I92/12*3,IF($J92=2,-$E92*$I92/12*2,IF($J92=3,-$E92*$I92/12*1,0)))))+IF(DJ$5&lt;&gt;$H92,0,IF(DJ92&lt;0,IF($J92=1,-$E92*$I92/12*0,IF($J92=2,-$E92*$I92/12*1,IF($J92=3,-$E92*$I92/12*2,IF($J92&gt;=4,-$E92*$I92/12*3,0))))))</f>
        <v>0</v>
      </c>
      <c r="DL92" s="416">
        <f t="shared" ref="DL92:DL101" si="768">IF($H92&lt;&gt;DO$5,0,IF(DO92&lt;0,IF(OR($J92=1,$J92=2,$J92=3,$J92=4),-$E92*$I92/12*3,IF($J92=5,-$E92*$I92/12*2,IF($J92=6,-$E92*$I92/12*1,0)))))+IF(DJ$5&lt;&gt;$H92,0,IF(DJ92&lt;0,IF($J92=4,-$E92*$I92/12*0,IF($J92=5,-$E92*$I92/12*1,IF($J92=6,-$E92*$I92/12*2,IF($J92&gt;=7,-$E92*$I92/12*3,0))))))</f>
        <v>0</v>
      </c>
      <c r="DM92" s="416">
        <f t="shared" ref="DM92:DM101" si="769">IF($H92&lt;&gt;DO$5,0,IF(DO92&lt;0,IF(OR($J92=1,$J92=2,$J92=3,$J92=4,$J92=5,$J92=6,$J92=7),-$E92*$I92/12*3,IF($J92=8,-$E92*$I92/12*2,IF($J92=9,-$E92*$I92/12*1,0)))))+IF(DJ$5&lt;&gt;$H92,0,IF(DJ92&lt;0,IF($J92=7,-$E92*$I92/12*0,IF($J92=8,-$E92*$I92/12*1,IF($J92=9,-$E92*$I92/12*2,IF($J92&gt;=10,-$E92*$I92/12*3,0))))))</f>
        <v>0</v>
      </c>
      <c r="DN92" s="412">
        <f t="shared" ref="DN92:DN101" si="770">IF($H92&lt;&gt;DO$5,0,IF(DO92&lt;0,IF(OR($J92=1,$J92=2,$J92=3,$J92=4,$J92=5,$J92=6,$J92=7,$J92=8,$J92=9,$J92=10),-$E92*$I92/12*3,IF($J92=11,-$E92*$I92/12*2,IF($J92=12,-$E92*$I92/12*1,0)))))+IF(DJ$5&lt;&gt;$H92,0,IF(DJ92&lt;0,IF($J92=10,-$E92*$I92/12*0,IF($J92=11,-$E92*$I92/12*1,IF($J92=12,-$E92*$I92/12*2,0)))))</f>
        <v>0</v>
      </c>
      <c r="DO92" s="413">
        <f t="shared" ref="DO92:DO101" si="771">IF(AND(DJ92&lt;&gt;0,DJ$5=$H92),-$I92*$E92-DJ92,IF(DO$5=$H92,-$I92*$E92*(12-$J92+1)/12,0))</f>
        <v>0</v>
      </c>
      <c r="DP92" s="410">
        <f t="shared" ref="DP92:DP101" si="772">IF($H92&lt;&gt;DT$5,0,IF(DT92&lt;0,IF($J92=1,-$E92*$I92/12*3,IF($J92=2,-$E92*$I92/12*2,IF($J92=3,-$E92*$I92/12*1,0)))))+IF(DO$5&lt;&gt;$H92,0,IF(DO92&lt;0,IF($J92=1,-$E92*$I92/12*0,IF($J92=2,-$E92*$I92/12*1,IF($J92=3,-$E92*$I92/12*2,IF($J92&gt;=4,-$E92*$I92/12*3,0))))))</f>
        <v>0</v>
      </c>
      <c r="DQ92" s="416">
        <f t="shared" ref="DQ92:DQ101" si="773">IF($H92&lt;&gt;DT$5,0,IF(DT92&lt;0,IF(OR($J92=1,$J92=2,$J92=3,$J92=4),-$E92*$I92/12*3,IF($J92=5,-$E92*$I92/12*2,IF($J92=6,-$E92*$I92/12*1,0)))))+IF(DO$5&lt;&gt;$H92,0,IF(DO92&lt;0,IF($J92=4,-$E92*$I92/12*0,IF($J92=5,-$E92*$I92/12*1,IF($J92=6,-$E92*$I92/12*2,IF($J92&gt;=7,-$E92*$I92/12*3,0))))))</f>
        <v>0</v>
      </c>
      <c r="DR92" s="416">
        <f t="shared" ref="DR92:DR101" si="774">IF($H92&lt;&gt;DT$5,0,IF(DT92&lt;0,IF(OR($J92=1,$J92=2,$J92=3,$J92=4,$J92=5,$J92=6,$J92=7),-$E92*$I92/12*3,IF($J92=8,-$E92*$I92/12*2,IF($J92=9,-$E92*$I92/12*1,0)))))+IF(DO$5&lt;&gt;$H92,0,IF(DO92&lt;0,IF($J92=7,-$E92*$I92/12*0,IF($J92=8,-$E92*$I92/12*1,IF($J92=9,-$E92*$I92/12*2,IF($J92&gt;=10,-$E92*$I92/12*3,0))))))</f>
        <v>0</v>
      </c>
      <c r="DS92" s="412">
        <f t="shared" ref="DS92:DS101" si="775">IF($H92&lt;&gt;DT$5,0,IF(DT92&lt;0,IF(OR($J92=1,$J92=2,$J92=3,$J92=4,$J92=5,$J92=6,$J92=7,$J92=8,$J92=9,$J92=10),-$E92*$I92/12*3,IF($J92=11,-$E92*$I92/12*2,IF($J92=12,-$E92*$I92/12*1,0)))))+IF(DO$5&lt;&gt;$H92,0,IF(DO92&lt;0,IF($J92=10,-$E92*$I92/12*0,IF($J92=11,-$E92*$I92/12*1,IF($J92=12,-$E92*$I92/12*2,0)))))</f>
        <v>0</v>
      </c>
      <c r="DT92" s="413">
        <f t="shared" ref="DT92:DT101" si="776">IF(AND(DO92&lt;&gt;0,DO$5=$H92),-$I92*$E92-DO92,IF(DT$5=$H92,-$I92*$E92*(12-$J92+1)/12,0))</f>
        <v>0</v>
      </c>
    </row>
    <row r="93" spans="1:124" ht="12.75" customHeight="1">
      <c r="A93" s="491"/>
      <c r="C93" s="601" t="s">
        <v>414</v>
      </c>
      <c r="D93" s="601"/>
      <c r="E93" s="1886">
        <f t="shared" si="665"/>
        <v>200</v>
      </c>
      <c r="F93" s="1532">
        <v>200</v>
      </c>
      <c r="G93" s="1532">
        <v>200</v>
      </c>
      <c r="H93" s="610">
        <v>2033</v>
      </c>
      <c r="I93" s="1533">
        <v>5.9499999999999997E-2</v>
      </c>
      <c r="J93" s="615">
        <v>5</v>
      </c>
      <c r="K93" s="402"/>
      <c r="L93" s="407">
        <f t="shared" si="666"/>
        <v>0</v>
      </c>
      <c r="M93" s="404">
        <f t="shared" si="667"/>
        <v>0</v>
      </c>
      <c r="N93" s="414">
        <f t="shared" si="668"/>
        <v>0</v>
      </c>
      <c r="O93" s="414">
        <f t="shared" si="669"/>
        <v>0</v>
      </c>
      <c r="P93" s="406">
        <f t="shared" si="670"/>
        <v>0</v>
      </c>
      <c r="Q93" s="407">
        <f t="shared" si="671"/>
        <v>0</v>
      </c>
      <c r="R93" s="404">
        <f t="shared" si="672"/>
        <v>0</v>
      </c>
      <c r="S93" s="414">
        <f t="shared" si="673"/>
        <v>0</v>
      </c>
      <c r="T93" s="414">
        <f t="shared" si="674"/>
        <v>0</v>
      </c>
      <c r="U93" s="406">
        <f t="shared" si="675"/>
        <v>0</v>
      </c>
      <c r="V93" s="407">
        <f t="shared" si="676"/>
        <v>0</v>
      </c>
      <c r="W93" s="404">
        <f t="shared" si="677"/>
        <v>0</v>
      </c>
      <c r="X93" s="414">
        <f t="shared" si="678"/>
        <v>0</v>
      </c>
      <c r="Y93" s="414">
        <f t="shared" si="679"/>
        <v>0</v>
      </c>
      <c r="Z93" s="406">
        <f t="shared" si="680"/>
        <v>0</v>
      </c>
      <c r="AA93" s="407">
        <f t="shared" si="681"/>
        <v>0</v>
      </c>
      <c r="AB93" s="404">
        <f t="shared" si="682"/>
        <v>0</v>
      </c>
      <c r="AC93" s="414">
        <f t="shared" si="683"/>
        <v>0</v>
      </c>
      <c r="AD93" s="414">
        <f t="shared" si="684"/>
        <v>0</v>
      </c>
      <c r="AE93" s="406">
        <f t="shared" si="685"/>
        <v>0</v>
      </c>
      <c r="AF93" s="407">
        <f t="shared" si="686"/>
        <v>0</v>
      </c>
      <c r="AG93" s="404">
        <f t="shared" si="687"/>
        <v>0</v>
      </c>
      <c r="AH93" s="414">
        <f t="shared" si="688"/>
        <v>0</v>
      </c>
      <c r="AI93" s="414">
        <f t="shared" si="689"/>
        <v>0</v>
      </c>
      <c r="AJ93" s="406">
        <f t="shared" si="690"/>
        <v>0</v>
      </c>
      <c r="AK93" s="407">
        <f t="shared" si="691"/>
        <v>0</v>
      </c>
      <c r="AL93" s="404">
        <f t="shared" si="692"/>
        <v>0</v>
      </c>
      <c r="AM93" s="414">
        <f t="shared" si="693"/>
        <v>0</v>
      </c>
      <c r="AN93" s="414">
        <f t="shared" si="694"/>
        <v>0</v>
      </c>
      <c r="AO93" s="406">
        <f t="shared" si="695"/>
        <v>0</v>
      </c>
      <c r="AP93" s="407">
        <f t="shared" si="696"/>
        <v>0</v>
      </c>
      <c r="AQ93" s="404">
        <f t="shared" si="697"/>
        <v>0</v>
      </c>
      <c r="AR93" s="414">
        <f t="shared" ref="AR93:AR101" si="777">IF(AU93=0,0,IF(AU93&lt;0,IF($J93=6,AU93,IF($J93=5,AU93,IF($J93=4,AU93,0)))))</f>
        <v>0</v>
      </c>
      <c r="AS93" s="414">
        <f t="shared" si="698"/>
        <v>0</v>
      </c>
      <c r="AT93" s="406">
        <f t="shared" si="699"/>
        <v>0</v>
      </c>
      <c r="AU93" s="407">
        <f t="shared" si="700"/>
        <v>0</v>
      </c>
      <c r="AV93" s="404">
        <f t="shared" si="701"/>
        <v>0</v>
      </c>
      <c r="AW93" s="414">
        <f t="shared" si="702"/>
        <v>0</v>
      </c>
      <c r="AX93" s="414">
        <f t="shared" si="703"/>
        <v>0</v>
      </c>
      <c r="AY93" s="406">
        <f t="shared" si="704"/>
        <v>0</v>
      </c>
      <c r="AZ93" s="407">
        <f t="shared" si="705"/>
        <v>0</v>
      </c>
      <c r="BA93" s="404">
        <f t="shared" si="706"/>
        <v>0</v>
      </c>
      <c r="BB93" s="414">
        <f t="shared" si="707"/>
        <v>0</v>
      </c>
      <c r="BC93" s="414">
        <f t="shared" si="708"/>
        <v>0</v>
      </c>
      <c r="BD93" s="406">
        <f t="shared" si="709"/>
        <v>0</v>
      </c>
      <c r="BE93" s="407">
        <f t="shared" si="710"/>
        <v>0</v>
      </c>
      <c r="BF93" s="404">
        <f t="shared" si="711"/>
        <v>0</v>
      </c>
      <c r="BG93" s="414">
        <f t="shared" si="712"/>
        <v>0</v>
      </c>
      <c r="BH93" s="414">
        <f t="shared" si="713"/>
        <v>0</v>
      </c>
      <c r="BI93" s="406">
        <f t="shared" si="714"/>
        <v>0</v>
      </c>
      <c r="BJ93" s="407">
        <f t="shared" si="715"/>
        <v>0</v>
      </c>
      <c r="BK93" s="404">
        <f t="shared" si="716"/>
        <v>0</v>
      </c>
      <c r="BL93" s="414">
        <f t="shared" si="717"/>
        <v>0</v>
      </c>
      <c r="BM93" s="414">
        <f t="shared" si="718"/>
        <v>0</v>
      </c>
      <c r="BN93" s="406">
        <f t="shared" si="719"/>
        <v>0</v>
      </c>
      <c r="BO93" s="407">
        <f t="shared" si="720"/>
        <v>0</v>
      </c>
      <c r="BP93" s="449"/>
      <c r="BQ93" s="413">
        <f t="shared" si="721"/>
        <v>0</v>
      </c>
      <c r="BR93" s="410">
        <f t="shared" si="722"/>
        <v>0</v>
      </c>
      <c r="BS93" s="416">
        <f t="shared" si="723"/>
        <v>0</v>
      </c>
      <c r="BT93" s="416">
        <f t="shared" si="724"/>
        <v>0</v>
      </c>
      <c r="BU93" s="412">
        <f t="shared" si="725"/>
        <v>0</v>
      </c>
      <c r="BV93" s="413">
        <f t="shared" si="726"/>
        <v>0</v>
      </c>
      <c r="BW93" s="410">
        <f t="shared" si="727"/>
        <v>0</v>
      </c>
      <c r="BX93" s="416">
        <f t="shared" si="728"/>
        <v>0</v>
      </c>
      <c r="BY93" s="416">
        <f t="shared" si="729"/>
        <v>0</v>
      </c>
      <c r="BZ93" s="412">
        <f t="shared" si="730"/>
        <v>0</v>
      </c>
      <c r="CA93" s="413">
        <f t="shared" si="731"/>
        <v>0</v>
      </c>
      <c r="CB93" s="410">
        <f t="shared" si="732"/>
        <v>0</v>
      </c>
      <c r="CC93" s="416">
        <f t="shared" si="733"/>
        <v>0</v>
      </c>
      <c r="CD93" s="416">
        <f t="shared" si="734"/>
        <v>0</v>
      </c>
      <c r="CE93" s="412">
        <f t="shared" si="735"/>
        <v>0</v>
      </c>
      <c r="CF93" s="413">
        <f t="shared" si="736"/>
        <v>0</v>
      </c>
      <c r="CG93" s="410">
        <f t="shared" si="737"/>
        <v>0</v>
      </c>
      <c r="CH93" s="416">
        <f t="shared" si="738"/>
        <v>0</v>
      </c>
      <c r="CI93" s="416">
        <f t="shared" si="739"/>
        <v>0</v>
      </c>
      <c r="CJ93" s="412">
        <f t="shared" si="740"/>
        <v>0</v>
      </c>
      <c r="CK93" s="413">
        <f t="shared" si="741"/>
        <v>0</v>
      </c>
      <c r="CL93" s="410">
        <f t="shared" si="742"/>
        <v>0</v>
      </c>
      <c r="CM93" s="416">
        <f t="shared" si="743"/>
        <v>0</v>
      </c>
      <c r="CN93" s="416">
        <f t="shared" si="744"/>
        <v>0</v>
      </c>
      <c r="CO93" s="412">
        <f t="shared" si="745"/>
        <v>0</v>
      </c>
      <c r="CP93" s="413">
        <f t="shared" si="746"/>
        <v>0</v>
      </c>
      <c r="CQ93" s="410">
        <f t="shared" si="747"/>
        <v>0</v>
      </c>
      <c r="CR93" s="416">
        <f t="shared" si="748"/>
        <v>0</v>
      </c>
      <c r="CS93" s="416">
        <f t="shared" si="749"/>
        <v>0</v>
      </c>
      <c r="CT93" s="412">
        <f t="shared" si="750"/>
        <v>0</v>
      </c>
      <c r="CU93" s="413">
        <f t="shared" si="751"/>
        <v>0</v>
      </c>
      <c r="CV93" s="410">
        <f t="shared" si="752"/>
        <v>0</v>
      </c>
      <c r="CW93" s="416">
        <f t="shared" si="753"/>
        <v>0</v>
      </c>
      <c r="CX93" s="416">
        <f t="shared" si="754"/>
        <v>0</v>
      </c>
      <c r="CY93" s="412">
        <f t="shared" si="755"/>
        <v>0</v>
      </c>
      <c r="CZ93" s="413">
        <f t="shared" si="756"/>
        <v>0</v>
      </c>
      <c r="DA93" s="410">
        <f t="shared" si="757"/>
        <v>0</v>
      </c>
      <c r="DB93" s="416">
        <f t="shared" si="758"/>
        <v>0</v>
      </c>
      <c r="DC93" s="416">
        <f t="shared" si="759"/>
        <v>0</v>
      </c>
      <c r="DD93" s="412">
        <f t="shared" si="760"/>
        <v>0</v>
      </c>
      <c r="DE93" s="413">
        <f t="shared" si="761"/>
        <v>0</v>
      </c>
      <c r="DF93" s="410">
        <f t="shared" si="762"/>
        <v>0</v>
      </c>
      <c r="DG93" s="416">
        <f t="shared" si="763"/>
        <v>0</v>
      </c>
      <c r="DH93" s="416">
        <f t="shared" si="764"/>
        <v>0</v>
      </c>
      <c r="DI93" s="412">
        <f t="shared" si="765"/>
        <v>0</v>
      </c>
      <c r="DJ93" s="413">
        <f t="shared" si="766"/>
        <v>0</v>
      </c>
      <c r="DK93" s="410">
        <f t="shared" si="767"/>
        <v>0</v>
      </c>
      <c r="DL93" s="416">
        <f t="shared" si="768"/>
        <v>0</v>
      </c>
      <c r="DM93" s="416">
        <f t="shared" si="769"/>
        <v>0</v>
      </c>
      <c r="DN93" s="412">
        <f t="shared" si="770"/>
        <v>0</v>
      </c>
      <c r="DO93" s="413">
        <f t="shared" si="771"/>
        <v>0</v>
      </c>
      <c r="DP93" s="410">
        <f t="shared" si="772"/>
        <v>0</v>
      </c>
      <c r="DQ93" s="416">
        <f t="shared" si="773"/>
        <v>0</v>
      </c>
      <c r="DR93" s="416">
        <f t="shared" si="774"/>
        <v>0</v>
      </c>
      <c r="DS93" s="412">
        <f t="shared" si="775"/>
        <v>0</v>
      </c>
      <c r="DT93" s="413">
        <f t="shared" si="776"/>
        <v>0</v>
      </c>
    </row>
    <row r="94" spans="1:124" ht="12.75" customHeight="1">
      <c r="A94" s="491"/>
      <c r="C94" s="601" t="s">
        <v>415</v>
      </c>
      <c r="D94" s="601"/>
      <c r="E94" s="1886">
        <f t="shared" si="665"/>
        <v>250</v>
      </c>
      <c r="F94" s="1532">
        <v>250</v>
      </c>
      <c r="G94" s="1532">
        <v>250</v>
      </c>
      <c r="H94" s="610">
        <v>2035</v>
      </c>
      <c r="I94" s="1533">
        <v>5.8000000000000003E-2</v>
      </c>
      <c r="J94" s="615">
        <v>10</v>
      </c>
      <c r="K94" s="402"/>
      <c r="L94" s="407">
        <f t="shared" si="666"/>
        <v>0</v>
      </c>
      <c r="M94" s="404">
        <f t="shared" si="667"/>
        <v>0</v>
      </c>
      <c r="N94" s="414">
        <f t="shared" si="668"/>
        <v>0</v>
      </c>
      <c r="O94" s="414">
        <f t="shared" si="669"/>
        <v>0</v>
      </c>
      <c r="P94" s="406">
        <f t="shared" si="670"/>
        <v>0</v>
      </c>
      <c r="Q94" s="407">
        <f t="shared" si="671"/>
        <v>0</v>
      </c>
      <c r="R94" s="404">
        <f t="shared" si="672"/>
        <v>0</v>
      </c>
      <c r="S94" s="414">
        <f t="shared" si="673"/>
        <v>0</v>
      </c>
      <c r="T94" s="414">
        <f t="shared" si="674"/>
        <v>0</v>
      </c>
      <c r="U94" s="406">
        <f t="shared" si="675"/>
        <v>0</v>
      </c>
      <c r="V94" s="407">
        <f t="shared" si="676"/>
        <v>0</v>
      </c>
      <c r="W94" s="404">
        <f t="shared" si="677"/>
        <v>0</v>
      </c>
      <c r="X94" s="414">
        <f t="shared" si="678"/>
        <v>0</v>
      </c>
      <c r="Y94" s="414">
        <f t="shared" si="679"/>
        <v>0</v>
      </c>
      <c r="Z94" s="406">
        <f t="shared" si="680"/>
        <v>0</v>
      </c>
      <c r="AA94" s="407">
        <f t="shared" si="681"/>
        <v>0</v>
      </c>
      <c r="AB94" s="404">
        <f t="shared" si="682"/>
        <v>0</v>
      </c>
      <c r="AC94" s="414">
        <f t="shared" si="683"/>
        <v>0</v>
      </c>
      <c r="AD94" s="414">
        <f t="shared" si="684"/>
        <v>0</v>
      </c>
      <c r="AE94" s="406">
        <f t="shared" si="685"/>
        <v>0</v>
      </c>
      <c r="AF94" s="407">
        <f t="shared" si="686"/>
        <v>0</v>
      </c>
      <c r="AG94" s="404">
        <f t="shared" si="687"/>
        <v>0</v>
      </c>
      <c r="AH94" s="414">
        <f t="shared" si="688"/>
        <v>0</v>
      </c>
      <c r="AI94" s="414">
        <f t="shared" si="689"/>
        <v>0</v>
      </c>
      <c r="AJ94" s="406">
        <f t="shared" si="690"/>
        <v>0</v>
      </c>
      <c r="AK94" s="407">
        <f t="shared" si="691"/>
        <v>0</v>
      </c>
      <c r="AL94" s="404">
        <f t="shared" si="692"/>
        <v>0</v>
      </c>
      <c r="AM94" s="414">
        <f t="shared" si="693"/>
        <v>0</v>
      </c>
      <c r="AN94" s="414">
        <f t="shared" si="694"/>
        <v>0</v>
      </c>
      <c r="AO94" s="406">
        <f t="shared" si="695"/>
        <v>0</v>
      </c>
      <c r="AP94" s="407">
        <f t="shared" si="696"/>
        <v>0</v>
      </c>
      <c r="AQ94" s="404">
        <f t="shared" si="697"/>
        <v>0</v>
      </c>
      <c r="AR94" s="414">
        <f t="shared" si="777"/>
        <v>0</v>
      </c>
      <c r="AS94" s="414">
        <f t="shared" si="698"/>
        <v>0</v>
      </c>
      <c r="AT94" s="406">
        <f t="shared" si="699"/>
        <v>0</v>
      </c>
      <c r="AU94" s="407">
        <f t="shared" si="700"/>
        <v>0</v>
      </c>
      <c r="AV94" s="404">
        <f t="shared" si="701"/>
        <v>0</v>
      </c>
      <c r="AW94" s="414">
        <f t="shared" si="702"/>
        <v>0</v>
      </c>
      <c r="AX94" s="414">
        <f t="shared" si="703"/>
        <v>0</v>
      </c>
      <c r="AY94" s="406">
        <f t="shared" si="704"/>
        <v>0</v>
      </c>
      <c r="AZ94" s="407">
        <f t="shared" si="705"/>
        <v>0</v>
      </c>
      <c r="BA94" s="404">
        <f t="shared" si="706"/>
        <v>0</v>
      </c>
      <c r="BB94" s="414">
        <f t="shared" si="707"/>
        <v>0</v>
      </c>
      <c r="BC94" s="414">
        <f t="shared" si="708"/>
        <v>0</v>
      </c>
      <c r="BD94" s="406">
        <f t="shared" si="709"/>
        <v>0</v>
      </c>
      <c r="BE94" s="407">
        <f t="shared" si="710"/>
        <v>0</v>
      </c>
      <c r="BF94" s="404">
        <f t="shared" si="711"/>
        <v>0</v>
      </c>
      <c r="BG94" s="414">
        <f t="shared" si="712"/>
        <v>0</v>
      </c>
      <c r="BH94" s="414">
        <f t="shared" si="713"/>
        <v>0</v>
      </c>
      <c r="BI94" s="406">
        <f t="shared" si="714"/>
        <v>0</v>
      </c>
      <c r="BJ94" s="407">
        <f t="shared" si="715"/>
        <v>0</v>
      </c>
      <c r="BK94" s="404">
        <f t="shared" si="716"/>
        <v>0</v>
      </c>
      <c r="BL94" s="414">
        <f t="shared" si="717"/>
        <v>0</v>
      </c>
      <c r="BM94" s="414">
        <f t="shared" si="718"/>
        <v>0</v>
      </c>
      <c r="BN94" s="406">
        <f t="shared" si="719"/>
        <v>0</v>
      </c>
      <c r="BO94" s="407">
        <f t="shared" si="720"/>
        <v>0</v>
      </c>
      <c r="BP94" s="449"/>
      <c r="BQ94" s="413">
        <f t="shared" si="721"/>
        <v>0</v>
      </c>
      <c r="BR94" s="410">
        <f t="shared" si="722"/>
        <v>0</v>
      </c>
      <c r="BS94" s="416">
        <f t="shared" si="723"/>
        <v>0</v>
      </c>
      <c r="BT94" s="416">
        <f t="shared" si="724"/>
        <v>0</v>
      </c>
      <c r="BU94" s="412">
        <f t="shared" si="725"/>
        <v>0</v>
      </c>
      <c r="BV94" s="413">
        <f t="shared" si="726"/>
        <v>0</v>
      </c>
      <c r="BW94" s="410">
        <f t="shared" si="727"/>
        <v>0</v>
      </c>
      <c r="BX94" s="416">
        <f t="shared" si="728"/>
        <v>0</v>
      </c>
      <c r="BY94" s="416">
        <f t="shared" si="729"/>
        <v>0</v>
      </c>
      <c r="BZ94" s="412">
        <f t="shared" si="730"/>
        <v>0</v>
      </c>
      <c r="CA94" s="413">
        <f t="shared" si="731"/>
        <v>0</v>
      </c>
      <c r="CB94" s="410">
        <f t="shared" si="732"/>
        <v>0</v>
      </c>
      <c r="CC94" s="416">
        <f t="shared" si="733"/>
        <v>0</v>
      </c>
      <c r="CD94" s="416">
        <f t="shared" si="734"/>
        <v>0</v>
      </c>
      <c r="CE94" s="412">
        <f t="shared" si="735"/>
        <v>0</v>
      </c>
      <c r="CF94" s="413">
        <f t="shared" si="736"/>
        <v>0</v>
      </c>
      <c r="CG94" s="410">
        <f t="shared" si="737"/>
        <v>0</v>
      </c>
      <c r="CH94" s="416">
        <f t="shared" si="738"/>
        <v>0</v>
      </c>
      <c r="CI94" s="416">
        <f t="shared" si="739"/>
        <v>0</v>
      </c>
      <c r="CJ94" s="412">
        <f t="shared" si="740"/>
        <v>0</v>
      </c>
      <c r="CK94" s="413">
        <f t="shared" si="741"/>
        <v>0</v>
      </c>
      <c r="CL94" s="410">
        <f t="shared" si="742"/>
        <v>0</v>
      </c>
      <c r="CM94" s="416">
        <f t="shared" si="743"/>
        <v>0</v>
      </c>
      <c r="CN94" s="416">
        <f t="shared" si="744"/>
        <v>0</v>
      </c>
      <c r="CO94" s="412">
        <f t="shared" si="745"/>
        <v>0</v>
      </c>
      <c r="CP94" s="413">
        <f t="shared" si="746"/>
        <v>0</v>
      </c>
      <c r="CQ94" s="410">
        <f t="shared" si="747"/>
        <v>0</v>
      </c>
      <c r="CR94" s="416">
        <f t="shared" si="748"/>
        <v>0</v>
      </c>
      <c r="CS94" s="416">
        <f t="shared" si="749"/>
        <v>0</v>
      </c>
      <c r="CT94" s="412">
        <f t="shared" si="750"/>
        <v>0</v>
      </c>
      <c r="CU94" s="413">
        <f t="shared" si="751"/>
        <v>0</v>
      </c>
      <c r="CV94" s="410">
        <f t="shared" si="752"/>
        <v>0</v>
      </c>
      <c r="CW94" s="416">
        <f t="shared" si="753"/>
        <v>0</v>
      </c>
      <c r="CX94" s="416">
        <f t="shared" si="754"/>
        <v>0</v>
      </c>
      <c r="CY94" s="412">
        <f t="shared" si="755"/>
        <v>0</v>
      </c>
      <c r="CZ94" s="413">
        <f t="shared" si="756"/>
        <v>0</v>
      </c>
      <c r="DA94" s="410">
        <f t="shared" si="757"/>
        <v>0</v>
      </c>
      <c r="DB94" s="416">
        <f t="shared" si="758"/>
        <v>0</v>
      </c>
      <c r="DC94" s="416">
        <f t="shared" si="759"/>
        <v>0</v>
      </c>
      <c r="DD94" s="412">
        <f t="shared" si="760"/>
        <v>0</v>
      </c>
      <c r="DE94" s="413">
        <f t="shared" si="761"/>
        <v>0</v>
      </c>
      <c r="DF94" s="410">
        <f t="shared" si="762"/>
        <v>0</v>
      </c>
      <c r="DG94" s="416">
        <f t="shared" si="763"/>
        <v>0</v>
      </c>
      <c r="DH94" s="416">
        <f t="shared" si="764"/>
        <v>0</v>
      </c>
      <c r="DI94" s="412">
        <f t="shared" si="765"/>
        <v>0</v>
      </c>
      <c r="DJ94" s="413">
        <f t="shared" si="766"/>
        <v>0</v>
      </c>
      <c r="DK94" s="410">
        <f t="shared" si="767"/>
        <v>0</v>
      </c>
      <c r="DL94" s="416">
        <f t="shared" si="768"/>
        <v>0</v>
      </c>
      <c r="DM94" s="416">
        <f t="shared" si="769"/>
        <v>0</v>
      </c>
      <c r="DN94" s="412">
        <f t="shared" si="770"/>
        <v>0</v>
      </c>
      <c r="DO94" s="413">
        <f t="shared" si="771"/>
        <v>0</v>
      </c>
      <c r="DP94" s="410">
        <f t="shared" si="772"/>
        <v>0</v>
      </c>
      <c r="DQ94" s="416">
        <f t="shared" si="773"/>
        <v>0</v>
      </c>
      <c r="DR94" s="416">
        <f t="shared" si="774"/>
        <v>0</v>
      </c>
      <c r="DS94" s="412">
        <f t="shared" si="775"/>
        <v>0</v>
      </c>
      <c r="DT94" s="413">
        <f t="shared" si="776"/>
        <v>0</v>
      </c>
    </row>
    <row r="95" spans="1:124" ht="12.75" customHeight="1">
      <c r="A95" s="491"/>
      <c r="C95" s="601" t="s">
        <v>416</v>
      </c>
      <c r="D95" s="601"/>
      <c r="E95" s="1886">
        <f t="shared" si="665"/>
        <v>250</v>
      </c>
      <c r="F95" s="1532">
        <v>250</v>
      </c>
      <c r="G95" s="1532">
        <v>250</v>
      </c>
      <c r="H95" s="610">
        <v>2036</v>
      </c>
      <c r="I95" s="1533">
        <v>6.3750000000000001E-2</v>
      </c>
      <c r="J95" s="615">
        <v>4</v>
      </c>
      <c r="K95" s="402"/>
      <c r="L95" s="407">
        <f t="shared" si="666"/>
        <v>0</v>
      </c>
      <c r="M95" s="404">
        <f t="shared" si="667"/>
        <v>0</v>
      </c>
      <c r="N95" s="414">
        <f t="shared" si="668"/>
        <v>0</v>
      </c>
      <c r="O95" s="414">
        <f t="shared" si="669"/>
        <v>0</v>
      </c>
      <c r="P95" s="406">
        <f t="shared" si="670"/>
        <v>0</v>
      </c>
      <c r="Q95" s="407">
        <f t="shared" si="671"/>
        <v>0</v>
      </c>
      <c r="R95" s="404">
        <f t="shared" si="672"/>
        <v>0</v>
      </c>
      <c r="S95" s="414">
        <f t="shared" si="673"/>
        <v>0</v>
      </c>
      <c r="T95" s="414">
        <f t="shared" si="674"/>
        <v>0</v>
      </c>
      <c r="U95" s="406">
        <f t="shared" si="675"/>
        <v>0</v>
      </c>
      <c r="V95" s="407">
        <f t="shared" si="676"/>
        <v>0</v>
      </c>
      <c r="W95" s="404">
        <f t="shared" si="677"/>
        <v>0</v>
      </c>
      <c r="X95" s="414">
        <f t="shared" si="678"/>
        <v>0</v>
      </c>
      <c r="Y95" s="414">
        <f t="shared" si="679"/>
        <v>0</v>
      </c>
      <c r="Z95" s="406">
        <f t="shared" si="680"/>
        <v>0</v>
      </c>
      <c r="AA95" s="407">
        <f t="shared" si="681"/>
        <v>0</v>
      </c>
      <c r="AB95" s="404">
        <f t="shared" si="682"/>
        <v>0</v>
      </c>
      <c r="AC95" s="414">
        <f t="shared" si="683"/>
        <v>0</v>
      </c>
      <c r="AD95" s="414">
        <f t="shared" si="684"/>
        <v>0</v>
      </c>
      <c r="AE95" s="406">
        <f t="shared" si="685"/>
        <v>0</v>
      </c>
      <c r="AF95" s="407">
        <f t="shared" si="686"/>
        <v>0</v>
      </c>
      <c r="AG95" s="404">
        <f t="shared" si="687"/>
        <v>0</v>
      </c>
      <c r="AH95" s="414">
        <f t="shared" si="688"/>
        <v>0</v>
      </c>
      <c r="AI95" s="414">
        <f t="shared" si="689"/>
        <v>0</v>
      </c>
      <c r="AJ95" s="406">
        <f t="shared" si="690"/>
        <v>0</v>
      </c>
      <c r="AK95" s="407">
        <f t="shared" si="691"/>
        <v>0</v>
      </c>
      <c r="AL95" s="404">
        <f t="shared" si="692"/>
        <v>0</v>
      </c>
      <c r="AM95" s="414">
        <f t="shared" si="693"/>
        <v>0</v>
      </c>
      <c r="AN95" s="414">
        <f t="shared" si="694"/>
        <v>0</v>
      </c>
      <c r="AO95" s="406">
        <f t="shared" si="695"/>
        <v>0</v>
      </c>
      <c r="AP95" s="407">
        <f t="shared" si="696"/>
        <v>0</v>
      </c>
      <c r="AQ95" s="404">
        <f t="shared" si="697"/>
        <v>0</v>
      </c>
      <c r="AR95" s="414">
        <f t="shared" si="777"/>
        <v>0</v>
      </c>
      <c r="AS95" s="414">
        <f t="shared" si="698"/>
        <v>0</v>
      </c>
      <c r="AT95" s="406">
        <f t="shared" si="699"/>
        <v>0</v>
      </c>
      <c r="AU95" s="407">
        <f t="shared" si="700"/>
        <v>0</v>
      </c>
      <c r="AV95" s="404">
        <f t="shared" si="701"/>
        <v>0</v>
      </c>
      <c r="AW95" s="414">
        <f t="shared" si="702"/>
        <v>0</v>
      </c>
      <c r="AX95" s="414">
        <f t="shared" si="703"/>
        <v>0</v>
      </c>
      <c r="AY95" s="406">
        <f t="shared" si="704"/>
        <v>0</v>
      </c>
      <c r="AZ95" s="407">
        <f t="shared" si="705"/>
        <v>0</v>
      </c>
      <c r="BA95" s="404">
        <f t="shared" si="706"/>
        <v>0</v>
      </c>
      <c r="BB95" s="414">
        <f t="shared" si="707"/>
        <v>0</v>
      </c>
      <c r="BC95" s="414">
        <f t="shared" si="708"/>
        <v>0</v>
      </c>
      <c r="BD95" s="406">
        <f t="shared" si="709"/>
        <v>0</v>
      </c>
      <c r="BE95" s="407">
        <f t="shared" si="710"/>
        <v>0</v>
      </c>
      <c r="BF95" s="404">
        <f t="shared" si="711"/>
        <v>0</v>
      </c>
      <c r="BG95" s="414">
        <f t="shared" si="712"/>
        <v>0</v>
      </c>
      <c r="BH95" s="414">
        <f t="shared" si="713"/>
        <v>0</v>
      </c>
      <c r="BI95" s="406">
        <f t="shared" si="714"/>
        <v>0</v>
      </c>
      <c r="BJ95" s="407">
        <f t="shared" si="715"/>
        <v>0</v>
      </c>
      <c r="BK95" s="404">
        <f t="shared" si="716"/>
        <v>0</v>
      </c>
      <c r="BL95" s="414">
        <f t="shared" si="717"/>
        <v>0</v>
      </c>
      <c r="BM95" s="414">
        <f t="shared" si="718"/>
        <v>0</v>
      </c>
      <c r="BN95" s="406">
        <f t="shared" si="719"/>
        <v>0</v>
      </c>
      <c r="BO95" s="407">
        <f t="shared" si="720"/>
        <v>0</v>
      </c>
      <c r="BP95" s="449"/>
      <c r="BQ95" s="413">
        <f t="shared" si="721"/>
        <v>0</v>
      </c>
      <c r="BR95" s="410">
        <f t="shared" si="722"/>
        <v>0</v>
      </c>
      <c r="BS95" s="416">
        <f t="shared" si="723"/>
        <v>0</v>
      </c>
      <c r="BT95" s="416">
        <f t="shared" si="724"/>
        <v>0</v>
      </c>
      <c r="BU95" s="412">
        <f t="shared" si="725"/>
        <v>0</v>
      </c>
      <c r="BV95" s="413">
        <f t="shared" si="726"/>
        <v>0</v>
      </c>
      <c r="BW95" s="410">
        <f t="shared" si="727"/>
        <v>0</v>
      </c>
      <c r="BX95" s="416">
        <f t="shared" si="728"/>
        <v>0</v>
      </c>
      <c r="BY95" s="416">
        <f t="shared" si="729"/>
        <v>0</v>
      </c>
      <c r="BZ95" s="412">
        <f t="shared" si="730"/>
        <v>0</v>
      </c>
      <c r="CA95" s="413">
        <f t="shared" si="731"/>
        <v>0</v>
      </c>
      <c r="CB95" s="410">
        <f t="shared" si="732"/>
        <v>0</v>
      </c>
      <c r="CC95" s="416">
        <f t="shared" si="733"/>
        <v>0</v>
      </c>
      <c r="CD95" s="416">
        <f t="shared" si="734"/>
        <v>0</v>
      </c>
      <c r="CE95" s="412">
        <f t="shared" si="735"/>
        <v>0</v>
      </c>
      <c r="CF95" s="413">
        <f t="shared" si="736"/>
        <v>0</v>
      </c>
      <c r="CG95" s="410">
        <f t="shared" si="737"/>
        <v>0</v>
      </c>
      <c r="CH95" s="416">
        <f t="shared" si="738"/>
        <v>0</v>
      </c>
      <c r="CI95" s="416">
        <f t="shared" si="739"/>
        <v>0</v>
      </c>
      <c r="CJ95" s="412">
        <f t="shared" si="740"/>
        <v>0</v>
      </c>
      <c r="CK95" s="413">
        <f t="shared" si="741"/>
        <v>0</v>
      </c>
      <c r="CL95" s="410">
        <f t="shared" si="742"/>
        <v>0</v>
      </c>
      <c r="CM95" s="416">
        <f t="shared" si="743"/>
        <v>0</v>
      </c>
      <c r="CN95" s="416">
        <f t="shared" si="744"/>
        <v>0</v>
      </c>
      <c r="CO95" s="412">
        <f t="shared" si="745"/>
        <v>0</v>
      </c>
      <c r="CP95" s="413">
        <f t="shared" si="746"/>
        <v>0</v>
      </c>
      <c r="CQ95" s="410">
        <f t="shared" si="747"/>
        <v>0</v>
      </c>
      <c r="CR95" s="416">
        <f t="shared" si="748"/>
        <v>0</v>
      </c>
      <c r="CS95" s="416">
        <f t="shared" si="749"/>
        <v>0</v>
      </c>
      <c r="CT95" s="412">
        <f t="shared" si="750"/>
        <v>0</v>
      </c>
      <c r="CU95" s="413">
        <f t="shared" si="751"/>
        <v>0</v>
      </c>
      <c r="CV95" s="410">
        <f t="shared" si="752"/>
        <v>0</v>
      </c>
      <c r="CW95" s="416">
        <f t="shared" si="753"/>
        <v>0</v>
      </c>
      <c r="CX95" s="416">
        <f t="shared" si="754"/>
        <v>0</v>
      </c>
      <c r="CY95" s="412">
        <f t="shared" si="755"/>
        <v>0</v>
      </c>
      <c r="CZ95" s="413">
        <f t="shared" si="756"/>
        <v>0</v>
      </c>
      <c r="DA95" s="410">
        <f t="shared" si="757"/>
        <v>0</v>
      </c>
      <c r="DB95" s="416">
        <f t="shared" si="758"/>
        <v>0</v>
      </c>
      <c r="DC95" s="416">
        <f t="shared" si="759"/>
        <v>0</v>
      </c>
      <c r="DD95" s="412">
        <f t="shared" si="760"/>
        <v>0</v>
      </c>
      <c r="DE95" s="413">
        <f t="shared" si="761"/>
        <v>0</v>
      </c>
      <c r="DF95" s="410">
        <f t="shared" si="762"/>
        <v>0</v>
      </c>
      <c r="DG95" s="416">
        <f t="shared" si="763"/>
        <v>0</v>
      </c>
      <c r="DH95" s="416">
        <f t="shared" si="764"/>
        <v>0</v>
      </c>
      <c r="DI95" s="412">
        <f t="shared" si="765"/>
        <v>0</v>
      </c>
      <c r="DJ95" s="413">
        <f t="shared" si="766"/>
        <v>0</v>
      </c>
      <c r="DK95" s="410">
        <f t="shared" si="767"/>
        <v>0</v>
      </c>
      <c r="DL95" s="416">
        <f t="shared" si="768"/>
        <v>0</v>
      </c>
      <c r="DM95" s="416">
        <f t="shared" si="769"/>
        <v>0</v>
      </c>
      <c r="DN95" s="412">
        <f t="shared" si="770"/>
        <v>0</v>
      </c>
      <c r="DO95" s="413">
        <f t="shared" si="771"/>
        <v>0</v>
      </c>
      <c r="DP95" s="410">
        <f t="shared" si="772"/>
        <v>0</v>
      </c>
      <c r="DQ95" s="416">
        <f t="shared" si="773"/>
        <v>0</v>
      </c>
      <c r="DR95" s="416">
        <f t="shared" si="774"/>
        <v>0</v>
      </c>
      <c r="DS95" s="412">
        <f t="shared" si="775"/>
        <v>0</v>
      </c>
      <c r="DT95" s="413">
        <f t="shared" si="776"/>
        <v>0</v>
      </c>
    </row>
    <row r="96" spans="1:124" ht="12.75" customHeight="1">
      <c r="A96" s="491"/>
      <c r="C96" s="601" t="s">
        <v>417</v>
      </c>
      <c r="D96" s="601"/>
      <c r="E96" s="1886">
        <f t="shared" si="665"/>
        <v>250</v>
      </c>
      <c r="F96" s="1532">
        <v>250</v>
      </c>
      <c r="G96" s="1532">
        <v>250</v>
      </c>
      <c r="H96" s="610">
        <v>2037</v>
      </c>
      <c r="I96" s="1533">
        <v>6.7000000000000004E-2</v>
      </c>
      <c r="J96" s="615">
        <v>8</v>
      </c>
      <c r="K96" s="402"/>
      <c r="L96" s="407">
        <f t="shared" si="666"/>
        <v>0</v>
      </c>
      <c r="M96" s="404">
        <f t="shared" si="667"/>
        <v>0</v>
      </c>
      <c r="N96" s="414">
        <f t="shared" si="668"/>
        <v>0</v>
      </c>
      <c r="O96" s="414">
        <f t="shared" si="669"/>
        <v>0</v>
      </c>
      <c r="P96" s="406">
        <f t="shared" si="670"/>
        <v>0</v>
      </c>
      <c r="Q96" s="407">
        <f t="shared" si="671"/>
        <v>0</v>
      </c>
      <c r="R96" s="404">
        <f t="shared" si="672"/>
        <v>0</v>
      </c>
      <c r="S96" s="414">
        <f t="shared" si="673"/>
        <v>0</v>
      </c>
      <c r="T96" s="414">
        <f t="shared" si="674"/>
        <v>0</v>
      </c>
      <c r="U96" s="406">
        <f t="shared" si="675"/>
        <v>0</v>
      </c>
      <c r="V96" s="407">
        <f t="shared" si="676"/>
        <v>0</v>
      </c>
      <c r="W96" s="404">
        <f t="shared" si="677"/>
        <v>0</v>
      </c>
      <c r="X96" s="414">
        <f t="shared" si="678"/>
        <v>0</v>
      </c>
      <c r="Y96" s="414">
        <f t="shared" si="679"/>
        <v>0</v>
      </c>
      <c r="Z96" s="406">
        <f t="shared" si="680"/>
        <v>0</v>
      </c>
      <c r="AA96" s="407">
        <f t="shared" si="681"/>
        <v>0</v>
      </c>
      <c r="AB96" s="404">
        <f t="shared" si="682"/>
        <v>0</v>
      </c>
      <c r="AC96" s="414">
        <f t="shared" si="683"/>
        <v>0</v>
      </c>
      <c r="AD96" s="414">
        <f t="shared" si="684"/>
        <v>0</v>
      </c>
      <c r="AE96" s="406">
        <f t="shared" si="685"/>
        <v>0</v>
      </c>
      <c r="AF96" s="407">
        <f t="shared" si="686"/>
        <v>0</v>
      </c>
      <c r="AG96" s="404">
        <f t="shared" si="687"/>
        <v>0</v>
      </c>
      <c r="AH96" s="414">
        <f t="shared" si="688"/>
        <v>0</v>
      </c>
      <c r="AI96" s="414">
        <f t="shared" si="689"/>
        <v>0</v>
      </c>
      <c r="AJ96" s="406">
        <f t="shared" si="690"/>
        <v>0</v>
      </c>
      <c r="AK96" s="407">
        <f t="shared" si="691"/>
        <v>0</v>
      </c>
      <c r="AL96" s="404">
        <f t="shared" si="692"/>
        <v>0</v>
      </c>
      <c r="AM96" s="414">
        <f t="shared" si="693"/>
        <v>0</v>
      </c>
      <c r="AN96" s="414">
        <f t="shared" si="694"/>
        <v>0</v>
      </c>
      <c r="AO96" s="406">
        <f t="shared" si="695"/>
        <v>0</v>
      </c>
      <c r="AP96" s="407">
        <f t="shared" si="696"/>
        <v>0</v>
      </c>
      <c r="AQ96" s="404">
        <f t="shared" si="697"/>
        <v>0</v>
      </c>
      <c r="AR96" s="414">
        <f t="shared" si="777"/>
        <v>0</v>
      </c>
      <c r="AS96" s="414">
        <f t="shared" si="698"/>
        <v>0</v>
      </c>
      <c r="AT96" s="406">
        <f t="shared" si="699"/>
        <v>0</v>
      </c>
      <c r="AU96" s="407">
        <f t="shared" si="700"/>
        <v>0</v>
      </c>
      <c r="AV96" s="404">
        <f t="shared" si="701"/>
        <v>0</v>
      </c>
      <c r="AW96" s="414">
        <f t="shared" si="702"/>
        <v>0</v>
      </c>
      <c r="AX96" s="414">
        <f t="shared" si="703"/>
        <v>0</v>
      </c>
      <c r="AY96" s="406">
        <f t="shared" si="704"/>
        <v>0</v>
      </c>
      <c r="AZ96" s="407">
        <f t="shared" si="705"/>
        <v>0</v>
      </c>
      <c r="BA96" s="404">
        <f t="shared" si="706"/>
        <v>0</v>
      </c>
      <c r="BB96" s="414">
        <f t="shared" si="707"/>
        <v>0</v>
      </c>
      <c r="BC96" s="414">
        <f t="shared" si="708"/>
        <v>0</v>
      </c>
      <c r="BD96" s="406">
        <f t="shared" si="709"/>
        <v>0</v>
      </c>
      <c r="BE96" s="407">
        <f t="shared" si="710"/>
        <v>0</v>
      </c>
      <c r="BF96" s="404">
        <f t="shared" si="711"/>
        <v>0</v>
      </c>
      <c r="BG96" s="414">
        <f t="shared" si="712"/>
        <v>0</v>
      </c>
      <c r="BH96" s="414">
        <f t="shared" si="713"/>
        <v>0</v>
      </c>
      <c r="BI96" s="406">
        <f t="shared" si="714"/>
        <v>0</v>
      </c>
      <c r="BJ96" s="407">
        <f t="shared" si="715"/>
        <v>0</v>
      </c>
      <c r="BK96" s="404">
        <f t="shared" si="716"/>
        <v>0</v>
      </c>
      <c r="BL96" s="414">
        <f t="shared" si="717"/>
        <v>0</v>
      </c>
      <c r="BM96" s="414">
        <f t="shared" si="718"/>
        <v>0</v>
      </c>
      <c r="BN96" s="406">
        <f t="shared" si="719"/>
        <v>0</v>
      </c>
      <c r="BO96" s="407">
        <f t="shared" si="720"/>
        <v>0</v>
      </c>
      <c r="BP96" s="449"/>
      <c r="BQ96" s="413">
        <f t="shared" si="721"/>
        <v>0</v>
      </c>
      <c r="BR96" s="410">
        <f t="shared" si="722"/>
        <v>0</v>
      </c>
      <c r="BS96" s="416">
        <f t="shared" si="723"/>
        <v>0</v>
      </c>
      <c r="BT96" s="416">
        <f t="shared" si="724"/>
        <v>0</v>
      </c>
      <c r="BU96" s="412">
        <f t="shared" si="725"/>
        <v>0</v>
      </c>
      <c r="BV96" s="413">
        <f t="shared" si="726"/>
        <v>0</v>
      </c>
      <c r="BW96" s="410">
        <f t="shared" si="727"/>
        <v>0</v>
      </c>
      <c r="BX96" s="416">
        <f t="shared" si="728"/>
        <v>0</v>
      </c>
      <c r="BY96" s="416">
        <f t="shared" si="729"/>
        <v>0</v>
      </c>
      <c r="BZ96" s="412">
        <f t="shared" si="730"/>
        <v>0</v>
      </c>
      <c r="CA96" s="413">
        <f t="shared" si="731"/>
        <v>0</v>
      </c>
      <c r="CB96" s="410">
        <f t="shared" si="732"/>
        <v>0</v>
      </c>
      <c r="CC96" s="416">
        <f t="shared" si="733"/>
        <v>0</v>
      </c>
      <c r="CD96" s="416">
        <f t="shared" si="734"/>
        <v>0</v>
      </c>
      <c r="CE96" s="412">
        <f t="shared" si="735"/>
        <v>0</v>
      </c>
      <c r="CF96" s="413">
        <f t="shared" si="736"/>
        <v>0</v>
      </c>
      <c r="CG96" s="410">
        <f t="shared" si="737"/>
        <v>0</v>
      </c>
      <c r="CH96" s="416">
        <f t="shared" si="738"/>
        <v>0</v>
      </c>
      <c r="CI96" s="416">
        <f t="shared" si="739"/>
        <v>0</v>
      </c>
      <c r="CJ96" s="412">
        <f t="shared" si="740"/>
        <v>0</v>
      </c>
      <c r="CK96" s="413">
        <f t="shared" si="741"/>
        <v>0</v>
      </c>
      <c r="CL96" s="410">
        <f t="shared" si="742"/>
        <v>0</v>
      </c>
      <c r="CM96" s="416">
        <f t="shared" si="743"/>
        <v>0</v>
      </c>
      <c r="CN96" s="416">
        <f t="shared" si="744"/>
        <v>0</v>
      </c>
      <c r="CO96" s="412">
        <f t="shared" si="745"/>
        <v>0</v>
      </c>
      <c r="CP96" s="413">
        <f t="shared" si="746"/>
        <v>0</v>
      </c>
      <c r="CQ96" s="410">
        <f t="shared" si="747"/>
        <v>0</v>
      </c>
      <c r="CR96" s="416">
        <f t="shared" si="748"/>
        <v>0</v>
      </c>
      <c r="CS96" s="416">
        <f t="shared" si="749"/>
        <v>0</v>
      </c>
      <c r="CT96" s="412">
        <f t="shared" si="750"/>
        <v>0</v>
      </c>
      <c r="CU96" s="413">
        <f t="shared" si="751"/>
        <v>0</v>
      </c>
      <c r="CV96" s="410">
        <f t="shared" si="752"/>
        <v>0</v>
      </c>
      <c r="CW96" s="416">
        <f t="shared" si="753"/>
        <v>0</v>
      </c>
      <c r="CX96" s="416">
        <f t="shared" si="754"/>
        <v>0</v>
      </c>
      <c r="CY96" s="412">
        <f t="shared" si="755"/>
        <v>0</v>
      </c>
      <c r="CZ96" s="413">
        <f t="shared" si="756"/>
        <v>0</v>
      </c>
      <c r="DA96" s="410">
        <f t="shared" si="757"/>
        <v>0</v>
      </c>
      <c r="DB96" s="416">
        <f t="shared" si="758"/>
        <v>0</v>
      </c>
      <c r="DC96" s="416">
        <f t="shared" si="759"/>
        <v>0</v>
      </c>
      <c r="DD96" s="412">
        <f t="shared" si="760"/>
        <v>0</v>
      </c>
      <c r="DE96" s="413">
        <f t="shared" si="761"/>
        <v>0</v>
      </c>
      <c r="DF96" s="410">
        <f t="shared" si="762"/>
        <v>0</v>
      </c>
      <c r="DG96" s="416">
        <f t="shared" si="763"/>
        <v>0</v>
      </c>
      <c r="DH96" s="416">
        <f t="shared" si="764"/>
        <v>0</v>
      </c>
      <c r="DI96" s="412">
        <f t="shared" si="765"/>
        <v>0</v>
      </c>
      <c r="DJ96" s="413">
        <f t="shared" si="766"/>
        <v>0</v>
      </c>
      <c r="DK96" s="410">
        <f t="shared" si="767"/>
        <v>0</v>
      </c>
      <c r="DL96" s="416">
        <f t="shared" si="768"/>
        <v>0</v>
      </c>
      <c r="DM96" s="416">
        <f t="shared" si="769"/>
        <v>0</v>
      </c>
      <c r="DN96" s="412">
        <f t="shared" si="770"/>
        <v>0</v>
      </c>
      <c r="DO96" s="413">
        <f t="shared" si="771"/>
        <v>0</v>
      </c>
      <c r="DP96" s="410">
        <f t="shared" si="772"/>
        <v>0</v>
      </c>
      <c r="DQ96" s="416">
        <f t="shared" si="773"/>
        <v>0</v>
      </c>
      <c r="DR96" s="416">
        <f t="shared" si="774"/>
        <v>0</v>
      </c>
      <c r="DS96" s="412">
        <f t="shared" si="775"/>
        <v>0</v>
      </c>
      <c r="DT96" s="413">
        <f t="shared" si="776"/>
        <v>0</v>
      </c>
    </row>
    <row r="97" spans="1:124" ht="12.75" customHeight="1">
      <c r="A97" s="491"/>
      <c r="C97" s="601" t="s">
        <v>418</v>
      </c>
      <c r="D97" s="601"/>
      <c r="E97" s="1886">
        <f t="shared" si="665"/>
        <v>500</v>
      </c>
      <c r="F97" s="1532">
        <v>500</v>
      </c>
      <c r="G97" s="1532">
        <v>500</v>
      </c>
      <c r="H97" s="610">
        <v>2038</v>
      </c>
      <c r="I97" s="1533">
        <v>7.0000000000000007E-2</v>
      </c>
      <c r="J97" s="615">
        <v>4</v>
      </c>
      <c r="K97" s="402"/>
      <c r="L97" s="407">
        <f t="shared" si="666"/>
        <v>0</v>
      </c>
      <c r="M97" s="404">
        <f t="shared" si="667"/>
        <v>0</v>
      </c>
      <c r="N97" s="414">
        <f t="shared" si="668"/>
        <v>0</v>
      </c>
      <c r="O97" s="414">
        <f t="shared" si="669"/>
        <v>0</v>
      </c>
      <c r="P97" s="406">
        <f t="shared" si="670"/>
        <v>0</v>
      </c>
      <c r="Q97" s="407">
        <f t="shared" si="671"/>
        <v>0</v>
      </c>
      <c r="R97" s="404">
        <f t="shared" si="672"/>
        <v>0</v>
      </c>
      <c r="S97" s="414">
        <f t="shared" si="673"/>
        <v>0</v>
      </c>
      <c r="T97" s="414">
        <f t="shared" si="674"/>
        <v>0</v>
      </c>
      <c r="U97" s="406">
        <f t="shared" si="675"/>
        <v>0</v>
      </c>
      <c r="V97" s="407">
        <f t="shared" si="676"/>
        <v>0</v>
      </c>
      <c r="W97" s="404">
        <f t="shared" si="677"/>
        <v>0</v>
      </c>
      <c r="X97" s="414">
        <f t="shared" si="678"/>
        <v>0</v>
      </c>
      <c r="Y97" s="414">
        <f t="shared" si="679"/>
        <v>0</v>
      </c>
      <c r="Z97" s="406">
        <f t="shared" si="680"/>
        <v>0</v>
      </c>
      <c r="AA97" s="407">
        <f t="shared" si="681"/>
        <v>0</v>
      </c>
      <c r="AB97" s="404">
        <f t="shared" si="682"/>
        <v>0</v>
      </c>
      <c r="AC97" s="414">
        <f t="shared" si="683"/>
        <v>0</v>
      </c>
      <c r="AD97" s="414">
        <f t="shared" si="684"/>
        <v>0</v>
      </c>
      <c r="AE97" s="406">
        <f t="shared" si="685"/>
        <v>0</v>
      </c>
      <c r="AF97" s="407">
        <f t="shared" si="686"/>
        <v>0</v>
      </c>
      <c r="AG97" s="404">
        <f t="shared" si="687"/>
        <v>0</v>
      </c>
      <c r="AH97" s="414">
        <f t="shared" si="688"/>
        <v>0</v>
      </c>
      <c r="AI97" s="414">
        <f t="shared" si="689"/>
        <v>0</v>
      </c>
      <c r="AJ97" s="406">
        <f t="shared" si="690"/>
        <v>0</v>
      </c>
      <c r="AK97" s="407">
        <f t="shared" si="691"/>
        <v>0</v>
      </c>
      <c r="AL97" s="404">
        <f t="shared" si="692"/>
        <v>0</v>
      </c>
      <c r="AM97" s="414">
        <f t="shared" si="693"/>
        <v>0</v>
      </c>
      <c r="AN97" s="414">
        <f t="shared" si="694"/>
        <v>0</v>
      </c>
      <c r="AO97" s="406">
        <f t="shared" si="695"/>
        <v>0</v>
      </c>
      <c r="AP97" s="407">
        <f t="shared" si="696"/>
        <v>0</v>
      </c>
      <c r="AQ97" s="404">
        <f t="shared" si="697"/>
        <v>0</v>
      </c>
      <c r="AR97" s="414">
        <f t="shared" si="777"/>
        <v>0</v>
      </c>
      <c r="AS97" s="414">
        <f t="shared" si="698"/>
        <v>0</v>
      </c>
      <c r="AT97" s="406">
        <f t="shared" si="699"/>
        <v>0</v>
      </c>
      <c r="AU97" s="407">
        <f t="shared" si="700"/>
        <v>0</v>
      </c>
      <c r="AV97" s="404">
        <f t="shared" si="701"/>
        <v>0</v>
      </c>
      <c r="AW97" s="414">
        <f t="shared" si="702"/>
        <v>0</v>
      </c>
      <c r="AX97" s="414">
        <f t="shared" si="703"/>
        <v>0</v>
      </c>
      <c r="AY97" s="406">
        <f t="shared" si="704"/>
        <v>0</v>
      </c>
      <c r="AZ97" s="407">
        <f t="shared" si="705"/>
        <v>0</v>
      </c>
      <c r="BA97" s="404">
        <f t="shared" si="706"/>
        <v>0</v>
      </c>
      <c r="BB97" s="414">
        <f t="shared" si="707"/>
        <v>0</v>
      </c>
      <c r="BC97" s="414">
        <f t="shared" si="708"/>
        <v>0</v>
      </c>
      <c r="BD97" s="406">
        <f t="shared" si="709"/>
        <v>0</v>
      </c>
      <c r="BE97" s="407">
        <f t="shared" si="710"/>
        <v>0</v>
      </c>
      <c r="BF97" s="404">
        <f t="shared" si="711"/>
        <v>0</v>
      </c>
      <c r="BG97" s="414">
        <f t="shared" si="712"/>
        <v>0</v>
      </c>
      <c r="BH97" s="414">
        <f t="shared" si="713"/>
        <v>0</v>
      </c>
      <c r="BI97" s="406">
        <f t="shared" si="714"/>
        <v>0</v>
      </c>
      <c r="BJ97" s="407">
        <f t="shared" si="715"/>
        <v>0</v>
      </c>
      <c r="BK97" s="404">
        <f t="shared" si="716"/>
        <v>0</v>
      </c>
      <c r="BL97" s="414">
        <f t="shared" si="717"/>
        <v>0</v>
      </c>
      <c r="BM97" s="414">
        <f t="shared" si="718"/>
        <v>0</v>
      </c>
      <c r="BN97" s="406">
        <f t="shared" si="719"/>
        <v>0</v>
      </c>
      <c r="BO97" s="407">
        <f t="shared" si="720"/>
        <v>0</v>
      </c>
      <c r="BP97" s="449"/>
      <c r="BQ97" s="413">
        <f t="shared" si="721"/>
        <v>0</v>
      </c>
      <c r="BR97" s="410">
        <f t="shared" si="722"/>
        <v>0</v>
      </c>
      <c r="BS97" s="416">
        <f t="shared" si="723"/>
        <v>0</v>
      </c>
      <c r="BT97" s="416">
        <f t="shared" si="724"/>
        <v>0</v>
      </c>
      <c r="BU97" s="412">
        <f t="shared" si="725"/>
        <v>0</v>
      </c>
      <c r="BV97" s="413">
        <f t="shared" si="726"/>
        <v>0</v>
      </c>
      <c r="BW97" s="410">
        <f t="shared" si="727"/>
        <v>0</v>
      </c>
      <c r="BX97" s="416">
        <f t="shared" si="728"/>
        <v>0</v>
      </c>
      <c r="BY97" s="416">
        <f t="shared" si="729"/>
        <v>0</v>
      </c>
      <c r="BZ97" s="412">
        <f t="shared" si="730"/>
        <v>0</v>
      </c>
      <c r="CA97" s="413">
        <f t="shared" si="731"/>
        <v>0</v>
      </c>
      <c r="CB97" s="410">
        <f t="shared" si="732"/>
        <v>0</v>
      </c>
      <c r="CC97" s="416">
        <f t="shared" si="733"/>
        <v>0</v>
      </c>
      <c r="CD97" s="416">
        <f t="shared" si="734"/>
        <v>0</v>
      </c>
      <c r="CE97" s="412">
        <f t="shared" si="735"/>
        <v>0</v>
      </c>
      <c r="CF97" s="413">
        <f t="shared" si="736"/>
        <v>0</v>
      </c>
      <c r="CG97" s="410">
        <f t="shared" si="737"/>
        <v>0</v>
      </c>
      <c r="CH97" s="416">
        <f t="shared" si="738"/>
        <v>0</v>
      </c>
      <c r="CI97" s="416">
        <f t="shared" si="739"/>
        <v>0</v>
      </c>
      <c r="CJ97" s="412">
        <f t="shared" si="740"/>
        <v>0</v>
      </c>
      <c r="CK97" s="413">
        <f t="shared" si="741"/>
        <v>0</v>
      </c>
      <c r="CL97" s="410">
        <f t="shared" si="742"/>
        <v>0</v>
      </c>
      <c r="CM97" s="416">
        <f t="shared" si="743"/>
        <v>0</v>
      </c>
      <c r="CN97" s="416">
        <f t="shared" si="744"/>
        <v>0</v>
      </c>
      <c r="CO97" s="412">
        <f t="shared" si="745"/>
        <v>0</v>
      </c>
      <c r="CP97" s="413">
        <f t="shared" si="746"/>
        <v>0</v>
      </c>
      <c r="CQ97" s="410">
        <f t="shared" si="747"/>
        <v>0</v>
      </c>
      <c r="CR97" s="416">
        <f t="shared" si="748"/>
        <v>0</v>
      </c>
      <c r="CS97" s="416">
        <f t="shared" si="749"/>
        <v>0</v>
      </c>
      <c r="CT97" s="412">
        <f t="shared" si="750"/>
        <v>0</v>
      </c>
      <c r="CU97" s="413">
        <f t="shared" si="751"/>
        <v>0</v>
      </c>
      <c r="CV97" s="410">
        <f t="shared" si="752"/>
        <v>0</v>
      </c>
      <c r="CW97" s="416">
        <f t="shared" si="753"/>
        <v>0</v>
      </c>
      <c r="CX97" s="416">
        <f t="shared" si="754"/>
        <v>0</v>
      </c>
      <c r="CY97" s="412">
        <f t="shared" si="755"/>
        <v>0</v>
      </c>
      <c r="CZ97" s="413">
        <f t="shared" si="756"/>
        <v>0</v>
      </c>
      <c r="DA97" s="410">
        <f t="shared" si="757"/>
        <v>0</v>
      </c>
      <c r="DB97" s="416">
        <f t="shared" si="758"/>
        <v>0</v>
      </c>
      <c r="DC97" s="416">
        <f t="shared" si="759"/>
        <v>0</v>
      </c>
      <c r="DD97" s="412">
        <f t="shared" si="760"/>
        <v>0</v>
      </c>
      <c r="DE97" s="413">
        <f t="shared" si="761"/>
        <v>0</v>
      </c>
      <c r="DF97" s="410">
        <f t="shared" si="762"/>
        <v>0</v>
      </c>
      <c r="DG97" s="416">
        <f t="shared" si="763"/>
        <v>0</v>
      </c>
      <c r="DH97" s="416">
        <f t="shared" si="764"/>
        <v>0</v>
      </c>
      <c r="DI97" s="412">
        <f t="shared" si="765"/>
        <v>0</v>
      </c>
      <c r="DJ97" s="413">
        <f t="shared" si="766"/>
        <v>0</v>
      </c>
      <c r="DK97" s="410">
        <f t="shared" si="767"/>
        <v>0</v>
      </c>
      <c r="DL97" s="416">
        <f t="shared" si="768"/>
        <v>0</v>
      </c>
      <c r="DM97" s="416">
        <f t="shared" si="769"/>
        <v>0</v>
      </c>
      <c r="DN97" s="412">
        <f t="shared" si="770"/>
        <v>0</v>
      </c>
      <c r="DO97" s="413">
        <f t="shared" si="771"/>
        <v>0</v>
      </c>
      <c r="DP97" s="410">
        <f t="shared" si="772"/>
        <v>0</v>
      </c>
      <c r="DQ97" s="416">
        <f t="shared" si="773"/>
        <v>0</v>
      </c>
      <c r="DR97" s="416">
        <f t="shared" si="774"/>
        <v>0</v>
      </c>
      <c r="DS97" s="412">
        <f t="shared" si="775"/>
        <v>0</v>
      </c>
      <c r="DT97" s="413">
        <f t="shared" si="776"/>
        <v>0</v>
      </c>
    </row>
    <row r="98" spans="1:124" ht="12.75" customHeight="1">
      <c r="A98" s="491"/>
      <c r="C98" s="601" t="s">
        <v>300</v>
      </c>
      <c r="D98" s="601"/>
      <c r="E98" s="1886">
        <f t="shared" si="665"/>
        <v>350</v>
      </c>
      <c r="F98" s="1532">
        <v>350</v>
      </c>
      <c r="G98" s="1532">
        <v>350</v>
      </c>
      <c r="H98" s="610">
        <v>2021</v>
      </c>
      <c r="I98" s="1533">
        <v>4.5999999999999999E-2</v>
      </c>
      <c r="J98" s="615">
        <v>3</v>
      </c>
      <c r="K98" s="402"/>
      <c r="L98" s="407">
        <f t="shared" si="666"/>
        <v>0</v>
      </c>
      <c r="M98" s="404">
        <f t="shared" si="667"/>
        <v>0</v>
      </c>
      <c r="N98" s="414">
        <f t="shared" si="668"/>
        <v>0</v>
      </c>
      <c r="O98" s="414">
        <f t="shared" si="669"/>
        <v>0</v>
      </c>
      <c r="P98" s="406">
        <f t="shared" si="670"/>
        <v>0</v>
      </c>
      <c r="Q98" s="407">
        <f t="shared" si="671"/>
        <v>0</v>
      </c>
      <c r="R98" s="404">
        <f t="shared" si="672"/>
        <v>0</v>
      </c>
      <c r="S98" s="414">
        <f t="shared" si="673"/>
        <v>0</v>
      </c>
      <c r="T98" s="414">
        <f t="shared" si="674"/>
        <v>0</v>
      </c>
      <c r="U98" s="406">
        <f t="shared" si="675"/>
        <v>0</v>
      </c>
      <c r="V98" s="407">
        <f t="shared" si="676"/>
        <v>0</v>
      </c>
      <c r="W98" s="404">
        <f t="shared" si="677"/>
        <v>0</v>
      </c>
      <c r="X98" s="414">
        <f t="shared" si="678"/>
        <v>0</v>
      </c>
      <c r="Y98" s="414">
        <f t="shared" si="679"/>
        <v>0</v>
      </c>
      <c r="Z98" s="406">
        <f t="shared" si="680"/>
        <v>0</v>
      </c>
      <c r="AA98" s="407">
        <f t="shared" si="681"/>
        <v>0</v>
      </c>
      <c r="AB98" s="404">
        <f t="shared" si="682"/>
        <v>0</v>
      </c>
      <c r="AC98" s="414">
        <f t="shared" si="683"/>
        <v>0</v>
      </c>
      <c r="AD98" s="414">
        <f t="shared" si="684"/>
        <v>0</v>
      </c>
      <c r="AE98" s="406">
        <f t="shared" si="685"/>
        <v>0</v>
      </c>
      <c r="AF98" s="407">
        <f t="shared" si="686"/>
        <v>0</v>
      </c>
      <c r="AG98" s="404">
        <f t="shared" si="687"/>
        <v>0</v>
      </c>
      <c r="AH98" s="414">
        <f t="shared" si="688"/>
        <v>0</v>
      </c>
      <c r="AI98" s="414">
        <f t="shared" si="689"/>
        <v>0</v>
      </c>
      <c r="AJ98" s="406">
        <f t="shared" si="690"/>
        <v>0</v>
      </c>
      <c r="AK98" s="407">
        <f t="shared" si="691"/>
        <v>0</v>
      </c>
      <c r="AL98" s="404">
        <f t="shared" si="692"/>
        <v>0</v>
      </c>
      <c r="AM98" s="414">
        <f t="shared" si="693"/>
        <v>0</v>
      </c>
      <c r="AN98" s="414">
        <f t="shared" si="694"/>
        <v>0</v>
      </c>
      <c r="AO98" s="406">
        <f t="shared" si="695"/>
        <v>0</v>
      </c>
      <c r="AP98" s="407">
        <f t="shared" si="696"/>
        <v>0</v>
      </c>
      <c r="AQ98" s="404">
        <f t="shared" si="697"/>
        <v>0</v>
      </c>
      <c r="AR98" s="414">
        <f t="shared" si="777"/>
        <v>0</v>
      </c>
      <c r="AS98" s="414">
        <f t="shared" si="698"/>
        <v>0</v>
      </c>
      <c r="AT98" s="406">
        <f t="shared" si="699"/>
        <v>0</v>
      </c>
      <c r="AU98" s="407">
        <f t="shared" si="700"/>
        <v>0</v>
      </c>
      <c r="AV98" s="404">
        <f t="shared" si="701"/>
        <v>0</v>
      </c>
      <c r="AW98" s="414">
        <f t="shared" si="702"/>
        <v>0</v>
      </c>
      <c r="AX98" s="414">
        <f t="shared" si="703"/>
        <v>0</v>
      </c>
      <c r="AY98" s="406">
        <f t="shared" si="704"/>
        <v>0</v>
      </c>
      <c r="AZ98" s="407">
        <f t="shared" si="705"/>
        <v>0</v>
      </c>
      <c r="BA98" s="404">
        <f t="shared" si="706"/>
        <v>0</v>
      </c>
      <c r="BB98" s="414">
        <f t="shared" si="707"/>
        <v>0</v>
      </c>
      <c r="BC98" s="414">
        <f t="shared" si="708"/>
        <v>0</v>
      </c>
      <c r="BD98" s="406">
        <f t="shared" si="709"/>
        <v>0</v>
      </c>
      <c r="BE98" s="407">
        <f t="shared" si="710"/>
        <v>0</v>
      </c>
      <c r="BF98" s="404">
        <f t="shared" si="711"/>
        <v>0</v>
      </c>
      <c r="BG98" s="414">
        <f t="shared" si="712"/>
        <v>0</v>
      </c>
      <c r="BH98" s="414">
        <f t="shared" si="713"/>
        <v>0</v>
      </c>
      <c r="BI98" s="406">
        <f t="shared" si="714"/>
        <v>0</v>
      </c>
      <c r="BJ98" s="407">
        <f t="shared" si="715"/>
        <v>0</v>
      </c>
      <c r="BK98" s="404">
        <f t="shared" si="716"/>
        <v>-350</v>
      </c>
      <c r="BL98" s="414">
        <f t="shared" si="717"/>
        <v>0</v>
      </c>
      <c r="BM98" s="414">
        <f t="shared" si="718"/>
        <v>0</v>
      </c>
      <c r="BN98" s="406">
        <f t="shared" si="719"/>
        <v>0</v>
      </c>
      <c r="BO98" s="407">
        <f t="shared" si="720"/>
        <v>-350</v>
      </c>
      <c r="BP98" s="449"/>
      <c r="BQ98" s="413">
        <f t="shared" si="721"/>
        <v>0</v>
      </c>
      <c r="BR98" s="410">
        <f t="shared" si="722"/>
        <v>0</v>
      </c>
      <c r="BS98" s="416">
        <f t="shared" si="723"/>
        <v>0</v>
      </c>
      <c r="BT98" s="416">
        <f t="shared" si="724"/>
        <v>0</v>
      </c>
      <c r="BU98" s="412">
        <f t="shared" si="725"/>
        <v>0</v>
      </c>
      <c r="BV98" s="413">
        <f t="shared" si="726"/>
        <v>0</v>
      </c>
      <c r="BW98" s="410">
        <f t="shared" si="727"/>
        <v>0</v>
      </c>
      <c r="BX98" s="416">
        <f t="shared" si="728"/>
        <v>0</v>
      </c>
      <c r="BY98" s="416">
        <f t="shared" si="729"/>
        <v>0</v>
      </c>
      <c r="BZ98" s="412">
        <f t="shared" si="730"/>
        <v>0</v>
      </c>
      <c r="CA98" s="413">
        <f t="shared" si="731"/>
        <v>0</v>
      </c>
      <c r="CB98" s="410">
        <f t="shared" si="732"/>
        <v>0</v>
      </c>
      <c r="CC98" s="416">
        <f t="shared" si="733"/>
        <v>0</v>
      </c>
      <c r="CD98" s="416">
        <f t="shared" si="734"/>
        <v>0</v>
      </c>
      <c r="CE98" s="412">
        <f t="shared" si="735"/>
        <v>0</v>
      </c>
      <c r="CF98" s="413">
        <f t="shared" si="736"/>
        <v>0</v>
      </c>
      <c r="CG98" s="410">
        <f t="shared" si="737"/>
        <v>0</v>
      </c>
      <c r="CH98" s="416">
        <f t="shared" si="738"/>
        <v>0</v>
      </c>
      <c r="CI98" s="416">
        <f t="shared" si="739"/>
        <v>0</v>
      </c>
      <c r="CJ98" s="412">
        <f t="shared" si="740"/>
        <v>0</v>
      </c>
      <c r="CK98" s="413">
        <f t="shared" si="741"/>
        <v>0</v>
      </c>
      <c r="CL98" s="410">
        <f t="shared" si="742"/>
        <v>0</v>
      </c>
      <c r="CM98" s="416">
        <f t="shared" si="743"/>
        <v>0</v>
      </c>
      <c r="CN98" s="416">
        <f t="shared" si="744"/>
        <v>0</v>
      </c>
      <c r="CO98" s="412">
        <f t="shared" si="745"/>
        <v>0</v>
      </c>
      <c r="CP98" s="413">
        <f t="shared" si="746"/>
        <v>0</v>
      </c>
      <c r="CQ98" s="410">
        <f t="shared" si="747"/>
        <v>0</v>
      </c>
      <c r="CR98" s="416">
        <f t="shared" si="748"/>
        <v>0</v>
      </c>
      <c r="CS98" s="416">
        <f t="shared" si="749"/>
        <v>0</v>
      </c>
      <c r="CT98" s="412">
        <f t="shared" si="750"/>
        <v>0</v>
      </c>
      <c r="CU98" s="413">
        <f t="shared" si="751"/>
        <v>0</v>
      </c>
      <c r="CV98" s="410">
        <f t="shared" si="752"/>
        <v>0</v>
      </c>
      <c r="CW98" s="416">
        <f t="shared" si="753"/>
        <v>0</v>
      </c>
      <c r="CX98" s="416">
        <f t="shared" si="754"/>
        <v>0</v>
      </c>
      <c r="CY98" s="412">
        <f t="shared" si="755"/>
        <v>0</v>
      </c>
      <c r="CZ98" s="413">
        <f t="shared" si="756"/>
        <v>0</v>
      </c>
      <c r="DA98" s="410">
        <f t="shared" si="757"/>
        <v>0</v>
      </c>
      <c r="DB98" s="416">
        <f t="shared" si="758"/>
        <v>0</v>
      </c>
      <c r="DC98" s="416">
        <f t="shared" si="759"/>
        <v>0</v>
      </c>
      <c r="DD98" s="412">
        <f t="shared" si="760"/>
        <v>0</v>
      </c>
      <c r="DE98" s="413">
        <f t="shared" si="761"/>
        <v>0</v>
      </c>
      <c r="DF98" s="410">
        <f t="shared" si="762"/>
        <v>0</v>
      </c>
      <c r="DG98" s="416">
        <f t="shared" si="763"/>
        <v>0</v>
      </c>
      <c r="DH98" s="416">
        <f t="shared" si="764"/>
        <v>0</v>
      </c>
      <c r="DI98" s="412">
        <f t="shared" si="765"/>
        <v>0</v>
      </c>
      <c r="DJ98" s="413">
        <f t="shared" si="766"/>
        <v>0</v>
      </c>
      <c r="DK98" s="410">
        <f t="shared" si="767"/>
        <v>0</v>
      </c>
      <c r="DL98" s="416">
        <f t="shared" si="768"/>
        <v>0</v>
      </c>
      <c r="DM98" s="416">
        <f t="shared" si="769"/>
        <v>0</v>
      </c>
      <c r="DN98" s="412">
        <f t="shared" si="770"/>
        <v>0</v>
      </c>
      <c r="DO98" s="413">
        <f t="shared" si="771"/>
        <v>0</v>
      </c>
      <c r="DP98" s="410">
        <f t="shared" si="772"/>
        <v>-1.3416666666666668</v>
      </c>
      <c r="DQ98" s="416">
        <f t="shared" si="773"/>
        <v>-4.0250000000000004</v>
      </c>
      <c r="DR98" s="416">
        <f t="shared" si="774"/>
        <v>-4.0250000000000004</v>
      </c>
      <c r="DS98" s="412">
        <f t="shared" si="775"/>
        <v>-4.0250000000000004</v>
      </c>
      <c r="DT98" s="413">
        <f t="shared" si="776"/>
        <v>-13.416666666666666</v>
      </c>
    </row>
    <row r="99" spans="1:124" ht="12.75" customHeight="1">
      <c r="A99" s="491"/>
      <c r="C99" s="1885" t="s">
        <v>128</v>
      </c>
      <c r="D99" s="1885"/>
      <c r="E99" s="1886">
        <f t="shared" si="665"/>
        <v>300</v>
      </c>
      <c r="F99" s="1532">
        <v>300</v>
      </c>
      <c r="G99" s="1532">
        <v>300</v>
      </c>
      <c r="H99" s="610">
        <v>2044</v>
      </c>
      <c r="I99" s="1533">
        <v>4.3999999999999997E-2</v>
      </c>
      <c r="J99" s="615">
        <v>5</v>
      </c>
      <c r="K99" s="402"/>
      <c r="L99" s="407">
        <f t="shared" si="666"/>
        <v>0</v>
      </c>
      <c r="M99" s="404">
        <f t="shared" si="667"/>
        <v>0</v>
      </c>
      <c r="N99" s="414">
        <f t="shared" si="668"/>
        <v>0</v>
      </c>
      <c r="O99" s="414">
        <f t="shared" si="669"/>
        <v>0</v>
      </c>
      <c r="P99" s="406">
        <f t="shared" si="670"/>
        <v>0</v>
      </c>
      <c r="Q99" s="407">
        <f t="shared" si="671"/>
        <v>0</v>
      </c>
      <c r="R99" s="404">
        <f t="shared" si="672"/>
        <v>0</v>
      </c>
      <c r="S99" s="414">
        <f t="shared" si="673"/>
        <v>0</v>
      </c>
      <c r="T99" s="414">
        <f t="shared" si="674"/>
        <v>0</v>
      </c>
      <c r="U99" s="406">
        <f t="shared" si="675"/>
        <v>0</v>
      </c>
      <c r="V99" s="407">
        <f t="shared" si="676"/>
        <v>0</v>
      </c>
      <c r="W99" s="404">
        <f t="shared" si="677"/>
        <v>0</v>
      </c>
      <c r="X99" s="414">
        <f t="shared" si="678"/>
        <v>0</v>
      </c>
      <c r="Y99" s="414">
        <f t="shared" si="679"/>
        <v>0</v>
      </c>
      <c r="Z99" s="406">
        <f t="shared" si="680"/>
        <v>0</v>
      </c>
      <c r="AA99" s="407">
        <f t="shared" si="681"/>
        <v>0</v>
      </c>
      <c r="AB99" s="404">
        <f t="shared" si="682"/>
        <v>0</v>
      </c>
      <c r="AC99" s="414">
        <f t="shared" si="683"/>
        <v>0</v>
      </c>
      <c r="AD99" s="414">
        <f t="shared" si="684"/>
        <v>0</v>
      </c>
      <c r="AE99" s="406">
        <f t="shared" si="685"/>
        <v>0</v>
      </c>
      <c r="AF99" s="407">
        <f t="shared" si="686"/>
        <v>0</v>
      </c>
      <c r="AG99" s="404">
        <f t="shared" si="687"/>
        <v>0</v>
      </c>
      <c r="AH99" s="414">
        <f t="shared" si="688"/>
        <v>0</v>
      </c>
      <c r="AI99" s="414">
        <f t="shared" si="689"/>
        <v>0</v>
      </c>
      <c r="AJ99" s="406">
        <f t="shared" si="690"/>
        <v>0</v>
      </c>
      <c r="AK99" s="407">
        <f t="shared" si="691"/>
        <v>0</v>
      </c>
      <c r="AL99" s="404">
        <f t="shared" si="692"/>
        <v>0</v>
      </c>
      <c r="AM99" s="414">
        <f t="shared" si="693"/>
        <v>0</v>
      </c>
      <c r="AN99" s="414">
        <f t="shared" si="694"/>
        <v>0</v>
      </c>
      <c r="AO99" s="406">
        <f t="shared" si="695"/>
        <v>0</v>
      </c>
      <c r="AP99" s="407">
        <f t="shared" si="696"/>
        <v>0</v>
      </c>
      <c r="AQ99" s="404">
        <f t="shared" si="697"/>
        <v>0</v>
      </c>
      <c r="AR99" s="414">
        <f t="shared" si="777"/>
        <v>0</v>
      </c>
      <c r="AS99" s="414">
        <f t="shared" si="698"/>
        <v>0</v>
      </c>
      <c r="AT99" s="406">
        <f t="shared" si="699"/>
        <v>0</v>
      </c>
      <c r="AU99" s="407">
        <f t="shared" si="700"/>
        <v>0</v>
      </c>
      <c r="AV99" s="404">
        <f t="shared" si="701"/>
        <v>0</v>
      </c>
      <c r="AW99" s="414">
        <f t="shared" si="702"/>
        <v>0</v>
      </c>
      <c r="AX99" s="414">
        <f t="shared" si="703"/>
        <v>0</v>
      </c>
      <c r="AY99" s="406">
        <f t="shared" si="704"/>
        <v>0</v>
      </c>
      <c r="AZ99" s="407">
        <f t="shared" si="705"/>
        <v>0</v>
      </c>
      <c r="BA99" s="404">
        <f t="shared" si="706"/>
        <v>0</v>
      </c>
      <c r="BB99" s="414">
        <f t="shared" si="707"/>
        <v>0</v>
      </c>
      <c r="BC99" s="414">
        <f t="shared" si="708"/>
        <v>0</v>
      </c>
      <c r="BD99" s="406">
        <f t="shared" si="709"/>
        <v>0</v>
      </c>
      <c r="BE99" s="407">
        <f t="shared" si="710"/>
        <v>0</v>
      </c>
      <c r="BF99" s="404">
        <f t="shared" si="711"/>
        <v>0</v>
      </c>
      <c r="BG99" s="414">
        <f t="shared" si="712"/>
        <v>0</v>
      </c>
      <c r="BH99" s="414">
        <f t="shared" si="713"/>
        <v>0</v>
      </c>
      <c r="BI99" s="406">
        <f t="shared" si="714"/>
        <v>0</v>
      </c>
      <c r="BJ99" s="407">
        <f t="shared" si="715"/>
        <v>0</v>
      </c>
      <c r="BK99" s="404">
        <f t="shared" si="716"/>
        <v>0</v>
      </c>
      <c r="BL99" s="414">
        <f t="shared" si="717"/>
        <v>0</v>
      </c>
      <c r="BM99" s="414">
        <f t="shared" si="718"/>
        <v>0</v>
      </c>
      <c r="BN99" s="406">
        <f t="shared" si="719"/>
        <v>0</v>
      </c>
      <c r="BO99" s="407">
        <f t="shared" si="720"/>
        <v>0</v>
      </c>
      <c r="BP99" s="449"/>
      <c r="BQ99" s="413">
        <f t="shared" si="721"/>
        <v>0</v>
      </c>
      <c r="BR99" s="410">
        <f t="shared" si="722"/>
        <v>0</v>
      </c>
      <c r="BS99" s="416">
        <f t="shared" si="723"/>
        <v>0</v>
      </c>
      <c r="BT99" s="416">
        <f t="shared" si="724"/>
        <v>0</v>
      </c>
      <c r="BU99" s="412">
        <f t="shared" si="725"/>
        <v>0</v>
      </c>
      <c r="BV99" s="413">
        <f t="shared" si="726"/>
        <v>0</v>
      </c>
      <c r="BW99" s="410">
        <f t="shared" si="727"/>
        <v>0</v>
      </c>
      <c r="BX99" s="416">
        <f t="shared" si="728"/>
        <v>0</v>
      </c>
      <c r="BY99" s="416">
        <f t="shared" si="729"/>
        <v>0</v>
      </c>
      <c r="BZ99" s="412">
        <f t="shared" si="730"/>
        <v>0</v>
      </c>
      <c r="CA99" s="413">
        <f t="shared" si="731"/>
        <v>0</v>
      </c>
      <c r="CB99" s="410">
        <f t="shared" si="732"/>
        <v>0</v>
      </c>
      <c r="CC99" s="416">
        <f t="shared" si="733"/>
        <v>0</v>
      </c>
      <c r="CD99" s="416">
        <f t="shared" si="734"/>
        <v>0</v>
      </c>
      <c r="CE99" s="412">
        <f t="shared" si="735"/>
        <v>0</v>
      </c>
      <c r="CF99" s="413">
        <f t="shared" si="736"/>
        <v>0</v>
      </c>
      <c r="CG99" s="410">
        <f t="shared" si="737"/>
        <v>0</v>
      </c>
      <c r="CH99" s="416">
        <f t="shared" si="738"/>
        <v>0</v>
      </c>
      <c r="CI99" s="416">
        <f t="shared" si="739"/>
        <v>0</v>
      </c>
      <c r="CJ99" s="412">
        <f t="shared" si="740"/>
        <v>0</v>
      </c>
      <c r="CK99" s="413">
        <f t="shared" si="741"/>
        <v>0</v>
      </c>
      <c r="CL99" s="410">
        <f t="shared" si="742"/>
        <v>0</v>
      </c>
      <c r="CM99" s="416">
        <f t="shared" si="743"/>
        <v>0</v>
      </c>
      <c r="CN99" s="416">
        <f t="shared" si="744"/>
        <v>0</v>
      </c>
      <c r="CO99" s="412">
        <f t="shared" si="745"/>
        <v>0</v>
      </c>
      <c r="CP99" s="413">
        <f t="shared" si="746"/>
        <v>0</v>
      </c>
      <c r="CQ99" s="410">
        <f t="shared" si="747"/>
        <v>0</v>
      </c>
      <c r="CR99" s="416">
        <f t="shared" si="748"/>
        <v>0</v>
      </c>
      <c r="CS99" s="416">
        <f t="shared" si="749"/>
        <v>0</v>
      </c>
      <c r="CT99" s="412">
        <f t="shared" si="750"/>
        <v>0</v>
      </c>
      <c r="CU99" s="413">
        <f t="shared" si="751"/>
        <v>0</v>
      </c>
      <c r="CV99" s="410">
        <f t="shared" si="752"/>
        <v>0</v>
      </c>
      <c r="CW99" s="416">
        <f t="shared" si="753"/>
        <v>0</v>
      </c>
      <c r="CX99" s="416">
        <f t="shared" si="754"/>
        <v>0</v>
      </c>
      <c r="CY99" s="412">
        <f t="shared" si="755"/>
        <v>0</v>
      </c>
      <c r="CZ99" s="413">
        <f t="shared" si="756"/>
        <v>0</v>
      </c>
      <c r="DA99" s="410">
        <f t="shared" si="757"/>
        <v>0</v>
      </c>
      <c r="DB99" s="416">
        <f t="shared" si="758"/>
        <v>0</v>
      </c>
      <c r="DC99" s="416">
        <f t="shared" si="759"/>
        <v>0</v>
      </c>
      <c r="DD99" s="412">
        <f t="shared" si="760"/>
        <v>0</v>
      </c>
      <c r="DE99" s="413">
        <f t="shared" si="761"/>
        <v>0</v>
      </c>
      <c r="DF99" s="410">
        <f t="shared" si="762"/>
        <v>0</v>
      </c>
      <c r="DG99" s="416">
        <f t="shared" si="763"/>
        <v>0</v>
      </c>
      <c r="DH99" s="416">
        <f t="shared" si="764"/>
        <v>0</v>
      </c>
      <c r="DI99" s="412">
        <f t="shared" si="765"/>
        <v>0</v>
      </c>
      <c r="DJ99" s="413">
        <f t="shared" si="766"/>
        <v>0</v>
      </c>
      <c r="DK99" s="410">
        <f t="shared" si="767"/>
        <v>0</v>
      </c>
      <c r="DL99" s="416">
        <f t="shared" si="768"/>
        <v>0</v>
      </c>
      <c r="DM99" s="416">
        <f t="shared" si="769"/>
        <v>0</v>
      </c>
      <c r="DN99" s="412">
        <f t="shared" si="770"/>
        <v>0</v>
      </c>
      <c r="DO99" s="413">
        <f t="shared" si="771"/>
        <v>0</v>
      </c>
      <c r="DP99" s="410">
        <f t="shared" si="772"/>
        <v>0</v>
      </c>
      <c r="DQ99" s="416">
        <f t="shared" si="773"/>
        <v>0</v>
      </c>
      <c r="DR99" s="416">
        <f t="shared" si="774"/>
        <v>0</v>
      </c>
      <c r="DS99" s="412">
        <f t="shared" si="775"/>
        <v>0</v>
      </c>
      <c r="DT99" s="413">
        <f t="shared" si="776"/>
        <v>0</v>
      </c>
    </row>
    <row r="100" spans="1:124" ht="12.75" customHeight="1">
      <c r="A100" s="491"/>
      <c r="C100" s="1885" t="s">
        <v>1101</v>
      </c>
      <c r="D100" s="1885"/>
      <c r="E100" s="1886">
        <f t="shared" si="665"/>
        <v>300</v>
      </c>
      <c r="F100" s="1532">
        <v>300</v>
      </c>
      <c r="G100" s="1532">
        <v>300</v>
      </c>
      <c r="H100" s="610">
        <v>2025</v>
      </c>
      <c r="I100" s="1533">
        <v>3.4000000000000002E-2</v>
      </c>
      <c r="J100" s="615">
        <v>6</v>
      </c>
      <c r="K100" s="402"/>
      <c r="L100" s="407">
        <f t="shared" si="666"/>
        <v>0</v>
      </c>
      <c r="M100" s="404">
        <f t="shared" si="667"/>
        <v>0</v>
      </c>
      <c r="N100" s="414">
        <f t="shared" si="668"/>
        <v>0</v>
      </c>
      <c r="O100" s="414">
        <f t="shared" si="669"/>
        <v>0</v>
      </c>
      <c r="P100" s="406">
        <f t="shared" si="670"/>
        <v>0</v>
      </c>
      <c r="Q100" s="407">
        <f t="shared" si="671"/>
        <v>0</v>
      </c>
      <c r="R100" s="404">
        <f t="shared" si="672"/>
        <v>0</v>
      </c>
      <c r="S100" s="414">
        <f t="shared" si="673"/>
        <v>0</v>
      </c>
      <c r="T100" s="414">
        <f t="shared" si="674"/>
        <v>0</v>
      </c>
      <c r="U100" s="406">
        <f t="shared" si="675"/>
        <v>0</v>
      </c>
      <c r="V100" s="407">
        <f t="shared" si="676"/>
        <v>0</v>
      </c>
      <c r="W100" s="404">
        <f t="shared" si="677"/>
        <v>0</v>
      </c>
      <c r="X100" s="414">
        <f t="shared" si="678"/>
        <v>0</v>
      </c>
      <c r="Y100" s="414">
        <f t="shared" si="679"/>
        <v>0</v>
      </c>
      <c r="Z100" s="406">
        <f t="shared" si="680"/>
        <v>0</v>
      </c>
      <c r="AA100" s="407">
        <f t="shared" si="681"/>
        <v>0</v>
      </c>
      <c r="AB100" s="404">
        <f t="shared" si="682"/>
        <v>0</v>
      </c>
      <c r="AC100" s="414">
        <f t="shared" si="683"/>
        <v>0</v>
      </c>
      <c r="AD100" s="414">
        <f t="shared" si="684"/>
        <v>0</v>
      </c>
      <c r="AE100" s="406">
        <f t="shared" si="685"/>
        <v>0</v>
      </c>
      <c r="AF100" s="407">
        <f t="shared" si="686"/>
        <v>0</v>
      </c>
      <c r="AG100" s="404">
        <f t="shared" si="687"/>
        <v>0</v>
      </c>
      <c r="AH100" s="414">
        <f t="shared" si="688"/>
        <v>0</v>
      </c>
      <c r="AI100" s="414">
        <f t="shared" si="689"/>
        <v>0</v>
      </c>
      <c r="AJ100" s="406">
        <f t="shared" si="690"/>
        <v>0</v>
      </c>
      <c r="AK100" s="407">
        <f t="shared" si="691"/>
        <v>0</v>
      </c>
      <c r="AL100" s="404">
        <f t="shared" si="692"/>
        <v>0</v>
      </c>
      <c r="AM100" s="414">
        <f t="shared" si="693"/>
        <v>0</v>
      </c>
      <c r="AN100" s="414">
        <f t="shared" si="694"/>
        <v>0</v>
      </c>
      <c r="AO100" s="406">
        <f t="shared" si="695"/>
        <v>0</v>
      </c>
      <c r="AP100" s="407">
        <f t="shared" si="696"/>
        <v>0</v>
      </c>
      <c r="AQ100" s="404">
        <f t="shared" si="697"/>
        <v>0</v>
      </c>
      <c r="AR100" s="414">
        <f t="shared" si="777"/>
        <v>0</v>
      </c>
      <c r="AS100" s="414">
        <f t="shared" si="698"/>
        <v>0</v>
      </c>
      <c r="AT100" s="406">
        <f t="shared" si="699"/>
        <v>0</v>
      </c>
      <c r="AU100" s="407">
        <f t="shared" si="700"/>
        <v>0</v>
      </c>
      <c r="AV100" s="404">
        <f t="shared" si="701"/>
        <v>0</v>
      </c>
      <c r="AW100" s="414">
        <f t="shared" si="702"/>
        <v>0</v>
      </c>
      <c r="AX100" s="414">
        <f t="shared" si="703"/>
        <v>0</v>
      </c>
      <c r="AY100" s="406">
        <f t="shared" si="704"/>
        <v>0</v>
      </c>
      <c r="AZ100" s="407">
        <f t="shared" si="705"/>
        <v>0</v>
      </c>
      <c r="BA100" s="404">
        <f t="shared" si="706"/>
        <v>0</v>
      </c>
      <c r="BB100" s="414">
        <f t="shared" si="707"/>
        <v>0</v>
      </c>
      <c r="BC100" s="414">
        <f t="shared" si="708"/>
        <v>0</v>
      </c>
      <c r="BD100" s="406">
        <f t="shared" si="709"/>
        <v>0</v>
      </c>
      <c r="BE100" s="407">
        <f t="shared" si="710"/>
        <v>0</v>
      </c>
      <c r="BF100" s="404">
        <f t="shared" si="711"/>
        <v>0</v>
      </c>
      <c r="BG100" s="414">
        <f t="shared" si="712"/>
        <v>0</v>
      </c>
      <c r="BH100" s="414">
        <f t="shared" si="713"/>
        <v>0</v>
      </c>
      <c r="BI100" s="406">
        <f t="shared" si="714"/>
        <v>0</v>
      </c>
      <c r="BJ100" s="407">
        <f t="shared" si="715"/>
        <v>0</v>
      </c>
      <c r="BK100" s="404">
        <f t="shared" si="716"/>
        <v>0</v>
      </c>
      <c r="BL100" s="414">
        <f t="shared" si="717"/>
        <v>0</v>
      </c>
      <c r="BM100" s="414">
        <f t="shared" si="718"/>
        <v>0</v>
      </c>
      <c r="BN100" s="406">
        <f t="shared" si="719"/>
        <v>0</v>
      </c>
      <c r="BO100" s="407">
        <f t="shared" si="720"/>
        <v>0</v>
      </c>
      <c r="BP100" s="449"/>
      <c r="BQ100" s="413">
        <f t="shared" si="721"/>
        <v>0</v>
      </c>
      <c r="BR100" s="410">
        <f t="shared" si="722"/>
        <v>0</v>
      </c>
      <c r="BS100" s="416">
        <f t="shared" si="723"/>
        <v>0</v>
      </c>
      <c r="BT100" s="416">
        <f t="shared" si="724"/>
        <v>0</v>
      </c>
      <c r="BU100" s="412">
        <f t="shared" si="725"/>
        <v>0</v>
      </c>
      <c r="BV100" s="413">
        <f t="shared" si="726"/>
        <v>0</v>
      </c>
      <c r="BW100" s="410">
        <f t="shared" si="727"/>
        <v>0</v>
      </c>
      <c r="BX100" s="416">
        <f t="shared" si="728"/>
        <v>0</v>
      </c>
      <c r="BY100" s="416">
        <f t="shared" si="729"/>
        <v>0</v>
      </c>
      <c r="BZ100" s="412">
        <f t="shared" si="730"/>
        <v>0</v>
      </c>
      <c r="CA100" s="413">
        <f t="shared" si="731"/>
        <v>0</v>
      </c>
      <c r="CB100" s="410">
        <f t="shared" si="732"/>
        <v>0</v>
      </c>
      <c r="CC100" s="416">
        <f t="shared" si="733"/>
        <v>0</v>
      </c>
      <c r="CD100" s="416">
        <f t="shared" si="734"/>
        <v>0</v>
      </c>
      <c r="CE100" s="412">
        <f t="shared" si="735"/>
        <v>0</v>
      </c>
      <c r="CF100" s="413">
        <f t="shared" si="736"/>
        <v>0</v>
      </c>
      <c r="CG100" s="410">
        <f t="shared" si="737"/>
        <v>0</v>
      </c>
      <c r="CH100" s="416">
        <f t="shared" si="738"/>
        <v>0</v>
      </c>
      <c r="CI100" s="416">
        <f t="shared" si="739"/>
        <v>0</v>
      </c>
      <c r="CJ100" s="412">
        <f t="shared" si="740"/>
        <v>0</v>
      </c>
      <c r="CK100" s="413">
        <f t="shared" si="741"/>
        <v>0</v>
      </c>
      <c r="CL100" s="410">
        <f t="shared" si="742"/>
        <v>0</v>
      </c>
      <c r="CM100" s="416">
        <f t="shared" si="743"/>
        <v>0</v>
      </c>
      <c r="CN100" s="416">
        <f t="shared" si="744"/>
        <v>0</v>
      </c>
      <c r="CO100" s="412">
        <f t="shared" si="745"/>
        <v>0</v>
      </c>
      <c r="CP100" s="413">
        <f t="shared" si="746"/>
        <v>0</v>
      </c>
      <c r="CQ100" s="410">
        <f t="shared" si="747"/>
        <v>0</v>
      </c>
      <c r="CR100" s="416">
        <f t="shared" si="748"/>
        <v>0</v>
      </c>
      <c r="CS100" s="416">
        <f t="shared" si="749"/>
        <v>0</v>
      </c>
      <c r="CT100" s="412">
        <f t="shared" si="750"/>
        <v>0</v>
      </c>
      <c r="CU100" s="413">
        <f t="shared" si="751"/>
        <v>0</v>
      </c>
      <c r="CV100" s="410">
        <f t="shared" si="752"/>
        <v>0</v>
      </c>
      <c r="CW100" s="416">
        <f t="shared" si="753"/>
        <v>0</v>
      </c>
      <c r="CX100" s="416">
        <f t="shared" si="754"/>
        <v>0</v>
      </c>
      <c r="CY100" s="412">
        <f t="shared" si="755"/>
        <v>0</v>
      </c>
      <c r="CZ100" s="413">
        <f t="shared" si="756"/>
        <v>0</v>
      </c>
      <c r="DA100" s="410">
        <f t="shared" si="757"/>
        <v>0</v>
      </c>
      <c r="DB100" s="416">
        <f t="shared" si="758"/>
        <v>0</v>
      </c>
      <c r="DC100" s="416">
        <f t="shared" si="759"/>
        <v>0</v>
      </c>
      <c r="DD100" s="412">
        <f t="shared" si="760"/>
        <v>0</v>
      </c>
      <c r="DE100" s="413">
        <f t="shared" si="761"/>
        <v>0</v>
      </c>
      <c r="DF100" s="410">
        <f t="shared" si="762"/>
        <v>0</v>
      </c>
      <c r="DG100" s="416">
        <f t="shared" si="763"/>
        <v>0</v>
      </c>
      <c r="DH100" s="416">
        <f t="shared" si="764"/>
        <v>0</v>
      </c>
      <c r="DI100" s="412">
        <f t="shared" si="765"/>
        <v>0</v>
      </c>
      <c r="DJ100" s="413">
        <f t="shared" si="766"/>
        <v>0</v>
      </c>
      <c r="DK100" s="410">
        <f t="shared" si="767"/>
        <v>0</v>
      </c>
      <c r="DL100" s="416">
        <f t="shared" si="768"/>
        <v>0</v>
      </c>
      <c r="DM100" s="416">
        <f t="shared" si="769"/>
        <v>0</v>
      </c>
      <c r="DN100" s="412">
        <f t="shared" si="770"/>
        <v>0</v>
      </c>
      <c r="DO100" s="413">
        <f t="shared" si="771"/>
        <v>0</v>
      </c>
      <c r="DP100" s="410">
        <f t="shared" si="772"/>
        <v>0</v>
      </c>
      <c r="DQ100" s="416">
        <f t="shared" si="773"/>
        <v>0</v>
      </c>
      <c r="DR100" s="416">
        <f t="shared" si="774"/>
        <v>0</v>
      </c>
      <c r="DS100" s="412">
        <f t="shared" si="775"/>
        <v>0</v>
      </c>
      <c r="DT100" s="413">
        <f t="shared" si="776"/>
        <v>0</v>
      </c>
    </row>
    <row r="101" spans="1:124" ht="12.75" customHeight="1">
      <c r="A101" s="491"/>
      <c r="C101" s="1885" t="s">
        <v>1103</v>
      </c>
      <c r="D101" s="1885"/>
      <c r="E101" s="1886">
        <f t="shared" si="665"/>
        <v>350</v>
      </c>
      <c r="F101" s="1532">
        <v>350</v>
      </c>
      <c r="G101" s="1532">
        <v>350</v>
      </c>
      <c r="H101" s="610">
        <v>2045</v>
      </c>
      <c r="I101" s="1533">
        <v>4.4499999999999998E-2</v>
      </c>
      <c r="J101" s="615">
        <v>6</v>
      </c>
      <c r="K101" s="402"/>
      <c r="L101" s="407">
        <f t="shared" si="666"/>
        <v>0</v>
      </c>
      <c r="M101" s="404">
        <f t="shared" si="667"/>
        <v>0</v>
      </c>
      <c r="N101" s="414">
        <f t="shared" si="668"/>
        <v>0</v>
      </c>
      <c r="O101" s="414">
        <f t="shared" si="669"/>
        <v>0</v>
      </c>
      <c r="P101" s="406">
        <f t="shared" si="670"/>
        <v>0</v>
      </c>
      <c r="Q101" s="407">
        <f t="shared" si="671"/>
        <v>0</v>
      </c>
      <c r="R101" s="404">
        <f t="shared" si="672"/>
        <v>0</v>
      </c>
      <c r="S101" s="414">
        <f t="shared" si="673"/>
        <v>0</v>
      </c>
      <c r="T101" s="414">
        <f t="shared" si="674"/>
        <v>0</v>
      </c>
      <c r="U101" s="406">
        <f t="shared" si="675"/>
        <v>0</v>
      </c>
      <c r="V101" s="407">
        <f t="shared" si="676"/>
        <v>0</v>
      </c>
      <c r="W101" s="404">
        <f t="shared" si="677"/>
        <v>0</v>
      </c>
      <c r="X101" s="414">
        <f t="shared" si="678"/>
        <v>0</v>
      </c>
      <c r="Y101" s="414">
        <f t="shared" si="679"/>
        <v>0</v>
      </c>
      <c r="Z101" s="406">
        <f t="shared" si="680"/>
        <v>0</v>
      </c>
      <c r="AA101" s="407">
        <f t="shared" si="681"/>
        <v>0</v>
      </c>
      <c r="AB101" s="404">
        <f t="shared" si="682"/>
        <v>0</v>
      </c>
      <c r="AC101" s="414">
        <f t="shared" si="683"/>
        <v>0</v>
      </c>
      <c r="AD101" s="414">
        <f t="shared" si="684"/>
        <v>0</v>
      </c>
      <c r="AE101" s="406">
        <f t="shared" si="685"/>
        <v>0</v>
      </c>
      <c r="AF101" s="407">
        <f t="shared" si="686"/>
        <v>0</v>
      </c>
      <c r="AG101" s="404">
        <f t="shared" si="687"/>
        <v>0</v>
      </c>
      <c r="AH101" s="414">
        <f t="shared" si="688"/>
        <v>0</v>
      </c>
      <c r="AI101" s="414">
        <f t="shared" si="689"/>
        <v>0</v>
      </c>
      <c r="AJ101" s="406">
        <f t="shared" si="690"/>
        <v>0</v>
      </c>
      <c r="AK101" s="407">
        <f t="shared" si="691"/>
        <v>0</v>
      </c>
      <c r="AL101" s="404">
        <f t="shared" si="692"/>
        <v>0</v>
      </c>
      <c r="AM101" s="414">
        <f t="shared" si="693"/>
        <v>0</v>
      </c>
      <c r="AN101" s="414">
        <f t="shared" si="694"/>
        <v>0</v>
      </c>
      <c r="AO101" s="406">
        <f t="shared" si="695"/>
        <v>0</v>
      </c>
      <c r="AP101" s="407">
        <f t="shared" si="696"/>
        <v>0</v>
      </c>
      <c r="AQ101" s="404">
        <f t="shared" si="697"/>
        <v>0</v>
      </c>
      <c r="AR101" s="414">
        <f t="shared" si="777"/>
        <v>0</v>
      </c>
      <c r="AS101" s="414">
        <f t="shared" si="698"/>
        <v>0</v>
      </c>
      <c r="AT101" s="406">
        <f t="shared" si="699"/>
        <v>0</v>
      </c>
      <c r="AU101" s="407">
        <f t="shared" si="700"/>
        <v>0</v>
      </c>
      <c r="AV101" s="404">
        <f t="shared" si="701"/>
        <v>0</v>
      </c>
      <c r="AW101" s="414">
        <f t="shared" si="702"/>
        <v>0</v>
      </c>
      <c r="AX101" s="414">
        <f t="shared" si="703"/>
        <v>0</v>
      </c>
      <c r="AY101" s="406">
        <f t="shared" si="704"/>
        <v>0</v>
      </c>
      <c r="AZ101" s="407">
        <f t="shared" si="705"/>
        <v>0</v>
      </c>
      <c r="BA101" s="404">
        <f t="shared" si="706"/>
        <v>0</v>
      </c>
      <c r="BB101" s="414">
        <f t="shared" si="707"/>
        <v>0</v>
      </c>
      <c r="BC101" s="414">
        <f t="shared" si="708"/>
        <v>0</v>
      </c>
      <c r="BD101" s="406">
        <f t="shared" si="709"/>
        <v>0</v>
      </c>
      <c r="BE101" s="407">
        <f t="shared" si="710"/>
        <v>0</v>
      </c>
      <c r="BF101" s="404">
        <f t="shared" si="711"/>
        <v>0</v>
      </c>
      <c r="BG101" s="414">
        <f t="shared" si="712"/>
        <v>0</v>
      </c>
      <c r="BH101" s="414">
        <f t="shared" si="713"/>
        <v>0</v>
      </c>
      <c r="BI101" s="406">
        <f t="shared" si="714"/>
        <v>0</v>
      </c>
      <c r="BJ101" s="407">
        <f t="shared" si="715"/>
        <v>0</v>
      </c>
      <c r="BK101" s="404">
        <f t="shared" si="716"/>
        <v>0</v>
      </c>
      <c r="BL101" s="414">
        <f t="shared" si="717"/>
        <v>0</v>
      </c>
      <c r="BM101" s="414">
        <f t="shared" si="718"/>
        <v>0</v>
      </c>
      <c r="BN101" s="406">
        <f t="shared" si="719"/>
        <v>0</v>
      </c>
      <c r="BO101" s="407">
        <f t="shared" si="720"/>
        <v>0</v>
      </c>
      <c r="BP101" s="449"/>
      <c r="BQ101" s="413">
        <f t="shared" si="721"/>
        <v>0</v>
      </c>
      <c r="BR101" s="410">
        <f t="shared" si="722"/>
        <v>0</v>
      </c>
      <c r="BS101" s="416">
        <f t="shared" si="723"/>
        <v>0</v>
      </c>
      <c r="BT101" s="416">
        <f t="shared" si="724"/>
        <v>0</v>
      </c>
      <c r="BU101" s="412">
        <f t="shared" si="725"/>
        <v>0</v>
      </c>
      <c r="BV101" s="413">
        <f t="shared" si="726"/>
        <v>0</v>
      </c>
      <c r="BW101" s="410">
        <f t="shared" si="727"/>
        <v>0</v>
      </c>
      <c r="BX101" s="416">
        <f t="shared" si="728"/>
        <v>0</v>
      </c>
      <c r="BY101" s="416">
        <f t="shared" si="729"/>
        <v>0</v>
      </c>
      <c r="BZ101" s="412">
        <f t="shared" si="730"/>
        <v>0</v>
      </c>
      <c r="CA101" s="413">
        <f t="shared" si="731"/>
        <v>0</v>
      </c>
      <c r="CB101" s="410">
        <f t="shared" si="732"/>
        <v>0</v>
      </c>
      <c r="CC101" s="416">
        <f t="shared" si="733"/>
        <v>0</v>
      </c>
      <c r="CD101" s="416">
        <f t="shared" si="734"/>
        <v>0</v>
      </c>
      <c r="CE101" s="412">
        <f t="shared" si="735"/>
        <v>0</v>
      </c>
      <c r="CF101" s="413">
        <f t="shared" si="736"/>
        <v>0</v>
      </c>
      <c r="CG101" s="410">
        <f t="shared" si="737"/>
        <v>0</v>
      </c>
      <c r="CH101" s="416">
        <f t="shared" si="738"/>
        <v>0</v>
      </c>
      <c r="CI101" s="416">
        <f t="shared" si="739"/>
        <v>0</v>
      </c>
      <c r="CJ101" s="412">
        <f t="shared" si="740"/>
        <v>0</v>
      </c>
      <c r="CK101" s="413">
        <f t="shared" si="741"/>
        <v>0</v>
      </c>
      <c r="CL101" s="410">
        <f t="shared" si="742"/>
        <v>0</v>
      </c>
      <c r="CM101" s="416">
        <f t="shared" si="743"/>
        <v>0</v>
      </c>
      <c r="CN101" s="416">
        <f t="shared" si="744"/>
        <v>0</v>
      </c>
      <c r="CO101" s="412">
        <f t="shared" si="745"/>
        <v>0</v>
      </c>
      <c r="CP101" s="413">
        <f t="shared" si="746"/>
        <v>0</v>
      </c>
      <c r="CQ101" s="410">
        <f t="shared" si="747"/>
        <v>0</v>
      </c>
      <c r="CR101" s="416">
        <f t="shared" si="748"/>
        <v>0</v>
      </c>
      <c r="CS101" s="416">
        <f t="shared" si="749"/>
        <v>0</v>
      </c>
      <c r="CT101" s="412">
        <f t="shared" si="750"/>
        <v>0</v>
      </c>
      <c r="CU101" s="413">
        <f t="shared" si="751"/>
        <v>0</v>
      </c>
      <c r="CV101" s="410">
        <f t="shared" si="752"/>
        <v>0</v>
      </c>
      <c r="CW101" s="416">
        <f t="shared" si="753"/>
        <v>0</v>
      </c>
      <c r="CX101" s="416">
        <f t="shared" si="754"/>
        <v>0</v>
      </c>
      <c r="CY101" s="412">
        <f t="shared" si="755"/>
        <v>0</v>
      </c>
      <c r="CZ101" s="413">
        <f t="shared" si="756"/>
        <v>0</v>
      </c>
      <c r="DA101" s="410">
        <f t="shared" si="757"/>
        <v>0</v>
      </c>
      <c r="DB101" s="416">
        <f t="shared" si="758"/>
        <v>0</v>
      </c>
      <c r="DC101" s="416">
        <f t="shared" si="759"/>
        <v>0</v>
      </c>
      <c r="DD101" s="412">
        <f t="shared" si="760"/>
        <v>0</v>
      </c>
      <c r="DE101" s="413">
        <f t="shared" si="761"/>
        <v>0</v>
      </c>
      <c r="DF101" s="410">
        <f t="shared" si="762"/>
        <v>0</v>
      </c>
      <c r="DG101" s="416">
        <f t="shared" si="763"/>
        <v>0</v>
      </c>
      <c r="DH101" s="416">
        <f t="shared" si="764"/>
        <v>0</v>
      </c>
      <c r="DI101" s="412">
        <f t="shared" si="765"/>
        <v>0</v>
      </c>
      <c r="DJ101" s="413">
        <f t="shared" si="766"/>
        <v>0</v>
      </c>
      <c r="DK101" s="410">
        <f t="shared" si="767"/>
        <v>0</v>
      </c>
      <c r="DL101" s="416">
        <f t="shared" si="768"/>
        <v>0</v>
      </c>
      <c r="DM101" s="416">
        <f t="shared" si="769"/>
        <v>0</v>
      </c>
      <c r="DN101" s="412">
        <f t="shared" si="770"/>
        <v>0</v>
      </c>
      <c r="DO101" s="413">
        <f t="shared" si="771"/>
        <v>0</v>
      </c>
      <c r="DP101" s="410">
        <f t="shared" si="772"/>
        <v>0</v>
      </c>
      <c r="DQ101" s="416">
        <f t="shared" si="773"/>
        <v>0</v>
      </c>
      <c r="DR101" s="416">
        <f t="shared" si="774"/>
        <v>0</v>
      </c>
      <c r="DS101" s="412">
        <f t="shared" si="775"/>
        <v>0</v>
      </c>
      <c r="DT101" s="413">
        <f t="shared" si="776"/>
        <v>0</v>
      </c>
    </row>
    <row r="102" spans="1:124" ht="12.75" customHeight="1">
      <c r="A102" s="491"/>
      <c r="C102" s="1885" t="s">
        <v>1325</v>
      </c>
      <c r="D102" s="601"/>
      <c r="E102" s="1886">
        <f t="shared" si="665"/>
        <v>325</v>
      </c>
      <c r="F102" s="1532">
        <v>325</v>
      </c>
      <c r="G102" s="1532">
        <v>0</v>
      </c>
      <c r="H102" s="610">
        <v>2027</v>
      </c>
      <c r="I102" s="830">
        <v>3.3000000000000002E-2</v>
      </c>
      <c r="J102" s="615">
        <v>6</v>
      </c>
      <c r="K102" s="402"/>
      <c r="L102" s="407">
        <f t="shared" si="666"/>
        <v>0</v>
      </c>
      <c r="M102" s="404">
        <f>IF(Q102=0,0,IF(Q102&lt;0,IF($J102=3,Q102,IF($J102=2,Q102,IF($J102=1,Q102,0)))))</f>
        <v>0</v>
      </c>
      <c r="N102" s="414">
        <f>IF(Q102=0,0,IF(Q102&lt;0,IF($J102=6,Q102,IF($J102=5,Q102,IF($J102=4,Q102,0)))))</f>
        <v>0</v>
      </c>
      <c r="O102" s="414">
        <f>IF(Q102=0,0,IF(Q102&lt;0,IF($J102=9,Q102,IF($J102=8,Q102,IF($J102=7,Q102,0)))))</f>
        <v>0</v>
      </c>
      <c r="P102" s="406">
        <f>IF(Q102=0,0,IF(Q102&lt;0,IF($J102=12,Q102,IF($J102=11,Q102,IF($J102=10,Q102,0)))))</f>
        <v>0</v>
      </c>
      <c r="Q102" s="407">
        <f t="shared" si="671"/>
        <v>0</v>
      </c>
      <c r="R102" s="404">
        <f>IF(V102=0,0,IF(V102&lt;0,IF($J102=3,V102,IF($J102=2,V102,IF($J102=1,V102,0)))))</f>
        <v>0</v>
      </c>
      <c r="S102" s="414">
        <f>IF(V102=0,0,IF(V102&lt;0,IF($J102=6,V102,IF($J102=5,V102,IF($J102=4,V102,0)))))</f>
        <v>0</v>
      </c>
      <c r="T102" s="414">
        <f>IF(V102=0,0,IF(V102&lt;0,IF($J102=9,V102,IF($J102=8,V102,IF($J102=7,V102,0)))))</f>
        <v>0</v>
      </c>
      <c r="U102" s="406">
        <f>IF(V102=0,0,IF(V102&lt;0,IF($J102=12,V102,IF($J102=11,V102,IF($J102=10,V102,0)))))</f>
        <v>0</v>
      </c>
      <c r="V102" s="407">
        <f t="shared" si="676"/>
        <v>0</v>
      </c>
      <c r="W102" s="404">
        <f>IF(AA102=0,0,IF(AA102&lt;0,IF($J102=3,AA102,IF($J102=2,AA102,IF($J102=1,AA102,0)))))</f>
        <v>0</v>
      </c>
      <c r="X102" s="414">
        <f>IF(AA102=0,0,IF(AA102&lt;0,IF($J102=6,AA102,IF($J102=5,AA102,IF($J102=4,AA102,0)))))</f>
        <v>0</v>
      </c>
      <c r="Y102" s="414">
        <f>IF(AA102=0,0,IF(AA102&lt;0,IF($J102=9,AA102,IF($J102=8,AA102,IF($J102=7,AA102,0)))))</f>
        <v>0</v>
      </c>
      <c r="Z102" s="406">
        <f>IF(AA102=0,0,IF(AA102&lt;0,IF($J102=12,AA102,IF($J102=11,AA102,IF($J102=10,AA102,0)))))</f>
        <v>0</v>
      </c>
      <c r="AA102" s="407">
        <f t="shared" si="681"/>
        <v>0</v>
      </c>
      <c r="AB102" s="404">
        <f>IF(AF102=0,0,IF(AF102&lt;0,IF($J102=3,AF102,IF($J102=2,AF102,IF($J102=1,AF102,0)))))</f>
        <v>0</v>
      </c>
      <c r="AC102" s="414">
        <f>IF(AF102=0,0,IF(AF102&lt;0,IF($J102=6,AF102,IF($J102=5,AF102,IF($J102=4,AF102,0)))))</f>
        <v>0</v>
      </c>
      <c r="AD102" s="414">
        <f>IF(AF102=0,0,IF(AF102&lt;0,IF($J102=9,AF102,IF($J102=8,AF102,IF($J102=7,AF102,0)))))</f>
        <v>0</v>
      </c>
      <c r="AE102" s="406">
        <f>IF(AF102=0,0,IF(AF102&lt;0,IF($J102=12,AF102,IF($J102=11,AF102,IF($J102=10,AF102,0)))))</f>
        <v>0</v>
      </c>
      <c r="AF102" s="407">
        <f t="shared" si="686"/>
        <v>0</v>
      </c>
      <c r="AG102" s="404">
        <f>IF(AK102=0,0,IF(AK102&lt;0,IF($J102=3,AK102,IF($J102=2,AK102,IF($J102=1,AK102,0)))))</f>
        <v>0</v>
      </c>
      <c r="AH102" s="414">
        <f>IF(AK102=0,0,IF(AK102&lt;0,IF($J102=6,AK102,IF($J102=5,AK102,IF($J102=4,AK102,0)))))</f>
        <v>0</v>
      </c>
      <c r="AI102" s="414">
        <f>IF(AK102=0,0,IF(AK102&lt;0,IF($J102=9,AK102,IF($J102=8,AK102,IF($J102=7,AK102,0)))))</f>
        <v>0</v>
      </c>
      <c r="AJ102" s="406">
        <f>IF(AK102=0,0,IF(AK102&lt;0,IF($J102=12,AK102,IF($J102=11,AK102,IF($J102=10,AK102,0)))))</f>
        <v>0</v>
      </c>
      <c r="AK102" s="407">
        <f t="shared" si="691"/>
        <v>0</v>
      </c>
      <c r="AL102" s="404">
        <f>IF(AP102=0,0,IF(AP102&lt;0,IF($J102=3,AP102,IF($J102=2,AP102,IF($J102=1,AP102,0)))))</f>
        <v>0</v>
      </c>
      <c r="AM102" s="414">
        <f>IF(AP102=0,0,IF(AP102&lt;0,IF($J102=6,AP102,IF($J102=5,AP102,IF($J102=4,AP102,0)))))</f>
        <v>0</v>
      </c>
      <c r="AN102" s="414">
        <f>IF(AP102=0,0,IF(AP102&lt;0,IF($J102=9,AP102,IF($J102=8,AP102,IF($J102=7,AP102,0)))))</f>
        <v>0</v>
      </c>
      <c r="AO102" s="406">
        <f>IF(AP102=0,0,IF(AP102&lt;0,IF($J102=12,AP102,IF($J102=11,AP102,IF($J102=10,AP102,0)))))</f>
        <v>0</v>
      </c>
      <c r="AP102" s="407">
        <f t="shared" si="696"/>
        <v>0</v>
      </c>
      <c r="AQ102" s="404">
        <f>IF(AU102=0,0,IF(AU102&lt;0,IF($J102=3,AU102,IF($J102=2,AU102,IF($J102=1,AU102,0)))))</f>
        <v>0</v>
      </c>
      <c r="AR102" s="414">
        <f>IF(AU102=0,0,IF(AU102&lt;0,IF($J102=6,AU102,IF($J102=5,AU102,IF($J102=4,AU102,0)))))</f>
        <v>0</v>
      </c>
      <c r="AS102" s="414">
        <f>IF(AU102=0,0,IF(AU102&lt;0,IF($J102=9,AU102,IF($J102=8,AU102,IF($J102=7,AU102,0)))))</f>
        <v>0</v>
      </c>
      <c r="AT102" s="406">
        <f>IF(AU102=0,0,IF(AU102&lt;0,IF($J102=12,AU102,IF($J102=11,AU102,IF($J102=10,AU102,0)))))</f>
        <v>0</v>
      </c>
      <c r="AU102" s="407">
        <f t="shared" si="700"/>
        <v>0</v>
      </c>
      <c r="AV102" s="404">
        <f>IF(AZ102=0,0,IF(AZ102&lt;0,IF($J102=3,AZ102,IF($J102=2,AZ102,IF($J102=1,AZ102,0)))))</f>
        <v>0</v>
      </c>
      <c r="AW102" s="414">
        <f>IF(AZ102=0,0,IF(AZ102&lt;0,IF($J102=6,AZ102,IF($J102=5,AZ102,IF($J102=4,AZ102,0)))))</f>
        <v>0</v>
      </c>
      <c r="AX102" s="414">
        <f>IF(AZ102=0,0,IF(AZ102&lt;0,IF($J102=9,AZ102,IF($J102=8,AZ102,IF($J102=7,AZ102,0)))))</f>
        <v>0</v>
      </c>
      <c r="AY102" s="406">
        <f>IF(AZ102=0,0,IF(AZ102&lt;0,IF($J102=12,AZ102,IF($J102=11,AZ102,IF($J102=10,AZ102,0)))))</f>
        <v>0</v>
      </c>
      <c r="AZ102" s="407">
        <f t="shared" si="705"/>
        <v>0</v>
      </c>
      <c r="BA102" s="404">
        <f>IF(BE102=0,0,IF(BE102&lt;0,IF($J102=3,BE102,IF($J102=2,BE102,IF($J102=1,BE102,0)))))</f>
        <v>0</v>
      </c>
      <c r="BB102" s="414">
        <f>IF(BE102=0,0,IF(BE102&lt;0,IF($J102=6,BE102,IF($J102=5,BE102,IF($J102=4,BE102,0)))))</f>
        <v>0</v>
      </c>
      <c r="BC102" s="414">
        <f>IF(BE102=0,0,IF(BE102&lt;0,IF($J102=9,BE102,IF($J102=8,BE102,IF($J102=7,BE102,0)))))</f>
        <v>0</v>
      </c>
      <c r="BD102" s="406">
        <f>IF(BE102=0,0,IF(BE102&lt;0,IF($J102=12,BE102,IF($J102=11,BE102,IF($J102=10,BE102,0)))))</f>
        <v>0</v>
      </c>
      <c r="BE102" s="407">
        <f t="shared" si="710"/>
        <v>0</v>
      </c>
      <c r="BF102" s="404">
        <f>IF(BJ102=0,0,IF(BJ102&lt;0,IF($J102=3,BJ102,IF($J102=2,BJ102,IF($J102=1,BJ102,0)))))</f>
        <v>0</v>
      </c>
      <c r="BG102" s="414">
        <f>IF(BJ102=0,0,IF(BJ102&lt;0,IF($J102=6,BJ102,IF($J102=5,BJ102,IF($J102=4,BJ102,0)))))</f>
        <v>0</v>
      </c>
      <c r="BH102" s="414">
        <f>IF(BJ102=0,0,IF(BJ102&lt;0,IF($J102=9,BJ102,IF($J102=8,BJ102,IF($J102=7,BJ102,0)))))</f>
        <v>0</v>
      </c>
      <c r="BI102" s="406">
        <f>IF(BJ102=0,0,IF(BJ102&lt;0,IF($J102=12,BJ102,IF($J102=11,BJ102,IF($J102=10,BJ102,0)))))</f>
        <v>0</v>
      </c>
      <c r="BJ102" s="407">
        <f t="shared" si="715"/>
        <v>0</v>
      </c>
      <c r="BK102" s="404">
        <f>IF(BO102=0,0,IF(BO102&lt;0,IF($J102=3,BO102,IF($J102=2,BO102,IF($J102=1,BO102,0)))))</f>
        <v>0</v>
      </c>
      <c r="BL102" s="414">
        <f>IF(BO102=0,0,IF(BO102&lt;0,IF($J102=6,BO102,IF($J102=5,BO102,IF($J102=4,BO102,0)))))</f>
        <v>0</v>
      </c>
      <c r="BM102" s="414">
        <f>IF(BO102=0,0,IF(BO102&lt;0,IF($J102=9,BO102,IF($J102=8,BO102,IF($J102=7,BO102,0)))))</f>
        <v>0</v>
      </c>
      <c r="BN102" s="406">
        <f>IF(BO102=0,0,IF(BO102&lt;0,IF($J102=12,BO102,IF($J102=11,BO102,IF($J102=10,BO102,0)))))</f>
        <v>0</v>
      </c>
      <c r="BO102" s="407">
        <f t="shared" si="720"/>
        <v>0</v>
      </c>
      <c r="BP102" s="449"/>
      <c r="BQ102" s="413">
        <f>IF(AND(AH102&lt;&gt;0,AH$5=$H102),-$I102*$E102-AH102,IF(BQ$5=$H102,-$I102*$E102*(12-$J102+1)/12,0))</f>
        <v>0</v>
      </c>
      <c r="BR102" s="410">
        <f>IF($H102&lt;&gt;BV$5,0,IF(BV102&lt;0,IF($J102=1,-$E102*$I102/12*3,IF($J102=2,-$E102*$I102/12*2,IF($J102=3,-$E102*$I102/12*1,0)))))+IF(BQ$5&lt;&gt;$H102,0,IF(BQ102&lt;0,IF($J102=1,-$E102*$I102/12*0,IF($J102=2,-$E102*$I102/12*1,IF($J102=3,-$E102*$I102/12*2,IF($J102&gt;=4,-$E102*$I102/12*3,0))))))</f>
        <v>0</v>
      </c>
      <c r="BS102" s="416">
        <f>IF($H102&lt;&gt;BV$5,0,IF(BV102&lt;0,IF(OR($J102=1,$J102=2,$J102=3,$J102=4),-$E102*$I102/12*3,IF($J102=5,-$E102*$I102/12*2,IF($J102=6,-$E102*$I102/12*1,0)))))+IF(BQ$5&lt;&gt;$H102,0,IF(BQ102&lt;0,IF($J102=4,-$E102*$I102/12*0,IF($J102=5,-$E102*$I102/12*1,IF($J102=6,-$E102*$I102/12*2,IF($J102&gt;=7,-$E102*$I102/12*3,0))))))</f>
        <v>0</v>
      </c>
      <c r="BT102" s="416">
        <f>IF($H102&lt;&gt;BV$5,0,IF(BV102&lt;0,IF(OR($J102=1,$J102=2,$J102=3,$J102=4,$J102=5,$J102=6,$J102=7),-$E102*$I102/12*3,IF($J102=8,-$E102*$I102/12*2,IF($J102=9,-$E102*$I102/12*1,0)))))+IF(BQ$5&lt;&gt;$H102,0,IF(BQ102&lt;0,IF($J102=7,-$E102*$I102/12*0,IF($J102=8,-$E102*$I102/12*1,IF($J102=9,-$E102*$I102/12*2,IF($J102&gt;=10,-$E102*$I102/12*3,0))))))</f>
        <v>0</v>
      </c>
      <c r="BU102" s="412">
        <f>IF($H102&lt;&gt;BV$5,0,IF(BV102&lt;0,IF(OR($J102=1,$J102=2,$J102=3,$J102=4,$J102=5,$J102=6,$J102=7,$J102=8,$J102=9,$J102=10),-$E102*$I102/12*3,IF($J102=11,-$E102*$I102/12*2,IF($J102=12,-$E102*$I102/12*1,0)))))+IF(BQ$5&lt;&gt;$H102,0,IF(BQ102&lt;0,IF($J102=10,-$E102*$I102/12*0,IF($J102=11,-$E102*$I102/12*1,IF($J102=12,-$E102*$I102/12*2,0)))))</f>
        <v>0</v>
      </c>
      <c r="BV102" s="413">
        <f>IF(AND(BQ102&lt;&gt;0,BQ$5=$H102),-$I102*$E102-BQ102,IF(BV$5=$H102,-$I102*$E102*(12-$J102+1)/12,0))</f>
        <v>0</v>
      </c>
      <c r="BW102" s="410">
        <f>IF($H102&lt;&gt;CA$5,0,IF(CA102&lt;0,IF($J102=1,-$E102*$I102/12*3,IF($J102=2,-$E102*$I102/12*2,IF($J102=3,-$E102*$I102/12*1,0)))))+IF(BV$5&lt;&gt;$H102,0,IF(BV102&lt;0,IF($J102=1,-$E102*$I102/12*0,IF($J102=2,-$E102*$I102/12*1,IF($J102=3,-$E102*$I102/12*2,IF($J102&gt;=4,-$E102*$I102/12*3,0))))))</f>
        <v>0</v>
      </c>
      <c r="BX102" s="416">
        <f>IF($H102&lt;&gt;CA$5,0,IF(CA102&lt;0,IF(OR($J102=1,$J102=2,$J102=3,$J102=4),-$E102*$I102/12*3,IF($J102=5,-$E102*$I102/12*2,IF($J102=6,-$E102*$I102/12*1,0)))))+IF(BV$5&lt;&gt;$H102,0,IF(BV102&lt;0,IF($J102=4,-$E102*$I102/12*0,IF($J102=5,-$E102*$I102/12*1,IF($J102=6,-$E102*$I102/12*2,IF($J102&gt;=7,-$E102*$I102/12*3,0))))))</f>
        <v>0</v>
      </c>
      <c r="BY102" s="416">
        <f>IF($H102&lt;&gt;CA$5,0,IF(CA102&lt;0,IF(OR($J102=1,$J102=2,$J102=3,$J102=4,$J102=5,$J102=6,$J102=7),-$E102*$I102/12*3,IF($J102=8,-$E102*$I102/12*2,IF($J102=9,-$E102*$I102/12*1,0)))))+IF(BV$5&lt;&gt;$H102,0,IF(BV102&lt;0,IF($J102=7,-$E102*$I102/12*0,IF($J102=8,-$E102*$I102/12*1,IF($J102=9,-$E102*$I102/12*2,IF($J102&gt;=10,-$E102*$I102/12*3,0))))))</f>
        <v>0</v>
      </c>
      <c r="BZ102" s="412">
        <f>IF($H102&lt;&gt;CA$5,0,IF(CA102&lt;0,IF(OR($J102=1,$J102=2,$J102=3,$J102=4,$J102=5,$J102=6,$J102=7,$J102=8,$J102=9,$J102=10),-$E102*$I102/12*3,IF($J102=11,-$E102*$I102/12*2,IF($J102=12,-$E102*$I102/12*1,0)))))+IF(BV$5&lt;&gt;$H102,0,IF(BV102&lt;0,IF($J102=10,-$E102*$I102/12*0,IF($J102=11,-$E102*$I102/12*1,IF($J102=12,-$E102*$I102/12*2,0)))))</f>
        <v>0</v>
      </c>
      <c r="CA102" s="413">
        <f>IF(AND(BV102&lt;&gt;0,BV$5=$H102),-$I102*$E102-BV102,IF(CA$5=$H102,-$I102*$E102*(12-$J102+1)/12,0))</f>
        <v>0</v>
      </c>
      <c r="CB102" s="410">
        <f>IF($H102&lt;&gt;CF$5,0,IF(CF102&lt;0,IF($J102=1,-$E102*$I102/12*3,IF($J102=2,-$E102*$I102/12*2,IF($J102=3,-$E102*$I102/12*1,0)))))+IF(CA$5&lt;&gt;$H102,0,IF(CA102&lt;0,IF($J102=1,-$E102*$I102/12*0,IF($J102=2,-$E102*$I102/12*1,IF($J102=3,-$E102*$I102/12*2,IF($J102&gt;=4,-$E102*$I102/12*3,0))))))</f>
        <v>0</v>
      </c>
      <c r="CC102" s="416">
        <f>IF($H102&lt;&gt;CF$5,0,IF(CF102&lt;0,IF(OR($J102=1,$J102=2,$J102=3,$J102=4),-$E102*$I102/12*3,IF($J102=5,-$E102*$I102/12*2,IF($J102=6,-$E102*$I102/12*1,0)))))+IF(CA$5&lt;&gt;$H102,0,IF(CA102&lt;0,IF($J102=4,-$E102*$I102/12*0,IF($J102=5,-$E102*$I102/12*1,IF($J102=6,-$E102*$I102/12*2,IF($J102&gt;=7,-$E102*$I102/12*3,0))))))</f>
        <v>0</v>
      </c>
      <c r="CD102" s="416">
        <f>IF($H102&lt;&gt;CF$5,0,IF(CF102&lt;0,IF(OR($J102=1,$J102=2,$J102=3,$J102=4,$J102=5,$J102=6,$J102=7),-$E102*$I102/12*3,IF($J102=8,-$E102*$I102/12*2,IF($J102=9,-$E102*$I102/12*1,0)))))+IF(CA$5&lt;&gt;$H102,0,IF(CA102&lt;0,IF($J102=7,-$E102*$I102/12*0,IF($J102=8,-$E102*$I102/12*1,IF($J102=9,-$E102*$I102/12*2,IF($J102&gt;=10,-$E102*$I102/12*3,0))))))</f>
        <v>0</v>
      </c>
      <c r="CE102" s="412">
        <f>IF($H102&lt;&gt;CF$5,0,IF(CF102&lt;0,IF(OR($J102=1,$J102=2,$J102=3,$J102=4,$J102=5,$J102=6,$J102=7,$J102=8,$J102=9,$J102=10),-$E102*$I102/12*3,IF($J102=11,-$E102*$I102/12*2,IF($J102=12,-$E102*$I102/12*1,0)))))+IF(CA$5&lt;&gt;$H102,0,IF(CA102&lt;0,IF($J102=10,-$E102*$I102/12*0,IF($J102=11,-$E102*$I102/12*1,IF($J102=12,-$E102*$I102/12*2,0)))))</f>
        <v>0</v>
      </c>
      <c r="CF102" s="413">
        <f>IF(AND(CA102&lt;&gt;0,CA$5=$H102),-$I102*$E102-CA102,IF(CF$5=$H102,-$I102*$E102*(12-$J102+1)/12,0))</f>
        <v>0</v>
      </c>
      <c r="CG102" s="410">
        <f>IF($H102&lt;&gt;CK$5,0,IF(CK102&lt;0,IF($J102=1,-$E102*$I102/12*3,IF($J102=2,-$E102*$I102/12*2,IF($J102=3,-$E102*$I102/12*1,0)))))+IF(CF$5&lt;&gt;$H102,0,IF(CF102&lt;0,IF($J102=1,-$E102*$I102/12*0,IF($J102=2,-$E102*$I102/12*1,IF($J102=3,-$E102*$I102/12*2,IF($J102&gt;=4,-$E102*$I102/12*3,0))))))</f>
        <v>0</v>
      </c>
      <c r="CH102" s="416">
        <f>IF($H102&lt;&gt;CK$5,0,IF(CK102&lt;0,IF(OR($J102=1,$J102=2,$J102=3,$J102=4),-$E102*$I102/12*3,IF($J102=5,-$E102*$I102/12*2,IF($J102=6,-$E102*$I102/12*1,0)))))+IF(CF$5&lt;&gt;$H102,0,IF(CF102&lt;0,IF($J102=4,-$E102*$I102/12*0,IF($J102=5,-$E102*$I102/12*1,IF($J102=6,-$E102*$I102/12*2,IF($J102&gt;=7,-$E102*$I102/12*3,0))))))</f>
        <v>0</v>
      </c>
      <c r="CI102" s="416">
        <f>IF($H102&lt;&gt;CK$5,0,IF(CK102&lt;0,IF(OR($J102=1,$J102=2,$J102=3,$J102=4,$J102=5,$J102=6,$J102=7),-$E102*$I102/12*3,IF($J102=8,-$E102*$I102/12*2,IF($J102=9,-$E102*$I102/12*1,0)))))+IF(CF$5&lt;&gt;$H102,0,IF(CF102&lt;0,IF($J102=7,-$E102*$I102/12*0,IF($J102=8,-$E102*$I102/12*1,IF($J102=9,-$E102*$I102/12*2,IF($J102&gt;=10,-$E102*$I102/12*3,0))))))</f>
        <v>0</v>
      </c>
      <c r="CJ102" s="412">
        <f>IF($H102&lt;&gt;CK$5,0,IF(CK102&lt;0,IF(OR($J102=1,$J102=2,$J102=3,$J102=4,$J102=5,$J102=6,$J102=7,$J102=8,$J102=9,$J102=10),-$E102*$I102/12*3,IF($J102=11,-$E102*$I102/12*2,IF($J102=12,-$E102*$I102/12*1,0)))))+IF(CF$5&lt;&gt;$H102,0,IF(CF102&lt;0,IF($J102=10,-$E102*$I102/12*0,IF($J102=11,-$E102*$I102/12*1,IF($J102=12,-$E102*$I102/12*2,0)))))</f>
        <v>0</v>
      </c>
      <c r="CK102" s="413">
        <f>IF(AND(CF102&lt;&gt;0,CF$5=$H102),-$I102*$E102-CF102,IF(CK$5=$H102,-$I102*$E102*(12-$J102+1)/12,0))</f>
        <v>0</v>
      </c>
      <c r="CL102" s="410">
        <f>IF($H102&lt;&gt;CP$5,0,IF(CP102&lt;0,IF($J102=1,-$E102*$I102/12*3,IF($J102=2,-$E102*$I102/12*2,IF($J102=3,-$E102*$I102/12*1,0)))))+IF(CK$5&lt;&gt;$H102,0,IF(CK102&lt;0,IF($J102=1,-$E102*$I102/12*0,IF($J102=2,-$E102*$I102/12*1,IF($J102=3,-$E102*$I102/12*2,IF($J102&gt;=4,-$E102*$I102/12*3,0))))))</f>
        <v>0</v>
      </c>
      <c r="CM102" s="416">
        <f>IF($H102&lt;&gt;CP$5,0,IF(CP102&lt;0,IF(OR($J102=1,$J102=2,$J102=3,$J102=4),-$E102*$I102/12*3,IF($J102=5,-$E102*$I102/12*2,IF($J102=6,-$E102*$I102/12*1,0)))))+IF(CK$5&lt;&gt;$H102,0,IF(CK102&lt;0,IF($J102=4,-$E102*$I102/12*0,IF($J102=5,-$E102*$I102/12*1,IF($J102=6,-$E102*$I102/12*2,IF($J102&gt;=7,-$E102*$I102/12*3,0))))))</f>
        <v>0</v>
      </c>
      <c r="CN102" s="416">
        <f>IF($H102&lt;&gt;CP$5,0,IF(CP102&lt;0,IF(OR($J102=1,$J102=2,$J102=3,$J102=4,$J102=5,$J102=6,$J102=7),-$E102*$I102/12*3,IF($J102=8,-$E102*$I102/12*2,IF($J102=9,-$E102*$I102/12*1,0)))))+IF(CK$5&lt;&gt;$H102,0,IF(CK102&lt;0,IF($J102=7,-$E102*$I102/12*0,IF($J102=8,-$E102*$I102/12*1,IF($J102=9,-$E102*$I102/12*2,IF($J102&gt;=10,-$E102*$I102/12*3,0))))))</f>
        <v>0</v>
      </c>
      <c r="CO102" s="412">
        <f>IF($H102&lt;&gt;CP$5,0,IF(CP102&lt;0,IF(OR($J102=1,$J102=2,$J102=3,$J102=4,$J102=5,$J102=6,$J102=7,$J102=8,$J102=9,$J102=10),-$E102*$I102/12*3,IF($J102=11,-$E102*$I102/12*2,IF($J102=12,-$E102*$I102/12*1,0)))))+IF(CK$5&lt;&gt;$H102,0,IF(CK102&lt;0,IF($J102=10,-$E102*$I102/12*0,IF($J102=11,-$E102*$I102/12*1,IF($J102=12,-$E102*$I102/12*2,0)))))</f>
        <v>0</v>
      </c>
      <c r="CP102" s="413">
        <f>IF(AND(CK102&lt;&gt;0,CK$5=$H102),-$I102*$E102-CK102,IF(CP$5=$H102,-$I102*$E102*(12-$J102+1)/12,0))</f>
        <v>0</v>
      </c>
      <c r="CQ102" s="410">
        <f>IF($H102&lt;&gt;CU$5,0,IF(CU102&lt;0,IF($J102=1,-$E102*$I102/12*3,IF($J102=2,-$E102*$I102/12*2,IF($J102=3,-$E102*$I102/12*1,0)))))+IF(CP$5&lt;&gt;$H102,0,IF(CP102&lt;0,IF($J102=1,-$E102*$I102/12*0,IF($J102=2,-$E102*$I102/12*1,IF($J102=3,-$E102*$I102/12*2,IF($J102&gt;=4,-$E102*$I102/12*3,0))))))</f>
        <v>0</v>
      </c>
      <c r="CR102" s="416">
        <f>IF($H102&lt;&gt;CU$5,0,IF(CU102&lt;0,IF(OR($J102=1,$J102=2,$J102=3,$J102=4),-$E102*$I102/12*3,IF($J102=5,-$E102*$I102/12*2,IF($J102=6,-$E102*$I102/12*1,0)))))+IF(CP$5&lt;&gt;$H102,0,IF(CP102&lt;0,IF($J102=4,-$E102*$I102/12*0,IF($J102=5,-$E102*$I102/12*1,IF($J102=6,-$E102*$I102/12*2,IF($J102&gt;=7,-$E102*$I102/12*3,0))))))</f>
        <v>0</v>
      </c>
      <c r="CS102" s="416">
        <f>IF($H102&lt;&gt;CU$5,0,IF(CU102&lt;0,IF(OR($J102=1,$J102=2,$J102=3,$J102=4,$J102=5,$J102=6,$J102=7),-$E102*$I102/12*3,IF($J102=8,-$E102*$I102/12*2,IF($J102=9,-$E102*$I102/12*1,0)))))+IF(CP$5&lt;&gt;$H102,0,IF(CP102&lt;0,IF($J102=7,-$E102*$I102/12*0,IF($J102=8,-$E102*$I102/12*1,IF($J102=9,-$E102*$I102/12*2,IF($J102&gt;=10,-$E102*$I102/12*3,0))))))</f>
        <v>0</v>
      </c>
      <c r="CT102" s="412">
        <f>IF($H102&lt;&gt;CU$5,0,IF(CU102&lt;0,IF(OR($J102=1,$J102=2,$J102=3,$J102=4,$J102=5,$J102=6,$J102=7,$J102=8,$J102=9,$J102=10),-$E102*$I102/12*3,IF($J102=11,-$E102*$I102/12*2,IF($J102=12,-$E102*$I102/12*1,0)))))+IF(CP$5&lt;&gt;$H102,0,IF(CP102&lt;0,IF($J102=10,-$E102*$I102/12*0,IF($J102=11,-$E102*$I102/12*1,IF($J102=12,-$E102*$I102/12*2,0)))))</f>
        <v>0</v>
      </c>
      <c r="CU102" s="413">
        <f>IF(AND(CP102&lt;&gt;0,CP$5=$H102),-$I102*$E102-CP102,IF(CU$5=$H102,-$I102*$E102*(12-$J102+1)/12,0))</f>
        <v>0</v>
      </c>
      <c r="CV102" s="410">
        <f>IF($H102&lt;&gt;CZ$5,0,IF(CZ102&lt;0,IF($J102=1,-$E102*$I102/12*3,IF($J102=2,-$E102*$I102/12*2,IF($J102=3,-$E102*$I102/12*1,0)))))+IF(CU$5&lt;&gt;$H102,0,IF(CU102&lt;0,IF($J102=1,-$E102*$I102/12*0,IF($J102=2,-$E102*$I102/12*1,IF($J102=3,-$E102*$I102/12*2,IF($J102&gt;=4,-$E102*$I102/12*3,0))))))</f>
        <v>0</v>
      </c>
      <c r="CW102" s="416">
        <f>IF($H102&lt;&gt;CZ$5,0,IF(CZ102&lt;0,IF(OR($J102=1,$J102=2,$J102=3,$J102=4),-$E102*$I102/12*3,IF($J102=5,-$E102*$I102/12*2,IF($J102=6,-$E102*$I102/12*1,0)))))+IF(CU$5&lt;&gt;$H102,0,IF(CU102&lt;0,IF($J102=4,-$E102*$I102/12*0,IF($J102=5,-$E102*$I102/12*1,IF($J102=6,-$E102*$I102/12*2,IF($J102&gt;=7,-$E102*$I102/12*3,0))))))</f>
        <v>0</v>
      </c>
      <c r="CX102" s="416">
        <f>IF($H102&lt;&gt;CZ$5,0,IF(CZ102&lt;0,IF(OR($J102=1,$J102=2,$J102=3,$J102=4,$J102=5,$J102=6,$J102=7),-$E102*$I102/12*3,IF($J102=8,-$E102*$I102/12*2,IF($J102=9,-$E102*$I102/12*1,0)))))+IF(CU$5&lt;&gt;$H102,0,IF(CU102&lt;0,IF($J102=7,-$E102*$I102/12*0,IF($J102=8,-$E102*$I102/12*1,IF($J102=9,-$E102*$I102/12*2,IF($J102&gt;=10,-$E102*$I102/12*3,0))))))</f>
        <v>0</v>
      </c>
      <c r="CY102" s="412">
        <f>IF($H102&lt;&gt;CZ$5,0,IF(CZ102&lt;0,IF(OR($J102=1,$J102=2,$J102=3,$J102=4,$J102=5,$J102=6,$J102=7,$J102=8,$J102=9,$J102=10),-$E102*$I102/12*3,IF($J102=11,-$E102*$I102/12*2,IF($J102=12,-$E102*$I102/12*1,0)))))+IF(CU$5&lt;&gt;$H102,0,IF(CU102&lt;0,IF($J102=10,-$E102*$I102/12*0,IF($J102=11,-$E102*$I102/12*1,IF($J102=12,-$E102*$I102/12*2,0)))))</f>
        <v>0</v>
      </c>
      <c r="CZ102" s="413">
        <f>IF(AND(CU102&lt;&gt;0,CU$5=$H102),-$I102*$E102-CU102,IF(CZ$5=$H102,-$I102*$E102*(12-$J102+1)/12,0))</f>
        <v>0</v>
      </c>
      <c r="DA102" s="410">
        <f>IF($H102&lt;&gt;DE$5,0,IF(DE102&lt;0,IF($J102=1,-$E102*$I102/12*3,IF($J102=2,-$E102*$I102/12*2,IF($J102=3,-$E102*$I102/12*1,0)))))+IF(CZ$5&lt;&gt;$H102,0,IF(CZ102&lt;0,IF($J102=1,-$E102*$I102/12*0,IF($J102=2,-$E102*$I102/12*1,IF($J102=3,-$E102*$I102/12*2,IF($J102&gt;=4,-$E102*$I102/12*3,0))))))</f>
        <v>0</v>
      </c>
      <c r="DB102" s="416">
        <f>IF($H102&lt;&gt;DE$5,0,IF(DE102&lt;0,IF(OR($J102=1,$J102=2,$J102=3,$J102=4),-$E102*$I102/12*3,IF($J102=5,-$E102*$I102/12*2,IF($J102=6,-$E102*$I102/12*1,0)))))+IF(CZ$5&lt;&gt;$H102,0,IF(CZ102&lt;0,IF($J102=4,-$E102*$I102/12*0,IF($J102=5,-$E102*$I102/12*1,IF($J102=6,-$E102*$I102/12*2,IF($J102&gt;=7,-$E102*$I102/12*3,0))))))</f>
        <v>0</v>
      </c>
      <c r="DC102" s="416">
        <f>IF($H102&lt;&gt;DE$5,0,IF(DE102&lt;0,IF(OR($J102=1,$J102=2,$J102=3,$J102=4,$J102=5,$J102=6,$J102=7),-$E102*$I102/12*3,IF($J102=8,-$E102*$I102/12*2,IF($J102=9,-$E102*$I102/12*1,0)))))+IF(CZ$5&lt;&gt;$H102,0,IF(CZ102&lt;0,IF($J102=7,-$E102*$I102/12*0,IF($J102=8,-$E102*$I102/12*1,IF($J102=9,-$E102*$I102/12*2,IF($J102&gt;=10,-$E102*$I102/12*3,0))))))</f>
        <v>0</v>
      </c>
      <c r="DD102" s="412">
        <f>IF($H102&lt;&gt;DE$5,0,IF(DE102&lt;0,IF(OR($J102=1,$J102=2,$J102=3,$J102=4,$J102=5,$J102=6,$J102=7,$J102=8,$J102=9,$J102=10),-$E102*$I102/12*3,IF($J102=11,-$E102*$I102/12*2,IF($J102=12,-$E102*$I102/12*1,0)))))+IF(CZ$5&lt;&gt;$H102,0,IF(CZ102&lt;0,IF($J102=10,-$E102*$I102/12*0,IF($J102=11,-$E102*$I102/12*1,IF($J102=12,-$E102*$I102/12*2,0)))))</f>
        <v>0</v>
      </c>
      <c r="DE102" s="413">
        <f>IF(AND(CZ102&lt;&gt;0,CZ$5=$H102),-$I102*$E102-CZ102,IF(DE$5=$H102,-$I102*$E102*(12-$J102+1)/12,0))</f>
        <v>0</v>
      </c>
      <c r="DF102" s="410">
        <f>IF($H102&lt;&gt;DJ$5,0,IF(DJ102&lt;0,IF($J102=1,-$E102*$I102/12*3,IF($J102=2,-$E102*$I102/12*2,IF($J102=3,-$E102*$I102/12*1,0)))))+IF(DE$5&lt;&gt;$H102,0,IF(DE102&lt;0,IF($J102=1,-$E102*$I102/12*0,IF($J102=2,-$E102*$I102/12*1,IF($J102=3,-$E102*$I102/12*2,IF($J102&gt;=4,-$E102*$I102/12*3,0))))))</f>
        <v>0</v>
      </c>
      <c r="DG102" s="416">
        <f>IF($H102&lt;&gt;DJ$5,0,IF(DJ102&lt;0,IF(OR($J102=1,$J102=2,$J102=3,$J102=4),-$E102*$I102/12*3,IF($J102=5,-$E102*$I102/12*2,IF($J102=6,-$E102*$I102/12*1,0)))))+IF(DE$5&lt;&gt;$H102,0,IF(DE102&lt;0,IF($J102=4,-$E102*$I102/12*0,IF($J102=5,-$E102*$I102/12*1,IF($J102=6,-$E102*$I102/12*2,IF($J102&gt;=7,-$E102*$I102/12*3,0))))))</f>
        <v>0</v>
      </c>
      <c r="DH102" s="416">
        <f>IF($H102&lt;&gt;DJ$5,0,IF(DJ102&lt;0,IF(OR($J102=1,$J102=2,$J102=3,$J102=4,$J102=5,$J102=6,$J102=7),-$E102*$I102/12*3,IF($J102=8,-$E102*$I102/12*2,IF($J102=9,-$E102*$I102/12*1,0)))))+IF(DE$5&lt;&gt;$H102,0,IF(DE102&lt;0,IF($J102=7,-$E102*$I102/12*0,IF($J102=8,-$E102*$I102/12*1,IF($J102=9,-$E102*$I102/12*2,IF($J102&gt;=10,-$E102*$I102/12*3,0))))))</f>
        <v>0</v>
      </c>
      <c r="DI102" s="412">
        <f>IF($H102&lt;&gt;DJ$5,0,IF(DJ102&lt;0,IF(OR($J102=1,$J102=2,$J102=3,$J102=4,$J102=5,$J102=6,$J102=7,$J102=8,$J102=9,$J102=10),-$E102*$I102/12*3,IF($J102=11,-$E102*$I102/12*2,IF($J102=12,-$E102*$I102/12*1,0)))))+IF(DE$5&lt;&gt;$H102,0,IF(DE102&lt;0,IF($J102=10,-$E102*$I102/12*0,IF($J102=11,-$E102*$I102/12*1,IF($J102=12,-$E102*$I102/12*2,0)))))</f>
        <v>0</v>
      </c>
      <c r="DJ102" s="413">
        <f>IF(AND(DE102&lt;&gt;0,DE$5=$H102),-$I102*$E102-DE102,IF(DJ$5=$H102,-$I102*$E102*(12-$J102+1)/12,0))</f>
        <v>0</v>
      </c>
      <c r="DK102" s="410">
        <f>IF($H102&lt;&gt;DO$5,0,IF(DO102&lt;0,IF($J102=1,-$E102*$I102/12*3,IF($J102=2,-$E102*$I102/12*2,IF($J102=3,-$E102*$I102/12*1,0)))))+IF(DJ$5&lt;&gt;$H102,0,IF(DJ102&lt;0,IF($J102=1,-$E102*$I102/12*0,IF($J102=2,-$E102*$I102/12*1,IF($J102=3,-$E102*$I102/12*2,IF($J102&gt;=4,-$E102*$I102/12*3,0))))))</f>
        <v>0</v>
      </c>
      <c r="DL102" s="416">
        <f>IF($H102&lt;&gt;DO$5,0,IF(DO102&lt;0,IF(OR($J102=1,$J102=2,$J102=3,$J102=4),-$E102*$I102/12*3,IF($J102=5,-$E102*$I102/12*2,IF($J102=6,-$E102*$I102/12*1,0)))))+IF(DJ$5&lt;&gt;$H102,0,IF(DJ102&lt;0,IF($J102=4,-$E102*$I102/12*0,IF($J102=5,-$E102*$I102/12*1,IF($J102=6,-$E102*$I102/12*2,IF($J102&gt;=7,-$E102*$I102/12*3,0))))))</f>
        <v>0</v>
      </c>
      <c r="DM102" s="416">
        <f>IF($H102&lt;&gt;DO$5,0,IF(DO102&lt;0,IF(OR($J102=1,$J102=2,$J102=3,$J102=4,$J102=5,$J102=6,$J102=7),-$E102*$I102/12*3,IF($J102=8,-$E102*$I102/12*2,IF($J102=9,-$E102*$I102/12*1,0)))))+IF(DJ$5&lt;&gt;$H102,0,IF(DJ102&lt;0,IF($J102=7,-$E102*$I102/12*0,IF($J102=8,-$E102*$I102/12*1,IF($J102=9,-$E102*$I102/12*2,IF($J102&gt;=10,-$E102*$I102/12*3,0))))))</f>
        <v>0</v>
      </c>
      <c r="DN102" s="412">
        <f>IF($H102&lt;&gt;DO$5,0,IF(DO102&lt;0,IF(OR($J102=1,$J102=2,$J102=3,$J102=4,$J102=5,$J102=6,$J102=7,$J102=8,$J102=9,$J102=10),-$E102*$I102/12*3,IF($J102=11,-$E102*$I102/12*2,IF($J102=12,-$E102*$I102/12*1,0)))))+IF(DJ$5&lt;&gt;$H102,0,IF(DJ102&lt;0,IF($J102=10,-$E102*$I102/12*0,IF($J102=11,-$E102*$I102/12*1,IF($J102=12,-$E102*$I102/12*2,0)))))</f>
        <v>0</v>
      </c>
      <c r="DO102" s="413">
        <f>IF(AND(DJ102&lt;&gt;0,DJ$5=$H102),-$I102*$E102-DJ102,IF(DO$5=$H102,-$I102*$E102*(12-$J102+1)/12,0))</f>
        <v>0</v>
      </c>
      <c r="DP102" s="410">
        <f>IF($H102&lt;&gt;DT$5,0,IF(DT102&lt;0,IF($J102=1,-$E102*$I102/12*3,IF($J102=2,-$E102*$I102/12*2,IF($J102=3,-$E102*$I102/12*1,0)))))+IF(DO$5&lt;&gt;$H102,0,IF(DO102&lt;0,IF($J102=1,-$E102*$I102/12*0,IF($J102=2,-$E102*$I102/12*1,IF($J102=3,-$E102*$I102/12*2,IF($J102&gt;=4,-$E102*$I102/12*3,0))))))</f>
        <v>0</v>
      </c>
      <c r="DQ102" s="416">
        <f>IF($H102&lt;&gt;DT$5,0,IF(DT102&lt;0,IF(OR($J102=1,$J102=2,$J102=3,$J102=4),-$E102*$I102/12*3,IF($J102=5,-$E102*$I102/12*2,IF($J102=6,-$E102*$I102/12*1,0)))))+IF(DO$5&lt;&gt;$H102,0,IF(DO102&lt;0,IF($J102=4,-$E102*$I102/12*0,IF($J102=5,-$E102*$I102/12*1,IF($J102=6,-$E102*$I102/12*2,IF($J102&gt;=7,-$E102*$I102/12*3,0))))))</f>
        <v>0</v>
      </c>
      <c r="DR102" s="416">
        <f>IF($H102&lt;&gt;DT$5,0,IF(DT102&lt;0,IF(OR($J102=1,$J102=2,$J102=3,$J102=4,$J102=5,$J102=6,$J102=7),-$E102*$I102/12*3,IF($J102=8,-$E102*$I102/12*2,IF($J102=9,-$E102*$I102/12*1,0)))))+IF(DO$5&lt;&gt;$H102,0,IF(DO102&lt;0,IF($J102=7,-$E102*$I102/12*0,IF($J102=8,-$E102*$I102/12*1,IF($J102=9,-$E102*$I102/12*2,IF($J102&gt;=10,-$E102*$I102/12*3,0))))))</f>
        <v>0</v>
      </c>
      <c r="DS102" s="412">
        <f>IF($H102&lt;&gt;DT$5,0,IF(DT102&lt;0,IF(OR($J102=1,$J102=2,$J102=3,$J102=4,$J102=5,$J102=6,$J102=7,$J102=8,$J102=9,$J102=10),-$E102*$I102/12*3,IF($J102=11,-$E102*$I102/12*2,IF($J102=12,-$E102*$I102/12*1,0)))))+IF(DO$5&lt;&gt;$H102,0,IF(DO102&lt;0,IF($J102=10,-$E102*$I102/12*0,IF($J102=11,-$E102*$I102/12*1,IF($J102=12,-$E102*$I102/12*2,0)))))</f>
        <v>0</v>
      </c>
      <c r="DT102" s="413">
        <f>IF(AND(DO102&lt;&gt;0,DO$5=$H102),-$I102*$E102-DO102,IF(DT$5=$H102,-$I102*$E102*(12-$J102+1)/12,0))</f>
        <v>0</v>
      </c>
    </row>
    <row r="103" spans="1:124" ht="12.75" customHeight="1">
      <c r="A103" s="491"/>
      <c r="C103" s="1438"/>
      <c r="D103" s="1438"/>
      <c r="E103" s="1531"/>
      <c r="F103" s="1532"/>
      <c r="G103" s="1532"/>
      <c r="H103" s="610"/>
      <c r="I103" s="1533"/>
      <c r="J103" s="617"/>
      <c r="K103" s="402"/>
      <c r="L103" s="407"/>
      <c r="M103" s="404"/>
      <c r="N103" s="414"/>
      <c r="O103" s="414"/>
      <c r="P103" s="406"/>
      <c r="Q103" s="407"/>
      <c r="R103" s="404"/>
      <c r="S103" s="414"/>
      <c r="T103" s="414"/>
      <c r="U103" s="406"/>
      <c r="V103" s="407"/>
      <c r="W103" s="404"/>
      <c r="X103" s="414"/>
      <c r="Y103" s="414"/>
      <c r="Z103" s="406"/>
      <c r="AA103" s="407"/>
      <c r="AB103" s="404"/>
      <c r="AC103" s="414"/>
      <c r="AD103" s="414"/>
      <c r="AE103" s="406"/>
      <c r="AF103" s="407"/>
      <c r="AG103" s="404"/>
      <c r="AH103" s="414"/>
      <c r="AI103" s="414"/>
      <c r="AJ103" s="406"/>
      <c r="AK103" s="407"/>
      <c r="AL103" s="404"/>
      <c r="AM103" s="414"/>
      <c r="AN103" s="414"/>
      <c r="AO103" s="406"/>
      <c r="AP103" s="407"/>
      <c r="AQ103" s="404"/>
      <c r="AR103" s="414"/>
      <c r="AS103" s="414"/>
      <c r="AT103" s="406"/>
      <c r="AU103" s="407"/>
      <c r="AV103" s="404"/>
      <c r="AW103" s="414"/>
      <c r="AX103" s="414"/>
      <c r="AY103" s="406"/>
      <c r="AZ103" s="407"/>
      <c r="BA103" s="404"/>
      <c r="BB103" s="414"/>
      <c r="BC103" s="414"/>
      <c r="BD103" s="406"/>
      <c r="BE103" s="407"/>
      <c r="BF103" s="404"/>
      <c r="BG103" s="414"/>
      <c r="BH103" s="414"/>
      <c r="BI103" s="406"/>
      <c r="BJ103" s="407"/>
      <c r="BK103" s="404"/>
      <c r="BL103" s="414"/>
      <c r="BM103" s="414"/>
      <c r="BN103" s="406"/>
      <c r="BO103" s="407"/>
      <c r="BP103" s="449"/>
      <c r="BQ103" s="413"/>
      <c r="BR103" s="410"/>
      <c r="BS103" s="416"/>
      <c r="BT103" s="416"/>
      <c r="BU103" s="412"/>
      <c r="BV103" s="413"/>
      <c r="BW103" s="410"/>
      <c r="BX103" s="416"/>
      <c r="BY103" s="416"/>
      <c r="BZ103" s="412"/>
      <c r="CA103" s="413"/>
      <c r="CB103" s="410"/>
      <c r="CC103" s="416"/>
      <c r="CD103" s="416"/>
      <c r="CE103" s="412"/>
      <c r="CF103" s="413"/>
      <c r="CG103" s="410"/>
      <c r="CH103" s="416"/>
      <c r="CI103" s="416"/>
      <c r="CJ103" s="412"/>
      <c r="CK103" s="413"/>
      <c r="CL103" s="410"/>
      <c r="CM103" s="416"/>
      <c r="CN103" s="416"/>
      <c r="CO103" s="412"/>
      <c r="CP103" s="413"/>
      <c r="CQ103" s="410"/>
      <c r="CR103" s="416"/>
      <c r="CS103" s="416"/>
      <c r="CT103" s="412"/>
      <c r="CU103" s="413"/>
      <c r="CV103" s="410"/>
      <c r="CW103" s="416"/>
      <c r="CX103" s="416"/>
      <c r="CY103" s="412"/>
      <c r="CZ103" s="413"/>
      <c r="DA103" s="410"/>
      <c r="DB103" s="416"/>
      <c r="DC103" s="416"/>
      <c r="DD103" s="412"/>
      <c r="DE103" s="413"/>
      <c r="DF103" s="410"/>
      <c r="DG103" s="416"/>
      <c r="DH103" s="416"/>
      <c r="DI103" s="412"/>
      <c r="DJ103" s="413"/>
      <c r="DK103" s="410"/>
      <c r="DL103" s="416"/>
      <c r="DM103" s="416"/>
      <c r="DN103" s="412"/>
      <c r="DO103" s="413"/>
      <c r="DP103" s="410"/>
      <c r="DQ103" s="416"/>
      <c r="DR103" s="416"/>
      <c r="DS103" s="412"/>
      <c r="DT103" s="413"/>
    </row>
    <row r="104" spans="1:124" ht="12.75" customHeight="1">
      <c r="A104" s="491"/>
      <c r="C104" s="601" t="s">
        <v>1294</v>
      </c>
      <c r="D104" s="601"/>
      <c r="E104" s="1886">
        <f>IF(F104=0,G104,F104)</f>
        <v>125</v>
      </c>
      <c r="F104" s="1532">
        <v>0</v>
      </c>
      <c r="G104" s="1532">
        <v>125</v>
      </c>
      <c r="H104" s="610">
        <v>2017</v>
      </c>
      <c r="I104" s="1533">
        <v>4.3999999999999997E-2</v>
      </c>
      <c r="J104" s="615">
        <v>5</v>
      </c>
      <c r="K104" s="402"/>
      <c r="L104" s="407">
        <f>IF(L$5=$H104,-$E104,0)</f>
        <v>0</v>
      </c>
      <c r="M104" s="404">
        <f>IF(Q104=0,0,IF(Q104&lt;0,IF($J104=3,Q104,IF($J104=2,Q104,IF($J104=1,Q104,0)))))</f>
        <v>0</v>
      </c>
      <c r="N104" s="414">
        <f>IF(Q104=0,0,IF(Q104&lt;0,IF($J104=6,Q104,IF($J104=5,Q104,IF($J104=4,Q104,0)))))</f>
        <v>0</v>
      </c>
      <c r="O104" s="414">
        <f>IF(Q104=0,0,IF(Q104&lt;0,IF($J104=9,Q104,IF($J104=8,Q104,IF($J104=7,Q104,0)))))</f>
        <v>0</v>
      </c>
      <c r="P104" s="406">
        <f>IF(Q104=0,0,IF(Q104&lt;0,IF($J104=12,Q104,IF($J104=11,Q104,IF($J104=10,Q104,0)))))</f>
        <v>0</v>
      </c>
      <c r="Q104" s="407">
        <f>IF(Q$5=$H104,-$E104,0)</f>
        <v>0</v>
      </c>
      <c r="R104" s="404">
        <f>IF(V104=0,0,IF(V104&lt;0,IF($J104=3,V104,IF($J104=2,V104,IF($J104=1,V104,0)))))</f>
        <v>0</v>
      </c>
      <c r="S104" s="414">
        <f>IF(V104=0,0,IF(V104&lt;0,IF($J104=6,V104,IF($J104=5,V104,IF($J104=4,V104,0)))))</f>
        <v>0</v>
      </c>
      <c r="T104" s="414">
        <f>IF(V104=0,0,IF(V104&lt;0,IF($J104=9,V104,IF($J104=8,V104,IF($J104=7,V104,0)))))</f>
        <v>0</v>
      </c>
      <c r="U104" s="406">
        <f>IF(V104=0,0,IF(V104&lt;0,IF($J104=12,V104,IF($J104=11,V104,IF($J104=10,V104,0)))))</f>
        <v>0</v>
      </c>
      <c r="V104" s="407">
        <f>IF(V$5=$H104,-$E104,0)</f>
        <v>0</v>
      </c>
      <c r="W104" s="404">
        <f>IF(AA104=0,0,IF(AA104&lt;0,IF($J104=3,AA104,IF($J104=2,AA104,IF($J104=1,AA104,0)))))</f>
        <v>0</v>
      </c>
      <c r="X104" s="414">
        <f>IF(AA104=0,0,IF(AA104&lt;0,IF($J104=6,AA104,IF($J104=5,AA104,IF($J104=4,AA104,0)))))</f>
        <v>0</v>
      </c>
      <c r="Y104" s="414">
        <f>IF(AA104=0,0,IF(AA104&lt;0,IF($J104=9,AA104,IF($J104=8,AA104,IF($J104=7,AA104,0)))))</f>
        <v>0</v>
      </c>
      <c r="Z104" s="406">
        <f>IF(AA104=0,0,IF(AA104&lt;0,IF($J104=12,AA104,IF($J104=11,AA104,IF($J104=10,AA104,0)))))</f>
        <v>0</v>
      </c>
      <c r="AA104" s="407">
        <f>IF(AA$5=$H104,-$E104,0)</f>
        <v>0</v>
      </c>
      <c r="AB104" s="404">
        <f>IF(AF104=0,0,IF(AF104&lt;0,IF($J104=3,AF104,IF($J104=2,AF104,IF($J104=1,AF104,0)))))</f>
        <v>0</v>
      </c>
      <c r="AC104" s="414">
        <f>IF(AF104=0,0,IF(AF104&lt;0,IF($J104=6,AF104,IF($J104=5,AF104,IF($J104=4,AF104,0)))))</f>
        <v>0</v>
      </c>
      <c r="AD104" s="414">
        <f>IF(AF104=0,0,IF(AF104&lt;0,IF($J104=9,AF104,IF($J104=8,AF104,IF($J104=7,AF104,0)))))</f>
        <v>0</v>
      </c>
      <c r="AE104" s="406">
        <f>IF(AF104=0,0,IF(AF104&lt;0,IF($J104=12,AF104,IF($J104=11,AF104,IF($J104=10,AF104,0)))))</f>
        <v>0</v>
      </c>
      <c r="AF104" s="407">
        <f>IF(AF$5=$H104,-$E104,0)</f>
        <v>0</v>
      </c>
      <c r="AG104" s="404">
        <f>IF(AK104=0,0,IF(AK104&lt;0,IF($J104=3,AK104,IF($J104=2,AK104,IF($J104=1,AK104,0)))))</f>
        <v>0</v>
      </c>
      <c r="AH104" s="414">
        <f>IF(AK104=0,0,IF(AK104&lt;0,IF($J104=6,AK104,IF($J104=5,AK104,IF($J104=4,AK104,0)))))</f>
        <v>0</v>
      </c>
      <c r="AI104" s="414">
        <f>IF(AK104=0,0,IF(AK104&lt;0,IF($J104=9,AK104,IF($J104=8,AK104,IF($J104=7,AK104,0)))))</f>
        <v>0</v>
      </c>
      <c r="AJ104" s="406">
        <f>IF(AK104=0,0,IF(AK104&lt;0,IF($J104=12,AK104,IF($J104=11,AK104,IF($J104=10,AK104,0)))))</f>
        <v>0</v>
      </c>
      <c r="AK104" s="407">
        <f>IF(AK$5=$H104,-$E104,0)</f>
        <v>0</v>
      </c>
      <c r="AL104" s="404">
        <f>IF(AP104=0,0,IF(AP104&lt;0,IF($J104=3,AP104,IF($J104=2,AP104,IF($J104=1,AP104,0)))))</f>
        <v>0</v>
      </c>
      <c r="AM104" s="414">
        <f>IF(AP104=0,0,IF(AP104&lt;0,IF($J104=6,AP104,IF($J104=5,AP104,IF($J104=4,AP104,0)))))</f>
        <v>0</v>
      </c>
      <c r="AN104" s="414">
        <f>IF(AP104=0,0,IF(AP104&lt;0,IF($J104=9,AP104,IF($J104=8,AP104,IF($J104=7,AP104,0)))))</f>
        <v>0</v>
      </c>
      <c r="AO104" s="406">
        <f>IF(AP104=0,0,IF(AP104&lt;0,IF($J104=12,AP104,IF($J104=11,AP104,IF($J104=10,AP104,0)))))</f>
        <v>0</v>
      </c>
      <c r="AP104" s="407">
        <f>IF(AP$5=$H104,-$E104,0)</f>
        <v>0</v>
      </c>
      <c r="AQ104" s="404">
        <f>IF(AU104=0,0,IF(AU104&lt;0,IF($J104=3,AU104,IF($J104=2,AU104,IF($J104=1,AU104,0)))))</f>
        <v>0</v>
      </c>
      <c r="AR104" s="414">
        <f>IF(AU104=0,0,IF(AU104&lt;0,IF($J104=6,AU104,IF($J104=5,AU104,IF($J104=4,AU104,0)))))</f>
        <v>-125</v>
      </c>
      <c r="AS104" s="414">
        <f>IF(AU104=0,0,IF(AU104&lt;0,IF($J104=9,AU104,IF($J104=8,AU104,IF($J104=7,AU104,0)))))</f>
        <v>0</v>
      </c>
      <c r="AT104" s="406">
        <f>IF(AU104=0,0,IF(AU104&lt;0,IF($J104=12,AU104,IF($J104=11,AU104,IF($J104=10,AU104,0)))))</f>
        <v>0</v>
      </c>
      <c r="AU104" s="407">
        <f>IF(AU$5=$H104,-$E104,0)</f>
        <v>-125</v>
      </c>
      <c r="AV104" s="404">
        <f>IF(AZ104=0,0,IF(AZ104&lt;0,IF($J104=3,AZ104,IF($J104=2,AZ104,IF($J104=1,AZ104,0)))))</f>
        <v>0</v>
      </c>
      <c r="AW104" s="414">
        <f>IF(AZ104=0,0,IF(AZ104&lt;0,IF($J104=6,AZ104,IF($J104=5,AZ104,IF($J104=4,AZ104,0)))))</f>
        <v>0</v>
      </c>
      <c r="AX104" s="414">
        <f>IF(AZ104=0,0,IF(AZ104&lt;0,IF($J104=9,AZ104,IF($J104=8,AZ104,IF($J104=7,AZ104,0)))))</f>
        <v>0</v>
      </c>
      <c r="AY104" s="406">
        <f>IF(AZ104=0,0,IF(AZ104&lt;0,IF($J104=12,AZ104,IF($J104=11,AZ104,IF($J104=10,AZ104,0)))))</f>
        <v>0</v>
      </c>
      <c r="AZ104" s="407">
        <f>IF(AZ$5=$H104,-$E104,0)</f>
        <v>0</v>
      </c>
      <c r="BA104" s="404">
        <f>IF(BE104=0,0,IF(BE104&lt;0,IF($J104=3,BE104,IF($J104=2,BE104,IF($J104=1,BE104,0)))))</f>
        <v>0</v>
      </c>
      <c r="BB104" s="414">
        <f>IF(BE104=0,0,IF(BE104&lt;0,IF($J104=6,BE104,IF($J104=5,BE104,IF($J104=4,BE104,0)))))</f>
        <v>0</v>
      </c>
      <c r="BC104" s="414">
        <f>IF(BE104=0,0,IF(BE104&lt;0,IF($J104=9,BE104,IF($J104=8,BE104,IF($J104=7,BE104,0)))))</f>
        <v>0</v>
      </c>
      <c r="BD104" s="406">
        <f>IF(BE104=0,0,IF(BE104&lt;0,IF($J104=12,BE104,IF($J104=11,BE104,IF($J104=10,BE104,0)))))</f>
        <v>0</v>
      </c>
      <c r="BE104" s="407">
        <f>IF(BE$5=$H104,-$E104,0)</f>
        <v>0</v>
      </c>
      <c r="BF104" s="404">
        <f>IF(BJ104=0,0,IF(BJ104&lt;0,IF($J104=3,BJ104,IF($J104=2,BJ104,IF($J104=1,BJ104,0)))))</f>
        <v>0</v>
      </c>
      <c r="BG104" s="414">
        <f>IF(BJ104=0,0,IF(BJ104&lt;0,IF($J104=6,BJ104,IF($J104=5,BJ104,IF($J104=4,BJ104,0)))))</f>
        <v>0</v>
      </c>
      <c r="BH104" s="414">
        <f>IF(BJ104=0,0,IF(BJ104&lt;0,IF($J104=9,BJ104,IF($J104=8,BJ104,IF($J104=7,BJ104,0)))))</f>
        <v>0</v>
      </c>
      <c r="BI104" s="406">
        <f>IF(BJ104=0,0,IF(BJ104&lt;0,IF($J104=12,BJ104,IF($J104=11,BJ104,IF($J104=10,BJ104,0)))))</f>
        <v>0</v>
      </c>
      <c r="BJ104" s="407">
        <f>IF(BJ$5=$H104,-$E104,0)</f>
        <v>0</v>
      </c>
      <c r="BK104" s="404">
        <f>IF(BO104=0,0,IF(BO104&lt;0,IF($J104=3,BO104,IF($J104=2,BO104,IF($J104=1,BO104,0)))))</f>
        <v>0</v>
      </c>
      <c r="BL104" s="414">
        <f>IF(BO104=0,0,IF(BO104&lt;0,IF($J104=6,BO104,IF($J104=5,BO104,IF($J104=4,BO104,0)))))</f>
        <v>0</v>
      </c>
      <c r="BM104" s="414">
        <f>IF(BO104=0,0,IF(BO104&lt;0,IF($J104=9,BO104,IF($J104=8,BO104,IF($J104=7,BO104,0)))))</f>
        <v>0</v>
      </c>
      <c r="BN104" s="406">
        <f>IF(BO104=0,0,IF(BO104&lt;0,IF($J104=12,BO104,IF($J104=11,BO104,IF($J104=10,BO104,0)))))</f>
        <v>0</v>
      </c>
      <c r="BO104" s="407">
        <f>IF(BO$5=$H104,-$E104,0)</f>
        <v>0</v>
      </c>
      <c r="BP104" s="449"/>
      <c r="BQ104" s="413">
        <f>IF(AND(AH104&lt;&gt;0,AH$5=$H104),-$I104*$E104-AH104,IF(BQ$5=$H104,-$I104*$E104*(12-$J104+1)/12,0))</f>
        <v>0</v>
      </c>
      <c r="BR104" s="410">
        <f>IF($H104&lt;&gt;BV$5,0,IF(BV104&lt;0,IF($J104=1,-$E104*$I104/12*3,IF($J104=2,-$E104*$I104/12*2,IF($J104=3,-$E104*$I104/12*1,0)))))+IF(BQ$5&lt;&gt;$H104,0,IF(BQ104&lt;0,IF($J104=1,-$E104*$I104/12*0,IF($J104=2,-$E104*$I104/12*1,IF($J104=3,-$E104*$I104/12*2,IF($J104&gt;=4,-$E104*$I104/12*3,0))))))</f>
        <v>0</v>
      </c>
      <c r="BS104" s="416">
        <f>IF($H104&lt;&gt;BV$5,0,IF(BV104&lt;0,IF(OR($J104=1,$J104=2,$J104=3,$J104=4),-$E104*$I104/12*3,IF($J104=5,-$E104*$I104/12*2,IF($J104=6,-$E104*$I104/12*1,0)))))+IF(BQ$5&lt;&gt;$H104,0,IF(BQ104&lt;0,IF($J104=4,-$E104*$I104/12*0,IF($J104=5,-$E104*$I104/12*1,IF($J104=6,-$E104*$I104/12*2,IF($J104&gt;=7,-$E104*$I104/12*3,0))))))</f>
        <v>0</v>
      </c>
      <c r="BT104" s="416">
        <f>IF($H104&lt;&gt;BV$5,0,IF(BV104&lt;0,IF(OR($J104=1,$J104=2,$J104=3,$J104=4,$J104=5,$J104=6,$J104=7),-$E104*$I104/12*3,IF($J104=8,-$E104*$I104/12*2,IF($J104=9,-$E104*$I104/12*1,0)))))+IF(BQ$5&lt;&gt;$H104,0,IF(BQ104&lt;0,IF($J104=7,-$E104*$I104/12*0,IF($J104=8,-$E104*$I104/12*1,IF($J104=9,-$E104*$I104/12*2,IF($J104&gt;=10,-$E104*$I104/12*3,0))))))</f>
        <v>0</v>
      </c>
      <c r="BU104" s="412">
        <f>IF($H104&lt;&gt;BV$5,0,IF(BV104&lt;0,IF(OR($J104=1,$J104=2,$J104=3,$J104=4,$J104=5,$J104=6,$J104=7,$J104=8,$J104=9,$J104=10),-$E104*$I104/12*3,IF($J104=11,-$E104*$I104/12*2,IF($J104=12,-$E104*$I104/12*1,0)))))+IF(BQ$5&lt;&gt;$H104,0,IF(BQ104&lt;0,IF($J104=10,-$E104*$I104/12*0,IF($J104=11,-$E104*$I104/12*1,IF($J104=12,-$E104*$I104/12*2,0)))))</f>
        <v>0</v>
      </c>
      <c r="BV104" s="413">
        <f>IF(AND(BQ104&lt;&gt;0,BQ$5=$H104),-$I104*$E104-BQ104,IF(BV$5=$H104,-$I104*$E104*(12-$J104+1)/12,0))</f>
        <v>0</v>
      </c>
      <c r="BW104" s="410">
        <f>IF($H104&lt;&gt;CA$5,0,IF(CA104&lt;0,IF($J104=1,-$E104*$I104/12*3,IF($J104=2,-$E104*$I104/12*2,IF($J104=3,-$E104*$I104/12*1,0)))))+IF(BV$5&lt;&gt;$H104,0,IF(BV104&lt;0,IF($J104=1,-$E104*$I104/12*0,IF($J104=2,-$E104*$I104/12*1,IF($J104=3,-$E104*$I104/12*2,IF($J104&gt;=4,-$E104*$I104/12*3,0))))))</f>
        <v>0</v>
      </c>
      <c r="BX104" s="416">
        <f>IF($H104&lt;&gt;CA$5,0,IF(CA104&lt;0,IF(OR($J104=1,$J104=2,$J104=3,$J104=4),-$E104*$I104/12*3,IF($J104=5,-$E104*$I104/12*2,IF($J104=6,-$E104*$I104/12*1,0)))))+IF(BV$5&lt;&gt;$H104,0,IF(BV104&lt;0,IF($J104=4,-$E104*$I104/12*0,IF($J104=5,-$E104*$I104/12*1,IF($J104=6,-$E104*$I104/12*2,IF($J104&gt;=7,-$E104*$I104/12*3,0))))))</f>
        <v>0</v>
      </c>
      <c r="BY104" s="416">
        <f>IF($H104&lt;&gt;CA$5,0,IF(CA104&lt;0,IF(OR($J104=1,$J104=2,$J104=3,$J104=4,$J104=5,$J104=6,$J104=7),-$E104*$I104/12*3,IF($J104=8,-$E104*$I104/12*2,IF($J104=9,-$E104*$I104/12*1,0)))))+IF(BV$5&lt;&gt;$H104,0,IF(BV104&lt;0,IF($J104=7,-$E104*$I104/12*0,IF($J104=8,-$E104*$I104/12*1,IF($J104=9,-$E104*$I104/12*2,IF($J104&gt;=10,-$E104*$I104/12*3,0))))))</f>
        <v>0</v>
      </c>
      <c r="BZ104" s="412">
        <f>IF($H104&lt;&gt;CA$5,0,IF(CA104&lt;0,IF(OR($J104=1,$J104=2,$J104=3,$J104=4,$J104=5,$J104=6,$J104=7,$J104=8,$J104=9,$J104=10),-$E104*$I104/12*3,IF($J104=11,-$E104*$I104/12*2,IF($J104=12,-$E104*$I104/12*1,0)))))+IF(BV$5&lt;&gt;$H104,0,IF(BV104&lt;0,IF($J104=10,-$E104*$I104/12*0,IF($J104=11,-$E104*$I104/12*1,IF($J104=12,-$E104*$I104/12*2,0)))))</f>
        <v>0</v>
      </c>
      <c r="CA104" s="413">
        <f>IF(AND(BV104&lt;&gt;0,BV$5=$H104),-$I104*$E104-BV104,IF(CA$5=$H104,-$I104*$E104*(12-$J104+1)/12,0))</f>
        <v>0</v>
      </c>
      <c r="CB104" s="410">
        <f>IF($H104&lt;&gt;CF$5,0,IF(CF104&lt;0,IF($J104=1,-$E104*$I104/12*3,IF($J104=2,-$E104*$I104/12*2,IF($J104=3,-$E104*$I104/12*1,0)))))+IF(CA$5&lt;&gt;$H104,0,IF(CA104&lt;0,IF($J104=1,-$E104*$I104/12*0,IF($J104=2,-$E104*$I104/12*1,IF($J104=3,-$E104*$I104/12*2,IF($J104&gt;=4,-$E104*$I104/12*3,0))))))</f>
        <v>0</v>
      </c>
      <c r="CC104" s="416">
        <f>IF($H104&lt;&gt;CF$5,0,IF(CF104&lt;0,IF(OR($J104=1,$J104=2,$J104=3,$J104=4),-$E104*$I104/12*3,IF($J104=5,-$E104*$I104/12*2,IF($J104=6,-$E104*$I104/12*1,0)))))+IF(CA$5&lt;&gt;$H104,0,IF(CA104&lt;0,IF($J104=4,-$E104*$I104/12*0,IF($J104=5,-$E104*$I104/12*1,IF($J104=6,-$E104*$I104/12*2,IF($J104&gt;=7,-$E104*$I104/12*3,0))))))</f>
        <v>0</v>
      </c>
      <c r="CD104" s="416">
        <f>IF($H104&lt;&gt;CF$5,0,IF(CF104&lt;0,IF(OR($J104=1,$J104=2,$J104=3,$J104=4,$J104=5,$J104=6,$J104=7),-$E104*$I104/12*3,IF($J104=8,-$E104*$I104/12*2,IF($J104=9,-$E104*$I104/12*1,0)))))+IF(CA$5&lt;&gt;$H104,0,IF(CA104&lt;0,IF($J104=7,-$E104*$I104/12*0,IF($J104=8,-$E104*$I104/12*1,IF($J104=9,-$E104*$I104/12*2,IF($J104&gt;=10,-$E104*$I104/12*3,0))))))</f>
        <v>0</v>
      </c>
      <c r="CE104" s="412">
        <f>IF($H104&lt;&gt;CF$5,0,IF(CF104&lt;0,IF(OR($J104=1,$J104=2,$J104=3,$J104=4,$J104=5,$J104=6,$J104=7,$J104=8,$J104=9,$J104=10),-$E104*$I104/12*3,IF($J104=11,-$E104*$I104/12*2,IF($J104=12,-$E104*$I104/12*1,0)))))+IF(CA$5&lt;&gt;$H104,0,IF(CA104&lt;0,IF($J104=10,-$E104*$I104/12*0,IF($J104=11,-$E104*$I104/12*1,IF($J104=12,-$E104*$I104/12*2,0)))))</f>
        <v>0</v>
      </c>
      <c r="CF104" s="413">
        <f>IF(AND(CA104&lt;&gt;0,CA$5=$H104),-$I104*$E104-CA104,IF(CF$5=$H104,-$I104*$E104*(12-$J104+1)/12,0))</f>
        <v>0</v>
      </c>
      <c r="CG104" s="410">
        <f>IF($H104&lt;&gt;CK$5,0,IF(CK104&lt;0,IF($J104=1,-$E104*$I104/12*3,IF($J104=2,-$E104*$I104/12*2,IF($J104=3,-$E104*$I104/12*1,0)))))+IF(CF$5&lt;&gt;$H104,0,IF(CF104&lt;0,IF($J104=1,-$E104*$I104/12*0,IF($J104=2,-$E104*$I104/12*1,IF($J104=3,-$E104*$I104/12*2,IF($J104&gt;=4,-$E104*$I104/12*3,0))))))</f>
        <v>0</v>
      </c>
      <c r="CH104" s="416">
        <f>IF($H104&lt;&gt;CK$5,0,IF(CK104&lt;0,IF(OR($J104=1,$J104=2,$J104=3,$J104=4),-$E104*$I104/12*3,IF($J104=5,-$E104*$I104/12*2,IF($J104=6,-$E104*$I104/12*1,0)))))+IF(CF$5&lt;&gt;$H104,0,IF(CF104&lt;0,IF($J104=4,-$E104*$I104/12*0,IF($J104=5,-$E104*$I104/12*1,IF($J104=6,-$E104*$I104/12*2,IF($J104&gt;=7,-$E104*$I104/12*3,0))))))</f>
        <v>0</v>
      </c>
      <c r="CI104" s="416">
        <f>IF($H104&lt;&gt;CK$5,0,IF(CK104&lt;0,IF(OR($J104=1,$J104=2,$J104=3,$J104=4,$J104=5,$J104=6,$J104=7),-$E104*$I104/12*3,IF($J104=8,-$E104*$I104/12*2,IF($J104=9,-$E104*$I104/12*1,0)))))+IF(CF$5&lt;&gt;$H104,0,IF(CF104&lt;0,IF($J104=7,-$E104*$I104/12*0,IF($J104=8,-$E104*$I104/12*1,IF($J104=9,-$E104*$I104/12*2,IF($J104&gt;=10,-$E104*$I104/12*3,0))))))</f>
        <v>0</v>
      </c>
      <c r="CJ104" s="412">
        <f>IF($H104&lt;&gt;CK$5,0,IF(CK104&lt;0,IF(OR($J104=1,$J104=2,$J104=3,$J104=4,$J104=5,$J104=6,$J104=7,$J104=8,$J104=9,$J104=10),-$E104*$I104/12*3,IF($J104=11,-$E104*$I104/12*2,IF($J104=12,-$E104*$I104/12*1,0)))))+IF(CF$5&lt;&gt;$H104,0,IF(CF104&lt;0,IF($J104=10,-$E104*$I104/12*0,IF($J104=11,-$E104*$I104/12*1,IF($J104=12,-$E104*$I104/12*2,0)))))</f>
        <v>0</v>
      </c>
      <c r="CK104" s="413">
        <f>IF(AND(CF104&lt;&gt;0,CF$5=$H104),-$I104*$E104-CF104,IF(CK$5=$H104,-$I104*$E104*(12-$J104+1)/12,0))</f>
        <v>0</v>
      </c>
      <c r="CL104" s="410">
        <f>IF($H104&lt;&gt;CP$5,0,IF(CP104&lt;0,IF($J104=1,-$E104*$I104/12*3,IF($J104=2,-$E104*$I104/12*2,IF($J104=3,-$E104*$I104/12*1,0)))))+IF(CK$5&lt;&gt;$H104,0,IF(CK104&lt;0,IF($J104=1,-$E104*$I104/12*0,IF($J104=2,-$E104*$I104/12*1,IF($J104=3,-$E104*$I104/12*2,IF($J104&gt;=4,-$E104*$I104/12*3,0))))))</f>
        <v>0</v>
      </c>
      <c r="CM104" s="416">
        <f>IF($H104&lt;&gt;CP$5,0,IF(CP104&lt;0,IF(OR($J104=1,$J104=2,$J104=3,$J104=4),-$E104*$I104/12*3,IF($J104=5,-$E104*$I104/12*2,IF($J104=6,-$E104*$I104/12*1,0)))))+IF(CK$5&lt;&gt;$H104,0,IF(CK104&lt;0,IF($J104=4,-$E104*$I104/12*0,IF($J104=5,-$E104*$I104/12*1,IF($J104=6,-$E104*$I104/12*2,IF($J104&gt;=7,-$E104*$I104/12*3,0))))))</f>
        <v>0</v>
      </c>
      <c r="CN104" s="416">
        <f>IF($H104&lt;&gt;CP$5,0,IF(CP104&lt;0,IF(OR($J104=1,$J104=2,$J104=3,$J104=4,$J104=5,$J104=6,$J104=7),-$E104*$I104/12*3,IF($J104=8,-$E104*$I104/12*2,IF($J104=9,-$E104*$I104/12*1,0)))))+IF(CK$5&lt;&gt;$H104,0,IF(CK104&lt;0,IF($J104=7,-$E104*$I104/12*0,IF($J104=8,-$E104*$I104/12*1,IF($J104=9,-$E104*$I104/12*2,IF($J104&gt;=10,-$E104*$I104/12*3,0))))))</f>
        <v>0</v>
      </c>
      <c r="CO104" s="412">
        <f>IF($H104&lt;&gt;CP$5,0,IF(CP104&lt;0,IF(OR($J104=1,$J104=2,$J104=3,$J104=4,$J104=5,$J104=6,$J104=7,$J104=8,$J104=9,$J104=10),-$E104*$I104/12*3,IF($J104=11,-$E104*$I104/12*2,IF($J104=12,-$E104*$I104/12*1,0)))))+IF(CK$5&lt;&gt;$H104,0,IF(CK104&lt;0,IF($J104=10,-$E104*$I104/12*0,IF($J104=11,-$E104*$I104/12*1,IF($J104=12,-$E104*$I104/12*2,0)))))</f>
        <v>0</v>
      </c>
      <c r="CP104" s="413">
        <f>IF(AND(CK104&lt;&gt;0,CK$5=$H104),-$I104*$E104-CK104,IF(CP$5=$H104,-$I104*$E104*(12-$J104+1)/12,0))</f>
        <v>0</v>
      </c>
      <c r="CQ104" s="410">
        <f>IF($H104&lt;&gt;CU$5,0,IF(CU104&lt;0,IF($J104=1,-$E104*$I104/12*3,IF($J104=2,-$E104*$I104/12*2,IF($J104=3,-$E104*$I104/12*1,0)))))+IF(CP$5&lt;&gt;$H104,0,IF(CP104&lt;0,IF($J104=1,-$E104*$I104/12*0,IF($J104=2,-$E104*$I104/12*1,IF($J104=3,-$E104*$I104/12*2,IF($J104&gt;=4,-$E104*$I104/12*3,0))))))</f>
        <v>0</v>
      </c>
      <c r="CR104" s="416">
        <f>IF($H104&lt;&gt;CU$5,0,IF(CU104&lt;0,IF(OR($J104=1,$J104=2,$J104=3,$J104=4),-$E104*$I104/12*3,IF($J104=5,-$E104*$I104/12*2,IF($J104=6,-$E104*$I104/12*1,0)))))+IF(CP$5&lt;&gt;$H104,0,IF(CP104&lt;0,IF($J104=4,-$E104*$I104/12*0,IF($J104=5,-$E104*$I104/12*1,IF($J104=6,-$E104*$I104/12*2,IF($J104&gt;=7,-$E104*$I104/12*3,0))))))</f>
        <v>0</v>
      </c>
      <c r="CS104" s="416">
        <f>IF($H104&lt;&gt;CU$5,0,IF(CU104&lt;0,IF(OR($J104=1,$J104=2,$J104=3,$J104=4,$J104=5,$J104=6,$J104=7),-$E104*$I104/12*3,IF($J104=8,-$E104*$I104/12*2,IF($J104=9,-$E104*$I104/12*1,0)))))+IF(CP$5&lt;&gt;$H104,0,IF(CP104&lt;0,IF($J104=7,-$E104*$I104/12*0,IF($J104=8,-$E104*$I104/12*1,IF($J104=9,-$E104*$I104/12*2,IF($J104&gt;=10,-$E104*$I104/12*3,0))))))</f>
        <v>0</v>
      </c>
      <c r="CT104" s="412">
        <f>IF($H104&lt;&gt;CU$5,0,IF(CU104&lt;0,IF(OR($J104=1,$J104=2,$J104=3,$J104=4,$J104=5,$J104=6,$J104=7,$J104=8,$J104=9,$J104=10),-$E104*$I104/12*3,IF($J104=11,-$E104*$I104/12*2,IF($J104=12,-$E104*$I104/12*1,0)))))+IF(CP$5&lt;&gt;$H104,0,IF(CP104&lt;0,IF($J104=10,-$E104*$I104/12*0,IF($J104=11,-$E104*$I104/12*1,IF($J104=12,-$E104*$I104/12*2,0)))))</f>
        <v>0</v>
      </c>
      <c r="CU104" s="413">
        <f>IF(AND(CP104&lt;&gt;0,CP$5=$H104),-$I104*$E104-CP104,IF(CU$5=$H104,-$I104*$E104*(12-$J104+1)/12,0))</f>
        <v>0</v>
      </c>
      <c r="CV104" s="410">
        <f>IF($H104&lt;&gt;CZ$5,0,IF(CZ104&lt;0,IF($J104=1,-$E104*$I104/12*3,IF($J104=2,-$E104*$I104/12*2,IF($J104=3,-$E104*$I104/12*1,0)))))+IF(CU$5&lt;&gt;$H104,0,IF(CU104&lt;0,IF($J104=1,-$E104*$I104/12*0,IF($J104=2,-$E104*$I104/12*1,IF($J104=3,-$E104*$I104/12*2,IF($J104&gt;=4,-$E104*$I104/12*3,0))))))</f>
        <v>0</v>
      </c>
      <c r="CW104" s="416">
        <f>IF($H104&lt;&gt;CZ$5,0,IF(CZ104&lt;0,IF(OR($J104=1,$J104=2,$J104=3,$J104=4),-$E104*$I104/12*3,IF($J104=5,-$E104*$I104/12*2,IF($J104=6,-$E104*$I104/12*1,0)))))+IF(CU$5&lt;&gt;$H104,0,IF(CU104&lt;0,IF($J104=4,-$E104*$I104/12*0,IF($J104=5,-$E104*$I104/12*1,IF($J104=6,-$E104*$I104/12*2,IF($J104&gt;=7,-$E104*$I104/12*3,0))))))</f>
        <v>-0.91666666666666663</v>
      </c>
      <c r="CX104" s="416">
        <f>IF($H104&lt;&gt;CZ$5,0,IF(CZ104&lt;0,IF(OR($J104=1,$J104=2,$J104=3,$J104=4,$J104=5,$J104=6,$J104=7),-$E104*$I104/12*3,IF($J104=8,-$E104*$I104/12*2,IF($J104=9,-$E104*$I104/12*1,0)))))+IF(CU$5&lt;&gt;$H104,0,IF(CU104&lt;0,IF($J104=7,-$E104*$I104/12*0,IF($J104=8,-$E104*$I104/12*1,IF($J104=9,-$E104*$I104/12*2,IF($J104&gt;=10,-$E104*$I104/12*3,0))))))</f>
        <v>-1.375</v>
      </c>
      <c r="CY104" s="412">
        <f>IF($H104&lt;&gt;CZ$5,0,IF(CZ104&lt;0,IF(OR($J104=1,$J104=2,$J104=3,$J104=4,$J104=5,$J104=6,$J104=7,$J104=8,$J104=9,$J104=10),-$E104*$I104/12*3,IF($J104=11,-$E104*$I104/12*2,IF($J104=12,-$E104*$I104/12*1,0)))))+IF(CU$5&lt;&gt;$H104,0,IF(CU104&lt;0,IF($J104=10,-$E104*$I104/12*0,IF($J104=11,-$E104*$I104/12*1,IF($J104=12,-$E104*$I104/12*2,0)))))</f>
        <v>-1.375</v>
      </c>
      <c r="CZ104" s="413">
        <f>IF(AND(CU104&lt;&gt;0,CU$5=$H104),-$I104*$E104-CU104,IF(CZ$5=$H104,-$I104*$E104*(12-$J104+1)/12,0))</f>
        <v>-3.6666666666666665</v>
      </c>
      <c r="DA104" s="410">
        <f>IF($H104&lt;&gt;DE$5,0,IF(DE104&lt;0,IF($J104=1,-$E104*$I104/12*3,IF($J104=2,-$E104*$I104/12*2,IF($J104=3,-$E104*$I104/12*1,0)))))+IF(CZ$5&lt;&gt;$H104,0,IF(CZ104&lt;0,IF($J104=1,-$E104*$I104/12*0,IF($J104=2,-$E104*$I104/12*1,IF($J104=3,-$E104*$I104/12*2,IF($J104&gt;=4,-$E104*$I104/12*3,0))))))</f>
        <v>-1.375</v>
      </c>
      <c r="DB104" s="416">
        <f>IF($H104&lt;&gt;DE$5,0,IF(DE104&lt;0,IF(OR($J104=1,$J104=2,$J104=3,$J104=4),-$E104*$I104/12*3,IF($J104=5,-$E104*$I104/12*2,IF($J104=6,-$E104*$I104/12*1,0)))))+IF(CZ$5&lt;&gt;$H104,0,IF(CZ104&lt;0,IF($J104=4,-$E104*$I104/12*0,IF($J104=5,-$E104*$I104/12*1,IF($J104=6,-$E104*$I104/12*2,IF($J104&gt;=7,-$E104*$I104/12*3,0))))))</f>
        <v>-0.45833333333333331</v>
      </c>
      <c r="DC104" s="416">
        <f>IF($H104&lt;&gt;DE$5,0,IF(DE104&lt;0,IF(OR($J104=1,$J104=2,$J104=3,$J104=4,$J104=5,$J104=6,$J104=7),-$E104*$I104/12*3,IF($J104=8,-$E104*$I104/12*2,IF($J104=9,-$E104*$I104/12*1,0)))))+IF(CZ$5&lt;&gt;$H104,0,IF(CZ104&lt;0,IF($J104=7,-$E104*$I104/12*0,IF($J104=8,-$E104*$I104/12*1,IF($J104=9,-$E104*$I104/12*2,IF($J104&gt;=10,-$E104*$I104/12*3,0))))))</f>
        <v>0</v>
      </c>
      <c r="DD104" s="412">
        <f>IF($H104&lt;&gt;DE$5,0,IF(DE104&lt;0,IF(OR($J104=1,$J104=2,$J104=3,$J104=4,$J104=5,$J104=6,$J104=7,$J104=8,$J104=9,$J104=10),-$E104*$I104/12*3,IF($J104=11,-$E104*$I104/12*2,IF($J104=12,-$E104*$I104/12*1,0)))))+IF(CZ$5&lt;&gt;$H104,0,IF(CZ104&lt;0,IF($J104=10,-$E104*$I104/12*0,IF($J104=11,-$E104*$I104/12*1,IF($J104=12,-$E104*$I104/12*2,0)))))</f>
        <v>0</v>
      </c>
      <c r="DE104" s="413">
        <f>IF(AND(CZ104&lt;&gt;0,CZ$5=$H104),-$I104*$E104-CZ104,IF(DE$5=$H104,-$I104*$E104*(12-$J104+1)/12,0))</f>
        <v>-1.8333333333333335</v>
      </c>
      <c r="DF104" s="410">
        <f>IF($H104&lt;&gt;DJ$5,0,IF(DJ104&lt;0,IF($J104=1,-$E104*$I104/12*3,IF($J104=2,-$E104*$I104/12*2,IF($J104=3,-$E104*$I104/12*1,0)))))+IF(DE$5&lt;&gt;$H104,0,IF(DE104&lt;0,IF($J104=1,-$E104*$I104/12*0,IF($J104=2,-$E104*$I104/12*1,IF($J104=3,-$E104*$I104/12*2,IF($J104&gt;=4,-$E104*$I104/12*3,0))))))</f>
        <v>0</v>
      </c>
      <c r="DG104" s="416">
        <f>IF($H104&lt;&gt;DJ$5,0,IF(DJ104&lt;0,IF(OR($J104=1,$J104=2,$J104=3,$J104=4),-$E104*$I104/12*3,IF($J104=5,-$E104*$I104/12*2,IF($J104=6,-$E104*$I104/12*1,0)))))+IF(DE$5&lt;&gt;$H104,0,IF(DE104&lt;0,IF($J104=4,-$E104*$I104/12*0,IF($J104=5,-$E104*$I104/12*1,IF($J104=6,-$E104*$I104/12*2,IF($J104&gt;=7,-$E104*$I104/12*3,0))))))</f>
        <v>0</v>
      </c>
      <c r="DH104" s="416">
        <f>IF($H104&lt;&gt;DJ$5,0,IF(DJ104&lt;0,IF(OR($J104=1,$J104=2,$J104=3,$J104=4,$J104=5,$J104=6,$J104=7),-$E104*$I104/12*3,IF($J104=8,-$E104*$I104/12*2,IF($J104=9,-$E104*$I104/12*1,0)))))+IF(DE$5&lt;&gt;$H104,0,IF(DE104&lt;0,IF($J104=7,-$E104*$I104/12*0,IF($J104=8,-$E104*$I104/12*1,IF($J104=9,-$E104*$I104/12*2,IF($J104&gt;=10,-$E104*$I104/12*3,0))))))</f>
        <v>0</v>
      </c>
      <c r="DI104" s="412">
        <f>IF($H104&lt;&gt;DJ$5,0,IF(DJ104&lt;0,IF(OR($J104=1,$J104=2,$J104=3,$J104=4,$J104=5,$J104=6,$J104=7,$J104=8,$J104=9,$J104=10),-$E104*$I104/12*3,IF($J104=11,-$E104*$I104/12*2,IF($J104=12,-$E104*$I104/12*1,0)))))+IF(DE$5&lt;&gt;$H104,0,IF(DE104&lt;0,IF($J104=10,-$E104*$I104/12*0,IF($J104=11,-$E104*$I104/12*1,IF($J104=12,-$E104*$I104/12*2,0)))))</f>
        <v>0</v>
      </c>
      <c r="DJ104" s="413">
        <f>IF(AND(DE104&lt;&gt;0,DE$5=$H104),-$I104*$E104-DE104,IF(DJ$5=$H104,-$I104*$E104*(12-$J104+1)/12,0))</f>
        <v>0</v>
      </c>
      <c r="DK104" s="410">
        <f>IF($H104&lt;&gt;DO$5,0,IF(DO104&lt;0,IF($J104=1,-$E104*$I104/12*3,IF($J104=2,-$E104*$I104/12*2,IF($J104=3,-$E104*$I104/12*1,0)))))+IF(DJ$5&lt;&gt;$H104,0,IF(DJ104&lt;0,IF($J104=1,-$E104*$I104/12*0,IF($J104=2,-$E104*$I104/12*1,IF($J104=3,-$E104*$I104/12*2,IF($J104&gt;=4,-$E104*$I104/12*3,0))))))</f>
        <v>0</v>
      </c>
      <c r="DL104" s="416">
        <f>IF($H104&lt;&gt;DO$5,0,IF(DO104&lt;0,IF(OR($J104=1,$J104=2,$J104=3,$J104=4),-$E104*$I104/12*3,IF($J104=5,-$E104*$I104/12*2,IF($J104=6,-$E104*$I104/12*1,0)))))+IF(DJ$5&lt;&gt;$H104,0,IF(DJ104&lt;0,IF($J104=4,-$E104*$I104/12*0,IF($J104=5,-$E104*$I104/12*1,IF($J104=6,-$E104*$I104/12*2,IF($J104&gt;=7,-$E104*$I104/12*3,0))))))</f>
        <v>0</v>
      </c>
      <c r="DM104" s="416">
        <f>IF($H104&lt;&gt;DO$5,0,IF(DO104&lt;0,IF(OR($J104=1,$J104=2,$J104=3,$J104=4,$J104=5,$J104=6,$J104=7),-$E104*$I104/12*3,IF($J104=8,-$E104*$I104/12*2,IF($J104=9,-$E104*$I104/12*1,0)))))+IF(DJ$5&lt;&gt;$H104,0,IF(DJ104&lt;0,IF($J104=7,-$E104*$I104/12*0,IF($J104=8,-$E104*$I104/12*1,IF($J104=9,-$E104*$I104/12*2,IF($J104&gt;=10,-$E104*$I104/12*3,0))))))</f>
        <v>0</v>
      </c>
      <c r="DN104" s="412">
        <f>IF($H104&lt;&gt;DO$5,0,IF(DO104&lt;0,IF(OR($J104=1,$J104=2,$J104=3,$J104=4,$J104=5,$J104=6,$J104=7,$J104=8,$J104=9,$J104=10),-$E104*$I104/12*3,IF($J104=11,-$E104*$I104/12*2,IF($J104=12,-$E104*$I104/12*1,0)))))+IF(DJ$5&lt;&gt;$H104,0,IF(DJ104&lt;0,IF($J104=10,-$E104*$I104/12*0,IF($J104=11,-$E104*$I104/12*1,IF($J104=12,-$E104*$I104/12*2,0)))))</f>
        <v>0</v>
      </c>
      <c r="DO104" s="413">
        <f>IF(AND(DJ104&lt;&gt;0,DJ$5=$H104),-$I104*$E104-DJ104,IF(DO$5=$H104,-$I104*$E104*(12-$J104+1)/12,0))</f>
        <v>0</v>
      </c>
      <c r="DP104" s="410">
        <f>IF($H104&lt;&gt;DT$5,0,IF(DT104&lt;0,IF($J104=1,-$E104*$I104/12*3,IF($J104=2,-$E104*$I104/12*2,IF($J104=3,-$E104*$I104/12*1,0)))))+IF(DO$5&lt;&gt;$H104,0,IF(DO104&lt;0,IF($J104=1,-$E104*$I104/12*0,IF($J104=2,-$E104*$I104/12*1,IF($J104=3,-$E104*$I104/12*2,IF($J104&gt;=4,-$E104*$I104/12*3,0))))))</f>
        <v>0</v>
      </c>
      <c r="DQ104" s="416">
        <f>IF($H104&lt;&gt;DT$5,0,IF(DT104&lt;0,IF(OR($J104=1,$J104=2,$J104=3,$J104=4),-$E104*$I104/12*3,IF($J104=5,-$E104*$I104/12*2,IF($J104=6,-$E104*$I104/12*1,0)))))+IF(DO$5&lt;&gt;$H104,0,IF(DO104&lt;0,IF($J104=4,-$E104*$I104/12*0,IF($J104=5,-$E104*$I104/12*1,IF($J104=6,-$E104*$I104/12*2,IF($J104&gt;=7,-$E104*$I104/12*3,0))))))</f>
        <v>0</v>
      </c>
      <c r="DR104" s="416">
        <f>IF($H104&lt;&gt;DT$5,0,IF(DT104&lt;0,IF(OR($J104=1,$J104=2,$J104=3,$J104=4,$J104=5,$J104=6,$J104=7),-$E104*$I104/12*3,IF($J104=8,-$E104*$I104/12*2,IF($J104=9,-$E104*$I104/12*1,0)))))+IF(DO$5&lt;&gt;$H104,0,IF(DO104&lt;0,IF($J104=7,-$E104*$I104/12*0,IF($J104=8,-$E104*$I104/12*1,IF($J104=9,-$E104*$I104/12*2,IF($J104&gt;=10,-$E104*$I104/12*3,0))))))</f>
        <v>0</v>
      </c>
      <c r="DS104" s="412">
        <f>IF($H104&lt;&gt;DT$5,0,IF(DT104&lt;0,IF(OR($J104=1,$J104=2,$J104=3,$J104=4,$J104=5,$J104=6,$J104=7,$J104=8,$J104=9,$J104=10),-$E104*$I104/12*3,IF($J104=11,-$E104*$I104/12*2,IF($J104=12,-$E104*$I104/12*1,0)))))+IF(DO$5&lt;&gt;$H104,0,IF(DO104&lt;0,IF($J104=10,-$E104*$I104/12*0,IF($J104=11,-$E104*$I104/12*1,IF($J104=12,-$E104*$I104/12*2,0)))))</f>
        <v>0</v>
      </c>
      <c r="DT104" s="413">
        <f>IF(AND(DO104&lt;&gt;0,DO$5=$H104),-$I104*$E104-DO104,IF(DT$5=$H104,-$I104*$E104*(12-$J104+1)/12,0))</f>
        <v>0</v>
      </c>
    </row>
    <row r="105" spans="1:124" ht="12.75" customHeight="1">
      <c r="A105" s="491"/>
      <c r="C105" s="1439"/>
      <c r="D105" s="1439"/>
      <c r="E105" s="1531"/>
      <c r="F105" s="1227"/>
      <c r="G105" s="1227"/>
      <c r="H105" s="610"/>
      <c r="I105" s="828"/>
      <c r="J105" s="615"/>
      <c r="K105" s="402"/>
      <c r="L105" s="407"/>
      <c r="M105" s="404"/>
      <c r="N105" s="414"/>
      <c r="O105" s="414"/>
      <c r="P105" s="406"/>
      <c r="Q105" s="407"/>
      <c r="R105" s="404"/>
      <c r="S105" s="414"/>
      <c r="T105" s="414"/>
      <c r="U105" s="406"/>
      <c r="V105" s="407"/>
      <c r="W105" s="404"/>
      <c r="X105" s="414"/>
      <c r="Y105" s="414"/>
      <c r="Z105" s="406"/>
      <c r="AA105" s="407"/>
      <c r="AB105" s="404"/>
      <c r="AC105" s="414"/>
      <c r="AD105" s="414"/>
      <c r="AE105" s="406"/>
      <c r="AF105" s="407"/>
      <c r="AG105" s="404"/>
      <c r="AH105" s="414"/>
      <c r="AI105" s="414"/>
      <c r="AJ105" s="406"/>
      <c r="AK105" s="407"/>
      <c r="AL105" s="404"/>
      <c r="AM105" s="414"/>
      <c r="AN105" s="414"/>
      <c r="AO105" s="406"/>
      <c r="AP105" s="407"/>
      <c r="AQ105" s="404"/>
      <c r="AR105" s="414"/>
      <c r="AS105" s="414"/>
      <c r="AT105" s="406"/>
      <c r="AU105" s="407"/>
      <c r="AV105" s="404"/>
      <c r="AW105" s="414"/>
      <c r="AX105" s="414"/>
      <c r="AY105" s="406"/>
      <c r="AZ105" s="407"/>
      <c r="BA105" s="404"/>
      <c r="BB105" s="414"/>
      <c r="BC105" s="414"/>
      <c r="BD105" s="406"/>
      <c r="BE105" s="407"/>
      <c r="BF105" s="404"/>
      <c r="BG105" s="414"/>
      <c r="BH105" s="414"/>
      <c r="BI105" s="406"/>
      <c r="BJ105" s="407"/>
      <c r="BK105" s="404"/>
      <c r="BL105" s="414"/>
      <c r="BM105" s="414"/>
      <c r="BN105" s="406"/>
      <c r="BO105" s="407"/>
      <c r="BP105" s="449"/>
      <c r="BQ105" s="413"/>
      <c r="BR105" s="410"/>
      <c r="BS105" s="416"/>
      <c r="BT105" s="416"/>
      <c r="BU105" s="412"/>
      <c r="BV105" s="413"/>
      <c r="BW105" s="410"/>
      <c r="BX105" s="416"/>
      <c r="BY105" s="416"/>
      <c r="BZ105" s="412"/>
      <c r="CA105" s="413"/>
      <c r="CB105" s="410"/>
      <c r="CC105" s="416"/>
      <c r="CD105" s="416"/>
      <c r="CE105" s="412"/>
      <c r="CF105" s="413"/>
      <c r="CG105" s="410"/>
      <c r="CH105" s="416"/>
      <c r="CI105" s="416"/>
      <c r="CJ105" s="412"/>
      <c r="CK105" s="413"/>
      <c r="CL105" s="410"/>
      <c r="CM105" s="416"/>
      <c r="CN105" s="416"/>
      <c r="CO105" s="412"/>
      <c r="CP105" s="413"/>
      <c r="CQ105" s="410"/>
      <c r="CR105" s="416"/>
      <c r="CS105" s="416"/>
      <c r="CT105" s="412"/>
      <c r="CU105" s="413"/>
      <c r="CV105" s="410"/>
      <c r="CW105" s="416"/>
      <c r="CX105" s="416"/>
      <c r="CY105" s="412"/>
      <c r="CZ105" s="413"/>
      <c r="DA105" s="410"/>
      <c r="DB105" s="416"/>
      <c r="DC105" s="416"/>
      <c r="DD105" s="412"/>
      <c r="DE105" s="413"/>
      <c r="DF105" s="410"/>
      <c r="DG105" s="416"/>
      <c r="DH105" s="416"/>
      <c r="DI105" s="412"/>
      <c r="DJ105" s="413"/>
      <c r="DK105" s="410"/>
      <c r="DL105" s="416"/>
      <c r="DM105" s="416"/>
      <c r="DN105" s="412"/>
      <c r="DO105" s="413"/>
      <c r="DP105" s="410"/>
      <c r="DQ105" s="416"/>
      <c r="DR105" s="416"/>
      <c r="DS105" s="412"/>
      <c r="DT105" s="413"/>
    </row>
    <row r="106" spans="1:124" ht="12.75" customHeight="1">
      <c r="A106" s="491"/>
      <c r="C106" s="1884" t="s">
        <v>1091</v>
      </c>
      <c r="D106" s="1885"/>
      <c r="E106" s="1886">
        <f>IF(F106=0,G106,F106)</f>
        <v>134.176142</v>
      </c>
      <c r="F106" s="1532">
        <v>134.176142</v>
      </c>
      <c r="G106" s="1532">
        <f>157.618952-G107</f>
        <v>146.11895200000001</v>
      </c>
      <c r="H106" s="610">
        <v>2023</v>
      </c>
      <c r="I106" s="1533">
        <v>2.0080000000000001E-2</v>
      </c>
      <c r="J106" s="615">
        <v>2</v>
      </c>
      <c r="K106" s="402"/>
      <c r="L106" s="407">
        <f>IF(L$5=$H106,-$E106,0)</f>
        <v>0</v>
      </c>
      <c r="M106" s="404">
        <f>IF(Q106=0,0,IF(Q106&lt;0,IF($J106=3,Q106,IF($J106=2,Q106,IF($J106=1,Q106,0)))))</f>
        <v>0</v>
      </c>
      <c r="N106" s="414">
        <f>IF(Q106=0,0,IF(Q106&lt;0,IF($J106=6,Q106,IF($J106=5,Q106,IF($J106=4,Q106,0)))))</f>
        <v>0</v>
      </c>
      <c r="O106" s="414">
        <f>IF(Q106=0,0,IF(Q106&lt;0,IF($J106=9,Q106,IF($J106=8,Q106,IF($J106=7,Q106,0)))))</f>
        <v>0</v>
      </c>
      <c r="P106" s="406">
        <f>IF(Q106=0,0,IF(Q106&lt;0,IF($J106=12,Q106,IF($J106=11,Q106,IF($J106=10,Q106,0)))))</f>
        <v>0</v>
      </c>
      <c r="Q106" s="407">
        <f>IF(Q$5=$H106,-$E106,0)</f>
        <v>0</v>
      </c>
      <c r="R106" s="404">
        <f>IF(V106=0,0,IF(V106&lt;0,IF($J106=3,V106,IF($J106=2,V106,IF($J106=1,V106,0)))))</f>
        <v>0</v>
      </c>
      <c r="S106" s="414">
        <f>IF(V106=0,0,IF(V106&lt;0,IF($J106=6,V106,IF($J106=5,V106,IF($J106=4,V106,0)))))</f>
        <v>0</v>
      </c>
      <c r="T106" s="414">
        <f>IF(V106=0,0,IF(V106&lt;0,IF($J106=9,V106,IF($J106=8,V106,IF($J106=7,V106,0)))))</f>
        <v>0</v>
      </c>
      <c r="U106" s="406">
        <f>IF(V106=0,0,IF(V106&lt;0,IF($J106=12,V106,IF($J106=11,V106,IF($J106=10,V106,0)))))</f>
        <v>0</v>
      </c>
      <c r="V106" s="407">
        <f>IF(V$5=$H106,-$E106,0)</f>
        <v>0</v>
      </c>
      <c r="W106" s="404">
        <f>IF(AA106=0,0,IF(AA106&lt;0,IF($J106=3,AA106,IF($J106=2,AA106,IF($J106=1,AA106,0)))))</f>
        <v>0</v>
      </c>
      <c r="X106" s="414">
        <f>IF(AA106=0,0,IF(AA106&lt;0,IF($J106=6,AA106,IF($J106=5,AA106,IF($J106=4,AA106,0)))))</f>
        <v>0</v>
      </c>
      <c r="Y106" s="414">
        <f>IF(AA106=0,0,IF(AA106&lt;0,IF($J106=9,AA106,IF($J106=8,AA106,IF($J106=7,AA106,0)))))</f>
        <v>0</v>
      </c>
      <c r="Z106" s="406">
        <f>IF(AA106=0,0,IF(AA106&lt;0,IF($J106=12,AA106,IF($J106=11,AA106,IF($J106=10,AA106,0)))))</f>
        <v>0</v>
      </c>
      <c r="AA106" s="407">
        <f>IF(AA$5=$H106,-$E106,0)</f>
        <v>0</v>
      </c>
      <c r="AB106" s="404">
        <f>IF(AF106=0,0,IF(AF106&lt;0,IF($J106=3,AF106,IF($J106=2,AF106,IF($J106=1,AF106,0)))))</f>
        <v>0</v>
      </c>
      <c r="AC106" s="414">
        <f>IF(AF106=0,0,IF(AF106&lt;0,IF($J106=6,AF106,IF($J106=5,AF106,IF($J106=4,AF106,0)))))</f>
        <v>0</v>
      </c>
      <c r="AD106" s="414">
        <f>IF(AF106=0,0,IF(AF106&lt;0,IF($J106=9,AF106,IF($J106=8,AF106,IF($J106=7,AF106,0)))))</f>
        <v>0</v>
      </c>
      <c r="AE106" s="406">
        <f>IF(AF106=0,0,IF(AF106&lt;0,IF($J106=12,AF106,IF($J106=11,AF106,IF($J106=10,AF106,0)))))</f>
        <v>0</v>
      </c>
      <c r="AF106" s="407">
        <f>IF(AF$5=$H106,-$E106,0)</f>
        <v>0</v>
      </c>
      <c r="AG106" s="404">
        <f>IF(AK106=0,0,IF(AK106&lt;0,IF($J106=3,AK106,IF($J106=2,AK106,IF($J106=1,AK106,0)))))</f>
        <v>0</v>
      </c>
      <c r="AH106" s="414">
        <f>IF(AK106=0,0,IF(AK106&lt;0,IF($J106=6,AK106,IF($J106=5,AK106,IF($J106=4,AK106,0)))))</f>
        <v>0</v>
      </c>
      <c r="AI106" s="414">
        <f>IF(AK106=0,0,IF(AK106&lt;0,IF($J106=9,AK106,IF($J106=8,AK106,IF($J106=7,AK106,0)))))</f>
        <v>0</v>
      </c>
      <c r="AJ106" s="406">
        <f>IF(AK106=0,0,IF(AK106&lt;0,IF($J106=12,AK106,IF($J106=11,AK106,IF($J106=10,AK106,0)))))</f>
        <v>0</v>
      </c>
      <c r="AK106" s="407">
        <f>IF(AK$5=$H106,-$E106,0)</f>
        <v>0</v>
      </c>
      <c r="AL106" s="404">
        <f>IF(AP106=0,0,IF(AP106&lt;0,IF($J106=3,AP106,IF($J106=2,AP106,IF($J106=1,AP106,0)))))</f>
        <v>0</v>
      </c>
      <c r="AM106" s="414">
        <f>IF(AP106=0,0,IF(AP106&lt;0,IF($J106=6,AP106,IF($J106=5,AP106,IF($J106=4,AP106,0)))))</f>
        <v>0</v>
      </c>
      <c r="AN106" s="414">
        <f>IF(AP106=0,0,IF(AP106&lt;0,IF($J106=9,AP106,IF($J106=8,AP106,IF($J106=7,AP106,0)))))</f>
        <v>0</v>
      </c>
      <c r="AO106" s="406">
        <f>IF(AP106=0,0,IF(AP106&lt;0,IF($J106=12,AP106,IF($J106=11,AP106,IF($J106=10,AP106,0)))))</f>
        <v>0</v>
      </c>
      <c r="AP106" s="407">
        <f>IF(AP$5=$H106,-$E106,0)</f>
        <v>0</v>
      </c>
      <c r="AQ106" s="404">
        <f>IF(AU106=0,0,IF(AU106&lt;0,IF($J106=3,AU106,IF($J106=2,AU106,IF($J106=1,AU106,0)))))</f>
        <v>0</v>
      </c>
      <c r="AR106" s="414">
        <f>IF(AU106=0,0,IF(AU106&lt;0,IF($J106=6,AU106,IF($J106=5,AU106,IF($J106=4,AU106,0)))))</f>
        <v>0</v>
      </c>
      <c r="AS106" s="414">
        <f>IF(AU106=0,0,IF(AU106&lt;0,IF($J106=9,AU106,IF($J106=8,AU106,IF($J106=7,AU106,0)))))</f>
        <v>0</v>
      </c>
      <c r="AT106" s="406">
        <f>IF(AU106=0,0,IF(AU106&lt;0,IF($J106=12,AU106,IF($J106=11,AU106,IF($J106=10,AU106,0)))))</f>
        <v>0</v>
      </c>
      <c r="AU106" s="407">
        <f>IF(AU$5=$H106,-$E106,0)</f>
        <v>0</v>
      </c>
      <c r="AV106" s="404">
        <f>IF(AZ106=0,0,IF(AZ106&lt;0,IF($J106=3,AZ106,IF($J106=2,AZ106,IF($J106=1,AZ106,0)))))</f>
        <v>0</v>
      </c>
      <c r="AW106" s="414">
        <f>IF(AZ106=0,0,IF(AZ106&lt;0,IF($J106=6,AZ106,IF($J106=5,AZ106,IF($J106=4,AZ106,0)))))</f>
        <v>0</v>
      </c>
      <c r="AX106" s="414">
        <f>IF(AZ106=0,0,IF(AZ106&lt;0,IF($J106=9,AZ106,IF($J106=8,AZ106,IF($J106=7,AZ106,0)))))</f>
        <v>0</v>
      </c>
      <c r="AY106" s="406">
        <f>IF(AZ106=0,0,IF(AZ106&lt;0,IF($J106=12,AZ106,IF($J106=11,AZ106,IF($J106=10,AZ106,0)))))</f>
        <v>0</v>
      </c>
      <c r="AZ106" s="407">
        <f>IF(AZ$5=$H106,-$E106,0)</f>
        <v>0</v>
      </c>
      <c r="BA106" s="404">
        <f>IF(BE106=0,0,IF(BE106&lt;0,IF($J106=3,BE106,IF($J106=2,BE106,IF($J106=1,BE106,0)))))</f>
        <v>0</v>
      </c>
      <c r="BB106" s="414">
        <f>IF(BE106=0,0,IF(BE106&lt;0,IF($J106=6,BE106,IF($J106=5,BE106,IF($J106=4,BE106,0)))))</f>
        <v>0</v>
      </c>
      <c r="BC106" s="414">
        <f>IF(BE106=0,0,IF(BE106&lt;0,IF($J106=9,BE106,IF($J106=8,BE106,IF($J106=7,BE106,0)))))</f>
        <v>0</v>
      </c>
      <c r="BD106" s="406">
        <f>IF(BE106=0,0,IF(BE106&lt;0,IF($J106=12,BE106,IF($J106=11,BE106,IF($J106=10,BE106,0)))))</f>
        <v>0</v>
      </c>
      <c r="BE106" s="407">
        <f>IF(BE$5=$H106,-$E106,0)</f>
        <v>0</v>
      </c>
      <c r="BF106" s="404">
        <f>IF(BJ106=0,0,IF(BJ106&lt;0,IF($J106=3,BJ106,IF($J106=2,BJ106,IF($J106=1,BJ106,0)))))</f>
        <v>0</v>
      </c>
      <c r="BG106" s="414">
        <f>IF(BJ106=0,0,IF(BJ106&lt;0,IF($J106=6,BJ106,IF($J106=5,BJ106,IF($J106=4,BJ106,0)))))</f>
        <v>0</v>
      </c>
      <c r="BH106" s="414">
        <f>IF(BJ106=0,0,IF(BJ106&lt;0,IF($J106=9,BJ106,IF($J106=8,BJ106,IF($J106=7,BJ106,0)))))</f>
        <v>0</v>
      </c>
      <c r="BI106" s="406">
        <f>IF(BJ106=0,0,IF(BJ106&lt;0,IF($J106=12,BJ106,IF($J106=11,BJ106,IF($J106=10,BJ106,0)))))</f>
        <v>0</v>
      </c>
      <c r="BJ106" s="407">
        <f>IF(BJ$5=$H106,-$E106,0)</f>
        <v>0</v>
      </c>
      <c r="BK106" s="404">
        <f>IF(BO106=0,0,IF(BO106&lt;0,IF($J106=3,BO106,IF($J106=2,BO106,IF($J106=1,BO106,0)))))</f>
        <v>0</v>
      </c>
      <c r="BL106" s="414">
        <f>IF(BO106=0,0,IF(BO106&lt;0,IF($J106=6,BO106,IF($J106=5,BO106,IF($J106=4,BO106,0)))))</f>
        <v>0</v>
      </c>
      <c r="BM106" s="414">
        <f>IF(BO106=0,0,IF(BO106&lt;0,IF($J106=9,BO106,IF($J106=8,BO106,IF($J106=7,BO106,0)))))</f>
        <v>0</v>
      </c>
      <c r="BN106" s="406">
        <f>IF(BO106=0,0,IF(BO106&lt;0,IF($J106=12,BO106,IF($J106=11,BO106,IF($J106=10,BO106,0)))))</f>
        <v>0</v>
      </c>
      <c r="BO106" s="407">
        <f>IF(BO$5=$H106,-$E106,0)</f>
        <v>0</v>
      </c>
      <c r="BP106" s="449"/>
      <c r="BQ106" s="413">
        <f>IF(AND(AH106&lt;&gt;0,AH$5=$H106),-$I106*$E106-AH106,IF(BQ$5=$H106,-$I106*$E106*(12-$J106+1)/12,0))</f>
        <v>0</v>
      </c>
      <c r="BR106" s="410">
        <f>IF($H106&lt;&gt;BV$5,0,IF(BV106&lt;0,IF($J106=1,-$E106*$I106/12*3,IF($J106=2,-$E106*$I106/12*2,IF($J106=3,-$E106*$I106/12*1,0)))))+IF(BQ$5&lt;&gt;$H106,0,IF(BQ106&lt;0,IF($J106=1,-$E106*$I106/12*0,IF($J106=2,-$E106*$I106/12*1,IF($J106=3,-$E106*$I106/12*2,IF($J106&gt;=4,-$E106*$I106/12*3,0))))))</f>
        <v>0</v>
      </c>
      <c r="BS106" s="416">
        <f>IF($H106&lt;&gt;BV$5,0,IF(BV106&lt;0,IF(OR($J106=1,$J106=2,$J106=3,$J106=4),-$E106*$I106/12*3,IF($J106=5,-$E106*$I106/12*2,IF($J106=6,-$E106*$I106/12*1,0)))))+IF(BQ$5&lt;&gt;$H106,0,IF(BQ106&lt;0,IF($J106=4,-$E106*$I106/12*0,IF($J106=5,-$E106*$I106/12*1,IF($J106=6,-$E106*$I106/12*2,IF($J106&gt;=7,-$E106*$I106/12*3,0))))))</f>
        <v>0</v>
      </c>
      <c r="BT106" s="416">
        <f>IF($H106&lt;&gt;BV$5,0,IF(BV106&lt;0,IF(OR($J106=1,$J106=2,$J106=3,$J106=4,$J106=5,$J106=6,$J106=7),-$E106*$I106/12*3,IF($J106=8,-$E106*$I106/12*2,IF($J106=9,-$E106*$I106/12*1,0)))))+IF(BQ$5&lt;&gt;$H106,0,IF(BQ106&lt;0,IF($J106=7,-$E106*$I106/12*0,IF($J106=8,-$E106*$I106/12*1,IF($J106=9,-$E106*$I106/12*2,IF($J106&gt;=10,-$E106*$I106/12*3,0))))))</f>
        <v>0</v>
      </c>
      <c r="BU106" s="412">
        <f>IF($H106&lt;&gt;BV$5,0,IF(BV106&lt;0,IF(OR($J106=1,$J106=2,$J106=3,$J106=4,$J106=5,$J106=6,$J106=7,$J106=8,$J106=9,$J106=10),-$E106*$I106/12*3,IF($J106=11,-$E106*$I106/12*2,IF($J106=12,-$E106*$I106/12*1,0)))))+IF(BQ$5&lt;&gt;$H106,0,IF(BQ106&lt;0,IF($J106=10,-$E106*$I106/12*0,IF($J106=11,-$E106*$I106/12*1,IF($J106=12,-$E106*$I106/12*2,0)))))</f>
        <v>0</v>
      </c>
      <c r="BV106" s="413">
        <f>IF(AND(BQ106&lt;&gt;0,BQ$5=$H106),-$I106*$E106-BQ106,IF(BV$5=$H106,-$I106*$E106*(12-$J106+1)/12,0))</f>
        <v>0</v>
      </c>
      <c r="BW106" s="410">
        <f>IF($H106&lt;&gt;CA$5,0,IF(CA106&lt;0,IF($J106=1,-$E106*$I106/12*3,IF($J106=2,-$E106*$I106/12*2,IF($J106=3,-$E106*$I106/12*1,0)))))+IF(BV$5&lt;&gt;$H106,0,IF(BV106&lt;0,IF($J106=1,-$E106*$I106/12*0,IF($J106=2,-$E106*$I106/12*1,IF($J106=3,-$E106*$I106/12*2,IF($J106&gt;=4,-$E106*$I106/12*3,0))))))</f>
        <v>0</v>
      </c>
      <c r="BX106" s="416">
        <f>IF($H106&lt;&gt;CA$5,0,IF(CA106&lt;0,IF(OR($J106=1,$J106=2,$J106=3,$J106=4),-$E106*$I106/12*3,IF($J106=5,-$E106*$I106/12*2,IF($J106=6,-$E106*$I106/12*1,0)))))+IF(BV$5&lt;&gt;$H106,0,IF(BV106&lt;0,IF($J106=4,-$E106*$I106/12*0,IF($J106=5,-$E106*$I106/12*1,IF($J106=6,-$E106*$I106/12*2,IF($J106&gt;=7,-$E106*$I106/12*3,0))))))</f>
        <v>0</v>
      </c>
      <c r="BY106" s="416">
        <f>IF($H106&lt;&gt;CA$5,0,IF(CA106&lt;0,IF(OR($J106=1,$J106=2,$J106=3,$J106=4,$J106=5,$J106=6,$J106=7),-$E106*$I106/12*3,IF($J106=8,-$E106*$I106/12*2,IF($J106=9,-$E106*$I106/12*1,0)))))+IF(BV$5&lt;&gt;$H106,0,IF(BV106&lt;0,IF($J106=7,-$E106*$I106/12*0,IF($J106=8,-$E106*$I106/12*1,IF($J106=9,-$E106*$I106/12*2,IF($J106&gt;=10,-$E106*$I106/12*3,0))))))</f>
        <v>0</v>
      </c>
      <c r="BZ106" s="412">
        <f>IF($H106&lt;&gt;CA$5,0,IF(CA106&lt;0,IF(OR($J106=1,$J106=2,$J106=3,$J106=4,$J106=5,$J106=6,$J106=7,$J106=8,$J106=9,$J106=10),-$E106*$I106/12*3,IF($J106=11,-$E106*$I106/12*2,IF($J106=12,-$E106*$I106/12*1,0)))))+IF(BV$5&lt;&gt;$H106,0,IF(BV106&lt;0,IF($J106=10,-$E106*$I106/12*0,IF($J106=11,-$E106*$I106/12*1,IF($J106=12,-$E106*$I106/12*2,0)))))</f>
        <v>0</v>
      </c>
      <c r="CA106" s="413">
        <f>IF(AND(BV106&lt;&gt;0,BV$5=$H106),-$I106*$E106-BV106,IF(CA$5=$H106,-$I106*$E106*(12-$J106+1)/12,0))</f>
        <v>0</v>
      </c>
      <c r="CB106" s="410">
        <f>IF($H106&lt;&gt;CF$5,0,IF(CF106&lt;0,IF($J106=1,-$E106*$I106/12*3,IF($J106=2,-$E106*$I106/12*2,IF($J106=3,-$E106*$I106/12*1,0)))))+IF(CA$5&lt;&gt;$H106,0,IF(CA106&lt;0,IF($J106=1,-$E106*$I106/12*0,IF($J106=2,-$E106*$I106/12*1,IF($J106=3,-$E106*$I106/12*2,IF($J106&gt;=4,-$E106*$I106/12*3,0))))))</f>
        <v>0</v>
      </c>
      <c r="CC106" s="416">
        <f>IF($H106&lt;&gt;CF$5,0,IF(CF106&lt;0,IF(OR($J106=1,$J106=2,$J106=3,$J106=4),-$E106*$I106/12*3,IF($J106=5,-$E106*$I106/12*2,IF($J106=6,-$E106*$I106/12*1,0)))))+IF(CA$5&lt;&gt;$H106,0,IF(CA106&lt;0,IF($J106=4,-$E106*$I106/12*0,IF($J106=5,-$E106*$I106/12*1,IF($J106=6,-$E106*$I106/12*2,IF($J106&gt;=7,-$E106*$I106/12*3,0))))))</f>
        <v>0</v>
      </c>
      <c r="CD106" s="416">
        <f>IF($H106&lt;&gt;CF$5,0,IF(CF106&lt;0,IF(OR($J106=1,$J106=2,$J106=3,$J106=4,$J106=5,$J106=6,$J106=7),-$E106*$I106/12*3,IF($J106=8,-$E106*$I106/12*2,IF($J106=9,-$E106*$I106/12*1,0)))))+IF(CA$5&lt;&gt;$H106,0,IF(CA106&lt;0,IF($J106=7,-$E106*$I106/12*0,IF($J106=8,-$E106*$I106/12*1,IF($J106=9,-$E106*$I106/12*2,IF($J106&gt;=10,-$E106*$I106/12*3,0))))))</f>
        <v>0</v>
      </c>
      <c r="CE106" s="412">
        <f>IF($H106&lt;&gt;CF$5,0,IF(CF106&lt;0,IF(OR($J106=1,$J106=2,$J106=3,$J106=4,$J106=5,$J106=6,$J106=7,$J106=8,$J106=9,$J106=10),-$E106*$I106/12*3,IF($J106=11,-$E106*$I106/12*2,IF($J106=12,-$E106*$I106/12*1,0)))))+IF(CA$5&lt;&gt;$H106,0,IF(CA106&lt;0,IF($J106=10,-$E106*$I106/12*0,IF($J106=11,-$E106*$I106/12*1,IF($J106=12,-$E106*$I106/12*2,0)))))</f>
        <v>0</v>
      </c>
      <c r="CF106" s="413">
        <f>IF(AND(CA106&lt;&gt;0,CA$5=$H106),-$I106*$E106-CA106,IF(CF$5=$H106,-$I106*$E106*(12-$J106+1)/12,0))</f>
        <v>0</v>
      </c>
      <c r="CG106" s="410">
        <f>IF($H106&lt;&gt;CK$5,0,IF(CK106&lt;0,IF($J106=1,-$E106*$I106/12*3,IF($J106=2,-$E106*$I106/12*2,IF($J106=3,-$E106*$I106/12*1,0)))))+IF(CF$5&lt;&gt;$H106,0,IF(CF106&lt;0,IF($J106=1,-$E106*$I106/12*0,IF($J106=2,-$E106*$I106/12*1,IF($J106=3,-$E106*$I106/12*2,IF($J106&gt;=4,-$E106*$I106/12*3,0))))))</f>
        <v>0</v>
      </c>
      <c r="CH106" s="416">
        <f>IF($H106&lt;&gt;CK$5,0,IF(CK106&lt;0,IF(OR($J106=1,$J106=2,$J106=3,$J106=4),-$E106*$I106/12*3,IF($J106=5,-$E106*$I106/12*2,IF($J106=6,-$E106*$I106/12*1,0)))))+IF(CF$5&lt;&gt;$H106,0,IF(CF106&lt;0,IF($J106=4,-$E106*$I106/12*0,IF($J106=5,-$E106*$I106/12*1,IF($J106=6,-$E106*$I106/12*2,IF($J106&gt;=7,-$E106*$I106/12*3,0))))))</f>
        <v>0</v>
      </c>
      <c r="CI106" s="416">
        <f>IF($H106&lt;&gt;CK$5,0,IF(CK106&lt;0,IF(OR($J106=1,$J106=2,$J106=3,$J106=4,$J106=5,$J106=6,$J106=7),-$E106*$I106/12*3,IF($J106=8,-$E106*$I106/12*2,IF($J106=9,-$E106*$I106/12*1,0)))))+IF(CF$5&lt;&gt;$H106,0,IF(CF106&lt;0,IF($J106=7,-$E106*$I106/12*0,IF($J106=8,-$E106*$I106/12*1,IF($J106=9,-$E106*$I106/12*2,IF($J106&gt;=10,-$E106*$I106/12*3,0))))))</f>
        <v>0</v>
      </c>
      <c r="CJ106" s="412">
        <f>IF($H106&lt;&gt;CK$5,0,IF(CK106&lt;0,IF(OR($J106=1,$J106=2,$J106=3,$J106=4,$J106=5,$J106=6,$J106=7,$J106=8,$J106=9,$J106=10),-$E106*$I106/12*3,IF($J106=11,-$E106*$I106/12*2,IF($J106=12,-$E106*$I106/12*1,0)))))+IF(CF$5&lt;&gt;$H106,0,IF(CF106&lt;0,IF($J106=10,-$E106*$I106/12*0,IF($J106=11,-$E106*$I106/12*1,IF($J106=12,-$E106*$I106/12*2,0)))))</f>
        <v>0</v>
      </c>
      <c r="CK106" s="413">
        <f>IF(AND(CF106&lt;&gt;0,CF$5=$H106),-$I106*$E106-CF106,IF(CK$5=$H106,-$I106*$E106*(12-$J106+1)/12,0))</f>
        <v>0</v>
      </c>
      <c r="CL106" s="410">
        <f>IF($H106&lt;&gt;CP$5,0,IF(CP106&lt;0,IF($J106=1,-$E106*$I106/12*3,IF($J106=2,-$E106*$I106/12*2,IF($J106=3,-$E106*$I106/12*1,0)))))+IF(CK$5&lt;&gt;$H106,0,IF(CK106&lt;0,IF($J106=1,-$E106*$I106/12*0,IF($J106=2,-$E106*$I106/12*1,IF($J106=3,-$E106*$I106/12*2,IF($J106&gt;=4,-$E106*$I106/12*3,0))))))</f>
        <v>0</v>
      </c>
      <c r="CM106" s="416">
        <f>IF($H106&lt;&gt;CP$5,0,IF(CP106&lt;0,IF(OR($J106=1,$J106=2,$J106=3,$J106=4),-$E106*$I106/12*3,IF($J106=5,-$E106*$I106/12*2,IF($J106=6,-$E106*$I106/12*1,0)))))+IF(CK$5&lt;&gt;$H106,0,IF(CK106&lt;0,IF($J106=4,-$E106*$I106/12*0,IF($J106=5,-$E106*$I106/12*1,IF($J106=6,-$E106*$I106/12*2,IF($J106&gt;=7,-$E106*$I106/12*3,0))))))</f>
        <v>0</v>
      </c>
      <c r="CN106" s="416">
        <f>IF($H106&lt;&gt;CP$5,0,IF(CP106&lt;0,IF(OR($J106=1,$J106=2,$J106=3,$J106=4,$J106=5,$J106=6,$J106=7),-$E106*$I106/12*3,IF($J106=8,-$E106*$I106/12*2,IF($J106=9,-$E106*$I106/12*1,0)))))+IF(CK$5&lt;&gt;$H106,0,IF(CK106&lt;0,IF($J106=7,-$E106*$I106/12*0,IF($J106=8,-$E106*$I106/12*1,IF($J106=9,-$E106*$I106/12*2,IF($J106&gt;=10,-$E106*$I106/12*3,0))))))</f>
        <v>0</v>
      </c>
      <c r="CO106" s="412">
        <f>IF($H106&lt;&gt;CP$5,0,IF(CP106&lt;0,IF(OR($J106=1,$J106=2,$J106=3,$J106=4,$J106=5,$J106=6,$J106=7,$J106=8,$J106=9,$J106=10),-$E106*$I106/12*3,IF($J106=11,-$E106*$I106/12*2,IF($J106=12,-$E106*$I106/12*1,0)))))+IF(CK$5&lt;&gt;$H106,0,IF(CK106&lt;0,IF($J106=10,-$E106*$I106/12*0,IF($J106=11,-$E106*$I106/12*1,IF($J106=12,-$E106*$I106/12*2,0)))))</f>
        <v>0</v>
      </c>
      <c r="CP106" s="413">
        <f>IF(AND(CK106&lt;&gt;0,CK$5=$H106),-$I106*$E106-CK106,IF(CP$5=$H106,-$I106*$E106*(12-$J106+1)/12,0))</f>
        <v>0</v>
      </c>
      <c r="CQ106" s="410">
        <f>IF($H106&lt;&gt;CU$5,0,IF(CU106&lt;0,IF($J106=1,-$E106*$I106/12*3,IF($J106=2,-$E106*$I106/12*2,IF($J106=3,-$E106*$I106/12*1,0)))))+IF(CP$5&lt;&gt;$H106,0,IF(CP106&lt;0,IF($J106=1,-$E106*$I106/12*0,IF($J106=2,-$E106*$I106/12*1,IF($J106=3,-$E106*$I106/12*2,IF($J106&gt;=4,-$E106*$I106/12*3,0))))))</f>
        <v>0</v>
      </c>
      <c r="CR106" s="416">
        <f>IF($H106&lt;&gt;CU$5,0,IF(CU106&lt;0,IF(OR($J106=1,$J106=2,$J106=3,$J106=4),-$E106*$I106/12*3,IF($J106=5,-$E106*$I106/12*2,IF($J106=6,-$E106*$I106/12*1,0)))))+IF(CP$5&lt;&gt;$H106,0,IF(CP106&lt;0,IF($J106=4,-$E106*$I106/12*0,IF($J106=5,-$E106*$I106/12*1,IF($J106=6,-$E106*$I106/12*2,IF($J106&gt;=7,-$E106*$I106/12*3,0))))))</f>
        <v>0</v>
      </c>
      <c r="CS106" s="416">
        <f>IF($H106&lt;&gt;CU$5,0,IF(CU106&lt;0,IF(OR($J106=1,$J106=2,$J106=3,$J106=4,$J106=5,$J106=6,$J106=7),-$E106*$I106/12*3,IF($J106=8,-$E106*$I106/12*2,IF($J106=9,-$E106*$I106/12*1,0)))))+IF(CP$5&lt;&gt;$H106,0,IF(CP106&lt;0,IF($J106=7,-$E106*$I106/12*0,IF($J106=8,-$E106*$I106/12*1,IF($J106=9,-$E106*$I106/12*2,IF($J106&gt;=10,-$E106*$I106/12*3,0))))))</f>
        <v>0</v>
      </c>
      <c r="CT106" s="412">
        <f>IF($H106&lt;&gt;CU$5,0,IF(CU106&lt;0,IF(OR($J106=1,$J106=2,$J106=3,$J106=4,$J106=5,$J106=6,$J106=7,$J106=8,$J106=9,$J106=10),-$E106*$I106/12*3,IF($J106=11,-$E106*$I106/12*2,IF($J106=12,-$E106*$I106/12*1,0)))))+IF(CP$5&lt;&gt;$H106,0,IF(CP106&lt;0,IF($J106=10,-$E106*$I106/12*0,IF($J106=11,-$E106*$I106/12*1,IF($J106=12,-$E106*$I106/12*2,0)))))</f>
        <v>0</v>
      </c>
      <c r="CU106" s="413">
        <f>IF(AND(CP106&lt;&gt;0,CP$5=$H106),-$I106*$E106-CP106,IF(CU$5=$H106,-$I106*$E106*(12-$J106+1)/12,0))</f>
        <v>0</v>
      </c>
      <c r="CV106" s="410">
        <f>IF($H106&lt;&gt;CZ$5,0,IF(CZ106&lt;0,IF($J106=1,-$E106*$I106/12*3,IF($J106=2,-$E106*$I106/12*2,IF($J106=3,-$E106*$I106/12*1,0)))))+IF(CU$5&lt;&gt;$H106,0,IF(CU106&lt;0,IF($J106=1,-$E106*$I106/12*0,IF($J106=2,-$E106*$I106/12*1,IF($J106=3,-$E106*$I106/12*2,IF($J106&gt;=4,-$E106*$I106/12*3,0))))))</f>
        <v>0</v>
      </c>
      <c r="CW106" s="416">
        <f>IF($H106&lt;&gt;CZ$5,0,IF(CZ106&lt;0,IF(OR($J106=1,$J106=2,$J106=3,$J106=4),-$E106*$I106/12*3,IF($J106=5,-$E106*$I106/12*2,IF($J106=6,-$E106*$I106/12*1,0)))))+IF(CU$5&lt;&gt;$H106,0,IF(CU106&lt;0,IF($J106=4,-$E106*$I106/12*0,IF($J106=5,-$E106*$I106/12*1,IF($J106=6,-$E106*$I106/12*2,IF($J106&gt;=7,-$E106*$I106/12*3,0))))))</f>
        <v>0</v>
      </c>
      <c r="CX106" s="416">
        <f>IF($H106&lt;&gt;CZ$5,0,IF(CZ106&lt;0,IF(OR($J106=1,$J106=2,$J106=3,$J106=4,$J106=5,$J106=6,$J106=7),-$E106*$I106/12*3,IF($J106=8,-$E106*$I106/12*2,IF($J106=9,-$E106*$I106/12*1,0)))))+IF(CU$5&lt;&gt;$H106,0,IF(CU106&lt;0,IF($J106=7,-$E106*$I106/12*0,IF($J106=8,-$E106*$I106/12*1,IF($J106=9,-$E106*$I106/12*2,IF($J106&gt;=10,-$E106*$I106/12*3,0))))))</f>
        <v>0</v>
      </c>
      <c r="CY106" s="412">
        <f>IF($H106&lt;&gt;CZ$5,0,IF(CZ106&lt;0,IF(OR($J106=1,$J106=2,$J106=3,$J106=4,$J106=5,$J106=6,$J106=7,$J106=8,$J106=9,$J106=10),-$E106*$I106/12*3,IF($J106=11,-$E106*$I106/12*2,IF($J106=12,-$E106*$I106/12*1,0)))))+IF(CU$5&lt;&gt;$H106,0,IF(CU106&lt;0,IF($J106=10,-$E106*$I106/12*0,IF($J106=11,-$E106*$I106/12*1,IF($J106=12,-$E106*$I106/12*2,0)))))</f>
        <v>0</v>
      </c>
      <c r="CZ106" s="413">
        <f>IF(AND(CU106&lt;&gt;0,CU$5=$H106),-$I106*$E106-CU106,IF(CZ$5=$H106,-$I106*$E106*(12-$J106+1)/12,0))</f>
        <v>0</v>
      </c>
      <c r="DA106" s="410">
        <f>IF($H106&lt;&gt;DE$5,0,IF(DE106&lt;0,IF($J106=1,-$E106*$I106/12*3,IF($J106=2,-$E106*$I106/12*2,IF($J106=3,-$E106*$I106/12*1,0)))))+IF(CZ$5&lt;&gt;$H106,0,IF(CZ106&lt;0,IF($J106=1,-$E106*$I106/12*0,IF($J106=2,-$E106*$I106/12*1,IF($J106=3,-$E106*$I106/12*2,IF($J106&gt;=4,-$E106*$I106/12*3,0))))))</f>
        <v>0</v>
      </c>
      <c r="DB106" s="416">
        <f>IF($H106&lt;&gt;DE$5,0,IF(DE106&lt;0,IF(OR($J106=1,$J106=2,$J106=3,$J106=4),-$E106*$I106/12*3,IF($J106=5,-$E106*$I106/12*2,IF($J106=6,-$E106*$I106/12*1,0)))))+IF(CZ$5&lt;&gt;$H106,0,IF(CZ106&lt;0,IF($J106=4,-$E106*$I106/12*0,IF($J106=5,-$E106*$I106/12*1,IF($J106=6,-$E106*$I106/12*2,IF($J106&gt;=7,-$E106*$I106/12*3,0))))))</f>
        <v>0</v>
      </c>
      <c r="DC106" s="416">
        <f>IF($H106&lt;&gt;DE$5,0,IF(DE106&lt;0,IF(OR($J106=1,$J106=2,$J106=3,$J106=4,$J106=5,$J106=6,$J106=7),-$E106*$I106/12*3,IF($J106=8,-$E106*$I106/12*2,IF($J106=9,-$E106*$I106/12*1,0)))))+IF(CZ$5&lt;&gt;$H106,0,IF(CZ106&lt;0,IF($J106=7,-$E106*$I106/12*0,IF($J106=8,-$E106*$I106/12*1,IF($J106=9,-$E106*$I106/12*2,IF($J106&gt;=10,-$E106*$I106/12*3,0))))))</f>
        <v>0</v>
      </c>
      <c r="DD106" s="412">
        <f>IF($H106&lt;&gt;DE$5,0,IF(DE106&lt;0,IF(OR($J106=1,$J106=2,$J106=3,$J106=4,$J106=5,$J106=6,$J106=7,$J106=8,$J106=9,$J106=10),-$E106*$I106/12*3,IF($J106=11,-$E106*$I106/12*2,IF($J106=12,-$E106*$I106/12*1,0)))))+IF(CZ$5&lt;&gt;$H106,0,IF(CZ106&lt;0,IF($J106=10,-$E106*$I106/12*0,IF($J106=11,-$E106*$I106/12*1,IF($J106=12,-$E106*$I106/12*2,0)))))</f>
        <v>0</v>
      </c>
      <c r="DE106" s="413">
        <f>IF(AND(CZ106&lt;&gt;0,CZ$5=$H106),-$I106*$E106-CZ106,IF(DE$5=$H106,-$I106*$E106*(12-$J106+1)/12,0))</f>
        <v>0</v>
      </c>
      <c r="DF106" s="410">
        <f>IF($H106&lt;&gt;DJ$5,0,IF(DJ106&lt;0,IF($J106=1,-$E106*$I106/12*3,IF($J106=2,-$E106*$I106/12*2,IF($J106=3,-$E106*$I106/12*1,0)))))+IF(DE$5&lt;&gt;$H106,0,IF(DE106&lt;0,IF($J106=1,-$E106*$I106/12*0,IF($J106=2,-$E106*$I106/12*1,IF($J106=3,-$E106*$I106/12*2,IF($J106&gt;=4,-$E106*$I106/12*3,0))))))</f>
        <v>0</v>
      </c>
      <c r="DG106" s="416">
        <f>IF($H106&lt;&gt;DJ$5,0,IF(DJ106&lt;0,IF(OR($J106=1,$J106=2,$J106=3,$J106=4),-$E106*$I106/12*3,IF($J106=5,-$E106*$I106/12*2,IF($J106=6,-$E106*$I106/12*1,0)))))+IF(DE$5&lt;&gt;$H106,0,IF(DE106&lt;0,IF($J106=4,-$E106*$I106/12*0,IF($J106=5,-$E106*$I106/12*1,IF($J106=6,-$E106*$I106/12*2,IF($J106&gt;=7,-$E106*$I106/12*3,0))))))</f>
        <v>0</v>
      </c>
      <c r="DH106" s="416">
        <f>IF($H106&lt;&gt;DJ$5,0,IF(DJ106&lt;0,IF(OR($J106=1,$J106=2,$J106=3,$J106=4,$J106=5,$J106=6,$J106=7),-$E106*$I106/12*3,IF($J106=8,-$E106*$I106/12*2,IF($J106=9,-$E106*$I106/12*1,0)))))+IF(DE$5&lt;&gt;$H106,0,IF(DE106&lt;0,IF($J106=7,-$E106*$I106/12*0,IF($J106=8,-$E106*$I106/12*1,IF($J106=9,-$E106*$I106/12*2,IF($J106&gt;=10,-$E106*$I106/12*3,0))))))</f>
        <v>0</v>
      </c>
      <c r="DI106" s="412">
        <f>IF($H106&lt;&gt;DJ$5,0,IF(DJ106&lt;0,IF(OR($J106=1,$J106=2,$J106=3,$J106=4,$J106=5,$J106=6,$J106=7,$J106=8,$J106=9,$J106=10),-$E106*$I106/12*3,IF($J106=11,-$E106*$I106/12*2,IF($J106=12,-$E106*$I106/12*1,0)))))+IF(DE$5&lt;&gt;$H106,0,IF(DE106&lt;0,IF($J106=10,-$E106*$I106/12*0,IF($J106=11,-$E106*$I106/12*1,IF($J106=12,-$E106*$I106/12*2,0)))))</f>
        <v>0</v>
      </c>
      <c r="DJ106" s="413">
        <f>IF(AND(DE106&lt;&gt;0,DE$5=$H106),-$I106*$E106-DE106,IF(DJ$5=$H106,-$I106*$E106*(12-$J106+1)/12,0))</f>
        <v>0</v>
      </c>
      <c r="DK106" s="410">
        <f>IF($H106&lt;&gt;DO$5,0,IF(DO106&lt;0,IF($J106=1,-$E106*$I106/12*3,IF($J106=2,-$E106*$I106/12*2,IF($J106=3,-$E106*$I106/12*1,0)))))+IF(DJ$5&lt;&gt;$H106,0,IF(DJ106&lt;0,IF($J106=1,-$E106*$I106/12*0,IF($J106=2,-$E106*$I106/12*1,IF($J106=3,-$E106*$I106/12*2,IF($J106&gt;=4,-$E106*$I106/12*3,0))))))</f>
        <v>0</v>
      </c>
      <c r="DL106" s="416">
        <f>IF($H106&lt;&gt;DO$5,0,IF(DO106&lt;0,IF(OR($J106=1,$J106=2,$J106=3,$J106=4),-$E106*$I106/12*3,IF($J106=5,-$E106*$I106/12*2,IF($J106=6,-$E106*$I106/12*1,0)))))+IF(DJ$5&lt;&gt;$H106,0,IF(DJ106&lt;0,IF($J106=4,-$E106*$I106/12*0,IF($J106=5,-$E106*$I106/12*1,IF($J106=6,-$E106*$I106/12*2,IF($J106&gt;=7,-$E106*$I106/12*3,0))))))</f>
        <v>0</v>
      </c>
      <c r="DM106" s="416">
        <f>IF($H106&lt;&gt;DO$5,0,IF(DO106&lt;0,IF(OR($J106=1,$J106=2,$J106=3,$J106=4,$J106=5,$J106=6,$J106=7),-$E106*$I106/12*3,IF($J106=8,-$E106*$I106/12*2,IF($J106=9,-$E106*$I106/12*1,0)))))+IF(DJ$5&lt;&gt;$H106,0,IF(DJ106&lt;0,IF($J106=7,-$E106*$I106/12*0,IF($J106=8,-$E106*$I106/12*1,IF($J106=9,-$E106*$I106/12*2,IF($J106&gt;=10,-$E106*$I106/12*3,0))))))</f>
        <v>0</v>
      </c>
      <c r="DN106" s="412">
        <f>IF($H106&lt;&gt;DO$5,0,IF(DO106&lt;0,IF(OR($J106=1,$J106=2,$J106=3,$J106=4,$J106=5,$J106=6,$J106=7,$J106=8,$J106=9,$J106=10),-$E106*$I106/12*3,IF($J106=11,-$E106*$I106/12*2,IF($J106=12,-$E106*$I106/12*1,0)))))+IF(DJ$5&lt;&gt;$H106,0,IF(DJ106&lt;0,IF($J106=10,-$E106*$I106/12*0,IF($J106=11,-$E106*$I106/12*1,IF($J106=12,-$E106*$I106/12*2,0)))))</f>
        <v>0</v>
      </c>
      <c r="DO106" s="413">
        <f>IF(AND(DJ106&lt;&gt;0,DJ$5=$H106),-$I106*$E106-DJ106,IF(DO$5=$H106,-$I106*$E106*(12-$J106+1)/12,0))</f>
        <v>0</v>
      </c>
      <c r="DP106" s="410">
        <f>IF($H106&lt;&gt;DT$5,0,IF(DT106&lt;0,IF($J106=1,-$E106*$I106/12*3,IF($J106=2,-$E106*$I106/12*2,IF($J106=3,-$E106*$I106/12*1,0)))))+IF(DO$5&lt;&gt;$H106,0,IF(DO106&lt;0,IF($J106=1,-$E106*$I106/12*0,IF($J106=2,-$E106*$I106/12*1,IF($J106=3,-$E106*$I106/12*2,IF($J106&gt;=4,-$E106*$I106/12*3,0))))))</f>
        <v>0</v>
      </c>
      <c r="DQ106" s="416">
        <f>IF($H106&lt;&gt;DT$5,0,IF(DT106&lt;0,IF(OR($J106=1,$J106=2,$J106=3,$J106=4),-$E106*$I106/12*3,IF($J106=5,-$E106*$I106/12*2,IF($J106=6,-$E106*$I106/12*1,0)))))+IF(DO$5&lt;&gt;$H106,0,IF(DO106&lt;0,IF($J106=4,-$E106*$I106/12*0,IF($J106=5,-$E106*$I106/12*1,IF($J106=6,-$E106*$I106/12*2,IF($J106&gt;=7,-$E106*$I106/12*3,0))))))</f>
        <v>0</v>
      </c>
      <c r="DR106" s="416">
        <f>IF($H106&lt;&gt;DT$5,0,IF(DT106&lt;0,IF(OR($J106=1,$J106=2,$J106=3,$J106=4,$J106=5,$J106=6,$J106=7),-$E106*$I106/12*3,IF($J106=8,-$E106*$I106/12*2,IF($J106=9,-$E106*$I106/12*1,0)))))+IF(DO$5&lt;&gt;$H106,0,IF(DO106&lt;0,IF($J106=7,-$E106*$I106/12*0,IF($J106=8,-$E106*$I106/12*1,IF($J106=9,-$E106*$I106/12*2,IF($J106&gt;=10,-$E106*$I106/12*3,0))))))</f>
        <v>0</v>
      </c>
      <c r="DS106" s="412">
        <f>IF($H106&lt;&gt;DT$5,0,IF(DT106&lt;0,IF(OR($J106=1,$J106=2,$J106=3,$J106=4,$J106=5,$J106=6,$J106=7,$J106=8,$J106=9,$J106=10),-$E106*$I106/12*3,IF($J106=11,-$E106*$I106/12*2,IF($J106=12,-$E106*$I106/12*1,0)))))+IF(DO$5&lt;&gt;$H106,0,IF(DO106&lt;0,IF($J106=10,-$E106*$I106/12*0,IF($J106=11,-$E106*$I106/12*1,IF($J106=12,-$E106*$I106/12*2,0)))))</f>
        <v>0</v>
      </c>
      <c r="DT106" s="413">
        <f>IF(AND(DO106&lt;&gt;0,DO$5=$H106),-$I106*$E106-DO106,IF(DT$5=$H106,-$I106*$E106*(12-$J106+1)/12,0))</f>
        <v>0</v>
      </c>
    </row>
    <row r="107" spans="1:124" ht="12.75" customHeight="1">
      <c r="A107" s="491"/>
      <c r="C107" s="1884" t="s">
        <v>1091</v>
      </c>
      <c r="D107" s="1885"/>
      <c r="E107" s="1886">
        <f>IF(F107=0,G107,F107)</f>
        <v>11.5</v>
      </c>
      <c r="F107" s="1532">
        <v>0</v>
      </c>
      <c r="G107" s="1532">
        <v>11.5</v>
      </c>
      <c r="H107" s="610">
        <v>2017</v>
      </c>
      <c r="I107" s="1533">
        <v>2.0080000000000001E-2</v>
      </c>
      <c r="J107" s="615">
        <v>1</v>
      </c>
      <c r="K107" s="402"/>
      <c r="L107" s="407">
        <f>IF(L$5=$H107,-$E107,0)</f>
        <v>0</v>
      </c>
      <c r="M107" s="404">
        <f>IF(Q107=0,0,IF(Q107&lt;0,IF($J107=3,Q107,IF($J107=2,Q107,IF($J107=1,Q107,0)))))</f>
        <v>0</v>
      </c>
      <c r="N107" s="414">
        <f>IF(Q107=0,0,IF(Q107&lt;0,IF($J107=6,Q107,IF($J107=5,Q107,IF($J107=4,Q107,0)))))</f>
        <v>0</v>
      </c>
      <c r="O107" s="414">
        <f>IF(Q107=0,0,IF(Q107&lt;0,IF($J107=9,Q107,IF($J107=8,Q107,IF($J107=7,Q107,0)))))</f>
        <v>0</v>
      </c>
      <c r="P107" s="406">
        <f>IF(Q107=0,0,IF(Q107&lt;0,IF($J107=12,Q107,IF($J107=11,Q107,IF($J107=10,Q107,0)))))</f>
        <v>0</v>
      </c>
      <c r="Q107" s="407">
        <f>IF(Q$5=$H107,-$E107,0)</f>
        <v>0</v>
      </c>
      <c r="R107" s="404">
        <f>IF(V107=0,0,IF(V107&lt;0,IF($J107=3,V107,IF($J107=2,V107,IF($J107=1,V107,0)))))</f>
        <v>0</v>
      </c>
      <c r="S107" s="414">
        <f>IF(V107=0,0,IF(V107&lt;0,IF($J107=6,V107,IF($J107=5,V107,IF($J107=4,V107,0)))))</f>
        <v>0</v>
      </c>
      <c r="T107" s="414">
        <f>IF(V107=0,0,IF(V107&lt;0,IF($J107=9,V107,IF($J107=8,V107,IF($J107=7,V107,0)))))</f>
        <v>0</v>
      </c>
      <c r="U107" s="406">
        <f>IF(V107=0,0,IF(V107&lt;0,IF($J107=12,V107,IF($J107=11,V107,IF($J107=10,V107,0)))))</f>
        <v>0</v>
      </c>
      <c r="V107" s="407">
        <f>IF(V$5=$H107,-$E107,0)</f>
        <v>0</v>
      </c>
      <c r="W107" s="404">
        <f>IF(AA107=0,0,IF(AA107&lt;0,IF($J107=3,AA107,IF($J107=2,AA107,IF($J107=1,AA107,0)))))</f>
        <v>0</v>
      </c>
      <c r="X107" s="414">
        <f>IF(AA107=0,0,IF(AA107&lt;0,IF($J107=6,AA107,IF($J107=5,AA107,IF($J107=4,AA107,0)))))</f>
        <v>0</v>
      </c>
      <c r="Y107" s="414">
        <f>IF(AA107=0,0,IF(AA107&lt;0,IF($J107=9,AA107,IF($J107=8,AA107,IF($J107=7,AA107,0)))))</f>
        <v>0</v>
      </c>
      <c r="Z107" s="406">
        <f>IF(AA107=0,0,IF(AA107&lt;0,IF($J107=12,AA107,IF($J107=11,AA107,IF($J107=10,AA107,0)))))</f>
        <v>0</v>
      </c>
      <c r="AA107" s="407">
        <f>IF(AA$5=$H107,-$E107,0)</f>
        <v>0</v>
      </c>
      <c r="AB107" s="404">
        <f>IF(AF107=0,0,IF(AF107&lt;0,IF($J107=3,AF107,IF($J107=2,AF107,IF($J107=1,AF107,0)))))</f>
        <v>0</v>
      </c>
      <c r="AC107" s="414">
        <f>IF(AF107=0,0,IF(AF107&lt;0,IF($J107=6,AF107,IF($J107=5,AF107,IF($J107=4,AF107,0)))))</f>
        <v>0</v>
      </c>
      <c r="AD107" s="414">
        <f>IF(AF107=0,0,IF(AF107&lt;0,IF($J107=9,AF107,IF($J107=8,AF107,IF($J107=7,AF107,0)))))</f>
        <v>0</v>
      </c>
      <c r="AE107" s="406">
        <f>IF(AF107=0,0,IF(AF107&lt;0,IF($J107=12,AF107,IF($J107=11,AF107,IF($J107=10,AF107,0)))))</f>
        <v>0</v>
      </c>
      <c r="AF107" s="407">
        <f>IF(AF$5=$H107,-$E107,0)</f>
        <v>0</v>
      </c>
      <c r="AG107" s="404">
        <f>IF(AK107=0,0,IF(AK107&lt;0,IF($J107=3,AK107,IF($J107=2,AK107,IF($J107=1,AK107,0)))))</f>
        <v>0</v>
      </c>
      <c r="AH107" s="414">
        <f>IF(AK107=0,0,IF(AK107&lt;0,IF($J107=6,AK107,IF($J107=5,AK107,IF($J107=4,AK107,0)))))</f>
        <v>0</v>
      </c>
      <c r="AI107" s="414">
        <f>IF(AK107=0,0,IF(AK107&lt;0,IF($J107=9,AK107,IF($J107=8,AK107,IF($J107=7,AK107,0)))))</f>
        <v>0</v>
      </c>
      <c r="AJ107" s="406">
        <f>IF(AK107=0,0,IF(AK107&lt;0,IF($J107=12,AK107,IF($J107=11,AK107,IF($J107=10,AK107,0)))))</f>
        <v>0</v>
      </c>
      <c r="AK107" s="407">
        <f>IF(AK$5=$H107,-$E107,0)</f>
        <v>0</v>
      </c>
      <c r="AL107" s="404">
        <f>IF(AP107=0,0,IF(AP107&lt;0,IF($J107=3,AP107,IF($J107=2,AP107,IF($J107=1,AP107,0)))))</f>
        <v>0</v>
      </c>
      <c r="AM107" s="414">
        <f>IF(AP107=0,0,IF(AP107&lt;0,IF($J107=6,AP107,IF($J107=5,AP107,IF($J107=4,AP107,0)))))</f>
        <v>0</v>
      </c>
      <c r="AN107" s="414">
        <f>IF(AP107=0,0,IF(AP107&lt;0,IF($J107=9,AP107,IF($J107=8,AP107,IF($J107=7,AP107,0)))))</f>
        <v>0</v>
      </c>
      <c r="AO107" s="406">
        <f>IF(AP107=0,0,IF(AP107&lt;0,IF($J107=12,AP107,IF($J107=11,AP107,IF($J107=10,AP107,0)))))</f>
        <v>0</v>
      </c>
      <c r="AP107" s="407">
        <f>IF(AP$5=$H107,-$E107,0)</f>
        <v>0</v>
      </c>
      <c r="AQ107" s="404">
        <f>IF(AU107=0,0,IF(AU107&lt;0,IF($J107=3,AU107,IF($J107=2,AU107,IF($J107=1,AU107,0)))))</f>
        <v>-11.5</v>
      </c>
      <c r="AR107" s="414">
        <f>IF(AU107=0,0,IF(AU107&lt;0,IF($J107=6,AU107,IF($J107=5,AU107,IF($J107=4,AU107,0)))))</f>
        <v>0</v>
      </c>
      <c r="AS107" s="414">
        <f>IF(AU107=0,0,IF(AU107&lt;0,IF($J107=9,AU107,IF($J107=8,AU107,IF($J107=7,AU107,0)))))</f>
        <v>0</v>
      </c>
      <c r="AT107" s="406">
        <f>IF(AU107=0,0,IF(AU107&lt;0,IF($J107=12,AU107,IF($J107=11,AU107,IF($J107=10,AU107,0)))))</f>
        <v>0</v>
      </c>
      <c r="AU107" s="407">
        <f>IF(AU$5=$H107,-$E107,0)</f>
        <v>-11.5</v>
      </c>
      <c r="AV107" s="404">
        <f>IF(AZ107=0,0,IF(AZ107&lt;0,IF($J107=3,AZ107,IF($J107=2,AZ107,IF($J107=1,AZ107,0)))))</f>
        <v>0</v>
      </c>
      <c r="AW107" s="414">
        <f>IF(AZ107=0,0,IF(AZ107&lt;0,IF($J107=6,AZ107,IF($J107=5,AZ107,IF($J107=4,AZ107,0)))))</f>
        <v>0</v>
      </c>
      <c r="AX107" s="414">
        <f>IF(AZ107=0,0,IF(AZ107&lt;0,IF($J107=9,AZ107,IF($J107=8,AZ107,IF($J107=7,AZ107,0)))))</f>
        <v>0</v>
      </c>
      <c r="AY107" s="406">
        <f>IF(AZ107=0,0,IF(AZ107&lt;0,IF($J107=12,AZ107,IF($J107=11,AZ107,IF($J107=10,AZ107,0)))))</f>
        <v>0</v>
      </c>
      <c r="AZ107" s="407">
        <f>IF(AZ$5=$H107,-$E107,0)</f>
        <v>0</v>
      </c>
      <c r="BA107" s="404">
        <f>IF(BE107=0,0,IF(BE107&lt;0,IF($J107=3,BE107,IF($J107=2,BE107,IF($J107=1,BE107,0)))))</f>
        <v>0</v>
      </c>
      <c r="BB107" s="414">
        <f>IF(BE107=0,0,IF(BE107&lt;0,IF($J107=6,BE107,IF($J107=5,BE107,IF($J107=4,BE107,0)))))</f>
        <v>0</v>
      </c>
      <c r="BC107" s="414">
        <f>IF(BE107=0,0,IF(BE107&lt;0,IF($J107=9,BE107,IF($J107=8,BE107,IF($J107=7,BE107,0)))))</f>
        <v>0</v>
      </c>
      <c r="BD107" s="406">
        <f>IF(BE107=0,0,IF(BE107&lt;0,IF($J107=12,BE107,IF($J107=11,BE107,IF($J107=10,BE107,0)))))</f>
        <v>0</v>
      </c>
      <c r="BE107" s="407">
        <f>IF(BE$5=$H107,-$E107,0)</f>
        <v>0</v>
      </c>
      <c r="BF107" s="404">
        <f>IF(BJ107=0,0,IF(BJ107&lt;0,IF($J107=3,BJ107,IF($J107=2,BJ107,IF($J107=1,BJ107,0)))))</f>
        <v>0</v>
      </c>
      <c r="BG107" s="414">
        <f>IF(BJ107=0,0,IF(BJ107&lt;0,IF($J107=6,BJ107,IF($J107=5,BJ107,IF($J107=4,BJ107,0)))))</f>
        <v>0</v>
      </c>
      <c r="BH107" s="414">
        <f>IF(BJ107=0,0,IF(BJ107&lt;0,IF($J107=9,BJ107,IF($J107=8,BJ107,IF($J107=7,BJ107,0)))))</f>
        <v>0</v>
      </c>
      <c r="BI107" s="406">
        <f>IF(BJ107=0,0,IF(BJ107&lt;0,IF($J107=12,BJ107,IF($J107=11,BJ107,IF($J107=10,BJ107,0)))))</f>
        <v>0</v>
      </c>
      <c r="BJ107" s="407">
        <f>IF(BJ$5=$H107,-$E107,0)</f>
        <v>0</v>
      </c>
      <c r="BK107" s="404">
        <f>IF(BO107=0,0,IF(BO107&lt;0,IF($J107=3,BO107,IF($J107=2,BO107,IF($J107=1,BO107,0)))))</f>
        <v>0</v>
      </c>
      <c r="BL107" s="414">
        <f>IF(BO107=0,0,IF(BO107&lt;0,IF($J107=6,BO107,IF($J107=5,BO107,IF($J107=4,BO107,0)))))</f>
        <v>0</v>
      </c>
      <c r="BM107" s="414">
        <f>IF(BO107=0,0,IF(BO107&lt;0,IF($J107=9,BO107,IF($J107=8,BO107,IF($J107=7,BO107,0)))))</f>
        <v>0</v>
      </c>
      <c r="BN107" s="406">
        <f>IF(BO107=0,0,IF(BO107&lt;0,IF($J107=12,BO107,IF($J107=11,BO107,IF($J107=10,BO107,0)))))</f>
        <v>0</v>
      </c>
      <c r="BO107" s="407">
        <f>IF(BO$5=$H107,-$E107,0)</f>
        <v>0</v>
      </c>
      <c r="BP107" s="449"/>
      <c r="BQ107" s="413">
        <f>IF(AND(AH107&lt;&gt;0,AH$5=$H107),-$I107*$E107-AH107,IF(BQ$5=$H107,-$I107*$E107*(12-$J107+1)/12,0))</f>
        <v>0</v>
      </c>
      <c r="BR107" s="410">
        <f>IF($H107&lt;&gt;BV$5,0,IF(BV107&lt;0,IF($J107=1,-$E107*$I107/12*3,IF($J107=2,-$E107*$I107/12*2,IF($J107=3,-$E107*$I107/12*1,0)))))+IF(BQ$5&lt;&gt;$H107,0,IF(BQ107&lt;0,IF($J107=1,-$E107*$I107/12*0,IF($J107=2,-$E107*$I107/12*1,IF($J107=3,-$E107*$I107/12*2,IF($J107&gt;=4,-$E107*$I107/12*3,0))))))</f>
        <v>0</v>
      </c>
      <c r="BS107" s="416">
        <f>IF($H107&lt;&gt;BV$5,0,IF(BV107&lt;0,IF(OR($J107=1,$J107=2,$J107=3,$J107=4),-$E107*$I107/12*3,IF($J107=5,-$E107*$I107/12*2,IF($J107=6,-$E107*$I107/12*1,0)))))+IF(BQ$5&lt;&gt;$H107,0,IF(BQ107&lt;0,IF($J107=4,-$E107*$I107/12*0,IF($J107=5,-$E107*$I107/12*1,IF($J107=6,-$E107*$I107/12*2,IF($J107&gt;=7,-$E107*$I107/12*3,0))))))</f>
        <v>0</v>
      </c>
      <c r="BT107" s="416">
        <f>IF($H107&lt;&gt;BV$5,0,IF(BV107&lt;0,IF(OR($J107=1,$J107=2,$J107=3,$J107=4,$J107=5,$J107=6,$J107=7),-$E107*$I107/12*3,IF($J107=8,-$E107*$I107/12*2,IF($J107=9,-$E107*$I107/12*1,0)))))+IF(BQ$5&lt;&gt;$H107,0,IF(BQ107&lt;0,IF($J107=7,-$E107*$I107/12*0,IF($J107=8,-$E107*$I107/12*1,IF($J107=9,-$E107*$I107/12*2,IF($J107&gt;=10,-$E107*$I107/12*3,0))))))</f>
        <v>0</v>
      </c>
      <c r="BU107" s="412">
        <f>IF($H107&lt;&gt;BV$5,0,IF(BV107&lt;0,IF(OR($J107=1,$J107=2,$J107=3,$J107=4,$J107=5,$J107=6,$J107=7,$J107=8,$J107=9,$J107=10),-$E107*$I107/12*3,IF($J107=11,-$E107*$I107/12*2,IF($J107=12,-$E107*$I107/12*1,0)))))+IF(BQ$5&lt;&gt;$H107,0,IF(BQ107&lt;0,IF($J107=10,-$E107*$I107/12*0,IF($J107=11,-$E107*$I107/12*1,IF($J107=12,-$E107*$I107/12*2,0)))))</f>
        <v>0</v>
      </c>
      <c r="BV107" s="413">
        <f>IF(AND(BQ107&lt;&gt;0,BQ$5=$H107),-$I107*$E107-BQ107,IF(BV$5=$H107,-$I107*$E107*(12-$J107+1)/12,0))</f>
        <v>0</v>
      </c>
      <c r="BW107" s="410">
        <f>IF($H107&lt;&gt;CA$5,0,IF(CA107&lt;0,IF($J107=1,-$E107*$I107/12*3,IF($J107=2,-$E107*$I107/12*2,IF($J107=3,-$E107*$I107/12*1,0)))))+IF(BV$5&lt;&gt;$H107,0,IF(BV107&lt;0,IF($J107=1,-$E107*$I107/12*0,IF($J107=2,-$E107*$I107/12*1,IF($J107=3,-$E107*$I107/12*2,IF($J107&gt;=4,-$E107*$I107/12*3,0))))))</f>
        <v>0</v>
      </c>
      <c r="BX107" s="416">
        <f>IF($H107&lt;&gt;CA$5,0,IF(CA107&lt;0,IF(OR($J107=1,$J107=2,$J107=3,$J107=4),-$E107*$I107/12*3,IF($J107=5,-$E107*$I107/12*2,IF($J107=6,-$E107*$I107/12*1,0)))))+IF(BV$5&lt;&gt;$H107,0,IF(BV107&lt;0,IF($J107=4,-$E107*$I107/12*0,IF($J107=5,-$E107*$I107/12*1,IF($J107=6,-$E107*$I107/12*2,IF($J107&gt;=7,-$E107*$I107/12*3,0))))))</f>
        <v>0</v>
      </c>
      <c r="BY107" s="416">
        <f>IF($H107&lt;&gt;CA$5,0,IF(CA107&lt;0,IF(OR($J107=1,$J107=2,$J107=3,$J107=4,$J107=5,$J107=6,$J107=7),-$E107*$I107/12*3,IF($J107=8,-$E107*$I107/12*2,IF($J107=9,-$E107*$I107/12*1,0)))))+IF(BV$5&lt;&gt;$H107,0,IF(BV107&lt;0,IF($J107=7,-$E107*$I107/12*0,IF($J107=8,-$E107*$I107/12*1,IF($J107=9,-$E107*$I107/12*2,IF($J107&gt;=10,-$E107*$I107/12*3,0))))))</f>
        <v>0</v>
      </c>
      <c r="BZ107" s="412">
        <f>IF($H107&lt;&gt;CA$5,0,IF(CA107&lt;0,IF(OR($J107=1,$J107=2,$J107=3,$J107=4,$J107=5,$J107=6,$J107=7,$J107=8,$J107=9,$J107=10),-$E107*$I107/12*3,IF($J107=11,-$E107*$I107/12*2,IF($J107=12,-$E107*$I107/12*1,0)))))+IF(BV$5&lt;&gt;$H107,0,IF(BV107&lt;0,IF($J107=10,-$E107*$I107/12*0,IF($J107=11,-$E107*$I107/12*1,IF($J107=12,-$E107*$I107/12*2,0)))))</f>
        <v>0</v>
      </c>
      <c r="CA107" s="413">
        <f>IF(AND(BV107&lt;&gt;0,BV$5=$H107),-$I107*$E107-BV107,IF(CA$5=$H107,-$I107*$E107*(12-$J107+1)/12,0))</f>
        <v>0</v>
      </c>
      <c r="CB107" s="410">
        <f>IF($H107&lt;&gt;CF$5,0,IF(CF107&lt;0,IF($J107=1,-$E107*$I107/12*3,IF($J107=2,-$E107*$I107/12*2,IF($J107=3,-$E107*$I107/12*1,0)))))+IF(CA$5&lt;&gt;$H107,0,IF(CA107&lt;0,IF($J107=1,-$E107*$I107/12*0,IF($J107=2,-$E107*$I107/12*1,IF($J107=3,-$E107*$I107/12*2,IF($J107&gt;=4,-$E107*$I107/12*3,0))))))</f>
        <v>0</v>
      </c>
      <c r="CC107" s="416">
        <f>IF($H107&lt;&gt;CF$5,0,IF(CF107&lt;0,IF(OR($J107=1,$J107=2,$J107=3,$J107=4),-$E107*$I107/12*3,IF($J107=5,-$E107*$I107/12*2,IF($J107=6,-$E107*$I107/12*1,0)))))+IF(CA$5&lt;&gt;$H107,0,IF(CA107&lt;0,IF($J107=4,-$E107*$I107/12*0,IF($J107=5,-$E107*$I107/12*1,IF($J107=6,-$E107*$I107/12*2,IF($J107&gt;=7,-$E107*$I107/12*3,0))))))</f>
        <v>0</v>
      </c>
      <c r="CD107" s="416">
        <f>IF($H107&lt;&gt;CF$5,0,IF(CF107&lt;0,IF(OR($J107=1,$J107=2,$J107=3,$J107=4,$J107=5,$J107=6,$J107=7),-$E107*$I107/12*3,IF($J107=8,-$E107*$I107/12*2,IF($J107=9,-$E107*$I107/12*1,0)))))+IF(CA$5&lt;&gt;$H107,0,IF(CA107&lt;0,IF($J107=7,-$E107*$I107/12*0,IF($J107=8,-$E107*$I107/12*1,IF($J107=9,-$E107*$I107/12*2,IF($J107&gt;=10,-$E107*$I107/12*3,0))))))</f>
        <v>0</v>
      </c>
      <c r="CE107" s="412">
        <f>IF($H107&lt;&gt;CF$5,0,IF(CF107&lt;0,IF(OR($J107=1,$J107=2,$J107=3,$J107=4,$J107=5,$J107=6,$J107=7,$J107=8,$J107=9,$J107=10),-$E107*$I107/12*3,IF($J107=11,-$E107*$I107/12*2,IF($J107=12,-$E107*$I107/12*1,0)))))+IF(CA$5&lt;&gt;$H107,0,IF(CA107&lt;0,IF($J107=10,-$E107*$I107/12*0,IF($J107=11,-$E107*$I107/12*1,IF($J107=12,-$E107*$I107/12*2,0)))))</f>
        <v>0</v>
      </c>
      <c r="CF107" s="413">
        <f>IF(AND(CA107&lt;&gt;0,CA$5=$H107),-$I107*$E107-CA107,IF(CF$5=$H107,-$I107*$E107*(12-$J107+1)/12,0))</f>
        <v>0</v>
      </c>
      <c r="CG107" s="410">
        <f>IF($H107&lt;&gt;CK$5,0,IF(CK107&lt;0,IF($J107=1,-$E107*$I107/12*3,IF($J107=2,-$E107*$I107/12*2,IF($J107=3,-$E107*$I107/12*1,0)))))+IF(CF$5&lt;&gt;$H107,0,IF(CF107&lt;0,IF($J107=1,-$E107*$I107/12*0,IF($J107=2,-$E107*$I107/12*1,IF($J107=3,-$E107*$I107/12*2,IF($J107&gt;=4,-$E107*$I107/12*3,0))))))</f>
        <v>0</v>
      </c>
      <c r="CH107" s="416">
        <f>IF($H107&lt;&gt;CK$5,0,IF(CK107&lt;0,IF(OR($J107=1,$J107=2,$J107=3,$J107=4),-$E107*$I107/12*3,IF($J107=5,-$E107*$I107/12*2,IF($J107=6,-$E107*$I107/12*1,0)))))+IF(CF$5&lt;&gt;$H107,0,IF(CF107&lt;0,IF($J107=4,-$E107*$I107/12*0,IF($J107=5,-$E107*$I107/12*1,IF($J107=6,-$E107*$I107/12*2,IF($J107&gt;=7,-$E107*$I107/12*3,0))))))</f>
        <v>0</v>
      </c>
      <c r="CI107" s="416">
        <f>IF($H107&lt;&gt;CK$5,0,IF(CK107&lt;0,IF(OR($J107=1,$J107=2,$J107=3,$J107=4,$J107=5,$J107=6,$J107=7),-$E107*$I107/12*3,IF($J107=8,-$E107*$I107/12*2,IF($J107=9,-$E107*$I107/12*1,0)))))+IF(CF$5&lt;&gt;$H107,0,IF(CF107&lt;0,IF($J107=7,-$E107*$I107/12*0,IF($J107=8,-$E107*$I107/12*1,IF($J107=9,-$E107*$I107/12*2,IF($J107&gt;=10,-$E107*$I107/12*3,0))))))</f>
        <v>0</v>
      </c>
      <c r="CJ107" s="412">
        <f>IF($H107&lt;&gt;CK$5,0,IF(CK107&lt;0,IF(OR($J107=1,$J107=2,$J107=3,$J107=4,$J107=5,$J107=6,$J107=7,$J107=8,$J107=9,$J107=10),-$E107*$I107/12*3,IF($J107=11,-$E107*$I107/12*2,IF($J107=12,-$E107*$I107/12*1,0)))))+IF(CF$5&lt;&gt;$H107,0,IF(CF107&lt;0,IF($J107=10,-$E107*$I107/12*0,IF($J107=11,-$E107*$I107/12*1,IF($J107=12,-$E107*$I107/12*2,0)))))</f>
        <v>0</v>
      </c>
      <c r="CK107" s="413">
        <f>IF(AND(CF107&lt;&gt;0,CF$5=$H107),-$I107*$E107-CF107,IF(CK$5=$H107,-$I107*$E107*(12-$J107+1)/12,0))</f>
        <v>0</v>
      </c>
      <c r="CL107" s="410">
        <f>IF($H107&lt;&gt;CP$5,0,IF(CP107&lt;0,IF($J107=1,-$E107*$I107/12*3,IF($J107=2,-$E107*$I107/12*2,IF($J107=3,-$E107*$I107/12*1,0)))))+IF(CK$5&lt;&gt;$H107,0,IF(CK107&lt;0,IF($J107=1,-$E107*$I107/12*0,IF($J107=2,-$E107*$I107/12*1,IF($J107=3,-$E107*$I107/12*2,IF($J107&gt;=4,-$E107*$I107/12*3,0))))))</f>
        <v>0</v>
      </c>
      <c r="CM107" s="416">
        <f>IF($H107&lt;&gt;CP$5,0,IF(CP107&lt;0,IF(OR($J107=1,$J107=2,$J107=3,$J107=4),-$E107*$I107/12*3,IF($J107=5,-$E107*$I107/12*2,IF($J107=6,-$E107*$I107/12*1,0)))))+IF(CK$5&lt;&gt;$H107,0,IF(CK107&lt;0,IF($J107=4,-$E107*$I107/12*0,IF($J107=5,-$E107*$I107/12*1,IF($J107=6,-$E107*$I107/12*2,IF($J107&gt;=7,-$E107*$I107/12*3,0))))))</f>
        <v>0</v>
      </c>
      <c r="CN107" s="416">
        <f>IF($H107&lt;&gt;CP$5,0,IF(CP107&lt;0,IF(OR($J107=1,$J107=2,$J107=3,$J107=4,$J107=5,$J107=6,$J107=7),-$E107*$I107/12*3,IF($J107=8,-$E107*$I107/12*2,IF($J107=9,-$E107*$I107/12*1,0)))))+IF(CK$5&lt;&gt;$H107,0,IF(CK107&lt;0,IF($J107=7,-$E107*$I107/12*0,IF($J107=8,-$E107*$I107/12*1,IF($J107=9,-$E107*$I107/12*2,IF($J107&gt;=10,-$E107*$I107/12*3,0))))))</f>
        <v>0</v>
      </c>
      <c r="CO107" s="412">
        <f>IF($H107&lt;&gt;CP$5,0,IF(CP107&lt;0,IF(OR($J107=1,$J107=2,$J107=3,$J107=4,$J107=5,$J107=6,$J107=7,$J107=8,$J107=9,$J107=10),-$E107*$I107/12*3,IF($J107=11,-$E107*$I107/12*2,IF($J107=12,-$E107*$I107/12*1,0)))))+IF(CK$5&lt;&gt;$H107,0,IF(CK107&lt;0,IF($J107=10,-$E107*$I107/12*0,IF($J107=11,-$E107*$I107/12*1,IF($J107=12,-$E107*$I107/12*2,0)))))</f>
        <v>0</v>
      </c>
      <c r="CP107" s="413">
        <f>IF(AND(CK107&lt;&gt;0,CK$5=$H107),-$I107*$E107-CK107,IF(CP$5=$H107,-$I107*$E107*(12-$J107+1)/12,0))</f>
        <v>0</v>
      </c>
      <c r="CQ107" s="410">
        <f>IF($H107&lt;&gt;CU$5,0,IF(CU107&lt;0,IF($J107=1,-$E107*$I107/12*3,IF($J107=2,-$E107*$I107/12*2,IF($J107=3,-$E107*$I107/12*1,0)))))+IF(CP$5&lt;&gt;$H107,0,IF(CP107&lt;0,IF($J107=1,-$E107*$I107/12*0,IF($J107=2,-$E107*$I107/12*1,IF($J107=3,-$E107*$I107/12*2,IF($J107&gt;=4,-$E107*$I107/12*3,0))))))</f>
        <v>0</v>
      </c>
      <c r="CR107" s="416">
        <f>IF($H107&lt;&gt;CU$5,0,IF(CU107&lt;0,IF(OR($J107=1,$J107=2,$J107=3,$J107=4),-$E107*$I107/12*3,IF($J107=5,-$E107*$I107/12*2,IF($J107=6,-$E107*$I107/12*1,0)))))+IF(CP$5&lt;&gt;$H107,0,IF(CP107&lt;0,IF($J107=4,-$E107*$I107/12*0,IF($J107=5,-$E107*$I107/12*1,IF($J107=6,-$E107*$I107/12*2,IF($J107&gt;=7,-$E107*$I107/12*3,0))))))</f>
        <v>0</v>
      </c>
      <c r="CS107" s="416">
        <f>IF($H107&lt;&gt;CU$5,0,IF(CU107&lt;0,IF(OR($J107=1,$J107=2,$J107=3,$J107=4,$J107=5,$J107=6,$J107=7),-$E107*$I107/12*3,IF($J107=8,-$E107*$I107/12*2,IF($J107=9,-$E107*$I107/12*1,0)))))+IF(CP$5&lt;&gt;$H107,0,IF(CP107&lt;0,IF($J107=7,-$E107*$I107/12*0,IF($J107=8,-$E107*$I107/12*1,IF($J107=9,-$E107*$I107/12*2,IF($J107&gt;=10,-$E107*$I107/12*3,0))))))</f>
        <v>0</v>
      </c>
      <c r="CT107" s="412">
        <f>IF($H107&lt;&gt;CU$5,0,IF(CU107&lt;0,IF(OR($J107=1,$J107=2,$J107=3,$J107=4,$J107=5,$J107=6,$J107=7,$J107=8,$J107=9,$J107=10),-$E107*$I107/12*3,IF($J107=11,-$E107*$I107/12*2,IF($J107=12,-$E107*$I107/12*1,0)))))+IF(CP$5&lt;&gt;$H107,0,IF(CP107&lt;0,IF($J107=10,-$E107*$I107/12*0,IF($J107=11,-$E107*$I107/12*1,IF($J107=12,-$E107*$I107/12*2,0)))))</f>
        <v>0</v>
      </c>
      <c r="CU107" s="413">
        <f>IF(AND(CP107&lt;&gt;0,CP$5=$H107),-$I107*$E107-CP107,IF(CU$5=$H107,-$I107*$E107*(12-$J107+1)/12,0))</f>
        <v>0</v>
      </c>
      <c r="CV107" s="410">
        <f>IF($H107&lt;&gt;CZ$5,0,IF(CZ107&lt;0,IF($J107=1,-$E107*$I107/12*3,IF($J107=2,-$E107*$I107/12*2,IF($J107=3,-$E107*$I107/12*1,0)))))+IF(CU$5&lt;&gt;$H107,0,IF(CU107&lt;0,IF($J107=1,-$E107*$I107/12*0,IF($J107=2,-$E107*$I107/12*1,IF($J107=3,-$E107*$I107/12*2,IF($J107&gt;=4,-$E107*$I107/12*3,0))))))</f>
        <v>-5.7730000000000004E-2</v>
      </c>
      <c r="CW107" s="416">
        <f>IF($H107&lt;&gt;CZ$5,0,IF(CZ107&lt;0,IF(OR($J107=1,$J107=2,$J107=3,$J107=4),-$E107*$I107/12*3,IF($J107=5,-$E107*$I107/12*2,IF($J107=6,-$E107*$I107/12*1,0)))))+IF(CU$5&lt;&gt;$H107,0,IF(CU107&lt;0,IF($J107=4,-$E107*$I107/12*0,IF($J107=5,-$E107*$I107/12*1,IF($J107=6,-$E107*$I107/12*2,IF($J107&gt;=7,-$E107*$I107/12*3,0))))))</f>
        <v>-5.7730000000000004E-2</v>
      </c>
      <c r="CX107" s="416">
        <f>IF($H107&lt;&gt;CZ$5,0,IF(CZ107&lt;0,IF(OR($J107=1,$J107=2,$J107=3,$J107=4,$J107=5,$J107=6,$J107=7),-$E107*$I107/12*3,IF($J107=8,-$E107*$I107/12*2,IF($J107=9,-$E107*$I107/12*1,0)))))+IF(CU$5&lt;&gt;$H107,0,IF(CU107&lt;0,IF($J107=7,-$E107*$I107/12*0,IF($J107=8,-$E107*$I107/12*1,IF($J107=9,-$E107*$I107/12*2,IF($J107&gt;=10,-$E107*$I107/12*3,0))))))</f>
        <v>-5.7730000000000004E-2</v>
      </c>
      <c r="CY107" s="412">
        <f>IF($H107&lt;&gt;CZ$5,0,IF(CZ107&lt;0,IF(OR($J107=1,$J107=2,$J107=3,$J107=4,$J107=5,$J107=6,$J107=7,$J107=8,$J107=9,$J107=10),-$E107*$I107/12*3,IF($J107=11,-$E107*$I107/12*2,IF($J107=12,-$E107*$I107/12*1,0)))))+IF(CU$5&lt;&gt;$H107,0,IF(CU107&lt;0,IF($J107=10,-$E107*$I107/12*0,IF($J107=11,-$E107*$I107/12*1,IF($J107=12,-$E107*$I107/12*2,0)))))</f>
        <v>-5.7730000000000004E-2</v>
      </c>
      <c r="CZ107" s="413">
        <f>IF(AND(CU107&lt;&gt;0,CU$5=$H107),-$I107*$E107-CU107,IF(CZ$5=$H107,-$I107*$E107*(12-$J107+1)/12,0))</f>
        <v>-0.23092000000000001</v>
      </c>
      <c r="DA107" s="410">
        <f>IF($H107&lt;&gt;DE$5,0,IF(DE107&lt;0,IF($J107=1,-$E107*$I107/12*3,IF($J107=2,-$E107*$I107/12*2,IF($J107=3,-$E107*$I107/12*1,0)))))+IF(CZ$5&lt;&gt;$H107,0,IF(CZ107&lt;0,IF($J107=1,-$E107*$I107/12*0,IF($J107=2,-$E107*$I107/12*1,IF($J107=3,-$E107*$I107/12*2,IF($J107&gt;=4,-$E107*$I107/12*3,0))))))</f>
        <v>0</v>
      </c>
      <c r="DB107" s="416">
        <f>IF($H107&lt;&gt;DE$5,0,IF(DE107&lt;0,IF(OR($J107=1,$J107=2,$J107=3,$J107=4),-$E107*$I107/12*3,IF($J107=5,-$E107*$I107/12*2,IF($J107=6,-$E107*$I107/12*1,0)))))+IF(CZ$5&lt;&gt;$H107,0,IF(CZ107&lt;0,IF($J107=4,-$E107*$I107/12*0,IF($J107=5,-$E107*$I107/12*1,IF($J107=6,-$E107*$I107/12*2,IF($J107&gt;=7,-$E107*$I107/12*3,0))))))</f>
        <v>0</v>
      </c>
      <c r="DC107" s="416">
        <f>IF($H107&lt;&gt;DE$5,0,IF(DE107&lt;0,IF(OR($J107=1,$J107=2,$J107=3,$J107=4,$J107=5,$J107=6,$J107=7),-$E107*$I107/12*3,IF($J107=8,-$E107*$I107/12*2,IF($J107=9,-$E107*$I107/12*1,0)))))+IF(CZ$5&lt;&gt;$H107,0,IF(CZ107&lt;0,IF($J107=7,-$E107*$I107/12*0,IF($J107=8,-$E107*$I107/12*1,IF($J107=9,-$E107*$I107/12*2,IF($J107&gt;=10,-$E107*$I107/12*3,0))))))</f>
        <v>0</v>
      </c>
      <c r="DD107" s="412">
        <f>IF($H107&lt;&gt;DE$5,0,IF(DE107&lt;0,IF(OR($J107=1,$J107=2,$J107=3,$J107=4,$J107=5,$J107=6,$J107=7,$J107=8,$J107=9,$J107=10),-$E107*$I107/12*3,IF($J107=11,-$E107*$I107/12*2,IF($J107=12,-$E107*$I107/12*1,0)))))+IF(CZ$5&lt;&gt;$H107,0,IF(CZ107&lt;0,IF($J107=10,-$E107*$I107/12*0,IF($J107=11,-$E107*$I107/12*1,IF($J107=12,-$E107*$I107/12*2,0)))))</f>
        <v>0</v>
      </c>
      <c r="DE107" s="413">
        <f>IF(AND(CZ107&lt;&gt;0,CZ$5=$H107),-$I107*$E107-CZ107,IF(DE$5=$H107,-$I107*$E107*(12-$J107+1)/12,0))</f>
        <v>0</v>
      </c>
      <c r="DF107" s="410">
        <f>IF($H107&lt;&gt;DJ$5,0,IF(DJ107&lt;0,IF($J107=1,-$E107*$I107/12*3,IF($J107=2,-$E107*$I107/12*2,IF($J107=3,-$E107*$I107/12*1,0)))))+IF(DE$5&lt;&gt;$H107,0,IF(DE107&lt;0,IF($J107=1,-$E107*$I107/12*0,IF($J107=2,-$E107*$I107/12*1,IF($J107=3,-$E107*$I107/12*2,IF($J107&gt;=4,-$E107*$I107/12*3,0))))))</f>
        <v>0</v>
      </c>
      <c r="DG107" s="416">
        <f>IF($H107&lt;&gt;DJ$5,0,IF(DJ107&lt;0,IF(OR($J107=1,$J107=2,$J107=3,$J107=4),-$E107*$I107/12*3,IF($J107=5,-$E107*$I107/12*2,IF($J107=6,-$E107*$I107/12*1,0)))))+IF(DE$5&lt;&gt;$H107,0,IF(DE107&lt;0,IF($J107=4,-$E107*$I107/12*0,IF($J107=5,-$E107*$I107/12*1,IF($J107=6,-$E107*$I107/12*2,IF($J107&gt;=7,-$E107*$I107/12*3,0))))))</f>
        <v>0</v>
      </c>
      <c r="DH107" s="416">
        <f>IF($H107&lt;&gt;DJ$5,0,IF(DJ107&lt;0,IF(OR($J107=1,$J107=2,$J107=3,$J107=4,$J107=5,$J107=6,$J107=7),-$E107*$I107/12*3,IF($J107=8,-$E107*$I107/12*2,IF($J107=9,-$E107*$I107/12*1,0)))))+IF(DE$5&lt;&gt;$H107,0,IF(DE107&lt;0,IF($J107=7,-$E107*$I107/12*0,IF($J107=8,-$E107*$I107/12*1,IF($J107=9,-$E107*$I107/12*2,IF($J107&gt;=10,-$E107*$I107/12*3,0))))))</f>
        <v>0</v>
      </c>
      <c r="DI107" s="412">
        <f>IF($H107&lt;&gt;DJ$5,0,IF(DJ107&lt;0,IF(OR($J107=1,$J107=2,$J107=3,$J107=4,$J107=5,$J107=6,$J107=7,$J107=8,$J107=9,$J107=10),-$E107*$I107/12*3,IF($J107=11,-$E107*$I107/12*2,IF($J107=12,-$E107*$I107/12*1,0)))))+IF(DE$5&lt;&gt;$H107,0,IF(DE107&lt;0,IF($J107=10,-$E107*$I107/12*0,IF($J107=11,-$E107*$I107/12*1,IF($J107=12,-$E107*$I107/12*2,0)))))</f>
        <v>0</v>
      </c>
      <c r="DJ107" s="413">
        <f>IF(AND(DE107&lt;&gt;0,DE$5=$H107),-$I107*$E107-DE107,IF(DJ$5=$H107,-$I107*$E107*(12-$J107+1)/12,0))</f>
        <v>0</v>
      </c>
      <c r="DK107" s="410">
        <f>IF($H107&lt;&gt;DO$5,0,IF(DO107&lt;0,IF($J107=1,-$E107*$I107/12*3,IF($J107=2,-$E107*$I107/12*2,IF($J107=3,-$E107*$I107/12*1,0)))))+IF(DJ$5&lt;&gt;$H107,0,IF(DJ107&lt;0,IF($J107=1,-$E107*$I107/12*0,IF($J107=2,-$E107*$I107/12*1,IF($J107=3,-$E107*$I107/12*2,IF($J107&gt;=4,-$E107*$I107/12*3,0))))))</f>
        <v>0</v>
      </c>
      <c r="DL107" s="416">
        <f>IF($H107&lt;&gt;DO$5,0,IF(DO107&lt;0,IF(OR($J107=1,$J107=2,$J107=3,$J107=4),-$E107*$I107/12*3,IF($J107=5,-$E107*$I107/12*2,IF($J107=6,-$E107*$I107/12*1,0)))))+IF(DJ$5&lt;&gt;$H107,0,IF(DJ107&lt;0,IF($J107=4,-$E107*$I107/12*0,IF($J107=5,-$E107*$I107/12*1,IF($J107=6,-$E107*$I107/12*2,IF($J107&gt;=7,-$E107*$I107/12*3,0))))))</f>
        <v>0</v>
      </c>
      <c r="DM107" s="416">
        <f>IF($H107&lt;&gt;DO$5,0,IF(DO107&lt;0,IF(OR($J107=1,$J107=2,$J107=3,$J107=4,$J107=5,$J107=6,$J107=7),-$E107*$I107/12*3,IF($J107=8,-$E107*$I107/12*2,IF($J107=9,-$E107*$I107/12*1,0)))))+IF(DJ$5&lt;&gt;$H107,0,IF(DJ107&lt;0,IF($J107=7,-$E107*$I107/12*0,IF($J107=8,-$E107*$I107/12*1,IF($J107=9,-$E107*$I107/12*2,IF($J107&gt;=10,-$E107*$I107/12*3,0))))))</f>
        <v>0</v>
      </c>
      <c r="DN107" s="412">
        <f>IF($H107&lt;&gt;DO$5,0,IF(DO107&lt;0,IF(OR($J107=1,$J107=2,$J107=3,$J107=4,$J107=5,$J107=6,$J107=7,$J107=8,$J107=9,$J107=10),-$E107*$I107/12*3,IF($J107=11,-$E107*$I107/12*2,IF($J107=12,-$E107*$I107/12*1,0)))))+IF(DJ$5&lt;&gt;$H107,0,IF(DJ107&lt;0,IF($J107=10,-$E107*$I107/12*0,IF($J107=11,-$E107*$I107/12*1,IF($J107=12,-$E107*$I107/12*2,0)))))</f>
        <v>0</v>
      </c>
      <c r="DO107" s="413">
        <f>IF(AND(DJ107&lt;&gt;0,DJ$5=$H107),-$I107*$E107-DJ107,IF(DO$5=$H107,-$I107*$E107*(12-$J107+1)/12,0))</f>
        <v>0</v>
      </c>
      <c r="DP107" s="410">
        <f>IF($H107&lt;&gt;DT$5,0,IF(DT107&lt;0,IF($J107=1,-$E107*$I107/12*3,IF($J107=2,-$E107*$I107/12*2,IF($J107=3,-$E107*$I107/12*1,0)))))+IF(DO$5&lt;&gt;$H107,0,IF(DO107&lt;0,IF($J107=1,-$E107*$I107/12*0,IF($J107=2,-$E107*$I107/12*1,IF($J107=3,-$E107*$I107/12*2,IF($J107&gt;=4,-$E107*$I107/12*3,0))))))</f>
        <v>0</v>
      </c>
      <c r="DQ107" s="416">
        <f>IF($H107&lt;&gt;DT$5,0,IF(DT107&lt;0,IF(OR($J107=1,$J107=2,$J107=3,$J107=4),-$E107*$I107/12*3,IF($J107=5,-$E107*$I107/12*2,IF($J107=6,-$E107*$I107/12*1,0)))))+IF(DO$5&lt;&gt;$H107,0,IF(DO107&lt;0,IF($J107=4,-$E107*$I107/12*0,IF($J107=5,-$E107*$I107/12*1,IF($J107=6,-$E107*$I107/12*2,IF($J107&gt;=7,-$E107*$I107/12*3,0))))))</f>
        <v>0</v>
      </c>
      <c r="DR107" s="416">
        <f>IF($H107&lt;&gt;DT$5,0,IF(DT107&lt;0,IF(OR($J107=1,$J107=2,$J107=3,$J107=4,$J107=5,$J107=6,$J107=7),-$E107*$I107/12*3,IF($J107=8,-$E107*$I107/12*2,IF($J107=9,-$E107*$I107/12*1,0)))))+IF(DO$5&lt;&gt;$H107,0,IF(DO107&lt;0,IF($J107=7,-$E107*$I107/12*0,IF($J107=8,-$E107*$I107/12*1,IF($J107=9,-$E107*$I107/12*2,IF($J107&gt;=10,-$E107*$I107/12*3,0))))))</f>
        <v>0</v>
      </c>
      <c r="DS107" s="412">
        <f>IF($H107&lt;&gt;DT$5,0,IF(DT107&lt;0,IF(OR($J107=1,$J107=2,$J107=3,$J107=4,$J107=5,$J107=6,$J107=7,$J107=8,$J107=9,$J107=10),-$E107*$I107/12*3,IF($J107=11,-$E107*$I107/12*2,IF($J107=12,-$E107*$I107/12*1,0)))))+IF(DO$5&lt;&gt;$H107,0,IF(DO107&lt;0,IF($J107=10,-$E107*$I107/12*0,IF($J107=11,-$E107*$I107/12*1,IF($J107=12,-$E107*$I107/12*2,0)))))</f>
        <v>0</v>
      </c>
      <c r="DT107" s="413">
        <f>IF(AND(DO107&lt;&gt;0,DO$5=$H107),-$I107*$E107-DO107,IF(DT$5=$H107,-$I107*$E107*(12-$J107+1)/12,0))</f>
        <v>0</v>
      </c>
    </row>
    <row r="108" spans="1:124" ht="12.75" customHeight="1">
      <c r="A108" s="491"/>
      <c r="C108" s="1885" t="s">
        <v>1092</v>
      </c>
      <c r="D108" s="1885"/>
      <c r="E108" s="1886">
        <f>IF(F108=0,G108,F108)</f>
        <v>164.5</v>
      </c>
      <c r="F108" s="1532">
        <v>164.5</v>
      </c>
      <c r="G108" s="1532">
        <v>164.5</v>
      </c>
      <c r="H108" s="610">
        <v>2028</v>
      </c>
      <c r="I108" s="1533">
        <v>3.7719999999999997E-2</v>
      </c>
      <c r="J108" s="615">
        <v>8</v>
      </c>
      <c r="K108" s="402"/>
      <c r="L108" s="407">
        <f>IF(L$5=$H108,-$E108,0)</f>
        <v>0</v>
      </c>
      <c r="M108" s="404">
        <f>IF(Q108=0,0,IF(Q108&lt;0,IF($J108=3,Q108,IF($J108=2,Q108,IF($J108=1,Q108,0)))))</f>
        <v>0</v>
      </c>
      <c r="N108" s="414">
        <f>IF(Q108=0,0,IF(Q108&lt;0,IF($J108=6,Q108,IF($J108=5,Q108,IF($J108=4,Q108,0)))))</f>
        <v>0</v>
      </c>
      <c r="O108" s="414">
        <f>IF(Q108=0,0,IF(Q108&lt;0,IF($J108=9,Q108,IF($J108=8,Q108,IF($J108=7,Q108,0)))))</f>
        <v>0</v>
      </c>
      <c r="P108" s="406">
        <f>IF(Q108=0,0,IF(Q108&lt;0,IF($J108=12,Q108,IF($J108=11,Q108,IF($J108=10,Q108,0)))))</f>
        <v>0</v>
      </c>
      <c r="Q108" s="407">
        <f>IF(Q$5=$H108,-$E108,0)</f>
        <v>0</v>
      </c>
      <c r="R108" s="404">
        <f>IF(V108=0,0,IF(V108&lt;0,IF($J108=3,V108,IF($J108=2,V108,IF($J108=1,V108,0)))))</f>
        <v>0</v>
      </c>
      <c r="S108" s="414">
        <f>IF(V108=0,0,IF(V108&lt;0,IF($J108=6,V108,IF($J108=5,V108,IF($J108=4,V108,0)))))</f>
        <v>0</v>
      </c>
      <c r="T108" s="414">
        <f>IF(V108=0,0,IF(V108&lt;0,IF($J108=9,V108,IF($J108=8,V108,IF($J108=7,V108,0)))))</f>
        <v>0</v>
      </c>
      <c r="U108" s="406">
        <f>IF(V108=0,0,IF(V108&lt;0,IF($J108=12,V108,IF($J108=11,V108,IF($J108=10,V108,0)))))</f>
        <v>0</v>
      </c>
      <c r="V108" s="407">
        <f>IF(V$5=$H108,-$E108,0)</f>
        <v>0</v>
      </c>
      <c r="W108" s="404">
        <f>IF(AA108=0,0,IF(AA108&lt;0,IF($J108=3,AA108,IF($J108=2,AA108,IF($J108=1,AA108,0)))))</f>
        <v>0</v>
      </c>
      <c r="X108" s="414">
        <f>IF(AA108=0,0,IF(AA108&lt;0,IF($J108=6,AA108,IF($J108=5,AA108,IF($J108=4,AA108,0)))))</f>
        <v>0</v>
      </c>
      <c r="Y108" s="414">
        <f>IF(AA108=0,0,IF(AA108&lt;0,IF($J108=9,AA108,IF($J108=8,AA108,IF($J108=7,AA108,0)))))</f>
        <v>0</v>
      </c>
      <c r="Z108" s="406">
        <f>IF(AA108=0,0,IF(AA108&lt;0,IF($J108=12,AA108,IF($J108=11,AA108,IF($J108=10,AA108,0)))))</f>
        <v>0</v>
      </c>
      <c r="AA108" s="407">
        <f>IF(AA$5=$H108,-$E108,0)</f>
        <v>0</v>
      </c>
      <c r="AB108" s="404">
        <f>IF(AF108=0,0,IF(AF108&lt;0,IF($J108=3,AF108,IF($J108=2,AF108,IF($J108=1,AF108,0)))))</f>
        <v>0</v>
      </c>
      <c r="AC108" s="414">
        <f>IF(AF108=0,0,IF(AF108&lt;0,IF($J108=6,AF108,IF($J108=5,AF108,IF($J108=4,AF108,0)))))</f>
        <v>0</v>
      </c>
      <c r="AD108" s="414">
        <f>IF(AF108=0,0,IF(AF108&lt;0,IF($J108=9,AF108,IF($J108=8,AF108,IF($J108=7,AF108,0)))))</f>
        <v>0</v>
      </c>
      <c r="AE108" s="406">
        <f>IF(AF108=0,0,IF(AF108&lt;0,IF($J108=12,AF108,IF($J108=11,AF108,IF($J108=10,AF108,0)))))</f>
        <v>0</v>
      </c>
      <c r="AF108" s="407">
        <f>IF(AF$5=$H108,-$E108,0)</f>
        <v>0</v>
      </c>
      <c r="AG108" s="404">
        <f>IF(AK108=0,0,IF(AK108&lt;0,IF($J108=3,AK108,IF($J108=2,AK108,IF($J108=1,AK108,0)))))</f>
        <v>0</v>
      </c>
      <c r="AH108" s="414">
        <f>IF(AK108=0,0,IF(AK108&lt;0,IF($J108=6,AK108,IF($J108=5,AK108,IF($J108=4,AK108,0)))))</f>
        <v>0</v>
      </c>
      <c r="AI108" s="414">
        <f>IF(AK108=0,0,IF(AK108&lt;0,IF($J108=9,AK108,IF($J108=8,AK108,IF($J108=7,AK108,0)))))</f>
        <v>0</v>
      </c>
      <c r="AJ108" s="406">
        <f>IF(AK108=0,0,IF(AK108&lt;0,IF($J108=12,AK108,IF($J108=11,AK108,IF($J108=10,AK108,0)))))</f>
        <v>0</v>
      </c>
      <c r="AK108" s="407">
        <f>IF(AK$5=$H108,-$E108,0)</f>
        <v>0</v>
      </c>
      <c r="AL108" s="404">
        <f>IF(AP108=0,0,IF(AP108&lt;0,IF($J108=3,AP108,IF($J108=2,AP108,IF($J108=1,AP108,0)))))</f>
        <v>0</v>
      </c>
      <c r="AM108" s="414">
        <f>IF(AP108=0,0,IF(AP108&lt;0,IF($J108=6,AP108,IF($J108=5,AP108,IF($J108=4,AP108,0)))))</f>
        <v>0</v>
      </c>
      <c r="AN108" s="414">
        <f>IF(AP108=0,0,IF(AP108&lt;0,IF($J108=9,AP108,IF($J108=8,AP108,IF($J108=7,AP108,0)))))</f>
        <v>0</v>
      </c>
      <c r="AO108" s="406">
        <f>IF(AP108=0,0,IF(AP108&lt;0,IF($J108=12,AP108,IF($J108=11,AP108,IF($J108=10,AP108,0)))))</f>
        <v>0</v>
      </c>
      <c r="AP108" s="407">
        <f>IF(AP$5=$H108,-$E108,0)</f>
        <v>0</v>
      </c>
      <c r="AQ108" s="404">
        <f>IF(AU108=0,0,IF(AU108&lt;0,IF($J108=3,AU108,IF($J108=2,AU108,IF($J108=1,AU108,0)))))</f>
        <v>0</v>
      </c>
      <c r="AR108" s="414">
        <f>IF(AU108=0,0,IF(AU108&lt;0,IF($J108=6,AU108,IF($J108=5,AU108,IF($J108=4,AU108,0)))))</f>
        <v>0</v>
      </c>
      <c r="AS108" s="414">
        <f>IF(AU108=0,0,IF(AU108&lt;0,IF($J108=9,AU108,IF($J108=8,AU108,IF($J108=7,AU108,0)))))</f>
        <v>0</v>
      </c>
      <c r="AT108" s="406">
        <f>IF(AU108=0,0,IF(AU108&lt;0,IF($J108=12,AU108,IF($J108=11,AU108,IF($J108=10,AU108,0)))))</f>
        <v>0</v>
      </c>
      <c r="AU108" s="407">
        <f>IF(AU$5=$H108,-$E108,0)</f>
        <v>0</v>
      </c>
      <c r="AV108" s="404">
        <f>IF(AZ108=0,0,IF(AZ108&lt;0,IF($J108=3,AZ108,IF($J108=2,AZ108,IF($J108=1,AZ108,0)))))</f>
        <v>0</v>
      </c>
      <c r="AW108" s="414">
        <f>IF(AZ108=0,0,IF(AZ108&lt;0,IF($J108=6,AZ108,IF($J108=5,AZ108,IF($J108=4,AZ108,0)))))</f>
        <v>0</v>
      </c>
      <c r="AX108" s="414">
        <f>IF(AZ108=0,0,IF(AZ108&lt;0,IF($J108=9,AZ108,IF($J108=8,AZ108,IF($J108=7,AZ108,0)))))</f>
        <v>0</v>
      </c>
      <c r="AY108" s="406">
        <f>IF(AZ108=0,0,IF(AZ108&lt;0,IF($J108=12,AZ108,IF($J108=11,AZ108,IF($J108=10,AZ108,0)))))</f>
        <v>0</v>
      </c>
      <c r="AZ108" s="407">
        <f>IF(AZ$5=$H108,-$E108,0)</f>
        <v>0</v>
      </c>
      <c r="BA108" s="404">
        <f>IF(BE108=0,0,IF(BE108&lt;0,IF($J108=3,BE108,IF($J108=2,BE108,IF($J108=1,BE108,0)))))</f>
        <v>0</v>
      </c>
      <c r="BB108" s="414">
        <f>IF(BE108=0,0,IF(BE108&lt;0,IF($J108=6,BE108,IF($J108=5,BE108,IF($J108=4,BE108,0)))))</f>
        <v>0</v>
      </c>
      <c r="BC108" s="414">
        <f>IF(BE108=0,0,IF(BE108&lt;0,IF($J108=9,BE108,IF($J108=8,BE108,IF($J108=7,BE108,0)))))</f>
        <v>0</v>
      </c>
      <c r="BD108" s="406">
        <f>IF(BE108=0,0,IF(BE108&lt;0,IF($J108=12,BE108,IF($J108=11,BE108,IF($J108=10,BE108,0)))))</f>
        <v>0</v>
      </c>
      <c r="BE108" s="407">
        <f>IF(BE$5=$H108,-$E108,0)</f>
        <v>0</v>
      </c>
      <c r="BF108" s="404">
        <f>IF(BJ108=0,0,IF(BJ108&lt;0,IF($J108=3,BJ108,IF($J108=2,BJ108,IF($J108=1,BJ108,0)))))</f>
        <v>0</v>
      </c>
      <c r="BG108" s="414">
        <f>IF(BJ108=0,0,IF(BJ108&lt;0,IF($J108=6,BJ108,IF($J108=5,BJ108,IF($J108=4,BJ108,0)))))</f>
        <v>0</v>
      </c>
      <c r="BH108" s="414">
        <f>IF(BJ108=0,0,IF(BJ108&lt;0,IF($J108=9,BJ108,IF($J108=8,BJ108,IF($J108=7,BJ108,0)))))</f>
        <v>0</v>
      </c>
      <c r="BI108" s="406">
        <f>IF(BJ108=0,0,IF(BJ108&lt;0,IF($J108=12,BJ108,IF($J108=11,BJ108,IF($J108=10,BJ108,0)))))</f>
        <v>0</v>
      </c>
      <c r="BJ108" s="407">
        <f>IF(BJ$5=$H108,-$E108,0)</f>
        <v>0</v>
      </c>
      <c r="BK108" s="404">
        <f>IF(BO108=0,0,IF(BO108&lt;0,IF($J108=3,BO108,IF($J108=2,BO108,IF($J108=1,BO108,0)))))</f>
        <v>0</v>
      </c>
      <c r="BL108" s="414">
        <f>IF(BO108=0,0,IF(BO108&lt;0,IF($J108=6,BO108,IF($J108=5,BO108,IF($J108=4,BO108,0)))))</f>
        <v>0</v>
      </c>
      <c r="BM108" s="414">
        <f>IF(BO108=0,0,IF(BO108&lt;0,IF($J108=9,BO108,IF($J108=8,BO108,IF($J108=7,BO108,0)))))</f>
        <v>0</v>
      </c>
      <c r="BN108" s="406">
        <f>IF(BO108=0,0,IF(BO108&lt;0,IF($J108=12,BO108,IF($J108=11,BO108,IF($J108=10,BO108,0)))))</f>
        <v>0</v>
      </c>
      <c r="BO108" s="407">
        <f>IF(BO$5=$H108,-$E108,0)</f>
        <v>0</v>
      </c>
      <c r="BP108" s="449"/>
      <c r="BQ108" s="413">
        <f>IF(AND(AH108&lt;&gt;0,AH$5=$H108),-$I108*$E108-AH108,IF(BQ$5=$H108,-$I108*$E108*(12-$J108+1)/12,0))</f>
        <v>0</v>
      </c>
      <c r="BR108" s="410">
        <f>IF($H108&lt;&gt;BV$5,0,IF(BV108&lt;0,IF($J108=1,-$E108*$I108/12*3,IF($J108=2,-$E108*$I108/12*2,IF($J108=3,-$E108*$I108/12*1,0)))))+IF(BQ$5&lt;&gt;$H108,0,IF(BQ108&lt;0,IF($J108=1,-$E108*$I108/12*0,IF($J108=2,-$E108*$I108/12*1,IF($J108=3,-$E108*$I108/12*2,IF($J108&gt;=4,-$E108*$I108/12*3,0))))))</f>
        <v>0</v>
      </c>
      <c r="BS108" s="416">
        <f>IF($H108&lt;&gt;BV$5,0,IF(BV108&lt;0,IF(OR($J108=1,$J108=2,$J108=3,$J108=4),-$E108*$I108/12*3,IF($J108=5,-$E108*$I108/12*2,IF($J108=6,-$E108*$I108/12*1,0)))))+IF(BQ$5&lt;&gt;$H108,0,IF(BQ108&lt;0,IF($J108=4,-$E108*$I108/12*0,IF($J108=5,-$E108*$I108/12*1,IF($J108=6,-$E108*$I108/12*2,IF($J108&gt;=7,-$E108*$I108/12*3,0))))))</f>
        <v>0</v>
      </c>
      <c r="BT108" s="416">
        <f>IF($H108&lt;&gt;BV$5,0,IF(BV108&lt;0,IF(OR($J108=1,$J108=2,$J108=3,$J108=4,$J108=5,$J108=6,$J108=7),-$E108*$I108/12*3,IF($J108=8,-$E108*$I108/12*2,IF($J108=9,-$E108*$I108/12*1,0)))))+IF(BQ$5&lt;&gt;$H108,0,IF(BQ108&lt;0,IF($J108=7,-$E108*$I108/12*0,IF($J108=8,-$E108*$I108/12*1,IF($J108=9,-$E108*$I108/12*2,IF($J108&gt;=10,-$E108*$I108/12*3,0))))))</f>
        <v>0</v>
      </c>
      <c r="BU108" s="412">
        <f>IF($H108&lt;&gt;BV$5,0,IF(BV108&lt;0,IF(OR($J108=1,$J108=2,$J108=3,$J108=4,$J108=5,$J108=6,$J108=7,$J108=8,$J108=9,$J108=10),-$E108*$I108/12*3,IF($J108=11,-$E108*$I108/12*2,IF($J108=12,-$E108*$I108/12*1,0)))))+IF(BQ$5&lt;&gt;$H108,0,IF(BQ108&lt;0,IF($J108=10,-$E108*$I108/12*0,IF($J108=11,-$E108*$I108/12*1,IF($J108=12,-$E108*$I108/12*2,0)))))</f>
        <v>0</v>
      </c>
      <c r="BV108" s="413">
        <f>IF(AND(BQ108&lt;&gt;0,BQ$5=$H108),-$I108*$E108-BQ108,IF(BV$5=$H108,-$I108*$E108*(12-$J108+1)/12,0))</f>
        <v>0</v>
      </c>
      <c r="BW108" s="410">
        <f>IF($H108&lt;&gt;CA$5,0,IF(CA108&lt;0,IF($J108=1,-$E108*$I108/12*3,IF($J108=2,-$E108*$I108/12*2,IF($J108=3,-$E108*$I108/12*1,0)))))+IF(BV$5&lt;&gt;$H108,0,IF(BV108&lt;0,IF($J108=1,-$E108*$I108/12*0,IF($J108=2,-$E108*$I108/12*1,IF($J108=3,-$E108*$I108/12*2,IF($J108&gt;=4,-$E108*$I108/12*3,0))))))</f>
        <v>0</v>
      </c>
      <c r="BX108" s="416">
        <f>IF($H108&lt;&gt;CA$5,0,IF(CA108&lt;0,IF(OR($J108=1,$J108=2,$J108=3,$J108=4),-$E108*$I108/12*3,IF($J108=5,-$E108*$I108/12*2,IF($J108=6,-$E108*$I108/12*1,0)))))+IF(BV$5&lt;&gt;$H108,0,IF(BV108&lt;0,IF($J108=4,-$E108*$I108/12*0,IF($J108=5,-$E108*$I108/12*1,IF($J108=6,-$E108*$I108/12*2,IF($J108&gt;=7,-$E108*$I108/12*3,0))))))</f>
        <v>0</v>
      </c>
      <c r="BY108" s="416">
        <f>IF($H108&lt;&gt;CA$5,0,IF(CA108&lt;0,IF(OR($J108=1,$J108=2,$J108=3,$J108=4,$J108=5,$J108=6,$J108=7),-$E108*$I108/12*3,IF($J108=8,-$E108*$I108/12*2,IF($J108=9,-$E108*$I108/12*1,0)))))+IF(BV$5&lt;&gt;$H108,0,IF(BV108&lt;0,IF($J108=7,-$E108*$I108/12*0,IF($J108=8,-$E108*$I108/12*1,IF($J108=9,-$E108*$I108/12*2,IF($J108&gt;=10,-$E108*$I108/12*3,0))))))</f>
        <v>0</v>
      </c>
      <c r="BZ108" s="412">
        <f>IF($H108&lt;&gt;CA$5,0,IF(CA108&lt;0,IF(OR($J108=1,$J108=2,$J108=3,$J108=4,$J108=5,$J108=6,$J108=7,$J108=8,$J108=9,$J108=10),-$E108*$I108/12*3,IF($J108=11,-$E108*$I108/12*2,IF($J108=12,-$E108*$I108/12*1,0)))))+IF(BV$5&lt;&gt;$H108,0,IF(BV108&lt;0,IF($J108=10,-$E108*$I108/12*0,IF($J108=11,-$E108*$I108/12*1,IF($J108=12,-$E108*$I108/12*2,0)))))</f>
        <v>0</v>
      </c>
      <c r="CA108" s="413">
        <f>IF(AND(BV108&lt;&gt;0,BV$5=$H108),-$I108*$E108-BV108,IF(CA$5=$H108,-$I108*$E108*(12-$J108+1)/12,0))</f>
        <v>0</v>
      </c>
      <c r="CB108" s="410">
        <f>IF($H108&lt;&gt;CF$5,0,IF(CF108&lt;0,IF($J108=1,-$E108*$I108/12*3,IF($J108=2,-$E108*$I108/12*2,IF($J108=3,-$E108*$I108/12*1,0)))))+IF(CA$5&lt;&gt;$H108,0,IF(CA108&lt;0,IF($J108=1,-$E108*$I108/12*0,IF($J108=2,-$E108*$I108/12*1,IF($J108=3,-$E108*$I108/12*2,IF($J108&gt;=4,-$E108*$I108/12*3,0))))))</f>
        <v>0</v>
      </c>
      <c r="CC108" s="416">
        <f>IF($H108&lt;&gt;CF$5,0,IF(CF108&lt;0,IF(OR($J108=1,$J108=2,$J108=3,$J108=4),-$E108*$I108/12*3,IF($J108=5,-$E108*$I108/12*2,IF($J108=6,-$E108*$I108/12*1,0)))))+IF(CA$5&lt;&gt;$H108,0,IF(CA108&lt;0,IF($J108=4,-$E108*$I108/12*0,IF($J108=5,-$E108*$I108/12*1,IF($J108=6,-$E108*$I108/12*2,IF($J108&gt;=7,-$E108*$I108/12*3,0))))))</f>
        <v>0</v>
      </c>
      <c r="CD108" s="416">
        <f>IF($H108&lt;&gt;CF$5,0,IF(CF108&lt;0,IF(OR($J108=1,$J108=2,$J108=3,$J108=4,$J108=5,$J108=6,$J108=7),-$E108*$I108/12*3,IF($J108=8,-$E108*$I108/12*2,IF($J108=9,-$E108*$I108/12*1,0)))))+IF(CA$5&lt;&gt;$H108,0,IF(CA108&lt;0,IF($J108=7,-$E108*$I108/12*0,IF($J108=8,-$E108*$I108/12*1,IF($J108=9,-$E108*$I108/12*2,IF($J108&gt;=10,-$E108*$I108/12*3,0))))))</f>
        <v>0</v>
      </c>
      <c r="CE108" s="412">
        <f>IF($H108&lt;&gt;CF$5,0,IF(CF108&lt;0,IF(OR($J108=1,$J108=2,$J108=3,$J108=4,$J108=5,$J108=6,$J108=7,$J108=8,$J108=9,$J108=10),-$E108*$I108/12*3,IF($J108=11,-$E108*$I108/12*2,IF($J108=12,-$E108*$I108/12*1,0)))))+IF(CA$5&lt;&gt;$H108,0,IF(CA108&lt;0,IF($J108=10,-$E108*$I108/12*0,IF($J108=11,-$E108*$I108/12*1,IF($J108=12,-$E108*$I108/12*2,0)))))</f>
        <v>0</v>
      </c>
      <c r="CF108" s="413">
        <f>IF(AND(CA108&lt;&gt;0,CA$5=$H108),-$I108*$E108-CA108,IF(CF$5=$H108,-$I108*$E108*(12-$J108+1)/12,0))</f>
        <v>0</v>
      </c>
      <c r="CG108" s="410">
        <f>IF($H108&lt;&gt;CK$5,0,IF(CK108&lt;0,IF($J108=1,-$E108*$I108/12*3,IF($J108=2,-$E108*$I108/12*2,IF($J108=3,-$E108*$I108/12*1,0)))))+IF(CF$5&lt;&gt;$H108,0,IF(CF108&lt;0,IF($J108=1,-$E108*$I108/12*0,IF($J108=2,-$E108*$I108/12*1,IF($J108=3,-$E108*$I108/12*2,IF($J108&gt;=4,-$E108*$I108/12*3,0))))))</f>
        <v>0</v>
      </c>
      <c r="CH108" s="416">
        <f>IF($H108&lt;&gt;CK$5,0,IF(CK108&lt;0,IF(OR($J108=1,$J108=2,$J108=3,$J108=4),-$E108*$I108/12*3,IF($J108=5,-$E108*$I108/12*2,IF($J108=6,-$E108*$I108/12*1,0)))))+IF(CF$5&lt;&gt;$H108,0,IF(CF108&lt;0,IF($J108=4,-$E108*$I108/12*0,IF($J108=5,-$E108*$I108/12*1,IF($J108=6,-$E108*$I108/12*2,IF($J108&gt;=7,-$E108*$I108/12*3,0))))))</f>
        <v>0</v>
      </c>
      <c r="CI108" s="416">
        <f>IF($H108&lt;&gt;CK$5,0,IF(CK108&lt;0,IF(OR($J108=1,$J108=2,$J108=3,$J108=4,$J108=5,$J108=6,$J108=7),-$E108*$I108/12*3,IF($J108=8,-$E108*$I108/12*2,IF($J108=9,-$E108*$I108/12*1,0)))))+IF(CF$5&lt;&gt;$H108,0,IF(CF108&lt;0,IF($J108=7,-$E108*$I108/12*0,IF($J108=8,-$E108*$I108/12*1,IF($J108=9,-$E108*$I108/12*2,IF($J108&gt;=10,-$E108*$I108/12*3,0))))))</f>
        <v>0</v>
      </c>
      <c r="CJ108" s="412">
        <f>IF($H108&lt;&gt;CK$5,0,IF(CK108&lt;0,IF(OR($J108=1,$J108=2,$J108=3,$J108=4,$J108=5,$J108=6,$J108=7,$J108=8,$J108=9,$J108=10),-$E108*$I108/12*3,IF($J108=11,-$E108*$I108/12*2,IF($J108=12,-$E108*$I108/12*1,0)))))+IF(CF$5&lt;&gt;$H108,0,IF(CF108&lt;0,IF($J108=10,-$E108*$I108/12*0,IF($J108=11,-$E108*$I108/12*1,IF($J108=12,-$E108*$I108/12*2,0)))))</f>
        <v>0</v>
      </c>
      <c r="CK108" s="413">
        <f>IF(AND(CF108&lt;&gt;0,CF$5=$H108),-$I108*$E108-CF108,IF(CK$5=$H108,-$I108*$E108*(12-$J108+1)/12,0))</f>
        <v>0</v>
      </c>
      <c r="CL108" s="410">
        <f>IF($H108&lt;&gt;CP$5,0,IF(CP108&lt;0,IF($J108=1,-$E108*$I108/12*3,IF($J108=2,-$E108*$I108/12*2,IF($J108=3,-$E108*$I108/12*1,0)))))+IF(CK$5&lt;&gt;$H108,0,IF(CK108&lt;0,IF($J108=1,-$E108*$I108/12*0,IF($J108=2,-$E108*$I108/12*1,IF($J108=3,-$E108*$I108/12*2,IF($J108&gt;=4,-$E108*$I108/12*3,0))))))</f>
        <v>0</v>
      </c>
      <c r="CM108" s="416">
        <f>IF($H108&lt;&gt;CP$5,0,IF(CP108&lt;0,IF(OR($J108=1,$J108=2,$J108=3,$J108=4),-$E108*$I108/12*3,IF($J108=5,-$E108*$I108/12*2,IF($J108=6,-$E108*$I108/12*1,0)))))+IF(CK$5&lt;&gt;$H108,0,IF(CK108&lt;0,IF($J108=4,-$E108*$I108/12*0,IF($J108=5,-$E108*$I108/12*1,IF($J108=6,-$E108*$I108/12*2,IF($J108&gt;=7,-$E108*$I108/12*3,0))))))</f>
        <v>0</v>
      </c>
      <c r="CN108" s="416">
        <f>IF($H108&lt;&gt;CP$5,0,IF(CP108&lt;0,IF(OR($J108=1,$J108=2,$J108=3,$J108=4,$J108=5,$J108=6,$J108=7),-$E108*$I108/12*3,IF($J108=8,-$E108*$I108/12*2,IF($J108=9,-$E108*$I108/12*1,0)))))+IF(CK$5&lt;&gt;$H108,0,IF(CK108&lt;0,IF($J108=7,-$E108*$I108/12*0,IF($J108=8,-$E108*$I108/12*1,IF($J108=9,-$E108*$I108/12*2,IF($J108&gt;=10,-$E108*$I108/12*3,0))))))</f>
        <v>0</v>
      </c>
      <c r="CO108" s="412">
        <f>IF($H108&lt;&gt;CP$5,0,IF(CP108&lt;0,IF(OR($J108=1,$J108=2,$J108=3,$J108=4,$J108=5,$J108=6,$J108=7,$J108=8,$J108=9,$J108=10),-$E108*$I108/12*3,IF($J108=11,-$E108*$I108/12*2,IF($J108=12,-$E108*$I108/12*1,0)))))+IF(CK$5&lt;&gt;$H108,0,IF(CK108&lt;0,IF($J108=10,-$E108*$I108/12*0,IF($J108=11,-$E108*$I108/12*1,IF($J108=12,-$E108*$I108/12*2,0)))))</f>
        <v>0</v>
      </c>
      <c r="CP108" s="413">
        <f>IF(AND(CK108&lt;&gt;0,CK$5=$H108),-$I108*$E108-CK108,IF(CP$5=$H108,-$I108*$E108*(12-$J108+1)/12,0))</f>
        <v>0</v>
      </c>
      <c r="CQ108" s="410">
        <f>IF($H108&lt;&gt;CU$5,0,IF(CU108&lt;0,IF($J108=1,-$E108*$I108/12*3,IF($J108=2,-$E108*$I108/12*2,IF($J108=3,-$E108*$I108/12*1,0)))))+IF(CP$5&lt;&gt;$H108,0,IF(CP108&lt;0,IF($J108=1,-$E108*$I108/12*0,IF($J108=2,-$E108*$I108/12*1,IF($J108=3,-$E108*$I108/12*2,IF($J108&gt;=4,-$E108*$I108/12*3,0))))))</f>
        <v>0</v>
      </c>
      <c r="CR108" s="416">
        <f>IF($H108&lt;&gt;CU$5,0,IF(CU108&lt;0,IF(OR($J108=1,$J108=2,$J108=3,$J108=4),-$E108*$I108/12*3,IF($J108=5,-$E108*$I108/12*2,IF($J108=6,-$E108*$I108/12*1,0)))))+IF(CP$5&lt;&gt;$H108,0,IF(CP108&lt;0,IF($J108=4,-$E108*$I108/12*0,IF($J108=5,-$E108*$I108/12*1,IF($J108=6,-$E108*$I108/12*2,IF($J108&gt;=7,-$E108*$I108/12*3,0))))))</f>
        <v>0</v>
      </c>
      <c r="CS108" s="416">
        <f>IF($H108&lt;&gt;CU$5,0,IF(CU108&lt;0,IF(OR($J108=1,$J108=2,$J108=3,$J108=4,$J108=5,$J108=6,$J108=7),-$E108*$I108/12*3,IF($J108=8,-$E108*$I108/12*2,IF($J108=9,-$E108*$I108/12*1,0)))))+IF(CP$5&lt;&gt;$H108,0,IF(CP108&lt;0,IF($J108=7,-$E108*$I108/12*0,IF($J108=8,-$E108*$I108/12*1,IF($J108=9,-$E108*$I108/12*2,IF($J108&gt;=10,-$E108*$I108/12*3,0))))))</f>
        <v>0</v>
      </c>
      <c r="CT108" s="412">
        <f>IF($H108&lt;&gt;CU$5,0,IF(CU108&lt;0,IF(OR($J108=1,$J108=2,$J108=3,$J108=4,$J108=5,$J108=6,$J108=7,$J108=8,$J108=9,$J108=10),-$E108*$I108/12*3,IF($J108=11,-$E108*$I108/12*2,IF($J108=12,-$E108*$I108/12*1,0)))))+IF(CP$5&lt;&gt;$H108,0,IF(CP108&lt;0,IF($J108=10,-$E108*$I108/12*0,IF($J108=11,-$E108*$I108/12*1,IF($J108=12,-$E108*$I108/12*2,0)))))</f>
        <v>0</v>
      </c>
      <c r="CU108" s="413">
        <f>IF(AND(CP108&lt;&gt;0,CP$5=$H108),-$I108*$E108-CP108,IF(CU$5=$H108,-$I108*$E108*(12-$J108+1)/12,0))</f>
        <v>0</v>
      </c>
      <c r="CV108" s="410">
        <f>IF($H108&lt;&gt;CZ$5,0,IF(CZ108&lt;0,IF($J108=1,-$E108*$I108/12*3,IF($J108=2,-$E108*$I108/12*2,IF($J108=3,-$E108*$I108/12*1,0)))))+IF(CU$5&lt;&gt;$H108,0,IF(CU108&lt;0,IF($J108=1,-$E108*$I108/12*0,IF($J108=2,-$E108*$I108/12*1,IF($J108=3,-$E108*$I108/12*2,IF($J108&gt;=4,-$E108*$I108/12*3,0))))))</f>
        <v>0</v>
      </c>
      <c r="CW108" s="416">
        <f>IF($H108&lt;&gt;CZ$5,0,IF(CZ108&lt;0,IF(OR($J108=1,$J108=2,$J108=3,$J108=4),-$E108*$I108/12*3,IF($J108=5,-$E108*$I108/12*2,IF($J108=6,-$E108*$I108/12*1,0)))))+IF(CU$5&lt;&gt;$H108,0,IF(CU108&lt;0,IF($J108=4,-$E108*$I108/12*0,IF($J108=5,-$E108*$I108/12*1,IF($J108=6,-$E108*$I108/12*2,IF($J108&gt;=7,-$E108*$I108/12*3,0))))))</f>
        <v>0</v>
      </c>
      <c r="CX108" s="416">
        <f>IF($H108&lt;&gt;CZ$5,0,IF(CZ108&lt;0,IF(OR($J108=1,$J108=2,$J108=3,$J108=4,$J108=5,$J108=6,$J108=7),-$E108*$I108/12*3,IF($J108=8,-$E108*$I108/12*2,IF($J108=9,-$E108*$I108/12*1,0)))))+IF(CU$5&lt;&gt;$H108,0,IF(CU108&lt;0,IF($J108=7,-$E108*$I108/12*0,IF($J108=8,-$E108*$I108/12*1,IF($J108=9,-$E108*$I108/12*2,IF($J108&gt;=10,-$E108*$I108/12*3,0))))))</f>
        <v>0</v>
      </c>
      <c r="CY108" s="412">
        <f>IF($H108&lt;&gt;CZ$5,0,IF(CZ108&lt;0,IF(OR($J108=1,$J108=2,$J108=3,$J108=4,$J108=5,$J108=6,$J108=7,$J108=8,$J108=9,$J108=10),-$E108*$I108/12*3,IF($J108=11,-$E108*$I108/12*2,IF($J108=12,-$E108*$I108/12*1,0)))))+IF(CU$5&lt;&gt;$H108,0,IF(CU108&lt;0,IF($J108=10,-$E108*$I108/12*0,IF($J108=11,-$E108*$I108/12*1,IF($J108=12,-$E108*$I108/12*2,0)))))</f>
        <v>0</v>
      </c>
      <c r="CZ108" s="413">
        <f>IF(AND(CU108&lt;&gt;0,CU$5=$H108),-$I108*$E108-CU108,IF(CZ$5=$H108,-$I108*$E108*(12-$J108+1)/12,0))</f>
        <v>0</v>
      </c>
      <c r="DA108" s="410">
        <f>IF($H108&lt;&gt;DE$5,0,IF(DE108&lt;0,IF($J108=1,-$E108*$I108/12*3,IF($J108=2,-$E108*$I108/12*2,IF($J108=3,-$E108*$I108/12*1,0)))))+IF(CZ$5&lt;&gt;$H108,0,IF(CZ108&lt;0,IF($J108=1,-$E108*$I108/12*0,IF($J108=2,-$E108*$I108/12*1,IF($J108=3,-$E108*$I108/12*2,IF($J108&gt;=4,-$E108*$I108/12*3,0))))))</f>
        <v>0</v>
      </c>
      <c r="DB108" s="416">
        <f>IF($H108&lt;&gt;DE$5,0,IF(DE108&lt;0,IF(OR($J108=1,$J108=2,$J108=3,$J108=4),-$E108*$I108/12*3,IF($J108=5,-$E108*$I108/12*2,IF($J108=6,-$E108*$I108/12*1,0)))))+IF(CZ$5&lt;&gt;$H108,0,IF(CZ108&lt;0,IF($J108=4,-$E108*$I108/12*0,IF($J108=5,-$E108*$I108/12*1,IF($J108=6,-$E108*$I108/12*2,IF($J108&gt;=7,-$E108*$I108/12*3,0))))))</f>
        <v>0</v>
      </c>
      <c r="DC108" s="416">
        <f>IF($H108&lt;&gt;DE$5,0,IF(DE108&lt;0,IF(OR($J108=1,$J108=2,$J108=3,$J108=4,$J108=5,$J108=6,$J108=7),-$E108*$I108/12*3,IF($J108=8,-$E108*$I108/12*2,IF($J108=9,-$E108*$I108/12*1,0)))))+IF(CZ$5&lt;&gt;$H108,0,IF(CZ108&lt;0,IF($J108=7,-$E108*$I108/12*0,IF($J108=8,-$E108*$I108/12*1,IF($J108=9,-$E108*$I108/12*2,IF($J108&gt;=10,-$E108*$I108/12*3,0))))))</f>
        <v>0</v>
      </c>
      <c r="DD108" s="412">
        <f>IF($H108&lt;&gt;DE$5,0,IF(DE108&lt;0,IF(OR($J108=1,$J108=2,$J108=3,$J108=4,$J108=5,$J108=6,$J108=7,$J108=8,$J108=9,$J108=10),-$E108*$I108/12*3,IF($J108=11,-$E108*$I108/12*2,IF($J108=12,-$E108*$I108/12*1,0)))))+IF(CZ$5&lt;&gt;$H108,0,IF(CZ108&lt;0,IF($J108=10,-$E108*$I108/12*0,IF($J108=11,-$E108*$I108/12*1,IF($J108=12,-$E108*$I108/12*2,0)))))</f>
        <v>0</v>
      </c>
      <c r="DE108" s="413">
        <f>IF(AND(CZ108&lt;&gt;0,CZ$5=$H108),-$I108*$E108-CZ108,IF(DE$5=$H108,-$I108*$E108*(12-$J108+1)/12,0))</f>
        <v>0</v>
      </c>
      <c r="DF108" s="410">
        <f>IF($H108&lt;&gt;DJ$5,0,IF(DJ108&lt;0,IF($J108=1,-$E108*$I108/12*3,IF($J108=2,-$E108*$I108/12*2,IF($J108=3,-$E108*$I108/12*1,0)))))+IF(DE$5&lt;&gt;$H108,0,IF(DE108&lt;0,IF($J108=1,-$E108*$I108/12*0,IF($J108=2,-$E108*$I108/12*1,IF($J108=3,-$E108*$I108/12*2,IF($J108&gt;=4,-$E108*$I108/12*3,0))))))</f>
        <v>0</v>
      </c>
      <c r="DG108" s="416">
        <f>IF($H108&lt;&gt;DJ$5,0,IF(DJ108&lt;0,IF(OR($J108=1,$J108=2,$J108=3,$J108=4),-$E108*$I108/12*3,IF($J108=5,-$E108*$I108/12*2,IF($J108=6,-$E108*$I108/12*1,0)))))+IF(DE$5&lt;&gt;$H108,0,IF(DE108&lt;0,IF($J108=4,-$E108*$I108/12*0,IF($J108=5,-$E108*$I108/12*1,IF($J108=6,-$E108*$I108/12*2,IF($J108&gt;=7,-$E108*$I108/12*3,0))))))</f>
        <v>0</v>
      </c>
      <c r="DH108" s="416">
        <f>IF($H108&lt;&gt;DJ$5,0,IF(DJ108&lt;0,IF(OR($J108=1,$J108=2,$J108=3,$J108=4,$J108=5,$J108=6,$J108=7),-$E108*$I108/12*3,IF($J108=8,-$E108*$I108/12*2,IF($J108=9,-$E108*$I108/12*1,0)))))+IF(DE$5&lt;&gt;$H108,0,IF(DE108&lt;0,IF($J108=7,-$E108*$I108/12*0,IF($J108=8,-$E108*$I108/12*1,IF($J108=9,-$E108*$I108/12*2,IF($J108&gt;=10,-$E108*$I108/12*3,0))))))</f>
        <v>0</v>
      </c>
      <c r="DI108" s="412">
        <f>IF($H108&lt;&gt;DJ$5,0,IF(DJ108&lt;0,IF(OR($J108=1,$J108=2,$J108=3,$J108=4,$J108=5,$J108=6,$J108=7,$J108=8,$J108=9,$J108=10),-$E108*$I108/12*3,IF($J108=11,-$E108*$I108/12*2,IF($J108=12,-$E108*$I108/12*1,0)))))+IF(DE$5&lt;&gt;$H108,0,IF(DE108&lt;0,IF($J108=10,-$E108*$I108/12*0,IF($J108=11,-$E108*$I108/12*1,IF($J108=12,-$E108*$I108/12*2,0)))))</f>
        <v>0</v>
      </c>
      <c r="DJ108" s="413">
        <f>IF(AND(DE108&lt;&gt;0,DE$5=$H108),-$I108*$E108-DE108,IF(DJ$5=$H108,-$I108*$E108*(12-$J108+1)/12,0))</f>
        <v>0</v>
      </c>
      <c r="DK108" s="410">
        <f>IF($H108&lt;&gt;DO$5,0,IF(DO108&lt;0,IF($J108=1,-$E108*$I108/12*3,IF($J108=2,-$E108*$I108/12*2,IF($J108=3,-$E108*$I108/12*1,0)))))+IF(DJ$5&lt;&gt;$H108,0,IF(DJ108&lt;0,IF($J108=1,-$E108*$I108/12*0,IF($J108=2,-$E108*$I108/12*1,IF($J108=3,-$E108*$I108/12*2,IF($J108&gt;=4,-$E108*$I108/12*3,0))))))</f>
        <v>0</v>
      </c>
      <c r="DL108" s="416">
        <f>IF($H108&lt;&gt;DO$5,0,IF(DO108&lt;0,IF(OR($J108=1,$J108=2,$J108=3,$J108=4),-$E108*$I108/12*3,IF($J108=5,-$E108*$I108/12*2,IF($J108=6,-$E108*$I108/12*1,0)))))+IF(DJ$5&lt;&gt;$H108,0,IF(DJ108&lt;0,IF($J108=4,-$E108*$I108/12*0,IF($J108=5,-$E108*$I108/12*1,IF($J108=6,-$E108*$I108/12*2,IF($J108&gt;=7,-$E108*$I108/12*3,0))))))</f>
        <v>0</v>
      </c>
      <c r="DM108" s="416">
        <f>IF($H108&lt;&gt;DO$5,0,IF(DO108&lt;0,IF(OR($J108=1,$J108=2,$J108=3,$J108=4,$J108=5,$J108=6,$J108=7),-$E108*$I108/12*3,IF($J108=8,-$E108*$I108/12*2,IF($J108=9,-$E108*$I108/12*1,0)))))+IF(DJ$5&lt;&gt;$H108,0,IF(DJ108&lt;0,IF($J108=7,-$E108*$I108/12*0,IF($J108=8,-$E108*$I108/12*1,IF($J108=9,-$E108*$I108/12*2,IF($J108&gt;=10,-$E108*$I108/12*3,0))))))</f>
        <v>0</v>
      </c>
      <c r="DN108" s="412">
        <f>IF($H108&lt;&gt;DO$5,0,IF(DO108&lt;0,IF(OR($J108=1,$J108=2,$J108=3,$J108=4,$J108=5,$J108=6,$J108=7,$J108=8,$J108=9,$J108=10),-$E108*$I108/12*3,IF($J108=11,-$E108*$I108/12*2,IF($J108=12,-$E108*$I108/12*1,0)))))+IF(DJ$5&lt;&gt;$H108,0,IF(DJ108&lt;0,IF($J108=10,-$E108*$I108/12*0,IF($J108=11,-$E108*$I108/12*1,IF($J108=12,-$E108*$I108/12*2,0)))))</f>
        <v>0</v>
      </c>
      <c r="DO108" s="413">
        <f>IF(AND(DJ108&lt;&gt;0,DJ$5=$H108),-$I108*$E108-DJ108,IF(DO$5=$H108,-$I108*$E108*(12-$J108+1)/12,0))</f>
        <v>0</v>
      </c>
      <c r="DP108" s="410">
        <f>IF($H108&lt;&gt;DT$5,0,IF(DT108&lt;0,IF($J108=1,-$E108*$I108/12*3,IF($J108=2,-$E108*$I108/12*2,IF($J108=3,-$E108*$I108/12*1,0)))))+IF(DO$5&lt;&gt;$H108,0,IF(DO108&lt;0,IF($J108=1,-$E108*$I108/12*0,IF($J108=2,-$E108*$I108/12*1,IF($J108=3,-$E108*$I108/12*2,IF($J108&gt;=4,-$E108*$I108/12*3,0))))))</f>
        <v>0</v>
      </c>
      <c r="DQ108" s="416">
        <f>IF($H108&lt;&gt;DT$5,0,IF(DT108&lt;0,IF(OR($J108=1,$J108=2,$J108=3,$J108=4),-$E108*$I108/12*3,IF($J108=5,-$E108*$I108/12*2,IF($J108=6,-$E108*$I108/12*1,0)))))+IF(DO$5&lt;&gt;$H108,0,IF(DO108&lt;0,IF($J108=4,-$E108*$I108/12*0,IF($J108=5,-$E108*$I108/12*1,IF($J108=6,-$E108*$I108/12*2,IF($J108&gt;=7,-$E108*$I108/12*3,0))))))</f>
        <v>0</v>
      </c>
      <c r="DR108" s="416">
        <f>IF($H108&lt;&gt;DT$5,0,IF(DT108&lt;0,IF(OR($J108=1,$J108=2,$J108=3,$J108=4,$J108=5,$J108=6,$J108=7),-$E108*$I108/12*3,IF($J108=8,-$E108*$I108/12*2,IF($J108=9,-$E108*$I108/12*1,0)))))+IF(DO$5&lt;&gt;$H108,0,IF(DO108&lt;0,IF($J108=7,-$E108*$I108/12*0,IF($J108=8,-$E108*$I108/12*1,IF($J108=9,-$E108*$I108/12*2,IF($J108&gt;=10,-$E108*$I108/12*3,0))))))</f>
        <v>0</v>
      </c>
      <c r="DS108" s="412">
        <f>IF($H108&lt;&gt;DT$5,0,IF(DT108&lt;0,IF(OR($J108=1,$J108=2,$J108=3,$J108=4,$J108=5,$J108=6,$J108=7,$J108=8,$J108=9,$J108=10),-$E108*$I108/12*3,IF($J108=11,-$E108*$I108/12*2,IF($J108=12,-$E108*$I108/12*1,0)))))+IF(DO$5&lt;&gt;$H108,0,IF(DO108&lt;0,IF($J108=10,-$E108*$I108/12*0,IF($J108=11,-$E108*$I108/12*1,IF($J108=12,-$E108*$I108/12*2,0)))))</f>
        <v>0</v>
      </c>
      <c r="DT108" s="413">
        <f>IF(AND(DO108&lt;&gt;0,DO$5=$H108),-$I108*$E108-DO108,IF(DT$5=$H108,-$I108*$E108*(12-$J108+1)/12,0))</f>
        <v>0</v>
      </c>
    </row>
    <row r="109" spans="1:124" ht="12.75" customHeight="1">
      <c r="A109" s="491"/>
      <c r="C109" s="1438"/>
      <c r="D109" s="1438"/>
      <c r="E109" s="1869"/>
      <c r="F109" s="1227"/>
      <c r="G109" s="1227"/>
      <c r="H109" s="610"/>
      <c r="I109" s="830"/>
      <c r="J109" s="617"/>
      <c r="K109" s="402"/>
      <c r="L109" s="407"/>
      <c r="M109" s="404"/>
      <c r="N109" s="414"/>
      <c r="O109" s="414"/>
      <c r="P109" s="406"/>
      <c r="Q109" s="407"/>
      <c r="R109" s="404"/>
      <c r="S109" s="414"/>
      <c r="T109" s="414"/>
      <c r="U109" s="406"/>
      <c r="V109" s="407"/>
      <c r="W109" s="404"/>
      <c r="X109" s="414"/>
      <c r="Y109" s="414"/>
      <c r="Z109" s="406"/>
      <c r="AA109" s="407"/>
      <c r="AB109" s="404"/>
      <c r="AC109" s="414"/>
      <c r="AD109" s="414"/>
      <c r="AE109" s="406"/>
      <c r="AF109" s="407"/>
      <c r="AG109" s="404"/>
      <c r="AH109" s="414"/>
      <c r="AI109" s="414"/>
      <c r="AJ109" s="406"/>
      <c r="AK109" s="407"/>
      <c r="AL109" s="404"/>
      <c r="AM109" s="414"/>
      <c r="AN109" s="414"/>
      <c r="AO109" s="406"/>
      <c r="AP109" s="407"/>
      <c r="AQ109" s="404"/>
      <c r="AR109" s="414"/>
      <c r="AS109" s="414"/>
      <c r="AT109" s="406"/>
      <c r="AU109" s="407"/>
      <c r="AV109" s="404"/>
      <c r="AW109" s="414"/>
      <c r="AX109" s="414"/>
      <c r="AY109" s="406"/>
      <c r="AZ109" s="407"/>
      <c r="BA109" s="404"/>
      <c r="BB109" s="414"/>
      <c r="BC109" s="414"/>
      <c r="BD109" s="406"/>
      <c r="BE109" s="407"/>
      <c r="BF109" s="404"/>
      <c r="BG109" s="414"/>
      <c r="BH109" s="414"/>
      <c r="BI109" s="406"/>
      <c r="BJ109" s="407"/>
      <c r="BK109" s="404"/>
      <c r="BL109" s="414"/>
      <c r="BM109" s="414"/>
      <c r="BN109" s="406"/>
      <c r="BO109" s="407"/>
      <c r="BP109" s="449"/>
      <c r="BQ109" s="413"/>
      <c r="BR109" s="410"/>
      <c r="BS109" s="416"/>
      <c r="BT109" s="416"/>
      <c r="BU109" s="412"/>
      <c r="BV109" s="413"/>
      <c r="BW109" s="410"/>
      <c r="BX109" s="416"/>
      <c r="BY109" s="416"/>
      <c r="BZ109" s="412"/>
      <c r="CA109" s="413"/>
      <c r="CB109" s="410"/>
      <c r="CC109" s="416"/>
      <c r="CD109" s="416"/>
      <c r="CE109" s="412"/>
      <c r="CF109" s="413"/>
      <c r="CG109" s="410"/>
      <c r="CH109" s="416"/>
      <c r="CI109" s="416"/>
      <c r="CJ109" s="412"/>
      <c r="CK109" s="413"/>
      <c r="CL109" s="410"/>
      <c r="CM109" s="416"/>
      <c r="CN109" s="416"/>
      <c r="CO109" s="412"/>
      <c r="CP109" s="413"/>
      <c r="CQ109" s="410"/>
      <c r="CR109" s="416"/>
      <c r="CS109" s="416"/>
      <c r="CT109" s="412"/>
      <c r="CU109" s="413"/>
      <c r="CV109" s="410"/>
      <c r="CW109" s="416"/>
      <c r="CX109" s="416"/>
      <c r="CY109" s="412"/>
      <c r="CZ109" s="413"/>
      <c r="DA109" s="410"/>
      <c r="DB109" s="416"/>
      <c r="DC109" s="416"/>
      <c r="DD109" s="412"/>
      <c r="DE109" s="413"/>
      <c r="DF109" s="410"/>
      <c r="DG109" s="416"/>
      <c r="DH109" s="416"/>
      <c r="DI109" s="412"/>
      <c r="DJ109" s="413"/>
      <c r="DK109" s="410"/>
      <c r="DL109" s="416"/>
      <c r="DM109" s="416"/>
      <c r="DN109" s="412"/>
      <c r="DO109" s="413"/>
      <c r="DP109" s="410"/>
      <c r="DQ109" s="416"/>
      <c r="DR109" s="416"/>
      <c r="DS109" s="412"/>
      <c r="DT109" s="413"/>
    </row>
    <row r="110" spans="1:124" ht="12.75" customHeight="1">
      <c r="A110" s="491"/>
      <c r="C110" s="261" t="s">
        <v>355</v>
      </c>
      <c r="D110" s="261"/>
      <c r="E110" s="1869"/>
      <c r="F110" s="829"/>
      <c r="G110" s="829"/>
      <c r="H110" s="610"/>
      <c r="I110" s="830"/>
      <c r="J110" s="617"/>
      <c r="K110" s="402"/>
      <c r="L110" s="407"/>
      <c r="M110" s="404"/>
      <c r="N110" s="414"/>
      <c r="O110" s="414"/>
      <c r="P110" s="406"/>
      <c r="Q110" s="407"/>
      <c r="R110" s="404"/>
      <c r="S110" s="414"/>
      <c r="T110" s="414"/>
      <c r="U110" s="406"/>
      <c r="V110" s="407"/>
      <c r="W110" s="404"/>
      <c r="X110" s="414"/>
      <c r="Y110" s="414"/>
      <c r="Z110" s="406"/>
      <c r="AA110" s="407"/>
      <c r="AB110" s="404"/>
      <c r="AC110" s="414"/>
      <c r="AD110" s="414"/>
      <c r="AE110" s="406"/>
      <c r="AF110" s="407"/>
      <c r="AG110" s="404"/>
      <c r="AH110" s="414"/>
      <c r="AI110" s="414"/>
      <c r="AJ110" s="406"/>
      <c r="AK110" s="407"/>
      <c r="AL110" s="404"/>
      <c r="AM110" s="414"/>
      <c r="AN110" s="414"/>
      <c r="AO110" s="406"/>
      <c r="AP110" s="407"/>
      <c r="AQ110" s="404"/>
      <c r="AR110" s="414"/>
      <c r="AS110" s="414"/>
      <c r="AT110" s="406"/>
      <c r="AU110" s="407"/>
      <c r="AV110" s="404"/>
      <c r="AW110" s="414"/>
      <c r="AX110" s="414"/>
      <c r="AY110" s="406"/>
      <c r="AZ110" s="407"/>
      <c r="BA110" s="404"/>
      <c r="BB110" s="414"/>
      <c r="BC110" s="414"/>
      <c r="BD110" s="406"/>
      <c r="BE110" s="407"/>
      <c r="BF110" s="404"/>
      <c r="BG110" s="414"/>
      <c r="BH110" s="414"/>
      <c r="BI110" s="406"/>
      <c r="BJ110" s="407"/>
      <c r="BK110" s="404"/>
      <c r="BL110" s="414"/>
      <c r="BM110" s="414"/>
      <c r="BN110" s="406"/>
      <c r="BO110" s="407"/>
      <c r="BP110" s="449"/>
      <c r="BQ110" s="413"/>
      <c r="BR110" s="410"/>
      <c r="BS110" s="416"/>
      <c r="BT110" s="416"/>
      <c r="BU110" s="412"/>
      <c r="BV110" s="413"/>
      <c r="BW110" s="410"/>
      <c r="BX110" s="416"/>
      <c r="BY110" s="416"/>
      <c r="BZ110" s="412"/>
      <c r="CA110" s="413"/>
      <c r="CB110" s="410"/>
      <c r="CC110" s="416"/>
      <c r="CD110" s="416"/>
      <c r="CE110" s="412"/>
      <c r="CF110" s="413"/>
      <c r="CG110" s="410"/>
      <c r="CH110" s="416"/>
      <c r="CI110" s="416"/>
      <c r="CJ110" s="412"/>
      <c r="CK110" s="413"/>
      <c r="CL110" s="410"/>
      <c r="CM110" s="416"/>
      <c r="CN110" s="416"/>
      <c r="CO110" s="412"/>
      <c r="CP110" s="413"/>
      <c r="CQ110" s="410"/>
      <c r="CR110" s="416"/>
      <c r="CS110" s="416"/>
      <c r="CT110" s="412"/>
      <c r="CU110" s="413"/>
      <c r="CV110" s="410"/>
      <c r="CW110" s="416"/>
      <c r="CX110" s="416"/>
      <c r="CY110" s="412"/>
      <c r="CZ110" s="413"/>
      <c r="DA110" s="410"/>
      <c r="DB110" s="416"/>
      <c r="DC110" s="416"/>
      <c r="DD110" s="412"/>
      <c r="DE110" s="413"/>
      <c r="DF110" s="410"/>
      <c r="DG110" s="416"/>
      <c r="DH110" s="416"/>
      <c r="DI110" s="412"/>
      <c r="DJ110" s="413"/>
      <c r="DK110" s="410"/>
      <c r="DL110" s="416"/>
      <c r="DM110" s="416"/>
      <c r="DN110" s="412"/>
      <c r="DO110" s="413"/>
      <c r="DP110" s="410"/>
      <c r="DQ110" s="416"/>
      <c r="DR110" s="416"/>
      <c r="DS110" s="412"/>
      <c r="DT110" s="413"/>
    </row>
    <row r="111" spans="1:124" ht="12.75" customHeight="1">
      <c r="A111" s="491"/>
      <c r="C111" s="261"/>
      <c r="D111" s="261"/>
      <c r="E111" s="1869"/>
      <c r="F111" s="829"/>
      <c r="G111" s="829"/>
      <c r="H111" s="610"/>
      <c r="I111" s="830"/>
      <c r="J111" s="617"/>
      <c r="K111" s="402"/>
      <c r="L111" s="407"/>
      <c r="M111" s="404"/>
      <c r="N111" s="414"/>
      <c r="O111" s="414"/>
      <c r="P111" s="406"/>
      <c r="Q111" s="407"/>
      <c r="R111" s="404"/>
      <c r="S111" s="414"/>
      <c r="T111" s="414"/>
      <c r="U111" s="406"/>
      <c r="V111" s="407"/>
      <c r="W111" s="404"/>
      <c r="X111" s="414"/>
      <c r="Y111" s="414"/>
      <c r="Z111" s="406"/>
      <c r="AA111" s="407"/>
      <c r="AB111" s="404"/>
      <c r="AC111" s="414"/>
      <c r="AD111" s="414"/>
      <c r="AE111" s="406"/>
      <c r="AF111" s="407"/>
      <c r="AG111" s="404"/>
      <c r="AH111" s="414"/>
      <c r="AI111" s="414"/>
      <c r="AJ111" s="406"/>
      <c r="AK111" s="407"/>
      <c r="AL111" s="404"/>
      <c r="AM111" s="414"/>
      <c r="AN111" s="414"/>
      <c r="AO111" s="406"/>
      <c r="AP111" s="407"/>
      <c r="AQ111" s="404"/>
      <c r="AR111" s="414"/>
      <c r="AS111" s="414"/>
      <c r="AT111" s="406"/>
      <c r="AU111" s="407"/>
      <c r="AV111" s="404"/>
      <c r="AW111" s="414"/>
      <c r="AX111" s="414"/>
      <c r="AY111" s="406"/>
      <c r="AZ111" s="407"/>
      <c r="BA111" s="404"/>
      <c r="BB111" s="414"/>
      <c r="BC111" s="414"/>
      <c r="BD111" s="406"/>
      <c r="BE111" s="407"/>
      <c r="BF111" s="404"/>
      <c r="BG111" s="414"/>
      <c r="BH111" s="414"/>
      <c r="BI111" s="406"/>
      <c r="BJ111" s="407"/>
      <c r="BK111" s="404"/>
      <c r="BL111" s="414"/>
      <c r="BM111" s="414"/>
      <c r="BN111" s="406"/>
      <c r="BO111" s="407"/>
      <c r="BP111" s="449"/>
      <c r="BQ111" s="413"/>
      <c r="BR111" s="410"/>
      <c r="BS111" s="416"/>
      <c r="BT111" s="416"/>
      <c r="BU111" s="412"/>
      <c r="BV111" s="413"/>
      <c r="BW111" s="410"/>
      <c r="BX111" s="416"/>
      <c r="BY111" s="416"/>
      <c r="BZ111" s="412"/>
      <c r="CA111" s="413"/>
      <c r="CB111" s="410"/>
      <c r="CC111" s="416"/>
      <c r="CD111" s="416"/>
      <c r="CE111" s="412"/>
      <c r="CF111" s="413"/>
      <c r="CG111" s="410"/>
      <c r="CH111" s="416"/>
      <c r="CI111" s="416"/>
      <c r="CJ111" s="412"/>
      <c r="CK111" s="413"/>
      <c r="CL111" s="410"/>
      <c r="CM111" s="416"/>
      <c r="CN111" s="416"/>
      <c r="CO111" s="412"/>
      <c r="CP111" s="413"/>
      <c r="CQ111" s="410"/>
      <c r="CR111" s="416"/>
      <c r="CS111" s="416"/>
      <c r="CT111" s="412"/>
      <c r="CU111" s="413"/>
      <c r="CV111" s="410"/>
      <c r="CW111" s="416"/>
      <c r="CX111" s="416"/>
      <c r="CY111" s="412"/>
      <c r="CZ111" s="413"/>
      <c r="DA111" s="410"/>
      <c r="DB111" s="416"/>
      <c r="DC111" s="416"/>
      <c r="DD111" s="412"/>
      <c r="DE111" s="413"/>
      <c r="DF111" s="410"/>
      <c r="DG111" s="416"/>
      <c r="DH111" s="416"/>
      <c r="DI111" s="412"/>
      <c r="DJ111" s="413"/>
      <c r="DK111" s="410"/>
      <c r="DL111" s="416"/>
      <c r="DM111" s="416"/>
      <c r="DN111" s="412"/>
      <c r="DO111" s="413"/>
      <c r="DP111" s="410"/>
      <c r="DQ111" s="416"/>
      <c r="DR111" s="416"/>
      <c r="DS111" s="412"/>
      <c r="DT111" s="413"/>
    </row>
    <row r="112" spans="1:124" ht="12.75" customHeight="1">
      <c r="A112" s="491"/>
      <c r="C112" s="75" t="s">
        <v>406</v>
      </c>
      <c r="D112" s="75"/>
      <c r="E112" s="831"/>
      <c r="F112" s="1226"/>
      <c r="G112" s="1226"/>
      <c r="H112" s="610"/>
      <c r="I112" s="614"/>
      <c r="J112" s="616"/>
      <c r="K112" s="448"/>
      <c r="L112" s="403"/>
      <c r="M112" s="404"/>
      <c r="N112" s="405"/>
      <c r="O112" s="405"/>
      <c r="P112" s="406"/>
      <c r="Q112" s="407"/>
      <c r="R112" s="404"/>
      <c r="S112" s="405"/>
      <c r="T112" s="405"/>
      <c r="U112" s="406"/>
      <c r="V112" s="407"/>
      <c r="W112" s="404"/>
      <c r="X112" s="405"/>
      <c r="Y112" s="405"/>
      <c r="Z112" s="406"/>
      <c r="AA112" s="407"/>
      <c r="AB112" s="404"/>
      <c r="AC112" s="405"/>
      <c r="AD112" s="405"/>
      <c r="AE112" s="406"/>
      <c r="AF112" s="407"/>
      <c r="AG112" s="404"/>
      <c r="AH112" s="405"/>
      <c r="AI112" s="405"/>
      <c r="AJ112" s="406"/>
      <c r="AK112" s="407"/>
      <c r="AL112" s="404"/>
      <c r="AM112" s="405"/>
      <c r="AN112" s="405"/>
      <c r="AO112" s="406"/>
      <c r="AP112" s="407"/>
      <c r="AQ112" s="404"/>
      <c r="AR112" s="405"/>
      <c r="AS112" s="405"/>
      <c r="AT112" s="406"/>
      <c r="AU112" s="407"/>
      <c r="AV112" s="404"/>
      <c r="AW112" s="405"/>
      <c r="AX112" s="405"/>
      <c r="AY112" s="406"/>
      <c r="AZ112" s="407"/>
      <c r="BA112" s="404"/>
      <c r="BB112" s="405"/>
      <c r="BC112" s="405"/>
      <c r="BD112" s="406"/>
      <c r="BE112" s="407"/>
      <c r="BF112" s="404"/>
      <c r="BG112" s="405"/>
      <c r="BH112" s="405"/>
      <c r="BI112" s="406"/>
      <c r="BJ112" s="407"/>
      <c r="BK112" s="404"/>
      <c r="BL112" s="405"/>
      <c r="BM112" s="405"/>
      <c r="BN112" s="406"/>
      <c r="BO112" s="407"/>
      <c r="BP112" s="447"/>
      <c r="BQ112" s="409"/>
      <c r="BR112" s="410"/>
      <c r="BS112" s="411"/>
      <c r="BT112" s="411"/>
      <c r="BU112" s="412"/>
      <c r="BV112" s="413"/>
      <c r="BW112" s="410"/>
      <c r="BX112" s="411"/>
      <c r="BY112" s="411"/>
      <c r="BZ112" s="412"/>
      <c r="CA112" s="413"/>
      <c r="CB112" s="410"/>
      <c r="CC112" s="411"/>
      <c r="CD112" s="411"/>
      <c r="CE112" s="412"/>
      <c r="CF112" s="413"/>
      <c r="CG112" s="410"/>
      <c r="CH112" s="411"/>
      <c r="CI112" s="411"/>
      <c r="CJ112" s="412"/>
      <c r="CK112" s="413"/>
      <c r="CL112" s="410"/>
      <c r="CM112" s="411"/>
      <c r="CN112" s="411"/>
      <c r="CO112" s="412"/>
      <c r="CP112" s="413"/>
      <c r="CQ112" s="410"/>
      <c r="CR112" s="411"/>
      <c r="CS112" s="411"/>
      <c r="CT112" s="412"/>
      <c r="CU112" s="413"/>
      <c r="CV112" s="410"/>
      <c r="CW112" s="411"/>
      <c r="CX112" s="411"/>
      <c r="CY112" s="412"/>
      <c r="CZ112" s="413"/>
      <c r="DA112" s="410"/>
      <c r="DB112" s="411"/>
      <c r="DC112" s="411"/>
      <c r="DD112" s="412"/>
      <c r="DE112" s="413"/>
      <c r="DF112" s="410"/>
      <c r="DG112" s="411"/>
      <c r="DH112" s="411"/>
      <c r="DI112" s="412"/>
      <c r="DJ112" s="413"/>
      <c r="DK112" s="410"/>
      <c r="DL112" s="411"/>
      <c r="DM112" s="411"/>
      <c r="DN112" s="412"/>
      <c r="DO112" s="413"/>
      <c r="DP112" s="410"/>
      <c r="DQ112" s="411"/>
      <c r="DR112" s="411"/>
      <c r="DS112" s="412"/>
      <c r="DT112" s="413"/>
    </row>
    <row r="113" spans="1:124" ht="12.75" customHeight="1">
      <c r="A113" s="491"/>
      <c r="C113" t="s">
        <v>429</v>
      </c>
      <c r="D113" s="50"/>
      <c r="E113" s="1531">
        <f>IF(F113=0,G113,F113)</f>
        <v>25</v>
      </c>
      <c r="F113" s="1532">
        <v>25</v>
      </c>
      <c r="G113" s="1532">
        <v>25</v>
      </c>
      <c r="H113" s="610">
        <v>2017</v>
      </c>
      <c r="I113" s="1534">
        <v>4.4999999999999998E-2</v>
      </c>
      <c r="J113" s="615">
        <v>1</v>
      </c>
      <c r="K113" s="402"/>
      <c r="L113" s="407">
        <f t="shared" ref="L113:L120" si="778">IF(L$5=$H113,-$E113,0)</f>
        <v>0</v>
      </c>
      <c r="M113" s="404">
        <f t="shared" ref="M113:M119" si="779">IF(Q113=0,0,IF(Q113&lt;0,IF($J113=3,Q113,IF($J113=2,Q113,IF($J113=1,Q113,0)))))</f>
        <v>0</v>
      </c>
      <c r="N113" s="414">
        <f t="shared" ref="N113:N119" si="780">IF(Q113=0,0,IF(Q113&lt;0,IF($J113=6,Q113,IF($J113=5,Q113,IF($J113=4,Q113,0)))))</f>
        <v>0</v>
      </c>
      <c r="O113" s="414">
        <f t="shared" ref="O113:O119" si="781">IF(Q113=0,0,IF(Q113&lt;0,IF($J113=9,Q113,IF($J113=8,Q113,IF($J113=7,Q113,0)))))</f>
        <v>0</v>
      </c>
      <c r="P113" s="406">
        <f t="shared" ref="P113:P119" si="782">IF(Q113=0,0,IF(Q113&lt;0,IF($J113=12,Q113,IF($J113=11,Q113,IF($J113=10,Q113,0)))))</f>
        <v>0</v>
      </c>
      <c r="Q113" s="407">
        <f t="shared" ref="Q113:Q120" si="783">IF(Q$5=$H113,-$E113,0)</f>
        <v>0</v>
      </c>
      <c r="R113" s="404">
        <f t="shared" ref="R113:R119" si="784">IF(V113=0,0,IF(V113&lt;0,IF($J113=3,V113,IF($J113=2,V113,IF($J113=1,V113,0)))))</f>
        <v>0</v>
      </c>
      <c r="S113" s="414">
        <f t="shared" ref="S113:S119" si="785">IF(V113=0,0,IF(V113&lt;0,IF($J113=6,V113,IF($J113=5,V113,IF($J113=4,V113,0)))))</f>
        <v>0</v>
      </c>
      <c r="T113" s="414">
        <f t="shared" ref="T113:T119" si="786">IF(V113=0,0,IF(V113&lt;0,IF($J113=9,V113,IF($J113=8,V113,IF($J113=7,V113,0)))))</f>
        <v>0</v>
      </c>
      <c r="U113" s="406">
        <f t="shared" ref="U113:U119" si="787">IF(V113=0,0,IF(V113&lt;0,IF($J113=12,V113,IF($J113=11,V113,IF($J113=10,V113,0)))))</f>
        <v>0</v>
      </c>
      <c r="V113" s="407">
        <f t="shared" ref="V113:V120" si="788">IF(V$5=$H113,-$E113,0)</f>
        <v>0</v>
      </c>
      <c r="W113" s="404">
        <f t="shared" ref="W113:W119" si="789">IF(AA113=0,0,IF(AA113&lt;0,IF($J113=3,AA113,IF($J113=2,AA113,IF($J113=1,AA113,0)))))</f>
        <v>0</v>
      </c>
      <c r="X113" s="414">
        <f t="shared" ref="X113:X119" si="790">IF(AA113=0,0,IF(AA113&lt;0,IF($J113=6,AA113,IF($J113=5,AA113,IF($J113=4,AA113,0)))))</f>
        <v>0</v>
      </c>
      <c r="Y113" s="414">
        <f t="shared" ref="Y113:Y119" si="791">IF(AA113=0,0,IF(AA113&lt;0,IF($J113=9,AA113,IF($J113=8,AA113,IF($J113=7,AA113,0)))))</f>
        <v>0</v>
      </c>
      <c r="Z113" s="406">
        <f t="shared" ref="Z113:Z119" si="792">IF(AA113=0,0,IF(AA113&lt;0,IF($J113=12,AA113,IF($J113=11,AA113,IF($J113=10,AA113,0)))))</f>
        <v>0</v>
      </c>
      <c r="AA113" s="407">
        <f t="shared" ref="AA113:AA120" si="793">IF(AA$5=$H113,-$E113,0)</f>
        <v>0</v>
      </c>
      <c r="AB113" s="404">
        <f t="shared" ref="AB113:AB119" si="794">IF(AF113=0,0,IF(AF113&lt;0,IF($J113=3,AF113,IF($J113=2,AF113,IF($J113=1,AF113,0)))))</f>
        <v>0</v>
      </c>
      <c r="AC113" s="414">
        <f t="shared" ref="AC113:AC119" si="795">IF(AF113=0,0,IF(AF113&lt;0,IF($J113=6,AF113,IF($J113=5,AF113,IF($J113=4,AF113,0)))))</f>
        <v>0</v>
      </c>
      <c r="AD113" s="414">
        <f t="shared" ref="AD113:AD119" si="796">IF(AF113=0,0,IF(AF113&lt;0,IF($J113=9,AF113,IF($J113=8,AF113,IF($J113=7,AF113,0)))))</f>
        <v>0</v>
      </c>
      <c r="AE113" s="406">
        <f t="shared" ref="AE113:AE119" si="797">IF(AF113=0,0,IF(AF113&lt;0,IF($J113=12,AF113,IF($J113=11,AF113,IF($J113=10,AF113,0)))))</f>
        <v>0</v>
      </c>
      <c r="AF113" s="407">
        <f t="shared" ref="AF113:AF120" si="798">IF(AF$5=$H113,-$E113,0)</f>
        <v>0</v>
      </c>
      <c r="AG113" s="404">
        <f t="shared" ref="AG113:AG119" si="799">IF(AK113=0,0,IF(AK113&lt;0,IF($J113=3,AK113,IF($J113=2,AK113,IF($J113=1,AK113,0)))))</f>
        <v>0</v>
      </c>
      <c r="AH113" s="414">
        <f t="shared" ref="AH113:AH119" si="800">IF(AK113=0,0,IF(AK113&lt;0,IF($J113=6,AK113,IF($J113=5,AK113,IF($J113=4,AK113,0)))))</f>
        <v>0</v>
      </c>
      <c r="AI113" s="414">
        <f t="shared" ref="AI113:AI119" si="801">IF(AK113=0,0,IF(AK113&lt;0,IF($J113=9,AK113,IF($J113=8,AK113,IF($J113=7,AK113,0)))))</f>
        <v>0</v>
      </c>
      <c r="AJ113" s="406">
        <f t="shared" ref="AJ113:AJ119" si="802">IF(AK113=0,0,IF(AK113&lt;0,IF($J113=12,AK113,IF($J113=11,AK113,IF($J113=10,AK113,0)))))</f>
        <v>0</v>
      </c>
      <c r="AK113" s="407">
        <f t="shared" ref="AK113:AK120" si="803">IF(AK$5=$H113,-$E113,0)</f>
        <v>0</v>
      </c>
      <c r="AL113" s="404">
        <f t="shared" ref="AL113:AL119" si="804">IF(AP113=0,0,IF(AP113&lt;0,IF($J113=3,AP113,IF($J113=2,AP113,IF($J113=1,AP113,0)))))</f>
        <v>0</v>
      </c>
      <c r="AM113" s="414">
        <f t="shared" ref="AM113:AM119" si="805">IF(AP113=0,0,IF(AP113&lt;0,IF($J113=6,AP113,IF($J113=5,AP113,IF($J113=4,AP113,0)))))</f>
        <v>0</v>
      </c>
      <c r="AN113" s="414">
        <f t="shared" ref="AN113:AN119" si="806">IF(AP113=0,0,IF(AP113&lt;0,IF($J113=9,AP113,IF($J113=8,AP113,IF($J113=7,AP113,0)))))</f>
        <v>0</v>
      </c>
      <c r="AO113" s="406">
        <f t="shared" ref="AO113:AO119" si="807">IF(AP113=0,0,IF(AP113&lt;0,IF($J113=12,AP113,IF($J113=11,AP113,IF($J113=10,AP113,0)))))</f>
        <v>0</v>
      </c>
      <c r="AP113" s="407">
        <f t="shared" ref="AP113:AP120" si="808">IF(AP$5=$H113,-$E113,0)</f>
        <v>0</v>
      </c>
      <c r="AQ113" s="404">
        <f t="shared" ref="AQ113:AQ119" si="809">IF(AU113=0,0,IF(AU113&lt;0,IF($J113=3,AU113,IF($J113=2,AU113,IF($J113=1,AU113,0)))))</f>
        <v>-25</v>
      </c>
      <c r="AR113" s="414">
        <f t="shared" ref="AR113:AR119" si="810">IF(AU113=0,0,IF(AU113&lt;0,IF($J113=6,AU113,IF($J113=5,AU113,IF($J113=4,AU113,0)))))</f>
        <v>0</v>
      </c>
      <c r="AS113" s="414">
        <f t="shared" ref="AS113:AS119" si="811">IF(AU113=0,0,IF(AU113&lt;0,IF($J113=9,AU113,IF($J113=8,AU113,IF($J113=7,AU113,0)))))</f>
        <v>0</v>
      </c>
      <c r="AT113" s="406">
        <f t="shared" ref="AT113:AT119" si="812">IF(AU113=0,0,IF(AU113&lt;0,IF($J113=12,AU113,IF($J113=11,AU113,IF($J113=10,AU113,0)))))</f>
        <v>0</v>
      </c>
      <c r="AU113" s="407">
        <f t="shared" ref="AU113:AU120" si="813">IF(AU$5=$H113,-$E113,0)</f>
        <v>-25</v>
      </c>
      <c r="AV113" s="404">
        <f t="shared" ref="AV113:AV119" si="814">IF(AZ113=0,0,IF(AZ113&lt;0,IF($J113=3,AZ113,IF($J113=2,AZ113,IF($J113=1,AZ113,0)))))</f>
        <v>0</v>
      </c>
      <c r="AW113" s="414">
        <f t="shared" ref="AW113:AW119" si="815">IF(AZ113=0,0,IF(AZ113&lt;0,IF($J113=6,AZ113,IF($J113=5,AZ113,IF($J113=4,AZ113,0)))))</f>
        <v>0</v>
      </c>
      <c r="AX113" s="414">
        <f t="shared" ref="AX113:AX119" si="816">IF(AZ113=0,0,IF(AZ113&lt;0,IF($J113=9,AZ113,IF($J113=8,AZ113,IF($J113=7,AZ113,0)))))</f>
        <v>0</v>
      </c>
      <c r="AY113" s="406">
        <f t="shared" ref="AY113:AY119" si="817">IF(AZ113=0,0,IF(AZ113&lt;0,IF($J113=12,AZ113,IF($J113=11,AZ113,IF($J113=10,AZ113,0)))))</f>
        <v>0</v>
      </c>
      <c r="AZ113" s="407">
        <f t="shared" ref="AZ113:AZ120" si="818">IF(AZ$5=$H113,-$E113,0)</f>
        <v>0</v>
      </c>
      <c r="BA113" s="404">
        <f t="shared" ref="BA113:BA119" si="819">IF(BE113=0,0,IF(BE113&lt;0,IF($J113=3,BE113,IF($J113=2,BE113,IF($J113=1,BE113,0)))))</f>
        <v>0</v>
      </c>
      <c r="BB113" s="414">
        <f t="shared" ref="BB113:BB119" si="820">IF(BE113=0,0,IF(BE113&lt;0,IF($J113=6,BE113,IF($J113=5,BE113,IF($J113=4,BE113,0)))))</f>
        <v>0</v>
      </c>
      <c r="BC113" s="414">
        <f t="shared" ref="BC113:BC119" si="821">IF(BE113=0,0,IF(BE113&lt;0,IF($J113=9,BE113,IF($J113=8,BE113,IF($J113=7,BE113,0)))))</f>
        <v>0</v>
      </c>
      <c r="BD113" s="406">
        <f t="shared" ref="BD113:BD119" si="822">IF(BE113=0,0,IF(BE113&lt;0,IF($J113=12,BE113,IF($J113=11,BE113,IF($J113=10,BE113,0)))))</f>
        <v>0</v>
      </c>
      <c r="BE113" s="407">
        <f t="shared" ref="BE113:BE120" si="823">IF(BE$5=$H113,-$E113,0)</f>
        <v>0</v>
      </c>
      <c r="BF113" s="404">
        <f t="shared" ref="BF113:BF119" si="824">IF(BJ113=0,0,IF(BJ113&lt;0,IF($J113=3,BJ113,IF($J113=2,BJ113,IF($J113=1,BJ113,0)))))</f>
        <v>0</v>
      </c>
      <c r="BG113" s="414">
        <f t="shared" ref="BG113:BG119" si="825">IF(BJ113=0,0,IF(BJ113&lt;0,IF($J113=6,BJ113,IF($J113=5,BJ113,IF($J113=4,BJ113,0)))))</f>
        <v>0</v>
      </c>
      <c r="BH113" s="414">
        <f t="shared" ref="BH113:BH119" si="826">IF(BJ113=0,0,IF(BJ113&lt;0,IF($J113=9,BJ113,IF($J113=8,BJ113,IF($J113=7,BJ113,0)))))</f>
        <v>0</v>
      </c>
      <c r="BI113" s="406">
        <f t="shared" ref="BI113:BI119" si="827">IF(BJ113=0,0,IF(BJ113&lt;0,IF($J113=12,BJ113,IF($J113=11,BJ113,IF($J113=10,BJ113,0)))))</f>
        <v>0</v>
      </c>
      <c r="BJ113" s="407">
        <f t="shared" ref="BJ113:BJ120" si="828">IF(BJ$5=$H113,-$E113,0)</f>
        <v>0</v>
      </c>
      <c r="BK113" s="404">
        <f t="shared" ref="BK113:BK119" si="829">IF(BO113=0,0,IF(BO113&lt;0,IF($J113=3,BO113,IF($J113=2,BO113,IF($J113=1,BO113,0)))))</f>
        <v>0</v>
      </c>
      <c r="BL113" s="414">
        <f t="shared" ref="BL113:BL119" si="830">IF(BO113=0,0,IF(BO113&lt;0,IF($J113=6,BO113,IF($J113=5,BO113,IF($J113=4,BO113,0)))))</f>
        <v>0</v>
      </c>
      <c r="BM113" s="414">
        <f t="shared" ref="BM113:BM119" si="831">IF(BO113=0,0,IF(BO113&lt;0,IF($J113=9,BO113,IF($J113=8,BO113,IF($J113=7,BO113,0)))))</f>
        <v>0</v>
      </c>
      <c r="BN113" s="406">
        <f t="shared" ref="BN113:BN119" si="832">IF(BO113=0,0,IF(BO113&lt;0,IF($J113=12,BO113,IF($J113=11,BO113,IF($J113=10,BO113,0)))))</f>
        <v>0</v>
      </c>
      <c r="BO113" s="407">
        <f t="shared" ref="BO113:BO120" si="833">IF(BO$5=$H113,-$E113,0)</f>
        <v>0</v>
      </c>
      <c r="BP113" s="449"/>
      <c r="BQ113" s="413">
        <f t="shared" ref="BQ113:BQ119" si="834">IF(AND(AH113&lt;&gt;0,AH$5=$H113),-$I113*$E113-AH113,IF(BQ$5=$H113,-$I113*$E113*(12-$J113+1)/12,0))</f>
        <v>0</v>
      </c>
      <c r="BR113" s="410">
        <f t="shared" ref="BR113:BR119" si="835">IF($H113&lt;&gt;BV$5,0,IF(BV113&lt;0,IF($J113=1,-$E113*$I113/12*3,IF($J113=2,-$E113*$I113/12*2,IF($J113=3,-$E113*$I113/12*1,0)))))+IF(BQ$5&lt;&gt;$H113,0,IF(BQ113&lt;0,IF($J113=1,-$E113*$I113/12*0,IF($J113=2,-$E113*$I113/12*1,IF($J113=3,-$E113*$I113/12*2,IF($J113&gt;=4,-$E113*$I113/12*3,0))))))</f>
        <v>0</v>
      </c>
      <c r="BS113" s="416">
        <f t="shared" ref="BS113:BS119" si="836">IF($H113&lt;&gt;BV$5,0,IF(BV113&lt;0,IF(OR($J113=1,$J113=2,$J113=3,$J113=4),-$E113*$I113/12*3,IF($J113=5,-$E113*$I113/12*2,IF($J113=6,-$E113*$I113/12*1,0)))))+IF(BQ$5&lt;&gt;$H113,0,IF(BQ113&lt;0,IF($J113=4,-$E113*$I113/12*0,IF($J113=5,-$E113*$I113/12*1,IF($J113=6,-$E113*$I113/12*2,IF($J113&gt;=7,-$E113*$I113/12*3,0))))))</f>
        <v>0</v>
      </c>
      <c r="BT113" s="416">
        <f t="shared" ref="BT113:BT119" si="837">IF($H113&lt;&gt;BV$5,0,IF(BV113&lt;0,IF(OR($J113=1,$J113=2,$J113=3,$J113=4,$J113=5,$J113=6,$J113=7),-$E113*$I113/12*3,IF($J113=8,-$E113*$I113/12*2,IF($J113=9,-$E113*$I113/12*1,0)))))+IF(BQ$5&lt;&gt;$H113,0,IF(BQ113&lt;0,IF($J113=7,-$E113*$I113/12*0,IF($J113=8,-$E113*$I113/12*1,IF($J113=9,-$E113*$I113/12*2,IF($J113&gt;=10,-$E113*$I113/12*3,0))))))</f>
        <v>0</v>
      </c>
      <c r="BU113" s="412">
        <f t="shared" ref="BU113:BU119" si="838">IF($H113&lt;&gt;BV$5,0,IF(BV113&lt;0,IF(OR($J113=1,$J113=2,$J113=3,$J113=4,$J113=5,$J113=6,$J113=7,$J113=8,$J113=9,$J113=10),-$E113*$I113/12*3,IF($J113=11,-$E113*$I113/12*2,IF($J113=12,-$E113*$I113/12*1,0)))))+IF(BQ$5&lt;&gt;$H113,0,IF(BQ113&lt;0,IF($J113=10,-$E113*$I113/12*0,IF($J113=11,-$E113*$I113/12*1,IF($J113=12,-$E113*$I113/12*2,0)))))</f>
        <v>0</v>
      </c>
      <c r="BV113" s="413">
        <f t="shared" ref="BV113:BV119" si="839">IF(AND(BQ113&lt;&gt;0,BQ$5=$H113),-$I113*$E113-BQ113,IF(BV$5=$H113,-$I113*$E113*(12-$J113+1)/12,0))</f>
        <v>0</v>
      </c>
      <c r="BW113" s="410">
        <f t="shared" ref="BW113:BW119" si="840">IF($H113&lt;&gt;CA$5,0,IF(CA113&lt;0,IF($J113=1,-$E113*$I113/12*3,IF($J113=2,-$E113*$I113/12*2,IF($J113=3,-$E113*$I113/12*1,0)))))+IF(BV$5&lt;&gt;$H113,0,IF(BV113&lt;0,IF($J113=1,-$E113*$I113/12*0,IF($J113=2,-$E113*$I113/12*1,IF($J113=3,-$E113*$I113/12*2,IF($J113&gt;=4,-$E113*$I113/12*3,0))))))</f>
        <v>0</v>
      </c>
      <c r="BX113" s="416">
        <f t="shared" ref="BX113:BX119" si="841">IF($H113&lt;&gt;CA$5,0,IF(CA113&lt;0,IF(OR($J113=1,$J113=2,$J113=3,$J113=4),-$E113*$I113/12*3,IF($J113=5,-$E113*$I113/12*2,IF($J113=6,-$E113*$I113/12*1,0)))))+IF(BV$5&lt;&gt;$H113,0,IF(BV113&lt;0,IF($J113=4,-$E113*$I113/12*0,IF($J113=5,-$E113*$I113/12*1,IF($J113=6,-$E113*$I113/12*2,IF($J113&gt;=7,-$E113*$I113/12*3,0))))))</f>
        <v>0</v>
      </c>
      <c r="BY113" s="416">
        <f t="shared" ref="BY113:BY119" si="842">IF($H113&lt;&gt;CA$5,0,IF(CA113&lt;0,IF(OR($J113=1,$J113=2,$J113=3,$J113=4,$J113=5,$J113=6,$J113=7),-$E113*$I113/12*3,IF($J113=8,-$E113*$I113/12*2,IF($J113=9,-$E113*$I113/12*1,0)))))+IF(BV$5&lt;&gt;$H113,0,IF(BV113&lt;0,IF($J113=7,-$E113*$I113/12*0,IF($J113=8,-$E113*$I113/12*1,IF($J113=9,-$E113*$I113/12*2,IF($J113&gt;=10,-$E113*$I113/12*3,0))))))</f>
        <v>0</v>
      </c>
      <c r="BZ113" s="412">
        <f t="shared" ref="BZ113:BZ119" si="843">IF($H113&lt;&gt;CA$5,0,IF(CA113&lt;0,IF(OR($J113=1,$J113=2,$J113=3,$J113=4,$J113=5,$J113=6,$J113=7,$J113=8,$J113=9,$J113=10),-$E113*$I113/12*3,IF($J113=11,-$E113*$I113/12*2,IF($J113=12,-$E113*$I113/12*1,0)))))+IF(BV$5&lt;&gt;$H113,0,IF(BV113&lt;0,IF($J113=10,-$E113*$I113/12*0,IF($J113=11,-$E113*$I113/12*1,IF($J113=12,-$E113*$I113/12*2,0)))))</f>
        <v>0</v>
      </c>
      <c r="CA113" s="413">
        <f t="shared" ref="CA113:CA119" si="844">IF(AND(BV113&lt;&gt;0,BV$5=$H113),-$I113*$E113-BV113,IF(CA$5=$H113,-$I113*$E113*(12-$J113+1)/12,0))</f>
        <v>0</v>
      </c>
      <c r="CB113" s="410">
        <f t="shared" ref="CB113:CB119" si="845">IF($H113&lt;&gt;CF$5,0,IF(CF113&lt;0,IF($J113=1,-$E113*$I113/12*3,IF($J113=2,-$E113*$I113/12*2,IF($J113=3,-$E113*$I113/12*1,0)))))+IF(CA$5&lt;&gt;$H113,0,IF(CA113&lt;0,IF($J113=1,-$E113*$I113/12*0,IF($J113=2,-$E113*$I113/12*1,IF($J113=3,-$E113*$I113/12*2,IF($J113&gt;=4,-$E113*$I113/12*3,0))))))</f>
        <v>0</v>
      </c>
      <c r="CC113" s="416">
        <f t="shared" ref="CC113:CC119" si="846">IF($H113&lt;&gt;CF$5,0,IF(CF113&lt;0,IF(OR($J113=1,$J113=2,$J113=3,$J113=4),-$E113*$I113/12*3,IF($J113=5,-$E113*$I113/12*2,IF($J113=6,-$E113*$I113/12*1,0)))))+IF(CA$5&lt;&gt;$H113,0,IF(CA113&lt;0,IF($J113=4,-$E113*$I113/12*0,IF($J113=5,-$E113*$I113/12*1,IF($J113=6,-$E113*$I113/12*2,IF($J113&gt;=7,-$E113*$I113/12*3,0))))))</f>
        <v>0</v>
      </c>
      <c r="CD113" s="416">
        <f t="shared" ref="CD113:CD119" si="847">IF($H113&lt;&gt;CF$5,0,IF(CF113&lt;0,IF(OR($J113=1,$J113=2,$J113=3,$J113=4,$J113=5,$J113=6,$J113=7),-$E113*$I113/12*3,IF($J113=8,-$E113*$I113/12*2,IF($J113=9,-$E113*$I113/12*1,0)))))+IF(CA$5&lt;&gt;$H113,0,IF(CA113&lt;0,IF($J113=7,-$E113*$I113/12*0,IF($J113=8,-$E113*$I113/12*1,IF($J113=9,-$E113*$I113/12*2,IF($J113&gt;=10,-$E113*$I113/12*3,0))))))</f>
        <v>0</v>
      </c>
      <c r="CE113" s="412">
        <f t="shared" ref="CE113:CE119" si="848">IF($H113&lt;&gt;CF$5,0,IF(CF113&lt;0,IF(OR($J113=1,$J113=2,$J113=3,$J113=4,$J113=5,$J113=6,$J113=7,$J113=8,$J113=9,$J113=10),-$E113*$I113/12*3,IF($J113=11,-$E113*$I113/12*2,IF($J113=12,-$E113*$I113/12*1,0)))))+IF(CA$5&lt;&gt;$H113,0,IF(CA113&lt;0,IF($J113=10,-$E113*$I113/12*0,IF($J113=11,-$E113*$I113/12*1,IF($J113=12,-$E113*$I113/12*2,0)))))</f>
        <v>0</v>
      </c>
      <c r="CF113" s="413">
        <f t="shared" ref="CF113:CF119" si="849">IF(AND(CA113&lt;&gt;0,CA$5=$H113),-$I113*$E113-CA113,IF(CF$5=$H113,-$I113*$E113*(12-$J113+1)/12,0))</f>
        <v>0</v>
      </c>
      <c r="CG113" s="410">
        <f t="shared" ref="CG113:CG119" si="850">IF($H113&lt;&gt;CK$5,0,IF(CK113&lt;0,IF($J113=1,-$E113*$I113/12*3,IF($J113=2,-$E113*$I113/12*2,IF($J113=3,-$E113*$I113/12*1,0)))))+IF(CF$5&lt;&gt;$H113,0,IF(CF113&lt;0,IF($J113=1,-$E113*$I113/12*0,IF($J113=2,-$E113*$I113/12*1,IF($J113=3,-$E113*$I113/12*2,IF($J113&gt;=4,-$E113*$I113/12*3,0))))))</f>
        <v>0</v>
      </c>
      <c r="CH113" s="416">
        <f t="shared" ref="CH113:CH119" si="851">IF($H113&lt;&gt;CK$5,0,IF(CK113&lt;0,IF(OR($J113=1,$J113=2,$J113=3,$J113=4),-$E113*$I113/12*3,IF($J113=5,-$E113*$I113/12*2,IF($J113=6,-$E113*$I113/12*1,0)))))+IF(CF$5&lt;&gt;$H113,0,IF(CF113&lt;0,IF($J113=4,-$E113*$I113/12*0,IF($J113=5,-$E113*$I113/12*1,IF($J113=6,-$E113*$I113/12*2,IF($J113&gt;=7,-$E113*$I113/12*3,0))))))</f>
        <v>0</v>
      </c>
      <c r="CI113" s="416">
        <f t="shared" ref="CI113:CI119" si="852">IF($H113&lt;&gt;CK$5,0,IF(CK113&lt;0,IF(OR($J113=1,$J113=2,$J113=3,$J113=4,$J113=5,$J113=6,$J113=7),-$E113*$I113/12*3,IF($J113=8,-$E113*$I113/12*2,IF($J113=9,-$E113*$I113/12*1,0)))))+IF(CF$5&lt;&gt;$H113,0,IF(CF113&lt;0,IF($J113=7,-$E113*$I113/12*0,IF($J113=8,-$E113*$I113/12*1,IF($J113=9,-$E113*$I113/12*2,IF($J113&gt;=10,-$E113*$I113/12*3,0))))))</f>
        <v>0</v>
      </c>
      <c r="CJ113" s="412">
        <f t="shared" ref="CJ113:CJ119" si="853">IF($H113&lt;&gt;CK$5,0,IF(CK113&lt;0,IF(OR($J113=1,$J113=2,$J113=3,$J113=4,$J113=5,$J113=6,$J113=7,$J113=8,$J113=9,$J113=10),-$E113*$I113/12*3,IF($J113=11,-$E113*$I113/12*2,IF($J113=12,-$E113*$I113/12*1,0)))))+IF(CF$5&lt;&gt;$H113,0,IF(CF113&lt;0,IF($J113=10,-$E113*$I113/12*0,IF($J113=11,-$E113*$I113/12*1,IF($J113=12,-$E113*$I113/12*2,0)))))</f>
        <v>0</v>
      </c>
      <c r="CK113" s="413">
        <f t="shared" ref="CK113:CK119" si="854">IF(AND(CF113&lt;&gt;0,CF$5=$H113),-$I113*$E113-CF113,IF(CK$5=$H113,-$I113*$E113*(12-$J113+1)/12,0))</f>
        <v>0</v>
      </c>
      <c r="CL113" s="410">
        <f t="shared" ref="CL113:CL119" si="855">IF($H113&lt;&gt;CP$5,0,IF(CP113&lt;0,IF($J113=1,-$E113*$I113/12*3,IF($J113=2,-$E113*$I113/12*2,IF($J113=3,-$E113*$I113/12*1,0)))))+IF(CK$5&lt;&gt;$H113,0,IF(CK113&lt;0,IF($J113=1,-$E113*$I113/12*0,IF($J113=2,-$E113*$I113/12*1,IF($J113=3,-$E113*$I113/12*2,IF($J113&gt;=4,-$E113*$I113/12*3,0))))))</f>
        <v>0</v>
      </c>
      <c r="CM113" s="416">
        <f t="shared" ref="CM113:CM119" si="856">IF($H113&lt;&gt;CP$5,0,IF(CP113&lt;0,IF(OR($J113=1,$J113=2,$J113=3,$J113=4),-$E113*$I113/12*3,IF($J113=5,-$E113*$I113/12*2,IF($J113=6,-$E113*$I113/12*1,0)))))+IF(CK$5&lt;&gt;$H113,0,IF(CK113&lt;0,IF($J113=4,-$E113*$I113/12*0,IF($J113=5,-$E113*$I113/12*1,IF($J113=6,-$E113*$I113/12*2,IF($J113&gt;=7,-$E113*$I113/12*3,0))))))</f>
        <v>0</v>
      </c>
      <c r="CN113" s="416">
        <f t="shared" ref="CN113:CN119" si="857">IF($H113&lt;&gt;CP$5,0,IF(CP113&lt;0,IF(OR($J113=1,$J113=2,$J113=3,$J113=4,$J113=5,$J113=6,$J113=7),-$E113*$I113/12*3,IF($J113=8,-$E113*$I113/12*2,IF($J113=9,-$E113*$I113/12*1,0)))))+IF(CK$5&lt;&gt;$H113,0,IF(CK113&lt;0,IF($J113=7,-$E113*$I113/12*0,IF($J113=8,-$E113*$I113/12*1,IF($J113=9,-$E113*$I113/12*2,IF($J113&gt;=10,-$E113*$I113/12*3,0))))))</f>
        <v>0</v>
      </c>
      <c r="CO113" s="412">
        <f t="shared" ref="CO113:CO119" si="858">IF($H113&lt;&gt;CP$5,0,IF(CP113&lt;0,IF(OR($J113=1,$J113=2,$J113=3,$J113=4,$J113=5,$J113=6,$J113=7,$J113=8,$J113=9,$J113=10),-$E113*$I113/12*3,IF($J113=11,-$E113*$I113/12*2,IF($J113=12,-$E113*$I113/12*1,0)))))+IF(CK$5&lt;&gt;$H113,0,IF(CK113&lt;0,IF($J113=10,-$E113*$I113/12*0,IF($J113=11,-$E113*$I113/12*1,IF($J113=12,-$E113*$I113/12*2,0)))))</f>
        <v>0</v>
      </c>
      <c r="CP113" s="413">
        <f t="shared" ref="CP113:CP119" si="859">IF(AND(CK113&lt;&gt;0,CK$5=$H113),-$I113*$E113-CK113,IF(CP$5=$H113,-$I113*$E113*(12-$J113+1)/12,0))</f>
        <v>0</v>
      </c>
      <c r="CQ113" s="410">
        <f t="shared" ref="CQ113:CQ119" si="860">IF($H113&lt;&gt;CU$5,0,IF(CU113&lt;0,IF($J113=1,-$E113*$I113/12*3,IF($J113=2,-$E113*$I113/12*2,IF($J113=3,-$E113*$I113/12*1,0)))))+IF(CP$5&lt;&gt;$H113,0,IF(CP113&lt;0,IF($J113=1,-$E113*$I113/12*0,IF($J113=2,-$E113*$I113/12*1,IF($J113=3,-$E113*$I113/12*2,IF($J113&gt;=4,-$E113*$I113/12*3,0))))))</f>
        <v>0</v>
      </c>
      <c r="CR113" s="416">
        <f t="shared" ref="CR113:CR119" si="861">IF($H113&lt;&gt;CU$5,0,IF(CU113&lt;0,IF(OR($J113=1,$J113=2,$J113=3,$J113=4),-$E113*$I113/12*3,IF($J113=5,-$E113*$I113/12*2,IF($J113=6,-$E113*$I113/12*1,0)))))+IF(CP$5&lt;&gt;$H113,0,IF(CP113&lt;0,IF($J113=4,-$E113*$I113/12*0,IF($J113=5,-$E113*$I113/12*1,IF($J113=6,-$E113*$I113/12*2,IF($J113&gt;=7,-$E113*$I113/12*3,0))))))</f>
        <v>0</v>
      </c>
      <c r="CS113" s="416">
        <f t="shared" ref="CS113:CS119" si="862">IF($H113&lt;&gt;CU$5,0,IF(CU113&lt;0,IF(OR($J113=1,$J113=2,$J113=3,$J113=4,$J113=5,$J113=6,$J113=7),-$E113*$I113/12*3,IF($J113=8,-$E113*$I113/12*2,IF($J113=9,-$E113*$I113/12*1,0)))))+IF(CP$5&lt;&gt;$H113,0,IF(CP113&lt;0,IF($J113=7,-$E113*$I113/12*0,IF($J113=8,-$E113*$I113/12*1,IF($J113=9,-$E113*$I113/12*2,IF($J113&gt;=10,-$E113*$I113/12*3,0))))))</f>
        <v>0</v>
      </c>
      <c r="CT113" s="412">
        <f t="shared" ref="CT113:CT119" si="863">IF($H113&lt;&gt;CU$5,0,IF(CU113&lt;0,IF(OR($J113=1,$J113=2,$J113=3,$J113=4,$J113=5,$J113=6,$J113=7,$J113=8,$J113=9,$J113=10),-$E113*$I113/12*3,IF($J113=11,-$E113*$I113/12*2,IF($J113=12,-$E113*$I113/12*1,0)))))+IF(CP$5&lt;&gt;$H113,0,IF(CP113&lt;0,IF($J113=10,-$E113*$I113/12*0,IF($J113=11,-$E113*$I113/12*1,IF($J113=12,-$E113*$I113/12*2,0)))))</f>
        <v>0</v>
      </c>
      <c r="CU113" s="413">
        <f t="shared" ref="CU113:CU119" si="864">IF(AND(CP113&lt;&gt;0,CP$5=$H113),-$I113*$E113-CP113,IF(CU$5=$H113,-$I113*$E113*(12-$J113+1)/12,0))</f>
        <v>0</v>
      </c>
      <c r="CV113" s="410">
        <f t="shared" ref="CV113:CV119" si="865">IF($H113&lt;&gt;CZ$5,0,IF(CZ113&lt;0,IF($J113=1,-$E113*$I113/12*3,IF($J113=2,-$E113*$I113/12*2,IF($J113=3,-$E113*$I113/12*1,0)))))+IF(CU$5&lt;&gt;$H113,0,IF(CU113&lt;0,IF($J113=1,-$E113*$I113/12*0,IF($J113=2,-$E113*$I113/12*1,IF($J113=3,-$E113*$I113/12*2,IF($J113&gt;=4,-$E113*$I113/12*3,0))))))</f>
        <v>-0.28125</v>
      </c>
      <c r="CW113" s="416">
        <f t="shared" ref="CW113:CW119" si="866">IF($H113&lt;&gt;CZ$5,0,IF(CZ113&lt;0,IF(OR($J113=1,$J113=2,$J113=3,$J113=4),-$E113*$I113/12*3,IF($J113=5,-$E113*$I113/12*2,IF($J113=6,-$E113*$I113/12*1,0)))))+IF(CU$5&lt;&gt;$H113,0,IF(CU113&lt;0,IF($J113=4,-$E113*$I113/12*0,IF($J113=5,-$E113*$I113/12*1,IF($J113=6,-$E113*$I113/12*2,IF($J113&gt;=7,-$E113*$I113/12*3,0))))))</f>
        <v>-0.28125</v>
      </c>
      <c r="CX113" s="416">
        <f t="shared" ref="CX113:CX119" si="867">IF($H113&lt;&gt;CZ$5,0,IF(CZ113&lt;0,IF(OR($J113=1,$J113=2,$J113=3,$J113=4,$J113=5,$J113=6,$J113=7),-$E113*$I113/12*3,IF($J113=8,-$E113*$I113/12*2,IF($J113=9,-$E113*$I113/12*1,0)))))+IF(CU$5&lt;&gt;$H113,0,IF(CU113&lt;0,IF($J113=7,-$E113*$I113/12*0,IF($J113=8,-$E113*$I113/12*1,IF($J113=9,-$E113*$I113/12*2,IF($J113&gt;=10,-$E113*$I113/12*3,0))))))</f>
        <v>-0.28125</v>
      </c>
      <c r="CY113" s="412">
        <f t="shared" ref="CY113:CY119" si="868">IF($H113&lt;&gt;CZ$5,0,IF(CZ113&lt;0,IF(OR($J113=1,$J113=2,$J113=3,$J113=4,$J113=5,$J113=6,$J113=7,$J113=8,$J113=9,$J113=10),-$E113*$I113/12*3,IF($J113=11,-$E113*$I113/12*2,IF($J113=12,-$E113*$I113/12*1,0)))))+IF(CU$5&lt;&gt;$H113,0,IF(CU113&lt;0,IF($J113=10,-$E113*$I113/12*0,IF($J113=11,-$E113*$I113/12*1,IF($J113=12,-$E113*$I113/12*2,0)))))</f>
        <v>-0.28125</v>
      </c>
      <c r="CZ113" s="413">
        <f t="shared" ref="CZ113:CZ119" si="869">IF(AND(CU113&lt;&gt;0,CU$5=$H113),-$I113*$E113-CU113,IF(CZ$5=$H113,-$I113*$E113*(12-$J113+1)/12,0))</f>
        <v>-1.125</v>
      </c>
      <c r="DA113" s="410">
        <f t="shared" ref="DA113:DA119" si="870">IF($H113&lt;&gt;DE$5,0,IF(DE113&lt;0,IF($J113=1,-$E113*$I113/12*3,IF($J113=2,-$E113*$I113/12*2,IF($J113=3,-$E113*$I113/12*1,0)))))+IF(CZ$5&lt;&gt;$H113,0,IF(CZ113&lt;0,IF($J113=1,-$E113*$I113/12*0,IF($J113=2,-$E113*$I113/12*1,IF($J113=3,-$E113*$I113/12*2,IF($J113&gt;=4,-$E113*$I113/12*3,0))))))</f>
        <v>0</v>
      </c>
      <c r="DB113" s="416">
        <f t="shared" ref="DB113:DB119" si="871">IF($H113&lt;&gt;DE$5,0,IF(DE113&lt;0,IF(OR($J113=1,$J113=2,$J113=3,$J113=4),-$E113*$I113/12*3,IF($J113=5,-$E113*$I113/12*2,IF($J113=6,-$E113*$I113/12*1,0)))))+IF(CZ$5&lt;&gt;$H113,0,IF(CZ113&lt;0,IF($J113=4,-$E113*$I113/12*0,IF($J113=5,-$E113*$I113/12*1,IF($J113=6,-$E113*$I113/12*2,IF($J113&gt;=7,-$E113*$I113/12*3,0))))))</f>
        <v>0</v>
      </c>
      <c r="DC113" s="416">
        <f t="shared" ref="DC113:DC119" si="872">IF($H113&lt;&gt;DE$5,0,IF(DE113&lt;0,IF(OR($J113=1,$J113=2,$J113=3,$J113=4,$J113=5,$J113=6,$J113=7),-$E113*$I113/12*3,IF($J113=8,-$E113*$I113/12*2,IF($J113=9,-$E113*$I113/12*1,0)))))+IF(CZ$5&lt;&gt;$H113,0,IF(CZ113&lt;0,IF($J113=7,-$E113*$I113/12*0,IF($J113=8,-$E113*$I113/12*1,IF($J113=9,-$E113*$I113/12*2,IF($J113&gt;=10,-$E113*$I113/12*3,0))))))</f>
        <v>0</v>
      </c>
      <c r="DD113" s="412">
        <f t="shared" ref="DD113:DD119" si="873">IF($H113&lt;&gt;DE$5,0,IF(DE113&lt;0,IF(OR($J113=1,$J113=2,$J113=3,$J113=4,$J113=5,$J113=6,$J113=7,$J113=8,$J113=9,$J113=10),-$E113*$I113/12*3,IF($J113=11,-$E113*$I113/12*2,IF($J113=12,-$E113*$I113/12*1,0)))))+IF(CZ$5&lt;&gt;$H113,0,IF(CZ113&lt;0,IF($J113=10,-$E113*$I113/12*0,IF($J113=11,-$E113*$I113/12*1,IF($J113=12,-$E113*$I113/12*2,0)))))</f>
        <v>0</v>
      </c>
      <c r="DE113" s="413">
        <f t="shared" ref="DE113:DE119" si="874">IF(AND(CZ113&lt;&gt;0,CZ$5=$H113),-$I113*$E113-CZ113,IF(DE$5=$H113,-$I113*$E113*(12-$J113+1)/12,0))</f>
        <v>0</v>
      </c>
      <c r="DF113" s="410">
        <f t="shared" ref="DF113:DF119" si="875">IF($H113&lt;&gt;DJ$5,0,IF(DJ113&lt;0,IF($J113=1,-$E113*$I113/12*3,IF($J113=2,-$E113*$I113/12*2,IF($J113=3,-$E113*$I113/12*1,0)))))+IF(DE$5&lt;&gt;$H113,0,IF(DE113&lt;0,IF($J113=1,-$E113*$I113/12*0,IF($J113=2,-$E113*$I113/12*1,IF($J113=3,-$E113*$I113/12*2,IF($J113&gt;=4,-$E113*$I113/12*3,0))))))</f>
        <v>0</v>
      </c>
      <c r="DG113" s="416">
        <f t="shared" ref="DG113:DG119" si="876">IF($H113&lt;&gt;DJ$5,0,IF(DJ113&lt;0,IF(OR($J113=1,$J113=2,$J113=3,$J113=4),-$E113*$I113/12*3,IF($J113=5,-$E113*$I113/12*2,IF($J113=6,-$E113*$I113/12*1,0)))))+IF(DE$5&lt;&gt;$H113,0,IF(DE113&lt;0,IF($J113=4,-$E113*$I113/12*0,IF($J113=5,-$E113*$I113/12*1,IF($J113=6,-$E113*$I113/12*2,IF($J113&gt;=7,-$E113*$I113/12*3,0))))))</f>
        <v>0</v>
      </c>
      <c r="DH113" s="416">
        <f t="shared" ref="DH113:DH119" si="877">IF($H113&lt;&gt;DJ$5,0,IF(DJ113&lt;0,IF(OR($J113=1,$J113=2,$J113=3,$J113=4,$J113=5,$J113=6,$J113=7),-$E113*$I113/12*3,IF($J113=8,-$E113*$I113/12*2,IF($J113=9,-$E113*$I113/12*1,0)))))+IF(DE$5&lt;&gt;$H113,0,IF(DE113&lt;0,IF($J113=7,-$E113*$I113/12*0,IF($J113=8,-$E113*$I113/12*1,IF($J113=9,-$E113*$I113/12*2,IF($J113&gt;=10,-$E113*$I113/12*3,0))))))</f>
        <v>0</v>
      </c>
      <c r="DI113" s="412">
        <f t="shared" ref="DI113:DI119" si="878">IF($H113&lt;&gt;DJ$5,0,IF(DJ113&lt;0,IF(OR($J113=1,$J113=2,$J113=3,$J113=4,$J113=5,$J113=6,$J113=7,$J113=8,$J113=9,$J113=10),-$E113*$I113/12*3,IF($J113=11,-$E113*$I113/12*2,IF($J113=12,-$E113*$I113/12*1,0)))))+IF(DE$5&lt;&gt;$H113,0,IF(DE113&lt;0,IF($J113=10,-$E113*$I113/12*0,IF($J113=11,-$E113*$I113/12*1,IF($J113=12,-$E113*$I113/12*2,0)))))</f>
        <v>0</v>
      </c>
      <c r="DJ113" s="413">
        <f t="shared" ref="DJ113:DJ119" si="879">IF(AND(DE113&lt;&gt;0,DE$5=$H113),-$I113*$E113-DE113,IF(DJ$5=$H113,-$I113*$E113*(12-$J113+1)/12,0))</f>
        <v>0</v>
      </c>
      <c r="DK113" s="410">
        <f t="shared" ref="DK113:DK119" si="880">IF($H113&lt;&gt;DO$5,0,IF(DO113&lt;0,IF($J113=1,-$E113*$I113/12*3,IF($J113=2,-$E113*$I113/12*2,IF($J113=3,-$E113*$I113/12*1,0)))))+IF(DJ$5&lt;&gt;$H113,0,IF(DJ113&lt;0,IF($J113=1,-$E113*$I113/12*0,IF($J113=2,-$E113*$I113/12*1,IF($J113=3,-$E113*$I113/12*2,IF($J113&gt;=4,-$E113*$I113/12*3,0))))))</f>
        <v>0</v>
      </c>
      <c r="DL113" s="416">
        <f t="shared" ref="DL113:DL119" si="881">IF($H113&lt;&gt;DO$5,0,IF(DO113&lt;0,IF(OR($J113=1,$J113=2,$J113=3,$J113=4),-$E113*$I113/12*3,IF($J113=5,-$E113*$I113/12*2,IF($J113=6,-$E113*$I113/12*1,0)))))+IF(DJ$5&lt;&gt;$H113,0,IF(DJ113&lt;0,IF($J113=4,-$E113*$I113/12*0,IF($J113=5,-$E113*$I113/12*1,IF($J113=6,-$E113*$I113/12*2,IF($J113&gt;=7,-$E113*$I113/12*3,0))))))</f>
        <v>0</v>
      </c>
      <c r="DM113" s="416">
        <f t="shared" ref="DM113:DM119" si="882">IF($H113&lt;&gt;DO$5,0,IF(DO113&lt;0,IF(OR($J113=1,$J113=2,$J113=3,$J113=4,$J113=5,$J113=6,$J113=7),-$E113*$I113/12*3,IF($J113=8,-$E113*$I113/12*2,IF($J113=9,-$E113*$I113/12*1,0)))))+IF(DJ$5&lt;&gt;$H113,0,IF(DJ113&lt;0,IF($J113=7,-$E113*$I113/12*0,IF($J113=8,-$E113*$I113/12*1,IF($J113=9,-$E113*$I113/12*2,IF($J113&gt;=10,-$E113*$I113/12*3,0))))))</f>
        <v>0</v>
      </c>
      <c r="DN113" s="412">
        <f t="shared" ref="DN113:DN119" si="883">IF($H113&lt;&gt;DO$5,0,IF(DO113&lt;0,IF(OR($J113=1,$J113=2,$J113=3,$J113=4,$J113=5,$J113=6,$J113=7,$J113=8,$J113=9,$J113=10),-$E113*$I113/12*3,IF($J113=11,-$E113*$I113/12*2,IF($J113=12,-$E113*$I113/12*1,0)))))+IF(DJ$5&lt;&gt;$H113,0,IF(DJ113&lt;0,IF($J113=10,-$E113*$I113/12*0,IF($J113=11,-$E113*$I113/12*1,IF($J113=12,-$E113*$I113/12*2,0)))))</f>
        <v>0</v>
      </c>
      <c r="DO113" s="413">
        <f t="shared" ref="DO113:DO119" si="884">IF(AND(DJ113&lt;&gt;0,DJ$5=$H113),-$I113*$E113-DJ113,IF(DO$5=$H113,-$I113*$E113*(12-$J113+1)/12,0))</f>
        <v>0</v>
      </c>
      <c r="DP113" s="410">
        <f t="shared" ref="DP113:DP119" si="885">IF($H113&lt;&gt;DT$5,0,IF(DT113&lt;0,IF($J113=1,-$E113*$I113/12*3,IF($J113=2,-$E113*$I113/12*2,IF($J113=3,-$E113*$I113/12*1,0)))))+IF(DO$5&lt;&gt;$H113,0,IF(DO113&lt;0,IF($J113=1,-$E113*$I113/12*0,IF($J113=2,-$E113*$I113/12*1,IF($J113=3,-$E113*$I113/12*2,IF($J113&gt;=4,-$E113*$I113/12*3,0))))))</f>
        <v>0</v>
      </c>
      <c r="DQ113" s="416">
        <f t="shared" ref="DQ113:DQ119" si="886">IF($H113&lt;&gt;DT$5,0,IF(DT113&lt;0,IF(OR($J113=1,$J113=2,$J113=3,$J113=4),-$E113*$I113/12*3,IF($J113=5,-$E113*$I113/12*2,IF($J113=6,-$E113*$I113/12*1,0)))))+IF(DO$5&lt;&gt;$H113,0,IF(DO113&lt;0,IF($J113=4,-$E113*$I113/12*0,IF($J113=5,-$E113*$I113/12*1,IF($J113=6,-$E113*$I113/12*2,IF($J113&gt;=7,-$E113*$I113/12*3,0))))))</f>
        <v>0</v>
      </c>
      <c r="DR113" s="416">
        <f t="shared" ref="DR113:DR119" si="887">IF($H113&lt;&gt;DT$5,0,IF(DT113&lt;0,IF(OR($J113=1,$J113=2,$J113=3,$J113=4,$J113=5,$J113=6,$J113=7),-$E113*$I113/12*3,IF($J113=8,-$E113*$I113/12*2,IF($J113=9,-$E113*$I113/12*1,0)))))+IF(DO$5&lt;&gt;$H113,0,IF(DO113&lt;0,IF($J113=7,-$E113*$I113/12*0,IF($J113=8,-$E113*$I113/12*1,IF($J113=9,-$E113*$I113/12*2,IF($J113&gt;=10,-$E113*$I113/12*3,0))))))</f>
        <v>0</v>
      </c>
      <c r="DS113" s="412">
        <f t="shared" ref="DS113:DS119" si="888">IF($H113&lt;&gt;DT$5,0,IF(DT113&lt;0,IF(OR($J113=1,$J113=2,$J113=3,$J113=4,$J113=5,$J113=6,$J113=7,$J113=8,$J113=9,$J113=10),-$E113*$I113/12*3,IF($J113=11,-$E113*$I113/12*2,IF($J113=12,-$E113*$I113/12*1,0)))))+IF(DO$5&lt;&gt;$H113,0,IF(DO113&lt;0,IF($J113=10,-$E113*$I113/12*0,IF($J113=11,-$E113*$I113/12*1,IF($J113=12,-$E113*$I113/12*2,0)))))</f>
        <v>0</v>
      </c>
      <c r="DT113" s="413">
        <f t="shared" ref="DT113:DT119" si="889">IF(AND(DO113&lt;&gt;0,DO$5=$H113),-$I113*$E113-DO113,IF(DT$5=$H113,-$I113*$E113*(12-$J113+1)/12,0))</f>
        <v>0</v>
      </c>
    </row>
    <row r="114" spans="1:124" ht="12.75" customHeight="1">
      <c r="A114" s="491"/>
      <c r="C114" s="559" t="s">
        <v>424</v>
      </c>
      <c r="D114" s="559"/>
      <c r="E114" s="1886">
        <f t="shared" ref="E114" si="890">IF(F114=0,G114,F114)</f>
        <v>50</v>
      </c>
      <c r="F114" s="1532">
        <v>50</v>
      </c>
      <c r="G114" s="1532">
        <v>50</v>
      </c>
      <c r="H114" s="610">
        <v>2025</v>
      </c>
      <c r="I114" s="1533">
        <v>4.6249999999999999E-2</v>
      </c>
      <c r="J114" s="615">
        <v>6</v>
      </c>
      <c r="K114" s="402"/>
      <c r="L114" s="407">
        <f t="shared" si="778"/>
        <v>0</v>
      </c>
      <c r="M114" s="404">
        <f t="shared" si="779"/>
        <v>0</v>
      </c>
      <c r="N114" s="414">
        <f t="shared" si="780"/>
        <v>0</v>
      </c>
      <c r="O114" s="414">
        <f t="shared" si="781"/>
        <v>0</v>
      </c>
      <c r="P114" s="406">
        <f t="shared" si="782"/>
        <v>0</v>
      </c>
      <c r="Q114" s="407">
        <f t="shared" si="783"/>
        <v>0</v>
      </c>
      <c r="R114" s="404">
        <f t="shared" si="784"/>
        <v>0</v>
      </c>
      <c r="S114" s="414">
        <f t="shared" si="785"/>
        <v>0</v>
      </c>
      <c r="T114" s="414">
        <f t="shared" si="786"/>
        <v>0</v>
      </c>
      <c r="U114" s="406">
        <f t="shared" si="787"/>
        <v>0</v>
      </c>
      <c r="V114" s="407">
        <f t="shared" si="788"/>
        <v>0</v>
      </c>
      <c r="W114" s="404">
        <f t="shared" si="789"/>
        <v>0</v>
      </c>
      <c r="X114" s="414">
        <f t="shared" si="790"/>
        <v>0</v>
      </c>
      <c r="Y114" s="414">
        <f t="shared" si="791"/>
        <v>0</v>
      </c>
      <c r="Z114" s="406">
        <f t="shared" si="792"/>
        <v>0</v>
      </c>
      <c r="AA114" s="407">
        <f t="shared" si="793"/>
        <v>0</v>
      </c>
      <c r="AB114" s="404">
        <f t="shared" si="794"/>
        <v>0</v>
      </c>
      <c r="AC114" s="414">
        <f t="shared" si="795"/>
        <v>0</v>
      </c>
      <c r="AD114" s="414">
        <f t="shared" si="796"/>
        <v>0</v>
      </c>
      <c r="AE114" s="406">
        <f t="shared" si="797"/>
        <v>0</v>
      </c>
      <c r="AF114" s="407">
        <f t="shared" si="798"/>
        <v>0</v>
      </c>
      <c r="AG114" s="404">
        <f t="shared" si="799"/>
        <v>0</v>
      </c>
      <c r="AH114" s="414">
        <f t="shared" si="800"/>
        <v>0</v>
      </c>
      <c r="AI114" s="414">
        <f t="shared" si="801"/>
        <v>0</v>
      </c>
      <c r="AJ114" s="406">
        <f t="shared" si="802"/>
        <v>0</v>
      </c>
      <c r="AK114" s="407">
        <f t="shared" si="803"/>
        <v>0</v>
      </c>
      <c r="AL114" s="404">
        <f t="shared" si="804"/>
        <v>0</v>
      </c>
      <c r="AM114" s="414">
        <f t="shared" si="805"/>
        <v>0</v>
      </c>
      <c r="AN114" s="414">
        <f t="shared" si="806"/>
        <v>0</v>
      </c>
      <c r="AO114" s="406">
        <f t="shared" si="807"/>
        <v>0</v>
      </c>
      <c r="AP114" s="407">
        <f t="shared" si="808"/>
        <v>0</v>
      </c>
      <c r="AQ114" s="404">
        <f t="shared" si="809"/>
        <v>0</v>
      </c>
      <c r="AR114" s="414">
        <f t="shared" si="810"/>
        <v>0</v>
      </c>
      <c r="AS114" s="414">
        <f t="shared" si="811"/>
        <v>0</v>
      </c>
      <c r="AT114" s="406">
        <f t="shared" si="812"/>
        <v>0</v>
      </c>
      <c r="AU114" s="407">
        <f t="shared" si="813"/>
        <v>0</v>
      </c>
      <c r="AV114" s="404">
        <f t="shared" si="814"/>
        <v>0</v>
      </c>
      <c r="AW114" s="414">
        <f t="shared" si="815"/>
        <v>0</v>
      </c>
      <c r="AX114" s="414">
        <f t="shared" si="816"/>
        <v>0</v>
      </c>
      <c r="AY114" s="406">
        <f t="shared" si="817"/>
        <v>0</v>
      </c>
      <c r="AZ114" s="407">
        <f t="shared" si="818"/>
        <v>0</v>
      </c>
      <c r="BA114" s="404">
        <f t="shared" si="819"/>
        <v>0</v>
      </c>
      <c r="BB114" s="414">
        <f t="shared" si="820"/>
        <v>0</v>
      </c>
      <c r="BC114" s="414">
        <f t="shared" si="821"/>
        <v>0</v>
      </c>
      <c r="BD114" s="406">
        <f t="shared" si="822"/>
        <v>0</v>
      </c>
      <c r="BE114" s="407">
        <f t="shared" si="823"/>
        <v>0</v>
      </c>
      <c r="BF114" s="404">
        <f t="shared" si="824"/>
        <v>0</v>
      </c>
      <c r="BG114" s="414">
        <f t="shared" si="825"/>
        <v>0</v>
      </c>
      <c r="BH114" s="414">
        <f t="shared" si="826"/>
        <v>0</v>
      </c>
      <c r="BI114" s="406">
        <f t="shared" si="827"/>
        <v>0</v>
      </c>
      <c r="BJ114" s="407">
        <f t="shared" si="828"/>
        <v>0</v>
      </c>
      <c r="BK114" s="404">
        <f t="shared" si="829"/>
        <v>0</v>
      </c>
      <c r="BL114" s="414">
        <f t="shared" si="830"/>
        <v>0</v>
      </c>
      <c r="BM114" s="414">
        <f t="shared" si="831"/>
        <v>0</v>
      </c>
      <c r="BN114" s="406">
        <f t="shared" si="832"/>
        <v>0</v>
      </c>
      <c r="BO114" s="407">
        <f t="shared" si="833"/>
        <v>0</v>
      </c>
      <c r="BP114" s="449"/>
      <c r="BQ114" s="413">
        <f t="shared" si="834"/>
        <v>0</v>
      </c>
      <c r="BR114" s="410">
        <f t="shared" si="835"/>
        <v>0</v>
      </c>
      <c r="BS114" s="416">
        <f t="shared" si="836"/>
        <v>0</v>
      </c>
      <c r="BT114" s="416">
        <f t="shared" si="837"/>
        <v>0</v>
      </c>
      <c r="BU114" s="412">
        <f t="shared" si="838"/>
        <v>0</v>
      </c>
      <c r="BV114" s="413">
        <f t="shared" si="839"/>
        <v>0</v>
      </c>
      <c r="BW114" s="410">
        <f t="shared" si="840"/>
        <v>0</v>
      </c>
      <c r="BX114" s="416">
        <f t="shared" si="841"/>
        <v>0</v>
      </c>
      <c r="BY114" s="416">
        <f t="shared" si="842"/>
        <v>0</v>
      </c>
      <c r="BZ114" s="412">
        <f t="shared" si="843"/>
        <v>0</v>
      </c>
      <c r="CA114" s="413">
        <f t="shared" si="844"/>
        <v>0</v>
      </c>
      <c r="CB114" s="410">
        <f t="shared" si="845"/>
        <v>0</v>
      </c>
      <c r="CC114" s="416">
        <f t="shared" si="846"/>
        <v>0</v>
      </c>
      <c r="CD114" s="416">
        <f t="shared" si="847"/>
        <v>0</v>
      </c>
      <c r="CE114" s="412">
        <f t="shared" si="848"/>
        <v>0</v>
      </c>
      <c r="CF114" s="413">
        <f t="shared" si="849"/>
        <v>0</v>
      </c>
      <c r="CG114" s="410">
        <f t="shared" si="850"/>
        <v>0</v>
      </c>
      <c r="CH114" s="416">
        <f t="shared" si="851"/>
        <v>0</v>
      </c>
      <c r="CI114" s="416">
        <f t="shared" si="852"/>
        <v>0</v>
      </c>
      <c r="CJ114" s="412">
        <f t="shared" si="853"/>
        <v>0</v>
      </c>
      <c r="CK114" s="413">
        <f t="shared" si="854"/>
        <v>0</v>
      </c>
      <c r="CL114" s="410">
        <f t="shared" si="855"/>
        <v>0</v>
      </c>
      <c r="CM114" s="416">
        <f t="shared" si="856"/>
        <v>0</v>
      </c>
      <c r="CN114" s="416">
        <f t="shared" si="857"/>
        <v>0</v>
      </c>
      <c r="CO114" s="412">
        <f t="shared" si="858"/>
        <v>0</v>
      </c>
      <c r="CP114" s="413">
        <f t="shared" si="859"/>
        <v>0</v>
      </c>
      <c r="CQ114" s="410">
        <f t="shared" si="860"/>
        <v>0</v>
      </c>
      <c r="CR114" s="416">
        <f t="shared" si="861"/>
        <v>0</v>
      </c>
      <c r="CS114" s="416">
        <f t="shared" si="862"/>
        <v>0</v>
      </c>
      <c r="CT114" s="412">
        <f t="shared" si="863"/>
        <v>0</v>
      </c>
      <c r="CU114" s="413">
        <f t="shared" si="864"/>
        <v>0</v>
      </c>
      <c r="CV114" s="410">
        <f t="shared" si="865"/>
        <v>0</v>
      </c>
      <c r="CW114" s="416">
        <f t="shared" si="866"/>
        <v>0</v>
      </c>
      <c r="CX114" s="416">
        <f t="shared" si="867"/>
        <v>0</v>
      </c>
      <c r="CY114" s="412">
        <f t="shared" si="868"/>
        <v>0</v>
      </c>
      <c r="CZ114" s="413">
        <f t="shared" si="869"/>
        <v>0</v>
      </c>
      <c r="DA114" s="410">
        <f t="shared" si="870"/>
        <v>0</v>
      </c>
      <c r="DB114" s="416">
        <f t="shared" si="871"/>
        <v>0</v>
      </c>
      <c r="DC114" s="416">
        <f t="shared" si="872"/>
        <v>0</v>
      </c>
      <c r="DD114" s="412">
        <f t="shared" si="873"/>
        <v>0</v>
      </c>
      <c r="DE114" s="413">
        <f t="shared" si="874"/>
        <v>0</v>
      </c>
      <c r="DF114" s="410">
        <f t="shared" si="875"/>
        <v>0</v>
      </c>
      <c r="DG114" s="416">
        <f t="shared" si="876"/>
        <v>0</v>
      </c>
      <c r="DH114" s="416">
        <f t="shared" si="877"/>
        <v>0</v>
      </c>
      <c r="DI114" s="412">
        <f t="shared" si="878"/>
        <v>0</v>
      </c>
      <c r="DJ114" s="413">
        <f t="shared" si="879"/>
        <v>0</v>
      </c>
      <c r="DK114" s="410">
        <f t="shared" si="880"/>
        <v>0</v>
      </c>
      <c r="DL114" s="416">
        <f t="shared" si="881"/>
        <v>0</v>
      </c>
      <c r="DM114" s="416">
        <f t="shared" si="882"/>
        <v>0</v>
      </c>
      <c r="DN114" s="412">
        <f t="shared" si="883"/>
        <v>0</v>
      </c>
      <c r="DO114" s="413">
        <f t="shared" si="884"/>
        <v>0</v>
      </c>
      <c r="DP114" s="410">
        <f t="shared" si="885"/>
        <v>0</v>
      </c>
      <c r="DQ114" s="416">
        <f t="shared" si="886"/>
        <v>0</v>
      </c>
      <c r="DR114" s="416">
        <f t="shared" si="887"/>
        <v>0</v>
      </c>
      <c r="DS114" s="412">
        <f t="shared" si="888"/>
        <v>0</v>
      </c>
      <c r="DT114" s="413">
        <f t="shared" si="889"/>
        <v>0</v>
      </c>
    </row>
    <row r="115" spans="1:124" ht="12.75" customHeight="1">
      <c r="A115" s="491"/>
      <c r="C115" s="1884" t="s">
        <v>430</v>
      </c>
      <c r="D115" s="559"/>
      <c r="E115" s="1886">
        <f t="shared" ref="E115:E117" si="891">IF(F115=0,G115,F115)</f>
        <v>52</v>
      </c>
      <c r="F115" s="1532">
        <v>0</v>
      </c>
      <c r="G115" s="1532">
        <v>52</v>
      </c>
      <c r="H115" s="610">
        <v>2017</v>
      </c>
      <c r="I115" s="1534">
        <v>4.4999999999999998E-2</v>
      </c>
      <c r="J115" s="615">
        <v>2</v>
      </c>
      <c r="K115" s="402"/>
      <c r="L115" s="407">
        <f t="shared" si="778"/>
        <v>0</v>
      </c>
      <c r="M115" s="404">
        <f t="shared" si="779"/>
        <v>0</v>
      </c>
      <c r="N115" s="414">
        <f t="shared" si="780"/>
        <v>0</v>
      </c>
      <c r="O115" s="414">
        <f t="shared" si="781"/>
        <v>0</v>
      </c>
      <c r="P115" s="406">
        <f t="shared" si="782"/>
        <v>0</v>
      </c>
      <c r="Q115" s="407">
        <f t="shared" si="783"/>
        <v>0</v>
      </c>
      <c r="R115" s="404">
        <f t="shared" si="784"/>
        <v>0</v>
      </c>
      <c r="S115" s="414">
        <f t="shared" si="785"/>
        <v>0</v>
      </c>
      <c r="T115" s="414">
        <f t="shared" si="786"/>
        <v>0</v>
      </c>
      <c r="U115" s="406">
        <f t="shared" si="787"/>
        <v>0</v>
      </c>
      <c r="V115" s="407">
        <f t="shared" si="788"/>
        <v>0</v>
      </c>
      <c r="W115" s="404">
        <f t="shared" si="789"/>
        <v>0</v>
      </c>
      <c r="X115" s="414">
        <f t="shared" si="790"/>
        <v>0</v>
      </c>
      <c r="Y115" s="414">
        <f t="shared" si="791"/>
        <v>0</v>
      </c>
      <c r="Z115" s="406">
        <f t="shared" si="792"/>
        <v>0</v>
      </c>
      <c r="AA115" s="407">
        <f t="shared" si="793"/>
        <v>0</v>
      </c>
      <c r="AB115" s="404">
        <f t="shared" si="794"/>
        <v>0</v>
      </c>
      <c r="AC115" s="414">
        <f t="shared" si="795"/>
        <v>0</v>
      </c>
      <c r="AD115" s="414">
        <f t="shared" si="796"/>
        <v>0</v>
      </c>
      <c r="AE115" s="406">
        <f t="shared" si="797"/>
        <v>0</v>
      </c>
      <c r="AF115" s="407">
        <f t="shared" si="798"/>
        <v>0</v>
      </c>
      <c r="AG115" s="404">
        <f t="shared" si="799"/>
        <v>0</v>
      </c>
      <c r="AH115" s="414">
        <f t="shared" si="800"/>
        <v>0</v>
      </c>
      <c r="AI115" s="414">
        <f t="shared" si="801"/>
        <v>0</v>
      </c>
      <c r="AJ115" s="406">
        <f t="shared" si="802"/>
        <v>0</v>
      </c>
      <c r="AK115" s="407">
        <f t="shared" si="803"/>
        <v>0</v>
      </c>
      <c r="AL115" s="404">
        <f t="shared" si="804"/>
        <v>0</v>
      </c>
      <c r="AM115" s="414">
        <f t="shared" si="805"/>
        <v>0</v>
      </c>
      <c r="AN115" s="414">
        <f t="shared" si="806"/>
        <v>0</v>
      </c>
      <c r="AO115" s="406">
        <f t="shared" si="807"/>
        <v>0</v>
      </c>
      <c r="AP115" s="407">
        <f t="shared" si="808"/>
        <v>0</v>
      </c>
      <c r="AQ115" s="404">
        <f t="shared" si="809"/>
        <v>-52</v>
      </c>
      <c r="AR115" s="414">
        <f t="shared" si="810"/>
        <v>0</v>
      </c>
      <c r="AS115" s="414">
        <f t="shared" si="811"/>
        <v>0</v>
      </c>
      <c r="AT115" s="406">
        <f t="shared" si="812"/>
        <v>0</v>
      </c>
      <c r="AU115" s="407">
        <f t="shared" si="813"/>
        <v>-52</v>
      </c>
      <c r="AV115" s="404">
        <f t="shared" si="814"/>
        <v>0</v>
      </c>
      <c r="AW115" s="414">
        <f t="shared" si="815"/>
        <v>0</v>
      </c>
      <c r="AX115" s="414">
        <f t="shared" si="816"/>
        <v>0</v>
      </c>
      <c r="AY115" s="406">
        <f t="shared" si="817"/>
        <v>0</v>
      </c>
      <c r="AZ115" s="407">
        <f t="shared" si="818"/>
        <v>0</v>
      </c>
      <c r="BA115" s="404">
        <f t="shared" si="819"/>
        <v>0</v>
      </c>
      <c r="BB115" s="414">
        <f t="shared" si="820"/>
        <v>0</v>
      </c>
      <c r="BC115" s="414">
        <f t="shared" si="821"/>
        <v>0</v>
      </c>
      <c r="BD115" s="406">
        <f t="shared" si="822"/>
        <v>0</v>
      </c>
      <c r="BE115" s="407">
        <f t="shared" si="823"/>
        <v>0</v>
      </c>
      <c r="BF115" s="404">
        <f t="shared" si="824"/>
        <v>0</v>
      </c>
      <c r="BG115" s="414">
        <f t="shared" si="825"/>
        <v>0</v>
      </c>
      <c r="BH115" s="414">
        <f t="shared" si="826"/>
        <v>0</v>
      </c>
      <c r="BI115" s="406">
        <f t="shared" si="827"/>
        <v>0</v>
      </c>
      <c r="BJ115" s="407">
        <f t="shared" si="828"/>
        <v>0</v>
      </c>
      <c r="BK115" s="404">
        <f t="shared" si="829"/>
        <v>0</v>
      </c>
      <c r="BL115" s="414">
        <f t="shared" si="830"/>
        <v>0</v>
      </c>
      <c r="BM115" s="414">
        <f t="shared" si="831"/>
        <v>0</v>
      </c>
      <c r="BN115" s="406">
        <f t="shared" si="832"/>
        <v>0</v>
      </c>
      <c r="BO115" s="407">
        <f t="shared" si="833"/>
        <v>0</v>
      </c>
      <c r="BP115" s="449"/>
      <c r="BQ115" s="413">
        <f t="shared" si="834"/>
        <v>0</v>
      </c>
      <c r="BR115" s="410">
        <f t="shared" si="835"/>
        <v>0</v>
      </c>
      <c r="BS115" s="416">
        <f t="shared" si="836"/>
        <v>0</v>
      </c>
      <c r="BT115" s="416">
        <f t="shared" si="837"/>
        <v>0</v>
      </c>
      <c r="BU115" s="412">
        <f t="shared" si="838"/>
        <v>0</v>
      </c>
      <c r="BV115" s="413">
        <f t="shared" si="839"/>
        <v>0</v>
      </c>
      <c r="BW115" s="410">
        <f t="shared" si="840"/>
        <v>0</v>
      </c>
      <c r="BX115" s="416">
        <f t="shared" si="841"/>
        <v>0</v>
      </c>
      <c r="BY115" s="416">
        <f t="shared" si="842"/>
        <v>0</v>
      </c>
      <c r="BZ115" s="412">
        <f t="shared" si="843"/>
        <v>0</v>
      </c>
      <c r="CA115" s="413">
        <f t="shared" si="844"/>
        <v>0</v>
      </c>
      <c r="CB115" s="410">
        <f t="shared" si="845"/>
        <v>0</v>
      </c>
      <c r="CC115" s="416">
        <f t="shared" si="846"/>
        <v>0</v>
      </c>
      <c r="CD115" s="416">
        <f t="shared" si="847"/>
        <v>0</v>
      </c>
      <c r="CE115" s="412">
        <f t="shared" si="848"/>
        <v>0</v>
      </c>
      <c r="CF115" s="413">
        <f t="shared" si="849"/>
        <v>0</v>
      </c>
      <c r="CG115" s="410">
        <f t="shared" si="850"/>
        <v>0</v>
      </c>
      <c r="CH115" s="416">
        <f t="shared" si="851"/>
        <v>0</v>
      </c>
      <c r="CI115" s="416">
        <f t="shared" si="852"/>
        <v>0</v>
      </c>
      <c r="CJ115" s="412">
        <f t="shared" si="853"/>
        <v>0</v>
      </c>
      <c r="CK115" s="413">
        <f t="shared" si="854"/>
        <v>0</v>
      </c>
      <c r="CL115" s="410">
        <f t="shared" si="855"/>
        <v>0</v>
      </c>
      <c r="CM115" s="416">
        <f t="shared" si="856"/>
        <v>0</v>
      </c>
      <c r="CN115" s="416">
        <f t="shared" si="857"/>
        <v>0</v>
      </c>
      <c r="CO115" s="412">
        <f t="shared" si="858"/>
        <v>0</v>
      </c>
      <c r="CP115" s="413">
        <f t="shared" si="859"/>
        <v>0</v>
      </c>
      <c r="CQ115" s="410">
        <f t="shared" si="860"/>
        <v>0</v>
      </c>
      <c r="CR115" s="416">
        <f t="shared" si="861"/>
        <v>0</v>
      </c>
      <c r="CS115" s="416">
        <f t="shared" si="862"/>
        <v>0</v>
      </c>
      <c r="CT115" s="412">
        <f t="shared" si="863"/>
        <v>0</v>
      </c>
      <c r="CU115" s="413">
        <f t="shared" si="864"/>
        <v>0</v>
      </c>
      <c r="CV115" s="410">
        <f t="shared" si="865"/>
        <v>-0.38999999999999996</v>
      </c>
      <c r="CW115" s="416">
        <f t="shared" si="866"/>
        <v>-0.58499999999999996</v>
      </c>
      <c r="CX115" s="416">
        <f t="shared" si="867"/>
        <v>-0.58499999999999996</v>
      </c>
      <c r="CY115" s="412">
        <f t="shared" si="868"/>
        <v>-0.58499999999999996</v>
      </c>
      <c r="CZ115" s="413">
        <f t="shared" si="869"/>
        <v>-2.145</v>
      </c>
      <c r="DA115" s="410">
        <f t="shared" si="870"/>
        <v>-0.19499999999999998</v>
      </c>
      <c r="DB115" s="416">
        <f t="shared" si="871"/>
        <v>0</v>
      </c>
      <c r="DC115" s="416">
        <f t="shared" si="872"/>
        <v>0</v>
      </c>
      <c r="DD115" s="412">
        <f t="shared" si="873"/>
        <v>0</v>
      </c>
      <c r="DE115" s="413">
        <f t="shared" si="874"/>
        <v>-0.19499999999999984</v>
      </c>
      <c r="DF115" s="410">
        <f t="shared" si="875"/>
        <v>0</v>
      </c>
      <c r="DG115" s="416">
        <f t="shared" si="876"/>
        <v>0</v>
      </c>
      <c r="DH115" s="416">
        <f t="shared" si="877"/>
        <v>0</v>
      </c>
      <c r="DI115" s="412">
        <f t="shared" si="878"/>
        <v>0</v>
      </c>
      <c r="DJ115" s="413">
        <f t="shared" si="879"/>
        <v>0</v>
      </c>
      <c r="DK115" s="410">
        <f t="shared" si="880"/>
        <v>0</v>
      </c>
      <c r="DL115" s="416">
        <f t="shared" si="881"/>
        <v>0</v>
      </c>
      <c r="DM115" s="416">
        <f t="shared" si="882"/>
        <v>0</v>
      </c>
      <c r="DN115" s="412">
        <f t="shared" si="883"/>
        <v>0</v>
      </c>
      <c r="DO115" s="413">
        <f t="shared" si="884"/>
        <v>0</v>
      </c>
      <c r="DP115" s="410">
        <f t="shared" si="885"/>
        <v>0</v>
      </c>
      <c r="DQ115" s="416">
        <f t="shared" si="886"/>
        <v>0</v>
      </c>
      <c r="DR115" s="416">
        <f t="shared" si="887"/>
        <v>0</v>
      </c>
      <c r="DS115" s="412">
        <f t="shared" si="888"/>
        <v>0</v>
      </c>
      <c r="DT115" s="413">
        <f t="shared" si="889"/>
        <v>0</v>
      </c>
    </row>
    <row r="116" spans="1:124" ht="12.75" customHeight="1">
      <c r="A116" s="491"/>
      <c r="C116" s="559" t="s">
        <v>1093</v>
      </c>
      <c r="D116" s="559"/>
      <c r="E116" s="1886">
        <f t="shared" si="891"/>
        <v>50</v>
      </c>
      <c r="F116" s="1532">
        <v>50</v>
      </c>
      <c r="G116" s="1532">
        <v>50</v>
      </c>
      <c r="H116" s="610">
        <v>2025</v>
      </c>
      <c r="I116" s="1533">
        <v>1.7500000000000002E-2</v>
      </c>
      <c r="J116" s="615">
        <v>6</v>
      </c>
      <c r="K116" s="402"/>
      <c r="L116" s="407">
        <f t="shared" si="778"/>
        <v>0</v>
      </c>
      <c r="M116" s="404">
        <f t="shared" si="779"/>
        <v>0</v>
      </c>
      <c r="N116" s="414">
        <f t="shared" si="780"/>
        <v>0</v>
      </c>
      <c r="O116" s="414">
        <f t="shared" si="781"/>
        <v>0</v>
      </c>
      <c r="P116" s="406">
        <f t="shared" si="782"/>
        <v>0</v>
      </c>
      <c r="Q116" s="407">
        <f t="shared" si="783"/>
        <v>0</v>
      </c>
      <c r="R116" s="404">
        <f t="shared" si="784"/>
        <v>0</v>
      </c>
      <c r="S116" s="414">
        <f t="shared" si="785"/>
        <v>0</v>
      </c>
      <c r="T116" s="414">
        <f t="shared" si="786"/>
        <v>0</v>
      </c>
      <c r="U116" s="406">
        <f t="shared" si="787"/>
        <v>0</v>
      </c>
      <c r="V116" s="407">
        <f t="shared" si="788"/>
        <v>0</v>
      </c>
      <c r="W116" s="404">
        <f t="shared" si="789"/>
        <v>0</v>
      </c>
      <c r="X116" s="414">
        <f t="shared" si="790"/>
        <v>0</v>
      </c>
      <c r="Y116" s="414">
        <f t="shared" si="791"/>
        <v>0</v>
      </c>
      <c r="Z116" s="406">
        <f t="shared" si="792"/>
        <v>0</v>
      </c>
      <c r="AA116" s="407">
        <f t="shared" si="793"/>
        <v>0</v>
      </c>
      <c r="AB116" s="404">
        <f t="shared" si="794"/>
        <v>0</v>
      </c>
      <c r="AC116" s="414">
        <f t="shared" si="795"/>
        <v>0</v>
      </c>
      <c r="AD116" s="414">
        <f t="shared" si="796"/>
        <v>0</v>
      </c>
      <c r="AE116" s="406">
        <f t="shared" si="797"/>
        <v>0</v>
      </c>
      <c r="AF116" s="407">
        <f t="shared" si="798"/>
        <v>0</v>
      </c>
      <c r="AG116" s="404">
        <f t="shared" si="799"/>
        <v>0</v>
      </c>
      <c r="AH116" s="414">
        <f t="shared" si="800"/>
        <v>0</v>
      </c>
      <c r="AI116" s="414">
        <f t="shared" si="801"/>
        <v>0</v>
      </c>
      <c r="AJ116" s="406">
        <f t="shared" si="802"/>
        <v>0</v>
      </c>
      <c r="AK116" s="407">
        <f t="shared" si="803"/>
        <v>0</v>
      </c>
      <c r="AL116" s="404">
        <f t="shared" si="804"/>
        <v>0</v>
      </c>
      <c r="AM116" s="414">
        <f t="shared" si="805"/>
        <v>0</v>
      </c>
      <c r="AN116" s="414">
        <f t="shared" si="806"/>
        <v>0</v>
      </c>
      <c r="AO116" s="406">
        <f t="shared" si="807"/>
        <v>0</v>
      </c>
      <c r="AP116" s="407">
        <f t="shared" si="808"/>
        <v>0</v>
      </c>
      <c r="AQ116" s="404">
        <f t="shared" si="809"/>
        <v>0</v>
      </c>
      <c r="AR116" s="414">
        <f t="shared" si="810"/>
        <v>0</v>
      </c>
      <c r="AS116" s="414">
        <f t="shared" si="811"/>
        <v>0</v>
      </c>
      <c r="AT116" s="406">
        <f t="shared" si="812"/>
        <v>0</v>
      </c>
      <c r="AU116" s="407">
        <f t="shared" si="813"/>
        <v>0</v>
      </c>
      <c r="AV116" s="404">
        <f t="shared" si="814"/>
        <v>0</v>
      </c>
      <c r="AW116" s="414">
        <f t="shared" si="815"/>
        <v>0</v>
      </c>
      <c r="AX116" s="414">
        <f t="shared" si="816"/>
        <v>0</v>
      </c>
      <c r="AY116" s="406">
        <f t="shared" si="817"/>
        <v>0</v>
      </c>
      <c r="AZ116" s="407">
        <f t="shared" si="818"/>
        <v>0</v>
      </c>
      <c r="BA116" s="404">
        <f t="shared" si="819"/>
        <v>0</v>
      </c>
      <c r="BB116" s="414">
        <f t="shared" si="820"/>
        <v>0</v>
      </c>
      <c r="BC116" s="414">
        <f t="shared" si="821"/>
        <v>0</v>
      </c>
      <c r="BD116" s="406">
        <f t="shared" si="822"/>
        <v>0</v>
      </c>
      <c r="BE116" s="407">
        <f t="shared" si="823"/>
        <v>0</v>
      </c>
      <c r="BF116" s="404">
        <f t="shared" si="824"/>
        <v>0</v>
      </c>
      <c r="BG116" s="414">
        <f t="shared" si="825"/>
        <v>0</v>
      </c>
      <c r="BH116" s="414">
        <f t="shared" si="826"/>
        <v>0</v>
      </c>
      <c r="BI116" s="406">
        <f t="shared" si="827"/>
        <v>0</v>
      </c>
      <c r="BJ116" s="407">
        <f t="shared" si="828"/>
        <v>0</v>
      </c>
      <c r="BK116" s="404">
        <f t="shared" si="829"/>
        <v>0</v>
      </c>
      <c r="BL116" s="414">
        <f t="shared" si="830"/>
        <v>0</v>
      </c>
      <c r="BM116" s="414">
        <f t="shared" si="831"/>
        <v>0</v>
      </c>
      <c r="BN116" s="406">
        <f t="shared" si="832"/>
        <v>0</v>
      </c>
      <c r="BO116" s="407">
        <f t="shared" si="833"/>
        <v>0</v>
      </c>
      <c r="BP116" s="449"/>
      <c r="BQ116" s="413">
        <f t="shared" si="834"/>
        <v>0</v>
      </c>
      <c r="BR116" s="410">
        <f t="shared" si="835"/>
        <v>0</v>
      </c>
      <c r="BS116" s="416">
        <f t="shared" si="836"/>
        <v>0</v>
      </c>
      <c r="BT116" s="416">
        <f t="shared" si="837"/>
        <v>0</v>
      </c>
      <c r="BU116" s="412">
        <f t="shared" si="838"/>
        <v>0</v>
      </c>
      <c r="BV116" s="413">
        <f t="shared" si="839"/>
        <v>0</v>
      </c>
      <c r="BW116" s="410">
        <f t="shared" si="840"/>
        <v>0</v>
      </c>
      <c r="BX116" s="416">
        <f t="shared" si="841"/>
        <v>0</v>
      </c>
      <c r="BY116" s="416">
        <f t="shared" si="842"/>
        <v>0</v>
      </c>
      <c r="BZ116" s="412">
        <f t="shared" si="843"/>
        <v>0</v>
      </c>
      <c r="CA116" s="413">
        <f t="shared" si="844"/>
        <v>0</v>
      </c>
      <c r="CB116" s="410">
        <f t="shared" si="845"/>
        <v>0</v>
      </c>
      <c r="CC116" s="416">
        <f t="shared" si="846"/>
        <v>0</v>
      </c>
      <c r="CD116" s="416">
        <f t="shared" si="847"/>
        <v>0</v>
      </c>
      <c r="CE116" s="412">
        <f t="shared" si="848"/>
        <v>0</v>
      </c>
      <c r="CF116" s="413">
        <f t="shared" si="849"/>
        <v>0</v>
      </c>
      <c r="CG116" s="410">
        <f t="shared" si="850"/>
        <v>0</v>
      </c>
      <c r="CH116" s="416">
        <f t="shared" si="851"/>
        <v>0</v>
      </c>
      <c r="CI116" s="416">
        <f t="shared" si="852"/>
        <v>0</v>
      </c>
      <c r="CJ116" s="412">
        <f t="shared" si="853"/>
        <v>0</v>
      </c>
      <c r="CK116" s="413">
        <f t="shared" si="854"/>
        <v>0</v>
      </c>
      <c r="CL116" s="410">
        <f t="shared" si="855"/>
        <v>0</v>
      </c>
      <c r="CM116" s="416">
        <f t="shared" si="856"/>
        <v>0</v>
      </c>
      <c r="CN116" s="416">
        <f t="shared" si="857"/>
        <v>0</v>
      </c>
      <c r="CO116" s="412">
        <f t="shared" si="858"/>
        <v>0</v>
      </c>
      <c r="CP116" s="413">
        <f t="shared" si="859"/>
        <v>0</v>
      </c>
      <c r="CQ116" s="410">
        <f t="shared" si="860"/>
        <v>0</v>
      </c>
      <c r="CR116" s="416">
        <f t="shared" si="861"/>
        <v>0</v>
      </c>
      <c r="CS116" s="416">
        <f t="shared" si="862"/>
        <v>0</v>
      </c>
      <c r="CT116" s="412">
        <f t="shared" si="863"/>
        <v>0</v>
      </c>
      <c r="CU116" s="413">
        <f t="shared" si="864"/>
        <v>0</v>
      </c>
      <c r="CV116" s="410">
        <f t="shared" si="865"/>
        <v>0</v>
      </c>
      <c r="CW116" s="416">
        <f t="shared" si="866"/>
        <v>0</v>
      </c>
      <c r="CX116" s="416">
        <f t="shared" si="867"/>
        <v>0</v>
      </c>
      <c r="CY116" s="412">
        <f t="shared" si="868"/>
        <v>0</v>
      </c>
      <c r="CZ116" s="413">
        <f t="shared" si="869"/>
        <v>0</v>
      </c>
      <c r="DA116" s="410">
        <f t="shared" si="870"/>
        <v>0</v>
      </c>
      <c r="DB116" s="416">
        <f t="shared" si="871"/>
        <v>0</v>
      </c>
      <c r="DC116" s="416">
        <f t="shared" si="872"/>
        <v>0</v>
      </c>
      <c r="DD116" s="412">
        <f t="shared" si="873"/>
        <v>0</v>
      </c>
      <c r="DE116" s="413">
        <f t="shared" si="874"/>
        <v>0</v>
      </c>
      <c r="DF116" s="410">
        <f t="shared" si="875"/>
        <v>0</v>
      </c>
      <c r="DG116" s="416">
        <f t="shared" si="876"/>
        <v>0</v>
      </c>
      <c r="DH116" s="416">
        <f t="shared" si="877"/>
        <v>0</v>
      </c>
      <c r="DI116" s="412">
        <f t="shared" si="878"/>
        <v>0</v>
      </c>
      <c r="DJ116" s="413">
        <f t="shared" si="879"/>
        <v>0</v>
      </c>
      <c r="DK116" s="410">
        <f t="shared" si="880"/>
        <v>0</v>
      </c>
      <c r="DL116" s="416">
        <f t="shared" si="881"/>
        <v>0</v>
      </c>
      <c r="DM116" s="416">
        <f t="shared" si="882"/>
        <v>0</v>
      </c>
      <c r="DN116" s="412">
        <f t="shared" si="883"/>
        <v>0</v>
      </c>
      <c r="DO116" s="413">
        <f t="shared" si="884"/>
        <v>0</v>
      </c>
      <c r="DP116" s="410">
        <f t="shared" si="885"/>
        <v>0</v>
      </c>
      <c r="DQ116" s="416">
        <f t="shared" si="886"/>
        <v>0</v>
      </c>
      <c r="DR116" s="416">
        <f t="shared" si="887"/>
        <v>0</v>
      </c>
      <c r="DS116" s="412">
        <f t="shared" si="888"/>
        <v>0</v>
      </c>
      <c r="DT116" s="413">
        <f t="shared" si="889"/>
        <v>0</v>
      </c>
    </row>
    <row r="117" spans="1:124" ht="12.75" customHeight="1">
      <c r="A117" s="491"/>
      <c r="C117" s="559" t="s">
        <v>1093</v>
      </c>
      <c r="D117" s="559"/>
      <c r="E117" s="1886">
        <f t="shared" si="891"/>
        <v>50</v>
      </c>
      <c r="F117" s="1532">
        <v>50</v>
      </c>
      <c r="G117" s="1532">
        <v>50</v>
      </c>
      <c r="H117" s="610">
        <v>2025</v>
      </c>
      <c r="I117" s="1533">
        <v>1.7500000000000002E-2</v>
      </c>
      <c r="J117" s="615">
        <v>6</v>
      </c>
      <c r="K117" s="402"/>
      <c r="L117" s="407">
        <f t="shared" si="778"/>
        <v>0</v>
      </c>
      <c r="M117" s="404">
        <f t="shared" si="779"/>
        <v>0</v>
      </c>
      <c r="N117" s="414">
        <f t="shared" si="780"/>
        <v>0</v>
      </c>
      <c r="O117" s="414">
        <f t="shared" si="781"/>
        <v>0</v>
      </c>
      <c r="P117" s="406">
        <f t="shared" si="782"/>
        <v>0</v>
      </c>
      <c r="Q117" s="407">
        <f t="shared" si="783"/>
        <v>0</v>
      </c>
      <c r="R117" s="404">
        <f t="shared" si="784"/>
        <v>0</v>
      </c>
      <c r="S117" s="414">
        <f t="shared" si="785"/>
        <v>0</v>
      </c>
      <c r="T117" s="414">
        <f t="shared" si="786"/>
        <v>0</v>
      </c>
      <c r="U117" s="406">
        <f t="shared" si="787"/>
        <v>0</v>
      </c>
      <c r="V117" s="407">
        <f t="shared" si="788"/>
        <v>0</v>
      </c>
      <c r="W117" s="404">
        <f t="shared" si="789"/>
        <v>0</v>
      </c>
      <c r="X117" s="414">
        <f t="shared" si="790"/>
        <v>0</v>
      </c>
      <c r="Y117" s="414">
        <f t="shared" si="791"/>
        <v>0</v>
      </c>
      <c r="Z117" s="406">
        <f t="shared" si="792"/>
        <v>0</v>
      </c>
      <c r="AA117" s="407">
        <f t="shared" si="793"/>
        <v>0</v>
      </c>
      <c r="AB117" s="404">
        <f t="shared" si="794"/>
        <v>0</v>
      </c>
      <c r="AC117" s="414">
        <f t="shared" si="795"/>
        <v>0</v>
      </c>
      <c r="AD117" s="414">
        <f t="shared" si="796"/>
        <v>0</v>
      </c>
      <c r="AE117" s="406">
        <f t="shared" si="797"/>
        <v>0</v>
      </c>
      <c r="AF117" s="407">
        <f t="shared" si="798"/>
        <v>0</v>
      </c>
      <c r="AG117" s="404">
        <f t="shared" si="799"/>
        <v>0</v>
      </c>
      <c r="AH117" s="414">
        <f t="shared" si="800"/>
        <v>0</v>
      </c>
      <c r="AI117" s="414">
        <f t="shared" si="801"/>
        <v>0</v>
      </c>
      <c r="AJ117" s="406">
        <f t="shared" si="802"/>
        <v>0</v>
      </c>
      <c r="AK117" s="407">
        <f t="shared" si="803"/>
        <v>0</v>
      </c>
      <c r="AL117" s="404">
        <f t="shared" si="804"/>
        <v>0</v>
      </c>
      <c r="AM117" s="414">
        <f t="shared" si="805"/>
        <v>0</v>
      </c>
      <c r="AN117" s="414">
        <f t="shared" si="806"/>
        <v>0</v>
      </c>
      <c r="AO117" s="406">
        <f t="shared" si="807"/>
        <v>0</v>
      </c>
      <c r="AP117" s="407">
        <f t="shared" si="808"/>
        <v>0</v>
      </c>
      <c r="AQ117" s="404">
        <f t="shared" si="809"/>
        <v>0</v>
      </c>
      <c r="AR117" s="414">
        <f t="shared" si="810"/>
        <v>0</v>
      </c>
      <c r="AS117" s="414">
        <f t="shared" si="811"/>
        <v>0</v>
      </c>
      <c r="AT117" s="406">
        <f t="shared" si="812"/>
        <v>0</v>
      </c>
      <c r="AU117" s="407">
        <f t="shared" si="813"/>
        <v>0</v>
      </c>
      <c r="AV117" s="404">
        <f t="shared" si="814"/>
        <v>0</v>
      </c>
      <c r="AW117" s="414">
        <f t="shared" si="815"/>
        <v>0</v>
      </c>
      <c r="AX117" s="414">
        <f t="shared" si="816"/>
        <v>0</v>
      </c>
      <c r="AY117" s="406">
        <f t="shared" si="817"/>
        <v>0</v>
      </c>
      <c r="AZ117" s="407">
        <f t="shared" si="818"/>
        <v>0</v>
      </c>
      <c r="BA117" s="404">
        <f t="shared" si="819"/>
        <v>0</v>
      </c>
      <c r="BB117" s="414">
        <f t="shared" si="820"/>
        <v>0</v>
      </c>
      <c r="BC117" s="414">
        <f t="shared" si="821"/>
        <v>0</v>
      </c>
      <c r="BD117" s="406">
        <f t="shared" si="822"/>
        <v>0</v>
      </c>
      <c r="BE117" s="407">
        <f t="shared" si="823"/>
        <v>0</v>
      </c>
      <c r="BF117" s="404">
        <f t="shared" si="824"/>
        <v>0</v>
      </c>
      <c r="BG117" s="414">
        <f t="shared" si="825"/>
        <v>0</v>
      </c>
      <c r="BH117" s="414">
        <f t="shared" si="826"/>
        <v>0</v>
      </c>
      <c r="BI117" s="406">
        <f t="shared" si="827"/>
        <v>0</v>
      </c>
      <c r="BJ117" s="407">
        <f t="shared" si="828"/>
        <v>0</v>
      </c>
      <c r="BK117" s="404">
        <f t="shared" si="829"/>
        <v>0</v>
      </c>
      <c r="BL117" s="414">
        <f t="shared" si="830"/>
        <v>0</v>
      </c>
      <c r="BM117" s="414">
        <f t="shared" si="831"/>
        <v>0</v>
      </c>
      <c r="BN117" s="406">
        <f t="shared" si="832"/>
        <v>0</v>
      </c>
      <c r="BO117" s="407">
        <f t="shared" si="833"/>
        <v>0</v>
      </c>
      <c r="BP117" s="449"/>
      <c r="BQ117" s="413">
        <f t="shared" si="834"/>
        <v>0</v>
      </c>
      <c r="BR117" s="410">
        <f t="shared" si="835"/>
        <v>0</v>
      </c>
      <c r="BS117" s="416">
        <f t="shared" si="836"/>
        <v>0</v>
      </c>
      <c r="BT117" s="416">
        <f t="shared" si="837"/>
        <v>0</v>
      </c>
      <c r="BU117" s="412">
        <f t="shared" si="838"/>
        <v>0</v>
      </c>
      <c r="BV117" s="413">
        <f t="shared" si="839"/>
        <v>0</v>
      </c>
      <c r="BW117" s="410">
        <f t="shared" si="840"/>
        <v>0</v>
      </c>
      <c r="BX117" s="416">
        <f t="shared" si="841"/>
        <v>0</v>
      </c>
      <c r="BY117" s="416">
        <f t="shared" si="842"/>
        <v>0</v>
      </c>
      <c r="BZ117" s="412">
        <f t="shared" si="843"/>
        <v>0</v>
      </c>
      <c r="CA117" s="413">
        <f t="shared" si="844"/>
        <v>0</v>
      </c>
      <c r="CB117" s="410">
        <f t="shared" si="845"/>
        <v>0</v>
      </c>
      <c r="CC117" s="416">
        <f t="shared" si="846"/>
        <v>0</v>
      </c>
      <c r="CD117" s="416">
        <f t="shared" si="847"/>
        <v>0</v>
      </c>
      <c r="CE117" s="412">
        <f t="shared" si="848"/>
        <v>0</v>
      </c>
      <c r="CF117" s="413">
        <f t="shared" si="849"/>
        <v>0</v>
      </c>
      <c r="CG117" s="410">
        <f t="shared" si="850"/>
        <v>0</v>
      </c>
      <c r="CH117" s="416">
        <f t="shared" si="851"/>
        <v>0</v>
      </c>
      <c r="CI117" s="416">
        <f t="shared" si="852"/>
        <v>0</v>
      </c>
      <c r="CJ117" s="412">
        <f t="shared" si="853"/>
        <v>0</v>
      </c>
      <c r="CK117" s="413">
        <f t="shared" si="854"/>
        <v>0</v>
      </c>
      <c r="CL117" s="410">
        <f t="shared" si="855"/>
        <v>0</v>
      </c>
      <c r="CM117" s="416">
        <f t="shared" si="856"/>
        <v>0</v>
      </c>
      <c r="CN117" s="416">
        <f t="shared" si="857"/>
        <v>0</v>
      </c>
      <c r="CO117" s="412">
        <f t="shared" si="858"/>
        <v>0</v>
      </c>
      <c r="CP117" s="413">
        <f t="shared" si="859"/>
        <v>0</v>
      </c>
      <c r="CQ117" s="410">
        <f t="shared" si="860"/>
        <v>0</v>
      </c>
      <c r="CR117" s="416">
        <f t="shared" si="861"/>
        <v>0</v>
      </c>
      <c r="CS117" s="416">
        <f t="shared" si="862"/>
        <v>0</v>
      </c>
      <c r="CT117" s="412">
        <f t="shared" si="863"/>
        <v>0</v>
      </c>
      <c r="CU117" s="413">
        <f t="shared" si="864"/>
        <v>0</v>
      </c>
      <c r="CV117" s="410">
        <f t="shared" si="865"/>
        <v>0</v>
      </c>
      <c r="CW117" s="416">
        <f t="shared" si="866"/>
        <v>0</v>
      </c>
      <c r="CX117" s="416">
        <f t="shared" si="867"/>
        <v>0</v>
      </c>
      <c r="CY117" s="412">
        <f t="shared" si="868"/>
        <v>0</v>
      </c>
      <c r="CZ117" s="413">
        <f t="shared" si="869"/>
        <v>0</v>
      </c>
      <c r="DA117" s="410">
        <f t="shared" si="870"/>
        <v>0</v>
      </c>
      <c r="DB117" s="416">
        <f t="shared" si="871"/>
        <v>0</v>
      </c>
      <c r="DC117" s="416">
        <f t="shared" si="872"/>
        <v>0</v>
      </c>
      <c r="DD117" s="412">
        <f t="shared" si="873"/>
        <v>0</v>
      </c>
      <c r="DE117" s="413">
        <f t="shared" si="874"/>
        <v>0</v>
      </c>
      <c r="DF117" s="410">
        <f t="shared" si="875"/>
        <v>0</v>
      </c>
      <c r="DG117" s="416">
        <f t="shared" si="876"/>
        <v>0</v>
      </c>
      <c r="DH117" s="416">
        <f t="shared" si="877"/>
        <v>0</v>
      </c>
      <c r="DI117" s="412">
        <f t="shared" si="878"/>
        <v>0</v>
      </c>
      <c r="DJ117" s="413">
        <f t="shared" si="879"/>
        <v>0</v>
      </c>
      <c r="DK117" s="410">
        <f t="shared" si="880"/>
        <v>0</v>
      </c>
      <c r="DL117" s="416">
        <f t="shared" si="881"/>
        <v>0</v>
      </c>
      <c r="DM117" s="416">
        <f t="shared" si="882"/>
        <v>0</v>
      </c>
      <c r="DN117" s="412">
        <f t="shared" si="883"/>
        <v>0</v>
      </c>
      <c r="DO117" s="413">
        <f t="shared" si="884"/>
        <v>0</v>
      </c>
      <c r="DP117" s="410">
        <f t="shared" si="885"/>
        <v>0</v>
      </c>
      <c r="DQ117" s="416">
        <f t="shared" si="886"/>
        <v>0</v>
      </c>
      <c r="DR117" s="416">
        <f t="shared" si="887"/>
        <v>0</v>
      </c>
      <c r="DS117" s="412">
        <f t="shared" si="888"/>
        <v>0</v>
      </c>
      <c r="DT117" s="413">
        <f t="shared" si="889"/>
        <v>0</v>
      </c>
    </row>
    <row r="118" spans="1:124" ht="12.75" customHeight="1">
      <c r="A118" s="491"/>
      <c r="C118" s="559" t="s">
        <v>1321</v>
      </c>
      <c r="D118" s="1885"/>
      <c r="E118" s="1886">
        <f t="shared" ref="E118:E120" si="892">IF(F118=0,G118,F118)</f>
        <v>25</v>
      </c>
      <c r="F118" s="1532">
        <v>25</v>
      </c>
      <c r="G118" s="1888">
        <v>0</v>
      </c>
      <c r="H118" s="610">
        <v>2019</v>
      </c>
      <c r="I118" s="828">
        <v>4.4999999999999998E-2</v>
      </c>
      <c r="J118" s="615">
        <v>6</v>
      </c>
      <c r="K118" s="402"/>
      <c r="L118" s="407">
        <f t="shared" si="778"/>
        <v>0</v>
      </c>
      <c r="M118" s="404">
        <f t="shared" si="779"/>
        <v>0</v>
      </c>
      <c r="N118" s="414">
        <f t="shared" si="780"/>
        <v>0</v>
      </c>
      <c r="O118" s="414">
        <f t="shared" si="781"/>
        <v>0</v>
      </c>
      <c r="P118" s="406">
        <f t="shared" si="782"/>
        <v>0</v>
      </c>
      <c r="Q118" s="407">
        <f t="shared" si="783"/>
        <v>0</v>
      </c>
      <c r="R118" s="404">
        <f t="shared" si="784"/>
        <v>0</v>
      </c>
      <c r="S118" s="414">
        <f t="shared" si="785"/>
        <v>0</v>
      </c>
      <c r="T118" s="414">
        <f t="shared" si="786"/>
        <v>0</v>
      </c>
      <c r="U118" s="406">
        <f t="shared" si="787"/>
        <v>0</v>
      </c>
      <c r="V118" s="407">
        <f t="shared" si="788"/>
        <v>0</v>
      </c>
      <c r="W118" s="404">
        <f t="shared" si="789"/>
        <v>0</v>
      </c>
      <c r="X118" s="414">
        <f t="shared" si="790"/>
        <v>0</v>
      </c>
      <c r="Y118" s="414">
        <f t="shared" si="791"/>
        <v>0</v>
      </c>
      <c r="Z118" s="406">
        <f t="shared" si="792"/>
        <v>0</v>
      </c>
      <c r="AA118" s="407">
        <f t="shared" si="793"/>
        <v>0</v>
      </c>
      <c r="AB118" s="404">
        <f t="shared" si="794"/>
        <v>0</v>
      </c>
      <c r="AC118" s="414">
        <f t="shared" si="795"/>
        <v>0</v>
      </c>
      <c r="AD118" s="414">
        <f t="shared" si="796"/>
        <v>0</v>
      </c>
      <c r="AE118" s="406">
        <f t="shared" si="797"/>
        <v>0</v>
      </c>
      <c r="AF118" s="407">
        <f t="shared" si="798"/>
        <v>0</v>
      </c>
      <c r="AG118" s="404">
        <f t="shared" si="799"/>
        <v>0</v>
      </c>
      <c r="AH118" s="414">
        <f t="shared" si="800"/>
        <v>0</v>
      </c>
      <c r="AI118" s="414">
        <f t="shared" si="801"/>
        <v>0</v>
      </c>
      <c r="AJ118" s="406">
        <f t="shared" si="802"/>
        <v>0</v>
      </c>
      <c r="AK118" s="407">
        <f t="shared" si="803"/>
        <v>0</v>
      </c>
      <c r="AL118" s="404">
        <f t="shared" si="804"/>
        <v>0</v>
      </c>
      <c r="AM118" s="414">
        <f t="shared" si="805"/>
        <v>0</v>
      </c>
      <c r="AN118" s="414">
        <f t="shared" si="806"/>
        <v>0</v>
      </c>
      <c r="AO118" s="406">
        <f t="shared" si="807"/>
        <v>0</v>
      </c>
      <c r="AP118" s="407">
        <f t="shared" si="808"/>
        <v>0</v>
      </c>
      <c r="AQ118" s="404">
        <f t="shared" si="809"/>
        <v>0</v>
      </c>
      <c r="AR118" s="414">
        <f t="shared" si="810"/>
        <v>0</v>
      </c>
      <c r="AS118" s="414">
        <f t="shared" si="811"/>
        <v>0</v>
      </c>
      <c r="AT118" s="406">
        <f t="shared" si="812"/>
        <v>0</v>
      </c>
      <c r="AU118" s="407">
        <f t="shared" si="813"/>
        <v>0</v>
      </c>
      <c r="AV118" s="404">
        <f t="shared" si="814"/>
        <v>0</v>
      </c>
      <c r="AW118" s="414">
        <f t="shared" si="815"/>
        <v>0</v>
      </c>
      <c r="AX118" s="414">
        <f t="shared" si="816"/>
        <v>0</v>
      </c>
      <c r="AY118" s="406">
        <f t="shared" si="817"/>
        <v>0</v>
      </c>
      <c r="AZ118" s="407">
        <f t="shared" si="818"/>
        <v>0</v>
      </c>
      <c r="BA118" s="404">
        <f t="shared" si="819"/>
        <v>0</v>
      </c>
      <c r="BB118" s="414">
        <f t="shared" si="820"/>
        <v>-25</v>
      </c>
      <c r="BC118" s="414">
        <f t="shared" si="821"/>
        <v>0</v>
      </c>
      <c r="BD118" s="406">
        <f t="shared" si="822"/>
        <v>0</v>
      </c>
      <c r="BE118" s="407">
        <f t="shared" si="823"/>
        <v>-25</v>
      </c>
      <c r="BF118" s="404">
        <f t="shared" si="824"/>
        <v>0</v>
      </c>
      <c r="BG118" s="414">
        <f t="shared" si="825"/>
        <v>0</v>
      </c>
      <c r="BH118" s="414">
        <f t="shared" si="826"/>
        <v>0</v>
      </c>
      <c r="BI118" s="406">
        <f t="shared" si="827"/>
        <v>0</v>
      </c>
      <c r="BJ118" s="407">
        <f t="shared" si="828"/>
        <v>0</v>
      </c>
      <c r="BK118" s="404">
        <f t="shared" si="829"/>
        <v>0</v>
      </c>
      <c r="BL118" s="414">
        <f t="shared" si="830"/>
        <v>0</v>
      </c>
      <c r="BM118" s="414">
        <f t="shared" si="831"/>
        <v>0</v>
      </c>
      <c r="BN118" s="406">
        <f t="shared" si="832"/>
        <v>0</v>
      </c>
      <c r="BO118" s="407">
        <f t="shared" si="833"/>
        <v>0</v>
      </c>
      <c r="BP118" s="449"/>
      <c r="BQ118" s="413">
        <f t="shared" si="834"/>
        <v>0</v>
      </c>
      <c r="BR118" s="410">
        <f t="shared" si="835"/>
        <v>0</v>
      </c>
      <c r="BS118" s="416">
        <f t="shared" si="836"/>
        <v>0</v>
      </c>
      <c r="BT118" s="416">
        <f t="shared" si="837"/>
        <v>0</v>
      </c>
      <c r="BU118" s="412">
        <f t="shared" si="838"/>
        <v>0</v>
      </c>
      <c r="BV118" s="413">
        <f t="shared" si="839"/>
        <v>0</v>
      </c>
      <c r="BW118" s="410">
        <f t="shared" si="840"/>
        <v>0</v>
      </c>
      <c r="BX118" s="416">
        <f t="shared" si="841"/>
        <v>0</v>
      </c>
      <c r="BY118" s="416">
        <f t="shared" si="842"/>
        <v>0</v>
      </c>
      <c r="BZ118" s="412">
        <f t="shared" si="843"/>
        <v>0</v>
      </c>
      <c r="CA118" s="413">
        <f t="shared" si="844"/>
        <v>0</v>
      </c>
      <c r="CB118" s="410">
        <f t="shared" si="845"/>
        <v>0</v>
      </c>
      <c r="CC118" s="416">
        <f t="shared" si="846"/>
        <v>0</v>
      </c>
      <c r="CD118" s="416">
        <f t="shared" si="847"/>
        <v>0</v>
      </c>
      <c r="CE118" s="412">
        <f t="shared" si="848"/>
        <v>0</v>
      </c>
      <c r="CF118" s="413">
        <f t="shared" si="849"/>
        <v>0</v>
      </c>
      <c r="CG118" s="410">
        <f t="shared" si="850"/>
        <v>0</v>
      </c>
      <c r="CH118" s="416">
        <f t="shared" si="851"/>
        <v>0</v>
      </c>
      <c r="CI118" s="416">
        <f t="shared" si="852"/>
        <v>0</v>
      </c>
      <c r="CJ118" s="412">
        <f t="shared" si="853"/>
        <v>0</v>
      </c>
      <c r="CK118" s="413">
        <f t="shared" si="854"/>
        <v>0</v>
      </c>
      <c r="CL118" s="410">
        <f t="shared" si="855"/>
        <v>0</v>
      </c>
      <c r="CM118" s="416">
        <f t="shared" si="856"/>
        <v>0</v>
      </c>
      <c r="CN118" s="416">
        <f t="shared" si="857"/>
        <v>0</v>
      </c>
      <c r="CO118" s="412">
        <f t="shared" si="858"/>
        <v>0</v>
      </c>
      <c r="CP118" s="413">
        <f t="shared" si="859"/>
        <v>0</v>
      </c>
      <c r="CQ118" s="410">
        <f t="shared" si="860"/>
        <v>0</v>
      </c>
      <c r="CR118" s="416">
        <f t="shared" si="861"/>
        <v>0</v>
      </c>
      <c r="CS118" s="416">
        <f t="shared" si="862"/>
        <v>0</v>
      </c>
      <c r="CT118" s="412">
        <f t="shared" si="863"/>
        <v>0</v>
      </c>
      <c r="CU118" s="413">
        <f t="shared" si="864"/>
        <v>0</v>
      </c>
      <c r="CV118" s="410">
        <f t="shared" si="865"/>
        <v>0</v>
      </c>
      <c r="CW118" s="416">
        <f t="shared" si="866"/>
        <v>0</v>
      </c>
      <c r="CX118" s="416">
        <f t="shared" si="867"/>
        <v>0</v>
      </c>
      <c r="CY118" s="412">
        <f t="shared" si="868"/>
        <v>0</v>
      </c>
      <c r="CZ118" s="413">
        <f t="shared" si="869"/>
        <v>0</v>
      </c>
      <c r="DA118" s="410">
        <f t="shared" si="870"/>
        <v>0</v>
      </c>
      <c r="DB118" s="416">
        <f t="shared" si="871"/>
        <v>0</v>
      </c>
      <c r="DC118" s="416">
        <f t="shared" si="872"/>
        <v>0</v>
      </c>
      <c r="DD118" s="412">
        <f t="shared" si="873"/>
        <v>0</v>
      </c>
      <c r="DE118" s="413">
        <f t="shared" si="874"/>
        <v>0</v>
      </c>
      <c r="DF118" s="410">
        <f t="shared" si="875"/>
        <v>0</v>
      </c>
      <c r="DG118" s="416">
        <f t="shared" si="876"/>
        <v>-9.375E-2</v>
      </c>
      <c r="DH118" s="416">
        <f t="shared" si="877"/>
        <v>-0.28125</v>
      </c>
      <c r="DI118" s="412">
        <f t="shared" si="878"/>
        <v>-0.28125</v>
      </c>
      <c r="DJ118" s="413">
        <f t="shared" si="879"/>
        <v>-0.65625</v>
      </c>
      <c r="DK118" s="410">
        <f t="shared" si="880"/>
        <v>-0.28125</v>
      </c>
      <c r="DL118" s="416">
        <f t="shared" si="881"/>
        <v>-0.1875</v>
      </c>
      <c r="DM118" s="416">
        <f t="shared" si="882"/>
        <v>0</v>
      </c>
      <c r="DN118" s="412">
        <f t="shared" si="883"/>
        <v>0</v>
      </c>
      <c r="DO118" s="413">
        <f t="shared" si="884"/>
        <v>-0.46875</v>
      </c>
      <c r="DP118" s="410">
        <f t="shared" si="885"/>
        <v>0</v>
      </c>
      <c r="DQ118" s="416">
        <f t="shared" si="886"/>
        <v>0</v>
      </c>
      <c r="DR118" s="416">
        <f t="shared" si="887"/>
        <v>0</v>
      </c>
      <c r="DS118" s="412">
        <f t="shared" si="888"/>
        <v>0</v>
      </c>
      <c r="DT118" s="413">
        <f t="shared" si="889"/>
        <v>0</v>
      </c>
    </row>
    <row r="119" spans="1:124" ht="12.75" customHeight="1">
      <c r="A119" s="491"/>
      <c r="C119" s="559" t="s">
        <v>1322</v>
      </c>
      <c r="D119" s="1885"/>
      <c r="E119" s="1886">
        <f t="shared" si="892"/>
        <v>40</v>
      </c>
      <c r="F119" s="1532">
        <v>40</v>
      </c>
      <c r="G119" s="1888"/>
      <c r="H119" s="610">
        <v>2021</v>
      </c>
      <c r="I119" s="828">
        <v>4.4999999999999998E-2</v>
      </c>
      <c r="J119" s="617">
        <v>4</v>
      </c>
      <c r="K119" s="402"/>
      <c r="L119" s="407">
        <f t="shared" si="778"/>
        <v>0</v>
      </c>
      <c r="M119" s="404">
        <f t="shared" si="779"/>
        <v>0</v>
      </c>
      <c r="N119" s="414">
        <f t="shared" si="780"/>
        <v>0</v>
      </c>
      <c r="O119" s="414">
        <f t="shared" si="781"/>
        <v>0</v>
      </c>
      <c r="P119" s="406">
        <f t="shared" si="782"/>
        <v>0</v>
      </c>
      <c r="Q119" s="407">
        <f t="shared" si="783"/>
        <v>0</v>
      </c>
      <c r="R119" s="404">
        <f t="shared" si="784"/>
        <v>0</v>
      </c>
      <c r="S119" s="414">
        <f t="shared" si="785"/>
        <v>0</v>
      </c>
      <c r="T119" s="414">
        <f t="shared" si="786"/>
        <v>0</v>
      </c>
      <c r="U119" s="406">
        <f t="shared" si="787"/>
        <v>0</v>
      </c>
      <c r="V119" s="407">
        <f t="shared" si="788"/>
        <v>0</v>
      </c>
      <c r="W119" s="404">
        <f t="shared" si="789"/>
        <v>0</v>
      </c>
      <c r="X119" s="414">
        <f t="shared" si="790"/>
        <v>0</v>
      </c>
      <c r="Y119" s="414">
        <f t="shared" si="791"/>
        <v>0</v>
      </c>
      <c r="Z119" s="406">
        <f t="shared" si="792"/>
        <v>0</v>
      </c>
      <c r="AA119" s="407">
        <f t="shared" si="793"/>
        <v>0</v>
      </c>
      <c r="AB119" s="404">
        <f t="shared" si="794"/>
        <v>0</v>
      </c>
      <c r="AC119" s="414">
        <f t="shared" si="795"/>
        <v>0</v>
      </c>
      <c r="AD119" s="414">
        <f t="shared" si="796"/>
        <v>0</v>
      </c>
      <c r="AE119" s="406">
        <f t="shared" si="797"/>
        <v>0</v>
      </c>
      <c r="AF119" s="407">
        <f t="shared" si="798"/>
        <v>0</v>
      </c>
      <c r="AG119" s="404">
        <f t="shared" si="799"/>
        <v>0</v>
      </c>
      <c r="AH119" s="414">
        <f t="shared" si="800"/>
        <v>0</v>
      </c>
      <c r="AI119" s="414">
        <f t="shared" si="801"/>
        <v>0</v>
      </c>
      <c r="AJ119" s="406">
        <f t="shared" si="802"/>
        <v>0</v>
      </c>
      <c r="AK119" s="407">
        <f t="shared" si="803"/>
        <v>0</v>
      </c>
      <c r="AL119" s="404">
        <f t="shared" si="804"/>
        <v>0</v>
      </c>
      <c r="AM119" s="414">
        <f t="shared" si="805"/>
        <v>0</v>
      </c>
      <c r="AN119" s="414">
        <f t="shared" si="806"/>
        <v>0</v>
      </c>
      <c r="AO119" s="406">
        <f t="shared" si="807"/>
        <v>0</v>
      </c>
      <c r="AP119" s="407">
        <f t="shared" si="808"/>
        <v>0</v>
      </c>
      <c r="AQ119" s="404">
        <f t="shared" si="809"/>
        <v>0</v>
      </c>
      <c r="AR119" s="414">
        <f t="shared" si="810"/>
        <v>0</v>
      </c>
      <c r="AS119" s="414">
        <f t="shared" si="811"/>
        <v>0</v>
      </c>
      <c r="AT119" s="406">
        <f t="shared" si="812"/>
        <v>0</v>
      </c>
      <c r="AU119" s="407">
        <f t="shared" si="813"/>
        <v>0</v>
      </c>
      <c r="AV119" s="404">
        <f t="shared" si="814"/>
        <v>0</v>
      </c>
      <c r="AW119" s="414">
        <f t="shared" si="815"/>
        <v>0</v>
      </c>
      <c r="AX119" s="414">
        <f t="shared" si="816"/>
        <v>0</v>
      </c>
      <c r="AY119" s="406">
        <f t="shared" si="817"/>
        <v>0</v>
      </c>
      <c r="AZ119" s="407">
        <f t="shared" si="818"/>
        <v>0</v>
      </c>
      <c r="BA119" s="404">
        <f t="shared" si="819"/>
        <v>0</v>
      </c>
      <c r="BB119" s="414">
        <f t="shared" si="820"/>
        <v>0</v>
      </c>
      <c r="BC119" s="414">
        <f t="shared" si="821"/>
        <v>0</v>
      </c>
      <c r="BD119" s="406">
        <f t="shared" si="822"/>
        <v>0</v>
      </c>
      <c r="BE119" s="407">
        <f t="shared" si="823"/>
        <v>0</v>
      </c>
      <c r="BF119" s="404">
        <f t="shared" si="824"/>
        <v>0</v>
      </c>
      <c r="BG119" s="414">
        <f t="shared" si="825"/>
        <v>0</v>
      </c>
      <c r="BH119" s="414">
        <f t="shared" si="826"/>
        <v>0</v>
      </c>
      <c r="BI119" s="406">
        <f t="shared" si="827"/>
        <v>0</v>
      </c>
      <c r="BJ119" s="407">
        <f t="shared" si="828"/>
        <v>0</v>
      </c>
      <c r="BK119" s="404">
        <f t="shared" si="829"/>
        <v>0</v>
      </c>
      <c r="BL119" s="414">
        <f t="shared" si="830"/>
        <v>-40</v>
      </c>
      <c r="BM119" s="414">
        <f t="shared" si="831"/>
        <v>0</v>
      </c>
      <c r="BN119" s="406">
        <f t="shared" si="832"/>
        <v>0</v>
      </c>
      <c r="BO119" s="407">
        <f t="shared" si="833"/>
        <v>-40</v>
      </c>
      <c r="BP119" s="449"/>
      <c r="BQ119" s="413">
        <f t="shared" si="834"/>
        <v>0</v>
      </c>
      <c r="BR119" s="410">
        <f t="shared" si="835"/>
        <v>0</v>
      </c>
      <c r="BS119" s="416">
        <f t="shared" si="836"/>
        <v>0</v>
      </c>
      <c r="BT119" s="416">
        <f t="shared" si="837"/>
        <v>0</v>
      </c>
      <c r="BU119" s="412">
        <f t="shared" si="838"/>
        <v>0</v>
      </c>
      <c r="BV119" s="413">
        <f t="shared" si="839"/>
        <v>0</v>
      </c>
      <c r="BW119" s="410">
        <f t="shared" si="840"/>
        <v>0</v>
      </c>
      <c r="BX119" s="416">
        <f t="shared" si="841"/>
        <v>0</v>
      </c>
      <c r="BY119" s="416">
        <f t="shared" si="842"/>
        <v>0</v>
      </c>
      <c r="BZ119" s="412">
        <f t="shared" si="843"/>
        <v>0</v>
      </c>
      <c r="CA119" s="413">
        <f t="shared" si="844"/>
        <v>0</v>
      </c>
      <c r="CB119" s="410">
        <f t="shared" si="845"/>
        <v>0</v>
      </c>
      <c r="CC119" s="416">
        <f t="shared" si="846"/>
        <v>0</v>
      </c>
      <c r="CD119" s="416">
        <f t="shared" si="847"/>
        <v>0</v>
      </c>
      <c r="CE119" s="412">
        <f t="shared" si="848"/>
        <v>0</v>
      </c>
      <c r="CF119" s="413">
        <f t="shared" si="849"/>
        <v>0</v>
      </c>
      <c r="CG119" s="410">
        <f t="shared" si="850"/>
        <v>0</v>
      </c>
      <c r="CH119" s="416">
        <f t="shared" si="851"/>
        <v>0</v>
      </c>
      <c r="CI119" s="416">
        <f t="shared" si="852"/>
        <v>0</v>
      </c>
      <c r="CJ119" s="412">
        <f t="shared" si="853"/>
        <v>0</v>
      </c>
      <c r="CK119" s="413">
        <f t="shared" si="854"/>
        <v>0</v>
      </c>
      <c r="CL119" s="410">
        <f t="shared" si="855"/>
        <v>0</v>
      </c>
      <c r="CM119" s="416">
        <f t="shared" si="856"/>
        <v>0</v>
      </c>
      <c r="CN119" s="416">
        <f t="shared" si="857"/>
        <v>0</v>
      </c>
      <c r="CO119" s="412">
        <f t="shared" si="858"/>
        <v>0</v>
      </c>
      <c r="CP119" s="413">
        <f t="shared" si="859"/>
        <v>0</v>
      </c>
      <c r="CQ119" s="410">
        <f t="shared" si="860"/>
        <v>0</v>
      </c>
      <c r="CR119" s="416">
        <f t="shared" si="861"/>
        <v>0</v>
      </c>
      <c r="CS119" s="416">
        <f t="shared" si="862"/>
        <v>0</v>
      </c>
      <c r="CT119" s="412">
        <f t="shared" si="863"/>
        <v>0</v>
      </c>
      <c r="CU119" s="413">
        <f t="shared" si="864"/>
        <v>0</v>
      </c>
      <c r="CV119" s="410">
        <f t="shared" si="865"/>
        <v>0</v>
      </c>
      <c r="CW119" s="416">
        <f t="shared" si="866"/>
        <v>0</v>
      </c>
      <c r="CX119" s="416">
        <f t="shared" si="867"/>
        <v>0</v>
      </c>
      <c r="CY119" s="412">
        <f t="shared" si="868"/>
        <v>0</v>
      </c>
      <c r="CZ119" s="413">
        <f t="shared" si="869"/>
        <v>0</v>
      </c>
      <c r="DA119" s="410">
        <f t="shared" si="870"/>
        <v>0</v>
      </c>
      <c r="DB119" s="416">
        <f t="shared" si="871"/>
        <v>0</v>
      </c>
      <c r="DC119" s="416">
        <f t="shared" si="872"/>
        <v>0</v>
      </c>
      <c r="DD119" s="412">
        <f t="shared" si="873"/>
        <v>0</v>
      </c>
      <c r="DE119" s="413">
        <f t="shared" si="874"/>
        <v>0</v>
      </c>
      <c r="DF119" s="410">
        <f t="shared" si="875"/>
        <v>0</v>
      </c>
      <c r="DG119" s="416">
        <f t="shared" si="876"/>
        <v>0</v>
      </c>
      <c r="DH119" s="416">
        <f t="shared" si="877"/>
        <v>0</v>
      </c>
      <c r="DI119" s="412">
        <f t="shared" si="878"/>
        <v>0</v>
      </c>
      <c r="DJ119" s="413">
        <f t="shared" si="879"/>
        <v>0</v>
      </c>
      <c r="DK119" s="410">
        <f t="shared" si="880"/>
        <v>0</v>
      </c>
      <c r="DL119" s="416">
        <f t="shared" si="881"/>
        <v>0</v>
      </c>
      <c r="DM119" s="416">
        <f t="shared" si="882"/>
        <v>0</v>
      </c>
      <c r="DN119" s="412">
        <f t="shared" si="883"/>
        <v>0</v>
      </c>
      <c r="DO119" s="413">
        <f t="shared" si="884"/>
        <v>0</v>
      </c>
      <c r="DP119" s="410">
        <f t="shared" si="885"/>
        <v>0</v>
      </c>
      <c r="DQ119" s="416">
        <f t="shared" si="886"/>
        <v>-0.44999999999999996</v>
      </c>
      <c r="DR119" s="416">
        <f t="shared" si="887"/>
        <v>-0.44999999999999996</v>
      </c>
      <c r="DS119" s="412">
        <f t="shared" si="888"/>
        <v>-0.44999999999999996</v>
      </c>
      <c r="DT119" s="413">
        <f t="shared" si="889"/>
        <v>-1.3499999999999999</v>
      </c>
    </row>
    <row r="120" spans="1:124" ht="12.75" customHeight="1">
      <c r="A120" s="491"/>
      <c r="C120" s="559" t="s">
        <v>1322</v>
      </c>
      <c r="D120" s="1885"/>
      <c r="E120" s="1886">
        <f t="shared" si="892"/>
        <v>52</v>
      </c>
      <c r="F120" s="1532">
        <v>52</v>
      </c>
      <c r="G120" s="1888"/>
      <c r="H120" s="610">
        <v>2021</v>
      </c>
      <c r="I120" s="828">
        <v>4.4999999999999998E-2</v>
      </c>
      <c r="J120" s="617">
        <v>1</v>
      </c>
      <c r="K120" s="402"/>
      <c r="L120" s="407">
        <f t="shared" si="778"/>
        <v>0</v>
      </c>
      <c r="M120" s="404">
        <f>IF(Q120=0,0,IF(Q120&lt;0,IF($J120=3,Q120,IF($J120=2,Q120,IF($J120=1,Q120,0)))))</f>
        <v>0</v>
      </c>
      <c r="N120" s="414">
        <f>IF(Q120=0,0,IF(Q120&lt;0,IF($J120=6,Q120,IF($J120=5,Q120,IF($J120=4,Q120,0)))))</f>
        <v>0</v>
      </c>
      <c r="O120" s="414">
        <f>IF(Q120=0,0,IF(Q120&lt;0,IF($J120=9,Q120,IF($J120=8,Q120,IF($J120=7,Q120,0)))))</f>
        <v>0</v>
      </c>
      <c r="P120" s="406">
        <f>IF(Q120=0,0,IF(Q120&lt;0,IF($J120=12,Q120,IF($J120=11,Q120,IF($J120=10,Q120,0)))))</f>
        <v>0</v>
      </c>
      <c r="Q120" s="407">
        <f t="shared" si="783"/>
        <v>0</v>
      </c>
      <c r="R120" s="404">
        <f>IF(V120=0,0,IF(V120&lt;0,IF($J120=3,V120,IF($J120=2,V120,IF($J120=1,V120,0)))))</f>
        <v>0</v>
      </c>
      <c r="S120" s="414">
        <f>IF(V120=0,0,IF(V120&lt;0,IF($J120=6,V120,IF($J120=5,V120,IF($J120=4,V120,0)))))</f>
        <v>0</v>
      </c>
      <c r="T120" s="414">
        <f>IF(V120=0,0,IF(V120&lt;0,IF($J120=9,V120,IF($J120=8,V120,IF($J120=7,V120,0)))))</f>
        <v>0</v>
      </c>
      <c r="U120" s="406">
        <f>IF(V120=0,0,IF(V120&lt;0,IF($J120=12,V120,IF($J120=11,V120,IF($J120=10,V120,0)))))</f>
        <v>0</v>
      </c>
      <c r="V120" s="407">
        <f t="shared" si="788"/>
        <v>0</v>
      </c>
      <c r="W120" s="404">
        <f>IF(AA120=0,0,IF(AA120&lt;0,IF($J120=3,AA120,IF($J120=2,AA120,IF($J120=1,AA120,0)))))</f>
        <v>0</v>
      </c>
      <c r="X120" s="414">
        <f>IF(AA120=0,0,IF(AA120&lt;0,IF($J120=6,AA120,IF($J120=5,AA120,IF($J120=4,AA120,0)))))</f>
        <v>0</v>
      </c>
      <c r="Y120" s="414">
        <f>IF(AA120=0,0,IF(AA120&lt;0,IF($J120=9,AA120,IF($J120=8,AA120,IF($J120=7,AA120,0)))))</f>
        <v>0</v>
      </c>
      <c r="Z120" s="406">
        <f>IF(AA120=0,0,IF(AA120&lt;0,IF($J120=12,AA120,IF($J120=11,AA120,IF($J120=10,AA120,0)))))</f>
        <v>0</v>
      </c>
      <c r="AA120" s="407">
        <f t="shared" si="793"/>
        <v>0</v>
      </c>
      <c r="AB120" s="404">
        <f>IF(AF120=0,0,IF(AF120&lt;0,IF($J120=3,AF120,IF($J120=2,AF120,IF($J120=1,AF120,0)))))</f>
        <v>0</v>
      </c>
      <c r="AC120" s="414">
        <f>IF(AF120=0,0,IF(AF120&lt;0,IF($J120=6,AF120,IF($J120=5,AF120,IF($J120=4,AF120,0)))))</f>
        <v>0</v>
      </c>
      <c r="AD120" s="414">
        <f>IF(AF120=0,0,IF(AF120&lt;0,IF($J120=9,AF120,IF($J120=8,AF120,IF($J120=7,AF120,0)))))</f>
        <v>0</v>
      </c>
      <c r="AE120" s="406">
        <f>IF(AF120=0,0,IF(AF120&lt;0,IF($J120=12,AF120,IF($J120=11,AF120,IF($J120=10,AF120,0)))))</f>
        <v>0</v>
      </c>
      <c r="AF120" s="407">
        <f t="shared" si="798"/>
        <v>0</v>
      </c>
      <c r="AG120" s="404">
        <f>IF(AK120=0,0,IF(AK120&lt;0,IF($J120=3,AK120,IF($J120=2,AK120,IF($J120=1,AK120,0)))))</f>
        <v>0</v>
      </c>
      <c r="AH120" s="414">
        <f>IF(AK120=0,0,IF(AK120&lt;0,IF($J120=6,AK120,IF($J120=5,AK120,IF($J120=4,AK120,0)))))</f>
        <v>0</v>
      </c>
      <c r="AI120" s="414">
        <f>IF(AK120=0,0,IF(AK120&lt;0,IF($J120=9,AK120,IF($J120=8,AK120,IF($J120=7,AK120,0)))))</f>
        <v>0</v>
      </c>
      <c r="AJ120" s="406">
        <f>IF(AK120=0,0,IF(AK120&lt;0,IF($J120=12,AK120,IF($J120=11,AK120,IF($J120=10,AK120,0)))))</f>
        <v>0</v>
      </c>
      <c r="AK120" s="407">
        <f t="shared" si="803"/>
        <v>0</v>
      </c>
      <c r="AL120" s="404">
        <f>IF(AP120=0,0,IF(AP120&lt;0,IF($J120=3,AP120,IF($J120=2,AP120,IF($J120=1,AP120,0)))))</f>
        <v>0</v>
      </c>
      <c r="AM120" s="414">
        <f>IF(AP120=0,0,IF(AP120&lt;0,IF($J120=6,AP120,IF($J120=5,AP120,IF($J120=4,AP120,0)))))</f>
        <v>0</v>
      </c>
      <c r="AN120" s="414">
        <f>IF(AP120=0,0,IF(AP120&lt;0,IF($J120=9,AP120,IF($J120=8,AP120,IF($J120=7,AP120,0)))))</f>
        <v>0</v>
      </c>
      <c r="AO120" s="406">
        <f>IF(AP120=0,0,IF(AP120&lt;0,IF($J120=12,AP120,IF($J120=11,AP120,IF($J120=10,AP120,0)))))</f>
        <v>0</v>
      </c>
      <c r="AP120" s="407">
        <f t="shared" si="808"/>
        <v>0</v>
      </c>
      <c r="AQ120" s="404">
        <f>IF(AU120=0,0,IF(AU120&lt;0,IF($J120=3,AU120,IF($J120=2,AU120,IF($J120=1,AU120,0)))))</f>
        <v>0</v>
      </c>
      <c r="AR120" s="414">
        <f>IF(AU120=0,0,IF(AU120&lt;0,IF($J120=6,AU120,IF($J120=5,AU120,IF($J120=4,AU120,0)))))</f>
        <v>0</v>
      </c>
      <c r="AS120" s="414">
        <f>IF(AU120=0,0,IF(AU120&lt;0,IF($J120=9,AU120,IF($J120=8,AU120,IF($J120=7,AU120,0)))))</f>
        <v>0</v>
      </c>
      <c r="AT120" s="406">
        <f>IF(AU120=0,0,IF(AU120&lt;0,IF($J120=12,AU120,IF($J120=11,AU120,IF($J120=10,AU120,0)))))</f>
        <v>0</v>
      </c>
      <c r="AU120" s="407">
        <f t="shared" si="813"/>
        <v>0</v>
      </c>
      <c r="AV120" s="404">
        <f>IF(AZ120=0,0,IF(AZ120&lt;0,IF($J120=3,AZ120,IF($J120=2,AZ120,IF($J120=1,AZ120,0)))))</f>
        <v>0</v>
      </c>
      <c r="AW120" s="414">
        <f>IF(AZ120=0,0,IF(AZ120&lt;0,IF($J120=6,AZ120,IF($J120=5,AZ120,IF($J120=4,AZ120,0)))))</f>
        <v>0</v>
      </c>
      <c r="AX120" s="414">
        <f>IF(AZ120=0,0,IF(AZ120&lt;0,IF($J120=9,AZ120,IF($J120=8,AZ120,IF($J120=7,AZ120,0)))))</f>
        <v>0</v>
      </c>
      <c r="AY120" s="406">
        <f>IF(AZ120=0,0,IF(AZ120&lt;0,IF($J120=12,AZ120,IF($J120=11,AZ120,IF($J120=10,AZ120,0)))))</f>
        <v>0</v>
      </c>
      <c r="AZ120" s="407">
        <f t="shared" si="818"/>
        <v>0</v>
      </c>
      <c r="BA120" s="404">
        <f>IF(BE120=0,0,IF(BE120&lt;0,IF($J120=3,BE120,IF($J120=2,BE120,IF($J120=1,BE120,0)))))</f>
        <v>0</v>
      </c>
      <c r="BB120" s="414">
        <f>IF(BE120=0,0,IF(BE120&lt;0,IF($J120=6,BE120,IF($J120=5,BE120,IF($J120=4,BE120,0)))))</f>
        <v>0</v>
      </c>
      <c r="BC120" s="414">
        <f>IF(BE120=0,0,IF(BE120&lt;0,IF($J120=9,BE120,IF($J120=8,BE120,IF($J120=7,BE120,0)))))</f>
        <v>0</v>
      </c>
      <c r="BD120" s="406">
        <f>IF(BE120=0,0,IF(BE120&lt;0,IF($J120=12,BE120,IF($J120=11,BE120,IF($J120=10,BE120,0)))))</f>
        <v>0</v>
      </c>
      <c r="BE120" s="407">
        <f t="shared" si="823"/>
        <v>0</v>
      </c>
      <c r="BF120" s="404">
        <f>IF(BJ120=0,0,IF(BJ120&lt;0,IF($J120=3,BJ120,IF($J120=2,BJ120,IF($J120=1,BJ120,0)))))</f>
        <v>0</v>
      </c>
      <c r="BG120" s="414">
        <f>IF(BJ120=0,0,IF(BJ120&lt;0,IF($J120=6,BJ120,IF($J120=5,BJ120,IF($J120=4,BJ120,0)))))</f>
        <v>0</v>
      </c>
      <c r="BH120" s="414">
        <f>IF(BJ120=0,0,IF(BJ120&lt;0,IF($J120=9,BJ120,IF($J120=8,BJ120,IF($J120=7,BJ120,0)))))</f>
        <v>0</v>
      </c>
      <c r="BI120" s="406">
        <f>IF(BJ120=0,0,IF(BJ120&lt;0,IF($J120=12,BJ120,IF($J120=11,BJ120,IF($J120=10,BJ120,0)))))</f>
        <v>0</v>
      </c>
      <c r="BJ120" s="407">
        <f t="shared" si="828"/>
        <v>0</v>
      </c>
      <c r="BK120" s="404">
        <f>IF(BO120=0,0,IF(BO120&lt;0,IF($J120=3,BO120,IF($J120=2,BO120,IF($J120=1,BO120,0)))))</f>
        <v>-52</v>
      </c>
      <c r="BL120" s="414">
        <f>IF(BO120=0,0,IF(BO120&lt;0,IF($J120=6,BO120,IF($J120=5,BO120,IF($J120=4,BO120,0)))))</f>
        <v>0</v>
      </c>
      <c r="BM120" s="414">
        <f>IF(BO120=0,0,IF(BO120&lt;0,IF($J120=9,BO120,IF($J120=8,BO120,IF($J120=7,BO120,0)))))</f>
        <v>0</v>
      </c>
      <c r="BN120" s="406">
        <f>IF(BO120=0,0,IF(BO120&lt;0,IF($J120=12,BO120,IF($J120=11,BO120,IF($J120=10,BO120,0)))))</f>
        <v>0</v>
      </c>
      <c r="BO120" s="407">
        <f t="shared" si="833"/>
        <v>-52</v>
      </c>
      <c r="BP120" s="449"/>
      <c r="BQ120" s="413">
        <f>IF(AND(AH120&lt;&gt;0,AH$5=$H120),-$I120*$E120-AH120,IF(BQ$5=$H120,-$I120*$E120*(12-$J120+1)/12,0))</f>
        <v>0</v>
      </c>
      <c r="BR120" s="410">
        <f>IF($H120&lt;&gt;BV$5,0,IF(BV120&lt;0,IF($J120=1,-$E120*$I120/12*3,IF($J120=2,-$E120*$I120/12*2,IF($J120=3,-$E120*$I120/12*1,0)))))+IF(BQ$5&lt;&gt;$H120,0,IF(BQ120&lt;0,IF($J120=1,-$E120*$I120/12*0,IF($J120=2,-$E120*$I120/12*1,IF($J120=3,-$E120*$I120/12*2,IF($J120&gt;=4,-$E120*$I120/12*3,0))))))</f>
        <v>0</v>
      </c>
      <c r="BS120" s="416">
        <f>IF($H120&lt;&gt;BV$5,0,IF(BV120&lt;0,IF(OR($J120=1,$J120=2,$J120=3,$J120=4),-$E120*$I120/12*3,IF($J120=5,-$E120*$I120/12*2,IF($J120=6,-$E120*$I120/12*1,0)))))+IF(BQ$5&lt;&gt;$H120,0,IF(BQ120&lt;0,IF($J120=4,-$E120*$I120/12*0,IF($J120=5,-$E120*$I120/12*1,IF($J120=6,-$E120*$I120/12*2,IF($J120&gt;=7,-$E120*$I120/12*3,0))))))</f>
        <v>0</v>
      </c>
      <c r="BT120" s="416">
        <f>IF($H120&lt;&gt;BV$5,0,IF(BV120&lt;0,IF(OR($J120=1,$J120=2,$J120=3,$J120=4,$J120=5,$J120=6,$J120=7),-$E120*$I120/12*3,IF($J120=8,-$E120*$I120/12*2,IF($J120=9,-$E120*$I120/12*1,0)))))+IF(BQ$5&lt;&gt;$H120,0,IF(BQ120&lt;0,IF($J120=7,-$E120*$I120/12*0,IF($J120=8,-$E120*$I120/12*1,IF($J120=9,-$E120*$I120/12*2,IF($J120&gt;=10,-$E120*$I120/12*3,0))))))</f>
        <v>0</v>
      </c>
      <c r="BU120" s="412">
        <f>IF($H120&lt;&gt;BV$5,0,IF(BV120&lt;0,IF(OR($J120=1,$J120=2,$J120=3,$J120=4,$J120=5,$J120=6,$J120=7,$J120=8,$J120=9,$J120=10),-$E120*$I120/12*3,IF($J120=11,-$E120*$I120/12*2,IF($J120=12,-$E120*$I120/12*1,0)))))+IF(BQ$5&lt;&gt;$H120,0,IF(BQ120&lt;0,IF($J120=10,-$E120*$I120/12*0,IF($J120=11,-$E120*$I120/12*1,IF($J120=12,-$E120*$I120/12*2,0)))))</f>
        <v>0</v>
      </c>
      <c r="BV120" s="413">
        <f>IF(AND(BQ120&lt;&gt;0,BQ$5=$H120),-$I120*$E120-BQ120,IF(BV$5=$H120,-$I120*$E120*(12-$J120+1)/12,0))</f>
        <v>0</v>
      </c>
      <c r="BW120" s="410">
        <f>IF($H120&lt;&gt;CA$5,0,IF(CA120&lt;0,IF($J120=1,-$E120*$I120/12*3,IF($J120=2,-$E120*$I120/12*2,IF($J120=3,-$E120*$I120/12*1,0)))))+IF(BV$5&lt;&gt;$H120,0,IF(BV120&lt;0,IF($J120=1,-$E120*$I120/12*0,IF($J120=2,-$E120*$I120/12*1,IF($J120=3,-$E120*$I120/12*2,IF($J120&gt;=4,-$E120*$I120/12*3,0))))))</f>
        <v>0</v>
      </c>
      <c r="BX120" s="416">
        <f>IF($H120&lt;&gt;CA$5,0,IF(CA120&lt;0,IF(OR($J120=1,$J120=2,$J120=3,$J120=4),-$E120*$I120/12*3,IF($J120=5,-$E120*$I120/12*2,IF($J120=6,-$E120*$I120/12*1,0)))))+IF(BV$5&lt;&gt;$H120,0,IF(BV120&lt;0,IF($J120=4,-$E120*$I120/12*0,IF($J120=5,-$E120*$I120/12*1,IF($J120=6,-$E120*$I120/12*2,IF($J120&gt;=7,-$E120*$I120/12*3,0))))))</f>
        <v>0</v>
      </c>
      <c r="BY120" s="416">
        <f>IF($H120&lt;&gt;CA$5,0,IF(CA120&lt;0,IF(OR($J120=1,$J120=2,$J120=3,$J120=4,$J120=5,$J120=6,$J120=7),-$E120*$I120/12*3,IF($J120=8,-$E120*$I120/12*2,IF($J120=9,-$E120*$I120/12*1,0)))))+IF(BV$5&lt;&gt;$H120,0,IF(BV120&lt;0,IF($J120=7,-$E120*$I120/12*0,IF($J120=8,-$E120*$I120/12*1,IF($J120=9,-$E120*$I120/12*2,IF($J120&gt;=10,-$E120*$I120/12*3,0))))))</f>
        <v>0</v>
      </c>
      <c r="BZ120" s="412">
        <f>IF($H120&lt;&gt;CA$5,0,IF(CA120&lt;0,IF(OR($J120=1,$J120=2,$J120=3,$J120=4,$J120=5,$J120=6,$J120=7,$J120=8,$J120=9,$J120=10),-$E120*$I120/12*3,IF($J120=11,-$E120*$I120/12*2,IF($J120=12,-$E120*$I120/12*1,0)))))+IF(BV$5&lt;&gt;$H120,0,IF(BV120&lt;0,IF($J120=10,-$E120*$I120/12*0,IF($J120=11,-$E120*$I120/12*1,IF($J120=12,-$E120*$I120/12*2,0)))))</f>
        <v>0</v>
      </c>
      <c r="CA120" s="413">
        <f>IF(AND(BV120&lt;&gt;0,BV$5=$H120),-$I120*$E120-BV120,IF(CA$5=$H120,-$I120*$E120*(12-$J120+1)/12,0))</f>
        <v>0</v>
      </c>
      <c r="CB120" s="410">
        <f>IF($H120&lt;&gt;CF$5,0,IF(CF120&lt;0,IF($J120=1,-$E120*$I120/12*3,IF($J120=2,-$E120*$I120/12*2,IF($J120=3,-$E120*$I120/12*1,0)))))+IF(CA$5&lt;&gt;$H120,0,IF(CA120&lt;0,IF($J120=1,-$E120*$I120/12*0,IF($J120=2,-$E120*$I120/12*1,IF($J120=3,-$E120*$I120/12*2,IF($J120&gt;=4,-$E120*$I120/12*3,0))))))</f>
        <v>0</v>
      </c>
      <c r="CC120" s="416">
        <f>IF($H120&lt;&gt;CF$5,0,IF(CF120&lt;0,IF(OR($J120=1,$J120=2,$J120=3,$J120=4),-$E120*$I120/12*3,IF($J120=5,-$E120*$I120/12*2,IF($J120=6,-$E120*$I120/12*1,0)))))+IF(CA$5&lt;&gt;$H120,0,IF(CA120&lt;0,IF($J120=4,-$E120*$I120/12*0,IF($J120=5,-$E120*$I120/12*1,IF($J120=6,-$E120*$I120/12*2,IF($J120&gt;=7,-$E120*$I120/12*3,0))))))</f>
        <v>0</v>
      </c>
      <c r="CD120" s="416">
        <f>IF($H120&lt;&gt;CF$5,0,IF(CF120&lt;0,IF(OR($J120=1,$J120=2,$J120=3,$J120=4,$J120=5,$J120=6,$J120=7),-$E120*$I120/12*3,IF($J120=8,-$E120*$I120/12*2,IF($J120=9,-$E120*$I120/12*1,0)))))+IF(CA$5&lt;&gt;$H120,0,IF(CA120&lt;0,IF($J120=7,-$E120*$I120/12*0,IF($J120=8,-$E120*$I120/12*1,IF($J120=9,-$E120*$I120/12*2,IF($J120&gt;=10,-$E120*$I120/12*3,0))))))</f>
        <v>0</v>
      </c>
      <c r="CE120" s="412">
        <f>IF($H120&lt;&gt;CF$5,0,IF(CF120&lt;0,IF(OR($J120=1,$J120=2,$J120=3,$J120=4,$J120=5,$J120=6,$J120=7,$J120=8,$J120=9,$J120=10),-$E120*$I120/12*3,IF($J120=11,-$E120*$I120/12*2,IF($J120=12,-$E120*$I120/12*1,0)))))+IF(CA$5&lt;&gt;$H120,0,IF(CA120&lt;0,IF($J120=10,-$E120*$I120/12*0,IF($J120=11,-$E120*$I120/12*1,IF($J120=12,-$E120*$I120/12*2,0)))))</f>
        <v>0</v>
      </c>
      <c r="CF120" s="413">
        <f>IF(AND(CA120&lt;&gt;0,CA$5=$H120),-$I120*$E120-CA120,IF(CF$5=$H120,-$I120*$E120*(12-$J120+1)/12,0))</f>
        <v>0</v>
      </c>
      <c r="CG120" s="410">
        <f>IF($H120&lt;&gt;CK$5,0,IF(CK120&lt;0,IF($J120=1,-$E120*$I120/12*3,IF($J120=2,-$E120*$I120/12*2,IF($J120=3,-$E120*$I120/12*1,0)))))+IF(CF$5&lt;&gt;$H120,0,IF(CF120&lt;0,IF($J120=1,-$E120*$I120/12*0,IF($J120=2,-$E120*$I120/12*1,IF($J120=3,-$E120*$I120/12*2,IF($J120&gt;=4,-$E120*$I120/12*3,0))))))</f>
        <v>0</v>
      </c>
      <c r="CH120" s="416">
        <f>IF($H120&lt;&gt;CK$5,0,IF(CK120&lt;0,IF(OR($J120=1,$J120=2,$J120=3,$J120=4),-$E120*$I120/12*3,IF($J120=5,-$E120*$I120/12*2,IF($J120=6,-$E120*$I120/12*1,0)))))+IF(CF$5&lt;&gt;$H120,0,IF(CF120&lt;0,IF($J120=4,-$E120*$I120/12*0,IF($J120=5,-$E120*$I120/12*1,IF($J120=6,-$E120*$I120/12*2,IF($J120&gt;=7,-$E120*$I120/12*3,0))))))</f>
        <v>0</v>
      </c>
      <c r="CI120" s="416">
        <f>IF($H120&lt;&gt;CK$5,0,IF(CK120&lt;0,IF(OR($J120=1,$J120=2,$J120=3,$J120=4,$J120=5,$J120=6,$J120=7),-$E120*$I120/12*3,IF($J120=8,-$E120*$I120/12*2,IF($J120=9,-$E120*$I120/12*1,0)))))+IF(CF$5&lt;&gt;$H120,0,IF(CF120&lt;0,IF($J120=7,-$E120*$I120/12*0,IF($J120=8,-$E120*$I120/12*1,IF($J120=9,-$E120*$I120/12*2,IF($J120&gt;=10,-$E120*$I120/12*3,0))))))</f>
        <v>0</v>
      </c>
      <c r="CJ120" s="412">
        <f>IF($H120&lt;&gt;CK$5,0,IF(CK120&lt;0,IF(OR($J120=1,$J120=2,$J120=3,$J120=4,$J120=5,$J120=6,$J120=7,$J120=8,$J120=9,$J120=10),-$E120*$I120/12*3,IF($J120=11,-$E120*$I120/12*2,IF($J120=12,-$E120*$I120/12*1,0)))))+IF(CF$5&lt;&gt;$H120,0,IF(CF120&lt;0,IF($J120=10,-$E120*$I120/12*0,IF($J120=11,-$E120*$I120/12*1,IF($J120=12,-$E120*$I120/12*2,0)))))</f>
        <v>0</v>
      </c>
      <c r="CK120" s="413">
        <f>IF(AND(CF120&lt;&gt;0,CF$5=$H120),-$I120*$E120-CF120,IF(CK$5=$H120,-$I120*$E120*(12-$J120+1)/12,0))</f>
        <v>0</v>
      </c>
      <c r="CL120" s="410">
        <f>IF($H120&lt;&gt;CP$5,0,IF(CP120&lt;0,IF($J120=1,-$E120*$I120/12*3,IF($J120=2,-$E120*$I120/12*2,IF($J120=3,-$E120*$I120/12*1,0)))))+IF(CK$5&lt;&gt;$H120,0,IF(CK120&lt;0,IF($J120=1,-$E120*$I120/12*0,IF($J120=2,-$E120*$I120/12*1,IF($J120=3,-$E120*$I120/12*2,IF($J120&gt;=4,-$E120*$I120/12*3,0))))))</f>
        <v>0</v>
      </c>
      <c r="CM120" s="416">
        <f>IF($H120&lt;&gt;CP$5,0,IF(CP120&lt;0,IF(OR($J120=1,$J120=2,$J120=3,$J120=4),-$E120*$I120/12*3,IF($J120=5,-$E120*$I120/12*2,IF($J120=6,-$E120*$I120/12*1,0)))))+IF(CK$5&lt;&gt;$H120,0,IF(CK120&lt;0,IF($J120=4,-$E120*$I120/12*0,IF($J120=5,-$E120*$I120/12*1,IF($J120=6,-$E120*$I120/12*2,IF($J120&gt;=7,-$E120*$I120/12*3,0))))))</f>
        <v>0</v>
      </c>
      <c r="CN120" s="416">
        <f>IF($H120&lt;&gt;CP$5,0,IF(CP120&lt;0,IF(OR($J120=1,$J120=2,$J120=3,$J120=4,$J120=5,$J120=6,$J120=7),-$E120*$I120/12*3,IF($J120=8,-$E120*$I120/12*2,IF($J120=9,-$E120*$I120/12*1,0)))))+IF(CK$5&lt;&gt;$H120,0,IF(CK120&lt;0,IF($J120=7,-$E120*$I120/12*0,IF($J120=8,-$E120*$I120/12*1,IF($J120=9,-$E120*$I120/12*2,IF($J120&gt;=10,-$E120*$I120/12*3,0))))))</f>
        <v>0</v>
      </c>
      <c r="CO120" s="412">
        <f>IF($H120&lt;&gt;CP$5,0,IF(CP120&lt;0,IF(OR($J120=1,$J120=2,$J120=3,$J120=4,$J120=5,$J120=6,$J120=7,$J120=8,$J120=9,$J120=10),-$E120*$I120/12*3,IF($J120=11,-$E120*$I120/12*2,IF($J120=12,-$E120*$I120/12*1,0)))))+IF(CK$5&lt;&gt;$H120,0,IF(CK120&lt;0,IF($J120=10,-$E120*$I120/12*0,IF($J120=11,-$E120*$I120/12*1,IF($J120=12,-$E120*$I120/12*2,0)))))</f>
        <v>0</v>
      </c>
      <c r="CP120" s="413">
        <f>IF(AND(CK120&lt;&gt;0,CK$5=$H120),-$I120*$E120-CK120,IF(CP$5=$H120,-$I120*$E120*(12-$J120+1)/12,0))</f>
        <v>0</v>
      </c>
      <c r="CQ120" s="410">
        <f>IF($H120&lt;&gt;CU$5,0,IF(CU120&lt;0,IF($J120=1,-$E120*$I120/12*3,IF($J120=2,-$E120*$I120/12*2,IF($J120=3,-$E120*$I120/12*1,0)))))+IF(CP$5&lt;&gt;$H120,0,IF(CP120&lt;0,IF($J120=1,-$E120*$I120/12*0,IF($J120=2,-$E120*$I120/12*1,IF($J120=3,-$E120*$I120/12*2,IF($J120&gt;=4,-$E120*$I120/12*3,0))))))</f>
        <v>0</v>
      </c>
      <c r="CR120" s="416">
        <f>IF($H120&lt;&gt;CU$5,0,IF(CU120&lt;0,IF(OR($J120=1,$J120=2,$J120=3,$J120=4),-$E120*$I120/12*3,IF($J120=5,-$E120*$I120/12*2,IF($J120=6,-$E120*$I120/12*1,0)))))+IF(CP$5&lt;&gt;$H120,0,IF(CP120&lt;0,IF($J120=4,-$E120*$I120/12*0,IF($J120=5,-$E120*$I120/12*1,IF($J120=6,-$E120*$I120/12*2,IF($J120&gt;=7,-$E120*$I120/12*3,0))))))</f>
        <v>0</v>
      </c>
      <c r="CS120" s="416">
        <f>IF($H120&lt;&gt;CU$5,0,IF(CU120&lt;0,IF(OR($J120=1,$J120=2,$J120=3,$J120=4,$J120=5,$J120=6,$J120=7),-$E120*$I120/12*3,IF($J120=8,-$E120*$I120/12*2,IF($J120=9,-$E120*$I120/12*1,0)))))+IF(CP$5&lt;&gt;$H120,0,IF(CP120&lt;0,IF($J120=7,-$E120*$I120/12*0,IF($J120=8,-$E120*$I120/12*1,IF($J120=9,-$E120*$I120/12*2,IF($J120&gt;=10,-$E120*$I120/12*3,0))))))</f>
        <v>0</v>
      </c>
      <c r="CT120" s="412">
        <f>IF($H120&lt;&gt;CU$5,0,IF(CU120&lt;0,IF(OR($J120=1,$J120=2,$J120=3,$J120=4,$J120=5,$J120=6,$J120=7,$J120=8,$J120=9,$J120=10),-$E120*$I120/12*3,IF($J120=11,-$E120*$I120/12*2,IF($J120=12,-$E120*$I120/12*1,0)))))+IF(CP$5&lt;&gt;$H120,0,IF(CP120&lt;0,IF($J120=10,-$E120*$I120/12*0,IF($J120=11,-$E120*$I120/12*1,IF($J120=12,-$E120*$I120/12*2,0)))))</f>
        <v>0</v>
      </c>
      <c r="CU120" s="413">
        <f>IF(AND(CP120&lt;&gt;0,CP$5=$H120),-$I120*$E120-CP120,IF(CU$5=$H120,-$I120*$E120*(12-$J120+1)/12,0))</f>
        <v>0</v>
      </c>
      <c r="CV120" s="410">
        <f>IF($H120&lt;&gt;CZ$5,0,IF(CZ120&lt;0,IF($J120=1,-$E120*$I120/12*3,IF($J120=2,-$E120*$I120/12*2,IF($J120=3,-$E120*$I120/12*1,0)))))+IF(CU$5&lt;&gt;$H120,0,IF(CU120&lt;0,IF($J120=1,-$E120*$I120/12*0,IF($J120=2,-$E120*$I120/12*1,IF($J120=3,-$E120*$I120/12*2,IF($J120&gt;=4,-$E120*$I120/12*3,0))))))</f>
        <v>0</v>
      </c>
      <c r="CW120" s="416">
        <f>IF($H120&lt;&gt;CZ$5,0,IF(CZ120&lt;0,IF(OR($J120=1,$J120=2,$J120=3,$J120=4),-$E120*$I120/12*3,IF($J120=5,-$E120*$I120/12*2,IF($J120=6,-$E120*$I120/12*1,0)))))+IF(CU$5&lt;&gt;$H120,0,IF(CU120&lt;0,IF($J120=4,-$E120*$I120/12*0,IF($J120=5,-$E120*$I120/12*1,IF($J120=6,-$E120*$I120/12*2,IF($J120&gt;=7,-$E120*$I120/12*3,0))))))</f>
        <v>0</v>
      </c>
      <c r="CX120" s="416">
        <f>IF($H120&lt;&gt;CZ$5,0,IF(CZ120&lt;0,IF(OR($J120=1,$J120=2,$J120=3,$J120=4,$J120=5,$J120=6,$J120=7),-$E120*$I120/12*3,IF($J120=8,-$E120*$I120/12*2,IF($J120=9,-$E120*$I120/12*1,0)))))+IF(CU$5&lt;&gt;$H120,0,IF(CU120&lt;0,IF($J120=7,-$E120*$I120/12*0,IF($J120=8,-$E120*$I120/12*1,IF($J120=9,-$E120*$I120/12*2,IF($J120&gt;=10,-$E120*$I120/12*3,0))))))</f>
        <v>0</v>
      </c>
      <c r="CY120" s="412">
        <f>IF($H120&lt;&gt;CZ$5,0,IF(CZ120&lt;0,IF(OR($J120=1,$J120=2,$J120=3,$J120=4,$J120=5,$J120=6,$J120=7,$J120=8,$J120=9,$J120=10),-$E120*$I120/12*3,IF($J120=11,-$E120*$I120/12*2,IF($J120=12,-$E120*$I120/12*1,0)))))+IF(CU$5&lt;&gt;$H120,0,IF(CU120&lt;0,IF($J120=10,-$E120*$I120/12*0,IF($J120=11,-$E120*$I120/12*1,IF($J120=12,-$E120*$I120/12*2,0)))))</f>
        <v>0</v>
      </c>
      <c r="CZ120" s="413">
        <f>IF(AND(CU120&lt;&gt;0,CU$5=$H120),-$I120*$E120-CU120,IF(CZ$5=$H120,-$I120*$E120*(12-$J120+1)/12,0))</f>
        <v>0</v>
      </c>
      <c r="DA120" s="410">
        <f>IF($H120&lt;&gt;DE$5,0,IF(DE120&lt;0,IF($J120=1,-$E120*$I120/12*3,IF($J120=2,-$E120*$I120/12*2,IF($J120=3,-$E120*$I120/12*1,0)))))+IF(CZ$5&lt;&gt;$H120,0,IF(CZ120&lt;0,IF($J120=1,-$E120*$I120/12*0,IF($J120=2,-$E120*$I120/12*1,IF($J120=3,-$E120*$I120/12*2,IF($J120&gt;=4,-$E120*$I120/12*3,0))))))</f>
        <v>0</v>
      </c>
      <c r="DB120" s="416">
        <f>IF($H120&lt;&gt;DE$5,0,IF(DE120&lt;0,IF(OR($J120=1,$J120=2,$J120=3,$J120=4),-$E120*$I120/12*3,IF($J120=5,-$E120*$I120/12*2,IF($J120=6,-$E120*$I120/12*1,0)))))+IF(CZ$5&lt;&gt;$H120,0,IF(CZ120&lt;0,IF($J120=4,-$E120*$I120/12*0,IF($J120=5,-$E120*$I120/12*1,IF($J120=6,-$E120*$I120/12*2,IF($J120&gt;=7,-$E120*$I120/12*3,0))))))</f>
        <v>0</v>
      </c>
      <c r="DC120" s="416">
        <f>IF($H120&lt;&gt;DE$5,0,IF(DE120&lt;0,IF(OR($J120=1,$J120=2,$J120=3,$J120=4,$J120=5,$J120=6,$J120=7),-$E120*$I120/12*3,IF($J120=8,-$E120*$I120/12*2,IF($J120=9,-$E120*$I120/12*1,0)))))+IF(CZ$5&lt;&gt;$H120,0,IF(CZ120&lt;0,IF($J120=7,-$E120*$I120/12*0,IF($J120=8,-$E120*$I120/12*1,IF($J120=9,-$E120*$I120/12*2,IF($J120&gt;=10,-$E120*$I120/12*3,0))))))</f>
        <v>0</v>
      </c>
      <c r="DD120" s="412">
        <f>IF($H120&lt;&gt;DE$5,0,IF(DE120&lt;0,IF(OR($J120=1,$J120=2,$J120=3,$J120=4,$J120=5,$J120=6,$J120=7,$J120=8,$J120=9,$J120=10),-$E120*$I120/12*3,IF($J120=11,-$E120*$I120/12*2,IF($J120=12,-$E120*$I120/12*1,0)))))+IF(CZ$5&lt;&gt;$H120,0,IF(CZ120&lt;0,IF($J120=10,-$E120*$I120/12*0,IF($J120=11,-$E120*$I120/12*1,IF($J120=12,-$E120*$I120/12*2,0)))))</f>
        <v>0</v>
      </c>
      <c r="DE120" s="413">
        <f>IF(AND(CZ120&lt;&gt;0,CZ$5=$H120),-$I120*$E120-CZ120,IF(DE$5=$H120,-$I120*$E120*(12-$J120+1)/12,0))</f>
        <v>0</v>
      </c>
      <c r="DF120" s="410">
        <f>IF($H120&lt;&gt;DJ$5,0,IF(DJ120&lt;0,IF($J120=1,-$E120*$I120/12*3,IF($J120=2,-$E120*$I120/12*2,IF($J120=3,-$E120*$I120/12*1,0)))))+IF(DE$5&lt;&gt;$H120,0,IF(DE120&lt;0,IF($J120=1,-$E120*$I120/12*0,IF($J120=2,-$E120*$I120/12*1,IF($J120=3,-$E120*$I120/12*2,IF($J120&gt;=4,-$E120*$I120/12*3,0))))))</f>
        <v>0</v>
      </c>
      <c r="DG120" s="416">
        <f>IF($H120&lt;&gt;DJ$5,0,IF(DJ120&lt;0,IF(OR($J120=1,$J120=2,$J120=3,$J120=4),-$E120*$I120/12*3,IF($J120=5,-$E120*$I120/12*2,IF($J120=6,-$E120*$I120/12*1,0)))))+IF(DE$5&lt;&gt;$H120,0,IF(DE120&lt;0,IF($J120=4,-$E120*$I120/12*0,IF($J120=5,-$E120*$I120/12*1,IF($J120=6,-$E120*$I120/12*2,IF($J120&gt;=7,-$E120*$I120/12*3,0))))))</f>
        <v>0</v>
      </c>
      <c r="DH120" s="416">
        <f>IF($H120&lt;&gt;DJ$5,0,IF(DJ120&lt;0,IF(OR($J120=1,$J120=2,$J120=3,$J120=4,$J120=5,$J120=6,$J120=7),-$E120*$I120/12*3,IF($J120=8,-$E120*$I120/12*2,IF($J120=9,-$E120*$I120/12*1,0)))))+IF(DE$5&lt;&gt;$H120,0,IF(DE120&lt;0,IF($J120=7,-$E120*$I120/12*0,IF($J120=8,-$E120*$I120/12*1,IF($J120=9,-$E120*$I120/12*2,IF($J120&gt;=10,-$E120*$I120/12*3,0))))))</f>
        <v>0</v>
      </c>
      <c r="DI120" s="412">
        <f>IF($H120&lt;&gt;DJ$5,0,IF(DJ120&lt;0,IF(OR($J120=1,$J120=2,$J120=3,$J120=4,$J120=5,$J120=6,$J120=7,$J120=8,$J120=9,$J120=10),-$E120*$I120/12*3,IF($J120=11,-$E120*$I120/12*2,IF($J120=12,-$E120*$I120/12*1,0)))))+IF(DE$5&lt;&gt;$H120,0,IF(DE120&lt;0,IF($J120=10,-$E120*$I120/12*0,IF($J120=11,-$E120*$I120/12*1,IF($J120=12,-$E120*$I120/12*2,0)))))</f>
        <v>0</v>
      </c>
      <c r="DJ120" s="413">
        <f>IF(AND(DE120&lt;&gt;0,DE$5=$H120),-$I120*$E120-DE120,IF(DJ$5=$H120,-$I120*$E120*(12-$J120+1)/12,0))</f>
        <v>0</v>
      </c>
      <c r="DK120" s="410">
        <f>IF($H120&lt;&gt;DO$5,0,IF(DO120&lt;0,IF($J120=1,-$E120*$I120/12*3,IF($J120=2,-$E120*$I120/12*2,IF($J120=3,-$E120*$I120/12*1,0)))))+IF(DJ$5&lt;&gt;$H120,0,IF(DJ120&lt;0,IF($J120=1,-$E120*$I120/12*0,IF($J120=2,-$E120*$I120/12*1,IF($J120=3,-$E120*$I120/12*2,IF($J120&gt;=4,-$E120*$I120/12*3,0))))))</f>
        <v>0</v>
      </c>
      <c r="DL120" s="416">
        <f>IF($H120&lt;&gt;DO$5,0,IF(DO120&lt;0,IF(OR($J120=1,$J120=2,$J120=3,$J120=4),-$E120*$I120/12*3,IF($J120=5,-$E120*$I120/12*2,IF($J120=6,-$E120*$I120/12*1,0)))))+IF(DJ$5&lt;&gt;$H120,0,IF(DJ120&lt;0,IF($J120=4,-$E120*$I120/12*0,IF($J120=5,-$E120*$I120/12*1,IF($J120=6,-$E120*$I120/12*2,IF($J120&gt;=7,-$E120*$I120/12*3,0))))))</f>
        <v>0</v>
      </c>
      <c r="DM120" s="416">
        <f>IF($H120&lt;&gt;DO$5,0,IF(DO120&lt;0,IF(OR($J120=1,$J120=2,$J120=3,$J120=4,$J120=5,$J120=6,$J120=7),-$E120*$I120/12*3,IF($J120=8,-$E120*$I120/12*2,IF($J120=9,-$E120*$I120/12*1,0)))))+IF(DJ$5&lt;&gt;$H120,0,IF(DJ120&lt;0,IF($J120=7,-$E120*$I120/12*0,IF($J120=8,-$E120*$I120/12*1,IF($J120=9,-$E120*$I120/12*2,IF($J120&gt;=10,-$E120*$I120/12*3,0))))))</f>
        <v>0</v>
      </c>
      <c r="DN120" s="412">
        <f>IF($H120&lt;&gt;DO$5,0,IF(DO120&lt;0,IF(OR($J120=1,$J120=2,$J120=3,$J120=4,$J120=5,$J120=6,$J120=7,$J120=8,$J120=9,$J120=10),-$E120*$I120/12*3,IF($J120=11,-$E120*$I120/12*2,IF($J120=12,-$E120*$I120/12*1,0)))))+IF(DJ$5&lt;&gt;$H120,0,IF(DJ120&lt;0,IF($J120=10,-$E120*$I120/12*0,IF($J120=11,-$E120*$I120/12*1,IF($J120=12,-$E120*$I120/12*2,0)))))</f>
        <v>0</v>
      </c>
      <c r="DO120" s="413">
        <f>IF(AND(DJ120&lt;&gt;0,DJ$5=$H120),-$I120*$E120-DJ120,IF(DO$5=$H120,-$I120*$E120*(12-$J120+1)/12,0))</f>
        <v>0</v>
      </c>
      <c r="DP120" s="410">
        <f>IF($H120&lt;&gt;DT$5,0,IF(DT120&lt;0,IF($J120=1,-$E120*$I120/12*3,IF($J120=2,-$E120*$I120/12*2,IF($J120=3,-$E120*$I120/12*1,0)))))+IF(DO$5&lt;&gt;$H120,0,IF(DO120&lt;0,IF($J120=1,-$E120*$I120/12*0,IF($J120=2,-$E120*$I120/12*1,IF($J120=3,-$E120*$I120/12*2,IF($J120&gt;=4,-$E120*$I120/12*3,0))))))</f>
        <v>-0.58499999999999996</v>
      </c>
      <c r="DQ120" s="416">
        <f>IF($H120&lt;&gt;DT$5,0,IF(DT120&lt;0,IF(OR($J120=1,$J120=2,$J120=3,$J120=4),-$E120*$I120/12*3,IF($J120=5,-$E120*$I120/12*2,IF($J120=6,-$E120*$I120/12*1,0)))))+IF(DO$5&lt;&gt;$H120,0,IF(DO120&lt;0,IF($J120=4,-$E120*$I120/12*0,IF($J120=5,-$E120*$I120/12*1,IF($J120=6,-$E120*$I120/12*2,IF($J120&gt;=7,-$E120*$I120/12*3,0))))))</f>
        <v>-0.58499999999999996</v>
      </c>
      <c r="DR120" s="416">
        <f>IF($H120&lt;&gt;DT$5,0,IF(DT120&lt;0,IF(OR($J120=1,$J120=2,$J120=3,$J120=4,$J120=5,$J120=6,$J120=7),-$E120*$I120/12*3,IF($J120=8,-$E120*$I120/12*2,IF($J120=9,-$E120*$I120/12*1,0)))))+IF(DO$5&lt;&gt;$H120,0,IF(DO120&lt;0,IF($J120=7,-$E120*$I120/12*0,IF($J120=8,-$E120*$I120/12*1,IF($J120=9,-$E120*$I120/12*2,IF($J120&gt;=10,-$E120*$I120/12*3,0))))))</f>
        <v>-0.58499999999999996</v>
      </c>
      <c r="DS120" s="412">
        <f>IF($H120&lt;&gt;DT$5,0,IF(DT120&lt;0,IF(OR($J120=1,$J120=2,$J120=3,$J120=4,$J120=5,$J120=6,$J120=7,$J120=8,$J120=9,$J120=10),-$E120*$I120/12*3,IF($J120=11,-$E120*$I120/12*2,IF($J120=12,-$E120*$I120/12*1,0)))))+IF(DO$5&lt;&gt;$H120,0,IF(DO120&lt;0,IF($J120=10,-$E120*$I120/12*0,IF($J120=11,-$E120*$I120/12*1,IF($J120=12,-$E120*$I120/12*2,0)))))</f>
        <v>-0.58499999999999996</v>
      </c>
      <c r="DT120" s="413">
        <f>IF(AND(DO120&lt;&gt;0,DO$5=$H120),-$I120*$E120-DO120,IF(DT$5=$H120,-$I120*$E120*(12-$J120+1)/12,0))</f>
        <v>-2.34</v>
      </c>
    </row>
    <row r="121" spans="1:124" ht="12.75" customHeight="1">
      <c r="A121" s="491"/>
      <c r="C121" s="1222"/>
      <c r="D121" s="1222"/>
      <c r="E121" s="1531"/>
      <c r="F121" s="1532"/>
      <c r="G121" s="1532"/>
      <c r="H121" s="610"/>
      <c r="I121" s="1533"/>
      <c r="J121" s="615"/>
      <c r="K121" s="402"/>
      <c r="L121" s="407"/>
      <c r="M121" s="404"/>
      <c r="N121" s="414"/>
      <c r="O121" s="414"/>
      <c r="P121" s="406"/>
      <c r="Q121" s="407"/>
      <c r="R121" s="404"/>
      <c r="S121" s="414"/>
      <c r="T121" s="414"/>
      <c r="U121" s="406"/>
      <c r="V121" s="407"/>
      <c r="W121" s="404"/>
      <c r="X121" s="414"/>
      <c r="Y121" s="414"/>
      <c r="Z121" s="406"/>
      <c r="AA121" s="407"/>
      <c r="AB121" s="404"/>
      <c r="AC121" s="414"/>
      <c r="AD121" s="414"/>
      <c r="AE121" s="406"/>
      <c r="AF121" s="407"/>
      <c r="AG121" s="404"/>
      <c r="AH121" s="414"/>
      <c r="AI121" s="414"/>
      <c r="AJ121" s="406"/>
      <c r="AK121" s="407"/>
      <c r="AL121" s="404"/>
      <c r="AM121" s="414"/>
      <c r="AN121" s="414"/>
      <c r="AO121" s="406"/>
      <c r="AP121" s="407"/>
      <c r="AQ121" s="404"/>
      <c r="AR121" s="414"/>
      <c r="AS121" s="414"/>
      <c r="AT121" s="406"/>
      <c r="AU121" s="407"/>
      <c r="AV121" s="404"/>
      <c r="AW121" s="414"/>
      <c r="AX121" s="414"/>
      <c r="AY121" s="406"/>
      <c r="AZ121" s="407"/>
      <c r="BA121" s="404"/>
      <c r="BB121" s="414"/>
      <c r="BC121" s="414"/>
      <c r="BD121" s="406"/>
      <c r="BE121" s="407"/>
      <c r="BF121" s="404"/>
      <c r="BG121" s="414"/>
      <c r="BH121" s="414"/>
      <c r="BI121" s="406"/>
      <c r="BJ121" s="407"/>
      <c r="BK121" s="404"/>
      <c r="BL121" s="414"/>
      <c r="BM121" s="414"/>
      <c r="BN121" s="406"/>
      <c r="BO121" s="407"/>
      <c r="BP121" s="449"/>
      <c r="BQ121" s="413"/>
      <c r="BR121" s="410"/>
      <c r="BS121" s="416"/>
      <c r="BT121" s="416"/>
      <c r="BU121" s="412"/>
      <c r="BV121" s="413"/>
      <c r="BW121" s="410"/>
      <c r="BX121" s="416"/>
      <c r="BY121" s="416"/>
      <c r="BZ121" s="412"/>
      <c r="CA121" s="413"/>
      <c r="CB121" s="410"/>
      <c r="CC121" s="416"/>
      <c r="CD121" s="416"/>
      <c r="CE121" s="412"/>
      <c r="CF121" s="413"/>
      <c r="CG121" s="410"/>
      <c r="CH121" s="416"/>
      <c r="CI121" s="416"/>
      <c r="CJ121" s="412"/>
      <c r="CK121" s="413"/>
      <c r="CL121" s="410"/>
      <c r="CM121" s="416"/>
      <c r="CN121" s="416"/>
      <c r="CO121" s="412"/>
      <c r="CP121" s="413"/>
      <c r="CQ121" s="410"/>
      <c r="CR121" s="416"/>
      <c r="CS121" s="416"/>
      <c r="CT121" s="412"/>
      <c r="CU121" s="413"/>
      <c r="CV121" s="410"/>
      <c r="CW121" s="416"/>
      <c r="CX121" s="416"/>
      <c r="CY121" s="412"/>
      <c r="CZ121" s="413"/>
      <c r="DA121" s="410"/>
      <c r="DB121" s="416"/>
      <c r="DC121" s="416"/>
      <c r="DD121" s="412"/>
      <c r="DE121" s="413"/>
      <c r="DF121" s="410"/>
      <c r="DG121" s="416"/>
      <c r="DH121" s="416"/>
      <c r="DI121" s="412"/>
      <c r="DJ121" s="413"/>
      <c r="DK121" s="410"/>
      <c r="DL121" s="416"/>
      <c r="DM121" s="416"/>
      <c r="DN121" s="412"/>
      <c r="DO121" s="413"/>
      <c r="DP121" s="410"/>
      <c r="DQ121" s="416"/>
      <c r="DR121" s="416"/>
      <c r="DS121" s="412"/>
      <c r="DT121" s="413"/>
    </row>
    <row r="122" spans="1:124" ht="12.75" customHeight="1">
      <c r="A122" s="491"/>
      <c r="C122" s="1884" t="s">
        <v>408</v>
      </c>
      <c r="D122" s="559"/>
      <c r="E122" s="1886">
        <f t="shared" ref="E122:E128" si="893">IF(F122=0,G122,F122)</f>
        <v>4.1312249999999997</v>
      </c>
      <c r="F122" s="1532">
        <v>0</v>
      </c>
      <c r="G122" s="1532">
        <f>5.831225-G123</f>
        <v>4.1312249999999997</v>
      </c>
      <c r="H122" s="610">
        <v>2017</v>
      </c>
      <c r="I122" s="1534">
        <v>4.4999999999999998E-2</v>
      </c>
      <c r="J122" s="615">
        <v>10</v>
      </c>
      <c r="K122" s="402"/>
      <c r="L122" s="407">
        <f t="shared" ref="L122:L128" si="894">IF(L$5=$H122,-$E122,0)</f>
        <v>0</v>
      </c>
      <c r="M122" s="404">
        <f t="shared" ref="M122:M128" si="895">IF(Q122=0,0,IF(Q122&lt;0,IF($J122=3,Q122,IF($J122=2,Q122,IF($J122=1,Q122,0)))))</f>
        <v>0</v>
      </c>
      <c r="N122" s="414">
        <f t="shared" ref="N122:N128" si="896">IF(Q122=0,0,IF(Q122&lt;0,IF($J122=6,Q122,IF($J122=5,Q122,IF($J122=4,Q122,0)))))</f>
        <v>0</v>
      </c>
      <c r="O122" s="414">
        <f t="shared" ref="O122:O128" si="897">IF(Q122=0,0,IF(Q122&lt;0,IF($J122=9,Q122,IF($J122=8,Q122,IF($J122=7,Q122,0)))))</f>
        <v>0</v>
      </c>
      <c r="P122" s="406">
        <f t="shared" ref="P122:P128" si="898">IF(Q122=0,0,IF(Q122&lt;0,IF($J122=12,Q122,IF($J122=11,Q122,IF($J122=10,Q122,0)))))</f>
        <v>0</v>
      </c>
      <c r="Q122" s="407">
        <f t="shared" ref="Q122:Q128" si="899">IF(Q$5=$H122,-$E122,0)</f>
        <v>0</v>
      </c>
      <c r="R122" s="404">
        <f t="shared" ref="R122:R128" si="900">IF(V122=0,0,IF(V122&lt;0,IF($J122=3,V122,IF($J122=2,V122,IF($J122=1,V122,0)))))</f>
        <v>0</v>
      </c>
      <c r="S122" s="414">
        <f t="shared" ref="S122:S128" si="901">IF(V122=0,0,IF(V122&lt;0,IF($J122=6,V122,IF($J122=5,V122,IF($J122=4,V122,0)))))</f>
        <v>0</v>
      </c>
      <c r="T122" s="414">
        <f t="shared" ref="T122:T128" si="902">IF(V122=0,0,IF(V122&lt;0,IF($J122=9,V122,IF($J122=8,V122,IF($J122=7,V122,0)))))</f>
        <v>0</v>
      </c>
      <c r="U122" s="406">
        <f t="shared" ref="U122:U128" si="903">IF(V122=0,0,IF(V122&lt;0,IF($J122=12,V122,IF($J122=11,V122,IF($J122=10,V122,0)))))</f>
        <v>0</v>
      </c>
      <c r="V122" s="407">
        <f t="shared" ref="V122:V128" si="904">IF(V$5=$H122,-$E122,0)</f>
        <v>0</v>
      </c>
      <c r="W122" s="404">
        <f t="shared" ref="W122:W128" si="905">IF(AA122=0,0,IF(AA122&lt;0,IF($J122=3,AA122,IF($J122=2,AA122,IF($J122=1,AA122,0)))))</f>
        <v>0</v>
      </c>
      <c r="X122" s="414">
        <f t="shared" ref="X122:X128" si="906">IF(AA122=0,0,IF(AA122&lt;0,IF($J122=6,AA122,IF($J122=5,AA122,IF($J122=4,AA122,0)))))</f>
        <v>0</v>
      </c>
      <c r="Y122" s="414">
        <f t="shared" ref="Y122:Y128" si="907">IF(AA122=0,0,IF(AA122&lt;0,IF($J122=9,AA122,IF($J122=8,AA122,IF($J122=7,AA122,0)))))</f>
        <v>0</v>
      </c>
      <c r="Z122" s="406">
        <f t="shared" ref="Z122:Z128" si="908">IF(AA122=0,0,IF(AA122&lt;0,IF($J122=12,AA122,IF($J122=11,AA122,IF($J122=10,AA122,0)))))</f>
        <v>0</v>
      </c>
      <c r="AA122" s="407">
        <f t="shared" ref="AA122:AA128" si="909">IF(AA$5=$H122,-$E122,0)</f>
        <v>0</v>
      </c>
      <c r="AB122" s="404">
        <f t="shared" ref="AB122:AB128" si="910">IF(AF122=0,0,IF(AF122&lt;0,IF($J122=3,AF122,IF($J122=2,AF122,IF($J122=1,AF122,0)))))</f>
        <v>0</v>
      </c>
      <c r="AC122" s="414">
        <f t="shared" ref="AC122:AC128" si="911">IF(AF122=0,0,IF(AF122&lt;0,IF($J122=6,AF122,IF($J122=5,AF122,IF($J122=4,AF122,0)))))</f>
        <v>0</v>
      </c>
      <c r="AD122" s="414">
        <f t="shared" ref="AD122:AD128" si="912">IF(AF122=0,0,IF(AF122&lt;0,IF($J122=9,AF122,IF($J122=8,AF122,IF($J122=7,AF122,0)))))</f>
        <v>0</v>
      </c>
      <c r="AE122" s="406">
        <f t="shared" ref="AE122:AE128" si="913">IF(AF122=0,0,IF(AF122&lt;0,IF($J122=12,AF122,IF($J122=11,AF122,IF($J122=10,AF122,0)))))</f>
        <v>0</v>
      </c>
      <c r="AF122" s="407">
        <f t="shared" ref="AF122:AF128" si="914">IF(AF$5=$H122,-$E122,0)</f>
        <v>0</v>
      </c>
      <c r="AG122" s="404">
        <f t="shared" ref="AG122:AG128" si="915">IF(AK122=0,0,IF(AK122&lt;0,IF($J122=3,AK122,IF($J122=2,AK122,IF($J122=1,AK122,0)))))</f>
        <v>0</v>
      </c>
      <c r="AH122" s="414">
        <f t="shared" ref="AH122:AH128" si="916">IF(AK122=0,0,IF(AK122&lt;0,IF($J122=6,AK122,IF($J122=5,AK122,IF($J122=4,AK122,0)))))</f>
        <v>0</v>
      </c>
      <c r="AI122" s="414">
        <f t="shared" ref="AI122:AI128" si="917">IF(AK122=0,0,IF(AK122&lt;0,IF($J122=9,AK122,IF($J122=8,AK122,IF($J122=7,AK122,0)))))</f>
        <v>0</v>
      </c>
      <c r="AJ122" s="406">
        <f t="shared" ref="AJ122:AJ128" si="918">IF(AK122=0,0,IF(AK122&lt;0,IF($J122=12,AK122,IF($J122=11,AK122,IF($J122=10,AK122,0)))))</f>
        <v>0</v>
      </c>
      <c r="AK122" s="407">
        <f t="shared" ref="AK122:AK128" si="919">IF(AK$5=$H122,-$E122,0)</f>
        <v>0</v>
      </c>
      <c r="AL122" s="404">
        <f t="shared" ref="AL122:AL128" si="920">IF(AP122=0,0,IF(AP122&lt;0,IF($J122=3,AP122,IF($J122=2,AP122,IF($J122=1,AP122,0)))))</f>
        <v>0</v>
      </c>
      <c r="AM122" s="414">
        <f t="shared" ref="AM122:AM128" si="921">IF(AP122=0,0,IF(AP122&lt;0,IF($J122=6,AP122,IF($J122=5,AP122,IF($J122=4,AP122,0)))))</f>
        <v>0</v>
      </c>
      <c r="AN122" s="414">
        <f t="shared" ref="AN122:AN128" si="922">IF(AP122=0,0,IF(AP122&lt;0,IF($J122=9,AP122,IF($J122=8,AP122,IF($J122=7,AP122,0)))))</f>
        <v>0</v>
      </c>
      <c r="AO122" s="406">
        <f t="shared" ref="AO122:AO128" si="923">IF(AP122=0,0,IF(AP122&lt;0,IF($J122=12,AP122,IF($J122=11,AP122,IF($J122=10,AP122,0)))))</f>
        <v>0</v>
      </c>
      <c r="AP122" s="407">
        <f t="shared" ref="AP122:AP128" si="924">IF(AP$5=$H122,-$E122,0)</f>
        <v>0</v>
      </c>
      <c r="AQ122" s="404">
        <f t="shared" ref="AQ122:AQ128" si="925">IF(AU122=0,0,IF(AU122&lt;0,IF($J122=3,AU122,IF($J122=2,AU122,IF($J122=1,AU122,0)))))</f>
        <v>0</v>
      </c>
      <c r="AR122" s="414">
        <f t="shared" ref="AR122:AR128" si="926">IF(AU122=0,0,IF(AU122&lt;0,IF($J122=6,AU122,IF($J122=5,AU122,IF($J122=4,AU122,0)))))</f>
        <v>0</v>
      </c>
      <c r="AS122" s="414">
        <f t="shared" ref="AS122:AS128" si="927">IF(AU122=0,0,IF(AU122&lt;0,IF($J122=9,AU122,IF($J122=8,AU122,IF($J122=7,AU122,0)))))</f>
        <v>0</v>
      </c>
      <c r="AT122" s="406">
        <f t="shared" ref="AT122:AT128" si="928">IF(AU122=0,0,IF(AU122&lt;0,IF($J122=12,AU122,IF($J122=11,AU122,IF($J122=10,AU122,0)))))</f>
        <v>-4.1312249999999997</v>
      </c>
      <c r="AU122" s="407">
        <f t="shared" ref="AU122:AU128" si="929">IF(AU$5=$H122,-$E122,0)</f>
        <v>-4.1312249999999997</v>
      </c>
      <c r="AV122" s="404">
        <f t="shared" ref="AV122:AV128" si="930">IF(AZ122=0,0,IF(AZ122&lt;0,IF($J122=3,AZ122,IF($J122=2,AZ122,IF($J122=1,AZ122,0)))))</f>
        <v>0</v>
      </c>
      <c r="AW122" s="414">
        <f t="shared" ref="AW122:AW128" si="931">IF(AZ122=0,0,IF(AZ122&lt;0,IF($J122=6,AZ122,IF($J122=5,AZ122,IF($J122=4,AZ122,0)))))</f>
        <v>0</v>
      </c>
      <c r="AX122" s="414">
        <f t="shared" ref="AX122:AX128" si="932">IF(AZ122=0,0,IF(AZ122&lt;0,IF($J122=9,AZ122,IF($J122=8,AZ122,IF($J122=7,AZ122,0)))))</f>
        <v>0</v>
      </c>
      <c r="AY122" s="406">
        <f t="shared" ref="AY122:AY128" si="933">IF(AZ122=0,0,IF(AZ122&lt;0,IF($J122=12,AZ122,IF($J122=11,AZ122,IF($J122=10,AZ122,0)))))</f>
        <v>0</v>
      </c>
      <c r="AZ122" s="407">
        <f t="shared" ref="AZ122:AZ128" si="934">IF(AZ$5=$H122,-$E122,0)</f>
        <v>0</v>
      </c>
      <c r="BA122" s="404">
        <f t="shared" ref="BA122:BA128" si="935">IF(BE122=0,0,IF(BE122&lt;0,IF($J122=3,BE122,IF($J122=2,BE122,IF($J122=1,BE122,0)))))</f>
        <v>0</v>
      </c>
      <c r="BB122" s="414">
        <f t="shared" ref="BB122:BB128" si="936">IF(BE122=0,0,IF(BE122&lt;0,IF($J122=6,BE122,IF($J122=5,BE122,IF($J122=4,BE122,0)))))</f>
        <v>0</v>
      </c>
      <c r="BC122" s="414">
        <f t="shared" ref="BC122:BC128" si="937">IF(BE122=0,0,IF(BE122&lt;0,IF($J122=9,BE122,IF($J122=8,BE122,IF($J122=7,BE122,0)))))</f>
        <v>0</v>
      </c>
      <c r="BD122" s="406">
        <f t="shared" ref="BD122:BD128" si="938">IF(BE122=0,0,IF(BE122&lt;0,IF($J122=12,BE122,IF($J122=11,BE122,IF($J122=10,BE122,0)))))</f>
        <v>0</v>
      </c>
      <c r="BE122" s="407">
        <f t="shared" ref="BE122:BE128" si="939">IF(BE$5=$H122,-$E122,0)</f>
        <v>0</v>
      </c>
      <c r="BF122" s="404">
        <f t="shared" ref="BF122:BF128" si="940">IF(BJ122=0,0,IF(BJ122&lt;0,IF($J122=3,BJ122,IF($J122=2,BJ122,IF($J122=1,BJ122,0)))))</f>
        <v>0</v>
      </c>
      <c r="BG122" s="414">
        <f t="shared" ref="BG122:BG128" si="941">IF(BJ122=0,0,IF(BJ122&lt;0,IF($J122=6,BJ122,IF($J122=5,BJ122,IF($J122=4,BJ122,0)))))</f>
        <v>0</v>
      </c>
      <c r="BH122" s="414">
        <f t="shared" ref="BH122:BH128" si="942">IF(BJ122=0,0,IF(BJ122&lt;0,IF($J122=9,BJ122,IF($J122=8,BJ122,IF($J122=7,BJ122,0)))))</f>
        <v>0</v>
      </c>
      <c r="BI122" s="406">
        <f t="shared" ref="BI122:BI128" si="943">IF(BJ122=0,0,IF(BJ122&lt;0,IF($J122=12,BJ122,IF($J122=11,BJ122,IF($J122=10,BJ122,0)))))</f>
        <v>0</v>
      </c>
      <c r="BJ122" s="407">
        <f t="shared" ref="BJ122:BJ128" si="944">IF(BJ$5=$H122,-$E122,0)</f>
        <v>0</v>
      </c>
      <c r="BK122" s="404">
        <f t="shared" ref="BK122:BK128" si="945">IF(BO122=0,0,IF(BO122&lt;0,IF($J122=3,BO122,IF($J122=2,BO122,IF($J122=1,BO122,0)))))</f>
        <v>0</v>
      </c>
      <c r="BL122" s="414">
        <f t="shared" ref="BL122:BL128" si="946">IF(BO122=0,0,IF(BO122&lt;0,IF($J122=6,BO122,IF($J122=5,BO122,IF($J122=4,BO122,0)))))</f>
        <v>0</v>
      </c>
      <c r="BM122" s="414">
        <f t="shared" ref="BM122:BM128" si="947">IF(BO122=0,0,IF(BO122&lt;0,IF($J122=9,BO122,IF($J122=8,BO122,IF($J122=7,BO122,0)))))</f>
        <v>0</v>
      </c>
      <c r="BN122" s="406">
        <f t="shared" ref="BN122:BN128" si="948">IF(BO122=0,0,IF(BO122&lt;0,IF($J122=12,BO122,IF($J122=11,BO122,IF($J122=10,BO122,0)))))</f>
        <v>0</v>
      </c>
      <c r="BO122" s="407">
        <f t="shared" ref="BO122:BO128" si="949">IF(BO$5=$H122,-$E122,0)</f>
        <v>0</v>
      </c>
      <c r="BP122" s="449"/>
      <c r="BQ122" s="413">
        <f t="shared" ref="BQ122:BQ128" si="950">IF(AND(AH122&lt;&gt;0,AH$5=$H122),-$I122*$E122-AH122,IF(BQ$5=$H122,-$I122*$E122*(12-$J122+1)/12,0))</f>
        <v>0</v>
      </c>
      <c r="BR122" s="410">
        <f t="shared" ref="BR122:BR128" si="951">IF($H122&lt;&gt;BV$5,0,IF(BV122&lt;0,IF($J122=1,-$E122*$I122/12*3,IF($J122=2,-$E122*$I122/12*2,IF($J122=3,-$E122*$I122/12*1,0)))))+IF(BQ$5&lt;&gt;$H122,0,IF(BQ122&lt;0,IF($J122=1,-$E122*$I122/12*0,IF($J122=2,-$E122*$I122/12*1,IF($J122=3,-$E122*$I122/12*2,IF($J122&gt;=4,-$E122*$I122/12*3,0))))))</f>
        <v>0</v>
      </c>
      <c r="BS122" s="416">
        <f t="shared" ref="BS122:BS128" si="952">IF($H122&lt;&gt;BV$5,0,IF(BV122&lt;0,IF(OR($J122=1,$J122=2,$J122=3,$J122=4),-$E122*$I122/12*3,IF($J122=5,-$E122*$I122/12*2,IF($J122=6,-$E122*$I122/12*1,0)))))+IF(BQ$5&lt;&gt;$H122,0,IF(BQ122&lt;0,IF($J122=4,-$E122*$I122/12*0,IF($J122=5,-$E122*$I122/12*1,IF($J122=6,-$E122*$I122/12*2,IF($J122&gt;=7,-$E122*$I122/12*3,0))))))</f>
        <v>0</v>
      </c>
      <c r="BT122" s="416">
        <f t="shared" ref="BT122:BT128" si="953">IF($H122&lt;&gt;BV$5,0,IF(BV122&lt;0,IF(OR($J122=1,$J122=2,$J122=3,$J122=4,$J122=5,$J122=6,$J122=7),-$E122*$I122/12*3,IF($J122=8,-$E122*$I122/12*2,IF($J122=9,-$E122*$I122/12*1,0)))))+IF(BQ$5&lt;&gt;$H122,0,IF(BQ122&lt;0,IF($J122=7,-$E122*$I122/12*0,IF($J122=8,-$E122*$I122/12*1,IF($J122=9,-$E122*$I122/12*2,IF($J122&gt;=10,-$E122*$I122/12*3,0))))))</f>
        <v>0</v>
      </c>
      <c r="BU122" s="412">
        <f t="shared" ref="BU122:BU128" si="954">IF($H122&lt;&gt;BV$5,0,IF(BV122&lt;0,IF(OR($J122=1,$J122=2,$J122=3,$J122=4,$J122=5,$J122=6,$J122=7,$J122=8,$J122=9,$J122=10),-$E122*$I122/12*3,IF($J122=11,-$E122*$I122/12*2,IF($J122=12,-$E122*$I122/12*1,0)))))+IF(BQ$5&lt;&gt;$H122,0,IF(BQ122&lt;0,IF($J122=10,-$E122*$I122/12*0,IF($J122=11,-$E122*$I122/12*1,IF($J122=12,-$E122*$I122/12*2,0)))))</f>
        <v>0</v>
      </c>
      <c r="BV122" s="413">
        <f t="shared" ref="BV122:BV128" si="955">IF(AND(BQ122&lt;&gt;0,BQ$5=$H122),-$I122*$E122-BQ122,IF(BV$5=$H122,-$I122*$E122*(12-$J122+1)/12,0))</f>
        <v>0</v>
      </c>
      <c r="BW122" s="410">
        <f t="shared" ref="BW122:BW128" si="956">IF($H122&lt;&gt;CA$5,0,IF(CA122&lt;0,IF($J122=1,-$E122*$I122/12*3,IF($J122=2,-$E122*$I122/12*2,IF($J122=3,-$E122*$I122/12*1,0)))))+IF(BV$5&lt;&gt;$H122,0,IF(BV122&lt;0,IF($J122=1,-$E122*$I122/12*0,IF($J122=2,-$E122*$I122/12*1,IF($J122=3,-$E122*$I122/12*2,IF($J122&gt;=4,-$E122*$I122/12*3,0))))))</f>
        <v>0</v>
      </c>
      <c r="BX122" s="416">
        <f t="shared" ref="BX122:BX128" si="957">IF($H122&lt;&gt;CA$5,0,IF(CA122&lt;0,IF(OR($J122=1,$J122=2,$J122=3,$J122=4),-$E122*$I122/12*3,IF($J122=5,-$E122*$I122/12*2,IF($J122=6,-$E122*$I122/12*1,0)))))+IF(BV$5&lt;&gt;$H122,0,IF(BV122&lt;0,IF($J122=4,-$E122*$I122/12*0,IF($J122=5,-$E122*$I122/12*1,IF($J122=6,-$E122*$I122/12*2,IF($J122&gt;=7,-$E122*$I122/12*3,0))))))</f>
        <v>0</v>
      </c>
      <c r="BY122" s="416">
        <f t="shared" ref="BY122:BY128" si="958">IF($H122&lt;&gt;CA$5,0,IF(CA122&lt;0,IF(OR($J122=1,$J122=2,$J122=3,$J122=4,$J122=5,$J122=6,$J122=7),-$E122*$I122/12*3,IF($J122=8,-$E122*$I122/12*2,IF($J122=9,-$E122*$I122/12*1,0)))))+IF(BV$5&lt;&gt;$H122,0,IF(BV122&lt;0,IF($J122=7,-$E122*$I122/12*0,IF($J122=8,-$E122*$I122/12*1,IF($J122=9,-$E122*$I122/12*2,IF($J122&gt;=10,-$E122*$I122/12*3,0))))))</f>
        <v>0</v>
      </c>
      <c r="BZ122" s="412">
        <f t="shared" ref="BZ122:BZ128" si="959">IF($H122&lt;&gt;CA$5,0,IF(CA122&lt;0,IF(OR($J122=1,$J122=2,$J122=3,$J122=4,$J122=5,$J122=6,$J122=7,$J122=8,$J122=9,$J122=10),-$E122*$I122/12*3,IF($J122=11,-$E122*$I122/12*2,IF($J122=12,-$E122*$I122/12*1,0)))))+IF(BV$5&lt;&gt;$H122,0,IF(BV122&lt;0,IF($J122=10,-$E122*$I122/12*0,IF($J122=11,-$E122*$I122/12*1,IF($J122=12,-$E122*$I122/12*2,0)))))</f>
        <v>0</v>
      </c>
      <c r="CA122" s="413">
        <f t="shared" ref="CA122:CA128" si="960">IF(AND(BV122&lt;&gt;0,BV$5=$H122),-$I122*$E122-BV122,IF(CA$5=$H122,-$I122*$E122*(12-$J122+1)/12,0))</f>
        <v>0</v>
      </c>
      <c r="CB122" s="410">
        <f t="shared" ref="CB122:CB128" si="961">IF($H122&lt;&gt;CF$5,0,IF(CF122&lt;0,IF($J122=1,-$E122*$I122/12*3,IF($J122=2,-$E122*$I122/12*2,IF($J122=3,-$E122*$I122/12*1,0)))))+IF(CA$5&lt;&gt;$H122,0,IF(CA122&lt;0,IF($J122=1,-$E122*$I122/12*0,IF($J122=2,-$E122*$I122/12*1,IF($J122=3,-$E122*$I122/12*2,IF($J122&gt;=4,-$E122*$I122/12*3,0))))))</f>
        <v>0</v>
      </c>
      <c r="CC122" s="416">
        <f t="shared" ref="CC122:CC128" si="962">IF($H122&lt;&gt;CF$5,0,IF(CF122&lt;0,IF(OR($J122=1,$J122=2,$J122=3,$J122=4),-$E122*$I122/12*3,IF($J122=5,-$E122*$I122/12*2,IF($J122=6,-$E122*$I122/12*1,0)))))+IF(CA$5&lt;&gt;$H122,0,IF(CA122&lt;0,IF($J122=4,-$E122*$I122/12*0,IF($J122=5,-$E122*$I122/12*1,IF($J122=6,-$E122*$I122/12*2,IF($J122&gt;=7,-$E122*$I122/12*3,0))))))</f>
        <v>0</v>
      </c>
      <c r="CD122" s="416">
        <f t="shared" ref="CD122:CD128" si="963">IF($H122&lt;&gt;CF$5,0,IF(CF122&lt;0,IF(OR($J122=1,$J122=2,$J122=3,$J122=4,$J122=5,$J122=6,$J122=7),-$E122*$I122/12*3,IF($J122=8,-$E122*$I122/12*2,IF($J122=9,-$E122*$I122/12*1,0)))))+IF(CA$5&lt;&gt;$H122,0,IF(CA122&lt;0,IF($J122=7,-$E122*$I122/12*0,IF($J122=8,-$E122*$I122/12*1,IF($J122=9,-$E122*$I122/12*2,IF($J122&gt;=10,-$E122*$I122/12*3,0))))))</f>
        <v>0</v>
      </c>
      <c r="CE122" s="412">
        <f t="shared" ref="CE122:CE128" si="964">IF($H122&lt;&gt;CF$5,0,IF(CF122&lt;0,IF(OR($J122=1,$J122=2,$J122=3,$J122=4,$J122=5,$J122=6,$J122=7,$J122=8,$J122=9,$J122=10),-$E122*$I122/12*3,IF($J122=11,-$E122*$I122/12*2,IF($J122=12,-$E122*$I122/12*1,0)))))+IF(CA$5&lt;&gt;$H122,0,IF(CA122&lt;0,IF($J122=10,-$E122*$I122/12*0,IF($J122=11,-$E122*$I122/12*1,IF($J122=12,-$E122*$I122/12*2,0)))))</f>
        <v>0</v>
      </c>
      <c r="CF122" s="413">
        <f t="shared" ref="CF122:CF128" si="965">IF(AND(CA122&lt;&gt;0,CA$5=$H122),-$I122*$E122-CA122,IF(CF$5=$H122,-$I122*$E122*(12-$J122+1)/12,0))</f>
        <v>0</v>
      </c>
      <c r="CG122" s="410">
        <f t="shared" ref="CG122:CG128" si="966">IF($H122&lt;&gt;CK$5,0,IF(CK122&lt;0,IF($J122=1,-$E122*$I122/12*3,IF($J122=2,-$E122*$I122/12*2,IF($J122=3,-$E122*$I122/12*1,0)))))+IF(CF$5&lt;&gt;$H122,0,IF(CF122&lt;0,IF($J122=1,-$E122*$I122/12*0,IF($J122=2,-$E122*$I122/12*1,IF($J122=3,-$E122*$I122/12*2,IF($J122&gt;=4,-$E122*$I122/12*3,0))))))</f>
        <v>0</v>
      </c>
      <c r="CH122" s="416">
        <f t="shared" ref="CH122:CH128" si="967">IF($H122&lt;&gt;CK$5,0,IF(CK122&lt;0,IF(OR($J122=1,$J122=2,$J122=3,$J122=4),-$E122*$I122/12*3,IF($J122=5,-$E122*$I122/12*2,IF($J122=6,-$E122*$I122/12*1,0)))))+IF(CF$5&lt;&gt;$H122,0,IF(CF122&lt;0,IF($J122=4,-$E122*$I122/12*0,IF($J122=5,-$E122*$I122/12*1,IF($J122=6,-$E122*$I122/12*2,IF($J122&gt;=7,-$E122*$I122/12*3,0))))))</f>
        <v>0</v>
      </c>
      <c r="CI122" s="416">
        <f t="shared" ref="CI122:CI128" si="968">IF($H122&lt;&gt;CK$5,0,IF(CK122&lt;0,IF(OR($J122=1,$J122=2,$J122=3,$J122=4,$J122=5,$J122=6,$J122=7),-$E122*$I122/12*3,IF($J122=8,-$E122*$I122/12*2,IF($J122=9,-$E122*$I122/12*1,0)))))+IF(CF$5&lt;&gt;$H122,0,IF(CF122&lt;0,IF($J122=7,-$E122*$I122/12*0,IF($J122=8,-$E122*$I122/12*1,IF($J122=9,-$E122*$I122/12*2,IF($J122&gt;=10,-$E122*$I122/12*3,0))))))</f>
        <v>0</v>
      </c>
      <c r="CJ122" s="412">
        <f t="shared" ref="CJ122:CJ128" si="969">IF($H122&lt;&gt;CK$5,0,IF(CK122&lt;0,IF(OR($J122=1,$J122=2,$J122=3,$J122=4,$J122=5,$J122=6,$J122=7,$J122=8,$J122=9,$J122=10),-$E122*$I122/12*3,IF($J122=11,-$E122*$I122/12*2,IF($J122=12,-$E122*$I122/12*1,0)))))+IF(CF$5&lt;&gt;$H122,0,IF(CF122&lt;0,IF($J122=10,-$E122*$I122/12*0,IF($J122=11,-$E122*$I122/12*1,IF($J122=12,-$E122*$I122/12*2,0)))))</f>
        <v>0</v>
      </c>
      <c r="CK122" s="413">
        <f t="shared" ref="CK122:CK128" si="970">IF(AND(CF122&lt;&gt;0,CF$5=$H122),-$I122*$E122-CF122,IF(CK$5=$H122,-$I122*$E122*(12-$J122+1)/12,0))</f>
        <v>0</v>
      </c>
      <c r="CL122" s="410">
        <f t="shared" ref="CL122:CL128" si="971">IF($H122&lt;&gt;CP$5,0,IF(CP122&lt;0,IF($J122=1,-$E122*$I122/12*3,IF($J122=2,-$E122*$I122/12*2,IF($J122=3,-$E122*$I122/12*1,0)))))+IF(CK$5&lt;&gt;$H122,0,IF(CK122&lt;0,IF($J122=1,-$E122*$I122/12*0,IF($J122=2,-$E122*$I122/12*1,IF($J122=3,-$E122*$I122/12*2,IF($J122&gt;=4,-$E122*$I122/12*3,0))))))</f>
        <v>0</v>
      </c>
      <c r="CM122" s="416">
        <f t="shared" ref="CM122:CM128" si="972">IF($H122&lt;&gt;CP$5,0,IF(CP122&lt;0,IF(OR($J122=1,$J122=2,$J122=3,$J122=4),-$E122*$I122/12*3,IF($J122=5,-$E122*$I122/12*2,IF($J122=6,-$E122*$I122/12*1,0)))))+IF(CK$5&lt;&gt;$H122,0,IF(CK122&lt;0,IF($J122=4,-$E122*$I122/12*0,IF($J122=5,-$E122*$I122/12*1,IF($J122=6,-$E122*$I122/12*2,IF($J122&gt;=7,-$E122*$I122/12*3,0))))))</f>
        <v>0</v>
      </c>
      <c r="CN122" s="416">
        <f t="shared" ref="CN122:CN128" si="973">IF($H122&lt;&gt;CP$5,0,IF(CP122&lt;0,IF(OR($J122=1,$J122=2,$J122=3,$J122=4,$J122=5,$J122=6,$J122=7),-$E122*$I122/12*3,IF($J122=8,-$E122*$I122/12*2,IF($J122=9,-$E122*$I122/12*1,0)))))+IF(CK$5&lt;&gt;$H122,0,IF(CK122&lt;0,IF($J122=7,-$E122*$I122/12*0,IF($J122=8,-$E122*$I122/12*1,IF($J122=9,-$E122*$I122/12*2,IF($J122&gt;=10,-$E122*$I122/12*3,0))))))</f>
        <v>0</v>
      </c>
      <c r="CO122" s="412">
        <f t="shared" ref="CO122:CO128" si="974">IF($H122&lt;&gt;CP$5,0,IF(CP122&lt;0,IF(OR($J122=1,$J122=2,$J122=3,$J122=4,$J122=5,$J122=6,$J122=7,$J122=8,$J122=9,$J122=10),-$E122*$I122/12*3,IF($J122=11,-$E122*$I122/12*2,IF($J122=12,-$E122*$I122/12*1,0)))))+IF(CK$5&lt;&gt;$H122,0,IF(CK122&lt;0,IF($J122=10,-$E122*$I122/12*0,IF($J122=11,-$E122*$I122/12*1,IF($J122=12,-$E122*$I122/12*2,0)))))</f>
        <v>0</v>
      </c>
      <c r="CP122" s="413">
        <f t="shared" ref="CP122:CP128" si="975">IF(AND(CK122&lt;&gt;0,CK$5=$H122),-$I122*$E122-CK122,IF(CP$5=$H122,-$I122*$E122*(12-$J122+1)/12,0))</f>
        <v>0</v>
      </c>
      <c r="CQ122" s="410">
        <f t="shared" ref="CQ122:CQ128" si="976">IF($H122&lt;&gt;CU$5,0,IF(CU122&lt;0,IF($J122=1,-$E122*$I122/12*3,IF($J122=2,-$E122*$I122/12*2,IF($J122=3,-$E122*$I122/12*1,0)))))+IF(CP$5&lt;&gt;$H122,0,IF(CP122&lt;0,IF($J122=1,-$E122*$I122/12*0,IF($J122=2,-$E122*$I122/12*1,IF($J122=3,-$E122*$I122/12*2,IF($J122&gt;=4,-$E122*$I122/12*3,0))))))</f>
        <v>0</v>
      </c>
      <c r="CR122" s="416">
        <f t="shared" ref="CR122:CR128" si="977">IF($H122&lt;&gt;CU$5,0,IF(CU122&lt;0,IF(OR($J122=1,$J122=2,$J122=3,$J122=4),-$E122*$I122/12*3,IF($J122=5,-$E122*$I122/12*2,IF($J122=6,-$E122*$I122/12*1,0)))))+IF(CP$5&lt;&gt;$H122,0,IF(CP122&lt;0,IF($J122=4,-$E122*$I122/12*0,IF($J122=5,-$E122*$I122/12*1,IF($J122=6,-$E122*$I122/12*2,IF($J122&gt;=7,-$E122*$I122/12*3,0))))))</f>
        <v>0</v>
      </c>
      <c r="CS122" s="416">
        <f t="shared" ref="CS122:CS128" si="978">IF($H122&lt;&gt;CU$5,0,IF(CU122&lt;0,IF(OR($J122=1,$J122=2,$J122=3,$J122=4,$J122=5,$J122=6,$J122=7),-$E122*$I122/12*3,IF($J122=8,-$E122*$I122/12*2,IF($J122=9,-$E122*$I122/12*1,0)))))+IF(CP$5&lt;&gt;$H122,0,IF(CP122&lt;0,IF($J122=7,-$E122*$I122/12*0,IF($J122=8,-$E122*$I122/12*1,IF($J122=9,-$E122*$I122/12*2,IF($J122&gt;=10,-$E122*$I122/12*3,0))))))</f>
        <v>0</v>
      </c>
      <c r="CT122" s="412">
        <f t="shared" ref="CT122:CT128" si="979">IF($H122&lt;&gt;CU$5,0,IF(CU122&lt;0,IF(OR($J122=1,$J122=2,$J122=3,$J122=4,$J122=5,$J122=6,$J122=7,$J122=8,$J122=9,$J122=10),-$E122*$I122/12*3,IF($J122=11,-$E122*$I122/12*2,IF($J122=12,-$E122*$I122/12*1,0)))))+IF(CP$5&lt;&gt;$H122,0,IF(CP122&lt;0,IF($J122=10,-$E122*$I122/12*0,IF($J122=11,-$E122*$I122/12*1,IF($J122=12,-$E122*$I122/12*2,0)))))</f>
        <v>0</v>
      </c>
      <c r="CU122" s="413">
        <f t="shared" ref="CU122:CU128" si="980">IF(AND(CP122&lt;&gt;0,CP$5=$H122),-$I122*$E122-CP122,IF(CU$5=$H122,-$I122*$E122*(12-$J122+1)/12,0))</f>
        <v>0</v>
      </c>
      <c r="CV122" s="410">
        <f t="shared" ref="CV122:CV128" si="981">IF($H122&lt;&gt;CZ$5,0,IF(CZ122&lt;0,IF($J122=1,-$E122*$I122/12*3,IF($J122=2,-$E122*$I122/12*2,IF($J122=3,-$E122*$I122/12*1,0)))))+IF(CU$5&lt;&gt;$H122,0,IF(CU122&lt;0,IF($J122=1,-$E122*$I122/12*0,IF($J122=2,-$E122*$I122/12*1,IF($J122=3,-$E122*$I122/12*2,IF($J122&gt;=4,-$E122*$I122/12*3,0))))))</f>
        <v>0</v>
      </c>
      <c r="CW122" s="416">
        <f t="shared" ref="CW122:CW128" si="982">IF($H122&lt;&gt;CZ$5,0,IF(CZ122&lt;0,IF(OR($J122=1,$J122=2,$J122=3,$J122=4),-$E122*$I122/12*3,IF($J122=5,-$E122*$I122/12*2,IF($J122=6,-$E122*$I122/12*1,0)))))+IF(CU$5&lt;&gt;$H122,0,IF(CU122&lt;0,IF($J122=4,-$E122*$I122/12*0,IF($J122=5,-$E122*$I122/12*1,IF($J122=6,-$E122*$I122/12*2,IF($J122&gt;=7,-$E122*$I122/12*3,0))))))</f>
        <v>0</v>
      </c>
      <c r="CX122" s="416">
        <f t="shared" ref="CX122:CX128" si="983">IF($H122&lt;&gt;CZ$5,0,IF(CZ122&lt;0,IF(OR($J122=1,$J122=2,$J122=3,$J122=4,$J122=5,$J122=6,$J122=7),-$E122*$I122/12*3,IF($J122=8,-$E122*$I122/12*2,IF($J122=9,-$E122*$I122/12*1,0)))))+IF(CU$5&lt;&gt;$H122,0,IF(CU122&lt;0,IF($J122=7,-$E122*$I122/12*0,IF($J122=8,-$E122*$I122/12*1,IF($J122=9,-$E122*$I122/12*2,IF($J122&gt;=10,-$E122*$I122/12*3,0))))))</f>
        <v>0</v>
      </c>
      <c r="CY122" s="412">
        <f t="shared" ref="CY122:CY128" si="984">IF($H122&lt;&gt;CZ$5,0,IF(CZ122&lt;0,IF(OR($J122=1,$J122=2,$J122=3,$J122=4,$J122=5,$J122=6,$J122=7,$J122=8,$J122=9,$J122=10),-$E122*$I122/12*3,IF($J122=11,-$E122*$I122/12*2,IF($J122=12,-$E122*$I122/12*1,0)))))+IF(CU$5&lt;&gt;$H122,0,IF(CU122&lt;0,IF($J122=10,-$E122*$I122/12*0,IF($J122=11,-$E122*$I122/12*1,IF($J122=12,-$E122*$I122/12*2,0)))))</f>
        <v>-4.6476281249999994E-2</v>
      </c>
      <c r="CZ122" s="413">
        <f t="shared" ref="CZ122:CZ128" si="985">IF(AND(CU122&lt;&gt;0,CU$5=$H122),-$I122*$E122-CU122,IF(CZ$5=$H122,-$I122*$E122*(12-$J122+1)/12,0))</f>
        <v>-4.6476281249999994E-2</v>
      </c>
      <c r="DA122" s="410">
        <f t="shared" ref="DA122:DA128" si="986">IF($H122&lt;&gt;DE$5,0,IF(DE122&lt;0,IF($J122=1,-$E122*$I122/12*3,IF($J122=2,-$E122*$I122/12*2,IF($J122=3,-$E122*$I122/12*1,0)))))+IF(CZ$5&lt;&gt;$H122,0,IF(CZ122&lt;0,IF($J122=1,-$E122*$I122/12*0,IF($J122=2,-$E122*$I122/12*1,IF($J122=3,-$E122*$I122/12*2,IF($J122&gt;=4,-$E122*$I122/12*3,0))))))</f>
        <v>-4.6476281249999994E-2</v>
      </c>
      <c r="DB122" s="416">
        <f t="shared" ref="DB122:DB128" si="987">IF($H122&lt;&gt;DE$5,0,IF(DE122&lt;0,IF(OR($J122=1,$J122=2,$J122=3,$J122=4),-$E122*$I122/12*3,IF($J122=5,-$E122*$I122/12*2,IF($J122=6,-$E122*$I122/12*1,0)))))+IF(CZ$5&lt;&gt;$H122,0,IF(CZ122&lt;0,IF($J122=4,-$E122*$I122/12*0,IF($J122=5,-$E122*$I122/12*1,IF($J122=6,-$E122*$I122/12*2,IF($J122&gt;=7,-$E122*$I122/12*3,0))))))</f>
        <v>-4.6476281249999994E-2</v>
      </c>
      <c r="DC122" s="416">
        <f t="shared" ref="DC122:DC128" si="988">IF($H122&lt;&gt;DE$5,0,IF(DE122&lt;0,IF(OR($J122=1,$J122=2,$J122=3,$J122=4,$J122=5,$J122=6,$J122=7),-$E122*$I122/12*3,IF($J122=8,-$E122*$I122/12*2,IF($J122=9,-$E122*$I122/12*1,0)))))+IF(CZ$5&lt;&gt;$H122,0,IF(CZ122&lt;0,IF($J122=7,-$E122*$I122/12*0,IF($J122=8,-$E122*$I122/12*1,IF($J122=9,-$E122*$I122/12*2,IF($J122&gt;=10,-$E122*$I122/12*3,0))))))</f>
        <v>-4.6476281249999994E-2</v>
      </c>
      <c r="DD122" s="412">
        <f t="shared" ref="DD122:DD128" si="989">IF($H122&lt;&gt;DE$5,0,IF(DE122&lt;0,IF(OR($J122=1,$J122=2,$J122=3,$J122=4,$J122=5,$J122=6,$J122=7,$J122=8,$J122=9,$J122=10),-$E122*$I122/12*3,IF($J122=11,-$E122*$I122/12*2,IF($J122=12,-$E122*$I122/12*1,0)))))+IF(CZ$5&lt;&gt;$H122,0,IF(CZ122&lt;0,IF($J122=10,-$E122*$I122/12*0,IF($J122=11,-$E122*$I122/12*1,IF($J122=12,-$E122*$I122/12*2,0)))))</f>
        <v>0</v>
      </c>
      <c r="DE122" s="413">
        <f t="shared" ref="DE122:DE128" si="990">IF(AND(CZ122&lt;&gt;0,CZ$5=$H122),-$I122*$E122-CZ122,IF(DE$5=$H122,-$I122*$E122*(12-$J122+1)/12,0))</f>
        <v>-0.13942884374999998</v>
      </c>
      <c r="DF122" s="410">
        <f t="shared" ref="DF122:DF128" si="991">IF($H122&lt;&gt;DJ$5,0,IF(DJ122&lt;0,IF($J122=1,-$E122*$I122/12*3,IF($J122=2,-$E122*$I122/12*2,IF($J122=3,-$E122*$I122/12*1,0)))))+IF(DE$5&lt;&gt;$H122,0,IF(DE122&lt;0,IF($J122=1,-$E122*$I122/12*0,IF($J122=2,-$E122*$I122/12*1,IF($J122=3,-$E122*$I122/12*2,IF($J122&gt;=4,-$E122*$I122/12*3,0))))))</f>
        <v>0</v>
      </c>
      <c r="DG122" s="416">
        <f t="shared" ref="DG122:DG128" si="992">IF($H122&lt;&gt;DJ$5,0,IF(DJ122&lt;0,IF(OR($J122=1,$J122=2,$J122=3,$J122=4),-$E122*$I122/12*3,IF($J122=5,-$E122*$I122/12*2,IF($J122=6,-$E122*$I122/12*1,0)))))+IF(DE$5&lt;&gt;$H122,0,IF(DE122&lt;0,IF($J122=4,-$E122*$I122/12*0,IF($J122=5,-$E122*$I122/12*1,IF($J122=6,-$E122*$I122/12*2,IF($J122&gt;=7,-$E122*$I122/12*3,0))))))</f>
        <v>0</v>
      </c>
      <c r="DH122" s="416">
        <f t="shared" ref="DH122:DH128" si="993">IF($H122&lt;&gt;DJ$5,0,IF(DJ122&lt;0,IF(OR($J122=1,$J122=2,$J122=3,$J122=4,$J122=5,$J122=6,$J122=7),-$E122*$I122/12*3,IF($J122=8,-$E122*$I122/12*2,IF($J122=9,-$E122*$I122/12*1,0)))))+IF(DE$5&lt;&gt;$H122,0,IF(DE122&lt;0,IF($J122=7,-$E122*$I122/12*0,IF($J122=8,-$E122*$I122/12*1,IF($J122=9,-$E122*$I122/12*2,IF($J122&gt;=10,-$E122*$I122/12*3,0))))))</f>
        <v>0</v>
      </c>
      <c r="DI122" s="412">
        <f t="shared" ref="DI122:DI128" si="994">IF($H122&lt;&gt;DJ$5,0,IF(DJ122&lt;0,IF(OR($J122=1,$J122=2,$J122=3,$J122=4,$J122=5,$J122=6,$J122=7,$J122=8,$J122=9,$J122=10),-$E122*$I122/12*3,IF($J122=11,-$E122*$I122/12*2,IF($J122=12,-$E122*$I122/12*1,0)))))+IF(DE$5&lt;&gt;$H122,0,IF(DE122&lt;0,IF($J122=10,-$E122*$I122/12*0,IF($J122=11,-$E122*$I122/12*1,IF($J122=12,-$E122*$I122/12*2,0)))))</f>
        <v>0</v>
      </c>
      <c r="DJ122" s="413">
        <f t="shared" ref="DJ122:DJ128" si="995">IF(AND(DE122&lt;&gt;0,DE$5=$H122),-$I122*$E122-DE122,IF(DJ$5=$H122,-$I122*$E122*(12-$J122+1)/12,0))</f>
        <v>0</v>
      </c>
      <c r="DK122" s="410">
        <f t="shared" ref="DK122:DK128" si="996">IF($H122&lt;&gt;DO$5,0,IF(DO122&lt;0,IF($J122=1,-$E122*$I122/12*3,IF($J122=2,-$E122*$I122/12*2,IF($J122=3,-$E122*$I122/12*1,0)))))+IF(DJ$5&lt;&gt;$H122,0,IF(DJ122&lt;0,IF($J122=1,-$E122*$I122/12*0,IF($J122=2,-$E122*$I122/12*1,IF($J122=3,-$E122*$I122/12*2,IF($J122&gt;=4,-$E122*$I122/12*3,0))))))</f>
        <v>0</v>
      </c>
      <c r="DL122" s="416">
        <f t="shared" ref="DL122:DL128" si="997">IF($H122&lt;&gt;DO$5,0,IF(DO122&lt;0,IF(OR($J122=1,$J122=2,$J122=3,$J122=4),-$E122*$I122/12*3,IF($J122=5,-$E122*$I122/12*2,IF($J122=6,-$E122*$I122/12*1,0)))))+IF(DJ$5&lt;&gt;$H122,0,IF(DJ122&lt;0,IF($J122=4,-$E122*$I122/12*0,IF($J122=5,-$E122*$I122/12*1,IF($J122=6,-$E122*$I122/12*2,IF($J122&gt;=7,-$E122*$I122/12*3,0))))))</f>
        <v>0</v>
      </c>
      <c r="DM122" s="416">
        <f t="shared" ref="DM122:DM128" si="998">IF($H122&lt;&gt;DO$5,0,IF(DO122&lt;0,IF(OR($J122=1,$J122=2,$J122=3,$J122=4,$J122=5,$J122=6,$J122=7),-$E122*$I122/12*3,IF($J122=8,-$E122*$I122/12*2,IF($J122=9,-$E122*$I122/12*1,0)))))+IF(DJ$5&lt;&gt;$H122,0,IF(DJ122&lt;0,IF($J122=7,-$E122*$I122/12*0,IF($J122=8,-$E122*$I122/12*1,IF($J122=9,-$E122*$I122/12*2,IF($J122&gt;=10,-$E122*$I122/12*3,0))))))</f>
        <v>0</v>
      </c>
      <c r="DN122" s="412">
        <f t="shared" ref="DN122:DN128" si="999">IF($H122&lt;&gt;DO$5,0,IF(DO122&lt;0,IF(OR($J122=1,$J122=2,$J122=3,$J122=4,$J122=5,$J122=6,$J122=7,$J122=8,$J122=9,$J122=10),-$E122*$I122/12*3,IF($J122=11,-$E122*$I122/12*2,IF($J122=12,-$E122*$I122/12*1,0)))))+IF(DJ$5&lt;&gt;$H122,0,IF(DJ122&lt;0,IF($J122=10,-$E122*$I122/12*0,IF($J122=11,-$E122*$I122/12*1,IF($J122=12,-$E122*$I122/12*2,0)))))</f>
        <v>0</v>
      </c>
      <c r="DO122" s="413">
        <f t="shared" ref="DO122:DO128" si="1000">IF(AND(DJ122&lt;&gt;0,DJ$5=$H122),-$I122*$E122-DJ122,IF(DO$5=$H122,-$I122*$E122*(12-$J122+1)/12,0))</f>
        <v>0</v>
      </c>
      <c r="DP122" s="410">
        <f t="shared" ref="DP122:DP128" si="1001">IF($H122&lt;&gt;DT$5,0,IF(DT122&lt;0,IF($J122=1,-$E122*$I122/12*3,IF($J122=2,-$E122*$I122/12*2,IF($J122=3,-$E122*$I122/12*1,0)))))+IF(DO$5&lt;&gt;$H122,0,IF(DO122&lt;0,IF($J122=1,-$E122*$I122/12*0,IF($J122=2,-$E122*$I122/12*1,IF($J122=3,-$E122*$I122/12*2,IF($J122&gt;=4,-$E122*$I122/12*3,0))))))</f>
        <v>0</v>
      </c>
      <c r="DQ122" s="416">
        <f t="shared" ref="DQ122:DQ128" si="1002">IF($H122&lt;&gt;DT$5,0,IF(DT122&lt;0,IF(OR($J122=1,$J122=2,$J122=3,$J122=4),-$E122*$I122/12*3,IF($J122=5,-$E122*$I122/12*2,IF($J122=6,-$E122*$I122/12*1,0)))))+IF(DO$5&lt;&gt;$H122,0,IF(DO122&lt;0,IF($J122=4,-$E122*$I122/12*0,IF($J122=5,-$E122*$I122/12*1,IF($J122=6,-$E122*$I122/12*2,IF($J122&gt;=7,-$E122*$I122/12*3,0))))))</f>
        <v>0</v>
      </c>
      <c r="DR122" s="416">
        <f t="shared" ref="DR122:DR128" si="1003">IF($H122&lt;&gt;DT$5,0,IF(DT122&lt;0,IF(OR($J122=1,$J122=2,$J122=3,$J122=4,$J122=5,$J122=6,$J122=7),-$E122*$I122/12*3,IF($J122=8,-$E122*$I122/12*2,IF($J122=9,-$E122*$I122/12*1,0)))))+IF(DO$5&lt;&gt;$H122,0,IF(DO122&lt;0,IF($J122=7,-$E122*$I122/12*0,IF($J122=8,-$E122*$I122/12*1,IF($J122=9,-$E122*$I122/12*2,IF($J122&gt;=10,-$E122*$I122/12*3,0))))))</f>
        <v>0</v>
      </c>
      <c r="DS122" s="412">
        <f t="shared" ref="DS122:DS128" si="1004">IF($H122&lt;&gt;DT$5,0,IF(DT122&lt;0,IF(OR($J122=1,$J122=2,$J122=3,$J122=4,$J122=5,$J122=6,$J122=7,$J122=8,$J122=9,$J122=10),-$E122*$I122/12*3,IF($J122=11,-$E122*$I122/12*2,IF($J122=12,-$E122*$I122/12*1,0)))))+IF(DO$5&lt;&gt;$H122,0,IF(DO122&lt;0,IF($J122=10,-$E122*$I122/12*0,IF($J122=11,-$E122*$I122/12*1,IF($J122=12,-$E122*$I122/12*2,0)))))</f>
        <v>0</v>
      </c>
      <c r="DT122" s="413">
        <f t="shared" ref="DT122:DT128" si="1005">IF(AND(DO122&lt;&gt;0,DO$5=$H122),-$I122*$E122-DO122,IF(DT$5=$H122,-$I122*$E122*(12-$J122+1)/12,0))</f>
        <v>0</v>
      </c>
    </row>
    <row r="123" spans="1:124" ht="12.75" customHeight="1">
      <c r="A123" s="491"/>
      <c r="C123" s="1884" t="s">
        <v>408</v>
      </c>
      <c r="D123" s="559"/>
      <c r="E123" s="1886">
        <f t="shared" si="893"/>
        <v>1.7</v>
      </c>
      <c r="F123" s="1532">
        <v>0</v>
      </c>
      <c r="G123" s="1532">
        <v>1.7</v>
      </c>
      <c r="H123" s="610">
        <v>2017</v>
      </c>
      <c r="I123" s="1534">
        <v>4.4999999999999998E-2</v>
      </c>
      <c r="J123" s="615">
        <v>2</v>
      </c>
      <c r="K123" s="402"/>
      <c r="L123" s="407">
        <f t="shared" si="894"/>
        <v>0</v>
      </c>
      <c r="M123" s="404">
        <f t="shared" si="895"/>
        <v>0</v>
      </c>
      <c r="N123" s="414">
        <f t="shared" si="896"/>
        <v>0</v>
      </c>
      <c r="O123" s="414">
        <f t="shared" si="897"/>
        <v>0</v>
      </c>
      <c r="P123" s="406">
        <f t="shared" si="898"/>
        <v>0</v>
      </c>
      <c r="Q123" s="407">
        <f t="shared" si="899"/>
        <v>0</v>
      </c>
      <c r="R123" s="404">
        <f t="shared" si="900"/>
        <v>0</v>
      </c>
      <c r="S123" s="414">
        <f t="shared" si="901"/>
        <v>0</v>
      </c>
      <c r="T123" s="414">
        <f t="shared" si="902"/>
        <v>0</v>
      </c>
      <c r="U123" s="406">
        <f t="shared" si="903"/>
        <v>0</v>
      </c>
      <c r="V123" s="407">
        <f t="shared" si="904"/>
        <v>0</v>
      </c>
      <c r="W123" s="404">
        <f t="shared" si="905"/>
        <v>0</v>
      </c>
      <c r="X123" s="414">
        <f t="shared" si="906"/>
        <v>0</v>
      </c>
      <c r="Y123" s="414">
        <f t="shared" si="907"/>
        <v>0</v>
      </c>
      <c r="Z123" s="406">
        <f t="shared" si="908"/>
        <v>0</v>
      </c>
      <c r="AA123" s="407">
        <f t="shared" si="909"/>
        <v>0</v>
      </c>
      <c r="AB123" s="404">
        <f t="shared" si="910"/>
        <v>0</v>
      </c>
      <c r="AC123" s="414">
        <f t="shared" si="911"/>
        <v>0</v>
      </c>
      <c r="AD123" s="414">
        <f t="shared" si="912"/>
        <v>0</v>
      </c>
      <c r="AE123" s="406">
        <f t="shared" si="913"/>
        <v>0</v>
      </c>
      <c r="AF123" s="407">
        <f t="shared" si="914"/>
        <v>0</v>
      </c>
      <c r="AG123" s="404">
        <f t="shared" si="915"/>
        <v>0</v>
      </c>
      <c r="AH123" s="414">
        <f t="shared" si="916"/>
        <v>0</v>
      </c>
      <c r="AI123" s="414">
        <f t="shared" si="917"/>
        <v>0</v>
      </c>
      <c r="AJ123" s="406">
        <f t="shared" si="918"/>
        <v>0</v>
      </c>
      <c r="AK123" s="407">
        <f t="shared" si="919"/>
        <v>0</v>
      </c>
      <c r="AL123" s="404">
        <f t="shared" si="920"/>
        <v>0</v>
      </c>
      <c r="AM123" s="414">
        <f t="shared" si="921"/>
        <v>0</v>
      </c>
      <c r="AN123" s="414">
        <f t="shared" si="922"/>
        <v>0</v>
      </c>
      <c r="AO123" s="406">
        <f t="shared" si="923"/>
        <v>0</v>
      </c>
      <c r="AP123" s="407">
        <f t="shared" si="924"/>
        <v>0</v>
      </c>
      <c r="AQ123" s="404">
        <f t="shared" si="925"/>
        <v>-1.7</v>
      </c>
      <c r="AR123" s="414">
        <f t="shared" si="926"/>
        <v>0</v>
      </c>
      <c r="AS123" s="414">
        <f t="shared" si="927"/>
        <v>0</v>
      </c>
      <c r="AT123" s="406">
        <f t="shared" si="928"/>
        <v>0</v>
      </c>
      <c r="AU123" s="407">
        <f t="shared" si="929"/>
        <v>-1.7</v>
      </c>
      <c r="AV123" s="404">
        <f t="shared" si="930"/>
        <v>0</v>
      </c>
      <c r="AW123" s="414">
        <f t="shared" si="931"/>
        <v>0</v>
      </c>
      <c r="AX123" s="414">
        <f t="shared" si="932"/>
        <v>0</v>
      </c>
      <c r="AY123" s="406">
        <f t="shared" si="933"/>
        <v>0</v>
      </c>
      <c r="AZ123" s="407">
        <f t="shared" si="934"/>
        <v>0</v>
      </c>
      <c r="BA123" s="404">
        <f t="shared" si="935"/>
        <v>0</v>
      </c>
      <c r="BB123" s="414">
        <f t="shared" si="936"/>
        <v>0</v>
      </c>
      <c r="BC123" s="414">
        <f t="shared" si="937"/>
        <v>0</v>
      </c>
      <c r="BD123" s="406">
        <f t="shared" si="938"/>
        <v>0</v>
      </c>
      <c r="BE123" s="407">
        <f t="shared" si="939"/>
        <v>0</v>
      </c>
      <c r="BF123" s="404">
        <f t="shared" si="940"/>
        <v>0</v>
      </c>
      <c r="BG123" s="414">
        <f t="shared" si="941"/>
        <v>0</v>
      </c>
      <c r="BH123" s="414">
        <f t="shared" si="942"/>
        <v>0</v>
      </c>
      <c r="BI123" s="406">
        <f t="shared" si="943"/>
        <v>0</v>
      </c>
      <c r="BJ123" s="407">
        <f t="shared" si="944"/>
        <v>0</v>
      </c>
      <c r="BK123" s="404">
        <f t="shared" si="945"/>
        <v>0</v>
      </c>
      <c r="BL123" s="414">
        <f t="shared" si="946"/>
        <v>0</v>
      </c>
      <c r="BM123" s="414">
        <f t="shared" si="947"/>
        <v>0</v>
      </c>
      <c r="BN123" s="406">
        <f t="shared" si="948"/>
        <v>0</v>
      </c>
      <c r="BO123" s="407">
        <f t="shared" si="949"/>
        <v>0</v>
      </c>
      <c r="BP123" s="449"/>
      <c r="BQ123" s="413">
        <f t="shared" si="950"/>
        <v>0</v>
      </c>
      <c r="BR123" s="410">
        <f t="shared" si="951"/>
        <v>0</v>
      </c>
      <c r="BS123" s="416">
        <f t="shared" si="952"/>
        <v>0</v>
      </c>
      <c r="BT123" s="416">
        <f t="shared" si="953"/>
        <v>0</v>
      </c>
      <c r="BU123" s="412">
        <f t="shared" si="954"/>
        <v>0</v>
      </c>
      <c r="BV123" s="413">
        <f t="shared" si="955"/>
        <v>0</v>
      </c>
      <c r="BW123" s="410">
        <f t="shared" si="956"/>
        <v>0</v>
      </c>
      <c r="BX123" s="416">
        <f t="shared" si="957"/>
        <v>0</v>
      </c>
      <c r="BY123" s="416">
        <f t="shared" si="958"/>
        <v>0</v>
      </c>
      <c r="BZ123" s="412">
        <f t="shared" si="959"/>
        <v>0</v>
      </c>
      <c r="CA123" s="413">
        <f t="shared" si="960"/>
        <v>0</v>
      </c>
      <c r="CB123" s="410">
        <f t="shared" si="961"/>
        <v>0</v>
      </c>
      <c r="CC123" s="416">
        <f t="shared" si="962"/>
        <v>0</v>
      </c>
      <c r="CD123" s="416">
        <f t="shared" si="963"/>
        <v>0</v>
      </c>
      <c r="CE123" s="412">
        <f t="shared" si="964"/>
        <v>0</v>
      </c>
      <c r="CF123" s="413">
        <f t="shared" si="965"/>
        <v>0</v>
      </c>
      <c r="CG123" s="410">
        <f t="shared" si="966"/>
        <v>0</v>
      </c>
      <c r="CH123" s="416">
        <f t="shared" si="967"/>
        <v>0</v>
      </c>
      <c r="CI123" s="416">
        <f t="shared" si="968"/>
        <v>0</v>
      </c>
      <c r="CJ123" s="412">
        <f t="shared" si="969"/>
        <v>0</v>
      </c>
      <c r="CK123" s="413">
        <f t="shared" si="970"/>
        <v>0</v>
      </c>
      <c r="CL123" s="410">
        <f t="shared" si="971"/>
        <v>0</v>
      </c>
      <c r="CM123" s="416">
        <f t="shared" si="972"/>
        <v>0</v>
      </c>
      <c r="CN123" s="416">
        <f t="shared" si="973"/>
        <v>0</v>
      </c>
      <c r="CO123" s="412">
        <f t="shared" si="974"/>
        <v>0</v>
      </c>
      <c r="CP123" s="413">
        <f t="shared" si="975"/>
        <v>0</v>
      </c>
      <c r="CQ123" s="410">
        <f t="shared" si="976"/>
        <v>0</v>
      </c>
      <c r="CR123" s="416">
        <f t="shared" si="977"/>
        <v>0</v>
      </c>
      <c r="CS123" s="416">
        <f t="shared" si="978"/>
        <v>0</v>
      </c>
      <c r="CT123" s="412">
        <f t="shared" si="979"/>
        <v>0</v>
      </c>
      <c r="CU123" s="413">
        <f t="shared" si="980"/>
        <v>0</v>
      </c>
      <c r="CV123" s="410">
        <f t="shared" si="981"/>
        <v>-1.2749999999999999E-2</v>
      </c>
      <c r="CW123" s="416">
        <f t="shared" si="982"/>
        <v>-1.9125E-2</v>
      </c>
      <c r="CX123" s="416">
        <f t="shared" si="983"/>
        <v>-1.9125E-2</v>
      </c>
      <c r="CY123" s="412">
        <f t="shared" si="984"/>
        <v>-1.9125E-2</v>
      </c>
      <c r="CZ123" s="413">
        <f t="shared" si="985"/>
        <v>-7.0125000000000007E-2</v>
      </c>
      <c r="DA123" s="410">
        <f t="shared" si="986"/>
        <v>-6.3749999999999996E-3</v>
      </c>
      <c r="DB123" s="416">
        <f t="shared" si="987"/>
        <v>0</v>
      </c>
      <c r="DC123" s="416">
        <f t="shared" si="988"/>
        <v>0</v>
      </c>
      <c r="DD123" s="412">
        <f t="shared" si="989"/>
        <v>0</v>
      </c>
      <c r="DE123" s="413">
        <f t="shared" si="990"/>
        <v>-6.3749999999999918E-3</v>
      </c>
      <c r="DF123" s="410">
        <f t="shared" si="991"/>
        <v>0</v>
      </c>
      <c r="DG123" s="416">
        <f t="shared" si="992"/>
        <v>0</v>
      </c>
      <c r="DH123" s="416">
        <f t="shared" si="993"/>
        <v>0</v>
      </c>
      <c r="DI123" s="412">
        <f t="shared" si="994"/>
        <v>0</v>
      </c>
      <c r="DJ123" s="413">
        <f t="shared" si="995"/>
        <v>0</v>
      </c>
      <c r="DK123" s="410">
        <f t="shared" si="996"/>
        <v>0</v>
      </c>
      <c r="DL123" s="416">
        <f t="shared" si="997"/>
        <v>0</v>
      </c>
      <c r="DM123" s="416">
        <f t="shared" si="998"/>
        <v>0</v>
      </c>
      <c r="DN123" s="412">
        <f t="shared" si="999"/>
        <v>0</v>
      </c>
      <c r="DO123" s="413">
        <f t="shared" si="1000"/>
        <v>0</v>
      </c>
      <c r="DP123" s="410">
        <f t="shared" si="1001"/>
        <v>0</v>
      </c>
      <c r="DQ123" s="416">
        <f t="shared" si="1002"/>
        <v>0</v>
      </c>
      <c r="DR123" s="416">
        <f t="shared" si="1003"/>
        <v>0</v>
      </c>
      <c r="DS123" s="412">
        <f t="shared" si="1004"/>
        <v>0</v>
      </c>
      <c r="DT123" s="413">
        <f t="shared" si="1005"/>
        <v>0</v>
      </c>
    </row>
    <row r="124" spans="1:124" ht="12.75" customHeight="1">
      <c r="A124" s="491"/>
      <c r="C124" s="1884" t="s">
        <v>408</v>
      </c>
      <c r="D124" s="559"/>
      <c r="E124" s="1886">
        <f t="shared" si="893"/>
        <v>7.5597399999999997</v>
      </c>
      <c r="F124" s="1532">
        <v>7.5597399999999997</v>
      </c>
      <c r="G124" s="1532">
        <f>37.379885</f>
        <v>37.379885000000002</v>
      </c>
      <c r="H124" s="610">
        <v>2019</v>
      </c>
      <c r="I124" s="1534">
        <v>4.4999999999999998E-2</v>
      </c>
      <c r="J124" s="615">
        <v>4</v>
      </c>
      <c r="K124" s="402"/>
      <c r="L124" s="407">
        <f t="shared" si="894"/>
        <v>0</v>
      </c>
      <c r="M124" s="404">
        <f t="shared" si="895"/>
        <v>0</v>
      </c>
      <c r="N124" s="414">
        <f t="shared" si="896"/>
        <v>0</v>
      </c>
      <c r="O124" s="414">
        <f t="shared" si="897"/>
        <v>0</v>
      </c>
      <c r="P124" s="406">
        <f t="shared" si="898"/>
        <v>0</v>
      </c>
      <c r="Q124" s="407">
        <f t="shared" si="899"/>
        <v>0</v>
      </c>
      <c r="R124" s="404">
        <f t="shared" si="900"/>
        <v>0</v>
      </c>
      <c r="S124" s="414">
        <f t="shared" si="901"/>
        <v>0</v>
      </c>
      <c r="T124" s="414">
        <f t="shared" si="902"/>
        <v>0</v>
      </c>
      <c r="U124" s="406">
        <f t="shared" si="903"/>
        <v>0</v>
      </c>
      <c r="V124" s="407">
        <f t="shared" si="904"/>
        <v>0</v>
      </c>
      <c r="W124" s="404">
        <f t="shared" si="905"/>
        <v>0</v>
      </c>
      <c r="X124" s="414">
        <f t="shared" si="906"/>
        <v>0</v>
      </c>
      <c r="Y124" s="414">
        <f t="shared" si="907"/>
        <v>0</v>
      </c>
      <c r="Z124" s="406">
        <f t="shared" si="908"/>
        <v>0</v>
      </c>
      <c r="AA124" s="407">
        <f t="shared" si="909"/>
        <v>0</v>
      </c>
      <c r="AB124" s="404">
        <f t="shared" si="910"/>
        <v>0</v>
      </c>
      <c r="AC124" s="414">
        <f t="shared" si="911"/>
        <v>0</v>
      </c>
      <c r="AD124" s="414">
        <f t="shared" si="912"/>
        <v>0</v>
      </c>
      <c r="AE124" s="406">
        <f t="shared" si="913"/>
        <v>0</v>
      </c>
      <c r="AF124" s="407">
        <f t="shared" si="914"/>
        <v>0</v>
      </c>
      <c r="AG124" s="404">
        <f t="shared" si="915"/>
        <v>0</v>
      </c>
      <c r="AH124" s="414">
        <f t="shared" si="916"/>
        <v>0</v>
      </c>
      <c r="AI124" s="414">
        <f t="shared" si="917"/>
        <v>0</v>
      </c>
      <c r="AJ124" s="406">
        <f t="shared" si="918"/>
        <v>0</v>
      </c>
      <c r="AK124" s="407">
        <f t="shared" si="919"/>
        <v>0</v>
      </c>
      <c r="AL124" s="404">
        <f t="shared" si="920"/>
        <v>0</v>
      </c>
      <c r="AM124" s="414">
        <f t="shared" si="921"/>
        <v>0</v>
      </c>
      <c r="AN124" s="414">
        <f t="shared" si="922"/>
        <v>0</v>
      </c>
      <c r="AO124" s="406">
        <f t="shared" si="923"/>
        <v>0</v>
      </c>
      <c r="AP124" s="407">
        <f t="shared" si="924"/>
        <v>0</v>
      </c>
      <c r="AQ124" s="404">
        <f t="shared" si="925"/>
        <v>0</v>
      </c>
      <c r="AR124" s="414">
        <f t="shared" si="926"/>
        <v>0</v>
      </c>
      <c r="AS124" s="414">
        <f t="shared" si="927"/>
        <v>0</v>
      </c>
      <c r="AT124" s="406">
        <f t="shared" si="928"/>
        <v>0</v>
      </c>
      <c r="AU124" s="407">
        <f t="shared" si="929"/>
        <v>0</v>
      </c>
      <c r="AV124" s="404">
        <f t="shared" si="930"/>
        <v>0</v>
      </c>
      <c r="AW124" s="414">
        <f t="shared" si="931"/>
        <v>0</v>
      </c>
      <c r="AX124" s="414">
        <f t="shared" si="932"/>
        <v>0</v>
      </c>
      <c r="AY124" s="406">
        <f t="shared" si="933"/>
        <v>0</v>
      </c>
      <c r="AZ124" s="407">
        <f t="shared" si="934"/>
        <v>0</v>
      </c>
      <c r="BA124" s="404">
        <f t="shared" si="935"/>
        <v>0</v>
      </c>
      <c r="BB124" s="414">
        <f t="shared" si="936"/>
        <v>-7.5597399999999997</v>
      </c>
      <c r="BC124" s="414">
        <f t="shared" si="937"/>
        <v>0</v>
      </c>
      <c r="BD124" s="406">
        <f t="shared" si="938"/>
        <v>0</v>
      </c>
      <c r="BE124" s="407">
        <f t="shared" si="939"/>
        <v>-7.5597399999999997</v>
      </c>
      <c r="BF124" s="404">
        <f t="shared" si="940"/>
        <v>0</v>
      </c>
      <c r="BG124" s="414">
        <f t="shared" si="941"/>
        <v>0</v>
      </c>
      <c r="BH124" s="414">
        <f t="shared" si="942"/>
        <v>0</v>
      </c>
      <c r="BI124" s="406">
        <f t="shared" si="943"/>
        <v>0</v>
      </c>
      <c r="BJ124" s="407">
        <f t="shared" si="944"/>
        <v>0</v>
      </c>
      <c r="BK124" s="404">
        <f t="shared" si="945"/>
        <v>0</v>
      </c>
      <c r="BL124" s="414">
        <f t="shared" si="946"/>
        <v>0</v>
      </c>
      <c r="BM124" s="414">
        <f t="shared" si="947"/>
        <v>0</v>
      </c>
      <c r="BN124" s="406">
        <f t="shared" si="948"/>
        <v>0</v>
      </c>
      <c r="BO124" s="407">
        <f t="shared" si="949"/>
        <v>0</v>
      </c>
      <c r="BP124" s="449"/>
      <c r="BQ124" s="413">
        <f t="shared" si="950"/>
        <v>0</v>
      </c>
      <c r="BR124" s="410">
        <f t="shared" si="951"/>
        <v>0</v>
      </c>
      <c r="BS124" s="416">
        <f t="shared" si="952"/>
        <v>0</v>
      </c>
      <c r="BT124" s="416">
        <f t="shared" si="953"/>
        <v>0</v>
      </c>
      <c r="BU124" s="412">
        <f t="shared" si="954"/>
        <v>0</v>
      </c>
      <c r="BV124" s="413">
        <f t="shared" si="955"/>
        <v>0</v>
      </c>
      <c r="BW124" s="410">
        <f t="shared" si="956"/>
        <v>0</v>
      </c>
      <c r="BX124" s="416">
        <f t="shared" si="957"/>
        <v>0</v>
      </c>
      <c r="BY124" s="416">
        <f t="shared" si="958"/>
        <v>0</v>
      </c>
      <c r="BZ124" s="412">
        <f t="shared" si="959"/>
        <v>0</v>
      </c>
      <c r="CA124" s="413">
        <f t="shared" si="960"/>
        <v>0</v>
      </c>
      <c r="CB124" s="410">
        <f t="shared" si="961"/>
        <v>0</v>
      </c>
      <c r="CC124" s="416">
        <f t="shared" si="962"/>
        <v>0</v>
      </c>
      <c r="CD124" s="416">
        <f t="shared" si="963"/>
        <v>0</v>
      </c>
      <c r="CE124" s="412">
        <f t="shared" si="964"/>
        <v>0</v>
      </c>
      <c r="CF124" s="413">
        <f t="shared" si="965"/>
        <v>0</v>
      </c>
      <c r="CG124" s="410">
        <f t="shared" si="966"/>
        <v>0</v>
      </c>
      <c r="CH124" s="416">
        <f t="shared" si="967"/>
        <v>0</v>
      </c>
      <c r="CI124" s="416">
        <f t="shared" si="968"/>
        <v>0</v>
      </c>
      <c r="CJ124" s="412">
        <f t="shared" si="969"/>
        <v>0</v>
      </c>
      <c r="CK124" s="413">
        <f t="shared" si="970"/>
        <v>0</v>
      </c>
      <c r="CL124" s="410">
        <f t="shared" si="971"/>
        <v>0</v>
      </c>
      <c r="CM124" s="416">
        <f t="shared" si="972"/>
        <v>0</v>
      </c>
      <c r="CN124" s="416">
        <f t="shared" si="973"/>
        <v>0</v>
      </c>
      <c r="CO124" s="412">
        <f t="shared" si="974"/>
        <v>0</v>
      </c>
      <c r="CP124" s="413">
        <f t="shared" si="975"/>
        <v>0</v>
      </c>
      <c r="CQ124" s="410">
        <f t="shared" si="976"/>
        <v>0</v>
      </c>
      <c r="CR124" s="416">
        <f t="shared" si="977"/>
        <v>0</v>
      </c>
      <c r="CS124" s="416">
        <f t="shared" si="978"/>
        <v>0</v>
      </c>
      <c r="CT124" s="412">
        <f t="shared" si="979"/>
        <v>0</v>
      </c>
      <c r="CU124" s="413">
        <f t="shared" si="980"/>
        <v>0</v>
      </c>
      <c r="CV124" s="410">
        <f t="shared" si="981"/>
        <v>0</v>
      </c>
      <c r="CW124" s="416">
        <f t="shared" si="982"/>
        <v>0</v>
      </c>
      <c r="CX124" s="416">
        <f t="shared" si="983"/>
        <v>0</v>
      </c>
      <c r="CY124" s="412">
        <f t="shared" si="984"/>
        <v>0</v>
      </c>
      <c r="CZ124" s="413">
        <f t="shared" si="985"/>
        <v>0</v>
      </c>
      <c r="DA124" s="410">
        <f t="shared" si="986"/>
        <v>0</v>
      </c>
      <c r="DB124" s="416">
        <f t="shared" si="987"/>
        <v>0</v>
      </c>
      <c r="DC124" s="416">
        <f t="shared" si="988"/>
        <v>0</v>
      </c>
      <c r="DD124" s="412">
        <f t="shared" si="989"/>
        <v>0</v>
      </c>
      <c r="DE124" s="413">
        <f t="shared" si="990"/>
        <v>0</v>
      </c>
      <c r="DF124" s="410">
        <f t="shared" si="991"/>
        <v>0</v>
      </c>
      <c r="DG124" s="416">
        <f t="shared" si="992"/>
        <v>-8.5047075E-2</v>
      </c>
      <c r="DH124" s="416">
        <f t="shared" si="993"/>
        <v>-8.5047075E-2</v>
      </c>
      <c r="DI124" s="412">
        <f t="shared" si="994"/>
        <v>-8.5047075E-2</v>
      </c>
      <c r="DJ124" s="413">
        <f t="shared" si="995"/>
        <v>-0.25514122499999997</v>
      </c>
      <c r="DK124" s="410">
        <f t="shared" si="996"/>
        <v>-8.5047075E-2</v>
      </c>
      <c r="DL124" s="416">
        <f t="shared" si="997"/>
        <v>0</v>
      </c>
      <c r="DM124" s="416">
        <f t="shared" si="998"/>
        <v>0</v>
      </c>
      <c r="DN124" s="412">
        <f t="shared" si="999"/>
        <v>0</v>
      </c>
      <c r="DO124" s="413">
        <f t="shared" si="1000"/>
        <v>-8.5047075000000028E-2</v>
      </c>
      <c r="DP124" s="410">
        <f t="shared" si="1001"/>
        <v>0</v>
      </c>
      <c r="DQ124" s="416">
        <f t="shared" si="1002"/>
        <v>0</v>
      </c>
      <c r="DR124" s="416">
        <f t="shared" si="1003"/>
        <v>0</v>
      </c>
      <c r="DS124" s="412">
        <f t="shared" si="1004"/>
        <v>0</v>
      </c>
      <c r="DT124" s="413">
        <f t="shared" si="1005"/>
        <v>0</v>
      </c>
    </row>
    <row r="125" spans="1:124" ht="12.75" customHeight="1">
      <c r="A125" s="491"/>
      <c r="C125" s="1884" t="s">
        <v>408</v>
      </c>
      <c r="D125" s="559"/>
      <c r="E125" s="1886">
        <f t="shared" si="893"/>
        <v>16.290635000000002</v>
      </c>
      <c r="F125" s="1532">
        <v>16.290635000000002</v>
      </c>
      <c r="G125" s="1532">
        <f>47.70701</f>
        <v>47.707009999999997</v>
      </c>
      <c r="H125" s="610">
        <v>2019</v>
      </c>
      <c r="I125" s="1534">
        <v>4.4999999999999998E-2</v>
      </c>
      <c r="J125" s="615">
        <v>10</v>
      </c>
      <c r="K125" s="402"/>
      <c r="L125" s="407">
        <f t="shared" si="894"/>
        <v>0</v>
      </c>
      <c r="M125" s="404">
        <f t="shared" si="895"/>
        <v>0</v>
      </c>
      <c r="N125" s="414">
        <f t="shared" si="896"/>
        <v>0</v>
      </c>
      <c r="O125" s="414">
        <f t="shared" si="897"/>
        <v>0</v>
      </c>
      <c r="P125" s="406">
        <f t="shared" si="898"/>
        <v>0</v>
      </c>
      <c r="Q125" s="407">
        <f t="shared" si="899"/>
        <v>0</v>
      </c>
      <c r="R125" s="404">
        <f t="shared" si="900"/>
        <v>0</v>
      </c>
      <c r="S125" s="414">
        <f t="shared" si="901"/>
        <v>0</v>
      </c>
      <c r="T125" s="414">
        <f t="shared" si="902"/>
        <v>0</v>
      </c>
      <c r="U125" s="406">
        <f t="shared" si="903"/>
        <v>0</v>
      </c>
      <c r="V125" s="407">
        <f t="shared" si="904"/>
        <v>0</v>
      </c>
      <c r="W125" s="404">
        <f t="shared" si="905"/>
        <v>0</v>
      </c>
      <c r="X125" s="414">
        <f t="shared" si="906"/>
        <v>0</v>
      </c>
      <c r="Y125" s="414">
        <f t="shared" si="907"/>
        <v>0</v>
      </c>
      <c r="Z125" s="406">
        <f t="shared" si="908"/>
        <v>0</v>
      </c>
      <c r="AA125" s="407">
        <f t="shared" si="909"/>
        <v>0</v>
      </c>
      <c r="AB125" s="404">
        <f t="shared" si="910"/>
        <v>0</v>
      </c>
      <c r="AC125" s="414">
        <f t="shared" si="911"/>
        <v>0</v>
      </c>
      <c r="AD125" s="414">
        <f t="shared" si="912"/>
        <v>0</v>
      </c>
      <c r="AE125" s="406">
        <f t="shared" si="913"/>
        <v>0</v>
      </c>
      <c r="AF125" s="407">
        <f t="shared" si="914"/>
        <v>0</v>
      </c>
      <c r="AG125" s="404">
        <f t="shared" si="915"/>
        <v>0</v>
      </c>
      <c r="AH125" s="414">
        <f t="shared" si="916"/>
        <v>0</v>
      </c>
      <c r="AI125" s="414">
        <f t="shared" si="917"/>
        <v>0</v>
      </c>
      <c r="AJ125" s="406">
        <f t="shared" si="918"/>
        <v>0</v>
      </c>
      <c r="AK125" s="407">
        <f t="shared" si="919"/>
        <v>0</v>
      </c>
      <c r="AL125" s="404">
        <f t="shared" si="920"/>
        <v>0</v>
      </c>
      <c r="AM125" s="414">
        <f t="shared" si="921"/>
        <v>0</v>
      </c>
      <c r="AN125" s="414">
        <f t="shared" si="922"/>
        <v>0</v>
      </c>
      <c r="AO125" s="406">
        <f t="shared" si="923"/>
        <v>0</v>
      </c>
      <c r="AP125" s="407">
        <f t="shared" si="924"/>
        <v>0</v>
      </c>
      <c r="AQ125" s="404">
        <f t="shared" si="925"/>
        <v>0</v>
      </c>
      <c r="AR125" s="414">
        <f t="shared" si="926"/>
        <v>0</v>
      </c>
      <c r="AS125" s="414">
        <f t="shared" si="927"/>
        <v>0</v>
      </c>
      <c r="AT125" s="406">
        <f t="shared" si="928"/>
        <v>0</v>
      </c>
      <c r="AU125" s="407">
        <f t="shared" si="929"/>
        <v>0</v>
      </c>
      <c r="AV125" s="404">
        <f t="shared" si="930"/>
        <v>0</v>
      </c>
      <c r="AW125" s="414">
        <f t="shared" si="931"/>
        <v>0</v>
      </c>
      <c r="AX125" s="414">
        <f t="shared" si="932"/>
        <v>0</v>
      </c>
      <c r="AY125" s="406">
        <f t="shared" si="933"/>
        <v>0</v>
      </c>
      <c r="AZ125" s="407">
        <f t="shared" si="934"/>
        <v>0</v>
      </c>
      <c r="BA125" s="404">
        <f t="shared" si="935"/>
        <v>0</v>
      </c>
      <c r="BB125" s="414">
        <f t="shared" si="936"/>
        <v>0</v>
      </c>
      <c r="BC125" s="414">
        <f t="shared" si="937"/>
        <v>0</v>
      </c>
      <c r="BD125" s="406">
        <f t="shared" si="938"/>
        <v>-16.290635000000002</v>
      </c>
      <c r="BE125" s="407">
        <f t="shared" si="939"/>
        <v>-16.290635000000002</v>
      </c>
      <c r="BF125" s="404">
        <f t="shared" si="940"/>
        <v>0</v>
      </c>
      <c r="BG125" s="414">
        <f t="shared" si="941"/>
        <v>0</v>
      </c>
      <c r="BH125" s="414">
        <f t="shared" si="942"/>
        <v>0</v>
      </c>
      <c r="BI125" s="406">
        <f t="shared" si="943"/>
        <v>0</v>
      </c>
      <c r="BJ125" s="407">
        <f t="shared" si="944"/>
        <v>0</v>
      </c>
      <c r="BK125" s="404">
        <f t="shared" si="945"/>
        <v>0</v>
      </c>
      <c r="BL125" s="414">
        <f t="shared" si="946"/>
        <v>0</v>
      </c>
      <c r="BM125" s="414">
        <f t="shared" si="947"/>
        <v>0</v>
      </c>
      <c r="BN125" s="406">
        <f t="shared" si="948"/>
        <v>0</v>
      </c>
      <c r="BO125" s="407">
        <f t="shared" si="949"/>
        <v>0</v>
      </c>
      <c r="BP125" s="449"/>
      <c r="BQ125" s="413">
        <f t="shared" si="950"/>
        <v>0</v>
      </c>
      <c r="BR125" s="410">
        <f t="shared" si="951"/>
        <v>0</v>
      </c>
      <c r="BS125" s="416">
        <f t="shared" si="952"/>
        <v>0</v>
      </c>
      <c r="BT125" s="416">
        <f t="shared" si="953"/>
        <v>0</v>
      </c>
      <c r="BU125" s="412">
        <f t="shared" si="954"/>
        <v>0</v>
      </c>
      <c r="BV125" s="413">
        <f t="shared" si="955"/>
        <v>0</v>
      </c>
      <c r="BW125" s="410">
        <f t="shared" si="956"/>
        <v>0</v>
      </c>
      <c r="BX125" s="416">
        <f t="shared" si="957"/>
        <v>0</v>
      </c>
      <c r="BY125" s="416">
        <f t="shared" si="958"/>
        <v>0</v>
      </c>
      <c r="BZ125" s="412">
        <f t="shared" si="959"/>
        <v>0</v>
      </c>
      <c r="CA125" s="413">
        <f t="shared" si="960"/>
        <v>0</v>
      </c>
      <c r="CB125" s="410">
        <f t="shared" si="961"/>
        <v>0</v>
      </c>
      <c r="CC125" s="416">
        <f t="shared" si="962"/>
        <v>0</v>
      </c>
      <c r="CD125" s="416">
        <f t="shared" si="963"/>
        <v>0</v>
      </c>
      <c r="CE125" s="412">
        <f t="shared" si="964"/>
        <v>0</v>
      </c>
      <c r="CF125" s="413">
        <f t="shared" si="965"/>
        <v>0</v>
      </c>
      <c r="CG125" s="410">
        <f t="shared" si="966"/>
        <v>0</v>
      </c>
      <c r="CH125" s="416">
        <f t="shared" si="967"/>
        <v>0</v>
      </c>
      <c r="CI125" s="416">
        <f t="shared" si="968"/>
        <v>0</v>
      </c>
      <c r="CJ125" s="412">
        <f t="shared" si="969"/>
        <v>0</v>
      </c>
      <c r="CK125" s="413">
        <f t="shared" si="970"/>
        <v>0</v>
      </c>
      <c r="CL125" s="410">
        <f t="shared" si="971"/>
        <v>0</v>
      </c>
      <c r="CM125" s="416">
        <f t="shared" si="972"/>
        <v>0</v>
      </c>
      <c r="CN125" s="416">
        <f t="shared" si="973"/>
        <v>0</v>
      </c>
      <c r="CO125" s="412">
        <f t="shared" si="974"/>
        <v>0</v>
      </c>
      <c r="CP125" s="413">
        <f t="shared" si="975"/>
        <v>0</v>
      </c>
      <c r="CQ125" s="410">
        <f t="shared" si="976"/>
        <v>0</v>
      </c>
      <c r="CR125" s="416">
        <f t="shared" si="977"/>
        <v>0</v>
      </c>
      <c r="CS125" s="416">
        <f t="shared" si="978"/>
        <v>0</v>
      </c>
      <c r="CT125" s="412">
        <f t="shared" si="979"/>
        <v>0</v>
      </c>
      <c r="CU125" s="413">
        <f t="shared" si="980"/>
        <v>0</v>
      </c>
      <c r="CV125" s="410">
        <f t="shared" si="981"/>
        <v>0</v>
      </c>
      <c r="CW125" s="416">
        <f t="shared" si="982"/>
        <v>0</v>
      </c>
      <c r="CX125" s="416">
        <f t="shared" si="983"/>
        <v>0</v>
      </c>
      <c r="CY125" s="412">
        <f t="shared" si="984"/>
        <v>0</v>
      </c>
      <c r="CZ125" s="413">
        <f t="shared" si="985"/>
        <v>0</v>
      </c>
      <c r="DA125" s="410">
        <f t="shared" si="986"/>
        <v>0</v>
      </c>
      <c r="DB125" s="416">
        <f t="shared" si="987"/>
        <v>0</v>
      </c>
      <c r="DC125" s="416">
        <f t="shared" si="988"/>
        <v>0</v>
      </c>
      <c r="DD125" s="412">
        <f t="shared" si="989"/>
        <v>0</v>
      </c>
      <c r="DE125" s="413">
        <f t="shared" si="990"/>
        <v>0</v>
      </c>
      <c r="DF125" s="410">
        <f t="shared" si="991"/>
        <v>0</v>
      </c>
      <c r="DG125" s="416">
        <f t="shared" si="992"/>
        <v>0</v>
      </c>
      <c r="DH125" s="416">
        <f t="shared" si="993"/>
        <v>0</v>
      </c>
      <c r="DI125" s="412">
        <f t="shared" si="994"/>
        <v>-0.18326964375000002</v>
      </c>
      <c r="DJ125" s="413">
        <f t="shared" si="995"/>
        <v>-0.18326964375000002</v>
      </c>
      <c r="DK125" s="410">
        <f t="shared" si="996"/>
        <v>-0.18326964375000002</v>
      </c>
      <c r="DL125" s="416">
        <f t="shared" si="997"/>
        <v>-0.18326964375000002</v>
      </c>
      <c r="DM125" s="416">
        <f t="shared" si="998"/>
        <v>-0.18326964375000002</v>
      </c>
      <c r="DN125" s="412">
        <f t="shared" si="999"/>
        <v>0</v>
      </c>
      <c r="DO125" s="413">
        <f t="shared" si="1000"/>
        <v>-0.54980893125000008</v>
      </c>
      <c r="DP125" s="410">
        <f t="shared" si="1001"/>
        <v>0</v>
      </c>
      <c r="DQ125" s="416">
        <f t="shared" si="1002"/>
        <v>0</v>
      </c>
      <c r="DR125" s="416">
        <f t="shared" si="1003"/>
        <v>0</v>
      </c>
      <c r="DS125" s="412">
        <f t="shared" si="1004"/>
        <v>0</v>
      </c>
      <c r="DT125" s="413">
        <f t="shared" si="1005"/>
        <v>0</v>
      </c>
    </row>
    <row r="126" spans="1:124" ht="12.75" customHeight="1">
      <c r="A126" s="491"/>
      <c r="C126" s="1884" t="s">
        <v>408</v>
      </c>
      <c r="D126" s="559"/>
      <c r="E126" s="1886">
        <f t="shared" si="893"/>
        <v>42.767795999999997</v>
      </c>
      <c r="F126" s="1532">
        <v>42.767795999999997</v>
      </c>
      <c r="G126" s="1532">
        <f>73.730587</f>
        <v>73.730587</v>
      </c>
      <c r="H126" s="610">
        <v>2020</v>
      </c>
      <c r="I126" s="1534">
        <v>4.4999999999999998E-2</v>
      </c>
      <c r="J126" s="615">
        <v>10</v>
      </c>
      <c r="K126" s="402"/>
      <c r="L126" s="407">
        <f t="shared" si="894"/>
        <v>0</v>
      </c>
      <c r="M126" s="404">
        <f t="shared" si="895"/>
        <v>0</v>
      </c>
      <c r="N126" s="414">
        <f t="shared" si="896"/>
        <v>0</v>
      </c>
      <c r="O126" s="414">
        <f t="shared" si="897"/>
        <v>0</v>
      </c>
      <c r="P126" s="406">
        <f t="shared" si="898"/>
        <v>0</v>
      </c>
      <c r="Q126" s="407">
        <f t="shared" si="899"/>
        <v>0</v>
      </c>
      <c r="R126" s="404">
        <f t="shared" si="900"/>
        <v>0</v>
      </c>
      <c r="S126" s="414">
        <f t="shared" si="901"/>
        <v>0</v>
      </c>
      <c r="T126" s="414">
        <f t="shared" si="902"/>
        <v>0</v>
      </c>
      <c r="U126" s="406">
        <f t="shared" si="903"/>
        <v>0</v>
      </c>
      <c r="V126" s="407">
        <f t="shared" si="904"/>
        <v>0</v>
      </c>
      <c r="W126" s="404">
        <f t="shared" si="905"/>
        <v>0</v>
      </c>
      <c r="X126" s="414">
        <f t="shared" si="906"/>
        <v>0</v>
      </c>
      <c r="Y126" s="414">
        <f t="shared" si="907"/>
        <v>0</v>
      </c>
      <c r="Z126" s="406">
        <f t="shared" si="908"/>
        <v>0</v>
      </c>
      <c r="AA126" s="407">
        <f t="shared" si="909"/>
        <v>0</v>
      </c>
      <c r="AB126" s="404">
        <f t="shared" si="910"/>
        <v>0</v>
      </c>
      <c r="AC126" s="414">
        <f t="shared" si="911"/>
        <v>0</v>
      </c>
      <c r="AD126" s="414">
        <f t="shared" si="912"/>
        <v>0</v>
      </c>
      <c r="AE126" s="406">
        <f t="shared" si="913"/>
        <v>0</v>
      </c>
      <c r="AF126" s="407">
        <f t="shared" si="914"/>
        <v>0</v>
      </c>
      <c r="AG126" s="404">
        <f t="shared" si="915"/>
        <v>0</v>
      </c>
      <c r="AH126" s="414">
        <f t="shared" si="916"/>
        <v>0</v>
      </c>
      <c r="AI126" s="414">
        <f t="shared" si="917"/>
        <v>0</v>
      </c>
      <c r="AJ126" s="406">
        <f t="shared" si="918"/>
        <v>0</v>
      </c>
      <c r="AK126" s="407">
        <f t="shared" si="919"/>
        <v>0</v>
      </c>
      <c r="AL126" s="404">
        <f t="shared" si="920"/>
        <v>0</v>
      </c>
      <c r="AM126" s="414">
        <f t="shared" si="921"/>
        <v>0</v>
      </c>
      <c r="AN126" s="414">
        <f t="shared" si="922"/>
        <v>0</v>
      </c>
      <c r="AO126" s="406">
        <f t="shared" si="923"/>
        <v>0</v>
      </c>
      <c r="AP126" s="407">
        <f t="shared" si="924"/>
        <v>0</v>
      </c>
      <c r="AQ126" s="404">
        <f t="shared" si="925"/>
        <v>0</v>
      </c>
      <c r="AR126" s="414">
        <f t="shared" si="926"/>
        <v>0</v>
      </c>
      <c r="AS126" s="414">
        <f t="shared" si="927"/>
        <v>0</v>
      </c>
      <c r="AT126" s="406">
        <f t="shared" si="928"/>
        <v>0</v>
      </c>
      <c r="AU126" s="407">
        <f t="shared" si="929"/>
        <v>0</v>
      </c>
      <c r="AV126" s="404">
        <f t="shared" si="930"/>
        <v>0</v>
      </c>
      <c r="AW126" s="414">
        <f t="shared" si="931"/>
        <v>0</v>
      </c>
      <c r="AX126" s="414">
        <f t="shared" si="932"/>
        <v>0</v>
      </c>
      <c r="AY126" s="406">
        <f t="shared" si="933"/>
        <v>0</v>
      </c>
      <c r="AZ126" s="407">
        <f t="shared" si="934"/>
        <v>0</v>
      </c>
      <c r="BA126" s="404">
        <f t="shared" si="935"/>
        <v>0</v>
      </c>
      <c r="BB126" s="414">
        <f t="shared" si="936"/>
        <v>0</v>
      </c>
      <c r="BC126" s="414">
        <f t="shared" si="937"/>
        <v>0</v>
      </c>
      <c r="BD126" s="406">
        <f t="shared" si="938"/>
        <v>0</v>
      </c>
      <c r="BE126" s="407">
        <f t="shared" si="939"/>
        <v>0</v>
      </c>
      <c r="BF126" s="404">
        <f t="shared" si="940"/>
        <v>0</v>
      </c>
      <c r="BG126" s="414">
        <f t="shared" si="941"/>
        <v>0</v>
      </c>
      <c r="BH126" s="414">
        <f t="shared" si="942"/>
        <v>0</v>
      </c>
      <c r="BI126" s="406">
        <f t="shared" si="943"/>
        <v>-42.767795999999997</v>
      </c>
      <c r="BJ126" s="407">
        <f t="shared" si="944"/>
        <v>-42.767795999999997</v>
      </c>
      <c r="BK126" s="404">
        <f t="shared" si="945"/>
        <v>0</v>
      </c>
      <c r="BL126" s="414">
        <f t="shared" si="946"/>
        <v>0</v>
      </c>
      <c r="BM126" s="414">
        <f t="shared" si="947"/>
        <v>0</v>
      </c>
      <c r="BN126" s="406">
        <f t="shared" si="948"/>
        <v>0</v>
      </c>
      <c r="BO126" s="407">
        <f t="shared" si="949"/>
        <v>0</v>
      </c>
      <c r="BP126" s="449"/>
      <c r="BQ126" s="413">
        <f t="shared" si="950"/>
        <v>0</v>
      </c>
      <c r="BR126" s="410">
        <f t="shared" si="951"/>
        <v>0</v>
      </c>
      <c r="BS126" s="416">
        <f t="shared" si="952"/>
        <v>0</v>
      </c>
      <c r="BT126" s="416">
        <f t="shared" si="953"/>
        <v>0</v>
      </c>
      <c r="BU126" s="412">
        <f t="shared" si="954"/>
        <v>0</v>
      </c>
      <c r="BV126" s="413">
        <f t="shared" si="955"/>
        <v>0</v>
      </c>
      <c r="BW126" s="410">
        <f t="shared" si="956"/>
        <v>0</v>
      </c>
      <c r="BX126" s="416">
        <f t="shared" si="957"/>
        <v>0</v>
      </c>
      <c r="BY126" s="416">
        <f t="shared" si="958"/>
        <v>0</v>
      </c>
      <c r="BZ126" s="412">
        <f t="shared" si="959"/>
        <v>0</v>
      </c>
      <c r="CA126" s="413">
        <f t="shared" si="960"/>
        <v>0</v>
      </c>
      <c r="CB126" s="410">
        <f t="shared" si="961"/>
        <v>0</v>
      </c>
      <c r="CC126" s="416">
        <f t="shared" si="962"/>
        <v>0</v>
      </c>
      <c r="CD126" s="416">
        <f t="shared" si="963"/>
        <v>0</v>
      </c>
      <c r="CE126" s="412">
        <f t="shared" si="964"/>
        <v>0</v>
      </c>
      <c r="CF126" s="413">
        <f t="shared" si="965"/>
        <v>0</v>
      </c>
      <c r="CG126" s="410">
        <f t="shared" si="966"/>
        <v>0</v>
      </c>
      <c r="CH126" s="416">
        <f t="shared" si="967"/>
        <v>0</v>
      </c>
      <c r="CI126" s="416">
        <f t="shared" si="968"/>
        <v>0</v>
      </c>
      <c r="CJ126" s="412">
        <f t="shared" si="969"/>
        <v>0</v>
      </c>
      <c r="CK126" s="413">
        <f t="shared" si="970"/>
        <v>0</v>
      </c>
      <c r="CL126" s="410">
        <f t="shared" si="971"/>
        <v>0</v>
      </c>
      <c r="CM126" s="416">
        <f t="shared" si="972"/>
        <v>0</v>
      </c>
      <c r="CN126" s="416">
        <f t="shared" si="973"/>
        <v>0</v>
      </c>
      <c r="CO126" s="412">
        <f t="shared" si="974"/>
        <v>0</v>
      </c>
      <c r="CP126" s="413">
        <f t="shared" si="975"/>
        <v>0</v>
      </c>
      <c r="CQ126" s="410">
        <f t="shared" si="976"/>
        <v>0</v>
      </c>
      <c r="CR126" s="416">
        <f t="shared" si="977"/>
        <v>0</v>
      </c>
      <c r="CS126" s="416">
        <f t="shared" si="978"/>
        <v>0</v>
      </c>
      <c r="CT126" s="412">
        <f t="shared" si="979"/>
        <v>0</v>
      </c>
      <c r="CU126" s="413">
        <f t="shared" si="980"/>
        <v>0</v>
      </c>
      <c r="CV126" s="410">
        <f t="shared" si="981"/>
        <v>0</v>
      </c>
      <c r="CW126" s="416">
        <f t="shared" si="982"/>
        <v>0</v>
      </c>
      <c r="CX126" s="416">
        <f t="shared" si="983"/>
        <v>0</v>
      </c>
      <c r="CY126" s="412">
        <f t="shared" si="984"/>
        <v>0</v>
      </c>
      <c r="CZ126" s="413">
        <f t="shared" si="985"/>
        <v>0</v>
      </c>
      <c r="DA126" s="410">
        <f t="shared" si="986"/>
        <v>0</v>
      </c>
      <c r="DB126" s="416">
        <f t="shared" si="987"/>
        <v>0</v>
      </c>
      <c r="DC126" s="416">
        <f t="shared" si="988"/>
        <v>0</v>
      </c>
      <c r="DD126" s="412">
        <f t="shared" si="989"/>
        <v>0</v>
      </c>
      <c r="DE126" s="413">
        <f t="shared" si="990"/>
        <v>0</v>
      </c>
      <c r="DF126" s="410">
        <f t="shared" si="991"/>
        <v>0</v>
      </c>
      <c r="DG126" s="416">
        <f t="shared" si="992"/>
        <v>0</v>
      </c>
      <c r="DH126" s="416">
        <f t="shared" si="993"/>
        <v>0</v>
      </c>
      <c r="DI126" s="412">
        <f t="shared" si="994"/>
        <v>0</v>
      </c>
      <c r="DJ126" s="413">
        <f t="shared" si="995"/>
        <v>0</v>
      </c>
      <c r="DK126" s="410">
        <f t="shared" si="996"/>
        <v>0</v>
      </c>
      <c r="DL126" s="416">
        <f t="shared" si="997"/>
        <v>0</v>
      </c>
      <c r="DM126" s="416">
        <f t="shared" si="998"/>
        <v>0</v>
      </c>
      <c r="DN126" s="412">
        <f t="shared" si="999"/>
        <v>-0.48113770499999997</v>
      </c>
      <c r="DO126" s="413">
        <f t="shared" si="1000"/>
        <v>-0.48113770499999992</v>
      </c>
      <c r="DP126" s="410">
        <f t="shared" si="1001"/>
        <v>-0.48113770499999997</v>
      </c>
      <c r="DQ126" s="416">
        <f t="shared" si="1002"/>
        <v>-0.48113770499999997</v>
      </c>
      <c r="DR126" s="416">
        <f t="shared" si="1003"/>
        <v>-0.48113770499999997</v>
      </c>
      <c r="DS126" s="412">
        <f t="shared" si="1004"/>
        <v>0</v>
      </c>
      <c r="DT126" s="413">
        <f t="shared" si="1005"/>
        <v>-1.443413115</v>
      </c>
    </row>
    <row r="127" spans="1:124" ht="12.75" customHeight="1">
      <c r="A127" s="491"/>
      <c r="C127" s="1884" t="s">
        <v>408</v>
      </c>
      <c r="D127" s="559"/>
      <c r="E127" s="1886">
        <f t="shared" si="893"/>
        <v>53.812981999999998</v>
      </c>
      <c r="F127" s="1532">
        <v>53.812981999999998</v>
      </c>
      <c r="G127" s="1532">
        <f>86.7</f>
        <v>86.7</v>
      </c>
      <c r="H127" s="610">
        <v>2021</v>
      </c>
      <c r="I127" s="1534">
        <v>4.4999999999999998E-2</v>
      </c>
      <c r="J127" s="615">
        <v>4</v>
      </c>
      <c r="K127" s="402"/>
      <c r="L127" s="407">
        <f t="shared" si="894"/>
        <v>0</v>
      </c>
      <c r="M127" s="404">
        <f>IF(Q127=0,0,IF(Q127&lt;0,IF($J127=3,Q127,IF($J127=2,Q127,IF($J127=1,Q127,0)))))</f>
        <v>0</v>
      </c>
      <c r="N127" s="414">
        <f>IF(Q127=0,0,IF(Q127&lt;0,IF($J127=6,Q127,IF($J127=5,Q127,IF($J127=4,Q127,0)))))</f>
        <v>0</v>
      </c>
      <c r="O127" s="414">
        <f>IF(Q127=0,0,IF(Q127&lt;0,IF($J127=9,Q127,IF($J127=8,Q127,IF($J127=7,Q127,0)))))</f>
        <v>0</v>
      </c>
      <c r="P127" s="406">
        <f>IF(Q127=0,0,IF(Q127&lt;0,IF($J127=12,Q127,IF($J127=11,Q127,IF($J127=10,Q127,0)))))</f>
        <v>0</v>
      </c>
      <c r="Q127" s="407">
        <f t="shared" si="899"/>
        <v>0</v>
      </c>
      <c r="R127" s="404">
        <f>IF(V127=0,0,IF(V127&lt;0,IF($J127=3,V127,IF($J127=2,V127,IF($J127=1,V127,0)))))</f>
        <v>0</v>
      </c>
      <c r="S127" s="414">
        <f>IF(V127=0,0,IF(V127&lt;0,IF($J127=6,V127,IF($J127=5,V127,IF($J127=4,V127,0)))))</f>
        <v>0</v>
      </c>
      <c r="T127" s="414">
        <f>IF(V127=0,0,IF(V127&lt;0,IF($J127=9,V127,IF($J127=8,V127,IF($J127=7,V127,0)))))</f>
        <v>0</v>
      </c>
      <c r="U127" s="406">
        <f>IF(V127=0,0,IF(V127&lt;0,IF($J127=12,V127,IF($J127=11,V127,IF($J127=10,V127,0)))))</f>
        <v>0</v>
      </c>
      <c r="V127" s="407">
        <f t="shared" si="904"/>
        <v>0</v>
      </c>
      <c r="W127" s="404">
        <f>IF(AA127=0,0,IF(AA127&lt;0,IF($J127=3,AA127,IF($J127=2,AA127,IF($J127=1,AA127,0)))))</f>
        <v>0</v>
      </c>
      <c r="X127" s="414">
        <f>IF(AA127=0,0,IF(AA127&lt;0,IF($J127=6,AA127,IF($J127=5,AA127,IF($J127=4,AA127,0)))))</f>
        <v>0</v>
      </c>
      <c r="Y127" s="414">
        <f>IF(AA127=0,0,IF(AA127&lt;0,IF($J127=9,AA127,IF($J127=8,AA127,IF($J127=7,AA127,0)))))</f>
        <v>0</v>
      </c>
      <c r="Z127" s="406">
        <f>IF(AA127=0,0,IF(AA127&lt;0,IF($J127=12,AA127,IF($J127=11,AA127,IF($J127=10,AA127,0)))))</f>
        <v>0</v>
      </c>
      <c r="AA127" s="407">
        <f t="shared" si="909"/>
        <v>0</v>
      </c>
      <c r="AB127" s="404">
        <f>IF(AF127=0,0,IF(AF127&lt;0,IF($J127=3,AF127,IF($J127=2,AF127,IF($J127=1,AF127,0)))))</f>
        <v>0</v>
      </c>
      <c r="AC127" s="414">
        <f>IF(AF127=0,0,IF(AF127&lt;0,IF($J127=6,AF127,IF($J127=5,AF127,IF($J127=4,AF127,0)))))</f>
        <v>0</v>
      </c>
      <c r="AD127" s="414">
        <f>IF(AF127=0,0,IF(AF127&lt;0,IF($J127=9,AF127,IF($J127=8,AF127,IF($J127=7,AF127,0)))))</f>
        <v>0</v>
      </c>
      <c r="AE127" s="406">
        <f>IF(AF127=0,0,IF(AF127&lt;0,IF($J127=12,AF127,IF($J127=11,AF127,IF($J127=10,AF127,0)))))</f>
        <v>0</v>
      </c>
      <c r="AF127" s="407">
        <f t="shared" si="914"/>
        <v>0</v>
      </c>
      <c r="AG127" s="404">
        <f>IF(AK127=0,0,IF(AK127&lt;0,IF($J127=3,AK127,IF($J127=2,AK127,IF($J127=1,AK127,0)))))</f>
        <v>0</v>
      </c>
      <c r="AH127" s="414">
        <f>IF(AK127=0,0,IF(AK127&lt;0,IF($J127=6,AK127,IF($J127=5,AK127,IF($J127=4,AK127,0)))))</f>
        <v>0</v>
      </c>
      <c r="AI127" s="414">
        <f>IF(AK127=0,0,IF(AK127&lt;0,IF($J127=9,AK127,IF($J127=8,AK127,IF($J127=7,AK127,0)))))</f>
        <v>0</v>
      </c>
      <c r="AJ127" s="406">
        <f>IF(AK127=0,0,IF(AK127&lt;0,IF($J127=12,AK127,IF($J127=11,AK127,IF($J127=10,AK127,0)))))</f>
        <v>0</v>
      </c>
      <c r="AK127" s="407">
        <f t="shared" si="919"/>
        <v>0</v>
      </c>
      <c r="AL127" s="404">
        <f>IF(AP127=0,0,IF(AP127&lt;0,IF($J127=3,AP127,IF($J127=2,AP127,IF($J127=1,AP127,0)))))</f>
        <v>0</v>
      </c>
      <c r="AM127" s="414">
        <f>IF(AP127=0,0,IF(AP127&lt;0,IF($J127=6,AP127,IF($J127=5,AP127,IF($J127=4,AP127,0)))))</f>
        <v>0</v>
      </c>
      <c r="AN127" s="414">
        <f>IF(AP127=0,0,IF(AP127&lt;0,IF($J127=9,AP127,IF($J127=8,AP127,IF($J127=7,AP127,0)))))</f>
        <v>0</v>
      </c>
      <c r="AO127" s="406">
        <f>IF(AP127=0,0,IF(AP127&lt;0,IF($J127=12,AP127,IF($J127=11,AP127,IF($J127=10,AP127,0)))))</f>
        <v>0</v>
      </c>
      <c r="AP127" s="407">
        <f t="shared" si="924"/>
        <v>0</v>
      </c>
      <c r="AQ127" s="404">
        <f>IF(AU127=0,0,IF(AU127&lt;0,IF($J127=3,AU127,IF($J127=2,AU127,IF($J127=1,AU127,0)))))</f>
        <v>0</v>
      </c>
      <c r="AR127" s="414">
        <f t="shared" si="926"/>
        <v>0</v>
      </c>
      <c r="AS127" s="414">
        <f>IF(AU127=0,0,IF(AU127&lt;0,IF($J127=9,AU127,IF($J127=8,AU127,IF($J127=7,AU127,0)))))</f>
        <v>0</v>
      </c>
      <c r="AT127" s="406">
        <f>IF(AU127=0,0,IF(AU127&lt;0,IF($J127=12,AU127,IF($J127=11,AU127,IF($J127=10,AU127,0)))))</f>
        <v>0</v>
      </c>
      <c r="AU127" s="407">
        <f t="shared" si="929"/>
        <v>0</v>
      </c>
      <c r="AV127" s="404">
        <f>IF(AZ127=0,0,IF(AZ127&lt;0,IF($J127=3,AZ127,IF($J127=2,AZ127,IF($J127=1,AZ127,0)))))</f>
        <v>0</v>
      </c>
      <c r="AW127" s="414">
        <f>IF(AZ127=0,0,IF(AZ127&lt;0,IF($J127=6,AZ127,IF($J127=5,AZ127,IF($J127=4,AZ127,0)))))</f>
        <v>0</v>
      </c>
      <c r="AX127" s="414">
        <f>IF(AZ127=0,0,IF(AZ127&lt;0,IF($J127=9,AZ127,IF($J127=8,AZ127,IF($J127=7,AZ127,0)))))</f>
        <v>0</v>
      </c>
      <c r="AY127" s="406">
        <f>IF(AZ127=0,0,IF(AZ127&lt;0,IF($J127=12,AZ127,IF($J127=11,AZ127,IF($J127=10,AZ127,0)))))</f>
        <v>0</v>
      </c>
      <c r="AZ127" s="407">
        <f t="shared" si="934"/>
        <v>0</v>
      </c>
      <c r="BA127" s="404">
        <f>IF(BE127=0,0,IF(BE127&lt;0,IF($J127=3,BE127,IF($J127=2,BE127,IF($J127=1,BE127,0)))))</f>
        <v>0</v>
      </c>
      <c r="BB127" s="414">
        <f>IF(BE127=0,0,IF(BE127&lt;0,IF($J127=6,BE127,IF($J127=5,BE127,IF($J127=4,BE127,0)))))</f>
        <v>0</v>
      </c>
      <c r="BC127" s="414">
        <f>IF(BE127=0,0,IF(BE127&lt;0,IF($J127=9,BE127,IF($J127=8,BE127,IF($J127=7,BE127,0)))))</f>
        <v>0</v>
      </c>
      <c r="BD127" s="406">
        <f>IF(BE127=0,0,IF(BE127&lt;0,IF($J127=12,BE127,IF($J127=11,BE127,IF($J127=10,BE127,0)))))</f>
        <v>0</v>
      </c>
      <c r="BE127" s="407">
        <f t="shared" si="939"/>
        <v>0</v>
      </c>
      <c r="BF127" s="404">
        <f>IF(BJ127=0,0,IF(BJ127&lt;0,IF($J127=3,BJ127,IF($J127=2,BJ127,IF($J127=1,BJ127,0)))))</f>
        <v>0</v>
      </c>
      <c r="BG127" s="414">
        <f>IF(BJ127=0,0,IF(BJ127&lt;0,IF($J127=6,BJ127,IF($J127=5,BJ127,IF($J127=4,BJ127,0)))))</f>
        <v>0</v>
      </c>
      <c r="BH127" s="414">
        <f>IF(BJ127=0,0,IF(BJ127&lt;0,IF($J127=9,BJ127,IF($J127=8,BJ127,IF($J127=7,BJ127,0)))))</f>
        <v>0</v>
      </c>
      <c r="BI127" s="406">
        <f>IF(BJ127=0,0,IF(BJ127&lt;0,IF($J127=12,BJ127,IF($J127=11,BJ127,IF($J127=10,BJ127,0)))))</f>
        <v>0</v>
      </c>
      <c r="BJ127" s="407">
        <f t="shared" si="944"/>
        <v>0</v>
      </c>
      <c r="BK127" s="404">
        <f>IF(BO127=0,0,IF(BO127&lt;0,IF($J127=3,BO127,IF($J127=2,BO127,IF($J127=1,BO127,0)))))</f>
        <v>0</v>
      </c>
      <c r="BL127" s="414">
        <f>IF(BO127=0,0,IF(BO127&lt;0,IF($J127=6,BO127,IF($J127=5,BO127,IF($J127=4,BO127,0)))))</f>
        <v>-53.812981999999998</v>
      </c>
      <c r="BM127" s="414">
        <f>IF(BO127=0,0,IF(BO127&lt;0,IF($J127=9,BO127,IF($J127=8,BO127,IF($J127=7,BO127,0)))))</f>
        <v>0</v>
      </c>
      <c r="BN127" s="406">
        <f>IF(BO127=0,0,IF(BO127&lt;0,IF($J127=12,BO127,IF($J127=11,BO127,IF($J127=10,BO127,0)))))</f>
        <v>0</v>
      </c>
      <c r="BO127" s="407">
        <f t="shared" si="949"/>
        <v>-53.812981999999998</v>
      </c>
      <c r="BP127" s="449"/>
      <c r="BQ127" s="413">
        <f>IF(AND(AH127&lt;&gt;0,AH$5=$H127),-$I127*$E127-AH127,IF(BQ$5=$H127,-$I127*$E127*(12-$J127+1)/12,0))</f>
        <v>0</v>
      </c>
      <c r="BR127" s="410">
        <f>IF($H127&lt;&gt;BV$5,0,IF(BV127&lt;0,IF($J127=1,-$E127*$I127/12*3,IF($J127=2,-$E127*$I127/12*2,IF($J127=3,-$E127*$I127/12*1,0)))))+IF(BQ$5&lt;&gt;$H127,0,IF(BQ127&lt;0,IF($J127=1,-$E127*$I127/12*0,IF($J127=2,-$E127*$I127/12*1,IF($J127=3,-$E127*$I127/12*2,IF($J127&gt;=4,-$E127*$I127/12*3,0))))))</f>
        <v>0</v>
      </c>
      <c r="BS127" s="416">
        <f>IF($H127&lt;&gt;BV$5,0,IF(BV127&lt;0,IF(OR($J127=1,$J127=2,$J127=3,$J127=4),-$E127*$I127/12*3,IF($J127=5,-$E127*$I127/12*2,IF($J127=6,-$E127*$I127/12*1,0)))))+IF(BQ$5&lt;&gt;$H127,0,IF(BQ127&lt;0,IF($J127=4,-$E127*$I127/12*0,IF($J127=5,-$E127*$I127/12*1,IF($J127=6,-$E127*$I127/12*2,IF($J127&gt;=7,-$E127*$I127/12*3,0))))))</f>
        <v>0</v>
      </c>
      <c r="BT127" s="416">
        <f>IF($H127&lt;&gt;BV$5,0,IF(BV127&lt;0,IF(OR($J127=1,$J127=2,$J127=3,$J127=4,$J127=5,$J127=6,$J127=7),-$E127*$I127/12*3,IF($J127=8,-$E127*$I127/12*2,IF($J127=9,-$E127*$I127/12*1,0)))))+IF(BQ$5&lt;&gt;$H127,0,IF(BQ127&lt;0,IF($J127=7,-$E127*$I127/12*0,IF($J127=8,-$E127*$I127/12*1,IF($J127=9,-$E127*$I127/12*2,IF($J127&gt;=10,-$E127*$I127/12*3,0))))))</f>
        <v>0</v>
      </c>
      <c r="BU127" s="412">
        <f>IF($H127&lt;&gt;BV$5,0,IF(BV127&lt;0,IF(OR($J127=1,$J127=2,$J127=3,$J127=4,$J127=5,$J127=6,$J127=7,$J127=8,$J127=9,$J127=10),-$E127*$I127/12*3,IF($J127=11,-$E127*$I127/12*2,IF($J127=12,-$E127*$I127/12*1,0)))))+IF(BQ$5&lt;&gt;$H127,0,IF(BQ127&lt;0,IF($J127=10,-$E127*$I127/12*0,IF($J127=11,-$E127*$I127/12*1,IF($J127=12,-$E127*$I127/12*2,0)))))</f>
        <v>0</v>
      </c>
      <c r="BV127" s="413">
        <f>IF(AND(BQ127&lt;&gt;0,BQ$5=$H127),-$I127*$E127-BQ127,IF(BV$5=$H127,-$I127*$E127*(12-$J127+1)/12,0))</f>
        <v>0</v>
      </c>
      <c r="BW127" s="410">
        <f>IF($H127&lt;&gt;CA$5,0,IF(CA127&lt;0,IF($J127=1,-$E127*$I127/12*3,IF($J127=2,-$E127*$I127/12*2,IF($J127=3,-$E127*$I127/12*1,0)))))+IF(BV$5&lt;&gt;$H127,0,IF(BV127&lt;0,IF($J127=1,-$E127*$I127/12*0,IF($J127=2,-$E127*$I127/12*1,IF($J127=3,-$E127*$I127/12*2,IF($J127&gt;=4,-$E127*$I127/12*3,0))))))</f>
        <v>0</v>
      </c>
      <c r="BX127" s="416">
        <f>IF($H127&lt;&gt;CA$5,0,IF(CA127&lt;0,IF(OR($J127=1,$J127=2,$J127=3,$J127=4),-$E127*$I127/12*3,IF($J127=5,-$E127*$I127/12*2,IF($J127=6,-$E127*$I127/12*1,0)))))+IF(BV$5&lt;&gt;$H127,0,IF(BV127&lt;0,IF($J127=4,-$E127*$I127/12*0,IF($J127=5,-$E127*$I127/12*1,IF($J127=6,-$E127*$I127/12*2,IF($J127&gt;=7,-$E127*$I127/12*3,0))))))</f>
        <v>0</v>
      </c>
      <c r="BY127" s="416">
        <f>IF($H127&lt;&gt;CA$5,0,IF(CA127&lt;0,IF(OR($J127=1,$J127=2,$J127=3,$J127=4,$J127=5,$J127=6,$J127=7),-$E127*$I127/12*3,IF($J127=8,-$E127*$I127/12*2,IF($J127=9,-$E127*$I127/12*1,0)))))+IF(BV$5&lt;&gt;$H127,0,IF(BV127&lt;0,IF($J127=7,-$E127*$I127/12*0,IF($J127=8,-$E127*$I127/12*1,IF($J127=9,-$E127*$I127/12*2,IF($J127&gt;=10,-$E127*$I127/12*3,0))))))</f>
        <v>0</v>
      </c>
      <c r="BZ127" s="412">
        <f>IF($H127&lt;&gt;CA$5,0,IF(CA127&lt;0,IF(OR($J127=1,$J127=2,$J127=3,$J127=4,$J127=5,$J127=6,$J127=7,$J127=8,$J127=9,$J127=10),-$E127*$I127/12*3,IF($J127=11,-$E127*$I127/12*2,IF($J127=12,-$E127*$I127/12*1,0)))))+IF(BV$5&lt;&gt;$H127,0,IF(BV127&lt;0,IF($J127=10,-$E127*$I127/12*0,IF($J127=11,-$E127*$I127/12*1,IF($J127=12,-$E127*$I127/12*2,0)))))</f>
        <v>0</v>
      </c>
      <c r="CA127" s="413">
        <f>IF(AND(BV127&lt;&gt;0,BV$5=$H127),-$I127*$E127-BV127,IF(CA$5=$H127,-$I127*$E127*(12-$J127+1)/12,0))</f>
        <v>0</v>
      </c>
      <c r="CB127" s="410">
        <f>IF($H127&lt;&gt;CF$5,0,IF(CF127&lt;0,IF($J127=1,-$E127*$I127/12*3,IF($J127=2,-$E127*$I127/12*2,IF($J127=3,-$E127*$I127/12*1,0)))))+IF(CA$5&lt;&gt;$H127,0,IF(CA127&lt;0,IF($J127=1,-$E127*$I127/12*0,IF($J127=2,-$E127*$I127/12*1,IF($J127=3,-$E127*$I127/12*2,IF($J127&gt;=4,-$E127*$I127/12*3,0))))))</f>
        <v>0</v>
      </c>
      <c r="CC127" s="416">
        <f>IF($H127&lt;&gt;CF$5,0,IF(CF127&lt;0,IF(OR($J127=1,$J127=2,$J127=3,$J127=4),-$E127*$I127/12*3,IF($J127=5,-$E127*$I127/12*2,IF($J127=6,-$E127*$I127/12*1,0)))))+IF(CA$5&lt;&gt;$H127,0,IF(CA127&lt;0,IF($J127=4,-$E127*$I127/12*0,IF($J127=5,-$E127*$I127/12*1,IF($J127=6,-$E127*$I127/12*2,IF($J127&gt;=7,-$E127*$I127/12*3,0))))))</f>
        <v>0</v>
      </c>
      <c r="CD127" s="416">
        <f>IF($H127&lt;&gt;CF$5,0,IF(CF127&lt;0,IF(OR($J127=1,$J127=2,$J127=3,$J127=4,$J127=5,$J127=6,$J127=7),-$E127*$I127/12*3,IF($J127=8,-$E127*$I127/12*2,IF($J127=9,-$E127*$I127/12*1,0)))))+IF(CA$5&lt;&gt;$H127,0,IF(CA127&lt;0,IF($J127=7,-$E127*$I127/12*0,IF($J127=8,-$E127*$I127/12*1,IF($J127=9,-$E127*$I127/12*2,IF($J127&gt;=10,-$E127*$I127/12*3,0))))))</f>
        <v>0</v>
      </c>
      <c r="CE127" s="412">
        <f>IF($H127&lt;&gt;CF$5,0,IF(CF127&lt;0,IF(OR($J127=1,$J127=2,$J127=3,$J127=4,$J127=5,$J127=6,$J127=7,$J127=8,$J127=9,$J127=10),-$E127*$I127/12*3,IF($J127=11,-$E127*$I127/12*2,IF($J127=12,-$E127*$I127/12*1,0)))))+IF(CA$5&lt;&gt;$H127,0,IF(CA127&lt;0,IF($J127=10,-$E127*$I127/12*0,IF($J127=11,-$E127*$I127/12*1,IF($J127=12,-$E127*$I127/12*2,0)))))</f>
        <v>0</v>
      </c>
      <c r="CF127" s="413">
        <f>IF(AND(CA127&lt;&gt;0,CA$5=$H127),-$I127*$E127-CA127,IF(CF$5=$H127,-$I127*$E127*(12-$J127+1)/12,0))</f>
        <v>0</v>
      </c>
      <c r="CG127" s="410">
        <f>IF($H127&lt;&gt;CK$5,0,IF(CK127&lt;0,IF($J127=1,-$E127*$I127/12*3,IF($J127=2,-$E127*$I127/12*2,IF($J127=3,-$E127*$I127/12*1,0)))))+IF(CF$5&lt;&gt;$H127,0,IF(CF127&lt;0,IF($J127=1,-$E127*$I127/12*0,IF($J127=2,-$E127*$I127/12*1,IF($J127=3,-$E127*$I127/12*2,IF($J127&gt;=4,-$E127*$I127/12*3,0))))))</f>
        <v>0</v>
      </c>
      <c r="CH127" s="416">
        <f>IF($H127&lt;&gt;CK$5,0,IF(CK127&lt;0,IF(OR($J127=1,$J127=2,$J127=3,$J127=4),-$E127*$I127/12*3,IF($J127=5,-$E127*$I127/12*2,IF($J127=6,-$E127*$I127/12*1,0)))))+IF(CF$5&lt;&gt;$H127,0,IF(CF127&lt;0,IF($J127=4,-$E127*$I127/12*0,IF($J127=5,-$E127*$I127/12*1,IF($J127=6,-$E127*$I127/12*2,IF($J127&gt;=7,-$E127*$I127/12*3,0))))))</f>
        <v>0</v>
      </c>
      <c r="CI127" s="416">
        <f>IF($H127&lt;&gt;CK$5,0,IF(CK127&lt;0,IF(OR($J127=1,$J127=2,$J127=3,$J127=4,$J127=5,$J127=6,$J127=7),-$E127*$I127/12*3,IF($J127=8,-$E127*$I127/12*2,IF($J127=9,-$E127*$I127/12*1,0)))))+IF(CF$5&lt;&gt;$H127,0,IF(CF127&lt;0,IF($J127=7,-$E127*$I127/12*0,IF($J127=8,-$E127*$I127/12*1,IF($J127=9,-$E127*$I127/12*2,IF($J127&gt;=10,-$E127*$I127/12*3,0))))))</f>
        <v>0</v>
      </c>
      <c r="CJ127" s="412">
        <f>IF($H127&lt;&gt;CK$5,0,IF(CK127&lt;0,IF(OR($J127=1,$J127=2,$J127=3,$J127=4,$J127=5,$J127=6,$J127=7,$J127=8,$J127=9,$J127=10),-$E127*$I127/12*3,IF($J127=11,-$E127*$I127/12*2,IF($J127=12,-$E127*$I127/12*1,0)))))+IF(CF$5&lt;&gt;$H127,0,IF(CF127&lt;0,IF($J127=10,-$E127*$I127/12*0,IF($J127=11,-$E127*$I127/12*1,IF($J127=12,-$E127*$I127/12*2,0)))))</f>
        <v>0</v>
      </c>
      <c r="CK127" s="413">
        <f>IF(AND(CF127&lt;&gt;0,CF$5=$H127),-$I127*$E127-CF127,IF(CK$5=$H127,-$I127*$E127*(12-$J127+1)/12,0))</f>
        <v>0</v>
      </c>
      <c r="CL127" s="410">
        <f>IF($H127&lt;&gt;CP$5,0,IF(CP127&lt;0,IF($J127=1,-$E127*$I127/12*3,IF($J127=2,-$E127*$I127/12*2,IF($J127=3,-$E127*$I127/12*1,0)))))+IF(CK$5&lt;&gt;$H127,0,IF(CK127&lt;0,IF($J127=1,-$E127*$I127/12*0,IF($J127=2,-$E127*$I127/12*1,IF($J127=3,-$E127*$I127/12*2,IF($J127&gt;=4,-$E127*$I127/12*3,0))))))</f>
        <v>0</v>
      </c>
      <c r="CM127" s="416">
        <f>IF($H127&lt;&gt;CP$5,0,IF(CP127&lt;0,IF(OR($J127=1,$J127=2,$J127=3,$J127=4),-$E127*$I127/12*3,IF($J127=5,-$E127*$I127/12*2,IF($J127=6,-$E127*$I127/12*1,0)))))+IF(CK$5&lt;&gt;$H127,0,IF(CK127&lt;0,IF($J127=4,-$E127*$I127/12*0,IF($J127=5,-$E127*$I127/12*1,IF($J127=6,-$E127*$I127/12*2,IF($J127&gt;=7,-$E127*$I127/12*3,0))))))</f>
        <v>0</v>
      </c>
      <c r="CN127" s="416">
        <f>IF($H127&lt;&gt;CP$5,0,IF(CP127&lt;0,IF(OR($J127=1,$J127=2,$J127=3,$J127=4,$J127=5,$J127=6,$J127=7),-$E127*$I127/12*3,IF($J127=8,-$E127*$I127/12*2,IF($J127=9,-$E127*$I127/12*1,0)))))+IF(CK$5&lt;&gt;$H127,0,IF(CK127&lt;0,IF($J127=7,-$E127*$I127/12*0,IF($J127=8,-$E127*$I127/12*1,IF($J127=9,-$E127*$I127/12*2,IF($J127&gt;=10,-$E127*$I127/12*3,0))))))</f>
        <v>0</v>
      </c>
      <c r="CO127" s="412">
        <f>IF($H127&lt;&gt;CP$5,0,IF(CP127&lt;0,IF(OR($J127=1,$J127=2,$J127=3,$J127=4,$J127=5,$J127=6,$J127=7,$J127=8,$J127=9,$J127=10),-$E127*$I127/12*3,IF($J127=11,-$E127*$I127/12*2,IF($J127=12,-$E127*$I127/12*1,0)))))+IF(CK$5&lt;&gt;$H127,0,IF(CK127&lt;0,IF($J127=10,-$E127*$I127/12*0,IF($J127=11,-$E127*$I127/12*1,IF($J127=12,-$E127*$I127/12*2,0)))))</f>
        <v>0</v>
      </c>
      <c r="CP127" s="413">
        <f>IF(AND(CK127&lt;&gt;0,CK$5=$H127),-$I127*$E127-CK127,IF(CP$5=$H127,-$I127*$E127*(12-$J127+1)/12,0))</f>
        <v>0</v>
      </c>
      <c r="CQ127" s="410">
        <f>IF($H127&lt;&gt;CU$5,0,IF(CU127&lt;0,IF($J127=1,-$E127*$I127/12*3,IF($J127=2,-$E127*$I127/12*2,IF($J127=3,-$E127*$I127/12*1,0)))))+IF(CP$5&lt;&gt;$H127,0,IF(CP127&lt;0,IF($J127=1,-$E127*$I127/12*0,IF($J127=2,-$E127*$I127/12*1,IF($J127=3,-$E127*$I127/12*2,IF($J127&gt;=4,-$E127*$I127/12*3,0))))))</f>
        <v>0</v>
      </c>
      <c r="CR127" s="416">
        <f>IF($H127&lt;&gt;CU$5,0,IF(CU127&lt;0,IF(OR($J127=1,$J127=2,$J127=3,$J127=4),-$E127*$I127/12*3,IF($J127=5,-$E127*$I127/12*2,IF($J127=6,-$E127*$I127/12*1,0)))))+IF(CP$5&lt;&gt;$H127,0,IF(CP127&lt;0,IF($J127=4,-$E127*$I127/12*0,IF($J127=5,-$E127*$I127/12*1,IF($J127=6,-$E127*$I127/12*2,IF($J127&gt;=7,-$E127*$I127/12*3,0))))))</f>
        <v>0</v>
      </c>
      <c r="CS127" s="416">
        <f>IF($H127&lt;&gt;CU$5,0,IF(CU127&lt;0,IF(OR($J127=1,$J127=2,$J127=3,$J127=4,$J127=5,$J127=6,$J127=7),-$E127*$I127/12*3,IF($J127=8,-$E127*$I127/12*2,IF($J127=9,-$E127*$I127/12*1,0)))))+IF(CP$5&lt;&gt;$H127,0,IF(CP127&lt;0,IF($J127=7,-$E127*$I127/12*0,IF($J127=8,-$E127*$I127/12*1,IF($J127=9,-$E127*$I127/12*2,IF($J127&gt;=10,-$E127*$I127/12*3,0))))))</f>
        <v>0</v>
      </c>
      <c r="CT127" s="412">
        <f>IF($H127&lt;&gt;CU$5,0,IF(CU127&lt;0,IF(OR($J127=1,$J127=2,$J127=3,$J127=4,$J127=5,$J127=6,$J127=7,$J127=8,$J127=9,$J127=10),-$E127*$I127/12*3,IF($J127=11,-$E127*$I127/12*2,IF($J127=12,-$E127*$I127/12*1,0)))))+IF(CP$5&lt;&gt;$H127,0,IF(CP127&lt;0,IF($J127=10,-$E127*$I127/12*0,IF($J127=11,-$E127*$I127/12*1,IF($J127=12,-$E127*$I127/12*2,0)))))</f>
        <v>0</v>
      </c>
      <c r="CU127" s="413">
        <f>IF(AND(CP127&lt;&gt;0,CP$5=$H127),-$I127*$E127-CP127,IF(CU$5=$H127,-$I127*$E127*(12-$J127+1)/12,0))</f>
        <v>0</v>
      </c>
      <c r="CV127" s="410">
        <f>IF($H127&lt;&gt;CZ$5,0,IF(CZ127&lt;0,IF($J127=1,-$E127*$I127/12*3,IF($J127=2,-$E127*$I127/12*2,IF($J127=3,-$E127*$I127/12*1,0)))))+IF(CU$5&lt;&gt;$H127,0,IF(CU127&lt;0,IF($J127=1,-$E127*$I127/12*0,IF($J127=2,-$E127*$I127/12*1,IF($J127=3,-$E127*$I127/12*2,IF($J127&gt;=4,-$E127*$I127/12*3,0))))))</f>
        <v>0</v>
      </c>
      <c r="CW127" s="416">
        <f>IF($H127&lt;&gt;CZ$5,0,IF(CZ127&lt;0,IF(OR($J127=1,$J127=2,$J127=3,$J127=4),-$E127*$I127/12*3,IF($J127=5,-$E127*$I127/12*2,IF($J127=6,-$E127*$I127/12*1,0)))))+IF(CU$5&lt;&gt;$H127,0,IF(CU127&lt;0,IF($J127=4,-$E127*$I127/12*0,IF($J127=5,-$E127*$I127/12*1,IF($J127=6,-$E127*$I127/12*2,IF($J127&gt;=7,-$E127*$I127/12*3,0))))))</f>
        <v>0</v>
      </c>
      <c r="CX127" s="416">
        <f>IF($H127&lt;&gt;CZ$5,0,IF(CZ127&lt;0,IF(OR($J127=1,$J127=2,$J127=3,$J127=4,$J127=5,$J127=6,$J127=7),-$E127*$I127/12*3,IF($J127=8,-$E127*$I127/12*2,IF($J127=9,-$E127*$I127/12*1,0)))))+IF(CU$5&lt;&gt;$H127,0,IF(CU127&lt;0,IF($J127=7,-$E127*$I127/12*0,IF($J127=8,-$E127*$I127/12*1,IF($J127=9,-$E127*$I127/12*2,IF($J127&gt;=10,-$E127*$I127/12*3,0))))))</f>
        <v>0</v>
      </c>
      <c r="CY127" s="412">
        <f>IF($H127&lt;&gt;CZ$5,0,IF(CZ127&lt;0,IF(OR($J127=1,$J127=2,$J127=3,$J127=4,$J127=5,$J127=6,$J127=7,$J127=8,$J127=9,$J127=10),-$E127*$I127/12*3,IF($J127=11,-$E127*$I127/12*2,IF($J127=12,-$E127*$I127/12*1,0)))))+IF(CU$5&lt;&gt;$H127,0,IF(CU127&lt;0,IF($J127=10,-$E127*$I127/12*0,IF($J127=11,-$E127*$I127/12*1,IF($J127=12,-$E127*$I127/12*2,0)))))</f>
        <v>0</v>
      </c>
      <c r="CZ127" s="413">
        <f>IF(AND(CU127&lt;&gt;0,CU$5=$H127),-$I127*$E127-CU127,IF(CZ$5=$H127,-$I127*$E127*(12-$J127+1)/12,0))</f>
        <v>0</v>
      </c>
      <c r="DA127" s="410">
        <f>IF($H127&lt;&gt;DE$5,0,IF(DE127&lt;0,IF($J127=1,-$E127*$I127/12*3,IF($J127=2,-$E127*$I127/12*2,IF($J127=3,-$E127*$I127/12*1,0)))))+IF(CZ$5&lt;&gt;$H127,0,IF(CZ127&lt;0,IF($J127=1,-$E127*$I127/12*0,IF($J127=2,-$E127*$I127/12*1,IF($J127=3,-$E127*$I127/12*2,IF($J127&gt;=4,-$E127*$I127/12*3,0))))))</f>
        <v>0</v>
      </c>
      <c r="DB127" s="416">
        <f>IF($H127&lt;&gt;DE$5,0,IF(DE127&lt;0,IF(OR($J127=1,$J127=2,$J127=3,$J127=4),-$E127*$I127/12*3,IF($J127=5,-$E127*$I127/12*2,IF($J127=6,-$E127*$I127/12*1,0)))))+IF(CZ$5&lt;&gt;$H127,0,IF(CZ127&lt;0,IF($J127=4,-$E127*$I127/12*0,IF($J127=5,-$E127*$I127/12*1,IF($J127=6,-$E127*$I127/12*2,IF($J127&gt;=7,-$E127*$I127/12*3,0))))))</f>
        <v>0</v>
      </c>
      <c r="DC127" s="416">
        <f>IF($H127&lt;&gt;DE$5,0,IF(DE127&lt;0,IF(OR($J127=1,$J127=2,$J127=3,$J127=4,$J127=5,$J127=6,$J127=7),-$E127*$I127/12*3,IF($J127=8,-$E127*$I127/12*2,IF($J127=9,-$E127*$I127/12*1,0)))))+IF(CZ$5&lt;&gt;$H127,0,IF(CZ127&lt;0,IF($J127=7,-$E127*$I127/12*0,IF($J127=8,-$E127*$I127/12*1,IF($J127=9,-$E127*$I127/12*2,IF($J127&gt;=10,-$E127*$I127/12*3,0))))))</f>
        <v>0</v>
      </c>
      <c r="DD127" s="412">
        <f>IF($H127&lt;&gt;DE$5,0,IF(DE127&lt;0,IF(OR($J127=1,$J127=2,$J127=3,$J127=4,$J127=5,$J127=6,$J127=7,$J127=8,$J127=9,$J127=10),-$E127*$I127/12*3,IF($J127=11,-$E127*$I127/12*2,IF($J127=12,-$E127*$I127/12*1,0)))))+IF(CZ$5&lt;&gt;$H127,0,IF(CZ127&lt;0,IF($J127=10,-$E127*$I127/12*0,IF($J127=11,-$E127*$I127/12*1,IF($J127=12,-$E127*$I127/12*2,0)))))</f>
        <v>0</v>
      </c>
      <c r="DE127" s="413">
        <f>IF(AND(CZ127&lt;&gt;0,CZ$5=$H127),-$I127*$E127-CZ127,IF(DE$5=$H127,-$I127*$E127*(12-$J127+1)/12,0))</f>
        <v>0</v>
      </c>
      <c r="DF127" s="410">
        <f>IF($H127&lt;&gt;DJ$5,0,IF(DJ127&lt;0,IF($J127=1,-$E127*$I127/12*3,IF($J127=2,-$E127*$I127/12*2,IF($J127=3,-$E127*$I127/12*1,0)))))+IF(DE$5&lt;&gt;$H127,0,IF(DE127&lt;0,IF($J127=1,-$E127*$I127/12*0,IF($J127=2,-$E127*$I127/12*1,IF($J127=3,-$E127*$I127/12*2,IF($J127&gt;=4,-$E127*$I127/12*3,0))))))</f>
        <v>0</v>
      </c>
      <c r="DG127" s="416">
        <f>IF($H127&lt;&gt;DJ$5,0,IF(DJ127&lt;0,IF(OR($J127=1,$J127=2,$J127=3,$J127=4),-$E127*$I127/12*3,IF($J127=5,-$E127*$I127/12*2,IF($J127=6,-$E127*$I127/12*1,0)))))+IF(DE$5&lt;&gt;$H127,0,IF(DE127&lt;0,IF($J127=4,-$E127*$I127/12*0,IF($J127=5,-$E127*$I127/12*1,IF($J127=6,-$E127*$I127/12*2,IF($J127&gt;=7,-$E127*$I127/12*3,0))))))</f>
        <v>0</v>
      </c>
      <c r="DH127" s="416">
        <f>IF($H127&lt;&gt;DJ$5,0,IF(DJ127&lt;0,IF(OR($J127=1,$J127=2,$J127=3,$J127=4,$J127=5,$J127=6,$J127=7),-$E127*$I127/12*3,IF($J127=8,-$E127*$I127/12*2,IF($J127=9,-$E127*$I127/12*1,0)))))+IF(DE$5&lt;&gt;$H127,0,IF(DE127&lt;0,IF($J127=7,-$E127*$I127/12*0,IF($J127=8,-$E127*$I127/12*1,IF($J127=9,-$E127*$I127/12*2,IF($J127&gt;=10,-$E127*$I127/12*3,0))))))</f>
        <v>0</v>
      </c>
      <c r="DI127" s="412">
        <f>IF($H127&lt;&gt;DJ$5,0,IF(DJ127&lt;0,IF(OR($J127=1,$J127=2,$J127=3,$J127=4,$J127=5,$J127=6,$J127=7,$J127=8,$J127=9,$J127=10),-$E127*$I127/12*3,IF($J127=11,-$E127*$I127/12*2,IF($J127=12,-$E127*$I127/12*1,0)))))+IF(DE$5&lt;&gt;$H127,0,IF(DE127&lt;0,IF($J127=10,-$E127*$I127/12*0,IF($J127=11,-$E127*$I127/12*1,IF($J127=12,-$E127*$I127/12*2,0)))))</f>
        <v>0</v>
      </c>
      <c r="DJ127" s="413">
        <f>IF(AND(DE127&lt;&gt;0,DE$5=$H127),-$I127*$E127-DE127,IF(DJ$5=$H127,-$I127*$E127*(12-$J127+1)/12,0))</f>
        <v>0</v>
      </c>
      <c r="DK127" s="410">
        <f>IF($H127&lt;&gt;DO$5,0,IF(DO127&lt;0,IF($J127=1,-$E127*$I127/12*3,IF($J127=2,-$E127*$I127/12*2,IF($J127=3,-$E127*$I127/12*1,0)))))+IF(DJ$5&lt;&gt;$H127,0,IF(DJ127&lt;0,IF($J127=1,-$E127*$I127/12*0,IF($J127=2,-$E127*$I127/12*1,IF($J127=3,-$E127*$I127/12*2,IF($J127&gt;=4,-$E127*$I127/12*3,0))))))</f>
        <v>0</v>
      </c>
      <c r="DL127" s="416">
        <f>IF($H127&lt;&gt;DO$5,0,IF(DO127&lt;0,IF(OR($J127=1,$J127=2,$J127=3,$J127=4),-$E127*$I127/12*3,IF($J127=5,-$E127*$I127/12*2,IF($J127=6,-$E127*$I127/12*1,0)))))+IF(DJ$5&lt;&gt;$H127,0,IF(DJ127&lt;0,IF($J127=4,-$E127*$I127/12*0,IF($J127=5,-$E127*$I127/12*1,IF($J127=6,-$E127*$I127/12*2,IF($J127&gt;=7,-$E127*$I127/12*3,0))))))</f>
        <v>0</v>
      </c>
      <c r="DM127" s="416">
        <f>IF($H127&lt;&gt;DO$5,0,IF(DO127&lt;0,IF(OR($J127=1,$J127=2,$J127=3,$J127=4,$J127=5,$J127=6,$J127=7),-$E127*$I127/12*3,IF($J127=8,-$E127*$I127/12*2,IF($J127=9,-$E127*$I127/12*1,0)))))+IF(DJ$5&lt;&gt;$H127,0,IF(DJ127&lt;0,IF($J127=7,-$E127*$I127/12*0,IF($J127=8,-$E127*$I127/12*1,IF($J127=9,-$E127*$I127/12*2,IF($J127&gt;=10,-$E127*$I127/12*3,0))))))</f>
        <v>0</v>
      </c>
      <c r="DN127" s="412">
        <f>IF($H127&lt;&gt;DO$5,0,IF(DO127&lt;0,IF(OR($J127=1,$J127=2,$J127=3,$J127=4,$J127=5,$J127=6,$J127=7,$J127=8,$J127=9,$J127=10),-$E127*$I127/12*3,IF($J127=11,-$E127*$I127/12*2,IF($J127=12,-$E127*$I127/12*1,0)))))+IF(DJ$5&lt;&gt;$H127,0,IF(DJ127&lt;0,IF($J127=10,-$E127*$I127/12*0,IF($J127=11,-$E127*$I127/12*1,IF($J127=12,-$E127*$I127/12*2,0)))))</f>
        <v>0</v>
      </c>
      <c r="DO127" s="413">
        <f>IF(AND(DJ127&lt;&gt;0,DJ$5=$H127),-$I127*$E127-DJ127,IF(DO$5=$H127,-$I127*$E127*(12-$J127+1)/12,0))</f>
        <v>0</v>
      </c>
      <c r="DP127" s="410">
        <f>IF($H127&lt;&gt;DT$5,0,IF(DT127&lt;0,IF($J127=1,-$E127*$I127/12*3,IF($J127=2,-$E127*$I127/12*2,IF($J127=3,-$E127*$I127/12*1,0)))))+IF(DO$5&lt;&gt;$H127,0,IF(DO127&lt;0,IF($J127=1,-$E127*$I127/12*0,IF($J127=2,-$E127*$I127/12*1,IF($J127=3,-$E127*$I127/12*2,IF($J127&gt;=4,-$E127*$I127/12*3,0))))))</f>
        <v>0</v>
      </c>
      <c r="DQ127" s="416">
        <f>IF($H127&lt;&gt;DT$5,0,IF(DT127&lt;0,IF(OR($J127=1,$J127=2,$J127=3,$J127=4),-$E127*$I127/12*3,IF($J127=5,-$E127*$I127/12*2,IF($J127=6,-$E127*$I127/12*1,0)))))+IF(DO$5&lt;&gt;$H127,0,IF(DO127&lt;0,IF($J127=4,-$E127*$I127/12*0,IF($J127=5,-$E127*$I127/12*1,IF($J127=6,-$E127*$I127/12*2,IF($J127&gt;=7,-$E127*$I127/12*3,0))))))</f>
        <v>-0.60539604749999998</v>
      </c>
      <c r="DR127" s="416">
        <f>IF($H127&lt;&gt;DT$5,0,IF(DT127&lt;0,IF(OR($J127=1,$J127=2,$J127=3,$J127=4,$J127=5,$J127=6,$J127=7),-$E127*$I127/12*3,IF($J127=8,-$E127*$I127/12*2,IF($J127=9,-$E127*$I127/12*1,0)))))+IF(DO$5&lt;&gt;$H127,0,IF(DO127&lt;0,IF($J127=7,-$E127*$I127/12*0,IF($J127=8,-$E127*$I127/12*1,IF($J127=9,-$E127*$I127/12*2,IF($J127&gt;=10,-$E127*$I127/12*3,0))))))</f>
        <v>-0.60539604749999998</v>
      </c>
      <c r="DS127" s="412">
        <f>IF($H127&lt;&gt;DT$5,0,IF(DT127&lt;0,IF(OR($J127=1,$J127=2,$J127=3,$J127=4,$J127=5,$J127=6,$J127=7,$J127=8,$J127=9,$J127=10),-$E127*$I127/12*3,IF($J127=11,-$E127*$I127/12*2,IF($J127=12,-$E127*$I127/12*1,0)))))+IF(DO$5&lt;&gt;$H127,0,IF(DO127&lt;0,IF($J127=10,-$E127*$I127/12*0,IF($J127=11,-$E127*$I127/12*1,IF($J127=12,-$E127*$I127/12*2,0)))))</f>
        <v>-0.60539604749999998</v>
      </c>
      <c r="DT127" s="413">
        <f>IF(AND(DO127&lt;&gt;0,DO$5=$H127),-$I127*$E127-DO127,IF(DT$5=$H127,-$I127*$E127*(12-$J127+1)/12,0))</f>
        <v>-1.8161881424999999</v>
      </c>
    </row>
    <row r="128" spans="1:124" ht="12.75" customHeight="1">
      <c r="A128" s="491"/>
      <c r="C128" s="1884" t="s">
        <v>408</v>
      </c>
      <c r="D128" s="559"/>
      <c r="E128" s="1886">
        <f t="shared" si="893"/>
        <v>68.170302000000007</v>
      </c>
      <c r="F128" s="1532">
        <v>68.170302000000007</v>
      </c>
      <c r="G128" s="1532">
        <v>0</v>
      </c>
      <c r="H128" s="610">
        <v>2022</v>
      </c>
      <c r="I128" s="1534">
        <v>4.4999999999999998E-2</v>
      </c>
      <c r="J128" s="615">
        <v>3</v>
      </c>
      <c r="K128" s="402"/>
      <c r="L128" s="407">
        <f t="shared" si="894"/>
        <v>0</v>
      </c>
      <c r="M128" s="404">
        <f t="shared" si="895"/>
        <v>0</v>
      </c>
      <c r="N128" s="414">
        <f t="shared" si="896"/>
        <v>0</v>
      </c>
      <c r="O128" s="414">
        <f t="shared" si="897"/>
        <v>0</v>
      </c>
      <c r="P128" s="406">
        <f t="shared" si="898"/>
        <v>0</v>
      </c>
      <c r="Q128" s="407">
        <f t="shared" si="899"/>
        <v>0</v>
      </c>
      <c r="R128" s="404">
        <f t="shared" si="900"/>
        <v>0</v>
      </c>
      <c r="S128" s="414">
        <f t="shared" si="901"/>
        <v>0</v>
      </c>
      <c r="T128" s="414">
        <f t="shared" si="902"/>
        <v>0</v>
      </c>
      <c r="U128" s="406">
        <f t="shared" si="903"/>
        <v>0</v>
      </c>
      <c r="V128" s="407">
        <f t="shared" si="904"/>
        <v>0</v>
      </c>
      <c r="W128" s="404">
        <f t="shared" si="905"/>
        <v>0</v>
      </c>
      <c r="X128" s="414">
        <f t="shared" si="906"/>
        <v>0</v>
      </c>
      <c r="Y128" s="414">
        <f t="shared" si="907"/>
        <v>0</v>
      </c>
      <c r="Z128" s="406">
        <f t="shared" si="908"/>
        <v>0</v>
      </c>
      <c r="AA128" s="407">
        <f t="shared" si="909"/>
        <v>0</v>
      </c>
      <c r="AB128" s="404">
        <f t="shared" si="910"/>
        <v>0</v>
      </c>
      <c r="AC128" s="414">
        <f t="shared" si="911"/>
        <v>0</v>
      </c>
      <c r="AD128" s="414">
        <f t="shared" si="912"/>
        <v>0</v>
      </c>
      <c r="AE128" s="406">
        <f t="shared" si="913"/>
        <v>0</v>
      </c>
      <c r="AF128" s="407">
        <f t="shared" si="914"/>
        <v>0</v>
      </c>
      <c r="AG128" s="404">
        <f t="shared" si="915"/>
        <v>0</v>
      </c>
      <c r="AH128" s="414">
        <f t="shared" si="916"/>
        <v>0</v>
      </c>
      <c r="AI128" s="414">
        <f t="shared" si="917"/>
        <v>0</v>
      </c>
      <c r="AJ128" s="406">
        <f t="shared" si="918"/>
        <v>0</v>
      </c>
      <c r="AK128" s="407">
        <f t="shared" si="919"/>
        <v>0</v>
      </c>
      <c r="AL128" s="404">
        <f t="shared" si="920"/>
        <v>0</v>
      </c>
      <c r="AM128" s="414">
        <f t="shared" si="921"/>
        <v>0</v>
      </c>
      <c r="AN128" s="414">
        <f t="shared" si="922"/>
        <v>0</v>
      </c>
      <c r="AO128" s="406">
        <f t="shared" si="923"/>
        <v>0</v>
      </c>
      <c r="AP128" s="407">
        <f t="shared" si="924"/>
        <v>0</v>
      </c>
      <c r="AQ128" s="404">
        <f t="shared" si="925"/>
        <v>0</v>
      </c>
      <c r="AR128" s="414">
        <f t="shared" si="926"/>
        <v>0</v>
      </c>
      <c r="AS128" s="414">
        <f t="shared" si="927"/>
        <v>0</v>
      </c>
      <c r="AT128" s="406">
        <f t="shared" si="928"/>
        <v>0</v>
      </c>
      <c r="AU128" s="407">
        <f t="shared" si="929"/>
        <v>0</v>
      </c>
      <c r="AV128" s="404">
        <f t="shared" si="930"/>
        <v>0</v>
      </c>
      <c r="AW128" s="414">
        <f t="shared" si="931"/>
        <v>0</v>
      </c>
      <c r="AX128" s="414">
        <f t="shared" si="932"/>
        <v>0</v>
      </c>
      <c r="AY128" s="406">
        <f t="shared" si="933"/>
        <v>0</v>
      </c>
      <c r="AZ128" s="407">
        <f t="shared" si="934"/>
        <v>0</v>
      </c>
      <c r="BA128" s="404">
        <f t="shared" si="935"/>
        <v>0</v>
      </c>
      <c r="BB128" s="414">
        <f t="shared" si="936"/>
        <v>0</v>
      </c>
      <c r="BC128" s="414">
        <f t="shared" si="937"/>
        <v>0</v>
      </c>
      <c r="BD128" s="406">
        <f t="shared" si="938"/>
        <v>0</v>
      </c>
      <c r="BE128" s="407">
        <f t="shared" si="939"/>
        <v>0</v>
      </c>
      <c r="BF128" s="404">
        <f t="shared" si="940"/>
        <v>0</v>
      </c>
      <c r="BG128" s="414">
        <f t="shared" si="941"/>
        <v>0</v>
      </c>
      <c r="BH128" s="414">
        <f t="shared" si="942"/>
        <v>0</v>
      </c>
      <c r="BI128" s="406">
        <f t="shared" si="943"/>
        <v>0</v>
      </c>
      <c r="BJ128" s="407">
        <f t="shared" si="944"/>
        <v>0</v>
      </c>
      <c r="BK128" s="404">
        <f t="shared" si="945"/>
        <v>0</v>
      </c>
      <c r="BL128" s="414">
        <f t="shared" si="946"/>
        <v>0</v>
      </c>
      <c r="BM128" s="414">
        <f t="shared" si="947"/>
        <v>0</v>
      </c>
      <c r="BN128" s="406">
        <f t="shared" si="948"/>
        <v>0</v>
      </c>
      <c r="BO128" s="407">
        <f t="shared" si="949"/>
        <v>0</v>
      </c>
      <c r="BP128" s="449"/>
      <c r="BQ128" s="413">
        <f t="shared" si="950"/>
        <v>0</v>
      </c>
      <c r="BR128" s="410">
        <f t="shared" si="951"/>
        <v>0</v>
      </c>
      <c r="BS128" s="416">
        <f t="shared" si="952"/>
        <v>0</v>
      </c>
      <c r="BT128" s="416">
        <f t="shared" si="953"/>
        <v>0</v>
      </c>
      <c r="BU128" s="412">
        <f t="shared" si="954"/>
        <v>0</v>
      </c>
      <c r="BV128" s="413">
        <f t="shared" si="955"/>
        <v>0</v>
      </c>
      <c r="BW128" s="410">
        <f t="shared" si="956"/>
        <v>0</v>
      </c>
      <c r="BX128" s="416">
        <f t="shared" si="957"/>
        <v>0</v>
      </c>
      <c r="BY128" s="416">
        <f t="shared" si="958"/>
        <v>0</v>
      </c>
      <c r="BZ128" s="412">
        <f t="shared" si="959"/>
        <v>0</v>
      </c>
      <c r="CA128" s="413">
        <f t="shared" si="960"/>
        <v>0</v>
      </c>
      <c r="CB128" s="410">
        <f t="shared" si="961"/>
        <v>0</v>
      </c>
      <c r="CC128" s="416">
        <f t="shared" si="962"/>
        <v>0</v>
      </c>
      <c r="CD128" s="416">
        <f t="shared" si="963"/>
        <v>0</v>
      </c>
      <c r="CE128" s="412">
        <f t="shared" si="964"/>
        <v>0</v>
      </c>
      <c r="CF128" s="413">
        <f t="shared" si="965"/>
        <v>0</v>
      </c>
      <c r="CG128" s="410">
        <f t="shared" si="966"/>
        <v>0</v>
      </c>
      <c r="CH128" s="416">
        <f t="shared" si="967"/>
        <v>0</v>
      </c>
      <c r="CI128" s="416">
        <f t="shared" si="968"/>
        <v>0</v>
      </c>
      <c r="CJ128" s="412">
        <f t="shared" si="969"/>
        <v>0</v>
      </c>
      <c r="CK128" s="413">
        <f t="shared" si="970"/>
        <v>0</v>
      </c>
      <c r="CL128" s="410">
        <f t="shared" si="971"/>
        <v>0</v>
      </c>
      <c r="CM128" s="416">
        <f t="shared" si="972"/>
        <v>0</v>
      </c>
      <c r="CN128" s="416">
        <f t="shared" si="973"/>
        <v>0</v>
      </c>
      <c r="CO128" s="412">
        <f t="shared" si="974"/>
        <v>0</v>
      </c>
      <c r="CP128" s="413">
        <f t="shared" si="975"/>
        <v>0</v>
      </c>
      <c r="CQ128" s="410">
        <f t="shared" si="976"/>
        <v>0</v>
      </c>
      <c r="CR128" s="416">
        <f t="shared" si="977"/>
        <v>0</v>
      </c>
      <c r="CS128" s="416">
        <f t="shared" si="978"/>
        <v>0</v>
      </c>
      <c r="CT128" s="412">
        <f t="shared" si="979"/>
        <v>0</v>
      </c>
      <c r="CU128" s="413">
        <f t="shared" si="980"/>
        <v>0</v>
      </c>
      <c r="CV128" s="410">
        <f t="shared" si="981"/>
        <v>0</v>
      </c>
      <c r="CW128" s="416">
        <f t="shared" si="982"/>
        <v>0</v>
      </c>
      <c r="CX128" s="416">
        <f t="shared" si="983"/>
        <v>0</v>
      </c>
      <c r="CY128" s="412">
        <f t="shared" si="984"/>
        <v>0</v>
      </c>
      <c r="CZ128" s="413">
        <f t="shared" si="985"/>
        <v>0</v>
      </c>
      <c r="DA128" s="410">
        <f t="shared" si="986"/>
        <v>0</v>
      </c>
      <c r="DB128" s="416">
        <f t="shared" si="987"/>
        <v>0</v>
      </c>
      <c r="DC128" s="416">
        <f t="shared" si="988"/>
        <v>0</v>
      </c>
      <c r="DD128" s="412">
        <f t="shared" si="989"/>
        <v>0</v>
      </c>
      <c r="DE128" s="413">
        <f t="shared" si="990"/>
        <v>0</v>
      </c>
      <c r="DF128" s="410">
        <f t="shared" si="991"/>
        <v>0</v>
      </c>
      <c r="DG128" s="416">
        <f t="shared" si="992"/>
        <v>0</v>
      </c>
      <c r="DH128" s="416">
        <f t="shared" si="993"/>
        <v>0</v>
      </c>
      <c r="DI128" s="412">
        <f t="shared" si="994"/>
        <v>0</v>
      </c>
      <c r="DJ128" s="413">
        <f t="shared" si="995"/>
        <v>0</v>
      </c>
      <c r="DK128" s="410">
        <f t="shared" si="996"/>
        <v>0</v>
      </c>
      <c r="DL128" s="416">
        <f t="shared" si="997"/>
        <v>0</v>
      </c>
      <c r="DM128" s="416">
        <f t="shared" si="998"/>
        <v>0</v>
      </c>
      <c r="DN128" s="412">
        <f t="shared" si="999"/>
        <v>0</v>
      </c>
      <c r="DO128" s="413">
        <f t="shared" si="1000"/>
        <v>0</v>
      </c>
      <c r="DP128" s="410">
        <f t="shared" si="1001"/>
        <v>0</v>
      </c>
      <c r="DQ128" s="416">
        <f t="shared" si="1002"/>
        <v>0</v>
      </c>
      <c r="DR128" s="416">
        <f t="shared" si="1003"/>
        <v>0</v>
      </c>
      <c r="DS128" s="412">
        <f t="shared" si="1004"/>
        <v>0</v>
      </c>
      <c r="DT128" s="413">
        <f t="shared" si="1005"/>
        <v>0</v>
      </c>
    </row>
    <row r="129" spans="1:124" ht="12.75" customHeight="1">
      <c r="A129" s="491"/>
      <c r="C129" s="525"/>
      <c r="D129" s="525"/>
      <c r="E129" s="1531"/>
      <c r="F129" s="1535"/>
      <c r="G129" s="1535"/>
      <c r="H129" s="610"/>
      <c r="I129" s="1533"/>
      <c r="J129" s="615"/>
      <c r="K129" s="402"/>
      <c r="L129" s="407"/>
      <c r="M129" s="404"/>
      <c r="N129" s="414"/>
      <c r="O129" s="414"/>
      <c r="P129" s="406"/>
      <c r="Q129" s="407"/>
      <c r="R129" s="404"/>
      <c r="S129" s="414"/>
      <c r="T129" s="414"/>
      <c r="U129" s="406"/>
      <c r="V129" s="407"/>
      <c r="W129" s="404"/>
      <c r="X129" s="414"/>
      <c r="Y129" s="414"/>
      <c r="Z129" s="406"/>
      <c r="AA129" s="407"/>
      <c r="AB129" s="404"/>
      <c r="AC129" s="414"/>
      <c r="AD129" s="414"/>
      <c r="AE129" s="406"/>
      <c r="AF129" s="407"/>
      <c r="AG129" s="404"/>
      <c r="AH129" s="414"/>
      <c r="AI129" s="414"/>
      <c r="AJ129" s="406"/>
      <c r="AK129" s="407"/>
      <c r="AL129" s="404"/>
      <c r="AM129" s="414"/>
      <c r="AN129" s="414"/>
      <c r="AO129" s="406"/>
      <c r="AP129" s="407"/>
      <c r="AQ129" s="404"/>
      <c r="AR129" s="414"/>
      <c r="AS129" s="414"/>
      <c r="AT129" s="406"/>
      <c r="AU129" s="407"/>
      <c r="AV129" s="404"/>
      <c r="AW129" s="414"/>
      <c r="AX129" s="414"/>
      <c r="AY129" s="406"/>
      <c r="AZ129" s="407"/>
      <c r="BA129" s="404"/>
      <c r="BB129" s="414"/>
      <c r="BC129" s="414"/>
      <c r="BD129" s="406"/>
      <c r="BE129" s="407"/>
      <c r="BF129" s="404"/>
      <c r="BG129" s="414"/>
      <c r="BH129" s="414"/>
      <c r="BI129" s="406"/>
      <c r="BJ129" s="407"/>
      <c r="BK129" s="404"/>
      <c r="BL129" s="414"/>
      <c r="BM129" s="414"/>
      <c r="BN129" s="406"/>
      <c r="BO129" s="407"/>
      <c r="BP129" s="449"/>
      <c r="BQ129" s="413"/>
      <c r="BR129" s="410"/>
      <c r="BS129" s="416"/>
      <c r="BT129" s="416"/>
      <c r="BU129" s="412"/>
      <c r="BV129" s="413"/>
      <c r="BW129" s="410"/>
      <c r="BX129" s="416"/>
      <c r="BY129" s="416"/>
      <c r="BZ129" s="412"/>
      <c r="CA129" s="413"/>
      <c r="CB129" s="410"/>
      <c r="CC129" s="416"/>
      <c r="CD129" s="416"/>
      <c r="CE129" s="412"/>
      <c r="CF129" s="413"/>
      <c r="CG129" s="410"/>
      <c r="CH129" s="416"/>
      <c r="CI129" s="416"/>
      <c r="CJ129" s="412"/>
      <c r="CK129" s="413"/>
      <c r="CL129" s="410"/>
      <c r="CM129" s="416"/>
      <c r="CN129" s="416"/>
      <c r="CO129" s="412"/>
      <c r="CP129" s="413"/>
      <c r="CQ129" s="410"/>
      <c r="CR129" s="416"/>
      <c r="CS129" s="416"/>
      <c r="CT129" s="412"/>
      <c r="CU129" s="413"/>
      <c r="CV129" s="410"/>
      <c r="CW129" s="416"/>
      <c r="CX129" s="416"/>
      <c r="CY129" s="412"/>
      <c r="CZ129" s="413"/>
      <c r="DA129" s="410"/>
      <c r="DB129" s="416"/>
      <c r="DC129" s="416"/>
      <c r="DD129" s="412"/>
      <c r="DE129" s="413"/>
      <c r="DF129" s="410"/>
      <c r="DG129" s="416"/>
      <c r="DH129" s="416"/>
      <c r="DI129" s="412"/>
      <c r="DJ129" s="413"/>
      <c r="DK129" s="410"/>
      <c r="DL129" s="416"/>
      <c r="DM129" s="416"/>
      <c r="DN129" s="412"/>
      <c r="DO129" s="413"/>
      <c r="DP129" s="410"/>
      <c r="DQ129" s="416"/>
      <c r="DR129" s="416"/>
      <c r="DS129" s="412"/>
      <c r="DT129" s="413"/>
    </row>
    <row r="130" spans="1:124" ht="12.75" customHeight="1">
      <c r="A130" s="491"/>
      <c r="C130" s="601" t="s">
        <v>1294</v>
      </c>
      <c r="D130" s="601"/>
      <c r="E130" s="1886">
        <f>IF(F130=0,G130,F130)</f>
        <v>200</v>
      </c>
      <c r="F130" s="1532">
        <v>200</v>
      </c>
      <c r="G130" s="1532">
        <v>200</v>
      </c>
      <c r="H130" s="610">
        <v>2018</v>
      </c>
      <c r="I130" s="828">
        <v>4.4999999999999998E-2</v>
      </c>
      <c r="J130" s="615">
        <v>5</v>
      </c>
      <c r="K130" s="402"/>
      <c r="L130" s="407">
        <f>IF(L$5=$H130,-$E130,0)</f>
        <v>0</v>
      </c>
      <c r="M130" s="404">
        <f>IF(Q130=0,0,IF(Q130&lt;0,IF($J130=3,Q130,IF($J130=2,Q130,IF($J130=1,Q130,0)))))</f>
        <v>0</v>
      </c>
      <c r="N130" s="414">
        <f>IF(Q130=0,0,IF(Q130&lt;0,IF($J130=6,Q130,IF($J130=5,Q130,IF($J130=4,Q130,0)))))</f>
        <v>0</v>
      </c>
      <c r="O130" s="414">
        <f>IF(Q130=0,0,IF(Q130&lt;0,IF($J130=9,Q130,IF($J130=8,Q130,IF($J130=7,Q130,0)))))</f>
        <v>0</v>
      </c>
      <c r="P130" s="406">
        <f>IF(Q130=0,0,IF(Q130&lt;0,IF($J130=12,Q130,IF($J130=11,Q130,IF($J130=10,Q130,0)))))</f>
        <v>0</v>
      </c>
      <c r="Q130" s="407">
        <f>IF(Q$5=$H130,-$E130,0)</f>
        <v>0</v>
      </c>
      <c r="R130" s="404">
        <f>IF(V130=0,0,IF(V130&lt;0,IF($J130=3,V130,IF($J130=2,V130,IF($J130=1,V130,0)))))</f>
        <v>0</v>
      </c>
      <c r="S130" s="414">
        <f>IF(V130=0,0,IF(V130&lt;0,IF($J130=6,V130,IF($J130=5,V130,IF($J130=4,V130,0)))))</f>
        <v>0</v>
      </c>
      <c r="T130" s="414">
        <f>IF(V130=0,0,IF(V130&lt;0,IF($J130=9,V130,IF($J130=8,V130,IF($J130=7,V130,0)))))</f>
        <v>0</v>
      </c>
      <c r="U130" s="406">
        <f>IF(V130=0,0,IF(V130&lt;0,IF($J130=12,V130,IF($J130=11,V130,IF($J130=10,V130,0)))))</f>
        <v>0</v>
      </c>
      <c r="V130" s="407">
        <f>IF(V$5=$H130,-$E130,0)</f>
        <v>0</v>
      </c>
      <c r="W130" s="404">
        <f>IF(AA130=0,0,IF(AA130&lt;0,IF($J130=3,AA130,IF($J130=2,AA130,IF($J130=1,AA130,0)))))</f>
        <v>0</v>
      </c>
      <c r="X130" s="414">
        <f>IF(AA130=0,0,IF(AA130&lt;0,IF($J130=6,AA130,IF($J130=5,AA130,IF($J130=4,AA130,0)))))</f>
        <v>0</v>
      </c>
      <c r="Y130" s="414">
        <f>IF(AA130=0,0,IF(AA130&lt;0,IF($J130=9,AA130,IF($J130=8,AA130,IF($J130=7,AA130,0)))))</f>
        <v>0</v>
      </c>
      <c r="Z130" s="406">
        <f>IF(AA130=0,0,IF(AA130&lt;0,IF($J130=12,AA130,IF($J130=11,AA130,IF($J130=10,AA130,0)))))</f>
        <v>0</v>
      </c>
      <c r="AA130" s="407">
        <f>IF(AA$5=$H130,-$E130,0)</f>
        <v>0</v>
      </c>
      <c r="AB130" s="404">
        <f>IF(AF130=0,0,IF(AF130&lt;0,IF($J130=3,AF130,IF($J130=2,AF130,IF($J130=1,AF130,0)))))</f>
        <v>0</v>
      </c>
      <c r="AC130" s="414">
        <f>IF(AF130=0,0,IF(AF130&lt;0,IF($J130=6,AF130,IF($J130=5,AF130,IF($J130=4,AF130,0)))))</f>
        <v>0</v>
      </c>
      <c r="AD130" s="414">
        <f>IF(AF130=0,0,IF(AF130&lt;0,IF($J130=9,AF130,IF($J130=8,AF130,IF($J130=7,AF130,0)))))</f>
        <v>0</v>
      </c>
      <c r="AE130" s="406">
        <f>IF(AF130=0,0,IF(AF130&lt;0,IF($J130=12,AF130,IF($J130=11,AF130,IF($J130=10,AF130,0)))))</f>
        <v>0</v>
      </c>
      <c r="AF130" s="407">
        <f>IF(AF$5=$H130,-$E130,0)</f>
        <v>0</v>
      </c>
      <c r="AG130" s="404">
        <f>IF(AK130=0,0,IF(AK130&lt;0,IF($J130=3,AK130,IF($J130=2,AK130,IF($J130=1,AK130,0)))))</f>
        <v>0</v>
      </c>
      <c r="AH130" s="414">
        <f>IF(AK130=0,0,IF(AK130&lt;0,IF($J130=6,AK130,IF($J130=5,AK130,IF($J130=4,AK130,0)))))</f>
        <v>0</v>
      </c>
      <c r="AI130" s="414">
        <f>IF(AK130=0,0,IF(AK130&lt;0,IF($J130=9,AK130,IF($J130=8,AK130,IF($J130=7,AK130,0)))))</f>
        <v>0</v>
      </c>
      <c r="AJ130" s="406">
        <f>IF(AK130=0,0,IF(AK130&lt;0,IF($J130=12,AK130,IF($J130=11,AK130,IF($J130=10,AK130,0)))))</f>
        <v>0</v>
      </c>
      <c r="AK130" s="407">
        <f>IF(AK$5=$H130,-$E130,0)</f>
        <v>0</v>
      </c>
      <c r="AL130" s="404">
        <f>IF(AP130=0,0,IF(AP130&lt;0,IF($J130=3,AP130,IF($J130=2,AP130,IF($J130=1,AP130,0)))))</f>
        <v>0</v>
      </c>
      <c r="AM130" s="414">
        <f>IF(AP130=0,0,IF(AP130&lt;0,IF($J130=6,AP130,IF($J130=5,AP130,IF($J130=4,AP130,0)))))</f>
        <v>0</v>
      </c>
      <c r="AN130" s="414">
        <f>IF(AP130=0,0,IF(AP130&lt;0,IF($J130=9,AP130,IF($J130=8,AP130,IF($J130=7,AP130,0)))))</f>
        <v>0</v>
      </c>
      <c r="AO130" s="406">
        <f>IF(AP130=0,0,IF(AP130&lt;0,IF($J130=12,AP130,IF($J130=11,AP130,IF($J130=10,AP130,0)))))</f>
        <v>0</v>
      </c>
      <c r="AP130" s="407">
        <f>IF(AP$5=$H130,-$E130,0)</f>
        <v>0</v>
      </c>
      <c r="AQ130" s="404">
        <f>IF(AU130=0,0,IF(AU130&lt;0,IF($J130=3,AU130,IF($J130=2,AU130,IF($J130=1,AU130,0)))))</f>
        <v>0</v>
      </c>
      <c r="AR130" s="414">
        <f>IF(AU130=0,0,IF(AU130&lt;0,IF($J130=6,AU130,IF($J130=5,AU130,IF($J130=4,AU130,0)))))</f>
        <v>0</v>
      </c>
      <c r="AS130" s="414">
        <f>IF(AU130=0,0,IF(AU130&lt;0,IF($J130=9,AU130,IF($J130=8,AU130,IF($J130=7,AU130,0)))))</f>
        <v>0</v>
      </c>
      <c r="AT130" s="406">
        <f>IF(AU130=0,0,IF(AU130&lt;0,IF($J130=12,AU130,IF($J130=11,AU130,IF($J130=10,AU130,0)))))</f>
        <v>0</v>
      </c>
      <c r="AU130" s="407">
        <f>IF(AU$5=$H130,-$E130,0)</f>
        <v>0</v>
      </c>
      <c r="AV130" s="404">
        <f>IF(AZ130=0,0,IF(AZ130&lt;0,IF($J130=3,AZ130,IF($J130=2,AZ130,IF($J130=1,AZ130,0)))))</f>
        <v>0</v>
      </c>
      <c r="AW130" s="414">
        <f>IF(AZ130=0,0,IF(AZ130&lt;0,IF($J130=6,AZ130,IF($J130=5,AZ130,IF($J130=4,AZ130,0)))))</f>
        <v>-200</v>
      </c>
      <c r="AX130" s="414">
        <f>IF(AZ130=0,0,IF(AZ130&lt;0,IF($J130=9,AZ130,IF($J130=8,AZ130,IF($J130=7,AZ130,0)))))</f>
        <v>0</v>
      </c>
      <c r="AY130" s="406">
        <f>IF(AZ130=0,0,IF(AZ130&lt;0,IF($J130=12,AZ130,IF($J130=11,AZ130,IF($J130=10,AZ130,0)))))</f>
        <v>0</v>
      </c>
      <c r="AZ130" s="407">
        <f>IF(AZ$5=$H130,-$E130,0)</f>
        <v>-200</v>
      </c>
      <c r="BA130" s="404">
        <f>IF(BE130=0,0,IF(BE130&lt;0,IF($J130=3,BE130,IF($J130=2,BE130,IF($J130=1,BE130,0)))))</f>
        <v>0</v>
      </c>
      <c r="BB130" s="414">
        <f>IF(BE130=0,0,IF(BE130&lt;0,IF($J130=6,BE130,IF($J130=5,BE130,IF($J130=4,BE130,0)))))</f>
        <v>0</v>
      </c>
      <c r="BC130" s="414">
        <f>IF(BE130=0,0,IF(BE130&lt;0,IF($J130=9,BE130,IF($J130=8,BE130,IF($J130=7,BE130,0)))))</f>
        <v>0</v>
      </c>
      <c r="BD130" s="406">
        <f>IF(BE130=0,0,IF(BE130&lt;0,IF($J130=12,BE130,IF($J130=11,BE130,IF($J130=10,BE130,0)))))</f>
        <v>0</v>
      </c>
      <c r="BE130" s="407">
        <f>IF(BE$5=$H130,-$E130,0)</f>
        <v>0</v>
      </c>
      <c r="BF130" s="404">
        <f>IF(BJ130=0,0,IF(BJ130&lt;0,IF($J130=3,BJ130,IF($J130=2,BJ130,IF($J130=1,BJ130,0)))))</f>
        <v>0</v>
      </c>
      <c r="BG130" s="414">
        <f>IF(BJ130=0,0,IF(BJ130&lt;0,IF($J130=6,BJ130,IF($J130=5,BJ130,IF($J130=4,BJ130,0)))))</f>
        <v>0</v>
      </c>
      <c r="BH130" s="414">
        <f>IF(BJ130=0,0,IF(BJ130&lt;0,IF($J130=9,BJ130,IF($J130=8,BJ130,IF($J130=7,BJ130,0)))))</f>
        <v>0</v>
      </c>
      <c r="BI130" s="406">
        <f>IF(BJ130=0,0,IF(BJ130&lt;0,IF($J130=12,BJ130,IF($J130=11,BJ130,IF($J130=10,BJ130,0)))))</f>
        <v>0</v>
      </c>
      <c r="BJ130" s="407">
        <f>IF(BJ$5=$H130,-$E130,0)</f>
        <v>0</v>
      </c>
      <c r="BK130" s="404">
        <f>IF(BO130=0,0,IF(BO130&lt;0,IF($J130=3,BO130,IF($J130=2,BO130,IF($J130=1,BO130,0)))))</f>
        <v>0</v>
      </c>
      <c r="BL130" s="414">
        <f>IF(BO130=0,0,IF(BO130&lt;0,IF($J130=6,BO130,IF($J130=5,BO130,IF($J130=4,BO130,0)))))</f>
        <v>0</v>
      </c>
      <c r="BM130" s="414">
        <f>IF(BO130=0,0,IF(BO130&lt;0,IF($J130=9,BO130,IF($J130=8,BO130,IF($J130=7,BO130,0)))))</f>
        <v>0</v>
      </c>
      <c r="BN130" s="406">
        <f>IF(BO130=0,0,IF(BO130&lt;0,IF($J130=12,BO130,IF($J130=11,BO130,IF($J130=10,BO130,0)))))</f>
        <v>0</v>
      </c>
      <c r="BO130" s="407">
        <f>IF(BO$5=$H130,-$E130,0)</f>
        <v>0</v>
      </c>
      <c r="BP130" s="449"/>
      <c r="BQ130" s="413">
        <f>IF(AND(AH130&lt;&gt;0,AH$5=$H130),-$I130*$E130-AH130,IF(BQ$5=$H130,-$I130*$E130*(12-$J130+1)/12,0))</f>
        <v>0</v>
      </c>
      <c r="BR130" s="410">
        <f>IF($H130&lt;&gt;BV$5,0,IF(BV130&lt;0,IF($J130=1,-$E130*$I130/12*3,IF($J130=2,-$E130*$I130/12*2,IF($J130=3,-$E130*$I130/12*1,0)))))+IF(BQ$5&lt;&gt;$H130,0,IF(BQ130&lt;0,IF($J130=1,-$E130*$I130/12*0,IF($J130=2,-$E130*$I130/12*1,IF($J130=3,-$E130*$I130/12*2,IF($J130&gt;=4,-$E130*$I130/12*3,0))))))</f>
        <v>0</v>
      </c>
      <c r="BS130" s="416">
        <f>IF($H130&lt;&gt;BV$5,0,IF(BV130&lt;0,IF(OR($J130=1,$J130=2,$J130=3,$J130=4),-$E130*$I130/12*3,IF($J130=5,-$E130*$I130/12*2,IF($J130=6,-$E130*$I130/12*1,0)))))+IF(BQ$5&lt;&gt;$H130,0,IF(BQ130&lt;0,IF($J130=4,-$E130*$I130/12*0,IF($J130=5,-$E130*$I130/12*1,IF($J130=6,-$E130*$I130/12*2,IF($J130&gt;=7,-$E130*$I130/12*3,0))))))</f>
        <v>0</v>
      </c>
      <c r="BT130" s="416">
        <f>IF($H130&lt;&gt;BV$5,0,IF(BV130&lt;0,IF(OR($J130=1,$J130=2,$J130=3,$J130=4,$J130=5,$J130=6,$J130=7),-$E130*$I130/12*3,IF($J130=8,-$E130*$I130/12*2,IF($J130=9,-$E130*$I130/12*1,0)))))+IF(BQ$5&lt;&gt;$H130,0,IF(BQ130&lt;0,IF($J130=7,-$E130*$I130/12*0,IF($J130=8,-$E130*$I130/12*1,IF($J130=9,-$E130*$I130/12*2,IF($J130&gt;=10,-$E130*$I130/12*3,0))))))</f>
        <v>0</v>
      </c>
      <c r="BU130" s="412">
        <f>IF($H130&lt;&gt;BV$5,0,IF(BV130&lt;0,IF(OR($J130=1,$J130=2,$J130=3,$J130=4,$J130=5,$J130=6,$J130=7,$J130=8,$J130=9,$J130=10),-$E130*$I130/12*3,IF($J130=11,-$E130*$I130/12*2,IF($J130=12,-$E130*$I130/12*1,0)))))+IF(BQ$5&lt;&gt;$H130,0,IF(BQ130&lt;0,IF($J130=10,-$E130*$I130/12*0,IF($J130=11,-$E130*$I130/12*1,IF($J130=12,-$E130*$I130/12*2,0)))))</f>
        <v>0</v>
      </c>
      <c r="BV130" s="413">
        <f>IF(AND(BQ130&lt;&gt;0,BQ$5=$H130),-$I130*$E130-BQ130,IF(BV$5=$H130,-$I130*$E130*(12-$J130+1)/12,0))</f>
        <v>0</v>
      </c>
      <c r="BW130" s="410">
        <f>IF($H130&lt;&gt;CA$5,0,IF(CA130&lt;0,IF($J130=1,-$E130*$I130/12*3,IF($J130=2,-$E130*$I130/12*2,IF($J130=3,-$E130*$I130/12*1,0)))))+IF(BV$5&lt;&gt;$H130,0,IF(BV130&lt;0,IF($J130=1,-$E130*$I130/12*0,IF($J130=2,-$E130*$I130/12*1,IF($J130=3,-$E130*$I130/12*2,IF($J130&gt;=4,-$E130*$I130/12*3,0))))))</f>
        <v>0</v>
      </c>
      <c r="BX130" s="416">
        <f>IF($H130&lt;&gt;CA$5,0,IF(CA130&lt;0,IF(OR($J130=1,$J130=2,$J130=3,$J130=4),-$E130*$I130/12*3,IF($J130=5,-$E130*$I130/12*2,IF($J130=6,-$E130*$I130/12*1,0)))))+IF(BV$5&lt;&gt;$H130,0,IF(BV130&lt;0,IF($J130=4,-$E130*$I130/12*0,IF($J130=5,-$E130*$I130/12*1,IF($J130=6,-$E130*$I130/12*2,IF($J130&gt;=7,-$E130*$I130/12*3,0))))))</f>
        <v>0</v>
      </c>
      <c r="BY130" s="416">
        <f>IF($H130&lt;&gt;CA$5,0,IF(CA130&lt;0,IF(OR($J130=1,$J130=2,$J130=3,$J130=4,$J130=5,$J130=6,$J130=7),-$E130*$I130/12*3,IF($J130=8,-$E130*$I130/12*2,IF($J130=9,-$E130*$I130/12*1,0)))))+IF(BV$5&lt;&gt;$H130,0,IF(BV130&lt;0,IF($J130=7,-$E130*$I130/12*0,IF($J130=8,-$E130*$I130/12*1,IF($J130=9,-$E130*$I130/12*2,IF($J130&gt;=10,-$E130*$I130/12*3,0))))))</f>
        <v>0</v>
      </c>
      <c r="BZ130" s="412">
        <f>IF($H130&lt;&gt;CA$5,0,IF(CA130&lt;0,IF(OR($J130=1,$J130=2,$J130=3,$J130=4,$J130=5,$J130=6,$J130=7,$J130=8,$J130=9,$J130=10),-$E130*$I130/12*3,IF($J130=11,-$E130*$I130/12*2,IF($J130=12,-$E130*$I130/12*1,0)))))+IF(BV$5&lt;&gt;$H130,0,IF(BV130&lt;0,IF($J130=10,-$E130*$I130/12*0,IF($J130=11,-$E130*$I130/12*1,IF($J130=12,-$E130*$I130/12*2,0)))))</f>
        <v>0</v>
      </c>
      <c r="CA130" s="413">
        <f>IF(AND(BV130&lt;&gt;0,BV$5=$H130),-$I130*$E130-BV130,IF(CA$5=$H130,-$I130*$E130*(12-$J130+1)/12,0))</f>
        <v>0</v>
      </c>
      <c r="CB130" s="410">
        <f>IF($H130&lt;&gt;CF$5,0,IF(CF130&lt;0,IF($J130=1,-$E130*$I130/12*3,IF($J130=2,-$E130*$I130/12*2,IF($J130=3,-$E130*$I130/12*1,0)))))+IF(CA$5&lt;&gt;$H130,0,IF(CA130&lt;0,IF($J130=1,-$E130*$I130/12*0,IF($J130=2,-$E130*$I130/12*1,IF($J130=3,-$E130*$I130/12*2,IF($J130&gt;=4,-$E130*$I130/12*3,0))))))</f>
        <v>0</v>
      </c>
      <c r="CC130" s="416">
        <f>IF($H130&lt;&gt;CF$5,0,IF(CF130&lt;0,IF(OR($J130=1,$J130=2,$J130=3,$J130=4),-$E130*$I130/12*3,IF($J130=5,-$E130*$I130/12*2,IF($J130=6,-$E130*$I130/12*1,0)))))+IF(CA$5&lt;&gt;$H130,0,IF(CA130&lt;0,IF($J130=4,-$E130*$I130/12*0,IF($J130=5,-$E130*$I130/12*1,IF($J130=6,-$E130*$I130/12*2,IF($J130&gt;=7,-$E130*$I130/12*3,0))))))</f>
        <v>0</v>
      </c>
      <c r="CD130" s="416">
        <f>IF($H130&lt;&gt;CF$5,0,IF(CF130&lt;0,IF(OR($J130=1,$J130=2,$J130=3,$J130=4,$J130=5,$J130=6,$J130=7),-$E130*$I130/12*3,IF($J130=8,-$E130*$I130/12*2,IF($J130=9,-$E130*$I130/12*1,0)))))+IF(CA$5&lt;&gt;$H130,0,IF(CA130&lt;0,IF($J130=7,-$E130*$I130/12*0,IF($J130=8,-$E130*$I130/12*1,IF($J130=9,-$E130*$I130/12*2,IF($J130&gt;=10,-$E130*$I130/12*3,0))))))</f>
        <v>0</v>
      </c>
      <c r="CE130" s="412">
        <f>IF($H130&lt;&gt;CF$5,0,IF(CF130&lt;0,IF(OR($J130=1,$J130=2,$J130=3,$J130=4,$J130=5,$J130=6,$J130=7,$J130=8,$J130=9,$J130=10),-$E130*$I130/12*3,IF($J130=11,-$E130*$I130/12*2,IF($J130=12,-$E130*$I130/12*1,0)))))+IF(CA$5&lt;&gt;$H130,0,IF(CA130&lt;0,IF($J130=10,-$E130*$I130/12*0,IF($J130=11,-$E130*$I130/12*1,IF($J130=12,-$E130*$I130/12*2,0)))))</f>
        <v>0</v>
      </c>
      <c r="CF130" s="413">
        <f>IF(AND(CA130&lt;&gt;0,CA$5=$H130),-$I130*$E130-CA130,IF(CF$5=$H130,-$I130*$E130*(12-$J130+1)/12,0))</f>
        <v>0</v>
      </c>
      <c r="CG130" s="410">
        <f>IF($H130&lt;&gt;CK$5,0,IF(CK130&lt;0,IF($J130=1,-$E130*$I130/12*3,IF($J130=2,-$E130*$I130/12*2,IF($J130=3,-$E130*$I130/12*1,0)))))+IF(CF$5&lt;&gt;$H130,0,IF(CF130&lt;0,IF($J130=1,-$E130*$I130/12*0,IF($J130=2,-$E130*$I130/12*1,IF($J130=3,-$E130*$I130/12*2,IF($J130&gt;=4,-$E130*$I130/12*3,0))))))</f>
        <v>0</v>
      </c>
      <c r="CH130" s="416">
        <f>IF($H130&lt;&gt;CK$5,0,IF(CK130&lt;0,IF(OR($J130=1,$J130=2,$J130=3,$J130=4),-$E130*$I130/12*3,IF($J130=5,-$E130*$I130/12*2,IF($J130=6,-$E130*$I130/12*1,0)))))+IF(CF$5&lt;&gt;$H130,0,IF(CF130&lt;0,IF($J130=4,-$E130*$I130/12*0,IF($J130=5,-$E130*$I130/12*1,IF($J130=6,-$E130*$I130/12*2,IF($J130&gt;=7,-$E130*$I130/12*3,0))))))</f>
        <v>0</v>
      </c>
      <c r="CI130" s="416">
        <f>IF($H130&lt;&gt;CK$5,0,IF(CK130&lt;0,IF(OR($J130=1,$J130=2,$J130=3,$J130=4,$J130=5,$J130=6,$J130=7),-$E130*$I130/12*3,IF($J130=8,-$E130*$I130/12*2,IF($J130=9,-$E130*$I130/12*1,0)))))+IF(CF$5&lt;&gt;$H130,0,IF(CF130&lt;0,IF($J130=7,-$E130*$I130/12*0,IF($J130=8,-$E130*$I130/12*1,IF($J130=9,-$E130*$I130/12*2,IF($J130&gt;=10,-$E130*$I130/12*3,0))))))</f>
        <v>0</v>
      </c>
      <c r="CJ130" s="412">
        <f>IF($H130&lt;&gt;CK$5,0,IF(CK130&lt;0,IF(OR($J130=1,$J130=2,$J130=3,$J130=4,$J130=5,$J130=6,$J130=7,$J130=8,$J130=9,$J130=10),-$E130*$I130/12*3,IF($J130=11,-$E130*$I130/12*2,IF($J130=12,-$E130*$I130/12*1,0)))))+IF(CF$5&lt;&gt;$H130,0,IF(CF130&lt;0,IF($J130=10,-$E130*$I130/12*0,IF($J130=11,-$E130*$I130/12*1,IF($J130=12,-$E130*$I130/12*2,0)))))</f>
        <v>0</v>
      </c>
      <c r="CK130" s="413">
        <f>IF(AND(CF130&lt;&gt;0,CF$5=$H130),-$I130*$E130-CF130,IF(CK$5=$H130,-$I130*$E130*(12-$J130+1)/12,0))</f>
        <v>0</v>
      </c>
      <c r="CL130" s="410">
        <f>IF($H130&lt;&gt;CP$5,0,IF(CP130&lt;0,IF($J130=1,-$E130*$I130/12*3,IF($J130=2,-$E130*$I130/12*2,IF($J130=3,-$E130*$I130/12*1,0)))))+IF(CK$5&lt;&gt;$H130,0,IF(CK130&lt;0,IF($J130=1,-$E130*$I130/12*0,IF($J130=2,-$E130*$I130/12*1,IF($J130=3,-$E130*$I130/12*2,IF($J130&gt;=4,-$E130*$I130/12*3,0))))))</f>
        <v>0</v>
      </c>
      <c r="CM130" s="416">
        <f>IF($H130&lt;&gt;CP$5,0,IF(CP130&lt;0,IF(OR($J130=1,$J130=2,$J130=3,$J130=4),-$E130*$I130/12*3,IF($J130=5,-$E130*$I130/12*2,IF($J130=6,-$E130*$I130/12*1,0)))))+IF(CK$5&lt;&gt;$H130,0,IF(CK130&lt;0,IF($J130=4,-$E130*$I130/12*0,IF($J130=5,-$E130*$I130/12*1,IF($J130=6,-$E130*$I130/12*2,IF($J130&gt;=7,-$E130*$I130/12*3,0))))))</f>
        <v>0</v>
      </c>
      <c r="CN130" s="416">
        <f>IF($H130&lt;&gt;CP$5,0,IF(CP130&lt;0,IF(OR($J130=1,$J130=2,$J130=3,$J130=4,$J130=5,$J130=6,$J130=7),-$E130*$I130/12*3,IF($J130=8,-$E130*$I130/12*2,IF($J130=9,-$E130*$I130/12*1,0)))))+IF(CK$5&lt;&gt;$H130,0,IF(CK130&lt;0,IF($J130=7,-$E130*$I130/12*0,IF($J130=8,-$E130*$I130/12*1,IF($J130=9,-$E130*$I130/12*2,IF($J130&gt;=10,-$E130*$I130/12*3,0))))))</f>
        <v>0</v>
      </c>
      <c r="CO130" s="412">
        <f>IF($H130&lt;&gt;CP$5,0,IF(CP130&lt;0,IF(OR($J130=1,$J130=2,$J130=3,$J130=4,$J130=5,$J130=6,$J130=7,$J130=8,$J130=9,$J130=10),-$E130*$I130/12*3,IF($J130=11,-$E130*$I130/12*2,IF($J130=12,-$E130*$I130/12*1,0)))))+IF(CK$5&lt;&gt;$H130,0,IF(CK130&lt;0,IF($J130=10,-$E130*$I130/12*0,IF($J130=11,-$E130*$I130/12*1,IF($J130=12,-$E130*$I130/12*2,0)))))</f>
        <v>0</v>
      </c>
      <c r="CP130" s="413">
        <f>IF(AND(CK130&lt;&gt;0,CK$5=$H130),-$I130*$E130-CK130,IF(CP$5=$H130,-$I130*$E130*(12-$J130+1)/12,0))</f>
        <v>0</v>
      </c>
      <c r="CQ130" s="410">
        <f>IF($H130&lt;&gt;CU$5,0,IF(CU130&lt;0,IF($J130=1,-$E130*$I130/12*3,IF($J130=2,-$E130*$I130/12*2,IF($J130=3,-$E130*$I130/12*1,0)))))+IF(CP$5&lt;&gt;$H130,0,IF(CP130&lt;0,IF($J130=1,-$E130*$I130/12*0,IF($J130=2,-$E130*$I130/12*1,IF($J130=3,-$E130*$I130/12*2,IF($J130&gt;=4,-$E130*$I130/12*3,0))))))</f>
        <v>0</v>
      </c>
      <c r="CR130" s="416">
        <f>IF($H130&lt;&gt;CU$5,0,IF(CU130&lt;0,IF(OR($J130=1,$J130=2,$J130=3,$J130=4),-$E130*$I130/12*3,IF($J130=5,-$E130*$I130/12*2,IF($J130=6,-$E130*$I130/12*1,0)))))+IF(CP$5&lt;&gt;$H130,0,IF(CP130&lt;0,IF($J130=4,-$E130*$I130/12*0,IF($J130=5,-$E130*$I130/12*1,IF($J130=6,-$E130*$I130/12*2,IF($J130&gt;=7,-$E130*$I130/12*3,0))))))</f>
        <v>0</v>
      </c>
      <c r="CS130" s="416">
        <f>IF($H130&lt;&gt;CU$5,0,IF(CU130&lt;0,IF(OR($J130=1,$J130=2,$J130=3,$J130=4,$J130=5,$J130=6,$J130=7),-$E130*$I130/12*3,IF($J130=8,-$E130*$I130/12*2,IF($J130=9,-$E130*$I130/12*1,0)))))+IF(CP$5&lt;&gt;$H130,0,IF(CP130&lt;0,IF($J130=7,-$E130*$I130/12*0,IF($J130=8,-$E130*$I130/12*1,IF($J130=9,-$E130*$I130/12*2,IF($J130&gt;=10,-$E130*$I130/12*3,0))))))</f>
        <v>0</v>
      </c>
      <c r="CT130" s="412">
        <f>IF($H130&lt;&gt;CU$5,0,IF(CU130&lt;0,IF(OR($J130=1,$J130=2,$J130=3,$J130=4,$J130=5,$J130=6,$J130=7,$J130=8,$J130=9,$J130=10),-$E130*$I130/12*3,IF($J130=11,-$E130*$I130/12*2,IF($J130=12,-$E130*$I130/12*1,0)))))+IF(CP$5&lt;&gt;$H130,0,IF(CP130&lt;0,IF($J130=10,-$E130*$I130/12*0,IF($J130=11,-$E130*$I130/12*1,IF($J130=12,-$E130*$I130/12*2,0)))))</f>
        <v>0</v>
      </c>
      <c r="CU130" s="413">
        <f>IF(AND(CP130&lt;&gt;0,CP$5=$H130),-$I130*$E130-CP130,IF(CU$5=$H130,-$I130*$E130*(12-$J130+1)/12,0))</f>
        <v>0</v>
      </c>
      <c r="CV130" s="410">
        <f>IF($H130&lt;&gt;CZ$5,0,IF(CZ130&lt;0,IF($J130=1,-$E130*$I130/12*3,IF($J130=2,-$E130*$I130/12*2,IF($J130=3,-$E130*$I130/12*1,0)))))+IF(CU$5&lt;&gt;$H130,0,IF(CU130&lt;0,IF($J130=1,-$E130*$I130/12*0,IF($J130=2,-$E130*$I130/12*1,IF($J130=3,-$E130*$I130/12*2,IF($J130&gt;=4,-$E130*$I130/12*3,0))))))</f>
        <v>0</v>
      </c>
      <c r="CW130" s="416">
        <f>IF($H130&lt;&gt;CZ$5,0,IF(CZ130&lt;0,IF(OR($J130=1,$J130=2,$J130=3,$J130=4),-$E130*$I130/12*3,IF($J130=5,-$E130*$I130/12*2,IF($J130=6,-$E130*$I130/12*1,0)))))+IF(CU$5&lt;&gt;$H130,0,IF(CU130&lt;0,IF($J130=4,-$E130*$I130/12*0,IF($J130=5,-$E130*$I130/12*1,IF($J130=6,-$E130*$I130/12*2,IF($J130&gt;=7,-$E130*$I130/12*3,0))))))</f>
        <v>0</v>
      </c>
      <c r="CX130" s="416">
        <f>IF($H130&lt;&gt;CZ$5,0,IF(CZ130&lt;0,IF(OR($J130=1,$J130=2,$J130=3,$J130=4,$J130=5,$J130=6,$J130=7),-$E130*$I130/12*3,IF($J130=8,-$E130*$I130/12*2,IF($J130=9,-$E130*$I130/12*1,0)))))+IF(CU$5&lt;&gt;$H130,0,IF(CU130&lt;0,IF($J130=7,-$E130*$I130/12*0,IF($J130=8,-$E130*$I130/12*1,IF($J130=9,-$E130*$I130/12*2,IF($J130&gt;=10,-$E130*$I130/12*3,0))))))</f>
        <v>0</v>
      </c>
      <c r="CY130" s="412">
        <f>IF($H130&lt;&gt;CZ$5,0,IF(CZ130&lt;0,IF(OR($J130=1,$J130=2,$J130=3,$J130=4,$J130=5,$J130=6,$J130=7,$J130=8,$J130=9,$J130=10),-$E130*$I130/12*3,IF($J130=11,-$E130*$I130/12*2,IF($J130=12,-$E130*$I130/12*1,0)))))+IF(CU$5&lt;&gt;$H130,0,IF(CU130&lt;0,IF($J130=10,-$E130*$I130/12*0,IF($J130=11,-$E130*$I130/12*1,IF($J130=12,-$E130*$I130/12*2,0)))))</f>
        <v>0</v>
      </c>
      <c r="CZ130" s="413">
        <f>IF(AND(CU130&lt;&gt;0,CU$5=$H130),-$I130*$E130-CU130,IF(CZ$5=$H130,-$I130*$E130*(12-$J130+1)/12,0))</f>
        <v>0</v>
      </c>
      <c r="DA130" s="410">
        <f>IF($H130&lt;&gt;DE$5,0,IF(DE130&lt;0,IF($J130=1,-$E130*$I130/12*3,IF($J130=2,-$E130*$I130/12*2,IF($J130=3,-$E130*$I130/12*1,0)))))+IF(CZ$5&lt;&gt;$H130,0,IF(CZ130&lt;0,IF($J130=1,-$E130*$I130/12*0,IF($J130=2,-$E130*$I130/12*1,IF($J130=3,-$E130*$I130/12*2,IF($J130&gt;=4,-$E130*$I130/12*3,0))))))</f>
        <v>0</v>
      </c>
      <c r="DB130" s="416">
        <f>IF($H130&lt;&gt;DE$5,0,IF(DE130&lt;0,IF(OR($J130=1,$J130=2,$J130=3,$J130=4),-$E130*$I130/12*3,IF($J130=5,-$E130*$I130/12*2,IF($J130=6,-$E130*$I130/12*1,0)))))+IF(CZ$5&lt;&gt;$H130,0,IF(CZ130&lt;0,IF($J130=4,-$E130*$I130/12*0,IF($J130=5,-$E130*$I130/12*1,IF($J130=6,-$E130*$I130/12*2,IF($J130&gt;=7,-$E130*$I130/12*3,0))))))</f>
        <v>-1.5</v>
      </c>
      <c r="DC130" s="416">
        <f>IF($H130&lt;&gt;DE$5,0,IF(DE130&lt;0,IF(OR($J130=1,$J130=2,$J130=3,$J130=4,$J130=5,$J130=6,$J130=7),-$E130*$I130/12*3,IF($J130=8,-$E130*$I130/12*2,IF($J130=9,-$E130*$I130/12*1,0)))))+IF(CZ$5&lt;&gt;$H130,0,IF(CZ130&lt;0,IF($J130=7,-$E130*$I130/12*0,IF($J130=8,-$E130*$I130/12*1,IF($J130=9,-$E130*$I130/12*2,IF($J130&gt;=10,-$E130*$I130/12*3,0))))))</f>
        <v>-2.25</v>
      </c>
      <c r="DD130" s="412">
        <f>IF($H130&lt;&gt;DE$5,0,IF(DE130&lt;0,IF(OR($J130=1,$J130=2,$J130=3,$J130=4,$J130=5,$J130=6,$J130=7,$J130=8,$J130=9,$J130=10),-$E130*$I130/12*3,IF($J130=11,-$E130*$I130/12*2,IF($J130=12,-$E130*$I130/12*1,0)))))+IF(CZ$5&lt;&gt;$H130,0,IF(CZ130&lt;0,IF($J130=10,-$E130*$I130/12*0,IF($J130=11,-$E130*$I130/12*1,IF($J130=12,-$E130*$I130/12*2,0)))))</f>
        <v>-2.25</v>
      </c>
      <c r="DE130" s="413">
        <f>IF(AND(CZ130&lt;&gt;0,CZ$5=$H130),-$I130*$E130-CZ130,IF(DE$5=$H130,-$I130*$E130*(12-$J130+1)/12,0))</f>
        <v>-6</v>
      </c>
      <c r="DF130" s="410">
        <f>IF($H130&lt;&gt;DJ$5,0,IF(DJ130&lt;0,IF($J130=1,-$E130*$I130/12*3,IF($J130=2,-$E130*$I130/12*2,IF($J130=3,-$E130*$I130/12*1,0)))))+IF(DE$5&lt;&gt;$H130,0,IF(DE130&lt;0,IF($J130=1,-$E130*$I130/12*0,IF($J130=2,-$E130*$I130/12*1,IF($J130=3,-$E130*$I130/12*2,IF($J130&gt;=4,-$E130*$I130/12*3,0))))))</f>
        <v>-2.25</v>
      </c>
      <c r="DG130" s="416">
        <f>IF($H130&lt;&gt;DJ$5,0,IF(DJ130&lt;0,IF(OR($J130=1,$J130=2,$J130=3,$J130=4),-$E130*$I130/12*3,IF($J130=5,-$E130*$I130/12*2,IF($J130=6,-$E130*$I130/12*1,0)))))+IF(DE$5&lt;&gt;$H130,0,IF(DE130&lt;0,IF($J130=4,-$E130*$I130/12*0,IF($J130=5,-$E130*$I130/12*1,IF($J130=6,-$E130*$I130/12*2,IF($J130&gt;=7,-$E130*$I130/12*3,0))))))</f>
        <v>-0.75</v>
      </c>
      <c r="DH130" s="416">
        <f>IF($H130&lt;&gt;DJ$5,0,IF(DJ130&lt;0,IF(OR($J130=1,$J130=2,$J130=3,$J130=4,$J130=5,$J130=6,$J130=7),-$E130*$I130/12*3,IF($J130=8,-$E130*$I130/12*2,IF($J130=9,-$E130*$I130/12*1,0)))))+IF(DE$5&lt;&gt;$H130,0,IF(DE130&lt;0,IF($J130=7,-$E130*$I130/12*0,IF($J130=8,-$E130*$I130/12*1,IF($J130=9,-$E130*$I130/12*2,IF($J130&gt;=10,-$E130*$I130/12*3,0))))))</f>
        <v>0</v>
      </c>
      <c r="DI130" s="412">
        <f>IF($H130&lt;&gt;DJ$5,0,IF(DJ130&lt;0,IF(OR($J130=1,$J130=2,$J130=3,$J130=4,$J130=5,$J130=6,$J130=7,$J130=8,$J130=9,$J130=10),-$E130*$I130/12*3,IF($J130=11,-$E130*$I130/12*2,IF($J130=12,-$E130*$I130/12*1,0)))))+IF(DE$5&lt;&gt;$H130,0,IF(DE130&lt;0,IF($J130=10,-$E130*$I130/12*0,IF($J130=11,-$E130*$I130/12*1,IF($J130=12,-$E130*$I130/12*2,0)))))</f>
        <v>0</v>
      </c>
      <c r="DJ130" s="413">
        <f>IF(AND(DE130&lt;&gt;0,DE$5=$H130),-$I130*$E130-DE130,IF(DJ$5=$H130,-$I130*$E130*(12-$J130+1)/12,0))</f>
        <v>-3</v>
      </c>
      <c r="DK130" s="410">
        <f>IF($H130&lt;&gt;DO$5,0,IF(DO130&lt;0,IF($J130=1,-$E130*$I130/12*3,IF($J130=2,-$E130*$I130/12*2,IF($J130=3,-$E130*$I130/12*1,0)))))+IF(DJ$5&lt;&gt;$H130,0,IF(DJ130&lt;0,IF($J130=1,-$E130*$I130/12*0,IF($J130=2,-$E130*$I130/12*1,IF($J130=3,-$E130*$I130/12*2,IF($J130&gt;=4,-$E130*$I130/12*3,0))))))</f>
        <v>0</v>
      </c>
      <c r="DL130" s="416">
        <f>IF($H130&lt;&gt;DO$5,0,IF(DO130&lt;0,IF(OR($J130=1,$J130=2,$J130=3,$J130=4),-$E130*$I130/12*3,IF($J130=5,-$E130*$I130/12*2,IF($J130=6,-$E130*$I130/12*1,0)))))+IF(DJ$5&lt;&gt;$H130,0,IF(DJ130&lt;0,IF($J130=4,-$E130*$I130/12*0,IF($J130=5,-$E130*$I130/12*1,IF($J130=6,-$E130*$I130/12*2,IF($J130&gt;=7,-$E130*$I130/12*3,0))))))</f>
        <v>0</v>
      </c>
      <c r="DM130" s="416">
        <f>IF($H130&lt;&gt;DO$5,0,IF(DO130&lt;0,IF(OR($J130=1,$J130=2,$J130=3,$J130=4,$J130=5,$J130=6,$J130=7),-$E130*$I130/12*3,IF($J130=8,-$E130*$I130/12*2,IF($J130=9,-$E130*$I130/12*1,0)))))+IF(DJ$5&lt;&gt;$H130,0,IF(DJ130&lt;0,IF($J130=7,-$E130*$I130/12*0,IF($J130=8,-$E130*$I130/12*1,IF($J130=9,-$E130*$I130/12*2,IF($J130&gt;=10,-$E130*$I130/12*3,0))))))</f>
        <v>0</v>
      </c>
      <c r="DN130" s="412">
        <f>IF($H130&lt;&gt;DO$5,0,IF(DO130&lt;0,IF(OR($J130=1,$J130=2,$J130=3,$J130=4,$J130=5,$J130=6,$J130=7,$J130=8,$J130=9,$J130=10),-$E130*$I130/12*3,IF($J130=11,-$E130*$I130/12*2,IF($J130=12,-$E130*$I130/12*1,0)))))+IF(DJ$5&lt;&gt;$H130,0,IF(DJ130&lt;0,IF($J130=10,-$E130*$I130/12*0,IF($J130=11,-$E130*$I130/12*1,IF($J130=12,-$E130*$I130/12*2,0)))))</f>
        <v>0</v>
      </c>
      <c r="DO130" s="413">
        <f>IF(AND(DJ130&lt;&gt;0,DJ$5=$H130),-$I130*$E130-DJ130,IF(DO$5=$H130,-$I130*$E130*(12-$J130+1)/12,0))</f>
        <v>0</v>
      </c>
      <c r="DP130" s="410">
        <f>IF($H130&lt;&gt;DT$5,0,IF(DT130&lt;0,IF($J130=1,-$E130*$I130/12*3,IF($J130=2,-$E130*$I130/12*2,IF($J130=3,-$E130*$I130/12*1,0)))))+IF(DO$5&lt;&gt;$H130,0,IF(DO130&lt;0,IF($J130=1,-$E130*$I130/12*0,IF($J130=2,-$E130*$I130/12*1,IF($J130=3,-$E130*$I130/12*2,IF($J130&gt;=4,-$E130*$I130/12*3,0))))))</f>
        <v>0</v>
      </c>
      <c r="DQ130" s="416">
        <f>IF($H130&lt;&gt;DT$5,0,IF(DT130&lt;0,IF(OR($J130=1,$J130=2,$J130=3,$J130=4),-$E130*$I130/12*3,IF($J130=5,-$E130*$I130/12*2,IF($J130=6,-$E130*$I130/12*1,0)))))+IF(DO$5&lt;&gt;$H130,0,IF(DO130&lt;0,IF($J130=4,-$E130*$I130/12*0,IF($J130=5,-$E130*$I130/12*1,IF($J130=6,-$E130*$I130/12*2,IF($J130&gt;=7,-$E130*$I130/12*3,0))))))</f>
        <v>0</v>
      </c>
      <c r="DR130" s="416">
        <f>IF($H130&lt;&gt;DT$5,0,IF(DT130&lt;0,IF(OR($J130=1,$J130=2,$J130=3,$J130=4,$J130=5,$J130=6,$J130=7),-$E130*$I130/12*3,IF($J130=8,-$E130*$I130/12*2,IF($J130=9,-$E130*$I130/12*1,0)))))+IF(DO$5&lt;&gt;$H130,0,IF(DO130&lt;0,IF($J130=7,-$E130*$I130/12*0,IF($J130=8,-$E130*$I130/12*1,IF($J130=9,-$E130*$I130/12*2,IF($J130&gt;=10,-$E130*$I130/12*3,0))))))</f>
        <v>0</v>
      </c>
      <c r="DS130" s="412">
        <f>IF($H130&lt;&gt;DT$5,0,IF(DT130&lt;0,IF(OR($J130=1,$J130=2,$J130=3,$J130=4,$J130=5,$J130=6,$J130=7,$J130=8,$J130=9,$J130=10),-$E130*$I130/12*3,IF($J130=11,-$E130*$I130/12*2,IF($J130=12,-$E130*$I130/12*1,0)))))+IF(DO$5&lt;&gt;$H130,0,IF(DO130&lt;0,IF($J130=10,-$E130*$I130/12*0,IF($J130=11,-$E130*$I130/12*1,IF($J130=12,-$E130*$I130/12*2,0)))))</f>
        <v>0</v>
      </c>
      <c r="DT130" s="413">
        <f>IF(AND(DO130&lt;&gt;0,DO$5=$H130),-$I130*$E130-DO130,IF(DT$5=$H130,-$I130*$E130*(12-$J130+1)/12,0))</f>
        <v>0</v>
      </c>
    </row>
    <row r="131" spans="1:124" ht="12.75" customHeight="1">
      <c r="A131" s="491"/>
      <c r="C131" s="1439"/>
      <c r="D131" s="1439"/>
      <c r="E131" s="1531"/>
      <c r="F131" s="1227"/>
      <c r="G131" s="1227"/>
      <c r="H131" s="610"/>
      <c r="I131" s="828"/>
      <c r="J131" s="615"/>
      <c r="K131" s="402"/>
      <c r="L131" s="407"/>
      <c r="M131" s="404"/>
      <c r="N131" s="414"/>
      <c r="O131" s="414"/>
      <c r="P131" s="406"/>
      <c r="Q131" s="407"/>
      <c r="R131" s="404"/>
      <c r="S131" s="414"/>
      <c r="T131" s="414"/>
      <c r="U131" s="406"/>
      <c r="V131" s="407"/>
      <c r="W131" s="404"/>
      <c r="X131" s="414"/>
      <c r="Y131" s="414"/>
      <c r="Z131" s="406"/>
      <c r="AA131" s="407"/>
      <c r="AB131" s="404"/>
      <c r="AC131" s="414"/>
      <c r="AD131" s="414"/>
      <c r="AE131" s="406"/>
      <c r="AF131" s="407"/>
      <c r="AG131" s="404"/>
      <c r="AH131" s="414"/>
      <c r="AI131" s="414"/>
      <c r="AJ131" s="406"/>
      <c r="AK131" s="407"/>
      <c r="AL131" s="404"/>
      <c r="AM131" s="414"/>
      <c r="AN131" s="414"/>
      <c r="AO131" s="406"/>
      <c r="AP131" s="407"/>
      <c r="AQ131" s="404"/>
      <c r="AR131" s="414"/>
      <c r="AS131" s="414"/>
      <c r="AT131" s="406"/>
      <c r="AU131" s="407"/>
      <c r="AV131" s="404"/>
      <c r="AW131" s="414"/>
      <c r="AX131" s="414"/>
      <c r="AY131" s="406"/>
      <c r="AZ131" s="407"/>
      <c r="BA131" s="404"/>
      <c r="BB131" s="414"/>
      <c r="BC131" s="414"/>
      <c r="BD131" s="406"/>
      <c r="BE131" s="407"/>
      <c r="BF131" s="404"/>
      <c r="BG131" s="414"/>
      <c r="BH131" s="414"/>
      <c r="BI131" s="406"/>
      <c r="BJ131" s="407"/>
      <c r="BK131" s="404"/>
      <c r="BL131" s="414"/>
      <c r="BM131" s="414"/>
      <c r="BN131" s="406"/>
      <c r="BO131" s="407"/>
      <c r="BP131" s="449"/>
      <c r="BQ131" s="413"/>
      <c r="BR131" s="410"/>
      <c r="BS131" s="416"/>
      <c r="BT131" s="416"/>
      <c r="BU131" s="412"/>
      <c r="BV131" s="413"/>
      <c r="BW131" s="410"/>
      <c r="BX131" s="416"/>
      <c r="BY131" s="416"/>
      <c r="BZ131" s="412"/>
      <c r="CA131" s="413"/>
      <c r="CB131" s="410"/>
      <c r="CC131" s="416"/>
      <c r="CD131" s="416"/>
      <c r="CE131" s="412"/>
      <c r="CF131" s="413"/>
      <c r="CG131" s="410"/>
      <c r="CH131" s="416"/>
      <c r="CI131" s="416"/>
      <c r="CJ131" s="412"/>
      <c r="CK131" s="413"/>
      <c r="CL131" s="410"/>
      <c r="CM131" s="416"/>
      <c r="CN131" s="416"/>
      <c r="CO131" s="412"/>
      <c r="CP131" s="413"/>
      <c r="CQ131" s="410"/>
      <c r="CR131" s="416"/>
      <c r="CS131" s="416"/>
      <c r="CT131" s="412"/>
      <c r="CU131" s="413"/>
      <c r="CV131" s="410"/>
      <c r="CW131" s="416"/>
      <c r="CX131" s="416"/>
      <c r="CY131" s="412"/>
      <c r="CZ131" s="413"/>
      <c r="DA131" s="410"/>
      <c r="DB131" s="416"/>
      <c r="DC131" s="416"/>
      <c r="DD131" s="412"/>
      <c r="DE131" s="413"/>
      <c r="DF131" s="410"/>
      <c r="DG131" s="416"/>
      <c r="DH131" s="416"/>
      <c r="DI131" s="412"/>
      <c r="DJ131" s="413"/>
      <c r="DK131" s="410"/>
      <c r="DL131" s="416"/>
      <c r="DM131" s="416"/>
      <c r="DN131" s="412"/>
      <c r="DO131" s="413"/>
      <c r="DP131" s="410"/>
      <c r="DQ131" s="416"/>
      <c r="DR131" s="416"/>
      <c r="DS131" s="412"/>
      <c r="DT131" s="413"/>
    </row>
    <row r="132" spans="1:124" ht="12.75" customHeight="1">
      <c r="A132" s="491"/>
      <c r="C132" s="1028" t="s">
        <v>423</v>
      </c>
      <c r="D132" s="1028"/>
      <c r="E132" s="1531"/>
      <c r="F132" s="1535"/>
      <c r="G132" s="1535"/>
      <c r="H132" s="610"/>
      <c r="I132" s="1533"/>
      <c r="J132" s="615"/>
      <c r="K132" s="402"/>
      <c r="L132" s="407"/>
      <c r="M132" s="404"/>
      <c r="N132" s="414"/>
      <c r="O132" s="414"/>
      <c r="P132" s="406"/>
      <c r="Q132" s="407"/>
      <c r="R132" s="404"/>
      <c r="S132" s="414"/>
      <c r="T132" s="414"/>
      <c r="U132" s="406"/>
      <c r="V132" s="407"/>
      <c r="W132" s="404"/>
      <c r="X132" s="414"/>
      <c r="Y132" s="414"/>
      <c r="Z132" s="406"/>
      <c r="AA132" s="407"/>
      <c r="AB132" s="404"/>
      <c r="AC132" s="414"/>
      <c r="AD132" s="414"/>
      <c r="AE132" s="406"/>
      <c r="AF132" s="407"/>
      <c r="AG132" s="404"/>
      <c r="AH132" s="414"/>
      <c r="AI132" s="414"/>
      <c r="AJ132" s="406"/>
      <c r="AK132" s="407"/>
      <c r="AL132" s="404"/>
      <c r="AM132" s="414"/>
      <c r="AN132" s="414"/>
      <c r="AO132" s="406"/>
      <c r="AP132" s="407"/>
      <c r="AQ132" s="404"/>
      <c r="AR132" s="414"/>
      <c r="AS132" s="414"/>
      <c r="AT132" s="406"/>
      <c r="AU132" s="407"/>
      <c r="AV132" s="404"/>
      <c r="AW132" s="414"/>
      <c r="AX132" s="414"/>
      <c r="AY132" s="406"/>
      <c r="AZ132" s="407"/>
      <c r="BA132" s="404"/>
      <c r="BB132" s="414"/>
      <c r="BC132" s="414"/>
      <c r="BD132" s="406"/>
      <c r="BE132" s="407"/>
      <c r="BF132" s="404"/>
      <c r="BG132" s="414"/>
      <c r="BH132" s="414"/>
      <c r="BI132" s="406"/>
      <c r="BJ132" s="407"/>
      <c r="BK132" s="404"/>
      <c r="BL132" s="414"/>
      <c r="BM132" s="414"/>
      <c r="BN132" s="406"/>
      <c r="BO132" s="407"/>
      <c r="BP132" s="449"/>
      <c r="BQ132" s="413"/>
      <c r="BR132" s="410"/>
      <c r="BS132" s="416"/>
      <c r="BT132" s="416"/>
      <c r="BU132" s="412"/>
      <c r="BV132" s="413"/>
      <c r="BW132" s="410"/>
      <c r="BX132" s="416"/>
      <c r="BY132" s="416"/>
      <c r="BZ132" s="412"/>
      <c r="CA132" s="413"/>
      <c r="CB132" s="410"/>
      <c r="CC132" s="416"/>
      <c r="CD132" s="416"/>
      <c r="CE132" s="412"/>
      <c r="CF132" s="413"/>
      <c r="CG132" s="410"/>
      <c r="CH132" s="416"/>
      <c r="CI132" s="416"/>
      <c r="CJ132" s="412"/>
      <c r="CK132" s="413"/>
      <c r="CL132" s="410"/>
      <c r="CM132" s="416"/>
      <c r="CN132" s="416"/>
      <c r="CO132" s="412"/>
      <c r="CP132" s="413"/>
      <c r="CQ132" s="410"/>
      <c r="CR132" s="416"/>
      <c r="CS132" s="416"/>
      <c r="CT132" s="412"/>
      <c r="CU132" s="413"/>
      <c r="CV132" s="410"/>
      <c r="CW132" s="416"/>
      <c r="CX132" s="416"/>
      <c r="CY132" s="412"/>
      <c r="CZ132" s="413"/>
      <c r="DA132" s="410"/>
      <c r="DB132" s="416"/>
      <c r="DC132" s="416"/>
      <c r="DD132" s="412"/>
      <c r="DE132" s="413"/>
      <c r="DF132" s="410"/>
      <c r="DG132" s="416"/>
      <c r="DH132" s="416"/>
      <c r="DI132" s="412"/>
      <c r="DJ132" s="413"/>
      <c r="DK132" s="410"/>
      <c r="DL132" s="416"/>
      <c r="DM132" s="416"/>
      <c r="DN132" s="412"/>
      <c r="DO132" s="413"/>
      <c r="DP132" s="410"/>
      <c r="DQ132" s="416"/>
      <c r="DR132" s="416"/>
      <c r="DS132" s="412"/>
      <c r="DT132" s="413"/>
    </row>
    <row r="133" spans="1:124" ht="12.75" customHeight="1">
      <c r="A133" s="491"/>
      <c r="C133" s="1890" t="s">
        <v>426</v>
      </c>
      <c r="D133" s="1890"/>
      <c r="E133" s="1886">
        <f>IF(F133=0,G133,F133)</f>
        <v>400</v>
      </c>
      <c r="F133" s="1532">
        <v>400</v>
      </c>
      <c r="G133" s="1532">
        <v>400</v>
      </c>
      <c r="H133" s="610">
        <v>2037</v>
      </c>
      <c r="I133" s="1533">
        <v>6.0499999999999998E-2</v>
      </c>
      <c r="J133" s="615">
        <v>3</v>
      </c>
      <c r="K133" s="402"/>
      <c r="L133" s="407">
        <f t="shared" ref="L133:L137" si="1006">IF(L$5=$H133,-$E133,0)</f>
        <v>0</v>
      </c>
      <c r="M133" s="404">
        <f t="shared" ref="M133:M137" si="1007">IF(Q133=0,0,IF(Q133&lt;0,IF($J133=3,Q133,IF($J133=2,Q133,IF($J133=1,Q133,0)))))</f>
        <v>0</v>
      </c>
      <c r="N133" s="414">
        <f t="shared" ref="N133:N137" si="1008">IF(Q133=0,0,IF(Q133&lt;0,IF($J133=6,Q133,IF($J133=5,Q133,IF($J133=4,Q133,0)))))</f>
        <v>0</v>
      </c>
      <c r="O133" s="414">
        <f t="shared" ref="O133:O137" si="1009">IF(Q133=0,0,IF(Q133&lt;0,IF($J133=9,Q133,IF($J133=8,Q133,IF($J133=7,Q133,0)))))</f>
        <v>0</v>
      </c>
      <c r="P133" s="406">
        <f t="shared" ref="P133:P137" si="1010">IF(Q133=0,0,IF(Q133&lt;0,IF($J133=12,Q133,IF($J133=11,Q133,IF($J133=10,Q133,0)))))</f>
        <v>0</v>
      </c>
      <c r="Q133" s="407">
        <f t="shared" ref="Q133:Q137" si="1011">IF(Q$5=$H133,-$E133,0)</f>
        <v>0</v>
      </c>
      <c r="R133" s="404">
        <f t="shared" ref="R133:R137" si="1012">IF(V133=0,0,IF(V133&lt;0,IF($J133=3,V133,IF($J133=2,V133,IF($J133=1,V133,0)))))</f>
        <v>0</v>
      </c>
      <c r="S133" s="414">
        <f t="shared" ref="S133:S137" si="1013">IF(V133=0,0,IF(V133&lt;0,IF($J133=6,V133,IF($J133=5,V133,IF($J133=4,V133,0)))))</f>
        <v>0</v>
      </c>
      <c r="T133" s="414">
        <f t="shared" ref="T133:T137" si="1014">IF(V133=0,0,IF(V133&lt;0,IF($J133=9,V133,IF($J133=8,V133,IF($J133=7,V133,0)))))</f>
        <v>0</v>
      </c>
      <c r="U133" s="406">
        <f t="shared" ref="U133:U137" si="1015">IF(V133=0,0,IF(V133&lt;0,IF($J133=12,V133,IF($J133=11,V133,IF($J133=10,V133,0)))))</f>
        <v>0</v>
      </c>
      <c r="V133" s="407">
        <f t="shared" ref="V133:V137" si="1016">IF(V$5=$H133,-$E133,0)</f>
        <v>0</v>
      </c>
      <c r="W133" s="404">
        <f t="shared" ref="W133:W137" si="1017">IF(AA133=0,0,IF(AA133&lt;0,IF($J133=3,AA133,IF($J133=2,AA133,IF($J133=1,AA133,0)))))</f>
        <v>0</v>
      </c>
      <c r="X133" s="414">
        <f t="shared" ref="X133:X137" si="1018">IF(AA133=0,0,IF(AA133&lt;0,IF($J133=6,AA133,IF($J133=5,AA133,IF($J133=4,AA133,0)))))</f>
        <v>0</v>
      </c>
      <c r="Y133" s="414">
        <f t="shared" ref="Y133:Y137" si="1019">IF(AA133=0,0,IF(AA133&lt;0,IF($J133=9,AA133,IF($J133=8,AA133,IF($J133=7,AA133,0)))))</f>
        <v>0</v>
      </c>
      <c r="Z133" s="406">
        <f t="shared" ref="Z133:Z137" si="1020">IF(AA133=0,0,IF(AA133&lt;0,IF($J133=12,AA133,IF($J133=11,AA133,IF($J133=10,AA133,0)))))</f>
        <v>0</v>
      </c>
      <c r="AA133" s="407">
        <f t="shared" ref="AA133:AA137" si="1021">IF(AA$5=$H133,-$E133,0)</f>
        <v>0</v>
      </c>
      <c r="AB133" s="404">
        <f t="shared" ref="AB133:AB137" si="1022">IF(AF133=0,0,IF(AF133&lt;0,IF($J133=3,AF133,IF($J133=2,AF133,IF($J133=1,AF133,0)))))</f>
        <v>0</v>
      </c>
      <c r="AC133" s="414">
        <f t="shared" ref="AC133:AC137" si="1023">IF(AF133=0,0,IF(AF133&lt;0,IF($J133=6,AF133,IF($J133=5,AF133,IF($J133=4,AF133,0)))))</f>
        <v>0</v>
      </c>
      <c r="AD133" s="414">
        <f t="shared" ref="AD133:AD137" si="1024">IF(AF133=0,0,IF(AF133&lt;0,IF($J133=9,AF133,IF($J133=8,AF133,IF($J133=7,AF133,0)))))</f>
        <v>0</v>
      </c>
      <c r="AE133" s="406">
        <f t="shared" ref="AE133:AE137" si="1025">IF(AF133=0,0,IF(AF133&lt;0,IF($J133=12,AF133,IF($J133=11,AF133,IF($J133=10,AF133,0)))))</f>
        <v>0</v>
      </c>
      <c r="AF133" s="407">
        <f t="shared" ref="AF133:AF137" si="1026">IF(AF$5=$H133,-$E133,0)</f>
        <v>0</v>
      </c>
      <c r="AG133" s="404">
        <f t="shared" ref="AG133:AG137" si="1027">IF(AK133=0,0,IF(AK133&lt;0,IF($J133=3,AK133,IF($J133=2,AK133,IF($J133=1,AK133,0)))))</f>
        <v>0</v>
      </c>
      <c r="AH133" s="414">
        <f t="shared" ref="AH133:AH137" si="1028">IF(AK133=0,0,IF(AK133&lt;0,IF($J133=6,AK133,IF($J133=5,AK133,IF($J133=4,AK133,0)))))</f>
        <v>0</v>
      </c>
      <c r="AI133" s="414">
        <f t="shared" ref="AI133:AI137" si="1029">IF(AK133=0,0,IF(AK133&lt;0,IF($J133=9,AK133,IF($J133=8,AK133,IF($J133=7,AK133,0)))))</f>
        <v>0</v>
      </c>
      <c r="AJ133" s="406">
        <f t="shared" ref="AJ133:AJ137" si="1030">IF(AK133=0,0,IF(AK133&lt;0,IF($J133=12,AK133,IF($J133=11,AK133,IF($J133=10,AK133,0)))))</f>
        <v>0</v>
      </c>
      <c r="AK133" s="407">
        <f t="shared" ref="AK133:AK137" si="1031">IF(AK$5=$H133,-$E133,0)</f>
        <v>0</v>
      </c>
      <c r="AL133" s="404">
        <f t="shared" ref="AL133:AL137" si="1032">IF(AP133=0,0,IF(AP133&lt;0,IF($J133=3,AP133,IF($J133=2,AP133,IF($J133=1,AP133,0)))))</f>
        <v>0</v>
      </c>
      <c r="AM133" s="414">
        <f t="shared" ref="AM133:AM137" si="1033">IF(AP133=0,0,IF(AP133&lt;0,IF($J133=6,AP133,IF($J133=5,AP133,IF($J133=4,AP133,0)))))</f>
        <v>0</v>
      </c>
      <c r="AN133" s="414">
        <f t="shared" ref="AN133:AN137" si="1034">IF(AP133=0,0,IF(AP133&lt;0,IF($J133=9,AP133,IF($J133=8,AP133,IF($J133=7,AP133,0)))))</f>
        <v>0</v>
      </c>
      <c r="AO133" s="406">
        <f t="shared" ref="AO133:AO137" si="1035">IF(AP133=0,0,IF(AP133&lt;0,IF($J133=12,AP133,IF($J133=11,AP133,IF($J133=10,AP133,0)))))</f>
        <v>0</v>
      </c>
      <c r="AP133" s="407">
        <f t="shared" ref="AP133:AP137" si="1036">IF(AP$5=$H133,-$E133,0)</f>
        <v>0</v>
      </c>
      <c r="AQ133" s="404">
        <f t="shared" ref="AQ133:AQ137" si="1037">IF(AU133=0,0,IF(AU133&lt;0,IF($J133=3,AU133,IF($J133=2,AU133,IF($J133=1,AU133,0)))))</f>
        <v>0</v>
      </c>
      <c r="AR133" s="414">
        <f t="shared" ref="AR133:AR137" si="1038">IF(AU133=0,0,IF(AU133&lt;0,IF($J133=6,AU133,IF($J133=5,AU133,IF($J133=4,AU133,0)))))</f>
        <v>0</v>
      </c>
      <c r="AS133" s="414">
        <f t="shared" ref="AS133:AS137" si="1039">IF(AU133=0,0,IF(AU133&lt;0,IF($J133=9,AU133,IF($J133=8,AU133,IF($J133=7,AU133,0)))))</f>
        <v>0</v>
      </c>
      <c r="AT133" s="406">
        <f t="shared" ref="AT133:AT137" si="1040">IF(AU133=0,0,IF(AU133&lt;0,IF($J133=12,AU133,IF($J133=11,AU133,IF($J133=10,AU133,0)))))</f>
        <v>0</v>
      </c>
      <c r="AU133" s="407">
        <f t="shared" ref="AU133:AU137" si="1041">IF(AU$5=$H133,-$E133,0)</f>
        <v>0</v>
      </c>
      <c r="AV133" s="404">
        <f t="shared" ref="AV133:AV137" si="1042">IF(AZ133=0,0,IF(AZ133&lt;0,IF($J133=3,AZ133,IF($J133=2,AZ133,IF($J133=1,AZ133,0)))))</f>
        <v>0</v>
      </c>
      <c r="AW133" s="414">
        <f t="shared" ref="AW133:AW137" si="1043">IF(AZ133=0,0,IF(AZ133&lt;0,IF($J133=6,AZ133,IF($J133=5,AZ133,IF($J133=4,AZ133,0)))))</f>
        <v>0</v>
      </c>
      <c r="AX133" s="414">
        <f t="shared" ref="AX133:AX137" si="1044">IF(AZ133=0,0,IF(AZ133&lt;0,IF($J133=9,AZ133,IF($J133=8,AZ133,IF($J133=7,AZ133,0)))))</f>
        <v>0</v>
      </c>
      <c r="AY133" s="406">
        <f t="shared" ref="AY133:AY137" si="1045">IF(AZ133=0,0,IF(AZ133&lt;0,IF($J133=12,AZ133,IF($J133=11,AZ133,IF($J133=10,AZ133,0)))))</f>
        <v>0</v>
      </c>
      <c r="AZ133" s="407">
        <f t="shared" ref="AZ133:AZ137" si="1046">IF(AZ$5=$H133,-$E133,0)</f>
        <v>0</v>
      </c>
      <c r="BA133" s="404">
        <f t="shared" ref="BA133:BA137" si="1047">IF(BE133=0,0,IF(BE133&lt;0,IF($J133=3,BE133,IF($J133=2,BE133,IF($J133=1,BE133,0)))))</f>
        <v>0</v>
      </c>
      <c r="BB133" s="414">
        <f t="shared" ref="BB133:BB137" si="1048">IF(BE133=0,0,IF(BE133&lt;0,IF($J133=6,BE133,IF($J133=5,BE133,IF($J133=4,BE133,0)))))</f>
        <v>0</v>
      </c>
      <c r="BC133" s="414">
        <f t="shared" ref="BC133:BC137" si="1049">IF(BE133=0,0,IF(BE133&lt;0,IF($J133=9,BE133,IF($J133=8,BE133,IF($J133=7,BE133,0)))))</f>
        <v>0</v>
      </c>
      <c r="BD133" s="406">
        <f t="shared" ref="BD133:BD137" si="1050">IF(BE133=0,0,IF(BE133&lt;0,IF($J133=12,BE133,IF($J133=11,BE133,IF($J133=10,BE133,0)))))</f>
        <v>0</v>
      </c>
      <c r="BE133" s="407">
        <f t="shared" ref="BE133:BE137" si="1051">IF(BE$5=$H133,-$E133,0)</f>
        <v>0</v>
      </c>
      <c r="BF133" s="404">
        <f t="shared" ref="BF133:BF137" si="1052">IF(BJ133=0,0,IF(BJ133&lt;0,IF($J133=3,BJ133,IF($J133=2,BJ133,IF($J133=1,BJ133,0)))))</f>
        <v>0</v>
      </c>
      <c r="BG133" s="414">
        <f t="shared" ref="BG133:BG137" si="1053">IF(BJ133=0,0,IF(BJ133&lt;0,IF($J133=6,BJ133,IF($J133=5,BJ133,IF($J133=4,BJ133,0)))))</f>
        <v>0</v>
      </c>
      <c r="BH133" s="414">
        <f t="shared" ref="BH133:BH137" si="1054">IF(BJ133=0,0,IF(BJ133&lt;0,IF($J133=9,BJ133,IF($J133=8,BJ133,IF($J133=7,BJ133,0)))))</f>
        <v>0</v>
      </c>
      <c r="BI133" s="406">
        <f t="shared" ref="BI133:BI137" si="1055">IF(BJ133=0,0,IF(BJ133&lt;0,IF($J133=12,BJ133,IF($J133=11,BJ133,IF($J133=10,BJ133,0)))))</f>
        <v>0</v>
      </c>
      <c r="BJ133" s="407">
        <f t="shared" ref="BJ133:BJ137" si="1056">IF(BJ$5=$H133,-$E133,0)</f>
        <v>0</v>
      </c>
      <c r="BK133" s="404">
        <f t="shared" ref="BK133:BK137" si="1057">IF(BO133=0,0,IF(BO133&lt;0,IF($J133=3,BO133,IF($J133=2,BO133,IF($J133=1,BO133,0)))))</f>
        <v>0</v>
      </c>
      <c r="BL133" s="414">
        <f t="shared" ref="BL133:BL137" si="1058">IF(BO133=0,0,IF(BO133&lt;0,IF($J133=6,BO133,IF($J133=5,BO133,IF($J133=4,BO133,0)))))</f>
        <v>0</v>
      </c>
      <c r="BM133" s="414">
        <f t="shared" ref="BM133:BM137" si="1059">IF(BO133=0,0,IF(BO133&lt;0,IF($J133=9,BO133,IF($J133=8,BO133,IF($J133=7,BO133,0)))))</f>
        <v>0</v>
      </c>
      <c r="BN133" s="406">
        <f t="shared" ref="BN133:BN137" si="1060">IF(BO133=0,0,IF(BO133&lt;0,IF($J133=12,BO133,IF($J133=11,BO133,IF($J133=10,BO133,0)))))</f>
        <v>0</v>
      </c>
      <c r="BO133" s="407">
        <f t="shared" ref="BO133:BO137" si="1061">IF(BO$5=$H133,-$E133,0)</f>
        <v>0</v>
      </c>
      <c r="BP133" s="449"/>
      <c r="BQ133" s="413">
        <f t="shared" ref="BQ133:BQ137" si="1062">IF(AND(AH133&lt;&gt;0,AH$5=$H133),-$I133*$E133-AH133,IF(BQ$5=$H133,-$I133*$E133*(12-$J133+1)/12,0))</f>
        <v>0</v>
      </c>
      <c r="BR133" s="410">
        <f t="shared" ref="BR133:BR137" si="1063">IF($H133&lt;&gt;BV$5,0,IF(BV133&lt;0,IF($J133=1,-$E133*$I133/12*3,IF($J133=2,-$E133*$I133/12*2,IF($J133=3,-$E133*$I133/12*1,0)))))+IF(BQ$5&lt;&gt;$H133,0,IF(BQ133&lt;0,IF($J133=1,-$E133*$I133/12*0,IF($J133=2,-$E133*$I133/12*1,IF($J133=3,-$E133*$I133/12*2,IF($J133&gt;=4,-$E133*$I133/12*3,0))))))</f>
        <v>0</v>
      </c>
      <c r="BS133" s="416">
        <f t="shared" ref="BS133:BS137" si="1064">IF($H133&lt;&gt;BV$5,0,IF(BV133&lt;0,IF(OR($J133=1,$J133=2,$J133=3,$J133=4),-$E133*$I133/12*3,IF($J133=5,-$E133*$I133/12*2,IF($J133=6,-$E133*$I133/12*1,0)))))+IF(BQ$5&lt;&gt;$H133,0,IF(BQ133&lt;0,IF($J133=4,-$E133*$I133/12*0,IF($J133=5,-$E133*$I133/12*1,IF($J133=6,-$E133*$I133/12*2,IF($J133&gt;=7,-$E133*$I133/12*3,0))))))</f>
        <v>0</v>
      </c>
      <c r="BT133" s="416">
        <f t="shared" ref="BT133:BT137" si="1065">IF($H133&lt;&gt;BV$5,0,IF(BV133&lt;0,IF(OR($J133=1,$J133=2,$J133=3,$J133=4,$J133=5,$J133=6,$J133=7),-$E133*$I133/12*3,IF($J133=8,-$E133*$I133/12*2,IF($J133=9,-$E133*$I133/12*1,0)))))+IF(BQ$5&lt;&gt;$H133,0,IF(BQ133&lt;0,IF($J133=7,-$E133*$I133/12*0,IF($J133=8,-$E133*$I133/12*1,IF($J133=9,-$E133*$I133/12*2,IF($J133&gt;=10,-$E133*$I133/12*3,0))))))</f>
        <v>0</v>
      </c>
      <c r="BU133" s="412">
        <f t="shared" ref="BU133:BU137" si="1066">IF($H133&lt;&gt;BV$5,0,IF(BV133&lt;0,IF(OR($J133=1,$J133=2,$J133=3,$J133=4,$J133=5,$J133=6,$J133=7,$J133=8,$J133=9,$J133=10),-$E133*$I133/12*3,IF($J133=11,-$E133*$I133/12*2,IF($J133=12,-$E133*$I133/12*1,0)))))+IF(BQ$5&lt;&gt;$H133,0,IF(BQ133&lt;0,IF($J133=10,-$E133*$I133/12*0,IF($J133=11,-$E133*$I133/12*1,IF($J133=12,-$E133*$I133/12*2,0)))))</f>
        <v>0</v>
      </c>
      <c r="BV133" s="413">
        <f t="shared" ref="BV133:BV137" si="1067">IF(AND(BQ133&lt;&gt;0,BQ$5=$H133),-$I133*$E133-BQ133,IF(BV$5=$H133,-$I133*$E133*(12-$J133+1)/12,0))</f>
        <v>0</v>
      </c>
      <c r="BW133" s="410">
        <f t="shared" ref="BW133:BW137" si="1068">IF($H133&lt;&gt;CA$5,0,IF(CA133&lt;0,IF($J133=1,-$E133*$I133/12*3,IF($J133=2,-$E133*$I133/12*2,IF($J133=3,-$E133*$I133/12*1,0)))))+IF(BV$5&lt;&gt;$H133,0,IF(BV133&lt;0,IF($J133=1,-$E133*$I133/12*0,IF($J133=2,-$E133*$I133/12*1,IF($J133=3,-$E133*$I133/12*2,IF($J133&gt;=4,-$E133*$I133/12*3,0))))))</f>
        <v>0</v>
      </c>
      <c r="BX133" s="416">
        <f t="shared" ref="BX133:BX137" si="1069">IF($H133&lt;&gt;CA$5,0,IF(CA133&lt;0,IF(OR($J133=1,$J133=2,$J133=3,$J133=4),-$E133*$I133/12*3,IF($J133=5,-$E133*$I133/12*2,IF($J133=6,-$E133*$I133/12*1,0)))))+IF(BV$5&lt;&gt;$H133,0,IF(BV133&lt;0,IF($J133=4,-$E133*$I133/12*0,IF($J133=5,-$E133*$I133/12*1,IF($J133=6,-$E133*$I133/12*2,IF($J133&gt;=7,-$E133*$I133/12*3,0))))))</f>
        <v>0</v>
      </c>
      <c r="BY133" s="416">
        <f t="shared" ref="BY133:BY137" si="1070">IF($H133&lt;&gt;CA$5,0,IF(CA133&lt;0,IF(OR($J133=1,$J133=2,$J133=3,$J133=4,$J133=5,$J133=6,$J133=7),-$E133*$I133/12*3,IF($J133=8,-$E133*$I133/12*2,IF($J133=9,-$E133*$I133/12*1,0)))))+IF(BV$5&lt;&gt;$H133,0,IF(BV133&lt;0,IF($J133=7,-$E133*$I133/12*0,IF($J133=8,-$E133*$I133/12*1,IF($J133=9,-$E133*$I133/12*2,IF($J133&gt;=10,-$E133*$I133/12*3,0))))))</f>
        <v>0</v>
      </c>
      <c r="BZ133" s="412">
        <f t="shared" ref="BZ133:BZ137" si="1071">IF($H133&lt;&gt;CA$5,0,IF(CA133&lt;0,IF(OR($J133=1,$J133=2,$J133=3,$J133=4,$J133=5,$J133=6,$J133=7,$J133=8,$J133=9,$J133=10),-$E133*$I133/12*3,IF($J133=11,-$E133*$I133/12*2,IF($J133=12,-$E133*$I133/12*1,0)))))+IF(BV$5&lt;&gt;$H133,0,IF(BV133&lt;0,IF($J133=10,-$E133*$I133/12*0,IF($J133=11,-$E133*$I133/12*1,IF($J133=12,-$E133*$I133/12*2,0)))))</f>
        <v>0</v>
      </c>
      <c r="CA133" s="413">
        <f t="shared" ref="CA133:CA137" si="1072">IF(AND(BV133&lt;&gt;0,BV$5=$H133),-$I133*$E133-BV133,IF(CA$5=$H133,-$I133*$E133*(12-$J133+1)/12,0))</f>
        <v>0</v>
      </c>
      <c r="CB133" s="410">
        <f t="shared" ref="CB133:CB137" si="1073">IF($H133&lt;&gt;CF$5,0,IF(CF133&lt;0,IF($J133=1,-$E133*$I133/12*3,IF($J133=2,-$E133*$I133/12*2,IF($J133=3,-$E133*$I133/12*1,0)))))+IF(CA$5&lt;&gt;$H133,0,IF(CA133&lt;0,IF($J133=1,-$E133*$I133/12*0,IF($J133=2,-$E133*$I133/12*1,IF($J133=3,-$E133*$I133/12*2,IF($J133&gt;=4,-$E133*$I133/12*3,0))))))</f>
        <v>0</v>
      </c>
      <c r="CC133" s="416">
        <f t="shared" ref="CC133:CC137" si="1074">IF($H133&lt;&gt;CF$5,0,IF(CF133&lt;0,IF(OR($J133=1,$J133=2,$J133=3,$J133=4),-$E133*$I133/12*3,IF($J133=5,-$E133*$I133/12*2,IF($J133=6,-$E133*$I133/12*1,0)))))+IF(CA$5&lt;&gt;$H133,0,IF(CA133&lt;0,IF($J133=4,-$E133*$I133/12*0,IF($J133=5,-$E133*$I133/12*1,IF($J133=6,-$E133*$I133/12*2,IF($J133&gt;=7,-$E133*$I133/12*3,0))))))</f>
        <v>0</v>
      </c>
      <c r="CD133" s="416">
        <f t="shared" ref="CD133:CD137" si="1075">IF($H133&lt;&gt;CF$5,0,IF(CF133&lt;0,IF(OR($J133=1,$J133=2,$J133=3,$J133=4,$J133=5,$J133=6,$J133=7),-$E133*$I133/12*3,IF($J133=8,-$E133*$I133/12*2,IF($J133=9,-$E133*$I133/12*1,0)))))+IF(CA$5&lt;&gt;$H133,0,IF(CA133&lt;0,IF($J133=7,-$E133*$I133/12*0,IF($J133=8,-$E133*$I133/12*1,IF($J133=9,-$E133*$I133/12*2,IF($J133&gt;=10,-$E133*$I133/12*3,0))))))</f>
        <v>0</v>
      </c>
      <c r="CE133" s="412">
        <f t="shared" ref="CE133:CE137" si="1076">IF($H133&lt;&gt;CF$5,0,IF(CF133&lt;0,IF(OR($J133=1,$J133=2,$J133=3,$J133=4,$J133=5,$J133=6,$J133=7,$J133=8,$J133=9,$J133=10),-$E133*$I133/12*3,IF($J133=11,-$E133*$I133/12*2,IF($J133=12,-$E133*$I133/12*1,0)))))+IF(CA$5&lt;&gt;$H133,0,IF(CA133&lt;0,IF($J133=10,-$E133*$I133/12*0,IF($J133=11,-$E133*$I133/12*1,IF($J133=12,-$E133*$I133/12*2,0)))))</f>
        <v>0</v>
      </c>
      <c r="CF133" s="413">
        <f t="shared" ref="CF133:CF137" si="1077">IF(AND(CA133&lt;&gt;0,CA$5=$H133),-$I133*$E133-CA133,IF(CF$5=$H133,-$I133*$E133*(12-$J133+1)/12,0))</f>
        <v>0</v>
      </c>
      <c r="CG133" s="410">
        <f t="shared" ref="CG133:CG137" si="1078">IF($H133&lt;&gt;CK$5,0,IF(CK133&lt;0,IF($J133=1,-$E133*$I133/12*3,IF($J133=2,-$E133*$I133/12*2,IF($J133=3,-$E133*$I133/12*1,0)))))+IF(CF$5&lt;&gt;$H133,0,IF(CF133&lt;0,IF($J133=1,-$E133*$I133/12*0,IF($J133=2,-$E133*$I133/12*1,IF($J133=3,-$E133*$I133/12*2,IF($J133&gt;=4,-$E133*$I133/12*3,0))))))</f>
        <v>0</v>
      </c>
      <c r="CH133" s="416">
        <f t="shared" ref="CH133:CH137" si="1079">IF($H133&lt;&gt;CK$5,0,IF(CK133&lt;0,IF(OR($J133=1,$J133=2,$J133=3,$J133=4),-$E133*$I133/12*3,IF($J133=5,-$E133*$I133/12*2,IF($J133=6,-$E133*$I133/12*1,0)))))+IF(CF$5&lt;&gt;$H133,0,IF(CF133&lt;0,IF($J133=4,-$E133*$I133/12*0,IF($J133=5,-$E133*$I133/12*1,IF($J133=6,-$E133*$I133/12*2,IF($J133&gt;=7,-$E133*$I133/12*3,0))))))</f>
        <v>0</v>
      </c>
      <c r="CI133" s="416">
        <f t="shared" ref="CI133:CI137" si="1080">IF($H133&lt;&gt;CK$5,0,IF(CK133&lt;0,IF(OR($J133=1,$J133=2,$J133=3,$J133=4,$J133=5,$J133=6,$J133=7),-$E133*$I133/12*3,IF($J133=8,-$E133*$I133/12*2,IF($J133=9,-$E133*$I133/12*1,0)))))+IF(CF$5&lt;&gt;$H133,0,IF(CF133&lt;0,IF($J133=7,-$E133*$I133/12*0,IF($J133=8,-$E133*$I133/12*1,IF($J133=9,-$E133*$I133/12*2,IF($J133&gt;=10,-$E133*$I133/12*3,0))))))</f>
        <v>0</v>
      </c>
      <c r="CJ133" s="412">
        <f t="shared" ref="CJ133:CJ137" si="1081">IF($H133&lt;&gt;CK$5,0,IF(CK133&lt;0,IF(OR($J133=1,$J133=2,$J133=3,$J133=4,$J133=5,$J133=6,$J133=7,$J133=8,$J133=9,$J133=10),-$E133*$I133/12*3,IF($J133=11,-$E133*$I133/12*2,IF($J133=12,-$E133*$I133/12*1,0)))))+IF(CF$5&lt;&gt;$H133,0,IF(CF133&lt;0,IF($J133=10,-$E133*$I133/12*0,IF($J133=11,-$E133*$I133/12*1,IF($J133=12,-$E133*$I133/12*2,0)))))</f>
        <v>0</v>
      </c>
      <c r="CK133" s="413">
        <f t="shared" ref="CK133:CK137" si="1082">IF(AND(CF133&lt;&gt;0,CF$5=$H133),-$I133*$E133-CF133,IF(CK$5=$H133,-$I133*$E133*(12-$J133+1)/12,0))</f>
        <v>0</v>
      </c>
      <c r="CL133" s="410">
        <f t="shared" ref="CL133:CL137" si="1083">IF($H133&lt;&gt;CP$5,0,IF(CP133&lt;0,IF($J133=1,-$E133*$I133/12*3,IF($J133=2,-$E133*$I133/12*2,IF($J133=3,-$E133*$I133/12*1,0)))))+IF(CK$5&lt;&gt;$H133,0,IF(CK133&lt;0,IF($J133=1,-$E133*$I133/12*0,IF($J133=2,-$E133*$I133/12*1,IF($J133=3,-$E133*$I133/12*2,IF($J133&gt;=4,-$E133*$I133/12*3,0))))))</f>
        <v>0</v>
      </c>
      <c r="CM133" s="416">
        <f t="shared" ref="CM133:CM137" si="1084">IF($H133&lt;&gt;CP$5,0,IF(CP133&lt;0,IF(OR($J133=1,$J133=2,$J133=3,$J133=4),-$E133*$I133/12*3,IF($J133=5,-$E133*$I133/12*2,IF($J133=6,-$E133*$I133/12*1,0)))))+IF(CK$5&lt;&gt;$H133,0,IF(CK133&lt;0,IF($J133=4,-$E133*$I133/12*0,IF($J133=5,-$E133*$I133/12*1,IF($J133=6,-$E133*$I133/12*2,IF($J133&gt;=7,-$E133*$I133/12*3,0))))))</f>
        <v>0</v>
      </c>
      <c r="CN133" s="416">
        <f t="shared" ref="CN133:CN137" si="1085">IF($H133&lt;&gt;CP$5,0,IF(CP133&lt;0,IF(OR($J133=1,$J133=2,$J133=3,$J133=4,$J133=5,$J133=6,$J133=7),-$E133*$I133/12*3,IF($J133=8,-$E133*$I133/12*2,IF($J133=9,-$E133*$I133/12*1,0)))))+IF(CK$5&lt;&gt;$H133,0,IF(CK133&lt;0,IF($J133=7,-$E133*$I133/12*0,IF($J133=8,-$E133*$I133/12*1,IF($J133=9,-$E133*$I133/12*2,IF($J133&gt;=10,-$E133*$I133/12*3,0))))))</f>
        <v>0</v>
      </c>
      <c r="CO133" s="412">
        <f t="shared" ref="CO133:CO137" si="1086">IF($H133&lt;&gt;CP$5,0,IF(CP133&lt;0,IF(OR($J133=1,$J133=2,$J133=3,$J133=4,$J133=5,$J133=6,$J133=7,$J133=8,$J133=9,$J133=10),-$E133*$I133/12*3,IF($J133=11,-$E133*$I133/12*2,IF($J133=12,-$E133*$I133/12*1,0)))))+IF(CK$5&lt;&gt;$H133,0,IF(CK133&lt;0,IF($J133=10,-$E133*$I133/12*0,IF($J133=11,-$E133*$I133/12*1,IF($J133=12,-$E133*$I133/12*2,0)))))</f>
        <v>0</v>
      </c>
      <c r="CP133" s="413">
        <f t="shared" ref="CP133:CP137" si="1087">IF(AND(CK133&lt;&gt;0,CK$5=$H133),-$I133*$E133-CK133,IF(CP$5=$H133,-$I133*$E133*(12-$J133+1)/12,0))</f>
        <v>0</v>
      </c>
      <c r="CQ133" s="410">
        <f t="shared" ref="CQ133:CQ137" si="1088">IF($H133&lt;&gt;CU$5,0,IF(CU133&lt;0,IF($J133=1,-$E133*$I133/12*3,IF($J133=2,-$E133*$I133/12*2,IF($J133=3,-$E133*$I133/12*1,0)))))+IF(CP$5&lt;&gt;$H133,0,IF(CP133&lt;0,IF($J133=1,-$E133*$I133/12*0,IF($J133=2,-$E133*$I133/12*1,IF($J133=3,-$E133*$I133/12*2,IF($J133&gt;=4,-$E133*$I133/12*3,0))))))</f>
        <v>0</v>
      </c>
      <c r="CR133" s="416">
        <f t="shared" ref="CR133:CR137" si="1089">IF($H133&lt;&gt;CU$5,0,IF(CU133&lt;0,IF(OR($J133=1,$J133=2,$J133=3,$J133=4),-$E133*$I133/12*3,IF($J133=5,-$E133*$I133/12*2,IF($J133=6,-$E133*$I133/12*1,0)))))+IF(CP$5&lt;&gt;$H133,0,IF(CP133&lt;0,IF($J133=4,-$E133*$I133/12*0,IF($J133=5,-$E133*$I133/12*1,IF($J133=6,-$E133*$I133/12*2,IF($J133&gt;=7,-$E133*$I133/12*3,0))))))</f>
        <v>0</v>
      </c>
      <c r="CS133" s="416">
        <f t="shared" ref="CS133:CS137" si="1090">IF($H133&lt;&gt;CU$5,0,IF(CU133&lt;0,IF(OR($J133=1,$J133=2,$J133=3,$J133=4,$J133=5,$J133=6,$J133=7),-$E133*$I133/12*3,IF($J133=8,-$E133*$I133/12*2,IF($J133=9,-$E133*$I133/12*1,0)))))+IF(CP$5&lt;&gt;$H133,0,IF(CP133&lt;0,IF($J133=7,-$E133*$I133/12*0,IF($J133=8,-$E133*$I133/12*1,IF($J133=9,-$E133*$I133/12*2,IF($J133&gt;=10,-$E133*$I133/12*3,0))))))</f>
        <v>0</v>
      </c>
      <c r="CT133" s="412">
        <f t="shared" ref="CT133:CT137" si="1091">IF($H133&lt;&gt;CU$5,0,IF(CU133&lt;0,IF(OR($J133=1,$J133=2,$J133=3,$J133=4,$J133=5,$J133=6,$J133=7,$J133=8,$J133=9,$J133=10),-$E133*$I133/12*3,IF($J133=11,-$E133*$I133/12*2,IF($J133=12,-$E133*$I133/12*1,0)))))+IF(CP$5&lt;&gt;$H133,0,IF(CP133&lt;0,IF($J133=10,-$E133*$I133/12*0,IF($J133=11,-$E133*$I133/12*1,IF($J133=12,-$E133*$I133/12*2,0)))))</f>
        <v>0</v>
      </c>
      <c r="CU133" s="413">
        <f t="shared" ref="CU133:CU137" si="1092">IF(AND(CP133&lt;&gt;0,CP$5=$H133),-$I133*$E133-CP133,IF(CU$5=$H133,-$I133*$E133*(12-$J133+1)/12,0))</f>
        <v>0</v>
      </c>
      <c r="CV133" s="410">
        <f t="shared" ref="CV133:CV137" si="1093">IF($H133&lt;&gt;CZ$5,0,IF(CZ133&lt;0,IF($J133=1,-$E133*$I133/12*3,IF($J133=2,-$E133*$I133/12*2,IF($J133=3,-$E133*$I133/12*1,0)))))+IF(CU$5&lt;&gt;$H133,0,IF(CU133&lt;0,IF($J133=1,-$E133*$I133/12*0,IF($J133=2,-$E133*$I133/12*1,IF($J133=3,-$E133*$I133/12*2,IF($J133&gt;=4,-$E133*$I133/12*3,0))))))</f>
        <v>0</v>
      </c>
      <c r="CW133" s="416">
        <f t="shared" ref="CW133:CW137" si="1094">IF($H133&lt;&gt;CZ$5,0,IF(CZ133&lt;0,IF(OR($J133=1,$J133=2,$J133=3,$J133=4),-$E133*$I133/12*3,IF($J133=5,-$E133*$I133/12*2,IF($J133=6,-$E133*$I133/12*1,0)))))+IF(CU$5&lt;&gt;$H133,0,IF(CU133&lt;0,IF($J133=4,-$E133*$I133/12*0,IF($J133=5,-$E133*$I133/12*1,IF($J133=6,-$E133*$I133/12*2,IF($J133&gt;=7,-$E133*$I133/12*3,0))))))</f>
        <v>0</v>
      </c>
      <c r="CX133" s="416">
        <f t="shared" ref="CX133:CX137" si="1095">IF($H133&lt;&gt;CZ$5,0,IF(CZ133&lt;0,IF(OR($J133=1,$J133=2,$J133=3,$J133=4,$J133=5,$J133=6,$J133=7),-$E133*$I133/12*3,IF($J133=8,-$E133*$I133/12*2,IF($J133=9,-$E133*$I133/12*1,0)))))+IF(CU$5&lt;&gt;$H133,0,IF(CU133&lt;0,IF($J133=7,-$E133*$I133/12*0,IF($J133=8,-$E133*$I133/12*1,IF($J133=9,-$E133*$I133/12*2,IF($J133&gt;=10,-$E133*$I133/12*3,0))))))</f>
        <v>0</v>
      </c>
      <c r="CY133" s="412">
        <f t="shared" ref="CY133:CY137" si="1096">IF($H133&lt;&gt;CZ$5,0,IF(CZ133&lt;0,IF(OR($J133=1,$J133=2,$J133=3,$J133=4,$J133=5,$J133=6,$J133=7,$J133=8,$J133=9,$J133=10),-$E133*$I133/12*3,IF($J133=11,-$E133*$I133/12*2,IF($J133=12,-$E133*$I133/12*1,0)))))+IF(CU$5&lt;&gt;$H133,0,IF(CU133&lt;0,IF($J133=10,-$E133*$I133/12*0,IF($J133=11,-$E133*$I133/12*1,IF($J133=12,-$E133*$I133/12*2,0)))))</f>
        <v>0</v>
      </c>
      <c r="CZ133" s="413">
        <f t="shared" ref="CZ133:CZ137" si="1097">IF(AND(CU133&lt;&gt;0,CU$5=$H133),-$I133*$E133-CU133,IF(CZ$5=$H133,-$I133*$E133*(12-$J133+1)/12,0))</f>
        <v>0</v>
      </c>
      <c r="DA133" s="410">
        <f t="shared" ref="DA133:DA137" si="1098">IF($H133&lt;&gt;DE$5,0,IF(DE133&lt;0,IF($J133=1,-$E133*$I133/12*3,IF($J133=2,-$E133*$I133/12*2,IF($J133=3,-$E133*$I133/12*1,0)))))+IF(CZ$5&lt;&gt;$H133,0,IF(CZ133&lt;0,IF($J133=1,-$E133*$I133/12*0,IF($J133=2,-$E133*$I133/12*1,IF($J133=3,-$E133*$I133/12*2,IF($J133&gt;=4,-$E133*$I133/12*3,0))))))</f>
        <v>0</v>
      </c>
      <c r="DB133" s="416">
        <f t="shared" ref="DB133:DB137" si="1099">IF($H133&lt;&gt;DE$5,0,IF(DE133&lt;0,IF(OR($J133=1,$J133=2,$J133=3,$J133=4),-$E133*$I133/12*3,IF($J133=5,-$E133*$I133/12*2,IF($J133=6,-$E133*$I133/12*1,0)))))+IF(CZ$5&lt;&gt;$H133,0,IF(CZ133&lt;0,IF($J133=4,-$E133*$I133/12*0,IF($J133=5,-$E133*$I133/12*1,IF($J133=6,-$E133*$I133/12*2,IF($J133&gt;=7,-$E133*$I133/12*3,0))))))</f>
        <v>0</v>
      </c>
      <c r="DC133" s="416">
        <f t="shared" ref="DC133:DC137" si="1100">IF($H133&lt;&gt;DE$5,0,IF(DE133&lt;0,IF(OR($J133=1,$J133=2,$J133=3,$J133=4,$J133=5,$J133=6,$J133=7),-$E133*$I133/12*3,IF($J133=8,-$E133*$I133/12*2,IF($J133=9,-$E133*$I133/12*1,0)))))+IF(CZ$5&lt;&gt;$H133,0,IF(CZ133&lt;0,IF($J133=7,-$E133*$I133/12*0,IF($J133=8,-$E133*$I133/12*1,IF($J133=9,-$E133*$I133/12*2,IF($J133&gt;=10,-$E133*$I133/12*3,0))))))</f>
        <v>0</v>
      </c>
      <c r="DD133" s="412">
        <f t="shared" ref="DD133:DD137" si="1101">IF($H133&lt;&gt;DE$5,0,IF(DE133&lt;0,IF(OR($J133=1,$J133=2,$J133=3,$J133=4,$J133=5,$J133=6,$J133=7,$J133=8,$J133=9,$J133=10),-$E133*$I133/12*3,IF($J133=11,-$E133*$I133/12*2,IF($J133=12,-$E133*$I133/12*1,0)))))+IF(CZ$5&lt;&gt;$H133,0,IF(CZ133&lt;0,IF($J133=10,-$E133*$I133/12*0,IF($J133=11,-$E133*$I133/12*1,IF($J133=12,-$E133*$I133/12*2,0)))))</f>
        <v>0</v>
      </c>
      <c r="DE133" s="413">
        <f t="shared" ref="DE133:DE137" si="1102">IF(AND(CZ133&lt;&gt;0,CZ$5=$H133),-$I133*$E133-CZ133,IF(DE$5=$H133,-$I133*$E133*(12-$J133+1)/12,0))</f>
        <v>0</v>
      </c>
      <c r="DF133" s="410">
        <f t="shared" ref="DF133:DF137" si="1103">IF($H133&lt;&gt;DJ$5,0,IF(DJ133&lt;0,IF($J133=1,-$E133*$I133/12*3,IF($J133=2,-$E133*$I133/12*2,IF($J133=3,-$E133*$I133/12*1,0)))))+IF(DE$5&lt;&gt;$H133,0,IF(DE133&lt;0,IF($J133=1,-$E133*$I133/12*0,IF($J133=2,-$E133*$I133/12*1,IF($J133=3,-$E133*$I133/12*2,IF($J133&gt;=4,-$E133*$I133/12*3,0))))))</f>
        <v>0</v>
      </c>
      <c r="DG133" s="416">
        <f t="shared" ref="DG133:DG137" si="1104">IF($H133&lt;&gt;DJ$5,0,IF(DJ133&lt;0,IF(OR($J133=1,$J133=2,$J133=3,$J133=4),-$E133*$I133/12*3,IF($J133=5,-$E133*$I133/12*2,IF($J133=6,-$E133*$I133/12*1,0)))))+IF(DE$5&lt;&gt;$H133,0,IF(DE133&lt;0,IF($J133=4,-$E133*$I133/12*0,IF($J133=5,-$E133*$I133/12*1,IF($J133=6,-$E133*$I133/12*2,IF($J133&gt;=7,-$E133*$I133/12*3,0))))))</f>
        <v>0</v>
      </c>
      <c r="DH133" s="416">
        <f t="shared" ref="DH133:DH137" si="1105">IF($H133&lt;&gt;DJ$5,0,IF(DJ133&lt;0,IF(OR($J133=1,$J133=2,$J133=3,$J133=4,$J133=5,$J133=6,$J133=7),-$E133*$I133/12*3,IF($J133=8,-$E133*$I133/12*2,IF($J133=9,-$E133*$I133/12*1,0)))))+IF(DE$5&lt;&gt;$H133,0,IF(DE133&lt;0,IF($J133=7,-$E133*$I133/12*0,IF($J133=8,-$E133*$I133/12*1,IF($J133=9,-$E133*$I133/12*2,IF($J133&gt;=10,-$E133*$I133/12*3,0))))))</f>
        <v>0</v>
      </c>
      <c r="DI133" s="412">
        <f t="shared" ref="DI133:DI137" si="1106">IF($H133&lt;&gt;DJ$5,0,IF(DJ133&lt;0,IF(OR($J133=1,$J133=2,$J133=3,$J133=4,$J133=5,$J133=6,$J133=7,$J133=8,$J133=9,$J133=10),-$E133*$I133/12*3,IF($J133=11,-$E133*$I133/12*2,IF($J133=12,-$E133*$I133/12*1,0)))))+IF(DE$5&lt;&gt;$H133,0,IF(DE133&lt;0,IF($J133=10,-$E133*$I133/12*0,IF($J133=11,-$E133*$I133/12*1,IF($J133=12,-$E133*$I133/12*2,0)))))</f>
        <v>0</v>
      </c>
      <c r="DJ133" s="413">
        <f t="shared" ref="DJ133:DJ137" si="1107">IF(AND(DE133&lt;&gt;0,DE$5=$H133),-$I133*$E133-DE133,IF(DJ$5=$H133,-$I133*$E133*(12-$J133+1)/12,0))</f>
        <v>0</v>
      </c>
      <c r="DK133" s="410">
        <f t="shared" ref="DK133:DK137" si="1108">IF($H133&lt;&gt;DO$5,0,IF(DO133&lt;0,IF($J133=1,-$E133*$I133/12*3,IF($J133=2,-$E133*$I133/12*2,IF($J133=3,-$E133*$I133/12*1,0)))))+IF(DJ$5&lt;&gt;$H133,0,IF(DJ133&lt;0,IF($J133=1,-$E133*$I133/12*0,IF($J133=2,-$E133*$I133/12*1,IF($J133=3,-$E133*$I133/12*2,IF($J133&gt;=4,-$E133*$I133/12*3,0))))))</f>
        <v>0</v>
      </c>
      <c r="DL133" s="416">
        <f t="shared" ref="DL133:DL137" si="1109">IF($H133&lt;&gt;DO$5,0,IF(DO133&lt;0,IF(OR($J133=1,$J133=2,$J133=3,$J133=4),-$E133*$I133/12*3,IF($J133=5,-$E133*$I133/12*2,IF($J133=6,-$E133*$I133/12*1,0)))))+IF(DJ$5&lt;&gt;$H133,0,IF(DJ133&lt;0,IF($J133=4,-$E133*$I133/12*0,IF($J133=5,-$E133*$I133/12*1,IF($J133=6,-$E133*$I133/12*2,IF($J133&gt;=7,-$E133*$I133/12*3,0))))))</f>
        <v>0</v>
      </c>
      <c r="DM133" s="416">
        <f t="shared" ref="DM133:DM137" si="1110">IF($H133&lt;&gt;DO$5,0,IF(DO133&lt;0,IF(OR($J133=1,$J133=2,$J133=3,$J133=4,$J133=5,$J133=6,$J133=7),-$E133*$I133/12*3,IF($J133=8,-$E133*$I133/12*2,IF($J133=9,-$E133*$I133/12*1,0)))))+IF(DJ$5&lt;&gt;$H133,0,IF(DJ133&lt;0,IF($J133=7,-$E133*$I133/12*0,IF($J133=8,-$E133*$I133/12*1,IF($J133=9,-$E133*$I133/12*2,IF($J133&gt;=10,-$E133*$I133/12*3,0))))))</f>
        <v>0</v>
      </c>
      <c r="DN133" s="412">
        <f t="shared" ref="DN133:DN137" si="1111">IF($H133&lt;&gt;DO$5,0,IF(DO133&lt;0,IF(OR($J133=1,$J133=2,$J133=3,$J133=4,$J133=5,$J133=6,$J133=7,$J133=8,$J133=9,$J133=10),-$E133*$I133/12*3,IF($J133=11,-$E133*$I133/12*2,IF($J133=12,-$E133*$I133/12*1,0)))))+IF(DJ$5&lt;&gt;$H133,0,IF(DJ133&lt;0,IF($J133=10,-$E133*$I133/12*0,IF($J133=11,-$E133*$I133/12*1,IF($J133=12,-$E133*$I133/12*2,0)))))</f>
        <v>0</v>
      </c>
      <c r="DO133" s="413">
        <f t="shared" ref="DO133:DO137" si="1112">IF(AND(DJ133&lt;&gt;0,DJ$5=$H133),-$I133*$E133-DJ133,IF(DO$5=$H133,-$I133*$E133*(12-$J133+1)/12,0))</f>
        <v>0</v>
      </c>
      <c r="DP133" s="410">
        <f t="shared" ref="DP133:DP137" si="1113">IF($H133&lt;&gt;DT$5,0,IF(DT133&lt;0,IF($J133=1,-$E133*$I133/12*3,IF($J133=2,-$E133*$I133/12*2,IF($J133=3,-$E133*$I133/12*1,0)))))+IF(DO$5&lt;&gt;$H133,0,IF(DO133&lt;0,IF($J133=1,-$E133*$I133/12*0,IF($J133=2,-$E133*$I133/12*1,IF($J133=3,-$E133*$I133/12*2,IF($J133&gt;=4,-$E133*$I133/12*3,0))))))</f>
        <v>0</v>
      </c>
      <c r="DQ133" s="416">
        <f t="shared" ref="DQ133:DQ137" si="1114">IF($H133&lt;&gt;DT$5,0,IF(DT133&lt;0,IF(OR($J133=1,$J133=2,$J133=3,$J133=4),-$E133*$I133/12*3,IF($J133=5,-$E133*$I133/12*2,IF($J133=6,-$E133*$I133/12*1,0)))))+IF(DO$5&lt;&gt;$H133,0,IF(DO133&lt;0,IF($J133=4,-$E133*$I133/12*0,IF($J133=5,-$E133*$I133/12*1,IF($J133=6,-$E133*$I133/12*2,IF($J133&gt;=7,-$E133*$I133/12*3,0))))))</f>
        <v>0</v>
      </c>
      <c r="DR133" s="416">
        <f t="shared" ref="DR133:DR137" si="1115">IF($H133&lt;&gt;DT$5,0,IF(DT133&lt;0,IF(OR($J133=1,$J133=2,$J133=3,$J133=4,$J133=5,$J133=6,$J133=7),-$E133*$I133/12*3,IF($J133=8,-$E133*$I133/12*2,IF($J133=9,-$E133*$I133/12*1,0)))))+IF(DO$5&lt;&gt;$H133,0,IF(DO133&lt;0,IF($J133=7,-$E133*$I133/12*0,IF($J133=8,-$E133*$I133/12*1,IF($J133=9,-$E133*$I133/12*2,IF($J133&gt;=10,-$E133*$I133/12*3,0))))))</f>
        <v>0</v>
      </c>
      <c r="DS133" s="412">
        <f t="shared" ref="DS133:DS137" si="1116">IF($H133&lt;&gt;DT$5,0,IF(DT133&lt;0,IF(OR($J133=1,$J133=2,$J133=3,$J133=4,$J133=5,$J133=6,$J133=7,$J133=8,$J133=9,$J133=10),-$E133*$I133/12*3,IF($J133=11,-$E133*$I133/12*2,IF($J133=12,-$E133*$I133/12*1,0)))))+IF(DO$5&lt;&gt;$H133,0,IF(DO133&lt;0,IF($J133=10,-$E133*$I133/12*0,IF($J133=11,-$E133*$I133/12*1,IF($J133=12,-$E133*$I133/12*2,0)))))</f>
        <v>0</v>
      </c>
      <c r="DT133" s="413">
        <f t="shared" ref="DT133:DT137" si="1117">IF(AND(DO133&lt;&gt;0,DO$5=$H133),-$I133*$E133-DO133,IF(DT$5=$H133,-$I133*$E133*(12-$J133+1)/12,0))</f>
        <v>0</v>
      </c>
    </row>
    <row r="134" spans="1:124" ht="12.75" customHeight="1">
      <c r="A134" s="491"/>
      <c r="C134" s="1890" t="s">
        <v>425</v>
      </c>
      <c r="D134" s="1890"/>
      <c r="E134" s="1886">
        <f>IF(F134=0,G134,F134)</f>
        <v>475</v>
      </c>
      <c r="F134" s="1532">
        <f>475</f>
        <v>475</v>
      </c>
      <c r="G134" s="1532">
        <f>475</f>
        <v>475</v>
      </c>
      <c r="H134" s="610">
        <v>2019</v>
      </c>
      <c r="I134" s="1533">
        <v>7.0000000000000007E-2</v>
      </c>
      <c r="J134" s="615">
        <v>3</v>
      </c>
      <c r="K134" s="402"/>
      <c r="L134" s="407">
        <f t="shared" si="1006"/>
        <v>0</v>
      </c>
      <c r="M134" s="404">
        <f t="shared" si="1007"/>
        <v>0</v>
      </c>
      <c r="N134" s="414">
        <f t="shared" si="1008"/>
        <v>0</v>
      </c>
      <c r="O134" s="414">
        <f t="shared" si="1009"/>
        <v>0</v>
      </c>
      <c r="P134" s="406">
        <f t="shared" si="1010"/>
        <v>0</v>
      </c>
      <c r="Q134" s="407">
        <f t="shared" si="1011"/>
        <v>0</v>
      </c>
      <c r="R134" s="404">
        <f t="shared" si="1012"/>
        <v>0</v>
      </c>
      <c r="S134" s="414">
        <f t="shared" si="1013"/>
        <v>0</v>
      </c>
      <c r="T134" s="414">
        <f t="shared" si="1014"/>
        <v>0</v>
      </c>
      <c r="U134" s="406">
        <f t="shared" si="1015"/>
        <v>0</v>
      </c>
      <c r="V134" s="407">
        <f t="shared" si="1016"/>
        <v>0</v>
      </c>
      <c r="W134" s="404">
        <f t="shared" si="1017"/>
        <v>0</v>
      </c>
      <c r="X134" s="414">
        <f t="shared" si="1018"/>
        <v>0</v>
      </c>
      <c r="Y134" s="414">
        <f t="shared" si="1019"/>
        <v>0</v>
      </c>
      <c r="Z134" s="406">
        <f t="shared" si="1020"/>
        <v>0</v>
      </c>
      <c r="AA134" s="407">
        <f t="shared" si="1021"/>
        <v>0</v>
      </c>
      <c r="AB134" s="404">
        <f t="shared" si="1022"/>
        <v>0</v>
      </c>
      <c r="AC134" s="414">
        <f t="shared" si="1023"/>
        <v>0</v>
      </c>
      <c r="AD134" s="414">
        <f t="shared" si="1024"/>
        <v>0</v>
      </c>
      <c r="AE134" s="406">
        <f t="shared" si="1025"/>
        <v>0</v>
      </c>
      <c r="AF134" s="407">
        <f t="shared" si="1026"/>
        <v>0</v>
      </c>
      <c r="AG134" s="404">
        <f t="shared" si="1027"/>
        <v>0</v>
      </c>
      <c r="AH134" s="414">
        <f t="shared" si="1028"/>
        <v>0</v>
      </c>
      <c r="AI134" s="414">
        <f t="shared" si="1029"/>
        <v>0</v>
      </c>
      <c r="AJ134" s="406">
        <f t="shared" si="1030"/>
        <v>0</v>
      </c>
      <c r="AK134" s="407">
        <f t="shared" si="1031"/>
        <v>0</v>
      </c>
      <c r="AL134" s="404">
        <f t="shared" si="1032"/>
        <v>0</v>
      </c>
      <c r="AM134" s="414">
        <f t="shared" si="1033"/>
        <v>0</v>
      </c>
      <c r="AN134" s="414">
        <f t="shared" si="1034"/>
        <v>0</v>
      </c>
      <c r="AO134" s="406">
        <f t="shared" si="1035"/>
        <v>0</v>
      </c>
      <c r="AP134" s="407">
        <f t="shared" si="1036"/>
        <v>0</v>
      </c>
      <c r="AQ134" s="404">
        <f t="shared" si="1037"/>
        <v>0</v>
      </c>
      <c r="AR134" s="414">
        <f t="shared" si="1038"/>
        <v>0</v>
      </c>
      <c r="AS134" s="414">
        <f t="shared" si="1039"/>
        <v>0</v>
      </c>
      <c r="AT134" s="406">
        <f t="shared" si="1040"/>
        <v>0</v>
      </c>
      <c r="AU134" s="407">
        <f t="shared" si="1041"/>
        <v>0</v>
      </c>
      <c r="AV134" s="404">
        <f t="shared" si="1042"/>
        <v>0</v>
      </c>
      <c r="AW134" s="414">
        <f t="shared" si="1043"/>
        <v>0</v>
      </c>
      <c r="AX134" s="414">
        <f t="shared" si="1044"/>
        <v>0</v>
      </c>
      <c r="AY134" s="406">
        <f t="shared" si="1045"/>
        <v>0</v>
      </c>
      <c r="AZ134" s="407">
        <f t="shared" si="1046"/>
        <v>0</v>
      </c>
      <c r="BA134" s="404">
        <f t="shared" si="1047"/>
        <v>-475</v>
      </c>
      <c r="BB134" s="414">
        <f t="shared" si="1048"/>
        <v>0</v>
      </c>
      <c r="BC134" s="414">
        <f t="shared" si="1049"/>
        <v>0</v>
      </c>
      <c r="BD134" s="406">
        <f t="shared" si="1050"/>
        <v>0</v>
      </c>
      <c r="BE134" s="407">
        <f t="shared" si="1051"/>
        <v>-475</v>
      </c>
      <c r="BF134" s="404">
        <f t="shared" si="1052"/>
        <v>0</v>
      </c>
      <c r="BG134" s="414">
        <f t="shared" si="1053"/>
        <v>0</v>
      </c>
      <c r="BH134" s="414">
        <f t="shared" si="1054"/>
        <v>0</v>
      </c>
      <c r="BI134" s="406">
        <f t="shared" si="1055"/>
        <v>0</v>
      </c>
      <c r="BJ134" s="407">
        <f t="shared" si="1056"/>
        <v>0</v>
      </c>
      <c r="BK134" s="404">
        <f t="shared" si="1057"/>
        <v>0</v>
      </c>
      <c r="BL134" s="414">
        <f t="shared" si="1058"/>
        <v>0</v>
      </c>
      <c r="BM134" s="414">
        <f t="shared" si="1059"/>
        <v>0</v>
      </c>
      <c r="BN134" s="406">
        <f t="shared" si="1060"/>
        <v>0</v>
      </c>
      <c r="BO134" s="407">
        <f t="shared" si="1061"/>
        <v>0</v>
      </c>
      <c r="BP134" s="449"/>
      <c r="BQ134" s="413">
        <f t="shared" si="1062"/>
        <v>0</v>
      </c>
      <c r="BR134" s="410">
        <f t="shared" si="1063"/>
        <v>0</v>
      </c>
      <c r="BS134" s="416">
        <f t="shared" si="1064"/>
        <v>0</v>
      </c>
      <c r="BT134" s="416">
        <f t="shared" si="1065"/>
        <v>0</v>
      </c>
      <c r="BU134" s="412">
        <f t="shared" si="1066"/>
        <v>0</v>
      </c>
      <c r="BV134" s="413">
        <f t="shared" si="1067"/>
        <v>0</v>
      </c>
      <c r="BW134" s="410">
        <f t="shared" si="1068"/>
        <v>0</v>
      </c>
      <c r="BX134" s="416">
        <f t="shared" si="1069"/>
        <v>0</v>
      </c>
      <c r="BY134" s="416">
        <f t="shared" si="1070"/>
        <v>0</v>
      </c>
      <c r="BZ134" s="412">
        <f t="shared" si="1071"/>
        <v>0</v>
      </c>
      <c r="CA134" s="413">
        <f t="shared" si="1072"/>
        <v>0</v>
      </c>
      <c r="CB134" s="410">
        <f t="shared" si="1073"/>
        <v>0</v>
      </c>
      <c r="CC134" s="416">
        <f t="shared" si="1074"/>
        <v>0</v>
      </c>
      <c r="CD134" s="416">
        <f t="shared" si="1075"/>
        <v>0</v>
      </c>
      <c r="CE134" s="412">
        <f t="shared" si="1076"/>
        <v>0</v>
      </c>
      <c r="CF134" s="413">
        <f t="shared" si="1077"/>
        <v>0</v>
      </c>
      <c r="CG134" s="410">
        <f t="shared" si="1078"/>
        <v>0</v>
      </c>
      <c r="CH134" s="416">
        <f t="shared" si="1079"/>
        <v>0</v>
      </c>
      <c r="CI134" s="416">
        <f t="shared" si="1080"/>
        <v>0</v>
      </c>
      <c r="CJ134" s="412">
        <f t="shared" si="1081"/>
        <v>0</v>
      </c>
      <c r="CK134" s="413">
        <f t="shared" si="1082"/>
        <v>0</v>
      </c>
      <c r="CL134" s="410">
        <f t="shared" si="1083"/>
        <v>0</v>
      </c>
      <c r="CM134" s="416">
        <f t="shared" si="1084"/>
        <v>0</v>
      </c>
      <c r="CN134" s="416">
        <f t="shared" si="1085"/>
        <v>0</v>
      </c>
      <c r="CO134" s="412">
        <f t="shared" si="1086"/>
        <v>0</v>
      </c>
      <c r="CP134" s="413">
        <f t="shared" si="1087"/>
        <v>0</v>
      </c>
      <c r="CQ134" s="410">
        <f t="shared" si="1088"/>
        <v>0</v>
      </c>
      <c r="CR134" s="416">
        <f t="shared" si="1089"/>
        <v>0</v>
      </c>
      <c r="CS134" s="416">
        <f t="shared" si="1090"/>
        <v>0</v>
      </c>
      <c r="CT134" s="412">
        <f t="shared" si="1091"/>
        <v>0</v>
      </c>
      <c r="CU134" s="413">
        <f t="shared" si="1092"/>
        <v>0</v>
      </c>
      <c r="CV134" s="410">
        <f t="shared" si="1093"/>
        <v>0</v>
      </c>
      <c r="CW134" s="416">
        <f t="shared" si="1094"/>
        <v>0</v>
      </c>
      <c r="CX134" s="416">
        <f t="shared" si="1095"/>
        <v>0</v>
      </c>
      <c r="CY134" s="412">
        <f t="shared" si="1096"/>
        <v>0</v>
      </c>
      <c r="CZ134" s="413">
        <f t="shared" si="1097"/>
        <v>0</v>
      </c>
      <c r="DA134" s="410">
        <f t="shared" si="1098"/>
        <v>0</v>
      </c>
      <c r="DB134" s="416">
        <f t="shared" si="1099"/>
        <v>0</v>
      </c>
      <c r="DC134" s="416">
        <f t="shared" si="1100"/>
        <v>0</v>
      </c>
      <c r="DD134" s="412">
        <f t="shared" si="1101"/>
        <v>0</v>
      </c>
      <c r="DE134" s="413">
        <f t="shared" si="1102"/>
        <v>0</v>
      </c>
      <c r="DF134" s="410">
        <f t="shared" si="1103"/>
        <v>-2.7708333333333335</v>
      </c>
      <c r="DG134" s="416">
        <f t="shared" si="1104"/>
        <v>-8.3125</v>
      </c>
      <c r="DH134" s="416">
        <f t="shared" si="1105"/>
        <v>-8.3125</v>
      </c>
      <c r="DI134" s="412">
        <f t="shared" si="1106"/>
        <v>-8.3125</v>
      </c>
      <c r="DJ134" s="413">
        <f t="shared" si="1107"/>
        <v>-27.708333333333332</v>
      </c>
      <c r="DK134" s="410">
        <f t="shared" si="1108"/>
        <v>-5.541666666666667</v>
      </c>
      <c r="DL134" s="416">
        <f t="shared" si="1109"/>
        <v>0</v>
      </c>
      <c r="DM134" s="416">
        <f t="shared" si="1110"/>
        <v>0</v>
      </c>
      <c r="DN134" s="412">
        <f t="shared" si="1111"/>
        <v>0</v>
      </c>
      <c r="DO134" s="413">
        <f t="shared" si="1112"/>
        <v>-5.5416666666666679</v>
      </c>
      <c r="DP134" s="410">
        <f t="shared" si="1113"/>
        <v>0</v>
      </c>
      <c r="DQ134" s="416">
        <f t="shared" si="1114"/>
        <v>0</v>
      </c>
      <c r="DR134" s="416">
        <f t="shared" si="1115"/>
        <v>0</v>
      </c>
      <c r="DS134" s="412">
        <f t="shared" si="1116"/>
        <v>0</v>
      </c>
      <c r="DT134" s="413">
        <f t="shared" si="1117"/>
        <v>0</v>
      </c>
    </row>
    <row r="135" spans="1:124" ht="12.75" customHeight="1">
      <c r="A135" s="491"/>
      <c r="C135" s="1890" t="s">
        <v>933</v>
      </c>
      <c r="D135" s="1890"/>
      <c r="E135" s="1886">
        <f>IF(F135=0,G135,F135)</f>
        <v>250</v>
      </c>
      <c r="F135" s="1532">
        <v>250</v>
      </c>
      <c r="G135" s="1532">
        <v>250</v>
      </c>
      <c r="H135" s="610">
        <v>2023</v>
      </c>
      <c r="I135" s="1533">
        <v>3.2000000000000001E-2</v>
      </c>
      <c r="J135" s="615">
        <v>3</v>
      </c>
      <c r="K135" s="402"/>
      <c r="L135" s="407">
        <f t="shared" si="1006"/>
        <v>0</v>
      </c>
      <c r="M135" s="404">
        <f t="shared" si="1007"/>
        <v>0</v>
      </c>
      <c r="N135" s="414">
        <f t="shared" si="1008"/>
        <v>0</v>
      </c>
      <c r="O135" s="414">
        <f t="shared" si="1009"/>
        <v>0</v>
      </c>
      <c r="P135" s="406">
        <f t="shared" si="1010"/>
        <v>0</v>
      </c>
      <c r="Q135" s="407">
        <f t="shared" si="1011"/>
        <v>0</v>
      </c>
      <c r="R135" s="404">
        <f t="shared" si="1012"/>
        <v>0</v>
      </c>
      <c r="S135" s="414">
        <f t="shared" si="1013"/>
        <v>0</v>
      </c>
      <c r="T135" s="414">
        <f t="shared" si="1014"/>
        <v>0</v>
      </c>
      <c r="U135" s="406">
        <f t="shared" si="1015"/>
        <v>0</v>
      </c>
      <c r="V135" s="407">
        <f t="shared" si="1016"/>
        <v>0</v>
      </c>
      <c r="W135" s="404">
        <f t="shared" si="1017"/>
        <v>0</v>
      </c>
      <c r="X135" s="414">
        <f t="shared" si="1018"/>
        <v>0</v>
      </c>
      <c r="Y135" s="414">
        <f t="shared" si="1019"/>
        <v>0</v>
      </c>
      <c r="Z135" s="406">
        <f t="shared" si="1020"/>
        <v>0</v>
      </c>
      <c r="AA135" s="407">
        <f t="shared" si="1021"/>
        <v>0</v>
      </c>
      <c r="AB135" s="404">
        <f t="shared" si="1022"/>
        <v>0</v>
      </c>
      <c r="AC135" s="414">
        <f t="shared" si="1023"/>
        <v>0</v>
      </c>
      <c r="AD135" s="414">
        <f t="shared" si="1024"/>
        <v>0</v>
      </c>
      <c r="AE135" s="406">
        <f t="shared" si="1025"/>
        <v>0</v>
      </c>
      <c r="AF135" s="407">
        <f t="shared" si="1026"/>
        <v>0</v>
      </c>
      <c r="AG135" s="404">
        <f t="shared" si="1027"/>
        <v>0</v>
      </c>
      <c r="AH135" s="414">
        <f t="shared" si="1028"/>
        <v>0</v>
      </c>
      <c r="AI135" s="414">
        <f t="shared" si="1029"/>
        <v>0</v>
      </c>
      <c r="AJ135" s="406">
        <f t="shared" si="1030"/>
        <v>0</v>
      </c>
      <c r="AK135" s="407">
        <f t="shared" si="1031"/>
        <v>0</v>
      </c>
      <c r="AL135" s="404">
        <f t="shared" si="1032"/>
        <v>0</v>
      </c>
      <c r="AM135" s="414">
        <f t="shared" si="1033"/>
        <v>0</v>
      </c>
      <c r="AN135" s="414">
        <f t="shared" si="1034"/>
        <v>0</v>
      </c>
      <c r="AO135" s="406">
        <f t="shared" si="1035"/>
        <v>0</v>
      </c>
      <c r="AP135" s="407">
        <f t="shared" si="1036"/>
        <v>0</v>
      </c>
      <c r="AQ135" s="404">
        <f t="shared" si="1037"/>
        <v>0</v>
      </c>
      <c r="AR135" s="414">
        <f t="shared" si="1038"/>
        <v>0</v>
      </c>
      <c r="AS135" s="414">
        <f t="shared" si="1039"/>
        <v>0</v>
      </c>
      <c r="AT135" s="406">
        <f t="shared" si="1040"/>
        <v>0</v>
      </c>
      <c r="AU135" s="407">
        <f t="shared" si="1041"/>
        <v>0</v>
      </c>
      <c r="AV135" s="404">
        <f t="shared" si="1042"/>
        <v>0</v>
      </c>
      <c r="AW135" s="414">
        <f t="shared" si="1043"/>
        <v>0</v>
      </c>
      <c r="AX135" s="414">
        <f t="shared" si="1044"/>
        <v>0</v>
      </c>
      <c r="AY135" s="406">
        <f t="shared" si="1045"/>
        <v>0</v>
      </c>
      <c r="AZ135" s="407">
        <f t="shared" si="1046"/>
        <v>0</v>
      </c>
      <c r="BA135" s="404">
        <f t="shared" si="1047"/>
        <v>0</v>
      </c>
      <c r="BB135" s="414">
        <f t="shared" si="1048"/>
        <v>0</v>
      </c>
      <c r="BC135" s="414">
        <f t="shared" si="1049"/>
        <v>0</v>
      </c>
      <c r="BD135" s="406">
        <f t="shared" si="1050"/>
        <v>0</v>
      </c>
      <c r="BE135" s="407">
        <f t="shared" si="1051"/>
        <v>0</v>
      </c>
      <c r="BF135" s="404">
        <f t="shared" si="1052"/>
        <v>0</v>
      </c>
      <c r="BG135" s="414">
        <f t="shared" si="1053"/>
        <v>0</v>
      </c>
      <c r="BH135" s="414">
        <f t="shared" si="1054"/>
        <v>0</v>
      </c>
      <c r="BI135" s="406">
        <f t="shared" si="1055"/>
        <v>0</v>
      </c>
      <c r="BJ135" s="407">
        <f t="shared" si="1056"/>
        <v>0</v>
      </c>
      <c r="BK135" s="404">
        <f t="shared" si="1057"/>
        <v>0</v>
      </c>
      <c r="BL135" s="414">
        <f t="shared" si="1058"/>
        <v>0</v>
      </c>
      <c r="BM135" s="414">
        <f t="shared" si="1059"/>
        <v>0</v>
      </c>
      <c r="BN135" s="406">
        <f t="shared" si="1060"/>
        <v>0</v>
      </c>
      <c r="BO135" s="407">
        <f t="shared" si="1061"/>
        <v>0</v>
      </c>
      <c r="BP135" s="449"/>
      <c r="BQ135" s="413">
        <f t="shared" si="1062"/>
        <v>0</v>
      </c>
      <c r="BR135" s="410">
        <f t="shared" si="1063"/>
        <v>0</v>
      </c>
      <c r="BS135" s="416">
        <f t="shared" si="1064"/>
        <v>0</v>
      </c>
      <c r="BT135" s="416">
        <f t="shared" si="1065"/>
        <v>0</v>
      </c>
      <c r="BU135" s="412">
        <f t="shared" si="1066"/>
        <v>0</v>
      </c>
      <c r="BV135" s="413">
        <f t="shared" si="1067"/>
        <v>0</v>
      </c>
      <c r="BW135" s="410">
        <f t="shared" si="1068"/>
        <v>0</v>
      </c>
      <c r="BX135" s="416">
        <f t="shared" si="1069"/>
        <v>0</v>
      </c>
      <c r="BY135" s="416">
        <f t="shared" si="1070"/>
        <v>0</v>
      </c>
      <c r="BZ135" s="412">
        <f t="shared" si="1071"/>
        <v>0</v>
      </c>
      <c r="CA135" s="413">
        <f t="shared" si="1072"/>
        <v>0</v>
      </c>
      <c r="CB135" s="410">
        <f t="shared" si="1073"/>
        <v>0</v>
      </c>
      <c r="CC135" s="416">
        <f t="shared" si="1074"/>
        <v>0</v>
      </c>
      <c r="CD135" s="416">
        <f t="shared" si="1075"/>
        <v>0</v>
      </c>
      <c r="CE135" s="412">
        <f t="shared" si="1076"/>
        <v>0</v>
      </c>
      <c r="CF135" s="413">
        <f t="shared" si="1077"/>
        <v>0</v>
      </c>
      <c r="CG135" s="410">
        <f t="shared" si="1078"/>
        <v>0</v>
      </c>
      <c r="CH135" s="416">
        <f t="shared" si="1079"/>
        <v>0</v>
      </c>
      <c r="CI135" s="416">
        <f t="shared" si="1080"/>
        <v>0</v>
      </c>
      <c r="CJ135" s="412">
        <f t="shared" si="1081"/>
        <v>0</v>
      </c>
      <c r="CK135" s="413">
        <f t="shared" si="1082"/>
        <v>0</v>
      </c>
      <c r="CL135" s="410">
        <f t="shared" si="1083"/>
        <v>0</v>
      </c>
      <c r="CM135" s="416">
        <f t="shared" si="1084"/>
        <v>0</v>
      </c>
      <c r="CN135" s="416">
        <f t="shared" si="1085"/>
        <v>0</v>
      </c>
      <c r="CO135" s="412">
        <f t="shared" si="1086"/>
        <v>0</v>
      </c>
      <c r="CP135" s="413">
        <f t="shared" si="1087"/>
        <v>0</v>
      </c>
      <c r="CQ135" s="410">
        <f t="shared" si="1088"/>
        <v>0</v>
      </c>
      <c r="CR135" s="416">
        <f t="shared" si="1089"/>
        <v>0</v>
      </c>
      <c r="CS135" s="416">
        <f t="shared" si="1090"/>
        <v>0</v>
      </c>
      <c r="CT135" s="412">
        <f t="shared" si="1091"/>
        <v>0</v>
      </c>
      <c r="CU135" s="413">
        <f t="shared" si="1092"/>
        <v>0</v>
      </c>
      <c r="CV135" s="410">
        <f t="shared" si="1093"/>
        <v>0</v>
      </c>
      <c r="CW135" s="416">
        <f t="shared" si="1094"/>
        <v>0</v>
      </c>
      <c r="CX135" s="416">
        <f t="shared" si="1095"/>
        <v>0</v>
      </c>
      <c r="CY135" s="412">
        <f t="shared" si="1096"/>
        <v>0</v>
      </c>
      <c r="CZ135" s="413">
        <f t="shared" si="1097"/>
        <v>0</v>
      </c>
      <c r="DA135" s="410">
        <f t="shared" si="1098"/>
        <v>0</v>
      </c>
      <c r="DB135" s="416">
        <f t="shared" si="1099"/>
        <v>0</v>
      </c>
      <c r="DC135" s="416">
        <f t="shared" si="1100"/>
        <v>0</v>
      </c>
      <c r="DD135" s="412">
        <f t="shared" si="1101"/>
        <v>0</v>
      </c>
      <c r="DE135" s="413">
        <f t="shared" si="1102"/>
        <v>0</v>
      </c>
      <c r="DF135" s="410">
        <f t="shared" si="1103"/>
        <v>0</v>
      </c>
      <c r="DG135" s="416">
        <f t="shared" si="1104"/>
        <v>0</v>
      </c>
      <c r="DH135" s="416">
        <f t="shared" si="1105"/>
        <v>0</v>
      </c>
      <c r="DI135" s="412">
        <f t="shared" si="1106"/>
        <v>0</v>
      </c>
      <c r="DJ135" s="413">
        <f t="shared" si="1107"/>
        <v>0</v>
      </c>
      <c r="DK135" s="410">
        <f t="shared" si="1108"/>
        <v>0</v>
      </c>
      <c r="DL135" s="416">
        <f t="shared" si="1109"/>
        <v>0</v>
      </c>
      <c r="DM135" s="416">
        <f t="shared" si="1110"/>
        <v>0</v>
      </c>
      <c r="DN135" s="412">
        <f t="shared" si="1111"/>
        <v>0</v>
      </c>
      <c r="DO135" s="413">
        <f t="shared" si="1112"/>
        <v>0</v>
      </c>
      <c r="DP135" s="410">
        <f t="shared" si="1113"/>
        <v>0</v>
      </c>
      <c r="DQ135" s="416">
        <f t="shared" si="1114"/>
        <v>0</v>
      </c>
      <c r="DR135" s="416">
        <f t="shared" si="1115"/>
        <v>0</v>
      </c>
      <c r="DS135" s="412">
        <f t="shared" si="1116"/>
        <v>0</v>
      </c>
      <c r="DT135" s="413">
        <f t="shared" si="1117"/>
        <v>0</v>
      </c>
    </row>
    <row r="136" spans="1:124" ht="12.75" customHeight="1">
      <c r="A136" s="491"/>
      <c r="C136" s="1885" t="s">
        <v>1132</v>
      </c>
      <c r="D136" s="1885"/>
      <c r="E136" s="1886">
        <f>IF(F136=0,G136,F136)</f>
        <v>400</v>
      </c>
      <c r="F136" s="1532">
        <v>400</v>
      </c>
      <c r="G136" s="1532">
        <v>400</v>
      </c>
      <c r="H136" s="610">
        <v>2046</v>
      </c>
      <c r="I136" s="830">
        <v>4.5499999999999999E-2</v>
      </c>
      <c r="J136" s="615">
        <v>3</v>
      </c>
      <c r="K136" s="402"/>
      <c r="L136" s="407">
        <f t="shared" si="1006"/>
        <v>0</v>
      </c>
      <c r="M136" s="404">
        <f t="shared" si="1007"/>
        <v>0</v>
      </c>
      <c r="N136" s="414">
        <f t="shared" si="1008"/>
        <v>0</v>
      </c>
      <c r="O136" s="414">
        <f t="shared" si="1009"/>
        <v>0</v>
      </c>
      <c r="P136" s="406">
        <f t="shared" si="1010"/>
        <v>0</v>
      </c>
      <c r="Q136" s="407">
        <f t="shared" si="1011"/>
        <v>0</v>
      </c>
      <c r="R136" s="404">
        <f t="shared" si="1012"/>
        <v>0</v>
      </c>
      <c r="S136" s="414">
        <f t="shared" si="1013"/>
        <v>0</v>
      </c>
      <c r="T136" s="414">
        <f t="shared" si="1014"/>
        <v>0</v>
      </c>
      <c r="U136" s="406">
        <f t="shared" si="1015"/>
        <v>0</v>
      </c>
      <c r="V136" s="407">
        <f t="shared" si="1016"/>
        <v>0</v>
      </c>
      <c r="W136" s="404">
        <f t="shared" si="1017"/>
        <v>0</v>
      </c>
      <c r="X136" s="414">
        <f t="shared" si="1018"/>
        <v>0</v>
      </c>
      <c r="Y136" s="414">
        <f t="shared" si="1019"/>
        <v>0</v>
      </c>
      <c r="Z136" s="406">
        <f t="shared" si="1020"/>
        <v>0</v>
      </c>
      <c r="AA136" s="407">
        <f t="shared" si="1021"/>
        <v>0</v>
      </c>
      <c r="AB136" s="404">
        <f t="shared" si="1022"/>
        <v>0</v>
      </c>
      <c r="AC136" s="414">
        <f t="shared" si="1023"/>
        <v>0</v>
      </c>
      <c r="AD136" s="414">
        <f t="shared" si="1024"/>
        <v>0</v>
      </c>
      <c r="AE136" s="406">
        <f t="shared" si="1025"/>
        <v>0</v>
      </c>
      <c r="AF136" s="407">
        <f t="shared" si="1026"/>
        <v>0</v>
      </c>
      <c r="AG136" s="404">
        <f t="shared" si="1027"/>
        <v>0</v>
      </c>
      <c r="AH136" s="414">
        <f t="shared" si="1028"/>
        <v>0</v>
      </c>
      <c r="AI136" s="414">
        <f t="shared" si="1029"/>
        <v>0</v>
      </c>
      <c r="AJ136" s="406">
        <f t="shared" si="1030"/>
        <v>0</v>
      </c>
      <c r="AK136" s="407">
        <f t="shared" si="1031"/>
        <v>0</v>
      </c>
      <c r="AL136" s="404">
        <f t="shared" si="1032"/>
        <v>0</v>
      </c>
      <c r="AM136" s="414">
        <f t="shared" si="1033"/>
        <v>0</v>
      </c>
      <c r="AN136" s="414">
        <f t="shared" si="1034"/>
        <v>0</v>
      </c>
      <c r="AO136" s="406">
        <f t="shared" si="1035"/>
        <v>0</v>
      </c>
      <c r="AP136" s="407">
        <f t="shared" si="1036"/>
        <v>0</v>
      </c>
      <c r="AQ136" s="404">
        <f t="shared" si="1037"/>
        <v>0</v>
      </c>
      <c r="AR136" s="414">
        <f t="shared" si="1038"/>
        <v>0</v>
      </c>
      <c r="AS136" s="414">
        <f t="shared" si="1039"/>
        <v>0</v>
      </c>
      <c r="AT136" s="406">
        <f t="shared" si="1040"/>
        <v>0</v>
      </c>
      <c r="AU136" s="407">
        <f t="shared" si="1041"/>
        <v>0</v>
      </c>
      <c r="AV136" s="404">
        <f t="shared" si="1042"/>
        <v>0</v>
      </c>
      <c r="AW136" s="414">
        <f t="shared" si="1043"/>
        <v>0</v>
      </c>
      <c r="AX136" s="414">
        <f t="shared" si="1044"/>
        <v>0</v>
      </c>
      <c r="AY136" s="406">
        <f t="shared" si="1045"/>
        <v>0</v>
      </c>
      <c r="AZ136" s="407">
        <f t="shared" si="1046"/>
        <v>0</v>
      </c>
      <c r="BA136" s="404">
        <f t="shared" si="1047"/>
        <v>0</v>
      </c>
      <c r="BB136" s="414">
        <f t="shared" si="1048"/>
        <v>0</v>
      </c>
      <c r="BC136" s="414">
        <f t="shared" si="1049"/>
        <v>0</v>
      </c>
      <c r="BD136" s="406">
        <f t="shared" si="1050"/>
        <v>0</v>
      </c>
      <c r="BE136" s="407">
        <f t="shared" si="1051"/>
        <v>0</v>
      </c>
      <c r="BF136" s="404">
        <f t="shared" si="1052"/>
        <v>0</v>
      </c>
      <c r="BG136" s="414">
        <f t="shared" si="1053"/>
        <v>0</v>
      </c>
      <c r="BH136" s="414">
        <f t="shared" si="1054"/>
        <v>0</v>
      </c>
      <c r="BI136" s="406">
        <f t="shared" si="1055"/>
        <v>0</v>
      </c>
      <c r="BJ136" s="407">
        <f t="shared" si="1056"/>
        <v>0</v>
      </c>
      <c r="BK136" s="404">
        <f t="shared" si="1057"/>
        <v>0</v>
      </c>
      <c r="BL136" s="414">
        <f t="shared" si="1058"/>
        <v>0</v>
      </c>
      <c r="BM136" s="414">
        <f t="shared" si="1059"/>
        <v>0</v>
      </c>
      <c r="BN136" s="406">
        <f t="shared" si="1060"/>
        <v>0</v>
      </c>
      <c r="BO136" s="407">
        <f t="shared" si="1061"/>
        <v>0</v>
      </c>
      <c r="BP136" s="449"/>
      <c r="BQ136" s="413">
        <f t="shared" si="1062"/>
        <v>0</v>
      </c>
      <c r="BR136" s="410">
        <f t="shared" si="1063"/>
        <v>0</v>
      </c>
      <c r="BS136" s="416">
        <f t="shared" si="1064"/>
        <v>0</v>
      </c>
      <c r="BT136" s="416">
        <f t="shared" si="1065"/>
        <v>0</v>
      </c>
      <c r="BU136" s="412">
        <f t="shared" si="1066"/>
        <v>0</v>
      </c>
      <c r="BV136" s="413">
        <f t="shared" si="1067"/>
        <v>0</v>
      </c>
      <c r="BW136" s="410">
        <f t="shared" si="1068"/>
        <v>0</v>
      </c>
      <c r="BX136" s="416">
        <f t="shared" si="1069"/>
        <v>0</v>
      </c>
      <c r="BY136" s="416">
        <f t="shared" si="1070"/>
        <v>0</v>
      </c>
      <c r="BZ136" s="412">
        <f t="shared" si="1071"/>
        <v>0</v>
      </c>
      <c r="CA136" s="413">
        <f t="shared" si="1072"/>
        <v>0</v>
      </c>
      <c r="CB136" s="410">
        <f t="shared" si="1073"/>
        <v>0</v>
      </c>
      <c r="CC136" s="416">
        <f t="shared" si="1074"/>
        <v>0</v>
      </c>
      <c r="CD136" s="416">
        <f t="shared" si="1075"/>
        <v>0</v>
      </c>
      <c r="CE136" s="412">
        <f t="shared" si="1076"/>
        <v>0</v>
      </c>
      <c r="CF136" s="413">
        <f t="shared" si="1077"/>
        <v>0</v>
      </c>
      <c r="CG136" s="410">
        <f t="shared" si="1078"/>
        <v>0</v>
      </c>
      <c r="CH136" s="416">
        <f t="shared" si="1079"/>
        <v>0</v>
      </c>
      <c r="CI136" s="416">
        <f t="shared" si="1080"/>
        <v>0</v>
      </c>
      <c r="CJ136" s="412">
        <f t="shared" si="1081"/>
        <v>0</v>
      </c>
      <c r="CK136" s="413">
        <f t="shared" si="1082"/>
        <v>0</v>
      </c>
      <c r="CL136" s="410">
        <f t="shared" si="1083"/>
        <v>0</v>
      </c>
      <c r="CM136" s="416">
        <f t="shared" si="1084"/>
        <v>0</v>
      </c>
      <c r="CN136" s="416">
        <f t="shared" si="1085"/>
        <v>0</v>
      </c>
      <c r="CO136" s="412">
        <f t="shared" si="1086"/>
        <v>0</v>
      </c>
      <c r="CP136" s="413">
        <f t="shared" si="1087"/>
        <v>0</v>
      </c>
      <c r="CQ136" s="410">
        <f t="shared" si="1088"/>
        <v>0</v>
      </c>
      <c r="CR136" s="416">
        <f t="shared" si="1089"/>
        <v>0</v>
      </c>
      <c r="CS136" s="416">
        <f t="shared" si="1090"/>
        <v>0</v>
      </c>
      <c r="CT136" s="412">
        <f t="shared" si="1091"/>
        <v>0</v>
      </c>
      <c r="CU136" s="413">
        <f t="shared" si="1092"/>
        <v>0</v>
      </c>
      <c r="CV136" s="410">
        <f t="shared" si="1093"/>
        <v>0</v>
      </c>
      <c r="CW136" s="416">
        <f t="shared" si="1094"/>
        <v>0</v>
      </c>
      <c r="CX136" s="416">
        <f t="shared" si="1095"/>
        <v>0</v>
      </c>
      <c r="CY136" s="412">
        <f t="shared" si="1096"/>
        <v>0</v>
      </c>
      <c r="CZ136" s="413">
        <f t="shared" si="1097"/>
        <v>0</v>
      </c>
      <c r="DA136" s="410">
        <f t="shared" si="1098"/>
        <v>0</v>
      </c>
      <c r="DB136" s="416">
        <f t="shared" si="1099"/>
        <v>0</v>
      </c>
      <c r="DC136" s="416">
        <f t="shared" si="1100"/>
        <v>0</v>
      </c>
      <c r="DD136" s="412">
        <f t="shared" si="1101"/>
        <v>0</v>
      </c>
      <c r="DE136" s="413">
        <f t="shared" si="1102"/>
        <v>0</v>
      </c>
      <c r="DF136" s="410">
        <f t="shared" si="1103"/>
        <v>0</v>
      </c>
      <c r="DG136" s="416">
        <f t="shared" si="1104"/>
        <v>0</v>
      </c>
      <c r="DH136" s="416">
        <f t="shared" si="1105"/>
        <v>0</v>
      </c>
      <c r="DI136" s="412">
        <f t="shared" si="1106"/>
        <v>0</v>
      </c>
      <c r="DJ136" s="413">
        <f t="shared" si="1107"/>
        <v>0</v>
      </c>
      <c r="DK136" s="410">
        <f t="shared" si="1108"/>
        <v>0</v>
      </c>
      <c r="DL136" s="416">
        <f t="shared" si="1109"/>
        <v>0</v>
      </c>
      <c r="DM136" s="416">
        <f t="shared" si="1110"/>
        <v>0</v>
      </c>
      <c r="DN136" s="412">
        <f t="shared" si="1111"/>
        <v>0</v>
      </c>
      <c r="DO136" s="413">
        <f t="shared" si="1112"/>
        <v>0</v>
      </c>
      <c r="DP136" s="410">
        <f t="shared" si="1113"/>
        <v>0</v>
      </c>
      <c r="DQ136" s="416">
        <f t="shared" si="1114"/>
        <v>0</v>
      </c>
      <c r="DR136" s="416">
        <f t="shared" si="1115"/>
        <v>0</v>
      </c>
      <c r="DS136" s="412">
        <f t="shared" si="1116"/>
        <v>0</v>
      </c>
      <c r="DT136" s="413">
        <f t="shared" si="1117"/>
        <v>0</v>
      </c>
    </row>
    <row r="137" spans="1:124" ht="12.75" customHeight="1">
      <c r="A137" s="491"/>
      <c r="C137" s="1885" t="s">
        <v>1326</v>
      </c>
      <c r="D137" s="601"/>
      <c r="E137" s="1886">
        <f>IF(F137=0,G137,F137)</f>
        <v>300</v>
      </c>
      <c r="F137" s="1532">
        <v>300</v>
      </c>
      <c r="G137" s="1532">
        <v>0</v>
      </c>
      <c r="H137" s="610">
        <v>2047</v>
      </c>
      <c r="I137" s="830">
        <v>3.7499999999999999E-2</v>
      </c>
      <c r="J137" s="615">
        <v>7</v>
      </c>
      <c r="K137" s="402"/>
      <c r="L137" s="407">
        <f t="shared" si="1006"/>
        <v>0</v>
      </c>
      <c r="M137" s="404">
        <f t="shared" si="1007"/>
        <v>0</v>
      </c>
      <c r="N137" s="414">
        <f t="shared" si="1008"/>
        <v>0</v>
      </c>
      <c r="O137" s="414">
        <f t="shared" si="1009"/>
        <v>0</v>
      </c>
      <c r="P137" s="406">
        <f t="shared" si="1010"/>
        <v>0</v>
      </c>
      <c r="Q137" s="407">
        <f t="shared" si="1011"/>
        <v>0</v>
      </c>
      <c r="R137" s="404">
        <f t="shared" si="1012"/>
        <v>0</v>
      </c>
      <c r="S137" s="414">
        <f t="shared" si="1013"/>
        <v>0</v>
      </c>
      <c r="T137" s="414">
        <f t="shared" si="1014"/>
        <v>0</v>
      </c>
      <c r="U137" s="406">
        <f t="shared" si="1015"/>
        <v>0</v>
      </c>
      <c r="V137" s="407">
        <f t="shared" si="1016"/>
        <v>0</v>
      </c>
      <c r="W137" s="404">
        <f t="shared" si="1017"/>
        <v>0</v>
      </c>
      <c r="X137" s="414">
        <f t="shared" si="1018"/>
        <v>0</v>
      </c>
      <c r="Y137" s="414">
        <f t="shared" si="1019"/>
        <v>0</v>
      </c>
      <c r="Z137" s="406">
        <f t="shared" si="1020"/>
        <v>0</v>
      </c>
      <c r="AA137" s="407">
        <f t="shared" si="1021"/>
        <v>0</v>
      </c>
      <c r="AB137" s="404">
        <f t="shared" si="1022"/>
        <v>0</v>
      </c>
      <c r="AC137" s="414">
        <f t="shared" si="1023"/>
        <v>0</v>
      </c>
      <c r="AD137" s="414">
        <f t="shared" si="1024"/>
        <v>0</v>
      </c>
      <c r="AE137" s="406">
        <f t="shared" si="1025"/>
        <v>0</v>
      </c>
      <c r="AF137" s="407">
        <f t="shared" si="1026"/>
        <v>0</v>
      </c>
      <c r="AG137" s="404">
        <f t="shared" si="1027"/>
        <v>0</v>
      </c>
      <c r="AH137" s="414">
        <f t="shared" si="1028"/>
        <v>0</v>
      </c>
      <c r="AI137" s="414">
        <f t="shared" si="1029"/>
        <v>0</v>
      </c>
      <c r="AJ137" s="406">
        <f t="shared" si="1030"/>
        <v>0</v>
      </c>
      <c r="AK137" s="407">
        <f t="shared" si="1031"/>
        <v>0</v>
      </c>
      <c r="AL137" s="404">
        <f t="shared" si="1032"/>
        <v>0</v>
      </c>
      <c r="AM137" s="414">
        <f t="shared" si="1033"/>
        <v>0</v>
      </c>
      <c r="AN137" s="414">
        <f t="shared" si="1034"/>
        <v>0</v>
      </c>
      <c r="AO137" s="406">
        <f t="shared" si="1035"/>
        <v>0</v>
      </c>
      <c r="AP137" s="407">
        <f t="shared" si="1036"/>
        <v>0</v>
      </c>
      <c r="AQ137" s="404">
        <f t="shared" si="1037"/>
        <v>0</v>
      </c>
      <c r="AR137" s="414">
        <f t="shared" si="1038"/>
        <v>0</v>
      </c>
      <c r="AS137" s="414">
        <f t="shared" si="1039"/>
        <v>0</v>
      </c>
      <c r="AT137" s="406">
        <f t="shared" si="1040"/>
        <v>0</v>
      </c>
      <c r="AU137" s="407">
        <f t="shared" si="1041"/>
        <v>0</v>
      </c>
      <c r="AV137" s="404">
        <f t="shared" si="1042"/>
        <v>0</v>
      </c>
      <c r="AW137" s="414">
        <f t="shared" si="1043"/>
        <v>0</v>
      </c>
      <c r="AX137" s="414">
        <f t="shared" si="1044"/>
        <v>0</v>
      </c>
      <c r="AY137" s="406">
        <f t="shared" si="1045"/>
        <v>0</v>
      </c>
      <c r="AZ137" s="407">
        <f t="shared" si="1046"/>
        <v>0</v>
      </c>
      <c r="BA137" s="404">
        <f t="shared" si="1047"/>
        <v>0</v>
      </c>
      <c r="BB137" s="414">
        <f t="shared" si="1048"/>
        <v>0</v>
      </c>
      <c r="BC137" s="414">
        <f t="shared" si="1049"/>
        <v>0</v>
      </c>
      <c r="BD137" s="406">
        <f t="shared" si="1050"/>
        <v>0</v>
      </c>
      <c r="BE137" s="407">
        <f t="shared" si="1051"/>
        <v>0</v>
      </c>
      <c r="BF137" s="404">
        <f t="shared" si="1052"/>
        <v>0</v>
      </c>
      <c r="BG137" s="414">
        <f t="shared" si="1053"/>
        <v>0</v>
      </c>
      <c r="BH137" s="414">
        <f t="shared" si="1054"/>
        <v>0</v>
      </c>
      <c r="BI137" s="406">
        <f t="shared" si="1055"/>
        <v>0</v>
      </c>
      <c r="BJ137" s="407">
        <f t="shared" si="1056"/>
        <v>0</v>
      </c>
      <c r="BK137" s="404">
        <f t="shared" si="1057"/>
        <v>0</v>
      </c>
      <c r="BL137" s="414">
        <f t="shared" si="1058"/>
        <v>0</v>
      </c>
      <c r="BM137" s="414">
        <f t="shared" si="1059"/>
        <v>0</v>
      </c>
      <c r="BN137" s="406">
        <f t="shared" si="1060"/>
        <v>0</v>
      </c>
      <c r="BO137" s="407">
        <f t="shared" si="1061"/>
        <v>0</v>
      </c>
      <c r="BP137" s="449"/>
      <c r="BQ137" s="413">
        <f t="shared" si="1062"/>
        <v>0</v>
      </c>
      <c r="BR137" s="410">
        <f t="shared" si="1063"/>
        <v>0</v>
      </c>
      <c r="BS137" s="416">
        <f t="shared" si="1064"/>
        <v>0</v>
      </c>
      <c r="BT137" s="416">
        <f t="shared" si="1065"/>
        <v>0</v>
      </c>
      <c r="BU137" s="412">
        <f t="shared" si="1066"/>
        <v>0</v>
      </c>
      <c r="BV137" s="413">
        <f t="shared" si="1067"/>
        <v>0</v>
      </c>
      <c r="BW137" s="410">
        <f t="shared" si="1068"/>
        <v>0</v>
      </c>
      <c r="BX137" s="416">
        <f t="shared" si="1069"/>
        <v>0</v>
      </c>
      <c r="BY137" s="416">
        <f t="shared" si="1070"/>
        <v>0</v>
      </c>
      <c r="BZ137" s="412">
        <f t="shared" si="1071"/>
        <v>0</v>
      </c>
      <c r="CA137" s="413">
        <f t="shared" si="1072"/>
        <v>0</v>
      </c>
      <c r="CB137" s="410">
        <f t="shared" si="1073"/>
        <v>0</v>
      </c>
      <c r="CC137" s="416">
        <f t="shared" si="1074"/>
        <v>0</v>
      </c>
      <c r="CD137" s="416">
        <f t="shared" si="1075"/>
        <v>0</v>
      </c>
      <c r="CE137" s="412">
        <f t="shared" si="1076"/>
        <v>0</v>
      </c>
      <c r="CF137" s="413">
        <f t="shared" si="1077"/>
        <v>0</v>
      </c>
      <c r="CG137" s="410">
        <f t="shared" si="1078"/>
        <v>0</v>
      </c>
      <c r="CH137" s="416">
        <f t="shared" si="1079"/>
        <v>0</v>
      </c>
      <c r="CI137" s="416">
        <f t="shared" si="1080"/>
        <v>0</v>
      </c>
      <c r="CJ137" s="412">
        <f t="shared" si="1081"/>
        <v>0</v>
      </c>
      <c r="CK137" s="413">
        <f t="shared" si="1082"/>
        <v>0</v>
      </c>
      <c r="CL137" s="410">
        <f t="shared" si="1083"/>
        <v>0</v>
      </c>
      <c r="CM137" s="416">
        <f t="shared" si="1084"/>
        <v>0</v>
      </c>
      <c r="CN137" s="416">
        <f t="shared" si="1085"/>
        <v>0</v>
      </c>
      <c r="CO137" s="412">
        <f t="shared" si="1086"/>
        <v>0</v>
      </c>
      <c r="CP137" s="413">
        <f t="shared" si="1087"/>
        <v>0</v>
      </c>
      <c r="CQ137" s="410">
        <f t="shared" si="1088"/>
        <v>0</v>
      </c>
      <c r="CR137" s="416">
        <f t="shared" si="1089"/>
        <v>0</v>
      </c>
      <c r="CS137" s="416">
        <f t="shared" si="1090"/>
        <v>0</v>
      </c>
      <c r="CT137" s="412">
        <f t="shared" si="1091"/>
        <v>0</v>
      </c>
      <c r="CU137" s="413">
        <f t="shared" si="1092"/>
        <v>0</v>
      </c>
      <c r="CV137" s="410">
        <f t="shared" si="1093"/>
        <v>0</v>
      </c>
      <c r="CW137" s="416">
        <f t="shared" si="1094"/>
        <v>0</v>
      </c>
      <c r="CX137" s="416">
        <f t="shared" si="1095"/>
        <v>0</v>
      </c>
      <c r="CY137" s="412">
        <f t="shared" si="1096"/>
        <v>0</v>
      </c>
      <c r="CZ137" s="413">
        <f t="shared" si="1097"/>
        <v>0</v>
      </c>
      <c r="DA137" s="410">
        <f t="shared" si="1098"/>
        <v>0</v>
      </c>
      <c r="DB137" s="416">
        <f t="shared" si="1099"/>
        <v>0</v>
      </c>
      <c r="DC137" s="416">
        <f t="shared" si="1100"/>
        <v>0</v>
      </c>
      <c r="DD137" s="412">
        <f t="shared" si="1101"/>
        <v>0</v>
      </c>
      <c r="DE137" s="413">
        <f t="shared" si="1102"/>
        <v>0</v>
      </c>
      <c r="DF137" s="410">
        <f t="shared" si="1103"/>
        <v>0</v>
      </c>
      <c r="DG137" s="416">
        <f t="shared" si="1104"/>
        <v>0</v>
      </c>
      <c r="DH137" s="416">
        <f t="shared" si="1105"/>
        <v>0</v>
      </c>
      <c r="DI137" s="412">
        <f t="shared" si="1106"/>
        <v>0</v>
      </c>
      <c r="DJ137" s="413">
        <f t="shared" si="1107"/>
        <v>0</v>
      </c>
      <c r="DK137" s="410">
        <f t="shared" si="1108"/>
        <v>0</v>
      </c>
      <c r="DL137" s="416">
        <f t="shared" si="1109"/>
        <v>0</v>
      </c>
      <c r="DM137" s="416">
        <f t="shared" si="1110"/>
        <v>0</v>
      </c>
      <c r="DN137" s="412">
        <f t="shared" si="1111"/>
        <v>0</v>
      </c>
      <c r="DO137" s="413">
        <f t="shared" si="1112"/>
        <v>0</v>
      </c>
      <c r="DP137" s="410">
        <f t="shared" si="1113"/>
        <v>0</v>
      </c>
      <c r="DQ137" s="416">
        <f t="shared" si="1114"/>
        <v>0</v>
      </c>
      <c r="DR137" s="416">
        <f t="shared" si="1115"/>
        <v>0</v>
      </c>
      <c r="DS137" s="412">
        <f t="shared" si="1116"/>
        <v>0</v>
      </c>
      <c r="DT137" s="413">
        <f t="shared" si="1117"/>
        <v>0</v>
      </c>
    </row>
    <row r="138" spans="1:124" ht="12.75" customHeight="1">
      <c r="A138" s="491"/>
      <c r="C138" s="845"/>
      <c r="D138" s="845"/>
      <c r="E138" s="1366"/>
      <c r="F138" s="1532"/>
      <c r="G138" s="1532"/>
      <c r="H138" s="610"/>
      <c r="I138" s="1534"/>
      <c r="J138" s="615"/>
      <c r="K138" s="402"/>
      <c r="L138" s="407"/>
      <c r="M138" s="404"/>
      <c r="N138" s="414"/>
      <c r="O138" s="414"/>
      <c r="P138" s="406"/>
      <c r="Q138" s="407"/>
      <c r="R138" s="404"/>
      <c r="S138" s="414"/>
      <c r="T138" s="414"/>
      <c r="U138" s="406"/>
      <c r="V138" s="407"/>
      <c r="W138" s="404"/>
      <c r="X138" s="414"/>
      <c r="Y138" s="414"/>
      <c r="Z138" s="406"/>
      <c r="AA138" s="407"/>
      <c r="AB138" s="404"/>
      <c r="AC138" s="414"/>
      <c r="AD138" s="414"/>
      <c r="AE138" s="406"/>
      <c r="AF138" s="407"/>
      <c r="AG138" s="404"/>
      <c r="AH138" s="414"/>
      <c r="AI138" s="414"/>
      <c r="AJ138" s="406"/>
      <c r="AK138" s="407"/>
      <c r="AL138" s="404"/>
      <c r="AM138" s="414"/>
      <c r="AN138" s="414"/>
      <c r="AO138" s="406"/>
      <c r="AP138" s="407"/>
      <c r="AQ138" s="404"/>
      <c r="AR138" s="414"/>
      <c r="AS138" s="414"/>
      <c r="AT138" s="406"/>
      <c r="AU138" s="407"/>
      <c r="AV138" s="404"/>
      <c r="AW138" s="414"/>
      <c r="AX138" s="414"/>
      <c r="AY138" s="406"/>
      <c r="AZ138" s="407"/>
      <c r="BA138" s="404"/>
      <c r="BB138" s="414"/>
      <c r="BC138" s="414"/>
      <c r="BD138" s="406"/>
      <c r="BE138" s="407"/>
      <c r="BF138" s="404"/>
      <c r="BG138" s="414"/>
      <c r="BH138" s="414"/>
      <c r="BI138" s="406"/>
      <c r="BJ138" s="407"/>
      <c r="BK138" s="404"/>
      <c r="BL138" s="414"/>
      <c r="BM138" s="414"/>
      <c r="BN138" s="406"/>
      <c r="BO138" s="407"/>
      <c r="BP138" s="449"/>
      <c r="BQ138" s="413"/>
      <c r="BR138" s="410"/>
      <c r="BS138" s="416"/>
      <c r="BT138" s="416"/>
      <c r="BU138" s="412"/>
      <c r="BV138" s="413"/>
      <c r="BW138" s="410"/>
      <c r="BX138" s="416"/>
      <c r="BY138" s="416"/>
      <c r="BZ138" s="412"/>
      <c r="CA138" s="413"/>
      <c r="CB138" s="410"/>
      <c r="CC138" s="416"/>
      <c r="CD138" s="416"/>
      <c r="CE138" s="412"/>
      <c r="CF138" s="413"/>
      <c r="CG138" s="410"/>
      <c r="CH138" s="416"/>
      <c r="CI138" s="416"/>
      <c r="CJ138" s="412"/>
      <c r="CK138" s="413"/>
      <c r="CL138" s="410"/>
      <c r="CM138" s="416"/>
      <c r="CN138" s="416"/>
      <c r="CO138" s="412"/>
      <c r="CP138" s="413"/>
      <c r="CQ138" s="410"/>
      <c r="CR138" s="416"/>
      <c r="CS138" s="416"/>
      <c r="CT138" s="412"/>
      <c r="CU138" s="413"/>
      <c r="CV138" s="410"/>
      <c r="CW138" s="416"/>
      <c r="CX138" s="416"/>
      <c r="CY138" s="412"/>
      <c r="CZ138" s="413"/>
      <c r="DA138" s="410"/>
      <c r="DB138" s="416"/>
      <c r="DC138" s="416"/>
      <c r="DD138" s="412"/>
      <c r="DE138" s="413"/>
      <c r="DF138" s="410"/>
      <c r="DG138" s="416"/>
      <c r="DH138" s="416"/>
      <c r="DI138" s="412"/>
      <c r="DJ138" s="413"/>
      <c r="DK138" s="410"/>
      <c r="DL138" s="416"/>
      <c r="DM138" s="416"/>
      <c r="DN138" s="412"/>
      <c r="DO138" s="413"/>
      <c r="DP138" s="410"/>
      <c r="DQ138" s="416"/>
      <c r="DR138" s="416"/>
      <c r="DS138" s="412"/>
      <c r="DT138" s="413"/>
    </row>
    <row r="139" spans="1:124" ht="12.75" customHeight="1">
      <c r="A139" s="491"/>
      <c r="C139" s="261" t="s">
        <v>357</v>
      </c>
      <c r="D139" s="261"/>
      <c r="E139" s="831"/>
      <c r="F139" s="829"/>
      <c r="G139" s="829"/>
      <c r="H139" s="610"/>
      <c r="I139" s="828"/>
      <c r="J139" s="617"/>
      <c r="K139" s="402"/>
      <c r="L139" s="407"/>
      <c r="M139" s="404"/>
      <c r="N139" s="414"/>
      <c r="O139" s="414"/>
      <c r="P139" s="406"/>
      <c r="Q139" s="407"/>
      <c r="R139" s="404"/>
      <c r="S139" s="414"/>
      <c r="T139" s="414"/>
      <c r="U139" s="406"/>
      <c r="V139" s="407"/>
      <c r="W139" s="404"/>
      <c r="X139" s="414"/>
      <c r="Y139" s="414"/>
      <c r="Z139" s="406"/>
      <c r="AA139" s="407"/>
      <c r="AB139" s="404"/>
      <c r="AC139" s="414"/>
      <c r="AD139" s="414"/>
      <c r="AE139" s="406"/>
      <c r="AF139" s="407"/>
      <c r="AG139" s="404"/>
      <c r="AH139" s="414"/>
      <c r="AI139" s="414"/>
      <c r="AJ139" s="406"/>
      <c r="AK139" s="407"/>
      <c r="AL139" s="404"/>
      <c r="AM139" s="414"/>
      <c r="AN139" s="414"/>
      <c r="AO139" s="406"/>
      <c r="AP139" s="407"/>
      <c r="AQ139" s="404"/>
      <c r="AR139" s="414"/>
      <c r="AS139" s="414"/>
      <c r="AT139" s="406"/>
      <c r="AU139" s="407"/>
      <c r="AV139" s="404"/>
      <c r="AW139" s="414"/>
      <c r="AX139" s="414"/>
      <c r="AY139" s="406"/>
      <c r="AZ139" s="407"/>
      <c r="BA139" s="404"/>
      <c r="BB139" s="414"/>
      <c r="BC139" s="414"/>
      <c r="BD139" s="406"/>
      <c r="BE139" s="407"/>
      <c r="BF139" s="404"/>
      <c r="BG139" s="414"/>
      <c r="BH139" s="414"/>
      <c r="BI139" s="406"/>
      <c r="BJ139" s="407"/>
      <c r="BK139" s="404"/>
      <c r="BL139" s="414"/>
      <c r="BM139" s="414"/>
      <c r="BN139" s="406"/>
      <c r="BO139" s="407"/>
      <c r="BP139" s="449"/>
      <c r="BQ139" s="413"/>
      <c r="BR139" s="410"/>
      <c r="BS139" s="416"/>
      <c r="BT139" s="416"/>
      <c r="BU139" s="412"/>
      <c r="BV139" s="413"/>
      <c r="BW139" s="410"/>
      <c r="BX139" s="416"/>
      <c r="BY139" s="416"/>
      <c r="BZ139" s="412"/>
      <c r="CA139" s="413"/>
      <c r="CB139" s="410"/>
      <c r="CC139" s="416"/>
      <c r="CD139" s="416"/>
      <c r="CE139" s="412"/>
      <c r="CF139" s="413"/>
      <c r="CG139" s="410"/>
      <c r="CH139" s="416"/>
      <c r="CI139" s="416"/>
      <c r="CJ139" s="412"/>
      <c r="CK139" s="413"/>
      <c r="CL139" s="410"/>
      <c r="CM139" s="416"/>
      <c r="CN139" s="416"/>
      <c r="CO139" s="412"/>
      <c r="CP139" s="413"/>
      <c r="CQ139" s="410"/>
      <c r="CR139" s="416"/>
      <c r="CS139" s="416"/>
      <c r="CT139" s="412"/>
      <c r="CU139" s="413"/>
      <c r="CV139" s="410"/>
      <c r="CW139" s="416"/>
      <c r="CX139" s="416"/>
      <c r="CY139" s="412"/>
      <c r="CZ139" s="413"/>
      <c r="DA139" s="410"/>
      <c r="DB139" s="416"/>
      <c r="DC139" s="416"/>
      <c r="DD139" s="412"/>
      <c r="DE139" s="413"/>
      <c r="DF139" s="410"/>
      <c r="DG139" s="416"/>
      <c r="DH139" s="416"/>
      <c r="DI139" s="412"/>
      <c r="DJ139" s="413"/>
      <c r="DK139" s="410"/>
      <c r="DL139" s="416"/>
      <c r="DM139" s="416"/>
      <c r="DN139" s="412"/>
      <c r="DO139" s="413"/>
      <c r="DP139" s="410"/>
      <c r="DQ139" s="416"/>
      <c r="DR139" s="416"/>
      <c r="DS139" s="412"/>
      <c r="DT139" s="413"/>
    </row>
    <row r="140" spans="1:124" ht="12.75" customHeight="1">
      <c r="A140" s="491"/>
      <c r="C140" s="845"/>
      <c r="D140" s="845"/>
      <c r="E140" s="831"/>
      <c r="F140" s="829"/>
      <c r="G140" s="829"/>
      <c r="H140" s="610"/>
      <c r="I140" s="828"/>
      <c r="J140" s="617"/>
      <c r="K140" s="402"/>
      <c r="L140" s="407"/>
      <c r="M140" s="404"/>
      <c r="N140" s="414"/>
      <c r="O140" s="414"/>
      <c r="P140" s="406"/>
      <c r="Q140" s="407"/>
      <c r="R140" s="404"/>
      <c r="S140" s="414"/>
      <c r="T140" s="414"/>
      <c r="U140" s="406"/>
      <c r="V140" s="407"/>
      <c r="W140" s="404"/>
      <c r="X140" s="414"/>
      <c r="Y140" s="414"/>
      <c r="Z140" s="406"/>
      <c r="AA140" s="407"/>
      <c r="AB140" s="404"/>
      <c r="AC140" s="414"/>
      <c r="AD140" s="414"/>
      <c r="AE140" s="406"/>
      <c r="AF140" s="407"/>
      <c r="AG140" s="404"/>
      <c r="AH140" s="414"/>
      <c r="AI140" s="414"/>
      <c r="AJ140" s="406"/>
      <c r="AK140" s="407"/>
      <c r="AL140" s="404"/>
      <c r="AM140" s="414"/>
      <c r="AN140" s="414"/>
      <c r="AO140" s="406"/>
      <c r="AP140" s="407"/>
      <c r="AQ140" s="404"/>
      <c r="AR140" s="414"/>
      <c r="AS140" s="414"/>
      <c r="AT140" s="406"/>
      <c r="AU140" s="407"/>
      <c r="AV140" s="404"/>
      <c r="AW140" s="414"/>
      <c r="AX140" s="414"/>
      <c r="AY140" s="406"/>
      <c r="AZ140" s="407"/>
      <c r="BA140" s="404"/>
      <c r="BB140" s="414"/>
      <c r="BC140" s="414"/>
      <c r="BD140" s="406"/>
      <c r="BE140" s="407"/>
      <c r="BF140" s="404"/>
      <c r="BG140" s="414"/>
      <c r="BH140" s="414"/>
      <c r="BI140" s="406"/>
      <c r="BJ140" s="407"/>
      <c r="BK140" s="404"/>
      <c r="BL140" s="414"/>
      <c r="BM140" s="414"/>
      <c r="BN140" s="406"/>
      <c r="BO140" s="407"/>
      <c r="BP140" s="449"/>
      <c r="BQ140" s="413"/>
      <c r="BR140" s="410"/>
      <c r="BS140" s="416"/>
      <c r="BT140" s="416"/>
      <c r="BU140" s="412"/>
      <c r="BV140" s="413"/>
      <c r="BW140" s="410"/>
      <c r="BX140" s="416"/>
      <c r="BY140" s="416"/>
      <c r="BZ140" s="412"/>
      <c r="CA140" s="413"/>
      <c r="CB140" s="410"/>
      <c r="CC140" s="416"/>
      <c r="CD140" s="416"/>
      <c r="CE140" s="412"/>
      <c r="CF140" s="413"/>
      <c r="CG140" s="410"/>
      <c r="CH140" s="416"/>
      <c r="CI140" s="416"/>
      <c r="CJ140" s="412"/>
      <c r="CK140" s="413"/>
      <c r="CL140" s="410"/>
      <c r="CM140" s="416"/>
      <c r="CN140" s="416"/>
      <c r="CO140" s="412"/>
      <c r="CP140" s="413"/>
      <c r="CQ140" s="410"/>
      <c r="CR140" s="416"/>
      <c r="CS140" s="416"/>
      <c r="CT140" s="412"/>
      <c r="CU140" s="413"/>
      <c r="CV140" s="410"/>
      <c r="CW140" s="416"/>
      <c r="CX140" s="416"/>
      <c r="CY140" s="412"/>
      <c r="CZ140" s="413"/>
      <c r="DA140" s="410"/>
      <c r="DB140" s="416"/>
      <c r="DC140" s="416"/>
      <c r="DD140" s="412"/>
      <c r="DE140" s="413"/>
      <c r="DF140" s="410"/>
      <c r="DG140" s="416"/>
      <c r="DH140" s="416"/>
      <c r="DI140" s="412"/>
      <c r="DJ140" s="413"/>
      <c r="DK140" s="410"/>
      <c r="DL140" s="416"/>
      <c r="DM140" s="416"/>
      <c r="DN140" s="412"/>
      <c r="DO140" s="413"/>
      <c r="DP140" s="410"/>
      <c r="DQ140" s="416"/>
      <c r="DR140" s="416"/>
      <c r="DS140" s="412"/>
      <c r="DT140" s="413"/>
    </row>
    <row r="141" spans="1:124" ht="12.75" customHeight="1">
      <c r="A141" s="491"/>
      <c r="C141" s="613" t="s">
        <v>561</v>
      </c>
      <c r="D141" s="613"/>
      <c r="E141" s="831"/>
      <c r="F141" s="1226"/>
      <c r="G141" s="1226"/>
      <c r="H141" s="610"/>
      <c r="I141" s="830"/>
      <c r="J141" s="615"/>
      <c r="K141" s="402"/>
      <c r="L141" s="407"/>
      <c r="M141" s="404"/>
      <c r="N141" s="414"/>
      <c r="O141" s="414"/>
      <c r="P141" s="406"/>
      <c r="Q141" s="407"/>
      <c r="R141" s="404"/>
      <c r="S141" s="414"/>
      <c r="T141" s="414"/>
      <c r="U141" s="406"/>
      <c r="V141" s="407"/>
      <c r="W141" s="404"/>
      <c r="X141" s="414"/>
      <c r="Y141" s="414"/>
      <c r="Z141" s="406"/>
      <c r="AA141" s="407"/>
      <c r="AB141" s="404"/>
      <c r="AC141" s="414"/>
      <c r="AD141" s="414"/>
      <c r="AE141" s="406"/>
      <c r="AF141" s="407"/>
      <c r="AG141" s="404"/>
      <c r="AH141" s="414"/>
      <c r="AI141" s="414"/>
      <c r="AJ141" s="406"/>
      <c r="AK141" s="407"/>
      <c r="AL141" s="404"/>
      <c r="AM141" s="414"/>
      <c r="AN141" s="414"/>
      <c r="AO141" s="406"/>
      <c r="AP141" s="407"/>
      <c r="AQ141" s="404"/>
      <c r="AR141" s="414"/>
      <c r="AS141" s="414"/>
      <c r="AT141" s="406"/>
      <c r="AU141" s="407"/>
      <c r="AV141" s="404"/>
      <c r="AW141" s="414"/>
      <c r="AX141" s="414"/>
      <c r="AY141" s="406"/>
      <c r="AZ141" s="407"/>
      <c r="BA141" s="404"/>
      <c r="BB141" s="414"/>
      <c r="BC141" s="414"/>
      <c r="BD141" s="406"/>
      <c r="BE141" s="407"/>
      <c r="BF141" s="404"/>
      <c r="BG141" s="414"/>
      <c r="BH141" s="414"/>
      <c r="BI141" s="406"/>
      <c r="BJ141" s="407"/>
      <c r="BK141" s="404"/>
      <c r="BL141" s="414"/>
      <c r="BM141" s="414"/>
      <c r="BN141" s="406"/>
      <c r="BO141" s="407"/>
      <c r="BP141" s="449"/>
      <c r="BQ141" s="413"/>
      <c r="BR141" s="410"/>
      <c r="BS141" s="416"/>
      <c r="BT141" s="416"/>
      <c r="BU141" s="412"/>
      <c r="BV141" s="413"/>
      <c r="BW141" s="410"/>
      <c r="BX141" s="416"/>
      <c r="BY141" s="416"/>
      <c r="BZ141" s="412"/>
      <c r="CA141" s="413"/>
      <c r="CB141" s="410"/>
      <c r="CC141" s="416"/>
      <c r="CD141" s="416"/>
      <c r="CE141" s="412"/>
      <c r="CF141" s="413"/>
      <c r="CG141" s="410"/>
      <c r="CH141" s="416"/>
      <c r="CI141" s="416"/>
      <c r="CJ141" s="412"/>
      <c r="CK141" s="413"/>
      <c r="CL141" s="410"/>
      <c r="CM141" s="416"/>
      <c r="CN141" s="416"/>
      <c r="CO141" s="412"/>
      <c r="CP141" s="413"/>
      <c r="CQ141" s="410"/>
      <c r="CR141" s="416"/>
      <c r="CS141" s="416"/>
      <c r="CT141" s="412"/>
      <c r="CU141" s="413"/>
      <c r="CV141" s="410"/>
      <c r="CW141" s="416"/>
      <c r="CX141" s="416"/>
      <c r="CY141" s="412"/>
      <c r="CZ141" s="413"/>
      <c r="DA141" s="410"/>
      <c r="DB141" s="416"/>
      <c r="DC141" s="416"/>
      <c r="DD141" s="412"/>
      <c r="DE141" s="413"/>
      <c r="DF141" s="410"/>
      <c r="DG141" s="416"/>
      <c r="DH141" s="416"/>
      <c r="DI141" s="412"/>
      <c r="DJ141" s="413"/>
      <c r="DK141" s="410"/>
      <c r="DL141" s="416"/>
      <c r="DM141" s="416"/>
      <c r="DN141" s="412"/>
      <c r="DO141" s="413"/>
      <c r="DP141" s="410"/>
      <c r="DQ141" s="416"/>
      <c r="DR141" s="416"/>
      <c r="DS141" s="412"/>
      <c r="DT141" s="413"/>
    </row>
    <row r="142" spans="1:124" ht="12.75" customHeight="1">
      <c r="A142" s="491"/>
      <c r="C142" s="1885" t="s">
        <v>1362</v>
      </c>
      <c r="D142" s="601"/>
      <c r="E142" s="1886">
        <f>IF(F142=0,G142,F142)</f>
        <v>115</v>
      </c>
      <c r="F142" s="1532">
        <v>115</v>
      </c>
      <c r="G142" s="1532">
        <v>0</v>
      </c>
      <c r="H142" s="610">
        <v>2020</v>
      </c>
      <c r="I142" s="828">
        <v>4.4999999999999998E-2</v>
      </c>
      <c r="J142" s="617">
        <v>4</v>
      </c>
      <c r="K142" s="402"/>
      <c r="L142" s="407">
        <f>IF(L$5=$H142,-$E142,0)</f>
        <v>0</v>
      </c>
      <c r="M142" s="404">
        <f>IF(Q142=0,0,IF(Q142&lt;0,IF($J142=3,Q142,IF($J142=2,Q142,IF($J142=1,Q142,0)))))</f>
        <v>0</v>
      </c>
      <c r="N142" s="414">
        <f>IF(Q142=0,0,IF(Q142&lt;0,IF($J142=6,Q142,IF($J142=5,Q142,IF($J142=4,Q142,0)))))</f>
        <v>0</v>
      </c>
      <c r="O142" s="414">
        <f>IF(Q142=0,0,IF(Q142&lt;0,IF($J142=9,Q142,IF($J142=8,Q142,IF($J142=7,Q142,0)))))</f>
        <v>0</v>
      </c>
      <c r="P142" s="406">
        <f>IF(Q142=0,0,IF(Q142&lt;0,IF($J142=12,Q142,IF($J142=11,Q142,IF($J142=10,Q142,0)))))</f>
        <v>0</v>
      </c>
      <c r="Q142" s="407">
        <f>IF(Q$5=$H142,-$E142,0)</f>
        <v>0</v>
      </c>
      <c r="R142" s="404">
        <f>IF(V142=0,0,IF(V142&lt;0,IF($J142=3,V142,IF($J142=2,V142,IF($J142=1,V142,0)))))</f>
        <v>0</v>
      </c>
      <c r="S142" s="414">
        <f>IF(V142=0,0,IF(V142&lt;0,IF($J142=6,V142,IF($J142=5,V142,IF($J142=4,V142,0)))))</f>
        <v>0</v>
      </c>
      <c r="T142" s="414">
        <f>IF(V142=0,0,IF(V142&lt;0,IF($J142=9,V142,IF($J142=8,V142,IF($J142=7,V142,0)))))</f>
        <v>0</v>
      </c>
      <c r="U142" s="406">
        <f>IF(V142=0,0,IF(V142&lt;0,IF($J142=12,V142,IF($J142=11,V142,IF($J142=10,V142,0)))))</f>
        <v>0</v>
      </c>
      <c r="V142" s="407">
        <f>IF(V$5=$H142,-$E142,0)</f>
        <v>0</v>
      </c>
      <c r="W142" s="404">
        <f>IF(AA142=0,0,IF(AA142&lt;0,IF($J142=3,AA142,IF($J142=2,AA142,IF($J142=1,AA142,0)))))</f>
        <v>0</v>
      </c>
      <c r="X142" s="414">
        <f>IF(AA142=0,0,IF(AA142&lt;0,IF($J142=6,AA142,IF($J142=5,AA142,IF($J142=4,AA142,0)))))</f>
        <v>0</v>
      </c>
      <c r="Y142" s="414">
        <f>IF(AA142=0,0,IF(AA142&lt;0,IF($J142=9,AA142,IF($J142=8,AA142,IF($J142=7,AA142,0)))))</f>
        <v>0</v>
      </c>
      <c r="Z142" s="406">
        <f>IF(AA142=0,0,IF(AA142&lt;0,IF($J142=12,AA142,IF($J142=11,AA142,IF($J142=10,AA142,0)))))</f>
        <v>0</v>
      </c>
      <c r="AA142" s="407">
        <f>IF(AA$5=$H142,-$E142,0)</f>
        <v>0</v>
      </c>
      <c r="AB142" s="404">
        <f>IF(AF142=0,0,IF(AF142&lt;0,IF($J142=3,AF142,IF($J142=2,AF142,IF($J142=1,AF142,0)))))</f>
        <v>0</v>
      </c>
      <c r="AC142" s="414">
        <f>IF(AF142=0,0,IF(AF142&lt;0,IF($J142=6,AF142,IF($J142=5,AF142,IF($J142=4,AF142,0)))))</f>
        <v>0</v>
      </c>
      <c r="AD142" s="414">
        <f>IF(AF142=0,0,IF(AF142&lt;0,IF($J142=9,AF142,IF($J142=8,AF142,IF($J142=7,AF142,0)))))</f>
        <v>0</v>
      </c>
      <c r="AE142" s="406">
        <f>IF(AF142=0,0,IF(AF142&lt;0,IF($J142=12,AF142,IF($J142=11,AF142,IF($J142=10,AF142,0)))))</f>
        <v>0</v>
      </c>
      <c r="AF142" s="407">
        <f>IF(AF$5=$H142,-$E142,0)</f>
        <v>0</v>
      </c>
      <c r="AG142" s="404">
        <f>IF(AK142=0,0,IF(AK142&lt;0,IF($J142=3,AK142,IF($J142=2,AK142,IF($J142=1,AK142,0)))))</f>
        <v>0</v>
      </c>
      <c r="AH142" s="414">
        <f>IF(AK142=0,0,IF(AK142&lt;0,IF($J142=6,AK142,IF($J142=5,AK142,IF($J142=4,AK142,0)))))</f>
        <v>0</v>
      </c>
      <c r="AI142" s="414">
        <f>IF(AK142=0,0,IF(AK142&lt;0,IF($J142=9,AK142,IF($J142=8,AK142,IF($J142=7,AK142,0)))))</f>
        <v>0</v>
      </c>
      <c r="AJ142" s="406">
        <f>IF(AK142=0,0,IF(AK142&lt;0,IF($J142=12,AK142,IF($J142=11,AK142,IF($J142=10,AK142,0)))))</f>
        <v>0</v>
      </c>
      <c r="AK142" s="407">
        <f>IF(AK$5=$H142,-$E142,0)</f>
        <v>0</v>
      </c>
      <c r="AL142" s="404">
        <f>IF(AP142=0,0,IF(AP142&lt;0,IF($J142=3,AP142,IF($J142=2,AP142,IF($J142=1,AP142,0)))))</f>
        <v>0</v>
      </c>
      <c r="AM142" s="414">
        <f>IF(AP142=0,0,IF(AP142&lt;0,IF($J142=6,AP142,IF($J142=5,AP142,IF($J142=4,AP142,0)))))</f>
        <v>0</v>
      </c>
      <c r="AN142" s="414">
        <f>IF(AP142=0,0,IF(AP142&lt;0,IF($J142=9,AP142,IF($J142=8,AP142,IF($J142=7,AP142,0)))))</f>
        <v>0</v>
      </c>
      <c r="AO142" s="406">
        <f>IF(AP142=0,0,IF(AP142&lt;0,IF($J142=12,AP142,IF($J142=11,AP142,IF($J142=10,AP142,0)))))</f>
        <v>0</v>
      </c>
      <c r="AP142" s="407">
        <f>IF(AP$5=$H142,-$E142,0)</f>
        <v>0</v>
      </c>
      <c r="AQ142" s="404">
        <f>IF(AU142=0,0,IF(AU142&lt;0,IF($J142=3,AU142,IF($J142=2,AU142,IF($J142=1,AU142,0)))))</f>
        <v>0</v>
      </c>
      <c r="AR142" s="414">
        <f>IF(AU142=0,0,IF(AU142&lt;0,IF($J142=6,AU142,IF($J142=5,AU142,IF($J142=4,AU142,0)))))</f>
        <v>0</v>
      </c>
      <c r="AS142" s="414">
        <f>IF(AU142=0,0,IF(AU142&lt;0,IF($J142=9,AU142,IF($J142=8,AU142,IF($J142=7,AU142,0)))))</f>
        <v>0</v>
      </c>
      <c r="AT142" s="406">
        <f>IF(AU142=0,0,IF(AU142&lt;0,IF($J142=12,AU142,IF($J142=11,AU142,IF($J142=10,AU142,0)))))</f>
        <v>0</v>
      </c>
      <c r="AU142" s="407">
        <f>IF(AU$5=$H142,-$E142,0)</f>
        <v>0</v>
      </c>
      <c r="AV142" s="404">
        <f>IF(AZ142=0,0,IF(AZ142&lt;0,IF($J142=3,AZ142,IF($J142=2,AZ142,IF($J142=1,AZ142,0)))))</f>
        <v>0</v>
      </c>
      <c r="AW142" s="414">
        <f>IF(AZ142=0,0,IF(AZ142&lt;0,IF($J142=6,AZ142,IF($J142=5,AZ142,IF($J142=4,AZ142,0)))))</f>
        <v>0</v>
      </c>
      <c r="AX142" s="414">
        <f>IF(AZ142=0,0,IF(AZ142&lt;0,IF($J142=9,AZ142,IF($J142=8,AZ142,IF($J142=7,AZ142,0)))))</f>
        <v>0</v>
      </c>
      <c r="AY142" s="406">
        <f>IF(AZ142=0,0,IF(AZ142&lt;0,IF($J142=12,AZ142,IF($J142=11,AZ142,IF($J142=10,AZ142,0)))))</f>
        <v>0</v>
      </c>
      <c r="AZ142" s="407">
        <f>IF(AZ$5=$H142,-$E142,0)</f>
        <v>0</v>
      </c>
      <c r="BA142" s="404">
        <f>IF(BE142=0,0,IF(BE142&lt;0,IF($J142=3,BE142,IF($J142=2,BE142,IF($J142=1,BE142,0)))))</f>
        <v>0</v>
      </c>
      <c r="BB142" s="414">
        <f>IF(BE142=0,0,IF(BE142&lt;0,IF($J142=6,BE142,IF($J142=5,BE142,IF($J142=4,BE142,0)))))</f>
        <v>0</v>
      </c>
      <c r="BC142" s="414">
        <f>IF(BE142=0,0,IF(BE142&lt;0,IF($J142=9,BE142,IF($J142=8,BE142,IF($J142=7,BE142,0)))))</f>
        <v>0</v>
      </c>
      <c r="BD142" s="406">
        <f>IF(BE142=0,0,IF(BE142&lt;0,IF($J142=12,BE142,IF($J142=11,BE142,IF($J142=10,BE142,0)))))</f>
        <v>0</v>
      </c>
      <c r="BE142" s="407">
        <f>IF(BE$5=$H142,-$E142,0)</f>
        <v>0</v>
      </c>
      <c r="BF142" s="404">
        <f>IF(BJ142=0,0,IF(BJ142&lt;0,IF($J142=3,BJ142,IF($J142=2,BJ142,IF($J142=1,BJ142,0)))))</f>
        <v>0</v>
      </c>
      <c r="BG142" s="414">
        <f>IF(BJ142=0,0,IF(BJ142&lt;0,IF($J142=6,BJ142,IF($J142=5,BJ142,IF($J142=4,BJ142,0)))))</f>
        <v>-115</v>
      </c>
      <c r="BH142" s="414">
        <f>IF(BJ142=0,0,IF(BJ142&lt;0,IF($J142=9,BJ142,IF($J142=8,BJ142,IF($J142=7,BJ142,0)))))</f>
        <v>0</v>
      </c>
      <c r="BI142" s="406">
        <f>IF(BJ142=0,0,IF(BJ142&lt;0,IF($J142=12,BJ142,IF($J142=11,BJ142,IF($J142=10,BJ142,0)))))</f>
        <v>0</v>
      </c>
      <c r="BJ142" s="407">
        <f>IF(BJ$5=$H142,-$E142,0)</f>
        <v>-115</v>
      </c>
      <c r="BK142" s="404">
        <f>IF(BO142=0,0,IF(BO142&lt;0,IF($J142=3,BO142,IF($J142=2,BO142,IF($J142=1,BO142,0)))))</f>
        <v>0</v>
      </c>
      <c r="BL142" s="414">
        <f>IF(BO142=0,0,IF(BO142&lt;0,IF($J142=6,BO142,IF($J142=5,BO142,IF($J142=4,BO142,0)))))</f>
        <v>0</v>
      </c>
      <c r="BM142" s="414">
        <f>IF(BO142=0,0,IF(BO142&lt;0,IF($J142=9,BO142,IF($J142=8,BO142,IF($J142=7,BO142,0)))))</f>
        <v>0</v>
      </c>
      <c r="BN142" s="406">
        <f>IF(BO142=0,0,IF(BO142&lt;0,IF($J142=12,BO142,IF($J142=11,BO142,IF($J142=10,BO142,0)))))</f>
        <v>0</v>
      </c>
      <c r="BO142" s="407">
        <f>IF(BO$5=$H142,-$E142,0)</f>
        <v>0</v>
      </c>
      <c r="BP142" s="449"/>
      <c r="BQ142" s="413">
        <f>IF(AND(AH142&lt;&gt;0,AH$5=$H142),-$I142*$E142-AH142,IF(BQ$5=$H142,-$I142*$E142*(12-$J142+1)/12,0))</f>
        <v>0</v>
      </c>
      <c r="BR142" s="410">
        <f>IF($H142&lt;&gt;BV$5,0,IF(BV142&lt;0,IF($J142=1,-$E142*$I142/12*3,IF($J142=2,-$E142*$I142/12*2,IF($J142=3,-$E142*$I142/12*1,0)))))+IF(BQ$5&lt;&gt;$H142,0,IF(BQ142&lt;0,IF($J142=1,-$E142*$I142/12*0,IF($J142=2,-$E142*$I142/12*1,IF($J142=3,-$E142*$I142/12*2,IF($J142&gt;=4,-$E142*$I142/12*3,0))))))</f>
        <v>0</v>
      </c>
      <c r="BS142" s="416">
        <f>IF($H142&lt;&gt;BV$5,0,IF(BV142&lt;0,IF(OR($J142=1,$J142=2,$J142=3,$J142=4),-$E142*$I142/12*3,IF($J142=5,-$E142*$I142/12*2,IF($J142=6,-$E142*$I142/12*1,0)))))+IF(BQ$5&lt;&gt;$H142,0,IF(BQ142&lt;0,IF($J142=4,-$E142*$I142/12*0,IF($J142=5,-$E142*$I142/12*1,IF($J142=6,-$E142*$I142/12*2,IF($J142&gt;=7,-$E142*$I142/12*3,0))))))</f>
        <v>0</v>
      </c>
      <c r="BT142" s="416">
        <f>IF($H142&lt;&gt;BV$5,0,IF(BV142&lt;0,IF(OR($J142=1,$J142=2,$J142=3,$J142=4,$J142=5,$J142=6,$J142=7),-$E142*$I142/12*3,IF($J142=8,-$E142*$I142/12*2,IF($J142=9,-$E142*$I142/12*1,0)))))+IF(BQ$5&lt;&gt;$H142,0,IF(BQ142&lt;0,IF($J142=7,-$E142*$I142/12*0,IF($J142=8,-$E142*$I142/12*1,IF($J142=9,-$E142*$I142/12*2,IF($J142&gt;=10,-$E142*$I142/12*3,0))))))</f>
        <v>0</v>
      </c>
      <c r="BU142" s="412">
        <f>IF($H142&lt;&gt;BV$5,0,IF(BV142&lt;0,IF(OR($J142=1,$J142=2,$J142=3,$J142=4,$J142=5,$J142=6,$J142=7,$J142=8,$J142=9,$J142=10),-$E142*$I142/12*3,IF($J142=11,-$E142*$I142/12*2,IF($J142=12,-$E142*$I142/12*1,0)))))+IF(BQ$5&lt;&gt;$H142,0,IF(BQ142&lt;0,IF($J142=10,-$E142*$I142/12*0,IF($J142=11,-$E142*$I142/12*1,IF($J142=12,-$E142*$I142/12*2,0)))))</f>
        <v>0</v>
      </c>
      <c r="BV142" s="413">
        <f>IF(AND(BQ142&lt;&gt;0,BQ$5=$H142),-$I142*$E142-BQ142,IF(BV$5=$H142,-$I142*$E142*(12-$J142+1)/12,0))</f>
        <v>0</v>
      </c>
      <c r="BW142" s="410">
        <f>IF($H142&lt;&gt;CA$5,0,IF(CA142&lt;0,IF($J142=1,-$E142*$I142/12*3,IF($J142=2,-$E142*$I142/12*2,IF($J142=3,-$E142*$I142/12*1,0)))))+IF(BV$5&lt;&gt;$H142,0,IF(BV142&lt;0,IF($J142=1,-$E142*$I142/12*0,IF($J142=2,-$E142*$I142/12*1,IF($J142=3,-$E142*$I142/12*2,IF($J142&gt;=4,-$E142*$I142/12*3,0))))))</f>
        <v>0</v>
      </c>
      <c r="BX142" s="416">
        <f>IF($H142&lt;&gt;CA$5,0,IF(CA142&lt;0,IF(OR($J142=1,$J142=2,$J142=3,$J142=4),-$E142*$I142/12*3,IF($J142=5,-$E142*$I142/12*2,IF($J142=6,-$E142*$I142/12*1,0)))))+IF(BV$5&lt;&gt;$H142,0,IF(BV142&lt;0,IF($J142=4,-$E142*$I142/12*0,IF($J142=5,-$E142*$I142/12*1,IF($J142=6,-$E142*$I142/12*2,IF($J142&gt;=7,-$E142*$I142/12*3,0))))))</f>
        <v>0</v>
      </c>
      <c r="BY142" s="416">
        <f>IF($H142&lt;&gt;CA$5,0,IF(CA142&lt;0,IF(OR($J142=1,$J142=2,$J142=3,$J142=4,$J142=5,$J142=6,$J142=7),-$E142*$I142/12*3,IF($J142=8,-$E142*$I142/12*2,IF($J142=9,-$E142*$I142/12*1,0)))))+IF(BV$5&lt;&gt;$H142,0,IF(BV142&lt;0,IF($J142=7,-$E142*$I142/12*0,IF($J142=8,-$E142*$I142/12*1,IF($J142=9,-$E142*$I142/12*2,IF($J142&gt;=10,-$E142*$I142/12*3,0))))))</f>
        <v>0</v>
      </c>
      <c r="BZ142" s="412">
        <f>IF($H142&lt;&gt;CA$5,0,IF(CA142&lt;0,IF(OR($J142=1,$J142=2,$J142=3,$J142=4,$J142=5,$J142=6,$J142=7,$J142=8,$J142=9,$J142=10),-$E142*$I142/12*3,IF($J142=11,-$E142*$I142/12*2,IF($J142=12,-$E142*$I142/12*1,0)))))+IF(BV$5&lt;&gt;$H142,0,IF(BV142&lt;0,IF($J142=10,-$E142*$I142/12*0,IF($J142=11,-$E142*$I142/12*1,IF($J142=12,-$E142*$I142/12*2,0)))))</f>
        <v>0</v>
      </c>
      <c r="CA142" s="413">
        <f>IF(AND(BV142&lt;&gt;0,BV$5=$H142),-$I142*$E142-BV142,IF(CA$5=$H142,-$I142*$E142*(12-$J142+1)/12,0))</f>
        <v>0</v>
      </c>
      <c r="CB142" s="410">
        <f>IF($H142&lt;&gt;CF$5,0,IF(CF142&lt;0,IF($J142=1,-$E142*$I142/12*3,IF($J142=2,-$E142*$I142/12*2,IF($J142=3,-$E142*$I142/12*1,0)))))+IF(CA$5&lt;&gt;$H142,0,IF(CA142&lt;0,IF($J142=1,-$E142*$I142/12*0,IF($J142=2,-$E142*$I142/12*1,IF($J142=3,-$E142*$I142/12*2,IF($J142&gt;=4,-$E142*$I142/12*3,0))))))</f>
        <v>0</v>
      </c>
      <c r="CC142" s="416">
        <f>IF($H142&lt;&gt;CF$5,0,IF(CF142&lt;0,IF(OR($J142=1,$J142=2,$J142=3,$J142=4),-$E142*$I142/12*3,IF($J142=5,-$E142*$I142/12*2,IF($J142=6,-$E142*$I142/12*1,0)))))+IF(CA$5&lt;&gt;$H142,0,IF(CA142&lt;0,IF($J142=4,-$E142*$I142/12*0,IF($J142=5,-$E142*$I142/12*1,IF($J142=6,-$E142*$I142/12*2,IF($J142&gt;=7,-$E142*$I142/12*3,0))))))</f>
        <v>0</v>
      </c>
      <c r="CD142" s="416">
        <f>IF($H142&lt;&gt;CF$5,0,IF(CF142&lt;0,IF(OR($J142=1,$J142=2,$J142=3,$J142=4,$J142=5,$J142=6,$J142=7),-$E142*$I142/12*3,IF($J142=8,-$E142*$I142/12*2,IF($J142=9,-$E142*$I142/12*1,0)))))+IF(CA$5&lt;&gt;$H142,0,IF(CA142&lt;0,IF($J142=7,-$E142*$I142/12*0,IF($J142=8,-$E142*$I142/12*1,IF($J142=9,-$E142*$I142/12*2,IF($J142&gt;=10,-$E142*$I142/12*3,0))))))</f>
        <v>0</v>
      </c>
      <c r="CE142" s="412">
        <f>IF($H142&lt;&gt;CF$5,0,IF(CF142&lt;0,IF(OR($J142=1,$J142=2,$J142=3,$J142=4,$J142=5,$J142=6,$J142=7,$J142=8,$J142=9,$J142=10),-$E142*$I142/12*3,IF($J142=11,-$E142*$I142/12*2,IF($J142=12,-$E142*$I142/12*1,0)))))+IF(CA$5&lt;&gt;$H142,0,IF(CA142&lt;0,IF($J142=10,-$E142*$I142/12*0,IF($J142=11,-$E142*$I142/12*1,IF($J142=12,-$E142*$I142/12*2,0)))))</f>
        <v>0</v>
      </c>
      <c r="CF142" s="413">
        <f>IF(AND(CA142&lt;&gt;0,CA$5=$H142),-$I142*$E142-CA142,IF(CF$5=$H142,-$I142*$E142*(12-$J142+1)/12,0))</f>
        <v>0</v>
      </c>
      <c r="CG142" s="410">
        <f>IF($H142&lt;&gt;CK$5,0,IF(CK142&lt;0,IF($J142=1,-$E142*$I142/12*3,IF($J142=2,-$E142*$I142/12*2,IF($J142=3,-$E142*$I142/12*1,0)))))+IF(CF$5&lt;&gt;$H142,0,IF(CF142&lt;0,IF($J142=1,-$E142*$I142/12*0,IF($J142=2,-$E142*$I142/12*1,IF($J142=3,-$E142*$I142/12*2,IF($J142&gt;=4,-$E142*$I142/12*3,0))))))</f>
        <v>0</v>
      </c>
      <c r="CH142" s="416">
        <f>IF($H142&lt;&gt;CK$5,0,IF(CK142&lt;0,IF(OR($J142=1,$J142=2,$J142=3,$J142=4),-$E142*$I142/12*3,IF($J142=5,-$E142*$I142/12*2,IF($J142=6,-$E142*$I142/12*1,0)))))+IF(CF$5&lt;&gt;$H142,0,IF(CF142&lt;0,IF($J142=4,-$E142*$I142/12*0,IF($J142=5,-$E142*$I142/12*1,IF($J142=6,-$E142*$I142/12*2,IF($J142&gt;=7,-$E142*$I142/12*3,0))))))</f>
        <v>0</v>
      </c>
      <c r="CI142" s="416">
        <f>IF($H142&lt;&gt;CK$5,0,IF(CK142&lt;0,IF(OR($J142=1,$J142=2,$J142=3,$J142=4,$J142=5,$J142=6,$J142=7),-$E142*$I142/12*3,IF($J142=8,-$E142*$I142/12*2,IF($J142=9,-$E142*$I142/12*1,0)))))+IF(CF$5&lt;&gt;$H142,0,IF(CF142&lt;0,IF($J142=7,-$E142*$I142/12*0,IF($J142=8,-$E142*$I142/12*1,IF($J142=9,-$E142*$I142/12*2,IF($J142&gt;=10,-$E142*$I142/12*3,0))))))</f>
        <v>0</v>
      </c>
      <c r="CJ142" s="412">
        <f>IF($H142&lt;&gt;CK$5,0,IF(CK142&lt;0,IF(OR($J142=1,$J142=2,$J142=3,$J142=4,$J142=5,$J142=6,$J142=7,$J142=8,$J142=9,$J142=10),-$E142*$I142/12*3,IF($J142=11,-$E142*$I142/12*2,IF($J142=12,-$E142*$I142/12*1,0)))))+IF(CF$5&lt;&gt;$H142,0,IF(CF142&lt;0,IF($J142=10,-$E142*$I142/12*0,IF($J142=11,-$E142*$I142/12*1,IF($J142=12,-$E142*$I142/12*2,0)))))</f>
        <v>0</v>
      </c>
      <c r="CK142" s="413">
        <f>IF(AND(CF142&lt;&gt;0,CF$5=$H142),-$I142*$E142-CF142,IF(CK$5=$H142,-$I142*$E142*(12-$J142+1)/12,0))</f>
        <v>0</v>
      </c>
      <c r="CL142" s="410">
        <f>IF($H142&lt;&gt;CP$5,0,IF(CP142&lt;0,IF($J142=1,-$E142*$I142/12*3,IF($J142=2,-$E142*$I142/12*2,IF($J142=3,-$E142*$I142/12*1,0)))))+IF(CK$5&lt;&gt;$H142,0,IF(CK142&lt;0,IF($J142=1,-$E142*$I142/12*0,IF($J142=2,-$E142*$I142/12*1,IF($J142=3,-$E142*$I142/12*2,IF($J142&gt;=4,-$E142*$I142/12*3,0))))))</f>
        <v>0</v>
      </c>
      <c r="CM142" s="416">
        <f>IF($H142&lt;&gt;CP$5,0,IF(CP142&lt;0,IF(OR($J142=1,$J142=2,$J142=3,$J142=4),-$E142*$I142/12*3,IF($J142=5,-$E142*$I142/12*2,IF($J142=6,-$E142*$I142/12*1,0)))))+IF(CK$5&lt;&gt;$H142,0,IF(CK142&lt;0,IF($J142=4,-$E142*$I142/12*0,IF($J142=5,-$E142*$I142/12*1,IF($J142=6,-$E142*$I142/12*2,IF($J142&gt;=7,-$E142*$I142/12*3,0))))))</f>
        <v>0</v>
      </c>
      <c r="CN142" s="416">
        <f>IF($H142&lt;&gt;CP$5,0,IF(CP142&lt;0,IF(OR($J142=1,$J142=2,$J142=3,$J142=4,$J142=5,$J142=6,$J142=7),-$E142*$I142/12*3,IF($J142=8,-$E142*$I142/12*2,IF($J142=9,-$E142*$I142/12*1,0)))))+IF(CK$5&lt;&gt;$H142,0,IF(CK142&lt;0,IF($J142=7,-$E142*$I142/12*0,IF($J142=8,-$E142*$I142/12*1,IF($J142=9,-$E142*$I142/12*2,IF($J142&gt;=10,-$E142*$I142/12*3,0))))))</f>
        <v>0</v>
      </c>
      <c r="CO142" s="412">
        <f>IF($H142&lt;&gt;CP$5,0,IF(CP142&lt;0,IF(OR($J142=1,$J142=2,$J142=3,$J142=4,$J142=5,$J142=6,$J142=7,$J142=8,$J142=9,$J142=10),-$E142*$I142/12*3,IF($J142=11,-$E142*$I142/12*2,IF($J142=12,-$E142*$I142/12*1,0)))))+IF(CK$5&lt;&gt;$H142,0,IF(CK142&lt;0,IF($J142=10,-$E142*$I142/12*0,IF($J142=11,-$E142*$I142/12*1,IF($J142=12,-$E142*$I142/12*2,0)))))</f>
        <v>0</v>
      </c>
      <c r="CP142" s="413">
        <f>IF(AND(CK142&lt;&gt;0,CK$5=$H142),-$I142*$E142-CK142,IF(CP$5=$H142,-$I142*$E142*(12-$J142+1)/12,0))</f>
        <v>0</v>
      </c>
      <c r="CQ142" s="410">
        <f>IF($H142&lt;&gt;CU$5,0,IF(CU142&lt;0,IF($J142=1,-$E142*$I142/12*3,IF($J142=2,-$E142*$I142/12*2,IF($J142=3,-$E142*$I142/12*1,0)))))+IF(CP$5&lt;&gt;$H142,0,IF(CP142&lt;0,IF($J142=1,-$E142*$I142/12*0,IF($J142=2,-$E142*$I142/12*1,IF($J142=3,-$E142*$I142/12*2,IF($J142&gt;=4,-$E142*$I142/12*3,0))))))</f>
        <v>0</v>
      </c>
      <c r="CR142" s="416">
        <f>IF($H142&lt;&gt;CU$5,0,IF(CU142&lt;0,IF(OR($J142=1,$J142=2,$J142=3,$J142=4),-$E142*$I142/12*3,IF($J142=5,-$E142*$I142/12*2,IF($J142=6,-$E142*$I142/12*1,0)))))+IF(CP$5&lt;&gt;$H142,0,IF(CP142&lt;0,IF($J142=4,-$E142*$I142/12*0,IF($J142=5,-$E142*$I142/12*1,IF($J142=6,-$E142*$I142/12*2,IF($J142&gt;=7,-$E142*$I142/12*3,0))))))</f>
        <v>0</v>
      </c>
      <c r="CS142" s="416">
        <f>IF($H142&lt;&gt;CU$5,0,IF(CU142&lt;0,IF(OR($J142=1,$J142=2,$J142=3,$J142=4,$J142=5,$J142=6,$J142=7),-$E142*$I142/12*3,IF($J142=8,-$E142*$I142/12*2,IF($J142=9,-$E142*$I142/12*1,0)))))+IF(CP$5&lt;&gt;$H142,0,IF(CP142&lt;0,IF($J142=7,-$E142*$I142/12*0,IF($J142=8,-$E142*$I142/12*1,IF($J142=9,-$E142*$I142/12*2,IF($J142&gt;=10,-$E142*$I142/12*3,0))))))</f>
        <v>0</v>
      </c>
      <c r="CT142" s="412">
        <f>IF($H142&lt;&gt;CU$5,0,IF(CU142&lt;0,IF(OR($J142=1,$J142=2,$J142=3,$J142=4,$J142=5,$J142=6,$J142=7,$J142=8,$J142=9,$J142=10),-$E142*$I142/12*3,IF($J142=11,-$E142*$I142/12*2,IF($J142=12,-$E142*$I142/12*1,0)))))+IF(CP$5&lt;&gt;$H142,0,IF(CP142&lt;0,IF($J142=10,-$E142*$I142/12*0,IF($J142=11,-$E142*$I142/12*1,IF($J142=12,-$E142*$I142/12*2,0)))))</f>
        <v>0</v>
      </c>
      <c r="CU142" s="413">
        <f>IF(AND(CP142&lt;&gt;0,CP$5=$H142),-$I142*$E142-CP142,IF(CU$5=$H142,-$I142*$E142*(12-$J142+1)/12,0))</f>
        <v>0</v>
      </c>
      <c r="CV142" s="410">
        <f>IF($H142&lt;&gt;CZ$5,0,IF(CZ142&lt;0,IF($J142=1,-$E142*$I142/12*3,IF($J142=2,-$E142*$I142/12*2,IF($J142=3,-$E142*$I142/12*1,0)))))+IF(CU$5&lt;&gt;$H142,0,IF(CU142&lt;0,IF($J142=1,-$E142*$I142/12*0,IF($J142=2,-$E142*$I142/12*1,IF($J142=3,-$E142*$I142/12*2,IF($J142&gt;=4,-$E142*$I142/12*3,0))))))</f>
        <v>0</v>
      </c>
      <c r="CW142" s="416">
        <f>IF($H142&lt;&gt;CZ$5,0,IF(CZ142&lt;0,IF(OR($J142=1,$J142=2,$J142=3,$J142=4),-$E142*$I142/12*3,IF($J142=5,-$E142*$I142/12*2,IF($J142=6,-$E142*$I142/12*1,0)))))+IF(CU$5&lt;&gt;$H142,0,IF(CU142&lt;0,IF($J142=4,-$E142*$I142/12*0,IF($J142=5,-$E142*$I142/12*1,IF($J142=6,-$E142*$I142/12*2,IF($J142&gt;=7,-$E142*$I142/12*3,0))))))</f>
        <v>0</v>
      </c>
      <c r="CX142" s="416">
        <f>IF($H142&lt;&gt;CZ$5,0,IF(CZ142&lt;0,IF(OR($J142=1,$J142=2,$J142=3,$J142=4,$J142=5,$J142=6,$J142=7),-$E142*$I142/12*3,IF($J142=8,-$E142*$I142/12*2,IF($J142=9,-$E142*$I142/12*1,0)))))+IF(CU$5&lt;&gt;$H142,0,IF(CU142&lt;0,IF($J142=7,-$E142*$I142/12*0,IF($J142=8,-$E142*$I142/12*1,IF($J142=9,-$E142*$I142/12*2,IF($J142&gt;=10,-$E142*$I142/12*3,0))))))</f>
        <v>0</v>
      </c>
      <c r="CY142" s="412">
        <f>IF($H142&lt;&gt;CZ$5,0,IF(CZ142&lt;0,IF(OR($J142=1,$J142=2,$J142=3,$J142=4,$J142=5,$J142=6,$J142=7,$J142=8,$J142=9,$J142=10),-$E142*$I142/12*3,IF($J142=11,-$E142*$I142/12*2,IF($J142=12,-$E142*$I142/12*1,0)))))+IF(CU$5&lt;&gt;$H142,0,IF(CU142&lt;0,IF($J142=10,-$E142*$I142/12*0,IF($J142=11,-$E142*$I142/12*1,IF($J142=12,-$E142*$I142/12*2,0)))))</f>
        <v>0</v>
      </c>
      <c r="CZ142" s="413">
        <f>IF(AND(CU142&lt;&gt;0,CU$5=$H142),-$I142*$E142-CU142,IF(CZ$5=$H142,-$I142*$E142*(12-$J142+1)/12,0))</f>
        <v>0</v>
      </c>
      <c r="DA142" s="410">
        <f>IF($H142&lt;&gt;DE$5,0,IF(DE142&lt;0,IF($J142=1,-$E142*$I142/12*3,IF($J142=2,-$E142*$I142/12*2,IF($J142=3,-$E142*$I142/12*1,0)))))+IF(CZ$5&lt;&gt;$H142,0,IF(CZ142&lt;0,IF($J142=1,-$E142*$I142/12*0,IF($J142=2,-$E142*$I142/12*1,IF($J142=3,-$E142*$I142/12*2,IF($J142&gt;=4,-$E142*$I142/12*3,0))))))</f>
        <v>0</v>
      </c>
      <c r="DB142" s="416">
        <f>IF($H142&lt;&gt;DE$5,0,IF(DE142&lt;0,IF(OR($J142=1,$J142=2,$J142=3,$J142=4),-$E142*$I142/12*3,IF($J142=5,-$E142*$I142/12*2,IF($J142=6,-$E142*$I142/12*1,0)))))+IF(CZ$5&lt;&gt;$H142,0,IF(CZ142&lt;0,IF($J142=4,-$E142*$I142/12*0,IF($J142=5,-$E142*$I142/12*1,IF($J142=6,-$E142*$I142/12*2,IF($J142&gt;=7,-$E142*$I142/12*3,0))))))</f>
        <v>0</v>
      </c>
      <c r="DC142" s="416">
        <f>IF($H142&lt;&gt;DE$5,0,IF(DE142&lt;0,IF(OR($J142=1,$J142=2,$J142=3,$J142=4,$J142=5,$J142=6,$J142=7),-$E142*$I142/12*3,IF($J142=8,-$E142*$I142/12*2,IF($J142=9,-$E142*$I142/12*1,0)))))+IF(CZ$5&lt;&gt;$H142,0,IF(CZ142&lt;0,IF($J142=7,-$E142*$I142/12*0,IF($J142=8,-$E142*$I142/12*1,IF($J142=9,-$E142*$I142/12*2,IF($J142&gt;=10,-$E142*$I142/12*3,0))))))</f>
        <v>0</v>
      </c>
      <c r="DD142" s="412">
        <f>IF($H142&lt;&gt;DE$5,0,IF(DE142&lt;0,IF(OR($J142=1,$J142=2,$J142=3,$J142=4,$J142=5,$J142=6,$J142=7,$J142=8,$J142=9,$J142=10),-$E142*$I142/12*3,IF($J142=11,-$E142*$I142/12*2,IF($J142=12,-$E142*$I142/12*1,0)))))+IF(CZ$5&lt;&gt;$H142,0,IF(CZ142&lt;0,IF($J142=10,-$E142*$I142/12*0,IF($J142=11,-$E142*$I142/12*1,IF($J142=12,-$E142*$I142/12*2,0)))))</f>
        <v>0</v>
      </c>
      <c r="DE142" s="413">
        <f>IF(AND(CZ142&lt;&gt;0,CZ$5=$H142),-$I142*$E142-CZ142,IF(DE$5=$H142,-$I142*$E142*(12-$J142+1)/12,0))</f>
        <v>0</v>
      </c>
      <c r="DF142" s="410">
        <f>IF($H142&lt;&gt;DJ$5,0,IF(DJ142&lt;0,IF($J142=1,-$E142*$I142/12*3,IF($J142=2,-$E142*$I142/12*2,IF($J142=3,-$E142*$I142/12*1,0)))))+IF(DE$5&lt;&gt;$H142,0,IF(DE142&lt;0,IF($J142=1,-$E142*$I142/12*0,IF($J142=2,-$E142*$I142/12*1,IF($J142=3,-$E142*$I142/12*2,IF($J142&gt;=4,-$E142*$I142/12*3,0))))))</f>
        <v>0</v>
      </c>
      <c r="DG142" s="416">
        <f>IF($H142&lt;&gt;DJ$5,0,IF(DJ142&lt;0,IF(OR($J142=1,$J142=2,$J142=3,$J142=4),-$E142*$I142/12*3,IF($J142=5,-$E142*$I142/12*2,IF($J142=6,-$E142*$I142/12*1,0)))))+IF(DE$5&lt;&gt;$H142,0,IF(DE142&lt;0,IF($J142=4,-$E142*$I142/12*0,IF($J142=5,-$E142*$I142/12*1,IF($J142=6,-$E142*$I142/12*2,IF($J142&gt;=7,-$E142*$I142/12*3,0))))))</f>
        <v>0</v>
      </c>
      <c r="DH142" s="416">
        <f>IF($H142&lt;&gt;DJ$5,0,IF(DJ142&lt;0,IF(OR($J142=1,$J142=2,$J142=3,$J142=4,$J142=5,$J142=6,$J142=7),-$E142*$I142/12*3,IF($J142=8,-$E142*$I142/12*2,IF($J142=9,-$E142*$I142/12*1,0)))))+IF(DE$5&lt;&gt;$H142,0,IF(DE142&lt;0,IF($J142=7,-$E142*$I142/12*0,IF($J142=8,-$E142*$I142/12*1,IF($J142=9,-$E142*$I142/12*2,IF($J142&gt;=10,-$E142*$I142/12*3,0))))))</f>
        <v>0</v>
      </c>
      <c r="DI142" s="412">
        <f>IF($H142&lt;&gt;DJ$5,0,IF(DJ142&lt;0,IF(OR($J142=1,$J142=2,$J142=3,$J142=4,$J142=5,$J142=6,$J142=7,$J142=8,$J142=9,$J142=10),-$E142*$I142/12*3,IF($J142=11,-$E142*$I142/12*2,IF($J142=12,-$E142*$I142/12*1,0)))))+IF(DE$5&lt;&gt;$H142,0,IF(DE142&lt;0,IF($J142=10,-$E142*$I142/12*0,IF($J142=11,-$E142*$I142/12*1,IF($J142=12,-$E142*$I142/12*2,0)))))</f>
        <v>0</v>
      </c>
      <c r="DJ142" s="413">
        <f>IF(AND(DE142&lt;&gt;0,DE$5=$H142),-$I142*$E142-DE142,IF(DJ$5=$H142,-$I142*$E142*(12-$J142+1)/12,0))</f>
        <v>0</v>
      </c>
      <c r="DK142" s="410">
        <f>IF($H142&lt;&gt;DO$5,0,IF(DO142&lt;0,IF($J142=1,-$E142*$I142/12*3,IF($J142=2,-$E142*$I142/12*2,IF($J142=3,-$E142*$I142/12*1,0)))))+IF(DJ$5&lt;&gt;$H142,0,IF(DJ142&lt;0,IF($J142=1,-$E142*$I142/12*0,IF($J142=2,-$E142*$I142/12*1,IF($J142=3,-$E142*$I142/12*2,IF($J142&gt;=4,-$E142*$I142/12*3,0))))))</f>
        <v>0</v>
      </c>
      <c r="DL142" s="416">
        <f>IF($H142&lt;&gt;DO$5,0,IF(DO142&lt;0,IF(OR($J142=1,$J142=2,$J142=3,$J142=4),-$E142*$I142/12*3,IF($J142=5,-$E142*$I142/12*2,IF($J142=6,-$E142*$I142/12*1,0)))))+IF(DJ$5&lt;&gt;$H142,0,IF(DJ142&lt;0,IF($J142=4,-$E142*$I142/12*0,IF($J142=5,-$E142*$I142/12*1,IF($J142=6,-$E142*$I142/12*2,IF($J142&gt;=7,-$E142*$I142/12*3,0))))))</f>
        <v>-1.29375</v>
      </c>
      <c r="DM142" s="416">
        <f>IF($H142&lt;&gt;DO$5,0,IF(DO142&lt;0,IF(OR($J142=1,$J142=2,$J142=3,$J142=4,$J142=5,$J142=6,$J142=7),-$E142*$I142/12*3,IF($J142=8,-$E142*$I142/12*2,IF($J142=9,-$E142*$I142/12*1,0)))))+IF(DJ$5&lt;&gt;$H142,0,IF(DJ142&lt;0,IF($J142=7,-$E142*$I142/12*0,IF($J142=8,-$E142*$I142/12*1,IF($J142=9,-$E142*$I142/12*2,IF($J142&gt;=10,-$E142*$I142/12*3,0))))))</f>
        <v>-1.29375</v>
      </c>
      <c r="DN142" s="412">
        <f>IF($H142&lt;&gt;DO$5,0,IF(DO142&lt;0,IF(OR($J142=1,$J142=2,$J142=3,$J142=4,$J142=5,$J142=6,$J142=7,$J142=8,$J142=9,$J142=10),-$E142*$I142/12*3,IF($J142=11,-$E142*$I142/12*2,IF($J142=12,-$E142*$I142/12*1,0)))))+IF(DJ$5&lt;&gt;$H142,0,IF(DJ142&lt;0,IF($J142=10,-$E142*$I142/12*0,IF($J142=11,-$E142*$I142/12*1,IF($J142=12,-$E142*$I142/12*2,0)))))</f>
        <v>-1.29375</v>
      </c>
      <c r="DO142" s="413">
        <f>IF(AND(DJ142&lt;&gt;0,DJ$5=$H142),-$I142*$E142-DJ142,IF(DO$5=$H142,-$I142*$E142*(12-$J142+1)/12,0))</f>
        <v>-3.8812499999999996</v>
      </c>
      <c r="DP142" s="410">
        <f>IF($H142&lt;&gt;DT$5,0,IF(DT142&lt;0,IF($J142=1,-$E142*$I142/12*3,IF($J142=2,-$E142*$I142/12*2,IF($J142=3,-$E142*$I142/12*1,0)))))+IF(DO$5&lt;&gt;$H142,0,IF(DO142&lt;0,IF($J142=1,-$E142*$I142/12*0,IF($J142=2,-$E142*$I142/12*1,IF($J142=3,-$E142*$I142/12*2,IF($J142&gt;=4,-$E142*$I142/12*3,0))))))</f>
        <v>-1.29375</v>
      </c>
      <c r="DQ142" s="416">
        <f>IF($H142&lt;&gt;DT$5,0,IF(DT142&lt;0,IF(OR($J142=1,$J142=2,$J142=3,$J142=4),-$E142*$I142/12*3,IF($J142=5,-$E142*$I142/12*2,IF($J142=6,-$E142*$I142/12*1,0)))))+IF(DO$5&lt;&gt;$H142,0,IF(DO142&lt;0,IF($J142=4,-$E142*$I142/12*0,IF($J142=5,-$E142*$I142/12*1,IF($J142=6,-$E142*$I142/12*2,IF($J142&gt;=7,-$E142*$I142/12*3,0))))))</f>
        <v>0</v>
      </c>
      <c r="DR142" s="416">
        <f>IF($H142&lt;&gt;DT$5,0,IF(DT142&lt;0,IF(OR($J142=1,$J142=2,$J142=3,$J142=4,$J142=5,$J142=6,$J142=7),-$E142*$I142/12*3,IF($J142=8,-$E142*$I142/12*2,IF($J142=9,-$E142*$I142/12*1,0)))))+IF(DO$5&lt;&gt;$H142,0,IF(DO142&lt;0,IF($J142=7,-$E142*$I142/12*0,IF($J142=8,-$E142*$I142/12*1,IF($J142=9,-$E142*$I142/12*2,IF($J142&gt;=10,-$E142*$I142/12*3,0))))))</f>
        <v>0</v>
      </c>
      <c r="DS142" s="412">
        <f>IF($H142&lt;&gt;DT$5,0,IF(DT142&lt;0,IF(OR($J142=1,$J142=2,$J142=3,$J142=4,$J142=5,$J142=6,$J142=7,$J142=8,$J142=9,$J142=10),-$E142*$I142/12*3,IF($J142=11,-$E142*$I142/12*2,IF($J142=12,-$E142*$I142/12*1,0)))))+IF(DO$5&lt;&gt;$H142,0,IF(DO142&lt;0,IF($J142=10,-$E142*$I142/12*0,IF($J142=11,-$E142*$I142/12*1,IF($J142=12,-$E142*$I142/12*2,0)))))</f>
        <v>0</v>
      </c>
      <c r="DT142" s="413">
        <f>IF(AND(DO142&lt;&gt;0,DO$5=$H142),-$I142*$E142-DO142,IF(DT$5=$H142,-$I142*$E142*(12-$J142+1)/12,0))</f>
        <v>-1.2937500000000002</v>
      </c>
    </row>
    <row r="143" spans="1:124" ht="12.75" customHeight="1">
      <c r="A143" s="491"/>
      <c r="C143" s="601" t="s">
        <v>562</v>
      </c>
      <c r="D143" s="601"/>
      <c r="E143" s="1886">
        <f>IF(F143=0,G143,F143)</f>
        <v>25</v>
      </c>
      <c r="F143" s="1532">
        <v>25</v>
      </c>
      <c r="G143" s="1532">
        <v>25</v>
      </c>
      <c r="H143" s="610">
        <v>2024</v>
      </c>
      <c r="I143" s="1533">
        <v>6.3700000000000007E-2</v>
      </c>
      <c r="J143" s="615">
        <v>10</v>
      </c>
      <c r="K143" s="402"/>
      <c r="L143" s="407">
        <f>IF(L$5=$H143,-$E143,0)</f>
        <v>0</v>
      </c>
      <c r="M143" s="404">
        <f>IF(Q143=0,0,IF(Q143&lt;0,IF($J143=3,Q143,IF($J143=2,Q143,IF($J143=1,Q143,0)))))</f>
        <v>0</v>
      </c>
      <c r="N143" s="414">
        <f>IF(Q143=0,0,IF(Q143&lt;0,IF($J143=6,Q143,IF($J143=5,Q143,IF($J143=4,Q143,0)))))</f>
        <v>0</v>
      </c>
      <c r="O143" s="414">
        <f>IF(Q143=0,0,IF(Q143&lt;0,IF($J143=9,Q143,IF($J143=8,Q143,IF($J143=7,Q143,0)))))</f>
        <v>0</v>
      </c>
      <c r="P143" s="406">
        <f>IF(Q143=0,0,IF(Q143&lt;0,IF($J143=12,Q143,IF($J143=11,Q143,IF($J143=10,Q143,0)))))</f>
        <v>0</v>
      </c>
      <c r="Q143" s="407">
        <f>IF(Q$5=$H143,-$E143,0)</f>
        <v>0</v>
      </c>
      <c r="R143" s="404">
        <f>IF(V143=0,0,IF(V143&lt;0,IF($J143=3,V143,IF($J143=2,V143,IF($J143=1,V143,0)))))</f>
        <v>0</v>
      </c>
      <c r="S143" s="414">
        <f>IF(V143=0,0,IF(V143&lt;0,IF($J143=6,V143,IF($J143=5,V143,IF($J143=4,V143,0)))))</f>
        <v>0</v>
      </c>
      <c r="T143" s="414">
        <f>IF(V143=0,0,IF(V143&lt;0,IF($J143=9,V143,IF($J143=8,V143,IF($J143=7,V143,0)))))</f>
        <v>0</v>
      </c>
      <c r="U143" s="406">
        <f>IF(V143=0,0,IF(V143&lt;0,IF($J143=12,V143,IF($J143=11,V143,IF($J143=10,V143,0)))))</f>
        <v>0</v>
      </c>
      <c r="V143" s="407">
        <f>IF(V$5=$H143,-$E143,0)</f>
        <v>0</v>
      </c>
      <c r="W143" s="404">
        <f>IF(AA143=0,0,IF(AA143&lt;0,IF($J143=3,AA143,IF($J143=2,AA143,IF($J143=1,AA143,0)))))</f>
        <v>0</v>
      </c>
      <c r="X143" s="414">
        <f>IF(AA143=0,0,IF(AA143&lt;0,IF($J143=6,AA143,IF($J143=5,AA143,IF($J143=4,AA143,0)))))</f>
        <v>0</v>
      </c>
      <c r="Y143" s="414">
        <f>IF(AA143=0,0,IF(AA143&lt;0,IF($J143=9,AA143,IF($J143=8,AA143,IF($J143=7,AA143,0)))))</f>
        <v>0</v>
      </c>
      <c r="Z143" s="406">
        <f>IF(AA143=0,0,IF(AA143&lt;0,IF($J143=12,AA143,IF($J143=11,AA143,IF($J143=10,AA143,0)))))</f>
        <v>0</v>
      </c>
      <c r="AA143" s="407">
        <f>IF(AA$5=$H143,-$E143,0)</f>
        <v>0</v>
      </c>
      <c r="AB143" s="404">
        <f>IF(AF143=0,0,IF(AF143&lt;0,IF($J143=3,AF143,IF($J143=2,AF143,IF($J143=1,AF143,0)))))</f>
        <v>0</v>
      </c>
      <c r="AC143" s="414">
        <f>IF(AF143=0,0,IF(AF143&lt;0,IF($J143=6,AF143,IF($J143=5,AF143,IF($J143=4,AF143,0)))))</f>
        <v>0</v>
      </c>
      <c r="AD143" s="414">
        <f>IF(AF143=0,0,IF(AF143&lt;0,IF($J143=9,AF143,IF($J143=8,AF143,IF($J143=7,AF143,0)))))</f>
        <v>0</v>
      </c>
      <c r="AE143" s="406">
        <f>IF(AF143=0,0,IF(AF143&lt;0,IF($J143=12,AF143,IF($J143=11,AF143,IF($J143=10,AF143,0)))))</f>
        <v>0</v>
      </c>
      <c r="AF143" s="407">
        <f>IF(AF$5=$H143,-$E143,0)</f>
        <v>0</v>
      </c>
      <c r="AG143" s="404">
        <f>IF(AK143=0,0,IF(AK143&lt;0,IF($J143=3,AK143,IF($J143=2,AK143,IF($J143=1,AK143,0)))))</f>
        <v>0</v>
      </c>
      <c r="AH143" s="414">
        <f>IF(AK143=0,0,IF(AK143&lt;0,IF($J143=6,AK143,IF($J143=5,AK143,IF($J143=4,AK143,0)))))</f>
        <v>0</v>
      </c>
      <c r="AI143" s="414">
        <f>IF(AK143=0,0,IF(AK143&lt;0,IF($J143=9,AK143,IF($J143=8,AK143,IF($J143=7,AK143,0)))))</f>
        <v>0</v>
      </c>
      <c r="AJ143" s="406">
        <f>IF(AK143=0,0,IF(AK143&lt;0,IF($J143=12,AK143,IF($J143=11,AK143,IF($J143=10,AK143,0)))))</f>
        <v>0</v>
      </c>
      <c r="AK143" s="407">
        <f>IF(AK$5=$H143,-$E143,0)</f>
        <v>0</v>
      </c>
      <c r="AL143" s="404">
        <f>IF(AP143=0,0,IF(AP143&lt;0,IF($J143=3,AP143,IF($J143=2,AP143,IF($J143=1,AP143,0)))))</f>
        <v>0</v>
      </c>
      <c r="AM143" s="414">
        <f>IF(AP143=0,0,IF(AP143&lt;0,IF($J143=6,AP143,IF($J143=5,AP143,IF($J143=4,AP143,0)))))</f>
        <v>0</v>
      </c>
      <c r="AN143" s="414">
        <f>IF(AP143=0,0,IF(AP143&lt;0,IF($J143=9,AP143,IF($J143=8,AP143,IF($J143=7,AP143,0)))))</f>
        <v>0</v>
      </c>
      <c r="AO143" s="406">
        <f>IF(AP143=0,0,IF(AP143&lt;0,IF($J143=12,AP143,IF($J143=11,AP143,IF($J143=10,AP143,0)))))</f>
        <v>0</v>
      </c>
      <c r="AP143" s="407">
        <f>IF(AP$5=$H143,-$E143,0)</f>
        <v>0</v>
      </c>
      <c r="AQ143" s="404">
        <f>IF(AU143=0,0,IF(AU143&lt;0,IF($J143=3,AU143,IF($J143=2,AU143,IF($J143=1,AU143,0)))))</f>
        <v>0</v>
      </c>
      <c r="AR143" s="414">
        <f>IF(AU143=0,0,IF(AU143&lt;0,IF($J143=6,AU143,IF($J143=5,AU143,IF($J143=4,AU143,0)))))</f>
        <v>0</v>
      </c>
      <c r="AS143" s="414">
        <f>IF(AU143=0,0,IF(AU143&lt;0,IF($J143=9,AU143,IF($J143=8,AU143,IF($J143=7,AU143,0)))))</f>
        <v>0</v>
      </c>
      <c r="AT143" s="406">
        <f>IF(AU143=0,0,IF(AU143&lt;0,IF($J143=12,AU143,IF($J143=11,AU143,IF($J143=10,AU143,0)))))</f>
        <v>0</v>
      </c>
      <c r="AU143" s="407">
        <f>IF(AU$5=$H143,-$E143,0)</f>
        <v>0</v>
      </c>
      <c r="AV143" s="404">
        <f>IF(AZ143=0,0,IF(AZ143&lt;0,IF($J143=3,AZ143,IF($J143=2,AZ143,IF($J143=1,AZ143,0)))))</f>
        <v>0</v>
      </c>
      <c r="AW143" s="414">
        <f>IF(AZ143=0,0,IF(AZ143&lt;0,IF($J143=6,AZ143,IF($J143=5,AZ143,IF($J143=4,AZ143,0)))))</f>
        <v>0</v>
      </c>
      <c r="AX143" s="414">
        <f>IF(AZ143=0,0,IF(AZ143&lt;0,IF($J143=9,AZ143,IF($J143=8,AZ143,IF($J143=7,AZ143,0)))))</f>
        <v>0</v>
      </c>
      <c r="AY143" s="406">
        <f>IF(AZ143=0,0,IF(AZ143&lt;0,IF($J143=12,AZ143,IF($J143=11,AZ143,IF($J143=10,AZ143,0)))))</f>
        <v>0</v>
      </c>
      <c r="AZ143" s="407">
        <f>IF(AZ$5=$H143,-$E143,0)</f>
        <v>0</v>
      </c>
      <c r="BA143" s="404">
        <f>IF(BE143=0,0,IF(BE143&lt;0,IF($J143=3,BE143,IF($J143=2,BE143,IF($J143=1,BE143,0)))))</f>
        <v>0</v>
      </c>
      <c r="BB143" s="414">
        <f>IF(BE143=0,0,IF(BE143&lt;0,IF($J143=6,BE143,IF($J143=5,BE143,IF($J143=4,BE143,0)))))</f>
        <v>0</v>
      </c>
      <c r="BC143" s="414">
        <f>IF(BE143=0,0,IF(BE143&lt;0,IF($J143=9,BE143,IF($J143=8,BE143,IF($J143=7,BE143,0)))))</f>
        <v>0</v>
      </c>
      <c r="BD143" s="406">
        <f>IF(BE143=0,0,IF(BE143&lt;0,IF($J143=12,BE143,IF($J143=11,BE143,IF($J143=10,BE143,0)))))</f>
        <v>0</v>
      </c>
      <c r="BE143" s="407">
        <f>IF(BE$5=$H143,-$E143,0)</f>
        <v>0</v>
      </c>
      <c r="BF143" s="404">
        <f>IF(BJ143=0,0,IF(BJ143&lt;0,IF($J143=3,BJ143,IF($J143=2,BJ143,IF($J143=1,BJ143,0)))))</f>
        <v>0</v>
      </c>
      <c r="BG143" s="414">
        <f>IF(BJ143=0,0,IF(BJ143&lt;0,IF($J143=6,BJ143,IF($J143=5,BJ143,IF($J143=4,BJ143,0)))))</f>
        <v>0</v>
      </c>
      <c r="BH143" s="414">
        <f>IF(BJ143=0,0,IF(BJ143&lt;0,IF($J143=9,BJ143,IF($J143=8,BJ143,IF($J143=7,BJ143,0)))))</f>
        <v>0</v>
      </c>
      <c r="BI143" s="406">
        <f>IF(BJ143=0,0,IF(BJ143&lt;0,IF($J143=12,BJ143,IF($J143=11,BJ143,IF($J143=10,BJ143,0)))))</f>
        <v>0</v>
      </c>
      <c r="BJ143" s="407">
        <f>IF(BJ$5=$H143,-$E143,0)</f>
        <v>0</v>
      </c>
      <c r="BK143" s="404">
        <f>IF(BO143=0,0,IF(BO143&lt;0,IF($J143=3,BO143,IF($J143=2,BO143,IF($J143=1,BO143,0)))))</f>
        <v>0</v>
      </c>
      <c r="BL143" s="414">
        <f>IF(BO143=0,0,IF(BO143&lt;0,IF($J143=6,BO143,IF($J143=5,BO143,IF($J143=4,BO143,0)))))</f>
        <v>0</v>
      </c>
      <c r="BM143" s="414">
        <f>IF(BO143=0,0,IF(BO143&lt;0,IF($J143=9,BO143,IF($J143=8,BO143,IF($J143=7,BO143,0)))))</f>
        <v>0</v>
      </c>
      <c r="BN143" s="406">
        <f>IF(BO143=0,0,IF(BO143&lt;0,IF($J143=12,BO143,IF($J143=11,BO143,IF($J143=10,BO143,0)))))</f>
        <v>0</v>
      </c>
      <c r="BO143" s="407">
        <f>IF(BO$5=$H143,-$E143,0)</f>
        <v>0</v>
      </c>
      <c r="BP143" s="449"/>
      <c r="BQ143" s="413">
        <f>IF(AND(AH143&lt;&gt;0,AH$5=$H143),-$I143*$E143-AH143,IF(BQ$5=$H143,-$I143*$E143*(12-$J143+1)/12,0))</f>
        <v>0</v>
      </c>
      <c r="BR143" s="410">
        <f>IF($H143&lt;&gt;BV$5,0,IF(BV143&lt;0,IF($J143=1,-$E143*$I143/12*3,IF($J143=2,-$E143*$I143/12*2,IF($J143=3,-$E143*$I143/12*1,0)))))+IF(BQ$5&lt;&gt;$H143,0,IF(BQ143&lt;0,IF($J143=1,-$E143*$I143/12*0,IF($J143=2,-$E143*$I143/12*1,IF($J143=3,-$E143*$I143/12*2,IF($J143&gt;=4,-$E143*$I143/12*3,0))))))</f>
        <v>0</v>
      </c>
      <c r="BS143" s="416">
        <f>IF($H143&lt;&gt;BV$5,0,IF(BV143&lt;0,IF(OR($J143=1,$J143=2,$J143=3,$J143=4),-$E143*$I143/12*3,IF($J143=5,-$E143*$I143/12*2,IF($J143=6,-$E143*$I143/12*1,0)))))+IF(BQ$5&lt;&gt;$H143,0,IF(BQ143&lt;0,IF($J143=4,-$E143*$I143/12*0,IF($J143=5,-$E143*$I143/12*1,IF($J143=6,-$E143*$I143/12*2,IF($J143&gt;=7,-$E143*$I143/12*3,0))))))</f>
        <v>0</v>
      </c>
      <c r="BT143" s="416">
        <f>IF($H143&lt;&gt;BV$5,0,IF(BV143&lt;0,IF(OR($J143=1,$J143=2,$J143=3,$J143=4,$J143=5,$J143=6,$J143=7),-$E143*$I143/12*3,IF($J143=8,-$E143*$I143/12*2,IF($J143=9,-$E143*$I143/12*1,0)))))+IF(BQ$5&lt;&gt;$H143,0,IF(BQ143&lt;0,IF($J143=7,-$E143*$I143/12*0,IF($J143=8,-$E143*$I143/12*1,IF($J143=9,-$E143*$I143/12*2,IF($J143&gt;=10,-$E143*$I143/12*3,0))))))</f>
        <v>0</v>
      </c>
      <c r="BU143" s="412">
        <f>IF($H143&lt;&gt;BV$5,0,IF(BV143&lt;0,IF(OR($J143=1,$J143=2,$J143=3,$J143=4,$J143=5,$J143=6,$J143=7,$J143=8,$J143=9,$J143=10),-$E143*$I143/12*3,IF($J143=11,-$E143*$I143/12*2,IF($J143=12,-$E143*$I143/12*1,0)))))+IF(BQ$5&lt;&gt;$H143,0,IF(BQ143&lt;0,IF($J143=10,-$E143*$I143/12*0,IF($J143=11,-$E143*$I143/12*1,IF($J143=12,-$E143*$I143/12*2,0)))))</f>
        <v>0</v>
      </c>
      <c r="BV143" s="413">
        <f>IF(AND(BQ143&lt;&gt;0,BQ$5=$H143),-$I143*$E143-BQ143,IF(BV$5=$H143,-$I143*$E143*(12-$J143+1)/12,0))</f>
        <v>0</v>
      </c>
      <c r="BW143" s="410">
        <f>IF($H143&lt;&gt;CA$5,0,IF(CA143&lt;0,IF($J143=1,-$E143*$I143/12*3,IF($J143=2,-$E143*$I143/12*2,IF($J143=3,-$E143*$I143/12*1,0)))))+IF(BV$5&lt;&gt;$H143,0,IF(BV143&lt;0,IF($J143=1,-$E143*$I143/12*0,IF($J143=2,-$E143*$I143/12*1,IF($J143=3,-$E143*$I143/12*2,IF($J143&gt;=4,-$E143*$I143/12*3,0))))))</f>
        <v>0</v>
      </c>
      <c r="BX143" s="416">
        <f>IF($H143&lt;&gt;CA$5,0,IF(CA143&lt;0,IF(OR($J143=1,$J143=2,$J143=3,$J143=4),-$E143*$I143/12*3,IF($J143=5,-$E143*$I143/12*2,IF($J143=6,-$E143*$I143/12*1,0)))))+IF(BV$5&lt;&gt;$H143,0,IF(BV143&lt;0,IF($J143=4,-$E143*$I143/12*0,IF($J143=5,-$E143*$I143/12*1,IF($J143=6,-$E143*$I143/12*2,IF($J143&gt;=7,-$E143*$I143/12*3,0))))))</f>
        <v>0</v>
      </c>
      <c r="BY143" s="416">
        <f>IF($H143&lt;&gt;CA$5,0,IF(CA143&lt;0,IF(OR($J143=1,$J143=2,$J143=3,$J143=4,$J143=5,$J143=6,$J143=7),-$E143*$I143/12*3,IF($J143=8,-$E143*$I143/12*2,IF($J143=9,-$E143*$I143/12*1,0)))))+IF(BV$5&lt;&gt;$H143,0,IF(BV143&lt;0,IF($J143=7,-$E143*$I143/12*0,IF($J143=8,-$E143*$I143/12*1,IF($J143=9,-$E143*$I143/12*2,IF($J143&gt;=10,-$E143*$I143/12*3,0))))))</f>
        <v>0</v>
      </c>
      <c r="BZ143" s="412">
        <f>IF($H143&lt;&gt;CA$5,0,IF(CA143&lt;0,IF(OR($J143=1,$J143=2,$J143=3,$J143=4,$J143=5,$J143=6,$J143=7,$J143=8,$J143=9,$J143=10),-$E143*$I143/12*3,IF($J143=11,-$E143*$I143/12*2,IF($J143=12,-$E143*$I143/12*1,0)))))+IF(BV$5&lt;&gt;$H143,0,IF(BV143&lt;0,IF($J143=10,-$E143*$I143/12*0,IF($J143=11,-$E143*$I143/12*1,IF($J143=12,-$E143*$I143/12*2,0)))))</f>
        <v>0</v>
      </c>
      <c r="CA143" s="413">
        <f>IF(AND(BV143&lt;&gt;0,BV$5=$H143),-$I143*$E143-BV143,IF(CA$5=$H143,-$I143*$E143*(12-$J143+1)/12,0))</f>
        <v>0</v>
      </c>
      <c r="CB143" s="410">
        <f>IF($H143&lt;&gt;CF$5,0,IF(CF143&lt;0,IF($J143=1,-$E143*$I143/12*3,IF($J143=2,-$E143*$I143/12*2,IF($J143=3,-$E143*$I143/12*1,0)))))+IF(CA$5&lt;&gt;$H143,0,IF(CA143&lt;0,IF($J143=1,-$E143*$I143/12*0,IF($J143=2,-$E143*$I143/12*1,IF($J143=3,-$E143*$I143/12*2,IF($J143&gt;=4,-$E143*$I143/12*3,0))))))</f>
        <v>0</v>
      </c>
      <c r="CC143" s="416">
        <f>IF($H143&lt;&gt;CF$5,0,IF(CF143&lt;0,IF(OR($J143=1,$J143=2,$J143=3,$J143=4),-$E143*$I143/12*3,IF($J143=5,-$E143*$I143/12*2,IF($J143=6,-$E143*$I143/12*1,0)))))+IF(CA$5&lt;&gt;$H143,0,IF(CA143&lt;0,IF($J143=4,-$E143*$I143/12*0,IF($J143=5,-$E143*$I143/12*1,IF($J143=6,-$E143*$I143/12*2,IF($J143&gt;=7,-$E143*$I143/12*3,0))))))</f>
        <v>0</v>
      </c>
      <c r="CD143" s="416">
        <f>IF($H143&lt;&gt;CF$5,0,IF(CF143&lt;0,IF(OR($J143=1,$J143=2,$J143=3,$J143=4,$J143=5,$J143=6,$J143=7),-$E143*$I143/12*3,IF($J143=8,-$E143*$I143/12*2,IF($J143=9,-$E143*$I143/12*1,0)))))+IF(CA$5&lt;&gt;$H143,0,IF(CA143&lt;0,IF($J143=7,-$E143*$I143/12*0,IF($J143=8,-$E143*$I143/12*1,IF($J143=9,-$E143*$I143/12*2,IF($J143&gt;=10,-$E143*$I143/12*3,0))))))</f>
        <v>0</v>
      </c>
      <c r="CE143" s="412">
        <f>IF($H143&lt;&gt;CF$5,0,IF(CF143&lt;0,IF(OR($J143=1,$J143=2,$J143=3,$J143=4,$J143=5,$J143=6,$J143=7,$J143=8,$J143=9,$J143=10),-$E143*$I143/12*3,IF($J143=11,-$E143*$I143/12*2,IF($J143=12,-$E143*$I143/12*1,0)))))+IF(CA$5&lt;&gt;$H143,0,IF(CA143&lt;0,IF($J143=10,-$E143*$I143/12*0,IF($J143=11,-$E143*$I143/12*1,IF($J143=12,-$E143*$I143/12*2,0)))))</f>
        <v>0</v>
      </c>
      <c r="CF143" s="413">
        <f>IF(AND(CA143&lt;&gt;0,CA$5=$H143),-$I143*$E143-CA143,IF(CF$5=$H143,-$I143*$E143*(12-$J143+1)/12,0))</f>
        <v>0</v>
      </c>
      <c r="CG143" s="410">
        <f>IF($H143&lt;&gt;CK$5,0,IF(CK143&lt;0,IF($J143=1,-$E143*$I143/12*3,IF($J143=2,-$E143*$I143/12*2,IF($J143=3,-$E143*$I143/12*1,0)))))+IF(CF$5&lt;&gt;$H143,0,IF(CF143&lt;0,IF($J143=1,-$E143*$I143/12*0,IF($J143=2,-$E143*$I143/12*1,IF($J143=3,-$E143*$I143/12*2,IF($J143&gt;=4,-$E143*$I143/12*3,0))))))</f>
        <v>0</v>
      </c>
      <c r="CH143" s="416">
        <f>IF($H143&lt;&gt;CK$5,0,IF(CK143&lt;0,IF(OR($J143=1,$J143=2,$J143=3,$J143=4),-$E143*$I143/12*3,IF($J143=5,-$E143*$I143/12*2,IF($J143=6,-$E143*$I143/12*1,0)))))+IF(CF$5&lt;&gt;$H143,0,IF(CF143&lt;0,IF($J143=4,-$E143*$I143/12*0,IF($J143=5,-$E143*$I143/12*1,IF($J143=6,-$E143*$I143/12*2,IF($J143&gt;=7,-$E143*$I143/12*3,0))))))</f>
        <v>0</v>
      </c>
      <c r="CI143" s="416">
        <f>IF($H143&lt;&gt;CK$5,0,IF(CK143&lt;0,IF(OR($J143=1,$J143=2,$J143=3,$J143=4,$J143=5,$J143=6,$J143=7),-$E143*$I143/12*3,IF($J143=8,-$E143*$I143/12*2,IF($J143=9,-$E143*$I143/12*1,0)))))+IF(CF$5&lt;&gt;$H143,0,IF(CF143&lt;0,IF($J143=7,-$E143*$I143/12*0,IF($J143=8,-$E143*$I143/12*1,IF($J143=9,-$E143*$I143/12*2,IF($J143&gt;=10,-$E143*$I143/12*3,0))))))</f>
        <v>0</v>
      </c>
      <c r="CJ143" s="412">
        <f>IF($H143&lt;&gt;CK$5,0,IF(CK143&lt;0,IF(OR($J143=1,$J143=2,$J143=3,$J143=4,$J143=5,$J143=6,$J143=7,$J143=8,$J143=9,$J143=10),-$E143*$I143/12*3,IF($J143=11,-$E143*$I143/12*2,IF($J143=12,-$E143*$I143/12*1,0)))))+IF(CF$5&lt;&gt;$H143,0,IF(CF143&lt;0,IF($J143=10,-$E143*$I143/12*0,IF($J143=11,-$E143*$I143/12*1,IF($J143=12,-$E143*$I143/12*2,0)))))</f>
        <v>0</v>
      </c>
      <c r="CK143" s="413">
        <f>IF(AND(CF143&lt;&gt;0,CF$5=$H143),-$I143*$E143-CF143,IF(CK$5=$H143,-$I143*$E143*(12-$J143+1)/12,0))</f>
        <v>0</v>
      </c>
      <c r="CL143" s="410">
        <f>IF($H143&lt;&gt;CP$5,0,IF(CP143&lt;0,IF($J143=1,-$E143*$I143/12*3,IF($J143=2,-$E143*$I143/12*2,IF($J143=3,-$E143*$I143/12*1,0)))))+IF(CK$5&lt;&gt;$H143,0,IF(CK143&lt;0,IF($J143=1,-$E143*$I143/12*0,IF($J143=2,-$E143*$I143/12*1,IF($J143=3,-$E143*$I143/12*2,IF($J143&gt;=4,-$E143*$I143/12*3,0))))))</f>
        <v>0</v>
      </c>
      <c r="CM143" s="416">
        <f>IF($H143&lt;&gt;CP$5,0,IF(CP143&lt;0,IF(OR($J143=1,$J143=2,$J143=3,$J143=4),-$E143*$I143/12*3,IF($J143=5,-$E143*$I143/12*2,IF($J143=6,-$E143*$I143/12*1,0)))))+IF(CK$5&lt;&gt;$H143,0,IF(CK143&lt;0,IF($J143=4,-$E143*$I143/12*0,IF($J143=5,-$E143*$I143/12*1,IF($J143=6,-$E143*$I143/12*2,IF($J143&gt;=7,-$E143*$I143/12*3,0))))))</f>
        <v>0</v>
      </c>
      <c r="CN143" s="416">
        <f>IF($H143&lt;&gt;CP$5,0,IF(CP143&lt;0,IF(OR($J143=1,$J143=2,$J143=3,$J143=4,$J143=5,$J143=6,$J143=7),-$E143*$I143/12*3,IF($J143=8,-$E143*$I143/12*2,IF($J143=9,-$E143*$I143/12*1,0)))))+IF(CK$5&lt;&gt;$H143,0,IF(CK143&lt;0,IF($J143=7,-$E143*$I143/12*0,IF($J143=8,-$E143*$I143/12*1,IF($J143=9,-$E143*$I143/12*2,IF($J143&gt;=10,-$E143*$I143/12*3,0))))))</f>
        <v>0</v>
      </c>
      <c r="CO143" s="412">
        <f>IF($H143&lt;&gt;CP$5,0,IF(CP143&lt;0,IF(OR($J143=1,$J143=2,$J143=3,$J143=4,$J143=5,$J143=6,$J143=7,$J143=8,$J143=9,$J143=10),-$E143*$I143/12*3,IF($J143=11,-$E143*$I143/12*2,IF($J143=12,-$E143*$I143/12*1,0)))))+IF(CK$5&lt;&gt;$H143,0,IF(CK143&lt;0,IF($J143=10,-$E143*$I143/12*0,IF($J143=11,-$E143*$I143/12*1,IF($J143=12,-$E143*$I143/12*2,0)))))</f>
        <v>0</v>
      </c>
      <c r="CP143" s="413">
        <f>IF(AND(CK143&lt;&gt;0,CK$5=$H143),-$I143*$E143-CK143,IF(CP$5=$H143,-$I143*$E143*(12-$J143+1)/12,0))</f>
        <v>0</v>
      </c>
      <c r="CQ143" s="410">
        <f>IF($H143&lt;&gt;CU$5,0,IF(CU143&lt;0,IF($J143=1,-$E143*$I143/12*3,IF($J143=2,-$E143*$I143/12*2,IF($J143=3,-$E143*$I143/12*1,0)))))+IF(CP$5&lt;&gt;$H143,0,IF(CP143&lt;0,IF($J143=1,-$E143*$I143/12*0,IF($J143=2,-$E143*$I143/12*1,IF($J143=3,-$E143*$I143/12*2,IF($J143&gt;=4,-$E143*$I143/12*3,0))))))</f>
        <v>0</v>
      </c>
      <c r="CR143" s="416">
        <f>IF($H143&lt;&gt;CU$5,0,IF(CU143&lt;0,IF(OR($J143=1,$J143=2,$J143=3,$J143=4),-$E143*$I143/12*3,IF($J143=5,-$E143*$I143/12*2,IF($J143=6,-$E143*$I143/12*1,0)))))+IF(CP$5&lt;&gt;$H143,0,IF(CP143&lt;0,IF($J143=4,-$E143*$I143/12*0,IF($J143=5,-$E143*$I143/12*1,IF($J143=6,-$E143*$I143/12*2,IF($J143&gt;=7,-$E143*$I143/12*3,0))))))</f>
        <v>0</v>
      </c>
      <c r="CS143" s="416">
        <f>IF($H143&lt;&gt;CU$5,0,IF(CU143&lt;0,IF(OR($J143=1,$J143=2,$J143=3,$J143=4,$J143=5,$J143=6,$J143=7),-$E143*$I143/12*3,IF($J143=8,-$E143*$I143/12*2,IF($J143=9,-$E143*$I143/12*1,0)))))+IF(CP$5&lt;&gt;$H143,0,IF(CP143&lt;0,IF($J143=7,-$E143*$I143/12*0,IF($J143=8,-$E143*$I143/12*1,IF($J143=9,-$E143*$I143/12*2,IF($J143&gt;=10,-$E143*$I143/12*3,0))))))</f>
        <v>0</v>
      </c>
      <c r="CT143" s="412">
        <f>IF($H143&lt;&gt;CU$5,0,IF(CU143&lt;0,IF(OR($J143=1,$J143=2,$J143=3,$J143=4,$J143=5,$J143=6,$J143=7,$J143=8,$J143=9,$J143=10),-$E143*$I143/12*3,IF($J143=11,-$E143*$I143/12*2,IF($J143=12,-$E143*$I143/12*1,0)))))+IF(CP$5&lt;&gt;$H143,0,IF(CP143&lt;0,IF($J143=10,-$E143*$I143/12*0,IF($J143=11,-$E143*$I143/12*1,IF($J143=12,-$E143*$I143/12*2,0)))))</f>
        <v>0</v>
      </c>
      <c r="CU143" s="413">
        <f>IF(AND(CP143&lt;&gt;0,CP$5=$H143),-$I143*$E143-CP143,IF(CU$5=$H143,-$I143*$E143*(12-$J143+1)/12,0))</f>
        <v>0</v>
      </c>
      <c r="CV143" s="410">
        <f>IF($H143&lt;&gt;CZ$5,0,IF(CZ143&lt;0,IF($J143=1,-$E143*$I143/12*3,IF($J143=2,-$E143*$I143/12*2,IF($J143=3,-$E143*$I143/12*1,0)))))+IF(CU$5&lt;&gt;$H143,0,IF(CU143&lt;0,IF($J143=1,-$E143*$I143/12*0,IF($J143=2,-$E143*$I143/12*1,IF($J143=3,-$E143*$I143/12*2,IF($J143&gt;=4,-$E143*$I143/12*3,0))))))</f>
        <v>0</v>
      </c>
      <c r="CW143" s="416">
        <f>IF($H143&lt;&gt;CZ$5,0,IF(CZ143&lt;0,IF(OR($J143=1,$J143=2,$J143=3,$J143=4),-$E143*$I143/12*3,IF($J143=5,-$E143*$I143/12*2,IF($J143=6,-$E143*$I143/12*1,0)))))+IF(CU$5&lt;&gt;$H143,0,IF(CU143&lt;0,IF($J143=4,-$E143*$I143/12*0,IF($J143=5,-$E143*$I143/12*1,IF($J143=6,-$E143*$I143/12*2,IF($J143&gt;=7,-$E143*$I143/12*3,0))))))</f>
        <v>0</v>
      </c>
      <c r="CX143" s="416">
        <f>IF($H143&lt;&gt;CZ$5,0,IF(CZ143&lt;0,IF(OR($J143=1,$J143=2,$J143=3,$J143=4,$J143=5,$J143=6,$J143=7),-$E143*$I143/12*3,IF($J143=8,-$E143*$I143/12*2,IF($J143=9,-$E143*$I143/12*1,0)))))+IF(CU$5&lt;&gt;$H143,0,IF(CU143&lt;0,IF($J143=7,-$E143*$I143/12*0,IF($J143=8,-$E143*$I143/12*1,IF($J143=9,-$E143*$I143/12*2,IF($J143&gt;=10,-$E143*$I143/12*3,0))))))</f>
        <v>0</v>
      </c>
      <c r="CY143" s="412">
        <f>IF($H143&lt;&gt;CZ$5,0,IF(CZ143&lt;0,IF(OR($J143=1,$J143=2,$J143=3,$J143=4,$J143=5,$J143=6,$J143=7,$J143=8,$J143=9,$J143=10),-$E143*$I143/12*3,IF($J143=11,-$E143*$I143/12*2,IF($J143=12,-$E143*$I143/12*1,0)))))+IF(CU$5&lt;&gt;$H143,0,IF(CU143&lt;0,IF($J143=10,-$E143*$I143/12*0,IF($J143=11,-$E143*$I143/12*1,IF($J143=12,-$E143*$I143/12*2,0)))))</f>
        <v>0</v>
      </c>
      <c r="CZ143" s="413">
        <f>IF(AND(CU143&lt;&gt;0,CU$5=$H143),-$I143*$E143-CU143,IF(CZ$5=$H143,-$I143*$E143*(12-$J143+1)/12,0))</f>
        <v>0</v>
      </c>
      <c r="DA143" s="410">
        <f>IF($H143&lt;&gt;DE$5,0,IF(DE143&lt;0,IF($J143=1,-$E143*$I143/12*3,IF($J143=2,-$E143*$I143/12*2,IF($J143=3,-$E143*$I143/12*1,0)))))+IF(CZ$5&lt;&gt;$H143,0,IF(CZ143&lt;0,IF($J143=1,-$E143*$I143/12*0,IF($J143=2,-$E143*$I143/12*1,IF($J143=3,-$E143*$I143/12*2,IF($J143&gt;=4,-$E143*$I143/12*3,0))))))</f>
        <v>0</v>
      </c>
      <c r="DB143" s="416">
        <f>IF($H143&lt;&gt;DE$5,0,IF(DE143&lt;0,IF(OR($J143=1,$J143=2,$J143=3,$J143=4),-$E143*$I143/12*3,IF($J143=5,-$E143*$I143/12*2,IF($J143=6,-$E143*$I143/12*1,0)))))+IF(CZ$5&lt;&gt;$H143,0,IF(CZ143&lt;0,IF($J143=4,-$E143*$I143/12*0,IF($J143=5,-$E143*$I143/12*1,IF($J143=6,-$E143*$I143/12*2,IF($J143&gt;=7,-$E143*$I143/12*3,0))))))</f>
        <v>0</v>
      </c>
      <c r="DC143" s="416">
        <f>IF($H143&lt;&gt;DE$5,0,IF(DE143&lt;0,IF(OR($J143=1,$J143=2,$J143=3,$J143=4,$J143=5,$J143=6,$J143=7),-$E143*$I143/12*3,IF($J143=8,-$E143*$I143/12*2,IF($J143=9,-$E143*$I143/12*1,0)))))+IF(CZ$5&lt;&gt;$H143,0,IF(CZ143&lt;0,IF($J143=7,-$E143*$I143/12*0,IF($J143=8,-$E143*$I143/12*1,IF($J143=9,-$E143*$I143/12*2,IF($J143&gt;=10,-$E143*$I143/12*3,0))))))</f>
        <v>0</v>
      </c>
      <c r="DD143" s="412">
        <f>IF($H143&lt;&gt;DE$5,0,IF(DE143&lt;0,IF(OR($J143=1,$J143=2,$J143=3,$J143=4,$J143=5,$J143=6,$J143=7,$J143=8,$J143=9,$J143=10),-$E143*$I143/12*3,IF($J143=11,-$E143*$I143/12*2,IF($J143=12,-$E143*$I143/12*1,0)))))+IF(CZ$5&lt;&gt;$H143,0,IF(CZ143&lt;0,IF($J143=10,-$E143*$I143/12*0,IF($J143=11,-$E143*$I143/12*1,IF($J143=12,-$E143*$I143/12*2,0)))))</f>
        <v>0</v>
      </c>
      <c r="DE143" s="413">
        <f>IF(AND(CZ143&lt;&gt;0,CZ$5=$H143),-$I143*$E143-CZ143,IF(DE$5=$H143,-$I143*$E143*(12-$J143+1)/12,0))</f>
        <v>0</v>
      </c>
      <c r="DF143" s="410">
        <f>IF($H143&lt;&gt;DJ$5,0,IF(DJ143&lt;0,IF($J143=1,-$E143*$I143/12*3,IF($J143=2,-$E143*$I143/12*2,IF($J143=3,-$E143*$I143/12*1,0)))))+IF(DE$5&lt;&gt;$H143,0,IF(DE143&lt;0,IF($J143=1,-$E143*$I143/12*0,IF($J143=2,-$E143*$I143/12*1,IF($J143=3,-$E143*$I143/12*2,IF($J143&gt;=4,-$E143*$I143/12*3,0))))))</f>
        <v>0</v>
      </c>
      <c r="DG143" s="416">
        <f>IF($H143&lt;&gt;DJ$5,0,IF(DJ143&lt;0,IF(OR($J143=1,$J143=2,$J143=3,$J143=4),-$E143*$I143/12*3,IF($J143=5,-$E143*$I143/12*2,IF($J143=6,-$E143*$I143/12*1,0)))))+IF(DE$5&lt;&gt;$H143,0,IF(DE143&lt;0,IF($J143=4,-$E143*$I143/12*0,IF($J143=5,-$E143*$I143/12*1,IF($J143=6,-$E143*$I143/12*2,IF($J143&gt;=7,-$E143*$I143/12*3,0))))))</f>
        <v>0</v>
      </c>
      <c r="DH143" s="416">
        <f>IF($H143&lt;&gt;DJ$5,0,IF(DJ143&lt;0,IF(OR($J143=1,$J143=2,$J143=3,$J143=4,$J143=5,$J143=6,$J143=7),-$E143*$I143/12*3,IF($J143=8,-$E143*$I143/12*2,IF($J143=9,-$E143*$I143/12*1,0)))))+IF(DE$5&lt;&gt;$H143,0,IF(DE143&lt;0,IF($J143=7,-$E143*$I143/12*0,IF($J143=8,-$E143*$I143/12*1,IF($J143=9,-$E143*$I143/12*2,IF($J143&gt;=10,-$E143*$I143/12*3,0))))))</f>
        <v>0</v>
      </c>
      <c r="DI143" s="412">
        <f>IF($H143&lt;&gt;DJ$5,0,IF(DJ143&lt;0,IF(OR($J143=1,$J143=2,$J143=3,$J143=4,$J143=5,$J143=6,$J143=7,$J143=8,$J143=9,$J143=10),-$E143*$I143/12*3,IF($J143=11,-$E143*$I143/12*2,IF($J143=12,-$E143*$I143/12*1,0)))))+IF(DE$5&lt;&gt;$H143,0,IF(DE143&lt;0,IF($J143=10,-$E143*$I143/12*0,IF($J143=11,-$E143*$I143/12*1,IF($J143=12,-$E143*$I143/12*2,0)))))</f>
        <v>0</v>
      </c>
      <c r="DJ143" s="413">
        <f>IF(AND(DE143&lt;&gt;0,DE$5=$H143),-$I143*$E143-DE143,IF(DJ$5=$H143,-$I143*$E143*(12-$J143+1)/12,0))</f>
        <v>0</v>
      </c>
      <c r="DK143" s="410">
        <f>IF($H143&lt;&gt;DO$5,0,IF(DO143&lt;0,IF($J143=1,-$E143*$I143/12*3,IF($J143=2,-$E143*$I143/12*2,IF($J143=3,-$E143*$I143/12*1,0)))))+IF(DJ$5&lt;&gt;$H143,0,IF(DJ143&lt;0,IF($J143=1,-$E143*$I143/12*0,IF($J143=2,-$E143*$I143/12*1,IF($J143=3,-$E143*$I143/12*2,IF($J143&gt;=4,-$E143*$I143/12*3,0))))))</f>
        <v>0</v>
      </c>
      <c r="DL143" s="416">
        <f>IF($H143&lt;&gt;DO$5,0,IF(DO143&lt;0,IF(OR($J143=1,$J143=2,$J143=3,$J143=4),-$E143*$I143/12*3,IF($J143=5,-$E143*$I143/12*2,IF($J143=6,-$E143*$I143/12*1,0)))))+IF(DJ$5&lt;&gt;$H143,0,IF(DJ143&lt;0,IF($J143=4,-$E143*$I143/12*0,IF($J143=5,-$E143*$I143/12*1,IF($J143=6,-$E143*$I143/12*2,IF($J143&gt;=7,-$E143*$I143/12*3,0))))))</f>
        <v>0</v>
      </c>
      <c r="DM143" s="416">
        <f>IF($H143&lt;&gt;DO$5,0,IF(DO143&lt;0,IF(OR($J143=1,$J143=2,$J143=3,$J143=4,$J143=5,$J143=6,$J143=7),-$E143*$I143/12*3,IF($J143=8,-$E143*$I143/12*2,IF($J143=9,-$E143*$I143/12*1,0)))))+IF(DJ$5&lt;&gt;$H143,0,IF(DJ143&lt;0,IF($J143=7,-$E143*$I143/12*0,IF($J143=8,-$E143*$I143/12*1,IF($J143=9,-$E143*$I143/12*2,IF($J143&gt;=10,-$E143*$I143/12*3,0))))))</f>
        <v>0</v>
      </c>
      <c r="DN143" s="412">
        <f>IF($H143&lt;&gt;DO$5,0,IF(DO143&lt;0,IF(OR($J143=1,$J143=2,$J143=3,$J143=4,$J143=5,$J143=6,$J143=7,$J143=8,$J143=9,$J143=10),-$E143*$I143/12*3,IF($J143=11,-$E143*$I143/12*2,IF($J143=12,-$E143*$I143/12*1,0)))))+IF(DJ$5&lt;&gt;$H143,0,IF(DJ143&lt;0,IF($J143=10,-$E143*$I143/12*0,IF($J143=11,-$E143*$I143/12*1,IF($J143=12,-$E143*$I143/12*2,0)))))</f>
        <v>0</v>
      </c>
      <c r="DO143" s="413">
        <f>IF(AND(DJ143&lt;&gt;0,DJ$5=$H143),-$I143*$E143-DJ143,IF(DO$5=$H143,-$I143*$E143*(12-$J143+1)/12,0))</f>
        <v>0</v>
      </c>
      <c r="DP143" s="410">
        <f>IF($H143&lt;&gt;DT$5,0,IF(DT143&lt;0,IF($J143=1,-$E143*$I143/12*3,IF($J143=2,-$E143*$I143/12*2,IF($J143=3,-$E143*$I143/12*1,0)))))+IF(DO$5&lt;&gt;$H143,0,IF(DO143&lt;0,IF($J143=1,-$E143*$I143/12*0,IF($J143=2,-$E143*$I143/12*1,IF($J143=3,-$E143*$I143/12*2,IF($J143&gt;=4,-$E143*$I143/12*3,0))))))</f>
        <v>0</v>
      </c>
      <c r="DQ143" s="416">
        <f>IF($H143&lt;&gt;DT$5,0,IF(DT143&lt;0,IF(OR($J143=1,$J143=2,$J143=3,$J143=4),-$E143*$I143/12*3,IF($J143=5,-$E143*$I143/12*2,IF($J143=6,-$E143*$I143/12*1,0)))))+IF(DO$5&lt;&gt;$H143,0,IF(DO143&lt;0,IF($J143=4,-$E143*$I143/12*0,IF($J143=5,-$E143*$I143/12*1,IF($J143=6,-$E143*$I143/12*2,IF($J143&gt;=7,-$E143*$I143/12*3,0))))))</f>
        <v>0</v>
      </c>
      <c r="DR143" s="416">
        <f>IF($H143&lt;&gt;DT$5,0,IF(DT143&lt;0,IF(OR($J143=1,$J143=2,$J143=3,$J143=4,$J143=5,$J143=6,$J143=7),-$E143*$I143/12*3,IF($J143=8,-$E143*$I143/12*2,IF($J143=9,-$E143*$I143/12*1,0)))))+IF(DO$5&lt;&gt;$H143,0,IF(DO143&lt;0,IF($J143=7,-$E143*$I143/12*0,IF($J143=8,-$E143*$I143/12*1,IF($J143=9,-$E143*$I143/12*2,IF($J143&gt;=10,-$E143*$I143/12*3,0))))))</f>
        <v>0</v>
      </c>
      <c r="DS143" s="412">
        <f>IF($H143&lt;&gt;DT$5,0,IF(DT143&lt;0,IF(OR($J143=1,$J143=2,$J143=3,$J143=4,$J143=5,$J143=6,$J143=7,$J143=8,$J143=9,$J143=10),-$E143*$I143/12*3,IF($J143=11,-$E143*$I143/12*2,IF($J143=12,-$E143*$I143/12*1,0)))))+IF(DO$5&lt;&gt;$H143,0,IF(DO143&lt;0,IF($J143=10,-$E143*$I143/12*0,IF($J143=11,-$E143*$I143/12*1,IF($J143=12,-$E143*$I143/12*2,0)))))</f>
        <v>0</v>
      </c>
      <c r="DT143" s="413">
        <f>IF(AND(DO143&lt;&gt;0,DO$5=$H143),-$I143*$E143-DO143,IF(DT$5=$H143,-$I143*$E143*(12-$J143+1)/12,0))</f>
        <v>0</v>
      </c>
    </row>
    <row r="144" spans="1:124">
      <c r="A144" s="491"/>
      <c r="C144" s="1891" t="s">
        <v>618</v>
      </c>
      <c r="D144" s="1891"/>
      <c r="E144" s="1886">
        <f>IF(F144=0,G144,F144)</f>
        <v>47.125</v>
      </c>
      <c r="F144" s="1532">
        <v>47.125</v>
      </c>
      <c r="G144" s="1532">
        <f>50.375</f>
        <v>50.375</v>
      </c>
      <c r="H144" s="610">
        <v>2032</v>
      </c>
      <c r="I144" s="1533">
        <v>4.58E-2</v>
      </c>
      <c r="J144" s="615">
        <v>2</v>
      </c>
      <c r="K144" s="402"/>
      <c r="L144" s="407">
        <f>IF(L$5=$H144,-$E144,0)</f>
        <v>0</v>
      </c>
      <c r="M144" s="404">
        <f>IF(Q144=0,0,IF(Q144&lt;0,IF($J144=3,Q144,IF($J144=2,Q144,IF($J144=1,Q144,0)))))</f>
        <v>0</v>
      </c>
      <c r="N144" s="414">
        <f>IF(Q144=0,0,IF(Q144&lt;0,IF($J144=6,Q144,IF($J144=5,Q144,IF($J144=4,Q144,0)))))</f>
        <v>0</v>
      </c>
      <c r="O144" s="414">
        <f>IF(Q144=0,0,IF(Q144&lt;0,IF($J144=9,Q144,IF($J144=8,Q144,IF($J144=7,Q144,0)))))</f>
        <v>0</v>
      </c>
      <c r="P144" s="406">
        <f>IF(Q144=0,0,IF(Q144&lt;0,IF($J144=12,Q144,IF($J144=11,Q144,IF($J144=10,Q144,0)))))</f>
        <v>0</v>
      </c>
      <c r="Q144" s="407">
        <f>IF(Q$5=$H144,-$E144,0)</f>
        <v>0</v>
      </c>
      <c r="R144" s="404">
        <f>IF(V144=0,0,IF(V144&lt;0,IF($J144=3,V144,IF($J144=2,V144,IF($J144=1,V144,0)))))</f>
        <v>0</v>
      </c>
      <c r="S144" s="414">
        <f>IF(V144=0,0,IF(V144&lt;0,IF($J144=6,V144,IF($J144=5,V144,IF($J144=4,V144,0)))))</f>
        <v>0</v>
      </c>
      <c r="T144" s="414">
        <f>IF(V144=0,0,IF(V144&lt;0,IF($J144=9,V144,IF($J144=8,V144,IF($J144=7,V144,0)))))</f>
        <v>0</v>
      </c>
      <c r="U144" s="406">
        <f>IF(V144=0,0,IF(V144&lt;0,IF($J144=12,V144,IF($J144=11,V144,IF($J144=10,V144,0)))))</f>
        <v>0</v>
      </c>
      <c r="V144" s="407">
        <f>IF(V$5=$H144,-$E144,0)</f>
        <v>0</v>
      </c>
      <c r="W144" s="404">
        <f>IF(AA144=0,0,IF(AA144&lt;0,IF($J144=3,AA144,IF($J144=2,AA144,IF($J144=1,AA144,0)))))</f>
        <v>0</v>
      </c>
      <c r="X144" s="414">
        <f>IF(AA144=0,0,IF(AA144&lt;0,IF($J144=6,AA144,IF($J144=5,AA144,IF($J144=4,AA144,0)))))</f>
        <v>0</v>
      </c>
      <c r="Y144" s="414">
        <f>IF(AA144=0,0,IF(AA144&lt;0,IF($J144=9,AA144,IF($J144=8,AA144,IF($J144=7,AA144,0)))))</f>
        <v>0</v>
      </c>
      <c r="Z144" s="406">
        <f>IF(AA144=0,0,IF(AA144&lt;0,IF($J144=12,AA144,IF($J144=11,AA144,IF($J144=10,AA144,0)))))</f>
        <v>0</v>
      </c>
      <c r="AA144" s="407">
        <f>IF(AA$5=$H144,-$E144,0)</f>
        <v>0</v>
      </c>
      <c r="AB144" s="404">
        <f>IF(AF144=0,0,IF(AF144&lt;0,IF($J144=3,AF144,IF($J144=2,AF144,IF($J144=1,AF144,0)))))</f>
        <v>0</v>
      </c>
      <c r="AC144" s="414">
        <f>IF(AF144=0,0,IF(AF144&lt;0,IF($J144=6,AF144,IF($J144=5,AF144,IF($J144=4,AF144,0)))))</f>
        <v>0</v>
      </c>
      <c r="AD144" s="414">
        <f>IF(AF144=0,0,IF(AF144&lt;0,IF($J144=9,AF144,IF($J144=8,AF144,IF($J144=7,AF144,0)))))</f>
        <v>0</v>
      </c>
      <c r="AE144" s="406">
        <f>IF(AF144=0,0,IF(AF144&lt;0,IF($J144=12,AF144,IF($J144=11,AF144,IF($J144=10,AF144,0)))))</f>
        <v>0</v>
      </c>
      <c r="AF144" s="407">
        <f>IF(AF$5=$H144,-$E144,0)</f>
        <v>0</v>
      </c>
      <c r="AG144" s="404">
        <f>IF(AK144=0,0,IF(AK144&lt;0,IF($J144=3,AK144,IF($J144=2,AK144,IF($J144=1,AK144,0)))))</f>
        <v>0</v>
      </c>
      <c r="AH144" s="414">
        <f>IF(AK144=0,0,IF(AK144&lt;0,IF($J144=6,AK144,IF($J144=5,AK144,IF($J144=4,AK144,0)))))</f>
        <v>0</v>
      </c>
      <c r="AI144" s="414">
        <f>IF(AK144=0,0,IF(AK144&lt;0,IF($J144=9,AK144,IF($J144=8,AK144,IF($J144=7,AK144,0)))))</f>
        <v>0</v>
      </c>
      <c r="AJ144" s="406">
        <f>IF(AK144=0,0,IF(AK144&lt;0,IF($J144=12,AK144,IF($J144=11,AK144,IF($J144=10,AK144,0)))))</f>
        <v>0</v>
      </c>
      <c r="AK144" s="407">
        <f>IF(AK$5=$H144,-$E144,0)</f>
        <v>0</v>
      </c>
      <c r="AL144" s="404">
        <f>IF(AP144=0,0,IF(AP144&lt;0,IF($J144=3,AP144,IF($J144=2,AP144,IF($J144=1,AP144,0)))))</f>
        <v>0</v>
      </c>
      <c r="AM144" s="414">
        <f>IF(AP144=0,0,IF(AP144&lt;0,IF($J144=6,AP144,IF($J144=5,AP144,IF($J144=4,AP144,0)))))</f>
        <v>0</v>
      </c>
      <c r="AN144" s="414">
        <f>IF(AP144=0,0,IF(AP144&lt;0,IF($J144=9,AP144,IF($J144=8,AP144,IF($J144=7,AP144,0)))))</f>
        <v>0</v>
      </c>
      <c r="AO144" s="406">
        <f>IF(AP144=0,0,IF(AP144&lt;0,IF($J144=12,AP144,IF($J144=11,AP144,IF($J144=10,AP144,0)))))</f>
        <v>0</v>
      </c>
      <c r="AP144" s="407">
        <f>IF(AP$5=$H144,-$E144,0)</f>
        <v>0</v>
      </c>
      <c r="AQ144" s="404">
        <f>IF(AU144=0,0,IF(AU144&lt;0,IF($J144=3,AU144,IF($J144=2,AU144,IF($J144=1,AU144,0)))))</f>
        <v>0</v>
      </c>
      <c r="AR144" s="414">
        <f>IF(AU144=0,0,IF(AU144&lt;0,IF($J144=6,AU144,IF($J144=5,AU144,IF($J144=4,AU144,0)))))</f>
        <v>0</v>
      </c>
      <c r="AS144" s="414">
        <f>IF(AU144=0,0,IF(AU144&lt;0,IF($J144=9,AU144,IF($J144=8,AU144,IF($J144=7,AU144,0)))))</f>
        <v>0</v>
      </c>
      <c r="AT144" s="406">
        <f>IF(AU144=0,0,IF(AU144&lt;0,IF($J144=12,AU144,IF($J144=11,AU144,IF($J144=10,AU144,0)))))</f>
        <v>0</v>
      </c>
      <c r="AU144" s="407">
        <f>IF(AU$5=$H144,-$E144,0)</f>
        <v>0</v>
      </c>
      <c r="AV144" s="404">
        <f>IF(AZ144=0,0,IF(AZ144&lt;0,IF($J144=3,AZ144,IF($J144=2,AZ144,IF($J144=1,AZ144,0)))))</f>
        <v>0</v>
      </c>
      <c r="AW144" s="414">
        <f>IF(AZ144=0,0,IF(AZ144&lt;0,IF($J144=6,AZ144,IF($J144=5,AZ144,IF($J144=4,AZ144,0)))))</f>
        <v>0</v>
      </c>
      <c r="AX144" s="414">
        <f>IF(AZ144=0,0,IF(AZ144&lt;0,IF($J144=9,AZ144,IF($J144=8,AZ144,IF($J144=7,AZ144,0)))))</f>
        <v>0</v>
      </c>
      <c r="AY144" s="406">
        <f>IF(AZ144=0,0,IF(AZ144&lt;0,IF($J144=12,AZ144,IF($J144=11,AZ144,IF($J144=10,AZ144,0)))))</f>
        <v>0</v>
      </c>
      <c r="AZ144" s="407">
        <f>IF(AZ$5=$H144,-$E144,0)</f>
        <v>0</v>
      </c>
      <c r="BA144" s="404">
        <f>IF(BE144=0,0,IF(BE144&lt;0,IF($J144=3,BE144,IF($J144=2,BE144,IF($J144=1,BE144,0)))))</f>
        <v>0</v>
      </c>
      <c r="BB144" s="414">
        <f>IF(BE144=0,0,IF(BE144&lt;0,IF($J144=6,BE144,IF($J144=5,BE144,IF($J144=4,BE144,0)))))</f>
        <v>0</v>
      </c>
      <c r="BC144" s="414">
        <f>IF(BE144=0,0,IF(BE144&lt;0,IF($J144=9,BE144,IF($J144=8,BE144,IF($J144=7,BE144,0)))))</f>
        <v>0</v>
      </c>
      <c r="BD144" s="406">
        <f>IF(BE144=0,0,IF(BE144&lt;0,IF($J144=12,BE144,IF($J144=11,BE144,IF($J144=10,BE144,0)))))</f>
        <v>0</v>
      </c>
      <c r="BE144" s="407">
        <f>IF(BE$5=$H144,-$E144,0)</f>
        <v>0</v>
      </c>
      <c r="BF144" s="404">
        <f>IF(BJ144=0,0,IF(BJ144&lt;0,IF($J144=3,BJ144,IF($J144=2,BJ144,IF($J144=1,BJ144,0)))))</f>
        <v>0</v>
      </c>
      <c r="BG144" s="414">
        <f>IF(BJ144=0,0,IF(BJ144&lt;0,IF($J144=6,BJ144,IF($J144=5,BJ144,IF($J144=4,BJ144,0)))))</f>
        <v>0</v>
      </c>
      <c r="BH144" s="414">
        <f>IF(BJ144=0,0,IF(BJ144&lt;0,IF($J144=9,BJ144,IF($J144=8,BJ144,IF($J144=7,BJ144,0)))))</f>
        <v>0</v>
      </c>
      <c r="BI144" s="406">
        <f>IF(BJ144=0,0,IF(BJ144&lt;0,IF($J144=12,BJ144,IF($J144=11,BJ144,IF($J144=10,BJ144,0)))))</f>
        <v>0</v>
      </c>
      <c r="BJ144" s="407">
        <f>IF(BJ$5=$H144,-$E144,0)</f>
        <v>0</v>
      </c>
      <c r="BK144" s="404">
        <f>IF(BO144=0,0,IF(BO144&lt;0,IF($J144=3,BO144,IF($J144=2,BO144,IF($J144=1,BO144,0)))))</f>
        <v>0</v>
      </c>
      <c r="BL144" s="414">
        <f>IF(BO144=0,0,IF(BO144&lt;0,IF($J144=6,BO144,IF($J144=5,BO144,IF($J144=4,BO144,0)))))</f>
        <v>0</v>
      </c>
      <c r="BM144" s="414">
        <f>IF(BO144=0,0,IF(BO144&lt;0,IF($J144=9,BO144,IF($J144=8,BO144,IF($J144=7,BO144,0)))))</f>
        <v>0</v>
      </c>
      <c r="BN144" s="406">
        <f>IF(BO144=0,0,IF(BO144&lt;0,IF($J144=12,BO144,IF($J144=11,BO144,IF($J144=10,BO144,0)))))</f>
        <v>0</v>
      </c>
      <c r="BO144" s="407">
        <f>IF(BO$5=$H144,-$E144,0)</f>
        <v>0</v>
      </c>
      <c r="BP144" s="449"/>
      <c r="BQ144" s="413">
        <f>IF(AND(AH144&lt;&gt;0,AH$5=$H144),-$I144*$E144-AH144,IF(BQ$5=$H144,-$I144*$E144*(12-$J144+1)/12,0))</f>
        <v>0</v>
      </c>
      <c r="BR144" s="410">
        <f>IF($H144&lt;&gt;BV$5,0,IF(BV144&lt;0,IF($J144=1,-$E144*$I144/12*3,IF($J144=2,-$E144*$I144/12*2,IF($J144=3,-$E144*$I144/12*1,0)))))+IF(BQ$5&lt;&gt;$H144,0,IF(BQ144&lt;0,IF($J144=1,-$E144*$I144/12*0,IF($J144=2,-$E144*$I144/12*1,IF($J144=3,-$E144*$I144/12*2,IF($J144&gt;=4,-$E144*$I144/12*3,0))))))</f>
        <v>0</v>
      </c>
      <c r="BS144" s="416">
        <f>IF($H144&lt;&gt;BV$5,0,IF(BV144&lt;0,IF(OR($J144=1,$J144=2,$J144=3,$J144=4),-$E144*$I144/12*3,IF($J144=5,-$E144*$I144/12*2,IF($J144=6,-$E144*$I144/12*1,0)))))+IF(BQ$5&lt;&gt;$H144,0,IF(BQ144&lt;0,IF($J144=4,-$E144*$I144/12*0,IF($J144=5,-$E144*$I144/12*1,IF($J144=6,-$E144*$I144/12*2,IF($J144&gt;=7,-$E144*$I144/12*3,0))))))</f>
        <v>0</v>
      </c>
      <c r="BT144" s="416">
        <f>IF($H144&lt;&gt;BV$5,0,IF(BV144&lt;0,IF(OR($J144=1,$J144=2,$J144=3,$J144=4,$J144=5,$J144=6,$J144=7),-$E144*$I144/12*3,IF($J144=8,-$E144*$I144/12*2,IF($J144=9,-$E144*$I144/12*1,0)))))+IF(BQ$5&lt;&gt;$H144,0,IF(BQ144&lt;0,IF($J144=7,-$E144*$I144/12*0,IF($J144=8,-$E144*$I144/12*1,IF($J144=9,-$E144*$I144/12*2,IF($J144&gt;=10,-$E144*$I144/12*3,0))))))</f>
        <v>0</v>
      </c>
      <c r="BU144" s="412">
        <f>IF($H144&lt;&gt;BV$5,0,IF(BV144&lt;0,IF(OR($J144=1,$J144=2,$J144=3,$J144=4,$J144=5,$J144=6,$J144=7,$J144=8,$J144=9,$J144=10),-$E144*$I144/12*3,IF($J144=11,-$E144*$I144/12*2,IF($J144=12,-$E144*$I144/12*1,0)))))+IF(BQ$5&lt;&gt;$H144,0,IF(BQ144&lt;0,IF($J144=10,-$E144*$I144/12*0,IF($J144=11,-$E144*$I144/12*1,IF($J144=12,-$E144*$I144/12*2,0)))))</f>
        <v>0</v>
      </c>
      <c r="BV144" s="413">
        <f>IF(AND(BQ144&lt;&gt;0,BQ$5=$H144),-$I144*$E144-BQ144,IF(BV$5=$H144,-$I144*$E144*(12-$J144+1)/12,0))</f>
        <v>0</v>
      </c>
      <c r="BW144" s="410">
        <f>IF($H144&lt;&gt;CA$5,0,IF(CA144&lt;0,IF($J144=1,-$E144*$I144/12*3,IF($J144=2,-$E144*$I144/12*2,IF($J144=3,-$E144*$I144/12*1,0)))))+IF(BV$5&lt;&gt;$H144,0,IF(BV144&lt;0,IF($J144=1,-$E144*$I144/12*0,IF($J144=2,-$E144*$I144/12*1,IF($J144=3,-$E144*$I144/12*2,IF($J144&gt;=4,-$E144*$I144/12*3,0))))))</f>
        <v>0</v>
      </c>
      <c r="BX144" s="416">
        <f>IF($H144&lt;&gt;CA$5,0,IF(CA144&lt;0,IF(OR($J144=1,$J144=2,$J144=3,$J144=4),-$E144*$I144/12*3,IF($J144=5,-$E144*$I144/12*2,IF($J144=6,-$E144*$I144/12*1,0)))))+IF(BV$5&lt;&gt;$H144,0,IF(BV144&lt;0,IF($J144=4,-$E144*$I144/12*0,IF($J144=5,-$E144*$I144/12*1,IF($J144=6,-$E144*$I144/12*2,IF($J144&gt;=7,-$E144*$I144/12*3,0))))))</f>
        <v>0</v>
      </c>
      <c r="BY144" s="416">
        <f>IF($H144&lt;&gt;CA$5,0,IF(CA144&lt;0,IF(OR($J144=1,$J144=2,$J144=3,$J144=4,$J144=5,$J144=6,$J144=7),-$E144*$I144/12*3,IF($J144=8,-$E144*$I144/12*2,IF($J144=9,-$E144*$I144/12*1,0)))))+IF(BV$5&lt;&gt;$H144,0,IF(BV144&lt;0,IF($J144=7,-$E144*$I144/12*0,IF($J144=8,-$E144*$I144/12*1,IF($J144=9,-$E144*$I144/12*2,IF($J144&gt;=10,-$E144*$I144/12*3,0))))))</f>
        <v>0</v>
      </c>
      <c r="BZ144" s="412">
        <f>IF($H144&lt;&gt;CA$5,0,IF(CA144&lt;0,IF(OR($J144=1,$J144=2,$J144=3,$J144=4,$J144=5,$J144=6,$J144=7,$J144=8,$J144=9,$J144=10),-$E144*$I144/12*3,IF($J144=11,-$E144*$I144/12*2,IF($J144=12,-$E144*$I144/12*1,0)))))+IF(BV$5&lt;&gt;$H144,0,IF(BV144&lt;0,IF($J144=10,-$E144*$I144/12*0,IF($J144=11,-$E144*$I144/12*1,IF($J144=12,-$E144*$I144/12*2,0)))))</f>
        <v>0</v>
      </c>
      <c r="CA144" s="413">
        <f>IF(AND(BV144&lt;&gt;0,BV$5=$H144),-$I144*$E144-BV144,IF(CA$5=$H144,-$I144*$E144*(12-$J144+1)/12,0))</f>
        <v>0</v>
      </c>
      <c r="CB144" s="410">
        <f>IF($H144&lt;&gt;CF$5,0,IF(CF144&lt;0,IF($J144=1,-$E144*$I144/12*3,IF($J144=2,-$E144*$I144/12*2,IF($J144=3,-$E144*$I144/12*1,0)))))+IF(CA$5&lt;&gt;$H144,0,IF(CA144&lt;0,IF($J144=1,-$E144*$I144/12*0,IF($J144=2,-$E144*$I144/12*1,IF($J144=3,-$E144*$I144/12*2,IF($J144&gt;=4,-$E144*$I144/12*3,0))))))</f>
        <v>0</v>
      </c>
      <c r="CC144" s="416">
        <f>IF($H144&lt;&gt;CF$5,0,IF(CF144&lt;0,IF(OR($J144=1,$J144=2,$J144=3,$J144=4),-$E144*$I144/12*3,IF($J144=5,-$E144*$I144/12*2,IF($J144=6,-$E144*$I144/12*1,0)))))+IF(CA$5&lt;&gt;$H144,0,IF(CA144&lt;0,IF($J144=4,-$E144*$I144/12*0,IF($J144=5,-$E144*$I144/12*1,IF($J144=6,-$E144*$I144/12*2,IF($J144&gt;=7,-$E144*$I144/12*3,0))))))</f>
        <v>0</v>
      </c>
      <c r="CD144" s="416">
        <f>IF($H144&lt;&gt;CF$5,0,IF(CF144&lt;0,IF(OR($J144=1,$J144=2,$J144=3,$J144=4,$J144=5,$J144=6,$J144=7),-$E144*$I144/12*3,IF($J144=8,-$E144*$I144/12*2,IF($J144=9,-$E144*$I144/12*1,0)))))+IF(CA$5&lt;&gt;$H144,0,IF(CA144&lt;0,IF($J144=7,-$E144*$I144/12*0,IF($J144=8,-$E144*$I144/12*1,IF($J144=9,-$E144*$I144/12*2,IF($J144&gt;=10,-$E144*$I144/12*3,0))))))</f>
        <v>0</v>
      </c>
      <c r="CE144" s="412">
        <f>IF($H144&lt;&gt;CF$5,0,IF(CF144&lt;0,IF(OR($J144=1,$J144=2,$J144=3,$J144=4,$J144=5,$J144=6,$J144=7,$J144=8,$J144=9,$J144=10),-$E144*$I144/12*3,IF($J144=11,-$E144*$I144/12*2,IF($J144=12,-$E144*$I144/12*1,0)))))+IF(CA$5&lt;&gt;$H144,0,IF(CA144&lt;0,IF($J144=10,-$E144*$I144/12*0,IF($J144=11,-$E144*$I144/12*1,IF($J144=12,-$E144*$I144/12*2,0)))))</f>
        <v>0</v>
      </c>
      <c r="CF144" s="413">
        <f>IF(AND(CA144&lt;&gt;0,CA$5=$H144),-$I144*$E144-CA144,IF(CF$5=$H144,-$I144*$E144*(12-$J144+1)/12,0))</f>
        <v>0</v>
      </c>
      <c r="CG144" s="410">
        <f>IF($H144&lt;&gt;CK$5,0,IF(CK144&lt;0,IF($J144=1,-$E144*$I144/12*3,IF($J144=2,-$E144*$I144/12*2,IF($J144=3,-$E144*$I144/12*1,0)))))+IF(CF$5&lt;&gt;$H144,0,IF(CF144&lt;0,IF($J144=1,-$E144*$I144/12*0,IF($J144=2,-$E144*$I144/12*1,IF($J144=3,-$E144*$I144/12*2,IF($J144&gt;=4,-$E144*$I144/12*3,0))))))</f>
        <v>0</v>
      </c>
      <c r="CH144" s="416">
        <f>IF($H144&lt;&gt;CK$5,0,IF(CK144&lt;0,IF(OR($J144=1,$J144=2,$J144=3,$J144=4),-$E144*$I144/12*3,IF($J144=5,-$E144*$I144/12*2,IF($J144=6,-$E144*$I144/12*1,0)))))+IF(CF$5&lt;&gt;$H144,0,IF(CF144&lt;0,IF($J144=4,-$E144*$I144/12*0,IF($J144=5,-$E144*$I144/12*1,IF($J144=6,-$E144*$I144/12*2,IF($J144&gt;=7,-$E144*$I144/12*3,0))))))</f>
        <v>0</v>
      </c>
      <c r="CI144" s="416">
        <f>IF($H144&lt;&gt;CK$5,0,IF(CK144&lt;0,IF(OR($J144=1,$J144=2,$J144=3,$J144=4,$J144=5,$J144=6,$J144=7),-$E144*$I144/12*3,IF($J144=8,-$E144*$I144/12*2,IF($J144=9,-$E144*$I144/12*1,0)))))+IF(CF$5&lt;&gt;$H144,0,IF(CF144&lt;0,IF($J144=7,-$E144*$I144/12*0,IF($J144=8,-$E144*$I144/12*1,IF($J144=9,-$E144*$I144/12*2,IF($J144&gt;=10,-$E144*$I144/12*3,0))))))</f>
        <v>0</v>
      </c>
      <c r="CJ144" s="412">
        <f>IF($H144&lt;&gt;CK$5,0,IF(CK144&lt;0,IF(OR($J144=1,$J144=2,$J144=3,$J144=4,$J144=5,$J144=6,$J144=7,$J144=8,$J144=9,$J144=10),-$E144*$I144/12*3,IF($J144=11,-$E144*$I144/12*2,IF($J144=12,-$E144*$I144/12*1,0)))))+IF(CF$5&lt;&gt;$H144,0,IF(CF144&lt;0,IF($J144=10,-$E144*$I144/12*0,IF($J144=11,-$E144*$I144/12*1,IF($J144=12,-$E144*$I144/12*2,0)))))</f>
        <v>0</v>
      </c>
      <c r="CK144" s="413">
        <f>IF(AND(CF144&lt;&gt;0,CF$5=$H144),-$I144*$E144-CF144,IF(CK$5=$H144,-$I144*$E144*(12-$J144+1)/12,0))</f>
        <v>0</v>
      </c>
      <c r="CL144" s="410">
        <f>IF($H144&lt;&gt;CP$5,0,IF(CP144&lt;0,IF($J144=1,-$E144*$I144/12*3,IF($J144=2,-$E144*$I144/12*2,IF($J144=3,-$E144*$I144/12*1,0)))))+IF(CK$5&lt;&gt;$H144,0,IF(CK144&lt;0,IF($J144=1,-$E144*$I144/12*0,IF($J144=2,-$E144*$I144/12*1,IF($J144=3,-$E144*$I144/12*2,IF($J144&gt;=4,-$E144*$I144/12*3,0))))))</f>
        <v>0</v>
      </c>
      <c r="CM144" s="416">
        <f>IF($H144&lt;&gt;CP$5,0,IF(CP144&lt;0,IF(OR($J144=1,$J144=2,$J144=3,$J144=4),-$E144*$I144/12*3,IF($J144=5,-$E144*$I144/12*2,IF($J144=6,-$E144*$I144/12*1,0)))))+IF(CK$5&lt;&gt;$H144,0,IF(CK144&lt;0,IF($J144=4,-$E144*$I144/12*0,IF($J144=5,-$E144*$I144/12*1,IF($J144=6,-$E144*$I144/12*2,IF($J144&gt;=7,-$E144*$I144/12*3,0))))))</f>
        <v>0</v>
      </c>
      <c r="CN144" s="416">
        <f>IF($H144&lt;&gt;CP$5,0,IF(CP144&lt;0,IF(OR($J144=1,$J144=2,$J144=3,$J144=4,$J144=5,$J144=6,$J144=7),-$E144*$I144/12*3,IF($J144=8,-$E144*$I144/12*2,IF($J144=9,-$E144*$I144/12*1,0)))))+IF(CK$5&lt;&gt;$H144,0,IF(CK144&lt;0,IF($J144=7,-$E144*$I144/12*0,IF($J144=8,-$E144*$I144/12*1,IF($J144=9,-$E144*$I144/12*2,IF($J144&gt;=10,-$E144*$I144/12*3,0))))))</f>
        <v>0</v>
      </c>
      <c r="CO144" s="412">
        <f>IF($H144&lt;&gt;CP$5,0,IF(CP144&lt;0,IF(OR($J144=1,$J144=2,$J144=3,$J144=4,$J144=5,$J144=6,$J144=7,$J144=8,$J144=9,$J144=10),-$E144*$I144/12*3,IF($J144=11,-$E144*$I144/12*2,IF($J144=12,-$E144*$I144/12*1,0)))))+IF(CK$5&lt;&gt;$H144,0,IF(CK144&lt;0,IF($J144=10,-$E144*$I144/12*0,IF($J144=11,-$E144*$I144/12*1,IF($J144=12,-$E144*$I144/12*2,0)))))</f>
        <v>0</v>
      </c>
      <c r="CP144" s="413">
        <f>IF(AND(CK144&lt;&gt;0,CK$5=$H144),-$I144*$E144-CK144,IF(CP$5=$H144,-$I144*$E144*(12-$J144+1)/12,0))</f>
        <v>0</v>
      </c>
      <c r="CQ144" s="410">
        <f>IF($H144&lt;&gt;CU$5,0,IF(CU144&lt;0,IF($J144=1,-$E144*$I144/12*3,IF($J144=2,-$E144*$I144/12*2,IF($J144=3,-$E144*$I144/12*1,0)))))+IF(CP$5&lt;&gt;$H144,0,IF(CP144&lt;0,IF($J144=1,-$E144*$I144/12*0,IF($J144=2,-$E144*$I144/12*1,IF($J144=3,-$E144*$I144/12*2,IF($J144&gt;=4,-$E144*$I144/12*3,0))))))</f>
        <v>0</v>
      </c>
      <c r="CR144" s="416">
        <f>IF($H144&lt;&gt;CU$5,0,IF(CU144&lt;0,IF(OR($J144=1,$J144=2,$J144=3,$J144=4),-$E144*$I144/12*3,IF($J144=5,-$E144*$I144/12*2,IF($J144=6,-$E144*$I144/12*1,0)))))+IF(CP$5&lt;&gt;$H144,0,IF(CP144&lt;0,IF($J144=4,-$E144*$I144/12*0,IF($J144=5,-$E144*$I144/12*1,IF($J144=6,-$E144*$I144/12*2,IF($J144&gt;=7,-$E144*$I144/12*3,0))))))</f>
        <v>0</v>
      </c>
      <c r="CS144" s="416">
        <f>IF($H144&lt;&gt;CU$5,0,IF(CU144&lt;0,IF(OR($J144=1,$J144=2,$J144=3,$J144=4,$J144=5,$J144=6,$J144=7),-$E144*$I144/12*3,IF($J144=8,-$E144*$I144/12*2,IF($J144=9,-$E144*$I144/12*1,0)))))+IF(CP$5&lt;&gt;$H144,0,IF(CP144&lt;0,IF($J144=7,-$E144*$I144/12*0,IF($J144=8,-$E144*$I144/12*1,IF($J144=9,-$E144*$I144/12*2,IF($J144&gt;=10,-$E144*$I144/12*3,0))))))</f>
        <v>0</v>
      </c>
      <c r="CT144" s="412">
        <f>IF($H144&lt;&gt;CU$5,0,IF(CU144&lt;0,IF(OR($J144=1,$J144=2,$J144=3,$J144=4,$J144=5,$J144=6,$J144=7,$J144=8,$J144=9,$J144=10),-$E144*$I144/12*3,IF($J144=11,-$E144*$I144/12*2,IF($J144=12,-$E144*$I144/12*1,0)))))+IF(CP$5&lt;&gt;$H144,0,IF(CP144&lt;0,IF($J144=10,-$E144*$I144/12*0,IF($J144=11,-$E144*$I144/12*1,IF($J144=12,-$E144*$I144/12*2,0)))))</f>
        <v>0</v>
      </c>
      <c r="CU144" s="413">
        <f>IF(AND(CP144&lt;&gt;0,CP$5=$H144),-$I144*$E144-CP144,IF(CU$5=$H144,-$I144*$E144*(12-$J144+1)/12,0))</f>
        <v>0</v>
      </c>
      <c r="CV144" s="410">
        <f>IF($H144&lt;&gt;CZ$5,0,IF(CZ144&lt;0,IF($J144=1,-$E144*$I144/12*3,IF($J144=2,-$E144*$I144/12*2,IF($J144=3,-$E144*$I144/12*1,0)))))+IF(CU$5&lt;&gt;$H144,0,IF(CU144&lt;0,IF($J144=1,-$E144*$I144/12*0,IF($J144=2,-$E144*$I144/12*1,IF($J144=3,-$E144*$I144/12*2,IF($J144&gt;=4,-$E144*$I144/12*3,0))))))</f>
        <v>0</v>
      </c>
      <c r="CW144" s="416">
        <f>IF($H144&lt;&gt;CZ$5,0,IF(CZ144&lt;0,IF(OR($J144=1,$J144=2,$J144=3,$J144=4),-$E144*$I144/12*3,IF($J144=5,-$E144*$I144/12*2,IF($J144=6,-$E144*$I144/12*1,0)))))+IF(CU$5&lt;&gt;$H144,0,IF(CU144&lt;0,IF($J144=4,-$E144*$I144/12*0,IF($J144=5,-$E144*$I144/12*1,IF($J144=6,-$E144*$I144/12*2,IF($J144&gt;=7,-$E144*$I144/12*3,0))))))</f>
        <v>0</v>
      </c>
      <c r="CX144" s="416">
        <f>IF($H144&lt;&gt;CZ$5,0,IF(CZ144&lt;0,IF(OR($J144=1,$J144=2,$J144=3,$J144=4,$J144=5,$J144=6,$J144=7),-$E144*$I144/12*3,IF($J144=8,-$E144*$I144/12*2,IF($J144=9,-$E144*$I144/12*1,0)))))+IF(CU$5&lt;&gt;$H144,0,IF(CU144&lt;0,IF($J144=7,-$E144*$I144/12*0,IF($J144=8,-$E144*$I144/12*1,IF($J144=9,-$E144*$I144/12*2,IF($J144&gt;=10,-$E144*$I144/12*3,0))))))</f>
        <v>0</v>
      </c>
      <c r="CY144" s="412">
        <f>IF($H144&lt;&gt;CZ$5,0,IF(CZ144&lt;0,IF(OR($J144=1,$J144=2,$J144=3,$J144=4,$J144=5,$J144=6,$J144=7,$J144=8,$J144=9,$J144=10),-$E144*$I144/12*3,IF($J144=11,-$E144*$I144/12*2,IF($J144=12,-$E144*$I144/12*1,0)))))+IF(CU$5&lt;&gt;$H144,0,IF(CU144&lt;0,IF($J144=10,-$E144*$I144/12*0,IF($J144=11,-$E144*$I144/12*1,IF($J144=12,-$E144*$I144/12*2,0)))))</f>
        <v>0</v>
      </c>
      <c r="CZ144" s="413">
        <f>IF(AND(CU144&lt;&gt;0,CU$5=$H144),-$I144*$E144-CU144,IF(CZ$5=$H144,-$I144*$E144*(12-$J144+1)/12,0))</f>
        <v>0</v>
      </c>
      <c r="DA144" s="410">
        <f>IF($H144&lt;&gt;DE$5,0,IF(DE144&lt;0,IF($J144=1,-$E144*$I144/12*3,IF($J144=2,-$E144*$I144/12*2,IF($J144=3,-$E144*$I144/12*1,0)))))+IF(CZ$5&lt;&gt;$H144,0,IF(CZ144&lt;0,IF($J144=1,-$E144*$I144/12*0,IF($J144=2,-$E144*$I144/12*1,IF($J144=3,-$E144*$I144/12*2,IF($J144&gt;=4,-$E144*$I144/12*3,0))))))</f>
        <v>0</v>
      </c>
      <c r="DB144" s="416">
        <f>IF($H144&lt;&gt;DE$5,0,IF(DE144&lt;0,IF(OR($J144=1,$J144=2,$J144=3,$J144=4),-$E144*$I144/12*3,IF($J144=5,-$E144*$I144/12*2,IF($J144=6,-$E144*$I144/12*1,0)))))+IF(CZ$5&lt;&gt;$H144,0,IF(CZ144&lt;0,IF($J144=4,-$E144*$I144/12*0,IF($J144=5,-$E144*$I144/12*1,IF($J144=6,-$E144*$I144/12*2,IF($J144&gt;=7,-$E144*$I144/12*3,0))))))</f>
        <v>0</v>
      </c>
      <c r="DC144" s="416">
        <f>IF($H144&lt;&gt;DE$5,0,IF(DE144&lt;0,IF(OR($J144=1,$J144=2,$J144=3,$J144=4,$J144=5,$J144=6,$J144=7),-$E144*$I144/12*3,IF($J144=8,-$E144*$I144/12*2,IF($J144=9,-$E144*$I144/12*1,0)))))+IF(CZ$5&lt;&gt;$H144,0,IF(CZ144&lt;0,IF($J144=7,-$E144*$I144/12*0,IF($J144=8,-$E144*$I144/12*1,IF($J144=9,-$E144*$I144/12*2,IF($J144&gt;=10,-$E144*$I144/12*3,0))))))</f>
        <v>0</v>
      </c>
      <c r="DD144" s="412">
        <f>IF($H144&lt;&gt;DE$5,0,IF(DE144&lt;0,IF(OR($J144=1,$J144=2,$J144=3,$J144=4,$J144=5,$J144=6,$J144=7,$J144=8,$J144=9,$J144=10),-$E144*$I144/12*3,IF($J144=11,-$E144*$I144/12*2,IF($J144=12,-$E144*$I144/12*1,0)))))+IF(CZ$5&lt;&gt;$H144,0,IF(CZ144&lt;0,IF($J144=10,-$E144*$I144/12*0,IF($J144=11,-$E144*$I144/12*1,IF($J144=12,-$E144*$I144/12*2,0)))))</f>
        <v>0</v>
      </c>
      <c r="DE144" s="413">
        <f>IF(AND(CZ144&lt;&gt;0,CZ$5=$H144),-$I144*$E144-CZ144,IF(DE$5=$H144,-$I144*$E144*(12-$J144+1)/12,0))</f>
        <v>0</v>
      </c>
      <c r="DF144" s="410">
        <f>IF($H144&lt;&gt;DJ$5,0,IF(DJ144&lt;0,IF($J144=1,-$E144*$I144/12*3,IF($J144=2,-$E144*$I144/12*2,IF($J144=3,-$E144*$I144/12*1,0)))))+IF(DE$5&lt;&gt;$H144,0,IF(DE144&lt;0,IF($J144=1,-$E144*$I144/12*0,IF($J144=2,-$E144*$I144/12*1,IF($J144=3,-$E144*$I144/12*2,IF($J144&gt;=4,-$E144*$I144/12*3,0))))))</f>
        <v>0</v>
      </c>
      <c r="DG144" s="416">
        <f>IF($H144&lt;&gt;DJ$5,0,IF(DJ144&lt;0,IF(OR($J144=1,$J144=2,$J144=3,$J144=4),-$E144*$I144/12*3,IF($J144=5,-$E144*$I144/12*2,IF($J144=6,-$E144*$I144/12*1,0)))))+IF(DE$5&lt;&gt;$H144,0,IF(DE144&lt;0,IF($J144=4,-$E144*$I144/12*0,IF($J144=5,-$E144*$I144/12*1,IF($J144=6,-$E144*$I144/12*2,IF($J144&gt;=7,-$E144*$I144/12*3,0))))))</f>
        <v>0</v>
      </c>
      <c r="DH144" s="416">
        <f>IF($H144&lt;&gt;DJ$5,0,IF(DJ144&lt;0,IF(OR($J144=1,$J144=2,$J144=3,$J144=4,$J144=5,$J144=6,$J144=7),-$E144*$I144/12*3,IF($J144=8,-$E144*$I144/12*2,IF($J144=9,-$E144*$I144/12*1,0)))))+IF(DE$5&lt;&gt;$H144,0,IF(DE144&lt;0,IF($J144=7,-$E144*$I144/12*0,IF($J144=8,-$E144*$I144/12*1,IF($J144=9,-$E144*$I144/12*2,IF($J144&gt;=10,-$E144*$I144/12*3,0))))))</f>
        <v>0</v>
      </c>
      <c r="DI144" s="412">
        <f>IF($H144&lt;&gt;DJ$5,0,IF(DJ144&lt;0,IF(OR($J144=1,$J144=2,$J144=3,$J144=4,$J144=5,$J144=6,$J144=7,$J144=8,$J144=9,$J144=10),-$E144*$I144/12*3,IF($J144=11,-$E144*$I144/12*2,IF($J144=12,-$E144*$I144/12*1,0)))))+IF(DE$5&lt;&gt;$H144,0,IF(DE144&lt;0,IF($J144=10,-$E144*$I144/12*0,IF($J144=11,-$E144*$I144/12*1,IF($J144=12,-$E144*$I144/12*2,0)))))</f>
        <v>0</v>
      </c>
      <c r="DJ144" s="413">
        <f>IF(AND(DE144&lt;&gt;0,DE$5=$H144),-$I144*$E144-DE144,IF(DJ$5=$H144,-$I144*$E144*(12-$J144+1)/12,0))</f>
        <v>0</v>
      </c>
      <c r="DK144" s="410">
        <f>IF($H144&lt;&gt;DO$5,0,IF(DO144&lt;0,IF($J144=1,-$E144*$I144/12*3,IF($J144=2,-$E144*$I144/12*2,IF($J144=3,-$E144*$I144/12*1,0)))))+IF(DJ$5&lt;&gt;$H144,0,IF(DJ144&lt;0,IF($J144=1,-$E144*$I144/12*0,IF($J144=2,-$E144*$I144/12*1,IF($J144=3,-$E144*$I144/12*2,IF($J144&gt;=4,-$E144*$I144/12*3,0))))))</f>
        <v>0</v>
      </c>
      <c r="DL144" s="416">
        <f>IF($H144&lt;&gt;DO$5,0,IF(DO144&lt;0,IF(OR($J144=1,$J144=2,$J144=3,$J144=4),-$E144*$I144/12*3,IF($J144=5,-$E144*$I144/12*2,IF($J144=6,-$E144*$I144/12*1,0)))))+IF(DJ$5&lt;&gt;$H144,0,IF(DJ144&lt;0,IF($J144=4,-$E144*$I144/12*0,IF($J144=5,-$E144*$I144/12*1,IF($J144=6,-$E144*$I144/12*2,IF($J144&gt;=7,-$E144*$I144/12*3,0))))))</f>
        <v>0</v>
      </c>
      <c r="DM144" s="416">
        <f>IF($H144&lt;&gt;DO$5,0,IF(DO144&lt;0,IF(OR($J144=1,$J144=2,$J144=3,$J144=4,$J144=5,$J144=6,$J144=7),-$E144*$I144/12*3,IF($J144=8,-$E144*$I144/12*2,IF($J144=9,-$E144*$I144/12*1,0)))))+IF(DJ$5&lt;&gt;$H144,0,IF(DJ144&lt;0,IF($J144=7,-$E144*$I144/12*0,IF($J144=8,-$E144*$I144/12*1,IF($J144=9,-$E144*$I144/12*2,IF($J144&gt;=10,-$E144*$I144/12*3,0))))))</f>
        <v>0</v>
      </c>
      <c r="DN144" s="412">
        <f>IF($H144&lt;&gt;DO$5,0,IF(DO144&lt;0,IF(OR($J144=1,$J144=2,$J144=3,$J144=4,$J144=5,$J144=6,$J144=7,$J144=8,$J144=9,$J144=10),-$E144*$I144/12*3,IF($J144=11,-$E144*$I144/12*2,IF($J144=12,-$E144*$I144/12*1,0)))))+IF(DJ$5&lt;&gt;$H144,0,IF(DJ144&lt;0,IF($J144=10,-$E144*$I144/12*0,IF($J144=11,-$E144*$I144/12*1,IF($J144=12,-$E144*$I144/12*2,0)))))</f>
        <v>0</v>
      </c>
      <c r="DO144" s="413">
        <f>IF(AND(DJ144&lt;&gt;0,DJ$5=$H144),-$I144*$E144-DJ144,IF(DO$5=$H144,-$I144*$E144*(12-$J144+1)/12,0))</f>
        <v>0</v>
      </c>
      <c r="DP144" s="410">
        <f>IF($H144&lt;&gt;DT$5,0,IF(DT144&lt;0,IF($J144=1,-$E144*$I144/12*3,IF($J144=2,-$E144*$I144/12*2,IF($J144=3,-$E144*$I144/12*1,0)))))+IF(DO$5&lt;&gt;$H144,0,IF(DO144&lt;0,IF($J144=1,-$E144*$I144/12*0,IF($J144=2,-$E144*$I144/12*1,IF($J144=3,-$E144*$I144/12*2,IF($J144&gt;=4,-$E144*$I144/12*3,0))))))</f>
        <v>0</v>
      </c>
      <c r="DQ144" s="416">
        <f>IF($H144&lt;&gt;DT$5,0,IF(DT144&lt;0,IF(OR($J144=1,$J144=2,$J144=3,$J144=4),-$E144*$I144/12*3,IF($J144=5,-$E144*$I144/12*2,IF($J144=6,-$E144*$I144/12*1,0)))))+IF(DO$5&lt;&gt;$H144,0,IF(DO144&lt;0,IF($J144=4,-$E144*$I144/12*0,IF($J144=5,-$E144*$I144/12*1,IF($J144=6,-$E144*$I144/12*2,IF($J144&gt;=7,-$E144*$I144/12*3,0))))))</f>
        <v>0</v>
      </c>
      <c r="DR144" s="416">
        <f>IF($H144&lt;&gt;DT$5,0,IF(DT144&lt;0,IF(OR($J144=1,$J144=2,$J144=3,$J144=4,$J144=5,$J144=6,$J144=7),-$E144*$I144/12*3,IF($J144=8,-$E144*$I144/12*2,IF($J144=9,-$E144*$I144/12*1,0)))))+IF(DO$5&lt;&gt;$H144,0,IF(DO144&lt;0,IF($J144=7,-$E144*$I144/12*0,IF($J144=8,-$E144*$I144/12*1,IF($J144=9,-$E144*$I144/12*2,IF($J144&gt;=10,-$E144*$I144/12*3,0))))))</f>
        <v>0</v>
      </c>
      <c r="DS144" s="412">
        <f>IF($H144&lt;&gt;DT$5,0,IF(DT144&lt;0,IF(OR($J144=1,$J144=2,$J144=3,$J144=4,$J144=5,$J144=6,$J144=7,$J144=8,$J144=9,$J144=10),-$E144*$I144/12*3,IF($J144=11,-$E144*$I144/12*2,IF($J144=12,-$E144*$I144/12*1,0)))))+IF(DO$5&lt;&gt;$H144,0,IF(DO144&lt;0,IF($J144=10,-$E144*$I144/12*0,IF($J144=11,-$E144*$I144/12*1,IF($J144=12,-$E144*$I144/12*2,0)))))</f>
        <v>0</v>
      </c>
      <c r="DT144" s="413">
        <f>IF(AND(DO144&lt;&gt;0,DO$5=$H144),-$I144*$E144-DO144,IF(DT$5=$H144,-$I144*$E144*(12-$J144+1)/12,0))</f>
        <v>0</v>
      </c>
    </row>
    <row r="145" spans="1:124" ht="12.75" customHeight="1">
      <c r="A145" s="491"/>
      <c r="C145" s="613" t="s">
        <v>406</v>
      </c>
      <c r="D145" s="613"/>
      <c r="E145" s="1886"/>
      <c r="F145" s="1532"/>
      <c r="G145" s="1532"/>
      <c r="H145" s="610"/>
      <c r="I145" s="1533"/>
      <c r="J145" s="615"/>
      <c r="K145" s="402"/>
      <c r="L145" s="407"/>
      <c r="M145" s="404"/>
      <c r="N145" s="414"/>
      <c r="O145" s="414"/>
      <c r="P145" s="406"/>
      <c r="Q145" s="407"/>
      <c r="R145" s="404"/>
      <c r="S145" s="414"/>
      <c r="T145" s="414"/>
      <c r="U145" s="406"/>
      <c r="V145" s="407"/>
      <c r="W145" s="404"/>
      <c r="X145" s="414"/>
      <c r="Y145" s="414"/>
      <c r="Z145" s="406"/>
      <c r="AA145" s="407"/>
      <c r="AB145" s="404"/>
      <c r="AC145" s="414"/>
      <c r="AD145" s="414"/>
      <c r="AE145" s="406"/>
      <c r="AF145" s="407"/>
      <c r="AG145" s="404"/>
      <c r="AH145" s="414"/>
      <c r="AI145" s="414"/>
      <c r="AJ145" s="406"/>
      <c r="AK145" s="407"/>
      <c r="AL145" s="404"/>
      <c r="AM145" s="414"/>
      <c r="AN145" s="414"/>
      <c r="AO145" s="406"/>
      <c r="AP145" s="407"/>
      <c r="AQ145" s="404"/>
      <c r="AR145" s="414"/>
      <c r="AS145" s="414"/>
      <c r="AT145" s="406"/>
      <c r="AU145" s="407"/>
      <c r="AV145" s="404"/>
      <c r="AW145" s="414"/>
      <c r="AX145" s="414"/>
      <c r="AY145" s="406"/>
      <c r="AZ145" s="407"/>
      <c r="BA145" s="404"/>
      <c r="BB145" s="414"/>
      <c r="BC145" s="414"/>
      <c r="BD145" s="406"/>
      <c r="BE145" s="407"/>
      <c r="BF145" s="404"/>
      <c r="BG145" s="414"/>
      <c r="BH145" s="414"/>
      <c r="BI145" s="406"/>
      <c r="BJ145" s="407"/>
      <c r="BK145" s="404"/>
      <c r="BL145" s="414"/>
      <c r="BM145" s="414"/>
      <c r="BN145" s="406"/>
      <c r="BO145" s="407"/>
      <c r="BP145" s="449"/>
      <c r="BQ145" s="413"/>
      <c r="BR145" s="410"/>
      <c r="BS145" s="416"/>
      <c r="BT145" s="416"/>
      <c r="BU145" s="412"/>
      <c r="BV145" s="413"/>
      <c r="BW145" s="410"/>
      <c r="BX145" s="416"/>
      <c r="BY145" s="416"/>
      <c r="BZ145" s="412"/>
      <c r="CA145" s="413"/>
      <c r="CB145" s="410"/>
      <c r="CC145" s="416"/>
      <c r="CD145" s="416"/>
      <c r="CE145" s="412"/>
      <c r="CF145" s="413"/>
      <c r="CG145" s="410"/>
      <c r="CH145" s="416"/>
      <c r="CI145" s="416"/>
      <c r="CJ145" s="412"/>
      <c r="CK145" s="413"/>
      <c r="CL145" s="410"/>
      <c r="CM145" s="416"/>
      <c r="CN145" s="416"/>
      <c r="CO145" s="412"/>
      <c r="CP145" s="413"/>
      <c r="CQ145" s="410"/>
      <c r="CR145" s="416"/>
      <c r="CS145" s="416"/>
      <c r="CT145" s="412"/>
      <c r="CU145" s="413"/>
      <c r="CV145" s="410"/>
      <c r="CW145" s="416"/>
      <c r="CX145" s="416"/>
      <c r="CY145" s="412"/>
      <c r="CZ145" s="413"/>
      <c r="DA145" s="410"/>
      <c r="DB145" s="416"/>
      <c r="DC145" s="416"/>
      <c r="DD145" s="412"/>
      <c r="DE145" s="413"/>
      <c r="DF145" s="410"/>
      <c r="DG145" s="416"/>
      <c r="DH145" s="416"/>
      <c r="DI145" s="412"/>
      <c r="DJ145" s="413"/>
      <c r="DK145" s="410"/>
      <c r="DL145" s="416"/>
      <c r="DM145" s="416"/>
      <c r="DN145" s="412"/>
      <c r="DO145" s="413"/>
      <c r="DP145" s="410"/>
      <c r="DQ145" s="416"/>
      <c r="DR145" s="416"/>
      <c r="DS145" s="412"/>
      <c r="DT145" s="413"/>
    </row>
    <row r="146" spans="1:124" ht="12.75" customHeight="1">
      <c r="A146" s="491"/>
      <c r="C146" s="601" t="s">
        <v>563</v>
      </c>
      <c r="D146" s="601"/>
      <c r="E146" s="1886">
        <f>IF(F146=0,G146,F146)</f>
        <v>81.7</v>
      </c>
      <c r="F146" s="1532">
        <v>81.7</v>
      </c>
      <c r="G146" s="1532">
        <v>81.7</v>
      </c>
      <c r="H146" s="610">
        <v>2018</v>
      </c>
      <c r="I146" s="1533">
        <v>4.9500000000000002E-2</v>
      </c>
      <c r="J146" s="615">
        <v>3</v>
      </c>
      <c r="K146" s="402"/>
      <c r="L146" s="407">
        <f>IF(L$5=$H146,-$E146,0)</f>
        <v>0</v>
      </c>
      <c r="M146" s="404">
        <f>IF(Q146=0,0,IF(Q146&lt;0,IF($J146=3,Q146,IF($J146=2,Q146,IF($J146=1,Q146,0)))))</f>
        <v>0</v>
      </c>
      <c r="N146" s="414">
        <f>IF(Q146=0,0,IF(Q146&lt;0,IF($J146=6,Q146,IF($J146=5,Q146,IF($J146=4,Q146,0)))))</f>
        <v>0</v>
      </c>
      <c r="O146" s="414">
        <f>IF(Q146=0,0,IF(Q146&lt;0,IF($J146=9,Q146,IF($J146=8,Q146,IF($J146=7,Q146,0)))))</f>
        <v>0</v>
      </c>
      <c r="P146" s="406">
        <f>IF(Q146=0,0,IF(Q146&lt;0,IF($J146=12,Q146,IF($J146=11,Q146,IF($J146=10,Q146,0)))))</f>
        <v>0</v>
      </c>
      <c r="Q146" s="407">
        <f>IF(Q$5=$H146,-$E146,0)</f>
        <v>0</v>
      </c>
      <c r="R146" s="404">
        <f>IF(V146=0,0,IF(V146&lt;0,IF($J146=3,V146,IF($J146=2,V146,IF($J146=1,V146,0)))))</f>
        <v>0</v>
      </c>
      <c r="S146" s="414">
        <f>IF(V146=0,0,IF(V146&lt;0,IF($J146=6,V146,IF($J146=5,V146,IF($J146=4,V146,0)))))</f>
        <v>0</v>
      </c>
      <c r="T146" s="414">
        <f>IF(V146=0,0,IF(V146&lt;0,IF($J146=9,V146,IF($J146=8,V146,IF($J146=7,V146,0)))))</f>
        <v>0</v>
      </c>
      <c r="U146" s="406">
        <f>IF(V146=0,0,IF(V146&lt;0,IF($J146=12,V146,IF($J146=11,V146,IF($J146=10,V146,0)))))</f>
        <v>0</v>
      </c>
      <c r="V146" s="407">
        <f>IF(V$5=$H146,-$E146,0)</f>
        <v>0</v>
      </c>
      <c r="W146" s="404">
        <f>IF(AA146=0,0,IF(AA146&lt;0,IF($J146=3,AA146,IF($J146=2,AA146,IF($J146=1,AA146,0)))))</f>
        <v>0</v>
      </c>
      <c r="X146" s="414">
        <f>IF(AA146=0,0,IF(AA146&lt;0,IF($J146=6,AA146,IF($J146=5,AA146,IF($J146=4,AA146,0)))))</f>
        <v>0</v>
      </c>
      <c r="Y146" s="414">
        <f>IF(AA146=0,0,IF(AA146&lt;0,IF($J146=9,AA146,IF($J146=8,AA146,IF($J146=7,AA146,0)))))</f>
        <v>0</v>
      </c>
      <c r="Z146" s="406">
        <f>IF(AA146=0,0,IF(AA146&lt;0,IF($J146=12,AA146,IF($J146=11,AA146,IF($J146=10,AA146,0)))))</f>
        <v>0</v>
      </c>
      <c r="AA146" s="407">
        <f>IF(AA$5=$H146,-$E146,0)</f>
        <v>0</v>
      </c>
      <c r="AB146" s="404">
        <f>IF(AF146=0,0,IF(AF146&lt;0,IF($J146=3,AF146,IF($J146=2,AF146,IF($J146=1,AF146,0)))))</f>
        <v>0</v>
      </c>
      <c r="AC146" s="414">
        <f>IF(AF146=0,0,IF(AF146&lt;0,IF($J146=6,AF146,IF($J146=5,AF146,IF($J146=4,AF146,0)))))</f>
        <v>0</v>
      </c>
      <c r="AD146" s="414">
        <f>IF(AF146=0,0,IF(AF146&lt;0,IF($J146=9,AF146,IF($J146=8,AF146,IF($J146=7,AF146,0)))))</f>
        <v>0</v>
      </c>
      <c r="AE146" s="406">
        <f>IF(AF146=0,0,IF(AF146&lt;0,IF($J146=12,AF146,IF($J146=11,AF146,IF($J146=10,AF146,0)))))</f>
        <v>0</v>
      </c>
      <c r="AF146" s="407">
        <f>IF(AF$5=$H146,-$E146,0)</f>
        <v>0</v>
      </c>
      <c r="AG146" s="404">
        <f>IF(AK146=0,0,IF(AK146&lt;0,IF($J146=3,AK146,IF($J146=2,AK146,IF($J146=1,AK146,0)))))</f>
        <v>0</v>
      </c>
      <c r="AH146" s="414">
        <f>IF(AK146=0,0,IF(AK146&lt;0,IF($J146=6,AK146,IF($J146=5,AK146,IF($J146=4,AK146,0)))))</f>
        <v>0</v>
      </c>
      <c r="AI146" s="414">
        <f>IF(AK146=0,0,IF(AK146&lt;0,IF($J146=9,AK146,IF($J146=8,AK146,IF($J146=7,AK146,0)))))</f>
        <v>0</v>
      </c>
      <c r="AJ146" s="406">
        <f>IF(AK146=0,0,IF(AK146&lt;0,IF($J146=12,AK146,IF($J146=11,AK146,IF($J146=10,AK146,0)))))</f>
        <v>0</v>
      </c>
      <c r="AK146" s="407">
        <f>IF(AK$5=$H146,-$E146,0)</f>
        <v>0</v>
      </c>
      <c r="AL146" s="404">
        <f>IF(AP146=0,0,IF(AP146&lt;0,IF($J146=3,AP146,IF($J146=2,AP146,IF($J146=1,AP146,0)))))</f>
        <v>0</v>
      </c>
      <c r="AM146" s="414">
        <f>IF(AP146=0,0,IF(AP146&lt;0,IF($J146=6,AP146,IF($J146=5,AP146,IF($J146=4,AP146,0)))))</f>
        <v>0</v>
      </c>
      <c r="AN146" s="414">
        <f>IF(AP146=0,0,IF(AP146&lt;0,IF($J146=9,AP146,IF($J146=8,AP146,IF($J146=7,AP146,0)))))</f>
        <v>0</v>
      </c>
      <c r="AO146" s="406">
        <f>IF(AP146=0,0,IF(AP146&lt;0,IF($J146=12,AP146,IF($J146=11,AP146,IF($J146=10,AP146,0)))))</f>
        <v>0</v>
      </c>
      <c r="AP146" s="407">
        <f>IF(AP$5=$H146,-$E146,0)</f>
        <v>0</v>
      </c>
      <c r="AQ146" s="404">
        <f>IF(AU146=0,0,IF(AU146&lt;0,IF($J146=3,AU146,IF($J146=2,AU146,IF($J146=1,AU146,0)))))</f>
        <v>0</v>
      </c>
      <c r="AR146" s="414">
        <f>IF(AU146=0,0,IF(AU146&lt;0,IF($J146=6,AU146,IF($J146=5,AU146,IF($J146=4,AU146,0)))))</f>
        <v>0</v>
      </c>
      <c r="AS146" s="414">
        <f>IF(AU146=0,0,IF(AU146&lt;0,IF($J146=9,AU146,IF($J146=8,AU146,IF($J146=7,AU146,0)))))</f>
        <v>0</v>
      </c>
      <c r="AT146" s="406">
        <f>IF(AU146=0,0,IF(AU146&lt;0,IF($J146=12,AU146,IF($J146=11,AU146,IF($J146=10,AU146,0)))))</f>
        <v>0</v>
      </c>
      <c r="AU146" s="407">
        <f>IF(AU$5=$H146,-$E146,0)</f>
        <v>0</v>
      </c>
      <c r="AV146" s="404">
        <f>IF(AZ146=0,0,IF(AZ146&lt;0,IF($J146=3,AZ146,IF($J146=2,AZ146,IF($J146=1,AZ146,0)))))</f>
        <v>-81.7</v>
      </c>
      <c r="AW146" s="414">
        <f>IF(AZ146=0,0,IF(AZ146&lt;0,IF($J146=6,AZ146,IF($J146=5,AZ146,IF($J146=4,AZ146,0)))))</f>
        <v>0</v>
      </c>
      <c r="AX146" s="414">
        <f>IF(AZ146=0,0,IF(AZ146&lt;0,IF($J146=9,AZ146,IF($J146=8,AZ146,IF($J146=7,AZ146,0)))))</f>
        <v>0</v>
      </c>
      <c r="AY146" s="406">
        <f>IF(AZ146=0,0,IF(AZ146&lt;0,IF($J146=12,AZ146,IF($J146=11,AZ146,IF($J146=10,AZ146,0)))))</f>
        <v>0</v>
      </c>
      <c r="AZ146" s="407">
        <f>IF(AZ$5=$H146,-$E146,0)</f>
        <v>-81.7</v>
      </c>
      <c r="BA146" s="404">
        <f>IF(BE146=0,0,IF(BE146&lt;0,IF($J146=3,BE146,IF($J146=2,BE146,IF($J146=1,BE146,0)))))</f>
        <v>0</v>
      </c>
      <c r="BB146" s="414">
        <f>IF(BE146=0,0,IF(BE146&lt;0,IF($J146=6,BE146,IF($J146=5,BE146,IF($J146=4,BE146,0)))))</f>
        <v>0</v>
      </c>
      <c r="BC146" s="414">
        <f>IF(BE146=0,0,IF(BE146&lt;0,IF($J146=9,BE146,IF($J146=8,BE146,IF($J146=7,BE146,0)))))</f>
        <v>0</v>
      </c>
      <c r="BD146" s="406">
        <f>IF(BE146=0,0,IF(BE146&lt;0,IF($J146=12,BE146,IF($J146=11,BE146,IF($J146=10,BE146,0)))))</f>
        <v>0</v>
      </c>
      <c r="BE146" s="407">
        <f>IF(BE$5=$H146,-$E146,0)</f>
        <v>0</v>
      </c>
      <c r="BF146" s="404">
        <f>IF(BJ146=0,0,IF(BJ146&lt;0,IF($J146=3,BJ146,IF($J146=2,BJ146,IF($J146=1,BJ146,0)))))</f>
        <v>0</v>
      </c>
      <c r="BG146" s="414">
        <f>IF(BJ146=0,0,IF(BJ146&lt;0,IF($J146=6,BJ146,IF($J146=5,BJ146,IF($J146=4,BJ146,0)))))</f>
        <v>0</v>
      </c>
      <c r="BH146" s="414">
        <f>IF(BJ146=0,0,IF(BJ146&lt;0,IF($J146=9,BJ146,IF($J146=8,BJ146,IF($J146=7,BJ146,0)))))</f>
        <v>0</v>
      </c>
      <c r="BI146" s="406">
        <f>IF(BJ146=0,0,IF(BJ146&lt;0,IF($J146=12,BJ146,IF($J146=11,BJ146,IF($J146=10,BJ146,0)))))</f>
        <v>0</v>
      </c>
      <c r="BJ146" s="407">
        <f>IF(BJ$5=$H146,-$E146,0)</f>
        <v>0</v>
      </c>
      <c r="BK146" s="404">
        <f>IF(BO146=0,0,IF(BO146&lt;0,IF($J146=3,BO146,IF($J146=2,BO146,IF($J146=1,BO146,0)))))</f>
        <v>0</v>
      </c>
      <c r="BL146" s="414">
        <f>IF(BO146=0,0,IF(BO146&lt;0,IF($J146=6,BO146,IF($J146=5,BO146,IF($J146=4,BO146,0)))))</f>
        <v>0</v>
      </c>
      <c r="BM146" s="414">
        <f>IF(BO146=0,0,IF(BO146&lt;0,IF($J146=9,BO146,IF($J146=8,BO146,IF($J146=7,BO146,0)))))</f>
        <v>0</v>
      </c>
      <c r="BN146" s="406">
        <f>IF(BO146=0,0,IF(BO146&lt;0,IF($J146=12,BO146,IF($J146=11,BO146,IF($J146=10,BO146,0)))))</f>
        <v>0</v>
      </c>
      <c r="BO146" s="407">
        <f>IF(BO$5=$H146,-$E146,0)</f>
        <v>0</v>
      </c>
      <c r="BP146" s="449"/>
      <c r="BQ146" s="413">
        <f>IF(AND(AH146&lt;&gt;0,AH$5=$H146),-$I146*$E146-AH146,IF(BQ$5=$H146,-$I146*$E146*(12-$J146+1)/12,0))</f>
        <v>0</v>
      </c>
      <c r="BR146" s="410">
        <f>IF($H146&lt;&gt;BV$5,0,IF(BV146&lt;0,IF($J146=1,-$E146*$I146/12*3,IF($J146=2,-$E146*$I146/12*2,IF($J146=3,-$E146*$I146/12*1,0)))))+IF(BQ$5&lt;&gt;$H146,0,IF(BQ146&lt;0,IF($J146=1,-$E146*$I146/12*0,IF($J146=2,-$E146*$I146/12*1,IF($J146=3,-$E146*$I146/12*2,IF($J146&gt;=4,-$E146*$I146/12*3,0))))))</f>
        <v>0</v>
      </c>
      <c r="BS146" s="416">
        <f>IF($H146&lt;&gt;BV$5,0,IF(BV146&lt;0,IF(OR($J146=1,$J146=2,$J146=3,$J146=4),-$E146*$I146/12*3,IF($J146=5,-$E146*$I146/12*2,IF($J146=6,-$E146*$I146/12*1,0)))))+IF(BQ$5&lt;&gt;$H146,0,IF(BQ146&lt;0,IF($J146=4,-$E146*$I146/12*0,IF($J146=5,-$E146*$I146/12*1,IF($J146=6,-$E146*$I146/12*2,IF($J146&gt;=7,-$E146*$I146/12*3,0))))))</f>
        <v>0</v>
      </c>
      <c r="BT146" s="416">
        <f>IF($H146&lt;&gt;BV$5,0,IF(BV146&lt;0,IF(OR($J146=1,$J146=2,$J146=3,$J146=4,$J146=5,$J146=6,$J146=7),-$E146*$I146/12*3,IF($J146=8,-$E146*$I146/12*2,IF($J146=9,-$E146*$I146/12*1,0)))))+IF(BQ$5&lt;&gt;$H146,0,IF(BQ146&lt;0,IF($J146=7,-$E146*$I146/12*0,IF($J146=8,-$E146*$I146/12*1,IF($J146=9,-$E146*$I146/12*2,IF($J146&gt;=10,-$E146*$I146/12*3,0))))))</f>
        <v>0</v>
      </c>
      <c r="BU146" s="412">
        <f>IF($H146&lt;&gt;BV$5,0,IF(BV146&lt;0,IF(OR($J146=1,$J146=2,$J146=3,$J146=4,$J146=5,$J146=6,$J146=7,$J146=8,$J146=9,$J146=10),-$E146*$I146/12*3,IF($J146=11,-$E146*$I146/12*2,IF($J146=12,-$E146*$I146/12*1,0)))))+IF(BQ$5&lt;&gt;$H146,0,IF(BQ146&lt;0,IF($J146=10,-$E146*$I146/12*0,IF($J146=11,-$E146*$I146/12*1,IF($J146=12,-$E146*$I146/12*2,0)))))</f>
        <v>0</v>
      </c>
      <c r="BV146" s="413">
        <f>IF(AND(BQ146&lt;&gt;0,BQ$5=$H146),-$I146*$E146-BQ146,IF(BV$5=$H146,-$I146*$E146*(12-$J146+1)/12,0))</f>
        <v>0</v>
      </c>
      <c r="BW146" s="410">
        <f>IF($H146&lt;&gt;CA$5,0,IF(CA146&lt;0,IF($J146=1,-$E146*$I146/12*3,IF($J146=2,-$E146*$I146/12*2,IF($J146=3,-$E146*$I146/12*1,0)))))+IF(BV$5&lt;&gt;$H146,0,IF(BV146&lt;0,IF($J146=1,-$E146*$I146/12*0,IF($J146=2,-$E146*$I146/12*1,IF($J146=3,-$E146*$I146/12*2,IF($J146&gt;=4,-$E146*$I146/12*3,0))))))</f>
        <v>0</v>
      </c>
      <c r="BX146" s="416">
        <f>IF($H146&lt;&gt;CA$5,0,IF(CA146&lt;0,IF(OR($J146=1,$J146=2,$J146=3,$J146=4),-$E146*$I146/12*3,IF($J146=5,-$E146*$I146/12*2,IF($J146=6,-$E146*$I146/12*1,0)))))+IF(BV$5&lt;&gt;$H146,0,IF(BV146&lt;0,IF($J146=4,-$E146*$I146/12*0,IF($J146=5,-$E146*$I146/12*1,IF($J146=6,-$E146*$I146/12*2,IF($J146&gt;=7,-$E146*$I146/12*3,0))))))</f>
        <v>0</v>
      </c>
      <c r="BY146" s="416">
        <f>IF($H146&lt;&gt;CA$5,0,IF(CA146&lt;0,IF(OR($J146=1,$J146=2,$J146=3,$J146=4,$J146=5,$J146=6,$J146=7),-$E146*$I146/12*3,IF($J146=8,-$E146*$I146/12*2,IF($J146=9,-$E146*$I146/12*1,0)))))+IF(BV$5&lt;&gt;$H146,0,IF(BV146&lt;0,IF($J146=7,-$E146*$I146/12*0,IF($J146=8,-$E146*$I146/12*1,IF($J146=9,-$E146*$I146/12*2,IF($J146&gt;=10,-$E146*$I146/12*3,0))))))</f>
        <v>0</v>
      </c>
      <c r="BZ146" s="412">
        <f>IF($H146&lt;&gt;CA$5,0,IF(CA146&lt;0,IF(OR($J146=1,$J146=2,$J146=3,$J146=4,$J146=5,$J146=6,$J146=7,$J146=8,$J146=9,$J146=10),-$E146*$I146/12*3,IF($J146=11,-$E146*$I146/12*2,IF($J146=12,-$E146*$I146/12*1,0)))))+IF(BV$5&lt;&gt;$H146,0,IF(BV146&lt;0,IF($J146=10,-$E146*$I146/12*0,IF($J146=11,-$E146*$I146/12*1,IF($J146=12,-$E146*$I146/12*2,0)))))</f>
        <v>0</v>
      </c>
      <c r="CA146" s="413">
        <f>IF(AND(BV146&lt;&gt;0,BV$5=$H146),-$I146*$E146-BV146,IF(CA$5=$H146,-$I146*$E146*(12-$J146+1)/12,0))</f>
        <v>0</v>
      </c>
      <c r="CB146" s="410">
        <f>IF($H146&lt;&gt;CF$5,0,IF(CF146&lt;0,IF($J146=1,-$E146*$I146/12*3,IF($J146=2,-$E146*$I146/12*2,IF($J146=3,-$E146*$I146/12*1,0)))))+IF(CA$5&lt;&gt;$H146,0,IF(CA146&lt;0,IF($J146=1,-$E146*$I146/12*0,IF($J146=2,-$E146*$I146/12*1,IF($J146=3,-$E146*$I146/12*2,IF($J146&gt;=4,-$E146*$I146/12*3,0))))))</f>
        <v>0</v>
      </c>
      <c r="CC146" s="416">
        <f>IF($H146&lt;&gt;CF$5,0,IF(CF146&lt;0,IF(OR($J146=1,$J146=2,$J146=3,$J146=4),-$E146*$I146/12*3,IF($J146=5,-$E146*$I146/12*2,IF($J146=6,-$E146*$I146/12*1,0)))))+IF(CA$5&lt;&gt;$H146,0,IF(CA146&lt;0,IF($J146=4,-$E146*$I146/12*0,IF($J146=5,-$E146*$I146/12*1,IF($J146=6,-$E146*$I146/12*2,IF($J146&gt;=7,-$E146*$I146/12*3,0))))))</f>
        <v>0</v>
      </c>
      <c r="CD146" s="416">
        <f>IF($H146&lt;&gt;CF$5,0,IF(CF146&lt;0,IF(OR($J146=1,$J146=2,$J146=3,$J146=4,$J146=5,$J146=6,$J146=7),-$E146*$I146/12*3,IF($J146=8,-$E146*$I146/12*2,IF($J146=9,-$E146*$I146/12*1,0)))))+IF(CA$5&lt;&gt;$H146,0,IF(CA146&lt;0,IF($J146=7,-$E146*$I146/12*0,IF($J146=8,-$E146*$I146/12*1,IF($J146=9,-$E146*$I146/12*2,IF($J146&gt;=10,-$E146*$I146/12*3,0))))))</f>
        <v>0</v>
      </c>
      <c r="CE146" s="412">
        <f>IF($H146&lt;&gt;CF$5,0,IF(CF146&lt;0,IF(OR($J146=1,$J146=2,$J146=3,$J146=4,$J146=5,$J146=6,$J146=7,$J146=8,$J146=9,$J146=10),-$E146*$I146/12*3,IF($J146=11,-$E146*$I146/12*2,IF($J146=12,-$E146*$I146/12*1,0)))))+IF(CA$5&lt;&gt;$H146,0,IF(CA146&lt;0,IF($J146=10,-$E146*$I146/12*0,IF($J146=11,-$E146*$I146/12*1,IF($J146=12,-$E146*$I146/12*2,0)))))</f>
        <v>0</v>
      </c>
      <c r="CF146" s="413">
        <f>IF(AND(CA146&lt;&gt;0,CA$5=$H146),-$I146*$E146-CA146,IF(CF$5=$H146,-$I146*$E146*(12-$J146+1)/12,0))</f>
        <v>0</v>
      </c>
      <c r="CG146" s="410">
        <f>IF($H146&lt;&gt;CK$5,0,IF(CK146&lt;0,IF($J146=1,-$E146*$I146/12*3,IF($J146=2,-$E146*$I146/12*2,IF($J146=3,-$E146*$I146/12*1,0)))))+IF(CF$5&lt;&gt;$H146,0,IF(CF146&lt;0,IF($J146=1,-$E146*$I146/12*0,IF($J146=2,-$E146*$I146/12*1,IF($J146=3,-$E146*$I146/12*2,IF($J146&gt;=4,-$E146*$I146/12*3,0))))))</f>
        <v>0</v>
      </c>
      <c r="CH146" s="416">
        <f>IF($H146&lt;&gt;CK$5,0,IF(CK146&lt;0,IF(OR($J146=1,$J146=2,$J146=3,$J146=4),-$E146*$I146/12*3,IF($J146=5,-$E146*$I146/12*2,IF($J146=6,-$E146*$I146/12*1,0)))))+IF(CF$5&lt;&gt;$H146,0,IF(CF146&lt;0,IF($J146=4,-$E146*$I146/12*0,IF($J146=5,-$E146*$I146/12*1,IF($J146=6,-$E146*$I146/12*2,IF($J146&gt;=7,-$E146*$I146/12*3,0))))))</f>
        <v>0</v>
      </c>
      <c r="CI146" s="416">
        <f>IF($H146&lt;&gt;CK$5,0,IF(CK146&lt;0,IF(OR($J146=1,$J146=2,$J146=3,$J146=4,$J146=5,$J146=6,$J146=7),-$E146*$I146/12*3,IF($J146=8,-$E146*$I146/12*2,IF($J146=9,-$E146*$I146/12*1,0)))))+IF(CF$5&lt;&gt;$H146,0,IF(CF146&lt;0,IF($J146=7,-$E146*$I146/12*0,IF($J146=8,-$E146*$I146/12*1,IF($J146=9,-$E146*$I146/12*2,IF($J146&gt;=10,-$E146*$I146/12*3,0))))))</f>
        <v>0</v>
      </c>
      <c r="CJ146" s="412">
        <f>IF($H146&lt;&gt;CK$5,0,IF(CK146&lt;0,IF(OR($J146=1,$J146=2,$J146=3,$J146=4,$J146=5,$J146=6,$J146=7,$J146=8,$J146=9,$J146=10),-$E146*$I146/12*3,IF($J146=11,-$E146*$I146/12*2,IF($J146=12,-$E146*$I146/12*1,0)))))+IF(CF$5&lt;&gt;$H146,0,IF(CF146&lt;0,IF($J146=10,-$E146*$I146/12*0,IF($J146=11,-$E146*$I146/12*1,IF($J146=12,-$E146*$I146/12*2,0)))))</f>
        <v>0</v>
      </c>
      <c r="CK146" s="413">
        <f>IF(AND(CF146&lt;&gt;0,CF$5=$H146),-$I146*$E146-CF146,IF(CK$5=$H146,-$I146*$E146*(12-$J146+1)/12,0))</f>
        <v>0</v>
      </c>
      <c r="CL146" s="410">
        <f>IF($H146&lt;&gt;CP$5,0,IF(CP146&lt;0,IF($J146=1,-$E146*$I146/12*3,IF($J146=2,-$E146*$I146/12*2,IF($J146=3,-$E146*$I146/12*1,0)))))+IF(CK$5&lt;&gt;$H146,0,IF(CK146&lt;0,IF($J146=1,-$E146*$I146/12*0,IF($J146=2,-$E146*$I146/12*1,IF($J146=3,-$E146*$I146/12*2,IF($J146&gt;=4,-$E146*$I146/12*3,0))))))</f>
        <v>0</v>
      </c>
      <c r="CM146" s="416">
        <f>IF($H146&lt;&gt;CP$5,0,IF(CP146&lt;0,IF(OR($J146=1,$J146=2,$J146=3,$J146=4),-$E146*$I146/12*3,IF($J146=5,-$E146*$I146/12*2,IF($J146=6,-$E146*$I146/12*1,0)))))+IF(CK$5&lt;&gt;$H146,0,IF(CK146&lt;0,IF($J146=4,-$E146*$I146/12*0,IF($J146=5,-$E146*$I146/12*1,IF($J146=6,-$E146*$I146/12*2,IF($J146&gt;=7,-$E146*$I146/12*3,0))))))</f>
        <v>0</v>
      </c>
      <c r="CN146" s="416">
        <f>IF($H146&lt;&gt;CP$5,0,IF(CP146&lt;0,IF(OR($J146=1,$J146=2,$J146=3,$J146=4,$J146=5,$J146=6,$J146=7),-$E146*$I146/12*3,IF($J146=8,-$E146*$I146/12*2,IF($J146=9,-$E146*$I146/12*1,0)))))+IF(CK$5&lt;&gt;$H146,0,IF(CK146&lt;0,IF($J146=7,-$E146*$I146/12*0,IF($J146=8,-$E146*$I146/12*1,IF($J146=9,-$E146*$I146/12*2,IF($J146&gt;=10,-$E146*$I146/12*3,0))))))</f>
        <v>0</v>
      </c>
      <c r="CO146" s="412">
        <f>IF($H146&lt;&gt;CP$5,0,IF(CP146&lt;0,IF(OR($J146=1,$J146=2,$J146=3,$J146=4,$J146=5,$J146=6,$J146=7,$J146=8,$J146=9,$J146=10),-$E146*$I146/12*3,IF($J146=11,-$E146*$I146/12*2,IF($J146=12,-$E146*$I146/12*1,0)))))+IF(CK$5&lt;&gt;$H146,0,IF(CK146&lt;0,IF($J146=10,-$E146*$I146/12*0,IF($J146=11,-$E146*$I146/12*1,IF($J146=12,-$E146*$I146/12*2,0)))))</f>
        <v>0</v>
      </c>
      <c r="CP146" s="413">
        <f>IF(AND(CK146&lt;&gt;0,CK$5=$H146),-$I146*$E146-CK146,IF(CP$5=$H146,-$I146*$E146*(12-$J146+1)/12,0))</f>
        <v>0</v>
      </c>
      <c r="CQ146" s="410">
        <f>IF($H146&lt;&gt;CU$5,0,IF(CU146&lt;0,IF($J146=1,-$E146*$I146/12*3,IF($J146=2,-$E146*$I146/12*2,IF($J146=3,-$E146*$I146/12*1,0)))))+IF(CP$5&lt;&gt;$H146,0,IF(CP146&lt;0,IF($J146=1,-$E146*$I146/12*0,IF($J146=2,-$E146*$I146/12*1,IF($J146=3,-$E146*$I146/12*2,IF($J146&gt;=4,-$E146*$I146/12*3,0))))))</f>
        <v>0</v>
      </c>
      <c r="CR146" s="416">
        <f>IF($H146&lt;&gt;CU$5,0,IF(CU146&lt;0,IF(OR($J146=1,$J146=2,$J146=3,$J146=4),-$E146*$I146/12*3,IF($J146=5,-$E146*$I146/12*2,IF($J146=6,-$E146*$I146/12*1,0)))))+IF(CP$5&lt;&gt;$H146,0,IF(CP146&lt;0,IF($J146=4,-$E146*$I146/12*0,IF($J146=5,-$E146*$I146/12*1,IF($J146=6,-$E146*$I146/12*2,IF($J146&gt;=7,-$E146*$I146/12*3,0))))))</f>
        <v>0</v>
      </c>
      <c r="CS146" s="416">
        <f>IF($H146&lt;&gt;CU$5,0,IF(CU146&lt;0,IF(OR($J146=1,$J146=2,$J146=3,$J146=4,$J146=5,$J146=6,$J146=7),-$E146*$I146/12*3,IF($J146=8,-$E146*$I146/12*2,IF($J146=9,-$E146*$I146/12*1,0)))))+IF(CP$5&lt;&gt;$H146,0,IF(CP146&lt;0,IF($J146=7,-$E146*$I146/12*0,IF($J146=8,-$E146*$I146/12*1,IF($J146=9,-$E146*$I146/12*2,IF($J146&gt;=10,-$E146*$I146/12*3,0))))))</f>
        <v>0</v>
      </c>
      <c r="CT146" s="412">
        <f>IF($H146&lt;&gt;CU$5,0,IF(CU146&lt;0,IF(OR($J146=1,$J146=2,$J146=3,$J146=4,$J146=5,$J146=6,$J146=7,$J146=8,$J146=9,$J146=10),-$E146*$I146/12*3,IF($J146=11,-$E146*$I146/12*2,IF($J146=12,-$E146*$I146/12*1,0)))))+IF(CP$5&lt;&gt;$H146,0,IF(CP146&lt;0,IF($J146=10,-$E146*$I146/12*0,IF($J146=11,-$E146*$I146/12*1,IF($J146=12,-$E146*$I146/12*2,0)))))</f>
        <v>0</v>
      </c>
      <c r="CU146" s="413">
        <f>IF(AND(CP146&lt;&gt;0,CP$5=$H146),-$I146*$E146-CP146,IF(CU$5=$H146,-$I146*$E146*(12-$J146+1)/12,0))</f>
        <v>0</v>
      </c>
      <c r="CV146" s="410">
        <f>IF($H146&lt;&gt;CZ$5,0,IF(CZ146&lt;0,IF($J146=1,-$E146*$I146/12*3,IF($J146=2,-$E146*$I146/12*2,IF($J146=3,-$E146*$I146/12*1,0)))))+IF(CU$5&lt;&gt;$H146,0,IF(CU146&lt;0,IF($J146=1,-$E146*$I146/12*0,IF($J146=2,-$E146*$I146/12*1,IF($J146=3,-$E146*$I146/12*2,IF($J146&gt;=4,-$E146*$I146/12*3,0))))))</f>
        <v>0</v>
      </c>
      <c r="CW146" s="416">
        <f>IF($H146&lt;&gt;CZ$5,0,IF(CZ146&lt;0,IF(OR($J146=1,$J146=2,$J146=3,$J146=4),-$E146*$I146/12*3,IF($J146=5,-$E146*$I146/12*2,IF($J146=6,-$E146*$I146/12*1,0)))))+IF(CU$5&lt;&gt;$H146,0,IF(CU146&lt;0,IF($J146=4,-$E146*$I146/12*0,IF($J146=5,-$E146*$I146/12*1,IF($J146=6,-$E146*$I146/12*2,IF($J146&gt;=7,-$E146*$I146/12*3,0))))))</f>
        <v>0</v>
      </c>
      <c r="CX146" s="416">
        <f>IF($H146&lt;&gt;CZ$5,0,IF(CZ146&lt;0,IF(OR($J146=1,$J146=2,$J146=3,$J146=4,$J146=5,$J146=6,$J146=7),-$E146*$I146/12*3,IF($J146=8,-$E146*$I146/12*2,IF($J146=9,-$E146*$I146/12*1,0)))))+IF(CU$5&lt;&gt;$H146,0,IF(CU146&lt;0,IF($J146=7,-$E146*$I146/12*0,IF($J146=8,-$E146*$I146/12*1,IF($J146=9,-$E146*$I146/12*2,IF($J146&gt;=10,-$E146*$I146/12*3,0))))))</f>
        <v>0</v>
      </c>
      <c r="CY146" s="412">
        <f>IF($H146&lt;&gt;CZ$5,0,IF(CZ146&lt;0,IF(OR($J146=1,$J146=2,$J146=3,$J146=4,$J146=5,$J146=6,$J146=7,$J146=8,$J146=9,$J146=10),-$E146*$I146/12*3,IF($J146=11,-$E146*$I146/12*2,IF($J146=12,-$E146*$I146/12*1,0)))))+IF(CU$5&lt;&gt;$H146,0,IF(CU146&lt;0,IF($J146=10,-$E146*$I146/12*0,IF($J146=11,-$E146*$I146/12*1,IF($J146=12,-$E146*$I146/12*2,0)))))</f>
        <v>0</v>
      </c>
      <c r="CZ146" s="413">
        <f>IF(AND(CU146&lt;&gt;0,CU$5=$H146),-$I146*$E146-CU146,IF(CZ$5=$H146,-$I146*$E146*(12-$J146+1)/12,0))</f>
        <v>0</v>
      </c>
      <c r="DA146" s="410">
        <f>IF($H146&lt;&gt;DE$5,0,IF(DE146&lt;0,IF($J146=1,-$E146*$I146/12*3,IF($J146=2,-$E146*$I146/12*2,IF($J146=3,-$E146*$I146/12*1,0)))))+IF(CZ$5&lt;&gt;$H146,0,IF(CZ146&lt;0,IF($J146=1,-$E146*$I146/12*0,IF($J146=2,-$E146*$I146/12*1,IF($J146=3,-$E146*$I146/12*2,IF($J146&gt;=4,-$E146*$I146/12*3,0))))))</f>
        <v>-0.33701249999999999</v>
      </c>
      <c r="DB146" s="416">
        <f>IF($H146&lt;&gt;DE$5,0,IF(DE146&lt;0,IF(OR($J146=1,$J146=2,$J146=3,$J146=4),-$E146*$I146/12*3,IF($J146=5,-$E146*$I146/12*2,IF($J146=6,-$E146*$I146/12*1,0)))))+IF(CZ$5&lt;&gt;$H146,0,IF(CZ146&lt;0,IF($J146=4,-$E146*$I146/12*0,IF($J146=5,-$E146*$I146/12*1,IF($J146=6,-$E146*$I146/12*2,IF($J146&gt;=7,-$E146*$I146/12*3,0))))))</f>
        <v>-1.0110375</v>
      </c>
      <c r="DC146" s="416">
        <f>IF($H146&lt;&gt;DE$5,0,IF(DE146&lt;0,IF(OR($J146=1,$J146=2,$J146=3,$J146=4,$J146=5,$J146=6,$J146=7),-$E146*$I146/12*3,IF($J146=8,-$E146*$I146/12*2,IF($J146=9,-$E146*$I146/12*1,0)))))+IF(CZ$5&lt;&gt;$H146,0,IF(CZ146&lt;0,IF($J146=7,-$E146*$I146/12*0,IF($J146=8,-$E146*$I146/12*1,IF($J146=9,-$E146*$I146/12*2,IF($J146&gt;=10,-$E146*$I146/12*3,0))))))</f>
        <v>-1.0110375</v>
      </c>
      <c r="DD146" s="412">
        <f>IF($H146&lt;&gt;DE$5,0,IF(DE146&lt;0,IF(OR($J146=1,$J146=2,$J146=3,$J146=4,$J146=5,$J146=6,$J146=7,$J146=8,$J146=9,$J146=10),-$E146*$I146/12*3,IF($J146=11,-$E146*$I146/12*2,IF($J146=12,-$E146*$I146/12*1,0)))))+IF(CZ$5&lt;&gt;$H146,0,IF(CZ146&lt;0,IF($J146=10,-$E146*$I146/12*0,IF($J146=11,-$E146*$I146/12*1,IF($J146=12,-$E146*$I146/12*2,0)))))</f>
        <v>-1.0110375</v>
      </c>
      <c r="DE146" s="413">
        <f>IF(AND(CZ146&lt;&gt;0,CZ$5=$H146),-$I146*$E146-CZ146,IF(DE$5=$H146,-$I146*$E146*(12-$J146+1)/12,0))</f>
        <v>-3.3701250000000003</v>
      </c>
      <c r="DF146" s="410">
        <f>IF($H146&lt;&gt;DJ$5,0,IF(DJ146&lt;0,IF($J146=1,-$E146*$I146/12*3,IF($J146=2,-$E146*$I146/12*2,IF($J146=3,-$E146*$I146/12*1,0)))))+IF(DE$5&lt;&gt;$H146,0,IF(DE146&lt;0,IF($J146=1,-$E146*$I146/12*0,IF($J146=2,-$E146*$I146/12*1,IF($J146=3,-$E146*$I146/12*2,IF($J146&gt;=4,-$E146*$I146/12*3,0))))))</f>
        <v>-0.67402499999999999</v>
      </c>
      <c r="DG146" s="416">
        <f>IF($H146&lt;&gt;DJ$5,0,IF(DJ146&lt;0,IF(OR($J146=1,$J146=2,$J146=3,$J146=4),-$E146*$I146/12*3,IF($J146=5,-$E146*$I146/12*2,IF($J146=6,-$E146*$I146/12*1,0)))))+IF(DE$5&lt;&gt;$H146,0,IF(DE146&lt;0,IF($J146=4,-$E146*$I146/12*0,IF($J146=5,-$E146*$I146/12*1,IF($J146=6,-$E146*$I146/12*2,IF($J146&gt;=7,-$E146*$I146/12*3,0))))))</f>
        <v>0</v>
      </c>
      <c r="DH146" s="416">
        <f>IF($H146&lt;&gt;DJ$5,0,IF(DJ146&lt;0,IF(OR($J146=1,$J146=2,$J146=3,$J146=4,$J146=5,$J146=6,$J146=7),-$E146*$I146/12*3,IF($J146=8,-$E146*$I146/12*2,IF($J146=9,-$E146*$I146/12*1,0)))))+IF(DE$5&lt;&gt;$H146,0,IF(DE146&lt;0,IF($J146=7,-$E146*$I146/12*0,IF($J146=8,-$E146*$I146/12*1,IF($J146=9,-$E146*$I146/12*2,IF($J146&gt;=10,-$E146*$I146/12*3,0))))))</f>
        <v>0</v>
      </c>
      <c r="DI146" s="412">
        <f>IF($H146&lt;&gt;DJ$5,0,IF(DJ146&lt;0,IF(OR($J146=1,$J146=2,$J146=3,$J146=4,$J146=5,$J146=6,$J146=7,$J146=8,$J146=9,$J146=10),-$E146*$I146/12*3,IF($J146=11,-$E146*$I146/12*2,IF($J146=12,-$E146*$I146/12*1,0)))))+IF(DE$5&lt;&gt;$H146,0,IF(DE146&lt;0,IF($J146=10,-$E146*$I146/12*0,IF($J146=11,-$E146*$I146/12*1,IF($J146=12,-$E146*$I146/12*2,0)))))</f>
        <v>0</v>
      </c>
      <c r="DJ146" s="413">
        <f>IF(AND(DE146&lt;&gt;0,DE$5=$H146),-$I146*$E146-DE146,IF(DJ$5=$H146,-$I146*$E146*(12-$J146+1)/12,0))</f>
        <v>-0.67402499999999987</v>
      </c>
      <c r="DK146" s="410">
        <f>IF($H146&lt;&gt;DO$5,0,IF(DO146&lt;0,IF($J146=1,-$E146*$I146/12*3,IF($J146=2,-$E146*$I146/12*2,IF($J146=3,-$E146*$I146/12*1,0)))))+IF(DJ$5&lt;&gt;$H146,0,IF(DJ146&lt;0,IF($J146=1,-$E146*$I146/12*0,IF($J146=2,-$E146*$I146/12*1,IF($J146=3,-$E146*$I146/12*2,IF($J146&gt;=4,-$E146*$I146/12*3,0))))))</f>
        <v>0</v>
      </c>
      <c r="DL146" s="416">
        <f>IF($H146&lt;&gt;DO$5,0,IF(DO146&lt;0,IF(OR($J146=1,$J146=2,$J146=3,$J146=4),-$E146*$I146/12*3,IF($J146=5,-$E146*$I146/12*2,IF($J146=6,-$E146*$I146/12*1,0)))))+IF(DJ$5&lt;&gt;$H146,0,IF(DJ146&lt;0,IF($J146=4,-$E146*$I146/12*0,IF($J146=5,-$E146*$I146/12*1,IF($J146=6,-$E146*$I146/12*2,IF($J146&gt;=7,-$E146*$I146/12*3,0))))))</f>
        <v>0</v>
      </c>
      <c r="DM146" s="416">
        <f>IF($H146&lt;&gt;DO$5,0,IF(DO146&lt;0,IF(OR($J146=1,$J146=2,$J146=3,$J146=4,$J146=5,$J146=6,$J146=7),-$E146*$I146/12*3,IF($J146=8,-$E146*$I146/12*2,IF($J146=9,-$E146*$I146/12*1,0)))))+IF(DJ$5&lt;&gt;$H146,0,IF(DJ146&lt;0,IF($J146=7,-$E146*$I146/12*0,IF($J146=8,-$E146*$I146/12*1,IF($J146=9,-$E146*$I146/12*2,IF($J146&gt;=10,-$E146*$I146/12*3,0))))))</f>
        <v>0</v>
      </c>
      <c r="DN146" s="412">
        <f>IF($H146&lt;&gt;DO$5,0,IF(DO146&lt;0,IF(OR($J146=1,$J146=2,$J146=3,$J146=4,$J146=5,$J146=6,$J146=7,$J146=8,$J146=9,$J146=10),-$E146*$I146/12*3,IF($J146=11,-$E146*$I146/12*2,IF($J146=12,-$E146*$I146/12*1,0)))))+IF(DJ$5&lt;&gt;$H146,0,IF(DJ146&lt;0,IF($J146=10,-$E146*$I146/12*0,IF($J146=11,-$E146*$I146/12*1,IF($J146=12,-$E146*$I146/12*2,0)))))</f>
        <v>0</v>
      </c>
      <c r="DO146" s="413">
        <f>IF(AND(DJ146&lt;&gt;0,DJ$5=$H146),-$I146*$E146-DJ146,IF(DO$5=$H146,-$I146*$E146*(12-$J146+1)/12,0))</f>
        <v>0</v>
      </c>
      <c r="DP146" s="410">
        <f>IF($H146&lt;&gt;DT$5,0,IF(DT146&lt;0,IF($J146=1,-$E146*$I146/12*3,IF($J146=2,-$E146*$I146/12*2,IF($J146=3,-$E146*$I146/12*1,0)))))+IF(DO$5&lt;&gt;$H146,0,IF(DO146&lt;0,IF($J146=1,-$E146*$I146/12*0,IF($J146=2,-$E146*$I146/12*1,IF($J146=3,-$E146*$I146/12*2,IF($J146&gt;=4,-$E146*$I146/12*3,0))))))</f>
        <v>0</v>
      </c>
      <c r="DQ146" s="416">
        <f>IF($H146&lt;&gt;DT$5,0,IF(DT146&lt;0,IF(OR($J146=1,$J146=2,$J146=3,$J146=4),-$E146*$I146/12*3,IF($J146=5,-$E146*$I146/12*2,IF($J146=6,-$E146*$I146/12*1,0)))))+IF(DO$5&lt;&gt;$H146,0,IF(DO146&lt;0,IF($J146=4,-$E146*$I146/12*0,IF($J146=5,-$E146*$I146/12*1,IF($J146=6,-$E146*$I146/12*2,IF($J146&gt;=7,-$E146*$I146/12*3,0))))))</f>
        <v>0</v>
      </c>
      <c r="DR146" s="416">
        <f>IF($H146&lt;&gt;DT$5,0,IF(DT146&lt;0,IF(OR($J146=1,$J146=2,$J146=3,$J146=4,$J146=5,$J146=6,$J146=7),-$E146*$I146/12*3,IF($J146=8,-$E146*$I146/12*2,IF($J146=9,-$E146*$I146/12*1,0)))))+IF(DO$5&lt;&gt;$H146,0,IF(DO146&lt;0,IF($J146=7,-$E146*$I146/12*0,IF($J146=8,-$E146*$I146/12*1,IF($J146=9,-$E146*$I146/12*2,IF($J146&gt;=10,-$E146*$I146/12*3,0))))))</f>
        <v>0</v>
      </c>
      <c r="DS146" s="412">
        <f>IF($H146&lt;&gt;DT$5,0,IF(DT146&lt;0,IF(OR($J146=1,$J146=2,$J146=3,$J146=4,$J146=5,$J146=6,$J146=7,$J146=8,$J146=9,$J146=10),-$E146*$I146/12*3,IF($J146=11,-$E146*$I146/12*2,IF($J146=12,-$E146*$I146/12*1,0)))))+IF(DO$5&lt;&gt;$H146,0,IF(DO146&lt;0,IF($J146=10,-$E146*$I146/12*0,IF($J146=11,-$E146*$I146/12*1,IF($J146=12,-$E146*$I146/12*2,0)))))</f>
        <v>0</v>
      </c>
      <c r="DT146" s="413">
        <f>IF(AND(DO146&lt;&gt;0,DO$5=$H146),-$I146*$E146-DO146,IF(DT$5=$H146,-$I146*$E146*(12-$J146+1)/12,0))</f>
        <v>0</v>
      </c>
    </row>
    <row r="147" spans="1:124" ht="12.75" customHeight="1">
      <c r="A147" s="491"/>
      <c r="C147" s="1885" t="s">
        <v>1104</v>
      </c>
      <c r="D147" s="1885"/>
      <c r="E147" s="1886">
        <f>IF(F147=0,G147,F147)</f>
        <v>53.5</v>
      </c>
      <c r="F147" s="1532">
        <v>53.5</v>
      </c>
      <c r="G147" s="1532">
        <v>53.5</v>
      </c>
      <c r="H147" s="610">
        <v>2019</v>
      </c>
      <c r="I147" s="1533">
        <v>1.6E-2</v>
      </c>
      <c r="J147" s="617">
        <v>3</v>
      </c>
      <c r="K147" s="402"/>
      <c r="L147" s="407">
        <f>IF(L$5=$H147,-$E147,0)</f>
        <v>0</v>
      </c>
      <c r="M147" s="404">
        <f>IF(Q147=0,0,IF(Q147&lt;0,IF($J147=3,Q147,IF($J147=2,Q147,IF($J147=1,Q147,0)))))</f>
        <v>0</v>
      </c>
      <c r="N147" s="414">
        <f>IF(Q147=0,0,IF(Q147&lt;0,IF($J147=6,Q147,IF($J147=5,Q147,IF($J147=4,Q147,0)))))</f>
        <v>0</v>
      </c>
      <c r="O147" s="414">
        <f>IF(Q147=0,0,IF(Q147&lt;0,IF($J147=9,Q147,IF($J147=8,Q147,IF($J147=7,Q147,0)))))</f>
        <v>0</v>
      </c>
      <c r="P147" s="406">
        <f>IF(Q147=0,0,IF(Q147&lt;0,IF($J147=12,Q147,IF($J147=11,Q147,IF($J147=10,Q147,0)))))</f>
        <v>0</v>
      </c>
      <c r="Q147" s="407">
        <f>IF(Q$5=$H147,-$E147,0)</f>
        <v>0</v>
      </c>
      <c r="R147" s="404">
        <f>IF(V147=0,0,IF(V147&lt;0,IF($J147=3,V147,IF($J147=2,V147,IF($J147=1,V147,0)))))</f>
        <v>0</v>
      </c>
      <c r="S147" s="414">
        <f>IF(V147=0,0,IF(V147&lt;0,IF($J147=6,V147,IF($J147=5,V147,IF($J147=4,V147,0)))))</f>
        <v>0</v>
      </c>
      <c r="T147" s="414">
        <f>IF(V147=0,0,IF(V147&lt;0,IF($J147=9,V147,IF($J147=8,V147,IF($J147=7,V147,0)))))</f>
        <v>0</v>
      </c>
      <c r="U147" s="406">
        <f>IF(V147=0,0,IF(V147&lt;0,IF($J147=12,V147,IF($J147=11,V147,IF($J147=10,V147,0)))))</f>
        <v>0</v>
      </c>
      <c r="V147" s="407">
        <f>IF(V$5=$H147,-$E147,0)</f>
        <v>0</v>
      </c>
      <c r="W147" s="404">
        <f>IF(AA147=0,0,IF(AA147&lt;0,IF($J147=3,AA147,IF($J147=2,AA147,IF($J147=1,AA147,0)))))</f>
        <v>0</v>
      </c>
      <c r="X147" s="414">
        <f>IF(AA147=0,0,IF(AA147&lt;0,IF($J147=6,AA147,IF($J147=5,AA147,IF($J147=4,AA147,0)))))</f>
        <v>0</v>
      </c>
      <c r="Y147" s="414">
        <f>IF(AA147=0,0,IF(AA147&lt;0,IF($J147=9,AA147,IF($J147=8,AA147,IF($J147=7,AA147,0)))))</f>
        <v>0</v>
      </c>
      <c r="Z147" s="406">
        <f>IF(AA147=0,0,IF(AA147&lt;0,IF($J147=12,AA147,IF($J147=11,AA147,IF($J147=10,AA147,0)))))</f>
        <v>0</v>
      </c>
      <c r="AA147" s="407">
        <f>IF(AA$5=$H147,-$E147,0)</f>
        <v>0</v>
      </c>
      <c r="AB147" s="404">
        <f>IF(AF147=0,0,IF(AF147&lt;0,IF($J147=3,AF147,IF($J147=2,AF147,IF($J147=1,AF147,0)))))</f>
        <v>0</v>
      </c>
      <c r="AC147" s="414">
        <f>IF(AF147=0,0,IF(AF147&lt;0,IF($J147=6,AF147,IF($J147=5,AF147,IF($J147=4,AF147,0)))))</f>
        <v>0</v>
      </c>
      <c r="AD147" s="414">
        <f>IF(AF147=0,0,IF(AF147&lt;0,IF($J147=9,AF147,IF($J147=8,AF147,IF($J147=7,AF147,0)))))</f>
        <v>0</v>
      </c>
      <c r="AE147" s="406">
        <f>IF(AF147=0,0,IF(AF147&lt;0,IF($J147=12,AF147,IF($J147=11,AF147,IF($J147=10,AF147,0)))))</f>
        <v>0</v>
      </c>
      <c r="AF147" s="407">
        <f>IF(AF$5=$H147,-$E147,0)</f>
        <v>0</v>
      </c>
      <c r="AG147" s="404">
        <f>IF(AK147=0,0,IF(AK147&lt;0,IF($J147=3,AK147,IF($J147=2,AK147,IF($J147=1,AK147,0)))))</f>
        <v>0</v>
      </c>
      <c r="AH147" s="414">
        <f>IF(AK147=0,0,IF(AK147&lt;0,IF($J147=6,AK147,IF($J147=5,AK147,IF($J147=4,AK147,0)))))</f>
        <v>0</v>
      </c>
      <c r="AI147" s="414">
        <f>IF(AK147=0,0,IF(AK147&lt;0,IF($J147=9,AK147,IF($J147=8,AK147,IF($J147=7,AK147,0)))))</f>
        <v>0</v>
      </c>
      <c r="AJ147" s="406">
        <f>IF(AK147=0,0,IF(AK147&lt;0,IF($J147=12,AK147,IF($J147=11,AK147,IF($J147=10,AK147,0)))))</f>
        <v>0</v>
      </c>
      <c r="AK147" s="407">
        <f>IF(AK$5=$H147,-$E147,0)</f>
        <v>0</v>
      </c>
      <c r="AL147" s="404">
        <f>IF(AP147=0,0,IF(AP147&lt;0,IF($J147=3,AP147,IF($J147=2,AP147,IF($J147=1,AP147,0)))))</f>
        <v>0</v>
      </c>
      <c r="AM147" s="414">
        <f>IF(AP147=0,0,IF(AP147&lt;0,IF($J147=6,AP147,IF($J147=5,AP147,IF($J147=4,AP147,0)))))</f>
        <v>0</v>
      </c>
      <c r="AN147" s="414">
        <f>IF(AP147=0,0,IF(AP147&lt;0,IF($J147=9,AP147,IF($J147=8,AP147,IF($J147=7,AP147,0)))))</f>
        <v>0</v>
      </c>
      <c r="AO147" s="406">
        <f>IF(AP147=0,0,IF(AP147&lt;0,IF($J147=12,AP147,IF($J147=11,AP147,IF($J147=10,AP147,0)))))</f>
        <v>0</v>
      </c>
      <c r="AP147" s="407">
        <f>IF(AP$5=$H147,-$E147,0)</f>
        <v>0</v>
      </c>
      <c r="AQ147" s="404">
        <f>IF(AU147=0,0,IF(AU147&lt;0,IF($J147=3,AU147,IF($J147=2,AU147,IF($J147=1,AU147,0)))))</f>
        <v>0</v>
      </c>
      <c r="AR147" s="414">
        <f>IF(AU147=0,0,IF(AU147&lt;0,IF($J147=6,AU147,IF($J147=5,AU147,IF($J147=4,AU147,0)))))</f>
        <v>0</v>
      </c>
      <c r="AS147" s="414">
        <f>IF(AU147=0,0,IF(AU147&lt;0,IF($J147=9,AU147,IF($J147=8,AU147,IF($J147=7,AU147,0)))))</f>
        <v>0</v>
      </c>
      <c r="AT147" s="406">
        <f>IF(AU147=0,0,IF(AU147&lt;0,IF($J147=12,AU147,IF($J147=11,AU147,IF($J147=10,AU147,0)))))</f>
        <v>0</v>
      </c>
      <c r="AU147" s="407">
        <f>IF(AU$5=$H147,-$E147,0)</f>
        <v>0</v>
      </c>
      <c r="AV147" s="404">
        <f>IF(AZ147=0,0,IF(AZ147&lt;0,IF($J147=3,AZ147,IF($J147=2,AZ147,IF($J147=1,AZ147,0)))))</f>
        <v>0</v>
      </c>
      <c r="AW147" s="414">
        <f>IF(AZ147=0,0,IF(AZ147&lt;0,IF($J147=6,AZ147,IF($J147=5,AZ147,IF($J147=4,AZ147,0)))))</f>
        <v>0</v>
      </c>
      <c r="AX147" s="414">
        <f>IF(AZ147=0,0,IF(AZ147&lt;0,IF($J147=9,AZ147,IF($J147=8,AZ147,IF($J147=7,AZ147,0)))))</f>
        <v>0</v>
      </c>
      <c r="AY147" s="406">
        <f>IF(AZ147=0,0,IF(AZ147&lt;0,IF($J147=12,AZ147,IF($J147=11,AZ147,IF($J147=10,AZ147,0)))))</f>
        <v>0</v>
      </c>
      <c r="AZ147" s="407">
        <f>IF(AZ$5=$H147,-$E147,0)</f>
        <v>0</v>
      </c>
      <c r="BA147" s="404">
        <f>IF(BE147=0,0,IF(BE147&lt;0,IF($J147=3,BE147,IF($J147=2,BE147,IF($J147=1,BE147,0)))))</f>
        <v>-53.5</v>
      </c>
      <c r="BB147" s="414">
        <f>IF(BE147=0,0,IF(BE147&lt;0,IF($J147=6,BE147,IF($J147=5,BE147,IF($J147=4,BE147,0)))))</f>
        <v>0</v>
      </c>
      <c r="BC147" s="414">
        <f>IF(BE147=0,0,IF(BE147&lt;0,IF($J147=9,BE147,IF($J147=8,BE147,IF($J147=7,BE147,0)))))</f>
        <v>0</v>
      </c>
      <c r="BD147" s="406">
        <f>IF(BE147=0,0,IF(BE147&lt;0,IF($J147=12,BE147,IF($J147=11,BE147,IF($J147=10,BE147,0)))))</f>
        <v>0</v>
      </c>
      <c r="BE147" s="407">
        <f>IF(BE$5=$H147,-$E147,0)</f>
        <v>-53.5</v>
      </c>
      <c r="BF147" s="404">
        <f>IF(BJ147=0,0,IF(BJ147&lt;0,IF($J147=3,BJ147,IF($J147=2,BJ147,IF($J147=1,BJ147,0)))))</f>
        <v>0</v>
      </c>
      <c r="BG147" s="414">
        <f>IF(BJ147=0,0,IF(BJ147&lt;0,IF($J147=6,BJ147,IF($J147=5,BJ147,IF($J147=4,BJ147,0)))))</f>
        <v>0</v>
      </c>
      <c r="BH147" s="414">
        <f>IF(BJ147=0,0,IF(BJ147&lt;0,IF($J147=9,BJ147,IF($J147=8,BJ147,IF($J147=7,BJ147,0)))))</f>
        <v>0</v>
      </c>
      <c r="BI147" s="406">
        <f>IF(BJ147=0,0,IF(BJ147&lt;0,IF($J147=12,BJ147,IF($J147=11,BJ147,IF($J147=10,BJ147,0)))))</f>
        <v>0</v>
      </c>
      <c r="BJ147" s="407">
        <f>IF(BJ$5=$H147,-$E147,0)</f>
        <v>0</v>
      </c>
      <c r="BK147" s="404">
        <f>IF(BO147=0,0,IF(BO147&lt;0,IF($J147=3,BO147,IF($J147=2,BO147,IF($J147=1,BO147,0)))))</f>
        <v>0</v>
      </c>
      <c r="BL147" s="414">
        <f>IF(BO147=0,0,IF(BO147&lt;0,IF($J147=6,BO147,IF($J147=5,BO147,IF($J147=4,BO147,0)))))</f>
        <v>0</v>
      </c>
      <c r="BM147" s="414">
        <f>IF(BO147=0,0,IF(BO147&lt;0,IF($J147=9,BO147,IF($J147=8,BO147,IF($J147=7,BO147,0)))))</f>
        <v>0</v>
      </c>
      <c r="BN147" s="406">
        <f>IF(BO147=0,0,IF(BO147&lt;0,IF($J147=12,BO147,IF($J147=11,BO147,IF($J147=10,BO147,0)))))</f>
        <v>0</v>
      </c>
      <c r="BO147" s="407">
        <f>IF(BO$5=$H147,-$E147,0)</f>
        <v>0</v>
      </c>
      <c r="BP147" s="449"/>
      <c r="BQ147" s="413">
        <f>IF(AND(AH147&lt;&gt;0,AH$5=$H147),-$I147*$E147-AH147,IF(BQ$5=$H147,-$I147*$E147*(12-$J147+1)/12,0))</f>
        <v>0</v>
      </c>
      <c r="BR147" s="410">
        <f>IF($H147&lt;&gt;BV$5,0,IF(BV147&lt;0,IF($J147=1,-$E147*$I147/12*3,IF($J147=2,-$E147*$I147/12*2,IF($J147=3,-$E147*$I147/12*1,0)))))+IF(BQ$5&lt;&gt;$H147,0,IF(BQ147&lt;0,IF($J147=1,-$E147*$I147/12*0,IF($J147=2,-$E147*$I147/12*1,IF($J147=3,-$E147*$I147/12*2,IF($J147&gt;=4,-$E147*$I147/12*3,0))))))</f>
        <v>0</v>
      </c>
      <c r="BS147" s="416">
        <f>IF($H147&lt;&gt;BV$5,0,IF(BV147&lt;0,IF(OR($J147=1,$J147=2,$J147=3,$J147=4),-$E147*$I147/12*3,IF($J147=5,-$E147*$I147/12*2,IF($J147=6,-$E147*$I147/12*1,0)))))+IF(BQ$5&lt;&gt;$H147,0,IF(BQ147&lt;0,IF($J147=4,-$E147*$I147/12*0,IF($J147=5,-$E147*$I147/12*1,IF($J147=6,-$E147*$I147/12*2,IF($J147&gt;=7,-$E147*$I147/12*3,0))))))</f>
        <v>0</v>
      </c>
      <c r="BT147" s="416">
        <f>IF($H147&lt;&gt;BV$5,0,IF(BV147&lt;0,IF(OR($J147=1,$J147=2,$J147=3,$J147=4,$J147=5,$J147=6,$J147=7),-$E147*$I147/12*3,IF($J147=8,-$E147*$I147/12*2,IF($J147=9,-$E147*$I147/12*1,0)))))+IF(BQ$5&lt;&gt;$H147,0,IF(BQ147&lt;0,IF($J147=7,-$E147*$I147/12*0,IF($J147=8,-$E147*$I147/12*1,IF($J147=9,-$E147*$I147/12*2,IF($J147&gt;=10,-$E147*$I147/12*3,0))))))</f>
        <v>0</v>
      </c>
      <c r="BU147" s="412">
        <f>IF($H147&lt;&gt;BV$5,0,IF(BV147&lt;0,IF(OR($J147=1,$J147=2,$J147=3,$J147=4,$J147=5,$J147=6,$J147=7,$J147=8,$J147=9,$J147=10),-$E147*$I147/12*3,IF($J147=11,-$E147*$I147/12*2,IF($J147=12,-$E147*$I147/12*1,0)))))+IF(BQ$5&lt;&gt;$H147,0,IF(BQ147&lt;0,IF($J147=10,-$E147*$I147/12*0,IF($J147=11,-$E147*$I147/12*1,IF($J147=12,-$E147*$I147/12*2,0)))))</f>
        <v>0</v>
      </c>
      <c r="BV147" s="413">
        <f>IF(AND(BQ147&lt;&gt;0,BQ$5=$H147),-$I147*$E147-BQ147,IF(BV$5=$H147,-$I147*$E147*(12-$J147+1)/12,0))</f>
        <v>0</v>
      </c>
      <c r="BW147" s="410">
        <f>IF($H147&lt;&gt;CA$5,0,IF(CA147&lt;0,IF($J147=1,-$E147*$I147/12*3,IF($J147=2,-$E147*$I147/12*2,IF($J147=3,-$E147*$I147/12*1,0)))))+IF(BV$5&lt;&gt;$H147,0,IF(BV147&lt;0,IF($J147=1,-$E147*$I147/12*0,IF($J147=2,-$E147*$I147/12*1,IF($J147=3,-$E147*$I147/12*2,IF($J147&gt;=4,-$E147*$I147/12*3,0))))))</f>
        <v>0</v>
      </c>
      <c r="BX147" s="416">
        <f>IF($H147&lt;&gt;CA$5,0,IF(CA147&lt;0,IF(OR($J147=1,$J147=2,$J147=3,$J147=4),-$E147*$I147/12*3,IF($J147=5,-$E147*$I147/12*2,IF($J147=6,-$E147*$I147/12*1,0)))))+IF(BV$5&lt;&gt;$H147,0,IF(BV147&lt;0,IF($J147=4,-$E147*$I147/12*0,IF($J147=5,-$E147*$I147/12*1,IF($J147=6,-$E147*$I147/12*2,IF($J147&gt;=7,-$E147*$I147/12*3,0))))))</f>
        <v>0</v>
      </c>
      <c r="BY147" s="416">
        <f>IF($H147&lt;&gt;CA$5,0,IF(CA147&lt;0,IF(OR($J147=1,$J147=2,$J147=3,$J147=4,$J147=5,$J147=6,$J147=7),-$E147*$I147/12*3,IF($J147=8,-$E147*$I147/12*2,IF($J147=9,-$E147*$I147/12*1,0)))))+IF(BV$5&lt;&gt;$H147,0,IF(BV147&lt;0,IF($J147=7,-$E147*$I147/12*0,IF($J147=8,-$E147*$I147/12*1,IF($J147=9,-$E147*$I147/12*2,IF($J147&gt;=10,-$E147*$I147/12*3,0))))))</f>
        <v>0</v>
      </c>
      <c r="BZ147" s="412">
        <f>IF($H147&lt;&gt;CA$5,0,IF(CA147&lt;0,IF(OR($J147=1,$J147=2,$J147=3,$J147=4,$J147=5,$J147=6,$J147=7,$J147=8,$J147=9,$J147=10),-$E147*$I147/12*3,IF($J147=11,-$E147*$I147/12*2,IF($J147=12,-$E147*$I147/12*1,0)))))+IF(BV$5&lt;&gt;$H147,0,IF(BV147&lt;0,IF($J147=10,-$E147*$I147/12*0,IF($J147=11,-$E147*$I147/12*1,IF($J147=12,-$E147*$I147/12*2,0)))))</f>
        <v>0</v>
      </c>
      <c r="CA147" s="413">
        <f>IF(AND(BV147&lt;&gt;0,BV$5=$H147),-$I147*$E147-BV147,IF(CA$5=$H147,-$I147*$E147*(12-$J147+1)/12,0))</f>
        <v>0</v>
      </c>
      <c r="CB147" s="410">
        <f>IF($H147&lt;&gt;CF$5,0,IF(CF147&lt;0,IF($J147=1,-$E147*$I147/12*3,IF($J147=2,-$E147*$I147/12*2,IF($J147=3,-$E147*$I147/12*1,0)))))+IF(CA$5&lt;&gt;$H147,0,IF(CA147&lt;0,IF($J147=1,-$E147*$I147/12*0,IF($J147=2,-$E147*$I147/12*1,IF($J147=3,-$E147*$I147/12*2,IF($J147&gt;=4,-$E147*$I147/12*3,0))))))</f>
        <v>0</v>
      </c>
      <c r="CC147" s="416">
        <f>IF($H147&lt;&gt;CF$5,0,IF(CF147&lt;0,IF(OR($J147=1,$J147=2,$J147=3,$J147=4),-$E147*$I147/12*3,IF($J147=5,-$E147*$I147/12*2,IF($J147=6,-$E147*$I147/12*1,0)))))+IF(CA$5&lt;&gt;$H147,0,IF(CA147&lt;0,IF($J147=4,-$E147*$I147/12*0,IF($J147=5,-$E147*$I147/12*1,IF($J147=6,-$E147*$I147/12*2,IF($J147&gt;=7,-$E147*$I147/12*3,0))))))</f>
        <v>0</v>
      </c>
      <c r="CD147" s="416">
        <f>IF($H147&lt;&gt;CF$5,0,IF(CF147&lt;0,IF(OR($J147=1,$J147=2,$J147=3,$J147=4,$J147=5,$J147=6,$J147=7),-$E147*$I147/12*3,IF($J147=8,-$E147*$I147/12*2,IF($J147=9,-$E147*$I147/12*1,0)))))+IF(CA$5&lt;&gt;$H147,0,IF(CA147&lt;0,IF($J147=7,-$E147*$I147/12*0,IF($J147=8,-$E147*$I147/12*1,IF($J147=9,-$E147*$I147/12*2,IF($J147&gt;=10,-$E147*$I147/12*3,0))))))</f>
        <v>0</v>
      </c>
      <c r="CE147" s="412">
        <f>IF($H147&lt;&gt;CF$5,0,IF(CF147&lt;0,IF(OR($J147=1,$J147=2,$J147=3,$J147=4,$J147=5,$J147=6,$J147=7,$J147=8,$J147=9,$J147=10),-$E147*$I147/12*3,IF($J147=11,-$E147*$I147/12*2,IF($J147=12,-$E147*$I147/12*1,0)))))+IF(CA$5&lt;&gt;$H147,0,IF(CA147&lt;0,IF($J147=10,-$E147*$I147/12*0,IF($J147=11,-$E147*$I147/12*1,IF($J147=12,-$E147*$I147/12*2,0)))))</f>
        <v>0</v>
      </c>
      <c r="CF147" s="413">
        <f>IF(AND(CA147&lt;&gt;0,CA$5=$H147),-$I147*$E147-CA147,IF(CF$5=$H147,-$I147*$E147*(12-$J147+1)/12,0))</f>
        <v>0</v>
      </c>
      <c r="CG147" s="410">
        <f>IF($H147&lt;&gt;CK$5,0,IF(CK147&lt;0,IF($J147=1,-$E147*$I147/12*3,IF($J147=2,-$E147*$I147/12*2,IF($J147=3,-$E147*$I147/12*1,0)))))+IF(CF$5&lt;&gt;$H147,0,IF(CF147&lt;0,IF($J147=1,-$E147*$I147/12*0,IF($J147=2,-$E147*$I147/12*1,IF($J147=3,-$E147*$I147/12*2,IF($J147&gt;=4,-$E147*$I147/12*3,0))))))</f>
        <v>0</v>
      </c>
      <c r="CH147" s="416">
        <f>IF($H147&lt;&gt;CK$5,0,IF(CK147&lt;0,IF(OR($J147=1,$J147=2,$J147=3,$J147=4),-$E147*$I147/12*3,IF($J147=5,-$E147*$I147/12*2,IF($J147=6,-$E147*$I147/12*1,0)))))+IF(CF$5&lt;&gt;$H147,0,IF(CF147&lt;0,IF($J147=4,-$E147*$I147/12*0,IF($J147=5,-$E147*$I147/12*1,IF($J147=6,-$E147*$I147/12*2,IF($J147&gt;=7,-$E147*$I147/12*3,0))))))</f>
        <v>0</v>
      </c>
      <c r="CI147" s="416">
        <f>IF($H147&lt;&gt;CK$5,0,IF(CK147&lt;0,IF(OR($J147=1,$J147=2,$J147=3,$J147=4,$J147=5,$J147=6,$J147=7),-$E147*$I147/12*3,IF($J147=8,-$E147*$I147/12*2,IF($J147=9,-$E147*$I147/12*1,0)))))+IF(CF$5&lt;&gt;$H147,0,IF(CF147&lt;0,IF($J147=7,-$E147*$I147/12*0,IF($J147=8,-$E147*$I147/12*1,IF($J147=9,-$E147*$I147/12*2,IF($J147&gt;=10,-$E147*$I147/12*3,0))))))</f>
        <v>0</v>
      </c>
      <c r="CJ147" s="412">
        <f>IF($H147&lt;&gt;CK$5,0,IF(CK147&lt;0,IF(OR($J147=1,$J147=2,$J147=3,$J147=4,$J147=5,$J147=6,$J147=7,$J147=8,$J147=9,$J147=10),-$E147*$I147/12*3,IF($J147=11,-$E147*$I147/12*2,IF($J147=12,-$E147*$I147/12*1,0)))))+IF(CF$5&lt;&gt;$H147,0,IF(CF147&lt;0,IF($J147=10,-$E147*$I147/12*0,IF($J147=11,-$E147*$I147/12*1,IF($J147=12,-$E147*$I147/12*2,0)))))</f>
        <v>0</v>
      </c>
      <c r="CK147" s="413">
        <f>IF(AND(CF147&lt;&gt;0,CF$5=$H147),-$I147*$E147-CF147,IF(CK$5=$H147,-$I147*$E147*(12-$J147+1)/12,0))</f>
        <v>0</v>
      </c>
      <c r="CL147" s="410">
        <f>IF($H147&lt;&gt;CP$5,0,IF(CP147&lt;0,IF($J147=1,-$E147*$I147/12*3,IF($J147=2,-$E147*$I147/12*2,IF($J147=3,-$E147*$I147/12*1,0)))))+IF(CK$5&lt;&gt;$H147,0,IF(CK147&lt;0,IF($J147=1,-$E147*$I147/12*0,IF($J147=2,-$E147*$I147/12*1,IF($J147=3,-$E147*$I147/12*2,IF($J147&gt;=4,-$E147*$I147/12*3,0))))))</f>
        <v>0</v>
      </c>
      <c r="CM147" s="416">
        <f>IF($H147&lt;&gt;CP$5,0,IF(CP147&lt;0,IF(OR($J147=1,$J147=2,$J147=3,$J147=4),-$E147*$I147/12*3,IF($J147=5,-$E147*$I147/12*2,IF($J147=6,-$E147*$I147/12*1,0)))))+IF(CK$5&lt;&gt;$H147,0,IF(CK147&lt;0,IF($J147=4,-$E147*$I147/12*0,IF($J147=5,-$E147*$I147/12*1,IF($J147=6,-$E147*$I147/12*2,IF($J147&gt;=7,-$E147*$I147/12*3,0))))))</f>
        <v>0</v>
      </c>
      <c r="CN147" s="416">
        <f>IF($H147&lt;&gt;CP$5,0,IF(CP147&lt;0,IF(OR($J147=1,$J147=2,$J147=3,$J147=4,$J147=5,$J147=6,$J147=7),-$E147*$I147/12*3,IF($J147=8,-$E147*$I147/12*2,IF($J147=9,-$E147*$I147/12*1,0)))))+IF(CK$5&lt;&gt;$H147,0,IF(CK147&lt;0,IF($J147=7,-$E147*$I147/12*0,IF($J147=8,-$E147*$I147/12*1,IF($J147=9,-$E147*$I147/12*2,IF($J147&gt;=10,-$E147*$I147/12*3,0))))))</f>
        <v>0</v>
      </c>
      <c r="CO147" s="412">
        <f>IF($H147&lt;&gt;CP$5,0,IF(CP147&lt;0,IF(OR($J147=1,$J147=2,$J147=3,$J147=4,$J147=5,$J147=6,$J147=7,$J147=8,$J147=9,$J147=10),-$E147*$I147/12*3,IF($J147=11,-$E147*$I147/12*2,IF($J147=12,-$E147*$I147/12*1,0)))))+IF(CK$5&lt;&gt;$H147,0,IF(CK147&lt;0,IF($J147=10,-$E147*$I147/12*0,IF($J147=11,-$E147*$I147/12*1,IF($J147=12,-$E147*$I147/12*2,0)))))</f>
        <v>0</v>
      </c>
      <c r="CP147" s="413">
        <f>IF(AND(CK147&lt;&gt;0,CK$5=$H147),-$I147*$E147-CK147,IF(CP$5=$H147,-$I147*$E147*(12-$J147+1)/12,0))</f>
        <v>0</v>
      </c>
      <c r="CQ147" s="410">
        <f>IF($H147&lt;&gt;CU$5,0,IF(CU147&lt;0,IF($J147=1,-$E147*$I147/12*3,IF($J147=2,-$E147*$I147/12*2,IF($J147=3,-$E147*$I147/12*1,0)))))+IF(CP$5&lt;&gt;$H147,0,IF(CP147&lt;0,IF($J147=1,-$E147*$I147/12*0,IF($J147=2,-$E147*$I147/12*1,IF($J147=3,-$E147*$I147/12*2,IF($J147&gt;=4,-$E147*$I147/12*3,0))))))</f>
        <v>0</v>
      </c>
      <c r="CR147" s="416">
        <f>IF($H147&lt;&gt;CU$5,0,IF(CU147&lt;0,IF(OR($J147=1,$J147=2,$J147=3,$J147=4),-$E147*$I147/12*3,IF($J147=5,-$E147*$I147/12*2,IF($J147=6,-$E147*$I147/12*1,0)))))+IF(CP$5&lt;&gt;$H147,0,IF(CP147&lt;0,IF($J147=4,-$E147*$I147/12*0,IF($J147=5,-$E147*$I147/12*1,IF($J147=6,-$E147*$I147/12*2,IF($J147&gt;=7,-$E147*$I147/12*3,0))))))</f>
        <v>0</v>
      </c>
      <c r="CS147" s="416">
        <f>IF($H147&lt;&gt;CU$5,0,IF(CU147&lt;0,IF(OR($J147=1,$J147=2,$J147=3,$J147=4,$J147=5,$J147=6,$J147=7),-$E147*$I147/12*3,IF($J147=8,-$E147*$I147/12*2,IF($J147=9,-$E147*$I147/12*1,0)))))+IF(CP$5&lt;&gt;$H147,0,IF(CP147&lt;0,IF($J147=7,-$E147*$I147/12*0,IF($J147=8,-$E147*$I147/12*1,IF($J147=9,-$E147*$I147/12*2,IF($J147&gt;=10,-$E147*$I147/12*3,0))))))</f>
        <v>0</v>
      </c>
      <c r="CT147" s="412">
        <f>IF($H147&lt;&gt;CU$5,0,IF(CU147&lt;0,IF(OR($J147=1,$J147=2,$J147=3,$J147=4,$J147=5,$J147=6,$J147=7,$J147=8,$J147=9,$J147=10),-$E147*$I147/12*3,IF($J147=11,-$E147*$I147/12*2,IF($J147=12,-$E147*$I147/12*1,0)))))+IF(CP$5&lt;&gt;$H147,0,IF(CP147&lt;0,IF($J147=10,-$E147*$I147/12*0,IF($J147=11,-$E147*$I147/12*1,IF($J147=12,-$E147*$I147/12*2,0)))))</f>
        <v>0</v>
      </c>
      <c r="CU147" s="413">
        <f>IF(AND(CP147&lt;&gt;0,CP$5=$H147),-$I147*$E147-CP147,IF(CU$5=$H147,-$I147*$E147*(12-$J147+1)/12,0))</f>
        <v>0</v>
      </c>
      <c r="CV147" s="410">
        <f>IF($H147&lt;&gt;CZ$5,0,IF(CZ147&lt;0,IF($J147=1,-$E147*$I147/12*3,IF($J147=2,-$E147*$I147/12*2,IF($J147=3,-$E147*$I147/12*1,0)))))+IF(CU$5&lt;&gt;$H147,0,IF(CU147&lt;0,IF($J147=1,-$E147*$I147/12*0,IF($J147=2,-$E147*$I147/12*1,IF($J147=3,-$E147*$I147/12*2,IF($J147&gt;=4,-$E147*$I147/12*3,0))))))</f>
        <v>0</v>
      </c>
      <c r="CW147" s="416">
        <f>IF($H147&lt;&gt;CZ$5,0,IF(CZ147&lt;0,IF(OR($J147=1,$J147=2,$J147=3,$J147=4),-$E147*$I147/12*3,IF($J147=5,-$E147*$I147/12*2,IF($J147=6,-$E147*$I147/12*1,0)))))+IF(CU$5&lt;&gt;$H147,0,IF(CU147&lt;0,IF($J147=4,-$E147*$I147/12*0,IF($J147=5,-$E147*$I147/12*1,IF($J147=6,-$E147*$I147/12*2,IF($J147&gt;=7,-$E147*$I147/12*3,0))))))</f>
        <v>0</v>
      </c>
      <c r="CX147" s="416">
        <f>IF($H147&lt;&gt;CZ$5,0,IF(CZ147&lt;0,IF(OR($J147=1,$J147=2,$J147=3,$J147=4,$J147=5,$J147=6,$J147=7),-$E147*$I147/12*3,IF($J147=8,-$E147*$I147/12*2,IF($J147=9,-$E147*$I147/12*1,0)))))+IF(CU$5&lt;&gt;$H147,0,IF(CU147&lt;0,IF($J147=7,-$E147*$I147/12*0,IF($J147=8,-$E147*$I147/12*1,IF($J147=9,-$E147*$I147/12*2,IF($J147&gt;=10,-$E147*$I147/12*3,0))))))</f>
        <v>0</v>
      </c>
      <c r="CY147" s="412">
        <f>IF($H147&lt;&gt;CZ$5,0,IF(CZ147&lt;0,IF(OR($J147=1,$J147=2,$J147=3,$J147=4,$J147=5,$J147=6,$J147=7,$J147=8,$J147=9,$J147=10),-$E147*$I147/12*3,IF($J147=11,-$E147*$I147/12*2,IF($J147=12,-$E147*$I147/12*1,0)))))+IF(CU$5&lt;&gt;$H147,0,IF(CU147&lt;0,IF($J147=10,-$E147*$I147/12*0,IF($J147=11,-$E147*$I147/12*1,IF($J147=12,-$E147*$I147/12*2,0)))))</f>
        <v>0</v>
      </c>
      <c r="CZ147" s="413">
        <f>IF(AND(CU147&lt;&gt;0,CU$5=$H147),-$I147*$E147-CU147,IF(CZ$5=$H147,-$I147*$E147*(12-$J147+1)/12,0))</f>
        <v>0</v>
      </c>
      <c r="DA147" s="410">
        <f>IF($H147&lt;&gt;DE$5,0,IF(DE147&lt;0,IF($J147=1,-$E147*$I147/12*3,IF($J147=2,-$E147*$I147/12*2,IF($J147=3,-$E147*$I147/12*1,0)))))+IF(CZ$5&lt;&gt;$H147,0,IF(CZ147&lt;0,IF($J147=1,-$E147*$I147/12*0,IF($J147=2,-$E147*$I147/12*1,IF($J147=3,-$E147*$I147/12*2,IF($J147&gt;=4,-$E147*$I147/12*3,0))))))</f>
        <v>0</v>
      </c>
      <c r="DB147" s="416">
        <f>IF($H147&lt;&gt;DE$5,0,IF(DE147&lt;0,IF(OR($J147=1,$J147=2,$J147=3,$J147=4),-$E147*$I147/12*3,IF($J147=5,-$E147*$I147/12*2,IF($J147=6,-$E147*$I147/12*1,0)))))+IF(CZ$5&lt;&gt;$H147,0,IF(CZ147&lt;0,IF($J147=4,-$E147*$I147/12*0,IF($J147=5,-$E147*$I147/12*1,IF($J147=6,-$E147*$I147/12*2,IF($J147&gt;=7,-$E147*$I147/12*3,0))))))</f>
        <v>0</v>
      </c>
      <c r="DC147" s="416">
        <f>IF($H147&lt;&gt;DE$5,0,IF(DE147&lt;0,IF(OR($J147=1,$J147=2,$J147=3,$J147=4,$J147=5,$J147=6,$J147=7),-$E147*$I147/12*3,IF($J147=8,-$E147*$I147/12*2,IF($J147=9,-$E147*$I147/12*1,0)))))+IF(CZ$5&lt;&gt;$H147,0,IF(CZ147&lt;0,IF($J147=7,-$E147*$I147/12*0,IF($J147=8,-$E147*$I147/12*1,IF($J147=9,-$E147*$I147/12*2,IF($J147&gt;=10,-$E147*$I147/12*3,0))))))</f>
        <v>0</v>
      </c>
      <c r="DD147" s="412">
        <f>IF($H147&lt;&gt;DE$5,0,IF(DE147&lt;0,IF(OR($J147=1,$J147=2,$J147=3,$J147=4,$J147=5,$J147=6,$J147=7,$J147=8,$J147=9,$J147=10),-$E147*$I147/12*3,IF($J147=11,-$E147*$I147/12*2,IF($J147=12,-$E147*$I147/12*1,0)))))+IF(CZ$5&lt;&gt;$H147,0,IF(CZ147&lt;0,IF($J147=10,-$E147*$I147/12*0,IF($J147=11,-$E147*$I147/12*1,IF($J147=12,-$E147*$I147/12*2,0)))))</f>
        <v>0</v>
      </c>
      <c r="DE147" s="413">
        <f>IF(AND(CZ147&lt;&gt;0,CZ$5=$H147),-$I147*$E147-CZ147,IF(DE$5=$H147,-$I147*$E147*(12-$J147+1)/12,0))</f>
        <v>0</v>
      </c>
      <c r="DF147" s="410">
        <f>IF($H147&lt;&gt;DJ$5,0,IF(DJ147&lt;0,IF($J147=1,-$E147*$I147/12*3,IF($J147=2,-$E147*$I147/12*2,IF($J147=3,-$E147*$I147/12*1,0)))))+IF(DE$5&lt;&gt;$H147,0,IF(DE147&lt;0,IF($J147=1,-$E147*$I147/12*0,IF($J147=2,-$E147*$I147/12*1,IF($J147=3,-$E147*$I147/12*2,IF($J147&gt;=4,-$E147*$I147/12*3,0))))))</f>
        <v>-7.1333333333333332E-2</v>
      </c>
      <c r="DG147" s="416">
        <f>IF($H147&lt;&gt;DJ$5,0,IF(DJ147&lt;0,IF(OR($J147=1,$J147=2,$J147=3,$J147=4),-$E147*$I147/12*3,IF($J147=5,-$E147*$I147/12*2,IF($J147=6,-$E147*$I147/12*1,0)))))+IF(DE$5&lt;&gt;$H147,0,IF(DE147&lt;0,IF($J147=4,-$E147*$I147/12*0,IF($J147=5,-$E147*$I147/12*1,IF($J147=6,-$E147*$I147/12*2,IF($J147&gt;=7,-$E147*$I147/12*3,0))))))</f>
        <v>-0.214</v>
      </c>
      <c r="DH147" s="416">
        <f>IF($H147&lt;&gt;DJ$5,0,IF(DJ147&lt;0,IF(OR($J147=1,$J147=2,$J147=3,$J147=4,$J147=5,$J147=6,$J147=7),-$E147*$I147/12*3,IF($J147=8,-$E147*$I147/12*2,IF($J147=9,-$E147*$I147/12*1,0)))))+IF(DE$5&lt;&gt;$H147,0,IF(DE147&lt;0,IF($J147=7,-$E147*$I147/12*0,IF($J147=8,-$E147*$I147/12*1,IF($J147=9,-$E147*$I147/12*2,IF($J147&gt;=10,-$E147*$I147/12*3,0))))))</f>
        <v>-0.214</v>
      </c>
      <c r="DI147" s="412">
        <f>IF($H147&lt;&gt;DJ$5,0,IF(DJ147&lt;0,IF(OR($J147=1,$J147=2,$J147=3,$J147=4,$J147=5,$J147=6,$J147=7,$J147=8,$J147=9,$J147=10),-$E147*$I147/12*3,IF($J147=11,-$E147*$I147/12*2,IF($J147=12,-$E147*$I147/12*1,0)))))+IF(DE$5&lt;&gt;$H147,0,IF(DE147&lt;0,IF($J147=10,-$E147*$I147/12*0,IF($J147=11,-$E147*$I147/12*1,IF($J147=12,-$E147*$I147/12*2,0)))))</f>
        <v>-0.214</v>
      </c>
      <c r="DJ147" s="413">
        <f>IF(AND(DE147&lt;&gt;0,DE$5=$H147),-$I147*$E147-DE147,IF(DJ$5=$H147,-$I147*$E147*(12-$J147+1)/12,0))</f>
        <v>-0.71333333333333337</v>
      </c>
      <c r="DK147" s="410">
        <f>IF($H147&lt;&gt;DO$5,0,IF(DO147&lt;0,IF($J147=1,-$E147*$I147/12*3,IF($J147=2,-$E147*$I147/12*2,IF($J147=3,-$E147*$I147/12*1,0)))))+IF(DJ$5&lt;&gt;$H147,0,IF(DJ147&lt;0,IF($J147=1,-$E147*$I147/12*0,IF($J147=2,-$E147*$I147/12*1,IF($J147=3,-$E147*$I147/12*2,IF($J147&gt;=4,-$E147*$I147/12*3,0))))))</f>
        <v>-0.14266666666666666</v>
      </c>
      <c r="DL147" s="416">
        <f>IF($H147&lt;&gt;DO$5,0,IF(DO147&lt;0,IF(OR($J147=1,$J147=2,$J147=3,$J147=4),-$E147*$I147/12*3,IF($J147=5,-$E147*$I147/12*2,IF($J147=6,-$E147*$I147/12*1,0)))))+IF(DJ$5&lt;&gt;$H147,0,IF(DJ147&lt;0,IF($J147=4,-$E147*$I147/12*0,IF($J147=5,-$E147*$I147/12*1,IF($J147=6,-$E147*$I147/12*2,IF($J147&gt;=7,-$E147*$I147/12*3,0))))))</f>
        <v>0</v>
      </c>
      <c r="DM147" s="416">
        <f>IF($H147&lt;&gt;DO$5,0,IF(DO147&lt;0,IF(OR($J147=1,$J147=2,$J147=3,$J147=4,$J147=5,$J147=6,$J147=7),-$E147*$I147/12*3,IF($J147=8,-$E147*$I147/12*2,IF($J147=9,-$E147*$I147/12*1,0)))))+IF(DJ$5&lt;&gt;$H147,0,IF(DJ147&lt;0,IF($J147=7,-$E147*$I147/12*0,IF($J147=8,-$E147*$I147/12*1,IF($J147=9,-$E147*$I147/12*2,IF($J147&gt;=10,-$E147*$I147/12*3,0))))))</f>
        <v>0</v>
      </c>
      <c r="DN147" s="412">
        <f>IF($H147&lt;&gt;DO$5,0,IF(DO147&lt;0,IF(OR($J147=1,$J147=2,$J147=3,$J147=4,$J147=5,$J147=6,$J147=7,$J147=8,$J147=9,$J147=10),-$E147*$I147/12*3,IF($J147=11,-$E147*$I147/12*2,IF($J147=12,-$E147*$I147/12*1,0)))))+IF(DJ$5&lt;&gt;$H147,0,IF(DJ147&lt;0,IF($J147=10,-$E147*$I147/12*0,IF($J147=11,-$E147*$I147/12*1,IF($J147=12,-$E147*$I147/12*2,0)))))</f>
        <v>0</v>
      </c>
      <c r="DO147" s="413">
        <f>IF(AND(DJ147&lt;&gt;0,DJ$5=$H147),-$I147*$E147-DJ147,IF(DO$5=$H147,-$I147*$E147*(12-$J147+1)/12,0))</f>
        <v>-0.14266666666666661</v>
      </c>
      <c r="DP147" s="410">
        <f>IF($H147&lt;&gt;DT$5,0,IF(DT147&lt;0,IF($J147=1,-$E147*$I147/12*3,IF($J147=2,-$E147*$I147/12*2,IF($J147=3,-$E147*$I147/12*1,0)))))+IF(DO$5&lt;&gt;$H147,0,IF(DO147&lt;0,IF($J147=1,-$E147*$I147/12*0,IF($J147=2,-$E147*$I147/12*1,IF($J147=3,-$E147*$I147/12*2,IF($J147&gt;=4,-$E147*$I147/12*3,0))))))</f>
        <v>0</v>
      </c>
      <c r="DQ147" s="416">
        <f>IF($H147&lt;&gt;DT$5,0,IF(DT147&lt;0,IF(OR($J147=1,$J147=2,$J147=3,$J147=4),-$E147*$I147/12*3,IF($J147=5,-$E147*$I147/12*2,IF($J147=6,-$E147*$I147/12*1,0)))))+IF(DO$5&lt;&gt;$H147,0,IF(DO147&lt;0,IF($J147=4,-$E147*$I147/12*0,IF($J147=5,-$E147*$I147/12*1,IF($J147=6,-$E147*$I147/12*2,IF($J147&gt;=7,-$E147*$I147/12*3,0))))))</f>
        <v>0</v>
      </c>
      <c r="DR147" s="416">
        <f>IF($H147&lt;&gt;DT$5,0,IF(DT147&lt;0,IF(OR($J147=1,$J147=2,$J147=3,$J147=4,$J147=5,$J147=6,$J147=7),-$E147*$I147/12*3,IF($J147=8,-$E147*$I147/12*2,IF($J147=9,-$E147*$I147/12*1,0)))))+IF(DO$5&lt;&gt;$H147,0,IF(DO147&lt;0,IF($J147=7,-$E147*$I147/12*0,IF($J147=8,-$E147*$I147/12*1,IF($J147=9,-$E147*$I147/12*2,IF($J147&gt;=10,-$E147*$I147/12*3,0))))))</f>
        <v>0</v>
      </c>
      <c r="DS147" s="412">
        <f>IF($H147&lt;&gt;DT$5,0,IF(DT147&lt;0,IF(OR($J147=1,$J147=2,$J147=3,$J147=4,$J147=5,$J147=6,$J147=7,$J147=8,$J147=9,$J147=10),-$E147*$I147/12*3,IF($J147=11,-$E147*$I147/12*2,IF($J147=12,-$E147*$I147/12*1,0)))))+IF(DO$5&lt;&gt;$H147,0,IF(DO147&lt;0,IF($J147=10,-$E147*$I147/12*0,IF($J147=11,-$E147*$I147/12*1,IF($J147=12,-$E147*$I147/12*2,0)))))</f>
        <v>0</v>
      </c>
      <c r="DT147" s="413">
        <f>IF(AND(DO147&lt;&gt;0,DO$5=$H147),-$I147*$E147-DO147,IF(DT$5=$H147,-$I147*$E147*(12-$J147+1)/12,0))</f>
        <v>0</v>
      </c>
    </row>
    <row r="148" spans="1:124" ht="12.75" customHeight="1">
      <c r="A148" s="491"/>
      <c r="C148" s="601"/>
      <c r="D148" s="601"/>
      <c r="E148" s="1531"/>
      <c r="F148" s="1532"/>
      <c r="G148" s="1532"/>
      <c r="H148" s="610"/>
      <c r="I148" s="1533"/>
      <c r="J148" s="615"/>
      <c r="K148" s="402"/>
      <c r="L148" s="407"/>
      <c r="M148" s="404"/>
      <c r="N148" s="414"/>
      <c r="O148" s="414"/>
      <c r="P148" s="406"/>
      <c r="Q148" s="407"/>
      <c r="R148" s="404"/>
      <c r="S148" s="414"/>
      <c r="T148" s="414"/>
      <c r="U148" s="406"/>
      <c r="V148" s="407"/>
      <c r="W148" s="404"/>
      <c r="X148" s="414"/>
      <c r="Y148" s="414"/>
      <c r="Z148" s="406"/>
      <c r="AA148" s="407"/>
      <c r="AB148" s="404"/>
      <c r="AC148" s="414"/>
      <c r="AD148" s="414"/>
      <c r="AE148" s="406"/>
      <c r="AF148" s="407"/>
      <c r="AG148" s="404"/>
      <c r="AH148" s="414"/>
      <c r="AI148" s="414"/>
      <c r="AJ148" s="406"/>
      <c r="AK148" s="407"/>
      <c r="AL148" s="404"/>
      <c r="AM148" s="414"/>
      <c r="AN148" s="414"/>
      <c r="AO148" s="406"/>
      <c r="AP148" s="407"/>
      <c r="AQ148" s="404"/>
      <c r="AR148" s="414"/>
      <c r="AS148" s="414"/>
      <c r="AT148" s="406"/>
      <c r="AU148" s="407"/>
      <c r="AV148" s="404"/>
      <c r="AW148" s="414"/>
      <c r="AX148" s="414"/>
      <c r="AY148" s="406"/>
      <c r="AZ148" s="407"/>
      <c r="BA148" s="404"/>
      <c r="BB148" s="414"/>
      <c r="BC148" s="414"/>
      <c r="BD148" s="406"/>
      <c r="BE148" s="407"/>
      <c r="BF148" s="404"/>
      <c r="BG148" s="414"/>
      <c r="BH148" s="414"/>
      <c r="BI148" s="406"/>
      <c r="BJ148" s="407"/>
      <c r="BK148" s="404"/>
      <c r="BL148" s="414"/>
      <c r="BM148" s="414"/>
      <c r="BN148" s="406"/>
      <c r="BO148" s="407"/>
      <c r="BP148" s="449"/>
      <c r="BQ148" s="413"/>
      <c r="BR148" s="410"/>
      <c r="BS148" s="416"/>
      <c r="BT148" s="416"/>
      <c r="BU148" s="412"/>
      <c r="BV148" s="413"/>
      <c r="BW148" s="410"/>
      <c r="BX148" s="416"/>
      <c r="BY148" s="416"/>
      <c r="BZ148" s="412"/>
      <c r="CA148" s="413"/>
      <c r="CB148" s="410"/>
      <c r="CC148" s="416"/>
      <c r="CD148" s="416"/>
      <c r="CE148" s="412"/>
      <c r="CF148" s="413"/>
      <c r="CG148" s="410"/>
      <c r="CH148" s="416"/>
      <c r="CI148" s="416"/>
      <c r="CJ148" s="412"/>
      <c r="CK148" s="413"/>
      <c r="CL148" s="410"/>
      <c r="CM148" s="416"/>
      <c r="CN148" s="416"/>
      <c r="CO148" s="412"/>
      <c r="CP148" s="413"/>
      <c r="CQ148" s="410"/>
      <c r="CR148" s="416"/>
      <c r="CS148" s="416"/>
      <c r="CT148" s="412"/>
      <c r="CU148" s="413"/>
      <c r="CV148" s="410"/>
      <c r="CW148" s="416"/>
      <c r="CX148" s="416"/>
      <c r="CY148" s="412"/>
      <c r="CZ148" s="413"/>
      <c r="DA148" s="410"/>
      <c r="DB148" s="416"/>
      <c r="DC148" s="416"/>
      <c r="DD148" s="412"/>
      <c r="DE148" s="413"/>
      <c r="DF148" s="410"/>
      <c r="DG148" s="416"/>
      <c r="DH148" s="416"/>
      <c r="DI148" s="412"/>
      <c r="DJ148" s="413"/>
      <c r="DK148" s="410"/>
      <c r="DL148" s="416"/>
      <c r="DM148" s="416"/>
      <c r="DN148" s="412"/>
      <c r="DO148" s="413"/>
      <c r="DP148" s="410"/>
      <c r="DQ148" s="416"/>
      <c r="DR148" s="416"/>
      <c r="DS148" s="412"/>
      <c r="DT148" s="413"/>
    </row>
    <row r="149" spans="1:124" ht="12.75" customHeight="1">
      <c r="C149" s="601" t="s">
        <v>1094</v>
      </c>
      <c r="D149" s="601"/>
      <c r="E149" s="1886">
        <f>IF(F149=0,G149,F149)</f>
        <v>100</v>
      </c>
      <c r="F149" s="1532">
        <v>0</v>
      </c>
      <c r="G149" s="1532">
        <v>100</v>
      </c>
      <c r="H149" s="610">
        <v>2017</v>
      </c>
      <c r="I149" s="1534">
        <v>4.4999999999999998E-2</v>
      </c>
      <c r="J149" s="615">
        <v>6</v>
      </c>
      <c r="K149" s="402"/>
      <c r="L149" s="407">
        <f>IF(L$5=$H149,-$E149,0)</f>
        <v>0</v>
      </c>
      <c r="M149" s="404">
        <f>IF(Q149=0,0,IF(Q149&lt;0,IF($J149=3,Q149,IF($J149=2,Q149,IF($J149=1,Q149,0)))))</f>
        <v>0</v>
      </c>
      <c r="N149" s="414">
        <f>IF(Q149=0,0,IF(Q149&lt;0,IF($J149=6,Q149,IF($J149=5,Q149,IF($J149=4,Q149,0)))))</f>
        <v>0</v>
      </c>
      <c r="O149" s="414">
        <f>IF(Q149=0,0,IF(Q149&lt;0,IF($J149=9,Q149,IF($J149=8,Q149,IF($J149=7,Q149,0)))))</f>
        <v>0</v>
      </c>
      <c r="P149" s="406">
        <f>IF(Q149=0,0,IF(Q149&lt;0,IF($J149=12,Q149,IF($J149=11,Q149,IF($J149=10,Q149,0)))))</f>
        <v>0</v>
      </c>
      <c r="Q149" s="407">
        <f>IF(Q$5=$H149,-$E149,0)</f>
        <v>0</v>
      </c>
      <c r="R149" s="404">
        <f>IF(V149=0,0,IF(V149&lt;0,IF($J149=3,V149,IF($J149=2,V149,IF($J149=1,V149,0)))))</f>
        <v>0</v>
      </c>
      <c r="S149" s="414">
        <f>IF(V149=0,0,IF(V149&lt;0,IF($J149=6,V149,IF($J149=5,V149,IF($J149=4,V149,0)))))</f>
        <v>0</v>
      </c>
      <c r="T149" s="414">
        <f>IF(V149=0,0,IF(V149&lt;0,IF($J149=9,V149,IF($J149=8,V149,IF($J149=7,V149,0)))))</f>
        <v>0</v>
      </c>
      <c r="U149" s="406">
        <f>IF(V149=0,0,IF(V149&lt;0,IF($J149=12,V149,IF($J149=11,V149,IF($J149=10,V149,0)))))</f>
        <v>0</v>
      </c>
      <c r="V149" s="407">
        <f>IF(V$5=$H149,-$E149,0)</f>
        <v>0</v>
      </c>
      <c r="W149" s="404">
        <f>IF(AA149=0,0,IF(AA149&lt;0,IF($J149=3,AA149,IF($J149=2,AA149,IF($J149=1,AA149,0)))))</f>
        <v>0</v>
      </c>
      <c r="X149" s="414">
        <f>IF(AA149=0,0,IF(AA149&lt;0,IF($J149=6,AA149,IF($J149=5,AA149,IF($J149=4,AA149,0)))))</f>
        <v>0</v>
      </c>
      <c r="Y149" s="414">
        <f>IF(AA149=0,0,IF(AA149&lt;0,IF($J149=9,AA149,IF($J149=8,AA149,IF($J149=7,AA149,0)))))</f>
        <v>0</v>
      </c>
      <c r="Z149" s="406">
        <f>IF(AA149=0,0,IF(AA149&lt;0,IF($J149=12,AA149,IF($J149=11,AA149,IF($J149=10,AA149,0)))))</f>
        <v>0</v>
      </c>
      <c r="AA149" s="407">
        <f>IF(AA$5=$H149,-$E149,0)</f>
        <v>0</v>
      </c>
      <c r="AB149" s="404">
        <f>IF(AF149=0,0,IF(AF149&lt;0,IF($J149=3,AF149,IF($J149=2,AF149,IF($J149=1,AF149,0)))))</f>
        <v>0</v>
      </c>
      <c r="AC149" s="414">
        <f>IF(AF149=0,0,IF(AF149&lt;0,IF($J149=6,AF149,IF($J149=5,AF149,IF($J149=4,AF149,0)))))</f>
        <v>0</v>
      </c>
      <c r="AD149" s="414">
        <f>IF(AF149=0,0,IF(AF149&lt;0,IF($J149=9,AF149,IF($J149=8,AF149,IF($J149=7,AF149,0)))))</f>
        <v>0</v>
      </c>
      <c r="AE149" s="406">
        <f>IF(AF149=0,0,IF(AF149&lt;0,IF($J149=12,AF149,IF($J149=11,AF149,IF($J149=10,AF149,0)))))</f>
        <v>0</v>
      </c>
      <c r="AF149" s="407">
        <f>IF(AF$5=$H149,-$E149,0)</f>
        <v>0</v>
      </c>
      <c r="AG149" s="404">
        <f>IF(AK149=0,0,IF(AK149&lt;0,IF($J149=3,AK149,IF($J149=2,AK149,IF($J149=1,AK149,0)))))</f>
        <v>0</v>
      </c>
      <c r="AH149" s="414">
        <f>IF(AK149=0,0,IF(AK149&lt;0,IF($J149=6,AK149,IF($J149=5,AK149,IF($J149=4,AK149,0)))))</f>
        <v>0</v>
      </c>
      <c r="AI149" s="414">
        <f>IF(AK149=0,0,IF(AK149&lt;0,IF($J149=9,AK149,IF($J149=8,AK149,IF($J149=7,AK149,0)))))</f>
        <v>0</v>
      </c>
      <c r="AJ149" s="406">
        <f>IF(AK149=0,0,IF(AK149&lt;0,IF($J149=12,AK149,IF($J149=11,AK149,IF($J149=10,AK149,0)))))</f>
        <v>0</v>
      </c>
      <c r="AK149" s="407">
        <f>IF(AK$5=$H149,-$E149,0)</f>
        <v>0</v>
      </c>
      <c r="AL149" s="404">
        <f>IF(AP149=0,0,IF(AP149&lt;0,IF($J149=3,AP149,IF($J149=2,AP149,IF($J149=1,AP149,0)))))</f>
        <v>0</v>
      </c>
      <c r="AM149" s="414">
        <f>IF(AP149=0,0,IF(AP149&lt;0,IF($J149=6,AP149,IF($J149=5,AP149,IF($J149=4,AP149,0)))))</f>
        <v>0</v>
      </c>
      <c r="AN149" s="414">
        <f>IF(AP149=0,0,IF(AP149&lt;0,IF($J149=9,AP149,IF($J149=8,AP149,IF($J149=7,AP149,0)))))</f>
        <v>0</v>
      </c>
      <c r="AO149" s="406">
        <f>IF(AP149=0,0,IF(AP149&lt;0,IF($J149=12,AP149,IF($J149=11,AP149,IF($J149=10,AP149,0)))))</f>
        <v>0</v>
      </c>
      <c r="AP149" s="407">
        <f>IF(AP$5=$H149,-$E149,0)</f>
        <v>0</v>
      </c>
      <c r="AQ149" s="404">
        <f>IF(AU149=0,0,IF(AU149&lt;0,IF($J149=3,AU149,IF($J149=2,AU149,IF($J149=1,AU149,0)))))</f>
        <v>0</v>
      </c>
      <c r="AR149" s="414">
        <f>IF(AU149=0,0,IF(AU149&lt;0,IF($J149=6,AU149,IF($J149=5,AU149,IF($J149=4,AU149,0)))))</f>
        <v>-100</v>
      </c>
      <c r="AS149" s="414">
        <f>IF(AU149=0,0,IF(AU149&lt;0,IF($J149=9,AU149,IF($J149=8,AU149,IF($J149=7,AU149,0)))))</f>
        <v>0</v>
      </c>
      <c r="AT149" s="406">
        <f>IF(AU149=0,0,IF(AU149&lt;0,IF($J149=12,AU149,IF($J149=11,AU149,IF($J149=10,AU149,0)))))</f>
        <v>0</v>
      </c>
      <c r="AU149" s="407">
        <f>IF(AU$5=$H149,-$E149,0)</f>
        <v>-100</v>
      </c>
      <c r="AV149" s="404">
        <f>IF(AZ149=0,0,IF(AZ149&lt;0,IF($J149=3,AZ149,IF($J149=2,AZ149,IF($J149=1,AZ149,0)))))</f>
        <v>0</v>
      </c>
      <c r="AW149" s="414">
        <f>IF(AZ149=0,0,IF(AZ149&lt;0,IF($J149=6,AZ149,IF($J149=5,AZ149,IF($J149=4,AZ149,0)))))</f>
        <v>0</v>
      </c>
      <c r="AX149" s="414">
        <f>IF(AZ149=0,0,IF(AZ149&lt;0,IF($J149=9,AZ149,IF($J149=8,AZ149,IF($J149=7,AZ149,0)))))</f>
        <v>0</v>
      </c>
      <c r="AY149" s="406">
        <f>IF(AZ149=0,0,IF(AZ149&lt;0,IF($J149=12,AZ149,IF($J149=11,AZ149,IF($J149=10,AZ149,0)))))</f>
        <v>0</v>
      </c>
      <c r="AZ149" s="407">
        <f>IF(AZ$5=$H149,-$E149,0)</f>
        <v>0</v>
      </c>
      <c r="BA149" s="404">
        <f>IF(BE149=0,0,IF(BE149&lt;0,IF($J149=3,BE149,IF($J149=2,BE149,IF($J149=1,BE149,0)))))</f>
        <v>0</v>
      </c>
      <c r="BB149" s="414">
        <f>IF(BE149=0,0,IF(BE149&lt;0,IF($J149=6,BE149,IF($J149=5,BE149,IF($J149=4,BE149,0)))))</f>
        <v>0</v>
      </c>
      <c r="BC149" s="414">
        <f>IF(BE149=0,0,IF(BE149&lt;0,IF($J149=9,BE149,IF($J149=8,BE149,IF($J149=7,BE149,0)))))</f>
        <v>0</v>
      </c>
      <c r="BD149" s="406">
        <f>IF(BE149=0,0,IF(BE149&lt;0,IF($J149=12,BE149,IF($J149=11,BE149,IF($J149=10,BE149,0)))))</f>
        <v>0</v>
      </c>
      <c r="BE149" s="407">
        <f>IF(BE$5=$H149,-$E149,0)</f>
        <v>0</v>
      </c>
      <c r="BF149" s="404">
        <f>IF(BJ149=0,0,IF(BJ149&lt;0,IF($J149=3,BJ149,IF($J149=2,BJ149,IF($J149=1,BJ149,0)))))</f>
        <v>0</v>
      </c>
      <c r="BG149" s="414">
        <f>IF(BJ149=0,0,IF(BJ149&lt;0,IF($J149=6,BJ149,IF($J149=5,BJ149,IF($J149=4,BJ149,0)))))</f>
        <v>0</v>
      </c>
      <c r="BH149" s="414">
        <f>IF(BJ149=0,0,IF(BJ149&lt;0,IF($J149=9,BJ149,IF($J149=8,BJ149,IF($J149=7,BJ149,0)))))</f>
        <v>0</v>
      </c>
      <c r="BI149" s="406">
        <f>IF(BJ149=0,0,IF(BJ149&lt;0,IF($J149=12,BJ149,IF($J149=11,BJ149,IF($J149=10,BJ149,0)))))</f>
        <v>0</v>
      </c>
      <c r="BJ149" s="407">
        <f>IF(BJ$5=$H149,-$E149,0)</f>
        <v>0</v>
      </c>
      <c r="BK149" s="404">
        <f>IF(BO149=0,0,IF(BO149&lt;0,IF($J149=3,BO149,IF($J149=2,BO149,IF($J149=1,BO149,0)))))</f>
        <v>0</v>
      </c>
      <c r="BL149" s="414">
        <f>IF(BO149=0,0,IF(BO149&lt;0,IF($J149=6,BO149,IF($J149=5,BO149,IF($J149=4,BO149,0)))))</f>
        <v>0</v>
      </c>
      <c r="BM149" s="414">
        <f>IF(BO149=0,0,IF(BO149&lt;0,IF($J149=9,BO149,IF($J149=8,BO149,IF($J149=7,BO149,0)))))</f>
        <v>0</v>
      </c>
      <c r="BN149" s="406">
        <f>IF(BO149=0,0,IF(BO149&lt;0,IF($J149=12,BO149,IF($J149=11,BO149,IF($J149=10,BO149,0)))))</f>
        <v>0</v>
      </c>
      <c r="BO149" s="407">
        <f>IF(BO$5=$H149,-$E149,0)</f>
        <v>0</v>
      </c>
      <c r="BP149" s="449"/>
      <c r="BQ149" s="413">
        <f>IF(AND(AH149&lt;&gt;0,AH$5=$H149),-$I149*$E149-AH149,IF(BQ$5=$H149,-$I149*$E149*(12-$J149+1)/12,0))</f>
        <v>0</v>
      </c>
      <c r="BR149" s="410">
        <f>IF($H149&lt;&gt;BV$5,0,IF(BV149&lt;0,IF($J149=1,-$E149*$I149/12*3,IF($J149=2,-$E149*$I149/12*2,IF($J149=3,-$E149*$I149/12*1,0)))))+IF(BQ$5&lt;&gt;$H149,0,IF(BQ149&lt;0,IF($J149=1,-$E149*$I149/12*0,IF($J149=2,-$E149*$I149/12*1,IF($J149=3,-$E149*$I149/12*2,IF($J149&gt;=4,-$E149*$I149/12*3,0))))))</f>
        <v>0</v>
      </c>
      <c r="BS149" s="416">
        <f>IF($H149&lt;&gt;BV$5,0,IF(BV149&lt;0,IF(OR($J149=1,$J149=2,$J149=3,$J149=4),-$E149*$I149/12*3,IF($J149=5,-$E149*$I149/12*2,IF($J149=6,-$E149*$I149/12*1,0)))))+IF(BQ$5&lt;&gt;$H149,0,IF(BQ149&lt;0,IF($J149=4,-$E149*$I149/12*0,IF($J149=5,-$E149*$I149/12*1,IF($J149=6,-$E149*$I149/12*2,IF($J149&gt;=7,-$E149*$I149/12*3,0))))))</f>
        <v>0</v>
      </c>
      <c r="BT149" s="416">
        <f>IF($H149&lt;&gt;BV$5,0,IF(BV149&lt;0,IF(OR($J149=1,$J149=2,$J149=3,$J149=4,$J149=5,$J149=6,$J149=7),-$E149*$I149/12*3,IF($J149=8,-$E149*$I149/12*2,IF($J149=9,-$E149*$I149/12*1,0)))))+IF(BQ$5&lt;&gt;$H149,0,IF(BQ149&lt;0,IF($J149=7,-$E149*$I149/12*0,IF($J149=8,-$E149*$I149/12*1,IF($J149=9,-$E149*$I149/12*2,IF($J149&gt;=10,-$E149*$I149/12*3,0))))))</f>
        <v>0</v>
      </c>
      <c r="BU149" s="412">
        <f>IF($H149&lt;&gt;BV$5,0,IF(BV149&lt;0,IF(OR($J149=1,$J149=2,$J149=3,$J149=4,$J149=5,$J149=6,$J149=7,$J149=8,$J149=9,$J149=10),-$E149*$I149/12*3,IF($J149=11,-$E149*$I149/12*2,IF($J149=12,-$E149*$I149/12*1,0)))))+IF(BQ$5&lt;&gt;$H149,0,IF(BQ149&lt;0,IF($J149=10,-$E149*$I149/12*0,IF($J149=11,-$E149*$I149/12*1,IF($J149=12,-$E149*$I149/12*2,0)))))</f>
        <v>0</v>
      </c>
      <c r="BV149" s="413">
        <f>IF(AND(BQ149&lt;&gt;0,BQ$5=$H149),-$I149*$E149-BQ149,IF(BV$5=$H149,-$I149*$E149*(12-$J149+1)/12,0))</f>
        <v>0</v>
      </c>
      <c r="BW149" s="410">
        <f>IF($H149&lt;&gt;CA$5,0,IF(CA149&lt;0,IF($J149=1,-$E149*$I149/12*3,IF($J149=2,-$E149*$I149/12*2,IF($J149=3,-$E149*$I149/12*1,0)))))+IF(BV$5&lt;&gt;$H149,0,IF(BV149&lt;0,IF($J149=1,-$E149*$I149/12*0,IF($J149=2,-$E149*$I149/12*1,IF($J149=3,-$E149*$I149/12*2,IF($J149&gt;=4,-$E149*$I149/12*3,0))))))</f>
        <v>0</v>
      </c>
      <c r="BX149" s="416">
        <f>IF($H149&lt;&gt;CA$5,0,IF(CA149&lt;0,IF(OR($J149=1,$J149=2,$J149=3,$J149=4),-$E149*$I149/12*3,IF($J149=5,-$E149*$I149/12*2,IF($J149=6,-$E149*$I149/12*1,0)))))+IF(BV$5&lt;&gt;$H149,0,IF(BV149&lt;0,IF($J149=4,-$E149*$I149/12*0,IF($J149=5,-$E149*$I149/12*1,IF($J149=6,-$E149*$I149/12*2,IF($J149&gt;=7,-$E149*$I149/12*3,0))))))</f>
        <v>0</v>
      </c>
      <c r="BY149" s="416">
        <f>IF($H149&lt;&gt;CA$5,0,IF(CA149&lt;0,IF(OR($J149=1,$J149=2,$J149=3,$J149=4,$J149=5,$J149=6,$J149=7),-$E149*$I149/12*3,IF($J149=8,-$E149*$I149/12*2,IF($J149=9,-$E149*$I149/12*1,0)))))+IF(BV$5&lt;&gt;$H149,0,IF(BV149&lt;0,IF($J149=7,-$E149*$I149/12*0,IF($J149=8,-$E149*$I149/12*1,IF($J149=9,-$E149*$I149/12*2,IF($J149&gt;=10,-$E149*$I149/12*3,0))))))</f>
        <v>0</v>
      </c>
      <c r="BZ149" s="412">
        <f>IF($H149&lt;&gt;CA$5,0,IF(CA149&lt;0,IF(OR($J149=1,$J149=2,$J149=3,$J149=4,$J149=5,$J149=6,$J149=7,$J149=8,$J149=9,$J149=10),-$E149*$I149/12*3,IF($J149=11,-$E149*$I149/12*2,IF($J149=12,-$E149*$I149/12*1,0)))))+IF(BV$5&lt;&gt;$H149,0,IF(BV149&lt;0,IF($J149=10,-$E149*$I149/12*0,IF($J149=11,-$E149*$I149/12*1,IF($J149=12,-$E149*$I149/12*2,0)))))</f>
        <v>0</v>
      </c>
      <c r="CA149" s="413">
        <f>IF(AND(BV149&lt;&gt;0,BV$5=$H149),-$I149*$E149-BV149,IF(CA$5=$H149,-$I149*$E149*(12-$J149+1)/12,0))</f>
        <v>0</v>
      </c>
      <c r="CB149" s="410">
        <f>IF($H149&lt;&gt;CF$5,0,IF(CF149&lt;0,IF($J149=1,-$E149*$I149/12*3,IF($J149=2,-$E149*$I149/12*2,IF($J149=3,-$E149*$I149/12*1,0)))))+IF(CA$5&lt;&gt;$H149,0,IF(CA149&lt;0,IF($J149=1,-$E149*$I149/12*0,IF($J149=2,-$E149*$I149/12*1,IF($J149=3,-$E149*$I149/12*2,IF($J149&gt;=4,-$E149*$I149/12*3,0))))))</f>
        <v>0</v>
      </c>
      <c r="CC149" s="416">
        <f>IF($H149&lt;&gt;CF$5,0,IF(CF149&lt;0,IF(OR($J149=1,$J149=2,$J149=3,$J149=4),-$E149*$I149/12*3,IF($J149=5,-$E149*$I149/12*2,IF($J149=6,-$E149*$I149/12*1,0)))))+IF(CA$5&lt;&gt;$H149,0,IF(CA149&lt;0,IF($J149=4,-$E149*$I149/12*0,IF($J149=5,-$E149*$I149/12*1,IF($J149=6,-$E149*$I149/12*2,IF($J149&gt;=7,-$E149*$I149/12*3,0))))))</f>
        <v>0</v>
      </c>
      <c r="CD149" s="416">
        <f>IF($H149&lt;&gt;CF$5,0,IF(CF149&lt;0,IF(OR($J149=1,$J149=2,$J149=3,$J149=4,$J149=5,$J149=6,$J149=7),-$E149*$I149/12*3,IF($J149=8,-$E149*$I149/12*2,IF($J149=9,-$E149*$I149/12*1,0)))))+IF(CA$5&lt;&gt;$H149,0,IF(CA149&lt;0,IF($J149=7,-$E149*$I149/12*0,IF($J149=8,-$E149*$I149/12*1,IF($J149=9,-$E149*$I149/12*2,IF($J149&gt;=10,-$E149*$I149/12*3,0))))))</f>
        <v>0</v>
      </c>
      <c r="CE149" s="412">
        <f>IF($H149&lt;&gt;CF$5,0,IF(CF149&lt;0,IF(OR($J149=1,$J149=2,$J149=3,$J149=4,$J149=5,$J149=6,$J149=7,$J149=8,$J149=9,$J149=10),-$E149*$I149/12*3,IF($J149=11,-$E149*$I149/12*2,IF($J149=12,-$E149*$I149/12*1,0)))))+IF(CA$5&lt;&gt;$H149,0,IF(CA149&lt;0,IF($J149=10,-$E149*$I149/12*0,IF($J149=11,-$E149*$I149/12*1,IF($J149=12,-$E149*$I149/12*2,0)))))</f>
        <v>0</v>
      </c>
      <c r="CF149" s="413">
        <f>IF(AND(CA149&lt;&gt;0,CA$5=$H149),-$I149*$E149-CA149,IF(CF$5=$H149,-$I149*$E149*(12-$J149+1)/12,0))</f>
        <v>0</v>
      </c>
      <c r="CG149" s="410">
        <f>IF($H149&lt;&gt;CK$5,0,IF(CK149&lt;0,IF($J149=1,-$E149*$I149/12*3,IF($J149=2,-$E149*$I149/12*2,IF($J149=3,-$E149*$I149/12*1,0)))))+IF(CF$5&lt;&gt;$H149,0,IF(CF149&lt;0,IF($J149=1,-$E149*$I149/12*0,IF($J149=2,-$E149*$I149/12*1,IF($J149=3,-$E149*$I149/12*2,IF($J149&gt;=4,-$E149*$I149/12*3,0))))))</f>
        <v>0</v>
      </c>
      <c r="CH149" s="416">
        <f>IF($H149&lt;&gt;CK$5,0,IF(CK149&lt;0,IF(OR($J149=1,$J149=2,$J149=3,$J149=4),-$E149*$I149/12*3,IF($J149=5,-$E149*$I149/12*2,IF($J149=6,-$E149*$I149/12*1,0)))))+IF(CF$5&lt;&gt;$H149,0,IF(CF149&lt;0,IF($J149=4,-$E149*$I149/12*0,IF($J149=5,-$E149*$I149/12*1,IF($J149=6,-$E149*$I149/12*2,IF($J149&gt;=7,-$E149*$I149/12*3,0))))))</f>
        <v>0</v>
      </c>
      <c r="CI149" s="416">
        <f>IF($H149&lt;&gt;CK$5,0,IF(CK149&lt;0,IF(OR($J149=1,$J149=2,$J149=3,$J149=4,$J149=5,$J149=6,$J149=7),-$E149*$I149/12*3,IF($J149=8,-$E149*$I149/12*2,IF($J149=9,-$E149*$I149/12*1,0)))))+IF(CF$5&lt;&gt;$H149,0,IF(CF149&lt;0,IF($J149=7,-$E149*$I149/12*0,IF($J149=8,-$E149*$I149/12*1,IF($J149=9,-$E149*$I149/12*2,IF($J149&gt;=10,-$E149*$I149/12*3,0))))))</f>
        <v>0</v>
      </c>
      <c r="CJ149" s="412">
        <f>IF($H149&lt;&gt;CK$5,0,IF(CK149&lt;0,IF(OR($J149=1,$J149=2,$J149=3,$J149=4,$J149=5,$J149=6,$J149=7,$J149=8,$J149=9,$J149=10),-$E149*$I149/12*3,IF($J149=11,-$E149*$I149/12*2,IF($J149=12,-$E149*$I149/12*1,0)))))+IF(CF$5&lt;&gt;$H149,0,IF(CF149&lt;0,IF($J149=10,-$E149*$I149/12*0,IF($J149=11,-$E149*$I149/12*1,IF($J149=12,-$E149*$I149/12*2,0)))))</f>
        <v>0</v>
      </c>
      <c r="CK149" s="413">
        <f>IF(AND(CF149&lt;&gt;0,CF$5=$H149),-$I149*$E149-CF149,IF(CK$5=$H149,-$I149*$E149*(12-$J149+1)/12,0))</f>
        <v>0</v>
      </c>
      <c r="CL149" s="410">
        <f>IF($H149&lt;&gt;CP$5,0,IF(CP149&lt;0,IF($J149=1,-$E149*$I149/12*3,IF($J149=2,-$E149*$I149/12*2,IF($J149=3,-$E149*$I149/12*1,0)))))+IF(CK$5&lt;&gt;$H149,0,IF(CK149&lt;0,IF($J149=1,-$E149*$I149/12*0,IF($J149=2,-$E149*$I149/12*1,IF($J149=3,-$E149*$I149/12*2,IF($J149&gt;=4,-$E149*$I149/12*3,0))))))</f>
        <v>0</v>
      </c>
      <c r="CM149" s="416">
        <f>IF($H149&lt;&gt;CP$5,0,IF(CP149&lt;0,IF(OR($J149=1,$J149=2,$J149=3,$J149=4),-$E149*$I149/12*3,IF($J149=5,-$E149*$I149/12*2,IF($J149=6,-$E149*$I149/12*1,0)))))+IF(CK$5&lt;&gt;$H149,0,IF(CK149&lt;0,IF($J149=4,-$E149*$I149/12*0,IF($J149=5,-$E149*$I149/12*1,IF($J149=6,-$E149*$I149/12*2,IF($J149&gt;=7,-$E149*$I149/12*3,0))))))</f>
        <v>0</v>
      </c>
      <c r="CN149" s="416">
        <f>IF($H149&lt;&gt;CP$5,0,IF(CP149&lt;0,IF(OR($J149=1,$J149=2,$J149=3,$J149=4,$J149=5,$J149=6,$J149=7),-$E149*$I149/12*3,IF($J149=8,-$E149*$I149/12*2,IF($J149=9,-$E149*$I149/12*1,0)))))+IF(CK$5&lt;&gt;$H149,0,IF(CK149&lt;0,IF($J149=7,-$E149*$I149/12*0,IF($J149=8,-$E149*$I149/12*1,IF($J149=9,-$E149*$I149/12*2,IF($J149&gt;=10,-$E149*$I149/12*3,0))))))</f>
        <v>0</v>
      </c>
      <c r="CO149" s="412">
        <f>IF($H149&lt;&gt;CP$5,0,IF(CP149&lt;0,IF(OR($J149=1,$J149=2,$J149=3,$J149=4,$J149=5,$J149=6,$J149=7,$J149=8,$J149=9,$J149=10),-$E149*$I149/12*3,IF($J149=11,-$E149*$I149/12*2,IF($J149=12,-$E149*$I149/12*1,0)))))+IF(CK$5&lt;&gt;$H149,0,IF(CK149&lt;0,IF($J149=10,-$E149*$I149/12*0,IF($J149=11,-$E149*$I149/12*1,IF($J149=12,-$E149*$I149/12*2,0)))))</f>
        <v>0</v>
      </c>
      <c r="CP149" s="413">
        <f>IF(AND(CK149&lt;&gt;0,CK$5=$H149),-$I149*$E149-CK149,IF(CP$5=$H149,-$I149*$E149*(12-$J149+1)/12,0))</f>
        <v>0</v>
      </c>
      <c r="CQ149" s="410">
        <f>IF($H149&lt;&gt;CU$5,0,IF(CU149&lt;0,IF($J149=1,-$E149*$I149/12*3,IF($J149=2,-$E149*$I149/12*2,IF($J149=3,-$E149*$I149/12*1,0)))))+IF(CP$5&lt;&gt;$H149,0,IF(CP149&lt;0,IF($J149=1,-$E149*$I149/12*0,IF($J149=2,-$E149*$I149/12*1,IF($J149=3,-$E149*$I149/12*2,IF($J149&gt;=4,-$E149*$I149/12*3,0))))))</f>
        <v>0</v>
      </c>
      <c r="CR149" s="416">
        <f>IF($H149&lt;&gt;CU$5,0,IF(CU149&lt;0,IF(OR($J149=1,$J149=2,$J149=3,$J149=4),-$E149*$I149/12*3,IF($J149=5,-$E149*$I149/12*2,IF($J149=6,-$E149*$I149/12*1,0)))))+IF(CP$5&lt;&gt;$H149,0,IF(CP149&lt;0,IF($J149=4,-$E149*$I149/12*0,IF($J149=5,-$E149*$I149/12*1,IF($J149=6,-$E149*$I149/12*2,IF($J149&gt;=7,-$E149*$I149/12*3,0))))))</f>
        <v>0</v>
      </c>
      <c r="CS149" s="416">
        <f>IF($H149&lt;&gt;CU$5,0,IF(CU149&lt;0,IF(OR($J149=1,$J149=2,$J149=3,$J149=4,$J149=5,$J149=6,$J149=7),-$E149*$I149/12*3,IF($J149=8,-$E149*$I149/12*2,IF($J149=9,-$E149*$I149/12*1,0)))))+IF(CP$5&lt;&gt;$H149,0,IF(CP149&lt;0,IF($J149=7,-$E149*$I149/12*0,IF($J149=8,-$E149*$I149/12*1,IF($J149=9,-$E149*$I149/12*2,IF($J149&gt;=10,-$E149*$I149/12*3,0))))))</f>
        <v>0</v>
      </c>
      <c r="CT149" s="412">
        <f>IF($H149&lt;&gt;CU$5,0,IF(CU149&lt;0,IF(OR($J149=1,$J149=2,$J149=3,$J149=4,$J149=5,$J149=6,$J149=7,$J149=8,$J149=9,$J149=10),-$E149*$I149/12*3,IF($J149=11,-$E149*$I149/12*2,IF($J149=12,-$E149*$I149/12*1,0)))))+IF(CP$5&lt;&gt;$H149,0,IF(CP149&lt;0,IF($J149=10,-$E149*$I149/12*0,IF($J149=11,-$E149*$I149/12*1,IF($J149=12,-$E149*$I149/12*2,0)))))</f>
        <v>0</v>
      </c>
      <c r="CU149" s="413">
        <f>IF(AND(CP149&lt;&gt;0,CP$5=$H149),-$I149*$E149-CP149,IF(CU$5=$H149,-$I149*$E149*(12-$J149+1)/12,0))</f>
        <v>0</v>
      </c>
      <c r="CV149" s="410">
        <f>IF($H149&lt;&gt;CZ$5,0,IF(CZ149&lt;0,IF($J149=1,-$E149*$I149/12*3,IF($J149=2,-$E149*$I149/12*2,IF($J149=3,-$E149*$I149/12*1,0)))))+IF(CU$5&lt;&gt;$H149,0,IF(CU149&lt;0,IF($J149=1,-$E149*$I149/12*0,IF($J149=2,-$E149*$I149/12*1,IF($J149=3,-$E149*$I149/12*2,IF($J149&gt;=4,-$E149*$I149/12*3,0))))))</f>
        <v>0</v>
      </c>
      <c r="CW149" s="416">
        <f>IF($H149&lt;&gt;CZ$5,0,IF(CZ149&lt;0,IF(OR($J149=1,$J149=2,$J149=3,$J149=4),-$E149*$I149/12*3,IF($J149=5,-$E149*$I149/12*2,IF($J149=6,-$E149*$I149/12*1,0)))))+IF(CU$5&lt;&gt;$H149,0,IF(CU149&lt;0,IF($J149=4,-$E149*$I149/12*0,IF($J149=5,-$E149*$I149/12*1,IF($J149=6,-$E149*$I149/12*2,IF($J149&gt;=7,-$E149*$I149/12*3,0))))))</f>
        <v>-0.375</v>
      </c>
      <c r="CX149" s="416">
        <f>IF($H149&lt;&gt;CZ$5,0,IF(CZ149&lt;0,IF(OR($J149=1,$J149=2,$J149=3,$J149=4,$J149=5,$J149=6,$J149=7),-$E149*$I149/12*3,IF($J149=8,-$E149*$I149/12*2,IF($J149=9,-$E149*$I149/12*1,0)))))+IF(CU$5&lt;&gt;$H149,0,IF(CU149&lt;0,IF($J149=7,-$E149*$I149/12*0,IF($J149=8,-$E149*$I149/12*1,IF($J149=9,-$E149*$I149/12*2,IF($J149&gt;=10,-$E149*$I149/12*3,0))))))</f>
        <v>-1.125</v>
      </c>
      <c r="CY149" s="412">
        <f>IF($H149&lt;&gt;CZ$5,0,IF(CZ149&lt;0,IF(OR($J149=1,$J149=2,$J149=3,$J149=4,$J149=5,$J149=6,$J149=7,$J149=8,$J149=9,$J149=10),-$E149*$I149/12*3,IF($J149=11,-$E149*$I149/12*2,IF($J149=12,-$E149*$I149/12*1,0)))))+IF(CU$5&lt;&gt;$H149,0,IF(CU149&lt;0,IF($J149=10,-$E149*$I149/12*0,IF($J149=11,-$E149*$I149/12*1,IF($J149=12,-$E149*$I149/12*2,0)))))</f>
        <v>-1.125</v>
      </c>
      <c r="CZ149" s="413">
        <f>IF(AND(CU149&lt;&gt;0,CU$5=$H149),-$I149*$E149-CU149,IF(CZ$5=$H149,-$I149*$E149*(12-$J149+1)/12,0))</f>
        <v>-2.625</v>
      </c>
      <c r="DA149" s="410">
        <f>IF($H149&lt;&gt;DE$5,0,IF(DE149&lt;0,IF($J149=1,-$E149*$I149/12*3,IF($J149=2,-$E149*$I149/12*2,IF($J149=3,-$E149*$I149/12*1,0)))))+IF(CZ$5&lt;&gt;$H149,0,IF(CZ149&lt;0,IF($J149=1,-$E149*$I149/12*0,IF($J149=2,-$E149*$I149/12*1,IF($J149=3,-$E149*$I149/12*2,IF($J149&gt;=4,-$E149*$I149/12*3,0))))))</f>
        <v>-1.125</v>
      </c>
      <c r="DB149" s="416">
        <f>IF($H149&lt;&gt;DE$5,0,IF(DE149&lt;0,IF(OR($J149=1,$J149=2,$J149=3,$J149=4),-$E149*$I149/12*3,IF($J149=5,-$E149*$I149/12*2,IF($J149=6,-$E149*$I149/12*1,0)))))+IF(CZ$5&lt;&gt;$H149,0,IF(CZ149&lt;0,IF($J149=4,-$E149*$I149/12*0,IF($J149=5,-$E149*$I149/12*1,IF($J149=6,-$E149*$I149/12*2,IF($J149&gt;=7,-$E149*$I149/12*3,0))))))</f>
        <v>-0.75</v>
      </c>
      <c r="DC149" s="416">
        <f>IF($H149&lt;&gt;DE$5,0,IF(DE149&lt;0,IF(OR($J149=1,$J149=2,$J149=3,$J149=4,$J149=5,$J149=6,$J149=7),-$E149*$I149/12*3,IF($J149=8,-$E149*$I149/12*2,IF($J149=9,-$E149*$I149/12*1,0)))))+IF(CZ$5&lt;&gt;$H149,0,IF(CZ149&lt;0,IF($J149=7,-$E149*$I149/12*0,IF($J149=8,-$E149*$I149/12*1,IF($J149=9,-$E149*$I149/12*2,IF($J149&gt;=10,-$E149*$I149/12*3,0))))))</f>
        <v>0</v>
      </c>
      <c r="DD149" s="412">
        <f>IF($H149&lt;&gt;DE$5,0,IF(DE149&lt;0,IF(OR($J149=1,$J149=2,$J149=3,$J149=4,$J149=5,$J149=6,$J149=7,$J149=8,$J149=9,$J149=10),-$E149*$I149/12*3,IF($J149=11,-$E149*$I149/12*2,IF($J149=12,-$E149*$I149/12*1,0)))))+IF(CZ$5&lt;&gt;$H149,0,IF(CZ149&lt;0,IF($J149=10,-$E149*$I149/12*0,IF($J149=11,-$E149*$I149/12*1,IF($J149=12,-$E149*$I149/12*2,0)))))</f>
        <v>0</v>
      </c>
      <c r="DE149" s="413">
        <f>IF(AND(CZ149&lt;&gt;0,CZ$5=$H149),-$I149*$E149-CZ149,IF(DE$5=$H149,-$I149*$E149*(12-$J149+1)/12,0))</f>
        <v>-1.875</v>
      </c>
      <c r="DF149" s="410">
        <f>IF($H149&lt;&gt;DJ$5,0,IF(DJ149&lt;0,IF($J149=1,-$E149*$I149/12*3,IF($J149=2,-$E149*$I149/12*2,IF($J149=3,-$E149*$I149/12*1,0)))))+IF(DE$5&lt;&gt;$H149,0,IF(DE149&lt;0,IF($J149=1,-$E149*$I149/12*0,IF($J149=2,-$E149*$I149/12*1,IF($J149=3,-$E149*$I149/12*2,IF($J149&gt;=4,-$E149*$I149/12*3,0))))))</f>
        <v>0</v>
      </c>
      <c r="DG149" s="416">
        <f>IF($H149&lt;&gt;DJ$5,0,IF(DJ149&lt;0,IF(OR($J149=1,$J149=2,$J149=3,$J149=4),-$E149*$I149/12*3,IF($J149=5,-$E149*$I149/12*2,IF($J149=6,-$E149*$I149/12*1,0)))))+IF(DE$5&lt;&gt;$H149,0,IF(DE149&lt;0,IF($J149=4,-$E149*$I149/12*0,IF($J149=5,-$E149*$I149/12*1,IF($J149=6,-$E149*$I149/12*2,IF($J149&gt;=7,-$E149*$I149/12*3,0))))))</f>
        <v>0</v>
      </c>
      <c r="DH149" s="416">
        <f>IF($H149&lt;&gt;DJ$5,0,IF(DJ149&lt;0,IF(OR($J149=1,$J149=2,$J149=3,$J149=4,$J149=5,$J149=6,$J149=7),-$E149*$I149/12*3,IF($J149=8,-$E149*$I149/12*2,IF($J149=9,-$E149*$I149/12*1,0)))))+IF(DE$5&lt;&gt;$H149,0,IF(DE149&lt;0,IF($J149=7,-$E149*$I149/12*0,IF($J149=8,-$E149*$I149/12*1,IF($J149=9,-$E149*$I149/12*2,IF($J149&gt;=10,-$E149*$I149/12*3,0))))))</f>
        <v>0</v>
      </c>
      <c r="DI149" s="412">
        <f>IF($H149&lt;&gt;DJ$5,0,IF(DJ149&lt;0,IF(OR($J149=1,$J149=2,$J149=3,$J149=4,$J149=5,$J149=6,$J149=7,$J149=8,$J149=9,$J149=10),-$E149*$I149/12*3,IF($J149=11,-$E149*$I149/12*2,IF($J149=12,-$E149*$I149/12*1,0)))))+IF(DE$5&lt;&gt;$H149,0,IF(DE149&lt;0,IF($J149=10,-$E149*$I149/12*0,IF($J149=11,-$E149*$I149/12*1,IF($J149=12,-$E149*$I149/12*2,0)))))</f>
        <v>0</v>
      </c>
      <c r="DJ149" s="413">
        <f>IF(AND(DE149&lt;&gt;0,DE$5=$H149),-$I149*$E149-DE149,IF(DJ$5=$H149,-$I149*$E149*(12-$J149+1)/12,0))</f>
        <v>0</v>
      </c>
      <c r="DK149" s="410">
        <f>IF($H149&lt;&gt;DO$5,0,IF(DO149&lt;0,IF($J149=1,-$E149*$I149/12*3,IF($J149=2,-$E149*$I149/12*2,IF($J149=3,-$E149*$I149/12*1,0)))))+IF(DJ$5&lt;&gt;$H149,0,IF(DJ149&lt;0,IF($J149=1,-$E149*$I149/12*0,IF($J149=2,-$E149*$I149/12*1,IF($J149=3,-$E149*$I149/12*2,IF($J149&gt;=4,-$E149*$I149/12*3,0))))))</f>
        <v>0</v>
      </c>
      <c r="DL149" s="416">
        <f>IF($H149&lt;&gt;DO$5,0,IF(DO149&lt;0,IF(OR($J149=1,$J149=2,$J149=3,$J149=4),-$E149*$I149/12*3,IF($J149=5,-$E149*$I149/12*2,IF($J149=6,-$E149*$I149/12*1,0)))))+IF(DJ$5&lt;&gt;$H149,0,IF(DJ149&lt;0,IF($J149=4,-$E149*$I149/12*0,IF($J149=5,-$E149*$I149/12*1,IF($J149=6,-$E149*$I149/12*2,IF($J149&gt;=7,-$E149*$I149/12*3,0))))))</f>
        <v>0</v>
      </c>
      <c r="DM149" s="416">
        <f>IF($H149&lt;&gt;DO$5,0,IF(DO149&lt;0,IF(OR($J149=1,$J149=2,$J149=3,$J149=4,$J149=5,$J149=6,$J149=7),-$E149*$I149/12*3,IF($J149=8,-$E149*$I149/12*2,IF($J149=9,-$E149*$I149/12*1,0)))))+IF(DJ$5&lt;&gt;$H149,0,IF(DJ149&lt;0,IF($J149=7,-$E149*$I149/12*0,IF($J149=8,-$E149*$I149/12*1,IF($J149=9,-$E149*$I149/12*2,IF($J149&gt;=10,-$E149*$I149/12*3,0))))))</f>
        <v>0</v>
      </c>
      <c r="DN149" s="412">
        <f>IF($H149&lt;&gt;DO$5,0,IF(DO149&lt;0,IF(OR($J149=1,$J149=2,$J149=3,$J149=4,$J149=5,$J149=6,$J149=7,$J149=8,$J149=9,$J149=10),-$E149*$I149/12*3,IF($J149=11,-$E149*$I149/12*2,IF($J149=12,-$E149*$I149/12*1,0)))))+IF(DJ$5&lt;&gt;$H149,0,IF(DJ149&lt;0,IF($J149=10,-$E149*$I149/12*0,IF($J149=11,-$E149*$I149/12*1,IF($J149=12,-$E149*$I149/12*2,0)))))</f>
        <v>0</v>
      </c>
      <c r="DO149" s="413">
        <f>IF(AND(DJ149&lt;&gt;0,DJ$5=$H149),-$I149*$E149-DJ149,IF(DO$5=$H149,-$I149*$E149*(12-$J149+1)/12,0))</f>
        <v>0</v>
      </c>
      <c r="DP149" s="410">
        <f>IF($H149&lt;&gt;DT$5,0,IF(DT149&lt;0,IF($J149=1,-$E149*$I149/12*3,IF($J149=2,-$E149*$I149/12*2,IF($J149=3,-$E149*$I149/12*1,0)))))+IF(DO$5&lt;&gt;$H149,0,IF(DO149&lt;0,IF($J149=1,-$E149*$I149/12*0,IF($J149=2,-$E149*$I149/12*1,IF($J149=3,-$E149*$I149/12*2,IF($J149&gt;=4,-$E149*$I149/12*3,0))))))</f>
        <v>0</v>
      </c>
      <c r="DQ149" s="416">
        <f>IF($H149&lt;&gt;DT$5,0,IF(DT149&lt;0,IF(OR($J149=1,$J149=2,$J149=3,$J149=4),-$E149*$I149/12*3,IF($J149=5,-$E149*$I149/12*2,IF($J149=6,-$E149*$I149/12*1,0)))))+IF(DO$5&lt;&gt;$H149,0,IF(DO149&lt;0,IF($J149=4,-$E149*$I149/12*0,IF($J149=5,-$E149*$I149/12*1,IF($J149=6,-$E149*$I149/12*2,IF($J149&gt;=7,-$E149*$I149/12*3,0))))))</f>
        <v>0</v>
      </c>
      <c r="DR149" s="416">
        <f>IF($H149&lt;&gt;DT$5,0,IF(DT149&lt;0,IF(OR($J149=1,$J149=2,$J149=3,$J149=4,$J149=5,$J149=6,$J149=7),-$E149*$I149/12*3,IF($J149=8,-$E149*$I149/12*2,IF($J149=9,-$E149*$I149/12*1,0)))))+IF(DO$5&lt;&gt;$H149,0,IF(DO149&lt;0,IF($J149=7,-$E149*$I149/12*0,IF($J149=8,-$E149*$I149/12*1,IF($J149=9,-$E149*$I149/12*2,IF($J149&gt;=10,-$E149*$I149/12*3,0))))))</f>
        <v>0</v>
      </c>
      <c r="DS149" s="412">
        <f>IF($H149&lt;&gt;DT$5,0,IF(DT149&lt;0,IF(OR($J149=1,$J149=2,$J149=3,$J149=4,$J149=5,$J149=6,$J149=7,$J149=8,$J149=9,$J149=10),-$E149*$I149/12*3,IF($J149=11,-$E149*$I149/12*2,IF($J149=12,-$E149*$I149/12*1,0)))))+IF(DO$5&lt;&gt;$H149,0,IF(DO149&lt;0,IF($J149=10,-$E149*$I149/12*0,IF($J149=11,-$E149*$I149/12*1,IF($J149=12,-$E149*$I149/12*2,0)))))</f>
        <v>0</v>
      </c>
      <c r="DT149" s="413">
        <f>IF(AND(DO149&lt;&gt;0,DO$5=$H149),-$I149*$E149-DO149,IF(DT$5=$H149,-$I149*$E149*(12-$J149+1)/12,0))</f>
        <v>0</v>
      </c>
    </row>
    <row r="150" spans="1:124" ht="12.75" customHeight="1">
      <c r="C150" s="1439"/>
      <c r="D150" s="1439"/>
      <c r="E150" s="1531"/>
      <c r="F150" s="1532"/>
      <c r="G150" s="1532"/>
      <c r="H150" s="610"/>
      <c r="I150" s="1534"/>
      <c r="J150" s="615"/>
      <c r="K150" s="402"/>
      <c r="L150" s="407"/>
      <c r="M150" s="404"/>
      <c r="N150" s="414"/>
      <c r="O150" s="414"/>
      <c r="P150" s="406"/>
      <c r="Q150" s="407"/>
      <c r="R150" s="404"/>
      <c r="S150" s="414"/>
      <c r="T150" s="414"/>
      <c r="U150" s="406"/>
      <c r="V150" s="407"/>
      <c r="W150" s="404"/>
      <c r="X150" s="414"/>
      <c r="Y150" s="414"/>
      <c r="Z150" s="406"/>
      <c r="AA150" s="407"/>
      <c r="AB150" s="404"/>
      <c r="AC150" s="414"/>
      <c r="AD150" s="414"/>
      <c r="AE150" s="406"/>
      <c r="AF150" s="407"/>
      <c r="AG150" s="404"/>
      <c r="AH150" s="414"/>
      <c r="AI150" s="414"/>
      <c r="AJ150" s="406"/>
      <c r="AK150" s="407"/>
      <c r="AL150" s="404"/>
      <c r="AM150" s="414"/>
      <c r="AN150" s="414"/>
      <c r="AO150" s="406"/>
      <c r="AP150" s="407"/>
      <c r="AQ150" s="404"/>
      <c r="AR150" s="414"/>
      <c r="AS150" s="414"/>
      <c r="AT150" s="406"/>
      <c r="AU150" s="407"/>
      <c r="AV150" s="404"/>
      <c r="AW150" s="414"/>
      <c r="AX150" s="414"/>
      <c r="AY150" s="406"/>
      <c r="AZ150" s="407"/>
      <c r="BA150" s="404"/>
      <c r="BB150" s="414"/>
      <c r="BC150" s="414"/>
      <c r="BD150" s="406"/>
      <c r="BE150" s="407"/>
      <c r="BF150" s="404"/>
      <c r="BG150" s="414"/>
      <c r="BH150" s="414"/>
      <c r="BI150" s="406"/>
      <c r="BJ150" s="407"/>
      <c r="BK150" s="404"/>
      <c r="BL150" s="414"/>
      <c r="BM150" s="414"/>
      <c r="BN150" s="406"/>
      <c r="BO150" s="407"/>
      <c r="BP150" s="449"/>
      <c r="BQ150" s="413"/>
      <c r="BR150" s="410"/>
      <c r="BS150" s="416"/>
      <c r="BT150" s="416"/>
      <c r="BU150" s="412"/>
      <c r="BV150" s="413"/>
      <c r="BW150" s="410"/>
      <c r="BX150" s="416"/>
      <c r="BY150" s="416"/>
      <c r="BZ150" s="412"/>
      <c r="CA150" s="413"/>
      <c r="CB150" s="410"/>
      <c r="CC150" s="416"/>
      <c r="CD150" s="416"/>
      <c r="CE150" s="412"/>
      <c r="CF150" s="413"/>
      <c r="CG150" s="410"/>
      <c r="CH150" s="416"/>
      <c r="CI150" s="416"/>
      <c r="CJ150" s="412"/>
      <c r="CK150" s="413"/>
      <c r="CL150" s="410"/>
      <c r="CM150" s="416"/>
      <c r="CN150" s="416"/>
      <c r="CO150" s="412"/>
      <c r="CP150" s="413"/>
      <c r="CQ150" s="410"/>
      <c r="CR150" s="416"/>
      <c r="CS150" s="416"/>
      <c r="CT150" s="412"/>
      <c r="CU150" s="413"/>
      <c r="CV150" s="410"/>
      <c r="CW150" s="416"/>
      <c r="CX150" s="416"/>
      <c r="CY150" s="412"/>
      <c r="CZ150" s="413"/>
      <c r="DA150" s="410"/>
      <c r="DB150" s="416"/>
      <c r="DC150" s="416"/>
      <c r="DD150" s="412"/>
      <c r="DE150" s="413"/>
      <c r="DF150" s="410"/>
      <c r="DG150" s="416"/>
      <c r="DH150" s="416"/>
      <c r="DI150" s="412"/>
      <c r="DJ150" s="413"/>
      <c r="DK150" s="410"/>
      <c r="DL150" s="416"/>
      <c r="DM150" s="416"/>
      <c r="DN150" s="412"/>
      <c r="DO150" s="413"/>
      <c r="DP150" s="410"/>
      <c r="DQ150" s="416"/>
      <c r="DR150" s="416"/>
      <c r="DS150" s="412"/>
      <c r="DT150" s="413"/>
    </row>
    <row r="151" spans="1:124" ht="12.75" customHeight="1">
      <c r="A151" s="491"/>
      <c r="C151" s="613" t="s">
        <v>423</v>
      </c>
      <c r="D151" s="613"/>
      <c r="E151" s="1531"/>
      <c r="F151" s="1532"/>
      <c r="G151" s="1532"/>
      <c r="H151" s="610"/>
      <c r="I151" s="1533"/>
      <c r="J151" s="615"/>
      <c r="K151" s="402"/>
      <c r="L151" s="407"/>
      <c r="M151" s="404"/>
      <c r="N151" s="414"/>
      <c r="O151" s="414"/>
      <c r="P151" s="406"/>
      <c r="Q151" s="407"/>
      <c r="R151" s="404"/>
      <c r="S151" s="414"/>
      <c r="T151" s="414"/>
      <c r="U151" s="406"/>
      <c r="V151" s="407"/>
      <c r="W151" s="404"/>
      <c r="X151" s="414"/>
      <c r="Y151" s="414"/>
      <c r="Z151" s="406"/>
      <c r="AA151" s="407"/>
      <c r="AB151" s="404"/>
      <c r="AC151" s="414"/>
      <c r="AD151" s="414"/>
      <c r="AE151" s="406"/>
      <c r="AF151" s="407"/>
      <c r="AG151" s="404"/>
      <c r="AH151" s="414"/>
      <c r="AI151" s="414"/>
      <c r="AJ151" s="406"/>
      <c r="AK151" s="407"/>
      <c r="AL151" s="404"/>
      <c r="AM151" s="414"/>
      <c r="AN151" s="414"/>
      <c r="AO151" s="406"/>
      <c r="AP151" s="407"/>
      <c r="AQ151" s="404"/>
      <c r="AR151" s="414"/>
      <c r="AS151" s="414"/>
      <c r="AT151" s="406"/>
      <c r="AU151" s="407"/>
      <c r="AV151" s="404"/>
      <c r="AW151" s="414"/>
      <c r="AX151" s="414"/>
      <c r="AY151" s="406"/>
      <c r="AZ151" s="407"/>
      <c r="BA151" s="404"/>
      <c r="BB151" s="414"/>
      <c r="BC151" s="414"/>
      <c r="BD151" s="406"/>
      <c r="BE151" s="407"/>
      <c r="BF151" s="404"/>
      <c r="BG151" s="414"/>
      <c r="BH151" s="414"/>
      <c r="BI151" s="406"/>
      <c r="BJ151" s="407"/>
      <c r="BK151" s="404"/>
      <c r="BL151" s="414"/>
      <c r="BM151" s="414"/>
      <c r="BN151" s="406"/>
      <c r="BO151" s="407"/>
      <c r="BP151" s="449"/>
      <c r="BQ151" s="413"/>
      <c r="BR151" s="410"/>
      <c r="BS151" s="416"/>
      <c r="BT151" s="416"/>
      <c r="BU151" s="412"/>
      <c r="BV151" s="413"/>
      <c r="BW151" s="410"/>
      <c r="BX151" s="416"/>
      <c r="BY151" s="416"/>
      <c r="BZ151" s="412"/>
      <c r="CA151" s="413"/>
      <c r="CB151" s="410"/>
      <c r="CC151" s="416"/>
      <c r="CD151" s="416"/>
      <c r="CE151" s="412"/>
      <c r="CF151" s="413"/>
      <c r="CG151" s="410"/>
      <c r="CH151" s="416"/>
      <c r="CI151" s="416"/>
      <c r="CJ151" s="412"/>
      <c r="CK151" s="413"/>
      <c r="CL151" s="410"/>
      <c r="CM151" s="416"/>
      <c r="CN151" s="416"/>
      <c r="CO151" s="412"/>
      <c r="CP151" s="413"/>
      <c r="CQ151" s="410"/>
      <c r="CR151" s="416"/>
      <c r="CS151" s="416"/>
      <c r="CT151" s="412"/>
      <c r="CU151" s="413"/>
      <c r="CV151" s="410"/>
      <c r="CW151" s="416"/>
      <c r="CX151" s="416"/>
      <c r="CY151" s="412"/>
      <c r="CZ151" s="413"/>
      <c r="DA151" s="410"/>
      <c r="DB151" s="416"/>
      <c r="DC151" s="416"/>
      <c r="DD151" s="412"/>
      <c r="DE151" s="413"/>
      <c r="DF151" s="410"/>
      <c r="DG151" s="416"/>
      <c r="DH151" s="416"/>
      <c r="DI151" s="412"/>
      <c r="DJ151" s="413"/>
      <c r="DK151" s="410"/>
      <c r="DL151" s="416"/>
      <c r="DM151" s="416"/>
      <c r="DN151" s="412"/>
      <c r="DO151" s="413"/>
      <c r="DP151" s="410"/>
      <c r="DQ151" s="416"/>
      <c r="DR151" s="416"/>
      <c r="DS151" s="412"/>
      <c r="DT151" s="413"/>
    </row>
    <row r="152" spans="1:124" ht="12.75" customHeight="1">
      <c r="A152" s="491"/>
      <c r="C152" s="1884" t="s">
        <v>564</v>
      </c>
      <c r="D152" s="601"/>
      <c r="E152" s="1886">
        <f t="shared" ref="E152:E157" si="1118">IF(F152=0,G152,F152)</f>
        <v>250</v>
      </c>
      <c r="F152" s="1532">
        <v>0</v>
      </c>
      <c r="G152" s="1532">
        <v>250</v>
      </c>
      <c r="H152" s="610">
        <v>2017</v>
      </c>
      <c r="I152" s="1533">
        <v>5.5500000000000001E-2</v>
      </c>
      <c r="J152" s="615">
        <v>1</v>
      </c>
      <c r="K152" s="402"/>
      <c r="L152" s="407">
        <f t="shared" ref="L152:L158" si="1119">IF(L$5=$H152,-$E152,0)</f>
        <v>0</v>
      </c>
      <c r="M152" s="404">
        <f t="shared" ref="M152:M157" si="1120">IF(Q152=0,0,IF(Q152&lt;0,IF($J152=3,Q152,IF($J152=2,Q152,IF($J152=1,Q152,0)))))</f>
        <v>0</v>
      </c>
      <c r="N152" s="414">
        <f t="shared" ref="N152:N157" si="1121">IF(Q152=0,0,IF(Q152&lt;0,IF($J152=6,Q152,IF($J152=5,Q152,IF($J152=4,Q152,0)))))</f>
        <v>0</v>
      </c>
      <c r="O152" s="414">
        <f t="shared" ref="O152:O157" si="1122">IF(Q152=0,0,IF(Q152&lt;0,IF($J152=9,Q152,IF($J152=8,Q152,IF($J152=7,Q152,0)))))</f>
        <v>0</v>
      </c>
      <c r="P152" s="406">
        <f t="shared" ref="P152:P157" si="1123">IF(Q152=0,0,IF(Q152&lt;0,IF($J152=12,Q152,IF($J152=11,Q152,IF($J152=10,Q152,0)))))</f>
        <v>0</v>
      </c>
      <c r="Q152" s="407">
        <f t="shared" ref="Q152:Q158" si="1124">IF(Q$5=$H152,-$E152,0)</f>
        <v>0</v>
      </c>
      <c r="R152" s="404">
        <f t="shared" ref="R152:R157" si="1125">IF(V152=0,0,IF(V152&lt;0,IF($J152=3,V152,IF($J152=2,V152,IF($J152=1,V152,0)))))</f>
        <v>0</v>
      </c>
      <c r="S152" s="414">
        <f t="shared" ref="S152:S157" si="1126">IF(V152=0,0,IF(V152&lt;0,IF($J152=6,V152,IF($J152=5,V152,IF($J152=4,V152,0)))))</f>
        <v>0</v>
      </c>
      <c r="T152" s="414">
        <f t="shared" ref="T152:T157" si="1127">IF(V152=0,0,IF(V152&lt;0,IF($J152=9,V152,IF($J152=8,V152,IF($J152=7,V152,0)))))</f>
        <v>0</v>
      </c>
      <c r="U152" s="406">
        <f t="shared" ref="U152:U157" si="1128">IF(V152=0,0,IF(V152&lt;0,IF($J152=12,V152,IF($J152=11,V152,IF($J152=10,V152,0)))))</f>
        <v>0</v>
      </c>
      <c r="V152" s="407">
        <f t="shared" ref="V152:V158" si="1129">IF(V$5=$H152,-$E152,0)</f>
        <v>0</v>
      </c>
      <c r="W152" s="404">
        <f t="shared" ref="W152:W157" si="1130">IF(AA152=0,0,IF(AA152&lt;0,IF($J152=3,AA152,IF($J152=2,AA152,IF($J152=1,AA152,0)))))</f>
        <v>0</v>
      </c>
      <c r="X152" s="414">
        <f t="shared" ref="X152:X157" si="1131">IF(AA152=0,0,IF(AA152&lt;0,IF($J152=6,AA152,IF($J152=5,AA152,IF($J152=4,AA152,0)))))</f>
        <v>0</v>
      </c>
      <c r="Y152" s="414">
        <f t="shared" ref="Y152:Y157" si="1132">IF(AA152=0,0,IF(AA152&lt;0,IF($J152=9,AA152,IF($J152=8,AA152,IF($J152=7,AA152,0)))))</f>
        <v>0</v>
      </c>
      <c r="Z152" s="406">
        <f t="shared" ref="Z152:Z157" si="1133">IF(AA152=0,0,IF(AA152&lt;0,IF($J152=12,AA152,IF($J152=11,AA152,IF($J152=10,AA152,0)))))</f>
        <v>0</v>
      </c>
      <c r="AA152" s="407">
        <f t="shared" ref="AA152:AA158" si="1134">IF(AA$5=$H152,-$E152,0)</f>
        <v>0</v>
      </c>
      <c r="AB152" s="404">
        <f t="shared" ref="AB152:AB157" si="1135">IF(AF152=0,0,IF(AF152&lt;0,IF($J152=3,AF152,IF($J152=2,AF152,IF($J152=1,AF152,0)))))</f>
        <v>0</v>
      </c>
      <c r="AC152" s="414">
        <f t="shared" ref="AC152:AC157" si="1136">IF(AF152=0,0,IF(AF152&lt;0,IF($J152=6,AF152,IF($J152=5,AF152,IF($J152=4,AF152,0)))))</f>
        <v>0</v>
      </c>
      <c r="AD152" s="414">
        <f t="shared" ref="AD152:AD157" si="1137">IF(AF152=0,0,IF(AF152&lt;0,IF($J152=9,AF152,IF($J152=8,AF152,IF($J152=7,AF152,0)))))</f>
        <v>0</v>
      </c>
      <c r="AE152" s="406">
        <f t="shared" ref="AE152:AE157" si="1138">IF(AF152=0,0,IF(AF152&lt;0,IF($J152=12,AF152,IF($J152=11,AF152,IF($J152=10,AF152,0)))))</f>
        <v>0</v>
      </c>
      <c r="AF152" s="407">
        <f t="shared" ref="AF152:AF158" si="1139">IF(AF$5=$H152,-$E152,0)</f>
        <v>0</v>
      </c>
      <c r="AG152" s="404">
        <f t="shared" ref="AG152:AG157" si="1140">IF(AK152=0,0,IF(AK152&lt;0,IF($J152=3,AK152,IF($J152=2,AK152,IF($J152=1,AK152,0)))))</f>
        <v>0</v>
      </c>
      <c r="AH152" s="414">
        <f t="shared" ref="AH152:AH157" si="1141">IF(AK152=0,0,IF(AK152&lt;0,IF($J152=6,AK152,IF($J152=5,AK152,IF($J152=4,AK152,0)))))</f>
        <v>0</v>
      </c>
      <c r="AI152" s="414">
        <f t="shared" ref="AI152:AI157" si="1142">IF(AK152=0,0,IF(AK152&lt;0,IF($J152=9,AK152,IF($J152=8,AK152,IF($J152=7,AK152,0)))))</f>
        <v>0</v>
      </c>
      <c r="AJ152" s="406">
        <f t="shared" ref="AJ152:AJ157" si="1143">IF(AK152=0,0,IF(AK152&lt;0,IF($J152=12,AK152,IF($J152=11,AK152,IF($J152=10,AK152,0)))))</f>
        <v>0</v>
      </c>
      <c r="AK152" s="407">
        <f t="shared" ref="AK152:AK158" si="1144">IF(AK$5=$H152,-$E152,0)</f>
        <v>0</v>
      </c>
      <c r="AL152" s="404">
        <f t="shared" ref="AL152:AL157" si="1145">IF(AP152=0,0,IF(AP152&lt;0,IF($J152=3,AP152,IF($J152=2,AP152,IF($J152=1,AP152,0)))))</f>
        <v>0</v>
      </c>
      <c r="AM152" s="414">
        <f t="shared" ref="AM152:AM157" si="1146">IF(AP152=0,0,IF(AP152&lt;0,IF($J152=6,AP152,IF($J152=5,AP152,IF($J152=4,AP152,0)))))</f>
        <v>0</v>
      </c>
      <c r="AN152" s="414">
        <f t="shared" ref="AN152:AN157" si="1147">IF(AP152=0,0,IF(AP152&lt;0,IF($J152=9,AP152,IF($J152=8,AP152,IF($J152=7,AP152,0)))))</f>
        <v>0</v>
      </c>
      <c r="AO152" s="406">
        <f t="shared" ref="AO152:AO157" si="1148">IF(AP152=0,0,IF(AP152&lt;0,IF($J152=12,AP152,IF($J152=11,AP152,IF($J152=10,AP152,0)))))</f>
        <v>0</v>
      </c>
      <c r="AP152" s="407">
        <f t="shared" ref="AP152:AP158" si="1149">IF(AP$5=$H152,-$E152,0)</f>
        <v>0</v>
      </c>
      <c r="AQ152" s="404">
        <f t="shared" ref="AQ152:AQ157" si="1150">IF(AU152=0,0,IF(AU152&lt;0,IF($J152=3,AU152,IF($J152=2,AU152,IF($J152=1,AU152,0)))))</f>
        <v>-250</v>
      </c>
      <c r="AR152" s="414">
        <f t="shared" ref="AR152:AR158" si="1151">IF(AU152=0,0,IF(AU152&lt;0,IF($J152=6,AU152,IF($J152=5,AU152,IF($J152=4,AU152,0)))))</f>
        <v>0</v>
      </c>
      <c r="AS152" s="414">
        <f t="shared" ref="AS152:AS157" si="1152">IF(AU152=0,0,IF(AU152&lt;0,IF($J152=9,AU152,IF($J152=8,AU152,IF($J152=7,AU152,0)))))</f>
        <v>0</v>
      </c>
      <c r="AT152" s="406">
        <f t="shared" ref="AT152:AT157" si="1153">IF(AU152=0,0,IF(AU152&lt;0,IF($J152=12,AU152,IF($J152=11,AU152,IF($J152=10,AU152,0)))))</f>
        <v>0</v>
      </c>
      <c r="AU152" s="407">
        <f t="shared" ref="AU152:AU158" si="1154">IF(AU$5=$H152,-$E152,0)</f>
        <v>-250</v>
      </c>
      <c r="AV152" s="404">
        <f t="shared" ref="AV152:AV157" si="1155">IF(AZ152=0,0,IF(AZ152&lt;0,IF($J152=3,AZ152,IF($J152=2,AZ152,IF($J152=1,AZ152,0)))))</f>
        <v>0</v>
      </c>
      <c r="AW152" s="414">
        <f t="shared" ref="AW152:AW157" si="1156">IF(AZ152=0,0,IF(AZ152&lt;0,IF($J152=6,AZ152,IF($J152=5,AZ152,IF($J152=4,AZ152,0)))))</f>
        <v>0</v>
      </c>
      <c r="AX152" s="414">
        <f t="shared" ref="AX152:AX157" si="1157">IF(AZ152=0,0,IF(AZ152&lt;0,IF($J152=9,AZ152,IF($J152=8,AZ152,IF($J152=7,AZ152,0)))))</f>
        <v>0</v>
      </c>
      <c r="AY152" s="406">
        <f t="shared" ref="AY152:AY157" si="1158">IF(AZ152=0,0,IF(AZ152&lt;0,IF($J152=12,AZ152,IF($J152=11,AZ152,IF($J152=10,AZ152,0)))))</f>
        <v>0</v>
      </c>
      <c r="AZ152" s="407">
        <f t="shared" ref="AZ152:AZ158" si="1159">IF(AZ$5=$H152,-$E152,0)</f>
        <v>0</v>
      </c>
      <c r="BA152" s="404">
        <f t="shared" ref="BA152:BA157" si="1160">IF(BE152=0,0,IF(BE152&lt;0,IF($J152=3,BE152,IF($J152=2,BE152,IF($J152=1,BE152,0)))))</f>
        <v>0</v>
      </c>
      <c r="BB152" s="414">
        <f t="shared" ref="BB152:BB157" si="1161">IF(BE152=0,0,IF(BE152&lt;0,IF($J152=6,BE152,IF($J152=5,BE152,IF($J152=4,BE152,0)))))</f>
        <v>0</v>
      </c>
      <c r="BC152" s="414">
        <f t="shared" ref="BC152:BC157" si="1162">IF(BE152=0,0,IF(BE152&lt;0,IF($J152=9,BE152,IF($J152=8,BE152,IF($J152=7,BE152,0)))))</f>
        <v>0</v>
      </c>
      <c r="BD152" s="406">
        <f t="shared" ref="BD152:BD157" si="1163">IF(BE152=0,0,IF(BE152&lt;0,IF($J152=12,BE152,IF($J152=11,BE152,IF($J152=10,BE152,0)))))</f>
        <v>0</v>
      </c>
      <c r="BE152" s="407">
        <f t="shared" ref="BE152:BE158" si="1164">IF(BE$5=$H152,-$E152,0)</f>
        <v>0</v>
      </c>
      <c r="BF152" s="404">
        <f t="shared" ref="BF152:BF157" si="1165">IF(BJ152=0,0,IF(BJ152&lt;0,IF($J152=3,BJ152,IF($J152=2,BJ152,IF($J152=1,BJ152,0)))))</f>
        <v>0</v>
      </c>
      <c r="BG152" s="414">
        <f t="shared" ref="BG152:BG157" si="1166">IF(BJ152=0,0,IF(BJ152&lt;0,IF($J152=6,BJ152,IF($J152=5,BJ152,IF($J152=4,BJ152,0)))))</f>
        <v>0</v>
      </c>
      <c r="BH152" s="414">
        <f t="shared" ref="BH152:BH157" si="1167">IF(BJ152=0,0,IF(BJ152&lt;0,IF($J152=9,BJ152,IF($J152=8,BJ152,IF($J152=7,BJ152,0)))))</f>
        <v>0</v>
      </c>
      <c r="BI152" s="406">
        <f t="shared" ref="BI152:BI157" si="1168">IF(BJ152=0,0,IF(BJ152&lt;0,IF($J152=12,BJ152,IF($J152=11,BJ152,IF($J152=10,BJ152,0)))))</f>
        <v>0</v>
      </c>
      <c r="BJ152" s="407">
        <f t="shared" ref="BJ152:BJ158" si="1169">IF(BJ$5=$H152,-$E152,0)</f>
        <v>0</v>
      </c>
      <c r="BK152" s="404">
        <f t="shared" ref="BK152:BK157" si="1170">IF(BO152=0,0,IF(BO152&lt;0,IF($J152=3,BO152,IF($J152=2,BO152,IF($J152=1,BO152,0)))))</f>
        <v>0</v>
      </c>
      <c r="BL152" s="414">
        <f t="shared" ref="BL152:BL157" si="1171">IF(BO152=0,0,IF(BO152&lt;0,IF($J152=6,BO152,IF($J152=5,BO152,IF($J152=4,BO152,0)))))</f>
        <v>0</v>
      </c>
      <c r="BM152" s="414">
        <f t="shared" ref="BM152:BM157" si="1172">IF(BO152=0,0,IF(BO152&lt;0,IF($J152=9,BO152,IF($J152=8,BO152,IF($J152=7,BO152,0)))))</f>
        <v>0</v>
      </c>
      <c r="BN152" s="406">
        <f t="shared" ref="BN152:BN157" si="1173">IF(BO152=0,0,IF(BO152&lt;0,IF($J152=12,BO152,IF($J152=11,BO152,IF($J152=10,BO152,0)))))</f>
        <v>0</v>
      </c>
      <c r="BO152" s="407">
        <f t="shared" ref="BO152:BO158" si="1174">IF(BO$5=$H152,-$E152,0)</f>
        <v>0</v>
      </c>
      <c r="BP152" s="449"/>
      <c r="BQ152" s="413">
        <f t="shared" ref="BQ152:BQ157" si="1175">IF(AND(AH152&lt;&gt;0,AH$5=$H152),-$I152*$E152-AH152,IF(BQ$5=$H152,-$I152*$E152*(12-$J152+1)/12,0))</f>
        <v>0</v>
      </c>
      <c r="BR152" s="410">
        <f t="shared" ref="BR152:BR157" si="1176">IF($H152&lt;&gt;BV$5,0,IF(BV152&lt;0,IF($J152=1,-$E152*$I152/12*3,IF($J152=2,-$E152*$I152/12*2,IF($J152=3,-$E152*$I152/12*1,0)))))+IF(BQ$5&lt;&gt;$H152,0,IF(BQ152&lt;0,IF($J152=1,-$E152*$I152/12*0,IF($J152=2,-$E152*$I152/12*1,IF($J152=3,-$E152*$I152/12*2,IF($J152&gt;=4,-$E152*$I152/12*3,0))))))</f>
        <v>0</v>
      </c>
      <c r="BS152" s="416">
        <f t="shared" ref="BS152:BS157" si="1177">IF($H152&lt;&gt;BV$5,0,IF(BV152&lt;0,IF(OR($J152=1,$J152=2,$J152=3,$J152=4),-$E152*$I152/12*3,IF($J152=5,-$E152*$I152/12*2,IF($J152=6,-$E152*$I152/12*1,0)))))+IF(BQ$5&lt;&gt;$H152,0,IF(BQ152&lt;0,IF($J152=4,-$E152*$I152/12*0,IF($J152=5,-$E152*$I152/12*1,IF($J152=6,-$E152*$I152/12*2,IF($J152&gt;=7,-$E152*$I152/12*3,0))))))</f>
        <v>0</v>
      </c>
      <c r="BT152" s="416">
        <f t="shared" ref="BT152:BT157" si="1178">IF($H152&lt;&gt;BV$5,0,IF(BV152&lt;0,IF(OR($J152=1,$J152=2,$J152=3,$J152=4,$J152=5,$J152=6,$J152=7),-$E152*$I152/12*3,IF($J152=8,-$E152*$I152/12*2,IF($J152=9,-$E152*$I152/12*1,0)))))+IF(BQ$5&lt;&gt;$H152,0,IF(BQ152&lt;0,IF($J152=7,-$E152*$I152/12*0,IF($J152=8,-$E152*$I152/12*1,IF($J152=9,-$E152*$I152/12*2,IF($J152&gt;=10,-$E152*$I152/12*3,0))))))</f>
        <v>0</v>
      </c>
      <c r="BU152" s="412">
        <f t="shared" ref="BU152:BU157" si="1179">IF($H152&lt;&gt;BV$5,0,IF(BV152&lt;0,IF(OR($J152=1,$J152=2,$J152=3,$J152=4,$J152=5,$J152=6,$J152=7,$J152=8,$J152=9,$J152=10),-$E152*$I152/12*3,IF($J152=11,-$E152*$I152/12*2,IF($J152=12,-$E152*$I152/12*1,0)))))+IF(BQ$5&lt;&gt;$H152,0,IF(BQ152&lt;0,IF($J152=10,-$E152*$I152/12*0,IF($J152=11,-$E152*$I152/12*1,IF($J152=12,-$E152*$I152/12*2,0)))))</f>
        <v>0</v>
      </c>
      <c r="BV152" s="413">
        <f t="shared" ref="BV152:BV157" si="1180">IF(AND(BQ152&lt;&gt;0,BQ$5=$H152),-$I152*$E152-BQ152,IF(BV$5=$H152,-$I152*$E152*(12-$J152+1)/12,0))</f>
        <v>0</v>
      </c>
      <c r="BW152" s="410">
        <f t="shared" ref="BW152:BW157" si="1181">IF($H152&lt;&gt;CA$5,0,IF(CA152&lt;0,IF($J152=1,-$E152*$I152/12*3,IF($J152=2,-$E152*$I152/12*2,IF($J152=3,-$E152*$I152/12*1,0)))))+IF(BV$5&lt;&gt;$H152,0,IF(BV152&lt;0,IF($J152=1,-$E152*$I152/12*0,IF($J152=2,-$E152*$I152/12*1,IF($J152=3,-$E152*$I152/12*2,IF($J152&gt;=4,-$E152*$I152/12*3,0))))))</f>
        <v>0</v>
      </c>
      <c r="BX152" s="416">
        <f t="shared" ref="BX152:BX157" si="1182">IF($H152&lt;&gt;CA$5,0,IF(CA152&lt;0,IF(OR($J152=1,$J152=2,$J152=3,$J152=4),-$E152*$I152/12*3,IF($J152=5,-$E152*$I152/12*2,IF($J152=6,-$E152*$I152/12*1,0)))))+IF(BV$5&lt;&gt;$H152,0,IF(BV152&lt;0,IF($J152=4,-$E152*$I152/12*0,IF($J152=5,-$E152*$I152/12*1,IF($J152=6,-$E152*$I152/12*2,IF($J152&gt;=7,-$E152*$I152/12*3,0))))))</f>
        <v>0</v>
      </c>
      <c r="BY152" s="416">
        <f t="shared" ref="BY152:BY157" si="1183">IF($H152&lt;&gt;CA$5,0,IF(CA152&lt;0,IF(OR($J152=1,$J152=2,$J152=3,$J152=4,$J152=5,$J152=6,$J152=7),-$E152*$I152/12*3,IF($J152=8,-$E152*$I152/12*2,IF($J152=9,-$E152*$I152/12*1,0)))))+IF(BV$5&lt;&gt;$H152,0,IF(BV152&lt;0,IF($J152=7,-$E152*$I152/12*0,IF($J152=8,-$E152*$I152/12*1,IF($J152=9,-$E152*$I152/12*2,IF($J152&gt;=10,-$E152*$I152/12*3,0))))))</f>
        <v>0</v>
      </c>
      <c r="BZ152" s="412">
        <f t="shared" ref="BZ152:BZ157" si="1184">IF($H152&lt;&gt;CA$5,0,IF(CA152&lt;0,IF(OR($J152=1,$J152=2,$J152=3,$J152=4,$J152=5,$J152=6,$J152=7,$J152=8,$J152=9,$J152=10),-$E152*$I152/12*3,IF($J152=11,-$E152*$I152/12*2,IF($J152=12,-$E152*$I152/12*1,0)))))+IF(BV$5&lt;&gt;$H152,0,IF(BV152&lt;0,IF($J152=10,-$E152*$I152/12*0,IF($J152=11,-$E152*$I152/12*1,IF($J152=12,-$E152*$I152/12*2,0)))))</f>
        <v>0</v>
      </c>
      <c r="CA152" s="413">
        <f t="shared" ref="CA152:CA157" si="1185">IF(AND(BV152&lt;&gt;0,BV$5=$H152),-$I152*$E152-BV152,IF(CA$5=$H152,-$I152*$E152*(12-$J152+1)/12,0))</f>
        <v>0</v>
      </c>
      <c r="CB152" s="410">
        <f t="shared" ref="CB152:CB157" si="1186">IF($H152&lt;&gt;CF$5,0,IF(CF152&lt;0,IF($J152=1,-$E152*$I152/12*3,IF($J152=2,-$E152*$I152/12*2,IF($J152=3,-$E152*$I152/12*1,0)))))+IF(CA$5&lt;&gt;$H152,0,IF(CA152&lt;0,IF($J152=1,-$E152*$I152/12*0,IF($J152=2,-$E152*$I152/12*1,IF($J152=3,-$E152*$I152/12*2,IF($J152&gt;=4,-$E152*$I152/12*3,0))))))</f>
        <v>0</v>
      </c>
      <c r="CC152" s="416">
        <f t="shared" ref="CC152:CC157" si="1187">IF($H152&lt;&gt;CF$5,0,IF(CF152&lt;0,IF(OR($J152=1,$J152=2,$J152=3,$J152=4),-$E152*$I152/12*3,IF($J152=5,-$E152*$I152/12*2,IF($J152=6,-$E152*$I152/12*1,0)))))+IF(CA$5&lt;&gt;$H152,0,IF(CA152&lt;0,IF($J152=4,-$E152*$I152/12*0,IF($J152=5,-$E152*$I152/12*1,IF($J152=6,-$E152*$I152/12*2,IF($J152&gt;=7,-$E152*$I152/12*3,0))))))</f>
        <v>0</v>
      </c>
      <c r="CD152" s="416">
        <f t="shared" ref="CD152:CD157" si="1188">IF($H152&lt;&gt;CF$5,0,IF(CF152&lt;0,IF(OR($J152=1,$J152=2,$J152=3,$J152=4,$J152=5,$J152=6,$J152=7),-$E152*$I152/12*3,IF($J152=8,-$E152*$I152/12*2,IF($J152=9,-$E152*$I152/12*1,0)))))+IF(CA$5&lt;&gt;$H152,0,IF(CA152&lt;0,IF($J152=7,-$E152*$I152/12*0,IF($J152=8,-$E152*$I152/12*1,IF($J152=9,-$E152*$I152/12*2,IF($J152&gt;=10,-$E152*$I152/12*3,0))))))</f>
        <v>0</v>
      </c>
      <c r="CE152" s="412">
        <f t="shared" ref="CE152:CE157" si="1189">IF($H152&lt;&gt;CF$5,0,IF(CF152&lt;0,IF(OR($J152=1,$J152=2,$J152=3,$J152=4,$J152=5,$J152=6,$J152=7,$J152=8,$J152=9,$J152=10),-$E152*$I152/12*3,IF($J152=11,-$E152*$I152/12*2,IF($J152=12,-$E152*$I152/12*1,0)))))+IF(CA$5&lt;&gt;$H152,0,IF(CA152&lt;0,IF($J152=10,-$E152*$I152/12*0,IF($J152=11,-$E152*$I152/12*1,IF($J152=12,-$E152*$I152/12*2,0)))))</f>
        <v>0</v>
      </c>
      <c r="CF152" s="413">
        <f t="shared" ref="CF152:CF157" si="1190">IF(AND(CA152&lt;&gt;0,CA$5=$H152),-$I152*$E152-CA152,IF(CF$5=$H152,-$I152*$E152*(12-$J152+1)/12,0))</f>
        <v>0</v>
      </c>
      <c r="CG152" s="410">
        <f t="shared" ref="CG152:CG157" si="1191">IF($H152&lt;&gt;CK$5,0,IF(CK152&lt;0,IF($J152=1,-$E152*$I152/12*3,IF($J152=2,-$E152*$I152/12*2,IF($J152=3,-$E152*$I152/12*1,0)))))+IF(CF$5&lt;&gt;$H152,0,IF(CF152&lt;0,IF($J152=1,-$E152*$I152/12*0,IF($J152=2,-$E152*$I152/12*1,IF($J152=3,-$E152*$I152/12*2,IF($J152&gt;=4,-$E152*$I152/12*3,0))))))</f>
        <v>0</v>
      </c>
      <c r="CH152" s="416">
        <f t="shared" ref="CH152:CH157" si="1192">IF($H152&lt;&gt;CK$5,0,IF(CK152&lt;0,IF(OR($J152=1,$J152=2,$J152=3,$J152=4),-$E152*$I152/12*3,IF($J152=5,-$E152*$I152/12*2,IF($J152=6,-$E152*$I152/12*1,0)))))+IF(CF$5&lt;&gt;$H152,0,IF(CF152&lt;0,IF($J152=4,-$E152*$I152/12*0,IF($J152=5,-$E152*$I152/12*1,IF($J152=6,-$E152*$I152/12*2,IF($J152&gt;=7,-$E152*$I152/12*3,0))))))</f>
        <v>0</v>
      </c>
      <c r="CI152" s="416">
        <f t="shared" ref="CI152:CI157" si="1193">IF($H152&lt;&gt;CK$5,0,IF(CK152&lt;0,IF(OR($J152=1,$J152=2,$J152=3,$J152=4,$J152=5,$J152=6,$J152=7),-$E152*$I152/12*3,IF($J152=8,-$E152*$I152/12*2,IF($J152=9,-$E152*$I152/12*1,0)))))+IF(CF$5&lt;&gt;$H152,0,IF(CF152&lt;0,IF($J152=7,-$E152*$I152/12*0,IF($J152=8,-$E152*$I152/12*1,IF($J152=9,-$E152*$I152/12*2,IF($J152&gt;=10,-$E152*$I152/12*3,0))))))</f>
        <v>0</v>
      </c>
      <c r="CJ152" s="412">
        <f t="shared" ref="CJ152:CJ157" si="1194">IF($H152&lt;&gt;CK$5,0,IF(CK152&lt;0,IF(OR($J152=1,$J152=2,$J152=3,$J152=4,$J152=5,$J152=6,$J152=7,$J152=8,$J152=9,$J152=10),-$E152*$I152/12*3,IF($J152=11,-$E152*$I152/12*2,IF($J152=12,-$E152*$I152/12*1,0)))))+IF(CF$5&lt;&gt;$H152,0,IF(CF152&lt;0,IF($J152=10,-$E152*$I152/12*0,IF($J152=11,-$E152*$I152/12*1,IF($J152=12,-$E152*$I152/12*2,0)))))</f>
        <v>0</v>
      </c>
      <c r="CK152" s="413">
        <f t="shared" ref="CK152:CK157" si="1195">IF(AND(CF152&lt;&gt;0,CF$5=$H152),-$I152*$E152-CF152,IF(CK$5=$H152,-$I152*$E152*(12-$J152+1)/12,0))</f>
        <v>0</v>
      </c>
      <c r="CL152" s="410">
        <f t="shared" ref="CL152:CL157" si="1196">IF($H152&lt;&gt;CP$5,0,IF(CP152&lt;0,IF($J152=1,-$E152*$I152/12*3,IF($J152=2,-$E152*$I152/12*2,IF($J152=3,-$E152*$I152/12*1,0)))))+IF(CK$5&lt;&gt;$H152,0,IF(CK152&lt;0,IF($J152=1,-$E152*$I152/12*0,IF($J152=2,-$E152*$I152/12*1,IF($J152=3,-$E152*$I152/12*2,IF($J152&gt;=4,-$E152*$I152/12*3,0))))))</f>
        <v>0</v>
      </c>
      <c r="CM152" s="416">
        <f t="shared" ref="CM152:CM157" si="1197">IF($H152&lt;&gt;CP$5,0,IF(CP152&lt;0,IF(OR($J152=1,$J152=2,$J152=3,$J152=4),-$E152*$I152/12*3,IF($J152=5,-$E152*$I152/12*2,IF($J152=6,-$E152*$I152/12*1,0)))))+IF(CK$5&lt;&gt;$H152,0,IF(CK152&lt;0,IF($J152=4,-$E152*$I152/12*0,IF($J152=5,-$E152*$I152/12*1,IF($J152=6,-$E152*$I152/12*2,IF($J152&gt;=7,-$E152*$I152/12*3,0))))))</f>
        <v>0</v>
      </c>
      <c r="CN152" s="416">
        <f t="shared" ref="CN152:CN157" si="1198">IF($H152&lt;&gt;CP$5,0,IF(CP152&lt;0,IF(OR($J152=1,$J152=2,$J152=3,$J152=4,$J152=5,$J152=6,$J152=7),-$E152*$I152/12*3,IF($J152=8,-$E152*$I152/12*2,IF($J152=9,-$E152*$I152/12*1,0)))))+IF(CK$5&lt;&gt;$H152,0,IF(CK152&lt;0,IF($J152=7,-$E152*$I152/12*0,IF($J152=8,-$E152*$I152/12*1,IF($J152=9,-$E152*$I152/12*2,IF($J152&gt;=10,-$E152*$I152/12*3,0))))))</f>
        <v>0</v>
      </c>
      <c r="CO152" s="412">
        <f t="shared" ref="CO152:CO157" si="1199">IF($H152&lt;&gt;CP$5,0,IF(CP152&lt;0,IF(OR($J152=1,$J152=2,$J152=3,$J152=4,$J152=5,$J152=6,$J152=7,$J152=8,$J152=9,$J152=10),-$E152*$I152/12*3,IF($J152=11,-$E152*$I152/12*2,IF($J152=12,-$E152*$I152/12*1,0)))))+IF(CK$5&lt;&gt;$H152,0,IF(CK152&lt;0,IF($J152=10,-$E152*$I152/12*0,IF($J152=11,-$E152*$I152/12*1,IF($J152=12,-$E152*$I152/12*2,0)))))</f>
        <v>0</v>
      </c>
      <c r="CP152" s="413">
        <f t="shared" ref="CP152:CP157" si="1200">IF(AND(CK152&lt;&gt;0,CK$5=$H152),-$I152*$E152-CK152,IF(CP$5=$H152,-$I152*$E152*(12-$J152+1)/12,0))</f>
        <v>0</v>
      </c>
      <c r="CQ152" s="410">
        <f t="shared" ref="CQ152:CQ157" si="1201">IF($H152&lt;&gt;CU$5,0,IF(CU152&lt;0,IF($J152=1,-$E152*$I152/12*3,IF($J152=2,-$E152*$I152/12*2,IF($J152=3,-$E152*$I152/12*1,0)))))+IF(CP$5&lt;&gt;$H152,0,IF(CP152&lt;0,IF($J152=1,-$E152*$I152/12*0,IF($J152=2,-$E152*$I152/12*1,IF($J152=3,-$E152*$I152/12*2,IF($J152&gt;=4,-$E152*$I152/12*3,0))))))</f>
        <v>0</v>
      </c>
      <c r="CR152" s="416">
        <f t="shared" ref="CR152:CR157" si="1202">IF($H152&lt;&gt;CU$5,0,IF(CU152&lt;0,IF(OR($J152=1,$J152=2,$J152=3,$J152=4),-$E152*$I152/12*3,IF($J152=5,-$E152*$I152/12*2,IF($J152=6,-$E152*$I152/12*1,0)))))+IF(CP$5&lt;&gt;$H152,0,IF(CP152&lt;0,IF($J152=4,-$E152*$I152/12*0,IF($J152=5,-$E152*$I152/12*1,IF($J152=6,-$E152*$I152/12*2,IF($J152&gt;=7,-$E152*$I152/12*3,0))))))</f>
        <v>0</v>
      </c>
      <c r="CS152" s="416">
        <f t="shared" ref="CS152:CS157" si="1203">IF($H152&lt;&gt;CU$5,0,IF(CU152&lt;0,IF(OR($J152=1,$J152=2,$J152=3,$J152=4,$J152=5,$J152=6,$J152=7),-$E152*$I152/12*3,IF($J152=8,-$E152*$I152/12*2,IF($J152=9,-$E152*$I152/12*1,0)))))+IF(CP$5&lt;&gt;$H152,0,IF(CP152&lt;0,IF($J152=7,-$E152*$I152/12*0,IF($J152=8,-$E152*$I152/12*1,IF($J152=9,-$E152*$I152/12*2,IF($J152&gt;=10,-$E152*$I152/12*3,0))))))</f>
        <v>0</v>
      </c>
      <c r="CT152" s="412">
        <f t="shared" ref="CT152:CT157" si="1204">IF($H152&lt;&gt;CU$5,0,IF(CU152&lt;0,IF(OR($J152=1,$J152=2,$J152=3,$J152=4,$J152=5,$J152=6,$J152=7,$J152=8,$J152=9,$J152=10),-$E152*$I152/12*3,IF($J152=11,-$E152*$I152/12*2,IF($J152=12,-$E152*$I152/12*1,0)))))+IF(CP$5&lt;&gt;$H152,0,IF(CP152&lt;0,IF($J152=10,-$E152*$I152/12*0,IF($J152=11,-$E152*$I152/12*1,IF($J152=12,-$E152*$I152/12*2,0)))))</f>
        <v>0</v>
      </c>
      <c r="CU152" s="413">
        <f t="shared" ref="CU152:CU157" si="1205">IF(AND(CP152&lt;&gt;0,CP$5=$H152),-$I152*$E152-CP152,IF(CU$5=$H152,-$I152*$E152*(12-$J152+1)/12,0))</f>
        <v>0</v>
      </c>
      <c r="CV152" s="410">
        <f t="shared" ref="CV152:CV157" si="1206">IF($H152&lt;&gt;CZ$5,0,IF(CZ152&lt;0,IF($J152=1,-$E152*$I152/12*3,IF($J152=2,-$E152*$I152/12*2,IF($J152=3,-$E152*$I152/12*1,0)))))+IF(CU$5&lt;&gt;$H152,0,IF(CU152&lt;0,IF($J152=1,-$E152*$I152/12*0,IF($J152=2,-$E152*$I152/12*1,IF($J152=3,-$E152*$I152/12*2,IF($J152&gt;=4,-$E152*$I152/12*3,0))))))</f>
        <v>-3.46875</v>
      </c>
      <c r="CW152" s="416">
        <f t="shared" ref="CW152:CW157" si="1207">IF($H152&lt;&gt;CZ$5,0,IF(CZ152&lt;0,IF(OR($J152=1,$J152=2,$J152=3,$J152=4),-$E152*$I152/12*3,IF($J152=5,-$E152*$I152/12*2,IF($J152=6,-$E152*$I152/12*1,0)))))+IF(CU$5&lt;&gt;$H152,0,IF(CU152&lt;0,IF($J152=4,-$E152*$I152/12*0,IF($J152=5,-$E152*$I152/12*1,IF($J152=6,-$E152*$I152/12*2,IF($J152&gt;=7,-$E152*$I152/12*3,0))))))</f>
        <v>-3.46875</v>
      </c>
      <c r="CX152" s="416">
        <f t="shared" ref="CX152:CX157" si="1208">IF($H152&lt;&gt;CZ$5,0,IF(CZ152&lt;0,IF(OR($J152=1,$J152=2,$J152=3,$J152=4,$J152=5,$J152=6,$J152=7),-$E152*$I152/12*3,IF($J152=8,-$E152*$I152/12*2,IF($J152=9,-$E152*$I152/12*1,0)))))+IF(CU$5&lt;&gt;$H152,0,IF(CU152&lt;0,IF($J152=7,-$E152*$I152/12*0,IF($J152=8,-$E152*$I152/12*1,IF($J152=9,-$E152*$I152/12*2,IF($J152&gt;=10,-$E152*$I152/12*3,0))))))</f>
        <v>-3.46875</v>
      </c>
      <c r="CY152" s="412">
        <f t="shared" ref="CY152:CY157" si="1209">IF($H152&lt;&gt;CZ$5,0,IF(CZ152&lt;0,IF(OR($J152=1,$J152=2,$J152=3,$J152=4,$J152=5,$J152=6,$J152=7,$J152=8,$J152=9,$J152=10),-$E152*$I152/12*3,IF($J152=11,-$E152*$I152/12*2,IF($J152=12,-$E152*$I152/12*1,0)))))+IF(CU$5&lt;&gt;$H152,0,IF(CU152&lt;0,IF($J152=10,-$E152*$I152/12*0,IF($J152=11,-$E152*$I152/12*1,IF($J152=12,-$E152*$I152/12*2,0)))))</f>
        <v>-3.46875</v>
      </c>
      <c r="CZ152" s="413">
        <f t="shared" ref="CZ152:CZ157" si="1210">IF(AND(CU152&lt;&gt;0,CU$5=$H152),-$I152*$E152-CU152,IF(CZ$5=$H152,-$I152*$E152*(12-$J152+1)/12,0))</f>
        <v>-13.875</v>
      </c>
      <c r="DA152" s="410">
        <f t="shared" ref="DA152:DA157" si="1211">IF($H152&lt;&gt;DE$5,0,IF(DE152&lt;0,IF($J152=1,-$E152*$I152/12*3,IF($J152=2,-$E152*$I152/12*2,IF($J152=3,-$E152*$I152/12*1,0)))))+IF(CZ$5&lt;&gt;$H152,0,IF(CZ152&lt;0,IF($J152=1,-$E152*$I152/12*0,IF($J152=2,-$E152*$I152/12*1,IF($J152=3,-$E152*$I152/12*2,IF($J152&gt;=4,-$E152*$I152/12*3,0))))))</f>
        <v>0</v>
      </c>
      <c r="DB152" s="416">
        <f t="shared" ref="DB152:DB157" si="1212">IF($H152&lt;&gt;DE$5,0,IF(DE152&lt;0,IF(OR($J152=1,$J152=2,$J152=3,$J152=4),-$E152*$I152/12*3,IF($J152=5,-$E152*$I152/12*2,IF($J152=6,-$E152*$I152/12*1,0)))))+IF(CZ$5&lt;&gt;$H152,0,IF(CZ152&lt;0,IF($J152=4,-$E152*$I152/12*0,IF($J152=5,-$E152*$I152/12*1,IF($J152=6,-$E152*$I152/12*2,IF($J152&gt;=7,-$E152*$I152/12*3,0))))))</f>
        <v>0</v>
      </c>
      <c r="DC152" s="416">
        <f t="shared" ref="DC152:DC157" si="1213">IF($H152&lt;&gt;DE$5,0,IF(DE152&lt;0,IF(OR($J152=1,$J152=2,$J152=3,$J152=4,$J152=5,$J152=6,$J152=7),-$E152*$I152/12*3,IF($J152=8,-$E152*$I152/12*2,IF($J152=9,-$E152*$I152/12*1,0)))))+IF(CZ$5&lt;&gt;$H152,0,IF(CZ152&lt;0,IF($J152=7,-$E152*$I152/12*0,IF($J152=8,-$E152*$I152/12*1,IF($J152=9,-$E152*$I152/12*2,IF($J152&gt;=10,-$E152*$I152/12*3,0))))))</f>
        <v>0</v>
      </c>
      <c r="DD152" s="412">
        <f t="shared" ref="DD152:DD157" si="1214">IF($H152&lt;&gt;DE$5,0,IF(DE152&lt;0,IF(OR($J152=1,$J152=2,$J152=3,$J152=4,$J152=5,$J152=6,$J152=7,$J152=8,$J152=9,$J152=10),-$E152*$I152/12*3,IF($J152=11,-$E152*$I152/12*2,IF($J152=12,-$E152*$I152/12*1,0)))))+IF(CZ$5&lt;&gt;$H152,0,IF(CZ152&lt;0,IF($J152=10,-$E152*$I152/12*0,IF($J152=11,-$E152*$I152/12*1,IF($J152=12,-$E152*$I152/12*2,0)))))</f>
        <v>0</v>
      </c>
      <c r="DE152" s="413">
        <f t="shared" ref="DE152:DE157" si="1215">IF(AND(CZ152&lt;&gt;0,CZ$5=$H152),-$I152*$E152-CZ152,IF(DE$5=$H152,-$I152*$E152*(12-$J152+1)/12,0))</f>
        <v>0</v>
      </c>
      <c r="DF152" s="410">
        <f t="shared" ref="DF152:DF157" si="1216">IF($H152&lt;&gt;DJ$5,0,IF(DJ152&lt;0,IF($J152=1,-$E152*$I152/12*3,IF($J152=2,-$E152*$I152/12*2,IF($J152=3,-$E152*$I152/12*1,0)))))+IF(DE$5&lt;&gt;$H152,0,IF(DE152&lt;0,IF($J152=1,-$E152*$I152/12*0,IF($J152=2,-$E152*$I152/12*1,IF($J152=3,-$E152*$I152/12*2,IF($J152&gt;=4,-$E152*$I152/12*3,0))))))</f>
        <v>0</v>
      </c>
      <c r="DG152" s="416">
        <f t="shared" ref="DG152:DG157" si="1217">IF($H152&lt;&gt;DJ$5,0,IF(DJ152&lt;0,IF(OR($J152=1,$J152=2,$J152=3,$J152=4),-$E152*$I152/12*3,IF($J152=5,-$E152*$I152/12*2,IF($J152=6,-$E152*$I152/12*1,0)))))+IF(DE$5&lt;&gt;$H152,0,IF(DE152&lt;0,IF($J152=4,-$E152*$I152/12*0,IF($J152=5,-$E152*$I152/12*1,IF($J152=6,-$E152*$I152/12*2,IF($J152&gt;=7,-$E152*$I152/12*3,0))))))</f>
        <v>0</v>
      </c>
      <c r="DH152" s="416">
        <f t="shared" ref="DH152:DH157" si="1218">IF($H152&lt;&gt;DJ$5,0,IF(DJ152&lt;0,IF(OR($J152=1,$J152=2,$J152=3,$J152=4,$J152=5,$J152=6,$J152=7),-$E152*$I152/12*3,IF($J152=8,-$E152*$I152/12*2,IF($J152=9,-$E152*$I152/12*1,0)))))+IF(DE$5&lt;&gt;$H152,0,IF(DE152&lt;0,IF($J152=7,-$E152*$I152/12*0,IF($J152=8,-$E152*$I152/12*1,IF($J152=9,-$E152*$I152/12*2,IF($J152&gt;=10,-$E152*$I152/12*3,0))))))</f>
        <v>0</v>
      </c>
      <c r="DI152" s="412">
        <f t="shared" ref="DI152:DI157" si="1219">IF($H152&lt;&gt;DJ$5,0,IF(DJ152&lt;0,IF(OR($J152=1,$J152=2,$J152=3,$J152=4,$J152=5,$J152=6,$J152=7,$J152=8,$J152=9,$J152=10),-$E152*$I152/12*3,IF($J152=11,-$E152*$I152/12*2,IF($J152=12,-$E152*$I152/12*1,0)))))+IF(DE$5&lt;&gt;$H152,0,IF(DE152&lt;0,IF($J152=10,-$E152*$I152/12*0,IF($J152=11,-$E152*$I152/12*1,IF($J152=12,-$E152*$I152/12*2,0)))))</f>
        <v>0</v>
      </c>
      <c r="DJ152" s="413">
        <f t="shared" ref="DJ152:DJ157" si="1220">IF(AND(DE152&lt;&gt;0,DE$5=$H152),-$I152*$E152-DE152,IF(DJ$5=$H152,-$I152*$E152*(12-$J152+1)/12,0))</f>
        <v>0</v>
      </c>
      <c r="DK152" s="410">
        <f t="shared" ref="DK152:DK157" si="1221">IF($H152&lt;&gt;DO$5,0,IF(DO152&lt;0,IF($J152=1,-$E152*$I152/12*3,IF($J152=2,-$E152*$I152/12*2,IF($J152=3,-$E152*$I152/12*1,0)))))+IF(DJ$5&lt;&gt;$H152,0,IF(DJ152&lt;0,IF($J152=1,-$E152*$I152/12*0,IF($J152=2,-$E152*$I152/12*1,IF($J152=3,-$E152*$I152/12*2,IF($J152&gt;=4,-$E152*$I152/12*3,0))))))</f>
        <v>0</v>
      </c>
      <c r="DL152" s="416">
        <f t="shared" ref="DL152:DL157" si="1222">IF($H152&lt;&gt;DO$5,0,IF(DO152&lt;0,IF(OR($J152=1,$J152=2,$J152=3,$J152=4),-$E152*$I152/12*3,IF($J152=5,-$E152*$I152/12*2,IF($J152=6,-$E152*$I152/12*1,0)))))+IF(DJ$5&lt;&gt;$H152,0,IF(DJ152&lt;0,IF($J152=4,-$E152*$I152/12*0,IF($J152=5,-$E152*$I152/12*1,IF($J152=6,-$E152*$I152/12*2,IF($J152&gt;=7,-$E152*$I152/12*3,0))))))</f>
        <v>0</v>
      </c>
      <c r="DM152" s="416">
        <f t="shared" ref="DM152:DM157" si="1223">IF($H152&lt;&gt;DO$5,0,IF(DO152&lt;0,IF(OR($J152=1,$J152=2,$J152=3,$J152=4,$J152=5,$J152=6,$J152=7),-$E152*$I152/12*3,IF($J152=8,-$E152*$I152/12*2,IF($J152=9,-$E152*$I152/12*1,0)))))+IF(DJ$5&lt;&gt;$H152,0,IF(DJ152&lt;0,IF($J152=7,-$E152*$I152/12*0,IF($J152=8,-$E152*$I152/12*1,IF($J152=9,-$E152*$I152/12*2,IF($J152&gt;=10,-$E152*$I152/12*3,0))))))</f>
        <v>0</v>
      </c>
      <c r="DN152" s="412">
        <f t="shared" ref="DN152:DN157" si="1224">IF($H152&lt;&gt;DO$5,0,IF(DO152&lt;0,IF(OR($J152=1,$J152=2,$J152=3,$J152=4,$J152=5,$J152=6,$J152=7,$J152=8,$J152=9,$J152=10),-$E152*$I152/12*3,IF($J152=11,-$E152*$I152/12*2,IF($J152=12,-$E152*$I152/12*1,0)))))+IF(DJ$5&lt;&gt;$H152,0,IF(DJ152&lt;0,IF($J152=10,-$E152*$I152/12*0,IF($J152=11,-$E152*$I152/12*1,IF($J152=12,-$E152*$I152/12*2,0)))))</f>
        <v>0</v>
      </c>
      <c r="DO152" s="413">
        <f t="shared" ref="DO152:DO157" si="1225">IF(AND(DJ152&lt;&gt;0,DJ$5=$H152),-$I152*$E152-DJ152,IF(DO$5=$H152,-$I152*$E152*(12-$J152+1)/12,0))</f>
        <v>0</v>
      </c>
      <c r="DP152" s="410">
        <f t="shared" ref="DP152:DP157" si="1226">IF($H152&lt;&gt;DT$5,0,IF(DT152&lt;0,IF($J152=1,-$E152*$I152/12*3,IF($J152=2,-$E152*$I152/12*2,IF($J152=3,-$E152*$I152/12*1,0)))))+IF(DO$5&lt;&gt;$H152,0,IF(DO152&lt;0,IF($J152=1,-$E152*$I152/12*0,IF($J152=2,-$E152*$I152/12*1,IF($J152=3,-$E152*$I152/12*2,IF($J152&gt;=4,-$E152*$I152/12*3,0))))))</f>
        <v>0</v>
      </c>
      <c r="DQ152" s="416">
        <f t="shared" ref="DQ152:DQ157" si="1227">IF($H152&lt;&gt;DT$5,0,IF(DT152&lt;0,IF(OR($J152=1,$J152=2,$J152=3,$J152=4),-$E152*$I152/12*3,IF($J152=5,-$E152*$I152/12*2,IF($J152=6,-$E152*$I152/12*1,0)))))+IF(DO$5&lt;&gt;$H152,0,IF(DO152&lt;0,IF($J152=4,-$E152*$I152/12*0,IF($J152=5,-$E152*$I152/12*1,IF($J152=6,-$E152*$I152/12*2,IF($J152&gt;=7,-$E152*$I152/12*3,0))))))</f>
        <v>0</v>
      </c>
      <c r="DR152" s="416">
        <f t="shared" ref="DR152:DR157" si="1228">IF($H152&lt;&gt;DT$5,0,IF(DT152&lt;0,IF(OR($J152=1,$J152=2,$J152=3,$J152=4,$J152=5,$J152=6,$J152=7),-$E152*$I152/12*3,IF($J152=8,-$E152*$I152/12*2,IF($J152=9,-$E152*$I152/12*1,0)))))+IF(DO$5&lt;&gt;$H152,0,IF(DO152&lt;0,IF($J152=7,-$E152*$I152/12*0,IF($J152=8,-$E152*$I152/12*1,IF($J152=9,-$E152*$I152/12*2,IF($J152&gt;=10,-$E152*$I152/12*3,0))))))</f>
        <v>0</v>
      </c>
      <c r="DS152" s="412">
        <f t="shared" ref="DS152:DS157" si="1229">IF($H152&lt;&gt;DT$5,0,IF(DT152&lt;0,IF(OR($J152=1,$J152=2,$J152=3,$J152=4,$J152=5,$J152=6,$J152=7,$J152=8,$J152=9,$J152=10),-$E152*$I152/12*3,IF($J152=11,-$E152*$I152/12*2,IF($J152=12,-$E152*$I152/12*1,0)))))+IF(DO$5&lt;&gt;$H152,0,IF(DO152&lt;0,IF($J152=10,-$E152*$I152/12*0,IF($J152=11,-$E152*$I152/12*1,IF($J152=12,-$E152*$I152/12*2,0)))))</f>
        <v>0</v>
      </c>
      <c r="DT152" s="413">
        <f t="shared" ref="DT152:DT157" si="1230">IF(AND(DO152&lt;&gt;0,DO$5=$H152),-$I152*$E152-DO152,IF(DT$5=$H152,-$I152*$E152*(12-$J152+1)/12,0))</f>
        <v>0</v>
      </c>
    </row>
    <row r="153" spans="1:124" ht="12.75" customHeight="1">
      <c r="A153" s="491"/>
      <c r="C153" s="601" t="s">
        <v>565</v>
      </c>
      <c r="D153" s="601"/>
      <c r="E153" s="1886">
        <f t="shared" si="1118"/>
        <v>300</v>
      </c>
      <c r="F153" s="1532">
        <v>300</v>
      </c>
      <c r="G153" s="1532">
        <v>300</v>
      </c>
      <c r="H153" s="610">
        <v>2018</v>
      </c>
      <c r="I153" s="1533">
        <v>5.8749999999999997E-2</v>
      </c>
      <c r="J153" s="615">
        <v>3</v>
      </c>
      <c r="K153" s="402"/>
      <c r="L153" s="407">
        <f t="shared" si="1119"/>
        <v>0</v>
      </c>
      <c r="M153" s="404">
        <f t="shared" si="1120"/>
        <v>0</v>
      </c>
      <c r="N153" s="414">
        <f t="shared" si="1121"/>
        <v>0</v>
      </c>
      <c r="O153" s="414">
        <f t="shared" si="1122"/>
        <v>0</v>
      </c>
      <c r="P153" s="406">
        <f t="shared" si="1123"/>
        <v>0</v>
      </c>
      <c r="Q153" s="407">
        <f t="shared" si="1124"/>
        <v>0</v>
      </c>
      <c r="R153" s="404">
        <f t="shared" si="1125"/>
        <v>0</v>
      </c>
      <c r="S153" s="414">
        <f t="shared" si="1126"/>
        <v>0</v>
      </c>
      <c r="T153" s="414">
        <f t="shared" si="1127"/>
        <v>0</v>
      </c>
      <c r="U153" s="406">
        <f t="shared" si="1128"/>
        <v>0</v>
      </c>
      <c r="V153" s="407">
        <f t="shared" si="1129"/>
        <v>0</v>
      </c>
      <c r="W153" s="404">
        <f t="shared" si="1130"/>
        <v>0</v>
      </c>
      <c r="X153" s="414">
        <f t="shared" si="1131"/>
        <v>0</v>
      </c>
      <c r="Y153" s="414">
        <f t="shared" si="1132"/>
        <v>0</v>
      </c>
      <c r="Z153" s="406">
        <f t="shared" si="1133"/>
        <v>0</v>
      </c>
      <c r="AA153" s="407">
        <f t="shared" si="1134"/>
        <v>0</v>
      </c>
      <c r="AB153" s="404">
        <f t="shared" si="1135"/>
        <v>0</v>
      </c>
      <c r="AC153" s="414">
        <f t="shared" si="1136"/>
        <v>0</v>
      </c>
      <c r="AD153" s="414">
        <f t="shared" si="1137"/>
        <v>0</v>
      </c>
      <c r="AE153" s="406">
        <f t="shared" si="1138"/>
        <v>0</v>
      </c>
      <c r="AF153" s="407">
        <f t="shared" si="1139"/>
        <v>0</v>
      </c>
      <c r="AG153" s="404">
        <f t="shared" si="1140"/>
        <v>0</v>
      </c>
      <c r="AH153" s="414">
        <f t="shared" si="1141"/>
        <v>0</v>
      </c>
      <c r="AI153" s="414">
        <f t="shared" si="1142"/>
        <v>0</v>
      </c>
      <c r="AJ153" s="406">
        <f t="shared" si="1143"/>
        <v>0</v>
      </c>
      <c r="AK153" s="407">
        <f t="shared" si="1144"/>
        <v>0</v>
      </c>
      <c r="AL153" s="404">
        <f t="shared" si="1145"/>
        <v>0</v>
      </c>
      <c r="AM153" s="414">
        <f t="shared" si="1146"/>
        <v>0</v>
      </c>
      <c r="AN153" s="414">
        <f t="shared" si="1147"/>
        <v>0</v>
      </c>
      <c r="AO153" s="406">
        <f t="shared" si="1148"/>
        <v>0</v>
      </c>
      <c r="AP153" s="407">
        <f t="shared" si="1149"/>
        <v>0</v>
      </c>
      <c r="AQ153" s="404">
        <f t="shared" si="1150"/>
        <v>0</v>
      </c>
      <c r="AR153" s="414">
        <f t="shared" si="1151"/>
        <v>0</v>
      </c>
      <c r="AS153" s="414">
        <f t="shared" si="1152"/>
        <v>0</v>
      </c>
      <c r="AT153" s="406">
        <f t="shared" si="1153"/>
        <v>0</v>
      </c>
      <c r="AU153" s="407">
        <f t="shared" si="1154"/>
        <v>0</v>
      </c>
      <c r="AV153" s="404">
        <f t="shared" si="1155"/>
        <v>-300</v>
      </c>
      <c r="AW153" s="414">
        <f t="shared" si="1156"/>
        <v>0</v>
      </c>
      <c r="AX153" s="414">
        <f t="shared" si="1157"/>
        <v>0</v>
      </c>
      <c r="AY153" s="406">
        <f t="shared" si="1158"/>
        <v>0</v>
      </c>
      <c r="AZ153" s="407">
        <f t="shared" si="1159"/>
        <v>-300</v>
      </c>
      <c r="BA153" s="404">
        <f t="shared" si="1160"/>
        <v>0</v>
      </c>
      <c r="BB153" s="414">
        <f t="shared" si="1161"/>
        <v>0</v>
      </c>
      <c r="BC153" s="414">
        <f t="shared" si="1162"/>
        <v>0</v>
      </c>
      <c r="BD153" s="406">
        <f t="shared" si="1163"/>
        <v>0</v>
      </c>
      <c r="BE153" s="407">
        <f t="shared" si="1164"/>
        <v>0</v>
      </c>
      <c r="BF153" s="404">
        <f t="shared" si="1165"/>
        <v>0</v>
      </c>
      <c r="BG153" s="414">
        <f t="shared" si="1166"/>
        <v>0</v>
      </c>
      <c r="BH153" s="414">
        <f t="shared" si="1167"/>
        <v>0</v>
      </c>
      <c r="BI153" s="406">
        <f t="shared" si="1168"/>
        <v>0</v>
      </c>
      <c r="BJ153" s="407">
        <f t="shared" si="1169"/>
        <v>0</v>
      </c>
      <c r="BK153" s="404">
        <f t="shared" si="1170"/>
        <v>0</v>
      </c>
      <c r="BL153" s="414">
        <f t="shared" si="1171"/>
        <v>0</v>
      </c>
      <c r="BM153" s="414">
        <f t="shared" si="1172"/>
        <v>0</v>
      </c>
      <c r="BN153" s="406">
        <f t="shared" si="1173"/>
        <v>0</v>
      </c>
      <c r="BO153" s="407">
        <f t="shared" si="1174"/>
        <v>0</v>
      </c>
      <c r="BP153" s="449"/>
      <c r="BQ153" s="413">
        <f t="shared" si="1175"/>
        <v>0</v>
      </c>
      <c r="BR153" s="410">
        <f t="shared" si="1176"/>
        <v>0</v>
      </c>
      <c r="BS153" s="416">
        <f t="shared" si="1177"/>
        <v>0</v>
      </c>
      <c r="BT153" s="416">
        <f t="shared" si="1178"/>
        <v>0</v>
      </c>
      <c r="BU153" s="412">
        <f t="shared" si="1179"/>
        <v>0</v>
      </c>
      <c r="BV153" s="413">
        <f t="shared" si="1180"/>
        <v>0</v>
      </c>
      <c r="BW153" s="410">
        <f t="shared" si="1181"/>
        <v>0</v>
      </c>
      <c r="BX153" s="416">
        <f t="shared" si="1182"/>
        <v>0</v>
      </c>
      <c r="BY153" s="416">
        <f t="shared" si="1183"/>
        <v>0</v>
      </c>
      <c r="BZ153" s="412">
        <f t="shared" si="1184"/>
        <v>0</v>
      </c>
      <c r="CA153" s="413">
        <f t="shared" si="1185"/>
        <v>0</v>
      </c>
      <c r="CB153" s="410">
        <f t="shared" si="1186"/>
        <v>0</v>
      </c>
      <c r="CC153" s="416">
        <f t="shared" si="1187"/>
        <v>0</v>
      </c>
      <c r="CD153" s="416">
        <f t="shared" si="1188"/>
        <v>0</v>
      </c>
      <c r="CE153" s="412">
        <f t="shared" si="1189"/>
        <v>0</v>
      </c>
      <c r="CF153" s="413">
        <f t="shared" si="1190"/>
        <v>0</v>
      </c>
      <c r="CG153" s="410">
        <f t="shared" si="1191"/>
        <v>0</v>
      </c>
      <c r="CH153" s="416">
        <f t="shared" si="1192"/>
        <v>0</v>
      </c>
      <c r="CI153" s="416">
        <f t="shared" si="1193"/>
        <v>0</v>
      </c>
      <c r="CJ153" s="412">
        <f t="shared" si="1194"/>
        <v>0</v>
      </c>
      <c r="CK153" s="413">
        <f t="shared" si="1195"/>
        <v>0</v>
      </c>
      <c r="CL153" s="410">
        <f t="shared" si="1196"/>
        <v>0</v>
      </c>
      <c r="CM153" s="416">
        <f t="shared" si="1197"/>
        <v>0</v>
      </c>
      <c r="CN153" s="416">
        <f t="shared" si="1198"/>
        <v>0</v>
      </c>
      <c r="CO153" s="412">
        <f t="shared" si="1199"/>
        <v>0</v>
      </c>
      <c r="CP153" s="413">
        <f t="shared" si="1200"/>
        <v>0</v>
      </c>
      <c r="CQ153" s="410">
        <f t="shared" si="1201"/>
        <v>0</v>
      </c>
      <c r="CR153" s="416">
        <f t="shared" si="1202"/>
        <v>0</v>
      </c>
      <c r="CS153" s="416">
        <f t="shared" si="1203"/>
        <v>0</v>
      </c>
      <c r="CT153" s="412">
        <f t="shared" si="1204"/>
        <v>0</v>
      </c>
      <c r="CU153" s="413">
        <f t="shared" si="1205"/>
        <v>0</v>
      </c>
      <c r="CV153" s="410">
        <f t="shared" si="1206"/>
        <v>0</v>
      </c>
      <c r="CW153" s="416">
        <f t="shared" si="1207"/>
        <v>0</v>
      </c>
      <c r="CX153" s="416">
        <f t="shared" si="1208"/>
        <v>0</v>
      </c>
      <c r="CY153" s="412">
        <f t="shared" si="1209"/>
        <v>0</v>
      </c>
      <c r="CZ153" s="413">
        <f t="shared" si="1210"/>
        <v>0</v>
      </c>
      <c r="DA153" s="410">
        <f t="shared" si="1211"/>
        <v>-1.46875</v>
      </c>
      <c r="DB153" s="416">
        <f t="shared" si="1212"/>
        <v>-4.40625</v>
      </c>
      <c r="DC153" s="416">
        <f t="shared" si="1213"/>
        <v>-4.40625</v>
      </c>
      <c r="DD153" s="412">
        <f t="shared" si="1214"/>
        <v>-4.40625</v>
      </c>
      <c r="DE153" s="413">
        <f t="shared" si="1215"/>
        <v>-14.6875</v>
      </c>
      <c r="DF153" s="410">
        <f t="shared" si="1216"/>
        <v>-2.9375</v>
      </c>
      <c r="DG153" s="416">
        <f t="shared" si="1217"/>
        <v>0</v>
      </c>
      <c r="DH153" s="416">
        <f t="shared" si="1218"/>
        <v>0</v>
      </c>
      <c r="DI153" s="412">
        <f t="shared" si="1219"/>
        <v>0</v>
      </c>
      <c r="DJ153" s="413">
        <f t="shared" si="1220"/>
        <v>-2.9375</v>
      </c>
      <c r="DK153" s="410">
        <f t="shared" si="1221"/>
        <v>0</v>
      </c>
      <c r="DL153" s="416">
        <f t="shared" si="1222"/>
        <v>0</v>
      </c>
      <c r="DM153" s="416">
        <f t="shared" si="1223"/>
        <v>0</v>
      </c>
      <c r="DN153" s="412">
        <f t="shared" si="1224"/>
        <v>0</v>
      </c>
      <c r="DO153" s="413">
        <f t="shared" si="1225"/>
        <v>0</v>
      </c>
      <c r="DP153" s="410">
        <f t="shared" si="1226"/>
        <v>0</v>
      </c>
      <c r="DQ153" s="416">
        <f t="shared" si="1227"/>
        <v>0</v>
      </c>
      <c r="DR153" s="416">
        <f t="shared" si="1228"/>
        <v>0</v>
      </c>
      <c r="DS153" s="412">
        <f t="shared" si="1229"/>
        <v>0</v>
      </c>
      <c r="DT153" s="413">
        <f t="shared" si="1230"/>
        <v>0</v>
      </c>
    </row>
    <row r="154" spans="1:124" ht="12.75" customHeight="1">
      <c r="C154" s="601" t="s">
        <v>566</v>
      </c>
      <c r="D154" s="601"/>
      <c r="E154" s="1886">
        <f t="shared" si="1118"/>
        <v>400</v>
      </c>
      <c r="F154" s="1532">
        <v>400</v>
      </c>
      <c r="G154" s="1532">
        <v>400</v>
      </c>
      <c r="H154" s="610">
        <v>2019</v>
      </c>
      <c r="I154" s="1533">
        <v>6.4500000000000002E-2</v>
      </c>
      <c r="J154" s="615">
        <v>1</v>
      </c>
      <c r="K154" s="402"/>
      <c r="L154" s="407">
        <f t="shared" si="1119"/>
        <v>0</v>
      </c>
      <c r="M154" s="404">
        <f t="shared" si="1120"/>
        <v>0</v>
      </c>
      <c r="N154" s="414">
        <f t="shared" si="1121"/>
        <v>0</v>
      </c>
      <c r="O154" s="414">
        <f t="shared" si="1122"/>
        <v>0</v>
      </c>
      <c r="P154" s="406">
        <f t="shared" si="1123"/>
        <v>0</v>
      </c>
      <c r="Q154" s="407">
        <f t="shared" si="1124"/>
        <v>0</v>
      </c>
      <c r="R154" s="404">
        <f t="shared" si="1125"/>
        <v>0</v>
      </c>
      <c r="S154" s="414">
        <f t="shared" si="1126"/>
        <v>0</v>
      </c>
      <c r="T154" s="414">
        <f t="shared" si="1127"/>
        <v>0</v>
      </c>
      <c r="U154" s="406">
        <f t="shared" si="1128"/>
        <v>0</v>
      </c>
      <c r="V154" s="407">
        <f t="shared" si="1129"/>
        <v>0</v>
      </c>
      <c r="W154" s="404">
        <f t="shared" si="1130"/>
        <v>0</v>
      </c>
      <c r="X154" s="414">
        <f t="shared" si="1131"/>
        <v>0</v>
      </c>
      <c r="Y154" s="414">
        <f t="shared" si="1132"/>
        <v>0</v>
      </c>
      <c r="Z154" s="406">
        <f t="shared" si="1133"/>
        <v>0</v>
      </c>
      <c r="AA154" s="407">
        <f t="shared" si="1134"/>
        <v>0</v>
      </c>
      <c r="AB154" s="404">
        <f t="shared" si="1135"/>
        <v>0</v>
      </c>
      <c r="AC154" s="414">
        <f t="shared" si="1136"/>
        <v>0</v>
      </c>
      <c r="AD154" s="414">
        <f t="shared" si="1137"/>
        <v>0</v>
      </c>
      <c r="AE154" s="406">
        <f t="shared" si="1138"/>
        <v>0</v>
      </c>
      <c r="AF154" s="407">
        <f t="shared" si="1139"/>
        <v>0</v>
      </c>
      <c r="AG154" s="404">
        <f t="shared" si="1140"/>
        <v>0</v>
      </c>
      <c r="AH154" s="414">
        <f t="shared" si="1141"/>
        <v>0</v>
      </c>
      <c r="AI154" s="414">
        <f t="shared" si="1142"/>
        <v>0</v>
      </c>
      <c r="AJ154" s="406">
        <f t="shared" si="1143"/>
        <v>0</v>
      </c>
      <c r="AK154" s="407">
        <f t="shared" si="1144"/>
        <v>0</v>
      </c>
      <c r="AL154" s="404">
        <f t="shared" si="1145"/>
        <v>0</v>
      </c>
      <c r="AM154" s="414">
        <f t="shared" si="1146"/>
        <v>0</v>
      </c>
      <c r="AN154" s="414">
        <f t="shared" si="1147"/>
        <v>0</v>
      </c>
      <c r="AO154" s="406">
        <f t="shared" si="1148"/>
        <v>0</v>
      </c>
      <c r="AP154" s="407">
        <f t="shared" si="1149"/>
        <v>0</v>
      </c>
      <c r="AQ154" s="404">
        <f t="shared" si="1150"/>
        <v>0</v>
      </c>
      <c r="AR154" s="414">
        <f t="shared" si="1151"/>
        <v>0</v>
      </c>
      <c r="AS154" s="414">
        <f t="shared" si="1152"/>
        <v>0</v>
      </c>
      <c r="AT154" s="406">
        <f t="shared" si="1153"/>
        <v>0</v>
      </c>
      <c r="AU154" s="407">
        <f t="shared" si="1154"/>
        <v>0</v>
      </c>
      <c r="AV154" s="404">
        <f t="shared" si="1155"/>
        <v>0</v>
      </c>
      <c r="AW154" s="414">
        <f t="shared" si="1156"/>
        <v>0</v>
      </c>
      <c r="AX154" s="414">
        <f t="shared" si="1157"/>
        <v>0</v>
      </c>
      <c r="AY154" s="406">
        <f t="shared" si="1158"/>
        <v>0</v>
      </c>
      <c r="AZ154" s="407">
        <f t="shared" si="1159"/>
        <v>0</v>
      </c>
      <c r="BA154" s="404">
        <f t="shared" si="1160"/>
        <v>-400</v>
      </c>
      <c r="BB154" s="414">
        <f t="shared" si="1161"/>
        <v>0</v>
      </c>
      <c r="BC154" s="414">
        <f t="shared" si="1162"/>
        <v>0</v>
      </c>
      <c r="BD154" s="406">
        <f t="shared" si="1163"/>
        <v>0</v>
      </c>
      <c r="BE154" s="407">
        <f t="shared" si="1164"/>
        <v>-400</v>
      </c>
      <c r="BF154" s="404">
        <f t="shared" si="1165"/>
        <v>0</v>
      </c>
      <c r="BG154" s="414">
        <f t="shared" si="1166"/>
        <v>0</v>
      </c>
      <c r="BH154" s="414">
        <f t="shared" si="1167"/>
        <v>0</v>
      </c>
      <c r="BI154" s="406">
        <f t="shared" si="1168"/>
        <v>0</v>
      </c>
      <c r="BJ154" s="407">
        <f t="shared" si="1169"/>
        <v>0</v>
      </c>
      <c r="BK154" s="404">
        <f t="shared" si="1170"/>
        <v>0</v>
      </c>
      <c r="BL154" s="414">
        <f t="shared" si="1171"/>
        <v>0</v>
      </c>
      <c r="BM154" s="414">
        <f t="shared" si="1172"/>
        <v>0</v>
      </c>
      <c r="BN154" s="406">
        <f t="shared" si="1173"/>
        <v>0</v>
      </c>
      <c r="BO154" s="407">
        <f t="shared" si="1174"/>
        <v>0</v>
      </c>
      <c r="BP154" s="449"/>
      <c r="BQ154" s="413">
        <f t="shared" si="1175"/>
        <v>0</v>
      </c>
      <c r="BR154" s="410">
        <f t="shared" si="1176"/>
        <v>0</v>
      </c>
      <c r="BS154" s="416">
        <f t="shared" si="1177"/>
        <v>0</v>
      </c>
      <c r="BT154" s="416">
        <f t="shared" si="1178"/>
        <v>0</v>
      </c>
      <c r="BU154" s="412">
        <f t="shared" si="1179"/>
        <v>0</v>
      </c>
      <c r="BV154" s="413">
        <f t="shared" si="1180"/>
        <v>0</v>
      </c>
      <c r="BW154" s="410">
        <f t="shared" si="1181"/>
        <v>0</v>
      </c>
      <c r="BX154" s="416">
        <f t="shared" si="1182"/>
        <v>0</v>
      </c>
      <c r="BY154" s="416">
        <f t="shared" si="1183"/>
        <v>0</v>
      </c>
      <c r="BZ154" s="412">
        <f t="shared" si="1184"/>
        <v>0</v>
      </c>
      <c r="CA154" s="413">
        <f t="shared" si="1185"/>
        <v>0</v>
      </c>
      <c r="CB154" s="410">
        <f t="shared" si="1186"/>
        <v>0</v>
      </c>
      <c r="CC154" s="416">
        <f t="shared" si="1187"/>
        <v>0</v>
      </c>
      <c r="CD154" s="416">
        <f t="shared" si="1188"/>
        <v>0</v>
      </c>
      <c r="CE154" s="412">
        <f t="shared" si="1189"/>
        <v>0</v>
      </c>
      <c r="CF154" s="413">
        <f t="shared" si="1190"/>
        <v>0</v>
      </c>
      <c r="CG154" s="410">
        <f t="shared" si="1191"/>
        <v>0</v>
      </c>
      <c r="CH154" s="416">
        <f t="shared" si="1192"/>
        <v>0</v>
      </c>
      <c r="CI154" s="416">
        <f t="shared" si="1193"/>
        <v>0</v>
      </c>
      <c r="CJ154" s="412">
        <f t="shared" si="1194"/>
        <v>0</v>
      </c>
      <c r="CK154" s="413">
        <f t="shared" si="1195"/>
        <v>0</v>
      </c>
      <c r="CL154" s="410">
        <f t="shared" si="1196"/>
        <v>0</v>
      </c>
      <c r="CM154" s="416">
        <f t="shared" si="1197"/>
        <v>0</v>
      </c>
      <c r="CN154" s="416">
        <f t="shared" si="1198"/>
        <v>0</v>
      </c>
      <c r="CO154" s="412">
        <f t="shared" si="1199"/>
        <v>0</v>
      </c>
      <c r="CP154" s="413">
        <f t="shared" si="1200"/>
        <v>0</v>
      </c>
      <c r="CQ154" s="410">
        <f t="shared" si="1201"/>
        <v>0</v>
      </c>
      <c r="CR154" s="416">
        <f t="shared" si="1202"/>
        <v>0</v>
      </c>
      <c r="CS154" s="416">
        <f t="shared" si="1203"/>
        <v>0</v>
      </c>
      <c r="CT154" s="412">
        <f t="shared" si="1204"/>
        <v>0</v>
      </c>
      <c r="CU154" s="413">
        <f t="shared" si="1205"/>
        <v>0</v>
      </c>
      <c r="CV154" s="410">
        <f t="shared" si="1206"/>
        <v>0</v>
      </c>
      <c r="CW154" s="416">
        <f t="shared" si="1207"/>
        <v>0</v>
      </c>
      <c r="CX154" s="416">
        <f t="shared" si="1208"/>
        <v>0</v>
      </c>
      <c r="CY154" s="412">
        <f t="shared" si="1209"/>
        <v>0</v>
      </c>
      <c r="CZ154" s="413">
        <f t="shared" si="1210"/>
        <v>0</v>
      </c>
      <c r="DA154" s="410">
        <f t="shared" si="1211"/>
        <v>0</v>
      </c>
      <c r="DB154" s="416">
        <f t="shared" si="1212"/>
        <v>0</v>
      </c>
      <c r="DC154" s="416">
        <f t="shared" si="1213"/>
        <v>0</v>
      </c>
      <c r="DD154" s="412">
        <f t="shared" si="1214"/>
        <v>0</v>
      </c>
      <c r="DE154" s="413">
        <f t="shared" si="1215"/>
        <v>0</v>
      </c>
      <c r="DF154" s="410">
        <f t="shared" si="1216"/>
        <v>-6.4499999999999993</v>
      </c>
      <c r="DG154" s="416">
        <f t="shared" si="1217"/>
        <v>-6.4499999999999993</v>
      </c>
      <c r="DH154" s="416">
        <f t="shared" si="1218"/>
        <v>-6.4499999999999993</v>
      </c>
      <c r="DI154" s="412">
        <f t="shared" si="1219"/>
        <v>-6.4499999999999993</v>
      </c>
      <c r="DJ154" s="413">
        <f t="shared" si="1220"/>
        <v>-25.8</v>
      </c>
      <c r="DK154" s="410">
        <f t="shared" si="1221"/>
        <v>0</v>
      </c>
      <c r="DL154" s="416">
        <f t="shared" si="1222"/>
        <v>0</v>
      </c>
      <c r="DM154" s="416">
        <f t="shared" si="1223"/>
        <v>0</v>
      </c>
      <c r="DN154" s="412">
        <f t="shared" si="1224"/>
        <v>0</v>
      </c>
      <c r="DO154" s="413">
        <f t="shared" si="1225"/>
        <v>0</v>
      </c>
      <c r="DP154" s="410">
        <f t="shared" si="1226"/>
        <v>0</v>
      </c>
      <c r="DQ154" s="416">
        <f t="shared" si="1227"/>
        <v>0</v>
      </c>
      <c r="DR154" s="416">
        <f t="shared" si="1228"/>
        <v>0</v>
      </c>
      <c r="DS154" s="412">
        <f t="shared" si="1229"/>
        <v>0</v>
      </c>
      <c r="DT154" s="413">
        <f t="shared" si="1230"/>
        <v>0</v>
      </c>
    </row>
    <row r="155" spans="1:124" ht="12.75" customHeight="1">
      <c r="C155" s="601" t="s">
        <v>573</v>
      </c>
      <c r="D155" s="601"/>
      <c r="E155" s="1886">
        <f t="shared" si="1118"/>
        <v>350</v>
      </c>
      <c r="F155" s="1532">
        <v>350</v>
      </c>
      <c r="G155" s="1532">
        <v>350</v>
      </c>
      <c r="H155" s="610">
        <v>2040</v>
      </c>
      <c r="I155" s="1533">
        <v>6.2E-2</v>
      </c>
      <c r="J155" s="615">
        <v>3</v>
      </c>
      <c r="K155" s="402"/>
      <c r="L155" s="407">
        <f t="shared" si="1119"/>
        <v>0</v>
      </c>
      <c r="M155" s="404">
        <f t="shared" si="1120"/>
        <v>0</v>
      </c>
      <c r="N155" s="414">
        <f t="shared" si="1121"/>
        <v>0</v>
      </c>
      <c r="O155" s="414">
        <f t="shared" si="1122"/>
        <v>0</v>
      </c>
      <c r="P155" s="406">
        <f t="shared" si="1123"/>
        <v>0</v>
      </c>
      <c r="Q155" s="407">
        <f t="shared" si="1124"/>
        <v>0</v>
      </c>
      <c r="R155" s="404">
        <f t="shared" si="1125"/>
        <v>0</v>
      </c>
      <c r="S155" s="414">
        <f t="shared" si="1126"/>
        <v>0</v>
      </c>
      <c r="T155" s="414">
        <f t="shared" si="1127"/>
        <v>0</v>
      </c>
      <c r="U155" s="406">
        <f t="shared" si="1128"/>
        <v>0</v>
      </c>
      <c r="V155" s="407">
        <f t="shared" si="1129"/>
        <v>0</v>
      </c>
      <c r="W155" s="404">
        <f t="shared" si="1130"/>
        <v>0</v>
      </c>
      <c r="X155" s="414">
        <f t="shared" si="1131"/>
        <v>0</v>
      </c>
      <c r="Y155" s="414">
        <f t="shared" si="1132"/>
        <v>0</v>
      </c>
      <c r="Z155" s="406">
        <f t="shared" si="1133"/>
        <v>0</v>
      </c>
      <c r="AA155" s="407">
        <f t="shared" si="1134"/>
        <v>0</v>
      </c>
      <c r="AB155" s="404">
        <f t="shared" si="1135"/>
        <v>0</v>
      </c>
      <c r="AC155" s="414">
        <f t="shared" si="1136"/>
        <v>0</v>
      </c>
      <c r="AD155" s="414">
        <f t="shared" si="1137"/>
        <v>0</v>
      </c>
      <c r="AE155" s="406">
        <f t="shared" si="1138"/>
        <v>0</v>
      </c>
      <c r="AF155" s="407">
        <f t="shared" si="1139"/>
        <v>0</v>
      </c>
      <c r="AG155" s="404">
        <f t="shared" si="1140"/>
        <v>0</v>
      </c>
      <c r="AH155" s="414">
        <f t="shared" si="1141"/>
        <v>0</v>
      </c>
      <c r="AI155" s="414">
        <f t="shared" si="1142"/>
        <v>0</v>
      </c>
      <c r="AJ155" s="406">
        <f t="shared" si="1143"/>
        <v>0</v>
      </c>
      <c r="AK155" s="407">
        <f t="shared" si="1144"/>
        <v>0</v>
      </c>
      <c r="AL155" s="404">
        <f t="shared" si="1145"/>
        <v>0</v>
      </c>
      <c r="AM155" s="414">
        <f t="shared" si="1146"/>
        <v>0</v>
      </c>
      <c r="AN155" s="414">
        <f t="shared" si="1147"/>
        <v>0</v>
      </c>
      <c r="AO155" s="406">
        <f t="shared" si="1148"/>
        <v>0</v>
      </c>
      <c r="AP155" s="407">
        <f t="shared" si="1149"/>
        <v>0</v>
      </c>
      <c r="AQ155" s="404">
        <f t="shared" si="1150"/>
        <v>0</v>
      </c>
      <c r="AR155" s="414">
        <f t="shared" si="1151"/>
        <v>0</v>
      </c>
      <c r="AS155" s="414">
        <f t="shared" si="1152"/>
        <v>0</v>
      </c>
      <c r="AT155" s="406">
        <f t="shared" si="1153"/>
        <v>0</v>
      </c>
      <c r="AU155" s="407">
        <f t="shared" si="1154"/>
        <v>0</v>
      </c>
      <c r="AV155" s="404">
        <f t="shared" si="1155"/>
        <v>0</v>
      </c>
      <c r="AW155" s="414">
        <f t="shared" si="1156"/>
        <v>0</v>
      </c>
      <c r="AX155" s="414">
        <f t="shared" si="1157"/>
        <v>0</v>
      </c>
      <c r="AY155" s="406">
        <f t="shared" si="1158"/>
        <v>0</v>
      </c>
      <c r="AZ155" s="407">
        <f t="shared" si="1159"/>
        <v>0</v>
      </c>
      <c r="BA155" s="404">
        <f t="shared" si="1160"/>
        <v>0</v>
      </c>
      <c r="BB155" s="414">
        <f t="shared" si="1161"/>
        <v>0</v>
      </c>
      <c r="BC155" s="414">
        <f t="shared" si="1162"/>
        <v>0</v>
      </c>
      <c r="BD155" s="406">
        <f t="shared" si="1163"/>
        <v>0</v>
      </c>
      <c r="BE155" s="407">
        <f t="shared" si="1164"/>
        <v>0</v>
      </c>
      <c r="BF155" s="404">
        <f t="shared" si="1165"/>
        <v>0</v>
      </c>
      <c r="BG155" s="414">
        <f t="shared" si="1166"/>
        <v>0</v>
      </c>
      <c r="BH155" s="414">
        <f t="shared" si="1167"/>
        <v>0</v>
      </c>
      <c r="BI155" s="406">
        <f t="shared" si="1168"/>
        <v>0</v>
      </c>
      <c r="BJ155" s="407">
        <f t="shared" si="1169"/>
        <v>0</v>
      </c>
      <c r="BK155" s="404">
        <f t="shared" si="1170"/>
        <v>0</v>
      </c>
      <c r="BL155" s="414">
        <f t="shared" si="1171"/>
        <v>0</v>
      </c>
      <c r="BM155" s="414">
        <f t="shared" si="1172"/>
        <v>0</v>
      </c>
      <c r="BN155" s="406">
        <f t="shared" si="1173"/>
        <v>0</v>
      </c>
      <c r="BO155" s="407">
        <f t="shared" si="1174"/>
        <v>0</v>
      </c>
      <c r="BP155" s="449"/>
      <c r="BQ155" s="413">
        <f t="shared" si="1175"/>
        <v>0</v>
      </c>
      <c r="BR155" s="410">
        <f t="shared" si="1176"/>
        <v>0</v>
      </c>
      <c r="BS155" s="416">
        <f t="shared" si="1177"/>
        <v>0</v>
      </c>
      <c r="BT155" s="416">
        <f t="shared" si="1178"/>
        <v>0</v>
      </c>
      <c r="BU155" s="412">
        <f t="shared" si="1179"/>
        <v>0</v>
      </c>
      <c r="BV155" s="413">
        <f t="shared" si="1180"/>
        <v>0</v>
      </c>
      <c r="BW155" s="410">
        <f t="shared" si="1181"/>
        <v>0</v>
      </c>
      <c r="BX155" s="416">
        <f t="shared" si="1182"/>
        <v>0</v>
      </c>
      <c r="BY155" s="416">
        <f t="shared" si="1183"/>
        <v>0</v>
      </c>
      <c r="BZ155" s="412">
        <f t="shared" si="1184"/>
        <v>0</v>
      </c>
      <c r="CA155" s="413">
        <f t="shared" si="1185"/>
        <v>0</v>
      </c>
      <c r="CB155" s="410">
        <f t="shared" si="1186"/>
        <v>0</v>
      </c>
      <c r="CC155" s="416">
        <f t="shared" si="1187"/>
        <v>0</v>
      </c>
      <c r="CD155" s="416">
        <f t="shared" si="1188"/>
        <v>0</v>
      </c>
      <c r="CE155" s="412">
        <f t="shared" si="1189"/>
        <v>0</v>
      </c>
      <c r="CF155" s="413">
        <f t="shared" si="1190"/>
        <v>0</v>
      </c>
      <c r="CG155" s="410">
        <f t="shared" si="1191"/>
        <v>0</v>
      </c>
      <c r="CH155" s="416">
        <f t="shared" si="1192"/>
        <v>0</v>
      </c>
      <c r="CI155" s="416">
        <f t="shared" si="1193"/>
        <v>0</v>
      </c>
      <c r="CJ155" s="412">
        <f t="shared" si="1194"/>
        <v>0</v>
      </c>
      <c r="CK155" s="413">
        <f t="shared" si="1195"/>
        <v>0</v>
      </c>
      <c r="CL155" s="410">
        <f t="shared" si="1196"/>
        <v>0</v>
      </c>
      <c r="CM155" s="416">
        <f t="shared" si="1197"/>
        <v>0</v>
      </c>
      <c r="CN155" s="416">
        <f t="shared" si="1198"/>
        <v>0</v>
      </c>
      <c r="CO155" s="412">
        <f t="shared" si="1199"/>
        <v>0</v>
      </c>
      <c r="CP155" s="413">
        <f t="shared" si="1200"/>
        <v>0</v>
      </c>
      <c r="CQ155" s="410">
        <f t="shared" si="1201"/>
        <v>0</v>
      </c>
      <c r="CR155" s="416">
        <f t="shared" si="1202"/>
        <v>0</v>
      </c>
      <c r="CS155" s="416">
        <f t="shared" si="1203"/>
        <v>0</v>
      </c>
      <c r="CT155" s="412">
        <f t="shared" si="1204"/>
        <v>0</v>
      </c>
      <c r="CU155" s="413">
        <f t="shared" si="1205"/>
        <v>0</v>
      </c>
      <c r="CV155" s="410">
        <f t="shared" si="1206"/>
        <v>0</v>
      </c>
      <c r="CW155" s="416">
        <f t="shared" si="1207"/>
        <v>0</v>
      </c>
      <c r="CX155" s="416">
        <f t="shared" si="1208"/>
        <v>0</v>
      </c>
      <c r="CY155" s="412">
        <f t="shared" si="1209"/>
        <v>0</v>
      </c>
      <c r="CZ155" s="413">
        <f t="shared" si="1210"/>
        <v>0</v>
      </c>
      <c r="DA155" s="410">
        <f t="shared" si="1211"/>
        <v>0</v>
      </c>
      <c r="DB155" s="416">
        <f t="shared" si="1212"/>
        <v>0</v>
      </c>
      <c r="DC155" s="416">
        <f t="shared" si="1213"/>
        <v>0</v>
      </c>
      <c r="DD155" s="412">
        <f t="shared" si="1214"/>
        <v>0</v>
      </c>
      <c r="DE155" s="413">
        <f t="shared" si="1215"/>
        <v>0</v>
      </c>
      <c r="DF155" s="410">
        <f t="shared" si="1216"/>
        <v>0</v>
      </c>
      <c r="DG155" s="416">
        <f t="shared" si="1217"/>
        <v>0</v>
      </c>
      <c r="DH155" s="416">
        <f t="shared" si="1218"/>
        <v>0</v>
      </c>
      <c r="DI155" s="412">
        <f t="shared" si="1219"/>
        <v>0</v>
      </c>
      <c r="DJ155" s="413">
        <f t="shared" si="1220"/>
        <v>0</v>
      </c>
      <c r="DK155" s="410">
        <f t="shared" si="1221"/>
        <v>0</v>
      </c>
      <c r="DL155" s="416">
        <f t="shared" si="1222"/>
        <v>0</v>
      </c>
      <c r="DM155" s="416">
        <f t="shared" si="1223"/>
        <v>0</v>
      </c>
      <c r="DN155" s="412">
        <f t="shared" si="1224"/>
        <v>0</v>
      </c>
      <c r="DO155" s="413">
        <f t="shared" si="1225"/>
        <v>0</v>
      </c>
      <c r="DP155" s="410">
        <f t="shared" si="1226"/>
        <v>0</v>
      </c>
      <c r="DQ155" s="416">
        <f t="shared" si="1227"/>
        <v>0</v>
      </c>
      <c r="DR155" s="416">
        <f t="shared" si="1228"/>
        <v>0</v>
      </c>
      <c r="DS155" s="412">
        <f t="shared" si="1229"/>
        <v>0</v>
      </c>
      <c r="DT155" s="413">
        <f t="shared" si="1230"/>
        <v>0</v>
      </c>
    </row>
    <row r="156" spans="1:124" ht="12.75" customHeight="1">
      <c r="C156" s="601" t="s">
        <v>17</v>
      </c>
      <c r="D156" s="601"/>
      <c r="E156" s="1886">
        <f>IF(F156=0,G156,F156)</f>
        <v>275</v>
      </c>
      <c r="F156" s="1532">
        <v>275</v>
      </c>
      <c r="G156" s="1532">
        <v>275</v>
      </c>
      <c r="H156" s="610">
        <v>2022</v>
      </c>
      <c r="I156" s="1533">
        <v>3.5499999999999997E-2</v>
      </c>
      <c r="J156" s="615">
        <v>3</v>
      </c>
      <c r="K156" s="402"/>
      <c r="L156" s="407">
        <f>IF(L$5=$H156,-$E156,0)</f>
        <v>0</v>
      </c>
      <c r="M156" s="404">
        <f>IF(Q156=0,0,IF(Q156&lt;0,IF($J156=3,Q156,IF($J156=2,Q156,IF($J156=1,Q156,0)))))</f>
        <v>0</v>
      </c>
      <c r="N156" s="414">
        <f>IF(Q156=0,0,IF(Q156&lt;0,IF($J156=6,Q156,IF($J156=5,Q156,IF($J156=4,Q156,0)))))</f>
        <v>0</v>
      </c>
      <c r="O156" s="414">
        <f>IF(Q156=0,0,IF(Q156&lt;0,IF($J156=9,Q156,IF($J156=8,Q156,IF($J156=7,Q156,0)))))</f>
        <v>0</v>
      </c>
      <c r="P156" s="406">
        <f>IF(Q156=0,0,IF(Q156&lt;0,IF($J156=12,Q156,IF($J156=11,Q156,IF($J156=10,Q156,0)))))</f>
        <v>0</v>
      </c>
      <c r="Q156" s="407">
        <f>IF(Q$5=$H156,-$E156,0)</f>
        <v>0</v>
      </c>
      <c r="R156" s="404">
        <f>IF(V156=0,0,IF(V156&lt;0,IF($J156=3,V156,IF($J156=2,V156,IF($J156=1,V156,0)))))</f>
        <v>0</v>
      </c>
      <c r="S156" s="414">
        <f>IF(V156=0,0,IF(V156&lt;0,IF($J156=6,V156,IF($J156=5,V156,IF($J156=4,V156,0)))))</f>
        <v>0</v>
      </c>
      <c r="T156" s="414">
        <f>IF(V156=0,0,IF(V156&lt;0,IF($J156=9,V156,IF($J156=8,V156,IF($J156=7,V156,0)))))</f>
        <v>0</v>
      </c>
      <c r="U156" s="406">
        <f>IF(V156=0,0,IF(V156&lt;0,IF($J156=12,V156,IF($J156=11,V156,IF($J156=10,V156,0)))))</f>
        <v>0</v>
      </c>
      <c r="V156" s="407">
        <f>IF(V$5=$H156,-$E156,0)</f>
        <v>0</v>
      </c>
      <c r="W156" s="404">
        <f>IF(AA156=0,0,IF(AA156&lt;0,IF($J156=3,AA156,IF($J156=2,AA156,IF($J156=1,AA156,0)))))</f>
        <v>0</v>
      </c>
      <c r="X156" s="414">
        <f>IF(AA156=0,0,IF(AA156&lt;0,IF($J156=6,AA156,IF($J156=5,AA156,IF($J156=4,AA156,0)))))</f>
        <v>0</v>
      </c>
      <c r="Y156" s="414">
        <f>IF(AA156=0,0,IF(AA156&lt;0,IF($J156=9,AA156,IF($J156=8,AA156,IF($J156=7,AA156,0)))))</f>
        <v>0</v>
      </c>
      <c r="Z156" s="406">
        <f>IF(AA156=0,0,IF(AA156&lt;0,IF($J156=12,AA156,IF($J156=11,AA156,IF($J156=10,AA156,0)))))</f>
        <v>0</v>
      </c>
      <c r="AA156" s="407">
        <f>IF(AA$5=$H156,-$E156,0)</f>
        <v>0</v>
      </c>
      <c r="AB156" s="404">
        <f>IF(AF156=0,0,IF(AF156&lt;0,IF($J156=3,AF156,IF($J156=2,AF156,IF($J156=1,AF156,0)))))</f>
        <v>0</v>
      </c>
      <c r="AC156" s="414">
        <f>IF(AF156=0,0,IF(AF156&lt;0,IF($J156=6,AF156,IF($J156=5,AF156,IF($J156=4,AF156,0)))))</f>
        <v>0</v>
      </c>
      <c r="AD156" s="414">
        <f>IF(AF156=0,0,IF(AF156&lt;0,IF($J156=9,AF156,IF($J156=8,AF156,IF($J156=7,AF156,0)))))</f>
        <v>0</v>
      </c>
      <c r="AE156" s="406">
        <f>IF(AF156=0,0,IF(AF156&lt;0,IF($J156=12,AF156,IF($J156=11,AF156,IF($J156=10,AF156,0)))))</f>
        <v>0</v>
      </c>
      <c r="AF156" s="407">
        <f>IF(AF$5=$H156,-$E156,0)</f>
        <v>0</v>
      </c>
      <c r="AG156" s="404">
        <f>IF(AK156=0,0,IF(AK156&lt;0,IF($J156=3,AK156,IF($J156=2,AK156,IF($J156=1,AK156,0)))))</f>
        <v>0</v>
      </c>
      <c r="AH156" s="414">
        <f>IF(AK156=0,0,IF(AK156&lt;0,IF($J156=6,AK156,IF($J156=5,AK156,IF($J156=4,AK156,0)))))</f>
        <v>0</v>
      </c>
      <c r="AI156" s="414">
        <f>IF(AK156=0,0,IF(AK156&lt;0,IF($J156=9,AK156,IF($J156=8,AK156,IF($J156=7,AK156,0)))))</f>
        <v>0</v>
      </c>
      <c r="AJ156" s="406">
        <f>IF(AK156=0,0,IF(AK156&lt;0,IF($J156=12,AK156,IF($J156=11,AK156,IF($J156=10,AK156,0)))))</f>
        <v>0</v>
      </c>
      <c r="AK156" s="407">
        <f>IF(AK$5=$H156,-$E156,0)</f>
        <v>0</v>
      </c>
      <c r="AL156" s="404">
        <f>IF(AP156=0,0,IF(AP156&lt;0,IF($J156=3,AP156,IF($J156=2,AP156,IF($J156=1,AP156,0)))))</f>
        <v>0</v>
      </c>
      <c r="AM156" s="414">
        <f>IF(AP156=0,0,IF(AP156&lt;0,IF($J156=6,AP156,IF($J156=5,AP156,IF($J156=4,AP156,0)))))</f>
        <v>0</v>
      </c>
      <c r="AN156" s="414">
        <f>IF(AP156=0,0,IF(AP156&lt;0,IF($J156=9,AP156,IF($J156=8,AP156,IF($J156=7,AP156,0)))))</f>
        <v>0</v>
      </c>
      <c r="AO156" s="406">
        <f>IF(AP156=0,0,IF(AP156&lt;0,IF($J156=12,AP156,IF($J156=11,AP156,IF($J156=10,AP156,0)))))</f>
        <v>0</v>
      </c>
      <c r="AP156" s="407">
        <f>IF(AP$5=$H156,-$E156,0)</f>
        <v>0</v>
      </c>
      <c r="AQ156" s="404">
        <f>IF(AU156=0,0,IF(AU156&lt;0,IF($J156=3,AU156,IF($J156=2,AU156,IF($J156=1,AU156,0)))))</f>
        <v>0</v>
      </c>
      <c r="AR156" s="414">
        <f t="shared" si="1151"/>
        <v>0</v>
      </c>
      <c r="AS156" s="414">
        <f>IF(AU156=0,0,IF(AU156&lt;0,IF($J156=9,AU156,IF($J156=8,AU156,IF($J156=7,AU156,0)))))</f>
        <v>0</v>
      </c>
      <c r="AT156" s="406">
        <f>IF(AU156=0,0,IF(AU156&lt;0,IF($J156=12,AU156,IF($J156=11,AU156,IF($J156=10,AU156,0)))))</f>
        <v>0</v>
      </c>
      <c r="AU156" s="407">
        <f>IF(AU$5=$H156,-$E156,0)</f>
        <v>0</v>
      </c>
      <c r="AV156" s="404">
        <f>IF(AZ156=0,0,IF(AZ156&lt;0,IF($J156=3,AZ156,IF($J156=2,AZ156,IF($J156=1,AZ156,0)))))</f>
        <v>0</v>
      </c>
      <c r="AW156" s="414">
        <f>IF(AZ156=0,0,IF(AZ156&lt;0,IF($J156=6,AZ156,IF($J156=5,AZ156,IF($J156=4,AZ156,0)))))</f>
        <v>0</v>
      </c>
      <c r="AX156" s="414">
        <f>IF(AZ156=0,0,IF(AZ156&lt;0,IF($J156=9,AZ156,IF($J156=8,AZ156,IF($J156=7,AZ156,0)))))</f>
        <v>0</v>
      </c>
      <c r="AY156" s="406">
        <f>IF(AZ156=0,0,IF(AZ156&lt;0,IF($J156=12,AZ156,IF($J156=11,AZ156,IF($J156=10,AZ156,0)))))</f>
        <v>0</v>
      </c>
      <c r="AZ156" s="407">
        <f>IF(AZ$5=$H156,-$E156,0)</f>
        <v>0</v>
      </c>
      <c r="BA156" s="404">
        <f>IF(BE156=0,0,IF(BE156&lt;0,IF($J156=3,BE156,IF($J156=2,BE156,IF($J156=1,BE156,0)))))</f>
        <v>0</v>
      </c>
      <c r="BB156" s="414">
        <f>IF(BE156=0,0,IF(BE156&lt;0,IF($J156=6,BE156,IF($J156=5,BE156,IF($J156=4,BE156,0)))))</f>
        <v>0</v>
      </c>
      <c r="BC156" s="414">
        <f>IF(BE156=0,0,IF(BE156&lt;0,IF($J156=9,BE156,IF($J156=8,BE156,IF($J156=7,BE156,0)))))</f>
        <v>0</v>
      </c>
      <c r="BD156" s="406">
        <f>IF(BE156=0,0,IF(BE156&lt;0,IF($J156=12,BE156,IF($J156=11,BE156,IF($J156=10,BE156,0)))))</f>
        <v>0</v>
      </c>
      <c r="BE156" s="407">
        <f>IF(BE$5=$H156,-$E156,0)</f>
        <v>0</v>
      </c>
      <c r="BF156" s="404">
        <f>IF(BJ156=0,0,IF(BJ156&lt;0,IF($J156=3,BJ156,IF($J156=2,BJ156,IF($J156=1,BJ156,0)))))</f>
        <v>0</v>
      </c>
      <c r="BG156" s="414">
        <f>IF(BJ156=0,0,IF(BJ156&lt;0,IF($J156=6,BJ156,IF($J156=5,BJ156,IF($J156=4,BJ156,0)))))</f>
        <v>0</v>
      </c>
      <c r="BH156" s="414">
        <f>IF(BJ156=0,0,IF(BJ156&lt;0,IF($J156=9,BJ156,IF($J156=8,BJ156,IF($J156=7,BJ156,0)))))</f>
        <v>0</v>
      </c>
      <c r="BI156" s="406">
        <f>IF(BJ156=0,0,IF(BJ156&lt;0,IF($J156=12,BJ156,IF($J156=11,BJ156,IF($J156=10,BJ156,0)))))</f>
        <v>0</v>
      </c>
      <c r="BJ156" s="407">
        <f>IF(BJ$5=$H156,-$E156,0)</f>
        <v>0</v>
      </c>
      <c r="BK156" s="404">
        <f>IF(BO156=0,0,IF(BO156&lt;0,IF($J156=3,BO156,IF($J156=2,BO156,IF($J156=1,BO156,0)))))</f>
        <v>0</v>
      </c>
      <c r="BL156" s="414">
        <f>IF(BO156=0,0,IF(BO156&lt;0,IF($J156=6,BO156,IF($J156=5,BO156,IF($J156=4,BO156,0)))))</f>
        <v>0</v>
      </c>
      <c r="BM156" s="414">
        <f>IF(BO156=0,0,IF(BO156&lt;0,IF($J156=9,BO156,IF($J156=8,BO156,IF($J156=7,BO156,0)))))</f>
        <v>0</v>
      </c>
      <c r="BN156" s="406">
        <f>IF(BO156=0,0,IF(BO156&lt;0,IF($J156=12,BO156,IF($J156=11,BO156,IF($J156=10,BO156,0)))))</f>
        <v>0</v>
      </c>
      <c r="BO156" s="407">
        <f>IF(BO$5=$H156,-$E156,0)</f>
        <v>0</v>
      </c>
      <c r="BP156" s="449"/>
      <c r="BQ156" s="413">
        <f>IF(AND(AH156&lt;&gt;0,AH$5=$H156),-$I156*$E156-AH156,IF(BQ$5=$H156,-$I156*$E156*(12-$J156+1)/12,0))</f>
        <v>0</v>
      </c>
      <c r="BR156" s="410">
        <f>IF($H156&lt;&gt;BV$5,0,IF(BV156&lt;0,IF($J156=1,-$E156*$I156/12*3,IF($J156=2,-$E156*$I156/12*2,IF($J156=3,-$E156*$I156/12*1,0)))))+IF(BQ$5&lt;&gt;$H156,0,IF(BQ156&lt;0,IF($J156=1,-$E156*$I156/12*0,IF($J156=2,-$E156*$I156/12*1,IF($J156=3,-$E156*$I156/12*2,IF($J156&gt;=4,-$E156*$I156/12*3,0))))))</f>
        <v>0</v>
      </c>
      <c r="BS156" s="416">
        <f>IF($H156&lt;&gt;BV$5,0,IF(BV156&lt;0,IF(OR($J156=1,$J156=2,$J156=3,$J156=4),-$E156*$I156/12*3,IF($J156=5,-$E156*$I156/12*2,IF($J156=6,-$E156*$I156/12*1,0)))))+IF(BQ$5&lt;&gt;$H156,0,IF(BQ156&lt;0,IF($J156=4,-$E156*$I156/12*0,IF($J156=5,-$E156*$I156/12*1,IF($J156=6,-$E156*$I156/12*2,IF($J156&gt;=7,-$E156*$I156/12*3,0))))))</f>
        <v>0</v>
      </c>
      <c r="BT156" s="416">
        <f>IF($H156&lt;&gt;BV$5,0,IF(BV156&lt;0,IF(OR($J156=1,$J156=2,$J156=3,$J156=4,$J156=5,$J156=6,$J156=7),-$E156*$I156/12*3,IF($J156=8,-$E156*$I156/12*2,IF($J156=9,-$E156*$I156/12*1,0)))))+IF(BQ$5&lt;&gt;$H156,0,IF(BQ156&lt;0,IF($J156=7,-$E156*$I156/12*0,IF($J156=8,-$E156*$I156/12*1,IF($J156=9,-$E156*$I156/12*2,IF($J156&gt;=10,-$E156*$I156/12*3,0))))))</f>
        <v>0</v>
      </c>
      <c r="BU156" s="412">
        <f>IF($H156&lt;&gt;BV$5,0,IF(BV156&lt;0,IF(OR($J156=1,$J156=2,$J156=3,$J156=4,$J156=5,$J156=6,$J156=7,$J156=8,$J156=9,$J156=10),-$E156*$I156/12*3,IF($J156=11,-$E156*$I156/12*2,IF($J156=12,-$E156*$I156/12*1,0)))))+IF(BQ$5&lt;&gt;$H156,0,IF(BQ156&lt;0,IF($J156=10,-$E156*$I156/12*0,IF($J156=11,-$E156*$I156/12*1,IF($J156=12,-$E156*$I156/12*2,0)))))</f>
        <v>0</v>
      </c>
      <c r="BV156" s="413">
        <f>IF(AND(BQ156&lt;&gt;0,BQ$5=$H156),-$I156*$E156-BQ156,IF(BV$5=$H156,-$I156*$E156*(12-$J156+1)/12,0))</f>
        <v>0</v>
      </c>
      <c r="BW156" s="410">
        <f>IF($H156&lt;&gt;CA$5,0,IF(CA156&lt;0,IF($J156=1,-$E156*$I156/12*3,IF($J156=2,-$E156*$I156/12*2,IF($J156=3,-$E156*$I156/12*1,0)))))+IF(BV$5&lt;&gt;$H156,0,IF(BV156&lt;0,IF($J156=1,-$E156*$I156/12*0,IF($J156=2,-$E156*$I156/12*1,IF($J156=3,-$E156*$I156/12*2,IF($J156&gt;=4,-$E156*$I156/12*3,0))))))</f>
        <v>0</v>
      </c>
      <c r="BX156" s="416">
        <f>IF($H156&lt;&gt;CA$5,0,IF(CA156&lt;0,IF(OR($J156=1,$J156=2,$J156=3,$J156=4),-$E156*$I156/12*3,IF($J156=5,-$E156*$I156/12*2,IF($J156=6,-$E156*$I156/12*1,0)))))+IF(BV$5&lt;&gt;$H156,0,IF(BV156&lt;0,IF($J156=4,-$E156*$I156/12*0,IF($J156=5,-$E156*$I156/12*1,IF($J156=6,-$E156*$I156/12*2,IF($J156&gt;=7,-$E156*$I156/12*3,0))))))</f>
        <v>0</v>
      </c>
      <c r="BY156" s="416">
        <f>IF($H156&lt;&gt;CA$5,0,IF(CA156&lt;0,IF(OR($J156=1,$J156=2,$J156=3,$J156=4,$J156=5,$J156=6,$J156=7),-$E156*$I156/12*3,IF($J156=8,-$E156*$I156/12*2,IF($J156=9,-$E156*$I156/12*1,0)))))+IF(BV$5&lt;&gt;$H156,0,IF(BV156&lt;0,IF($J156=7,-$E156*$I156/12*0,IF($J156=8,-$E156*$I156/12*1,IF($J156=9,-$E156*$I156/12*2,IF($J156&gt;=10,-$E156*$I156/12*3,0))))))</f>
        <v>0</v>
      </c>
      <c r="BZ156" s="412">
        <f>IF($H156&lt;&gt;CA$5,0,IF(CA156&lt;0,IF(OR($J156=1,$J156=2,$J156=3,$J156=4,$J156=5,$J156=6,$J156=7,$J156=8,$J156=9,$J156=10),-$E156*$I156/12*3,IF($J156=11,-$E156*$I156/12*2,IF($J156=12,-$E156*$I156/12*1,0)))))+IF(BV$5&lt;&gt;$H156,0,IF(BV156&lt;0,IF($J156=10,-$E156*$I156/12*0,IF($J156=11,-$E156*$I156/12*1,IF($J156=12,-$E156*$I156/12*2,0)))))</f>
        <v>0</v>
      </c>
      <c r="CA156" s="413">
        <f>IF(AND(BV156&lt;&gt;0,BV$5=$H156),-$I156*$E156-BV156,IF(CA$5=$H156,-$I156*$E156*(12-$J156+1)/12,0))</f>
        <v>0</v>
      </c>
      <c r="CB156" s="410">
        <f>IF($H156&lt;&gt;CF$5,0,IF(CF156&lt;0,IF($J156=1,-$E156*$I156/12*3,IF($J156=2,-$E156*$I156/12*2,IF($J156=3,-$E156*$I156/12*1,0)))))+IF(CA$5&lt;&gt;$H156,0,IF(CA156&lt;0,IF($J156=1,-$E156*$I156/12*0,IF($J156=2,-$E156*$I156/12*1,IF($J156=3,-$E156*$I156/12*2,IF($J156&gt;=4,-$E156*$I156/12*3,0))))))</f>
        <v>0</v>
      </c>
      <c r="CC156" s="416">
        <f>IF($H156&lt;&gt;CF$5,0,IF(CF156&lt;0,IF(OR($J156=1,$J156=2,$J156=3,$J156=4),-$E156*$I156/12*3,IF($J156=5,-$E156*$I156/12*2,IF($J156=6,-$E156*$I156/12*1,0)))))+IF(CA$5&lt;&gt;$H156,0,IF(CA156&lt;0,IF($J156=4,-$E156*$I156/12*0,IF($J156=5,-$E156*$I156/12*1,IF($J156=6,-$E156*$I156/12*2,IF($J156&gt;=7,-$E156*$I156/12*3,0))))))</f>
        <v>0</v>
      </c>
      <c r="CD156" s="416">
        <f>IF($H156&lt;&gt;CF$5,0,IF(CF156&lt;0,IF(OR($J156=1,$J156=2,$J156=3,$J156=4,$J156=5,$J156=6,$J156=7),-$E156*$I156/12*3,IF($J156=8,-$E156*$I156/12*2,IF($J156=9,-$E156*$I156/12*1,0)))))+IF(CA$5&lt;&gt;$H156,0,IF(CA156&lt;0,IF($J156=7,-$E156*$I156/12*0,IF($J156=8,-$E156*$I156/12*1,IF($J156=9,-$E156*$I156/12*2,IF($J156&gt;=10,-$E156*$I156/12*3,0))))))</f>
        <v>0</v>
      </c>
      <c r="CE156" s="412">
        <f>IF($H156&lt;&gt;CF$5,0,IF(CF156&lt;0,IF(OR($J156=1,$J156=2,$J156=3,$J156=4,$J156=5,$J156=6,$J156=7,$J156=8,$J156=9,$J156=10),-$E156*$I156/12*3,IF($J156=11,-$E156*$I156/12*2,IF($J156=12,-$E156*$I156/12*1,0)))))+IF(CA$5&lt;&gt;$H156,0,IF(CA156&lt;0,IF($J156=10,-$E156*$I156/12*0,IF($J156=11,-$E156*$I156/12*1,IF($J156=12,-$E156*$I156/12*2,0)))))</f>
        <v>0</v>
      </c>
      <c r="CF156" s="413">
        <f>IF(AND(CA156&lt;&gt;0,CA$5=$H156),-$I156*$E156-CA156,IF(CF$5=$H156,-$I156*$E156*(12-$J156+1)/12,0))</f>
        <v>0</v>
      </c>
      <c r="CG156" s="410">
        <f>IF($H156&lt;&gt;CK$5,0,IF(CK156&lt;0,IF($J156=1,-$E156*$I156/12*3,IF($J156=2,-$E156*$I156/12*2,IF($J156=3,-$E156*$I156/12*1,0)))))+IF(CF$5&lt;&gt;$H156,0,IF(CF156&lt;0,IF($J156=1,-$E156*$I156/12*0,IF($J156=2,-$E156*$I156/12*1,IF($J156=3,-$E156*$I156/12*2,IF($J156&gt;=4,-$E156*$I156/12*3,0))))))</f>
        <v>0</v>
      </c>
      <c r="CH156" s="416">
        <f>IF($H156&lt;&gt;CK$5,0,IF(CK156&lt;0,IF(OR($J156=1,$J156=2,$J156=3,$J156=4),-$E156*$I156/12*3,IF($J156=5,-$E156*$I156/12*2,IF($J156=6,-$E156*$I156/12*1,0)))))+IF(CF$5&lt;&gt;$H156,0,IF(CF156&lt;0,IF($J156=4,-$E156*$I156/12*0,IF($J156=5,-$E156*$I156/12*1,IF($J156=6,-$E156*$I156/12*2,IF($J156&gt;=7,-$E156*$I156/12*3,0))))))</f>
        <v>0</v>
      </c>
      <c r="CI156" s="416">
        <f>IF($H156&lt;&gt;CK$5,0,IF(CK156&lt;0,IF(OR($J156=1,$J156=2,$J156=3,$J156=4,$J156=5,$J156=6,$J156=7),-$E156*$I156/12*3,IF($J156=8,-$E156*$I156/12*2,IF($J156=9,-$E156*$I156/12*1,0)))))+IF(CF$5&lt;&gt;$H156,0,IF(CF156&lt;0,IF($J156=7,-$E156*$I156/12*0,IF($J156=8,-$E156*$I156/12*1,IF($J156=9,-$E156*$I156/12*2,IF($J156&gt;=10,-$E156*$I156/12*3,0))))))</f>
        <v>0</v>
      </c>
      <c r="CJ156" s="412">
        <f>IF($H156&lt;&gt;CK$5,0,IF(CK156&lt;0,IF(OR($J156=1,$J156=2,$J156=3,$J156=4,$J156=5,$J156=6,$J156=7,$J156=8,$J156=9,$J156=10),-$E156*$I156/12*3,IF($J156=11,-$E156*$I156/12*2,IF($J156=12,-$E156*$I156/12*1,0)))))+IF(CF$5&lt;&gt;$H156,0,IF(CF156&lt;0,IF($J156=10,-$E156*$I156/12*0,IF($J156=11,-$E156*$I156/12*1,IF($J156=12,-$E156*$I156/12*2,0)))))</f>
        <v>0</v>
      </c>
      <c r="CK156" s="413">
        <f>IF(AND(CF156&lt;&gt;0,CF$5=$H156),-$I156*$E156-CF156,IF(CK$5=$H156,-$I156*$E156*(12-$J156+1)/12,0))</f>
        <v>0</v>
      </c>
      <c r="CL156" s="410">
        <f>IF($H156&lt;&gt;CP$5,0,IF(CP156&lt;0,IF($J156=1,-$E156*$I156/12*3,IF($J156=2,-$E156*$I156/12*2,IF($J156=3,-$E156*$I156/12*1,0)))))+IF(CK$5&lt;&gt;$H156,0,IF(CK156&lt;0,IF($J156=1,-$E156*$I156/12*0,IF($J156=2,-$E156*$I156/12*1,IF($J156=3,-$E156*$I156/12*2,IF($J156&gt;=4,-$E156*$I156/12*3,0))))))</f>
        <v>0</v>
      </c>
      <c r="CM156" s="416">
        <f>IF($H156&lt;&gt;CP$5,0,IF(CP156&lt;0,IF(OR($J156=1,$J156=2,$J156=3,$J156=4),-$E156*$I156/12*3,IF($J156=5,-$E156*$I156/12*2,IF($J156=6,-$E156*$I156/12*1,0)))))+IF(CK$5&lt;&gt;$H156,0,IF(CK156&lt;0,IF($J156=4,-$E156*$I156/12*0,IF($J156=5,-$E156*$I156/12*1,IF($J156=6,-$E156*$I156/12*2,IF($J156&gt;=7,-$E156*$I156/12*3,0))))))</f>
        <v>0</v>
      </c>
      <c r="CN156" s="416">
        <f>IF($H156&lt;&gt;CP$5,0,IF(CP156&lt;0,IF(OR($J156=1,$J156=2,$J156=3,$J156=4,$J156=5,$J156=6,$J156=7),-$E156*$I156/12*3,IF($J156=8,-$E156*$I156/12*2,IF($J156=9,-$E156*$I156/12*1,0)))))+IF(CK$5&lt;&gt;$H156,0,IF(CK156&lt;0,IF($J156=7,-$E156*$I156/12*0,IF($J156=8,-$E156*$I156/12*1,IF($J156=9,-$E156*$I156/12*2,IF($J156&gt;=10,-$E156*$I156/12*3,0))))))</f>
        <v>0</v>
      </c>
      <c r="CO156" s="412">
        <f>IF($H156&lt;&gt;CP$5,0,IF(CP156&lt;0,IF(OR($J156=1,$J156=2,$J156=3,$J156=4,$J156=5,$J156=6,$J156=7,$J156=8,$J156=9,$J156=10),-$E156*$I156/12*3,IF($J156=11,-$E156*$I156/12*2,IF($J156=12,-$E156*$I156/12*1,0)))))+IF(CK$5&lt;&gt;$H156,0,IF(CK156&lt;0,IF($J156=10,-$E156*$I156/12*0,IF($J156=11,-$E156*$I156/12*1,IF($J156=12,-$E156*$I156/12*2,0)))))</f>
        <v>0</v>
      </c>
      <c r="CP156" s="413">
        <f>IF(AND(CK156&lt;&gt;0,CK$5=$H156),-$I156*$E156-CK156,IF(CP$5=$H156,-$I156*$E156*(12-$J156+1)/12,0))</f>
        <v>0</v>
      </c>
      <c r="CQ156" s="410">
        <f>IF($H156&lt;&gt;CU$5,0,IF(CU156&lt;0,IF($J156=1,-$E156*$I156/12*3,IF($J156=2,-$E156*$I156/12*2,IF($J156=3,-$E156*$I156/12*1,0)))))+IF(CP$5&lt;&gt;$H156,0,IF(CP156&lt;0,IF($J156=1,-$E156*$I156/12*0,IF($J156=2,-$E156*$I156/12*1,IF($J156=3,-$E156*$I156/12*2,IF($J156&gt;=4,-$E156*$I156/12*3,0))))))</f>
        <v>0</v>
      </c>
      <c r="CR156" s="416">
        <f>IF($H156&lt;&gt;CU$5,0,IF(CU156&lt;0,IF(OR($J156=1,$J156=2,$J156=3,$J156=4),-$E156*$I156/12*3,IF($J156=5,-$E156*$I156/12*2,IF($J156=6,-$E156*$I156/12*1,0)))))+IF(CP$5&lt;&gt;$H156,0,IF(CP156&lt;0,IF($J156=4,-$E156*$I156/12*0,IF($J156=5,-$E156*$I156/12*1,IF($J156=6,-$E156*$I156/12*2,IF($J156&gt;=7,-$E156*$I156/12*3,0))))))</f>
        <v>0</v>
      </c>
      <c r="CS156" s="416">
        <f>IF($H156&lt;&gt;CU$5,0,IF(CU156&lt;0,IF(OR($J156=1,$J156=2,$J156=3,$J156=4,$J156=5,$J156=6,$J156=7),-$E156*$I156/12*3,IF($J156=8,-$E156*$I156/12*2,IF($J156=9,-$E156*$I156/12*1,0)))))+IF(CP$5&lt;&gt;$H156,0,IF(CP156&lt;0,IF($J156=7,-$E156*$I156/12*0,IF($J156=8,-$E156*$I156/12*1,IF($J156=9,-$E156*$I156/12*2,IF($J156&gt;=10,-$E156*$I156/12*3,0))))))</f>
        <v>0</v>
      </c>
      <c r="CT156" s="412">
        <f>IF($H156&lt;&gt;CU$5,0,IF(CU156&lt;0,IF(OR($J156=1,$J156=2,$J156=3,$J156=4,$J156=5,$J156=6,$J156=7,$J156=8,$J156=9,$J156=10),-$E156*$I156/12*3,IF($J156=11,-$E156*$I156/12*2,IF($J156=12,-$E156*$I156/12*1,0)))))+IF(CP$5&lt;&gt;$H156,0,IF(CP156&lt;0,IF($J156=10,-$E156*$I156/12*0,IF($J156=11,-$E156*$I156/12*1,IF($J156=12,-$E156*$I156/12*2,0)))))</f>
        <v>0</v>
      </c>
      <c r="CU156" s="413">
        <f>IF(AND(CP156&lt;&gt;0,CP$5=$H156),-$I156*$E156-CP156,IF(CU$5=$H156,-$I156*$E156*(12-$J156+1)/12,0))</f>
        <v>0</v>
      </c>
      <c r="CV156" s="410">
        <f>IF($H156&lt;&gt;CZ$5,0,IF(CZ156&lt;0,IF($J156=1,-$E156*$I156/12*3,IF($J156=2,-$E156*$I156/12*2,IF($J156=3,-$E156*$I156/12*1,0)))))+IF(CU$5&lt;&gt;$H156,0,IF(CU156&lt;0,IF($J156=1,-$E156*$I156/12*0,IF($J156=2,-$E156*$I156/12*1,IF($J156=3,-$E156*$I156/12*2,IF($J156&gt;=4,-$E156*$I156/12*3,0))))))</f>
        <v>0</v>
      </c>
      <c r="CW156" s="416">
        <f>IF($H156&lt;&gt;CZ$5,0,IF(CZ156&lt;0,IF(OR($J156=1,$J156=2,$J156=3,$J156=4),-$E156*$I156/12*3,IF($J156=5,-$E156*$I156/12*2,IF($J156=6,-$E156*$I156/12*1,0)))))+IF(CU$5&lt;&gt;$H156,0,IF(CU156&lt;0,IF($J156=4,-$E156*$I156/12*0,IF($J156=5,-$E156*$I156/12*1,IF($J156=6,-$E156*$I156/12*2,IF($J156&gt;=7,-$E156*$I156/12*3,0))))))</f>
        <v>0</v>
      </c>
      <c r="CX156" s="416">
        <f>IF($H156&lt;&gt;CZ$5,0,IF(CZ156&lt;0,IF(OR($J156=1,$J156=2,$J156=3,$J156=4,$J156=5,$J156=6,$J156=7),-$E156*$I156/12*3,IF($J156=8,-$E156*$I156/12*2,IF($J156=9,-$E156*$I156/12*1,0)))))+IF(CU$5&lt;&gt;$H156,0,IF(CU156&lt;0,IF($J156=7,-$E156*$I156/12*0,IF($J156=8,-$E156*$I156/12*1,IF($J156=9,-$E156*$I156/12*2,IF($J156&gt;=10,-$E156*$I156/12*3,0))))))</f>
        <v>0</v>
      </c>
      <c r="CY156" s="412">
        <f>IF($H156&lt;&gt;CZ$5,0,IF(CZ156&lt;0,IF(OR($J156=1,$J156=2,$J156=3,$J156=4,$J156=5,$J156=6,$J156=7,$J156=8,$J156=9,$J156=10),-$E156*$I156/12*3,IF($J156=11,-$E156*$I156/12*2,IF($J156=12,-$E156*$I156/12*1,0)))))+IF(CU$5&lt;&gt;$H156,0,IF(CU156&lt;0,IF($J156=10,-$E156*$I156/12*0,IF($J156=11,-$E156*$I156/12*1,IF($J156=12,-$E156*$I156/12*2,0)))))</f>
        <v>0</v>
      </c>
      <c r="CZ156" s="413">
        <f>IF(AND(CU156&lt;&gt;0,CU$5=$H156),-$I156*$E156-CU156,IF(CZ$5=$H156,-$I156*$E156*(12-$J156+1)/12,0))</f>
        <v>0</v>
      </c>
      <c r="DA156" s="410">
        <f>IF($H156&lt;&gt;DE$5,0,IF(DE156&lt;0,IF($J156=1,-$E156*$I156/12*3,IF($J156=2,-$E156*$I156/12*2,IF($J156=3,-$E156*$I156/12*1,0)))))+IF(CZ$5&lt;&gt;$H156,0,IF(CZ156&lt;0,IF($J156=1,-$E156*$I156/12*0,IF($J156=2,-$E156*$I156/12*1,IF($J156=3,-$E156*$I156/12*2,IF($J156&gt;=4,-$E156*$I156/12*3,0))))))</f>
        <v>0</v>
      </c>
      <c r="DB156" s="416">
        <f>IF($H156&lt;&gt;DE$5,0,IF(DE156&lt;0,IF(OR($J156=1,$J156=2,$J156=3,$J156=4),-$E156*$I156/12*3,IF($J156=5,-$E156*$I156/12*2,IF($J156=6,-$E156*$I156/12*1,0)))))+IF(CZ$5&lt;&gt;$H156,0,IF(CZ156&lt;0,IF($J156=4,-$E156*$I156/12*0,IF($J156=5,-$E156*$I156/12*1,IF($J156=6,-$E156*$I156/12*2,IF($J156&gt;=7,-$E156*$I156/12*3,0))))))</f>
        <v>0</v>
      </c>
      <c r="DC156" s="416">
        <f>IF($H156&lt;&gt;DE$5,0,IF(DE156&lt;0,IF(OR($J156=1,$J156=2,$J156=3,$J156=4,$J156=5,$J156=6,$J156=7),-$E156*$I156/12*3,IF($J156=8,-$E156*$I156/12*2,IF($J156=9,-$E156*$I156/12*1,0)))))+IF(CZ$5&lt;&gt;$H156,0,IF(CZ156&lt;0,IF($J156=7,-$E156*$I156/12*0,IF($J156=8,-$E156*$I156/12*1,IF($J156=9,-$E156*$I156/12*2,IF($J156&gt;=10,-$E156*$I156/12*3,0))))))</f>
        <v>0</v>
      </c>
      <c r="DD156" s="412">
        <f>IF($H156&lt;&gt;DE$5,0,IF(DE156&lt;0,IF(OR($J156=1,$J156=2,$J156=3,$J156=4,$J156=5,$J156=6,$J156=7,$J156=8,$J156=9,$J156=10),-$E156*$I156/12*3,IF($J156=11,-$E156*$I156/12*2,IF($J156=12,-$E156*$I156/12*1,0)))))+IF(CZ$5&lt;&gt;$H156,0,IF(CZ156&lt;0,IF($J156=10,-$E156*$I156/12*0,IF($J156=11,-$E156*$I156/12*1,IF($J156=12,-$E156*$I156/12*2,0)))))</f>
        <v>0</v>
      </c>
      <c r="DE156" s="413">
        <f>IF(AND(CZ156&lt;&gt;0,CZ$5=$H156),-$I156*$E156-CZ156,IF(DE$5=$H156,-$I156*$E156*(12-$J156+1)/12,0))</f>
        <v>0</v>
      </c>
      <c r="DF156" s="410">
        <f>IF($H156&lt;&gt;DJ$5,0,IF(DJ156&lt;0,IF($J156=1,-$E156*$I156/12*3,IF($J156=2,-$E156*$I156/12*2,IF($J156=3,-$E156*$I156/12*1,0)))))+IF(DE$5&lt;&gt;$H156,0,IF(DE156&lt;0,IF($J156=1,-$E156*$I156/12*0,IF($J156=2,-$E156*$I156/12*1,IF($J156=3,-$E156*$I156/12*2,IF($J156&gt;=4,-$E156*$I156/12*3,0))))))</f>
        <v>0</v>
      </c>
      <c r="DG156" s="416">
        <f>IF($H156&lt;&gt;DJ$5,0,IF(DJ156&lt;0,IF(OR($J156=1,$J156=2,$J156=3,$J156=4),-$E156*$I156/12*3,IF($J156=5,-$E156*$I156/12*2,IF($J156=6,-$E156*$I156/12*1,0)))))+IF(DE$5&lt;&gt;$H156,0,IF(DE156&lt;0,IF($J156=4,-$E156*$I156/12*0,IF($J156=5,-$E156*$I156/12*1,IF($J156=6,-$E156*$I156/12*2,IF($J156&gt;=7,-$E156*$I156/12*3,0))))))</f>
        <v>0</v>
      </c>
      <c r="DH156" s="416">
        <f>IF($H156&lt;&gt;DJ$5,0,IF(DJ156&lt;0,IF(OR($J156=1,$J156=2,$J156=3,$J156=4,$J156=5,$J156=6,$J156=7),-$E156*$I156/12*3,IF($J156=8,-$E156*$I156/12*2,IF($J156=9,-$E156*$I156/12*1,0)))))+IF(DE$5&lt;&gt;$H156,0,IF(DE156&lt;0,IF($J156=7,-$E156*$I156/12*0,IF($J156=8,-$E156*$I156/12*1,IF($J156=9,-$E156*$I156/12*2,IF($J156&gt;=10,-$E156*$I156/12*3,0))))))</f>
        <v>0</v>
      </c>
      <c r="DI156" s="412">
        <f>IF($H156&lt;&gt;DJ$5,0,IF(DJ156&lt;0,IF(OR($J156=1,$J156=2,$J156=3,$J156=4,$J156=5,$J156=6,$J156=7,$J156=8,$J156=9,$J156=10),-$E156*$I156/12*3,IF($J156=11,-$E156*$I156/12*2,IF($J156=12,-$E156*$I156/12*1,0)))))+IF(DE$5&lt;&gt;$H156,0,IF(DE156&lt;0,IF($J156=10,-$E156*$I156/12*0,IF($J156=11,-$E156*$I156/12*1,IF($J156=12,-$E156*$I156/12*2,0)))))</f>
        <v>0</v>
      </c>
      <c r="DJ156" s="413">
        <f>IF(AND(DE156&lt;&gt;0,DE$5=$H156),-$I156*$E156-DE156,IF(DJ$5=$H156,-$I156*$E156*(12-$J156+1)/12,0))</f>
        <v>0</v>
      </c>
      <c r="DK156" s="410">
        <f>IF($H156&lt;&gt;DO$5,0,IF(DO156&lt;0,IF($J156=1,-$E156*$I156/12*3,IF($J156=2,-$E156*$I156/12*2,IF($J156=3,-$E156*$I156/12*1,0)))))+IF(DJ$5&lt;&gt;$H156,0,IF(DJ156&lt;0,IF($J156=1,-$E156*$I156/12*0,IF($J156=2,-$E156*$I156/12*1,IF($J156=3,-$E156*$I156/12*2,IF($J156&gt;=4,-$E156*$I156/12*3,0))))))</f>
        <v>0</v>
      </c>
      <c r="DL156" s="416">
        <f>IF($H156&lt;&gt;DO$5,0,IF(DO156&lt;0,IF(OR($J156=1,$J156=2,$J156=3,$J156=4),-$E156*$I156/12*3,IF($J156=5,-$E156*$I156/12*2,IF($J156=6,-$E156*$I156/12*1,0)))))+IF(DJ$5&lt;&gt;$H156,0,IF(DJ156&lt;0,IF($J156=4,-$E156*$I156/12*0,IF($J156=5,-$E156*$I156/12*1,IF($J156=6,-$E156*$I156/12*2,IF($J156&gt;=7,-$E156*$I156/12*3,0))))))</f>
        <v>0</v>
      </c>
      <c r="DM156" s="416">
        <f>IF($H156&lt;&gt;DO$5,0,IF(DO156&lt;0,IF(OR($J156=1,$J156=2,$J156=3,$J156=4,$J156=5,$J156=6,$J156=7),-$E156*$I156/12*3,IF($J156=8,-$E156*$I156/12*2,IF($J156=9,-$E156*$I156/12*1,0)))))+IF(DJ$5&lt;&gt;$H156,0,IF(DJ156&lt;0,IF($J156=7,-$E156*$I156/12*0,IF($J156=8,-$E156*$I156/12*1,IF($J156=9,-$E156*$I156/12*2,IF($J156&gt;=10,-$E156*$I156/12*3,0))))))</f>
        <v>0</v>
      </c>
      <c r="DN156" s="412">
        <f>IF($H156&lt;&gt;DO$5,0,IF(DO156&lt;0,IF(OR($J156=1,$J156=2,$J156=3,$J156=4,$J156=5,$J156=6,$J156=7,$J156=8,$J156=9,$J156=10),-$E156*$I156/12*3,IF($J156=11,-$E156*$I156/12*2,IF($J156=12,-$E156*$I156/12*1,0)))))+IF(DJ$5&lt;&gt;$H156,0,IF(DJ156&lt;0,IF($J156=10,-$E156*$I156/12*0,IF($J156=11,-$E156*$I156/12*1,IF($J156=12,-$E156*$I156/12*2,0)))))</f>
        <v>0</v>
      </c>
      <c r="DO156" s="413">
        <f>IF(AND(DJ156&lt;&gt;0,DJ$5=$H156),-$I156*$E156-DJ156,IF(DO$5=$H156,-$I156*$E156*(12-$J156+1)/12,0))</f>
        <v>0</v>
      </c>
      <c r="DP156" s="410">
        <f>IF($H156&lt;&gt;DT$5,0,IF(DT156&lt;0,IF($J156=1,-$E156*$I156/12*3,IF($J156=2,-$E156*$I156/12*2,IF($J156=3,-$E156*$I156/12*1,0)))))+IF(DO$5&lt;&gt;$H156,0,IF(DO156&lt;0,IF($J156=1,-$E156*$I156/12*0,IF($J156=2,-$E156*$I156/12*1,IF($J156=3,-$E156*$I156/12*2,IF($J156&gt;=4,-$E156*$I156/12*3,0))))))</f>
        <v>0</v>
      </c>
      <c r="DQ156" s="416">
        <f>IF($H156&lt;&gt;DT$5,0,IF(DT156&lt;0,IF(OR($J156=1,$J156=2,$J156=3,$J156=4),-$E156*$I156/12*3,IF($J156=5,-$E156*$I156/12*2,IF($J156=6,-$E156*$I156/12*1,0)))))+IF(DO$5&lt;&gt;$H156,0,IF(DO156&lt;0,IF($J156=4,-$E156*$I156/12*0,IF($J156=5,-$E156*$I156/12*1,IF($J156=6,-$E156*$I156/12*2,IF($J156&gt;=7,-$E156*$I156/12*3,0))))))</f>
        <v>0</v>
      </c>
      <c r="DR156" s="416">
        <f>IF($H156&lt;&gt;DT$5,0,IF(DT156&lt;0,IF(OR($J156=1,$J156=2,$J156=3,$J156=4,$J156=5,$J156=6,$J156=7),-$E156*$I156/12*3,IF($J156=8,-$E156*$I156/12*2,IF($J156=9,-$E156*$I156/12*1,0)))))+IF(DO$5&lt;&gt;$H156,0,IF(DO156&lt;0,IF($J156=7,-$E156*$I156/12*0,IF($J156=8,-$E156*$I156/12*1,IF($J156=9,-$E156*$I156/12*2,IF($J156&gt;=10,-$E156*$I156/12*3,0))))))</f>
        <v>0</v>
      </c>
      <c r="DS156" s="412">
        <f>IF($H156&lt;&gt;DT$5,0,IF(DT156&lt;0,IF(OR($J156=1,$J156=2,$J156=3,$J156=4,$J156=5,$J156=6,$J156=7,$J156=8,$J156=9,$J156=10),-$E156*$I156/12*3,IF($J156=11,-$E156*$I156/12*2,IF($J156=12,-$E156*$I156/12*1,0)))))+IF(DO$5&lt;&gt;$H156,0,IF(DO156&lt;0,IF($J156=10,-$E156*$I156/12*0,IF($J156=11,-$E156*$I156/12*1,IF($J156=12,-$E156*$I156/12*2,0)))))</f>
        <v>0</v>
      </c>
      <c r="DT156" s="413">
        <f>IF(AND(DO156&lt;&gt;0,DO$5=$H156),-$I156*$E156-DO156,IF(DT$5=$H156,-$I156*$E156*(12-$J156+1)/12,0))</f>
        <v>0</v>
      </c>
    </row>
    <row r="157" spans="1:124" ht="12.75" customHeight="1">
      <c r="A157" s="491"/>
      <c r="C157" s="1885" t="s">
        <v>1103</v>
      </c>
      <c r="D157" s="1885"/>
      <c r="E157" s="1886">
        <f t="shared" si="1118"/>
        <v>400</v>
      </c>
      <c r="F157" s="1532">
        <v>400</v>
      </c>
      <c r="G157" s="1532">
        <v>400</v>
      </c>
      <c r="H157" s="610">
        <v>2045</v>
      </c>
      <c r="I157" s="1533">
        <v>3.9E-2</v>
      </c>
      <c r="J157" s="617">
        <v>3</v>
      </c>
      <c r="K157" s="402"/>
      <c r="L157" s="407">
        <f t="shared" si="1119"/>
        <v>0</v>
      </c>
      <c r="M157" s="404">
        <f t="shared" si="1120"/>
        <v>0</v>
      </c>
      <c r="N157" s="414">
        <f t="shared" si="1121"/>
        <v>0</v>
      </c>
      <c r="O157" s="414">
        <f t="shared" si="1122"/>
        <v>0</v>
      </c>
      <c r="P157" s="406">
        <f t="shared" si="1123"/>
        <v>0</v>
      </c>
      <c r="Q157" s="407">
        <f t="shared" si="1124"/>
        <v>0</v>
      </c>
      <c r="R157" s="404">
        <f t="shared" si="1125"/>
        <v>0</v>
      </c>
      <c r="S157" s="414">
        <f t="shared" si="1126"/>
        <v>0</v>
      </c>
      <c r="T157" s="414">
        <f t="shared" si="1127"/>
        <v>0</v>
      </c>
      <c r="U157" s="406">
        <f t="shared" si="1128"/>
        <v>0</v>
      </c>
      <c r="V157" s="407">
        <f t="shared" si="1129"/>
        <v>0</v>
      </c>
      <c r="W157" s="404">
        <f t="shared" si="1130"/>
        <v>0</v>
      </c>
      <c r="X157" s="414">
        <f t="shared" si="1131"/>
        <v>0</v>
      </c>
      <c r="Y157" s="414">
        <f t="shared" si="1132"/>
        <v>0</v>
      </c>
      <c r="Z157" s="406">
        <f t="shared" si="1133"/>
        <v>0</v>
      </c>
      <c r="AA157" s="407">
        <f t="shared" si="1134"/>
        <v>0</v>
      </c>
      <c r="AB157" s="404">
        <f t="shared" si="1135"/>
        <v>0</v>
      </c>
      <c r="AC157" s="414">
        <f t="shared" si="1136"/>
        <v>0</v>
      </c>
      <c r="AD157" s="414">
        <f t="shared" si="1137"/>
        <v>0</v>
      </c>
      <c r="AE157" s="406">
        <f t="shared" si="1138"/>
        <v>0</v>
      </c>
      <c r="AF157" s="407">
        <f t="shared" si="1139"/>
        <v>0</v>
      </c>
      <c r="AG157" s="404">
        <f t="shared" si="1140"/>
        <v>0</v>
      </c>
      <c r="AH157" s="414">
        <f t="shared" si="1141"/>
        <v>0</v>
      </c>
      <c r="AI157" s="414">
        <f t="shared" si="1142"/>
        <v>0</v>
      </c>
      <c r="AJ157" s="406">
        <f t="shared" si="1143"/>
        <v>0</v>
      </c>
      <c r="AK157" s="407">
        <f t="shared" si="1144"/>
        <v>0</v>
      </c>
      <c r="AL157" s="404">
        <f t="shared" si="1145"/>
        <v>0</v>
      </c>
      <c r="AM157" s="414">
        <f t="shared" si="1146"/>
        <v>0</v>
      </c>
      <c r="AN157" s="414">
        <f t="shared" si="1147"/>
        <v>0</v>
      </c>
      <c r="AO157" s="406">
        <f t="shared" si="1148"/>
        <v>0</v>
      </c>
      <c r="AP157" s="407">
        <f t="shared" si="1149"/>
        <v>0</v>
      </c>
      <c r="AQ157" s="404">
        <f t="shared" si="1150"/>
        <v>0</v>
      </c>
      <c r="AR157" s="414">
        <f t="shared" si="1151"/>
        <v>0</v>
      </c>
      <c r="AS157" s="414">
        <f t="shared" si="1152"/>
        <v>0</v>
      </c>
      <c r="AT157" s="406">
        <f t="shared" si="1153"/>
        <v>0</v>
      </c>
      <c r="AU157" s="407">
        <f t="shared" si="1154"/>
        <v>0</v>
      </c>
      <c r="AV157" s="404">
        <f t="shared" si="1155"/>
        <v>0</v>
      </c>
      <c r="AW157" s="414">
        <f t="shared" si="1156"/>
        <v>0</v>
      </c>
      <c r="AX157" s="414">
        <f t="shared" si="1157"/>
        <v>0</v>
      </c>
      <c r="AY157" s="406">
        <f t="shared" si="1158"/>
        <v>0</v>
      </c>
      <c r="AZ157" s="407">
        <f t="shared" si="1159"/>
        <v>0</v>
      </c>
      <c r="BA157" s="404">
        <f t="shared" si="1160"/>
        <v>0</v>
      </c>
      <c r="BB157" s="414">
        <f t="shared" si="1161"/>
        <v>0</v>
      </c>
      <c r="BC157" s="414">
        <f t="shared" si="1162"/>
        <v>0</v>
      </c>
      <c r="BD157" s="406">
        <f t="shared" si="1163"/>
        <v>0</v>
      </c>
      <c r="BE157" s="407">
        <f t="shared" si="1164"/>
        <v>0</v>
      </c>
      <c r="BF157" s="404">
        <f t="shared" si="1165"/>
        <v>0</v>
      </c>
      <c r="BG157" s="414">
        <f t="shared" si="1166"/>
        <v>0</v>
      </c>
      <c r="BH157" s="414">
        <f t="shared" si="1167"/>
        <v>0</v>
      </c>
      <c r="BI157" s="406">
        <f t="shared" si="1168"/>
        <v>0</v>
      </c>
      <c r="BJ157" s="407">
        <f t="shared" si="1169"/>
        <v>0</v>
      </c>
      <c r="BK157" s="404">
        <f t="shared" si="1170"/>
        <v>0</v>
      </c>
      <c r="BL157" s="414">
        <f t="shared" si="1171"/>
        <v>0</v>
      </c>
      <c r="BM157" s="414">
        <f t="shared" si="1172"/>
        <v>0</v>
      </c>
      <c r="BN157" s="406">
        <f t="shared" si="1173"/>
        <v>0</v>
      </c>
      <c r="BO157" s="407">
        <f t="shared" si="1174"/>
        <v>0</v>
      </c>
      <c r="BP157" s="449"/>
      <c r="BQ157" s="413">
        <f t="shared" si="1175"/>
        <v>0</v>
      </c>
      <c r="BR157" s="410">
        <f t="shared" si="1176"/>
        <v>0</v>
      </c>
      <c r="BS157" s="416">
        <f t="shared" si="1177"/>
        <v>0</v>
      </c>
      <c r="BT157" s="416">
        <f t="shared" si="1178"/>
        <v>0</v>
      </c>
      <c r="BU157" s="412">
        <f t="shared" si="1179"/>
        <v>0</v>
      </c>
      <c r="BV157" s="413">
        <f t="shared" si="1180"/>
        <v>0</v>
      </c>
      <c r="BW157" s="410">
        <f t="shared" si="1181"/>
        <v>0</v>
      </c>
      <c r="BX157" s="416">
        <f t="shared" si="1182"/>
        <v>0</v>
      </c>
      <c r="BY157" s="416">
        <f t="shared" si="1183"/>
        <v>0</v>
      </c>
      <c r="BZ157" s="412">
        <f t="shared" si="1184"/>
        <v>0</v>
      </c>
      <c r="CA157" s="413">
        <f t="shared" si="1185"/>
        <v>0</v>
      </c>
      <c r="CB157" s="410">
        <f t="shared" si="1186"/>
        <v>0</v>
      </c>
      <c r="CC157" s="416">
        <f t="shared" si="1187"/>
        <v>0</v>
      </c>
      <c r="CD157" s="416">
        <f t="shared" si="1188"/>
        <v>0</v>
      </c>
      <c r="CE157" s="412">
        <f t="shared" si="1189"/>
        <v>0</v>
      </c>
      <c r="CF157" s="413">
        <f t="shared" si="1190"/>
        <v>0</v>
      </c>
      <c r="CG157" s="410">
        <f t="shared" si="1191"/>
        <v>0</v>
      </c>
      <c r="CH157" s="416">
        <f t="shared" si="1192"/>
        <v>0</v>
      </c>
      <c r="CI157" s="416">
        <f t="shared" si="1193"/>
        <v>0</v>
      </c>
      <c r="CJ157" s="412">
        <f t="shared" si="1194"/>
        <v>0</v>
      </c>
      <c r="CK157" s="413">
        <f t="shared" si="1195"/>
        <v>0</v>
      </c>
      <c r="CL157" s="410">
        <f t="shared" si="1196"/>
        <v>0</v>
      </c>
      <c r="CM157" s="416">
        <f t="shared" si="1197"/>
        <v>0</v>
      </c>
      <c r="CN157" s="416">
        <f t="shared" si="1198"/>
        <v>0</v>
      </c>
      <c r="CO157" s="412">
        <f t="shared" si="1199"/>
        <v>0</v>
      </c>
      <c r="CP157" s="413">
        <f t="shared" si="1200"/>
        <v>0</v>
      </c>
      <c r="CQ157" s="410">
        <f t="shared" si="1201"/>
        <v>0</v>
      </c>
      <c r="CR157" s="416">
        <f t="shared" si="1202"/>
        <v>0</v>
      </c>
      <c r="CS157" s="416">
        <f t="shared" si="1203"/>
        <v>0</v>
      </c>
      <c r="CT157" s="412">
        <f t="shared" si="1204"/>
        <v>0</v>
      </c>
      <c r="CU157" s="413">
        <f t="shared" si="1205"/>
        <v>0</v>
      </c>
      <c r="CV157" s="410">
        <f t="shared" si="1206"/>
        <v>0</v>
      </c>
      <c r="CW157" s="416">
        <f t="shared" si="1207"/>
        <v>0</v>
      </c>
      <c r="CX157" s="416">
        <f t="shared" si="1208"/>
        <v>0</v>
      </c>
      <c r="CY157" s="412">
        <f t="shared" si="1209"/>
        <v>0</v>
      </c>
      <c r="CZ157" s="413">
        <f t="shared" si="1210"/>
        <v>0</v>
      </c>
      <c r="DA157" s="410">
        <f t="shared" si="1211"/>
        <v>0</v>
      </c>
      <c r="DB157" s="416">
        <f t="shared" si="1212"/>
        <v>0</v>
      </c>
      <c r="DC157" s="416">
        <f t="shared" si="1213"/>
        <v>0</v>
      </c>
      <c r="DD157" s="412">
        <f t="shared" si="1214"/>
        <v>0</v>
      </c>
      <c r="DE157" s="413">
        <f t="shared" si="1215"/>
        <v>0</v>
      </c>
      <c r="DF157" s="410">
        <f t="shared" si="1216"/>
        <v>0</v>
      </c>
      <c r="DG157" s="416">
        <f t="shared" si="1217"/>
        <v>0</v>
      </c>
      <c r="DH157" s="416">
        <f t="shared" si="1218"/>
        <v>0</v>
      </c>
      <c r="DI157" s="412">
        <f t="shared" si="1219"/>
        <v>0</v>
      </c>
      <c r="DJ157" s="413">
        <f t="shared" si="1220"/>
        <v>0</v>
      </c>
      <c r="DK157" s="410">
        <f t="shared" si="1221"/>
        <v>0</v>
      </c>
      <c r="DL157" s="416">
        <f t="shared" si="1222"/>
        <v>0</v>
      </c>
      <c r="DM157" s="416">
        <f t="shared" si="1223"/>
        <v>0</v>
      </c>
      <c r="DN157" s="412">
        <f t="shared" si="1224"/>
        <v>0</v>
      </c>
      <c r="DO157" s="413">
        <f t="shared" si="1225"/>
        <v>0</v>
      </c>
      <c r="DP157" s="410">
        <f t="shared" si="1226"/>
        <v>0</v>
      </c>
      <c r="DQ157" s="416">
        <f t="shared" si="1227"/>
        <v>0</v>
      </c>
      <c r="DR157" s="416">
        <f t="shared" si="1228"/>
        <v>0</v>
      </c>
      <c r="DS157" s="412">
        <f t="shared" si="1229"/>
        <v>0</v>
      </c>
      <c r="DT157" s="413">
        <f t="shared" si="1230"/>
        <v>0</v>
      </c>
    </row>
    <row r="158" spans="1:124" ht="12.75" customHeight="1">
      <c r="A158" s="491"/>
      <c r="C158" s="1885" t="s">
        <v>1277</v>
      </c>
      <c r="D158" s="1885"/>
      <c r="E158" s="1886">
        <f>IF(F158=0,G158,F158)</f>
        <v>400</v>
      </c>
      <c r="F158" s="1532">
        <v>400</v>
      </c>
      <c r="G158" s="1532">
        <v>400</v>
      </c>
      <c r="H158" s="610">
        <v>2026</v>
      </c>
      <c r="I158" s="830">
        <v>2.75E-2</v>
      </c>
      <c r="J158" s="617">
        <v>9</v>
      </c>
      <c r="K158" s="402"/>
      <c r="L158" s="407">
        <f t="shared" si="1119"/>
        <v>0</v>
      </c>
      <c r="M158" s="404">
        <f>IF(Q158=0,0,IF(Q158&lt;0,IF($J158=3,Q158,IF($J158=2,Q158,IF($J158=1,Q158,0)))))</f>
        <v>0</v>
      </c>
      <c r="N158" s="414">
        <f>IF(Q158=0,0,IF(Q158&lt;0,IF($J158=6,Q158,IF($J158=5,Q158,IF($J158=4,Q158,0)))))</f>
        <v>0</v>
      </c>
      <c r="O158" s="414">
        <f>IF(Q158=0,0,IF(Q158&lt;0,IF($J158=9,Q158,IF($J158=8,Q158,IF($J158=7,Q158,0)))))</f>
        <v>0</v>
      </c>
      <c r="P158" s="406">
        <f>IF(Q158=0,0,IF(Q158&lt;0,IF($J158=12,Q158,IF($J158=11,Q158,IF($J158=10,Q158,0)))))</f>
        <v>0</v>
      </c>
      <c r="Q158" s="407">
        <f t="shared" si="1124"/>
        <v>0</v>
      </c>
      <c r="R158" s="404">
        <f>IF(V158=0,0,IF(V158&lt;0,IF($J158=3,V158,IF($J158=2,V158,IF($J158=1,V158,0)))))</f>
        <v>0</v>
      </c>
      <c r="S158" s="414">
        <f>IF(V158=0,0,IF(V158&lt;0,IF($J158=6,V158,IF($J158=5,V158,IF($J158=4,V158,0)))))</f>
        <v>0</v>
      </c>
      <c r="T158" s="414">
        <f>IF(V158=0,0,IF(V158&lt;0,IF($J158=9,V158,IF($J158=8,V158,IF($J158=7,V158,0)))))</f>
        <v>0</v>
      </c>
      <c r="U158" s="406">
        <f>IF(V158=0,0,IF(V158&lt;0,IF($J158=12,V158,IF($J158=11,V158,IF($J158=10,V158,0)))))</f>
        <v>0</v>
      </c>
      <c r="V158" s="407">
        <f t="shared" si="1129"/>
        <v>0</v>
      </c>
      <c r="W158" s="404">
        <f>IF(AA158=0,0,IF(AA158&lt;0,IF($J158=3,AA158,IF($J158=2,AA158,IF($J158=1,AA158,0)))))</f>
        <v>0</v>
      </c>
      <c r="X158" s="414">
        <f>IF(AA158=0,0,IF(AA158&lt;0,IF($J158=6,AA158,IF($J158=5,AA158,IF($J158=4,AA158,0)))))</f>
        <v>0</v>
      </c>
      <c r="Y158" s="414">
        <f>IF(AA158=0,0,IF(AA158&lt;0,IF($J158=9,AA158,IF($J158=8,AA158,IF($J158=7,AA158,0)))))</f>
        <v>0</v>
      </c>
      <c r="Z158" s="406">
        <f>IF(AA158=0,0,IF(AA158&lt;0,IF($J158=12,AA158,IF($J158=11,AA158,IF($J158=10,AA158,0)))))</f>
        <v>0</v>
      </c>
      <c r="AA158" s="407">
        <f t="shared" si="1134"/>
        <v>0</v>
      </c>
      <c r="AB158" s="404">
        <f>IF(AF158=0,0,IF(AF158&lt;0,IF($J158=3,AF158,IF($J158=2,AF158,IF($J158=1,AF158,0)))))</f>
        <v>0</v>
      </c>
      <c r="AC158" s="414">
        <f>IF(AF158=0,0,IF(AF158&lt;0,IF($J158=6,AF158,IF($J158=5,AF158,IF($J158=4,AF158,0)))))</f>
        <v>0</v>
      </c>
      <c r="AD158" s="414">
        <f>IF(AF158=0,0,IF(AF158&lt;0,IF($J158=9,AF158,IF($J158=8,AF158,IF($J158=7,AF158,0)))))</f>
        <v>0</v>
      </c>
      <c r="AE158" s="406">
        <f>IF(AF158=0,0,IF(AF158&lt;0,IF($J158=12,AF158,IF($J158=11,AF158,IF($J158=10,AF158,0)))))</f>
        <v>0</v>
      </c>
      <c r="AF158" s="407">
        <f t="shared" si="1139"/>
        <v>0</v>
      </c>
      <c r="AG158" s="404">
        <f>IF(AK158=0,0,IF(AK158&lt;0,IF($J158=3,AK158,IF($J158=2,AK158,IF($J158=1,AK158,0)))))</f>
        <v>0</v>
      </c>
      <c r="AH158" s="414">
        <f>IF(AK158=0,0,IF(AK158&lt;0,IF($J158=6,AK158,IF($J158=5,AK158,IF($J158=4,AK158,0)))))</f>
        <v>0</v>
      </c>
      <c r="AI158" s="414">
        <f>IF(AK158=0,0,IF(AK158&lt;0,IF($J158=9,AK158,IF($J158=8,AK158,IF($J158=7,AK158,0)))))</f>
        <v>0</v>
      </c>
      <c r="AJ158" s="406">
        <f>IF(AK158=0,0,IF(AK158&lt;0,IF($J158=12,AK158,IF($J158=11,AK158,IF($J158=10,AK158,0)))))</f>
        <v>0</v>
      </c>
      <c r="AK158" s="407">
        <f t="shared" si="1144"/>
        <v>0</v>
      </c>
      <c r="AL158" s="404">
        <f>IF(AP158=0,0,IF(AP158&lt;0,IF($J158=3,AP158,IF($J158=2,AP158,IF($J158=1,AP158,0)))))</f>
        <v>0</v>
      </c>
      <c r="AM158" s="414">
        <f>IF(AP158=0,0,IF(AP158&lt;0,IF($J158=6,AP158,IF($J158=5,AP158,IF($J158=4,AP158,0)))))</f>
        <v>0</v>
      </c>
      <c r="AN158" s="414">
        <f>IF(AP158=0,0,IF(AP158&lt;0,IF($J158=9,AP158,IF($J158=8,AP158,IF($J158=7,AP158,0)))))</f>
        <v>0</v>
      </c>
      <c r="AO158" s="406">
        <f>IF(AP158=0,0,IF(AP158&lt;0,IF($J158=12,AP158,IF($J158=11,AP158,IF($J158=10,AP158,0)))))</f>
        <v>0</v>
      </c>
      <c r="AP158" s="407">
        <f t="shared" si="1149"/>
        <v>0</v>
      </c>
      <c r="AQ158" s="404">
        <f>IF(AU158=0,0,IF(AU158&lt;0,IF($J158=3,AU158,IF($J158=2,AU158,IF($J158=1,AU158,0)))))</f>
        <v>0</v>
      </c>
      <c r="AR158" s="414">
        <f t="shared" si="1151"/>
        <v>0</v>
      </c>
      <c r="AS158" s="414">
        <f>IF(AU158=0,0,IF(AU158&lt;0,IF($J158=9,AU158,IF($J158=8,AU158,IF($J158=7,AU158,0)))))</f>
        <v>0</v>
      </c>
      <c r="AT158" s="406">
        <f>IF(AU158=0,0,IF(AU158&lt;0,IF($J158=12,AU158,IF($J158=11,AU158,IF($J158=10,AU158,0)))))</f>
        <v>0</v>
      </c>
      <c r="AU158" s="407">
        <f t="shared" si="1154"/>
        <v>0</v>
      </c>
      <c r="AV158" s="404">
        <f>IF(AZ158=0,0,IF(AZ158&lt;0,IF($J158=3,AZ158,IF($J158=2,AZ158,IF($J158=1,AZ158,0)))))</f>
        <v>0</v>
      </c>
      <c r="AW158" s="414">
        <f>IF(AZ158=0,0,IF(AZ158&lt;0,IF($J158=6,AZ158,IF($J158=5,AZ158,IF($J158=4,AZ158,0)))))</f>
        <v>0</v>
      </c>
      <c r="AX158" s="414">
        <f>IF(AZ158=0,0,IF(AZ158&lt;0,IF($J158=9,AZ158,IF($J158=8,AZ158,IF($J158=7,AZ158,0)))))</f>
        <v>0</v>
      </c>
      <c r="AY158" s="406">
        <f>IF(AZ158=0,0,IF(AZ158&lt;0,IF($J158=12,AZ158,IF($J158=11,AZ158,IF($J158=10,AZ158,0)))))</f>
        <v>0</v>
      </c>
      <c r="AZ158" s="407">
        <f t="shared" si="1159"/>
        <v>0</v>
      </c>
      <c r="BA158" s="404">
        <f>IF(BE158=0,0,IF(BE158&lt;0,IF($J158=3,BE158,IF($J158=2,BE158,IF($J158=1,BE158,0)))))</f>
        <v>0</v>
      </c>
      <c r="BB158" s="414">
        <f>IF(BE158=0,0,IF(BE158&lt;0,IF($J158=6,BE158,IF($J158=5,BE158,IF($J158=4,BE158,0)))))</f>
        <v>0</v>
      </c>
      <c r="BC158" s="414">
        <f>IF(BE158=0,0,IF(BE158&lt;0,IF($J158=9,BE158,IF($J158=8,BE158,IF($J158=7,BE158,0)))))</f>
        <v>0</v>
      </c>
      <c r="BD158" s="406">
        <f>IF(BE158=0,0,IF(BE158&lt;0,IF($J158=12,BE158,IF($J158=11,BE158,IF($J158=10,BE158,0)))))</f>
        <v>0</v>
      </c>
      <c r="BE158" s="407">
        <f t="shared" si="1164"/>
        <v>0</v>
      </c>
      <c r="BF158" s="404">
        <f>IF(BJ158=0,0,IF(BJ158&lt;0,IF($J158=3,BJ158,IF($J158=2,BJ158,IF($J158=1,BJ158,0)))))</f>
        <v>0</v>
      </c>
      <c r="BG158" s="414">
        <f>IF(BJ158=0,0,IF(BJ158&lt;0,IF($J158=6,BJ158,IF($J158=5,BJ158,IF($J158=4,BJ158,0)))))</f>
        <v>0</v>
      </c>
      <c r="BH158" s="414">
        <f>IF(BJ158=0,0,IF(BJ158&lt;0,IF($J158=9,BJ158,IF($J158=8,BJ158,IF($J158=7,BJ158,0)))))</f>
        <v>0</v>
      </c>
      <c r="BI158" s="406">
        <f>IF(BJ158=0,0,IF(BJ158&lt;0,IF($J158=12,BJ158,IF($J158=11,BJ158,IF($J158=10,BJ158,0)))))</f>
        <v>0</v>
      </c>
      <c r="BJ158" s="407">
        <f t="shared" si="1169"/>
        <v>0</v>
      </c>
      <c r="BK158" s="404">
        <f>IF(BO158=0,0,IF(BO158&lt;0,IF($J158=3,BO158,IF($J158=2,BO158,IF($J158=1,BO158,0)))))</f>
        <v>0</v>
      </c>
      <c r="BL158" s="414">
        <f>IF(BO158=0,0,IF(BO158&lt;0,IF($J158=6,BO158,IF($J158=5,BO158,IF($J158=4,BO158,0)))))</f>
        <v>0</v>
      </c>
      <c r="BM158" s="414">
        <f>IF(BO158=0,0,IF(BO158&lt;0,IF($J158=9,BO158,IF($J158=8,BO158,IF($J158=7,BO158,0)))))</f>
        <v>0</v>
      </c>
      <c r="BN158" s="406">
        <f>IF(BO158=0,0,IF(BO158&lt;0,IF($J158=12,BO158,IF($J158=11,BO158,IF($J158=10,BO158,0)))))</f>
        <v>0</v>
      </c>
      <c r="BO158" s="407">
        <f t="shared" si="1174"/>
        <v>0</v>
      </c>
      <c r="BP158" s="449"/>
      <c r="BQ158" s="413">
        <f>IF(AND(AH158&lt;&gt;0,AH$5=$H158),-$I158*$E158-AH158,IF(BQ$5=$H158,-$I158*$E158*(12-$J158+1)/12,0))</f>
        <v>0</v>
      </c>
      <c r="BR158" s="410">
        <f>IF($H158&lt;&gt;BV$5,0,IF(BV158&lt;0,IF($J158=1,-$E158*$I158/12*3,IF($J158=2,-$E158*$I158/12*2,IF($J158=3,-$E158*$I158/12*1,0)))))+IF(BQ$5&lt;&gt;$H158,0,IF(BQ158&lt;0,IF($J158=1,-$E158*$I158/12*0,IF($J158=2,-$E158*$I158/12*1,IF($J158=3,-$E158*$I158/12*2,IF($J158&gt;=4,-$E158*$I158/12*3,0))))))</f>
        <v>0</v>
      </c>
      <c r="BS158" s="416">
        <f>IF($H158&lt;&gt;BV$5,0,IF(BV158&lt;0,IF(OR($J158=1,$J158=2,$J158=3,$J158=4),-$E158*$I158/12*3,IF($J158=5,-$E158*$I158/12*2,IF($J158=6,-$E158*$I158/12*1,0)))))+IF(BQ$5&lt;&gt;$H158,0,IF(BQ158&lt;0,IF($J158=4,-$E158*$I158/12*0,IF($J158=5,-$E158*$I158/12*1,IF($J158=6,-$E158*$I158/12*2,IF($J158&gt;=7,-$E158*$I158/12*3,0))))))</f>
        <v>0</v>
      </c>
      <c r="BT158" s="416">
        <f>IF($H158&lt;&gt;BV$5,0,IF(BV158&lt;0,IF(OR($J158=1,$J158=2,$J158=3,$J158=4,$J158=5,$J158=6,$J158=7),-$E158*$I158/12*3,IF($J158=8,-$E158*$I158/12*2,IF($J158=9,-$E158*$I158/12*1,0)))))+IF(BQ$5&lt;&gt;$H158,0,IF(BQ158&lt;0,IF($J158=7,-$E158*$I158/12*0,IF($J158=8,-$E158*$I158/12*1,IF($J158=9,-$E158*$I158/12*2,IF($J158&gt;=10,-$E158*$I158/12*3,0))))))</f>
        <v>0</v>
      </c>
      <c r="BU158" s="412">
        <f>IF($H158&lt;&gt;BV$5,0,IF(BV158&lt;0,IF(OR($J158=1,$J158=2,$J158=3,$J158=4,$J158=5,$J158=6,$J158=7,$J158=8,$J158=9,$J158=10),-$E158*$I158/12*3,IF($J158=11,-$E158*$I158/12*2,IF($J158=12,-$E158*$I158/12*1,0)))))+IF(BQ$5&lt;&gt;$H158,0,IF(BQ158&lt;0,IF($J158=10,-$E158*$I158/12*0,IF($J158=11,-$E158*$I158/12*1,IF($J158=12,-$E158*$I158/12*2,0)))))</f>
        <v>0</v>
      </c>
      <c r="BV158" s="413">
        <f>IF(AND(BQ158&lt;&gt;0,BQ$5=$H158),-$I158*$E158-BQ158,IF(BV$5=$H158,-$I158*$E158*(12-$J158+1)/12,0))</f>
        <v>0</v>
      </c>
      <c r="BW158" s="410">
        <f>IF($H158&lt;&gt;CA$5,0,IF(CA158&lt;0,IF($J158=1,-$E158*$I158/12*3,IF($J158=2,-$E158*$I158/12*2,IF($J158=3,-$E158*$I158/12*1,0)))))+IF(BV$5&lt;&gt;$H158,0,IF(BV158&lt;0,IF($J158=1,-$E158*$I158/12*0,IF($J158=2,-$E158*$I158/12*1,IF($J158=3,-$E158*$I158/12*2,IF($J158&gt;=4,-$E158*$I158/12*3,0))))))</f>
        <v>0</v>
      </c>
      <c r="BX158" s="416">
        <f>IF($H158&lt;&gt;CA$5,0,IF(CA158&lt;0,IF(OR($J158=1,$J158=2,$J158=3,$J158=4),-$E158*$I158/12*3,IF($J158=5,-$E158*$I158/12*2,IF($J158=6,-$E158*$I158/12*1,0)))))+IF(BV$5&lt;&gt;$H158,0,IF(BV158&lt;0,IF($J158=4,-$E158*$I158/12*0,IF($J158=5,-$E158*$I158/12*1,IF($J158=6,-$E158*$I158/12*2,IF($J158&gt;=7,-$E158*$I158/12*3,0))))))</f>
        <v>0</v>
      </c>
      <c r="BY158" s="416">
        <f>IF($H158&lt;&gt;CA$5,0,IF(CA158&lt;0,IF(OR($J158=1,$J158=2,$J158=3,$J158=4,$J158=5,$J158=6,$J158=7),-$E158*$I158/12*3,IF($J158=8,-$E158*$I158/12*2,IF($J158=9,-$E158*$I158/12*1,0)))))+IF(BV$5&lt;&gt;$H158,0,IF(BV158&lt;0,IF($J158=7,-$E158*$I158/12*0,IF($J158=8,-$E158*$I158/12*1,IF($J158=9,-$E158*$I158/12*2,IF($J158&gt;=10,-$E158*$I158/12*3,0))))))</f>
        <v>0</v>
      </c>
      <c r="BZ158" s="412">
        <f>IF($H158&lt;&gt;CA$5,0,IF(CA158&lt;0,IF(OR($J158=1,$J158=2,$J158=3,$J158=4,$J158=5,$J158=6,$J158=7,$J158=8,$J158=9,$J158=10),-$E158*$I158/12*3,IF($J158=11,-$E158*$I158/12*2,IF($J158=12,-$E158*$I158/12*1,0)))))+IF(BV$5&lt;&gt;$H158,0,IF(BV158&lt;0,IF($J158=10,-$E158*$I158/12*0,IF($J158=11,-$E158*$I158/12*1,IF($J158=12,-$E158*$I158/12*2,0)))))</f>
        <v>0</v>
      </c>
      <c r="CA158" s="413">
        <f>IF(AND(BV158&lt;&gt;0,BV$5=$H158),-$I158*$E158-BV158,IF(CA$5=$H158,-$I158*$E158*(12-$J158+1)/12,0))</f>
        <v>0</v>
      </c>
      <c r="CB158" s="410">
        <f>IF($H158&lt;&gt;CF$5,0,IF(CF158&lt;0,IF($J158=1,-$E158*$I158/12*3,IF($J158=2,-$E158*$I158/12*2,IF($J158=3,-$E158*$I158/12*1,0)))))+IF(CA$5&lt;&gt;$H158,0,IF(CA158&lt;0,IF($J158=1,-$E158*$I158/12*0,IF($J158=2,-$E158*$I158/12*1,IF($J158=3,-$E158*$I158/12*2,IF($J158&gt;=4,-$E158*$I158/12*3,0))))))</f>
        <v>0</v>
      </c>
      <c r="CC158" s="416">
        <f>IF($H158&lt;&gt;CF$5,0,IF(CF158&lt;0,IF(OR($J158=1,$J158=2,$J158=3,$J158=4),-$E158*$I158/12*3,IF($J158=5,-$E158*$I158/12*2,IF($J158=6,-$E158*$I158/12*1,0)))))+IF(CA$5&lt;&gt;$H158,0,IF(CA158&lt;0,IF($J158=4,-$E158*$I158/12*0,IF($J158=5,-$E158*$I158/12*1,IF($J158=6,-$E158*$I158/12*2,IF($J158&gt;=7,-$E158*$I158/12*3,0))))))</f>
        <v>0</v>
      </c>
      <c r="CD158" s="416">
        <f>IF($H158&lt;&gt;CF$5,0,IF(CF158&lt;0,IF(OR($J158=1,$J158=2,$J158=3,$J158=4,$J158=5,$J158=6,$J158=7),-$E158*$I158/12*3,IF($J158=8,-$E158*$I158/12*2,IF($J158=9,-$E158*$I158/12*1,0)))))+IF(CA$5&lt;&gt;$H158,0,IF(CA158&lt;0,IF($J158=7,-$E158*$I158/12*0,IF($J158=8,-$E158*$I158/12*1,IF($J158=9,-$E158*$I158/12*2,IF($J158&gt;=10,-$E158*$I158/12*3,0))))))</f>
        <v>0</v>
      </c>
      <c r="CE158" s="412">
        <f>IF($H158&lt;&gt;CF$5,0,IF(CF158&lt;0,IF(OR($J158=1,$J158=2,$J158=3,$J158=4,$J158=5,$J158=6,$J158=7,$J158=8,$J158=9,$J158=10),-$E158*$I158/12*3,IF($J158=11,-$E158*$I158/12*2,IF($J158=12,-$E158*$I158/12*1,0)))))+IF(CA$5&lt;&gt;$H158,0,IF(CA158&lt;0,IF($J158=10,-$E158*$I158/12*0,IF($J158=11,-$E158*$I158/12*1,IF($J158=12,-$E158*$I158/12*2,0)))))</f>
        <v>0</v>
      </c>
      <c r="CF158" s="413">
        <f>IF(AND(CA158&lt;&gt;0,CA$5=$H158),-$I158*$E158-CA158,IF(CF$5=$H158,-$I158*$E158*(12-$J158+1)/12,0))</f>
        <v>0</v>
      </c>
      <c r="CG158" s="410">
        <f>IF($H158&lt;&gt;CK$5,0,IF(CK158&lt;0,IF($J158=1,-$E158*$I158/12*3,IF($J158=2,-$E158*$I158/12*2,IF($J158=3,-$E158*$I158/12*1,0)))))+IF(CF$5&lt;&gt;$H158,0,IF(CF158&lt;0,IF($J158=1,-$E158*$I158/12*0,IF($J158=2,-$E158*$I158/12*1,IF($J158=3,-$E158*$I158/12*2,IF($J158&gt;=4,-$E158*$I158/12*3,0))))))</f>
        <v>0</v>
      </c>
      <c r="CH158" s="416">
        <f>IF($H158&lt;&gt;CK$5,0,IF(CK158&lt;0,IF(OR($J158=1,$J158=2,$J158=3,$J158=4),-$E158*$I158/12*3,IF($J158=5,-$E158*$I158/12*2,IF($J158=6,-$E158*$I158/12*1,0)))))+IF(CF$5&lt;&gt;$H158,0,IF(CF158&lt;0,IF($J158=4,-$E158*$I158/12*0,IF($J158=5,-$E158*$I158/12*1,IF($J158=6,-$E158*$I158/12*2,IF($J158&gt;=7,-$E158*$I158/12*3,0))))))</f>
        <v>0</v>
      </c>
      <c r="CI158" s="416">
        <f>IF($H158&lt;&gt;CK$5,0,IF(CK158&lt;0,IF(OR($J158=1,$J158=2,$J158=3,$J158=4,$J158=5,$J158=6,$J158=7),-$E158*$I158/12*3,IF($J158=8,-$E158*$I158/12*2,IF($J158=9,-$E158*$I158/12*1,0)))))+IF(CF$5&lt;&gt;$H158,0,IF(CF158&lt;0,IF($J158=7,-$E158*$I158/12*0,IF($J158=8,-$E158*$I158/12*1,IF($J158=9,-$E158*$I158/12*2,IF($J158&gt;=10,-$E158*$I158/12*3,0))))))</f>
        <v>0</v>
      </c>
      <c r="CJ158" s="412">
        <f>IF($H158&lt;&gt;CK$5,0,IF(CK158&lt;0,IF(OR($J158=1,$J158=2,$J158=3,$J158=4,$J158=5,$J158=6,$J158=7,$J158=8,$J158=9,$J158=10),-$E158*$I158/12*3,IF($J158=11,-$E158*$I158/12*2,IF($J158=12,-$E158*$I158/12*1,0)))))+IF(CF$5&lt;&gt;$H158,0,IF(CF158&lt;0,IF($J158=10,-$E158*$I158/12*0,IF($J158=11,-$E158*$I158/12*1,IF($J158=12,-$E158*$I158/12*2,0)))))</f>
        <v>0</v>
      </c>
      <c r="CK158" s="413">
        <f>IF(AND(CF158&lt;&gt;0,CF$5=$H158),-$I158*$E158-CF158,IF(CK$5=$H158,-$I158*$E158*(12-$J158+1)/12,0))</f>
        <v>0</v>
      </c>
      <c r="CL158" s="410">
        <f>IF($H158&lt;&gt;CP$5,0,IF(CP158&lt;0,IF($J158=1,-$E158*$I158/12*3,IF($J158=2,-$E158*$I158/12*2,IF($J158=3,-$E158*$I158/12*1,0)))))+IF(CK$5&lt;&gt;$H158,0,IF(CK158&lt;0,IF($J158=1,-$E158*$I158/12*0,IF($J158=2,-$E158*$I158/12*1,IF($J158=3,-$E158*$I158/12*2,IF($J158&gt;=4,-$E158*$I158/12*3,0))))))</f>
        <v>0</v>
      </c>
      <c r="CM158" s="416">
        <f>IF($H158&lt;&gt;CP$5,0,IF(CP158&lt;0,IF(OR($J158=1,$J158=2,$J158=3,$J158=4),-$E158*$I158/12*3,IF($J158=5,-$E158*$I158/12*2,IF($J158=6,-$E158*$I158/12*1,0)))))+IF(CK$5&lt;&gt;$H158,0,IF(CK158&lt;0,IF($J158=4,-$E158*$I158/12*0,IF($J158=5,-$E158*$I158/12*1,IF($J158=6,-$E158*$I158/12*2,IF($J158&gt;=7,-$E158*$I158/12*3,0))))))</f>
        <v>0</v>
      </c>
      <c r="CN158" s="416">
        <f>IF($H158&lt;&gt;CP$5,0,IF(CP158&lt;0,IF(OR($J158=1,$J158=2,$J158=3,$J158=4,$J158=5,$J158=6,$J158=7),-$E158*$I158/12*3,IF($J158=8,-$E158*$I158/12*2,IF($J158=9,-$E158*$I158/12*1,0)))))+IF(CK$5&lt;&gt;$H158,0,IF(CK158&lt;0,IF($J158=7,-$E158*$I158/12*0,IF($J158=8,-$E158*$I158/12*1,IF($J158=9,-$E158*$I158/12*2,IF($J158&gt;=10,-$E158*$I158/12*3,0))))))</f>
        <v>0</v>
      </c>
      <c r="CO158" s="412">
        <f>IF($H158&lt;&gt;CP$5,0,IF(CP158&lt;0,IF(OR($J158=1,$J158=2,$J158=3,$J158=4,$J158=5,$J158=6,$J158=7,$J158=8,$J158=9,$J158=10),-$E158*$I158/12*3,IF($J158=11,-$E158*$I158/12*2,IF($J158=12,-$E158*$I158/12*1,0)))))+IF(CK$5&lt;&gt;$H158,0,IF(CK158&lt;0,IF($J158=10,-$E158*$I158/12*0,IF($J158=11,-$E158*$I158/12*1,IF($J158=12,-$E158*$I158/12*2,0)))))</f>
        <v>0</v>
      </c>
      <c r="CP158" s="413">
        <f>IF(AND(CK158&lt;&gt;0,CK$5=$H158),-$I158*$E158-CK158,IF(CP$5=$H158,-$I158*$E158*(12-$J158+1)/12,0))</f>
        <v>0</v>
      </c>
      <c r="CQ158" s="410">
        <f>IF($H158&lt;&gt;CU$5,0,IF(CU158&lt;0,IF($J158=1,-$E158*$I158/12*3,IF($J158=2,-$E158*$I158/12*2,IF($J158=3,-$E158*$I158/12*1,0)))))+IF(CP$5&lt;&gt;$H158,0,IF(CP158&lt;0,IF($J158=1,-$E158*$I158/12*0,IF($J158=2,-$E158*$I158/12*1,IF($J158=3,-$E158*$I158/12*2,IF($J158&gt;=4,-$E158*$I158/12*3,0))))))</f>
        <v>0</v>
      </c>
      <c r="CR158" s="416">
        <f>IF($H158&lt;&gt;CU$5,0,IF(CU158&lt;0,IF(OR($J158=1,$J158=2,$J158=3,$J158=4),-$E158*$I158/12*3,IF($J158=5,-$E158*$I158/12*2,IF($J158=6,-$E158*$I158/12*1,0)))))+IF(CP$5&lt;&gt;$H158,0,IF(CP158&lt;0,IF($J158=4,-$E158*$I158/12*0,IF($J158=5,-$E158*$I158/12*1,IF($J158=6,-$E158*$I158/12*2,IF($J158&gt;=7,-$E158*$I158/12*3,0))))))</f>
        <v>0</v>
      </c>
      <c r="CS158" s="416">
        <f>IF($H158&lt;&gt;CU$5,0,IF(CU158&lt;0,IF(OR($J158=1,$J158=2,$J158=3,$J158=4,$J158=5,$J158=6,$J158=7),-$E158*$I158/12*3,IF($J158=8,-$E158*$I158/12*2,IF($J158=9,-$E158*$I158/12*1,0)))))+IF(CP$5&lt;&gt;$H158,0,IF(CP158&lt;0,IF($J158=7,-$E158*$I158/12*0,IF($J158=8,-$E158*$I158/12*1,IF($J158=9,-$E158*$I158/12*2,IF($J158&gt;=10,-$E158*$I158/12*3,0))))))</f>
        <v>0</v>
      </c>
      <c r="CT158" s="412">
        <f>IF($H158&lt;&gt;CU$5,0,IF(CU158&lt;0,IF(OR($J158=1,$J158=2,$J158=3,$J158=4,$J158=5,$J158=6,$J158=7,$J158=8,$J158=9,$J158=10),-$E158*$I158/12*3,IF($J158=11,-$E158*$I158/12*2,IF($J158=12,-$E158*$I158/12*1,0)))))+IF(CP$5&lt;&gt;$H158,0,IF(CP158&lt;0,IF($J158=10,-$E158*$I158/12*0,IF($J158=11,-$E158*$I158/12*1,IF($J158=12,-$E158*$I158/12*2,0)))))</f>
        <v>0</v>
      </c>
      <c r="CU158" s="413">
        <f>IF(AND(CP158&lt;&gt;0,CP$5=$H158),-$I158*$E158-CP158,IF(CU$5=$H158,-$I158*$E158*(12-$J158+1)/12,0))</f>
        <v>0</v>
      </c>
      <c r="CV158" s="410">
        <f>IF($H158&lt;&gt;CZ$5,0,IF(CZ158&lt;0,IF($J158=1,-$E158*$I158/12*3,IF($J158=2,-$E158*$I158/12*2,IF($J158=3,-$E158*$I158/12*1,0)))))+IF(CU$5&lt;&gt;$H158,0,IF(CU158&lt;0,IF($J158=1,-$E158*$I158/12*0,IF($J158=2,-$E158*$I158/12*1,IF($J158=3,-$E158*$I158/12*2,IF($J158&gt;=4,-$E158*$I158/12*3,0))))))</f>
        <v>0</v>
      </c>
      <c r="CW158" s="416">
        <f>IF($H158&lt;&gt;CZ$5,0,IF(CZ158&lt;0,IF(OR($J158=1,$J158=2,$J158=3,$J158=4),-$E158*$I158/12*3,IF($J158=5,-$E158*$I158/12*2,IF($J158=6,-$E158*$I158/12*1,0)))))+IF(CU$5&lt;&gt;$H158,0,IF(CU158&lt;0,IF($J158=4,-$E158*$I158/12*0,IF($J158=5,-$E158*$I158/12*1,IF($J158=6,-$E158*$I158/12*2,IF($J158&gt;=7,-$E158*$I158/12*3,0))))))</f>
        <v>0</v>
      </c>
      <c r="CX158" s="416">
        <f>IF($H158&lt;&gt;CZ$5,0,IF(CZ158&lt;0,IF(OR($J158=1,$J158=2,$J158=3,$J158=4,$J158=5,$J158=6,$J158=7),-$E158*$I158/12*3,IF($J158=8,-$E158*$I158/12*2,IF($J158=9,-$E158*$I158/12*1,0)))))+IF(CU$5&lt;&gt;$H158,0,IF(CU158&lt;0,IF($J158=7,-$E158*$I158/12*0,IF($J158=8,-$E158*$I158/12*1,IF($J158=9,-$E158*$I158/12*2,IF($J158&gt;=10,-$E158*$I158/12*3,0))))))</f>
        <v>0</v>
      </c>
      <c r="CY158" s="412">
        <f>IF($H158&lt;&gt;CZ$5,0,IF(CZ158&lt;0,IF(OR($J158=1,$J158=2,$J158=3,$J158=4,$J158=5,$J158=6,$J158=7,$J158=8,$J158=9,$J158=10),-$E158*$I158/12*3,IF($J158=11,-$E158*$I158/12*2,IF($J158=12,-$E158*$I158/12*1,0)))))+IF(CU$5&lt;&gt;$H158,0,IF(CU158&lt;0,IF($J158=10,-$E158*$I158/12*0,IF($J158=11,-$E158*$I158/12*1,IF($J158=12,-$E158*$I158/12*2,0)))))</f>
        <v>0</v>
      </c>
      <c r="CZ158" s="413">
        <f>IF(AND(CU158&lt;&gt;0,CU$5=$H158),-$I158*$E158-CU158,IF(CZ$5=$H158,-$I158*$E158*(12-$J158+1)/12,0))</f>
        <v>0</v>
      </c>
      <c r="DA158" s="410">
        <f>IF($H158&lt;&gt;DE$5,0,IF(DE158&lt;0,IF($J158=1,-$E158*$I158/12*3,IF($J158=2,-$E158*$I158/12*2,IF($J158=3,-$E158*$I158/12*1,0)))))+IF(CZ$5&lt;&gt;$H158,0,IF(CZ158&lt;0,IF($J158=1,-$E158*$I158/12*0,IF($J158=2,-$E158*$I158/12*1,IF($J158=3,-$E158*$I158/12*2,IF($J158&gt;=4,-$E158*$I158/12*3,0))))))</f>
        <v>0</v>
      </c>
      <c r="DB158" s="416">
        <f>IF($H158&lt;&gt;DE$5,0,IF(DE158&lt;0,IF(OR($J158=1,$J158=2,$J158=3,$J158=4),-$E158*$I158/12*3,IF($J158=5,-$E158*$I158/12*2,IF($J158=6,-$E158*$I158/12*1,0)))))+IF(CZ$5&lt;&gt;$H158,0,IF(CZ158&lt;0,IF($J158=4,-$E158*$I158/12*0,IF($J158=5,-$E158*$I158/12*1,IF($J158=6,-$E158*$I158/12*2,IF($J158&gt;=7,-$E158*$I158/12*3,0))))))</f>
        <v>0</v>
      </c>
      <c r="DC158" s="416">
        <f>IF($H158&lt;&gt;DE$5,0,IF(DE158&lt;0,IF(OR($J158=1,$J158=2,$J158=3,$J158=4,$J158=5,$J158=6,$J158=7),-$E158*$I158/12*3,IF($J158=8,-$E158*$I158/12*2,IF($J158=9,-$E158*$I158/12*1,0)))))+IF(CZ$5&lt;&gt;$H158,0,IF(CZ158&lt;0,IF($J158=7,-$E158*$I158/12*0,IF($J158=8,-$E158*$I158/12*1,IF($J158=9,-$E158*$I158/12*2,IF($J158&gt;=10,-$E158*$I158/12*3,0))))))</f>
        <v>0</v>
      </c>
      <c r="DD158" s="412">
        <f>IF($H158&lt;&gt;DE$5,0,IF(DE158&lt;0,IF(OR($J158=1,$J158=2,$J158=3,$J158=4,$J158=5,$J158=6,$J158=7,$J158=8,$J158=9,$J158=10),-$E158*$I158/12*3,IF($J158=11,-$E158*$I158/12*2,IF($J158=12,-$E158*$I158/12*1,0)))))+IF(CZ$5&lt;&gt;$H158,0,IF(CZ158&lt;0,IF($J158=10,-$E158*$I158/12*0,IF($J158=11,-$E158*$I158/12*1,IF($J158=12,-$E158*$I158/12*2,0)))))</f>
        <v>0</v>
      </c>
      <c r="DE158" s="413">
        <f>IF(AND(CZ158&lt;&gt;0,CZ$5=$H158),-$I158*$E158-CZ158,IF(DE$5=$H158,-$I158*$E158*(12-$J158+1)/12,0))</f>
        <v>0</v>
      </c>
      <c r="DF158" s="410">
        <f>IF($H158&lt;&gt;DJ$5,0,IF(DJ158&lt;0,IF($J158=1,-$E158*$I158/12*3,IF($J158=2,-$E158*$I158/12*2,IF($J158=3,-$E158*$I158/12*1,0)))))+IF(DE$5&lt;&gt;$H158,0,IF(DE158&lt;0,IF($J158=1,-$E158*$I158/12*0,IF($J158=2,-$E158*$I158/12*1,IF($J158=3,-$E158*$I158/12*2,IF($J158&gt;=4,-$E158*$I158/12*3,0))))))</f>
        <v>0</v>
      </c>
      <c r="DG158" s="416">
        <f>IF($H158&lt;&gt;DJ$5,0,IF(DJ158&lt;0,IF(OR($J158=1,$J158=2,$J158=3,$J158=4),-$E158*$I158/12*3,IF($J158=5,-$E158*$I158/12*2,IF($J158=6,-$E158*$I158/12*1,0)))))+IF(DE$5&lt;&gt;$H158,0,IF(DE158&lt;0,IF($J158=4,-$E158*$I158/12*0,IF($J158=5,-$E158*$I158/12*1,IF($J158=6,-$E158*$I158/12*2,IF($J158&gt;=7,-$E158*$I158/12*3,0))))))</f>
        <v>0</v>
      </c>
      <c r="DH158" s="416">
        <f>IF($H158&lt;&gt;DJ$5,0,IF(DJ158&lt;0,IF(OR($J158=1,$J158=2,$J158=3,$J158=4,$J158=5,$J158=6,$J158=7),-$E158*$I158/12*3,IF($J158=8,-$E158*$I158/12*2,IF($J158=9,-$E158*$I158/12*1,0)))))+IF(DE$5&lt;&gt;$H158,0,IF(DE158&lt;0,IF($J158=7,-$E158*$I158/12*0,IF($J158=8,-$E158*$I158/12*1,IF($J158=9,-$E158*$I158/12*2,IF($J158&gt;=10,-$E158*$I158/12*3,0))))))</f>
        <v>0</v>
      </c>
      <c r="DI158" s="412">
        <f>IF($H158&lt;&gt;DJ$5,0,IF(DJ158&lt;0,IF(OR($J158=1,$J158=2,$J158=3,$J158=4,$J158=5,$J158=6,$J158=7,$J158=8,$J158=9,$J158=10),-$E158*$I158/12*3,IF($J158=11,-$E158*$I158/12*2,IF($J158=12,-$E158*$I158/12*1,0)))))+IF(DE$5&lt;&gt;$H158,0,IF(DE158&lt;0,IF($J158=10,-$E158*$I158/12*0,IF($J158=11,-$E158*$I158/12*1,IF($J158=12,-$E158*$I158/12*2,0)))))</f>
        <v>0</v>
      </c>
      <c r="DJ158" s="413">
        <f>IF(AND(DE158&lt;&gt;0,DE$5=$H158),-$I158*$E158-DE158,IF(DJ$5=$H158,-$I158*$E158*(12-$J158+1)/12,0))</f>
        <v>0</v>
      </c>
      <c r="DK158" s="410">
        <f>IF($H158&lt;&gt;DO$5,0,IF(DO158&lt;0,IF($J158=1,-$E158*$I158/12*3,IF($J158=2,-$E158*$I158/12*2,IF($J158=3,-$E158*$I158/12*1,0)))))+IF(DJ$5&lt;&gt;$H158,0,IF(DJ158&lt;0,IF($J158=1,-$E158*$I158/12*0,IF($J158=2,-$E158*$I158/12*1,IF($J158=3,-$E158*$I158/12*2,IF($J158&gt;=4,-$E158*$I158/12*3,0))))))</f>
        <v>0</v>
      </c>
      <c r="DL158" s="416">
        <f>IF($H158&lt;&gt;DO$5,0,IF(DO158&lt;0,IF(OR($J158=1,$J158=2,$J158=3,$J158=4),-$E158*$I158/12*3,IF($J158=5,-$E158*$I158/12*2,IF($J158=6,-$E158*$I158/12*1,0)))))+IF(DJ$5&lt;&gt;$H158,0,IF(DJ158&lt;0,IF($J158=4,-$E158*$I158/12*0,IF($J158=5,-$E158*$I158/12*1,IF($J158=6,-$E158*$I158/12*2,IF($J158&gt;=7,-$E158*$I158/12*3,0))))))</f>
        <v>0</v>
      </c>
      <c r="DM158" s="416">
        <f>IF($H158&lt;&gt;DO$5,0,IF(DO158&lt;0,IF(OR($J158=1,$J158=2,$J158=3,$J158=4,$J158=5,$J158=6,$J158=7),-$E158*$I158/12*3,IF($J158=8,-$E158*$I158/12*2,IF($J158=9,-$E158*$I158/12*1,0)))))+IF(DJ$5&lt;&gt;$H158,0,IF(DJ158&lt;0,IF($J158=7,-$E158*$I158/12*0,IF($J158=8,-$E158*$I158/12*1,IF($J158=9,-$E158*$I158/12*2,IF($J158&gt;=10,-$E158*$I158/12*3,0))))))</f>
        <v>0</v>
      </c>
      <c r="DN158" s="412">
        <f>IF($H158&lt;&gt;DO$5,0,IF(DO158&lt;0,IF(OR($J158=1,$J158=2,$J158=3,$J158=4,$J158=5,$J158=6,$J158=7,$J158=8,$J158=9,$J158=10),-$E158*$I158/12*3,IF($J158=11,-$E158*$I158/12*2,IF($J158=12,-$E158*$I158/12*1,0)))))+IF(DJ$5&lt;&gt;$H158,0,IF(DJ158&lt;0,IF($J158=10,-$E158*$I158/12*0,IF($J158=11,-$E158*$I158/12*1,IF($J158=12,-$E158*$I158/12*2,0)))))</f>
        <v>0</v>
      </c>
      <c r="DO158" s="413">
        <f>IF(AND(DJ158&lt;&gt;0,DJ$5=$H158),-$I158*$E158-DJ158,IF(DO$5=$H158,-$I158*$E158*(12-$J158+1)/12,0))</f>
        <v>0</v>
      </c>
      <c r="DP158" s="410">
        <f>IF($H158&lt;&gt;DT$5,0,IF(DT158&lt;0,IF($J158=1,-$E158*$I158/12*3,IF($J158=2,-$E158*$I158/12*2,IF($J158=3,-$E158*$I158/12*1,0)))))+IF(DO$5&lt;&gt;$H158,0,IF(DO158&lt;0,IF($J158=1,-$E158*$I158/12*0,IF($J158=2,-$E158*$I158/12*1,IF($J158=3,-$E158*$I158/12*2,IF($J158&gt;=4,-$E158*$I158/12*3,0))))))</f>
        <v>0</v>
      </c>
      <c r="DQ158" s="416">
        <f>IF($H158&lt;&gt;DT$5,0,IF(DT158&lt;0,IF(OR($J158=1,$J158=2,$J158=3,$J158=4),-$E158*$I158/12*3,IF($J158=5,-$E158*$I158/12*2,IF($J158=6,-$E158*$I158/12*1,0)))))+IF(DO$5&lt;&gt;$H158,0,IF(DO158&lt;0,IF($J158=4,-$E158*$I158/12*0,IF($J158=5,-$E158*$I158/12*1,IF($J158=6,-$E158*$I158/12*2,IF($J158&gt;=7,-$E158*$I158/12*3,0))))))</f>
        <v>0</v>
      </c>
      <c r="DR158" s="416">
        <f>IF($H158&lt;&gt;DT$5,0,IF(DT158&lt;0,IF(OR($J158=1,$J158=2,$J158=3,$J158=4,$J158=5,$J158=6,$J158=7),-$E158*$I158/12*3,IF($J158=8,-$E158*$I158/12*2,IF($J158=9,-$E158*$I158/12*1,0)))))+IF(DO$5&lt;&gt;$H158,0,IF(DO158&lt;0,IF($J158=7,-$E158*$I158/12*0,IF($J158=8,-$E158*$I158/12*1,IF($J158=9,-$E158*$I158/12*2,IF($J158&gt;=10,-$E158*$I158/12*3,0))))))</f>
        <v>0</v>
      </c>
      <c r="DS158" s="412">
        <f>IF($H158&lt;&gt;DT$5,0,IF(DT158&lt;0,IF(OR($J158=1,$J158=2,$J158=3,$J158=4,$J158=5,$J158=6,$J158=7,$J158=8,$J158=9,$J158=10),-$E158*$I158/12*3,IF($J158=11,-$E158*$I158/12*2,IF($J158=12,-$E158*$I158/12*1,0)))))+IF(DO$5&lt;&gt;$H158,0,IF(DO158&lt;0,IF($J158=10,-$E158*$I158/12*0,IF($J158=11,-$E158*$I158/12*1,IF($J158=12,-$E158*$I158/12*2,0)))))</f>
        <v>0</v>
      </c>
      <c r="DT158" s="413">
        <f>IF(AND(DO158&lt;&gt;0,DO$5=$H158),-$I158*$E158-DO158,IF(DT$5=$H158,-$I158*$E158*(12-$J158+1)/12,0))</f>
        <v>0</v>
      </c>
    </row>
    <row r="159" spans="1:124" ht="12.75" customHeight="1">
      <c r="C159" s="601"/>
      <c r="D159" s="601"/>
      <c r="E159" s="1531"/>
      <c r="F159" s="1532"/>
      <c r="G159" s="1532"/>
      <c r="H159" s="610"/>
      <c r="I159" s="1533"/>
      <c r="J159" s="615"/>
      <c r="K159" s="402"/>
      <c r="L159" s="407"/>
      <c r="M159" s="404"/>
      <c r="N159" s="414"/>
      <c r="O159" s="414"/>
      <c r="P159" s="406"/>
      <c r="Q159" s="407"/>
      <c r="R159" s="404"/>
      <c r="S159" s="414"/>
      <c r="T159" s="414"/>
      <c r="U159" s="406"/>
      <c r="V159" s="407"/>
      <c r="W159" s="404"/>
      <c r="X159" s="414"/>
      <c r="Y159" s="414"/>
      <c r="Z159" s="406"/>
      <c r="AA159" s="407"/>
      <c r="AB159" s="404"/>
      <c r="AC159" s="414"/>
      <c r="AD159" s="414"/>
      <c r="AE159" s="406"/>
      <c r="AF159" s="407"/>
      <c r="AG159" s="404"/>
      <c r="AH159" s="414"/>
      <c r="AI159" s="414"/>
      <c r="AJ159" s="406"/>
      <c r="AK159" s="407"/>
      <c r="AL159" s="404"/>
      <c r="AM159" s="414"/>
      <c r="AN159" s="414"/>
      <c r="AO159" s="406"/>
      <c r="AP159" s="407"/>
      <c r="AQ159" s="404"/>
      <c r="AR159" s="414"/>
      <c r="AS159" s="414"/>
      <c r="AT159" s="406"/>
      <c r="AU159" s="407"/>
      <c r="AV159" s="404"/>
      <c r="AW159" s="414"/>
      <c r="AX159" s="414"/>
      <c r="AY159" s="406"/>
      <c r="AZ159" s="407"/>
      <c r="BA159" s="404"/>
      <c r="BB159" s="414"/>
      <c r="BC159" s="414"/>
      <c r="BD159" s="406"/>
      <c r="BE159" s="407"/>
      <c r="BF159" s="404"/>
      <c r="BG159" s="414"/>
      <c r="BH159" s="414"/>
      <c r="BI159" s="406"/>
      <c r="BJ159" s="407"/>
      <c r="BK159" s="404"/>
      <c r="BL159" s="414"/>
      <c r="BM159" s="414"/>
      <c r="BN159" s="406"/>
      <c r="BO159" s="407"/>
      <c r="BP159" s="449"/>
      <c r="BQ159" s="413"/>
      <c r="BR159" s="410"/>
      <c r="BS159" s="416"/>
      <c r="BT159" s="416"/>
      <c r="BU159" s="412"/>
      <c r="BV159" s="413"/>
      <c r="BW159" s="410"/>
      <c r="BX159" s="416"/>
      <c r="BY159" s="416"/>
      <c r="BZ159" s="412"/>
      <c r="CA159" s="413"/>
      <c r="CB159" s="410"/>
      <c r="CC159" s="416"/>
      <c r="CD159" s="416"/>
      <c r="CE159" s="412"/>
      <c r="CF159" s="413"/>
      <c r="CG159" s="410"/>
      <c r="CH159" s="416"/>
      <c r="CI159" s="416"/>
      <c r="CJ159" s="412"/>
      <c r="CK159" s="413"/>
      <c r="CL159" s="410"/>
      <c r="CM159" s="416"/>
      <c r="CN159" s="416"/>
      <c r="CO159" s="412"/>
      <c r="CP159" s="413"/>
      <c r="CQ159" s="410"/>
      <c r="CR159" s="416"/>
      <c r="CS159" s="416"/>
      <c r="CT159" s="412"/>
      <c r="CU159" s="413"/>
      <c r="CV159" s="410"/>
      <c r="CW159" s="416"/>
      <c r="CX159" s="416"/>
      <c r="CY159" s="412"/>
      <c r="CZ159" s="413"/>
      <c r="DA159" s="410"/>
      <c r="DB159" s="416"/>
      <c r="DC159" s="416"/>
      <c r="DD159" s="412"/>
      <c r="DE159" s="413"/>
      <c r="DF159" s="410"/>
      <c r="DG159" s="416"/>
      <c r="DH159" s="416"/>
      <c r="DI159" s="412"/>
      <c r="DJ159" s="413"/>
      <c r="DK159" s="410"/>
      <c r="DL159" s="416"/>
      <c r="DM159" s="416"/>
      <c r="DN159" s="412"/>
      <c r="DO159" s="413"/>
      <c r="DP159" s="410"/>
      <c r="DQ159" s="416"/>
      <c r="DR159" s="416"/>
      <c r="DS159" s="412"/>
      <c r="DT159" s="413"/>
    </row>
    <row r="160" spans="1:124" ht="12.75" customHeight="1">
      <c r="C160" s="24" t="s">
        <v>637</v>
      </c>
      <c r="D160" s="24"/>
      <c r="E160" s="1531"/>
      <c r="F160" s="1532"/>
      <c r="G160" s="1532"/>
      <c r="H160" s="610"/>
      <c r="I160" s="1533"/>
      <c r="J160" s="615"/>
      <c r="K160" s="402"/>
      <c r="L160" s="407"/>
      <c r="M160" s="404"/>
      <c r="N160" s="414"/>
      <c r="O160" s="414"/>
      <c r="P160" s="406"/>
      <c r="Q160" s="407"/>
      <c r="R160" s="404"/>
      <c r="S160" s="414"/>
      <c r="T160" s="414"/>
      <c r="U160" s="406"/>
      <c r="V160" s="407"/>
      <c r="W160" s="404"/>
      <c r="X160" s="414"/>
      <c r="Y160" s="414"/>
      <c r="Z160" s="406"/>
      <c r="AA160" s="407"/>
      <c r="AB160" s="404"/>
      <c r="AC160" s="414"/>
      <c r="AD160" s="414"/>
      <c r="AE160" s="406"/>
      <c r="AF160" s="407"/>
      <c r="AG160" s="404"/>
      <c r="AH160" s="414"/>
      <c r="AI160" s="414"/>
      <c r="AJ160" s="406"/>
      <c r="AK160" s="407"/>
      <c r="AL160" s="404"/>
      <c r="AM160" s="414"/>
      <c r="AN160" s="414"/>
      <c r="AO160" s="406"/>
      <c r="AP160" s="407"/>
      <c r="AQ160" s="404"/>
      <c r="AR160" s="414"/>
      <c r="AS160" s="414"/>
      <c r="AT160" s="406"/>
      <c r="AU160" s="407"/>
      <c r="AV160" s="404"/>
      <c r="AW160" s="414"/>
      <c r="AX160" s="414"/>
      <c r="AY160" s="406"/>
      <c r="AZ160" s="407"/>
      <c r="BA160" s="404"/>
      <c r="BB160" s="414"/>
      <c r="BC160" s="414"/>
      <c r="BD160" s="406"/>
      <c r="BE160" s="407"/>
      <c r="BF160" s="404"/>
      <c r="BG160" s="414"/>
      <c r="BH160" s="414"/>
      <c r="BI160" s="406"/>
      <c r="BJ160" s="407"/>
      <c r="BK160" s="404"/>
      <c r="BL160" s="414"/>
      <c r="BM160" s="414"/>
      <c r="BN160" s="406"/>
      <c r="BO160" s="407"/>
      <c r="BP160" s="449"/>
      <c r="BQ160" s="413"/>
      <c r="BR160" s="410"/>
      <c r="BS160" s="416"/>
      <c r="BT160" s="416"/>
      <c r="BU160" s="412"/>
      <c r="BV160" s="413"/>
      <c r="BW160" s="410"/>
      <c r="BX160" s="416"/>
      <c r="BY160" s="416"/>
      <c r="BZ160" s="412"/>
      <c r="CA160" s="413"/>
      <c r="CB160" s="410"/>
      <c r="CC160" s="416"/>
      <c r="CD160" s="416"/>
      <c r="CE160" s="412"/>
      <c r="CF160" s="413"/>
      <c r="CG160" s="410"/>
      <c r="CH160" s="416"/>
      <c r="CI160" s="416"/>
      <c r="CJ160" s="412"/>
      <c r="CK160" s="413"/>
      <c r="CL160" s="410"/>
      <c r="CM160" s="416"/>
      <c r="CN160" s="416"/>
      <c r="CO160" s="412"/>
      <c r="CP160" s="413"/>
      <c r="CQ160" s="410"/>
      <c r="CR160" s="416"/>
      <c r="CS160" s="416"/>
      <c r="CT160" s="412"/>
      <c r="CU160" s="413"/>
      <c r="CV160" s="410"/>
      <c r="CW160" s="416"/>
      <c r="CX160" s="416"/>
      <c r="CY160" s="412"/>
      <c r="CZ160" s="413"/>
      <c r="DA160" s="410"/>
      <c r="DB160" s="416"/>
      <c r="DC160" s="416"/>
      <c r="DD160" s="412"/>
      <c r="DE160" s="413"/>
      <c r="DF160" s="410"/>
      <c r="DG160" s="416"/>
      <c r="DH160" s="416"/>
      <c r="DI160" s="412"/>
      <c r="DJ160" s="413"/>
      <c r="DK160" s="410"/>
      <c r="DL160" s="416"/>
      <c r="DM160" s="416"/>
      <c r="DN160" s="412"/>
      <c r="DO160" s="413"/>
      <c r="DP160" s="410"/>
      <c r="DQ160" s="416"/>
      <c r="DR160" s="416"/>
      <c r="DS160" s="412"/>
      <c r="DT160" s="413"/>
    </row>
    <row r="161" spans="1:124" ht="12.75" customHeight="1">
      <c r="C161" s="601"/>
      <c r="D161" s="601"/>
      <c r="E161" s="1531"/>
      <c r="F161" s="1532"/>
      <c r="G161" s="1532"/>
      <c r="H161" s="610"/>
      <c r="I161" s="1533"/>
      <c r="J161" s="615"/>
      <c r="K161" s="402"/>
      <c r="L161" s="407"/>
      <c r="M161" s="404"/>
      <c r="N161" s="414"/>
      <c r="O161" s="414"/>
      <c r="P161" s="406"/>
      <c r="Q161" s="407"/>
      <c r="R161" s="404"/>
      <c r="S161" s="414"/>
      <c r="T161" s="414"/>
      <c r="U161" s="406"/>
      <c r="V161" s="407"/>
      <c r="W161" s="404"/>
      <c r="X161" s="414"/>
      <c r="Y161" s="414"/>
      <c r="Z161" s="406"/>
      <c r="AA161" s="407"/>
      <c r="AB161" s="404"/>
      <c r="AC161" s="414"/>
      <c r="AD161" s="414"/>
      <c r="AE161" s="406"/>
      <c r="AF161" s="407"/>
      <c r="AG161" s="404"/>
      <c r="AH161" s="414"/>
      <c r="AI161" s="414"/>
      <c r="AJ161" s="406"/>
      <c r="AK161" s="407"/>
      <c r="AL161" s="404"/>
      <c r="AM161" s="414"/>
      <c r="AN161" s="414"/>
      <c r="AO161" s="406"/>
      <c r="AP161" s="407"/>
      <c r="AQ161" s="404"/>
      <c r="AR161" s="414"/>
      <c r="AS161" s="414"/>
      <c r="AT161" s="406"/>
      <c r="AU161" s="407"/>
      <c r="AV161" s="404"/>
      <c r="AW161" s="414"/>
      <c r="AX161" s="414"/>
      <c r="AY161" s="406"/>
      <c r="AZ161" s="407"/>
      <c r="BA161" s="404"/>
      <c r="BB161" s="414"/>
      <c r="BC161" s="414"/>
      <c r="BD161" s="406"/>
      <c r="BE161" s="407"/>
      <c r="BF161" s="404"/>
      <c r="BG161" s="414"/>
      <c r="BH161" s="414"/>
      <c r="BI161" s="406"/>
      <c r="BJ161" s="407"/>
      <c r="BK161" s="404"/>
      <c r="BL161" s="414"/>
      <c r="BM161" s="414"/>
      <c r="BN161" s="406"/>
      <c r="BO161" s="407"/>
      <c r="BP161" s="449"/>
      <c r="BQ161" s="413"/>
      <c r="BR161" s="410"/>
      <c r="BS161" s="416"/>
      <c r="BT161" s="416"/>
      <c r="BU161" s="412"/>
      <c r="BV161" s="413"/>
      <c r="BW161" s="410"/>
      <c r="BX161" s="416"/>
      <c r="BY161" s="416"/>
      <c r="BZ161" s="412"/>
      <c r="CA161" s="413"/>
      <c r="CB161" s="410"/>
      <c r="CC161" s="416"/>
      <c r="CD161" s="416"/>
      <c r="CE161" s="412"/>
      <c r="CF161" s="413"/>
      <c r="CG161" s="410"/>
      <c r="CH161" s="416"/>
      <c r="CI161" s="416"/>
      <c r="CJ161" s="412"/>
      <c r="CK161" s="413"/>
      <c r="CL161" s="410"/>
      <c r="CM161" s="416"/>
      <c r="CN161" s="416"/>
      <c r="CO161" s="412"/>
      <c r="CP161" s="413"/>
      <c r="CQ161" s="410"/>
      <c r="CR161" s="416"/>
      <c r="CS161" s="416"/>
      <c r="CT161" s="412"/>
      <c r="CU161" s="413"/>
      <c r="CV161" s="410"/>
      <c r="CW161" s="416"/>
      <c r="CX161" s="416"/>
      <c r="CY161" s="412"/>
      <c r="CZ161" s="413"/>
      <c r="DA161" s="410"/>
      <c r="DB161" s="416"/>
      <c r="DC161" s="416"/>
      <c r="DD161" s="412"/>
      <c r="DE161" s="413"/>
      <c r="DF161" s="410"/>
      <c r="DG161" s="416"/>
      <c r="DH161" s="416"/>
      <c r="DI161" s="412"/>
      <c r="DJ161" s="413"/>
      <c r="DK161" s="410"/>
      <c r="DL161" s="416"/>
      <c r="DM161" s="416"/>
      <c r="DN161" s="412"/>
      <c r="DO161" s="413"/>
      <c r="DP161" s="410"/>
      <c r="DQ161" s="416"/>
      <c r="DR161" s="416"/>
      <c r="DS161" s="412"/>
      <c r="DT161" s="413"/>
    </row>
    <row r="162" spans="1:124" ht="12.75" customHeight="1">
      <c r="A162" s="491"/>
      <c r="C162" s="1885" t="s">
        <v>366</v>
      </c>
      <c r="D162" s="1885"/>
      <c r="E162" s="1886">
        <f t="shared" ref="E162" si="1231">IF(F162=0,G162,F162)</f>
        <v>12.66</v>
      </c>
      <c r="F162" s="1532">
        <v>12.66</v>
      </c>
      <c r="G162" s="1532">
        <v>12.66</v>
      </c>
      <c r="H162" s="610">
        <v>2020</v>
      </c>
      <c r="I162" s="1533">
        <v>4.4499999999999998E-2</v>
      </c>
      <c r="J162" s="615">
        <v>6</v>
      </c>
      <c r="K162" s="402"/>
      <c r="L162" s="407">
        <f t="shared" ref="L162:L170" si="1232">IF(L$5=$H162,-$E162,0)</f>
        <v>0</v>
      </c>
      <c r="M162" s="404">
        <f t="shared" ref="M162:M169" si="1233">IF(Q162=0,0,IF(Q162&lt;0,IF($J162=3,Q162,IF($J162=2,Q162,IF($J162=1,Q162,0)))))</f>
        <v>0</v>
      </c>
      <c r="N162" s="414">
        <f t="shared" ref="N162:N169" si="1234">IF(Q162=0,0,IF(Q162&lt;0,IF($J162=6,Q162,IF($J162=5,Q162,IF($J162=4,Q162,0)))))</f>
        <v>0</v>
      </c>
      <c r="O162" s="414">
        <f t="shared" ref="O162:O169" si="1235">IF(Q162=0,0,IF(Q162&lt;0,IF($J162=9,Q162,IF($J162=8,Q162,IF($J162=7,Q162,0)))))</f>
        <v>0</v>
      </c>
      <c r="P162" s="406">
        <f t="shared" ref="P162:P169" si="1236">IF(Q162=0,0,IF(Q162&lt;0,IF($J162=12,Q162,IF($J162=11,Q162,IF($J162=10,Q162,0)))))</f>
        <v>0</v>
      </c>
      <c r="Q162" s="407">
        <f t="shared" ref="Q162:Q170" si="1237">IF(Q$5=$H162,-$E162,0)</f>
        <v>0</v>
      </c>
      <c r="R162" s="404">
        <f t="shared" ref="R162:R169" si="1238">IF(V162=0,0,IF(V162&lt;0,IF($J162=3,V162,IF($J162=2,V162,IF($J162=1,V162,0)))))</f>
        <v>0</v>
      </c>
      <c r="S162" s="414">
        <f t="shared" ref="S162:S169" si="1239">IF(V162=0,0,IF(V162&lt;0,IF($J162=6,V162,IF($J162=5,V162,IF($J162=4,V162,0)))))</f>
        <v>0</v>
      </c>
      <c r="T162" s="414">
        <f t="shared" ref="T162:T169" si="1240">IF(V162=0,0,IF(V162&lt;0,IF($J162=9,V162,IF($J162=8,V162,IF($J162=7,V162,0)))))</f>
        <v>0</v>
      </c>
      <c r="U162" s="406">
        <f t="shared" ref="U162:U169" si="1241">IF(V162=0,0,IF(V162&lt;0,IF($J162=12,V162,IF($J162=11,V162,IF($J162=10,V162,0)))))</f>
        <v>0</v>
      </c>
      <c r="V162" s="407">
        <f t="shared" ref="V162:V170" si="1242">IF(V$5=$H162,-$E162,0)</f>
        <v>0</v>
      </c>
      <c r="W162" s="404">
        <f t="shared" ref="W162:W169" si="1243">IF(AA162=0,0,IF(AA162&lt;0,IF($J162=3,AA162,IF($J162=2,AA162,IF($J162=1,AA162,0)))))</f>
        <v>0</v>
      </c>
      <c r="X162" s="414">
        <f t="shared" ref="X162:X169" si="1244">IF(AA162=0,0,IF(AA162&lt;0,IF($J162=6,AA162,IF($J162=5,AA162,IF($J162=4,AA162,0)))))</f>
        <v>0</v>
      </c>
      <c r="Y162" s="414">
        <f t="shared" ref="Y162:Y169" si="1245">IF(AA162=0,0,IF(AA162&lt;0,IF($J162=9,AA162,IF($J162=8,AA162,IF($J162=7,AA162,0)))))</f>
        <v>0</v>
      </c>
      <c r="Z162" s="406">
        <f t="shared" ref="Z162:Z169" si="1246">IF(AA162=0,0,IF(AA162&lt;0,IF($J162=12,AA162,IF($J162=11,AA162,IF($J162=10,AA162,0)))))</f>
        <v>0</v>
      </c>
      <c r="AA162" s="407">
        <f t="shared" ref="AA162:AA170" si="1247">IF(AA$5=$H162,-$E162,0)</f>
        <v>0</v>
      </c>
      <c r="AB162" s="404">
        <f t="shared" ref="AB162:AB169" si="1248">IF(AF162=0,0,IF(AF162&lt;0,IF($J162=3,AF162,IF($J162=2,AF162,IF($J162=1,AF162,0)))))</f>
        <v>0</v>
      </c>
      <c r="AC162" s="414">
        <f t="shared" ref="AC162:AC169" si="1249">IF(AF162=0,0,IF(AF162&lt;0,IF($J162=6,AF162,IF($J162=5,AF162,IF($J162=4,AF162,0)))))</f>
        <v>0</v>
      </c>
      <c r="AD162" s="414">
        <f t="shared" ref="AD162:AD169" si="1250">IF(AF162=0,0,IF(AF162&lt;0,IF($J162=9,AF162,IF($J162=8,AF162,IF($J162=7,AF162,0)))))</f>
        <v>0</v>
      </c>
      <c r="AE162" s="406">
        <f t="shared" ref="AE162:AE169" si="1251">IF(AF162=0,0,IF(AF162&lt;0,IF($J162=12,AF162,IF($J162=11,AF162,IF($J162=10,AF162,0)))))</f>
        <v>0</v>
      </c>
      <c r="AF162" s="407">
        <f t="shared" ref="AF162:AF170" si="1252">IF(AF$5=$H162,-$E162,0)</f>
        <v>0</v>
      </c>
      <c r="AG162" s="404">
        <f t="shared" ref="AG162:AG169" si="1253">IF(AK162=0,0,IF(AK162&lt;0,IF($J162=3,AK162,IF($J162=2,AK162,IF($J162=1,AK162,0)))))</f>
        <v>0</v>
      </c>
      <c r="AH162" s="414">
        <f t="shared" ref="AH162:AH169" si="1254">IF(AK162=0,0,IF(AK162&lt;0,IF($J162=6,AK162,IF($J162=5,AK162,IF($J162=4,AK162,0)))))</f>
        <v>0</v>
      </c>
      <c r="AI162" s="414">
        <f t="shared" ref="AI162:AI169" si="1255">IF(AK162=0,0,IF(AK162&lt;0,IF($J162=9,AK162,IF($J162=8,AK162,IF($J162=7,AK162,0)))))</f>
        <v>0</v>
      </c>
      <c r="AJ162" s="406">
        <f t="shared" ref="AJ162:AJ169" si="1256">IF(AK162=0,0,IF(AK162&lt;0,IF($J162=12,AK162,IF($J162=11,AK162,IF($J162=10,AK162,0)))))</f>
        <v>0</v>
      </c>
      <c r="AK162" s="407">
        <f t="shared" ref="AK162:AK170" si="1257">IF(AK$5=$H162,-$E162,0)</f>
        <v>0</v>
      </c>
      <c r="AL162" s="404">
        <f t="shared" ref="AL162:AL169" si="1258">IF(AP162=0,0,IF(AP162&lt;0,IF($J162=3,AP162,IF($J162=2,AP162,IF($J162=1,AP162,0)))))</f>
        <v>0</v>
      </c>
      <c r="AM162" s="414">
        <f t="shared" ref="AM162:AM169" si="1259">IF(AP162=0,0,IF(AP162&lt;0,IF($J162=6,AP162,IF($J162=5,AP162,IF($J162=4,AP162,0)))))</f>
        <v>0</v>
      </c>
      <c r="AN162" s="414">
        <f t="shared" ref="AN162:AN169" si="1260">IF(AP162=0,0,IF(AP162&lt;0,IF($J162=9,AP162,IF($J162=8,AP162,IF($J162=7,AP162,0)))))</f>
        <v>0</v>
      </c>
      <c r="AO162" s="406">
        <f t="shared" ref="AO162:AO169" si="1261">IF(AP162=0,0,IF(AP162&lt;0,IF($J162=12,AP162,IF($J162=11,AP162,IF($J162=10,AP162,0)))))</f>
        <v>0</v>
      </c>
      <c r="AP162" s="407">
        <f t="shared" ref="AP162:AP170" si="1262">IF(AP$5=$H162,-$E162,0)</f>
        <v>0</v>
      </c>
      <c r="AQ162" s="404">
        <f t="shared" ref="AQ162:AQ169" si="1263">IF(AU162=0,0,IF(AU162&lt;0,IF($J162=3,AU162,IF($J162=2,AU162,IF($J162=1,AU162,0)))))</f>
        <v>0</v>
      </c>
      <c r="AR162" s="414">
        <f>IF(AU162=0,0,IF(AU162&lt;0,IF($J162=6,AU162,IF($J162=5,AU162,IF($J162=4,AU162,0)))))</f>
        <v>0</v>
      </c>
      <c r="AS162" s="414">
        <f t="shared" ref="AS162:AS169" si="1264">IF(AU162=0,0,IF(AU162&lt;0,IF($J162=9,AU162,IF($J162=8,AU162,IF($J162=7,AU162,0)))))</f>
        <v>0</v>
      </c>
      <c r="AT162" s="406">
        <f t="shared" ref="AT162:AT169" si="1265">IF(AU162=0,0,IF(AU162&lt;0,IF($J162=12,AU162,IF($J162=11,AU162,IF($J162=10,AU162,0)))))</f>
        <v>0</v>
      </c>
      <c r="AU162" s="407">
        <f t="shared" ref="AU162:AU170" si="1266">IF(AU$5=$H162,-$E162,0)</f>
        <v>0</v>
      </c>
      <c r="AV162" s="404">
        <f t="shared" ref="AV162:AV169" si="1267">IF(AZ162=0,0,IF(AZ162&lt;0,IF($J162=3,AZ162,IF($J162=2,AZ162,IF($J162=1,AZ162,0)))))</f>
        <v>0</v>
      </c>
      <c r="AW162" s="414">
        <f t="shared" ref="AW162:AW169" si="1268">IF(AZ162=0,0,IF(AZ162&lt;0,IF($J162=6,AZ162,IF($J162=5,AZ162,IF($J162=4,AZ162,0)))))</f>
        <v>0</v>
      </c>
      <c r="AX162" s="414">
        <f t="shared" ref="AX162:AX169" si="1269">IF(AZ162=0,0,IF(AZ162&lt;0,IF($J162=9,AZ162,IF($J162=8,AZ162,IF($J162=7,AZ162,0)))))</f>
        <v>0</v>
      </c>
      <c r="AY162" s="406">
        <f t="shared" ref="AY162:AY169" si="1270">IF(AZ162=0,0,IF(AZ162&lt;0,IF($J162=12,AZ162,IF($J162=11,AZ162,IF($J162=10,AZ162,0)))))</f>
        <v>0</v>
      </c>
      <c r="AZ162" s="407">
        <f t="shared" ref="AZ162:AZ170" si="1271">IF(AZ$5=$H162,-$E162,0)</f>
        <v>0</v>
      </c>
      <c r="BA162" s="404">
        <f t="shared" ref="BA162:BA169" si="1272">IF(BE162=0,0,IF(BE162&lt;0,IF($J162=3,BE162,IF($J162=2,BE162,IF($J162=1,BE162,0)))))</f>
        <v>0</v>
      </c>
      <c r="BB162" s="414">
        <f t="shared" ref="BB162:BB169" si="1273">IF(BE162=0,0,IF(BE162&lt;0,IF($J162=6,BE162,IF($J162=5,BE162,IF($J162=4,BE162,0)))))</f>
        <v>0</v>
      </c>
      <c r="BC162" s="414">
        <f t="shared" ref="BC162:BC169" si="1274">IF(BE162=0,0,IF(BE162&lt;0,IF($J162=9,BE162,IF($J162=8,BE162,IF($J162=7,BE162,0)))))</f>
        <v>0</v>
      </c>
      <c r="BD162" s="406">
        <f t="shared" ref="BD162:BD169" si="1275">IF(BE162=0,0,IF(BE162&lt;0,IF($J162=12,BE162,IF($J162=11,BE162,IF($J162=10,BE162,0)))))</f>
        <v>0</v>
      </c>
      <c r="BE162" s="407">
        <f t="shared" ref="BE162:BE170" si="1276">IF(BE$5=$H162,-$E162,0)</f>
        <v>0</v>
      </c>
      <c r="BF162" s="404">
        <f t="shared" ref="BF162:BF169" si="1277">IF(BJ162=0,0,IF(BJ162&lt;0,IF($J162=3,BJ162,IF($J162=2,BJ162,IF($J162=1,BJ162,0)))))</f>
        <v>0</v>
      </c>
      <c r="BG162" s="414">
        <f t="shared" ref="BG162:BG169" si="1278">IF(BJ162=0,0,IF(BJ162&lt;0,IF($J162=6,BJ162,IF($J162=5,BJ162,IF($J162=4,BJ162,0)))))</f>
        <v>-12.66</v>
      </c>
      <c r="BH162" s="414">
        <f t="shared" ref="BH162:BH169" si="1279">IF(BJ162=0,0,IF(BJ162&lt;0,IF($J162=9,BJ162,IF($J162=8,BJ162,IF($J162=7,BJ162,0)))))</f>
        <v>0</v>
      </c>
      <c r="BI162" s="406">
        <f t="shared" ref="BI162:BI169" si="1280">IF(BJ162=0,0,IF(BJ162&lt;0,IF($J162=12,BJ162,IF($J162=11,BJ162,IF($J162=10,BJ162,0)))))</f>
        <v>0</v>
      </c>
      <c r="BJ162" s="407">
        <f t="shared" ref="BJ162:BJ170" si="1281">IF(BJ$5=$H162,-$E162,0)</f>
        <v>-12.66</v>
      </c>
      <c r="BK162" s="404">
        <f t="shared" ref="BK162:BK170" si="1282">IF(BO162=0,0,IF(BO162&lt;0,IF($J162=3,BO162,IF($J162=2,BO162,IF($J162=1,BO162,0)))))</f>
        <v>0</v>
      </c>
      <c r="BL162" s="414">
        <f t="shared" ref="BL162:BL170" si="1283">IF(BO162=0,0,IF(BO162&lt;0,IF($J162=6,BO162,IF($J162=5,BO162,IF($J162=4,BO162,0)))))</f>
        <v>0</v>
      </c>
      <c r="BM162" s="414">
        <f t="shared" ref="BM162:BM170" si="1284">IF(BO162=0,0,IF(BO162&lt;0,IF($J162=9,BO162,IF($J162=8,BO162,IF($J162=7,BO162,0)))))</f>
        <v>0</v>
      </c>
      <c r="BN162" s="406">
        <f t="shared" ref="BN162:BN170" si="1285">IF(BO162=0,0,IF(BO162&lt;0,IF($J162=12,BO162,IF($J162=11,BO162,IF($J162=10,BO162,0)))))</f>
        <v>0</v>
      </c>
      <c r="BO162" s="407">
        <f t="shared" ref="BO162:BO170" si="1286">IF(BO$5=$H162,-$E162,0)</f>
        <v>0</v>
      </c>
      <c r="BP162" s="449"/>
      <c r="BQ162" s="413">
        <f t="shared" ref="BQ162:BQ169" si="1287">IF(AND(AH162&lt;&gt;0,AH$5=$H162),-$I162*$E162-AH162,IF(BQ$5=$H162,-$I162*$E162*(12-$J162+1)/12,0))</f>
        <v>0</v>
      </c>
      <c r="BR162" s="410">
        <f t="shared" ref="BR162:BR169" si="1288">IF($H162&lt;&gt;BV$5,0,IF(BV162&lt;0,IF($J162=1,-$E162*$I162/12*3,IF($J162=2,-$E162*$I162/12*2,IF($J162=3,-$E162*$I162/12*1,0)))))+IF(BQ$5&lt;&gt;$H162,0,IF(BQ162&lt;0,IF($J162=1,-$E162*$I162/12*0,IF($J162=2,-$E162*$I162/12*1,IF($J162=3,-$E162*$I162/12*2,IF($J162&gt;=4,-$E162*$I162/12*3,0))))))</f>
        <v>0</v>
      </c>
      <c r="BS162" s="416">
        <f t="shared" ref="BS162:BS169" si="1289">IF($H162&lt;&gt;BV$5,0,IF(BV162&lt;0,IF(OR($J162=1,$J162=2,$J162=3,$J162=4),-$E162*$I162/12*3,IF($J162=5,-$E162*$I162/12*2,IF($J162=6,-$E162*$I162/12*1,0)))))+IF(BQ$5&lt;&gt;$H162,0,IF(BQ162&lt;0,IF($J162=4,-$E162*$I162/12*0,IF($J162=5,-$E162*$I162/12*1,IF($J162=6,-$E162*$I162/12*2,IF($J162&gt;=7,-$E162*$I162/12*3,0))))))</f>
        <v>0</v>
      </c>
      <c r="BT162" s="416">
        <f t="shared" ref="BT162:BT169" si="1290">IF($H162&lt;&gt;BV$5,0,IF(BV162&lt;0,IF(OR($J162=1,$J162=2,$J162=3,$J162=4,$J162=5,$J162=6,$J162=7),-$E162*$I162/12*3,IF($J162=8,-$E162*$I162/12*2,IF($J162=9,-$E162*$I162/12*1,0)))))+IF(BQ$5&lt;&gt;$H162,0,IF(BQ162&lt;0,IF($J162=7,-$E162*$I162/12*0,IF($J162=8,-$E162*$I162/12*1,IF($J162=9,-$E162*$I162/12*2,IF($J162&gt;=10,-$E162*$I162/12*3,0))))))</f>
        <v>0</v>
      </c>
      <c r="BU162" s="412">
        <f t="shared" ref="BU162:BU169" si="1291">IF($H162&lt;&gt;BV$5,0,IF(BV162&lt;0,IF(OR($J162=1,$J162=2,$J162=3,$J162=4,$J162=5,$J162=6,$J162=7,$J162=8,$J162=9,$J162=10),-$E162*$I162/12*3,IF($J162=11,-$E162*$I162/12*2,IF($J162=12,-$E162*$I162/12*1,0)))))+IF(BQ$5&lt;&gt;$H162,0,IF(BQ162&lt;0,IF($J162=10,-$E162*$I162/12*0,IF($J162=11,-$E162*$I162/12*1,IF($J162=12,-$E162*$I162/12*2,0)))))</f>
        <v>0</v>
      </c>
      <c r="BV162" s="413">
        <f t="shared" ref="BV162:BV169" si="1292">IF(AND(BQ162&lt;&gt;0,BQ$5=$H162),-$I162*$E162-BQ162,IF(BV$5=$H162,-$I162*$E162*(12-$J162+1)/12,0))</f>
        <v>0</v>
      </c>
      <c r="BW162" s="410">
        <f t="shared" ref="BW162:BW169" si="1293">IF($H162&lt;&gt;CA$5,0,IF(CA162&lt;0,IF($J162=1,-$E162*$I162/12*3,IF($J162=2,-$E162*$I162/12*2,IF($J162=3,-$E162*$I162/12*1,0)))))+IF(BV$5&lt;&gt;$H162,0,IF(BV162&lt;0,IF($J162=1,-$E162*$I162/12*0,IF($J162=2,-$E162*$I162/12*1,IF($J162=3,-$E162*$I162/12*2,IF($J162&gt;=4,-$E162*$I162/12*3,0))))))</f>
        <v>0</v>
      </c>
      <c r="BX162" s="416">
        <f t="shared" ref="BX162:BX169" si="1294">IF($H162&lt;&gt;CA$5,0,IF(CA162&lt;0,IF(OR($J162=1,$J162=2,$J162=3,$J162=4),-$E162*$I162/12*3,IF($J162=5,-$E162*$I162/12*2,IF($J162=6,-$E162*$I162/12*1,0)))))+IF(BV$5&lt;&gt;$H162,0,IF(BV162&lt;0,IF($J162=4,-$E162*$I162/12*0,IF($J162=5,-$E162*$I162/12*1,IF($J162=6,-$E162*$I162/12*2,IF($J162&gt;=7,-$E162*$I162/12*3,0))))))</f>
        <v>0</v>
      </c>
      <c r="BY162" s="416">
        <f t="shared" ref="BY162:BY169" si="1295">IF($H162&lt;&gt;CA$5,0,IF(CA162&lt;0,IF(OR($J162=1,$J162=2,$J162=3,$J162=4,$J162=5,$J162=6,$J162=7),-$E162*$I162/12*3,IF($J162=8,-$E162*$I162/12*2,IF($J162=9,-$E162*$I162/12*1,0)))))+IF(BV$5&lt;&gt;$H162,0,IF(BV162&lt;0,IF($J162=7,-$E162*$I162/12*0,IF($J162=8,-$E162*$I162/12*1,IF($J162=9,-$E162*$I162/12*2,IF($J162&gt;=10,-$E162*$I162/12*3,0))))))</f>
        <v>0</v>
      </c>
      <c r="BZ162" s="412">
        <f t="shared" ref="BZ162:BZ169" si="1296">IF($H162&lt;&gt;CA$5,0,IF(CA162&lt;0,IF(OR($J162=1,$J162=2,$J162=3,$J162=4,$J162=5,$J162=6,$J162=7,$J162=8,$J162=9,$J162=10),-$E162*$I162/12*3,IF($J162=11,-$E162*$I162/12*2,IF($J162=12,-$E162*$I162/12*1,0)))))+IF(BV$5&lt;&gt;$H162,0,IF(BV162&lt;0,IF($J162=10,-$E162*$I162/12*0,IF($J162=11,-$E162*$I162/12*1,IF($J162=12,-$E162*$I162/12*2,0)))))</f>
        <v>0</v>
      </c>
      <c r="CA162" s="413">
        <f t="shared" ref="CA162:CA169" si="1297">IF(AND(BV162&lt;&gt;0,BV$5=$H162),-$I162*$E162-BV162,IF(CA$5=$H162,-$I162*$E162*(12-$J162+1)/12,0))</f>
        <v>0</v>
      </c>
      <c r="CB162" s="410">
        <f t="shared" ref="CB162:CB169" si="1298">IF($H162&lt;&gt;CF$5,0,IF(CF162&lt;0,IF($J162=1,-$E162*$I162/12*3,IF($J162=2,-$E162*$I162/12*2,IF($J162=3,-$E162*$I162/12*1,0)))))+IF(CA$5&lt;&gt;$H162,0,IF(CA162&lt;0,IF($J162=1,-$E162*$I162/12*0,IF($J162=2,-$E162*$I162/12*1,IF($J162=3,-$E162*$I162/12*2,IF($J162&gt;=4,-$E162*$I162/12*3,0))))))</f>
        <v>0</v>
      </c>
      <c r="CC162" s="416">
        <f t="shared" ref="CC162:CC169" si="1299">IF($H162&lt;&gt;CF$5,0,IF(CF162&lt;0,IF(OR($J162=1,$J162=2,$J162=3,$J162=4),-$E162*$I162/12*3,IF($J162=5,-$E162*$I162/12*2,IF($J162=6,-$E162*$I162/12*1,0)))))+IF(CA$5&lt;&gt;$H162,0,IF(CA162&lt;0,IF($J162=4,-$E162*$I162/12*0,IF($J162=5,-$E162*$I162/12*1,IF($J162=6,-$E162*$I162/12*2,IF($J162&gt;=7,-$E162*$I162/12*3,0))))))</f>
        <v>0</v>
      </c>
      <c r="CD162" s="416">
        <f t="shared" ref="CD162:CD169" si="1300">IF($H162&lt;&gt;CF$5,0,IF(CF162&lt;0,IF(OR($J162=1,$J162=2,$J162=3,$J162=4,$J162=5,$J162=6,$J162=7),-$E162*$I162/12*3,IF($J162=8,-$E162*$I162/12*2,IF($J162=9,-$E162*$I162/12*1,0)))))+IF(CA$5&lt;&gt;$H162,0,IF(CA162&lt;0,IF($J162=7,-$E162*$I162/12*0,IF($J162=8,-$E162*$I162/12*1,IF($J162=9,-$E162*$I162/12*2,IF($J162&gt;=10,-$E162*$I162/12*3,0))))))</f>
        <v>0</v>
      </c>
      <c r="CE162" s="412">
        <f t="shared" ref="CE162:CE169" si="1301">IF($H162&lt;&gt;CF$5,0,IF(CF162&lt;0,IF(OR($J162=1,$J162=2,$J162=3,$J162=4,$J162=5,$J162=6,$J162=7,$J162=8,$J162=9,$J162=10),-$E162*$I162/12*3,IF($J162=11,-$E162*$I162/12*2,IF($J162=12,-$E162*$I162/12*1,0)))))+IF(CA$5&lt;&gt;$H162,0,IF(CA162&lt;0,IF($J162=10,-$E162*$I162/12*0,IF($J162=11,-$E162*$I162/12*1,IF($J162=12,-$E162*$I162/12*2,0)))))</f>
        <v>0</v>
      </c>
      <c r="CF162" s="413">
        <f t="shared" ref="CF162:CF169" si="1302">IF(AND(CA162&lt;&gt;0,CA$5=$H162),-$I162*$E162-CA162,IF(CF$5=$H162,-$I162*$E162*(12-$J162+1)/12,0))</f>
        <v>0</v>
      </c>
      <c r="CG162" s="410">
        <f t="shared" ref="CG162:CG169" si="1303">IF($H162&lt;&gt;CK$5,0,IF(CK162&lt;0,IF($J162=1,-$E162*$I162/12*3,IF($J162=2,-$E162*$I162/12*2,IF($J162=3,-$E162*$I162/12*1,0)))))+IF(CF$5&lt;&gt;$H162,0,IF(CF162&lt;0,IF($J162=1,-$E162*$I162/12*0,IF($J162=2,-$E162*$I162/12*1,IF($J162=3,-$E162*$I162/12*2,IF($J162&gt;=4,-$E162*$I162/12*3,0))))))</f>
        <v>0</v>
      </c>
      <c r="CH162" s="416">
        <f t="shared" ref="CH162:CH169" si="1304">IF($H162&lt;&gt;CK$5,0,IF(CK162&lt;0,IF(OR($J162=1,$J162=2,$J162=3,$J162=4),-$E162*$I162/12*3,IF($J162=5,-$E162*$I162/12*2,IF($J162=6,-$E162*$I162/12*1,0)))))+IF(CF$5&lt;&gt;$H162,0,IF(CF162&lt;0,IF($J162=4,-$E162*$I162/12*0,IF($J162=5,-$E162*$I162/12*1,IF($J162=6,-$E162*$I162/12*2,IF($J162&gt;=7,-$E162*$I162/12*3,0))))))</f>
        <v>0</v>
      </c>
      <c r="CI162" s="416">
        <f t="shared" ref="CI162:CI169" si="1305">IF($H162&lt;&gt;CK$5,0,IF(CK162&lt;0,IF(OR($J162=1,$J162=2,$J162=3,$J162=4,$J162=5,$J162=6,$J162=7),-$E162*$I162/12*3,IF($J162=8,-$E162*$I162/12*2,IF($J162=9,-$E162*$I162/12*1,0)))))+IF(CF$5&lt;&gt;$H162,0,IF(CF162&lt;0,IF($J162=7,-$E162*$I162/12*0,IF($J162=8,-$E162*$I162/12*1,IF($J162=9,-$E162*$I162/12*2,IF($J162&gt;=10,-$E162*$I162/12*3,0))))))</f>
        <v>0</v>
      </c>
      <c r="CJ162" s="412">
        <f t="shared" ref="CJ162:CJ169" si="1306">IF($H162&lt;&gt;CK$5,0,IF(CK162&lt;0,IF(OR($J162=1,$J162=2,$J162=3,$J162=4,$J162=5,$J162=6,$J162=7,$J162=8,$J162=9,$J162=10),-$E162*$I162/12*3,IF($J162=11,-$E162*$I162/12*2,IF($J162=12,-$E162*$I162/12*1,0)))))+IF(CF$5&lt;&gt;$H162,0,IF(CF162&lt;0,IF($J162=10,-$E162*$I162/12*0,IF($J162=11,-$E162*$I162/12*1,IF($J162=12,-$E162*$I162/12*2,0)))))</f>
        <v>0</v>
      </c>
      <c r="CK162" s="413">
        <f t="shared" ref="CK162:CK169" si="1307">IF(AND(CF162&lt;&gt;0,CF$5=$H162),-$I162*$E162-CF162,IF(CK$5=$H162,-$I162*$E162*(12-$J162+1)/12,0))</f>
        <v>0</v>
      </c>
      <c r="CL162" s="410">
        <f t="shared" ref="CL162:CL169" si="1308">IF($H162&lt;&gt;CP$5,0,IF(CP162&lt;0,IF($J162=1,-$E162*$I162/12*3,IF($J162=2,-$E162*$I162/12*2,IF($J162=3,-$E162*$I162/12*1,0)))))+IF(CK$5&lt;&gt;$H162,0,IF(CK162&lt;0,IF($J162=1,-$E162*$I162/12*0,IF($J162=2,-$E162*$I162/12*1,IF($J162=3,-$E162*$I162/12*2,IF($J162&gt;=4,-$E162*$I162/12*3,0))))))</f>
        <v>0</v>
      </c>
      <c r="CM162" s="416">
        <f t="shared" ref="CM162:CM169" si="1309">IF($H162&lt;&gt;CP$5,0,IF(CP162&lt;0,IF(OR($J162=1,$J162=2,$J162=3,$J162=4),-$E162*$I162/12*3,IF($J162=5,-$E162*$I162/12*2,IF($J162=6,-$E162*$I162/12*1,0)))))+IF(CK$5&lt;&gt;$H162,0,IF(CK162&lt;0,IF($J162=4,-$E162*$I162/12*0,IF($J162=5,-$E162*$I162/12*1,IF($J162=6,-$E162*$I162/12*2,IF($J162&gt;=7,-$E162*$I162/12*3,0))))))</f>
        <v>0</v>
      </c>
      <c r="CN162" s="416">
        <f t="shared" ref="CN162:CN169" si="1310">IF($H162&lt;&gt;CP$5,0,IF(CP162&lt;0,IF(OR($J162=1,$J162=2,$J162=3,$J162=4,$J162=5,$J162=6,$J162=7),-$E162*$I162/12*3,IF($J162=8,-$E162*$I162/12*2,IF($J162=9,-$E162*$I162/12*1,0)))))+IF(CK$5&lt;&gt;$H162,0,IF(CK162&lt;0,IF($J162=7,-$E162*$I162/12*0,IF($J162=8,-$E162*$I162/12*1,IF($J162=9,-$E162*$I162/12*2,IF($J162&gt;=10,-$E162*$I162/12*3,0))))))</f>
        <v>0</v>
      </c>
      <c r="CO162" s="412">
        <f t="shared" ref="CO162:CO169" si="1311">IF($H162&lt;&gt;CP$5,0,IF(CP162&lt;0,IF(OR($J162=1,$J162=2,$J162=3,$J162=4,$J162=5,$J162=6,$J162=7,$J162=8,$J162=9,$J162=10),-$E162*$I162/12*3,IF($J162=11,-$E162*$I162/12*2,IF($J162=12,-$E162*$I162/12*1,0)))))+IF(CK$5&lt;&gt;$H162,0,IF(CK162&lt;0,IF($J162=10,-$E162*$I162/12*0,IF($J162=11,-$E162*$I162/12*1,IF($J162=12,-$E162*$I162/12*2,0)))))</f>
        <v>0</v>
      </c>
      <c r="CP162" s="413">
        <f t="shared" ref="CP162:CP169" si="1312">IF(AND(CK162&lt;&gt;0,CK$5=$H162),-$I162*$E162-CK162,IF(CP$5=$H162,-$I162*$E162*(12-$J162+1)/12,0))</f>
        <v>0</v>
      </c>
      <c r="CQ162" s="410">
        <f t="shared" ref="CQ162:CQ169" si="1313">IF($H162&lt;&gt;CU$5,0,IF(CU162&lt;0,IF($J162=1,-$E162*$I162/12*3,IF($J162=2,-$E162*$I162/12*2,IF($J162=3,-$E162*$I162/12*1,0)))))+IF(CP$5&lt;&gt;$H162,0,IF(CP162&lt;0,IF($J162=1,-$E162*$I162/12*0,IF($J162=2,-$E162*$I162/12*1,IF($J162=3,-$E162*$I162/12*2,IF($J162&gt;=4,-$E162*$I162/12*3,0))))))</f>
        <v>0</v>
      </c>
      <c r="CR162" s="416">
        <f t="shared" ref="CR162:CR169" si="1314">IF($H162&lt;&gt;CU$5,0,IF(CU162&lt;0,IF(OR($J162=1,$J162=2,$J162=3,$J162=4),-$E162*$I162/12*3,IF($J162=5,-$E162*$I162/12*2,IF($J162=6,-$E162*$I162/12*1,0)))))+IF(CP$5&lt;&gt;$H162,0,IF(CP162&lt;0,IF($J162=4,-$E162*$I162/12*0,IF($J162=5,-$E162*$I162/12*1,IF($J162=6,-$E162*$I162/12*2,IF($J162&gt;=7,-$E162*$I162/12*3,0))))))</f>
        <v>0</v>
      </c>
      <c r="CS162" s="416">
        <f t="shared" ref="CS162:CS169" si="1315">IF($H162&lt;&gt;CU$5,0,IF(CU162&lt;0,IF(OR($J162=1,$J162=2,$J162=3,$J162=4,$J162=5,$J162=6,$J162=7),-$E162*$I162/12*3,IF($J162=8,-$E162*$I162/12*2,IF($J162=9,-$E162*$I162/12*1,0)))))+IF(CP$5&lt;&gt;$H162,0,IF(CP162&lt;0,IF($J162=7,-$E162*$I162/12*0,IF($J162=8,-$E162*$I162/12*1,IF($J162=9,-$E162*$I162/12*2,IF($J162&gt;=10,-$E162*$I162/12*3,0))))))</f>
        <v>0</v>
      </c>
      <c r="CT162" s="412">
        <f t="shared" ref="CT162:CT169" si="1316">IF($H162&lt;&gt;CU$5,0,IF(CU162&lt;0,IF(OR($J162=1,$J162=2,$J162=3,$J162=4,$J162=5,$J162=6,$J162=7,$J162=8,$J162=9,$J162=10),-$E162*$I162/12*3,IF($J162=11,-$E162*$I162/12*2,IF($J162=12,-$E162*$I162/12*1,0)))))+IF(CP$5&lt;&gt;$H162,0,IF(CP162&lt;0,IF($J162=10,-$E162*$I162/12*0,IF($J162=11,-$E162*$I162/12*1,IF($J162=12,-$E162*$I162/12*2,0)))))</f>
        <v>0</v>
      </c>
      <c r="CU162" s="413">
        <f t="shared" ref="CU162:CU169" si="1317">IF(AND(CP162&lt;&gt;0,CP$5=$H162),-$I162*$E162-CP162,IF(CU$5=$H162,-$I162*$E162*(12-$J162+1)/12,0))</f>
        <v>0</v>
      </c>
      <c r="CV162" s="410">
        <f t="shared" ref="CV162:CV169" si="1318">IF($H162&lt;&gt;CZ$5,0,IF(CZ162&lt;0,IF($J162=1,-$E162*$I162/12*3,IF($J162=2,-$E162*$I162/12*2,IF($J162=3,-$E162*$I162/12*1,0)))))+IF(CU$5&lt;&gt;$H162,0,IF(CU162&lt;0,IF($J162=1,-$E162*$I162/12*0,IF($J162=2,-$E162*$I162/12*1,IF($J162=3,-$E162*$I162/12*2,IF($J162&gt;=4,-$E162*$I162/12*3,0))))))</f>
        <v>0</v>
      </c>
      <c r="CW162" s="416">
        <f t="shared" ref="CW162:CW169" si="1319">IF($H162&lt;&gt;CZ$5,0,IF(CZ162&lt;0,IF(OR($J162=1,$J162=2,$J162=3,$J162=4),-$E162*$I162/12*3,IF($J162=5,-$E162*$I162/12*2,IF($J162=6,-$E162*$I162/12*1,0)))))+IF(CU$5&lt;&gt;$H162,0,IF(CU162&lt;0,IF($J162=4,-$E162*$I162/12*0,IF($J162=5,-$E162*$I162/12*1,IF($J162=6,-$E162*$I162/12*2,IF($J162&gt;=7,-$E162*$I162/12*3,0))))))</f>
        <v>0</v>
      </c>
      <c r="CX162" s="416">
        <f t="shared" ref="CX162:CX169" si="1320">IF($H162&lt;&gt;CZ$5,0,IF(CZ162&lt;0,IF(OR($J162=1,$J162=2,$J162=3,$J162=4,$J162=5,$J162=6,$J162=7),-$E162*$I162/12*3,IF($J162=8,-$E162*$I162/12*2,IF($J162=9,-$E162*$I162/12*1,0)))))+IF(CU$5&lt;&gt;$H162,0,IF(CU162&lt;0,IF($J162=7,-$E162*$I162/12*0,IF($J162=8,-$E162*$I162/12*1,IF($J162=9,-$E162*$I162/12*2,IF($J162&gt;=10,-$E162*$I162/12*3,0))))))</f>
        <v>0</v>
      </c>
      <c r="CY162" s="412">
        <f t="shared" ref="CY162:CY169" si="1321">IF($H162&lt;&gt;CZ$5,0,IF(CZ162&lt;0,IF(OR($J162=1,$J162=2,$J162=3,$J162=4,$J162=5,$J162=6,$J162=7,$J162=8,$J162=9,$J162=10),-$E162*$I162/12*3,IF($J162=11,-$E162*$I162/12*2,IF($J162=12,-$E162*$I162/12*1,0)))))+IF(CU$5&lt;&gt;$H162,0,IF(CU162&lt;0,IF($J162=10,-$E162*$I162/12*0,IF($J162=11,-$E162*$I162/12*1,IF($J162=12,-$E162*$I162/12*2,0)))))</f>
        <v>0</v>
      </c>
      <c r="CZ162" s="413">
        <f t="shared" ref="CZ162:CZ169" si="1322">IF(AND(CU162&lt;&gt;0,CU$5=$H162),-$I162*$E162-CU162,IF(CZ$5=$H162,-$I162*$E162*(12-$J162+1)/12,0))</f>
        <v>0</v>
      </c>
      <c r="DA162" s="410">
        <f t="shared" ref="DA162:DA169" si="1323">IF($H162&lt;&gt;DE$5,0,IF(DE162&lt;0,IF($J162=1,-$E162*$I162/12*3,IF($J162=2,-$E162*$I162/12*2,IF($J162=3,-$E162*$I162/12*1,0)))))+IF(CZ$5&lt;&gt;$H162,0,IF(CZ162&lt;0,IF($J162=1,-$E162*$I162/12*0,IF($J162=2,-$E162*$I162/12*1,IF($J162=3,-$E162*$I162/12*2,IF($J162&gt;=4,-$E162*$I162/12*3,0))))))</f>
        <v>0</v>
      </c>
      <c r="DB162" s="416">
        <f t="shared" ref="DB162:DB169" si="1324">IF($H162&lt;&gt;DE$5,0,IF(DE162&lt;0,IF(OR($J162=1,$J162=2,$J162=3,$J162=4),-$E162*$I162/12*3,IF($J162=5,-$E162*$I162/12*2,IF($J162=6,-$E162*$I162/12*1,0)))))+IF(CZ$5&lt;&gt;$H162,0,IF(CZ162&lt;0,IF($J162=4,-$E162*$I162/12*0,IF($J162=5,-$E162*$I162/12*1,IF($J162=6,-$E162*$I162/12*2,IF($J162&gt;=7,-$E162*$I162/12*3,0))))))</f>
        <v>0</v>
      </c>
      <c r="DC162" s="416">
        <f t="shared" ref="DC162:DC169" si="1325">IF($H162&lt;&gt;DE$5,0,IF(DE162&lt;0,IF(OR($J162=1,$J162=2,$J162=3,$J162=4,$J162=5,$J162=6,$J162=7),-$E162*$I162/12*3,IF($J162=8,-$E162*$I162/12*2,IF($J162=9,-$E162*$I162/12*1,0)))))+IF(CZ$5&lt;&gt;$H162,0,IF(CZ162&lt;0,IF($J162=7,-$E162*$I162/12*0,IF($J162=8,-$E162*$I162/12*1,IF($J162=9,-$E162*$I162/12*2,IF($J162&gt;=10,-$E162*$I162/12*3,0))))))</f>
        <v>0</v>
      </c>
      <c r="DD162" s="412">
        <f t="shared" ref="DD162:DD169" si="1326">IF($H162&lt;&gt;DE$5,0,IF(DE162&lt;0,IF(OR($J162=1,$J162=2,$J162=3,$J162=4,$J162=5,$J162=6,$J162=7,$J162=8,$J162=9,$J162=10),-$E162*$I162/12*3,IF($J162=11,-$E162*$I162/12*2,IF($J162=12,-$E162*$I162/12*1,0)))))+IF(CZ$5&lt;&gt;$H162,0,IF(CZ162&lt;0,IF($J162=10,-$E162*$I162/12*0,IF($J162=11,-$E162*$I162/12*1,IF($J162=12,-$E162*$I162/12*2,0)))))</f>
        <v>0</v>
      </c>
      <c r="DE162" s="413">
        <f t="shared" ref="DE162:DE169" si="1327">IF(AND(CZ162&lt;&gt;0,CZ$5=$H162),-$I162*$E162-CZ162,IF(DE$5=$H162,-$I162*$E162*(12-$J162+1)/12,0))</f>
        <v>0</v>
      </c>
      <c r="DF162" s="410">
        <f t="shared" ref="DF162:DF169" si="1328">IF($H162&lt;&gt;DJ$5,0,IF(DJ162&lt;0,IF($J162=1,-$E162*$I162/12*3,IF($J162=2,-$E162*$I162/12*2,IF($J162=3,-$E162*$I162/12*1,0)))))+IF(DE$5&lt;&gt;$H162,0,IF(DE162&lt;0,IF($J162=1,-$E162*$I162/12*0,IF($J162=2,-$E162*$I162/12*1,IF($J162=3,-$E162*$I162/12*2,IF($J162&gt;=4,-$E162*$I162/12*3,0))))))</f>
        <v>0</v>
      </c>
      <c r="DG162" s="416">
        <f t="shared" ref="DG162:DG169" si="1329">IF($H162&lt;&gt;DJ$5,0,IF(DJ162&lt;0,IF(OR($J162=1,$J162=2,$J162=3,$J162=4),-$E162*$I162/12*3,IF($J162=5,-$E162*$I162/12*2,IF($J162=6,-$E162*$I162/12*1,0)))))+IF(DE$5&lt;&gt;$H162,0,IF(DE162&lt;0,IF($J162=4,-$E162*$I162/12*0,IF($J162=5,-$E162*$I162/12*1,IF($J162=6,-$E162*$I162/12*2,IF($J162&gt;=7,-$E162*$I162/12*3,0))))))</f>
        <v>0</v>
      </c>
      <c r="DH162" s="416">
        <f t="shared" ref="DH162:DH169" si="1330">IF($H162&lt;&gt;DJ$5,0,IF(DJ162&lt;0,IF(OR($J162=1,$J162=2,$J162=3,$J162=4,$J162=5,$J162=6,$J162=7),-$E162*$I162/12*3,IF($J162=8,-$E162*$I162/12*2,IF($J162=9,-$E162*$I162/12*1,0)))))+IF(DE$5&lt;&gt;$H162,0,IF(DE162&lt;0,IF($J162=7,-$E162*$I162/12*0,IF($J162=8,-$E162*$I162/12*1,IF($J162=9,-$E162*$I162/12*2,IF($J162&gt;=10,-$E162*$I162/12*3,0))))))</f>
        <v>0</v>
      </c>
      <c r="DI162" s="412">
        <f t="shared" ref="DI162:DI169" si="1331">IF($H162&lt;&gt;DJ$5,0,IF(DJ162&lt;0,IF(OR($J162=1,$J162=2,$J162=3,$J162=4,$J162=5,$J162=6,$J162=7,$J162=8,$J162=9,$J162=10),-$E162*$I162/12*3,IF($J162=11,-$E162*$I162/12*2,IF($J162=12,-$E162*$I162/12*1,0)))))+IF(DE$5&lt;&gt;$H162,0,IF(DE162&lt;0,IF($J162=10,-$E162*$I162/12*0,IF($J162=11,-$E162*$I162/12*1,IF($J162=12,-$E162*$I162/12*2,0)))))</f>
        <v>0</v>
      </c>
      <c r="DJ162" s="413">
        <f t="shared" ref="DJ162:DJ169" si="1332">IF(AND(DE162&lt;&gt;0,DE$5=$H162),-$I162*$E162-DE162,IF(DJ$5=$H162,-$I162*$E162*(12-$J162+1)/12,0))</f>
        <v>0</v>
      </c>
      <c r="DK162" s="410">
        <f t="shared" ref="DK162:DK169" si="1333">IF($H162&lt;&gt;DO$5,0,IF(DO162&lt;0,IF($J162=1,-$E162*$I162/12*3,IF($J162=2,-$E162*$I162/12*2,IF($J162=3,-$E162*$I162/12*1,0)))))+IF(DJ$5&lt;&gt;$H162,0,IF(DJ162&lt;0,IF($J162=1,-$E162*$I162/12*0,IF($J162=2,-$E162*$I162/12*1,IF($J162=3,-$E162*$I162/12*2,IF($J162&gt;=4,-$E162*$I162/12*3,0))))))</f>
        <v>0</v>
      </c>
      <c r="DL162" s="416">
        <f t="shared" ref="DL162:DL169" si="1334">IF($H162&lt;&gt;DO$5,0,IF(DO162&lt;0,IF(OR($J162=1,$J162=2,$J162=3,$J162=4),-$E162*$I162/12*3,IF($J162=5,-$E162*$I162/12*2,IF($J162=6,-$E162*$I162/12*1,0)))))+IF(DJ$5&lt;&gt;$H162,0,IF(DJ162&lt;0,IF($J162=4,-$E162*$I162/12*0,IF($J162=5,-$E162*$I162/12*1,IF($J162=6,-$E162*$I162/12*2,IF($J162&gt;=7,-$E162*$I162/12*3,0))))))</f>
        <v>-4.6947499999999996E-2</v>
      </c>
      <c r="DM162" s="416">
        <f t="shared" ref="DM162:DM169" si="1335">IF($H162&lt;&gt;DO$5,0,IF(DO162&lt;0,IF(OR($J162=1,$J162=2,$J162=3,$J162=4,$J162=5,$J162=6,$J162=7),-$E162*$I162/12*3,IF($J162=8,-$E162*$I162/12*2,IF($J162=9,-$E162*$I162/12*1,0)))))+IF(DJ$5&lt;&gt;$H162,0,IF(DJ162&lt;0,IF($J162=7,-$E162*$I162/12*0,IF($J162=8,-$E162*$I162/12*1,IF($J162=9,-$E162*$I162/12*2,IF($J162&gt;=10,-$E162*$I162/12*3,0))))))</f>
        <v>-0.14084249999999998</v>
      </c>
      <c r="DN162" s="412">
        <f t="shared" ref="DN162:DN169" si="1336">IF($H162&lt;&gt;DO$5,0,IF(DO162&lt;0,IF(OR($J162=1,$J162=2,$J162=3,$J162=4,$J162=5,$J162=6,$J162=7,$J162=8,$J162=9,$J162=10),-$E162*$I162/12*3,IF($J162=11,-$E162*$I162/12*2,IF($J162=12,-$E162*$I162/12*1,0)))))+IF(DJ$5&lt;&gt;$H162,0,IF(DJ162&lt;0,IF($J162=10,-$E162*$I162/12*0,IF($J162=11,-$E162*$I162/12*1,IF($J162=12,-$E162*$I162/12*2,0)))))</f>
        <v>-0.14084249999999998</v>
      </c>
      <c r="DO162" s="413">
        <f t="shared" ref="DO162:DO169" si="1337">IF(AND(DJ162&lt;&gt;0,DJ$5=$H162),-$I162*$E162-DJ162,IF(DO$5=$H162,-$I162*$E162*(12-$J162+1)/12,0))</f>
        <v>-0.32863249999999994</v>
      </c>
      <c r="DP162" s="410">
        <f t="shared" ref="DP162:DP170" si="1338">IF($H162&lt;&gt;DT$5,0,IF(DT162&lt;0,IF($J162=1,-$E162*$I162/12*3,IF($J162=2,-$E162*$I162/12*2,IF($J162=3,-$E162*$I162/12*1,0)))))+IF(DO$5&lt;&gt;$H162,0,IF(DO162&lt;0,IF($J162=1,-$E162*$I162/12*0,IF($J162=2,-$E162*$I162/12*1,IF($J162=3,-$E162*$I162/12*2,IF($J162&gt;=4,-$E162*$I162/12*3,0))))))</f>
        <v>-0.14084249999999998</v>
      </c>
      <c r="DQ162" s="416">
        <f t="shared" ref="DQ162:DQ170" si="1339">IF($H162&lt;&gt;DT$5,0,IF(DT162&lt;0,IF(OR($J162=1,$J162=2,$J162=3,$J162=4),-$E162*$I162/12*3,IF($J162=5,-$E162*$I162/12*2,IF($J162=6,-$E162*$I162/12*1,0)))))+IF(DO$5&lt;&gt;$H162,0,IF(DO162&lt;0,IF($J162=4,-$E162*$I162/12*0,IF($J162=5,-$E162*$I162/12*1,IF($J162=6,-$E162*$I162/12*2,IF($J162&gt;=7,-$E162*$I162/12*3,0))))))</f>
        <v>-9.3894999999999992E-2</v>
      </c>
      <c r="DR162" s="416">
        <f t="shared" ref="DR162:DR170" si="1340">IF($H162&lt;&gt;DT$5,0,IF(DT162&lt;0,IF(OR($J162=1,$J162=2,$J162=3,$J162=4,$J162=5,$J162=6,$J162=7),-$E162*$I162/12*3,IF($J162=8,-$E162*$I162/12*2,IF($J162=9,-$E162*$I162/12*1,0)))))+IF(DO$5&lt;&gt;$H162,0,IF(DO162&lt;0,IF($J162=7,-$E162*$I162/12*0,IF($J162=8,-$E162*$I162/12*1,IF($J162=9,-$E162*$I162/12*2,IF($J162&gt;=10,-$E162*$I162/12*3,0))))))</f>
        <v>0</v>
      </c>
      <c r="DS162" s="412">
        <f t="shared" ref="DS162:DS170" si="1341">IF($H162&lt;&gt;DT$5,0,IF(DT162&lt;0,IF(OR($J162=1,$J162=2,$J162=3,$J162=4,$J162=5,$J162=6,$J162=7,$J162=8,$J162=9,$J162=10),-$E162*$I162/12*3,IF($J162=11,-$E162*$I162/12*2,IF($J162=12,-$E162*$I162/12*1,0)))))+IF(DO$5&lt;&gt;$H162,0,IF(DO162&lt;0,IF($J162=10,-$E162*$I162/12*0,IF($J162=11,-$E162*$I162/12*1,IF($J162=12,-$E162*$I162/12*2,0)))))</f>
        <v>0</v>
      </c>
      <c r="DT162" s="413">
        <f t="shared" ref="DT162:DT170" si="1342">IF(AND(DO162&lt;&gt;0,DO$5=$H162),-$I162*$E162-DO162,IF(DT$5=$H162,-$I162*$E162*(12-$J162+1)/12,0))</f>
        <v>-0.23473749999999999</v>
      </c>
    </row>
    <row r="163" spans="1:124" ht="12.75" customHeight="1">
      <c r="A163" s="491"/>
      <c r="C163" s="845"/>
      <c r="D163" s="845"/>
      <c r="E163" s="1531"/>
      <c r="F163" s="1532"/>
      <c r="G163" s="1532"/>
      <c r="H163" s="610"/>
      <c r="I163" s="1533"/>
      <c r="J163" s="615"/>
      <c r="K163" s="402"/>
      <c r="L163" s="407"/>
      <c r="M163" s="404"/>
      <c r="N163" s="414"/>
      <c r="O163" s="414"/>
      <c r="P163" s="406"/>
      <c r="Q163" s="407"/>
      <c r="R163" s="404"/>
      <c r="S163" s="414"/>
      <c r="T163" s="414"/>
      <c r="U163" s="406"/>
      <c r="V163" s="407"/>
      <c r="W163" s="404"/>
      <c r="X163" s="414"/>
      <c r="Y163" s="414"/>
      <c r="Z163" s="406"/>
      <c r="AA163" s="407"/>
      <c r="AB163" s="404"/>
      <c r="AC163" s="414"/>
      <c r="AD163" s="414"/>
      <c r="AE163" s="406"/>
      <c r="AF163" s="407"/>
      <c r="AG163" s="404"/>
      <c r="AH163" s="414"/>
      <c r="AI163" s="414"/>
      <c r="AJ163" s="406"/>
      <c r="AK163" s="407"/>
      <c r="AL163" s="404"/>
      <c r="AM163" s="414"/>
      <c r="AN163" s="414"/>
      <c r="AO163" s="406"/>
      <c r="AP163" s="407"/>
      <c r="AQ163" s="404"/>
      <c r="AR163" s="414"/>
      <c r="AS163" s="414"/>
      <c r="AT163" s="406"/>
      <c r="AU163" s="407"/>
      <c r="AV163" s="404"/>
      <c r="AW163" s="414"/>
      <c r="AX163" s="414"/>
      <c r="AY163" s="406"/>
      <c r="AZ163" s="407"/>
      <c r="BA163" s="404"/>
      <c r="BB163" s="414"/>
      <c r="BC163" s="414"/>
      <c r="BD163" s="406"/>
      <c r="BE163" s="407"/>
      <c r="BF163" s="404"/>
      <c r="BG163" s="414"/>
      <c r="BH163" s="414"/>
      <c r="BI163" s="406"/>
      <c r="BJ163" s="407"/>
      <c r="BK163" s="404"/>
      <c r="BL163" s="414"/>
      <c r="BM163" s="414"/>
      <c r="BN163" s="406"/>
      <c r="BO163" s="407"/>
      <c r="BP163" s="449"/>
      <c r="BQ163" s="413"/>
      <c r="BR163" s="410"/>
      <c r="BS163" s="416"/>
      <c r="BT163" s="416"/>
      <c r="BU163" s="412"/>
      <c r="BV163" s="413"/>
      <c r="BW163" s="410"/>
      <c r="BX163" s="416"/>
      <c r="BY163" s="416"/>
      <c r="BZ163" s="412"/>
      <c r="CA163" s="413"/>
      <c r="CB163" s="410"/>
      <c r="CC163" s="416"/>
      <c r="CD163" s="416"/>
      <c r="CE163" s="412"/>
      <c r="CF163" s="413"/>
      <c r="CG163" s="410"/>
      <c r="CH163" s="416"/>
      <c r="CI163" s="416"/>
      <c r="CJ163" s="412"/>
      <c r="CK163" s="413"/>
      <c r="CL163" s="410"/>
      <c r="CM163" s="416"/>
      <c r="CN163" s="416"/>
      <c r="CO163" s="412"/>
      <c r="CP163" s="413"/>
      <c r="CQ163" s="410"/>
      <c r="CR163" s="416"/>
      <c r="CS163" s="416"/>
      <c r="CT163" s="412"/>
      <c r="CU163" s="413"/>
      <c r="CV163" s="410"/>
      <c r="CW163" s="416"/>
      <c r="CX163" s="416"/>
      <c r="CY163" s="412"/>
      <c r="CZ163" s="413"/>
      <c r="DA163" s="410"/>
      <c r="DB163" s="416"/>
      <c r="DC163" s="416"/>
      <c r="DD163" s="412"/>
      <c r="DE163" s="413"/>
      <c r="DF163" s="410"/>
      <c r="DG163" s="416"/>
      <c r="DH163" s="416"/>
      <c r="DI163" s="412"/>
      <c r="DJ163" s="413"/>
      <c r="DK163" s="410"/>
      <c r="DL163" s="416"/>
      <c r="DM163" s="416"/>
      <c r="DN163" s="412"/>
      <c r="DO163" s="413"/>
      <c r="DP163" s="410"/>
      <c r="DQ163" s="416"/>
      <c r="DR163" s="416"/>
      <c r="DS163" s="412"/>
      <c r="DT163" s="413"/>
    </row>
    <row r="164" spans="1:124" ht="12.75" customHeight="1">
      <c r="A164" s="491"/>
      <c r="C164" s="1885" t="s">
        <v>570</v>
      </c>
      <c r="D164" s="1885"/>
      <c r="E164" s="1886">
        <f t="shared" ref="E164:E170" si="1343">IF(F164=0,G164,F164)</f>
        <v>250</v>
      </c>
      <c r="F164" s="1532">
        <v>250</v>
      </c>
      <c r="G164" s="1532">
        <v>250</v>
      </c>
      <c r="H164" s="610">
        <v>2019</v>
      </c>
      <c r="I164" s="1533">
        <v>5.1499999999999997E-2</v>
      </c>
      <c r="J164" s="615">
        <v>12</v>
      </c>
      <c r="K164" s="402"/>
      <c r="L164" s="407">
        <f t="shared" si="1232"/>
        <v>0</v>
      </c>
      <c r="M164" s="404">
        <f t="shared" si="1233"/>
        <v>0</v>
      </c>
      <c r="N164" s="414">
        <f t="shared" si="1234"/>
        <v>0</v>
      </c>
      <c r="O164" s="414">
        <f t="shared" si="1235"/>
        <v>0</v>
      </c>
      <c r="P164" s="406">
        <f t="shared" si="1236"/>
        <v>0</v>
      </c>
      <c r="Q164" s="407">
        <f t="shared" si="1237"/>
        <v>0</v>
      </c>
      <c r="R164" s="404">
        <f t="shared" si="1238"/>
        <v>0</v>
      </c>
      <c r="S164" s="414">
        <f t="shared" si="1239"/>
        <v>0</v>
      </c>
      <c r="T164" s="414">
        <f t="shared" si="1240"/>
        <v>0</v>
      </c>
      <c r="U164" s="406">
        <f t="shared" si="1241"/>
        <v>0</v>
      </c>
      <c r="V164" s="407">
        <f t="shared" si="1242"/>
        <v>0</v>
      </c>
      <c r="W164" s="404">
        <f t="shared" si="1243"/>
        <v>0</v>
      </c>
      <c r="X164" s="414">
        <f t="shared" si="1244"/>
        <v>0</v>
      </c>
      <c r="Y164" s="414">
        <f t="shared" si="1245"/>
        <v>0</v>
      </c>
      <c r="Z164" s="406">
        <f t="shared" si="1246"/>
        <v>0</v>
      </c>
      <c r="AA164" s="407">
        <f t="shared" si="1247"/>
        <v>0</v>
      </c>
      <c r="AB164" s="404">
        <f t="shared" si="1248"/>
        <v>0</v>
      </c>
      <c r="AC164" s="414">
        <f t="shared" si="1249"/>
        <v>0</v>
      </c>
      <c r="AD164" s="414">
        <f t="shared" si="1250"/>
        <v>0</v>
      </c>
      <c r="AE164" s="406">
        <f t="shared" si="1251"/>
        <v>0</v>
      </c>
      <c r="AF164" s="407">
        <f t="shared" si="1252"/>
        <v>0</v>
      </c>
      <c r="AG164" s="404">
        <f t="shared" si="1253"/>
        <v>0</v>
      </c>
      <c r="AH164" s="414">
        <f t="shared" si="1254"/>
        <v>0</v>
      </c>
      <c r="AI164" s="414">
        <f t="shared" si="1255"/>
        <v>0</v>
      </c>
      <c r="AJ164" s="406">
        <f t="shared" si="1256"/>
        <v>0</v>
      </c>
      <c r="AK164" s="407">
        <f t="shared" si="1257"/>
        <v>0</v>
      </c>
      <c r="AL164" s="404">
        <f t="shared" si="1258"/>
        <v>0</v>
      </c>
      <c r="AM164" s="414">
        <f t="shared" si="1259"/>
        <v>0</v>
      </c>
      <c r="AN164" s="414">
        <f t="shared" si="1260"/>
        <v>0</v>
      </c>
      <c r="AO164" s="406">
        <f t="shared" si="1261"/>
        <v>0</v>
      </c>
      <c r="AP164" s="407">
        <f t="shared" si="1262"/>
        <v>0</v>
      </c>
      <c r="AQ164" s="404">
        <f t="shared" si="1263"/>
        <v>0</v>
      </c>
      <c r="AR164" s="414">
        <f t="shared" ref="AR164:AR170" si="1344">IF(AU164=0,0,IF(AU164&lt;0,IF($J164=6,AU164,IF($J164=5,AU164,IF($J164=4,AU164,0)))))</f>
        <v>0</v>
      </c>
      <c r="AS164" s="414">
        <f t="shared" si="1264"/>
        <v>0</v>
      </c>
      <c r="AT164" s="406">
        <f t="shared" si="1265"/>
        <v>0</v>
      </c>
      <c r="AU164" s="407">
        <f t="shared" si="1266"/>
        <v>0</v>
      </c>
      <c r="AV164" s="404">
        <f t="shared" si="1267"/>
        <v>0</v>
      </c>
      <c r="AW164" s="414">
        <f t="shared" si="1268"/>
        <v>0</v>
      </c>
      <c r="AX164" s="414">
        <f t="shared" si="1269"/>
        <v>0</v>
      </c>
      <c r="AY164" s="406">
        <f t="shared" si="1270"/>
        <v>0</v>
      </c>
      <c r="AZ164" s="407">
        <f t="shared" si="1271"/>
        <v>0</v>
      </c>
      <c r="BA164" s="404">
        <f t="shared" si="1272"/>
        <v>0</v>
      </c>
      <c r="BB164" s="414">
        <f t="shared" si="1273"/>
        <v>0</v>
      </c>
      <c r="BC164" s="414">
        <f t="shared" si="1274"/>
        <v>0</v>
      </c>
      <c r="BD164" s="406">
        <f t="shared" si="1275"/>
        <v>-250</v>
      </c>
      <c r="BE164" s="407">
        <f t="shared" si="1276"/>
        <v>-250</v>
      </c>
      <c r="BF164" s="404">
        <f t="shared" si="1277"/>
        <v>0</v>
      </c>
      <c r="BG164" s="414">
        <f t="shared" si="1278"/>
        <v>0</v>
      </c>
      <c r="BH164" s="414">
        <f t="shared" si="1279"/>
        <v>0</v>
      </c>
      <c r="BI164" s="406">
        <f t="shared" si="1280"/>
        <v>0</v>
      </c>
      <c r="BJ164" s="407">
        <f t="shared" si="1281"/>
        <v>0</v>
      </c>
      <c r="BK164" s="404">
        <f t="shared" si="1282"/>
        <v>0</v>
      </c>
      <c r="BL164" s="414">
        <f t="shared" si="1283"/>
        <v>0</v>
      </c>
      <c r="BM164" s="414">
        <f t="shared" si="1284"/>
        <v>0</v>
      </c>
      <c r="BN164" s="406">
        <f t="shared" si="1285"/>
        <v>0</v>
      </c>
      <c r="BO164" s="407">
        <f t="shared" si="1286"/>
        <v>0</v>
      </c>
      <c r="BP164" s="449"/>
      <c r="BQ164" s="413">
        <f t="shared" si="1287"/>
        <v>0</v>
      </c>
      <c r="BR164" s="410">
        <f t="shared" si="1288"/>
        <v>0</v>
      </c>
      <c r="BS164" s="416">
        <f t="shared" si="1289"/>
        <v>0</v>
      </c>
      <c r="BT164" s="416">
        <f t="shared" si="1290"/>
        <v>0</v>
      </c>
      <c r="BU164" s="412">
        <f t="shared" si="1291"/>
        <v>0</v>
      </c>
      <c r="BV164" s="413">
        <f t="shared" si="1292"/>
        <v>0</v>
      </c>
      <c r="BW164" s="410">
        <f t="shared" si="1293"/>
        <v>0</v>
      </c>
      <c r="BX164" s="416">
        <f t="shared" si="1294"/>
        <v>0</v>
      </c>
      <c r="BY164" s="416">
        <f t="shared" si="1295"/>
        <v>0</v>
      </c>
      <c r="BZ164" s="412">
        <f t="shared" si="1296"/>
        <v>0</v>
      </c>
      <c r="CA164" s="413">
        <f t="shared" si="1297"/>
        <v>0</v>
      </c>
      <c r="CB164" s="410">
        <f t="shared" si="1298"/>
        <v>0</v>
      </c>
      <c r="CC164" s="416">
        <f t="shared" si="1299"/>
        <v>0</v>
      </c>
      <c r="CD164" s="416">
        <f t="shared" si="1300"/>
        <v>0</v>
      </c>
      <c r="CE164" s="412">
        <f t="shared" si="1301"/>
        <v>0</v>
      </c>
      <c r="CF164" s="413">
        <f t="shared" si="1302"/>
        <v>0</v>
      </c>
      <c r="CG164" s="410">
        <f t="shared" si="1303"/>
        <v>0</v>
      </c>
      <c r="CH164" s="416">
        <f t="shared" si="1304"/>
        <v>0</v>
      </c>
      <c r="CI164" s="416">
        <f t="shared" si="1305"/>
        <v>0</v>
      </c>
      <c r="CJ164" s="412">
        <f t="shared" si="1306"/>
        <v>0</v>
      </c>
      <c r="CK164" s="413">
        <f t="shared" si="1307"/>
        <v>0</v>
      </c>
      <c r="CL164" s="410">
        <f t="shared" si="1308"/>
        <v>0</v>
      </c>
      <c r="CM164" s="416">
        <f t="shared" si="1309"/>
        <v>0</v>
      </c>
      <c r="CN164" s="416">
        <f t="shared" si="1310"/>
        <v>0</v>
      </c>
      <c r="CO164" s="412">
        <f t="shared" si="1311"/>
        <v>0</v>
      </c>
      <c r="CP164" s="413">
        <f t="shared" si="1312"/>
        <v>0</v>
      </c>
      <c r="CQ164" s="410">
        <f t="shared" si="1313"/>
        <v>0</v>
      </c>
      <c r="CR164" s="416">
        <f t="shared" si="1314"/>
        <v>0</v>
      </c>
      <c r="CS164" s="416">
        <f t="shared" si="1315"/>
        <v>0</v>
      </c>
      <c r="CT164" s="412">
        <f t="shared" si="1316"/>
        <v>0</v>
      </c>
      <c r="CU164" s="413">
        <f t="shared" si="1317"/>
        <v>0</v>
      </c>
      <c r="CV164" s="410">
        <f t="shared" si="1318"/>
        <v>0</v>
      </c>
      <c r="CW164" s="416">
        <f t="shared" si="1319"/>
        <v>0</v>
      </c>
      <c r="CX164" s="416">
        <f t="shared" si="1320"/>
        <v>0</v>
      </c>
      <c r="CY164" s="412">
        <f t="shared" si="1321"/>
        <v>0</v>
      </c>
      <c r="CZ164" s="413">
        <f t="shared" si="1322"/>
        <v>0</v>
      </c>
      <c r="DA164" s="410">
        <f t="shared" si="1323"/>
        <v>0</v>
      </c>
      <c r="DB164" s="416">
        <f t="shared" si="1324"/>
        <v>0</v>
      </c>
      <c r="DC164" s="416">
        <f t="shared" si="1325"/>
        <v>0</v>
      </c>
      <c r="DD164" s="412">
        <f t="shared" si="1326"/>
        <v>0</v>
      </c>
      <c r="DE164" s="413">
        <f t="shared" si="1327"/>
        <v>0</v>
      </c>
      <c r="DF164" s="410">
        <f t="shared" si="1328"/>
        <v>0</v>
      </c>
      <c r="DG164" s="416">
        <f t="shared" si="1329"/>
        <v>0</v>
      </c>
      <c r="DH164" s="416">
        <f t="shared" si="1330"/>
        <v>0</v>
      </c>
      <c r="DI164" s="412">
        <f t="shared" si="1331"/>
        <v>-1.0729166666666667</v>
      </c>
      <c r="DJ164" s="413">
        <f t="shared" si="1332"/>
        <v>-1.0729166666666667</v>
      </c>
      <c r="DK164" s="410">
        <f t="shared" si="1333"/>
        <v>-3.21875</v>
      </c>
      <c r="DL164" s="416">
        <f t="shared" si="1334"/>
        <v>-3.21875</v>
      </c>
      <c r="DM164" s="416">
        <f t="shared" si="1335"/>
        <v>-3.21875</v>
      </c>
      <c r="DN164" s="412">
        <f t="shared" si="1336"/>
        <v>-2.1458333333333335</v>
      </c>
      <c r="DO164" s="413">
        <f t="shared" si="1337"/>
        <v>-11.802083333333334</v>
      </c>
      <c r="DP164" s="410">
        <f t="shared" si="1338"/>
        <v>0</v>
      </c>
      <c r="DQ164" s="416">
        <f t="shared" si="1339"/>
        <v>0</v>
      </c>
      <c r="DR164" s="416">
        <f t="shared" si="1340"/>
        <v>0</v>
      </c>
      <c r="DS164" s="412">
        <f t="shared" si="1341"/>
        <v>0</v>
      </c>
      <c r="DT164" s="413">
        <f t="shared" si="1342"/>
        <v>0</v>
      </c>
    </row>
    <row r="165" spans="1:124" ht="12.75" customHeight="1">
      <c r="A165" s="491"/>
      <c r="C165" s="1885" t="s">
        <v>405</v>
      </c>
      <c r="D165" s="1885"/>
      <c r="E165" s="1886">
        <f t="shared" si="1343"/>
        <v>250</v>
      </c>
      <c r="F165" s="1532">
        <v>250</v>
      </c>
      <c r="G165" s="1532">
        <v>250</v>
      </c>
      <c r="H165" s="610">
        <v>2037</v>
      </c>
      <c r="I165" s="1533">
        <v>6.6250000000000003E-2</v>
      </c>
      <c r="J165" s="615">
        <v>11</v>
      </c>
      <c r="K165" s="402"/>
      <c r="L165" s="407">
        <f t="shared" si="1232"/>
        <v>0</v>
      </c>
      <c r="M165" s="404">
        <f t="shared" si="1233"/>
        <v>0</v>
      </c>
      <c r="N165" s="414">
        <f t="shared" si="1234"/>
        <v>0</v>
      </c>
      <c r="O165" s="414">
        <f t="shared" si="1235"/>
        <v>0</v>
      </c>
      <c r="P165" s="406">
        <f t="shared" si="1236"/>
        <v>0</v>
      </c>
      <c r="Q165" s="407">
        <f t="shared" si="1237"/>
        <v>0</v>
      </c>
      <c r="R165" s="404">
        <f t="shared" si="1238"/>
        <v>0</v>
      </c>
      <c r="S165" s="414">
        <f t="shared" si="1239"/>
        <v>0</v>
      </c>
      <c r="T165" s="414">
        <f t="shared" si="1240"/>
        <v>0</v>
      </c>
      <c r="U165" s="406">
        <f t="shared" si="1241"/>
        <v>0</v>
      </c>
      <c r="V165" s="407">
        <f t="shared" si="1242"/>
        <v>0</v>
      </c>
      <c r="W165" s="404">
        <f t="shared" si="1243"/>
        <v>0</v>
      </c>
      <c r="X165" s="414">
        <f t="shared" si="1244"/>
        <v>0</v>
      </c>
      <c r="Y165" s="414">
        <f t="shared" si="1245"/>
        <v>0</v>
      </c>
      <c r="Z165" s="406">
        <f t="shared" si="1246"/>
        <v>0</v>
      </c>
      <c r="AA165" s="407">
        <f t="shared" si="1247"/>
        <v>0</v>
      </c>
      <c r="AB165" s="404">
        <f t="shared" si="1248"/>
        <v>0</v>
      </c>
      <c r="AC165" s="414">
        <f t="shared" si="1249"/>
        <v>0</v>
      </c>
      <c r="AD165" s="414">
        <f t="shared" si="1250"/>
        <v>0</v>
      </c>
      <c r="AE165" s="406">
        <f t="shared" si="1251"/>
        <v>0</v>
      </c>
      <c r="AF165" s="407">
        <f t="shared" si="1252"/>
        <v>0</v>
      </c>
      <c r="AG165" s="404">
        <f t="shared" si="1253"/>
        <v>0</v>
      </c>
      <c r="AH165" s="414">
        <f t="shared" si="1254"/>
        <v>0</v>
      </c>
      <c r="AI165" s="414">
        <f t="shared" si="1255"/>
        <v>0</v>
      </c>
      <c r="AJ165" s="406">
        <f t="shared" si="1256"/>
        <v>0</v>
      </c>
      <c r="AK165" s="407">
        <f t="shared" si="1257"/>
        <v>0</v>
      </c>
      <c r="AL165" s="404">
        <f t="shared" si="1258"/>
        <v>0</v>
      </c>
      <c r="AM165" s="414">
        <f t="shared" si="1259"/>
        <v>0</v>
      </c>
      <c r="AN165" s="414">
        <f t="shared" si="1260"/>
        <v>0</v>
      </c>
      <c r="AO165" s="406">
        <f t="shared" si="1261"/>
        <v>0</v>
      </c>
      <c r="AP165" s="407">
        <f t="shared" si="1262"/>
        <v>0</v>
      </c>
      <c r="AQ165" s="404">
        <f t="shared" si="1263"/>
        <v>0</v>
      </c>
      <c r="AR165" s="414">
        <f t="shared" si="1344"/>
        <v>0</v>
      </c>
      <c r="AS165" s="414">
        <f t="shared" si="1264"/>
        <v>0</v>
      </c>
      <c r="AT165" s="406">
        <f t="shared" si="1265"/>
        <v>0</v>
      </c>
      <c r="AU165" s="407">
        <f t="shared" si="1266"/>
        <v>0</v>
      </c>
      <c r="AV165" s="404">
        <f t="shared" si="1267"/>
        <v>0</v>
      </c>
      <c r="AW165" s="414">
        <f t="shared" si="1268"/>
        <v>0</v>
      </c>
      <c r="AX165" s="414">
        <f t="shared" si="1269"/>
        <v>0</v>
      </c>
      <c r="AY165" s="406">
        <f t="shared" si="1270"/>
        <v>0</v>
      </c>
      <c r="AZ165" s="407">
        <f t="shared" si="1271"/>
        <v>0</v>
      </c>
      <c r="BA165" s="404">
        <f t="shared" si="1272"/>
        <v>0</v>
      </c>
      <c r="BB165" s="414">
        <f t="shared" si="1273"/>
        <v>0</v>
      </c>
      <c r="BC165" s="414">
        <f t="shared" si="1274"/>
        <v>0</v>
      </c>
      <c r="BD165" s="406">
        <f t="shared" si="1275"/>
        <v>0</v>
      </c>
      <c r="BE165" s="407">
        <f t="shared" si="1276"/>
        <v>0</v>
      </c>
      <c r="BF165" s="404">
        <f t="shared" si="1277"/>
        <v>0</v>
      </c>
      <c r="BG165" s="414">
        <f t="shared" si="1278"/>
        <v>0</v>
      </c>
      <c r="BH165" s="414">
        <f t="shared" si="1279"/>
        <v>0</v>
      </c>
      <c r="BI165" s="406">
        <f t="shared" si="1280"/>
        <v>0</v>
      </c>
      <c r="BJ165" s="407">
        <f t="shared" si="1281"/>
        <v>0</v>
      </c>
      <c r="BK165" s="404">
        <f t="shared" si="1282"/>
        <v>0</v>
      </c>
      <c r="BL165" s="414">
        <f t="shared" si="1283"/>
        <v>0</v>
      </c>
      <c r="BM165" s="414">
        <f t="shared" si="1284"/>
        <v>0</v>
      </c>
      <c r="BN165" s="406">
        <f t="shared" si="1285"/>
        <v>0</v>
      </c>
      <c r="BO165" s="407">
        <f t="shared" si="1286"/>
        <v>0</v>
      </c>
      <c r="BP165" s="449"/>
      <c r="BQ165" s="413">
        <f t="shared" si="1287"/>
        <v>0</v>
      </c>
      <c r="BR165" s="410">
        <f t="shared" si="1288"/>
        <v>0</v>
      </c>
      <c r="BS165" s="416">
        <f t="shared" si="1289"/>
        <v>0</v>
      </c>
      <c r="BT165" s="416">
        <f t="shared" si="1290"/>
        <v>0</v>
      </c>
      <c r="BU165" s="412">
        <f t="shared" si="1291"/>
        <v>0</v>
      </c>
      <c r="BV165" s="413">
        <f t="shared" si="1292"/>
        <v>0</v>
      </c>
      <c r="BW165" s="410">
        <f t="shared" si="1293"/>
        <v>0</v>
      </c>
      <c r="BX165" s="416">
        <f t="shared" si="1294"/>
        <v>0</v>
      </c>
      <c r="BY165" s="416">
        <f t="shared" si="1295"/>
        <v>0</v>
      </c>
      <c r="BZ165" s="412">
        <f t="shared" si="1296"/>
        <v>0</v>
      </c>
      <c r="CA165" s="413">
        <f t="shared" si="1297"/>
        <v>0</v>
      </c>
      <c r="CB165" s="410">
        <f t="shared" si="1298"/>
        <v>0</v>
      </c>
      <c r="CC165" s="416">
        <f t="shared" si="1299"/>
        <v>0</v>
      </c>
      <c r="CD165" s="416">
        <f t="shared" si="1300"/>
        <v>0</v>
      </c>
      <c r="CE165" s="412">
        <f t="shared" si="1301"/>
        <v>0</v>
      </c>
      <c r="CF165" s="413">
        <f t="shared" si="1302"/>
        <v>0</v>
      </c>
      <c r="CG165" s="410">
        <f t="shared" si="1303"/>
        <v>0</v>
      </c>
      <c r="CH165" s="416">
        <f t="shared" si="1304"/>
        <v>0</v>
      </c>
      <c r="CI165" s="416">
        <f t="shared" si="1305"/>
        <v>0</v>
      </c>
      <c r="CJ165" s="412">
        <f t="shared" si="1306"/>
        <v>0</v>
      </c>
      <c r="CK165" s="413">
        <f t="shared" si="1307"/>
        <v>0</v>
      </c>
      <c r="CL165" s="410">
        <f t="shared" si="1308"/>
        <v>0</v>
      </c>
      <c r="CM165" s="416">
        <f t="shared" si="1309"/>
        <v>0</v>
      </c>
      <c r="CN165" s="416">
        <f t="shared" si="1310"/>
        <v>0</v>
      </c>
      <c r="CO165" s="412">
        <f t="shared" si="1311"/>
        <v>0</v>
      </c>
      <c r="CP165" s="413">
        <f t="shared" si="1312"/>
        <v>0</v>
      </c>
      <c r="CQ165" s="410">
        <f t="shared" si="1313"/>
        <v>0</v>
      </c>
      <c r="CR165" s="416">
        <f t="shared" si="1314"/>
        <v>0</v>
      </c>
      <c r="CS165" s="416">
        <f t="shared" si="1315"/>
        <v>0</v>
      </c>
      <c r="CT165" s="412">
        <f t="shared" si="1316"/>
        <v>0</v>
      </c>
      <c r="CU165" s="413">
        <f t="shared" si="1317"/>
        <v>0</v>
      </c>
      <c r="CV165" s="410">
        <f t="shared" si="1318"/>
        <v>0</v>
      </c>
      <c r="CW165" s="416">
        <f t="shared" si="1319"/>
        <v>0</v>
      </c>
      <c r="CX165" s="416">
        <f t="shared" si="1320"/>
        <v>0</v>
      </c>
      <c r="CY165" s="412">
        <f t="shared" si="1321"/>
        <v>0</v>
      </c>
      <c r="CZ165" s="413">
        <f t="shared" si="1322"/>
        <v>0</v>
      </c>
      <c r="DA165" s="410">
        <f t="shared" si="1323"/>
        <v>0</v>
      </c>
      <c r="DB165" s="416">
        <f t="shared" si="1324"/>
        <v>0</v>
      </c>
      <c r="DC165" s="416">
        <f t="shared" si="1325"/>
        <v>0</v>
      </c>
      <c r="DD165" s="412">
        <f t="shared" si="1326"/>
        <v>0</v>
      </c>
      <c r="DE165" s="413">
        <f t="shared" si="1327"/>
        <v>0</v>
      </c>
      <c r="DF165" s="410">
        <f t="shared" si="1328"/>
        <v>0</v>
      </c>
      <c r="DG165" s="416">
        <f t="shared" si="1329"/>
        <v>0</v>
      </c>
      <c r="DH165" s="416">
        <f t="shared" si="1330"/>
        <v>0</v>
      </c>
      <c r="DI165" s="412">
        <f t="shared" si="1331"/>
        <v>0</v>
      </c>
      <c r="DJ165" s="413">
        <f t="shared" si="1332"/>
        <v>0</v>
      </c>
      <c r="DK165" s="410">
        <f t="shared" si="1333"/>
        <v>0</v>
      </c>
      <c r="DL165" s="416">
        <f t="shared" si="1334"/>
        <v>0</v>
      </c>
      <c r="DM165" s="416">
        <f t="shared" si="1335"/>
        <v>0</v>
      </c>
      <c r="DN165" s="412">
        <f t="shared" si="1336"/>
        <v>0</v>
      </c>
      <c r="DO165" s="413">
        <f t="shared" si="1337"/>
        <v>0</v>
      </c>
      <c r="DP165" s="410">
        <f t="shared" si="1338"/>
        <v>0</v>
      </c>
      <c r="DQ165" s="416">
        <f t="shared" si="1339"/>
        <v>0</v>
      </c>
      <c r="DR165" s="416">
        <f t="shared" si="1340"/>
        <v>0</v>
      </c>
      <c r="DS165" s="412">
        <f t="shared" si="1341"/>
        <v>0</v>
      </c>
      <c r="DT165" s="413">
        <f t="shared" si="1342"/>
        <v>0</v>
      </c>
    </row>
    <row r="166" spans="1:124" ht="12.75" customHeight="1">
      <c r="A166" s="491"/>
      <c r="C166" s="1885" t="s">
        <v>568</v>
      </c>
      <c r="D166" s="1885"/>
      <c r="E166" s="1886">
        <f t="shared" si="1343"/>
        <v>250</v>
      </c>
      <c r="F166" s="1532">
        <v>250</v>
      </c>
      <c r="G166" s="1532">
        <v>250</v>
      </c>
      <c r="H166" s="610">
        <v>2021</v>
      </c>
      <c r="I166" s="1533">
        <v>4.3999999999999997E-2</v>
      </c>
      <c r="J166" s="615">
        <v>2</v>
      </c>
      <c r="K166" s="402"/>
      <c r="L166" s="407">
        <f t="shared" si="1232"/>
        <v>0</v>
      </c>
      <c r="M166" s="404">
        <f t="shared" si="1233"/>
        <v>0</v>
      </c>
      <c r="N166" s="414">
        <f t="shared" si="1234"/>
        <v>0</v>
      </c>
      <c r="O166" s="414">
        <f t="shared" si="1235"/>
        <v>0</v>
      </c>
      <c r="P166" s="406">
        <f t="shared" si="1236"/>
        <v>0</v>
      </c>
      <c r="Q166" s="407">
        <f t="shared" si="1237"/>
        <v>0</v>
      </c>
      <c r="R166" s="404">
        <f t="shared" si="1238"/>
        <v>0</v>
      </c>
      <c r="S166" s="414">
        <f t="shared" si="1239"/>
        <v>0</v>
      </c>
      <c r="T166" s="414">
        <f t="shared" si="1240"/>
        <v>0</v>
      </c>
      <c r="U166" s="406">
        <f t="shared" si="1241"/>
        <v>0</v>
      </c>
      <c r="V166" s="407">
        <f t="shared" si="1242"/>
        <v>0</v>
      </c>
      <c r="W166" s="404">
        <f t="shared" si="1243"/>
        <v>0</v>
      </c>
      <c r="X166" s="414">
        <f t="shared" si="1244"/>
        <v>0</v>
      </c>
      <c r="Y166" s="414">
        <f t="shared" si="1245"/>
        <v>0</v>
      </c>
      <c r="Z166" s="406">
        <f t="shared" si="1246"/>
        <v>0</v>
      </c>
      <c r="AA166" s="407">
        <f t="shared" si="1247"/>
        <v>0</v>
      </c>
      <c r="AB166" s="404">
        <f t="shared" si="1248"/>
        <v>0</v>
      </c>
      <c r="AC166" s="414">
        <f t="shared" si="1249"/>
        <v>0</v>
      </c>
      <c r="AD166" s="414">
        <f t="shared" si="1250"/>
        <v>0</v>
      </c>
      <c r="AE166" s="406">
        <f t="shared" si="1251"/>
        <v>0</v>
      </c>
      <c r="AF166" s="407">
        <f t="shared" si="1252"/>
        <v>0</v>
      </c>
      <c r="AG166" s="404">
        <f t="shared" si="1253"/>
        <v>0</v>
      </c>
      <c r="AH166" s="414">
        <f t="shared" si="1254"/>
        <v>0</v>
      </c>
      <c r="AI166" s="414">
        <f t="shared" si="1255"/>
        <v>0</v>
      </c>
      <c r="AJ166" s="406">
        <f t="shared" si="1256"/>
        <v>0</v>
      </c>
      <c r="AK166" s="407">
        <f t="shared" si="1257"/>
        <v>0</v>
      </c>
      <c r="AL166" s="404">
        <f t="shared" si="1258"/>
        <v>0</v>
      </c>
      <c r="AM166" s="414">
        <f t="shared" si="1259"/>
        <v>0</v>
      </c>
      <c r="AN166" s="414">
        <f t="shared" si="1260"/>
        <v>0</v>
      </c>
      <c r="AO166" s="406">
        <f t="shared" si="1261"/>
        <v>0</v>
      </c>
      <c r="AP166" s="407">
        <f t="shared" si="1262"/>
        <v>0</v>
      </c>
      <c r="AQ166" s="404">
        <f t="shared" si="1263"/>
        <v>0</v>
      </c>
      <c r="AR166" s="414">
        <f t="shared" si="1344"/>
        <v>0</v>
      </c>
      <c r="AS166" s="414">
        <f t="shared" si="1264"/>
        <v>0</v>
      </c>
      <c r="AT166" s="406">
        <f t="shared" si="1265"/>
        <v>0</v>
      </c>
      <c r="AU166" s="407">
        <f t="shared" si="1266"/>
        <v>0</v>
      </c>
      <c r="AV166" s="404">
        <f t="shared" si="1267"/>
        <v>0</v>
      </c>
      <c r="AW166" s="414">
        <f t="shared" si="1268"/>
        <v>0</v>
      </c>
      <c r="AX166" s="414">
        <f t="shared" si="1269"/>
        <v>0</v>
      </c>
      <c r="AY166" s="406">
        <f t="shared" si="1270"/>
        <v>0</v>
      </c>
      <c r="AZ166" s="407">
        <f t="shared" si="1271"/>
        <v>0</v>
      </c>
      <c r="BA166" s="404">
        <f t="shared" si="1272"/>
        <v>0</v>
      </c>
      <c r="BB166" s="414">
        <f t="shared" si="1273"/>
        <v>0</v>
      </c>
      <c r="BC166" s="414">
        <f t="shared" si="1274"/>
        <v>0</v>
      </c>
      <c r="BD166" s="406">
        <f t="shared" si="1275"/>
        <v>0</v>
      </c>
      <c r="BE166" s="407">
        <f t="shared" si="1276"/>
        <v>0</v>
      </c>
      <c r="BF166" s="404">
        <f t="shared" si="1277"/>
        <v>0</v>
      </c>
      <c r="BG166" s="414">
        <f t="shared" si="1278"/>
        <v>0</v>
      </c>
      <c r="BH166" s="414">
        <f t="shared" si="1279"/>
        <v>0</v>
      </c>
      <c r="BI166" s="406">
        <f t="shared" si="1280"/>
        <v>0</v>
      </c>
      <c r="BJ166" s="407">
        <f t="shared" si="1281"/>
        <v>0</v>
      </c>
      <c r="BK166" s="404">
        <f t="shared" si="1282"/>
        <v>-250</v>
      </c>
      <c r="BL166" s="414">
        <f t="shared" si="1283"/>
        <v>0</v>
      </c>
      <c r="BM166" s="414">
        <f t="shared" si="1284"/>
        <v>0</v>
      </c>
      <c r="BN166" s="406">
        <f t="shared" si="1285"/>
        <v>0</v>
      </c>
      <c r="BO166" s="407">
        <f t="shared" si="1286"/>
        <v>-250</v>
      </c>
      <c r="BP166" s="449"/>
      <c r="BQ166" s="413">
        <f t="shared" si="1287"/>
        <v>0</v>
      </c>
      <c r="BR166" s="410">
        <f t="shared" si="1288"/>
        <v>0</v>
      </c>
      <c r="BS166" s="416">
        <f t="shared" si="1289"/>
        <v>0</v>
      </c>
      <c r="BT166" s="416">
        <f t="shared" si="1290"/>
        <v>0</v>
      </c>
      <c r="BU166" s="412">
        <f t="shared" si="1291"/>
        <v>0</v>
      </c>
      <c r="BV166" s="413">
        <f t="shared" si="1292"/>
        <v>0</v>
      </c>
      <c r="BW166" s="410">
        <f t="shared" si="1293"/>
        <v>0</v>
      </c>
      <c r="BX166" s="416">
        <f t="shared" si="1294"/>
        <v>0</v>
      </c>
      <c r="BY166" s="416">
        <f t="shared" si="1295"/>
        <v>0</v>
      </c>
      <c r="BZ166" s="412">
        <f t="shared" si="1296"/>
        <v>0</v>
      </c>
      <c r="CA166" s="413">
        <f t="shared" si="1297"/>
        <v>0</v>
      </c>
      <c r="CB166" s="410">
        <f t="shared" si="1298"/>
        <v>0</v>
      </c>
      <c r="CC166" s="416">
        <f t="shared" si="1299"/>
        <v>0</v>
      </c>
      <c r="CD166" s="416">
        <f t="shared" si="1300"/>
        <v>0</v>
      </c>
      <c r="CE166" s="412">
        <f t="shared" si="1301"/>
        <v>0</v>
      </c>
      <c r="CF166" s="413">
        <f t="shared" si="1302"/>
        <v>0</v>
      </c>
      <c r="CG166" s="410">
        <f t="shared" si="1303"/>
        <v>0</v>
      </c>
      <c r="CH166" s="416">
        <f t="shared" si="1304"/>
        <v>0</v>
      </c>
      <c r="CI166" s="416">
        <f t="shared" si="1305"/>
        <v>0</v>
      </c>
      <c r="CJ166" s="412">
        <f t="shared" si="1306"/>
        <v>0</v>
      </c>
      <c r="CK166" s="413">
        <f t="shared" si="1307"/>
        <v>0</v>
      </c>
      <c r="CL166" s="410">
        <f t="shared" si="1308"/>
        <v>0</v>
      </c>
      <c r="CM166" s="416">
        <f t="shared" si="1309"/>
        <v>0</v>
      </c>
      <c r="CN166" s="416">
        <f t="shared" si="1310"/>
        <v>0</v>
      </c>
      <c r="CO166" s="412">
        <f t="shared" si="1311"/>
        <v>0</v>
      </c>
      <c r="CP166" s="413">
        <f t="shared" si="1312"/>
        <v>0</v>
      </c>
      <c r="CQ166" s="410">
        <f t="shared" si="1313"/>
        <v>0</v>
      </c>
      <c r="CR166" s="416">
        <f t="shared" si="1314"/>
        <v>0</v>
      </c>
      <c r="CS166" s="416">
        <f t="shared" si="1315"/>
        <v>0</v>
      </c>
      <c r="CT166" s="412">
        <f t="shared" si="1316"/>
        <v>0</v>
      </c>
      <c r="CU166" s="413">
        <f t="shared" si="1317"/>
        <v>0</v>
      </c>
      <c r="CV166" s="410">
        <f t="shared" si="1318"/>
        <v>0</v>
      </c>
      <c r="CW166" s="416">
        <f t="shared" si="1319"/>
        <v>0</v>
      </c>
      <c r="CX166" s="416">
        <f t="shared" si="1320"/>
        <v>0</v>
      </c>
      <c r="CY166" s="412">
        <f t="shared" si="1321"/>
        <v>0</v>
      </c>
      <c r="CZ166" s="413">
        <f t="shared" si="1322"/>
        <v>0</v>
      </c>
      <c r="DA166" s="410">
        <f t="shared" si="1323"/>
        <v>0</v>
      </c>
      <c r="DB166" s="416">
        <f t="shared" si="1324"/>
        <v>0</v>
      </c>
      <c r="DC166" s="416">
        <f t="shared" si="1325"/>
        <v>0</v>
      </c>
      <c r="DD166" s="412">
        <f t="shared" si="1326"/>
        <v>0</v>
      </c>
      <c r="DE166" s="413">
        <f t="shared" si="1327"/>
        <v>0</v>
      </c>
      <c r="DF166" s="410">
        <f t="shared" si="1328"/>
        <v>0</v>
      </c>
      <c r="DG166" s="416">
        <f t="shared" si="1329"/>
        <v>0</v>
      </c>
      <c r="DH166" s="416">
        <f t="shared" si="1330"/>
        <v>0</v>
      </c>
      <c r="DI166" s="412">
        <f t="shared" si="1331"/>
        <v>0</v>
      </c>
      <c r="DJ166" s="413">
        <f t="shared" si="1332"/>
        <v>0</v>
      </c>
      <c r="DK166" s="410">
        <f t="shared" si="1333"/>
        <v>0</v>
      </c>
      <c r="DL166" s="416">
        <f t="shared" si="1334"/>
        <v>0</v>
      </c>
      <c r="DM166" s="416">
        <f t="shared" si="1335"/>
        <v>0</v>
      </c>
      <c r="DN166" s="412">
        <f t="shared" si="1336"/>
        <v>0</v>
      </c>
      <c r="DO166" s="413">
        <f t="shared" si="1337"/>
        <v>0</v>
      </c>
      <c r="DP166" s="410">
        <f t="shared" si="1338"/>
        <v>-1.8333333333333333</v>
      </c>
      <c r="DQ166" s="416">
        <f t="shared" si="1339"/>
        <v>-2.75</v>
      </c>
      <c r="DR166" s="416">
        <f t="shared" si="1340"/>
        <v>-2.75</v>
      </c>
      <c r="DS166" s="412">
        <f t="shared" si="1341"/>
        <v>-2.75</v>
      </c>
      <c r="DT166" s="413">
        <f t="shared" si="1342"/>
        <v>-10.083333333333334</v>
      </c>
    </row>
    <row r="167" spans="1:124" ht="12.75" customHeight="1">
      <c r="A167" s="491"/>
      <c r="C167" s="1885" t="s">
        <v>1101</v>
      </c>
      <c r="D167" s="1885"/>
      <c r="E167" s="1886">
        <f t="shared" si="1343"/>
        <v>125</v>
      </c>
      <c r="F167" s="1532">
        <v>125</v>
      </c>
      <c r="G167" s="1532">
        <v>125</v>
      </c>
      <c r="H167" s="610">
        <v>2025</v>
      </c>
      <c r="I167" s="1533">
        <v>3.1699999999999999E-2</v>
      </c>
      <c r="J167" s="617">
        <v>3</v>
      </c>
      <c r="K167" s="402"/>
      <c r="L167" s="407">
        <f t="shared" si="1232"/>
        <v>0</v>
      </c>
      <c r="M167" s="404">
        <f t="shared" si="1233"/>
        <v>0</v>
      </c>
      <c r="N167" s="414">
        <f t="shared" si="1234"/>
        <v>0</v>
      </c>
      <c r="O167" s="414">
        <f t="shared" si="1235"/>
        <v>0</v>
      </c>
      <c r="P167" s="406">
        <f t="shared" si="1236"/>
        <v>0</v>
      </c>
      <c r="Q167" s="407">
        <f t="shared" si="1237"/>
        <v>0</v>
      </c>
      <c r="R167" s="404">
        <f t="shared" si="1238"/>
        <v>0</v>
      </c>
      <c r="S167" s="414">
        <f t="shared" si="1239"/>
        <v>0</v>
      </c>
      <c r="T167" s="414">
        <f t="shared" si="1240"/>
        <v>0</v>
      </c>
      <c r="U167" s="406">
        <f t="shared" si="1241"/>
        <v>0</v>
      </c>
      <c r="V167" s="407">
        <f t="shared" si="1242"/>
        <v>0</v>
      </c>
      <c r="W167" s="404">
        <f t="shared" si="1243"/>
        <v>0</v>
      </c>
      <c r="X167" s="414">
        <f t="shared" si="1244"/>
        <v>0</v>
      </c>
      <c r="Y167" s="414">
        <f t="shared" si="1245"/>
        <v>0</v>
      </c>
      <c r="Z167" s="406">
        <f t="shared" si="1246"/>
        <v>0</v>
      </c>
      <c r="AA167" s="407">
        <f t="shared" si="1247"/>
        <v>0</v>
      </c>
      <c r="AB167" s="404">
        <f t="shared" si="1248"/>
        <v>0</v>
      </c>
      <c r="AC167" s="414">
        <f t="shared" si="1249"/>
        <v>0</v>
      </c>
      <c r="AD167" s="414">
        <f t="shared" si="1250"/>
        <v>0</v>
      </c>
      <c r="AE167" s="406">
        <f t="shared" si="1251"/>
        <v>0</v>
      </c>
      <c r="AF167" s="407">
        <f t="shared" si="1252"/>
        <v>0</v>
      </c>
      <c r="AG167" s="404">
        <f t="shared" si="1253"/>
        <v>0</v>
      </c>
      <c r="AH167" s="414">
        <f t="shared" si="1254"/>
        <v>0</v>
      </c>
      <c r="AI167" s="414">
        <f t="shared" si="1255"/>
        <v>0</v>
      </c>
      <c r="AJ167" s="406">
        <f t="shared" si="1256"/>
        <v>0</v>
      </c>
      <c r="AK167" s="407">
        <f t="shared" si="1257"/>
        <v>0</v>
      </c>
      <c r="AL167" s="404">
        <f t="shared" si="1258"/>
        <v>0</v>
      </c>
      <c r="AM167" s="414">
        <f t="shared" si="1259"/>
        <v>0</v>
      </c>
      <c r="AN167" s="414">
        <f t="shared" si="1260"/>
        <v>0</v>
      </c>
      <c r="AO167" s="406">
        <f t="shared" si="1261"/>
        <v>0</v>
      </c>
      <c r="AP167" s="407">
        <f t="shared" si="1262"/>
        <v>0</v>
      </c>
      <c r="AQ167" s="404">
        <f t="shared" si="1263"/>
        <v>0</v>
      </c>
      <c r="AR167" s="414">
        <f t="shared" si="1344"/>
        <v>0</v>
      </c>
      <c r="AS167" s="414">
        <f t="shared" si="1264"/>
        <v>0</v>
      </c>
      <c r="AT167" s="406">
        <f t="shared" si="1265"/>
        <v>0</v>
      </c>
      <c r="AU167" s="407">
        <f t="shared" si="1266"/>
        <v>0</v>
      </c>
      <c r="AV167" s="404">
        <f t="shared" si="1267"/>
        <v>0</v>
      </c>
      <c r="AW167" s="414">
        <f t="shared" si="1268"/>
        <v>0</v>
      </c>
      <c r="AX167" s="414">
        <f t="shared" si="1269"/>
        <v>0</v>
      </c>
      <c r="AY167" s="406">
        <f t="shared" si="1270"/>
        <v>0</v>
      </c>
      <c r="AZ167" s="407">
        <f t="shared" si="1271"/>
        <v>0</v>
      </c>
      <c r="BA167" s="404">
        <f t="shared" si="1272"/>
        <v>0</v>
      </c>
      <c r="BB167" s="414">
        <f t="shared" si="1273"/>
        <v>0</v>
      </c>
      <c r="BC167" s="414">
        <f t="shared" si="1274"/>
        <v>0</v>
      </c>
      <c r="BD167" s="406">
        <f t="shared" si="1275"/>
        <v>0</v>
      </c>
      <c r="BE167" s="407">
        <f t="shared" si="1276"/>
        <v>0</v>
      </c>
      <c r="BF167" s="404">
        <f t="shared" si="1277"/>
        <v>0</v>
      </c>
      <c r="BG167" s="414">
        <f t="shared" si="1278"/>
        <v>0</v>
      </c>
      <c r="BH167" s="414">
        <f t="shared" si="1279"/>
        <v>0</v>
      </c>
      <c r="BI167" s="406">
        <f t="shared" si="1280"/>
        <v>0</v>
      </c>
      <c r="BJ167" s="407">
        <f t="shared" si="1281"/>
        <v>0</v>
      </c>
      <c r="BK167" s="404">
        <f t="shared" si="1282"/>
        <v>0</v>
      </c>
      <c r="BL167" s="414">
        <f t="shared" si="1283"/>
        <v>0</v>
      </c>
      <c r="BM167" s="414">
        <f t="shared" si="1284"/>
        <v>0</v>
      </c>
      <c r="BN167" s="406">
        <f t="shared" si="1285"/>
        <v>0</v>
      </c>
      <c r="BO167" s="407">
        <f t="shared" si="1286"/>
        <v>0</v>
      </c>
      <c r="BP167" s="449"/>
      <c r="BQ167" s="413">
        <f t="shared" si="1287"/>
        <v>0</v>
      </c>
      <c r="BR167" s="410">
        <f t="shared" si="1288"/>
        <v>0</v>
      </c>
      <c r="BS167" s="416">
        <f t="shared" si="1289"/>
        <v>0</v>
      </c>
      <c r="BT167" s="416">
        <f t="shared" si="1290"/>
        <v>0</v>
      </c>
      <c r="BU167" s="412">
        <f t="shared" si="1291"/>
        <v>0</v>
      </c>
      <c r="BV167" s="413">
        <f t="shared" si="1292"/>
        <v>0</v>
      </c>
      <c r="BW167" s="410">
        <f t="shared" si="1293"/>
        <v>0</v>
      </c>
      <c r="BX167" s="416">
        <f t="shared" si="1294"/>
        <v>0</v>
      </c>
      <c r="BY167" s="416">
        <f t="shared" si="1295"/>
        <v>0</v>
      </c>
      <c r="BZ167" s="412">
        <f t="shared" si="1296"/>
        <v>0</v>
      </c>
      <c r="CA167" s="413">
        <f t="shared" si="1297"/>
        <v>0</v>
      </c>
      <c r="CB167" s="410">
        <f t="shared" si="1298"/>
        <v>0</v>
      </c>
      <c r="CC167" s="416">
        <f t="shared" si="1299"/>
        <v>0</v>
      </c>
      <c r="CD167" s="416">
        <f t="shared" si="1300"/>
        <v>0</v>
      </c>
      <c r="CE167" s="412">
        <f t="shared" si="1301"/>
        <v>0</v>
      </c>
      <c r="CF167" s="413">
        <f t="shared" si="1302"/>
        <v>0</v>
      </c>
      <c r="CG167" s="410">
        <f t="shared" si="1303"/>
        <v>0</v>
      </c>
      <c r="CH167" s="416">
        <f t="shared" si="1304"/>
        <v>0</v>
      </c>
      <c r="CI167" s="416">
        <f t="shared" si="1305"/>
        <v>0</v>
      </c>
      <c r="CJ167" s="412">
        <f t="shared" si="1306"/>
        <v>0</v>
      </c>
      <c r="CK167" s="413">
        <f t="shared" si="1307"/>
        <v>0</v>
      </c>
      <c r="CL167" s="410">
        <f t="shared" si="1308"/>
        <v>0</v>
      </c>
      <c r="CM167" s="416">
        <f t="shared" si="1309"/>
        <v>0</v>
      </c>
      <c r="CN167" s="416">
        <f t="shared" si="1310"/>
        <v>0</v>
      </c>
      <c r="CO167" s="412">
        <f t="shared" si="1311"/>
        <v>0</v>
      </c>
      <c r="CP167" s="413">
        <f t="shared" si="1312"/>
        <v>0</v>
      </c>
      <c r="CQ167" s="410">
        <f t="shared" si="1313"/>
        <v>0</v>
      </c>
      <c r="CR167" s="416">
        <f t="shared" si="1314"/>
        <v>0</v>
      </c>
      <c r="CS167" s="416">
        <f t="shared" si="1315"/>
        <v>0</v>
      </c>
      <c r="CT167" s="412">
        <f t="shared" si="1316"/>
        <v>0</v>
      </c>
      <c r="CU167" s="413">
        <f t="shared" si="1317"/>
        <v>0</v>
      </c>
      <c r="CV167" s="410">
        <f t="shared" si="1318"/>
        <v>0</v>
      </c>
      <c r="CW167" s="416">
        <f t="shared" si="1319"/>
        <v>0</v>
      </c>
      <c r="CX167" s="416">
        <f t="shared" si="1320"/>
        <v>0</v>
      </c>
      <c r="CY167" s="412">
        <f t="shared" si="1321"/>
        <v>0</v>
      </c>
      <c r="CZ167" s="413">
        <f t="shared" si="1322"/>
        <v>0</v>
      </c>
      <c r="DA167" s="410">
        <f t="shared" si="1323"/>
        <v>0</v>
      </c>
      <c r="DB167" s="416">
        <f t="shared" si="1324"/>
        <v>0</v>
      </c>
      <c r="DC167" s="416">
        <f t="shared" si="1325"/>
        <v>0</v>
      </c>
      <c r="DD167" s="412">
        <f t="shared" si="1326"/>
        <v>0</v>
      </c>
      <c r="DE167" s="413">
        <f t="shared" si="1327"/>
        <v>0</v>
      </c>
      <c r="DF167" s="410">
        <f t="shared" si="1328"/>
        <v>0</v>
      </c>
      <c r="DG167" s="416">
        <f t="shared" si="1329"/>
        <v>0</v>
      </c>
      <c r="DH167" s="416">
        <f t="shared" si="1330"/>
        <v>0</v>
      </c>
      <c r="DI167" s="412">
        <f t="shared" si="1331"/>
        <v>0</v>
      </c>
      <c r="DJ167" s="413">
        <f t="shared" si="1332"/>
        <v>0</v>
      </c>
      <c r="DK167" s="410">
        <f t="shared" si="1333"/>
        <v>0</v>
      </c>
      <c r="DL167" s="416">
        <f t="shared" si="1334"/>
        <v>0</v>
      </c>
      <c r="DM167" s="416">
        <f t="shared" si="1335"/>
        <v>0</v>
      </c>
      <c r="DN167" s="412">
        <f t="shared" si="1336"/>
        <v>0</v>
      </c>
      <c r="DO167" s="413">
        <f t="shared" si="1337"/>
        <v>0</v>
      </c>
      <c r="DP167" s="410">
        <f t="shared" si="1338"/>
        <v>0</v>
      </c>
      <c r="DQ167" s="416">
        <f t="shared" si="1339"/>
        <v>0</v>
      </c>
      <c r="DR167" s="416">
        <f t="shared" si="1340"/>
        <v>0</v>
      </c>
      <c r="DS167" s="412">
        <f t="shared" si="1341"/>
        <v>0</v>
      </c>
      <c r="DT167" s="413">
        <f t="shared" si="1342"/>
        <v>0</v>
      </c>
    </row>
    <row r="168" spans="1:124" ht="12.75" customHeight="1">
      <c r="A168" s="491"/>
      <c r="C168" s="1885" t="s">
        <v>1103</v>
      </c>
      <c r="D168" s="1885"/>
      <c r="E168" s="1886">
        <f t="shared" si="1343"/>
        <v>125</v>
      </c>
      <c r="F168" s="1532">
        <v>125</v>
      </c>
      <c r="G168" s="1532">
        <v>125</v>
      </c>
      <c r="H168" s="610">
        <v>2045</v>
      </c>
      <c r="I168" s="1533">
        <v>4.0899999999999999E-2</v>
      </c>
      <c r="J168" s="617">
        <v>3</v>
      </c>
      <c r="K168" s="402"/>
      <c r="L168" s="407">
        <f t="shared" si="1232"/>
        <v>0</v>
      </c>
      <c r="M168" s="404">
        <f t="shared" si="1233"/>
        <v>0</v>
      </c>
      <c r="N168" s="414">
        <f t="shared" si="1234"/>
        <v>0</v>
      </c>
      <c r="O168" s="414">
        <f t="shared" si="1235"/>
        <v>0</v>
      </c>
      <c r="P168" s="406">
        <f t="shared" si="1236"/>
        <v>0</v>
      </c>
      <c r="Q168" s="407">
        <f t="shared" si="1237"/>
        <v>0</v>
      </c>
      <c r="R168" s="404">
        <f t="shared" si="1238"/>
        <v>0</v>
      </c>
      <c r="S168" s="414">
        <f t="shared" si="1239"/>
        <v>0</v>
      </c>
      <c r="T168" s="414">
        <f t="shared" si="1240"/>
        <v>0</v>
      </c>
      <c r="U168" s="406">
        <f t="shared" si="1241"/>
        <v>0</v>
      </c>
      <c r="V168" s="407">
        <f t="shared" si="1242"/>
        <v>0</v>
      </c>
      <c r="W168" s="404">
        <f t="shared" si="1243"/>
        <v>0</v>
      </c>
      <c r="X168" s="414">
        <f t="shared" si="1244"/>
        <v>0</v>
      </c>
      <c r="Y168" s="414">
        <f t="shared" si="1245"/>
        <v>0</v>
      </c>
      <c r="Z168" s="406">
        <f t="shared" si="1246"/>
        <v>0</v>
      </c>
      <c r="AA168" s="407">
        <f t="shared" si="1247"/>
        <v>0</v>
      </c>
      <c r="AB168" s="404">
        <f t="shared" si="1248"/>
        <v>0</v>
      </c>
      <c r="AC168" s="414">
        <f t="shared" si="1249"/>
        <v>0</v>
      </c>
      <c r="AD168" s="414">
        <f t="shared" si="1250"/>
        <v>0</v>
      </c>
      <c r="AE168" s="406">
        <f t="shared" si="1251"/>
        <v>0</v>
      </c>
      <c r="AF168" s="407">
        <f t="shared" si="1252"/>
        <v>0</v>
      </c>
      <c r="AG168" s="404">
        <f t="shared" si="1253"/>
        <v>0</v>
      </c>
      <c r="AH168" s="414">
        <f t="shared" si="1254"/>
        <v>0</v>
      </c>
      <c r="AI168" s="414">
        <f t="shared" si="1255"/>
        <v>0</v>
      </c>
      <c r="AJ168" s="406">
        <f t="shared" si="1256"/>
        <v>0</v>
      </c>
      <c r="AK168" s="407">
        <f t="shared" si="1257"/>
        <v>0</v>
      </c>
      <c r="AL168" s="404">
        <f t="shared" si="1258"/>
        <v>0</v>
      </c>
      <c r="AM168" s="414">
        <f t="shared" si="1259"/>
        <v>0</v>
      </c>
      <c r="AN168" s="414">
        <f t="shared" si="1260"/>
        <v>0</v>
      </c>
      <c r="AO168" s="406">
        <f t="shared" si="1261"/>
        <v>0</v>
      </c>
      <c r="AP168" s="407">
        <f t="shared" si="1262"/>
        <v>0</v>
      </c>
      <c r="AQ168" s="404">
        <f t="shared" si="1263"/>
        <v>0</v>
      </c>
      <c r="AR168" s="414">
        <f t="shared" si="1344"/>
        <v>0</v>
      </c>
      <c r="AS168" s="414">
        <f t="shared" si="1264"/>
        <v>0</v>
      </c>
      <c r="AT168" s="406">
        <f t="shared" si="1265"/>
        <v>0</v>
      </c>
      <c r="AU168" s="407">
        <f t="shared" si="1266"/>
        <v>0</v>
      </c>
      <c r="AV168" s="404">
        <f t="shared" si="1267"/>
        <v>0</v>
      </c>
      <c r="AW168" s="414">
        <f t="shared" si="1268"/>
        <v>0</v>
      </c>
      <c r="AX168" s="414">
        <f t="shared" si="1269"/>
        <v>0</v>
      </c>
      <c r="AY168" s="406">
        <f t="shared" si="1270"/>
        <v>0</v>
      </c>
      <c r="AZ168" s="407">
        <f t="shared" si="1271"/>
        <v>0</v>
      </c>
      <c r="BA168" s="404">
        <f t="shared" si="1272"/>
        <v>0</v>
      </c>
      <c r="BB168" s="414">
        <f t="shared" si="1273"/>
        <v>0</v>
      </c>
      <c r="BC168" s="414">
        <f t="shared" si="1274"/>
        <v>0</v>
      </c>
      <c r="BD168" s="406">
        <f t="shared" si="1275"/>
        <v>0</v>
      </c>
      <c r="BE168" s="407">
        <f t="shared" si="1276"/>
        <v>0</v>
      </c>
      <c r="BF168" s="404">
        <f t="shared" si="1277"/>
        <v>0</v>
      </c>
      <c r="BG168" s="414">
        <f t="shared" si="1278"/>
        <v>0</v>
      </c>
      <c r="BH168" s="414">
        <f t="shared" si="1279"/>
        <v>0</v>
      </c>
      <c r="BI168" s="406">
        <f t="shared" si="1280"/>
        <v>0</v>
      </c>
      <c r="BJ168" s="407">
        <f t="shared" si="1281"/>
        <v>0</v>
      </c>
      <c r="BK168" s="404">
        <f t="shared" si="1282"/>
        <v>0</v>
      </c>
      <c r="BL168" s="414">
        <f t="shared" si="1283"/>
        <v>0</v>
      </c>
      <c r="BM168" s="414">
        <f t="shared" si="1284"/>
        <v>0</v>
      </c>
      <c r="BN168" s="406">
        <f t="shared" si="1285"/>
        <v>0</v>
      </c>
      <c r="BO168" s="407">
        <f t="shared" si="1286"/>
        <v>0</v>
      </c>
      <c r="BP168" s="449"/>
      <c r="BQ168" s="413">
        <f t="shared" si="1287"/>
        <v>0</v>
      </c>
      <c r="BR168" s="410">
        <f t="shared" si="1288"/>
        <v>0</v>
      </c>
      <c r="BS168" s="416">
        <f t="shared" si="1289"/>
        <v>0</v>
      </c>
      <c r="BT168" s="416">
        <f t="shared" si="1290"/>
        <v>0</v>
      </c>
      <c r="BU168" s="412">
        <f t="shared" si="1291"/>
        <v>0</v>
      </c>
      <c r="BV168" s="413">
        <f t="shared" si="1292"/>
        <v>0</v>
      </c>
      <c r="BW168" s="410">
        <f t="shared" si="1293"/>
        <v>0</v>
      </c>
      <c r="BX168" s="416">
        <f t="shared" si="1294"/>
        <v>0</v>
      </c>
      <c r="BY168" s="416">
        <f t="shared" si="1295"/>
        <v>0</v>
      </c>
      <c r="BZ168" s="412">
        <f t="shared" si="1296"/>
        <v>0</v>
      </c>
      <c r="CA168" s="413">
        <f t="shared" si="1297"/>
        <v>0</v>
      </c>
      <c r="CB168" s="410">
        <f t="shared" si="1298"/>
        <v>0</v>
      </c>
      <c r="CC168" s="416">
        <f t="shared" si="1299"/>
        <v>0</v>
      </c>
      <c r="CD168" s="416">
        <f t="shared" si="1300"/>
        <v>0</v>
      </c>
      <c r="CE168" s="412">
        <f t="shared" si="1301"/>
        <v>0</v>
      </c>
      <c r="CF168" s="413">
        <f t="shared" si="1302"/>
        <v>0</v>
      </c>
      <c r="CG168" s="410">
        <f t="shared" si="1303"/>
        <v>0</v>
      </c>
      <c r="CH168" s="416">
        <f t="shared" si="1304"/>
        <v>0</v>
      </c>
      <c r="CI168" s="416">
        <f t="shared" si="1305"/>
        <v>0</v>
      </c>
      <c r="CJ168" s="412">
        <f t="shared" si="1306"/>
        <v>0</v>
      </c>
      <c r="CK168" s="413">
        <f t="shared" si="1307"/>
        <v>0</v>
      </c>
      <c r="CL168" s="410">
        <f t="shared" si="1308"/>
        <v>0</v>
      </c>
      <c r="CM168" s="416">
        <f t="shared" si="1309"/>
        <v>0</v>
      </c>
      <c r="CN168" s="416">
        <f t="shared" si="1310"/>
        <v>0</v>
      </c>
      <c r="CO168" s="412">
        <f t="shared" si="1311"/>
        <v>0</v>
      </c>
      <c r="CP168" s="413">
        <f t="shared" si="1312"/>
        <v>0</v>
      </c>
      <c r="CQ168" s="410">
        <f t="shared" si="1313"/>
        <v>0</v>
      </c>
      <c r="CR168" s="416">
        <f t="shared" si="1314"/>
        <v>0</v>
      </c>
      <c r="CS168" s="416">
        <f t="shared" si="1315"/>
        <v>0</v>
      </c>
      <c r="CT168" s="412">
        <f t="shared" si="1316"/>
        <v>0</v>
      </c>
      <c r="CU168" s="413">
        <f t="shared" si="1317"/>
        <v>0</v>
      </c>
      <c r="CV168" s="410">
        <f t="shared" si="1318"/>
        <v>0</v>
      </c>
      <c r="CW168" s="416">
        <f t="shared" si="1319"/>
        <v>0</v>
      </c>
      <c r="CX168" s="416">
        <f t="shared" si="1320"/>
        <v>0</v>
      </c>
      <c r="CY168" s="412">
        <f t="shared" si="1321"/>
        <v>0</v>
      </c>
      <c r="CZ168" s="413">
        <f t="shared" si="1322"/>
        <v>0</v>
      </c>
      <c r="DA168" s="410">
        <f t="shared" si="1323"/>
        <v>0</v>
      </c>
      <c r="DB168" s="416">
        <f t="shared" si="1324"/>
        <v>0</v>
      </c>
      <c r="DC168" s="416">
        <f t="shared" si="1325"/>
        <v>0</v>
      </c>
      <c r="DD168" s="412">
        <f t="shared" si="1326"/>
        <v>0</v>
      </c>
      <c r="DE168" s="413">
        <f t="shared" si="1327"/>
        <v>0</v>
      </c>
      <c r="DF168" s="410">
        <f t="shared" si="1328"/>
        <v>0</v>
      </c>
      <c r="DG168" s="416">
        <f t="shared" si="1329"/>
        <v>0</v>
      </c>
      <c r="DH168" s="416">
        <f t="shared" si="1330"/>
        <v>0</v>
      </c>
      <c r="DI168" s="412">
        <f t="shared" si="1331"/>
        <v>0</v>
      </c>
      <c r="DJ168" s="413">
        <f t="shared" si="1332"/>
        <v>0</v>
      </c>
      <c r="DK168" s="410">
        <f t="shared" si="1333"/>
        <v>0</v>
      </c>
      <c r="DL168" s="416">
        <f t="shared" si="1334"/>
        <v>0</v>
      </c>
      <c r="DM168" s="416">
        <f t="shared" si="1335"/>
        <v>0</v>
      </c>
      <c r="DN168" s="412">
        <f t="shared" si="1336"/>
        <v>0</v>
      </c>
      <c r="DO168" s="413">
        <f t="shared" si="1337"/>
        <v>0</v>
      </c>
      <c r="DP168" s="410">
        <f t="shared" si="1338"/>
        <v>0</v>
      </c>
      <c r="DQ168" s="416">
        <f t="shared" si="1339"/>
        <v>0</v>
      </c>
      <c r="DR168" s="416">
        <f t="shared" si="1340"/>
        <v>0</v>
      </c>
      <c r="DS168" s="412">
        <f t="shared" si="1341"/>
        <v>0</v>
      </c>
      <c r="DT168" s="413">
        <f t="shared" si="1342"/>
        <v>0</v>
      </c>
    </row>
    <row r="169" spans="1:124" ht="12.75" customHeight="1">
      <c r="A169" s="491"/>
      <c r="C169" s="1885" t="s">
        <v>1275</v>
      </c>
      <c r="D169" s="1885"/>
      <c r="E169" s="1886">
        <f t="shared" si="1343"/>
        <v>50</v>
      </c>
      <c r="F169" s="1532">
        <v>50</v>
      </c>
      <c r="G169" s="1532">
        <v>50</v>
      </c>
      <c r="H169" s="610">
        <v>2026</v>
      </c>
      <c r="I169" s="830">
        <v>3.0499999999999999E-2</v>
      </c>
      <c r="J169" s="617">
        <v>9</v>
      </c>
      <c r="K169" s="402"/>
      <c r="L169" s="407">
        <f t="shared" si="1232"/>
        <v>0</v>
      </c>
      <c r="M169" s="404">
        <f t="shared" si="1233"/>
        <v>0</v>
      </c>
      <c r="N169" s="414">
        <f t="shared" si="1234"/>
        <v>0</v>
      </c>
      <c r="O169" s="414">
        <f t="shared" si="1235"/>
        <v>0</v>
      </c>
      <c r="P169" s="406">
        <f t="shared" si="1236"/>
        <v>0</v>
      </c>
      <c r="Q169" s="407">
        <f t="shared" si="1237"/>
        <v>0</v>
      </c>
      <c r="R169" s="404">
        <f t="shared" si="1238"/>
        <v>0</v>
      </c>
      <c r="S169" s="414">
        <f t="shared" si="1239"/>
        <v>0</v>
      </c>
      <c r="T169" s="414">
        <f t="shared" si="1240"/>
        <v>0</v>
      </c>
      <c r="U169" s="406">
        <f t="shared" si="1241"/>
        <v>0</v>
      </c>
      <c r="V169" s="407">
        <f t="shared" si="1242"/>
        <v>0</v>
      </c>
      <c r="W169" s="404">
        <f t="shared" si="1243"/>
        <v>0</v>
      </c>
      <c r="X169" s="414">
        <f t="shared" si="1244"/>
        <v>0</v>
      </c>
      <c r="Y169" s="414">
        <f t="shared" si="1245"/>
        <v>0</v>
      </c>
      <c r="Z169" s="406">
        <f t="shared" si="1246"/>
        <v>0</v>
      </c>
      <c r="AA169" s="407">
        <f t="shared" si="1247"/>
        <v>0</v>
      </c>
      <c r="AB169" s="404">
        <f t="shared" si="1248"/>
        <v>0</v>
      </c>
      <c r="AC169" s="414">
        <f t="shared" si="1249"/>
        <v>0</v>
      </c>
      <c r="AD169" s="414">
        <f t="shared" si="1250"/>
        <v>0</v>
      </c>
      <c r="AE169" s="406">
        <f t="shared" si="1251"/>
        <v>0</v>
      </c>
      <c r="AF169" s="407">
        <f t="shared" si="1252"/>
        <v>0</v>
      </c>
      <c r="AG169" s="404">
        <f t="shared" si="1253"/>
        <v>0</v>
      </c>
      <c r="AH169" s="414">
        <f t="shared" si="1254"/>
        <v>0</v>
      </c>
      <c r="AI169" s="414">
        <f t="shared" si="1255"/>
        <v>0</v>
      </c>
      <c r="AJ169" s="406">
        <f t="shared" si="1256"/>
        <v>0</v>
      </c>
      <c r="AK169" s="407">
        <f t="shared" si="1257"/>
        <v>0</v>
      </c>
      <c r="AL169" s="404">
        <f t="shared" si="1258"/>
        <v>0</v>
      </c>
      <c r="AM169" s="414">
        <f t="shared" si="1259"/>
        <v>0</v>
      </c>
      <c r="AN169" s="414">
        <f t="shared" si="1260"/>
        <v>0</v>
      </c>
      <c r="AO169" s="406">
        <f t="shared" si="1261"/>
        <v>0</v>
      </c>
      <c r="AP169" s="407">
        <f t="shared" si="1262"/>
        <v>0</v>
      </c>
      <c r="AQ169" s="404">
        <f t="shared" si="1263"/>
        <v>0</v>
      </c>
      <c r="AR169" s="414">
        <f t="shared" si="1344"/>
        <v>0</v>
      </c>
      <c r="AS169" s="414">
        <f t="shared" si="1264"/>
        <v>0</v>
      </c>
      <c r="AT169" s="406">
        <f t="shared" si="1265"/>
        <v>0</v>
      </c>
      <c r="AU169" s="407">
        <f t="shared" si="1266"/>
        <v>0</v>
      </c>
      <c r="AV169" s="404">
        <f t="shared" si="1267"/>
        <v>0</v>
      </c>
      <c r="AW169" s="414">
        <f t="shared" si="1268"/>
        <v>0</v>
      </c>
      <c r="AX169" s="414">
        <f t="shared" si="1269"/>
        <v>0</v>
      </c>
      <c r="AY169" s="406">
        <f t="shared" si="1270"/>
        <v>0</v>
      </c>
      <c r="AZ169" s="407">
        <f t="shared" si="1271"/>
        <v>0</v>
      </c>
      <c r="BA169" s="404">
        <f t="shared" si="1272"/>
        <v>0</v>
      </c>
      <c r="BB169" s="414">
        <f t="shared" si="1273"/>
        <v>0</v>
      </c>
      <c r="BC169" s="414">
        <f t="shared" si="1274"/>
        <v>0</v>
      </c>
      <c r="BD169" s="406">
        <f t="shared" si="1275"/>
        <v>0</v>
      </c>
      <c r="BE169" s="407">
        <f t="shared" si="1276"/>
        <v>0</v>
      </c>
      <c r="BF169" s="404">
        <f t="shared" si="1277"/>
        <v>0</v>
      </c>
      <c r="BG169" s="414">
        <f t="shared" si="1278"/>
        <v>0</v>
      </c>
      <c r="BH169" s="414">
        <f t="shared" si="1279"/>
        <v>0</v>
      </c>
      <c r="BI169" s="406">
        <f t="shared" si="1280"/>
        <v>0</v>
      </c>
      <c r="BJ169" s="407">
        <f t="shared" si="1281"/>
        <v>0</v>
      </c>
      <c r="BK169" s="404">
        <f t="shared" si="1282"/>
        <v>0</v>
      </c>
      <c r="BL169" s="414">
        <f t="shared" si="1283"/>
        <v>0</v>
      </c>
      <c r="BM169" s="414">
        <f t="shared" si="1284"/>
        <v>0</v>
      </c>
      <c r="BN169" s="406">
        <f t="shared" si="1285"/>
        <v>0</v>
      </c>
      <c r="BO169" s="407">
        <f t="shared" si="1286"/>
        <v>0</v>
      </c>
      <c r="BP169" s="449"/>
      <c r="BQ169" s="413">
        <f t="shared" si="1287"/>
        <v>0</v>
      </c>
      <c r="BR169" s="410">
        <f t="shared" si="1288"/>
        <v>0</v>
      </c>
      <c r="BS169" s="416">
        <f t="shared" si="1289"/>
        <v>0</v>
      </c>
      <c r="BT169" s="416">
        <f t="shared" si="1290"/>
        <v>0</v>
      </c>
      <c r="BU169" s="412">
        <f t="shared" si="1291"/>
        <v>0</v>
      </c>
      <c r="BV169" s="413">
        <f t="shared" si="1292"/>
        <v>0</v>
      </c>
      <c r="BW169" s="410">
        <f t="shared" si="1293"/>
        <v>0</v>
      </c>
      <c r="BX169" s="416">
        <f t="shared" si="1294"/>
        <v>0</v>
      </c>
      <c r="BY169" s="416">
        <f t="shared" si="1295"/>
        <v>0</v>
      </c>
      <c r="BZ169" s="412">
        <f t="shared" si="1296"/>
        <v>0</v>
      </c>
      <c r="CA169" s="413">
        <f t="shared" si="1297"/>
        <v>0</v>
      </c>
      <c r="CB169" s="410">
        <f t="shared" si="1298"/>
        <v>0</v>
      </c>
      <c r="CC169" s="416">
        <f t="shared" si="1299"/>
        <v>0</v>
      </c>
      <c r="CD169" s="416">
        <f t="shared" si="1300"/>
        <v>0</v>
      </c>
      <c r="CE169" s="412">
        <f t="shared" si="1301"/>
        <v>0</v>
      </c>
      <c r="CF169" s="413">
        <f t="shared" si="1302"/>
        <v>0</v>
      </c>
      <c r="CG169" s="410">
        <f t="shared" si="1303"/>
        <v>0</v>
      </c>
      <c r="CH169" s="416">
        <f t="shared" si="1304"/>
        <v>0</v>
      </c>
      <c r="CI169" s="416">
        <f t="shared" si="1305"/>
        <v>0</v>
      </c>
      <c r="CJ169" s="412">
        <f t="shared" si="1306"/>
        <v>0</v>
      </c>
      <c r="CK169" s="413">
        <f t="shared" si="1307"/>
        <v>0</v>
      </c>
      <c r="CL169" s="410">
        <f t="shared" si="1308"/>
        <v>0</v>
      </c>
      <c r="CM169" s="416">
        <f t="shared" si="1309"/>
        <v>0</v>
      </c>
      <c r="CN169" s="416">
        <f t="shared" si="1310"/>
        <v>0</v>
      </c>
      <c r="CO169" s="412">
        <f t="shared" si="1311"/>
        <v>0</v>
      </c>
      <c r="CP169" s="413">
        <f t="shared" si="1312"/>
        <v>0</v>
      </c>
      <c r="CQ169" s="410">
        <f t="shared" si="1313"/>
        <v>0</v>
      </c>
      <c r="CR169" s="416">
        <f t="shared" si="1314"/>
        <v>0</v>
      </c>
      <c r="CS169" s="416">
        <f t="shared" si="1315"/>
        <v>0</v>
      </c>
      <c r="CT169" s="412">
        <f t="shared" si="1316"/>
        <v>0</v>
      </c>
      <c r="CU169" s="413">
        <f t="shared" si="1317"/>
        <v>0</v>
      </c>
      <c r="CV169" s="410">
        <f t="shared" si="1318"/>
        <v>0</v>
      </c>
      <c r="CW169" s="416">
        <f t="shared" si="1319"/>
        <v>0</v>
      </c>
      <c r="CX169" s="416">
        <f t="shared" si="1320"/>
        <v>0</v>
      </c>
      <c r="CY169" s="412">
        <f t="shared" si="1321"/>
        <v>0</v>
      </c>
      <c r="CZ169" s="413">
        <f t="shared" si="1322"/>
        <v>0</v>
      </c>
      <c r="DA169" s="410">
        <f t="shared" si="1323"/>
        <v>0</v>
      </c>
      <c r="DB169" s="416">
        <f t="shared" si="1324"/>
        <v>0</v>
      </c>
      <c r="DC169" s="416">
        <f t="shared" si="1325"/>
        <v>0</v>
      </c>
      <c r="DD169" s="412">
        <f t="shared" si="1326"/>
        <v>0</v>
      </c>
      <c r="DE169" s="413">
        <f t="shared" si="1327"/>
        <v>0</v>
      </c>
      <c r="DF169" s="410">
        <f t="shared" si="1328"/>
        <v>0</v>
      </c>
      <c r="DG169" s="416">
        <f t="shared" si="1329"/>
        <v>0</v>
      </c>
      <c r="DH169" s="416">
        <f t="shared" si="1330"/>
        <v>0</v>
      </c>
      <c r="DI169" s="412">
        <f t="shared" si="1331"/>
        <v>0</v>
      </c>
      <c r="DJ169" s="413">
        <f t="shared" si="1332"/>
        <v>0</v>
      </c>
      <c r="DK169" s="410">
        <f t="shared" si="1333"/>
        <v>0</v>
      </c>
      <c r="DL169" s="416">
        <f t="shared" si="1334"/>
        <v>0</v>
      </c>
      <c r="DM169" s="416">
        <f t="shared" si="1335"/>
        <v>0</v>
      </c>
      <c r="DN169" s="412">
        <f t="shared" si="1336"/>
        <v>0</v>
      </c>
      <c r="DO169" s="413">
        <f t="shared" si="1337"/>
        <v>0</v>
      </c>
      <c r="DP169" s="410">
        <f t="shared" si="1338"/>
        <v>0</v>
      </c>
      <c r="DQ169" s="416">
        <f t="shared" si="1339"/>
        <v>0</v>
      </c>
      <c r="DR169" s="416">
        <f t="shared" si="1340"/>
        <v>0</v>
      </c>
      <c r="DS169" s="412">
        <f t="shared" si="1341"/>
        <v>0</v>
      </c>
      <c r="DT169" s="413">
        <f t="shared" si="1342"/>
        <v>0</v>
      </c>
    </row>
    <row r="170" spans="1:124" ht="12.75" customHeight="1">
      <c r="A170" s="491"/>
      <c r="C170" s="1885" t="s">
        <v>1276</v>
      </c>
      <c r="D170" s="1885"/>
      <c r="E170" s="1886">
        <f t="shared" si="1343"/>
        <v>100</v>
      </c>
      <c r="F170" s="1532">
        <v>100</v>
      </c>
      <c r="G170" s="1532">
        <v>100</v>
      </c>
      <c r="H170" s="610">
        <v>2046</v>
      </c>
      <c r="I170" s="830">
        <v>4.1099999999999998E-2</v>
      </c>
      <c r="J170" s="617">
        <v>9</v>
      </c>
      <c r="K170" s="402"/>
      <c r="L170" s="407">
        <f t="shared" si="1232"/>
        <v>0</v>
      </c>
      <c r="M170" s="404">
        <f>IF(Q170=0,0,IF(Q170&lt;0,IF($J170=3,Q170,IF($J170=2,Q170,IF($J170=1,Q170,0)))))</f>
        <v>0</v>
      </c>
      <c r="N170" s="414">
        <f>IF(Q170=0,0,IF(Q170&lt;0,IF($J170=6,Q170,IF($J170=5,Q170,IF($J170=4,Q170,0)))))</f>
        <v>0</v>
      </c>
      <c r="O170" s="414">
        <f>IF(Q170=0,0,IF(Q170&lt;0,IF($J170=9,Q170,IF($J170=8,Q170,IF($J170=7,Q170,0)))))</f>
        <v>0</v>
      </c>
      <c r="P170" s="406">
        <f>IF(Q170=0,0,IF(Q170&lt;0,IF($J170=12,Q170,IF($J170=11,Q170,IF($J170=10,Q170,0)))))</f>
        <v>0</v>
      </c>
      <c r="Q170" s="407">
        <f t="shared" si="1237"/>
        <v>0</v>
      </c>
      <c r="R170" s="404">
        <f>IF(V170=0,0,IF(V170&lt;0,IF($J170=3,V170,IF($J170=2,V170,IF($J170=1,V170,0)))))</f>
        <v>0</v>
      </c>
      <c r="S170" s="414">
        <f>IF(V170=0,0,IF(V170&lt;0,IF($J170=6,V170,IF($J170=5,V170,IF($J170=4,V170,0)))))</f>
        <v>0</v>
      </c>
      <c r="T170" s="414">
        <f>IF(V170=0,0,IF(V170&lt;0,IF($J170=9,V170,IF($J170=8,V170,IF($J170=7,V170,0)))))</f>
        <v>0</v>
      </c>
      <c r="U170" s="406">
        <f>IF(V170=0,0,IF(V170&lt;0,IF($J170=12,V170,IF($J170=11,V170,IF($J170=10,V170,0)))))</f>
        <v>0</v>
      </c>
      <c r="V170" s="407">
        <f t="shared" si="1242"/>
        <v>0</v>
      </c>
      <c r="W170" s="404">
        <f>IF(AA170=0,0,IF(AA170&lt;0,IF($J170=3,AA170,IF($J170=2,AA170,IF($J170=1,AA170,0)))))</f>
        <v>0</v>
      </c>
      <c r="X170" s="414">
        <f>IF(AA170=0,0,IF(AA170&lt;0,IF($J170=6,AA170,IF($J170=5,AA170,IF($J170=4,AA170,0)))))</f>
        <v>0</v>
      </c>
      <c r="Y170" s="414">
        <f>IF(AA170=0,0,IF(AA170&lt;0,IF($J170=9,AA170,IF($J170=8,AA170,IF($J170=7,AA170,0)))))</f>
        <v>0</v>
      </c>
      <c r="Z170" s="406">
        <f>IF(AA170=0,0,IF(AA170&lt;0,IF($J170=12,AA170,IF($J170=11,AA170,IF($J170=10,AA170,0)))))</f>
        <v>0</v>
      </c>
      <c r="AA170" s="407">
        <f t="shared" si="1247"/>
        <v>0</v>
      </c>
      <c r="AB170" s="404">
        <f>IF(AF170=0,0,IF(AF170&lt;0,IF($J170=3,AF170,IF($J170=2,AF170,IF($J170=1,AF170,0)))))</f>
        <v>0</v>
      </c>
      <c r="AC170" s="414">
        <f>IF(AF170=0,0,IF(AF170&lt;0,IF($J170=6,AF170,IF($J170=5,AF170,IF($J170=4,AF170,0)))))</f>
        <v>0</v>
      </c>
      <c r="AD170" s="414">
        <f>IF(AF170=0,0,IF(AF170&lt;0,IF($J170=9,AF170,IF($J170=8,AF170,IF($J170=7,AF170,0)))))</f>
        <v>0</v>
      </c>
      <c r="AE170" s="406">
        <f>IF(AF170=0,0,IF(AF170&lt;0,IF($J170=12,AF170,IF($J170=11,AF170,IF($J170=10,AF170,0)))))</f>
        <v>0</v>
      </c>
      <c r="AF170" s="407">
        <f t="shared" si="1252"/>
        <v>0</v>
      </c>
      <c r="AG170" s="404">
        <f>IF(AK170=0,0,IF(AK170&lt;0,IF($J170=3,AK170,IF($J170=2,AK170,IF($J170=1,AK170,0)))))</f>
        <v>0</v>
      </c>
      <c r="AH170" s="414">
        <f>IF(AK170=0,0,IF(AK170&lt;0,IF($J170=6,AK170,IF($J170=5,AK170,IF($J170=4,AK170,0)))))</f>
        <v>0</v>
      </c>
      <c r="AI170" s="414">
        <f>IF(AK170=0,0,IF(AK170&lt;0,IF($J170=9,AK170,IF($J170=8,AK170,IF($J170=7,AK170,0)))))</f>
        <v>0</v>
      </c>
      <c r="AJ170" s="406">
        <f>IF(AK170=0,0,IF(AK170&lt;0,IF($J170=12,AK170,IF($J170=11,AK170,IF($J170=10,AK170,0)))))</f>
        <v>0</v>
      </c>
      <c r="AK170" s="407">
        <f t="shared" si="1257"/>
        <v>0</v>
      </c>
      <c r="AL170" s="404">
        <f>IF(AP170=0,0,IF(AP170&lt;0,IF($J170=3,AP170,IF($J170=2,AP170,IF($J170=1,AP170,0)))))</f>
        <v>0</v>
      </c>
      <c r="AM170" s="414">
        <f>IF(AP170=0,0,IF(AP170&lt;0,IF($J170=6,AP170,IF($J170=5,AP170,IF($J170=4,AP170,0)))))</f>
        <v>0</v>
      </c>
      <c r="AN170" s="414">
        <f>IF(AP170=0,0,IF(AP170&lt;0,IF($J170=9,AP170,IF($J170=8,AP170,IF($J170=7,AP170,0)))))</f>
        <v>0</v>
      </c>
      <c r="AO170" s="406">
        <f>IF(AP170=0,0,IF(AP170&lt;0,IF($J170=12,AP170,IF($J170=11,AP170,IF($J170=10,AP170,0)))))</f>
        <v>0</v>
      </c>
      <c r="AP170" s="407">
        <f t="shared" si="1262"/>
        <v>0</v>
      </c>
      <c r="AQ170" s="404">
        <f>IF(AU170=0,0,IF(AU170&lt;0,IF($J170=3,AU170,IF($J170=2,AU170,IF($J170=1,AU170,0)))))</f>
        <v>0</v>
      </c>
      <c r="AR170" s="414">
        <f t="shared" si="1344"/>
        <v>0</v>
      </c>
      <c r="AS170" s="414">
        <f>IF(AU170=0,0,IF(AU170&lt;0,IF($J170=9,AU170,IF($J170=8,AU170,IF($J170=7,AU170,0)))))</f>
        <v>0</v>
      </c>
      <c r="AT170" s="406">
        <f>IF(AU170=0,0,IF(AU170&lt;0,IF($J170=12,AU170,IF($J170=11,AU170,IF($J170=10,AU170,0)))))</f>
        <v>0</v>
      </c>
      <c r="AU170" s="407">
        <f t="shared" si="1266"/>
        <v>0</v>
      </c>
      <c r="AV170" s="404">
        <f>IF(AZ170=0,0,IF(AZ170&lt;0,IF($J170=3,AZ170,IF($J170=2,AZ170,IF($J170=1,AZ170,0)))))</f>
        <v>0</v>
      </c>
      <c r="AW170" s="414">
        <f>IF(AZ170=0,0,IF(AZ170&lt;0,IF($J170=6,AZ170,IF($J170=5,AZ170,IF($J170=4,AZ170,0)))))</f>
        <v>0</v>
      </c>
      <c r="AX170" s="414">
        <f>IF(AZ170=0,0,IF(AZ170&lt;0,IF($J170=9,AZ170,IF($J170=8,AZ170,IF($J170=7,AZ170,0)))))</f>
        <v>0</v>
      </c>
      <c r="AY170" s="406">
        <f>IF(AZ170=0,0,IF(AZ170&lt;0,IF($J170=12,AZ170,IF($J170=11,AZ170,IF($J170=10,AZ170,0)))))</f>
        <v>0</v>
      </c>
      <c r="AZ170" s="407">
        <f t="shared" si="1271"/>
        <v>0</v>
      </c>
      <c r="BA170" s="404">
        <f>IF(BE170=0,0,IF(BE170&lt;0,IF($J170=3,BE170,IF($J170=2,BE170,IF($J170=1,BE170,0)))))</f>
        <v>0</v>
      </c>
      <c r="BB170" s="414">
        <f>IF(BE170=0,0,IF(BE170&lt;0,IF($J170=6,BE170,IF($J170=5,BE170,IF($J170=4,BE170,0)))))</f>
        <v>0</v>
      </c>
      <c r="BC170" s="414">
        <f>IF(BE170=0,0,IF(BE170&lt;0,IF($J170=9,BE170,IF($J170=8,BE170,IF($J170=7,BE170,0)))))</f>
        <v>0</v>
      </c>
      <c r="BD170" s="406">
        <f>IF(BE170=0,0,IF(BE170&lt;0,IF($J170=12,BE170,IF($J170=11,BE170,IF($J170=10,BE170,0)))))</f>
        <v>0</v>
      </c>
      <c r="BE170" s="407">
        <f t="shared" si="1276"/>
        <v>0</v>
      </c>
      <c r="BF170" s="404">
        <f>IF(BJ170=0,0,IF(BJ170&lt;0,IF($J170=3,BJ170,IF($J170=2,BJ170,IF($J170=1,BJ170,0)))))</f>
        <v>0</v>
      </c>
      <c r="BG170" s="414">
        <f>IF(BJ170=0,0,IF(BJ170&lt;0,IF($J170=6,BJ170,IF($J170=5,BJ170,IF($J170=4,BJ170,0)))))</f>
        <v>0</v>
      </c>
      <c r="BH170" s="414">
        <f>IF(BJ170=0,0,IF(BJ170&lt;0,IF($J170=9,BJ170,IF($J170=8,BJ170,IF($J170=7,BJ170,0)))))</f>
        <v>0</v>
      </c>
      <c r="BI170" s="406">
        <f>IF(BJ170=0,0,IF(BJ170&lt;0,IF($J170=12,BJ170,IF($J170=11,BJ170,IF($J170=10,BJ170,0)))))</f>
        <v>0</v>
      </c>
      <c r="BJ170" s="407">
        <f t="shared" si="1281"/>
        <v>0</v>
      </c>
      <c r="BK170" s="404">
        <f t="shared" si="1282"/>
        <v>0</v>
      </c>
      <c r="BL170" s="414">
        <f t="shared" si="1283"/>
        <v>0</v>
      </c>
      <c r="BM170" s="414">
        <f t="shared" si="1284"/>
        <v>0</v>
      </c>
      <c r="BN170" s="406">
        <f t="shared" si="1285"/>
        <v>0</v>
      </c>
      <c r="BO170" s="407">
        <f t="shared" si="1286"/>
        <v>0</v>
      </c>
      <c r="BP170" s="449"/>
      <c r="BQ170" s="413">
        <f>IF(AND(AH170&lt;&gt;0,AH$5=$H170),-$I170*$E170-AH170,IF(BQ$5=$H170,-$I170*$E170*(12-$J170+1)/12,0))</f>
        <v>0</v>
      </c>
      <c r="BR170" s="410">
        <f>IF($H170&lt;&gt;BV$5,0,IF(BV170&lt;0,IF($J170=1,-$E170*$I170/12*3,IF($J170=2,-$E170*$I170/12*2,IF($J170=3,-$E170*$I170/12*1,0)))))+IF(BQ$5&lt;&gt;$H170,0,IF(BQ170&lt;0,IF($J170=1,-$E170*$I170/12*0,IF($J170=2,-$E170*$I170/12*1,IF($J170=3,-$E170*$I170/12*2,IF($J170&gt;=4,-$E170*$I170/12*3,0))))))</f>
        <v>0</v>
      </c>
      <c r="BS170" s="416">
        <f>IF($H170&lt;&gt;BV$5,0,IF(BV170&lt;0,IF(OR($J170=1,$J170=2,$J170=3,$J170=4),-$E170*$I170/12*3,IF($J170=5,-$E170*$I170/12*2,IF($J170=6,-$E170*$I170/12*1,0)))))+IF(BQ$5&lt;&gt;$H170,0,IF(BQ170&lt;0,IF($J170=4,-$E170*$I170/12*0,IF($J170=5,-$E170*$I170/12*1,IF($J170=6,-$E170*$I170/12*2,IF($J170&gt;=7,-$E170*$I170/12*3,0))))))</f>
        <v>0</v>
      </c>
      <c r="BT170" s="416">
        <f>IF($H170&lt;&gt;BV$5,0,IF(BV170&lt;0,IF(OR($J170=1,$J170=2,$J170=3,$J170=4,$J170=5,$J170=6,$J170=7),-$E170*$I170/12*3,IF($J170=8,-$E170*$I170/12*2,IF($J170=9,-$E170*$I170/12*1,0)))))+IF(BQ$5&lt;&gt;$H170,0,IF(BQ170&lt;0,IF($J170=7,-$E170*$I170/12*0,IF($J170=8,-$E170*$I170/12*1,IF($J170=9,-$E170*$I170/12*2,IF($J170&gt;=10,-$E170*$I170/12*3,0))))))</f>
        <v>0</v>
      </c>
      <c r="BU170" s="412">
        <f>IF($H170&lt;&gt;BV$5,0,IF(BV170&lt;0,IF(OR($J170=1,$J170=2,$J170=3,$J170=4,$J170=5,$J170=6,$J170=7,$J170=8,$J170=9,$J170=10),-$E170*$I170/12*3,IF($J170=11,-$E170*$I170/12*2,IF($J170=12,-$E170*$I170/12*1,0)))))+IF(BQ$5&lt;&gt;$H170,0,IF(BQ170&lt;0,IF($J170=10,-$E170*$I170/12*0,IF($J170=11,-$E170*$I170/12*1,IF($J170=12,-$E170*$I170/12*2,0)))))</f>
        <v>0</v>
      </c>
      <c r="BV170" s="413">
        <f>IF(AND(BQ170&lt;&gt;0,BQ$5=$H170),-$I170*$E170-BQ170,IF(BV$5=$H170,-$I170*$E170*(12-$J170+1)/12,0))</f>
        <v>0</v>
      </c>
      <c r="BW170" s="410">
        <f>IF($H170&lt;&gt;CA$5,0,IF(CA170&lt;0,IF($J170=1,-$E170*$I170/12*3,IF($J170=2,-$E170*$I170/12*2,IF($J170=3,-$E170*$I170/12*1,0)))))+IF(BV$5&lt;&gt;$H170,0,IF(BV170&lt;0,IF($J170=1,-$E170*$I170/12*0,IF($J170=2,-$E170*$I170/12*1,IF($J170=3,-$E170*$I170/12*2,IF($J170&gt;=4,-$E170*$I170/12*3,0))))))</f>
        <v>0</v>
      </c>
      <c r="BX170" s="416">
        <f>IF($H170&lt;&gt;CA$5,0,IF(CA170&lt;0,IF(OR($J170=1,$J170=2,$J170=3,$J170=4),-$E170*$I170/12*3,IF($J170=5,-$E170*$I170/12*2,IF($J170=6,-$E170*$I170/12*1,0)))))+IF(BV$5&lt;&gt;$H170,0,IF(BV170&lt;0,IF($J170=4,-$E170*$I170/12*0,IF($J170=5,-$E170*$I170/12*1,IF($J170=6,-$E170*$I170/12*2,IF($J170&gt;=7,-$E170*$I170/12*3,0))))))</f>
        <v>0</v>
      </c>
      <c r="BY170" s="416">
        <f>IF($H170&lt;&gt;CA$5,0,IF(CA170&lt;0,IF(OR($J170=1,$J170=2,$J170=3,$J170=4,$J170=5,$J170=6,$J170=7),-$E170*$I170/12*3,IF($J170=8,-$E170*$I170/12*2,IF($J170=9,-$E170*$I170/12*1,0)))))+IF(BV$5&lt;&gt;$H170,0,IF(BV170&lt;0,IF($J170=7,-$E170*$I170/12*0,IF($J170=8,-$E170*$I170/12*1,IF($J170=9,-$E170*$I170/12*2,IF($J170&gt;=10,-$E170*$I170/12*3,0))))))</f>
        <v>0</v>
      </c>
      <c r="BZ170" s="412">
        <f>IF($H170&lt;&gt;CA$5,0,IF(CA170&lt;0,IF(OR($J170=1,$J170=2,$J170=3,$J170=4,$J170=5,$J170=6,$J170=7,$J170=8,$J170=9,$J170=10),-$E170*$I170/12*3,IF($J170=11,-$E170*$I170/12*2,IF($J170=12,-$E170*$I170/12*1,0)))))+IF(BV$5&lt;&gt;$H170,0,IF(BV170&lt;0,IF($J170=10,-$E170*$I170/12*0,IF($J170=11,-$E170*$I170/12*1,IF($J170=12,-$E170*$I170/12*2,0)))))</f>
        <v>0</v>
      </c>
      <c r="CA170" s="413">
        <f>IF(AND(BV170&lt;&gt;0,BV$5=$H170),-$I170*$E170-BV170,IF(CA$5=$H170,-$I170*$E170*(12-$J170+1)/12,0))</f>
        <v>0</v>
      </c>
      <c r="CB170" s="410">
        <f>IF($H170&lt;&gt;CF$5,0,IF(CF170&lt;0,IF($J170=1,-$E170*$I170/12*3,IF($J170=2,-$E170*$I170/12*2,IF($J170=3,-$E170*$I170/12*1,0)))))+IF(CA$5&lt;&gt;$H170,0,IF(CA170&lt;0,IF($J170=1,-$E170*$I170/12*0,IF($J170=2,-$E170*$I170/12*1,IF($J170=3,-$E170*$I170/12*2,IF($J170&gt;=4,-$E170*$I170/12*3,0))))))</f>
        <v>0</v>
      </c>
      <c r="CC170" s="416">
        <f>IF($H170&lt;&gt;CF$5,0,IF(CF170&lt;0,IF(OR($J170=1,$J170=2,$J170=3,$J170=4),-$E170*$I170/12*3,IF($J170=5,-$E170*$I170/12*2,IF($J170=6,-$E170*$I170/12*1,0)))))+IF(CA$5&lt;&gt;$H170,0,IF(CA170&lt;0,IF($J170=4,-$E170*$I170/12*0,IF($J170=5,-$E170*$I170/12*1,IF($J170=6,-$E170*$I170/12*2,IF($J170&gt;=7,-$E170*$I170/12*3,0))))))</f>
        <v>0</v>
      </c>
      <c r="CD170" s="416">
        <f>IF($H170&lt;&gt;CF$5,0,IF(CF170&lt;0,IF(OR($J170=1,$J170=2,$J170=3,$J170=4,$J170=5,$J170=6,$J170=7),-$E170*$I170/12*3,IF($J170=8,-$E170*$I170/12*2,IF($J170=9,-$E170*$I170/12*1,0)))))+IF(CA$5&lt;&gt;$H170,0,IF(CA170&lt;0,IF($J170=7,-$E170*$I170/12*0,IF($J170=8,-$E170*$I170/12*1,IF($J170=9,-$E170*$I170/12*2,IF($J170&gt;=10,-$E170*$I170/12*3,0))))))</f>
        <v>0</v>
      </c>
      <c r="CE170" s="412">
        <f>IF($H170&lt;&gt;CF$5,0,IF(CF170&lt;0,IF(OR($J170=1,$J170=2,$J170=3,$J170=4,$J170=5,$J170=6,$J170=7,$J170=8,$J170=9,$J170=10),-$E170*$I170/12*3,IF($J170=11,-$E170*$I170/12*2,IF($J170=12,-$E170*$I170/12*1,0)))))+IF(CA$5&lt;&gt;$H170,0,IF(CA170&lt;0,IF($J170=10,-$E170*$I170/12*0,IF($J170=11,-$E170*$I170/12*1,IF($J170=12,-$E170*$I170/12*2,0)))))</f>
        <v>0</v>
      </c>
      <c r="CF170" s="413">
        <f>IF(AND(CA170&lt;&gt;0,CA$5=$H170),-$I170*$E170-CA170,IF(CF$5=$H170,-$I170*$E170*(12-$J170+1)/12,0))</f>
        <v>0</v>
      </c>
      <c r="CG170" s="410">
        <f>IF($H170&lt;&gt;CK$5,0,IF(CK170&lt;0,IF($J170=1,-$E170*$I170/12*3,IF($J170=2,-$E170*$I170/12*2,IF($J170=3,-$E170*$I170/12*1,0)))))+IF(CF$5&lt;&gt;$H170,0,IF(CF170&lt;0,IF($J170=1,-$E170*$I170/12*0,IF($J170=2,-$E170*$I170/12*1,IF($J170=3,-$E170*$I170/12*2,IF($J170&gt;=4,-$E170*$I170/12*3,0))))))</f>
        <v>0</v>
      </c>
      <c r="CH170" s="416">
        <f>IF($H170&lt;&gt;CK$5,0,IF(CK170&lt;0,IF(OR($J170=1,$J170=2,$J170=3,$J170=4),-$E170*$I170/12*3,IF($J170=5,-$E170*$I170/12*2,IF($J170=6,-$E170*$I170/12*1,0)))))+IF(CF$5&lt;&gt;$H170,0,IF(CF170&lt;0,IF($J170=4,-$E170*$I170/12*0,IF($J170=5,-$E170*$I170/12*1,IF($J170=6,-$E170*$I170/12*2,IF($J170&gt;=7,-$E170*$I170/12*3,0))))))</f>
        <v>0</v>
      </c>
      <c r="CI170" s="416">
        <f>IF($H170&lt;&gt;CK$5,0,IF(CK170&lt;0,IF(OR($J170=1,$J170=2,$J170=3,$J170=4,$J170=5,$J170=6,$J170=7),-$E170*$I170/12*3,IF($J170=8,-$E170*$I170/12*2,IF($J170=9,-$E170*$I170/12*1,0)))))+IF(CF$5&lt;&gt;$H170,0,IF(CF170&lt;0,IF($J170=7,-$E170*$I170/12*0,IF($J170=8,-$E170*$I170/12*1,IF($J170=9,-$E170*$I170/12*2,IF($J170&gt;=10,-$E170*$I170/12*3,0))))))</f>
        <v>0</v>
      </c>
      <c r="CJ170" s="412">
        <f>IF($H170&lt;&gt;CK$5,0,IF(CK170&lt;0,IF(OR($J170=1,$J170=2,$J170=3,$J170=4,$J170=5,$J170=6,$J170=7,$J170=8,$J170=9,$J170=10),-$E170*$I170/12*3,IF($J170=11,-$E170*$I170/12*2,IF($J170=12,-$E170*$I170/12*1,0)))))+IF(CF$5&lt;&gt;$H170,0,IF(CF170&lt;0,IF($J170=10,-$E170*$I170/12*0,IF($J170=11,-$E170*$I170/12*1,IF($J170=12,-$E170*$I170/12*2,0)))))</f>
        <v>0</v>
      </c>
      <c r="CK170" s="413">
        <f>IF(AND(CF170&lt;&gt;0,CF$5=$H170),-$I170*$E170-CF170,IF(CK$5=$H170,-$I170*$E170*(12-$J170+1)/12,0))</f>
        <v>0</v>
      </c>
      <c r="CL170" s="410">
        <f>IF($H170&lt;&gt;CP$5,0,IF(CP170&lt;0,IF($J170=1,-$E170*$I170/12*3,IF($J170=2,-$E170*$I170/12*2,IF($J170=3,-$E170*$I170/12*1,0)))))+IF(CK$5&lt;&gt;$H170,0,IF(CK170&lt;0,IF($J170=1,-$E170*$I170/12*0,IF($J170=2,-$E170*$I170/12*1,IF($J170=3,-$E170*$I170/12*2,IF($J170&gt;=4,-$E170*$I170/12*3,0))))))</f>
        <v>0</v>
      </c>
      <c r="CM170" s="416">
        <f>IF($H170&lt;&gt;CP$5,0,IF(CP170&lt;0,IF(OR($J170=1,$J170=2,$J170=3,$J170=4),-$E170*$I170/12*3,IF($J170=5,-$E170*$I170/12*2,IF($J170=6,-$E170*$I170/12*1,0)))))+IF(CK$5&lt;&gt;$H170,0,IF(CK170&lt;0,IF($J170=4,-$E170*$I170/12*0,IF($J170=5,-$E170*$I170/12*1,IF($J170=6,-$E170*$I170/12*2,IF($J170&gt;=7,-$E170*$I170/12*3,0))))))</f>
        <v>0</v>
      </c>
      <c r="CN170" s="416">
        <f>IF($H170&lt;&gt;CP$5,0,IF(CP170&lt;0,IF(OR($J170=1,$J170=2,$J170=3,$J170=4,$J170=5,$J170=6,$J170=7),-$E170*$I170/12*3,IF($J170=8,-$E170*$I170/12*2,IF($J170=9,-$E170*$I170/12*1,0)))))+IF(CK$5&lt;&gt;$H170,0,IF(CK170&lt;0,IF($J170=7,-$E170*$I170/12*0,IF($J170=8,-$E170*$I170/12*1,IF($J170=9,-$E170*$I170/12*2,IF($J170&gt;=10,-$E170*$I170/12*3,0))))))</f>
        <v>0</v>
      </c>
      <c r="CO170" s="412">
        <f>IF($H170&lt;&gt;CP$5,0,IF(CP170&lt;0,IF(OR($J170=1,$J170=2,$J170=3,$J170=4,$J170=5,$J170=6,$J170=7,$J170=8,$J170=9,$J170=10),-$E170*$I170/12*3,IF($J170=11,-$E170*$I170/12*2,IF($J170=12,-$E170*$I170/12*1,0)))))+IF(CK$5&lt;&gt;$H170,0,IF(CK170&lt;0,IF($J170=10,-$E170*$I170/12*0,IF($J170=11,-$E170*$I170/12*1,IF($J170=12,-$E170*$I170/12*2,0)))))</f>
        <v>0</v>
      </c>
      <c r="CP170" s="413">
        <f>IF(AND(CK170&lt;&gt;0,CK$5=$H170),-$I170*$E170-CK170,IF(CP$5=$H170,-$I170*$E170*(12-$J170+1)/12,0))</f>
        <v>0</v>
      </c>
      <c r="CQ170" s="410">
        <f>IF($H170&lt;&gt;CU$5,0,IF(CU170&lt;0,IF($J170=1,-$E170*$I170/12*3,IF($J170=2,-$E170*$I170/12*2,IF($J170=3,-$E170*$I170/12*1,0)))))+IF(CP$5&lt;&gt;$H170,0,IF(CP170&lt;0,IF($J170=1,-$E170*$I170/12*0,IF($J170=2,-$E170*$I170/12*1,IF($J170=3,-$E170*$I170/12*2,IF($J170&gt;=4,-$E170*$I170/12*3,0))))))</f>
        <v>0</v>
      </c>
      <c r="CR170" s="416">
        <f>IF($H170&lt;&gt;CU$5,0,IF(CU170&lt;0,IF(OR($J170=1,$J170=2,$J170=3,$J170=4),-$E170*$I170/12*3,IF($J170=5,-$E170*$I170/12*2,IF($J170=6,-$E170*$I170/12*1,0)))))+IF(CP$5&lt;&gt;$H170,0,IF(CP170&lt;0,IF($J170=4,-$E170*$I170/12*0,IF($J170=5,-$E170*$I170/12*1,IF($J170=6,-$E170*$I170/12*2,IF($J170&gt;=7,-$E170*$I170/12*3,0))))))</f>
        <v>0</v>
      </c>
      <c r="CS170" s="416">
        <f>IF($H170&lt;&gt;CU$5,0,IF(CU170&lt;0,IF(OR($J170=1,$J170=2,$J170=3,$J170=4,$J170=5,$J170=6,$J170=7),-$E170*$I170/12*3,IF($J170=8,-$E170*$I170/12*2,IF($J170=9,-$E170*$I170/12*1,0)))))+IF(CP$5&lt;&gt;$H170,0,IF(CP170&lt;0,IF($J170=7,-$E170*$I170/12*0,IF($J170=8,-$E170*$I170/12*1,IF($J170=9,-$E170*$I170/12*2,IF($J170&gt;=10,-$E170*$I170/12*3,0))))))</f>
        <v>0</v>
      </c>
      <c r="CT170" s="412">
        <f>IF($H170&lt;&gt;CU$5,0,IF(CU170&lt;0,IF(OR($J170=1,$J170=2,$J170=3,$J170=4,$J170=5,$J170=6,$J170=7,$J170=8,$J170=9,$J170=10),-$E170*$I170/12*3,IF($J170=11,-$E170*$I170/12*2,IF($J170=12,-$E170*$I170/12*1,0)))))+IF(CP$5&lt;&gt;$H170,0,IF(CP170&lt;0,IF($J170=10,-$E170*$I170/12*0,IF($J170=11,-$E170*$I170/12*1,IF($J170=12,-$E170*$I170/12*2,0)))))</f>
        <v>0</v>
      </c>
      <c r="CU170" s="413">
        <f>IF(AND(CP170&lt;&gt;0,CP$5=$H170),-$I170*$E170-CP170,IF(CU$5=$H170,-$I170*$E170*(12-$J170+1)/12,0))</f>
        <v>0</v>
      </c>
      <c r="CV170" s="410">
        <f>IF($H170&lt;&gt;CZ$5,0,IF(CZ170&lt;0,IF($J170=1,-$E170*$I170/12*3,IF($J170=2,-$E170*$I170/12*2,IF($J170=3,-$E170*$I170/12*1,0)))))+IF(CU$5&lt;&gt;$H170,0,IF(CU170&lt;0,IF($J170=1,-$E170*$I170/12*0,IF($J170=2,-$E170*$I170/12*1,IF($J170=3,-$E170*$I170/12*2,IF($J170&gt;=4,-$E170*$I170/12*3,0))))))</f>
        <v>0</v>
      </c>
      <c r="CW170" s="416">
        <f>IF($H170&lt;&gt;CZ$5,0,IF(CZ170&lt;0,IF(OR($J170=1,$J170=2,$J170=3,$J170=4),-$E170*$I170/12*3,IF($J170=5,-$E170*$I170/12*2,IF($J170=6,-$E170*$I170/12*1,0)))))+IF(CU$5&lt;&gt;$H170,0,IF(CU170&lt;0,IF($J170=4,-$E170*$I170/12*0,IF($J170=5,-$E170*$I170/12*1,IF($J170=6,-$E170*$I170/12*2,IF($J170&gt;=7,-$E170*$I170/12*3,0))))))</f>
        <v>0</v>
      </c>
      <c r="CX170" s="416">
        <f>IF($H170&lt;&gt;CZ$5,0,IF(CZ170&lt;0,IF(OR($J170=1,$J170=2,$J170=3,$J170=4,$J170=5,$J170=6,$J170=7),-$E170*$I170/12*3,IF($J170=8,-$E170*$I170/12*2,IF($J170=9,-$E170*$I170/12*1,0)))))+IF(CU$5&lt;&gt;$H170,0,IF(CU170&lt;0,IF($J170=7,-$E170*$I170/12*0,IF($J170=8,-$E170*$I170/12*1,IF($J170=9,-$E170*$I170/12*2,IF($J170&gt;=10,-$E170*$I170/12*3,0))))))</f>
        <v>0</v>
      </c>
      <c r="CY170" s="412">
        <f>IF($H170&lt;&gt;CZ$5,0,IF(CZ170&lt;0,IF(OR($J170=1,$J170=2,$J170=3,$J170=4,$J170=5,$J170=6,$J170=7,$J170=8,$J170=9,$J170=10),-$E170*$I170/12*3,IF($J170=11,-$E170*$I170/12*2,IF($J170=12,-$E170*$I170/12*1,0)))))+IF(CU$5&lt;&gt;$H170,0,IF(CU170&lt;0,IF($J170=10,-$E170*$I170/12*0,IF($J170=11,-$E170*$I170/12*1,IF($J170=12,-$E170*$I170/12*2,0)))))</f>
        <v>0</v>
      </c>
      <c r="CZ170" s="413">
        <f>IF(AND(CU170&lt;&gt;0,CU$5=$H170),-$I170*$E170-CU170,IF(CZ$5=$H170,-$I170*$E170*(12-$J170+1)/12,0))</f>
        <v>0</v>
      </c>
      <c r="DA170" s="410">
        <f>IF($H170&lt;&gt;DE$5,0,IF(DE170&lt;0,IF($J170=1,-$E170*$I170/12*3,IF($J170=2,-$E170*$I170/12*2,IF($J170=3,-$E170*$I170/12*1,0)))))+IF(CZ$5&lt;&gt;$H170,0,IF(CZ170&lt;0,IF($J170=1,-$E170*$I170/12*0,IF($J170=2,-$E170*$I170/12*1,IF($J170=3,-$E170*$I170/12*2,IF($J170&gt;=4,-$E170*$I170/12*3,0))))))</f>
        <v>0</v>
      </c>
      <c r="DB170" s="416">
        <f>IF($H170&lt;&gt;DE$5,0,IF(DE170&lt;0,IF(OR($J170=1,$J170=2,$J170=3,$J170=4),-$E170*$I170/12*3,IF($J170=5,-$E170*$I170/12*2,IF($J170=6,-$E170*$I170/12*1,0)))))+IF(CZ$5&lt;&gt;$H170,0,IF(CZ170&lt;0,IF($J170=4,-$E170*$I170/12*0,IF($J170=5,-$E170*$I170/12*1,IF($J170=6,-$E170*$I170/12*2,IF($J170&gt;=7,-$E170*$I170/12*3,0))))))</f>
        <v>0</v>
      </c>
      <c r="DC170" s="416">
        <f>IF($H170&lt;&gt;DE$5,0,IF(DE170&lt;0,IF(OR($J170=1,$J170=2,$J170=3,$J170=4,$J170=5,$J170=6,$J170=7),-$E170*$I170/12*3,IF($J170=8,-$E170*$I170/12*2,IF($J170=9,-$E170*$I170/12*1,0)))))+IF(CZ$5&lt;&gt;$H170,0,IF(CZ170&lt;0,IF($J170=7,-$E170*$I170/12*0,IF($J170=8,-$E170*$I170/12*1,IF($J170=9,-$E170*$I170/12*2,IF($J170&gt;=10,-$E170*$I170/12*3,0))))))</f>
        <v>0</v>
      </c>
      <c r="DD170" s="412">
        <f>IF($H170&lt;&gt;DE$5,0,IF(DE170&lt;0,IF(OR($J170=1,$J170=2,$J170=3,$J170=4,$J170=5,$J170=6,$J170=7,$J170=8,$J170=9,$J170=10),-$E170*$I170/12*3,IF($J170=11,-$E170*$I170/12*2,IF($J170=12,-$E170*$I170/12*1,0)))))+IF(CZ$5&lt;&gt;$H170,0,IF(CZ170&lt;0,IF($J170=10,-$E170*$I170/12*0,IF($J170=11,-$E170*$I170/12*1,IF($J170=12,-$E170*$I170/12*2,0)))))</f>
        <v>0</v>
      </c>
      <c r="DE170" s="413">
        <f>IF(AND(CZ170&lt;&gt;0,CZ$5=$H170),-$I170*$E170-CZ170,IF(DE$5=$H170,-$I170*$E170*(12-$J170+1)/12,0))</f>
        <v>0</v>
      </c>
      <c r="DF170" s="410">
        <f>IF($H170&lt;&gt;DJ$5,0,IF(DJ170&lt;0,IF($J170=1,-$E170*$I170/12*3,IF($J170=2,-$E170*$I170/12*2,IF($J170=3,-$E170*$I170/12*1,0)))))+IF(DE$5&lt;&gt;$H170,0,IF(DE170&lt;0,IF($J170=1,-$E170*$I170/12*0,IF($J170=2,-$E170*$I170/12*1,IF($J170=3,-$E170*$I170/12*2,IF($J170&gt;=4,-$E170*$I170/12*3,0))))))</f>
        <v>0</v>
      </c>
      <c r="DG170" s="416">
        <f>IF($H170&lt;&gt;DJ$5,0,IF(DJ170&lt;0,IF(OR($J170=1,$J170=2,$J170=3,$J170=4),-$E170*$I170/12*3,IF($J170=5,-$E170*$I170/12*2,IF($J170=6,-$E170*$I170/12*1,0)))))+IF(DE$5&lt;&gt;$H170,0,IF(DE170&lt;0,IF($J170=4,-$E170*$I170/12*0,IF($J170=5,-$E170*$I170/12*1,IF($J170=6,-$E170*$I170/12*2,IF($J170&gt;=7,-$E170*$I170/12*3,0))))))</f>
        <v>0</v>
      </c>
      <c r="DH170" s="416">
        <f>IF($H170&lt;&gt;DJ$5,0,IF(DJ170&lt;0,IF(OR($J170=1,$J170=2,$J170=3,$J170=4,$J170=5,$J170=6,$J170=7),-$E170*$I170/12*3,IF($J170=8,-$E170*$I170/12*2,IF($J170=9,-$E170*$I170/12*1,0)))))+IF(DE$5&lt;&gt;$H170,0,IF(DE170&lt;0,IF($J170=7,-$E170*$I170/12*0,IF($J170=8,-$E170*$I170/12*1,IF($J170=9,-$E170*$I170/12*2,IF($J170&gt;=10,-$E170*$I170/12*3,0))))))</f>
        <v>0</v>
      </c>
      <c r="DI170" s="412">
        <f>IF($H170&lt;&gt;DJ$5,0,IF(DJ170&lt;0,IF(OR($J170=1,$J170=2,$J170=3,$J170=4,$J170=5,$J170=6,$J170=7,$J170=8,$J170=9,$J170=10),-$E170*$I170/12*3,IF($J170=11,-$E170*$I170/12*2,IF($J170=12,-$E170*$I170/12*1,0)))))+IF(DE$5&lt;&gt;$H170,0,IF(DE170&lt;0,IF($J170=10,-$E170*$I170/12*0,IF($J170=11,-$E170*$I170/12*1,IF($J170=12,-$E170*$I170/12*2,0)))))</f>
        <v>0</v>
      </c>
      <c r="DJ170" s="413">
        <f>IF(AND(DE170&lt;&gt;0,DE$5=$H170),-$I170*$E170-DE170,IF(DJ$5=$H170,-$I170*$E170*(12-$J170+1)/12,0))</f>
        <v>0</v>
      </c>
      <c r="DK170" s="410">
        <f>IF($H170&lt;&gt;DO$5,0,IF(DO170&lt;0,IF($J170=1,-$E170*$I170/12*3,IF($J170=2,-$E170*$I170/12*2,IF($J170=3,-$E170*$I170/12*1,0)))))+IF(DJ$5&lt;&gt;$H170,0,IF(DJ170&lt;0,IF($J170=1,-$E170*$I170/12*0,IF($J170=2,-$E170*$I170/12*1,IF($J170=3,-$E170*$I170/12*2,IF($J170&gt;=4,-$E170*$I170/12*3,0))))))</f>
        <v>0</v>
      </c>
      <c r="DL170" s="416">
        <f>IF($H170&lt;&gt;DO$5,0,IF(DO170&lt;0,IF(OR($J170=1,$J170=2,$J170=3,$J170=4),-$E170*$I170/12*3,IF($J170=5,-$E170*$I170/12*2,IF($J170=6,-$E170*$I170/12*1,0)))))+IF(DJ$5&lt;&gt;$H170,0,IF(DJ170&lt;0,IF($J170=4,-$E170*$I170/12*0,IF($J170=5,-$E170*$I170/12*1,IF($J170=6,-$E170*$I170/12*2,IF($J170&gt;=7,-$E170*$I170/12*3,0))))))</f>
        <v>0</v>
      </c>
      <c r="DM170" s="416">
        <f>IF($H170&lt;&gt;DO$5,0,IF(DO170&lt;0,IF(OR($J170=1,$J170=2,$J170=3,$J170=4,$J170=5,$J170=6,$J170=7),-$E170*$I170/12*3,IF($J170=8,-$E170*$I170/12*2,IF($J170=9,-$E170*$I170/12*1,0)))))+IF(DJ$5&lt;&gt;$H170,0,IF(DJ170&lt;0,IF($J170=7,-$E170*$I170/12*0,IF($J170=8,-$E170*$I170/12*1,IF($J170=9,-$E170*$I170/12*2,IF($J170&gt;=10,-$E170*$I170/12*3,0))))))</f>
        <v>0</v>
      </c>
      <c r="DN170" s="412">
        <f>IF($H170&lt;&gt;DO$5,0,IF(DO170&lt;0,IF(OR($J170=1,$J170=2,$J170=3,$J170=4,$J170=5,$J170=6,$J170=7,$J170=8,$J170=9,$J170=10),-$E170*$I170/12*3,IF($J170=11,-$E170*$I170/12*2,IF($J170=12,-$E170*$I170/12*1,0)))))+IF(DJ$5&lt;&gt;$H170,0,IF(DJ170&lt;0,IF($J170=10,-$E170*$I170/12*0,IF($J170=11,-$E170*$I170/12*1,IF($J170=12,-$E170*$I170/12*2,0)))))</f>
        <v>0</v>
      </c>
      <c r="DO170" s="413">
        <f>IF(AND(DJ170&lt;&gt;0,DJ$5=$H170),-$I170*$E170-DJ170,IF(DO$5=$H170,-$I170*$E170*(12-$J170+1)/12,0))</f>
        <v>0</v>
      </c>
      <c r="DP170" s="410">
        <f t="shared" si="1338"/>
        <v>0</v>
      </c>
      <c r="DQ170" s="416">
        <f t="shared" si="1339"/>
        <v>0</v>
      </c>
      <c r="DR170" s="416">
        <f t="shared" si="1340"/>
        <v>0</v>
      </c>
      <c r="DS170" s="412">
        <f t="shared" si="1341"/>
        <v>0</v>
      </c>
      <c r="DT170" s="413">
        <f t="shared" si="1342"/>
        <v>0</v>
      </c>
    </row>
    <row r="171" spans="1:124" ht="12.75" customHeight="1">
      <c r="A171" s="491"/>
      <c r="C171" s="1438"/>
      <c r="D171" s="1438"/>
      <c r="E171" s="1869"/>
      <c r="F171" s="1227"/>
      <c r="G171" s="1227"/>
      <c r="H171" s="610"/>
      <c r="I171" s="830"/>
      <c r="J171" s="617"/>
      <c r="K171" s="402"/>
      <c r="L171" s="407"/>
      <c r="M171" s="404"/>
      <c r="N171" s="414"/>
      <c r="O171" s="414"/>
      <c r="P171" s="406"/>
      <c r="Q171" s="407"/>
      <c r="R171" s="404"/>
      <c r="S171" s="414"/>
      <c r="T171" s="414"/>
      <c r="U171" s="406"/>
      <c r="V171" s="407"/>
      <c r="W171" s="404"/>
      <c r="X171" s="414"/>
      <c r="Y171" s="414"/>
      <c r="Z171" s="406"/>
      <c r="AA171" s="407"/>
      <c r="AB171" s="404"/>
      <c r="AC171" s="414"/>
      <c r="AD171" s="414"/>
      <c r="AE171" s="406"/>
      <c r="AF171" s="407"/>
      <c r="AG171" s="404"/>
      <c r="AH171" s="414"/>
      <c r="AI171" s="414"/>
      <c r="AJ171" s="406"/>
      <c r="AK171" s="407"/>
      <c r="AL171" s="404"/>
      <c r="AM171" s="414"/>
      <c r="AN171" s="414"/>
      <c r="AO171" s="406"/>
      <c r="AP171" s="407"/>
      <c r="AQ171" s="404"/>
      <c r="AR171" s="414"/>
      <c r="AS171" s="414"/>
      <c r="AT171" s="406"/>
      <c r="AU171" s="407"/>
      <c r="AV171" s="404"/>
      <c r="AW171" s="414"/>
      <c r="AX171" s="414"/>
      <c r="AY171" s="406"/>
      <c r="AZ171" s="407"/>
      <c r="BA171" s="404"/>
      <c r="BB171" s="414"/>
      <c r="BC171" s="414"/>
      <c r="BD171" s="406"/>
      <c r="BE171" s="407"/>
      <c r="BF171" s="404"/>
      <c r="BG171" s="414"/>
      <c r="BH171" s="414"/>
      <c r="BI171" s="406"/>
      <c r="BJ171" s="407"/>
      <c r="BK171" s="404"/>
      <c r="BL171" s="414"/>
      <c r="BM171" s="414"/>
      <c r="BN171" s="406"/>
      <c r="BO171" s="407"/>
      <c r="BP171" s="449"/>
      <c r="BQ171" s="413"/>
      <c r="BR171" s="410"/>
      <c r="BS171" s="416"/>
      <c r="BT171" s="416"/>
      <c r="BU171" s="412"/>
      <c r="BV171" s="413"/>
      <c r="BW171" s="410"/>
      <c r="BX171" s="416"/>
      <c r="BY171" s="416"/>
      <c r="BZ171" s="412"/>
      <c r="CA171" s="413"/>
      <c r="CB171" s="410"/>
      <c r="CC171" s="416"/>
      <c r="CD171" s="416"/>
      <c r="CE171" s="412"/>
      <c r="CF171" s="413"/>
      <c r="CG171" s="410"/>
      <c r="CH171" s="416"/>
      <c r="CI171" s="416"/>
      <c r="CJ171" s="412"/>
      <c r="CK171" s="413"/>
      <c r="CL171" s="410"/>
      <c r="CM171" s="416"/>
      <c r="CN171" s="416"/>
      <c r="CO171" s="412"/>
      <c r="CP171" s="413"/>
      <c r="CQ171" s="410"/>
      <c r="CR171" s="416"/>
      <c r="CS171" s="416"/>
      <c r="CT171" s="412"/>
      <c r="CU171" s="413"/>
      <c r="CV171" s="410"/>
      <c r="CW171" s="416"/>
      <c r="CX171" s="416"/>
      <c r="CY171" s="412"/>
      <c r="CZ171" s="413"/>
      <c r="DA171" s="410"/>
      <c r="DB171" s="416"/>
      <c r="DC171" s="416"/>
      <c r="DD171" s="412"/>
      <c r="DE171" s="413"/>
      <c r="DF171" s="410"/>
      <c r="DG171" s="416"/>
      <c r="DH171" s="416"/>
      <c r="DI171" s="412"/>
      <c r="DJ171" s="413"/>
      <c r="DK171" s="410"/>
      <c r="DL171" s="416"/>
      <c r="DM171" s="416"/>
      <c r="DN171" s="412"/>
      <c r="DO171" s="413"/>
      <c r="DP171" s="410"/>
      <c r="DQ171" s="416"/>
      <c r="DR171" s="416"/>
      <c r="DS171" s="412"/>
      <c r="DT171" s="413"/>
    </row>
    <row r="172" spans="1:124" ht="12.75" customHeight="1">
      <c r="A172" s="491"/>
      <c r="C172" s="1885" t="s">
        <v>1363</v>
      </c>
      <c r="D172" s="1885"/>
      <c r="E172" s="1886">
        <f>IF(F172=0,G172,F172)</f>
        <v>125</v>
      </c>
      <c r="F172" s="1532">
        <v>125</v>
      </c>
      <c r="G172" s="1532">
        <v>125</v>
      </c>
      <c r="H172" s="610">
        <v>2019</v>
      </c>
      <c r="I172" s="1534">
        <v>4.4999999999999998E-2</v>
      </c>
      <c r="J172" s="615">
        <v>11</v>
      </c>
      <c r="K172" s="402"/>
      <c r="L172" s="407">
        <f>IF(L$5=$H172,-$E172,0)</f>
        <v>0</v>
      </c>
      <c r="M172" s="404">
        <f>IF(Q172=0,0,IF(Q172&lt;0,IF($J172=3,Q172,IF($J172=2,Q172,IF($J172=1,Q172,0)))))</f>
        <v>0</v>
      </c>
      <c r="N172" s="414">
        <f>IF(Q172=0,0,IF(Q172&lt;0,IF($J172=6,Q172,IF($J172=5,Q172,IF($J172=4,Q172,0)))))</f>
        <v>0</v>
      </c>
      <c r="O172" s="414">
        <f>IF(Q172=0,0,IF(Q172&lt;0,IF($J172=9,Q172,IF($J172=8,Q172,IF($J172=7,Q172,0)))))</f>
        <v>0</v>
      </c>
      <c r="P172" s="406">
        <f>IF(Q172=0,0,IF(Q172&lt;0,IF($J172=12,Q172,IF($J172=11,Q172,IF($J172=10,Q172,0)))))</f>
        <v>0</v>
      </c>
      <c r="Q172" s="407">
        <f>IF(Q$5=$H172,-$E172,0)</f>
        <v>0</v>
      </c>
      <c r="R172" s="404">
        <f>IF(V172=0,0,IF(V172&lt;0,IF($J172=3,V172,IF($J172=2,V172,IF($J172=1,V172,0)))))</f>
        <v>0</v>
      </c>
      <c r="S172" s="414">
        <f>IF(V172=0,0,IF(V172&lt;0,IF($J172=6,V172,IF($J172=5,V172,IF($J172=4,V172,0)))))</f>
        <v>0</v>
      </c>
      <c r="T172" s="414">
        <f>IF(V172=0,0,IF(V172&lt;0,IF($J172=9,V172,IF($J172=8,V172,IF($J172=7,V172,0)))))</f>
        <v>0</v>
      </c>
      <c r="U172" s="406">
        <f>IF(V172=0,0,IF(V172&lt;0,IF($J172=12,V172,IF($J172=11,V172,IF($J172=10,V172,0)))))</f>
        <v>0</v>
      </c>
      <c r="V172" s="407">
        <f>IF(V$5=$H172,-$E172,0)</f>
        <v>0</v>
      </c>
      <c r="W172" s="404">
        <f>IF(AA172=0,0,IF(AA172&lt;0,IF($J172=3,AA172,IF($J172=2,AA172,IF($J172=1,AA172,0)))))</f>
        <v>0</v>
      </c>
      <c r="X172" s="414">
        <f>IF(AA172=0,0,IF(AA172&lt;0,IF($J172=6,AA172,IF($J172=5,AA172,IF($J172=4,AA172,0)))))</f>
        <v>0</v>
      </c>
      <c r="Y172" s="414">
        <f>IF(AA172=0,0,IF(AA172&lt;0,IF($J172=9,AA172,IF($J172=8,AA172,IF($J172=7,AA172,0)))))</f>
        <v>0</v>
      </c>
      <c r="Z172" s="406">
        <f>IF(AA172=0,0,IF(AA172&lt;0,IF($J172=12,AA172,IF($J172=11,AA172,IF($J172=10,AA172,0)))))</f>
        <v>0</v>
      </c>
      <c r="AA172" s="407">
        <f>IF(AA$5=$H172,-$E172,0)</f>
        <v>0</v>
      </c>
      <c r="AB172" s="404">
        <f>IF(AF172=0,0,IF(AF172&lt;0,IF($J172=3,AF172,IF($J172=2,AF172,IF($J172=1,AF172,0)))))</f>
        <v>0</v>
      </c>
      <c r="AC172" s="414">
        <f>IF(AF172=0,0,IF(AF172&lt;0,IF($J172=6,AF172,IF($J172=5,AF172,IF($J172=4,AF172,0)))))</f>
        <v>0</v>
      </c>
      <c r="AD172" s="414">
        <f>IF(AF172=0,0,IF(AF172&lt;0,IF($J172=9,AF172,IF($J172=8,AF172,IF($J172=7,AF172,0)))))</f>
        <v>0</v>
      </c>
      <c r="AE172" s="406">
        <f>IF(AF172=0,0,IF(AF172&lt;0,IF($J172=12,AF172,IF($J172=11,AF172,IF($J172=10,AF172,0)))))</f>
        <v>0</v>
      </c>
      <c r="AF172" s="407">
        <f>IF(AF$5=$H172,-$E172,0)</f>
        <v>0</v>
      </c>
      <c r="AG172" s="404">
        <f>IF(AK172=0,0,IF(AK172&lt;0,IF($J172=3,AK172,IF($J172=2,AK172,IF($J172=1,AK172,0)))))</f>
        <v>0</v>
      </c>
      <c r="AH172" s="414">
        <f>IF(AK172=0,0,IF(AK172&lt;0,IF($J172=6,AK172,IF($J172=5,AK172,IF($J172=4,AK172,0)))))</f>
        <v>0</v>
      </c>
      <c r="AI172" s="414">
        <f>IF(AK172=0,0,IF(AK172&lt;0,IF($J172=9,AK172,IF($J172=8,AK172,IF($J172=7,AK172,0)))))</f>
        <v>0</v>
      </c>
      <c r="AJ172" s="406">
        <f>IF(AK172=0,0,IF(AK172&lt;0,IF($J172=12,AK172,IF($J172=11,AK172,IF($J172=10,AK172,0)))))</f>
        <v>0</v>
      </c>
      <c r="AK172" s="407">
        <f>IF(AK$5=$H172,-$E172,0)</f>
        <v>0</v>
      </c>
      <c r="AL172" s="404">
        <f>IF(AP172=0,0,IF(AP172&lt;0,IF($J172=3,AP172,IF($J172=2,AP172,IF($J172=1,AP172,0)))))</f>
        <v>0</v>
      </c>
      <c r="AM172" s="414">
        <f>IF(AP172=0,0,IF(AP172&lt;0,IF($J172=6,AP172,IF($J172=5,AP172,IF($J172=4,AP172,0)))))</f>
        <v>0</v>
      </c>
      <c r="AN172" s="414">
        <f>IF(AP172=0,0,IF(AP172&lt;0,IF($J172=9,AP172,IF($J172=8,AP172,IF($J172=7,AP172,0)))))</f>
        <v>0</v>
      </c>
      <c r="AO172" s="406">
        <f>IF(AP172=0,0,IF(AP172&lt;0,IF($J172=12,AP172,IF($J172=11,AP172,IF($J172=10,AP172,0)))))</f>
        <v>0</v>
      </c>
      <c r="AP172" s="407">
        <f>IF(AP$5=$H172,-$E172,0)</f>
        <v>0</v>
      </c>
      <c r="AQ172" s="404">
        <f>IF(AU172=0,0,IF(AU172&lt;0,IF($J172=3,AU172,IF($J172=2,AU172,IF($J172=1,AU172,0)))))</f>
        <v>0</v>
      </c>
      <c r="AR172" s="414">
        <f>IF(AU172=0,0,IF(AU172&lt;0,IF($J172=6,AU172,IF($J172=5,AU172,IF($J172=4,AU172,0)))))</f>
        <v>0</v>
      </c>
      <c r="AS172" s="414">
        <f>IF(AU172=0,0,IF(AU172&lt;0,IF($J172=9,AU172,IF($J172=8,AU172,IF($J172=7,AU172,0)))))</f>
        <v>0</v>
      </c>
      <c r="AT172" s="406">
        <f>IF(AU172=0,0,IF(AU172&lt;0,IF($J172=12,AU172,IF($J172=11,AU172,IF($J172=10,AU172,0)))))</f>
        <v>0</v>
      </c>
      <c r="AU172" s="407">
        <f>IF(AU$5=$H172,-$E172,0)</f>
        <v>0</v>
      </c>
      <c r="AV172" s="404">
        <f>IF(AZ172=0,0,IF(AZ172&lt;0,IF($J172=3,AZ172,IF($J172=2,AZ172,IF($J172=1,AZ172,0)))))</f>
        <v>0</v>
      </c>
      <c r="AW172" s="414">
        <f>IF(AZ172=0,0,IF(AZ172&lt;0,IF($J172=6,AZ172,IF($J172=5,AZ172,IF($J172=4,AZ172,0)))))</f>
        <v>0</v>
      </c>
      <c r="AX172" s="414">
        <f>IF(AZ172=0,0,IF(AZ172&lt;0,IF($J172=9,AZ172,IF($J172=8,AZ172,IF($J172=7,AZ172,0)))))</f>
        <v>0</v>
      </c>
      <c r="AY172" s="406">
        <f>IF(AZ172=0,0,IF(AZ172&lt;0,IF($J172=12,AZ172,IF($J172=11,AZ172,IF($J172=10,AZ172,0)))))</f>
        <v>0</v>
      </c>
      <c r="AZ172" s="407">
        <f>IF(AZ$5=$H172,-$E172,0)</f>
        <v>0</v>
      </c>
      <c r="BA172" s="404">
        <f>IF(BE172=0,0,IF(BE172&lt;0,IF($J172=3,BE172,IF($J172=2,BE172,IF($J172=1,BE172,0)))))</f>
        <v>0</v>
      </c>
      <c r="BB172" s="414">
        <f>IF(BE172=0,0,IF(BE172&lt;0,IF($J172=6,BE172,IF($J172=5,BE172,IF($J172=4,BE172,0)))))</f>
        <v>0</v>
      </c>
      <c r="BC172" s="414">
        <f>IF(BE172=0,0,IF(BE172&lt;0,IF($J172=9,BE172,IF($J172=8,BE172,IF($J172=7,BE172,0)))))</f>
        <v>0</v>
      </c>
      <c r="BD172" s="406">
        <f>IF(BE172=0,0,IF(BE172&lt;0,IF($J172=12,BE172,IF($J172=11,BE172,IF($J172=10,BE172,0)))))</f>
        <v>-125</v>
      </c>
      <c r="BE172" s="407">
        <f>IF(BE$5=$H172,-$E172,0)</f>
        <v>-125</v>
      </c>
      <c r="BF172" s="404">
        <f>IF(BJ172=0,0,IF(BJ172&lt;0,IF($J172=3,BJ172,IF($J172=2,BJ172,IF($J172=1,BJ172,0)))))</f>
        <v>0</v>
      </c>
      <c r="BG172" s="414">
        <f>IF(BJ172=0,0,IF(BJ172&lt;0,IF($J172=6,BJ172,IF($J172=5,BJ172,IF($J172=4,BJ172,0)))))</f>
        <v>0</v>
      </c>
      <c r="BH172" s="414">
        <f>IF(BJ172=0,0,IF(BJ172&lt;0,IF($J172=9,BJ172,IF($J172=8,BJ172,IF($J172=7,BJ172,0)))))</f>
        <v>0</v>
      </c>
      <c r="BI172" s="406">
        <f>IF(BJ172=0,0,IF(BJ172&lt;0,IF($J172=12,BJ172,IF($J172=11,BJ172,IF($J172=10,BJ172,0)))))</f>
        <v>0</v>
      </c>
      <c r="BJ172" s="407">
        <f>IF(BJ$5=$H172,-$E172,0)</f>
        <v>0</v>
      </c>
      <c r="BK172" s="404">
        <f>IF(BO172=0,0,IF(BO172&lt;0,IF($J172=3,BO172,IF($J172=2,BO172,IF($J172=1,BO172,0)))))</f>
        <v>0</v>
      </c>
      <c r="BL172" s="414">
        <f>IF(BO172=0,0,IF(BO172&lt;0,IF($J172=6,BO172,IF($J172=5,BO172,IF($J172=4,BO172,0)))))</f>
        <v>0</v>
      </c>
      <c r="BM172" s="414">
        <f>IF(BO172=0,0,IF(BO172&lt;0,IF($J172=9,BO172,IF($J172=8,BO172,IF($J172=7,BO172,0)))))</f>
        <v>0</v>
      </c>
      <c r="BN172" s="406">
        <f>IF(BO172=0,0,IF(BO172&lt;0,IF($J172=12,BO172,IF($J172=11,BO172,IF($J172=10,BO172,0)))))</f>
        <v>0</v>
      </c>
      <c r="BO172" s="407">
        <f>IF(BO$5=$H172,-$E172,0)</f>
        <v>0</v>
      </c>
      <c r="BP172" s="449"/>
      <c r="BQ172" s="413">
        <f>IF(AND(AH172&lt;&gt;0,AH$5=$H172),-$I172*$E172-AH172,IF(BQ$5=$H172,-$I172*$E172*(12-$J172+1)/12,0))</f>
        <v>0</v>
      </c>
      <c r="BR172" s="410">
        <f>IF($H172&lt;&gt;BV$5,0,IF(BV172&lt;0,IF($J172=1,-$E172*$I172/12*3,IF($J172=2,-$E172*$I172/12*2,IF($J172=3,-$E172*$I172/12*1,0)))))+IF(BQ$5&lt;&gt;$H172,0,IF(BQ172&lt;0,IF($J172=1,-$E172*$I172/12*0,IF($J172=2,-$E172*$I172/12*1,IF($J172=3,-$E172*$I172/12*2,IF($J172&gt;=4,-$E172*$I172/12*3,0))))))</f>
        <v>0</v>
      </c>
      <c r="BS172" s="416">
        <f>IF($H172&lt;&gt;BV$5,0,IF(BV172&lt;0,IF(OR($J172=1,$J172=2,$J172=3,$J172=4),-$E172*$I172/12*3,IF($J172=5,-$E172*$I172/12*2,IF($J172=6,-$E172*$I172/12*1,0)))))+IF(BQ$5&lt;&gt;$H172,0,IF(BQ172&lt;0,IF($J172=4,-$E172*$I172/12*0,IF($J172=5,-$E172*$I172/12*1,IF($J172=6,-$E172*$I172/12*2,IF($J172&gt;=7,-$E172*$I172/12*3,0))))))</f>
        <v>0</v>
      </c>
      <c r="BT172" s="416">
        <f>IF($H172&lt;&gt;BV$5,0,IF(BV172&lt;0,IF(OR($J172=1,$J172=2,$J172=3,$J172=4,$J172=5,$J172=6,$J172=7),-$E172*$I172/12*3,IF($J172=8,-$E172*$I172/12*2,IF($J172=9,-$E172*$I172/12*1,0)))))+IF(BQ$5&lt;&gt;$H172,0,IF(BQ172&lt;0,IF($J172=7,-$E172*$I172/12*0,IF($J172=8,-$E172*$I172/12*1,IF($J172=9,-$E172*$I172/12*2,IF($J172&gt;=10,-$E172*$I172/12*3,0))))))</f>
        <v>0</v>
      </c>
      <c r="BU172" s="412">
        <f>IF($H172&lt;&gt;BV$5,0,IF(BV172&lt;0,IF(OR($J172=1,$J172=2,$J172=3,$J172=4,$J172=5,$J172=6,$J172=7,$J172=8,$J172=9,$J172=10),-$E172*$I172/12*3,IF($J172=11,-$E172*$I172/12*2,IF($J172=12,-$E172*$I172/12*1,0)))))+IF(BQ$5&lt;&gt;$H172,0,IF(BQ172&lt;0,IF($J172=10,-$E172*$I172/12*0,IF($J172=11,-$E172*$I172/12*1,IF($J172=12,-$E172*$I172/12*2,0)))))</f>
        <v>0</v>
      </c>
      <c r="BV172" s="413">
        <f>IF(AND(BQ172&lt;&gt;0,BQ$5=$H172),-$I172*$E172-BQ172,IF(BV$5=$H172,-$I172*$E172*(12-$J172+1)/12,0))</f>
        <v>0</v>
      </c>
      <c r="BW172" s="410">
        <f>IF($H172&lt;&gt;CA$5,0,IF(CA172&lt;0,IF($J172=1,-$E172*$I172/12*3,IF($J172=2,-$E172*$I172/12*2,IF($J172=3,-$E172*$I172/12*1,0)))))+IF(BV$5&lt;&gt;$H172,0,IF(BV172&lt;0,IF($J172=1,-$E172*$I172/12*0,IF($J172=2,-$E172*$I172/12*1,IF($J172=3,-$E172*$I172/12*2,IF($J172&gt;=4,-$E172*$I172/12*3,0))))))</f>
        <v>0</v>
      </c>
      <c r="BX172" s="416">
        <f>IF($H172&lt;&gt;CA$5,0,IF(CA172&lt;0,IF(OR($J172=1,$J172=2,$J172=3,$J172=4),-$E172*$I172/12*3,IF($J172=5,-$E172*$I172/12*2,IF($J172=6,-$E172*$I172/12*1,0)))))+IF(BV$5&lt;&gt;$H172,0,IF(BV172&lt;0,IF($J172=4,-$E172*$I172/12*0,IF($J172=5,-$E172*$I172/12*1,IF($J172=6,-$E172*$I172/12*2,IF($J172&gt;=7,-$E172*$I172/12*3,0))))))</f>
        <v>0</v>
      </c>
      <c r="BY172" s="416">
        <f>IF($H172&lt;&gt;CA$5,0,IF(CA172&lt;0,IF(OR($J172=1,$J172=2,$J172=3,$J172=4,$J172=5,$J172=6,$J172=7),-$E172*$I172/12*3,IF($J172=8,-$E172*$I172/12*2,IF($J172=9,-$E172*$I172/12*1,0)))))+IF(BV$5&lt;&gt;$H172,0,IF(BV172&lt;0,IF($J172=7,-$E172*$I172/12*0,IF($J172=8,-$E172*$I172/12*1,IF($J172=9,-$E172*$I172/12*2,IF($J172&gt;=10,-$E172*$I172/12*3,0))))))</f>
        <v>0</v>
      </c>
      <c r="BZ172" s="412">
        <f>IF($H172&lt;&gt;CA$5,0,IF(CA172&lt;0,IF(OR($J172=1,$J172=2,$J172=3,$J172=4,$J172=5,$J172=6,$J172=7,$J172=8,$J172=9,$J172=10),-$E172*$I172/12*3,IF($J172=11,-$E172*$I172/12*2,IF($J172=12,-$E172*$I172/12*1,0)))))+IF(BV$5&lt;&gt;$H172,0,IF(BV172&lt;0,IF($J172=10,-$E172*$I172/12*0,IF($J172=11,-$E172*$I172/12*1,IF($J172=12,-$E172*$I172/12*2,0)))))</f>
        <v>0</v>
      </c>
      <c r="CA172" s="413">
        <f>IF(AND(BV172&lt;&gt;0,BV$5=$H172),-$I172*$E172-BV172,IF(CA$5=$H172,-$I172*$E172*(12-$J172+1)/12,0))</f>
        <v>0</v>
      </c>
      <c r="CB172" s="410">
        <f>IF($H172&lt;&gt;CF$5,0,IF(CF172&lt;0,IF($J172=1,-$E172*$I172/12*3,IF($J172=2,-$E172*$I172/12*2,IF($J172=3,-$E172*$I172/12*1,0)))))+IF(CA$5&lt;&gt;$H172,0,IF(CA172&lt;0,IF($J172=1,-$E172*$I172/12*0,IF($J172=2,-$E172*$I172/12*1,IF($J172=3,-$E172*$I172/12*2,IF($J172&gt;=4,-$E172*$I172/12*3,0))))))</f>
        <v>0</v>
      </c>
      <c r="CC172" s="416">
        <f>IF($H172&lt;&gt;CF$5,0,IF(CF172&lt;0,IF(OR($J172=1,$J172=2,$J172=3,$J172=4),-$E172*$I172/12*3,IF($J172=5,-$E172*$I172/12*2,IF($J172=6,-$E172*$I172/12*1,0)))))+IF(CA$5&lt;&gt;$H172,0,IF(CA172&lt;0,IF($J172=4,-$E172*$I172/12*0,IF($J172=5,-$E172*$I172/12*1,IF($J172=6,-$E172*$I172/12*2,IF($J172&gt;=7,-$E172*$I172/12*3,0))))))</f>
        <v>0</v>
      </c>
      <c r="CD172" s="416">
        <f>IF($H172&lt;&gt;CF$5,0,IF(CF172&lt;0,IF(OR($J172=1,$J172=2,$J172=3,$J172=4,$J172=5,$J172=6,$J172=7),-$E172*$I172/12*3,IF($J172=8,-$E172*$I172/12*2,IF($J172=9,-$E172*$I172/12*1,0)))))+IF(CA$5&lt;&gt;$H172,0,IF(CA172&lt;0,IF($J172=7,-$E172*$I172/12*0,IF($J172=8,-$E172*$I172/12*1,IF($J172=9,-$E172*$I172/12*2,IF($J172&gt;=10,-$E172*$I172/12*3,0))))))</f>
        <v>0</v>
      </c>
      <c r="CE172" s="412">
        <f>IF($H172&lt;&gt;CF$5,0,IF(CF172&lt;0,IF(OR($J172=1,$J172=2,$J172=3,$J172=4,$J172=5,$J172=6,$J172=7,$J172=8,$J172=9,$J172=10),-$E172*$I172/12*3,IF($J172=11,-$E172*$I172/12*2,IF($J172=12,-$E172*$I172/12*1,0)))))+IF(CA$5&lt;&gt;$H172,0,IF(CA172&lt;0,IF($J172=10,-$E172*$I172/12*0,IF($J172=11,-$E172*$I172/12*1,IF($J172=12,-$E172*$I172/12*2,0)))))</f>
        <v>0</v>
      </c>
      <c r="CF172" s="413">
        <f>IF(AND(CA172&lt;&gt;0,CA$5=$H172),-$I172*$E172-CA172,IF(CF$5=$H172,-$I172*$E172*(12-$J172+1)/12,0))</f>
        <v>0</v>
      </c>
      <c r="CG172" s="410">
        <f>IF($H172&lt;&gt;CK$5,0,IF(CK172&lt;0,IF($J172=1,-$E172*$I172/12*3,IF($J172=2,-$E172*$I172/12*2,IF($J172=3,-$E172*$I172/12*1,0)))))+IF(CF$5&lt;&gt;$H172,0,IF(CF172&lt;0,IF($J172=1,-$E172*$I172/12*0,IF($J172=2,-$E172*$I172/12*1,IF($J172=3,-$E172*$I172/12*2,IF($J172&gt;=4,-$E172*$I172/12*3,0))))))</f>
        <v>0</v>
      </c>
      <c r="CH172" s="416">
        <f>IF($H172&lt;&gt;CK$5,0,IF(CK172&lt;0,IF(OR($J172=1,$J172=2,$J172=3,$J172=4),-$E172*$I172/12*3,IF($J172=5,-$E172*$I172/12*2,IF($J172=6,-$E172*$I172/12*1,0)))))+IF(CF$5&lt;&gt;$H172,0,IF(CF172&lt;0,IF($J172=4,-$E172*$I172/12*0,IF($J172=5,-$E172*$I172/12*1,IF($J172=6,-$E172*$I172/12*2,IF($J172&gt;=7,-$E172*$I172/12*3,0))))))</f>
        <v>0</v>
      </c>
      <c r="CI172" s="416">
        <f>IF($H172&lt;&gt;CK$5,0,IF(CK172&lt;0,IF(OR($J172=1,$J172=2,$J172=3,$J172=4,$J172=5,$J172=6,$J172=7),-$E172*$I172/12*3,IF($J172=8,-$E172*$I172/12*2,IF($J172=9,-$E172*$I172/12*1,0)))))+IF(CF$5&lt;&gt;$H172,0,IF(CF172&lt;0,IF($J172=7,-$E172*$I172/12*0,IF($J172=8,-$E172*$I172/12*1,IF($J172=9,-$E172*$I172/12*2,IF($J172&gt;=10,-$E172*$I172/12*3,0))))))</f>
        <v>0</v>
      </c>
      <c r="CJ172" s="412">
        <f>IF($H172&lt;&gt;CK$5,0,IF(CK172&lt;0,IF(OR($J172=1,$J172=2,$J172=3,$J172=4,$J172=5,$J172=6,$J172=7,$J172=8,$J172=9,$J172=10),-$E172*$I172/12*3,IF($J172=11,-$E172*$I172/12*2,IF($J172=12,-$E172*$I172/12*1,0)))))+IF(CF$5&lt;&gt;$H172,0,IF(CF172&lt;0,IF($J172=10,-$E172*$I172/12*0,IF($J172=11,-$E172*$I172/12*1,IF($J172=12,-$E172*$I172/12*2,0)))))</f>
        <v>0</v>
      </c>
      <c r="CK172" s="413">
        <f>IF(AND(CF172&lt;&gt;0,CF$5=$H172),-$I172*$E172-CF172,IF(CK$5=$H172,-$I172*$E172*(12-$J172+1)/12,0))</f>
        <v>0</v>
      </c>
      <c r="CL172" s="410">
        <f>IF($H172&lt;&gt;CP$5,0,IF(CP172&lt;0,IF($J172=1,-$E172*$I172/12*3,IF($J172=2,-$E172*$I172/12*2,IF($J172=3,-$E172*$I172/12*1,0)))))+IF(CK$5&lt;&gt;$H172,0,IF(CK172&lt;0,IF($J172=1,-$E172*$I172/12*0,IF($J172=2,-$E172*$I172/12*1,IF($J172=3,-$E172*$I172/12*2,IF($J172&gt;=4,-$E172*$I172/12*3,0))))))</f>
        <v>0</v>
      </c>
      <c r="CM172" s="416">
        <f>IF($H172&lt;&gt;CP$5,0,IF(CP172&lt;0,IF(OR($J172=1,$J172=2,$J172=3,$J172=4),-$E172*$I172/12*3,IF($J172=5,-$E172*$I172/12*2,IF($J172=6,-$E172*$I172/12*1,0)))))+IF(CK$5&lt;&gt;$H172,0,IF(CK172&lt;0,IF($J172=4,-$E172*$I172/12*0,IF($J172=5,-$E172*$I172/12*1,IF($J172=6,-$E172*$I172/12*2,IF($J172&gt;=7,-$E172*$I172/12*3,0))))))</f>
        <v>0</v>
      </c>
      <c r="CN172" s="416">
        <f>IF($H172&lt;&gt;CP$5,0,IF(CP172&lt;0,IF(OR($J172=1,$J172=2,$J172=3,$J172=4,$J172=5,$J172=6,$J172=7),-$E172*$I172/12*3,IF($J172=8,-$E172*$I172/12*2,IF($J172=9,-$E172*$I172/12*1,0)))))+IF(CK$5&lt;&gt;$H172,0,IF(CK172&lt;0,IF($J172=7,-$E172*$I172/12*0,IF($J172=8,-$E172*$I172/12*1,IF($J172=9,-$E172*$I172/12*2,IF($J172&gt;=10,-$E172*$I172/12*3,0))))))</f>
        <v>0</v>
      </c>
      <c r="CO172" s="412">
        <f>IF($H172&lt;&gt;CP$5,0,IF(CP172&lt;0,IF(OR($J172=1,$J172=2,$J172=3,$J172=4,$J172=5,$J172=6,$J172=7,$J172=8,$J172=9,$J172=10),-$E172*$I172/12*3,IF($J172=11,-$E172*$I172/12*2,IF($J172=12,-$E172*$I172/12*1,0)))))+IF(CK$5&lt;&gt;$H172,0,IF(CK172&lt;0,IF($J172=10,-$E172*$I172/12*0,IF($J172=11,-$E172*$I172/12*1,IF($J172=12,-$E172*$I172/12*2,0)))))</f>
        <v>0</v>
      </c>
      <c r="CP172" s="413">
        <f>IF(AND(CK172&lt;&gt;0,CK$5=$H172),-$I172*$E172-CK172,IF(CP$5=$H172,-$I172*$E172*(12-$J172+1)/12,0))</f>
        <v>0</v>
      </c>
      <c r="CQ172" s="410">
        <f>IF($H172&lt;&gt;CU$5,0,IF(CU172&lt;0,IF($J172=1,-$E172*$I172/12*3,IF($J172=2,-$E172*$I172/12*2,IF($J172=3,-$E172*$I172/12*1,0)))))+IF(CP$5&lt;&gt;$H172,0,IF(CP172&lt;0,IF($J172=1,-$E172*$I172/12*0,IF($J172=2,-$E172*$I172/12*1,IF($J172=3,-$E172*$I172/12*2,IF($J172&gt;=4,-$E172*$I172/12*3,0))))))</f>
        <v>0</v>
      </c>
      <c r="CR172" s="416">
        <f>IF($H172&lt;&gt;CU$5,0,IF(CU172&lt;0,IF(OR($J172=1,$J172=2,$J172=3,$J172=4),-$E172*$I172/12*3,IF($J172=5,-$E172*$I172/12*2,IF($J172=6,-$E172*$I172/12*1,0)))))+IF(CP$5&lt;&gt;$H172,0,IF(CP172&lt;0,IF($J172=4,-$E172*$I172/12*0,IF($J172=5,-$E172*$I172/12*1,IF($J172=6,-$E172*$I172/12*2,IF($J172&gt;=7,-$E172*$I172/12*3,0))))))</f>
        <v>0</v>
      </c>
      <c r="CS172" s="416">
        <f>IF($H172&lt;&gt;CU$5,0,IF(CU172&lt;0,IF(OR($J172=1,$J172=2,$J172=3,$J172=4,$J172=5,$J172=6,$J172=7),-$E172*$I172/12*3,IF($J172=8,-$E172*$I172/12*2,IF($J172=9,-$E172*$I172/12*1,0)))))+IF(CP$5&lt;&gt;$H172,0,IF(CP172&lt;0,IF($J172=7,-$E172*$I172/12*0,IF($J172=8,-$E172*$I172/12*1,IF($J172=9,-$E172*$I172/12*2,IF($J172&gt;=10,-$E172*$I172/12*3,0))))))</f>
        <v>0</v>
      </c>
      <c r="CT172" s="412">
        <f>IF($H172&lt;&gt;CU$5,0,IF(CU172&lt;0,IF(OR($J172=1,$J172=2,$J172=3,$J172=4,$J172=5,$J172=6,$J172=7,$J172=8,$J172=9,$J172=10),-$E172*$I172/12*3,IF($J172=11,-$E172*$I172/12*2,IF($J172=12,-$E172*$I172/12*1,0)))))+IF(CP$5&lt;&gt;$H172,0,IF(CP172&lt;0,IF($J172=10,-$E172*$I172/12*0,IF($J172=11,-$E172*$I172/12*1,IF($J172=12,-$E172*$I172/12*2,0)))))</f>
        <v>0</v>
      </c>
      <c r="CU172" s="413">
        <f>IF(AND(CP172&lt;&gt;0,CP$5=$H172),-$I172*$E172-CP172,IF(CU$5=$H172,-$I172*$E172*(12-$J172+1)/12,0))</f>
        <v>0</v>
      </c>
      <c r="CV172" s="410">
        <f>IF($H172&lt;&gt;CZ$5,0,IF(CZ172&lt;0,IF($J172=1,-$E172*$I172/12*3,IF($J172=2,-$E172*$I172/12*2,IF($J172=3,-$E172*$I172/12*1,0)))))+IF(CU$5&lt;&gt;$H172,0,IF(CU172&lt;0,IF($J172=1,-$E172*$I172/12*0,IF($J172=2,-$E172*$I172/12*1,IF($J172=3,-$E172*$I172/12*2,IF($J172&gt;=4,-$E172*$I172/12*3,0))))))</f>
        <v>0</v>
      </c>
      <c r="CW172" s="416">
        <f>IF($H172&lt;&gt;CZ$5,0,IF(CZ172&lt;0,IF(OR($J172=1,$J172=2,$J172=3,$J172=4),-$E172*$I172/12*3,IF($J172=5,-$E172*$I172/12*2,IF($J172=6,-$E172*$I172/12*1,0)))))+IF(CU$5&lt;&gt;$H172,0,IF(CU172&lt;0,IF($J172=4,-$E172*$I172/12*0,IF($J172=5,-$E172*$I172/12*1,IF($J172=6,-$E172*$I172/12*2,IF($J172&gt;=7,-$E172*$I172/12*3,0))))))</f>
        <v>0</v>
      </c>
      <c r="CX172" s="416">
        <f>IF($H172&lt;&gt;CZ$5,0,IF(CZ172&lt;0,IF(OR($J172=1,$J172=2,$J172=3,$J172=4,$J172=5,$J172=6,$J172=7),-$E172*$I172/12*3,IF($J172=8,-$E172*$I172/12*2,IF($J172=9,-$E172*$I172/12*1,0)))))+IF(CU$5&lt;&gt;$H172,0,IF(CU172&lt;0,IF($J172=7,-$E172*$I172/12*0,IF($J172=8,-$E172*$I172/12*1,IF($J172=9,-$E172*$I172/12*2,IF($J172&gt;=10,-$E172*$I172/12*3,0))))))</f>
        <v>0</v>
      </c>
      <c r="CY172" s="412">
        <f>IF($H172&lt;&gt;CZ$5,0,IF(CZ172&lt;0,IF(OR($J172=1,$J172=2,$J172=3,$J172=4,$J172=5,$J172=6,$J172=7,$J172=8,$J172=9,$J172=10),-$E172*$I172/12*3,IF($J172=11,-$E172*$I172/12*2,IF($J172=12,-$E172*$I172/12*1,0)))))+IF(CU$5&lt;&gt;$H172,0,IF(CU172&lt;0,IF($J172=10,-$E172*$I172/12*0,IF($J172=11,-$E172*$I172/12*1,IF($J172=12,-$E172*$I172/12*2,0)))))</f>
        <v>0</v>
      </c>
      <c r="CZ172" s="413">
        <f>IF(AND(CU172&lt;&gt;0,CU$5=$H172),-$I172*$E172-CU172,IF(CZ$5=$H172,-$I172*$E172*(12-$J172+1)/12,0))</f>
        <v>0</v>
      </c>
      <c r="DA172" s="410">
        <f>IF($H172&lt;&gt;DE$5,0,IF(DE172&lt;0,IF($J172=1,-$E172*$I172/12*3,IF($J172=2,-$E172*$I172/12*2,IF($J172=3,-$E172*$I172/12*1,0)))))+IF(CZ$5&lt;&gt;$H172,0,IF(CZ172&lt;0,IF($J172=1,-$E172*$I172/12*0,IF($J172=2,-$E172*$I172/12*1,IF($J172=3,-$E172*$I172/12*2,IF($J172&gt;=4,-$E172*$I172/12*3,0))))))</f>
        <v>0</v>
      </c>
      <c r="DB172" s="416">
        <f>IF($H172&lt;&gt;DE$5,0,IF(DE172&lt;0,IF(OR($J172=1,$J172=2,$J172=3,$J172=4),-$E172*$I172/12*3,IF($J172=5,-$E172*$I172/12*2,IF($J172=6,-$E172*$I172/12*1,0)))))+IF(CZ$5&lt;&gt;$H172,0,IF(CZ172&lt;0,IF($J172=4,-$E172*$I172/12*0,IF($J172=5,-$E172*$I172/12*1,IF($J172=6,-$E172*$I172/12*2,IF($J172&gt;=7,-$E172*$I172/12*3,0))))))</f>
        <v>0</v>
      </c>
      <c r="DC172" s="416">
        <f>IF($H172&lt;&gt;DE$5,0,IF(DE172&lt;0,IF(OR($J172=1,$J172=2,$J172=3,$J172=4,$J172=5,$J172=6,$J172=7),-$E172*$I172/12*3,IF($J172=8,-$E172*$I172/12*2,IF($J172=9,-$E172*$I172/12*1,0)))))+IF(CZ$5&lt;&gt;$H172,0,IF(CZ172&lt;0,IF($J172=7,-$E172*$I172/12*0,IF($J172=8,-$E172*$I172/12*1,IF($J172=9,-$E172*$I172/12*2,IF($J172&gt;=10,-$E172*$I172/12*3,0))))))</f>
        <v>0</v>
      </c>
      <c r="DD172" s="412">
        <f>IF($H172&lt;&gt;DE$5,0,IF(DE172&lt;0,IF(OR($J172=1,$J172=2,$J172=3,$J172=4,$J172=5,$J172=6,$J172=7,$J172=8,$J172=9,$J172=10),-$E172*$I172/12*3,IF($J172=11,-$E172*$I172/12*2,IF($J172=12,-$E172*$I172/12*1,0)))))+IF(CZ$5&lt;&gt;$H172,0,IF(CZ172&lt;0,IF($J172=10,-$E172*$I172/12*0,IF($J172=11,-$E172*$I172/12*1,IF($J172=12,-$E172*$I172/12*2,0)))))</f>
        <v>0</v>
      </c>
      <c r="DE172" s="413">
        <f>IF(AND(CZ172&lt;&gt;0,CZ$5=$H172),-$I172*$E172-CZ172,IF(DE$5=$H172,-$I172*$E172*(12-$J172+1)/12,0))</f>
        <v>0</v>
      </c>
      <c r="DF172" s="410">
        <f>IF($H172&lt;&gt;DJ$5,0,IF(DJ172&lt;0,IF($J172=1,-$E172*$I172/12*3,IF($J172=2,-$E172*$I172/12*2,IF($J172=3,-$E172*$I172/12*1,0)))))+IF(DE$5&lt;&gt;$H172,0,IF(DE172&lt;0,IF($J172=1,-$E172*$I172/12*0,IF($J172=2,-$E172*$I172/12*1,IF($J172=3,-$E172*$I172/12*2,IF($J172&gt;=4,-$E172*$I172/12*3,0))))))</f>
        <v>0</v>
      </c>
      <c r="DG172" s="416">
        <f>IF($H172&lt;&gt;DJ$5,0,IF(DJ172&lt;0,IF(OR($J172=1,$J172=2,$J172=3,$J172=4),-$E172*$I172/12*3,IF($J172=5,-$E172*$I172/12*2,IF($J172=6,-$E172*$I172/12*1,0)))))+IF(DE$5&lt;&gt;$H172,0,IF(DE172&lt;0,IF($J172=4,-$E172*$I172/12*0,IF($J172=5,-$E172*$I172/12*1,IF($J172=6,-$E172*$I172/12*2,IF($J172&gt;=7,-$E172*$I172/12*3,0))))))</f>
        <v>0</v>
      </c>
      <c r="DH172" s="416">
        <f>IF($H172&lt;&gt;DJ$5,0,IF(DJ172&lt;0,IF(OR($J172=1,$J172=2,$J172=3,$J172=4,$J172=5,$J172=6,$J172=7),-$E172*$I172/12*3,IF($J172=8,-$E172*$I172/12*2,IF($J172=9,-$E172*$I172/12*1,0)))))+IF(DE$5&lt;&gt;$H172,0,IF(DE172&lt;0,IF($J172=7,-$E172*$I172/12*0,IF($J172=8,-$E172*$I172/12*1,IF($J172=9,-$E172*$I172/12*2,IF($J172&gt;=10,-$E172*$I172/12*3,0))))))</f>
        <v>0</v>
      </c>
      <c r="DI172" s="412">
        <f>IF($H172&lt;&gt;DJ$5,0,IF(DJ172&lt;0,IF(OR($J172=1,$J172=2,$J172=3,$J172=4,$J172=5,$J172=6,$J172=7,$J172=8,$J172=9,$J172=10),-$E172*$I172/12*3,IF($J172=11,-$E172*$I172/12*2,IF($J172=12,-$E172*$I172/12*1,0)))))+IF(DE$5&lt;&gt;$H172,0,IF(DE172&lt;0,IF($J172=10,-$E172*$I172/12*0,IF($J172=11,-$E172*$I172/12*1,IF($J172=12,-$E172*$I172/12*2,0)))))</f>
        <v>-0.9375</v>
      </c>
      <c r="DJ172" s="413">
        <f>IF(AND(DE172&lt;&gt;0,DE$5=$H172),-$I172*$E172-DE172,IF(DJ$5=$H172,-$I172*$E172*(12-$J172+1)/12,0))</f>
        <v>-0.9375</v>
      </c>
      <c r="DK172" s="410">
        <f>IF($H172&lt;&gt;DO$5,0,IF(DO172&lt;0,IF($J172=1,-$E172*$I172/12*3,IF($J172=2,-$E172*$I172/12*2,IF($J172=3,-$E172*$I172/12*1,0)))))+IF(DJ$5&lt;&gt;$H172,0,IF(DJ172&lt;0,IF($J172=1,-$E172*$I172/12*0,IF($J172=2,-$E172*$I172/12*1,IF($J172=3,-$E172*$I172/12*2,IF($J172&gt;=4,-$E172*$I172/12*3,0))))))</f>
        <v>-1.40625</v>
      </c>
      <c r="DL172" s="416">
        <f>IF($H172&lt;&gt;DO$5,0,IF(DO172&lt;0,IF(OR($J172=1,$J172=2,$J172=3,$J172=4),-$E172*$I172/12*3,IF($J172=5,-$E172*$I172/12*2,IF($J172=6,-$E172*$I172/12*1,0)))))+IF(DJ$5&lt;&gt;$H172,0,IF(DJ172&lt;0,IF($J172=4,-$E172*$I172/12*0,IF($J172=5,-$E172*$I172/12*1,IF($J172=6,-$E172*$I172/12*2,IF($J172&gt;=7,-$E172*$I172/12*3,0))))))</f>
        <v>-1.40625</v>
      </c>
      <c r="DM172" s="416">
        <f>IF($H172&lt;&gt;DO$5,0,IF(DO172&lt;0,IF(OR($J172=1,$J172=2,$J172=3,$J172=4,$J172=5,$J172=6,$J172=7),-$E172*$I172/12*3,IF($J172=8,-$E172*$I172/12*2,IF($J172=9,-$E172*$I172/12*1,0)))))+IF(DJ$5&lt;&gt;$H172,0,IF(DJ172&lt;0,IF($J172=7,-$E172*$I172/12*0,IF($J172=8,-$E172*$I172/12*1,IF($J172=9,-$E172*$I172/12*2,IF($J172&gt;=10,-$E172*$I172/12*3,0))))))</f>
        <v>-1.40625</v>
      </c>
      <c r="DN172" s="412">
        <f>IF($H172&lt;&gt;DO$5,0,IF(DO172&lt;0,IF(OR($J172=1,$J172=2,$J172=3,$J172=4,$J172=5,$J172=6,$J172=7,$J172=8,$J172=9,$J172=10),-$E172*$I172/12*3,IF($J172=11,-$E172*$I172/12*2,IF($J172=12,-$E172*$I172/12*1,0)))))+IF(DJ$5&lt;&gt;$H172,0,IF(DJ172&lt;0,IF($J172=10,-$E172*$I172/12*0,IF($J172=11,-$E172*$I172/12*1,IF($J172=12,-$E172*$I172/12*2,0)))))</f>
        <v>-0.46875</v>
      </c>
      <c r="DO172" s="413">
        <f>IF(AND(DJ172&lt;&gt;0,DJ$5=$H172),-$I172*$E172-DJ172,IF(DO$5=$H172,-$I172*$E172*(12-$J172+1)/12,0))</f>
        <v>-4.6875</v>
      </c>
      <c r="DP172" s="410">
        <f>IF($H172&lt;&gt;DT$5,0,IF(DT172&lt;0,IF($J172=1,-$E172*$I172/12*3,IF($J172=2,-$E172*$I172/12*2,IF($J172=3,-$E172*$I172/12*1,0)))))+IF(DO$5&lt;&gt;$H172,0,IF(DO172&lt;0,IF($J172=1,-$E172*$I172/12*0,IF($J172=2,-$E172*$I172/12*1,IF($J172=3,-$E172*$I172/12*2,IF($J172&gt;=4,-$E172*$I172/12*3,0))))))</f>
        <v>0</v>
      </c>
      <c r="DQ172" s="416">
        <f>IF($H172&lt;&gt;DT$5,0,IF(DT172&lt;0,IF(OR($J172=1,$J172=2,$J172=3,$J172=4),-$E172*$I172/12*3,IF($J172=5,-$E172*$I172/12*2,IF($J172=6,-$E172*$I172/12*1,0)))))+IF(DO$5&lt;&gt;$H172,0,IF(DO172&lt;0,IF($J172=4,-$E172*$I172/12*0,IF($J172=5,-$E172*$I172/12*1,IF($J172=6,-$E172*$I172/12*2,IF($J172&gt;=7,-$E172*$I172/12*3,0))))))</f>
        <v>0</v>
      </c>
      <c r="DR172" s="416">
        <f>IF($H172&lt;&gt;DT$5,0,IF(DT172&lt;0,IF(OR($J172=1,$J172=2,$J172=3,$J172=4,$J172=5,$J172=6,$J172=7),-$E172*$I172/12*3,IF($J172=8,-$E172*$I172/12*2,IF($J172=9,-$E172*$I172/12*1,0)))))+IF(DO$5&lt;&gt;$H172,0,IF(DO172&lt;0,IF($J172=7,-$E172*$I172/12*0,IF($J172=8,-$E172*$I172/12*1,IF($J172=9,-$E172*$I172/12*2,IF($J172&gt;=10,-$E172*$I172/12*3,0))))))</f>
        <v>0</v>
      </c>
      <c r="DS172" s="412">
        <f>IF($H172&lt;&gt;DT$5,0,IF(DT172&lt;0,IF(OR($J172=1,$J172=2,$J172=3,$J172=4,$J172=5,$J172=6,$J172=7,$J172=8,$J172=9,$J172=10),-$E172*$I172/12*3,IF($J172=11,-$E172*$I172/12*2,IF($J172=12,-$E172*$I172/12*1,0)))))+IF(DO$5&lt;&gt;$H172,0,IF(DO172&lt;0,IF($J172=10,-$E172*$I172/12*0,IF($J172=11,-$E172*$I172/12*1,IF($J172=12,-$E172*$I172/12*2,0)))))</f>
        <v>0</v>
      </c>
      <c r="DT172" s="413">
        <f>IF(AND(DO172&lt;&gt;0,DO$5=$H172),-$I172*$E172-DO172,IF(DT$5=$H172,-$I172*$E172*(12-$J172+1)/12,0))</f>
        <v>0</v>
      </c>
    </row>
    <row r="173" spans="1:124" ht="12.75" customHeight="1">
      <c r="A173" s="491"/>
      <c r="C173" s="1438"/>
      <c r="D173" s="1438"/>
      <c r="E173" s="831"/>
      <c r="F173" s="829"/>
      <c r="G173" s="829"/>
      <c r="H173" s="610"/>
      <c r="I173" s="828"/>
      <c r="J173" s="615"/>
      <c r="K173" s="402"/>
      <c r="L173" s="407"/>
      <c r="M173" s="404"/>
      <c r="N173" s="414"/>
      <c r="O173" s="414"/>
      <c r="P173" s="406"/>
      <c r="Q173" s="407"/>
      <c r="R173" s="404"/>
      <c r="S173" s="414"/>
      <c r="T173" s="414"/>
      <c r="U173" s="406"/>
      <c r="V173" s="407"/>
      <c r="W173" s="404"/>
      <c r="X173" s="414"/>
      <c r="Y173" s="414"/>
      <c r="Z173" s="406"/>
      <c r="AA173" s="407"/>
      <c r="AB173" s="404"/>
      <c r="AC173" s="414"/>
      <c r="AD173" s="414"/>
      <c r="AE173" s="406"/>
      <c r="AF173" s="407"/>
      <c r="AG173" s="404"/>
      <c r="AH173" s="414"/>
      <c r="AI173" s="414"/>
      <c r="AJ173" s="406"/>
      <c r="AK173" s="407"/>
      <c r="AL173" s="404"/>
      <c r="AM173" s="414"/>
      <c r="AN173" s="414"/>
      <c r="AO173" s="406"/>
      <c r="AP173" s="407"/>
      <c r="AQ173" s="404"/>
      <c r="AR173" s="414"/>
      <c r="AS173" s="414"/>
      <c r="AT173" s="406"/>
      <c r="AU173" s="407"/>
      <c r="AV173" s="404"/>
      <c r="AW173" s="414"/>
      <c r="AX173" s="414"/>
      <c r="AY173" s="406"/>
      <c r="AZ173" s="407"/>
      <c r="BA173" s="404"/>
      <c r="BB173" s="414"/>
      <c r="BC173" s="414"/>
      <c r="BD173" s="406"/>
      <c r="BE173" s="407"/>
      <c r="BF173" s="404"/>
      <c r="BG173" s="414"/>
      <c r="BH173" s="414"/>
      <c r="BI173" s="406"/>
      <c r="BJ173" s="407"/>
      <c r="BK173" s="404"/>
      <c r="BL173" s="414"/>
      <c r="BM173" s="414"/>
      <c r="BN173" s="406"/>
      <c r="BO173" s="407"/>
      <c r="BP173" s="449"/>
      <c r="BQ173" s="413"/>
      <c r="BR173" s="410"/>
      <c r="BS173" s="416"/>
      <c r="BT173" s="416"/>
      <c r="BU173" s="412"/>
      <c r="BV173" s="413"/>
      <c r="BW173" s="410"/>
      <c r="BX173" s="416"/>
      <c r="BY173" s="416"/>
      <c r="BZ173" s="412"/>
      <c r="CA173" s="413"/>
      <c r="CB173" s="410"/>
      <c r="CC173" s="416"/>
      <c r="CD173" s="416"/>
      <c r="CE173" s="412"/>
      <c r="CF173" s="413"/>
      <c r="CG173" s="410"/>
      <c r="CH173" s="416"/>
      <c r="CI173" s="416"/>
      <c r="CJ173" s="412"/>
      <c r="CK173" s="413"/>
      <c r="CL173" s="410"/>
      <c r="CM173" s="416"/>
      <c r="CN173" s="416"/>
      <c r="CO173" s="412"/>
      <c r="CP173" s="413"/>
      <c r="CQ173" s="410"/>
      <c r="CR173" s="416"/>
      <c r="CS173" s="416"/>
      <c r="CT173" s="412"/>
      <c r="CU173" s="413"/>
      <c r="CV173" s="410"/>
      <c r="CW173" s="416"/>
      <c r="CX173" s="416"/>
      <c r="CY173" s="412"/>
      <c r="CZ173" s="413"/>
      <c r="DA173" s="410"/>
      <c r="DB173" s="416"/>
      <c r="DC173" s="416"/>
      <c r="DD173" s="412"/>
      <c r="DE173" s="413"/>
      <c r="DF173" s="410"/>
      <c r="DG173" s="416"/>
      <c r="DH173" s="416"/>
      <c r="DI173" s="412"/>
      <c r="DJ173" s="413"/>
      <c r="DK173" s="410"/>
      <c r="DL173" s="416"/>
      <c r="DM173" s="416"/>
      <c r="DN173" s="412"/>
      <c r="DO173" s="413"/>
      <c r="DP173" s="410"/>
      <c r="DQ173" s="416"/>
      <c r="DR173" s="416"/>
      <c r="DS173" s="412"/>
      <c r="DT173" s="413"/>
    </row>
    <row r="174" spans="1:124" ht="12.75" customHeight="1">
      <c r="A174" s="491"/>
      <c r="C174" s="845"/>
      <c r="D174" s="845"/>
      <c r="E174" s="1869"/>
      <c r="F174" s="829"/>
      <c r="G174" s="829"/>
      <c r="H174" s="610"/>
      <c r="I174" s="828"/>
      <c r="J174" s="617"/>
      <c r="K174" s="402"/>
      <c r="L174" s="407"/>
      <c r="M174" s="404"/>
      <c r="N174" s="414"/>
      <c r="O174" s="414"/>
      <c r="P174" s="406"/>
      <c r="Q174" s="407"/>
      <c r="R174" s="404"/>
      <c r="S174" s="414"/>
      <c r="T174" s="414"/>
      <c r="U174" s="406"/>
      <c r="V174" s="407"/>
      <c r="W174" s="404"/>
      <c r="X174" s="414"/>
      <c r="Y174" s="414"/>
      <c r="Z174" s="406"/>
      <c r="AA174" s="407"/>
      <c r="AB174" s="404"/>
      <c r="AC174" s="414"/>
      <c r="AD174" s="414"/>
      <c r="AE174" s="406"/>
      <c r="AF174" s="407"/>
      <c r="AG174" s="404"/>
      <c r="AH174" s="414"/>
      <c r="AI174" s="414"/>
      <c r="AJ174" s="406"/>
      <c r="AK174" s="407"/>
      <c r="AL174" s="404"/>
      <c r="AM174" s="414"/>
      <c r="AN174" s="414"/>
      <c r="AO174" s="406"/>
      <c r="AP174" s="407"/>
      <c r="AQ174" s="404"/>
      <c r="AR174" s="414"/>
      <c r="AS174" s="414"/>
      <c r="AT174" s="406"/>
      <c r="AU174" s="407"/>
      <c r="AV174" s="404"/>
      <c r="AW174" s="414"/>
      <c r="AX174" s="414"/>
      <c r="AY174" s="406"/>
      <c r="AZ174" s="407"/>
      <c r="BA174" s="404"/>
      <c r="BB174" s="414"/>
      <c r="BC174" s="414"/>
      <c r="BD174" s="406"/>
      <c r="BE174" s="407"/>
      <c r="BF174" s="404"/>
      <c r="BG174" s="414"/>
      <c r="BH174" s="414"/>
      <c r="BI174" s="406"/>
      <c r="BJ174" s="407"/>
      <c r="BK174" s="404"/>
      <c r="BL174" s="414"/>
      <c r="BM174" s="414"/>
      <c r="BN174" s="406"/>
      <c r="BO174" s="407"/>
      <c r="BP174" s="449"/>
      <c r="BQ174" s="413"/>
      <c r="BR174" s="410"/>
      <c r="BS174" s="416"/>
      <c r="BT174" s="416"/>
      <c r="BU174" s="412"/>
      <c r="BV174" s="413"/>
      <c r="BW174" s="410"/>
      <c r="BX174" s="416"/>
      <c r="BY174" s="416"/>
      <c r="BZ174" s="412"/>
      <c r="CA174" s="413"/>
      <c r="CB174" s="410"/>
      <c r="CC174" s="416"/>
      <c r="CD174" s="416"/>
      <c r="CE174" s="412"/>
      <c r="CF174" s="413"/>
      <c r="CG174" s="410"/>
      <c r="CH174" s="416"/>
      <c r="CI174" s="416"/>
      <c r="CJ174" s="412"/>
      <c r="CK174" s="413"/>
      <c r="CL174" s="410"/>
      <c r="CM174" s="416"/>
      <c r="CN174" s="416"/>
      <c r="CO174" s="412"/>
      <c r="CP174" s="413"/>
      <c r="CQ174" s="410"/>
      <c r="CR174" s="416"/>
      <c r="CS174" s="416"/>
      <c r="CT174" s="412"/>
      <c r="CU174" s="413"/>
      <c r="CV174" s="410"/>
      <c r="CW174" s="416"/>
      <c r="CX174" s="416"/>
      <c r="CY174" s="412"/>
      <c r="CZ174" s="413"/>
      <c r="DA174" s="410"/>
      <c r="DB174" s="416"/>
      <c r="DC174" s="416"/>
      <c r="DD174" s="412"/>
      <c r="DE174" s="413"/>
      <c r="DF174" s="410"/>
      <c r="DG174" s="416"/>
      <c r="DH174" s="416"/>
      <c r="DI174" s="412"/>
      <c r="DJ174" s="413"/>
      <c r="DK174" s="410"/>
      <c r="DL174" s="416"/>
      <c r="DM174" s="416"/>
      <c r="DN174" s="412"/>
      <c r="DO174" s="413"/>
      <c r="DP174" s="410"/>
      <c r="DQ174" s="416"/>
      <c r="DR174" s="416"/>
      <c r="DS174" s="412"/>
      <c r="DT174" s="413"/>
    </row>
    <row r="175" spans="1:124" ht="12.75" customHeight="1">
      <c r="A175" s="491"/>
      <c r="C175" s="24" t="s">
        <v>613</v>
      </c>
      <c r="D175" s="24"/>
      <c r="E175" s="1869"/>
      <c r="F175" s="829"/>
      <c r="G175" s="829"/>
      <c r="H175" s="610"/>
      <c r="I175" s="828"/>
      <c r="J175" s="617"/>
      <c r="K175" s="402"/>
      <c r="L175" s="407"/>
      <c r="M175" s="404"/>
      <c r="N175" s="414"/>
      <c r="O175" s="414"/>
      <c r="P175" s="406"/>
      <c r="Q175" s="407"/>
      <c r="R175" s="404"/>
      <c r="S175" s="414"/>
      <c r="T175" s="414"/>
      <c r="U175" s="406"/>
      <c r="V175" s="407"/>
      <c r="W175" s="404"/>
      <c r="X175" s="414"/>
      <c r="Y175" s="414"/>
      <c r="Z175" s="406"/>
      <c r="AA175" s="407"/>
      <c r="AB175" s="404"/>
      <c r="AC175" s="414"/>
      <c r="AD175" s="414"/>
      <c r="AE175" s="406"/>
      <c r="AF175" s="407"/>
      <c r="AG175" s="404"/>
      <c r="AH175" s="414"/>
      <c r="AI175" s="414"/>
      <c r="AJ175" s="406"/>
      <c r="AK175" s="407"/>
      <c r="AL175" s="404"/>
      <c r="AM175" s="414"/>
      <c r="AN175" s="414"/>
      <c r="AO175" s="406"/>
      <c r="AP175" s="407"/>
      <c r="AQ175" s="404"/>
      <c r="AR175" s="414"/>
      <c r="AS175" s="414"/>
      <c r="AT175" s="406"/>
      <c r="AU175" s="407"/>
      <c r="AV175" s="404"/>
      <c r="AW175" s="414"/>
      <c r="AX175" s="414"/>
      <c r="AY175" s="406"/>
      <c r="AZ175" s="407"/>
      <c r="BA175" s="404"/>
      <c r="BB175" s="414"/>
      <c r="BC175" s="414"/>
      <c r="BD175" s="406"/>
      <c r="BE175" s="407"/>
      <c r="BF175" s="404"/>
      <c r="BG175" s="414"/>
      <c r="BH175" s="414"/>
      <c r="BI175" s="406"/>
      <c r="BJ175" s="407"/>
      <c r="BK175" s="404"/>
      <c r="BL175" s="414"/>
      <c r="BM175" s="414"/>
      <c r="BN175" s="406"/>
      <c r="BO175" s="407"/>
      <c r="BP175" s="449"/>
      <c r="BQ175" s="413"/>
      <c r="BR175" s="410"/>
      <c r="BS175" s="416"/>
      <c r="BT175" s="416"/>
      <c r="BU175" s="412"/>
      <c r="BV175" s="413"/>
      <c r="BW175" s="410"/>
      <c r="BX175" s="416"/>
      <c r="BY175" s="416"/>
      <c r="BZ175" s="412"/>
      <c r="CA175" s="413"/>
      <c r="CB175" s="410"/>
      <c r="CC175" s="416"/>
      <c r="CD175" s="416"/>
      <c r="CE175" s="412"/>
      <c r="CF175" s="413"/>
      <c r="CG175" s="410"/>
      <c r="CH175" s="416"/>
      <c r="CI175" s="416"/>
      <c r="CJ175" s="412"/>
      <c r="CK175" s="413"/>
      <c r="CL175" s="410"/>
      <c r="CM175" s="416"/>
      <c r="CN175" s="416"/>
      <c r="CO175" s="412"/>
      <c r="CP175" s="413"/>
      <c r="CQ175" s="410"/>
      <c r="CR175" s="416"/>
      <c r="CS175" s="416"/>
      <c r="CT175" s="412"/>
      <c r="CU175" s="413"/>
      <c r="CV175" s="410"/>
      <c r="CW175" s="416"/>
      <c r="CX175" s="416"/>
      <c r="CY175" s="412"/>
      <c r="CZ175" s="413"/>
      <c r="DA175" s="410"/>
      <c r="DB175" s="416"/>
      <c r="DC175" s="416"/>
      <c r="DD175" s="412"/>
      <c r="DE175" s="413"/>
      <c r="DF175" s="410"/>
      <c r="DG175" s="416"/>
      <c r="DH175" s="416"/>
      <c r="DI175" s="412"/>
      <c r="DJ175" s="413"/>
      <c r="DK175" s="410"/>
      <c r="DL175" s="416"/>
      <c r="DM175" s="416"/>
      <c r="DN175" s="412"/>
      <c r="DO175" s="413"/>
      <c r="DP175" s="410"/>
      <c r="DQ175" s="416"/>
      <c r="DR175" s="416"/>
      <c r="DS175" s="412"/>
      <c r="DT175" s="413"/>
    </row>
    <row r="176" spans="1:124" ht="12.75" customHeight="1">
      <c r="A176" s="491"/>
      <c r="C176" s="845"/>
      <c r="D176" s="845"/>
      <c r="E176" s="1869"/>
      <c r="F176" s="829"/>
      <c r="G176" s="829"/>
      <c r="H176" s="610"/>
      <c r="I176" s="828"/>
      <c r="J176" s="617"/>
      <c r="K176" s="402"/>
      <c r="L176" s="407"/>
      <c r="M176" s="404"/>
      <c r="N176" s="414"/>
      <c r="O176" s="414"/>
      <c r="P176" s="406"/>
      <c r="Q176" s="407"/>
      <c r="R176" s="404"/>
      <c r="S176" s="414"/>
      <c r="T176" s="414"/>
      <c r="U176" s="406"/>
      <c r="V176" s="407"/>
      <c r="W176" s="404"/>
      <c r="X176" s="414"/>
      <c r="Y176" s="414"/>
      <c r="Z176" s="406"/>
      <c r="AA176" s="407"/>
      <c r="AB176" s="404"/>
      <c r="AC176" s="414"/>
      <c r="AD176" s="414"/>
      <c r="AE176" s="406"/>
      <c r="AF176" s="407"/>
      <c r="AG176" s="404"/>
      <c r="AH176" s="414"/>
      <c r="AI176" s="414"/>
      <c r="AJ176" s="406"/>
      <c r="AK176" s="407"/>
      <c r="AL176" s="404"/>
      <c r="AM176" s="414"/>
      <c r="AN176" s="414"/>
      <c r="AO176" s="406"/>
      <c r="AP176" s="407"/>
      <c r="AQ176" s="404"/>
      <c r="AR176" s="414"/>
      <c r="AS176" s="414"/>
      <c r="AT176" s="406"/>
      <c r="AU176" s="407"/>
      <c r="AV176" s="404"/>
      <c r="AW176" s="414"/>
      <c r="AX176" s="414"/>
      <c r="AY176" s="406"/>
      <c r="AZ176" s="407"/>
      <c r="BA176" s="404"/>
      <c r="BB176" s="414"/>
      <c r="BC176" s="414"/>
      <c r="BD176" s="406"/>
      <c r="BE176" s="407"/>
      <c r="BF176" s="404"/>
      <c r="BG176" s="414"/>
      <c r="BH176" s="414"/>
      <c r="BI176" s="406"/>
      <c r="BJ176" s="407"/>
      <c r="BK176" s="404"/>
      <c r="BL176" s="414"/>
      <c r="BM176" s="414"/>
      <c r="BN176" s="406"/>
      <c r="BO176" s="407"/>
      <c r="BP176" s="449"/>
      <c r="BQ176" s="413"/>
      <c r="BR176" s="410"/>
      <c r="BS176" s="416"/>
      <c r="BT176" s="416"/>
      <c r="BU176" s="412"/>
      <c r="BV176" s="413"/>
      <c r="BW176" s="410"/>
      <c r="BX176" s="416"/>
      <c r="BY176" s="416"/>
      <c r="BZ176" s="412"/>
      <c r="CA176" s="413"/>
      <c r="CB176" s="410"/>
      <c r="CC176" s="416"/>
      <c r="CD176" s="416"/>
      <c r="CE176" s="412"/>
      <c r="CF176" s="413"/>
      <c r="CG176" s="410"/>
      <c r="CH176" s="416"/>
      <c r="CI176" s="416"/>
      <c r="CJ176" s="412"/>
      <c r="CK176" s="413"/>
      <c r="CL176" s="410"/>
      <c r="CM176" s="416"/>
      <c r="CN176" s="416"/>
      <c r="CO176" s="412"/>
      <c r="CP176" s="413"/>
      <c r="CQ176" s="410"/>
      <c r="CR176" s="416"/>
      <c r="CS176" s="416"/>
      <c r="CT176" s="412"/>
      <c r="CU176" s="413"/>
      <c r="CV176" s="410"/>
      <c r="CW176" s="416"/>
      <c r="CX176" s="416"/>
      <c r="CY176" s="412"/>
      <c r="CZ176" s="413"/>
      <c r="DA176" s="410"/>
      <c r="DB176" s="416"/>
      <c r="DC176" s="416"/>
      <c r="DD176" s="412"/>
      <c r="DE176" s="413"/>
      <c r="DF176" s="410"/>
      <c r="DG176" s="416"/>
      <c r="DH176" s="416"/>
      <c r="DI176" s="412"/>
      <c r="DJ176" s="413"/>
      <c r="DK176" s="410"/>
      <c r="DL176" s="416"/>
      <c r="DM176" s="416"/>
      <c r="DN176" s="412"/>
      <c r="DO176" s="413"/>
      <c r="DP176" s="410"/>
      <c r="DQ176" s="416"/>
      <c r="DR176" s="416"/>
      <c r="DS176" s="412"/>
      <c r="DT176" s="413"/>
    </row>
    <row r="177" spans="1:124" ht="12.75" customHeight="1">
      <c r="A177" s="491"/>
      <c r="C177" s="1885" t="s">
        <v>1295</v>
      </c>
      <c r="D177" s="1885"/>
      <c r="E177" s="1886">
        <f>IF(F177=0,G177,F177)</f>
        <v>75</v>
      </c>
      <c r="F177" s="1532">
        <v>75</v>
      </c>
      <c r="G177" s="1532">
        <v>75</v>
      </c>
      <c r="H177" s="610">
        <v>2018</v>
      </c>
      <c r="I177" s="1534">
        <v>4.4999999999999998E-2</v>
      </c>
      <c r="J177" s="615">
        <v>11</v>
      </c>
      <c r="K177" s="402"/>
      <c r="L177" s="407">
        <f>IF(L$5=$H177,-$E177,0)</f>
        <v>0</v>
      </c>
      <c r="M177" s="404">
        <f>IF(Q177=0,0,IF(Q177&lt;0,IF($J177=3,Q177,IF($J177=2,Q177,IF($J177=1,Q177,0)))))</f>
        <v>0</v>
      </c>
      <c r="N177" s="414">
        <f>IF(Q177=0,0,IF(Q177&lt;0,IF($J177=6,Q177,IF($J177=5,Q177,IF($J177=4,Q177,0)))))</f>
        <v>0</v>
      </c>
      <c r="O177" s="414">
        <f>IF(Q177=0,0,IF(Q177&lt;0,IF($J177=9,Q177,IF($J177=8,Q177,IF($J177=7,Q177,0)))))</f>
        <v>0</v>
      </c>
      <c r="P177" s="406">
        <f>IF(Q177=0,0,IF(Q177&lt;0,IF($J177=12,Q177,IF($J177=11,Q177,IF($J177=10,Q177,0)))))</f>
        <v>0</v>
      </c>
      <c r="Q177" s="407">
        <f>IF(Q$5=$H177,-$E177,0)</f>
        <v>0</v>
      </c>
      <c r="R177" s="404">
        <f>IF(V177=0,0,IF(V177&lt;0,IF($J177=3,V177,IF($J177=2,V177,IF($J177=1,V177,0)))))</f>
        <v>0</v>
      </c>
      <c r="S177" s="414">
        <f>IF(V177=0,0,IF(V177&lt;0,IF($J177=6,V177,IF($J177=5,V177,IF($J177=4,V177,0)))))</f>
        <v>0</v>
      </c>
      <c r="T177" s="414">
        <f>IF(V177=0,0,IF(V177&lt;0,IF($J177=9,V177,IF($J177=8,V177,IF($J177=7,V177,0)))))</f>
        <v>0</v>
      </c>
      <c r="U177" s="406">
        <f>IF(V177=0,0,IF(V177&lt;0,IF($J177=12,V177,IF($J177=11,V177,IF($J177=10,V177,0)))))</f>
        <v>0</v>
      </c>
      <c r="V177" s="407">
        <f>IF(V$5=$H177,-$E177,0)</f>
        <v>0</v>
      </c>
      <c r="W177" s="404">
        <f>IF(AA177=0,0,IF(AA177&lt;0,IF($J177=3,AA177,IF($J177=2,AA177,IF($J177=1,AA177,0)))))</f>
        <v>0</v>
      </c>
      <c r="X177" s="414">
        <f>IF(AA177=0,0,IF(AA177&lt;0,IF($J177=6,AA177,IF($J177=5,AA177,IF($J177=4,AA177,0)))))</f>
        <v>0</v>
      </c>
      <c r="Y177" s="414">
        <f>IF(AA177=0,0,IF(AA177&lt;0,IF($J177=9,AA177,IF($J177=8,AA177,IF($J177=7,AA177,0)))))</f>
        <v>0</v>
      </c>
      <c r="Z177" s="406">
        <f>IF(AA177=0,0,IF(AA177&lt;0,IF($J177=12,AA177,IF($J177=11,AA177,IF($J177=10,AA177,0)))))</f>
        <v>0</v>
      </c>
      <c r="AA177" s="407">
        <f>IF(AA$5=$H177,-$E177,0)</f>
        <v>0</v>
      </c>
      <c r="AB177" s="404">
        <f>IF(AF177=0,0,IF(AF177&lt;0,IF($J177=3,AF177,IF($J177=2,AF177,IF($J177=1,AF177,0)))))</f>
        <v>0</v>
      </c>
      <c r="AC177" s="414">
        <f>IF(AF177=0,0,IF(AF177&lt;0,IF($J177=6,AF177,IF($J177=5,AF177,IF($J177=4,AF177,0)))))</f>
        <v>0</v>
      </c>
      <c r="AD177" s="414">
        <f>IF(AF177=0,0,IF(AF177&lt;0,IF($J177=9,AF177,IF($J177=8,AF177,IF($J177=7,AF177,0)))))</f>
        <v>0</v>
      </c>
      <c r="AE177" s="406">
        <f>IF(AF177=0,0,IF(AF177&lt;0,IF($J177=12,AF177,IF($J177=11,AF177,IF($J177=10,AF177,0)))))</f>
        <v>0</v>
      </c>
      <c r="AF177" s="407">
        <f>IF(AF$5=$H177,-$E177,0)</f>
        <v>0</v>
      </c>
      <c r="AG177" s="404">
        <f>IF(AK177=0,0,IF(AK177&lt;0,IF($J177=3,AK177,IF($J177=2,AK177,IF($J177=1,AK177,0)))))</f>
        <v>0</v>
      </c>
      <c r="AH177" s="414">
        <f>IF(AK177=0,0,IF(AK177&lt;0,IF($J177=6,AK177,IF($J177=5,AK177,IF($J177=4,AK177,0)))))</f>
        <v>0</v>
      </c>
      <c r="AI177" s="414">
        <f>IF(AK177=0,0,IF(AK177&lt;0,IF($J177=9,AK177,IF($J177=8,AK177,IF($J177=7,AK177,0)))))</f>
        <v>0</v>
      </c>
      <c r="AJ177" s="406">
        <f>IF(AK177=0,0,IF(AK177&lt;0,IF($J177=12,AK177,IF($J177=11,AK177,IF($J177=10,AK177,0)))))</f>
        <v>0</v>
      </c>
      <c r="AK177" s="407">
        <f>IF(AK$5=$H177,-$E177,0)</f>
        <v>0</v>
      </c>
      <c r="AL177" s="404">
        <f>IF(AP177=0,0,IF(AP177&lt;0,IF($J177=3,AP177,IF($J177=2,AP177,IF($J177=1,AP177,0)))))</f>
        <v>0</v>
      </c>
      <c r="AM177" s="414">
        <f>IF(AP177=0,0,IF(AP177&lt;0,IF($J177=6,AP177,IF($J177=5,AP177,IF($J177=4,AP177,0)))))</f>
        <v>0</v>
      </c>
      <c r="AN177" s="414">
        <f>IF(AP177=0,0,IF(AP177&lt;0,IF($J177=9,AP177,IF($J177=8,AP177,IF($J177=7,AP177,0)))))</f>
        <v>0</v>
      </c>
      <c r="AO177" s="406">
        <f>IF(AP177=0,0,IF(AP177&lt;0,IF($J177=12,AP177,IF($J177=11,AP177,IF($J177=10,AP177,0)))))</f>
        <v>0</v>
      </c>
      <c r="AP177" s="407">
        <f>IF(AP$5=$H177,-$E177,0)</f>
        <v>0</v>
      </c>
      <c r="AQ177" s="404">
        <f>IF(AU177=0,0,IF(AU177&lt;0,IF($J177=3,AU177,IF($J177=2,AU177,IF($J177=1,AU177,0)))))</f>
        <v>0</v>
      </c>
      <c r="AR177" s="414">
        <f>IF(AU177=0,0,IF(AU177&lt;0,IF($J177=6,AU177,IF($J177=5,AU177,IF($J177=4,AU177,0)))))</f>
        <v>0</v>
      </c>
      <c r="AS177" s="414">
        <f>IF(AU177=0,0,IF(AU177&lt;0,IF($J177=9,AU177,IF($J177=8,AU177,IF($J177=7,AU177,0)))))</f>
        <v>0</v>
      </c>
      <c r="AT177" s="406">
        <f>IF(AU177=0,0,IF(AU177&lt;0,IF($J177=12,AU177,IF($J177=11,AU177,IF($J177=10,AU177,0)))))</f>
        <v>0</v>
      </c>
      <c r="AU177" s="407">
        <f>IF(AU$5=$H177,-$E177,0)</f>
        <v>0</v>
      </c>
      <c r="AV177" s="404">
        <f>IF(AZ177=0,0,IF(AZ177&lt;0,IF($J177=3,AZ177,IF($J177=2,AZ177,IF($J177=1,AZ177,0)))))</f>
        <v>0</v>
      </c>
      <c r="AW177" s="414">
        <f>IF(AZ177=0,0,IF(AZ177&lt;0,IF($J177=6,AZ177,IF($J177=5,AZ177,IF($J177=4,AZ177,0)))))</f>
        <v>0</v>
      </c>
      <c r="AX177" s="414">
        <f>IF(AZ177=0,0,IF(AZ177&lt;0,IF($J177=9,AZ177,IF($J177=8,AZ177,IF($J177=7,AZ177,0)))))</f>
        <v>0</v>
      </c>
      <c r="AY177" s="406">
        <f>IF(AZ177=0,0,IF(AZ177&lt;0,IF($J177=12,AZ177,IF($J177=11,AZ177,IF($J177=10,AZ177,0)))))</f>
        <v>-75</v>
      </c>
      <c r="AZ177" s="407">
        <f>IF(AZ$5=$H177,-$E177,0)</f>
        <v>-75</v>
      </c>
      <c r="BA177" s="404">
        <f>IF(BE177=0,0,IF(BE177&lt;0,IF($J177=3,BE177,IF($J177=2,BE177,IF($J177=1,BE177,0)))))</f>
        <v>0</v>
      </c>
      <c r="BB177" s="414">
        <f>IF(BE177=0,0,IF(BE177&lt;0,IF($J177=6,BE177,IF($J177=5,BE177,IF($J177=4,BE177,0)))))</f>
        <v>0</v>
      </c>
      <c r="BC177" s="414">
        <f>IF(BE177=0,0,IF(BE177&lt;0,IF($J177=9,BE177,IF($J177=8,BE177,IF($J177=7,BE177,0)))))</f>
        <v>0</v>
      </c>
      <c r="BD177" s="406">
        <f>IF(BE177=0,0,IF(BE177&lt;0,IF($J177=12,BE177,IF($J177=11,BE177,IF($J177=10,BE177,0)))))</f>
        <v>0</v>
      </c>
      <c r="BE177" s="407">
        <f>IF(BE$5=$H177,-$E177,0)</f>
        <v>0</v>
      </c>
      <c r="BF177" s="404">
        <f>IF(BJ177=0,0,IF(BJ177&lt;0,IF($J177=3,BJ177,IF($J177=2,BJ177,IF($J177=1,BJ177,0)))))</f>
        <v>0</v>
      </c>
      <c r="BG177" s="414">
        <f>IF(BJ177=0,0,IF(BJ177&lt;0,IF($J177=6,BJ177,IF($J177=5,BJ177,IF($J177=4,BJ177,0)))))</f>
        <v>0</v>
      </c>
      <c r="BH177" s="414">
        <f>IF(BJ177=0,0,IF(BJ177&lt;0,IF($J177=9,BJ177,IF($J177=8,BJ177,IF($J177=7,BJ177,0)))))</f>
        <v>0</v>
      </c>
      <c r="BI177" s="406">
        <f>IF(BJ177=0,0,IF(BJ177&lt;0,IF($J177=12,BJ177,IF($J177=11,BJ177,IF($J177=10,BJ177,0)))))</f>
        <v>0</v>
      </c>
      <c r="BJ177" s="407">
        <f>IF(BJ$5=$H177,-$E177,0)</f>
        <v>0</v>
      </c>
      <c r="BK177" s="404">
        <f>IF(BO177=0,0,IF(BO177&lt;0,IF($J177=3,BO177,IF($J177=2,BO177,IF($J177=1,BO177,0)))))</f>
        <v>0</v>
      </c>
      <c r="BL177" s="414">
        <f>IF(BO177=0,0,IF(BO177&lt;0,IF($J177=6,BO177,IF($J177=5,BO177,IF($J177=4,BO177,0)))))</f>
        <v>0</v>
      </c>
      <c r="BM177" s="414">
        <f>IF(BO177=0,0,IF(BO177&lt;0,IF($J177=9,BO177,IF($J177=8,BO177,IF($J177=7,BO177,0)))))</f>
        <v>0</v>
      </c>
      <c r="BN177" s="406">
        <f>IF(BO177=0,0,IF(BO177&lt;0,IF($J177=12,BO177,IF($J177=11,BO177,IF($J177=10,BO177,0)))))</f>
        <v>0</v>
      </c>
      <c r="BO177" s="407">
        <f>IF(BO$5=$H177,-$E177,0)</f>
        <v>0</v>
      </c>
      <c r="BP177" s="449"/>
      <c r="BQ177" s="413">
        <f>IF(AND(AH177&lt;&gt;0,AH$5=$H177),-$I177*$E177-AH177,IF(BQ$5=$H177,-$I177*$E177*(12-$J177+1)/12,0))</f>
        <v>0</v>
      </c>
      <c r="BR177" s="410">
        <f>IF($H177&lt;&gt;BV$5,0,IF(BV177&lt;0,IF($J177=1,-$E177*$I177/12*3,IF($J177=2,-$E177*$I177/12*2,IF($J177=3,-$E177*$I177/12*1,0)))))+IF(BQ$5&lt;&gt;$H177,0,IF(BQ177&lt;0,IF($J177=1,-$E177*$I177/12*0,IF($J177=2,-$E177*$I177/12*1,IF($J177=3,-$E177*$I177/12*2,IF($J177&gt;=4,-$E177*$I177/12*3,0))))))</f>
        <v>0</v>
      </c>
      <c r="BS177" s="416">
        <f>IF($H177&lt;&gt;BV$5,0,IF(BV177&lt;0,IF(OR($J177=1,$J177=2,$J177=3,$J177=4),-$E177*$I177/12*3,IF($J177=5,-$E177*$I177/12*2,IF($J177=6,-$E177*$I177/12*1,0)))))+IF(BQ$5&lt;&gt;$H177,0,IF(BQ177&lt;0,IF($J177=4,-$E177*$I177/12*0,IF($J177=5,-$E177*$I177/12*1,IF($J177=6,-$E177*$I177/12*2,IF($J177&gt;=7,-$E177*$I177/12*3,0))))))</f>
        <v>0</v>
      </c>
      <c r="BT177" s="416">
        <f>IF($H177&lt;&gt;BV$5,0,IF(BV177&lt;0,IF(OR($J177=1,$J177=2,$J177=3,$J177=4,$J177=5,$J177=6,$J177=7),-$E177*$I177/12*3,IF($J177=8,-$E177*$I177/12*2,IF($J177=9,-$E177*$I177/12*1,0)))))+IF(BQ$5&lt;&gt;$H177,0,IF(BQ177&lt;0,IF($J177=7,-$E177*$I177/12*0,IF($J177=8,-$E177*$I177/12*1,IF($J177=9,-$E177*$I177/12*2,IF($J177&gt;=10,-$E177*$I177/12*3,0))))))</f>
        <v>0</v>
      </c>
      <c r="BU177" s="412">
        <f>IF($H177&lt;&gt;BV$5,0,IF(BV177&lt;0,IF(OR($J177=1,$J177=2,$J177=3,$J177=4,$J177=5,$J177=6,$J177=7,$J177=8,$J177=9,$J177=10),-$E177*$I177/12*3,IF($J177=11,-$E177*$I177/12*2,IF($J177=12,-$E177*$I177/12*1,0)))))+IF(BQ$5&lt;&gt;$H177,0,IF(BQ177&lt;0,IF($J177=10,-$E177*$I177/12*0,IF($J177=11,-$E177*$I177/12*1,IF($J177=12,-$E177*$I177/12*2,0)))))</f>
        <v>0</v>
      </c>
      <c r="BV177" s="413">
        <f>IF(AND(BQ177&lt;&gt;0,BQ$5=$H177),-$I177*$E177-BQ177,IF(BV$5=$H177,-$I177*$E177*(12-$J177+1)/12,0))</f>
        <v>0</v>
      </c>
      <c r="BW177" s="410">
        <f>IF($H177&lt;&gt;CA$5,0,IF(CA177&lt;0,IF($J177=1,-$E177*$I177/12*3,IF($J177=2,-$E177*$I177/12*2,IF($J177=3,-$E177*$I177/12*1,0)))))+IF(BV$5&lt;&gt;$H177,0,IF(BV177&lt;0,IF($J177=1,-$E177*$I177/12*0,IF($J177=2,-$E177*$I177/12*1,IF($J177=3,-$E177*$I177/12*2,IF($J177&gt;=4,-$E177*$I177/12*3,0))))))</f>
        <v>0</v>
      </c>
      <c r="BX177" s="416">
        <f>IF($H177&lt;&gt;CA$5,0,IF(CA177&lt;0,IF(OR($J177=1,$J177=2,$J177=3,$J177=4),-$E177*$I177/12*3,IF($J177=5,-$E177*$I177/12*2,IF($J177=6,-$E177*$I177/12*1,0)))))+IF(BV$5&lt;&gt;$H177,0,IF(BV177&lt;0,IF($J177=4,-$E177*$I177/12*0,IF($J177=5,-$E177*$I177/12*1,IF($J177=6,-$E177*$I177/12*2,IF($J177&gt;=7,-$E177*$I177/12*3,0))))))</f>
        <v>0</v>
      </c>
      <c r="BY177" s="416">
        <f>IF($H177&lt;&gt;CA$5,0,IF(CA177&lt;0,IF(OR($J177=1,$J177=2,$J177=3,$J177=4,$J177=5,$J177=6,$J177=7),-$E177*$I177/12*3,IF($J177=8,-$E177*$I177/12*2,IF($J177=9,-$E177*$I177/12*1,0)))))+IF(BV$5&lt;&gt;$H177,0,IF(BV177&lt;0,IF($J177=7,-$E177*$I177/12*0,IF($J177=8,-$E177*$I177/12*1,IF($J177=9,-$E177*$I177/12*2,IF($J177&gt;=10,-$E177*$I177/12*3,0))))))</f>
        <v>0</v>
      </c>
      <c r="BZ177" s="412">
        <f>IF($H177&lt;&gt;CA$5,0,IF(CA177&lt;0,IF(OR($J177=1,$J177=2,$J177=3,$J177=4,$J177=5,$J177=6,$J177=7,$J177=8,$J177=9,$J177=10),-$E177*$I177/12*3,IF($J177=11,-$E177*$I177/12*2,IF($J177=12,-$E177*$I177/12*1,0)))))+IF(BV$5&lt;&gt;$H177,0,IF(BV177&lt;0,IF($J177=10,-$E177*$I177/12*0,IF($J177=11,-$E177*$I177/12*1,IF($J177=12,-$E177*$I177/12*2,0)))))</f>
        <v>0</v>
      </c>
      <c r="CA177" s="413">
        <f>IF(AND(BV177&lt;&gt;0,BV$5=$H177),-$I177*$E177-BV177,IF(CA$5=$H177,-$I177*$E177*(12-$J177+1)/12,0))</f>
        <v>0</v>
      </c>
      <c r="CB177" s="410">
        <f>IF($H177&lt;&gt;CF$5,0,IF(CF177&lt;0,IF($J177=1,-$E177*$I177/12*3,IF($J177=2,-$E177*$I177/12*2,IF($J177=3,-$E177*$I177/12*1,0)))))+IF(CA$5&lt;&gt;$H177,0,IF(CA177&lt;0,IF($J177=1,-$E177*$I177/12*0,IF($J177=2,-$E177*$I177/12*1,IF($J177=3,-$E177*$I177/12*2,IF($J177&gt;=4,-$E177*$I177/12*3,0))))))</f>
        <v>0</v>
      </c>
      <c r="CC177" s="416">
        <f>IF($H177&lt;&gt;CF$5,0,IF(CF177&lt;0,IF(OR($J177=1,$J177=2,$J177=3,$J177=4),-$E177*$I177/12*3,IF($J177=5,-$E177*$I177/12*2,IF($J177=6,-$E177*$I177/12*1,0)))))+IF(CA$5&lt;&gt;$H177,0,IF(CA177&lt;0,IF($J177=4,-$E177*$I177/12*0,IF($J177=5,-$E177*$I177/12*1,IF($J177=6,-$E177*$I177/12*2,IF($J177&gt;=7,-$E177*$I177/12*3,0))))))</f>
        <v>0</v>
      </c>
      <c r="CD177" s="416">
        <f>IF($H177&lt;&gt;CF$5,0,IF(CF177&lt;0,IF(OR($J177=1,$J177=2,$J177=3,$J177=4,$J177=5,$J177=6,$J177=7),-$E177*$I177/12*3,IF($J177=8,-$E177*$I177/12*2,IF($J177=9,-$E177*$I177/12*1,0)))))+IF(CA$5&lt;&gt;$H177,0,IF(CA177&lt;0,IF($J177=7,-$E177*$I177/12*0,IF($J177=8,-$E177*$I177/12*1,IF($J177=9,-$E177*$I177/12*2,IF($J177&gt;=10,-$E177*$I177/12*3,0))))))</f>
        <v>0</v>
      </c>
      <c r="CE177" s="412">
        <f>IF($H177&lt;&gt;CF$5,0,IF(CF177&lt;0,IF(OR($J177=1,$J177=2,$J177=3,$J177=4,$J177=5,$J177=6,$J177=7,$J177=8,$J177=9,$J177=10),-$E177*$I177/12*3,IF($J177=11,-$E177*$I177/12*2,IF($J177=12,-$E177*$I177/12*1,0)))))+IF(CA$5&lt;&gt;$H177,0,IF(CA177&lt;0,IF($J177=10,-$E177*$I177/12*0,IF($J177=11,-$E177*$I177/12*1,IF($J177=12,-$E177*$I177/12*2,0)))))</f>
        <v>0</v>
      </c>
      <c r="CF177" s="413">
        <f>IF(AND(CA177&lt;&gt;0,CA$5=$H177),-$I177*$E177-CA177,IF(CF$5=$H177,-$I177*$E177*(12-$J177+1)/12,0))</f>
        <v>0</v>
      </c>
      <c r="CG177" s="410">
        <f>IF($H177&lt;&gt;CK$5,0,IF(CK177&lt;0,IF($J177=1,-$E177*$I177/12*3,IF($J177=2,-$E177*$I177/12*2,IF($J177=3,-$E177*$I177/12*1,0)))))+IF(CF$5&lt;&gt;$H177,0,IF(CF177&lt;0,IF($J177=1,-$E177*$I177/12*0,IF($J177=2,-$E177*$I177/12*1,IF($J177=3,-$E177*$I177/12*2,IF($J177&gt;=4,-$E177*$I177/12*3,0))))))</f>
        <v>0</v>
      </c>
      <c r="CH177" s="416">
        <f>IF($H177&lt;&gt;CK$5,0,IF(CK177&lt;0,IF(OR($J177=1,$J177=2,$J177=3,$J177=4),-$E177*$I177/12*3,IF($J177=5,-$E177*$I177/12*2,IF($J177=6,-$E177*$I177/12*1,0)))))+IF(CF$5&lt;&gt;$H177,0,IF(CF177&lt;0,IF($J177=4,-$E177*$I177/12*0,IF($J177=5,-$E177*$I177/12*1,IF($J177=6,-$E177*$I177/12*2,IF($J177&gt;=7,-$E177*$I177/12*3,0))))))</f>
        <v>0</v>
      </c>
      <c r="CI177" s="416">
        <f>IF($H177&lt;&gt;CK$5,0,IF(CK177&lt;0,IF(OR($J177=1,$J177=2,$J177=3,$J177=4,$J177=5,$J177=6,$J177=7),-$E177*$I177/12*3,IF($J177=8,-$E177*$I177/12*2,IF($J177=9,-$E177*$I177/12*1,0)))))+IF(CF$5&lt;&gt;$H177,0,IF(CF177&lt;0,IF($J177=7,-$E177*$I177/12*0,IF($J177=8,-$E177*$I177/12*1,IF($J177=9,-$E177*$I177/12*2,IF($J177&gt;=10,-$E177*$I177/12*3,0))))))</f>
        <v>0</v>
      </c>
      <c r="CJ177" s="412">
        <f>IF($H177&lt;&gt;CK$5,0,IF(CK177&lt;0,IF(OR($J177=1,$J177=2,$J177=3,$J177=4,$J177=5,$J177=6,$J177=7,$J177=8,$J177=9,$J177=10),-$E177*$I177/12*3,IF($J177=11,-$E177*$I177/12*2,IF($J177=12,-$E177*$I177/12*1,0)))))+IF(CF$5&lt;&gt;$H177,0,IF(CF177&lt;0,IF($J177=10,-$E177*$I177/12*0,IF($J177=11,-$E177*$I177/12*1,IF($J177=12,-$E177*$I177/12*2,0)))))</f>
        <v>0</v>
      </c>
      <c r="CK177" s="413">
        <f>IF(AND(CF177&lt;&gt;0,CF$5=$H177),-$I177*$E177-CF177,IF(CK$5=$H177,-$I177*$E177*(12-$J177+1)/12,0))</f>
        <v>0</v>
      </c>
      <c r="CL177" s="410">
        <f>IF($H177&lt;&gt;CP$5,0,IF(CP177&lt;0,IF($J177=1,-$E177*$I177/12*3,IF($J177=2,-$E177*$I177/12*2,IF($J177=3,-$E177*$I177/12*1,0)))))+IF(CK$5&lt;&gt;$H177,0,IF(CK177&lt;0,IF($J177=1,-$E177*$I177/12*0,IF($J177=2,-$E177*$I177/12*1,IF($J177=3,-$E177*$I177/12*2,IF($J177&gt;=4,-$E177*$I177/12*3,0))))))</f>
        <v>0</v>
      </c>
      <c r="CM177" s="416">
        <f>IF($H177&lt;&gt;CP$5,0,IF(CP177&lt;0,IF(OR($J177=1,$J177=2,$J177=3,$J177=4),-$E177*$I177/12*3,IF($J177=5,-$E177*$I177/12*2,IF($J177=6,-$E177*$I177/12*1,0)))))+IF(CK$5&lt;&gt;$H177,0,IF(CK177&lt;0,IF($J177=4,-$E177*$I177/12*0,IF($J177=5,-$E177*$I177/12*1,IF($J177=6,-$E177*$I177/12*2,IF($J177&gt;=7,-$E177*$I177/12*3,0))))))</f>
        <v>0</v>
      </c>
      <c r="CN177" s="416">
        <f>IF($H177&lt;&gt;CP$5,0,IF(CP177&lt;0,IF(OR($J177=1,$J177=2,$J177=3,$J177=4,$J177=5,$J177=6,$J177=7),-$E177*$I177/12*3,IF($J177=8,-$E177*$I177/12*2,IF($J177=9,-$E177*$I177/12*1,0)))))+IF(CK$5&lt;&gt;$H177,0,IF(CK177&lt;0,IF($J177=7,-$E177*$I177/12*0,IF($J177=8,-$E177*$I177/12*1,IF($J177=9,-$E177*$I177/12*2,IF($J177&gt;=10,-$E177*$I177/12*3,0))))))</f>
        <v>0</v>
      </c>
      <c r="CO177" s="412">
        <f>IF($H177&lt;&gt;CP$5,0,IF(CP177&lt;0,IF(OR($J177=1,$J177=2,$J177=3,$J177=4,$J177=5,$J177=6,$J177=7,$J177=8,$J177=9,$J177=10),-$E177*$I177/12*3,IF($J177=11,-$E177*$I177/12*2,IF($J177=12,-$E177*$I177/12*1,0)))))+IF(CK$5&lt;&gt;$H177,0,IF(CK177&lt;0,IF($J177=10,-$E177*$I177/12*0,IF($J177=11,-$E177*$I177/12*1,IF($J177=12,-$E177*$I177/12*2,0)))))</f>
        <v>0</v>
      </c>
      <c r="CP177" s="413">
        <f>IF(AND(CK177&lt;&gt;0,CK$5=$H177),-$I177*$E177-CK177,IF(CP$5=$H177,-$I177*$E177*(12-$J177+1)/12,0))</f>
        <v>0</v>
      </c>
      <c r="CQ177" s="410">
        <f>IF($H177&lt;&gt;CU$5,0,IF(CU177&lt;0,IF($J177=1,-$E177*$I177/12*3,IF($J177=2,-$E177*$I177/12*2,IF($J177=3,-$E177*$I177/12*1,0)))))+IF(CP$5&lt;&gt;$H177,0,IF(CP177&lt;0,IF($J177=1,-$E177*$I177/12*0,IF($J177=2,-$E177*$I177/12*1,IF($J177=3,-$E177*$I177/12*2,IF($J177&gt;=4,-$E177*$I177/12*3,0))))))</f>
        <v>0</v>
      </c>
      <c r="CR177" s="416">
        <f>IF($H177&lt;&gt;CU$5,0,IF(CU177&lt;0,IF(OR($J177=1,$J177=2,$J177=3,$J177=4),-$E177*$I177/12*3,IF($J177=5,-$E177*$I177/12*2,IF($J177=6,-$E177*$I177/12*1,0)))))+IF(CP$5&lt;&gt;$H177,0,IF(CP177&lt;0,IF($J177=4,-$E177*$I177/12*0,IF($J177=5,-$E177*$I177/12*1,IF($J177=6,-$E177*$I177/12*2,IF($J177&gt;=7,-$E177*$I177/12*3,0))))))</f>
        <v>0</v>
      </c>
      <c r="CS177" s="416">
        <f>IF($H177&lt;&gt;CU$5,0,IF(CU177&lt;0,IF(OR($J177=1,$J177=2,$J177=3,$J177=4,$J177=5,$J177=6,$J177=7),-$E177*$I177/12*3,IF($J177=8,-$E177*$I177/12*2,IF($J177=9,-$E177*$I177/12*1,0)))))+IF(CP$5&lt;&gt;$H177,0,IF(CP177&lt;0,IF($J177=7,-$E177*$I177/12*0,IF($J177=8,-$E177*$I177/12*1,IF($J177=9,-$E177*$I177/12*2,IF($J177&gt;=10,-$E177*$I177/12*3,0))))))</f>
        <v>0</v>
      </c>
      <c r="CT177" s="412">
        <f>IF($H177&lt;&gt;CU$5,0,IF(CU177&lt;0,IF(OR($J177=1,$J177=2,$J177=3,$J177=4,$J177=5,$J177=6,$J177=7,$J177=8,$J177=9,$J177=10),-$E177*$I177/12*3,IF($J177=11,-$E177*$I177/12*2,IF($J177=12,-$E177*$I177/12*1,0)))))+IF(CP$5&lt;&gt;$H177,0,IF(CP177&lt;0,IF($J177=10,-$E177*$I177/12*0,IF($J177=11,-$E177*$I177/12*1,IF($J177=12,-$E177*$I177/12*2,0)))))</f>
        <v>0</v>
      </c>
      <c r="CU177" s="413">
        <f>IF(AND(CP177&lt;&gt;0,CP$5=$H177),-$I177*$E177-CP177,IF(CU$5=$H177,-$I177*$E177*(12-$J177+1)/12,0))</f>
        <v>0</v>
      </c>
      <c r="CV177" s="410">
        <f>IF($H177&lt;&gt;CZ$5,0,IF(CZ177&lt;0,IF($J177=1,-$E177*$I177/12*3,IF($J177=2,-$E177*$I177/12*2,IF($J177=3,-$E177*$I177/12*1,0)))))+IF(CU$5&lt;&gt;$H177,0,IF(CU177&lt;0,IF($J177=1,-$E177*$I177/12*0,IF($J177=2,-$E177*$I177/12*1,IF($J177=3,-$E177*$I177/12*2,IF($J177&gt;=4,-$E177*$I177/12*3,0))))))</f>
        <v>0</v>
      </c>
      <c r="CW177" s="416">
        <f>IF($H177&lt;&gt;CZ$5,0,IF(CZ177&lt;0,IF(OR($J177=1,$J177=2,$J177=3,$J177=4),-$E177*$I177/12*3,IF($J177=5,-$E177*$I177/12*2,IF($J177=6,-$E177*$I177/12*1,0)))))+IF(CU$5&lt;&gt;$H177,0,IF(CU177&lt;0,IF($J177=4,-$E177*$I177/12*0,IF($J177=5,-$E177*$I177/12*1,IF($J177=6,-$E177*$I177/12*2,IF($J177&gt;=7,-$E177*$I177/12*3,0))))))</f>
        <v>0</v>
      </c>
      <c r="CX177" s="416">
        <f>IF($H177&lt;&gt;CZ$5,0,IF(CZ177&lt;0,IF(OR($J177=1,$J177=2,$J177=3,$J177=4,$J177=5,$J177=6,$J177=7),-$E177*$I177/12*3,IF($J177=8,-$E177*$I177/12*2,IF($J177=9,-$E177*$I177/12*1,0)))))+IF(CU$5&lt;&gt;$H177,0,IF(CU177&lt;0,IF($J177=7,-$E177*$I177/12*0,IF($J177=8,-$E177*$I177/12*1,IF($J177=9,-$E177*$I177/12*2,IF($J177&gt;=10,-$E177*$I177/12*3,0))))))</f>
        <v>0</v>
      </c>
      <c r="CY177" s="412">
        <f>IF($H177&lt;&gt;CZ$5,0,IF(CZ177&lt;0,IF(OR($J177=1,$J177=2,$J177=3,$J177=4,$J177=5,$J177=6,$J177=7,$J177=8,$J177=9,$J177=10),-$E177*$I177/12*3,IF($J177=11,-$E177*$I177/12*2,IF($J177=12,-$E177*$I177/12*1,0)))))+IF(CU$5&lt;&gt;$H177,0,IF(CU177&lt;0,IF($J177=10,-$E177*$I177/12*0,IF($J177=11,-$E177*$I177/12*1,IF($J177=12,-$E177*$I177/12*2,0)))))</f>
        <v>0</v>
      </c>
      <c r="CZ177" s="413">
        <f>IF(AND(CU177&lt;&gt;0,CU$5=$H177),-$I177*$E177-CU177,IF(CZ$5=$H177,-$I177*$E177*(12-$J177+1)/12,0))</f>
        <v>0</v>
      </c>
      <c r="DA177" s="410">
        <f>IF($H177&lt;&gt;DE$5,0,IF(DE177&lt;0,IF($J177=1,-$E177*$I177/12*3,IF($J177=2,-$E177*$I177/12*2,IF($J177=3,-$E177*$I177/12*1,0)))))+IF(CZ$5&lt;&gt;$H177,0,IF(CZ177&lt;0,IF($J177=1,-$E177*$I177/12*0,IF($J177=2,-$E177*$I177/12*1,IF($J177=3,-$E177*$I177/12*2,IF($J177&gt;=4,-$E177*$I177/12*3,0))))))</f>
        <v>0</v>
      </c>
      <c r="DB177" s="416">
        <f>IF($H177&lt;&gt;DE$5,0,IF(DE177&lt;0,IF(OR($J177=1,$J177=2,$J177=3,$J177=4),-$E177*$I177/12*3,IF($J177=5,-$E177*$I177/12*2,IF($J177=6,-$E177*$I177/12*1,0)))))+IF(CZ$5&lt;&gt;$H177,0,IF(CZ177&lt;0,IF($J177=4,-$E177*$I177/12*0,IF($J177=5,-$E177*$I177/12*1,IF($J177=6,-$E177*$I177/12*2,IF($J177&gt;=7,-$E177*$I177/12*3,0))))))</f>
        <v>0</v>
      </c>
      <c r="DC177" s="416">
        <f>IF($H177&lt;&gt;DE$5,0,IF(DE177&lt;0,IF(OR($J177=1,$J177=2,$J177=3,$J177=4,$J177=5,$J177=6,$J177=7),-$E177*$I177/12*3,IF($J177=8,-$E177*$I177/12*2,IF($J177=9,-$E177*$I177/12*1,0)))))+IF(CZ$5&lt;&gt;$H177,0,IF(CZ177&lt;0,IF($J177=7,-$E177*$I177/12*0,IF($J177=8,-$E177*$I177/12*1,IF($J177=9,-$E177*$I177/12*2,IF($J177&gt;=10,-$E177*$I177/12*3,0))))))</f>
        <v>0</v>
      </c>
      <c r="DD177" s="412">
        <f>IF($H177&lt;&gt;DE$5,0,IF(DE177&lt;0,IF(OR($J177=1,$J177=2,$J177=3,$J177=4,$J177=5,$J177=6,$J177=7,$J177=8,$J177=9,$J177=10),-$E177*$I177/12*3,IF($J177=11,-$E177*$I177/12*2,IF($J177=12,-$E177*$I177/12*1,0)))))+IF(CZ$5&lt;&gt;$H177,0,IF(CZ177&lt;0,IF($J177=10,-$E177*$I177/12*0,IF($J177=11,-$E177*$I177/12*1,IF($J177=12,-$E177*$I177/12*2,0)))))</f>
        <v>-0.5625</v>
      </c>
      <c r="DE177" s="413">
        <f>IF(AND(CZ177&lt;&gt;0,CZ$5=$H177),-$I177*$E177-CZ177,IF(DE$5=$H177,-$I177*$E177*(12-$J177+1)/12,0))</f>
        <v>-0.5625</v>
      </c>
      <c r="DF177" s="410">
        <f>IF($H177&lt;&gt;DJ$5,0,IF(DJ177&lt;0,IF($J177=1,-$E177*$I177/12*3,IF($J177=2,-$E177*$I177/12*2,IF($J177=3,-$E177*$I177/12*1,0)))))+IF(DE$5&lt;&gt;$H177,0,IF(DE177&lt;0,IF($J177=1,-$E177*$I177/12*0,IF($J177=2,-$E177*$I177/12*1,IF($J177=3,-$E177*$I177/12*2,IF($J177&gt;=4,-$E177*$I177/12*3,0))))))</f>
        <v>-0.84375</v>
      </c>
      <c r="DG177" s="416">
        <f>IF($H177&lt;&gt;DJ$5,0,IF(DJ177&lt;0,IF(OR($J177=1,$J177=2,$J177=3,$J177=4),-$E177*$I177/12*3,IF($J177=5,-$E177*$I177/12*2,IF($J177=6,-$E177*$I177/12*1,0)))))+IF(DE$5&lt;&gt;$H177,0,IF(DE177&lt;0,IF($J177=4,-$E177*$I177/12*0,IF($J177=5,-$E177*$I177/12*1,IF($J177=6,-$E177*$I177/12*2,IF($J177&gt;=7,-$E177*$I177/12*3,0))))))</f>
        <v>-0.84375</v>
      </c>
      <c r="DH177" s="416">
        <f>IF($H177&lt;&gt;DJ$5,0,IF(DJ177&lt;0,IF(OR($J177=1,$J177=2,$J177=3,$J177=4,$J177=5,$J177=6,$J177=7),-$E177*$I177/12*3,IF($J177=8,-$E177*$I177/12*2,IF($J177=9,-$E177*$I177/12*1,0)))))+IF(DE$5&lt;&gt;$H177,0,IF(DE177&lt;0,IF($J177=7,-$E177*$I177/12*0,IF($J177=8,-$E177*$I177/12*1,IF($J177=9,-$E177*$I177/12*2,IF($J177&gt;=10,-$E177*$I177/12*3,0))))))</f>
        <v>-0.84375</v>
      </c>
      <c r="DI177" s="412">
        <f>IF($H177&lt;&gt;DJ$5,0,IF(DJ177&lt;0,IF(OR($J177=1,$J177=2,$J177=3,$J177=4,$J177=5,$J177=6,$J177=7,$J177=8,$J177=9,$J177=10),-$E177*$I177/12*3,IF($J177=11,-$E177*$I177/12*2,IF($J177=12,-$E177*$I177/12*1,0)))))+IF(DE$5&lt;&gt;$H177,0,IF(DE177&lt;0,IF($J177=10,-$E177*$I177/12*0,IF($J177=11,-$E177*$I177/12*1,IF($J177=12,-$E177*$I177/12*2,0)))))</f>
        <v>-0.28125</v>
      </c>
      <c r="DJ177" s="413">
        <f>IF(AND(DE177&lt;&gt;0,DE$5=$H177),-$I177*$E177-DE177,IF(DJ$5=$H177,-$I177*$E177*(12-$J177+1)/12,0))</f>
        <v>-2.8125</v>
      </c>
      <c r="DK177" s="410">
        <f>IF($H177&lt;&gt;DO$5,0,IF(DO177&lt;0,IF($J177=1,-$E177*$I177/12*3,IF($J177=2,-$E177*$I177/12*2,IF($J177=3,-$E177*$I177/12*1,0)))))+IF(DJ$5&lt;&gt;$H177,0,IF(DJ177&lt;0,IF($J177=1,-$E177*$I177/12*0,IF($J177=2,-$E177*$I177/12*1,IF($J177=3,-$E177*$I177/12*2,IF($J177&gt;=4,-$E177*$I177/12*3,0))))))</f>
        <v>0</v>
      </c>
      <c r="DL177" s="416">
        <f>IF($H177&lt;&gt;DO$5,0,IF(DO177&lt;0,IF(OR($J177=1,$J177=2,$J177=3,$J177=4),-$E177*$I177/12*3,IF($J177=5,-$E177*$I177/12*2,IF($J177=6,-$E177*$I177/12*1,0)))))+IF(DJ$5&lt;&gt;$H177,0,IF(DJ177&lt;0,IF($J177=4,-$E177*$I177/12*0,IF($J177=5,-$E177*$I177/12*1,IF($J177=6,-$E177*$I177/12*2,IF($J177&gt;=7,-$E177*$I177/12*3,0))))))</f>
        <v>0</v>
      </c>
      <c r="DM177" s="416">
        <f>IF($H177&lt;&gt;DO$5,0,IF(DO177&lt;0,IF(OR($J177=1,$J177=2,$J177=3,$J177=4,$J177=5,$J177=6,$J177=7),-$E177*$I177/12*3,IF($J177=8,-$E177*$I177/12*2,IF($J177=9,-$E177*$I177/12*1,0)))))+IF(DJ$5&lt;&gt;$H177,0,IF(DJ177&lt;0,IF($J177=7,-$E177*$I177/12*0,IF($J177=8,-$E177*$I177/12*1,IF($J177=9,-$E177*$I177/12*2,IF($J177&gt;=10,-$E177*$I177/12*3,0))))))</f>
        <v>0</v>
      </c>
      <c r="DN177" s="412">
        <f>IF($H177&lt;&gt;DO$5,0,IF(DO177&lt;0,IF(OR($J177=1,$J177=2,$J177=3,$J177=4,$J177=5,$J177=6,$J177=7,$J177=8,$J177=9,$J177=10),-$E177*$I177/12*3,IF($J177=11,-$E177*$I177/12*2,IF($J177=12,-$E177*$I177/12*1,0)))))+IF(DJ$5&lt;&gt;$H177,0,IF(DJ177&lt;0,IF($J177=10,-$E177*$I177/12*0,IF($J177=11,-$E177*$I177/12*1,IF($J177=12,-$E177*$I177/12*2,0)))))</f>
        <v>0</v>
      </c>
      <c r="DO177" s="413">
        <f>IF(AND(DJ177&lt;&gt;0,DJ$5=$H177),-$I177*$E177-DJ177,IF(DO$5=$H177,-$I177*$E177*(12-$J177+1)/12,0))</f>
        <v>0</v>
      </c>
      <c r="DP177" s="410">
        <f>IF($H177&lt;&gt;DT$5,0,IF(DT177&lt;0,IF($J177=1,-$E177*$I177/12*3,IF($J177=2,-$E177*$I177/12*2,IF($J177=3,-$E177*$I177/12*1,0)))))+IF(DO$5&lt;&gt;$H177,0,IF(DO177&lt;0,IF($J177=1,-$E177*$I177/12*0,IF($J177=2,-$E177*$I177/12*1,IF($J177=3,-$E177*$I177/12*2,IF($J177&gt;=4,-$E177*$I177/12*3,0))))))</f>
        <v>0</v>
      </c>
      <c r="DQ177" s="416">
        <f>IF($H177&lt;&gt;DT$5,0,IF(DT177&lt;0,IF(OR($J177=1,$J177=2,$J177=3,$J177=4),-$E177*$I177/12*3,IF($J177=5,-$E177*$I177/12*2,IF($J177=6,-$E177*$I177/12*1,0)))))+IF(DO$5&lt;&gt;$H177,0,IF(DO177&lt;0,IF($J177=4,-$E177*$I177/12*0,IF($J177=5,-$E177*$I177/12*1,IF($J177=6,-$E177*$I177/12*2,IF($J177&gt;=7,-$E177*$I177/12*3,0))))))</f>
        <v>0</v>
      </c>
      <c r="DR177" s="416">
        <f>IF($H177&lt;&gt;DT$5,0,IF(DT177&lt;0,IF(OR($J177=1,$J177=2,$J177=3,$J177=4,$J177=5,$J177=6,$J177=7),-$E177*$I177/12*3,IF($J177=8,-$E177*$I177/12*2,IF($J177=9,-$E177*$I177/12*1,0)))))+IF(DO$5&lt;&gt;$H177,0,IF(DO177&lt;0,IF($J177=7,-$E177*$I177/12*0,IF($J177=8,-$E177*$I177/12*1,IF($J177=9,-$E177*$I177/12*2,IF($J177&gt;=10,-$E177*$I177/12*3,0))))))</f>
        <v>0</v>
      </c>
      <c r="DS177" s="412">
        <f>IF($H177&lt;&gt;DT$5,0,IF(DT177&lt;0,IF(OR($J177=1,$J177=2,$J177=3,$J177=4,$J177=5,$J177=6,$J177=7,$J177=8,$J177=9,$J177=10),-$E177*$I177/12*3,IF($J177=11,-$E177*$I177/12*2,IF($J177=12,-$E177*$I177/12*1,0)))))+IF(DO$5&lt;&gt;$H177,0,IF(DO177&lt;0,IF($J177=10,-$E177*$I177/12*0,IF($J177=11,-$E177*$I177/12*1,IF($J177=12,-$E177*$I177/12*2,0)))))</f>
        <v>0</v>
      </c>
      <c r="DT177" s="413">
        <f>IF(AND(DO177&lt;&gt;0,DO$5=$H177),-$I177*$E177-DO177,IF(DT$5=$H177,-$I177*$E177*(12-$J177+1)/12,0))</f>
        <v>0</v>
      </c>
    </row>
    <row r="178" spans="1:124" ht="12.75" customHeight="1">
      <c r="A178" s="491"/>
      <c r="C178" s="1438"/>
      <c r="D178" s="1438"/>
      <c r="E178" s="1531"/>
      <c r="F178" s="1532"/>
      <c r="G178" s="1532"/>
      <c r="H178" s="610"/>
      <c r="I178" s="1534"/>
      <c r="J178" s="615"/>
      <c r="K178" s="402"/>
      <c r="L178" s="407"/>
      <c r="M178" s="404"/>
      <c r="N178" s="414"/>
      <c r="O178" s="414"/>
      <c r="P178" s="406"/>
      <c r="Q178" s="407"/>
      <c r="R178" s="404"/>
      <c r="S178" s="414"/>
      <c r="T178" s="414"/>
      <c r="U178" s="406"/>
      <c r="V178" s="407"/>
      <c r="W178" s="404"/>
      <c r="X178" s="414"/>
      <c r="Y178" s="414"/>
      <c r="Z178" s="406"/>
      <c r="AA178" s="407"/>
      <c r="AB178" s="404"/>
      <c r="AC178" s="414"/>
      <c r="AD178" s="414"/>
      <c r="AE178" s="406"/>
      <c r="AF178" s="407"/>
      <c r="AG178" s="404"/>
      <c r="AH178" s="414"/>
      <c r="AI178" s="414"/>
      <c r="AJ178" s="406"/>
      <c r="AK178" s="407"/>
      <c r="AL178" s="404"/>
      <c r="AM178" s="414"/>
      <c r="AN178" s="414"/>
      <c r="AO178" s="406"/>
      <c r="AP178" s="407"/>
      <c r="AQ178" s="404"/>
      <c r="AR178" s="414"/>
      <c r="AS178" s="414"/>
      <c r="AT178" s="406"/>
      <c r="AU178" s="407"/>
      <c r="AV178" s="404"/>
      <c r="AW178" s="414"/>
      <c r="AX178" s="414"/>
      <c r="AY178" s="406"/>
      <c r="AZ178" s="407"/>
      <c r="BA178" s="404"/>
      <c r="BB178" s="414"/>
      <c r="BC178" s="414"/>
      <c r="BD178" s="406"/>
      <c r="BE178" s="407"/>
      <c r="BF178" s="404"/>
      <c r="BG178" s="414"/>
      <c r="BH178" s="414"/>
      <c r="BI178" s="406"/>
      <c r="BJ178" s="407"/>
      <c r="BK178" s="404"/>
      <c r="BL178" s="414"/>
      <c r="BM178" s="414"/>
      <c r="BN178" s="406"/>
      <c r="BO178" s="407"/>
      <c r="BP178" s="449"/>
      <c r="BQ178" s="413"/>
      <c r="BR178" s="410"/>
      <c r="BS178" s="416"/>
      <c r="BT178" s="416"/>
      <c r="BU178" s="412"/>
      <c r="BV178" s="413"/>
      <c r="BW178" s="410"/>
      <c r="BX178" s="416"/>
      <c r="BY178" s="416"/>
      <c r="BZ178" s="412"/>
      <c r="CA178" s="413"/>
      <c r="CB178" s="410"/>
      <c r="CC178" s="416"/>
      <c r="CD178" s="416"/>
      <c r="CE178" s="412"/>
      <c r="CF178" s="413"/>
      <c r="CG178" s="410"/>
      <c r="CH178" s="416"/>
      <c r="CI178" s="416"/>
      <c r="CJ178" s="412"/>
      <c r="CK178" s="413"/>
      <c r="CL178" s="410"/>
      <c r="CM178" s="416"/>
      <c r="CN178" s="416"/>
      <c r="CO178" s="412"/>
      <c r="CP178" s="413"/>
      <c r="CQ178" s="410"/>
      <c r="CR178" s="416"/>
      <c r="CS178" s="416"/>
      <c r="CT178" s="412"/>
      <c r="CU178" s="413"/>
      <c r="CV178" s="410"/>
      <c r="CW178" s="416"/>
      <c r="CX178" s="416"/>
      <c r="CY178" s="412"/>
      <c r="CZ178" s="413"/>
      <c r="DA178" s="410"/>
      <c r="DB178" s="416"/>
      <c r="DC178" s="416"/>
      <c r="DD178" s="412"/>
      <c r="DE178" s="413"/>
      <c r="DF178" s="410"/>
      <c r="DG178" s="416"/>
      <c r="DH178" s="416"/>
      <c r="DI178" s="412"/>
      <c r="DJ178" s="413"/>
      <c r="DK178" s="410"/>
      <c r="DL178" s="416"/>
      <c r="DM178" s="416"/>
      <c r="DN178" s="412"/>
      <c r="DO178" s="413"/>
      <c r="DP178" s="410"/>
      <c r="DQ178" s="416"/>
      <c r="DR178" s="416"/>
      <c r="DS178" s="412"/>
      <c r="DT178" s="413"/>
    </row>
    <row r="179" spans="1:124" ht="12.75" customHeight="1">
      <c r="A179" s="491"/>
      <c r="C179" s="1885" t="s">
        <v>401</v>
      </c>
      <c r="D179" s="1885"/>
      <c r="E179" s="1886">
        <f t="shared" ref="E179:E185" si="1345">IF(F179=0,G179,F179)</f>
        <v>40</v>
      </c>
      <c r="F179" s="1532">
        <v>40</v>
      </c>
      <c r="G179" s="1532">
        <v>40</v>
      </c>
      <c r="H179" s="610">
        <v>2021</v>
      </c>
      <c r="I179" s="1533">
        <v>7.2499999999999995E-2</v>
      </c>
      <c r="J179" s="615">
        <v>6</v>
      </c>
      <c r="K179" s="402"/>
      <c r="L179" s="407">
        <f t="shared" ref="L179:L192" si="1346">IF(L$5=$H179,-$E179,0)</f>
        <v>0</v>
      </c>
      <c r="M179" s="404">
        <f t="shared" ref="M179:M186" si="1347">IF(Q179=0,0,IF(Q179&lt;0,IF($J179=3,Q179,IF($J179=2,Q179,IF($J179=1,Q179,0)))))</f>
        <v>0</v>
      </c>
      <c r="N179" s="414">
        <f t="shared" ref="N179:N186" si="1348">IF(Q179=0,0,IF(Q179&lt;0,IF($J179=6,Q179,IF($J179=5,Q179,IF($J179=4,Q179,0)))))</f>
        <v>0</v>
      </c>
      <c r="O179" s="414">
        <f t="shared" ref="O179:O186" si="1349">IF(Q179=0,0,IF(Q179&lt;0,IF($J179=9,Q179,IF($J179=8,Q179,IF($J179=7,Q179,0)))))</f>
        <v>0</v>
      </c>
      <c r="P179" s="406">
        <f t="shared" ref="P179:P186" si="1350">IF(Q179=0,0,IF(Q179&lt;0,IF($J179=12,Q179,IF($J179=11,Q179,IF($J179=10,Q179,0)))))</f>
        <v>0</v>
      </c>
      <c r="Q179" s="407">
        <f t="shared" ref="Q179:Q192" si="1351">IF(Q$5=$H179,-$E179,0)</f>
        <v>0</v>
      </c>
      <c r="R179" s="404">
        <f t="shared" ref="R179:R186" si="1352">IF(V179=0,0,IF(V179&lt;0,IF($J179=3,V179,IF($J179=2,V179,IF($J179=1,V179,0)))))</f>
        <v>0</v>
      </c>
      <c r="S179" s="414">
        <f t="shared" ref="S179:S186" si="1353">IF(V179=0,0,IF(V179&lt;0,IF($J179=6,V179,IF($J179=5,V179,IF($J179=4,V179,0)))))</f>
        <v>0</v>
      </c>
      <c r="T179" s="414">
        <f t="shared" ref="T179:T186" si="1354">IF(V179=0,0,IF(V179&lt;0,IF($J179=9,V179,IF($J179=8,V179,IF($J179=7,V179,0)))))</f>
        <v>0</v>
      </c>
      <c r="U179" s="406">
        <f t="shared" ref="U179:U186" si="1355">IF(V179=0,0,IF(V179&lt;0,IF($J179=12,V179,IF($J179=11,V179,IF($J179=10,V179,0)))))</f>
        <v>0</v>
      </c>
      <c r="V179" s="407">
        <f t="shared" ref="V179:V192" si="1356">IF(V$5=$H179,-$E179,0)</f>
        <v>0</v>
      </c>
      <c r="W179" s="404">
        <f t="shared" ref="W179:W186" si="1357">IF(AA179=0,0,IF(AA179&lt;0,IF($J179=3,AA179,IF($J179=2,AA179,IF($J179=1,AA179,0)))))</f>
        <v>0</v>
      </c>
      <c r="X179" s="414">
        <f t="shared" ref="X179:X186" si="1358">IF(AA179=0,0,IF(AA179&lt;0,IF($J179=6,AA179,IF($J179=5,AA179,IF($J179=4,AA179,0)))))</f>
        <v>0</v>
      </c>
      <c r="Y179" s="414">
        <f t="shared" ref="Y179:Y186" si="1359">IF(AA179=0,0,IF(AA179&lt;0,IF($J179=9,AA179,IF($J179=8,AA179,IF($J179=7,AA179,0)))))</f>
        <v>0</v>
      </c>
      <c r="Z179" s="406">
        <f t="shared" ref="Z179:Z186" si="1360">IF(AA179=0,0,IF(AA179&lt;0,IF($J179=12,AA179,IF($J179=11,AA179,IF($J179=10,AA179,0)))))</f>
        <v>0</v>
      </c>
      <c r="AA179" s="407">
        <f t="shared" ref="AA179:AA192" si="1361">IF(AA$5=$H179,-$E179,0)</f>
        <v>0</v>
      </c>
      <c r="AB179" s="404">
        <f t="shared" ref="AB179:AB186" si="1362">IF(AF179=0,0,IF(AF179&lt;0,IF($J179=3,AF179,IF($J179=2,AF179,IF($J179=1,AF179,0)))))</f>
        <v>0</v>
      </c>
      <c r="AC179" s="414">
        <f t="shared" ref="AC179:AC186" si="1363">IF(AF179=0,0,IF(AF179&lt;0,IF($J179=6,AF179,IF($J179=5,AF179,IF($J179=4,AF179,0)))))</f>
        <v>0</v>
      </c>
      <c r="AD179" s="414">
        <f t="shared" ref="AD179:AD186" si="1364">IF(AF179=0,0,IF(AF179&lt;0,IF($J179=9,AF179,IF($J179=8,AF179,IF($J179=7,AF179,0)))))</f>
        <v>0</v>
      </c>
      <c r="AE179" s="406">
        <f t="shared" ref="AE179:AE186" si="1365">IF(AF179=0,0,IF(AF179&lt;0,IF($J179=12,AF179,IF($J179=11,AF179,IF($J179=10,AF179,0)))))</f>
        <v>0</v>
      </c>
      <c r="AF179" s="407">
        <f t="shared" ref="AF179:AF192" si="1366">IF(AF$5=$H179,-$E179,0)</f>
        <v>0</v>
      </c>
      <c r="AG179" s="404">
        <f t="shared" ref="AG179:AG186" si="1367">IF(AK179=0,0,IF(AK179&lt;0,IF($J179=3,AK179,IF($J179=2,AK179,IF($J179=1,AK179,0)))))</f>
        <v>0</v>
      </c>
      <c r="AH179" s="414">
        <f t="shared" ref="AH179:AH186" si="1368">IF(AK179=0,0,IF(AK179&lt;0,IF($J179=6,AK179,IF($J179=5,AK179,IF($J179=4,AK179,0)))))</f>
        <v>0</v>
      </c>
      <c r="AI179" s="414">
        <f t="shared" ref="AI179:AI186" si="1369">IF(AK179=0,0,IF(AK179&lt;0,IF($J179=9,AK179,IF($J179=8,AK179,IF($J179=7,AK179,0)))))</f>
        <v>0</v>
      </c>
      <c r="AJ179" s="406">
        <f t="shared" ref="AJ179:AJ186" si="1370">IF(AK179=0,0,IF(AK179&lt;0,IF($J179=12,AK179,IF($J179=11,AK179,IF($J179=10,AK179,0)))))</f>
        <v>0</v>
      </c>
      <c r="AK179" s="407">
        <f t="shared" ref="AK179:AK192" si="1371">IF(AK$5=$H179,-$E179,0)</f>
        <v>0</v>
      </c>
      <c r="AL179" s="404">
        <f t="shared" ref="AL179:AL186" si="1372">IF(AP179=0,0,IF(AP179&lt;0,IF($J179=3,AP179,IF($J179=2,AP179,IF($J179=1,AP179,0)))))</f>
        <v>0</v>
      </c>
      <c r="AM179" s="414">
        <f t="shared" ref="AM179:AM186" si="1373">IF(AP179=0,0,IF(AP179&lt;0,IF($J179=6,AP179,IF($J179=5,AP179,IF($J179=4,AP179,0)))))</f>
        <v>0</v>
      </c>
      <c r="AN179" s="414">
        <f t="shared" ref="AN179:AN186" si="1374">IF(AP179=0,0,IF(AP179&lt;0,IF($J179=9,AP179,IF($J179=8,AP179,IF($J179=7,AP179,0)))))</f>
        <v>0</v>
      </c>
      <c r="AO179" s="406">
        <f t="shared" ref="AO179:AO186" si="1375">IF(AP179=0,0,IF(AP179&lt;0,IF($J179=12,AP179,IF($J179=11,AP179,IF($J179=10,AP179,0)))))</f>
        <v>0</v>
      </c>
      <c r="AP179" s="407">
        <f t="shared" ref="AP179:AP192" si="1376">IF(AP$5=$H179,-$E179,0)</f>
        <v>0</v>
      </c>
      <c r="AQ179" s="404">
        <f t="shared" ref="AQ179:AQ186" si="1377">IF(AU179=0,0,IF(AU179&lt;0,IF($J179=3,AU179,IF($J179=2,AU179,IF($J179=1,AU179,0)))))</f>
        <v>0</v>
      </c>
      <c r="AR179" s="414">
        <f t="shared" ref="AR179:AR186" si="1378">IF(AU179=0,0,IF(AU179&lt;0,IF($J179=6,AU179,IF($J179=5,AU179,IF($J179=4,AU179,0)))))</f>
        <v>0</v>
      </c>
      <c r="AS179" s="414">
        <f t="shared" ref="AS179:AS186" si="1379">IF(AU179=0,0,IF(AU179&lt;0,IF($J179=9,AU179,IF($J179=8,AU179,IF($J179=7,AU179,0)))))</f>
        <v>0</v>
      </c>
      <c r="AT179" s="406">
        <f t="shared" ref="AT179:AT186" si="1380">IF(AU179=0,0,IF(AU179&lt;0,IF($J179=12,AU179,IF($J179=11,AU179,IF($J179=10,AU179,0)))))</f>
        <v>0</v>
      </c>
      <c r="AU179" s="407">
        <f t="shared" ref="AU179:AU192" si="1381">IF(AU$5=$H179,-$E179,0)</f>
        <v>0</v>
      </c>
      <c r="AV179" s="404">
        <f t="shared" ref="AV179:AV186" si="1382">IF(AZ179=0,0,IF(AZ179&lt;0,IF($J179=3,AZ179,IF($J179=2,AZ179,IF($J179=1,AZ179,0)))))</f>
        <v>0</v>
      </c>
      <c r="AW179" s="414">
        <f t="shared" ref="AW179:AW186" si="1383">IF(AZ179=0,0,IF(AZ179&lt;0,IF($J179=6,AZ179,IF($J179=5,AZ179,IF($J179=4,AZ179,0)))))</f>
        <v>0</v>
      </c>
      <c r="AX179" s="414">
        <f t="shared" ref="AX179:AX186" si="1384">IF(AZ179=0,0,IF(AZ179&lt;0,IF($J179=9,AZ179,IF($J179=8,AZ179,IF($J179=7,AZ179,0)))))</f>
        <v>0</v>
      </c>
      <c r="AY179" s="406">
        <f t="shared" ref="AY179:AY186" si="1385">IF(AZ179=0,0,IF(AZ179&lt;0,IF($J179=12,AZ179,IF($J179=11,AZ179,IF($J179=10,AZ179,0)))))</f>
        <v>0</v>
      </c>
      <c r="AZ179" s="407">
        <f t="shared" ref="AZ179:AZ192" si="1386">IF(AZ$5=$H179,-$E179,0)</f>
        <v>0</v>
      </c>
      <c r="BA179" s="404">
        <f t="shared" ref="BA179:BA186" si="1387">IF(BE179=0,0,IF(BE179&lt;0,IF($J179=3,BE179,IF($J179=2,BE179,IF($J179=1,BE179,0)))))</f>
        <v>0</v>
      </c>
      <c r="BB179" s="414">
        <f t="shared" ref="BB179:BB186" si="1388">IF(BE179=0,0,IF(BE179&lt;0,IF($J179=6,BE179,IF($J179=5,BE179,IF($J179=4,BE179,0)))))</f>
        <v>0</v>
      </c>
      <c r="BC179" s="414">
        <f t="shared" ref="BC179:BC186" si="1389">IF(BE179=0,0,IF(BE179&lt;0,IF($J179=9,BE179,IF($J179=8,BE179,IF($J179=7,BE179,0)))))</f>
        <v>0</v>
      </c>
      <c r="BD179" s="406">
        <f t="shared" ref="BD179:BD186" si="1390">IF(BE179=0,0,IF(BE179&lt;0,IF($J179=12,BE179,IF($J179=11,BE179,IF($J179=10,BE179,0)))))</f>
        <v>0</v>
      </c>
      <c r="BE179" s="407">
        <f t="shared" ref="BE179:BE192" si="1391">IF(BE$5=$H179,-$E179,0)</f>
        <v>0</v>
      </c>
      <c r="BF179" s="404">
        <f t="shared" ref="BF179:BF186" si="1392">IF(BJ179=0,0,IF(BJ179&lt;0,IF($J179=3,BJ179,IF($J179=2,BJ179,IF($J179=1,BJ179,0)))))</f>
        <v>0</v>
      </c>
      <c r="BG179" s="414">
        <f t="shared" ref="BG179:BG186" si="1393">IF(BJ179=0,0,IF(BJ179&lt;0,IF($J179=6,BJ179,IF($J179=5,BJ179,IF($J179=4,BJ179,0)))))</f>
        <v>0</v>
      </c>
      <c r="BH179" s="414">
        <f t="shared" ref="BH179:BH186" si="1394">IF(BJ179=0,0,IF(BJ179&lt;0,IF($J179=9,BJ179,IF($J179=8,BJ179,IF($J179=7,BJ179,0)))))</f>
        <v>0</v>
      </c>
      <c r="BI179" s="406">
        <f t="shared" ref="BI179:BI186" si="1395">IF(BJ179=0,0,IF(BJ179&lt;0,IF($J179=12,BJ179,IF($J179=11,BJ179,IF($J179=10,BJ179,0)))))</f>
        <v>0</v>
      </c>
      <c r="BJ179" s="407">
        <f t="shared" ref="BJ179:BJ192" si="1396">IF(BJ$5=$H179,-$E179,0)</f>
        <v>0</v>
      </c>
      <c r="BK179" s="404">
        <f t="shared" ref="BK179:BK186" si="1397">IF(BO179=0,0,IF(BO179&lt;0,IF($J179=3,BO179,IF($J179=2,BO179,IF($J179=1,BO179,0)))))</f>
        <v>0</v>
      </c>
      <c r="BL179" s="414">
        <f t="shared" ref="BL179:BL186" si="1398">IF(BO179=0,0,IF(BO179&lt;0,IF($J179=6,BO179,IF($J179=5,BO179,IF($J179=4,BO179,0)))))</f>
        <v>-40</v>
      </c>
      <c r="BM179" s="414">
        <f t="shared" ref="BM179:BM186" si="1399">IF(BO179=0,0,IF(BO179&lt;0,IF($J179=9,BO179,IF($J179=8,BO179,IF($J179=7,BO179,0)))))</f>
        <v>0</v>
      </c>
      <c r="BN179" s="406">
        <f t="shared" ref="BN179:BN186" si="1400">IF(BO179=0,0,IF(BO179&lt;0,IF($J179=12,BO179,IF($J179=11,BO179,IF($J179=10,BO179,0)))))</f>
        <v>0</v>
      </c>
      <c r="BO179" s="407">
        <f t="shared" ref="BO179:BO192" si="1401">IF(BO$5=$H179,-$E179,0)</f>
        <v>-40</v>
      </c>
      <c r="BP179" s="449"/>
      <c r="BQ179" s="413">
        <f t="shared" ref="BQ179:BQ186" si="1402">IF(AND(AH179&lt;&gt;0,AH$5=$H179),-$I179*$E179-AH179,IF(BQ$5=$H179,-$I179*$E179*(12-$J179+1)/12,0))</f>
        <v>0</v>
      </c>
      <c r="BR179" s="410">
        <f t="shared" ref="BR179:BR186" si="1403">IF($H179&lt;&gt;BV$5,0,IF(BV179&lt;0,IF($J179=1,-$E179*$I179/12*3,IF($J179=2,-$E179*$I179/12*2,IF($J179=3,-$E179*$I179/12*1,0)))))+IF(BQ$5&lt;&gt;$H179,0,IF(BQ179&lt;0,IF($J179=1,-$E179*$I179/12*0,IF($J179=2,-$E179*$I179/12*1,IF($J179=3,-$E179*$I179/12*2,IF($J179&gt;=4,-$E179*$I179/12*3,0))))))</f>
        <v>0</v>
      </c>
      <c r="BS179" s="416">
        <f t="shared" ref="BS179:BS186" si="1404">IF($H179&lt;&gt;BV$5,0,IF(BV179&lt;0,IF(OR($J179=1,$J179=2,$J179=3,$J179=4),-$E179*$I179/12*3,IF($J179=5,-$E179*$I179/12*2,IF($J179=6,-$E179*$I179/12*1,0)))))+IF(BQ$5&lt;&gt;$H179,0,IF(BQ179&lt;0,IF($J179=4,-$E179*$I179/12*0,IF($J179=5,-$E179*$I179/12*1,IF($J179=6,-$E179*$I179/12*2,IF($J179&gt;=7,-$E179*$I179/12*3,0))))))</f>
        <v>0</v>
      </c>
      <c r="BT179" s="416">
        <f t="shared" ref="BT179:BT186" si="1405">IF($H179&lt;&gt;BV$5,0,IF(BV179&lt;0,IF(OR($J179=1,$J179=2,$J179=3,$J179=4,$J179=5,$J179=6,$J179=7),-$E179*$I179/12*3,IF($J179=8,-$E179*$I179/12*2,IF($J179=9,-$E179*$I179/12*1,0)))))+IF(BQ$5&lt;&gt;$H179,0,IF(BQ179&lt;0,IF($J179=7,-$E179*$I179/12*0,IF($J179=8,-$E179*$I179/12*1,IF($J179=9,-$E179*$I179/12*2,IF($J179&gt;=10,-$E179*$I179/12*3,0))))))</f>
        <v>0</v>
      </c>
      <c r="BU179" s="412">
        <f t="shared" ref="BU179:BU186" si="1406">IF($H179&lt;&gt;BV$5,0,IF(BV179&lt;0,IF(OR($J179=1,$J179=2,$J179=3,$J179=4,$J179=5,$J179=6,$J179=7,$J179=8,$J179=9,$J179=10),-$E179*$I179/12*3,IF($J179=11,-$E179*$I179/12*2,IF($J179=12,-$E179*$I179/12*1,0)))))+IF(BQ$5&lt;&gt;$H179,0,IF(BQ179&lt;0,IF($J179=10,-$E179*$I179/12*0,IF($J179=11,-$E179*$I179/12*1,IF($J179=12,-$E179*$I179/12*2,0)))))</f>
        <v>0</v>
      </c>
      <c r="BV179" s="413">
        <f t="shared" ref="BV179:BV186" si="1407">IF(AND(BQ179&lt;&gt;0,BQ$5=$H179),-$I179*$E179-BQ179,IF(BV$5=$H179,-$I179*$E179*(12-$J179+1)/12,0))</f>
        <v>0</v>
      </c>
      <c r="BW179" s="410">
        <f t="shared" ref="BW179:BW186" si="1408">IF($H179&lt;&gt;CA$5,0,IF(CA179&lt;0,IF($J179=1,-$E179*$I179/12*3,IF($J179=2,-$E179*$I179/12*2,IF($J179=3,-$E179*$I179/12*1,0)))))+IF(BV$5&lt;&gt;$H179,0,IF(BV179&lt;0,IF($J179=1,-$E179*$I179/12*0,IF($J179=2,-$E179*$I179/12*1,IF($J179=3,-$E179*$I179/12*2,IF($J179&gt;=4,-$E179*$I179/12*3,0))))))</f>
        <v>0</v>
      </c>
      <c r="BX179" s="416">
        <f t="shared" ref="BX179:BX186" si="1409">IF($H179&lt;&gt;CA$5,0,IF(CA179&lt;0,IF(OR($J179=1,$J179=2,$J179=3,$J179=4),-$E179*$I179/12*3,IF($J179=5,-$E179*$I179/12*2,IF($J179=6,-$E179*$I179/12*1,0)))))+IF(BV$5&lt;&gt;$H179,0,IF(BV179&lt;0,IF($J179=4,-$E179*$I179/12*0,IF($J179=5,-$E179*$I179/12*1,IF($J179=6,-$E179*$I179/12*2,IF($J179&gt;=7,-$E179*$I179/12*3,0))))))</f>
        <v>0</v>
      </c>
      <c r="BY179" s="416">
        <f t="shared" ref="BY179:BY186" si="1410">IF($H179&lt;&gt;CA$5,0,IF(CA179&lt;0,IF(OR($J179=1,$J179=2,$J179=3,$J179=4,$J179=5,$J179=6,$J179=7),-$E179*$I179/12*3,IF($J179=8,-$E179*$I179/12*2,IF($J179=9,-$E179*$I179/12*1,0)))))+IF(BV$5&lt;&gt;$H179,0,IF(BV179&lt;0,IF($J179=7,-$E179*$I179/12*0,IF($J179=8,-$E179*$I179/12*1,IF($J179=9,-$E179*$I179/12*2,IF($J179&gt;=10,-$E179*$I179/12*3,0))))))</f>
        <v>0</v>
      </c>
      <c r="BZ179" s="412">
        <f t="shared" ref="BZ179:BZ186" si="1411">IF($H179&lt;&gt;CA$5,0,IF(CA179&lt;0,IF(OR($J179=1,$J179=2,$J179=3,$J179=4,$J179=5,$J179=6,$J179=7,$J179=8,$J179=9,$J179=10),-$E179*$I179/12*3,IF($J179=11,-$E179*$I179/12*2,IF($J179=12,-$E179*$I179/12*1,0)))))+IF(BV$5&lt;&gt;$H179,0,IF(BV179&lt;0,IF($J179=10,-$E179*$I179/12*0,IF($J179=11,-$E179*$I179/12*1,IF($J179=12,-$E179*$I179/12*2,0)))))</f>
        <v>0</v>
      </c>
      <c r="CA179" s="413">
        <f t="shared" ref="CA179:CA186" si="1412">IF(AND(BV179&lt;&gt;0,BV$5=$H179),-$I179*$E179-BV179,IF(CA$5=$H179,-$I179*$E179*(12-$J179+1)/12,0))</f>
        <v>0</v>
      </c>
      <c r="CB179" s="410">
        <f t="shared" ref="CB179:CB186" si="1413">IF($H179&lt;&gt;CF$5,0,IF(CF179&lt;0,IF($J179=1,-$E179*$I179/12*3,IF($J179=2,-$E179*$I179/12*2,IF($J179=3,-$E179*$I179/12*1,0)))))+IF(CA$5&lt;&gt;$H179,0,IF(CA179&lt;0,IF($J179=1,-$E179*$I179/12*0,IF($J179=2,-$E179*$I179/12*1,IF($J179=3,-$E179*$I179/12*2,IF($J179&gt;=4,-$E179*$I179/12*3,0))))))</f>
        <v>0</v>
      </c>
      <c r="CC179" s="416">
        <f t="shared" ref="CC179:CC186" si="1414">IF($H179&lt;&gt;CF$5,0,IF(CF179&lt;0,IF(OR($J179=1,$J179=2,$J179=3,$J179=4),-$E179*$I179/12*3,IF($J179=5,-$E179*$I179/12*2,IF($J179=6,-$E179*$I179/12*1,0)))))+IF(CA$5&lt;&gt;$H179,0,IF(CA179&lt;0,IF($J179=4,-$E179*$I179/12*0,IF($J179=5,-$E179*$I179/12*1,IF($J179=6,-$E179*$I179/12*2,IF($J179&gt;=7,-$E179*$I179/12*3,0))))))</f>
        <v>0</v>
      </c>
      <c r="CD179" s="416">
        <f t="shared" ref="CD179:CD186" si="1415">IF($H179&lt;&gt;CF$5,0,IF(CF179&lt;0,IF(OR($J179=1,$J179=2,$J179=3,$J179=4,$J179=5,$J179=6,$J179=7),-$E179*$I179/12*3,IF($J179=8,-$E179*$I179/12*2,IF($J179=9,-$E179*$I179/12*1,0)))))+IF(CA$5&lt;&gt;$H179,0,IF(CA179&lt;0,IF($J179=7,-$E179*$I179/12*0,IF($J179=8,-$E179*$I179/12*1,IF($J179=9,-$E179*$I179/12*2,IF($J179&gt;=10,-$E179*$I179/12*3,0))))))</f>
        <v>0</v>
      </c>
      <c r="CE179" s="412">
        <f t="shared" ref="CE179:CE186" si="1416">IF($H179&lt;&gt;CF$5,0,IF(CF179&lt;0,IF(OR($J179=1,$J179=2,$J179=3,$J179=4,$J179=5,$J179=6,$J179=7,$J179=8,$J179=9,$J179=10),-$E179*$I179/12*3,IF($J179=11,-$E179*$I179/12*2,IF($J179=12,-$E179*$I179/12*1,0)))))+IF(CA$5&lt;&gt;$H179,0,IF(CA179&lt;0,IF($J179=10,-$E179*$I179/12*0,IF($J179=11,-$E179*$I179/12*1,IF($J179=12,-$E179*$I179/12*2,0)))))</f>
        <v>0</v>
      </c>
      <c r="CF179" s="413">
        <f t="shared" ref="CF179:CF186" si="1417">IF(AND(CA179&lt;&gt;0,CA$5=$H179),-$I179*$E179-CA179,IF(CF$5=$H179,-$I179*$E179*(12-$J179+1)/12,0))</f>
        <v>0</v>
      </c>
      <c r="CG179" s="410">
        <f t="shared" ref="CG179:CG186" si="1418">IF($H179&lt;&gt;CK$5,0,IF(CK179&lt;0,IF($J179=1,-$E179*$I179/12*3,IF($J179=2,-$E179*$I179/12*2,IF($J179=3,-$E179*$I179/12*1,0)))))+IF(CF$5&lt;&gt;$H179,0,IF(CF179&lt;0,IF($J179=1,-$E179*$I179/12*0,IF($J179=2,-$E179*$I179/12*1,IF($J179=3,-$E179*$I179/12*2,IF($J179&gt;=4,-$E179*$I179/12*3,0))))))</f>
        <v>0</v>
      </c>
      <c r="CH179" s="416">
        <f t="shared" ref="CH179:CH186" si="1419">IF($H179&lt;&gt;CK$5,0,IF(CK179&lt;0,IF(OR($J179=1,$J179=2,$J179=3,$J179=4),-$E179*$I179/12*3,IF($J179=5,-$E179*$I179/12*2,IF($J179=6,-$E179*$I179/12*1,0)))))+IF(CF$5&lt;&gt;$H179,0,IF(CF179&lt;0,IF($J179=4,-$E179*$I179/12*0,IF($J179=5,-$E179*$I179/12*1,IF($J179=6,-$E179*$I179/12*2,IF($J179&gt;=7,-$E179*$I179/12*3,0))))))</f>
        <v>0</v>
      </c>
      <c r="CI179" s="416">
        <f t="shared" ref="CI179:CI186" si="1420">IF($H179&lt;&gt;CK$5,0,IF(CK179&lt;0,IF(OR($J179=1,$J179=2,$J179=3,$J179=4,$J179=5,$J179=6,$J179=7),-$E179*$I179/12*3,IF($J179=8,-$E179*$I179/12*2,IF($J179=9,-$E179*$I179/12*1,0)))))+IF(CF$5&lt;&gt;$H179,0,IF(CF179&lt;0,IF($J179=7,-$E179*$I179/12*0,IF($J179=8,-$E179*$I179/12*1,IF($J179=9,-$E179*$I179/12*2,IF($J179&gt;=10,-$E179*$I179/12*3,0))))))</f>
        <v>0</v>
      </c>
      <c r="CJ179" s="412">
        <f t="shared" ref="CJ179:CJ186" si="1421">IF($H179&lt;&gt;CK$5,0,IF(CK179&lt;0,IF(OR($J179=1,$J179=2,$J179=3,$J179=4,$J179=5,$J179=6,$J179=7,$J179=8,$J179=9,$J179=10),-$E179*$I179/12*3,IF($J179=11,-$E179*$I179/12*2,IF($J179=12,-$E179*$I179/12*1,0)))))+IF(CF$5&lt;&gt;$H179,0,IF(CF179&lt;0,IF($J179=10,-$E179*$I179/12*0,IF($J179=11,-$E179*$I179/12*1,IF($J179=12,-$E179*$I179/12*2,0)))))</f>
        <v>0</v>
      </c>
      <c r="CK179" s="413">
        <f t="shared" ref="CK179:CK186" si="1422">IF(AND(CF179&lt;&gt;0,CF$5=$H179),-$I179*$E179-CF179,IF(CK$5=$H179,-$I179*$E179*(12-$J179+1)/12,0))</f>
        <v>0</v>
      </c>
      <c r="CL179" s="410">
        <f t="shared" ref="CL179:CL186" si="1423">IF($H179&lt;&gt;CP$5,0,IF(CP179&lt;0,IF($J179=1,-$E179*$I179/12*3,IF($J179=2,-$E179*$I179/12*2,IF($J179=3,-$E179*$I179/12*1,0)))))+IF(CK$5&lt;&gt;$H179,0,IF(CK179&lt;0,IF($J179=1,-$E179*$I179/12*0,IF($J179=2,-$E179*$I179/12*1,IF($J179=3,-$E179*$I179/12*2,IF($J179&gt;=4,-$E179*$I179/12*3,0))))))</f>
        <v>0</v>
      </c>
      <c r="CM179" s="416">
        <f t="shared" ref="CM179:CM186" si="1424">IF($H179&lt;&gt;CP$5,0,IF(CP179&lt;0,IF(OR($J179=1,$J179=2,$J179=3,$J179=4),-$E179*$I179/12*3,IF($J179=5,-$E179*$I179/12*2,IF($J179=6,-$E179*$I179/12*1,0)))))+IF(CK$5&lt;&gt;$H179,0,IF(CK179&lt;0,IF($J179=4,-$E179*$I179/12*0,IF($J179=5,-$E179*$I179/12*1,IF($J179=6,-$E179*$I179/12*2,IF($J179&gt;=7,-$E179*$I179/12*3,0))))))</f>
        <v>0</v>
      </c>
      <c r="CN179" s="416">
        <f t="shared" ref="CN179:CN186" si="1425">IF($H179&lt;&gt;CP$5,0,IF(CP179&lt;0,IF(OR($J179=1,$J179=2,$J179=3,$J179=4,$J179=5,$J179=6,$J179=7),-$E179*$I179/12*3,IF($J179=8,-$E179*$I179/12*2,IF($J179=9,-$E179*$I179/12*1,0)))))+IF(CK$5&lt;&gt;$H179,0,IF(CK179&lt;0,IF($J179=7,-$E179*$I179/12*0,IF($J179=8,-$E179*$I179/12*1,IF($J179=9,-$E179*$I179/12*2,IF($J179&gt;=10,-$E179*$I179/12*3,0))))))</f>
        <v>0</v>
      </c>
      <c r="CO179" s="412">
        <f t="shared" ref="CO179:CO186" si="1426">IF($H179&lt;&gt;CP$5,0,IF(CP179&lt;0,IF(OR($J179=1,$J179=2,$J179=3,$J179=4,$J179=5,$J179=6,$J179=7,$J179=8,$J179=9,$J179=10),-$E179*$I179/12*3,IF($J179=11,-$E179*$I179/12*2,IF($J179=12,-$E179*$I179/12*1,0)))))+IF(CK$5&lt;&gt;$H179,0,IF(CK179&lt;0,IF($J179=10,-$E179*$I179/12*0,IF($J179=11,-$E179*$I179/12*1,IF($J179=12,-$E179*$I179/12*2,0)))))</f>
        <v>0</v>
      </c>
      <c r="CP179" s="413">
        <f t="shared" ref="CP179:CP186" si="1427">IF(AND(CK179&lt;&gt;0,CK$5=$H179),-$I179*$E179-CK179,IF(CP$5=$H179,-$I179*$E179*(12-$J179+1)/12,0))</f>
        <v>0</v>
      </c>
      <c r="CQ179" s="410">
        <f t="shared" ref="CQ179:CQ186" si="1428">IF($H179&lt;&gt;CU$5,0,IF(CU179&lt;0,IF($J179=1,-$E179*$I179/12*3,IF($J179=2,-$E179*$I179/12*2,IF($J179=3,-$E179*$I179/12*1,0)))))+IF(CP$5&lt;&gt;$H179,0,IF(CP179&lt;0,IF($J179=1,-$E179*$I179/12*0,IF($J179=2,-$E179*$I179/12*1,IF($J179=3,-$E179*$I179/12*2,IF($J179&gt;=4,-$E179*$I179/12*3,0))))))</f>
        <v>0</v>
      </c>
      <c r="CR179" s="416">
        <f t="shared" ref="CR179:CR186" si="1429">IF($H179&lt;&gt;CU$5,0,IF(CU179&lt;0,IF(OR($J179=1,$J179=2,$J179=3,$J179=4),-$E179*$I179/12*3,IF($J179=5,-$E179*$I179/12*2,IF($J179=6,-$E179*$I179/12*1,0)))))+IF(CP$5&lt;&gt;$H179,0,IF(CP179&lt;0,IF($J179=4,-$E179*$I179/12*0,IF($J179=5,-$E179*$I179/12*1,IF($J179=6,-$E179*$I179/12*2,IF($J179&gt;=7,-$E179*$I179/12*3,0))))))</f>
        <v>0</v>
      </c>
      <c r="CS179" s="416">
        <f t="shared" ref="CS179:CS186" si="1430">IF($H179&lt;&gt;CU$5,0,IF(CU179&lt;0,IF(OR($J179=1,$J179=2,$J179=3,$J179=4,$J179=5,$J179=6,$J179=7),-$E179*$I179/12*3,IF($J179=8,-$E179*$I179/12*2,IF($J179=9,-$E179*$I179/12*1,0)))))+IF(CP$5&lt;&gt;$H179,0,IF(CP179&lt;0,IF($J179=7,-$E179*$I179/12*0,IF($J179=8,-$E179*$I179/12*1,IF($J179=9,-$E179*$I179/12*2,IF($J179&gt;=10,-$E179*$I179/12*3,0))))))</f>
        <v>0</v>
      </c>
      <c r="CT179" s="412">
        <f t="shared" ref="CT179:CT186" si="1431">IF($H179&lt;&gt;CU$5,0,IF(CU179&lt;0,IF(OR($J179=1,$J179=2,$J179=3,$J179=4,$J179=5,$J179=6,$J179=7,$J179=8,$J179=9,$J179=10),-$E179*$I179/12*3,IF($J179=11,-$E179*$I179/12*2,IF($J179=12,-$E179*$I179/12*1,0)))))+IF(CP$5&lt;&gt;$H179,0,IF(CP179&lt;0,IF($J179=10,-$E179*$I179/12*0,IF($J179=11,-$E179*$I179/12*1,IF($J179=12,-$E179*$I179/12*2,0)))))</f>
        <v>0</v>
      </c>
      <c r="CU179" s="413">
        <f t="shared" ref="CU179:CU186" si="1432">IF(AND(CP179&lt;&gt;0,CP$5=$H179),-$I179*$E179-CP179,IF(CU$5=$H179,-$I179*$E179*(12-$J179+1)/12,0))</f>
        <v>0</v>
      </c>
      <c r="CV179" s="410">
        <f t="shared" ref="CV179:CV186" si="1433">IF($H179&lt;&gt;CZ$5,0,IF(CZ179&lt;0,IF($J179=1,-$E179*$I179/12*3,IF($J179=2,-$E179*$I179/12*2,IF($J179=3,-$E179*$I179/12*1,0)))))+IF(CU$5&lt;&gt;$H179,0,IF(CU179&lt;0,IF($J179=1,-$E179*$I179/12*0,IF($J179=2,-$E179*$I179/12*1,IF($J179=3,-$E179*$I179/12*2,IF($J179&gt;=4,-$E179*$I179/12*3,0))))))</f>
        <v>0</v>
      </c>
      <c r="CW179" s="416">
        <f t="shared" ref="CW179:CW186" si="1434">IF($H179&lt;&gt;CZ$5,0,IF(CZ179&lt;0,IF(OR($J179=1,$J179=2,$J179=3,$J179=4),-$E179*$I179/12*3,IF($J179=5,-$E179*$I179/12*2,IF($J179=6,-$E179*$I179/12*1,0)))))+IF(CU$5&lt;&gt;$H179,0,IF(CU179&lt;0,IF($J179=4,-$E179*$I179/12*0,IF($J179=5,-$E179*$I179/12*1,IF($J179=6,-$E179*$I179/12*2,IF($J179&gt;=7,-$E179*$I179/12*3,0))))))</f>
        <v>0</v>
      </c>
      <c r="CX179" s="416">
        <f t="shared" ref="CX179:CX186" si="1435">IF($H179&lt;&gt;CZ$5,0,IF(CZ179&lt;0,IF(OR($J179=1,$J179=2,$J179=3,$J179=4,$J179=5,$J179=6,$J179=7),-$E179*$I179/12*3,IF($J179=8,-$E179*$I179/12*2,IF($J179=9,-$E179*$I179/12*1,0)))))+IF(CU$5&lt;&gt;$H179,0,IF(CU179&lt;0,IF($J179=7,-$E179*$I179/12*0,IF($J179=8,-$E179*$I179/12*1,IF($J179=9,-$E179*$I179/12*2,IF($J179&gt;=10,-$E179*$I179/12*3,0))))))</f>
        <v>0</v>
      </c>
      <c r="CY179" s="412">
        <f t="shared" ref="CY179:CY186" si="1436">IF($H179&lt;&gt;CZ$5,0,IF(CZ179&lt;0,IF(OR($J179=1,$J179=2,$J179=3,$J179=4,$J179=5,$J179=6,$J179=7,$J179=8,$J179=9,$J179=10),-$E179*$I179/12*3,IF($J179=11,-$E179*$I179/12*2,IF($J179=12,-$E179*$I179/12*1,0)))))+IF(CU$5&lt;&gt;$H179,0,IF(CU179&lt;0,IF($J179=10,-$E179*$I179/12*0,IF($J179=11,-$E179*$I179/12*1,IF($J179=12,-$E179*$I179/12*2,0)))))</f>
        <v>0</v>
      </c>
      <c r="CZ179" s="413">
        <f t="shared" ref="CZ179:CZ186" si="1437">IF(AND(CU179&lt;&gt;0,CU$5=$H179),-$I179*$E179-CU179,IF(CZ$5=$H179,-$I179*$E179*(12-$J179+1)/12,0))</f>
        <v>0</v>
      </c>
      <c r="DA179" s="410">
        <f t="shared" ref="DA179:DA186" si="1438">IF($H179&lt;&gt;DE$5,0,IF(DE179&lt;0,IF($J179=1,-$E179*$I179/12*3,IF($J179=2,-$E179*$I179/12*2,IF($J179=3,-$E179*$I179/12*1,0)))))+IF(CZ$5&lt;&gt;$H179,0,IF(CZ179&lt;0,IF($J179=1,-$E179*$I179/12*0,IF($J179=2,-$E179*$I179/12*1,IF($J179=3,-$E179*$I179/12*2,IF($J179&gt;=4,-$E179*$I179/12*3,0))))))</f>
        <v>0</v>
      </c>
      <c r="DB179" s="416">
        <f t="shared" ref="DB179:DB186" si="1439">IF($H179&lt;&gt;DE$5,0,IF(DE179&lt;0,IF(OR($J179=1,$J179=2,$J179=3,$J179=4),-$E179*$I179/12*3,IF($J179=5,-$E179*$I179/12*2,IF($J179=6,-$E179*$I179/12*1,0)))))+IF(CZ$5&lt;&gt;$H179,0,IF(CZ179&lt;0,IF($J179=4,-$E179*$I179/12*0,IF($J179=5,-$E179*$I179/12*1,IF($J179=6,-$E179*$I179/12*2,IF($J179&gt;=7,-$E179*$I179/12*3,0))))))</f>
        <v>0</v>
      </c>
      <c r="DC179" s="416">
        <f t="shared" ref="DC179:DC186" si="1440">IF($H179&lt;&gt;DE$5,0,IF(DE179&lt;0,IF(OR($J179=1,$J179=2,$J179=3,$J179=4,$J179=5,$J179=6,$J179=7),-$E179*$I179/12*3,IF($J179=8,-$E179*$I179/12*2,IF($J179=9,-$E179*$I179/12*1,0)))))+IF(CZ$5&lt;&gt;$H179,0,IF(CZ179&lt;0,IF($J179=7,-$E179*$I179/12*0,IF($J179=8,-$E179*$I179/12*1,IF($J179=9,-$E179*$I179/12*2,IF($J179&gt;=10,-$E179*$I179/12*3,0))))))</f>
        <v>0</v>
      </c>
      <c r="DD179" s="412">
        <f t="shared" ref="DD179:DD186" si="1441">IF($H179&lt;&gt;DE$5,0,IF(DE179&lt;0,IF(OR($J179=1,$J179=2,$J179=3,$J179=4,$J179=5,$J179=6,$J179=7,$J179=8,$J179=9,$J179=10),-$E179*$I179/12*3,IF($J179=11,-$E179*$I179/12*2,IF($J179=12,-$E179*$I179/12*1,0)))))+IF(CZ$5&lt;&gt;$H179,0,IF(CZ179&lt;0,IF($J179=10,-$E179*$I179/12*0,IF($J179=11,-$E179*$I179/12*1,IF($J179=12,-$E179*$I179/12*2,0)))))</f>
        <v>0</v>
      </c>
      <c r="DE179" s="413">
        <f t="shared" ref="DE179:DE186" si="1442">IF(AND(CZ179&lt;&gt;0,CZ$5=$H179),-$I179*$E179-CZ179,IF(DE$5=$H179,-$I179*$E179*(12-$J179+1)/12,0))</f>
        <v>0</v>
      </c>
      <c r="DF179" s="410">
        <f t="shared" ref="DF179:DF186" si="1443">IF($H179&lt;&gt;DJ$5,0,IF(DJ179&lt;0,IF($J179=1,-$E179*$I179/12*3,IF($J179=2,-$E179*$I179/12*2,IF($J179=3,-$E179*$I179/12*1,0)))))+IF(DE$5&lt;&gt;$H179,0,IF(DE179&lt;0,IF($J179=1,-$E179*$I179/12*0,IF($J179=2,-$E179*$I179/12*1,IF($J179=3,-$E179*$I179/12*2,IF($J179&gt;=4,-$E179*$I179/12*3,0))))))</f>
        <v>0</v>
      </c>
      <c r="DG179" s="416">
        <f t="shared" ref="DG179:DG186" si="1444">IF($H179&lt;&gt;DJ$5,0,IF(DJ179&lt;0,IF(OR($J179=1,$J179=2,$J179=3,$J179=4),-$E179*$I179/12*3,IF($J179=5,-$E179*$I179/12*2,IF($J179=6,-$E179*$I179/12*1,0)))))+IF(DE$5&lt;&gt;$H179,0,IF(DE179&lt;0,IF($J179=4,-$E179*$I179/12*0,IF($J179=5,-$E179*$I179/12*1,IF($J179=6,-$E179*$I179/12*2,IF($J179&gt;=7,-$E179*$I179/12*3,0))))))</f>
        <v>0</v>
      </c>
      <c r="DH179" s="416">
        <f t="shared" ref="DH179:DH186" si="1445">IF($H179&lt;&gt;DJ$5,0,IF(DJ179&lt;0,IF(OR($J179=1,$J179=2,$J179=3,$J179=4,$J179=5,$J179=6,$J179=7),-$E179*$I179/12*3,IF($J179=8,-$E179*$I179/12*2,IF($J179=9,-$E179*$I179/12*1,0)))))+IF(DE$5&lt;&gt;$H179,0,IF(DE179&lt;0,IF($J179=7,-$E179*$I179/12*0,IF($J179=8,-$E179*$I179/12*1,IF($J179=9,-$E179*$I179/12*2,IF($J179&gt;=10,-$E179*$I179/12*3,0))))))</f>
        <v>0</v>
      </c>
      <c r="DI179" s="412">
        <f t="shared" ref="DI179:DI186" si="1446">IF($H179&lt;&gt;DJ$5,0,IF(DJ179&lt;0,IF(OR($J179=1,$J179=2,$J179=3,$J179=4,$J179=5,$J179=6,$J179=7,$J179=8,$J179=9,$J179=10),-$E179*$I179/12*3,IF($J179=11,-$E179*$I179/12*2,IF($J179=12,-$E179*$I179/12*1,0)))))+IF(DE$5&lt;&gt;$H179,0,IF(DE179&lt;0,IF($J179=10,-$E179*$I179/12*0,IF($J179=11,-$E179*$I179/12*1,IF($J179=12,-$E179*$I179/12*2,0)))))</f>
        <v>0</v>
      </c>
      <c r="DJ179" s="413">
        <f t="shared" ref="DJ179:DJ186" si="1447">IF(AND(DE179&lt;&gt;0,DE$5=$H179),-$I179*$E179-DE179,IF(DJ$5=$H179,-$I179*$E179*(12-$J179+1)/12,0))</f>
        <v>0</v>
      </c>
      <c r="DK179" s="410">
        <f t="shared" ref="DK179:DK186" si="1448">IF($H179&lt;&gt;DO$5,0,IF(DO179&lt;0,IF($J179=1,-$E179*$I179/12*3,IF($J179=2,-$E179*$I179/12*2,IF($J179=3,-$E179*$I179/12*1,0)))))+IF(DJ$5&lt;&gt;$H179,0,IF(DJ179&lt;0,IF($J179=1,-$E179*$I179/12*0,IF($J179=2,-$E179*$I179/12*1,IF($J179=3,-$E179*$I179/12*2,IF($J179&gt;=4,-$E179*$I179/12*3,0))))))</f>
        <v>0</v>
      </c>
      <c r="DL179" s="416">
        <f t="shared" ref="DL179:DL186" si="1449">IF($H179&lt;&gt;DO$5,0,IF(DO179&lt;0,IF(OR($J179=1,$J179=2,$J179=3,$J179=4),-$E179*$I179/12*3,IF($J179=5,-$E179*$I179/12*2,IF($J179=6,-$E179*$I179/12*1,0)))))+IF(DJ$5&lt;&gt;$H179,0,IF(DJ179&lt;0,IF($J179=4,-$E179*$I179/12*0,IF($J179=5,-$E179*$I179/12*1,IF($J179=6,-$E179*$I179/12*2,IF($J179&gt;=7,-$E179*$I179/12*3,0))))))</f>
        <v>0</v>
      </c>
      <c r="DM179" s="416">
        <f t="shared" ref="DM179:DM186" si="1450">IF($H179&lt;&gt;DO$5,0,IF(DO179&lt;0,IF(OR($J179=1,$J179=2,$J179=3,$J179=4,$J179=5,$J179=6,$J179=7),-$E179*$I179/12*3,IF($J179=8,-$E179*$I179/12*2,IF($J179=9,-$E179*$I179/12*1,0)))))+IF(DJ$5&lt;&gt;$H179,0,IF(DJ179&lt;0,IF($J179=7,-$E179*$I179/12*0,IF($J179=8,-$E179*$I179/12*1,IF($J179=9,-$E179*$I179/12*2,IF($J179&gt;=10,-$E179*$I179/12*3,0))))))</f>
        <v>0</v>
      </c>
      <c r="DN179" s="412">
        <f t="shared" ref="DN179:DN186" si="1451">IF($H179&lt;&gt;DO$5,0,IF(DO179&lt;0,IF(OR($J179=1,$J179=2,$J179=3,$J179=4,$J179=5,$J179=6,$J179=7,$J179=8,$J179=9,$J179=10),-$E179*$I179/12*3,IF($J179=11,-$E179*$I179/12*2,IF($J179=12,-$E179*$I179/12*1,0)))))+IF(DJ$5&lt;&gt;$H179,0,IF(DJ179&lt;0,IF($J179=10,-$E179*$I179/12*0,IF($J179=11,-$E179*$I179/12*1,IF($J179=12,-$E179*$I179/12*2,0)))))</f>
        <v>0</v>
      </c>
      <c r="DO179" s="413">
        <f t="shared" ref="DO179:DO186" si="1452">IF(AND(DJ179&lt;&gt;0,DJ$5=$H179),-$I179*$E179-DJ179,IF(DO$5=$H179,-$I179*$E179*(12-$J179+1)/12,0))</f>
        <v>0</v>
      </c>
      <c r="DP179" s="410">
        <f t="shared" ref="DP179:DP186" si="1453">IF($H179&lt;&gt;DT$5,0,IF(DT179&lt;0,IF($J179=1,-$E179*$I179/12*3,IF($J179=2,-$E179*$I179/12*2,IF($J179=3,-$E179*$I179/12*1,0)))))+IF(DO$5&lt;&gt;$H179,0,IF(DO179&lt;0,IF($J179=1,-$E179*$I179/12*0,IF($J179=2,-$E179*$I179/12*1,IF($J179=3,-$E179*$I179/12*2,IF($J179&gt;=4,-$E179*$I179/12*3,0))))))</f>
        <v>0</v>
      </c>
      <c r="DQ179" s="416">
        <f t="shared" ref="DQ179:DQ186" si="1454">IF($H179&lt;&gt;DT$5,0,IF(DT179&lt;0,IF(OR($J179=1,$J179=2,$J179=3,$J179=4),-$E179*$I179/12*3,IF($J179=5,-$E179*$I179/12*2,IF($J179=6,-$E179*$I179/12*1,0)))))+IF(DO$5&lt;&gt;$H179,0,IF(DO179&lt;0,IF($J179=4,-$E179*$I179/12*0,IF($J179=5,-$E179*$I179/12*1,IF($J179=6,-$E179*$I179/12*2,IF($J179&gt;=7,-$E179*$I179/12*3,0))))))</f>
        <v>-0.24166666666666667</v>
      </c>
      <c r="DR179" s="416">
        <f t="shared" ref="DR179:DR186" si="1455">IF($H179&lt;&gt;DT$5,0,IF(DT179&lt;0,IF(OR($J179=1,$J179=2,$J179=3,$J179=4,$J179=5,$J179=6,$J179=7),-$E179*$I179/12*3,IF($J179=8,-$E179*$I179/12*2,IF($J179=9,-$E179*$I179/12*1,0)))))+IF(DO$5&lt;&gt;$H179,0,IF(DO179&lt;0,IF($J179=7,-$E179*$I179/12*0,IF($J179=8,-$E179*$I179/12*1,IF($J179=9,-$E179*$I179/12*2,IF($J179&gt;=10,-$E179*$I179/12*3,0))))))</f>
        <v>-0.72499999999999998</v>
      </c>
      <c r="DS179" s="412">
        <f t="shared" ref="DS179:DS186" si="1456">IF($H179&lt;&gt;DT$5,0,IF(DT179&lt;0,IF(OR($J179=1,$J179=2,$J179=3,$J179=4,$J179=5,$J179=6,$J179=7,$J179=8,$J179=9,$J179=10),-$E179*$I179/12*3,IF($J179=11,-$E179*$I179/12*2,IF($J179=12,-$E179*$I179/12*1,0)))))+IF(DO$5&lt;&gt;$H179,0,IF(DO179&lt;0,IF($J179=10,-$E179*$I179/12*0,IF($J179=11,-$E179*$I179/12*1,IF($J179=12,-$E179*$I179/12*2,0)))))</f>
        <v>-0.72499999999999998</v>
      </c>
      <c r="DT179" s="413">
        <f t="shared" ref="DT179:DT186" si="1457">IF(AND(DO179&lt;&gt;0,DO$5=$H179),-$I179*$E179-DO179,IF(DT$5=$H179,-$I179*$E179*(12-$J179+1)/12,0))</f>
        <v>-1.6916666666666667</v>
      </c>
    </row>
    <row r="180" spans="1:124" ht="12.75" customHeight="1">
      <c r="A180" s="491"/>
      <c r="C180" s="1885" t="s">
        <v>402</v>
      </c>
      <c r="D180" s="1885"/>
      <c r="E180" s="1886">
        <f t="shared" si="1345"/>
        <v>30</v>
      </c>
      <c r="F180" s="1532">
        <v>30</v>
      </c>
      <c r="G180" s="1532">
        <v>30</v>
      </c>
      <c r="H180" s="610">
        <v>2029</v>
      </c>
      <c r="I180" s="1533">
        <v>8.0299999999999996E-2</v>
      </c>
      <c r="J180" s="615">
        <v>6</v>
      </c>
      <c r="K180" s="402"/>
      <c r="L180" s="407">
        <f>IF(L$5=$H180,-$E180,0)</f>
        <v>0</v>
      </c>
      <c r="M180" s="404">
        <f t="shared" si="1347"/>
        <v>0</v>
      </c>
      <c r="N180" s="414">
        <f t="shared" si="1348"/>
        <v>0</v>
      </c>
      <c r="O180" s="414">
        <f t="shared" si="1349"/>
        <v>0</v>
      </c>
      <c r="P180" s="406">
        <f t="shared" si="1350"/>
        <v>0</v>
      </c>
      <c r="Q180" s="407">
        <f>IF(Q$5=$H180,-$E180,0)</f>
        <v>0</v>
      </c>
      <c r="R180" s="404">
        <f t="shared" si="1352"/>
        <v>0</v>
      </c>
      <c r="S180" s="414">
        <f t="shared" si="1353"/>
        <v>0</v>
      </c>
      <c r="T180" s="414">
        <f t="shared" si="1354"/>
        <v>0</v>
      </c>
      <c r="U180" s="406">
        <f t="shared" si="1355"/>
        <v>0</v>
      </c>
      <c r="V180" s="407">
        <f>IF(V$5=$H180,-$E180,0)</f>
        <v>0</v>
      </c>
      <c r="W180" s="404">
        <f t="shared" si="1357"/>
        <v>0</v>
      </c>
      <c r="X180" s="414">
        <f t="shared" si="1358"/>
        <v>0</v>
      </c>
      <c r="Y180" s="414">
        <f t="shared" si="1359"/>
        <v>0</v>
      </c>
      <c r="Z180" s="406">
        <f t="shared" si="1360"/>
        <v>0</v>
      </c>
      <c r="AA180" s="407">
        <f>IF(AA$5=$H180,-$E180,0)</f>
        <v>0</v>
      </c>
      <c r="AB180" s="404">
        <f t="shared" si="1362"/>
        <v>0</v>
      </c>
      <c r="AC180" s="414">
        <f t="shared" si="1363"/>
        <v>0</v>
      </c>
      <c r="AD180" s="414">
        <f t="shared" si="1364"/>
        <v>0</v>
      </c>
      <c r="AE180" s="406">
        <f t="shared" si="1365"/>
        <v>0</v>
      </c>
      <c r="AF180" s="407">
        <f>IF(AF$5=$H180,-$E180,0)</f>
        <v>0</v>
      </c>
      <c r="AG180" s="404">
        <f t="shared" si="1367"/>
        <v>0</v>
      </c>
      <c r="AH180" s="414">
        <f t="shared" si="1368"/>
        <v>0</v>
      </c>
      <c r="AI180" s="414">
        <f t="shared" si="1369"/>
        <v>0</v>
      </c>
      <c r="AJ180" s="406">
        <f t="shared" si="1370"/>
        <v>0</v>
      </c>
      <c r="AK180" s="407">
        <f>IF(AK$5=$H180,-$E180,0)</f>
        <v>0</v>
      </c>
      <c r="AL180" s="404">
        <f t="shared" si="1372"/>
        <v>0</v>
      </c>
      <c r="AM180" s="414">
        <f t="shared" si="1373"/>
        <v>0</v>
      </c>
      <c r="AN180" s="414">
        <f t="shared" si="1374"/>
        <v>0</v>
      </c>
      <c r="AO180" s="406">
        <f t="shared" si="1375"/>
        <v>0</v>
      </c>
      <c r="AP180" s="407">
        <f>IF(AP$5=$H180,-$E180,0)</f>
        <v>0</v>
      </c>
      <c r="AQ180" s="404">
        <f t="shared" si="1377"/>
        <v>0</v>
      </c>
      <c r="AR180" s="414">
        <f t="shared" si="1378"/>
        <v>0</v>
      </c>
      <c r="AS180" s="414">
        <f t="shared" si="1379"/>
        <v>0</v>
      </c>
      <c r="AT180" s="406">
        <f t="shared" si="1380"/>
        <v>0</v>
      </c>
      <c r="AU180" s="407">
        <f>IF(AU$5=$H180,-$E180,0)</f>
        <v>0</v>
      </c>
      <c r="AV180" s="404">
        <f t="shared" si="1382"/>
        <v>0</v>
      </c>
      <c r="AW180" s="414">
        <f t="shared" si="1383"/>
        <v>0</v>
      </c>
      <c r="AX180" s="414">
        <f t="shared" si="1384"/>
        <v>0</v>
      </c>
      <c r="AY180" s="406">
        <f t="shared" si="1385"/>
        <v>0</v>
      </c>
      <c r="AZ180" s="407">
        <f>IF(AZ$5=$H180,-$E180,0)</f>
        <v>0</v>
      </c>
      <c r="BA180" s="404">
        <f t="shared" si="1387"/>
        <v>0</v>
      </c>
      <c r="BB180" s="414">
        <f t="shared" si="1388"/>
        <v>0</v>
      </c>
      <c r="BC180" s="414">
        <f t="shared" si="1389"/>
        <v>0</v>
      </c>
      <c r="BD180" s="406">
        <f t="shared" si="1390"/>
        <v>0</v>
      </c>
      <c r="BE180" s="407">
        <f>IF(BE$5=$H180,-$E180,0)</f>
        <v>0</v>
      </c>
      <c r="BF180" s="404">
        <f t="shared" si="1392"/>
        <v>0</v>
      </c>
      <c r="BG180" s="414">
        <f t="shared" si="1393"/>
        <v>0</v>
      </c>
      <c r="BH180" s="414">
        <f t="shared" si="1394"/>
        <v>0</v>
      </c>
      <c r="BI180" s="406">
        <f t="shared" si="1395"/>
        <v>0</v>
      </c>
      <c r="BJ180" s="407">
        <f>IF(BJ$5=$H180,-$E180,0)</f>
        <v>0</v>
      </c>
      <c r="BK180" s="404">
        <f t="shared" si="1397"/>
        <v>0</v>
      </c>
      <c r="BL180" s="414">
        <f t="shared" si="1398"/>
        <v>0</v>
      </c>
      <c r="BM180" s="414">
        <f t="shared" si="1399"/>
        <v>0</v>
      </c>
      <c r="BN180" s="406">
        <f t="shared" si="1400"/>
        <v>0</v>
      </c>
      <c r="BO180" s="407">
        <f>IF(BO$5=$H180,-$E180,0)</f>
        <v>0</v>
      </c>
      <c r="BP180" s="449"/>
      <c r="BQ180" s="413">
        <f t="shared" si="1402"/>
        <v>0</v>
      </c>
      <c r="BR180" s="410">
        <f t="shared" si="1403"/>
        <v>0</v>
      </c>
      <c r="BS180" s="416">
        <f t="shared" si="1404"/>
        <v>0</v>
      </c>
      <c r="BT180" s="416">
        <f t="shared" si="1405"/>
        <v>0</v>
      </c>
      <c r="BU180" s="412">
        <f t="shared" si="1406"/>
        <v>0</v>
      </c>
      <c r="BV180" s="413">
        <f t="shared" si="1407"/>
        <v>0</v>
      </c>
      <c r="BW180" s="410">
        <f t="shared" si="1408"/>
        <v>0</v>
      </c>
      <c r="BX180" s="416">
        <f t="shared" si="1409"/>
        <v>0</v>
      </c>
      <c r="BY180" s="416">
        <f t="shared" si="1410"/>
        <v>0</v>
      </c>
      <c r="BZ180" s="412">
        <f t="shared" si="1411"/>
        <v>0</v>
      </c>
      <c r="CA180" s="413">
        <f t="shared" si="1412"/>
        <v>0</v>
      </c>
      <c r="CB180" s="410">
        <f t="shared" si="1413"/>
        <v>0</v>
      </c>
      <c r="CC180" s="416">
        <f t="shared" si="1414"/>
        <v>0</v>
      </c>
      <c r="CD180" s="416">
        <f t="shared" si="1415"/>
        <v>0</v>
      </c>
      <c r="CE180" s="412">
        <f t="shared" si="1416"/>
        <v>0</v>
      </c>
      <c r="CF180" s="413">
        <f t="shared" si="1417"/>
        <v>0</v>
      </c>
      <c r="CG180" s="410">
        <f t="shared" si="1418"/>
        <v>0</v>
      </c>
      <c r="CH180" s="416">
        <f t="shared" si="1419"/>
        <v>0</v>
      </c>
      <c r="CI180" s="416">
        <f t="shared" si="1420"/>
        <v>0</v>
      </c>
      <c r="CJ180" s="412">
        <f t="shared" si="1421"/>
        <v>0</v>
      </c>
      <c r="CK180" s="413">
        <f t="shared" si="1422"/>
        <v>0</v>
      </c>
      <c r="CL180" s="410">
        <f t="shared" si="1423"/>
        <v>0</v>
      </c>
      <c r="CM180" s="416">
        <f t="shared" si="1424"/>
        <v>0</v>
      </c>
      <c r="CN180" s="416">
        <f t="shared" si="1425"/>
        <v>0</v>
      </c>
      <c r="CO180" s="412">
        <f t="shared" si="1426"/>
        <v>0</v>
      </c>
      <c r="CP180" s="413">
        <f t="shared" si="1427"/>
        <v>0</v>
      </c>
      <c r="CQ180" s="410">
        <f t="shared" si="1428"/>
        <v>0</v>
      </c>
      <c r="CR180" s="416">
        <f t="shared" si="1429"/>
        <v>0</v>
      </c>
      <c r="CS180" s="416">
        <f t="shared" si="1430"/>
        <v>0</v>
      </c>
      <c r="CT180" s="412">
        <f t="shared" si="1431"/>
        <v>0</v>
      </c>
      <c r="CU180" s="413">
        <f t="shared" si="1432"/>
        <v>0</v>
      </c>
      <c r="CV180" s="410">
        <f t="shared" si="1433"/>
        <v>0</v>
      </c>
      <c r="CW180" s="416">
        <f t="shared" si="1434"/>
        <v>0</v>
      </c>
      <c r="CX180" s="416">
        <f t="shared" si="1435"/>
        <v>0</v>
      </c>
      <c r="CY180" s="412">
        <f t="shared" si="1436"/>
        <v>0</v>
      </c>
      <c r="CZ180" s="413">
        <f t="shared" si="1437"/>
        <v>0</v>
      </c>
      <c r="DA180" s="410">
        <f t="shared" si="1438"/>
        <v>0</v>
      </c>
      <c r="DB180" s="416">
        <f t="shared" si="1439"/>
        <v>0</v>
      </c>
      <c r="DC180" s="416">
        <f t="shared" si="1440"/>
        <v>0</v>
      </c>
      <c r="DD180" s="412">
        <f t="shared" si="1441"/>
        <v>0</v>
      </c>
      <c r="DE180" s="413">
        <f t="shared" si="1442"/>
        <v>0</v>
      </c>
      <c r="DF180" s="410">
        <f t="shared" si="1443"/>
        <v>0</v>
      </c>
      <c r="DG180" s="416">
        <f t="shared" si="1444"/>
        <v>0</v>
      </c>
      <c r="DH180" s="416">
        <f t="shared" si="1445"/>
        <v>0</v>
      </c>
      <c r="DI180" s="412">
        <f t="shared" si="1446"/>
        <v>0</v>
      </c>
      <c r="DJ180" s="413">
        <f t="shared" si="1447"/>
        <v>0</v>
      </c>
      <c r="DK180" s="410">
        <f t="shared" si="1448"/>
        <v>0</v>
      </c>
      <c r="DL180" s="416">
        <f t="shared" si="1449"/>
        <v>0</v>
      </c>
      <c r="DM180" s="416">
        <f t="shared" si="1450"/>
        <v>0</v>
      </c>
      <c r="DN180" s="412">
        <f t="shared" si="1451"/>
        <v>0</v>
      </c>
      <c r="DO180" s="413">
        <f t="shared" si="1452"/>
        <v>0</v>
      </c>
      <c r="DP180" s="410">
        <f t="shared" si="1453"/>
        <v>0</v>
      </c>
      <c r="DQ180" s="416">
        <f t="shared" si="1454"/>
        <v>0</v>
      </c>
      <c r="DR180" s="416">
        <f t="shared" si="1455"/>
        <v>0</v>
      </c>
      <c r="DS180" s="412">
        <f t="shared" si="1456"/>
        <v>0</v>
      </c>
      <c r="DT180" s="413">
        <f t="shared" si="1457"/>
        <v>0</v>
      </c>
    </row>
    <row r="181" spans="1:124" ht="12.75" customHeight="1">
      <c r="A181" s="491"/>
      <c r="C181" s="1885" t="s">
        <v>404</v>
      </c>
      <c r="D181" s="1885"/>
      <c r="E181" s="1886">
        <f t="shared" si="1345"/>
        <v>60</v>
      </c>
      <c r="F181" s="1532">
        <v>60</v>
      </c>
      <c r="G181" s="1532">
        <v>60</v>
      </c>
      <c r="H181" s="610">
        <v>2039</v>
      </c>
      <c r="I181" s="1533">
        <v>8.1299999999999997E-2</v>
      </c>
      <c r="J181" s="615">
        <v>6</v>
      </c>
      <c r="K181" s="402"/>
      <c r="L181" s="407">
        <f>IF(L$5=$H181,-$E181,0)</f>
        <v>0</v>
      </c>
      <c r="M181" s="404">
        <f t="shared" si="1347"/>
        <v>0</v>
      </c>
      <c r="N181" s="414">
        <f t="shared" si="1348"/>
        <v>0</v>
      </c>
      <c r="O181" s="414">
        <f t="shared" si="1349"/>
        <v>0</v>
      </c>
      <c r="P181" s="406">
        <f t="shared" si="1350"/>
        <v>0</v>
      </c>
      <c r="Q181" s="407">
        <f>IF(Q$5=$H181,-$E181,0)</f>
        <v>0</v>
      </c>
      <c r="R181" s="404">
        <f t="shared" si="1352"/>
        <v>0</v>
      </c>
      <c r="S181" s="414">
        <f t="shared" si="1353"/>
        <v>0</v>
      </c>
      <c r="T181" s="414">
        <f t="shared" si="1354"/>
        <v>0</v>
      </c>
      <c r="U181" s="406">
        <f t="shared" si="1355"/>
        <v>0</v>
      </c>
      <c r="V181" s="407">
        <f>IF(V$5=$H181,-$E181,0)</f>
        <v>0</v>
      </c>
      <c r="W181" s="404">
        <f t="shared" si="1357"/>
        <v>0</v>
      </c>
      <c r="X181" s="414">
        <f t="shared" si="1358"/>
        <v>0</v>
      </c>
      <c r="Y181" s="414">
        <f t="shared" si="1359"/>
        <v>0</v>
      </c>
      <c r="Z181" s="406">
        <f t="shared" si="1360"/>
        <v>0</v>
      </c>
      <c r="AA181" s="407">
        <f>IF(AA$5=$H181,-$E181,0)</f>
        <v>0</v>
      </c>
      <c r="AB181" s="404">
        <f t="shared" si="1362"/>
        <v>0</v>
      </c>
      <c r="AC181" s="414">
        <f t="shared" si="1363"/>
        <v>0</v>
      </c>
      <c r="AD181" s="414">
        <f t="shared" si="1364"/>
        <v>0</v>
      </c>
      <c r="AE181" s="406">
        <f t="shared" si="1365"/>
        <v>0</v>
      </c>
      <c r="AF181" s="407">
        <f>IF(AF$5=$H181,-$E181,0)</f>
        <v>0</v>
      </c>
      <c r="AG181" s="404">
        <f t="shared" si="1367"/>
        <v>0</v>
      </c>
      <c r="AH181" s="414">
        <f t="shared" si="1368"/>
        <v>0</v>
      </c>
      <c r="AI181" s="414">
        <f t="shared" si="1369"/>
        <v>0</v>
      </c>
      <c r="AJ181" s="406">
        <f t="shared" si="1370"/>
        <v>0</v>
      </c>
      <c r="AK181" s="407">
        <f>IF(AK$5=$H181,-$E181,0)</f>
        <v>0</v>
      </c>
      <c r="AL181" s="404">
        <f t="shared" si="1372"/>
        <v>0</v>
      </c>
      <c r="AM181" s="414">
        <f t="shared" si="1373"/>
        <v>0</v>
      </c>
      <c r="AN181" s="414">
        <f t="shared" si="1374"/>
        <v>0</v>
      </c>
      <c r="AO181" s="406">
        <f t="shared" si="1375"/>
        <v>0</v>
      </c>
      <c r="AP181" s="407">
        <f>IF(AP$5=$H181,-$E181,0)</f>
        <v>0</v>
      </c>
      <c r="AQ181" s="404">
        <f t="shared" si="1377"/>
        <v>0</v>
      </c>
      <c r="AR181" s="414">
        <f t="shared" si="1378"/>
        <v>0</v>
      </c>
      <c r="AS181" s="414">
        <f t="shared" si="1379"/>
        <v>0</v>
      </c>
      <c r="AT181" s="406">
        <f t="shared" si="1380"/>
        <v>0</v>
      </c>
      <c r="AU181" s="407">
        <f>IF(AU$5=$H181,-$E181,0)</f>
        <v>0</v>
      </c>
      <c r="AV181" s="404">
        <f t="shared" si="1382"/>
        <v>0</v>
      </c>
      <c r="AW181" s="414">
        <f t="shared" si="1383"/>
        <v>0</v>
      </c>
      <c r="AX181" s="414">
        <f t="shared" si="1384"/>
        <v>0</v>
      </c>
      <c r="AY181" s="406">
        <f t="shared" si="1385"/>
        <v>0</v>
      </c>
      <c r="AZ181" s="407">
        <f>IF(AZ$5=$H181,-$E181,0)</f>
        <v>0</v>
      </c>
      <c r="BA181" s="404">
        <f t="shared" si="1387"/>
        <v>0</v>
      </c>
      <c r="BB181" s="414">
        <f t="shared" si="1388"/>
        <v>0</v>
      </c>
      <c r="BC181" s="414">
        <f t="shared" si="1389"/>
        <v>0</v>
      </c>
      <c r="BD181" s="406">
        <f t="shared" si="1390"/>
        <v>0</v>
      </c>
      <c r="BE181" s="407">
        <f>IF(BE$5=$H181,-$E181,0)</f>
        <v>0</v>
      </c>
      <c r="BF181" s="404">
        <f t="shared" si="1392"/>
        <v>0</v>
      </c>
      <c r="BG181" s="414">
        <f t="shared" si="1393"/>
        <v>0</v>
      </c>
      <c r="BH181" s="414">
        <f t="shared" si="1394"/>
        <v>0</v>
      </c>
      <c r="BI181" s="406">
        <f t="shared" si="1395"/>
        <v>0</v>
      </c>
      <c r="BJ181" s="407">
        <f>IF(BJ$5=$H181,-$E181,0)</f>
        <v>0</v>
      </c>
      <c r="BK181" s="404">
        <f t="shared" si="1397"/>
        <v>0</v>
      </c>
      <c r="BL181" s="414">
        <f t="shared" si="1398"/>
        <v>0</v>
      </c>
      <c r="BM181" s="414">
        <f t="shared" si="1399"/>
        <v>0</v>
      </c>
      <c r="BN181" s="406">
        <f t="shared" si="1400"/>
        <v>0</v>
      </c>
      <c r="BO181" s="407">
        <f>IF(BO$5=$H181,-$E181,0)</f>
        <v>0</v>
      </c>
      <c r="BP181" s="449"/>
      <c r="BQ181" s="413">
        <f t="shared" si="1402"/>
        <v>0</v>
      </c>
      <c r="BR181" s="410">
        <f t="shared" si="1403"/>
        <v>0</v>
      </c>
      <c r="BS181" s="416">
        <f t="shared" si="1404"/>
        <v>0</v>
      </c>
      <c r="BT181" s="416">
        <f t="shared" si="1405"/>
        <v>0</v>
      </c>
      <c r="BU181" s="412">
        <f t="shared" si="1406"/>
        <v>0</v>
      </c>
      <c r="BV181" s="413">
        <f t="shared" si="1407"/>
        <v>0</v>
      </c>
      <c r="BW181" s="410">
        <f t="shared" si="1408"/>
        <v>0</v>
      </c>
      <c r="BX181" s="416">
        <f t="shared" si="1409"/>
        <v>0</v>
      </c>
      <c r="BY181" s="416">
        <f t="shared" si="1410"/>
        <v>0</v>
      </c>
      <c r="BZ181" s="412">
        <f t="shared" si="1411"/>
        <v>0</v>
      </c>
      <c r="CA181" s="413">
        <f t="shared" si="1412"/>
        <v>0</v>
      </c>
      <c r="CB181" s="410">
        <f t="shared" si="1413"/>
        <v>0</v>
      </c>
      <c r="CC181" s="416">
        <f t="shared" si="1414"/>
        <v>0</v>
      </c>
      <c r="CD181" s="416">
        <f t="shared" si="1415"/>
        <v>0</v>
      </c>
      <c r="CE181" s="412">
        <f t="shared" si="1416"/>
        <v>0</v>
      </c>
      <c r="CF181" s="413">
        <f t="shared" si="1417"/>
        <v>0</v>
      </c>
      <c r="CG181" s="410">
        <f t="shared" si="1418"/>
        <v>0</v>
      </c>
      <c r="CH181" s="416">
        <f t="shared" si="1419"/>
        <v>0</v>
      </c>
      <c r="CI181" s="416">
        <f t="shared" si="1420"/>
        <v>0</v>
      </c>
      <c r="CJ181" s="412">
        <f t="shared" si="1421"/>
        <v>0</v>
      </c>
      <c r="CK181" s="413">
        <f t="shared" si="1422"/>
        <v>0</v>
      </c>
      <c r="CL181" s="410">
        <f t="shared" si="1423"/>
        <v>0</v>
      </c>
      <c r="CM181" s="416">
        <f t="shared" si="1424"/>
        <v>0</v>
      </c>
      <c r="CN181" s="416">
        <f t="shared" si="1425"/>
        <v>0</v>
      </c>
      <c r="CO181" s="412">
        <f t="shared" si="1426"/>
        <v>0</v>
      </c>
      <c r="CP181" s="413">
        <f t="shared" si="1427"/>
        <v>0</v>
      </c>
      <c r="CQ181" s="410">
        <f t="shared" si="1428"/>
        <v>0</v>
      </c>
      <c r="CR181" s="416">
        <f t="shared" si="1429"/>
        <v>0</v>
      </c>
      <c r="CS181" s="416">
        <f t="shared" si="1430"/>
        <v>0</v>
      </c>
      <c r="CT181" s="412">
        <f t="shared" si="1431"/>
        <v>0</v>
      </c>
      <c r="CU181" s="413">
        <f t="shared" si="1432"/>
        <v>0</v>
      </c>
      <c r="CV181" s="410">
        <f t="shared" si="1433"/>
        <v>0</v>
      </c>
      <c r="CW181" s="416">
        <f t="shared" si="1434"/>
        <v>0</v>
      </c>
      <c r="CX181" s="416">
        <f t="shared" si="1435"/>
        <v>0</v>
      </c>
      <c r="CY181" s="412">
        <f t="shared" si="1436"/>
        <v>0</v>
      </c>
      <c r="CZ181" s="413">
        <f t="shared" si="1437"/>
        <v>0</v>
      </c>
      <c r="DA181" s="410">
        <f t="shared" si="1438"/>
        <v>0</v>
      </c>
      <c r="DB181" s="416">
        <f t="shared" si="1439"/>
        <v>0</v>
      </c>
      <c r="DC181" s="416">
        <f t="shared" si="1440"/>
        <v>0</v>
      </c>
      <c r="DD181" s="412">
        <f t="shared" si="1441"/>
        <v>0</v>
      </c>
      <c r="DE181" s="413">
        <f t="shared" si="1442"/>
        <v>0</v>
      </c>
      <c r="DF181" s="410">
        <f t="shared" si="1443"/>
        <v>0</v>
      </c>
      <c r="DG181" s="416">
        <f t="shared" si="1444"/>
        <v>0</v>
      </c>
      <c r="DH181" s="416">
        <f t="shared" si="1445"/>
        <v>0</v>
      </c>
      <c r="DI181" s="412">
        <f t="shared" si="1446"/>
        <v>0</v>
      </c>
      <c r="DJ181" s="413">
        <f t="shared" si="1447"/>
        <v>0</v>
      </c>
      <c r="DK181" s="410">
        <f t="shared" si="1448"/>
        <v>0</v>
      </c>
      <c r="DL181" s="416">
        <f t="shared" si="1449"/>
        <v>0</v>
      </c>
      <c r="DM181" s="416">
        <f t="shared" si="1450"/>
        <v>0</v>
      </c>
      <c r="DN181" s="412">
        <f t="shared" si="1451"/>
        <v>0</v>
      </c>
      <c r="DO181" s="413">
        <f t="shared" si="1452"/>
        <v>0</v>
      </c>
      <c r="DP181" s="410">
        <f t="shared" si="1453"/>
        <v>0</v>
      </c>
      <c r="DQ181" s="416">
        <f t="shared" si="1454"/>
        <v>0</v>
      </c>
      <c r="DR181" s="416">
        <f t="shared" si="1455"/>
        <v>0</v>
      </c>
      <c r="DS181" s="412">
        <f t="shared" si="1456"/>
        <v>0</v>
      </c>
      <c r="DT181" s="413">
        <f t="shared" si="1457"/>
        <v>0</v>
      </c>
    </row>
    <row r="182" spans="1:124" ht="12.75" customHeight="1">
      <c r="A182" s="491"/>
      <c r="C182" s="1885" t="s">
        <v>403</v>
      </c>
      <c r="D182" s="1885"/>
      <c r="E182" s="1886">
        <f t="shared" si="1345"/>
        <v>75</v>
      </c>
      <c r="F182" s="1532">
        <v>75</v>
      </c>
      <c r="G182" s="1532">
        <v>75</v>
      </c>
      <c r="H182" s="610">
        <v>2032</v>
      </c>
      <c r="I182" s="1533">
        <v>5.6250000000000001E-2</v>
      </c>
      <c r="J182" s="615">
        <v>12</v>
      </c>
      <c r="K182" s="402"/>
      <c r="L182" s="407">
        <f>IF(L$5=$H182,-$E182,0)</f>
        <v>0</v>
      </c>
      <c r="M182" s="404">
        <f t="shared" si="1347"/>
        <v>0</v>
      </c>
      <c r="N182" s="414">
        <f t="shared" si="1348"/>
        <v>0</v>
      </c>
      <c r="O182" s="414">
        <f t="shared" si="1349"/>
        <v>0</v>
      </c>
      <c r="P182" s="406">
        <f t="shared" si="1350"/>
        <v>0</v>
      </c>
      <c r="Q182" s="407">
        <f>IF(Q$5=$H182,-$E182,0)</f>
        <v>0</v>
      </c>
      <c r="R182" s="404">
        <f t="shared" si="1352"/>
        <v>0</v>
      </c>
      <c r="S182" s="414">
        <f t="shared" si="1353"/>
        <v>0</v>
      </c>
      <c r="T182" s="414">
        <f t="shared" si="1354"/>
        <v>0</v>
      </c>
      <c r="U182" s="406">
        <f t="shared" si="1355"/>
        <v>0</v>
      </c>
      <c r="V182" s="407">
        <f>IF(V$5=$H182,-$E182,0)</f>
        <v>0</v>
      </c>
      <c r="W182" s="404">
        <f t="shared" si="1357"/>
        <v>0</v>
      </c>
      <c r="X182" s="414">
        <f t="shared" si="1358"/>
        <v>0</v>
      </c>
      <c r="Y182" s="414">
        <f t="shared" si="1359"/>
        <v>0</v>
      </c>
      <c r="Z182" s="406">
        <f t="shared" si="1360"/>
        <v>0</v>
      </c>
      <c r="AA182" s="407">
        <f>IF(AA$5=$H182,-$E182,0)</f>
        <v>0</v>
      </c>
      <c r="AB182" s="404">
        <f t="shared" si="1362"/>
        <v>0</v>
      </c>
      <c r="AC182" s="414">
        <f t="shared" si="1363"/>
        <v>0</v>
      </c>
      <c r="AD182" s="414">
        <f t="shared" si="1364"/>
        <v>0</v>
      </c>
      <c r="AE182" s="406">
        <f t="shared" si="1365"/>
        <v>0</v>
      </c>
      <c r="AF182" s="407">
        <f>IF(AF$5=$H182,-$E182,0)</f>
        <v>0</v>
      </c>
      <c r="AG182" s="404">
        <f t="shared" si="1367"/>
        <v>0</v>
      </c>
      <c r="AH182" s="414">
        <f t="shared" si="1368"/>
        <v>0</v>
      </c>
      <c r="AI182" s="414">
        <f t="shared" si="1369"/>
        <v>0</v>
      </c>
      <c r="AJ182" s="406">
        <f t="shared" si="1370"/>
        <v>0</v>
      </c>
      <c r="AK182" s="407">
        <f>IF(AK$5=$H182,-$E182,0)</f>
        <v>0</v>
      </c>
      <c r="AL182" s="404">
        <f t="shared" si="1372"/>
        <v>0</v>
      </c>
      <c r="AM182" s="414">
        <f t="shared" si="1373"/>
        <v>0</v>
      </c>
      <c r="AN182" s="414">
        <f t="shared" si="1374"/>
        <v>0</v>
      </c>
      <c r="AO182" s="406">
        <f t="shared" si="1375"/>
        <v>0</v>
      </c>
      <c r="AP182" s="407">
        <f>IF(AP$5=$H182,-$E182,0)</f>
        <v>0</v>
      </c>
      <c r="AQ182" s="404">
        <f t="shared" si="1377"/>
        <v>0</v>
      </c>
      <c r="AR182" s="414">
        <f t="shared" si="1378"/>
        <v>0</v>
      </c>
      <c r="AS182" s="414">
        <f t="shared" si="1379"/>
        <v>0</v>
      </c>
      <c r="AT182" s="406">
        <f t="shared" si="1380"/>
        <v>0</v>
      </c>
      <c r="AU182" s="407">
        <f>IF(AU$5=$H182,-$E182,0)</f>
        <v>0</v>
      </c>
      <c r="AV182" s="404">
        <f t="shared" si="1382"/>
        <v>0</v>
      </c>
      <c r="AW182" s="414">
        <f t="shared" si="1383"/>
        <v>0</v>
      </c>
      <c r="AX182" s="414">
        <f t="shared" si="1384"/>
        <v>0</v>
      </c>
      <c r="AY182" s="406">
        <f t="shared" si="1385"/>
        <v>0</v>
      </c>
      <c r="AZ182" s="407">
        <f>IF(AZ$5=$H182,-$E182,0)</f>
        <v>0</v>
      </c>
      <c r="BA182" s="404">
        <f t="shared" si="1387"/>
        <v>0</v>
      </c>
      <c r="BB182" s="414">
        <f t="shared" si="1388"/>
        <v>0</v>
      </c>
      <c r="BC182" s="414">
        <f t="shared" si="1389"/>
        <v>0</v>
      </c>
      <c r="BD182" s="406">
        <f t="shared" si="1390"/>
        <v>0</v>
      </c>
      <c r="BE182" s="407">
        <f>IF(BE$5=$H182,-$E182,0)</f>
        <v>0</v>
      </c>
      <c r="BF182" s="404">
        <f t="shared" si="1392"/>
        <v>0</v>
      </c>
      <c r="BG182" s="414">
        <f t="shared" si="1393"/>
        <v>0</v>
      </c>
      <c r="BH182" s="414">
        <f t="shared" si="1394"/>
        <v>0</v>
      </c>
      <c r="BI182" s="406">
        <f t="shared" si="1395"/>
        <v>0</v>
      </c>
      <c r="BJ182" s="407">
        <f>IF(BJ$5=$H182,-$E182,0)</f>
        <v>0</v>
      </c>
      <c r="BK182" s="404">
        <f t="shared" si="1397"/>
        <v>0</v>
      </c>
      <c r="BL182" s="414">
        <f t="shared" si="1398"/>
        <v>0</v>
      </c>
      <c r="BM182" s="414">
        <f t="shared" si="1399"/>
        <v>0</v>
      </c>
      <c r="BN182" s="406">
        <f t="shared" si="1400"/>
        <v>0</v>
      </c>
      <c r="BO182" s="407">
        <f>IF(BO$5=$H182,-$E182,0)</f>
        <v>0</v>
      </c>
      <c r="BP182" s="449"/>
      <c r="BQ182" s="413">
        <f t="shared" si="1402"/>
        <v>0</v>
      </c>
      <c r="BR182" s="410">
        <f t="shared" si="1403"/>
        <v>0</v>
      </c>
      <c r="BS182" s="416">
        <f t="shared" si="1404"/>
        <v>0</v>
      </c>
      <c r="BT182" s="416">
        <f t="shared" si="1405"/>
        <v>0</v>
      </c>
      <c r="BU182" s="412">
        <f t="shared" si="1406"/>
        <v>0</v>
      </c>
      <c r="BV182" s="413">
        <f t="shared" si="1407"/>
        <v>0</v>
      </c>
      <c r="BW182" s="410">
        <f t="shared" si="1408"/>
        <v>0</v>
      </c>
      <c r="BX182" s="416">
        <f t="shared" si="1409"/>
        <v>0</v>
      </c>
      <c r="BY182" s="416">
        <f t="shared" si="1410"/>
        <v>0</v>
      </c>
      <c r="BZ182" s="412">
        <f t="shared" si="1411"/>
        <v>0</v>
      </c>
      <c r="CA182" s="413">
        <f t="shared" si="1412"/>
        <v>0</v>
      </c>
      <c r="CB182" s="410">
        <f t="shared" si="1413"/>
        <v>0</v>
      </c>
      <c r="CC182" s="416">
        <f t="shared" si="1414"/>
        <v>0</v>
      </c>
      <c r="CD182" s="416">
        <f t="shared" si="1415"/>
        <v>0</v>
      </c>
      <c r="CE182" s="412">
        <f t="shared" si="1416"/>
        <v>0</v>
      </c>
      <c r="CF182" s="413">
        <f t="shared" si="1417"/>
        <v>0</v>
      </c>
      <c r="CG182" s="410">
        <f t="shared" si="1418"/>
        <v>0</v>
      </c>
      <c r="CH182" s="416">
        <f t="shared" si="1419"/>
        <v>0</v>
      </c>
      <c r="CI182" s="416">
        <f t="shared" si="1420"/>
        <v>0</v>
      </c>
      <c r="CJ182" s="412">
        <f t="shared" si="1421"/>
        <v>0</v>
      </c>
      <c r="CK182" s="413">
        <f t="shared" si="1422"/>
        <v>0</v>
      </c>
      <c r="CL182" s="410">
        <f t="shared" si="1423"/>
        <v>0</v>
      </c>
      <c r="CM182" s="416">
        <f t="shared" si="1424"/>
        <v>0</v>
      </c>
      <c r="CN182" s="416">
        <f t="shared" si="1425"/>
        <v>0</v>
      </c>
      <c r="CO182" s="412">
        <f t="shared" si="1426"/>
        <v>0</v>
      </c>
      <c r="CP182" s="413">
        <f t="shared" si="1427"/>
        <v>0</v>
      </c>
      <c r="CQ182" s="410">
        <f t="shared" si="1428"/>
        <v>0</v>
      </c>
      <c r="CR182" s="416">
        <f t="shared" si="1429"/>
        <v>0</v>
      </c>
      <c r="CS182" s="416">
        <f t="shared" si="1430"/>
        <v>0</v>
      </c>
      <c r="CT182" s="412">
        <f t="shared" si="1431"/>
        <v>0</v>
      </c>
      <c r="CU182" s="413">
        <f t="shared" si="1432"/>
        <v>0</v>
      </c>
      <c r="CV182" s="410">
        <f t="shared" si="1433"/>
        <v>0</v>
      </c>
      <c r="CW182" s="416">
        <f t="shared" si="1434"/>
        <v>0</v>
      </c>
      <c r="CX182" s="416">
        <f t="shared" si="1435"/>
        <v>0</v>
      </c>
      <c r="CY182" s="412">
        <f t="shared" si="1436"/>
        <v>0</v>
      </c>
      <c r="CZ182" s="413">
        <f t="shared" si="1437"/>
        <v>0</v>
      </c>
      <c r="DA182" s="410">
        <f t="shared" si="1438"/>
        <v>0</v>
      </c>
      <c r="DB182" s="416">
        <f t="shared" si="1439"/>
        <v>0</v>
      </c>
      <c r="DC182" s="416">
        <f t="shared" si="1440"/>
        <v>0</v>
      </c>
      <c r="DD182" s="412">
        <f t="shared" si="1441"/>
        <v>0</v>
      </c>
      <c r="DE182" s="413">
        <f t="shared" si="1442"/>
        <v>0</v>
      </c>
      <c r="DF182" s="410">
        <f t="shared" si="1443"/>
        <v>0</v>
      </c>
      <c r="DG182" s="416">
        <f t="shared" si="1444"/>
        <v>0</v>
      </c>
      <c r="DH182" s="416">
        <f t="shared" si="1445"/>
        <v>0</v>
      </c>
      <c r="DI182" s="412">
        <f t="shared" si="1446"/>
        <v>0</v>
      </c>
      <c r="DJ182" s="413">
        <f t="shared" si="1447"/>
        <v>0</v>
      </c>
      <c r="DK182" s="410">
        <f t="shared" si="1448"/>
        <v>0</v>
      </c>
      <c r="DL182" s="416">
        <f t="shared" si="1449"/>
        <v>0</v>
      </c>
      <c r="DM182" s="416">
        <f t="shared" si="1450"/>
        <v>0</v>
      </c>
      <c r="DN182" s="412">
        <f t="shared" si="1451"/>
        <v>0</v>
      </c>
      <c r="DO182" s="413">
        <f t="shared" si="1452"/>
        <v>0</v>
      </c>
      <c r="DP182" s="410">
        <f t="shared" si="1453"/>
        <v>0</v>
      </c>
      <c r="DQ182" s="416">
        <f t="shared" si="1454"/>
        <v>0</v>
      </c>
      <c r="DR182" s="416">
        <f t="shared" si="1455"/>
        <v>0</v>
      </c>
      <c r="DS182" s="412">
        <f t="shared" si="1456"/>
        <v>0</v>
      </c>
      <c r="DT182" s="413">
        <f t="shared" si="1457"/>
        <v>0</v>
      </c>
    </row>
    <row r="183" spans="1:124" ht="12.75" customHeight="1">
      <c r="A183" s="491"/>
      <c r="C183" s="1885" t="s">
        <v>409</v>
      </c>
      <c r="D183" s="1885"/>
      <c r="E183" s="1886">
        <f>IF(F183=0,G183,F183)</f>
        <v>120</v>
      </c>
      <c r="F183" s="1532">
        <f>120-F186</f>
        <v>120</v>
      </c>
      <c r="G183" s="1532">
        <f>120-G186</f>
        <v>55</v>
      </c>
      <c r="H183" s="610">
        <v>2026</v>
      </c>
      <c r="I183" s="1533">
        <v>4.1799999999999997E-2</v>
      </c>
      <c r="J183" s="615">
        <v>6</v>
      </c>
      <c r="K183" s="402"/>
      <c r="L183" s="407">
        <f>IF(L$5=$H183,-$E183,0)</f>
        <v>0</v>
      </c>
      <c r="M183" s="404">
        <f t="shared" si="1347"/>
        <v>0</v>
      </c>
      <c r="N183" s="414">
        <f t="shared" si="1348"/>
        <v>0</v>
      </c>
      <c r="O183" s="414">
        <f t="shared" si="1349"/>
        <v>0</v>
      </c>
      <c r="P183" s="406">
        <f t="shared" si="1350"/>
        <v>0</v>
      </c>
      <c r="Q183" s="407">
        <f>IF(Q$5=$H183,-$E183,0)</f>
        <v>0</v>
      </c>
      <c r="R183" s="404">
        <f t="shared" si="1352"/>
        <v>0</v>
      </c>
      <c r="S183" s="414">
        <f t="shared" si="1353"/>
        <v>0</v>
      </c>
      <c r="T183" s="414">
        <f t="shared" si="1354"/>
        <v>0</v>
      </c>
      <c r="U183" s="406">
        <f t="shared" si="1355"/>
        <v>0</v>
      </c>
      <c r="V183" s="407">
        <f>IF(V$5=$H183,-$E183,0)</f>
        <v>0</v>
      </c>
      <c r="W183" s="404">
        <f t="shared" si="1357"/>
        <v>0</v>
      </c>
      <c r="X183" s="414">
        <f t="shared" si="1358"/>
        <v>0</v>
      </c>
      <c r="Y183" s="414">
        <f t="shared" si="1359"/>
        <v>0</v>
      </c>
      <c r="Z183" s="406">
        <f t="shared" si="1360"/>
        <v>0</v>
      </c>
      <c r="AA183" s="407">
        <f>IF(AA$5=$H183,-$E183,0)</f>
        <v>0</v>
      </c>
      <c r="AB183" s="404">
        <f t="shared" si="1362"/>
        <v>0</v>
      </c>
      <c r="AC183" s="414">
        <f t="shared" si="1363"/>
        <v>0</v>
      </c>
      <c r="AD183" s="414">
        <f t="shared" si="1364"/>
        <v>0</v>
      </c>
      <c r="AE183" s="406">
        <f t="shared" si="1365"/>
        <v>0</v>
      </c>
      <c r="AF183" s="407">
        <f>IF(AF$5=$H183,-$E183,0)</f>
        <v>0</v>
      </c>
      <c r="AG183" s="404">
        <f t="shared" si="1367"/>
        <v>0</v>
      </c>
      <c r="AH183" s="414">
        <f t="shared" si="1368"/>
        <v>0</v>
      </c>
      <c r="AI183" s="414">
        <f t="shared" si="1369"/>
        <v>0</v>
      </c>
      <c r="AJ183" s="406">
        <f t="shared" si="1370"/>
        <v>0</v>
      </c>
      <c r="AK183" s="407">
        <f>IF(AK$5=$H183,-$E183,0)</f>
        <v>0</v>
      </c>
      <c r="AL183" s="404">
        <f t="shared" si="1372"/>
        <v>0</v>
      </c>
      <c r="AM183" s="414">
        <f t="shared" si="1373"/>
        <v>0</v>
      </c>
      <c r="AN183" s="414">
        <f t="shared" si="1374"/>
        <v>0</v>
      </c>
      <c r="AO183" s="406">
        <f t="shared" si="1375"/>
        <v>0</v>
      </c>
      <c r="AP183" s="407">
        <f>IF(AP$5=$H183,-$E183,0)</f>
        <v>0</v>
      </c>
      <c r="AQ183" s="404">
        <f t="shared" si="1377"/>
        <v>0</v>
      </c>
      <c r="AR183" s="414">
        <f t="shared" si="1378"/>
        <v>0</v>
      </c>
      <c r="AS183" s="414">
        <f t="shared" si="1379"/>
        <v>0</v>
      </c>
      <c r="AT183" s="406">
        <f t="shared" si="1380"/>
        <v>0</v>
      </c>
      <c r="AU183" s="407">
        <f>IF(AU$5=$H183,-$E183,0)</f>
        <v>0</v>
      </c>
      <c r="AV183" s="404">
        <f t="shared" si="1382"/>
        <v>0</v>
      </c>
      <c r="AW183" s="414">
        <f t="shared" si="1383"/>
        <v>0</v>
      </c>
      <c r="AX183" s="414">
        <f t="shared" si="1384"/>
        <v>0</v>
      </c>
      <c r="AY183" s="406">
        <f t="shared" si="1385"/>
        <v>0</v>
      </c>
      <c r="AZ183" s="407">
        <f>IF(AZ$5=$H183,-$E183,0)</f>
        <v>0</v>
      </c>
      <c r="BA183" s="404">
        <f t="shared" si="1387"/>
        <v>0</v>
      </c>
      <c r="BB183" s="414">
        <f t="shared" si="1388"/>
        <v>0</v>
      </c>
      <c r="BC183" s="414">
        <f t="shared" si="1389"/>
        <v>0</v>
      </c>
      <c r="BD183" s="406">
        <f t="shared" si="1390"/>
        <v>0</v>
      </c>
      <c r="BE183" s="407">
        <f>IF(BE$5=$H183,-$E183,0)</f>
        <v>0</v>
      </c>
      <c r="BF183" s="404">
        <f t="shared" si="1392"/>
        <v>0</v>
      </c>
      <c r="BG183" s="414">
        <f t="shared" si="1393"/>
        <v>0</v>
      </c>
      <c r="BH183" s="414">
        <f t="shared" si="1394"/>
        <v>0</v>
      </c>
      <c r="BI183" s="406">
        <f t="shared" si="1395"/>
        <v>0</v>
      </c>
      <c r="BJ183" s="407">
        <f>IF(BJ$5=$H183,-$E183,0)</f>
        <v>0</v>
      </c>
      <c r="BK183" s="404">
        <f t="shared" si="1397"/>
        <v>0</v>
      </c>
      <c r="BL183" s="414">
        <f t="shared" si="1398"/>
        <v>0</v>
      </c>
      <c r="BM183" s="414">
        <f t="shared" si="1399"/>
        <v>0</v>
      </c>
      <c r="BN183" s="406">
        <f t="shared" si="1400"/>
        <v>0</v>
      </c>
      <c r="BO183" s="407">
        <f>IF(BO$5=$H183,-$E183,0)</f>
        <v>0</v>
      </c>
      <c r="BP183" s="449"/>
      <c r="BQ183" s="413">
        <f t="shared" si="1402"/>
        <v>0</v>
      </c>
      <c r="BR183" s="410">
        <f t="shared" si="1403"/>
        <v>0</v>
      </c>
      <c r="BS183" s="416">
        <f t="shared" si="1404"/>
        <v>0</v>
      </c>
      <c r="BT183" s="416">
        <f t="shared" si="1405"/>
        <v>0</v>
      </c>
      <c r="BU183" s="412">
        <f t="shared" si="1406"/>
        <v>0</v>
      </c>
      <c r="BV183" s="413">
        <f t="shared" si="1407"/>
        <v>0</v>
      </c>
      <c r="BW183" s="410">
        <f t="shared" si="1408"/>
        <v>0</v>
      </c>
      <c r="BX183" s="416">
        <f t="shared" si="1409"/>
        <v>0</v>
      </c>
      <c r="BY183" s="416">
        <f t="shared" si="1410"/>
        <v>0</v>
      </c>
      <c r="BZ183" s="412">
        <f t="shared" si="1411"/>
        <v>0</v>
      </c>
      <c r="CA183" s="413">
        <f t="shared" si="1412"/>
        <v>0</v>
      </c>
      <c r="CB183" s="410">
        <f t="shared" si="1413"/>
        <v>0</v>
      </c>
      <c r="CC183" s="416">
        <f t="shared" si="1414"/>
        <v>0</v>
      </c>
      <c r="CD183" s="416">
        <f t="shared" si="1415"/>
        <v>0</v>
      </c>
      <c r="CE183" s="412">
        <f t="shared" si="1416"/>
        <v>0</v>
      </c>
      <c r="CF183" s="413">
        <f t="shared" si="1417"/>
        <v>0</v>
      </c>
      <c r="CG183" s="410">
        <f t="shared" si="1418"/>
        <v>0</v>
      </c>
      <c r="CH183" s="416">
        <f t="shared" si="1419"/>
        <v>0</v>
      </c>
      <c r="CI183" s="416">
        <f t="shared" si="1420"/>
        <v>0</v>
      </c>
      <c r="CJ183" s="412">
        <f t="shared" si="1421"/>
        <v>0</v>
      </c>
      <c r="CK183" s="413">
        <f t="shared" si="1422"/>
        <v>0</v>
      </c>
      <c r="CL183" s="410">
        <f t="shared" si="1423"/>
        <v>0</v>
      </c>
      <c r="CM183" s="416">
        <f t="shared" si="1424"/>
        <v>0</v>
      </c>
      <c r="CN183" s="416">
        <f t="shared" si="1425"/>
        <v>0</v>
      </c>
      <c r="CO183" s="412">
        <f t="shared" si="1426"/>
        <v>0</v>
      </c>
      <c r="CP183" s="413">
        <f t="shared" si="1427"/>
        <v>0</v>
      </c>
      <c r="CQ183" s="410">
        <f t="shared" si="1428"/>
        <v>0</v>
      </c>
      <c r="CR183" s="416">
        <f t="shared" si="1429"/>
        <v>0</v>
      </c>
      <c r="CS183" s="416">
        <f t="shared" si="1430"/>
        <v>0</v>
      </c>
      <c r="CT183" s="412">
        <f t="shared" si="1431"/>
        <v>0</v>
      </c>
      <c r="CU183" s="413">
        <f t="shared" si="1432"/>
        <v>0</v>
      </c>
      <c r="CV183" s="410">
        <f t="shared" si="1433"/>
        <v>0</v>
      </c>
      <c r="CW183" s="416">
        <f t="shared" si="1434"/>
        <v>0</v>
      </c>
      <c r="CX183" s="416">
        <f t="shared" si="1435"/>
        <v>0</v>
      </c>
      <c r="CY183" s="412">
        <f t="shared" si="1436"/>
        <v>0</v>
      </c>
      <c r="CZ183" s="413">
        <f t="shared" si="1437"/>
        <v>0</v>
      </c>
      <c r="DA183" s="410">
        <f t="shared" si="1438"/>
        <v>0</v>
      </c>
      <c r="DB183" s="416">
        <f t="shared" si="1439"/>
        <v>0</v>
      </c>
      <c r="DC183" s="416">
        <f t="shared" si="1440"/>
        <v>0</v>
      </c>
      <c r="DD183" s="412">
        <f t="shared" si="1441"/>
        <v>0</v>
      </c>
      <c r="DE183" s="413">
        <f t="shared" si="1442"/>
        <v>0</v>
      </c>
      <c r="DF183" s="410">
        <f t="shared" si="1443"/>
        <v>0</v>
      </c>
      <c r="DG183" s="416">
        <f t="shared" si="1444"/>
        <v>0</v>
      </c>
      <c r="DH183" s="416">
        <f t="shared" si="1445"/>
        <v>0</v>
      </c>
      <c r="DI183" s="412">
        <f t="shared" si="1446"/>
        <v>0</v>
      </c>
      <c r="DJ183" s="413">
        <f t="shared" si="1447"/>
        <v>0</v>
      </c>
      <c r="DK183" s="410">
        <f t="shared" si="1448"/>
        <v>0</v>
      </c>
      <c r="DL183" s="416">
        <f t="shared" si="1449"/>
        <v>0</v>
      </c>
      <c r="DM183" s="416">
        <f t="shared" si="1450"/>
        <v>0</v>
      </c>
      <c r="DN183" s="412">
        <f t="shared" si="1451"/>
        <v>0</v>
      </c>
      <c r="DO183" s="413">
        <f t="shared" si="1452"/>
        <v>0</v>
      </c>
      <c r="DP183" s="410">
        <f t="shared" si="1453"/>
        <v>0</v>
      </c>
      <c r="DQ183" s="416">
        <f t="shared" si="1454"/>
        <v>0</v>
      </c>
      <c r="DR183" s="416">
        <f t="shared" si="1455"/>
        <v>0</v>
      </c>
      <c r="DS183" s="412">
        <f t="shared" si="1456"/>
        <v>0</v>
      </c>
      <c r="DT183" s="413">
        <f t="shared" si="1457"/>
        <v>0</v>
      </c>
    </row>
    <row r="184" spans="1:124" ht="12.75" customHeight="1">
      <c r="A184" s="491"/>
      <c r="C184" s="1885" t="s">
        <v>1297</v>
      </c>
      <c r="D184" s="1885"/>
      <c r="E184" s="1886">
        <f>IF(F184=0,G184,F184)</f>
        <v>80</v>
      </c>
      <c r="F184" s="1532">
        <v>80</v>
      </c>
      <c r="G184" s="1532">
        <v>80</v>
      </c>
      <c r="H184" s="610">
        <v>2026</v>
      </c>
      <c r="I184" s="1533">
        <v>4.3299999999999998E-2</v>
      </c>
      <c r="J184" s="615">
        <v>12</v>
      </c>
      <c r="K184" s="402"/>
      <c r="L184" s="407">
        <f t="shared" si="1346"/>
        <v>0</v>
      </c>
      <c r="M184" s="404">
        <f t="shared" si="1347"/>
        <v>0</v>
      </c>
      <c r="N184" s="414">
        <f t="shared" si="1348"/>
        <v>0</v>
      </c>
      <c r="O184" s="414">
        <f t="shared" si="1349"/>
        <v>0</v>
      </c>
      <c r="P184" s="406">
        <f t="shared" si="1350"/>
        <v>0</v>
      </c>
      <c r="Q184" s="407">
        <f t="shared" si="1351"/>
        <v>0</v>
      </c>
      <c r="R184" s="404">
        <f t="shared" si="1352"/>
        <v>0</v>
      </c>
      <c r="S184" s="414">
        <f t="shared" si="1353"/>
        <v>0</v>
      </c>
      <c r="T184" s="414">
        <f t="shared" si="1354"/>
        <v>0</v>
      </c>
      <c r="U184" s="406">
        <f t="shared" si="1355"/>
        <v>0</v>
      </c>
      <c r="V184" s="407">
        <f t="shared" si="1356"/>
        <v>0</v>
      </c>
      <c r="W184" s="404">
        <f t="shared" si="1357"/>
        <v>0</v>
      </c>
      <c r="X184" s="414">
        <f t="shared" si="1358"/>
        <v>0</v>
      </c>
      <c r="Y184" s="414">
        <f t="shared" si="1359"/>
        <v>0</v>
      </c>
      <c r="Z184" s="406">
        <f t="shared" si="1360"/>
        <v>0</v>
      </c>
      <c r="AA184" s="407">
        <f t="shared" si="1361"/>
        <v>0</v>
      </c>
      <c r="AB184" s="404">
        <f t="shared" si="1362"/>
        <v>0</v>
      </c>
      <c r="AC184" s="414">
        <f t="shared" si="1363"/>
        <v>0</v>
      </c>
      <c r="AD184" s="414">
        <f t="shared" si="1364"/>
        <v>0</v>
      </c>
      <c r="AE184" s="406">
        <f t="shared" si="1365"/>
        <v>0</v>
      </c>
      <c r="AF184" s="407">
        <f t="shared" si="1366"/>
        <v>0</v>
      </c>
      <c r="AG184" s="404">
        <f t="shared" si="1367"/>
        <v>0</v>
      </c>
      <c r="AH184" s="414">
        <f t="shared" si="1368"/>
        <v>0</v>
      </c>
      <c r="AI184" s="414">
        <f t="shared" si="1369"/>
        <v>0</v>
      </c>
      <c r="AJ184" s="406">
        <f t="shared" si="1370"/>
        <v>0</v>
      </c>
      <c r="AK184" s="407">
        <f t="shared" si="1371"/>
        <v>0</v>
      </c>
      <c r="AL184" s="404">
        <f t="shared" si="1372"/>
        <v>0</v>
      </c>
      <c r="AM184" s="414">
        <f t="shared" si="1373"/>
        <v>0</v>
      </c>
      <c r="AN184" s="414">
        <f t="shared" si="1374"/>
        <v>0</v>
      </c>
      <c r="AO184" s="406">
        <f t="shared" si="1375"/>
        <v>0</v>
      </c>
      <c r="AP184" s="407">
        <f t="shared" si="1376"/>
        <v>0</v>
      </c>
      <c r="AQ184" s="404">
        <f t="shared" si="1377"/>
        <v>0</v>
      </c>
      <c r="AR184" s="414">
        <f t="shared" si="1378"/>
        <v>0</v>
      </c>
      <c r="AS184" s="414">
        <f t="shared" si="1379"/>
        <v>0</v>
      </c>
      <c r="AT184" s="406">
        <f t="shared" si="1380"/>
        <v>0</v>
      </c>
      <c r="AU184" s="407">
        <f t="shared" si="1381"/>
        <v>0</v>
      </c>
      <c r="AV184" s="404">
        <f t="shared" si="1382"/>
        <v>0</v>
      </c>
      <c r="AW184" s="414">
        <f t="shared" si="1383"/>
        <v>0</v>
      </c>
      <c r="AX184" s="414">
        <f t="shared" si="1384"/>
        <v>0</v>
      </c>
      <c r="AY184" s="406">
        <f t="shared" si="1385"/>
        <v>0</v>
      </c>
      <c r="AZ184" s="407">
        <f t="shared" si="1386"/>
        <v>0</v>
      </c>
      <c r="BA184" s="404">
        <f t="shared" si="1387"/>
        <v>0</v>
      </c>
      <c r="BB184" s="414">
        <f t="shared" si="1388"/>
        <v>0</v>
      </c>
      <c r="BC184" s="414">
        <f t="shared" si="1389"/>
        <v>0</v>
      </c>
      <c r="BD184" s="406">
        <f t="shared" si="1390"/>
        <v>0</v>
      </c>
      <c r="BE184" s="407">
        <f t="shared" si="1391"/>
        <v>0</v>
      </c>
      <c r="BF184" s="404">
        <f t="shared" si="1392"/>
        <v>0</v>
      </c>
      <c r="BG184" s="414">
        <f t="shared" si="1393"/>
        <v>0</v>
      </c>
      <c r="BH184" s="414">
        <f t="shared" si="1394"/>
        <v>0</v>
      </c>
      <c r="BI184" s="406">
        <f t="shared" si="1395"/>
        <v>0</v>
      </c>
      <c r="BJ184" s="407">
        <f t="shared" si="1396"/>
        <v>0</v>
      </c>
      <c r="BK184" s="404">
        <f t="shared" si="1397"/>
        <v>0</v>
      </c>
      <c r="BL184" s="414">
        <f t="shared" si="1398"/>
        <v>0</v>
      </c>
      <c r="BM184" s="414">
        <f t="shared" si="1399"/>
        <v>0</v>
      </c>
      <c r="BN184" s="406">
        <f t="shared" si="1400"/>
        <v>0</v>
      </c>
      <c r="BO184" s="407">
        <f t="shared" si="1401"/>
        <v>0</v>
      </c>
      <c r="BP184" s="449"/>
      <c r="BQ184" s="413">
        <f t="shared" si="1402"/>
        <v>0</v>
      </c>
      <c r="BR184" s="410">
        <f t="shared" si="1403"/>
        <v>0</v>
      </c>
      <c r="BS184" s="416">
        <f t="shared" si="1404"/>
        <v>0</v>
      </c>
      <c r="BT184" s="416">
        <f t="shared" si="1405"/>
        <v>0</v>
      </c>
      <c r="BU184" s="412">
        <f t="shared" si="1406"/>
        <v>0</v>
      </c>
      <c r="BV184" s="413">
        <f t="shared" si="1407"/>
        <v>0</v>
      </c>
      <c r="BW184" s="410">
        <f t="shared" si="1408"/>
        <v>0</v>
      </c>
      <c r="BX184" s="416">
        <f t="shared" si="1409"/>
        <v>0</v>
      </c>
      <c r="BY184" s="416">
        <f t="shared" si="1410"/>
        <v>0</v>
      </c>
      <c r="BZ184" s="412">
        <f t="shared" si="1411"/>
        <v>0</v>
      </c>
      <c r="CA184" s="413">
        <f t="shared" si="1412"/>
        <v>0</v>
      </c>
      <c r="CB184" s="410">
        <f t="shared" si="1413"/>
        <v>0</v>
      </c>
      <c r="CC184" s="416">
        <f t="shared" si="1414"/>
        <v>0</v>
      </c>
      <c r="CD184" s="416">
        <f t="shared" si="1415"/>
        <v>0</v>
      </c>
      <c r="CE184" s="412">
        <f t="shared" si="1416"/>
        <v>0</v>
      </c>
      <c r="CF184" s="413">
        <f t="shared" si="1417"/>
        <v>0</v>
      </c>
      <c r="CG184" s="410">
        <f t="shared" si="1418"/>
        <v>0</v>
      </c>
      <c r="CH184" s="416">
        <f t="shared" si="1419"/>
        <v>0</v>
      </c>
      <c r="CI184" s="416">
        <f t="shared" si="1420"/>
        <v>0</v>
      </c>
      <c r="CJ184" s="412">
        <f t="shared" si="1421"/>
        <v>0</v>
      </c>
      <c r="CK184" s="413">
        <f t="shared" si="1422"/>
        <v>0</v>
      </c>
      <c r="CL184" s="410">
        <f t="shared" si="1423"/>
        <v>0</v>
      </c>
      <c r="CM184" s="416">
        <f t="shared" si="1424"/>
        <v>0</v>
      </c>
      <c r="CN184" s="416">
        <f t="shared" si="1425"/>
        <v>0</v>
      </c>
      <c r="CO184" s="412">
        <f t="shared" si="1426"/>
        <v>0</v>
      </c>
      <c r="CP184" s="413">
        <f t="shared" si="1427"/>
        <v>0</v>
      </c>
      <c r="CQ184" s="410">
        <f t="shared" si="1428"/>
        <v>0</v>
      </c>
      <c r="CR184" s="416">
        <f t="shared" si="1429"/>
        <v>0</v>
      </c>
      <c r="CS184" s="416">
        <f t="shared" si="1430"/>
        <v>0</v>
      </c>
      <c r="CT184" s="412">
        <f t="shared" si="1431"/>
        <v>0</v>
      </c>
      <c r="CU184" s="413">
        <f t="shared" si="1432"/>
        <v>0</v>
      </c>
      <c r="CV184" s="410">
        <f t="shared" si="1433"/>
        <v>0</v>
      </c>
      <c r="CW184" s="416">
        <f t="shared" si="1434"/>
        <v>0</v>
      </c>
      <c r="CX184" s="416">
        <f t="shared" si="1435"/>
        <v>0</v>
      </c>
      <c r="CY184" s="412">
        <f t="shared" si="1436"/>
        <v>0</v>
      </c>
      <c r="CZ184" s="413">
        <f t="shared" si="1437"/>
        <v>0</v>
      </c>
      <c r="DA184" s="410">
        <f t="shared" si="1438"/>
        <v>0</v>
      </c>
      <c r="DB184" s="416">
        <f t="shared" si="1439"/>
        <v>0</v>
      </c>
      <c r="DC184" s="416">
        <f t="shared" si="1440"/>
        <v>0</v>
      </c>
      <c r="DD184" s="412">
        <f t="shared" si="1441"/>
        <v>0</v>
      </c>
      <c r="DE184" s="413">
        <f t="shared" si="1442"/>
        <v>0</v>
      </c>
      <c r="DF184" s="410">
        <f t="shared" si="1443"/>
        <v>0</v>
      </c>
      <c r="DG184" s="416">
        <f t="shared" si="1444"/>
        <v>0</v>
      </c>
      <c r="DH184" s="416">
        <f t="shared" si="1445"/>
        <v>0</v>
      </c>
      <c r="DI184" s="412">
        <f t="shared" si="1446"/>
        <v>0</v>
      </c>
      <c r="DJ184" s="413">
        <f t="shared" si="1447"/>
        <v>0</v>
      </c>
      <c r="DK184" s="410">
        <f t="shared" si="1448"/>
        <v>0</v>
      </c>
      <c r="DL184" s="416">
        <f t="shared" si="1449"/>
        <v>0</v>
      </c>
      <c r="DM184" s="416">
        <f t="shared" si="1450"/>
        <v>0</v>
      </c>
      <c r="DN184" s="412">
        <f t="shared" si="1451"/>
        <v>0</v>
      </c>
      <c r="DO184" s="413">
        <f t="shared" si="1452"/>
        <v>0</v>
      </c>
      <c r="DP184" s="410">
        <f t="shared" si="1453"/>
        <v>0</v>
      </c>
      <c r="DQ184" s="416">
        <f t="shared" si="1454"/>
        <v>0</v>
      </c>
      <c r="DR184" s="416">
        <f t="shared" si="1455"/>
        <v>0</v>
      </c>
      <c r="DS184" s="412">
        <f t="shared" si="1456"/>
        <v>0</v>
      </c>
      <c r="DT184" s="413">
        <f t="shared" si="1457"/>
        <v>0</v>
      </c>
    </row>
    <row r="185" spans="1:124" ht="12.75" customHeight="1">
      <c r="A185" s="491"/>
      <c r="C185" s="1885" t="s">
        <v>400</v>
      </c>
      <c r="D185" s="1885"/>
      <c r="E185" s="1886">
        <f t="shared" si="1345"/>
        <v>325</v>
      </c>
      <c r="F185" s="1532">
        <v>0</v>
      </c>
      <c r="G185" s="1532">
        <v>325</v>
      </c>
      <c r="H185" s="610">
        <v>2017</v>
      </c>
      <c r="I185" s="1533">
        <v>0.06</v>
      </c>
      <c r="J185" s="615">
        <v>9</v>
      </c>
      <c r="K185" s="402"/>
      <c r="L185" s="407">
        <f t="shared" si="1346"/>
        <v>0</v>
      </c>
      <c r="M185" s="404">
        <f t="shared" si="1347"/>
        <v>0</v>
      </c>
      <c r="N185" s="414">
        <f t="shared" si="1348"/>
        <v>0</v>
      </c>
      <c r="O185" s="414">
        <f t="shared" si="1349"/>
        <v>0</v>
      </c>
      <c r="P185" s="406">
        <f t="shared" si="1350"/>
        <v>0</v>
      </c>
      <c r="Q185" s="407">
        <f t="shared" si="1351"/>
        <v>0</v>
      </c>
      <c r="R185" s="404">
        <f t="shared" si="1352"/>
        <v>0</v>
      </c>
      <c r="S185" s="414">
        <f t="shared" si="1353"/>
        <v>0</v>
      </c>
      <c r="T185" s="414">
        <f t="shared" si="1354"/>
        <v>0</v>
      </c>
      <c r="U185" s="406">
        <f t="shared" si="1355"/>
        <v>0</v>
      </c>
      <c r="V185" s="407">
        <f t="shared" si="1356"/>
        <v>0</v>
      </c>
      <c r="W185" s="404">
        <f t="shared" si="1357"/>
        <v>0</v>
      </c>
      <c r="X185" s="414">
        <f t="shared" si="1358"/>
        <v>0</v>
      </c>
      <c r="Y185" s="414">
        <f t="shared" si="1359"/>
        <v>0</v>
      </c>
      <c r="Z185" s="406">
        <f t="shared" si="1360"/>
        <v>0</v>
      </c>
      <c r="AA185" s="407">
        <f t="shared" si="1361"/>
        <v>0</v>
      </c>
      <c r="AB185" s="404">
        <f t="shared" si="1362"/>
        <v>0</v>
      </c>
      <c r="AC185" s="414">
        <f t="shared" si="1363"/>
        <v>0</v>
      </c>
      <c r="AD185" s="414">
        <f t="shared" si="1364"/>
        <v>0</v>
      </c>
      <c r="AE185" s="406">
        <f t="shared" si="1365"/>
        <v>0</v>
      </c>
      <c r="AF185" s="407">
        <f t="shared" si="1366"/>
        <v>0</v>
      </c>
      <c r="AG185" s="404">
        <f t="shared" si="1367"/>
        <v>0</v>
      </c>
      <c r="AH185" s="414">
        <f t="shared" si="1368"/>
        <v>0</v>
      </c>
      <c r="AI185" s="414">
        <f t="shared" si="1369"/>
        <v>0</v>
      </c>
      <c r="AJ185" s="406">
        <f t="shared" si="1370"/>
        <v>0</v>
      </c>
      <c r="AK185" s="407">
        <f t="shared" si="1371"/>
        <v>0</v>
      </c>
      <c r="AL185" s="404">
        <f t="shared" si="1372"/>
        <v>0</v>
      </c>
      <c r="AM185" s="414">
        <f t="shared" si="1373"/>
        <v>0</v>
      </c>
      <c r="AN185" s="414">
        <f t="shared" si="1374"/>
        <v>0</v>
      </c>
      <c r="AO185" s="406">
        <f t="shared" si="1375"/>
        <v>0</v>
      </c>
      <c r="AP185" s="407">
        <f t="shared" si="1376"/>
        <v>0</v>
      </c>
      <c r="AQ185" s="404">
        <f t="shared" si="1377"/>
        <v>0</v>
      </c>
      <c r="AR185" s="414">
        <f t="shared" si="1378"/>
        <v>0</v>
      </c>
      <c r="AS185" s="414">
        <f t="shared" si="1379"/>
        <v>-325</v>
      </c>
      <c r="AT185" s="406">
        <f t="shared" si="1380"/>
        <v>0</v>
      </c>
      <c r="AU185" s="407">
        <f t="shared" si="1381"/>
        <v>-325</v>
      </c>
      <c r="AV185" s="404">
        <f t="shared" si="1382"/>
        <v>0</v>
      </c>
      <c r="AW185" s="414">
        <f t="shared" si="1383"/>
        <v>0</v>
      </c>
      <c r="AX185" s="414">
        <f t="shared" si="1384"/>
        <v>0</v>
      </c>
      <c r="AY185" s="406">
        <f t="shared" si="1385"/>
        <v>0</v>
      </c>
      <c r="AZ185" s="407">
        <f t="shared" si="1386"/>
        <v>0</v>
      </c>
      <c r="BA185" s="404">
        <f t="shared" si="1387"/>
        <v>0</v>
      </c>
      <c r="BB185" s="414">
        <f t="shared" si="1388"/>
        <v>0</v>
      </c>
      <c r="BC185" s="414">
        <f t="shared" si="1389"/>
        <v>0</v>
      </c>
      <c r="BD185" s="406">
        <f t="shared" si="1390"/>
        <v>0</v>
      </c>
      <c r="BE185" s="407">
        <f t="shared" si="1391"/>
        <v>0</v>
      </c>
      <c r="BF185" s="404">
        <f t="shared" si="1392"/>
        <v>0</v>
      </c>
      <c r="BG185" s="414">
        <f t="shared" si="1393"/>
        <v>0</v>
      </c>
      <c r="BH185" s="414">
        <f t="shared" si="1394"/>
        <v>0</v>
      </c>
      <c r="BI185" s="406">
        <f t="shared" si="1395"/>
        <v>0</v>
      </c>
      <c r="BJ185" s="407">
        <f t="shared" si="1396"/>
        <v>0</v>
      </c>
      <c r="BK185" s="404">
        <f t="shared" si="1397"/>
        <v>0</v>
      </c>
      <c r="BL185" s="414">
        <f t="shared" si="1398"/>
        <v>0</v>
      </c>
      <c r="BM185" s="414">
        <f t="shared" si="1399"/>
        <v>0</v>
      </c>
      <c r="BN185" s="406">
        <f t="shared" si="1400"/>
        <v>0</v>
      </c>
      <c r="BO185" s="407">
        <f t="shared" si="1401"/>
        <v>0</v>
      </c>
      <c r="BP185" s="449"/>
      <c r="BQ185" s="413">
        <f t="shared" si="1402"/>
        <v>0</v>
      </c>
      <c r="BR185" s="410">
        <f t="shared" si="1403"/>
        <v>0</v>
      </c>
      <c r="BS185" s="416">
        <f t="shared" si="1404"/>
        <v>0</v>
      </c>
      <c r="BT185" s="416">
        <f t="shared" si="1405"/>
        <v>0</v>
      </c>
      <c r="BU185" s="412">
        <f t="shared" si="1406"/>
        <v>0</v>
      </c>
      <c r="BV185" s="413">
        <f t="shared" si="1407"/>
        <v>0</v>
      </c>
      <c r="BW185" s="410">
        <f t="shared" si="1408"/>
        <v>0</v>
      </c>
      <c r="BX185" s="416">
        <f t="shared" si="1409"/>
        <v>0</v>
      </c>
      <c r="BY185" s="416">
        <f t="shared" si="1410"/>
        <v>0</v>
      </c>
      <c r="BZ185" s="412">
        <f t="shared" si="1411"/>
        <v>0</v>
      </c>
      <c r="CA185" s="413">
        <f t="shared" si="1412"/>
        <v>0</v>
      </c>
      <c r="CB185" s="410">
        <f t="shared" si="1413"/>
        <v>0</v>
      </c>
      <c r="CC185" s="416">
        <f t="shared" si="1414"/>
        <v>0</v>
      </c>
      <c r="CD185" s="416">
        <f t="shared" si="1415"/>
        <v>0</v>
      </c>
      <c r="CE185" s="412">
        <f t="shared" si="1416"/>
        <v>0</v>
      </c>
      <c r="CF185" s="413">
        <f t="shared" si="1417"/>
        <v>0</v>
      </c>
      <c r="CG185" s="410">
        <f t="shared" si="1418"/>
        <v>0</v>
      </c>
      <c r="CH185" s="416">
        <f t="shared" si="1419"/>
        <v>0</v>
      </c>
      <c r="CI185" s="416">
        <f t="shared" si="1420"/>
        <v>0</v>
      </c>
      <c r="CJ185" s="412">
        <f t="shared" si="1421"/>
        <v>0</v>
      </c>
      <c r="CK185" s="413">
        <f t="shared" si="1422"/>
        <v>0</v>
      </c>
      <c r="CL185" s="410">
        <f t="shared" si="1423"/>
        <v>0</v>
      </c>
      <c r="CM185" s="416">
        <f t="shared" si="1424"/>
        <v>0</v>
      </c>
      <c r="CN185" s="416">
        <f t="shared" si="1425"/>
        <v>0</v>
      </c>
      <c r="CO185" s="412">
        <f t="shared" si="1426"/>
        <v>0</v>
      </c>
      <c r="CP185" s="413">
        <f t="shared" si="1427"/>
        <v>0</v>
      </c>
      <c r="CQ185" s="410">
        <f t="shared" si="1428"/>
        <v>0</v>
      </c>
      <c r="CR185" s="416">
        <f t="shared" si="1429"/>
        <v>0</v>
      </c>
      <c r="CS185" s="416">
        <f t="shared" si="1430"/>
        <v>0</v>
      </c>
      <c r="CT185" s="412">
        <f t="shared" si="1431"/>
        <v>0</v>
      </c>
      <c r="CU185" s="413">
        <f t="shared" si="1432"/>
        <v>0</v>
      </c>
      <c r="CV185" s="410">
        <f t="shared" si="1433"/>
        <v>0</v>
      </c>
      <c r="CW185" s="416">
        <f t="shared" si="1434"/>
        <v>0</v>
      </c>
      <c r="CX185" s="416">
        <f t="shared" si="1435"/>
        <v>-1.625</v>
      </c>
      <c r="CY185" s="412">
        <f t="shared" si="1436"/>
        <v>-4.875</v>
      </c>
      <c r="CZ185" s="413">
        <f t="shared" si="1437"/>
        <v>-6.5</v>
      </c>
      <c r="DA185" s="410">
        <f t="shared" si="1438"/>
        <v>-4.875</v>
      </c>
      <c r="DB185" s="416">
        <f t="shared" si="1439"/>
        <v>-4.875</v>
      </c>
      <c r="DC185" s="416">
        <f t="shared" si="1440"/>
        <v>-3.25</v>
      </c>
      <c r="DD185" s="412">
        <f t="shared" si="1441"/>
        <v>0</v>
      </c>
      <c r="DE185" s="413">
        <f t="shared" si="1442"/>
        <v>-13</v>
      </c>
      <c r="DF185" s="410">
        <f t="shared" si="1443"/>
        <v>0</v>
      </c>
      <c r="DG185" s="416">
        <f t="shared" si="1444"/>
        <v>0</v>
      </c>
      <c r="DH185" s="416">
        <f t="shared" si="1445"/>
        <v>0</v>
      </c>
      <c r="DI185" s="412">
        <f t="shared" si="1446"/>
        <v>0</v>
      </c>
      <c r="DJ185" s="413">
        <f t="shared" si="1447"/>
        <v>0</v>
      </c>
      <c r="DK185" s="410">
        <f t="shared" si="1448"/>
        <v>0</v>
      </c>
      <c r="DL185" s="416">
        <f t="shared" si="1449"/>
        <v>0</v>
      </c>
      <c r="DM185" s="416">
        <f t="shared" si="1450"/>
        <v>0</v>
      </c>
      <c r="DN185" s="412">
        <f t="shared" si="1451"/>
        <v>0</v>
      </c>
      <c r="DO185" s="413">
        <f t="shared" si="1452"/>
        <v>0</v>
      </c>
      <c r="DP185" s="410">
        <f t="shared" si="1453"/>
        <v>0</v>
      </c>
      <c r="DQ185" s="416">
        <f t="shared" si="1454"/>
        <v>0</v>
      </c>
      <c r="DR185" s="416">
        <f t="shared" si="1455"/>
        <v>0</v>
      </c>
      <c r="DS185" s="412">
        <f t="shared" si="1456"/>
        <v>0</v>
      </c>
      <c r="DT185" s="413">
        <f t="shared" si="1457"/>
        <v>0</v>
      </c>
    </row>
    <row r="186" spans="1:124" ht="12.75" customHeight="1">
      <c r="A186" s="491"/>
      <c r="C186" s="1885" t="s">
        <v>409</v>
      </c>
      <c r="D186" s="1885"/>
      <c r="E186" s="1886">
        <f>IF(F186=0,G186,F186)</f>
        <v>65</v>
      </c>
      <c r="F186" s="1532">
        <v>0</v>
      </c>
      <c r="G186" s="1532">
        <v>65</v>
      </c>
      <c r="H186" s="610">
        <v>2017</v>
      </c>
      <c r="I186" s="1533">
        <v>4.1799999999999997E-2</v>
      </c>
      <c r="J186" s="615">
        <v>6</v>
      </c>
      <c r="K186" s="402"/>
      <c r="L186" s="407">
        <f t="shared" si="1346"/>
        <v>0</v>
      </c>
      <c r="M186" s="404">
        <f t="shared" si="1347"/>
        <v>0</v>
      </c>
      <c r="N186" s="414">
        <f t="shared" si="1348"/>
        <v>0</v>
      </c>
      <c r="O186" s="414">
        <f t="shared" si="1349"/>
        <v>0</v>
      </c>
      <c r="P186" s="406">
        <f t="shared" si="1350"/>
        <v>0</v>
      </c>
      <c r="Q186" s="407">
        <f t="shared" si="1351"/>
        <v>0</v>
      </c>
      <c r="R186" s="404">
        <f t="shared" si="1352"/>
        <v>0</v>
      </c>
      <c r="S186" s="414">
        <f t="shared" si="1353"/>
        <v>0</v>
      </c>
      <c r="T186" s="414">
        <f t="shared" si="1354"/>
        <v>0</v>
      </c>
      <c r="U186" s="406">
        <f t="shared" si="1355"/>
        <v>0</v>
      </c>
      <c r="V186" s="407">
        <f t="shared" si="1356"/>
        <v>0</v>
      </c>
      <c r="W186" s="404">
        <f t="shared" si="1357"/>
        <v>0</v>
      </c>
      <c r="X186" s="414">
        <f t="shared" si="1358"/>
        <v>0</v>
      </c>
      <c r="Y186" s="414">
        <f t="shared" si="1359"/>
        <v>0</v>
      </c>
      <c r="Z186" s="406">
        <f t="shared" si="1360"/>
        <v>0</v>
      </c>
      <c r="AA186" s="407">
        <f t="shared" si="1361"/>
        <v>0</v>
      </c>
      <c r="AB186" s="404">
        <f t="shared" si="1362"/>
        <v>0</v>
      </c>
      <c r="AC186" s="414">
        <f t="shared" si="1363"/>
        <v>0</v>
      </c>
      <c r="AD186" s="414">
        <f t="shared" si="1364"/>
        <v>0</v>
      </c>
      <c r="AE186" s="406">
        <f t="shared" si="1365"/>
        <v>0</v>
      </c>
      <c r="AF186" s="407">
        <f t="shared" si="1366"/>
        <v>0</v>
      </c>
      <c r="AG186" s="404">
        <f t="shared" si="1367"/>
        <v>0</v>
      </c>
      <c r="AH186" s="414">
        <f t="shared" si="1368"/>
        <v>0</v>
      </c>
      <c r="AI186" s="414">
        <f t="shared" si="1369"/>
        <v>0</v>
      </c>
      <c r="AJ186" s="406">
        <f t="shared" si="1370"/>
        <v>0</v>
      </c>
      <c r="AK186" s="407">
        <f t="shared" si="1371"/>
        <v>0</v>
      </c>
      <c r="AL186" s="404">
        <f t="shared" si="1372"/>
        <v>0</v>
      </c>
      <c r="AM186" s="414">
        <f t="shared" si="1373"/>
        <v>0</v>
      </c>
      <c r="AN186" s="414">
        <f t="shared" si="1374"/>
        <v>0</v>
      </c>
      <c r="AO186" s="406">
        <f t="shared" si="1375"/>
        <v>0</v>
      </c>
      <c r="AP186" s="407">
        <f t="shared" si="1376"/>
        <v>0</v>
      </c>
      <c r="AQ186" s="404">
        <f t="shared" si="1377"/>
        <v>0</v>
      </c>
      <c r="AR186" s="414">
        <f t="shared" si="1378"/>
        <v>-65</v>
      </c>
      <c r="AS186" s="414">
        <f t="shared" si="1379"/>
        <v>0</v>
      </c>
      <c r="AT186" s="406">
        <f t="shared" si="1380"/>
        <v>0</v>
      </c>
      <c r="AU186" s="407">
        <f t="shared" si="1381"/>
        <v>-65</v>
      </c>
      <c r="AV186" s="404">
        <f t="shared" si="1382"/>
        <v>0</v>
      </c>
      <c r="AW186" s="414">
        <f t="shared" si="1383"/>
        <v>0</v>
      </c>
      <c r="AX186" s="414">
        <f t="shared" si="1384"/>
        <v>0</v>
      </c>
      <c r="AY186" s="406">
        <f t="shared" si="1385"/>
        <v>0</v>
      </c>
      <c r="AZ186" s="407">
        <f t="shared" si="1386"/>
        <v>0</v>
      </c>
      <c r="BA186" s="404">
        <f t="shared" si="1387"/>
        <v>0</v>
      </c>
      <c r="BB186" s="414">
        <f t="shared" si="1388"/>
        <v>0</v>
      </c>
      <c r="BC186" s="414">
        <f t="shared" si="1389"/>
        <v>0</v>
      </c>
      <c r="BD186" s="406">
        <f t="shared" si="1390"/>
        <v>0</v>
      </c>
      <c r="BE186" s="407">
        <f t="shared" si="1391"/>
        <v>0</v>
      </c>
      <c r="BF186" s="404">
        <f t="shared" si="1392"/>
        <v>0</v>
      </c>
      <c r="BG186" s="414">
        <f t="shared" si="1393"/>
        <v>0</v>
      </c>
      <c r="BH186" s="414">
        <f t="shared" si="1394"/>
        <v>0</v>
      </c>
      <c r="BI186" s="406">
        <f t="shared" si="1395"/>
        <v>0</v>
      </c>
      <c r="BJ186" s="407">
        <f t="shared" si="1396"/>
        <v>0</v>
      </c>
      <c r="BK186" s="404">
        <f t="shared" si="1397"/>
        <v>0</v>
      </c>
      <c r="BL186" s="414">
        <f t="shared" si="1398"/>
        <v>0</v>
      </c>
      <c r="BM186" s="414">
        <f t="shared" si="1399"/>
        <v>0</v>
      </c>
      <c r="BN186" s="406">
        <f t="shared" si="1400"/>
        <v>0</v>
      </c>
      <c r="BO186" s="407">
        <f t="shared" si="1401"/>
        <v>0</v>
      </c>
      <c r="BP186" s="449"/>
      <c r="BQ186" s="413">
        <f t="shared" si="1402"/>
        <v>0</v>
      </c>
      <c r="BR186" s="410">
        <f t="shared" si="1403"/>
        <v>0</v>
      </c>
      <c r="BS186" s="416">
        <f t="shared" si="1404"/>
        <v>0</v>
      </c>
      <c r="BT186" s="416">
        <f t="shared" si="1405"/>
        <v>0</v>
      </c>
      <c r="BU186" s="412">
        <f t="shared" si="1406"/>
        <v>0</v>
      </c>
      <c r="BV186" s="413">
        <f t="shared" si="1407"/>
        <v>0</v>
      </c>
      <c r="BW186" s="410">
        <f t="shared" si="1408"/>
        <v>0</v>
      </c>
      <c r="BX186" s="416">
        <f t="shared" si="1409"/>
        <v>0</v>
      </c>
      <c r="BY186" s="416">
        <f t="shared" si="1410"/>
        <v>0</v>
      </c>
      <c r="BZ186" s="412">
        <f t="shared" si="1411"/>
        <v>0</v>
      </c>
      <c r="CA186" s="413">
        <f t="shared" si="1412"/>
        <v>0</v>
      </c>
      <c r="CB186" s="410">
        <f t="shared" si="1413"/>
        <v>0</v>
      </c>
      <c r="CC186" s="416">
        <f t="shared" si="1414"/>
        <v>0</v>
      </c>
      <c r="CD186" s="416">
        <f t="shared" si="1415"/>
        <v>0</v>
      </c>
      <c r="CE186" s="412">
        <f t="shared" si="1416"/>
        <v>0</v>
      </c>
      <c r="CF186" s="413">
        <f t="shared" si="1417"/>
        <v>0</v>
      </c>
      <c r="CG186" s="410">
        <f t="shared" si="1418"/>
        <v>0</v>
      </c>
      <c r="CH186" s="416">
        <f t="shared" si="1419"/>
        <v>0</v>
      </c>
      <c r="CI186" s="416">
        <f t="shared" si="1420"/>
        <v>0</v>
      </c>
      <c r="CJ186" s="412">
        <f t="shared" si="1421"/>
        <v>0</v>
      </c>
      <c r="CK186" s="413">
        <f t="shared" si="1422"/>
        <v>0</v>
      </c>
      <c r="CL186" s="410">
        <f t="shared" si="1423"/>
        <v>0</v>
      </c>
      <c r="CM186" s="416">
        <f t="shared" si="1424"/>
        <v>0</v>
      </c>
      <c r="CN186" s="416">
        <f t="shared" si="1425"/>
        <v>0</v>
      </c>
      <c r="CO186" s="412">
        <f t="shared" si="1426"/>
        <v>0</v>
      </c>
      <c r="CP186" s="413">
        <f t="shared" si="1427"/>
        <v>0</v>
      </c>
      <c r="CQ186" s="410">
        <f t="shared" si="1428"/>
        <v>0</v>
      </c>
      <c r="CR186" s="416">
        <f t="shared" si="1429"/>
        <v>0</v>
      </c>
      <c r="CS186" s="416">
        <f t="shared" si="1430"/>
        <v>0</v>
      </c>
      <c r="CT186" s="412">
        <f t="shared" si="1431"/>
        <v>0</v>
      </c>
      <c r="CU186" s="413">
        <f t="shared" si="1432"/>
        <v>0</v>
      </c>
      <c r="CV186" s="410">
        <f t="shared" si="1433"/>
        <v>0</v>
      </c>
      <c r="CW186" s="416">
        <f t="shared" si="1434"/>
        <v>-0.22641666666666663</v>
      </c>
      <c r="CX186" s="416">
        <f t="shared" si="1435"/>
        <v>-0.67924999999999991</v>
      </c>
      <c r="CY186" s="412">
        <f t="shared" si="1436"/>
        <v>-0.67924999999999991</v>
      </c>
      <c r="CZ186" s="413">
        <f t="shared" si="1437"/>
        <v>-1.5849166666666665</v>
      </c>
      <c r="DA186" s="410">
        <f t="shared" si="1438"/>
        <v>-0.67924999999999991</v>
      </c>
      <c r="DB186" s="416">
        <f t="shared" si="1439"/>
        <v>-0.45283333333333325</v>
      </c>
      <c r="DC186" s="416">
        <f t="shared" si="1440"/>
        <v>0</v>
      </c>
      <c r="DD186" s="412">
        <f t="shared" si="1441"/>
        <v>0</v>
      </c>
      <c r="DE186" s="413">
        <f t="shared" si="1442"/>
        <v>-1.1320833333333331</v>
      </c>
      <c r="DF186" s="410">
        <f t="shared" si="1443"/>
        <v>0</v>
      </c>
      <c r="DG186" s="416">
        <f t="shared" si="1444"/>
        <v>0</v>
      </c>
      <c r="DH186" s="416">
        <f t="shared" si="1445"/>
        <v>0</v>
      </c>
      <c r="DI186" s="412">
        <f t="shared" si="1446"/>
        <v>0</v>
      </c>
      <c r="DJ186" s="413">
        <f t="shared" si="1447"/>
        <v>0</v>
      </c>
      <c r="DK186" s="410">
        <f t="shared" si="1448"/>
        <v>0</v>
      </c>
      <c r="DL186" s="416">
        <f t="shared" si="1449"/>
        <v>0</v>
      </c>
      <c r="DM186" s="416">
        <f t="shared" si="1450"/>
        <v>0</v>
      </c>
      <c r="DN186" s="412">
        <f t="shared" si="1451"/>
        <v>0</v>
      </c>
      <c r="DO186" s="413">
        <f t="shared" si="1452"/>
        <v>0</v>
      </c>
      <c r="DP186" s="410">
        <f t="shared" si="1453"/>
        <v>0</v>
      </c>
      <c r="DQ186" s="416">
        <f t="shared" si="1454"/>
        <v>0</v>
      </c>
      <c r="DR186" s="416">
        <f t="shared" si="1455"/>
        <v>0</v>
      </c>
      <c r="DS186" s="412">
        <f t="shared" si="1456"/>
        <v>0</v>
      </c>
      <c r="DT186" s="413">
        <f t="shared" si="1457"/>
        <v>0</v>
      </c>
    </row>
    <row r="187" spans="1:124" ht="12.75" customHeight="1">
      <c r="A187" s="491"/>
      <c r="C187" s="559" t="s">
        <v>1336</v>
      </c>
      <c r="D187" s="1885"/>
      <c r="E187" s="1886">
        <f t="shared" ref="E187:E190" si="1458">IF(F187=0,G187,F187)</f>
        <v>65</v>
      </c>
      <c r="F187" s="1532">
        <v>65</v>
      </c>
      <c r="G187" s="1532">
        <v>0</v>
      </c>
      <c r="H187" s="610">
        <v>2024</v>
      </c>
      <c r="I187" s="830">
        <v>3.1300000000000001E-2</v>
      </c>
      <c r="J187" s="615">
        <v>9</v>
      </c>
      <c r="K187" s="402"/>
      <c r="L187" s="407">
        <f t="shared" si="1346"/>
        <v>0</v>
      </c>
      <c r="M187" s="404">
        <f>IF(Q187=0,0,IF(Q187&lt;0,IF($J187=3,Q187,IF($J187=2,Q187,IF($J187=1,Q187,0)))))</f>
        <v>0</v>
      </c>
      <c r="N187" s="414">
        <f>IF(Q187=0,0,IF(Q187&lt;0,IF($J187=6,Q187,IF($J187=5,Q187,IF($J187=4,Q187,0)))))</f>
        <v>0</v>
      </c>
      <c r="O187" s="414">
        <f>IF(Q187=0,0,IF(Q187&lt;0,IF($J187=9,Q187,IF($J187=8,Q187,IF($J187=7,Q187,0)))))</f>
        <v>0</v>
      </c>
      <c r="P187" s="406">
        <f>IF(Q187=0,0,IF(Q187&lt;0,IF($J187=12,Q187,IF($J187=11,Q187,IF($J187=10,Q187,0)))))</f>
        <v>0</v>
      </c>
      <c r="Q187" s="407">
        <f t="shared" si="1351"/>
        <v>0</v>
      </c>
      <c r="R187" s="404">
        <f>IF(V187=0,0,IF(V187&lt;0,IF($J187=3,V187,IF($J187=2,V187,IF($J187=1,V187,0)))))</f>
        <v>0</v>
      </c>
      <c r="S187" s="414">
        <f>IF(V187=0,0,IF(V187&lt;0,IF($J187=6,V187,IF($J187=5,V187,IF($J187=4,V187,0)))))</f>
        <v>0</v>
      </c>
      <c r="T187" s="414">
        <f>IF(V187=0,0,IF(V187&lt;0,IF($J187=9,V187,IF($J187=8,V187,IF($J187=7,V187,0)))))</f>
        <v>0</v>
      </c>
      <c r="U187" s="406">
        <f>IF(V187=0,0,IF(V187&lt;0,IF($J187=12,V187,IF($J187=11,V187,IF($J187=10,V187,0)))))</f>
        <v>0</v>
      </c>
      <c r="V187" s="407">
        <f t="shared" si="1356"/>
        <v>0</v>
      </c>
      <c r="W187" s="404">
        <f>IF(AA187=0,0,IF(AA187&lt;0,IF($J187=3,AA187,IF($J187=2,AA187,IF($J187=1,AA187,0)))))</f>
        <v>0</v>
      </c>
      <c r="X187" s="414">
        <f>IF(AA187=0,0,IF(AA187&lt;0,IF($J187=6,AA187,IF($J187=5,AA187,IF($J187=4,AA187,0)))))</f>
        <v>0</v>
      </c>
      <c r="Y187" s="414">
        <f>IF(AA187=0,0,IF(AA187&lt;0,IF($J187=9,AA187,IF($J187=8,AA187,IF($J187=7,AA187,0)))))</f>
        <v>0</v>
      </c>
      <c r="Z187" s="406">
        <f>IF(AA187=0,0,IF(AA187&lt;0,IF($J187=12,AA187,IF($J187=11,AA187,IF($J187=10,AA187,0)))))</f>
        <v>0</v>
      </c>
      <c r="AA187" s="407">
        <f t="shared" si="1361"/>
        <v>0</v>
      </c>
      <c r="AB187" s="404">
        <f>IF(AF187=0,0,IF(AF187&lt;0,IF($J187=3,AF187,IF($J187=2,AF187,IF($J187=1,AF187,0)))))</f>
        <v>0</v>
      </c>
      <c r="AC187" s="414">
        <f>IF(AF187=0,0,IF(AF187&lt;0,IF($J187=6,AF187,IF($J187=5,AF187,IF($J187=4,AF187,0)))))</f>
        <v>0</v>
      </c>
      <c r="AD187" s="414">
        <f>IF(AF187=0,0,IF(AF187&lt;0,IF($J187=9,AF187,IF($J187=8,AF187,IF($J187=7,AF187,0)))))</f>
        <v>0</v>
      </c>
      <c r="AE187" s="406">
        <f>IF(AF187=0,0,IF(AF187&lt;0,IF($J187=12,AF187,IF($J187=11,AF187,IF($J187=10,AF187,0)))))</f>
        <v>0</v>
      </c>
      <c r="AF187" s="407">
        <f t="shared" si="1366"/>
        <v>0</v>
      </c>
      <c r="AG187" s="404">
        <f>IF(AK187=0,0,IF(AK187&lt;0,IF($J187=3,AK187,IF($J187=2,AK187,IF($J187=1,AK187,0)))))</f>
        <v>0</v>
      </c>
      <c r="AH187" s="414">
        <f>IF(AK187=0,0,IF(AK187&lt;0,IF($J187=6,AK187,IF($J187=5,AK187,IF($J187=4,AK187,0)))))</f>
        <v>0</v>
      </c>
      <c r="AI187" s="414">
        <f>IF(AK187=0,0,IF(AK187&lt;0,IF($J187=9,AK187,IF($J187=8,AK187,IF($J187=7,AK187,0)))))</f>
        <v>0</v>
      </c>
      <c r="AJ187" s="406">
        <f>IF(AK187=0,0,IF(AK187&lt;0,IF($J187=12,AK187,IF($J187=11,AK187,IF($J187=10,AK187,0)))))</f>
        <v>0</v>
      </c>
      <c r="AK187" s="407">
        <f t="shared" si="1371"/>
        <v>0</v>
      </c>
      <c r="AL187" s="404">
        <f>IF(AP187=0,0,IF(AP187&lt;0,IF($J187=3,AP187,IF($J187=2,AP187,IF($J187=1,AP187,0)))))</f>
        <v>0</v>
      </c>
      <c r="AM187" s="414">
        <f>IF(AP187=0,0,IF(AP187&lt;0,IF($J187=6,AP187,IF($J187=5,AP187,IF($J187=4,AP187,0)))))</f>
        <v>0</v>
      </c>
      <c r="AN187" s="414">
        <f>IF(AP187=0,0,IF(AP187&lt;0,IF($J187=9,AP187,IF($J187=8,AP187,IF($J187=7,AP187,0)))))</f>
        <v>0</v>
      </c>
      <c r="AO187" s="406">
        <f>IF(AP187=0,0,IF(AP187&lt;0,IF($J187=12,AP187,IF($J187=11,AP187,IF($J187=10,AP187,0)))))</f>
        <v>0</v>
      </c>
      <c r="AP187" s="407">
        <f t="shared" si="1376"/>
        <v>0</v>
      </c>
      <c r="AQ187" s="404">
        <f>IF(AU187=0,0,IF(AU187&lt;0,IF($J187=3,AU187,IF($J187=2,AU187,IF($J187=1,AU187,0)))))</f>
        <v>0</v>
      </c>
      <c r="AR187" s="414">
        <f>IF(AU187=0,0,IF(AU187&lt;0,IF($J187=6,AU187,IF($J187=5,AU187,IF($J187=4,AU187,0)))))</f>
        <v>0</v>
      </c>
      <c r="AS187" s="414">
        <f>IF(AU187=0,0,IF(AU187&lt;0,IF($J187=9,AU187,IF($J187=8,AU187,IF($J187=7,AU187,0)))))</f>
        <v>0</v>
      </c>
      <c r="AT187" s="406">
        <f>IF(AU187=0,0,IF(AU187&lt;0,IF($J187=12,AU187,IF($J187=11,AU187,IF($J187=10,AU187,0)))))</f>
        <v>0</v>
      </c>
      <c r="AU187" s="407">
        <f t="shared" si="1381"/>
        <v>0</v>
      </c>
      <c r="AV187" s="404">
        <f>IF(AZ187=0,0,IF(AZ187&lt;0,IF($J187=3,AZ187,IF($J187=2,AZ187,IF($J187=1,AZ187,0)))))</f>
        <v>0</v>
      </c>
      <c r="AW187" s="414">
        <f>IF(AZ187=0,0,IF(AZ187&lt;0,IF($J187=6,AZ187,IF($J187=5,AZ187,IF($J187=4,AZ187,0)))))</f>
        <v>0</v>
      </c>
      <c r="AX187" s="414">
        <f>IF(AZ187=0,0,IF(AZ187&lt;0,IF($J187=9,AZ187,IF($J187=8,AZ187,IF($J187=7,AZ187,0)))))</f>
        <v>0</v>
      </c>
      <c r="AY187" s="406">
        <f>IF(AZ187=0,0,IF(AZ187&lt;0,IF($J187=12,AZ187,IF($J187=11,AZ187,IF($J187=10,AZ187,0)))))</f>
        <v>0</v>
      </c>
      <c r="AZ187" s="407">
        <f t="shared" si="1386"/>
        <v>0</v>
      </c>
      <c r="BA187" s="404">
        <f>IF(BE187=0,0,IF(BE187&lt;0,IF($J187=3,BE187,IF($J187=2,BE187,IF($J187=1,BE187,0)))))</f>
        <v>0</v>
      </c>
      <c r="BB187" s="414">
        <f>IF(BE187=0,0,IF(BE187&lt;0,IF($J187=6,BE187,IF($J187=5,BE187,IF($J187=4,BE187,0)))))</f>
        <v>0</v>
      </c>
      <c r="BC187" s="414">
        <f>IF(BE187=0,0,IF(BE187&lt;0,IF($J187=9,BE187,IF($J187=8,BE187,IF($J187=7,BE187,0)))))</f>
        <v>0</v>
      </c>
      <c r="BD187" s="406">
        <f>IF(BE187=0,0,IF(BE187&lt;0,IF($J187=12,BE187,IF($J187=11,BE187,IF($J187=10,BE187,0)))))</f>
        <v>0</v>
      </c>
      <c r="BE187" s="407">
        <f t="shared" si="1391"/>
        <v>0</v>
      </c>
      <c r="BF187" s="404">
        <f>IF(BJ187=0,0,IF(BJ187&lt;0,IF($J187=3,BJ187,IF($J187=2,BJ187,IF($J187=1,BJ187,0)))))</f>
        <v>0</v>
      </c>
      <c r="BG187" s="414">
        <f>IF(BJ187=0,0,IF(BJ187&lt;0,IF($J187=6,BJ187,IF($J187=5,BJ187,IF($J187=4,BJ187,0)))))</f>
        <v>0</v>
      </c>
      <c r="BH187" s="414">
        <f>IF(BJ187=0,0,IF(BJ187&lt;0,IF($J187=9,BJ187,IF($J187=8,BJ187,IF($J187=7,BJ187,0)))))</f>
        <v>0</v>
      </c>
      <c r="BI187" s="406">
        <f>IF(BJ187=0,0,IF(BJ187&lt;0,IF($J187=12,BJ187,IF($J187=11,BJ187,IF($J187=10,BJ187,0)))))</f>
        <v>0</v>
      </c>
      <c r="BJ187" s="407">
        <f t="shared" si="1396"/>
        <v>0</v>
      </c>
      <c r="BK187" s="404">
        <f>IF(BO187=0,0,IF(BO187&lt;0,IF($J187=3,BO187,IF($J187=2,BO187,IF($J187=1,BO187,0)))))</f>
        <v>0</v>
      </c>
      <c r="BL187" s="414">
        <f>IF(BO187=0,0,IF(BO187&lt;0,IF($J187=6,BO187,IF($J187=5,BO187,IF($J187=4,BO187,0)))))</f>
        <v>0</v>
      </c>
      <c r="BM187" s="414">
        <f>IF(BO187=0,0,IF(BO187&lt;0,IF($J187=9,BO187,IF($J187=8,BO187,IF($J187=7,BO187,0)))))</f>
        <v>0</v>
      </c>
      <c r="BN187" s="406">
        <f>IF(BO187=0,0,IF(BO187&lt;0,IF($J187=12,BO187,IF($J187=11,BO187,IF($J187=10,BO187,0)))))</f>
        <v>0</v>
      </c>
      <c r="BO187" s="407">
        <f t="shared" si="1401"/>
        <v>0</v>
      </c>
      <c r="BP187" s="449"/>
      <c r="BQ187" s="413">
        <f>IF(AND(AH187&lt;&gt;0,AH$5=$H187),-$I187*$E187-AH187,IF(BQ$5=$H187,-$I187*$E187*(12-$J187+1)/12,0))</f>
        <v>0</v>
      </c>
      <c r="BR187" s="410">
        <f>IF($H187&lt;&gt;BV$5,0,IF(BV187&lt;0,IF($J187=1,-$E187*$I187/12*3,IF($J187=2,-$E187*$I187/12*2,IF($J187=3,-$E187*$I187/12*1,0)))))+IF(BQ$5&lt;&gt;$H187,0,IF(BQ187&lt;0,IF($J187=1,-$E187*$I187/12*0,IF($J187=2,-$E187*$I187/12*1,IF($J187=3,-$E187*$I187/12*2,IF($J187&gt;=4,-$E187*$I187/12*3,0))))))</f>
        <v>0</v>
      </c>
      <c r="BS187" s="416">
        <f>IF($H187&lt;&gt;BV$5,0,IF(BV187&lt;0,IF(OR($J187=1,$J187=2,$J187=3,$J187=4),-$E187*$I187/12*3,IF($J187=5,-$E187*$I187/12*2,IF($J187=6,-$E187*$I187/12*1,0)))))+IF(BQ$5&lt;&gt;$H187,0,IF(BQ187&lt;0,IF($J187=4,-$E187*$I187/12*0,IF($J187=5,-$E187*$I187/12*1,IF($J187=6,-$E187*$I187/12*2,IF($J187&gt;=7,-$E187*$I187/12*3,0))))))</f>
        <v>0</v>
      </c>
      <c r="BT187" s="416">
        <f>IF($H187&lt;&gt;BV$5,0,IF(BV187&lt;0,IF(OR($J187=1,$J187=2,$J187=3,$J187=4,$J187=5,$J187=6,$J187=7),-$E187*$I187/12*3,IF($J187=8,-$E187*$I187/12*2,IF($J187=9,-$E187*$I187/12*1,0)))))+IF(BQ$5&lt;&gt;$H187,0,IF(BQ187&lt;0,IF($J187=7,-$E187*$I187/12*0,IF($J187=8,-$E187*$I187/12*1,IF($J187=9,-$E187*$I187/12*2,IF($J187&gt;=10,-$E187*$I187/12*3,0))))))</f>
        <v>0</v>
      </c>
      <c r="BU187" s="412">
        <f>IF($H187&lt;&gt;BV$5,0,IF(BV187&lt;0,IF(OR($J187=1,$J187=2,$J187=3,$J187=4,$J187=5,$J187=6,$J187=7,$J187=8,$J187=9,$J187=10),-$E187*$I187/12*3,IF($J187=11,-$E187*$I187/12*2,IF($J187=12,-$E187*$I187/12*1,0)))))+IF(BQ$5&lt;&gt;$H187,0,IF(BQ187&lt;0,IF($J187=10,-$E187*$I187/12*0,IF($J187=11,-$E187*$I187/12*1,IF($J187=12,-$E187*$I187/12*2,0)))))</f>
        <v>0</v>
      </c>
      <c r="BV187" s="413">
        <f>IF(AND(BQ187&lt;&gt;0,BQ$5=$H187),-$I187*$E187-BQ187,IF(BV$5=$H187,-$I187*$E187*(12-$J187+1)/12,0))</f>
        <v>0</v>
      </c>
      <c r="BW187" s="410">
        <f>IF($H187&lt;&gt;CA$5,0,IF(CA187&lt;0,IF($J187=1,-$E187*$I187/12*3,IF($J187=2,-$E187*$I187/12*2,IF($J187=3,-$E187*$I187/12*1,0)))))+IF(BV$5&lt;&gt;$H187,0,IF(BV187&lt;0,IF($J187=1,-$E187*$I187/12*0,IF($J187=2,-$E187*$I187/12*1,IF($J187=3,-$E187*$I187/12*2,IF($J187&gt;=4,-$E187*$I187/12*3,0))))))</f>
        <v>0</v>
      </c>
      <c r="BX187" s="416">
        <f>IF($H187&lt;&gt;CA$5,0,IF(CA187&lt;0,IF(OR($J187=1,$J187=2,$J187=3,$J187=4),-$E187*$I187/12*3,IF($J187=5,-$E187*$I187/12*2,IF($J187=6,-$E187*$I187/12*1,0)))))+IF(BV$5&lt;&gt;$H187,0,IF(BV187&lt;0,IF($J187=4,-$E187*$I187/12*0,IF($J187=5,-$E187*$I187/12*1,IF($J187=6,-$E187*$I187/12*2,IF($J187&gt;=7,-$E187*$I187/12*3,0))))))</f>
        <v>0</v>
      </c>
      <c r="BY187" s="416">
        <f>IF($H187&lt;&gt;CA$5,0,IF(CA187&lt;0,IF(OR($J187=1,$J187=2,$J187=3,$J187=4,$J187=5,$J187=6,$J187=7),-$E187*$I187/12*3,IF($J187=8,-$E187*$I187/12*2,IF($J187=9,-$E187*$I187/12*1,0)))))+IF(BV$5&lt;&gt;$H187,0,IF(BV187&lt;0,IF($J187=7,-$E187*$I187/12*0,IF($J187=8,-$E187*$I187/12*1,IF($J187=9,-$E187*$I187/12*2,IF($J187&gt;=10,-$E187*$I187/12*3,0))))))</f>
        <v>0</v>
      </c>
      <c r="BZ187" s="412">
        <f>IF($H187&lt;&gt;CA$5,0,IF(CA187&lt;0,IF(OR($J187=1,$J187=2,$J187=3,$J187=4,$J187=5,$J187=6,$J187=7,$J187=8,$J187=9,$J187=10),-$E187*$I187/12*3,IF($J187=11,-$E187*$I187/12*2,IF($J187=12,-$E187*$I187/12*1,0)))))+IF(BV$5&lt;&gt;$H187,0,IF(BV187&lt;0,IF($J187=10,-$E187*$I187/12*0,IF($J187=11,-$E187*$I187/12*1,IF($J187=12,-$E187*$I187/12*2,0)))))</f>
        <v>0</v>
      </c>
      <c r="CA187" s="413">
        <f>IF(AND(BV187&lt;&gt;0,BV$5=$H187),-$I187*$E187-BV187,IF(CA$5=$H187,-$I187*$E187*(12-$J187+1)/12,0))</f>
        <v>0</v>
      </c>
      <c r="CB187" s="410">
        <f>IF($H187&lt;&gt;CF$5,0,IF(CF187&lt;0,IF($J187=1,-$E187*$I187/12*3,IF($J187=2,-$E187*$I187/12*2,IF($J187=3,-$E187*$I187/12*1,0)))))+IF(CA$5&lt;&gt;$H187,0,IF(CA187&lt;0,IF($J187=1,-$E187*$I187/12*0,IF($J187=2,-$E187*$I187/12*1,IF($J187=3,-$E187*$I187/12*2,IF($J187&gt;=4,-$E187*$I187/12*3,0))))))</f>
        <v>0</v>
      </c>
      <c r="CC187" s="416">
        <f>IF($H187&lt;&gt;CF$5,0,IF(CF187&lt;0,IF(OR($J187=1,$J187=2,$J187=3,$J187=4),-$E187*$I187/12*3,IF($J187=5,-$E187*$I187/12*2,IF($J187=6,-$E187*$I187/12*1,0)))))+IF(CA$5&lt;&gt;$H187,0,IF(CA187&lt;0,IF($J187=4,-$E187*$I187/12*0,IF($J187=5,-$E187*$I187/12*1,IF($J187=6,-$E187*$I187/12*2,IF($J187&gt;=7,-$E187*$I187/12*3,0))))))</f>
        <v>0</v>
      </c>
      <c r="CD187" s="416">
        <f>IF($H187&lt;&gt;CF$5,0,IF(CF187&lt;0,IF(OR($J187=1,$J187=2,$J187=3,$J187=4,$J187=5,$J187=6,$J187=7),-$E187*$I187/12*3,IF($J187=8,-$E187*$I187/12*2,IF($J187=9,-$E187*$I187/12*1,0)))))+IF(CA$5&lt;&gt;$H187,0,IF(CA187&lt;0,IF($J187=7,-$E187*$I187/12*0,IF($J187=8,-$E187*$I187/12*1,IF($J187=9,-$E187*$I187/12*2,IF($J187&gt;=10,-$E187*$I187/12*3,0))))))</f>
        <v>0</v>
      </c>
      <c r="CE187" s="412">
        <f>IF($H187&lt;&gt;CF$5,0,IF(CF187&lt;0,IF(OR($J187=1,$J187=2,$J187=3,$J187=4,$J187=5,$J187=6,$J187=7,$J187=8,$J187=9,$J187=10),-$E187*$I187/12*3,IF($J187=11,-$E187*$I187/12*2,IF($J187=12,-$E187*$I187/12*1,0)))))+IF(CA$5&lt;&gt;$H187,0,IF(CA187&lt;0,IF($J187=10,-$E187*$I187/12*0,IF($J187=11,-$E187*$I187/12*1,IF($J187=12,-$E187*$I187/12*2,0)))))</f>
        <v>0</v>
      </c>
      <c r="CF187" s="413">
        <f>IF(AND(CA187&lt;&gt;0,CA$5=$H187),-$I187*$E187-CA187,IF(CF$5=$H187,-$I187*$E187*(12-$J187+1)/12,0))</f>
        <v>0</v>
      </c>
      <c r="CG187" s="410">
        <f>IF($H187&lt;&gt;CK$5,0,IF(CK187&lt;0,IF($J187=1,-$E187*$I187/12*3,IF($J187=2,-$E187*$I187/12*2,IF($J187=3,-$E187*$I187/12*1,0)))))+IF(CF$5&lt;&gt;$H187,0,IF(CF187&lt;0,IF($J187=1,-$E187*$I187/12*0,IF($J187=2,-$E187*$I187/12*1,IF($J187=3,-$E187*$I187/12*2,IF($J187&gt;=4,-$E187*$I187/12*3,0))))))</f>
        <v>0</v>
      </c>
      <c r="CH187" s="416">
        <f>IF($H187&lt;&gt;CK$5,0,IF(CK187&lt;0,IF(OR($J187=1,$J187=2,$J187=3,$J187=4),-$E187*$I187/12*3,IF($J187=5,-$E187*$I187/12*2,IF($J187=6,-$E187*$I187/12*1,0)))))+IF(CF$5&lt;&gt;$H187,0,IF(CF187&lt;0,IF($J187=4,-$E187*$I187/12*0,IF($J187=5,-$E187*$I187/12*1,IF($J187=6,-$E187*$I187/12*2,IF($J187&gt;=7,-$E187*$I187/12*3,0))))))</f>
        <v>0</v>
      </c>
      <c r="CI187" s="416">
        <f>IF($H187&lt;&gt;CK$5,0,IF(CK187&lt;0,IF(OR($J187=1,$J187=2,$J187=3,$J187=4,$J187=5,$J187=6,$J187=7),-$E187*$I187/12*3,IF($J187=8,-$E187*$I187/12*2,IF($J187=9,-$E187*$I187/12*1,0)))))+IF(CF$5&lt;&gt;$H187,0,IF(CF187&lt;0,IF($J187=7,-$E187*$I187/12*0,IF($J187=8,-$E187*$I187/12*1,IF($J187=9,-$E187*$I187/12*2,IF($J187&gt;=10,-$E187*$I187/12*3,0))))))</f>
        <v>0</v>
      </c>
      <c r="CJ187" s="412">
        <f>IF($H187&lt;&gt;CK$5,0,IF(CK187&lt;0,IF(OR($J187=1,$J187=2,$J187=3,$J187=4,$J187=5,$J187=6,$J187=7,$J187=8,$J187=9,$J187=10),-$E187*$I187/12*3,IF($J187=11,-$E187*$I187/12*2,IF($J187=12,-$E187*$I187/12*1,0)))))+IF(CF$5&lt;&gt;$H187,0,IF(CF187&lt;0,IF($J187=10,-$E187*$I187/12*0,IF($J187=11,-$E187*$I187/12*1,IF($J187=12,-$E187*$I187/12*2,0)))))</f>
        <v>0</v>
      </c>
      <c r="CK187" s="413">
        <f>IF(AND(CF187&lt;&gt;0,CF$5=$H187),-$I187*$E187-CF187,IF(CK$5=$H187,-$I187*$E187*(12-$J187+1)/12,0))</f>
        <v>0</v>
      </c>
      <c r="CL187" s="410">
        <f>IF($H187&lt;&gt;CP$5,0,IF(CP187&lt;0,IF($J187=1,-$E187*$I187/12*3,IF($J187=2,-$E187*$I187/12*2,IF($J187=3,-$E187*$I187/12*1,0)))))+IF(CK$5&lt;&gt;$H187,0,IF(CK187&lt;0,IF($J187=1,-$E187*$I187/12*0,IF($J187=2,-$E187*$I187/12*1,IF($J187=3,-$E187*$I187/12*2,IF($J187&gt;=4,-$E187*$I187/12*3,0))))))</f>
        <v>0</v>
      </c>
      <c r="CM187" s="416">
        <f>IF($H187&lt;&gt;CP$5,0,IF(CP187&lt;0,IF(OR($J187=1,$J187=2,$J187=3,$J187=4),-$E187*$I187/12*3,IF($J187=5,-$E187*$I187/12*2,IF($J187=6,-$E187*$I187/12*1,0)))))+IF(CK$5&lt;&gt;$H187,0,IF(CK187&lt;0,IF($J187=4,-$E187*$I187/12*0,IF($J187=5,-$E187*$I187/12*1,IF($J187=6,-$E187*$I187/12*2,IF($J187&gt;=7,-$E187*$I187/12*3,0))))))</f>
        <v>0</v>
      </c>
      <c r="CN187" s="416">
        <f>IF($H187&lt;&gt;CP$5,0,IF(CP187&lt;0,IF(OR($J187=1,$J187=2,$J187=3,$J187=4,$J187=5,$J187=6,$J187=7),-$E187*$I187/12*3,IF($J187=8,-$E187*$I187/12*2,IF($J187=9,-$E187*$I187/12*1,0)))))+IF(CK$5&lt;&gt;$H187,0,IF(CK187&lt;0,IF($J187=7,-$E187*$I187/12*0,IF($J187=8,-$E187*$I187/12*1,IF($J187=9,-$E187*$I187/12*2,IF($J187&gt;=10,-$E187*$I187/12*3,0))))))</f>
        <v>0</v>
      </c>
      <c r="CO187" s="412">
        <f>IF($H187&lt;&gt;CP$5,0,IF(CP187&lt;0,IF(OR($J187=1,$J187=2,$J187=3,$J187=4,$J187=5,$J187=6,$J187=7,$J187=8,$J187=9,$J187=10),-$E187*$I187/12*3,IF($J187=11,-$E187*$I187/12*2,IF($J187=12,-$E187*$I187/12*1,0)))))+IF(CK$5&lt;&gt;$H187,0,IF(CK187&lt;0,IF($J187=10,-$E187*$I187/12*0,IF($J187=11,-$E187*$I187/12*1,IF($J187=12,-$E187*$I187/12*2,0)))))</f>
        <v>0</v>
      </c>
      <c r="CP187" s="413">
        <f>IF(AND(CK187&lt;&gt;0,CK$5=$H187),-$I187*$E187-CK187,IF(CP$5=$H187,-$I187*$E187*(12-$J187+1)/12,0))</f>
        <v>0</v>
      </c>
      <c r="CQ187" s="410">
        <f>IF($H187&lt;&gt;CU$5,0,IF(CU187&lt;0,IF($J187=1,-$E187*$I187/12*3,IF($J187=2,-$E187*$I187/12*2,IF($J187=3,-$E187*$I187/12*1,0)))))+IF(CP$5&lt;&gt;$H187,0,IF(CP187&lt;0,IF($J187=1,-$E187*$I187/12*0,IF($J187=2,-$E187*$I187/12*1,IF($J187=3,-$E187*$I187/12*2,IF($J187&gt;=4,-$E187*$I187/12*3,0))))))</f>
        <v>0</v>
      </c>
      <c r="CR187" s="416">
        <f>IF($H187&lt;&gt;CU$5,0,IF(CU187&lt;0,IF(OR($J187=1,$J187=2,$J187=3,$J187=4),-$E187*$I187/12*3,IF($J187=5,-$E187*$I187/12*2,IF($J187=6,-$E187*$I187/12*1,0)))))+IF(CP$5&lt;&gt;$H187,0,IF(CP187&lt;0,IF($J187=4,-$E187*$I187/12*0,IF($J187=5,-$E187*$I187/12*1,IF($J187=6,-$E187*$I187/12*2,IF($J187&gt;=7,-$E187*$I187/12*3,0))))))</f>
        <v>0</v>
      </c>
      <c r="CS187" s="416">
        <f>IF($H187&lt;&gt;CU$5,0,IF(CU187&lt;0,IF(OR($J187=1,$J187=2,$J187=3,$J187=4,$J187=5,$J187=6,$J187=7),-$E187*$I187/12*3,IF($J187=8,-$E187*$I187/12*2,IF($J187=9,-$E187*$I187/12*1,0)))))+IF(CP$5&lt;&gt;$H187,0,IF(CP187&lt;0,IF($J187=7,-$E187*$I187/12*0,IF($J187=8,-$E187*$I187/12*1,IF($J187=9,-$E187*$I187/12*2,IF($J187&gt;=10,-$E187*$I187/12*3,0))))))</f>
        <v>0</v>
      </c>
      <c r="CT187" s="412">
        <f>IF($H187&lt;&gt;CU$5,0,IF(CU187&lt;0,IF(OR($J187=1,$J187=2,$J187=3,$J187=4,$J187=5,$J187=6,$J187=7,$J187=8,$J187=9,$J187=10),-$E187*$I187/12*3,IF($J187=11,-$E187*$I187/12*2,IF($J187=12,-$E187*$I187/12*1,0)))))+IF(CP$5&lt;&gt;$H187,0,IF(CP187&lt;0,IF($J187=10,-$E187*$I187/12*0,IF($J187=11,-$E187*$I187/12*1,IF($J187=12,-$E187*$I187/12*2,0)))))</f>
        <v>0</v>
      </c>
      <c r="CU187" s="413">
        <f>IF(AND(CP187&lt;&gt;0,CP$5=$H187),-$I187*$E187-CP187,IF(CU$5=$H187,-$I187*$E187*(12-$J187+1)/12,0))</f>
        <v>0</v>
      </c>
      <c r="CV187" s="410">
        <f>IF($H187&lt;&gt;CZ$5,0,IF(CZ187&lt;0,IF($J187=1,-$E187*$I187/12*3,IF($J187=2,-$E187*$I187/12*2,IF($J187=3,-$E187*$I187/12*1,0)))))+IF(CU$5&lt;&gt;$H187,0,IF(CU187&lt;0,IF($J187=1,-$E187*$I187/12*0,IF($J187=2,-$E187*$I187/12*1,IF($J187=3,-$E187*$I187/12*2,IF($J187&gt;=4,-$E187*$I187/12*3,0))))))</f>
        <v>0</v>
      </c>
      <c r="CW187" s="416">
        <f>IF($H187&lt;&gt;CZ$5,0,IF(CZ187&lt;0,IF(OR($J187=1,$J187=2,$J187=3,$J187=4),-$E187*$I187/12*3,IF($J187=5,-$E187*$I187/12*2,IF($J187=6,-$E187*$I187/12*1,0)))))+IF(CU$5&lt;&gt;$H187,0,IF(CU187&lt;0,IF($J187=4,-$E187*$I187/12*0,IF($J187=5,-$E187*$I187/12*1,IF($J187=6,-$E187*$I187/12*2,IF($J187&gt;=7,-$E187*$I187/12*3,0))))))</f>
        <v>0</v>
      </c>
      <c r="CX187" s="416">
        <f>IF($H187&lt;&gt;CZ$5,0,IF(CZ187&lt;0,IF(OR($J187=1,$J187=2,$J187=3,$J187=4,$J187=5,$J187=6,$J187=7),-$E187*$I187/12*3,IF($J187=8,-$E187*$I187/12*2,IF($J187=9,-$E187*$I187/12*1,0)))))+IF(CU$5&lt;&gt;$H187,0,IF(CU187&lt;0,IF($J187=7,-$E187*$I187/12*0,IF($J187=8,-$E187*$I187/12*1,IF($J187=9,-$E187*$I187/12*2,IF($J187&gt;=10,-$E187*$I187/12*3,0))))))</f>
        <v>0</v>
      </c>
      <c r="CY187" s="412">
        <f>IF($H187&lt;&gt;CZ$5,0,IF(CZ187&lt;0,IF(OR($J187=1,$J187=2,$J187=3,$J187=4,$J187=5,$J187=6,$J187=7,$J187=8,$J187=9,$J187=10),-$E187*$I187/12*3,IF($J187=11,-$E187*$I187/12*2,IF($J187=12,-$E187*$I187/12*1,0)))))+IF(CU$5&lt;&gt;$H187,0,IF(CU187&lt;0,IF($J187=10,-$E187*$I187/12*0,IF($J187=11,-$E187*$I187/12*1,IF($J187=12,-$E187*$I187/12*2,0)))))</f>
        <v>0</v>
      </c>
      <c r="CZ187" s="413">
        <f>IF(AND(CU187&lt;&gt;0,CU$5=$H187),-$I187*$E187-CU187,IF(CZ$5=$H187,-$I187*$E187*(12-$J187+1)/12,0))</f>
        <v>0</v>
      </c>
      <c r="DA187" s="410">
        <f>IF($H187&lt;&gt;DE$5,0,IF(DE187&lt;0,IF($J187=1,-$E187*$I187/12*3,IF($J187=2,-$E187*$I187/12*2,IF($J187=3,-$E187*$I187/12*1,0)))))+IF(CZ$5&lt;&gt;$H187,0,IF(CZ187&lt;0,IF($J187=1,-$E187*$I187/12*0,IF($J187=2,-$E187*$I187/12*1,IF($J187=3,-$E187*$I187/12*2,IF($J187&gt;=4,-$E187*$I187/12*3,0))))))</f>
        <v>0</v>
      </c>
      <c r="DB187" s="416">
        <f>IF($H187&lt;&gt;DE$5,0,IF(DE187&lt;0,IF(OR($J187=1,$J187=2,$J187=3,$J187=4),-$E187*$I187/12*3,IF($J187=5,-$E187*$I187/12*2,IF($J187=6,-$E187*$I187/12*1,0)))))+IF(CZ$5&lt;&gt;$H187,0,IF(CZ187&lt;0,IF($J187=4,-$E187*$I187/12*0,IF($J187=5,-$E187*$I187/12*1,IF($J187=6,-$E187*$I187/12*2,IF($J187&gt;=7,-$E187*$I187/12*3,0))))))</f>
        <v>0</v>
      </c>
      <c r="DC187" s="416">
        <f>IF($H187&lt;&gt;DE$5,0,IF(DE187&lt;0,IF(OR($J187=1,$J187=2,$J187=3,$J187=4,$J187=5,$J187=6,$J187=7),-$E187*$I187/12*3,IF($J187=8,-$E187*$I187/12*2,IF($J187=9,-$E187*$I187/12*1,0)))))+IF(CZ$5&lt;&gt;$H187,0,IF(CZ187&lt;0,IF($J187=7,-$E187*$I187/12*0,IF($J187=8,-$E187*$I187/12*1,IF($J187=9,-$E187*$I187/12*2,IF($J187&gt;=10,-$E187*$I187/12*3,0))))))</f>
        <v>0</v>
      </c>
      <c r="DD187" s="412">
        <f>IF($H187&lt;&gt;DE$5,0,IF(DE187&lt;0,IF(OR($J187=1,$J187=2,$J187=3,$J187=4,$J187=5,$J187=6,$J187=7,$J187=8,$J187=9,$J187=10),-$E187*$I187/12*3,IF($J187=11,-$E187*$I187/12*2,IF($J187=12,-$E187*$I187/12*1,0)))))+IF(CZ$5&lt;&gt;$H187,0,IF(CZ187&lt;0,IF($J187=10,-$E187*$I187/12*0,IF($J187=11,-$E187*$I187/12*1,IF($J187=12,-$E187*$I187/12*2,0)))))</f>
        <v>0</v>
      </c>
      <c r="DE187" s="413">
        <f>IF(AND(CZ187&lt;&gt;0,CZ$5=$H187),-$I187*$E187-CZ187,IF(DE$5=$H187,-$I187*$E187*(12-$J187+1)/12,0))</f>
        <v>0</v>
      </c>
      <c r="DF187" s="410">
        <f>IF($H187&lt;&gt;DJ$5,0,IF(DJ187&lt;0,IF($J187=1,-$E187*$I187/12*3,IF($J187=2,-$E187*$I187/12*2,IF($J187=3,-$E187*$I187/12*1,0)))))+IF(DE$5&lt;&gt;$H187,0,IF(DE187&lt;0,IF($J187=1,-$E187*$I187/12*0,IF($J187=2,-$E187*$I187/12*1,IF($J187=3,-$E187*$I187/12*2,IF($J187&gt;=4,-$E187*$I187/12*3,0))))))</f>
        <v>0</v>
      </c>
      <c r="DG187" s="416">
        <f>IF($H187&lt;&gt;DJ$5,0,IF(DJ187&lt;0,IF(OR($J187=1,$J187=2,$J187=3,$J187=4),-$E187*$I187/12*3,IF($J187=5,-$E187*$I187/12*2,IF($J187=6,-$E187*$I187/12*1,0)))))+IF(DE$5&lt;&gt;$H187,0,IF(DE187&lt;0,IF($J187=4,-$E187*$I187/12*0,IF($J187=5,-$E187*$I187/12*1,IF($J187=6,-$E187*$I187/12*2,IF($J187&gt;=7,-$E187*$I187/12*3,0))))))</f>
        <v>0</v>
      </c>
      <c r="DH187" s="416">
        <f>IF($H187&lt;&gt;DJ$5,0,IF(DJ187&lt;0,IF(OR($J187=1,$J187=2,$J187=3,$J187=4,$J187=5,$J187=6,$J187=7),-$E187*$I187/12*3,IF($J187=8,-$E187*$I187/12*2,IF($J187=9,-$E187*$I187/12*1,0)))))+IF(DE$5&lt;&gt;$H187,0,IF(DE187&lt;0,IF($J187=7,-$E187*$I187/12*0,IF($J187=8,-$E187*$I187/12*1,IF($J187=9,-$E187*$I187/12*2,IF($J187&gt;=10,-$E187*$I187/12*3,0))))))</f>
        <v>0</v>
      </c>
      <c r="DI187" s="412">
        <f>IF($H187&lt;&gt;DJ$5,0,IF(DJ187&lt;0,IF(OR($J187=1,$J187=2,$J187=3,$J187=4,$J187=5,$J187=6,$J187=7,$J187=8,$J187=9,$J187=10),-$E187*$I187/12*3,IF($J187=11,-$E187*$I187/12*2,IF($J187=12,-$E187*$I187/12*1,0)))))+IF(DE$5&lt;&gt;$H187,0,IF(DE187&lt;0,IF($J187=10,-$E187*$I187/12*0,IF($J187=11,-$E187*$I187/12*1,IF($J187=12,-$E187*$I187/12*2,0)))))</f>
        <v>0</v>
      </c>
      <c r="DJ187" s="413">
        <f>IF(AND(DE187&lt;&gt;0,DE$5=$H187),-$I187*$E187-DE187,IF(DJ$5=$H187,-$I187*$E187*(12-$J187+1)/12,0))</f>
        <v>0</v>
      </c>
      <c r="DK187" s="410">
        <f>IF($H187&lt;&gt;DO$5,0,IF(DO187&lt;0,IF($J187=1,-$E187*$I187/12*3,IF($J187=2,-$E187*$I187/12*2,IF($J187=3,-$E187*$I187/12*1,0)))))+IF(DJ$5&lt;&gt;$H187,0,IF(DJ187&lt;0,IF($J187=1,-$E187*$I187/12*0,IF($J187=2,-$E187*$I187/12*1,IF($J187=3,-$E187*$I187/12*2,IF($J187&gt;=4,-$E187*$I187/12*3,0))))))</f>
        <v>0</v>
      </c>
      <c r="DL187" s="416">
        <f>IF($H187&lt;&gt;DO$5,0,IF(DO187&lt;0,IF(OR($J187=1,$J187=2,$J187=3,$J187=4),-$E187*$I187/12*3,IF($J187=5,-$E187*$I187/12*2,IF($J187=6,-$E187*$I187/12*1,0)))))+IF(DJ$5&lt;&gt;$H187,0,IF(DJ187&lt;0,IF($J187=4,-$E187*$I187/12*0,IF($J187=5,-$E187*$I187/12*1,IF($J187=6,-$E187*$I187/12*2,IF($J187&gt;=7,-$E187*$I187/12*3,0))))))</f>
        <v>0</v>
      </c>
      <c r="DM187" s="416">
        <f>IF($H187&lt;&gt;DO$5,0,IF(DO187&lt;0,IF(OR($J187=1,$J187=2,$J187=3,$J187=4,$J187=5,$J187=6,$J187=7),-$E187*$I187/12*3,IF($J187=8,-$E187*$I187/12*2,IF($J187=9,-$E187*$I187/12*1,0)))))+IF(DJ$5&lt;&gt;$H187,0,IF(DJ187&lt;0,IF($J187=7,-$E187*$I187/12*0,IF($J187=8,-$E187*$I187/12*1,IF($J187=9,-$E187*$I187/12*2,IF($J187&gt;=10,-$E187*$I187/12*3,0))))))</f>
        <v>0</v>
      </c>
      <c r="DN187" s="412">
        <f>IF($H187&lt;&gt;DO$5,0,IF(DO187&lt;0,IF(OR($J187=1,$J187=2,$J187=3,$J187=4,$J187=5,$J187=6,$J187=7,$J187=8,$J187=9,$J187=10),-$E187*$I187/12*3,IF($J187=11,-$E187*$I187/12*2,IF($J187=12,-$E187*$I187/12*1,0)))))+IF(DJ$5&lt;&gt;$H187,0,IF(DJ187&lt;0,IF($J187=10,-$E187*$I187/12*0,IF($J187=11,-$E187*$I187/12*1,IF($J187=12,-$E187*$I187/12*2,0)))))</f>
        <v>0</v>
      </c>
      <c r="DO187" s="413">
        <f>IF(AND(DJ187&lt;&gt;0,DJ$5=$H187),-$I187*$E187-DJ187,IF(DO$5=$H187,-$I187*$E187*(12-$J187+1)/12,0))</f>
        <v>0</v>
      </c>
      <c r="DP187" s="410">
        <f>IF($H187&lt;&gt;DT$5,0,IF(DT187&lt;0,IF($J187=1,-$E187*$I187/12*3,IF($J187=2,-$E187*$I187/12*2,IF($J187=3,-$E187*$I187/12*1,0)))))+IF(DO$5&lt;&gt;$H187,0,IF(DO187&lt;0,IF($J187=1,-$E187*$I187/12*0,IF($J187=2,-$E187*$I187/12*1,IF($J187=3,-$E187*$I187/12*2,IF($J187&gt;=4,-$E187*$I187/12*3,0))))))</f>
        <v>0</v>
      </c>
      <c r="DQ187" s="416">
        <f>IF($H187&lt;&gt;DT$5,0,IF(DT187&lt;0,IF(OR($J187=1,$J187=2,$J187=3,$J187=4),-$E187*$I187/12*3,IF($J187=5,-$E187*$I187/12*2,IF($J187=6,-$E187*$I187/12*1,0)))))+IF(DO$5&lt;&gt;$H187,0,IF(DO187&lt;0,IF($J187=4,-$E187*$I187/12*0,IF($J187=5,-$E187*$I187/12*1,IF($J187=6,-$E187*$I187/12*2,IF($J187&gt;=7,-$E187*$I187/12*3,0))))))</f>
        <v>0</v>
      </c>
      <c r="DR187" s="416">
        <f>IF($H187&lt;&gt;DT$5,0,IF(DT187&lt;0,IF(OR($J187=1,$J187=2,$J187=3,$J187=4,$J187=5,$J187=6,$J187=7),-$E187*$I187/12*3,IF($J187=8,-$E187*$I187/12*2,IF($J187=9,-$E187*$I187/12*1,0)))))+IF(DO$5&lt;&gt;$H187,0,IF(DO187&lt;0,IF($J187=7,-$E187*$I187/12*0,IF($J187=8,-$E187*$I187/12*1,IF($J187=9,-$E187*$I187/12*2,IF($J187&gt;=10,-$E187*$I187/12*3,0))))))</f>
        <v>0</v>
      </c>
      <c r="DS187" s="412">
        <f>IF($H187&lt;&gt;DT$5,0,IF(DT187&lt;0,IF(OR($J187=1,$J187=2,$J187=3,$J187=4,$J187=5,$J187=6,$J187=7,$J187=8,$J187=9,$J187=10),-$E187*$I187/12*3,IF($J187=11,-$E187*$I187/12*2,IF($J187=12,-$E187*$I187/12*1,0)))))+IF(DO$5&lt;&gt;$H187,0,IF(DO187&lt;0,IF($J187=10,-$E187*$I187/12*0,IF($J187=11,-$E187*$I187/12*1,IF($J187=12,-$E187*$I187/12*2,0)))))</f>
        <v>0</v>
      </c>
      <c r="DT187" s="413">
        <f>IF(AND(DO187&lt;&gt;0,DO$5=$H187),-$I187*$E187-DO187,IF(DT$5=$H187,-$I187*$E187*(12-$J187+1)/12,0))</f>
        <v>0</v>
      </c>
    </row>
    <row r="188" spans="1:124" ht="12.75" customHeight="1">
      <c r="A188" s="491"/>
      <c r="C188" s="559" t="s">
        <v>1337</v>
      </c>
      <c r="D188" s="1885"/>
      <c r="E188" s="1886">
        <f t="shared" si="1458"/>
        <v>40</v>
      </c>
      <c r="F188" s="1532">
        <v>40</v>
      </c>
      <c r="G188" s="1532">
        <v>0</v>
      </c>
      <c r="H188" s="610">
        <v>2027</v>
      </c>
      <c r="I188" s="830">
        <v>3.3500000000000002E-2</v>
      </c>
      <c r="J188" s="615">
        <v>9</v>
      </c>
      <c r="K188" s="402"/>
      <c r="L188" s="407">
        <f t="shared" si="1346"/>
        <v>0</v>
      </c>
      <c r="M188" s="404">
        <f>IF(Q188=0,0,IF(Q188&lt;0,IF($J188=3,Q188,IF($J188=2,Q188,IF($J188=1,Q188,0)))))</f>
        <v>0</v>
      </c>
      <c r="N188" s="414">
        <f>IF(Q188=0,0,IF(Q188&lt;0,IF($J188=6,Q188,IF($J188=5,Q188,IF($J188=4,Q188,0)))))</f>
        <v>0</v>
      </c>
      <c r="O188" s="414">
        <f>IF(Q188=0,0,IF(Q188&lt;0,IF($J188=9,Q188,IF($J188=8,Q188,IF($J188=7,Q188,0)))))</f>
        <v>0</v>
      </c>
      <c r="P188" s="406">
        <f>IF(Q188=0,0,IF(Q188&lt;0,IF($J188=12,Q188,IF($J188=11,Q188,IF($J188=10,Q188,0)))))</f>
        <v>0</v>
      </c>
      <c r="Q188" s="407">
        <f t="shared" si="1351"/>
        <v>0</v>
      </c>
      <c r="R188" s="404">
        <f>IF(V188=0,0,IF(V188&lt;0,IF($J188=3,V188,IF($J188=2,V188,IF($J188=1,V188,0)))))</f>
        <v>0</v>
      </c>
      <c r="S188" s="414">
        <f>IF(V188=0,0,IF(V188&lt;0,IF($J188=6,V188,IF($J188=5,V188,IF($J188=4,V188,0)))))</f>
        <v>0</v>
      </c>
      <c r="T188" s="414">
        <f>IF(V188=0,0,IF(V188&lt;0,IF($J188=9,V188,IF($J188=8,V188,IF($J188=7,V188,0)))))</f>
        <v>0</v>
      </c>
      <c r="U188" s="406">
        <f>IF(V188=0,0,IF(V188&lt;0,IF($J188=12,V188,IF($J188=11,V188,IF($J188=10,V188,0)))))</f>
        <v>0</v>
      </c>
      <c r="V188" s="407">
        <f t="shared" si="1356"/>
        <v>0</v>
      </c>
      <c r="W188" s="404">
        <f>IF(AA188=0,0,IF(AA188&lt;0,IF($J188=3,AA188,IF($J188=2,AA188,IF($J188=1,AA188,0)))))</f>
        <v>0</v>
      </c>
      <c r="X188" s="414">
        <f>IF(AA188=0,0,IF(AA188&lt;0,IF($J188=6,AA188,IF($J188=5,AA188,IF($J188=4,AA188,0)))))</f>
        <v>0</v>
      </c>
      <c r="Y188" s="414">
        <f>IF(AA188=0,0,IF(AA188&lt;0,IF($J188=9,AA188,IF($J188=8,AA188,IF($J188=7,AA188,0)))))</f>
        <v>0</v>
      </c>
      <c r="Z188" s="406">
        <f>IF(AA188=0,0,IF(AA188&lt;0,IF($J188=12,AA188,IF($J188=11,AA188,IF($J188=10,AA188,0)))))</f>
        <v>0</v>
      </c>
      <c r="AA188" s="407">
        <f t="shared" si="1361"/>
        <v>0</v>
      </c>
      <c r="AB188" s="404">
        <f>IF(AF188=0,0,IF(AF188&lt;0,IF($J188=3,AF188,IF($J188=2,AF188,IF($J188=1,AF188,0)))))</f>
        <v>0</v>
      </c>
      <c r="AC188" s="414">
        <f>IF(AF188=0,0,IF(AF188&lt;0,IF($J188=6,AF188,IF($J188=5,AF188,IF($J188=4,AF188,0)))))</f>
        <v>0</v>
      </c>
      <c r="AD188" s="414">
        <f>IF(AF188=0,0,IF(AF188&lt;0,IF($J188=9,AF188,IF($J188=8,AF188,IF($J188=7,AF188,0)))))</f>
        <v>0</v>
      </c>
      <c r="AE188" s="406">
        <f>IF(AF188=0,0,IF(AF188&lt;0,IF($J188=12,AF188,IF($J188=11,AF188,IF($J188=10,AF188,0)))))</f>
        <v>0</v>
      </c>
      <c r="AF188" s="407">
        <f t="shared" si="1366"/>
        <v>0</v>
      </c>
      <c r="AG188" s="404">
        <f>IF(AK188=0,0,IF(AK188&lt;0,IF($J188=3,AK188,IF($J188=2,AK188,IF($J188=1,AK188,0)))))</f>
        <v>0</v>
      </c>
      <c r="AH188" s="414">
        <f>IF(AK188=0,0,IF(AK188&lt;0,IF($J188=6,AK188,IF($J188=5,AK188,IF($J188=4,AK188,0)))))</f>
        <v>0</v>
      </c>
      <c r="AI188" s="414">
        <f>IF(AK188=0,0,IF(AK188&lt;0,IF($J188=9,AK188,IF($J188=8,AK188,IF($J188=7,AK188,0)))))</f>
        <v>0</v>
      </c>
      <c r="AJ188" s="406">
        <f>IF(AK188=0,0,IF(AK188&lt;0,IF($J188=12,AK188,IF($J188=11,AK188,IF($J188=10,AK188,0)))))</f>
        <v>0</v>
      </c>
      <c r="AK188" s="407">
        <f t="shared" si="1371"/>
        <v>0</v>
      </c>
      <c r="AL188" s="404">
        <f>IF(AP188=0,0,IF(AP188&lt;0,IF($J188=3,AP188,IF($J188=2,AP188,IF($J188=1,AP188,0)))))</f>
        <v>0</v>
      </c>
      <c r="AM188" s="414">
        <f>IF(AP188=0,0,IF(AP188&lt;0,IF($J188=6,AP188,IF($J188=5,AP188,IF($J188=4,AP188,0)))))</f>
        <v>0</v>
      </c>
      <c r="AN188" s="414">
        <f>IF(AP188=0,0,IF(AP188&lt;0,IF($J188=9,AP188,IF($J188=8,AP188,IF($J188=7,AP188,0)))))</f>
        <v>0</v>
      </c>
      <c r="AO188" s="406">
        <f>IF(AP188=0,0,IF(AP188&lt;0,IF($J188=12,AP188,IF($J188=11,AP188,IF($J188=10,AP188,0)))))</f>
        <v>0</v>
      </c>
      <c r="AP188" s="407">
        <f t="shared" si="1376"/>
        <v>0</v>
      </c>
      <c r="AQ188" s="404">
        <f>IF(AU188=0,0,IF(AU188&lt;0,IF($J188=3,AU188,IF($J188=2,AU188,IF($J188=1,AU188,0)))))</f>
        <v>0</v>
      </c>
      <c r="AR188" s="414">
        <f>IF(AU188=0,0,IF(AU188&lt;0,IF($J188=6,AU188,IF($J188=5,AU188,IF($J188=4,AU188,0)))))</f>
        <v>0</v>
      </c>
      <c r="AS188" s="414">
        <f>IF(AU188=0,0,IF(AU188&lt;0,IF($J188=9,AU188,IF($J188=8,AU188,IF($J188=7,AU188,0)))))</f>
        <v>0</v>
      </c>
      <c r="AT188" s="406">
        <f>IF(AU188=0,0,IF(AU188&lt;0,IF($J188=12,AU188,IF($J188=11,AU188,IF($J188=10,AU188,0)))))</f>
        <v>0</v>
      </c>
      <c r="AU188" s="407">
        <f t="shared" si="1381"/>
        <v>0</v>
      </c>
      <c r="AV188" s="404">
        <f>IF(AZ188=0,0,IF(AZ188&lt;0,IF($J188=3,AZ188,IF($J188=2,AZ188,IF($J188=1,AZ188,0)))))</f>
        <v>0</v>
      </c>
      <c r="AW188" s="414">
        <f>IF(AZ188=0,0,IF(AZ188&lt;0,IF($J188=6,AZ188,IF($J188=5,AZ188,IF($J188=4,AZ188,0)))))</f>
        <v>0</v>
      </c>
      <c r="AX188" s="414">
        <f>IF(AZ188=0,0,IF(AZ188&lt;0,IF($J188=9,AZ188,IF($J188=8,AZ188,IF($J188=7,AZ188,0)))))</f>
        <v>0</v>
      </c>
      <c r="AY188" s="406">
        <f>IF(AZ188=0,0,IF(AZ188&lt;0,IF($J188=12,AZ188,IF($J188=11,AZ188,IF($J188=10,AZ188,0)))))</f>
        <v>0</v>
      </c>
      <c r="AZ188" s="407">
        <f t="shared" si="1386"/>
        <v>0</v>
      </c>
      <c r="BA188" s="404">
        <f>IF(BE188=0,0,IF(BE188&lt;0,IF($J188=3,BE188,IF($J188=2,BE188,IF($J188=1,BE188,0)))))</f>
        <v>0</v>
      </c>
      <c r="BB188" s="414">
        <f>IF(BE188=0,0,IF(BE188&lt;0,IF($J188=6,BE188,IF($J188=5,BE188,IF($J188=4,BE188,0)))))</f>
        <v>0</v>
      </c>
      <c r="BC188" s="414">
        <f>IF(BE188=0,0,IF(BE188&lt;0,IF($J188=9,BE188,IF($J188=8,BE188,IF($J188=7,BE188,0)))))</f>
        <v>0</v>
      </c>
      <c r="BD188" s="406">
        <f>IF(BE188=0,0,IF(BE188&lt;0,IF($J188=12,BE188,IF($J188=11,BE188,IF($J188=10,BE188,0)))))</f>
        <v>0</v>
      </c>
      <c r="BE188" s="407">
        <f t="shared" si="1391"/>
        <v>0</v>
      </c>
      <c r="BF188" s="404">
        <f>IF(BJ188=0,0,IF(BJ188&lt;0,IF($J188=3,BJ188,IF($J188=2,BJ188,IF($J188=1,BJ188,0)))))</f>
        <v>0</v>
      </c>
      <c r="BG188" s="414">
        <f>IF(BJ188=0,0,IF(BJ188&lt;0,IF($J188=6,BJ188,IF($J188=5,BJ188,IF($J188=4,BJ188,0)))))</f>
        <v>0</v>
      </c>
      <c r="BH188" s="414">
        <f>IF(BJ188=0,0,IF(BJ188&lt;0,IF($J188=9,BJ188,IF($J188=8,BJ188,IF($J188=7,BJ188,0)))))</f>
        <v>0</v>
      </c>
      <c r="BI188" s="406">
        <f>IF(BJ188=0,0,IF(BJ188&lt;0,IF($J188=12,BJ188,IF($J188=11,BJ188,IF($J188=10,BJ188,0)))))</f>
        <v>0</v>
      </c>
      <c r="BJ188" s="407">
        <f t="shared" si="1396"/>
        <v>0</v>
      </c>
      <c r="BK188" s="404">
        <f>IF(BO188=0,0,IF(BO188&lt;0,IF($J188=3,BO188,IF($J188=2,BO188,IF($J188=1,BO188,0)))))</f>
        <v>0</v>
      </c>
      <c r="BL188" s="414">
        <f>IF(BO188=0,0,IF(BO188&lt;0,IF($J188=6,BO188,IF($J188=5,BO188,IF($J188=4,BO188,0)))))</f>
        <v>0</v>
      </c>
      <c r="BM188" s="414">
        <f>IF(BO188=0,0,IF(BO188&lt;0,IF($J188=9,BO188,IF($J188=8,BO188,IF($J188=7,BO188,0)))))</f>
        <v>0</v>
      </c>
      <c r="BN188" s="406">
        <f>IF(BO188=0,0,IF(BO188&lt;0,IF($J188=12,BO188,IF($J188=11,BO188,IF($J188=10,BO188,0)))))</f>
        <v>0</v>
      </c>
      <c r="BO188" s="407">
        <f t="shared" si="1401"/>
        <v>0</v>
      </c>
      <c r="BP188" s="449"/>
      <c r="BQ188" s="413">
        <f>IF(AND(AH188&lt;&gt;0,AH$5=$H188),-$I188*$E188-AH188,IF(BQ$5=$H188,-$I188*$E188*(12-$J188+1)/12,0))</f>
        <v>0</v>
      </c>
      <c r="BR188" s="410">
        <f>IF($H188&lt;&gt;BV$5,0,IF(BV188&lt;0,IF($J188=1,-$E188*$I188/12*3,IF($J188=2,-$E188*$I188/12*2,IF($J188=3,-$E188*$I188/12*1,0)))))+IF(BQ$5&lt;&gt;$H188,0,IF(BQ188&lt;0,IF($J188=1,-$E188*$I188/12*0,IF($J188=2,-$E188*$I188/12*1,IF($J188=3,-$E188*$I188/12*2,IF($J188&gt;=4,-$E188*$I188/12*3,0))))))</f>
        <v>0</v>
      </c>
      <c r="BS188" s="416">
        <f>IF($H188&lt;&gt;BV$5,0,IF(BV188&lt;0,IF(OR($J188=1,$J188=2,$J188=3,$J188=4),-$E188*$I188/12*3,IF($J188=5,-$E188*$I188/12*2,IF($J188=6,-$E188*$I188/12*1,0)))))+IF(BQ$5&lt;&gt;$H188,0,IF(BQ188&lt;0,IF($J188=4,-$E188*$I188/12*0,IF($J188=5,-$E188*$I188/12*1,IF($J188=6,-$E188*$I188/12*2,IF($J188&gt;=7,-$E188*$I188/12*3,0))))))</f>
        <v>0</v>
      </c>
      <c r="BT188" s="416">
        <f>IF($H188&lt;&gt;BV$5,0,IF(BV188&lt;0,IF(OR($J188=1,$J188=2,$J188=3,$J188=4,$J188=5,$J188=6,$J188=7),-$E188*$I188/12*3,IF($J188=8,-$E188*$I188/12*2,IF($J188=9,-$E188*$I188/12*1,0)))))+IF(BQ$5&lt;&gt;$H188,0,IF(BQ188&lt;0,IF($J188=7,-$E188*$I188/12*0,IF($J188=8,-$E188*$I188/12*1,IF($J188=9,-$E188*$I188/12*2,IF($J188&gt;=10,-$E188*$I188/12*3,0))))))</f>
        <v>0</v>
      </c>
      <c r="BU188" s="412">
        <f>IF($H188&lt;&gt;BV$5,0,IF(BV188&lt;0,IF(OR($J188=1,$J188=2,$J188=3,$J188=4,$J188=5,$J188=6,$J188=7,$J188=8,$J188=9,$J188=10),-$E188*$I188/12*3,IF($J188=11,-$E188*$I188/12*2,IF($J188=12,-$E188*$I188/12*1,0)))))+IF(BQ$5&lt;&gt;$H188,0,IF(BQ188&lt;0,IF($J188=10,-$E188*$I188/12*0,IF($J188=11,-$E188*$I188/12*1,IF($J188=12,-$E188*$I188/12*2,0)))))</f>
        <v>0</v>
      </c>
      <c r="BV188" s="413">
        <f>IF(AND(BQ188&lt;&gt;0,BQ$5=$H188),-$I188*$E188-BQ188,IF(BV$5=$H188,-$I188*$E188*(12-$J188+1)/12,0))</f>
        <v>0</v>
      </c>
      <c r="BW188" s="410">
        <f>IF($H188&lt;&gt;CA$5,0,IF(CA188&lt;0,IF($J188=1,-$E188*$I188/12*3,IF($J188=2,-$E188*$I188/12*2,IF($J188=3,-$E188*$I188/12*1,0)))))+IF(BV$5&lt;&gt;$H188,0,IF(BV188&lt;0,IF($J188=1,-$E188*$I188/12*0,IF($J188=2,-$E188*$I188/12*1,IF($J188=3,-$E188*$I188/12*2,IF($J188&gt;=4,-$E188*$I188/12*3,0))))))</f>
        <v>0</v>
      </c>
      <c r="BX188" s="416">
        <f>IF($H188&lt;&gt;CA$5,0,IF(CA188&lt;0,IF(OR($J188=1,$J188=2,$J188=3,$J188=4),-$E188*$I188/12*3,IF($J188=5,-$E188*$I188/12*2,IF($J188=6,-$E188*$I188/12*1,0)))))+IF(BV$5&lt;&gt;$H188,0,IF(BV188&lt;0,IF($J188=4,-$E188*$I188/12*0,IF($J188=5,-$E188*$I188/12*1,IF($J188=6,-$E188*$I188/12*2,IF($J188&gt;=7,-$E188*$I188/12*3,0))))))</f>
        <v>0</v>
      </c>
      <c r="BY188" s="416">
        <f>IF($H188&lt;&gt;CA$5,0,IF(CA188&lt;0,IF(OR($J188=1,$J188=2,$J188=3,$J188=4,$J188=5,$J188=6,$J188=7),-$E188*$I188/12*3,IF($J188=8,-$E188*$I188/12*2,IF($J188=9,-$E188*$I188/12*1,0)))))+IF(BV$5&lt;&gt;$H188,0,IF(BV188&lt;0,IF($J188=7,-$E188*$I188/12*0,IF($J188=8,-$E188*$I188/12*1,IF($J188=9,-$E188*$I188/12*2,IF($J188&gt;=10,-$E188*$I188/12*3,0))))))</f>
        <v>0</v>
      </c>
      <c r="BZ188" s="412">
        <f>IF($H188&lt;&gt;CA$5,0,IF(CA188&lt;0,IF(OR($J188=1,$J188=2,$J188=3,$J188=4,$J188=5,$J188=6,$J188=7,$J188=8,$J188=9,$J188=10),-$E188*$I188/12*3,IF($J188=11,-$E188*$I188/12*2,IF($J188=12,-$E188*$I188/12*1,0)))))+IF(BV$5&lt;&gt;$H188,0,IF(BV188&lt;0,IF($J188=10,-$E188*$I188/12*0,IF($J188=11,-$E188*$I188/12*1,IF($J188=12,-$E188*$I188/12*2,0)))))</f>
        <v>0</v>
      </c>
      <c r="CA188" s="413">
        <f>IF(AND(BV188&lt;&gt;0,BV$5=$H188),-$I188*$E188-BV188,IF(CA$5=$H188,-$I188*$E188*(12-$J188+1)/12,0))</f>
        <v>0</v>
      </c>
      <c r="CB188" s="410">
        <f>IF($H188&lt;&gt;CF$5,0,IF(CF188&lt;0,IF($J188=1,-$E188*$I188/12*3,IF($J188=2,-$E188*$I188/12*2,IF($J188=3,-$E188*$I188/12*1,0)))))+IF(CA$5&lt;&gt;$H188,0,IF(CA188&lt;0,IF($J188=1,-$E188*$I188/12*0,IF($J188=2,-$E188*$I188/12*1,IF($J188=3,-$E188*$I188/12*2,IF($J188&gt;=4,-$E188*$I188/12*3,0))))))</f>
        <v>0</v>
      </c>
      <c r="CC188" s="416">
        <f>IF($H188&lt;&gt;CF$5,0,IF(CF188&lt;0,IF(OR($J188=1,$J188=2,$J188=3,$J188=4),-$E188*$I188/12*3,IF($J188=5,-$E188*$I188/12*2,IF($J188=6,-$E188*$I188/12*1,0)))))+IF(CA$5&lt;&gt;$H188,0,IF(CA188&lt;0,IF($J188=4,-$E188*$I188/12*0,IF($J188=5,-$E188*$I188/12*1,IF($J188=6,-$E188*$I188/12*2,IF($J188&gt;=7,-$E188*$I188/12*3,0))))))</f>
        <v>0</v>
      </c>
      <c r="CD188" s="416">
        <f>IF($H188&lt;&gt;CF$5,0,IF(CF188&lt;0,IF(OR($J188=1,$J188=2,$J188=3,$J188=4,$J188=5,$J188=6,$J188=7),-$E188*$I188/12*3,IF($J188=8,-$E188*$I188/12*2,IF($J188=9,-$E188*$I188/12*1,0)))))+IF(CA$5&lt;&gt;$H188,0,IF(CA188&lt;0,IF($J188=7,-$E188*$I188/12*0,IF($J188=8,-$E188*$I188/12*1,IF($J188=9,-$E188*$I188/12*2,IF($J188&gt;=10,-$E188*$I188/12*3,0))))))</f>
        <v>0</v>
      </c>
      <c r="CE188" s="412">
        <f>IF($H188&lt;&gt;CF$5,0,IF(CF188&lt;0,IF(OR($J188=1,$J188=2,$J188=3,$J188=4,$J188=5,$J188=6,$J188=7,$J188=8,$J188=9,$J188=10),-$E188*$I188/12*3,IF($J188=11,-$E188*$I188/12*2,IF($J188=12,-$E188*$I188/12*1,0)))))+IF(CA$5&lt;&gt;$H188,0,IF(CA188&lt;0,IF($J188=10,-$E188*$I188/12*0,IF($J188=11,-$E188*$I188/12*1,IF($J188=12,-$E188*$I188/12*2,0)))))</f>
        <v>0</v>
      </c>
      <c r="CF188" s="413">
        <f>IF(AND(CA188&lt;&gt;0,CA$5=$H188),-$I188*$E188-CA188,IF(CF$5=$H188,-$I188*$E188*(12-$J188+1)/12,0))</f>
        <v>0</v>
      </c>
      <c r="CG188" s="410">
        <f>IF($H188&lt;&gt;CK$5,0,IF(CK188&lt;0,IF($J188=1,-$E188*$I188/12*3,IF($J188=2,-$E188*$I188/12*2,IF($J188=3,-$E188*$I188/12*1,0)))))+IF(CF$5&lt;&gt;$H188,0,IF(CF188&lt;0,IF($J188=1,-$E188*$I188/12*0,IF($J188=2,-$E188*$I188/12*1,IF($J188=3,-$E188*$I188/12*2,IF($J188&gt;=4,-$E188*$I188/12*3,0))))))</f>
        <v>0</v>
      </c>
      <c r="CH188" s="416">
        <f>IF($H188&lt;&gt;CK$5,0,IF(CK188&lt;0,IF(OR($J188=1,$J188=2,$J188=3,$J188=4),-$E188*$I188/12*3,IF($J188=5,-$E188*$I188/12*2,IF($J188=6,-$E188*$I188/12*1,0)))))+IF(CF$5&lt;&gt;$H188,0,IF(CF188&lt;0,IF($J188=4,-$E188*$I188/12*0,IF($J188=5,-$E188*$I188/12*1,IF($J188=6,-$E188*$I188/12*2,IF($J188&gt;=7,-$E188*$I188/12*3,0))))))</f>
        <v>0</v>
      </c>
      <c r="CI188" s="416">
        <f>IF($H188&lt;&gt;CK$5,0,IF(CK188&lt;0,IF(OR($J188=1,$J188=2,$J188=3,$J188=4,$J188=5,$J188=6,$J188=7),-$E188*$I188/12*3,IF($J188=8,-$E188*$I188/12*2,IF($J188=9,-$E188*$I188/12*1,0)))))+IF(CF$5&lt;&gt;$H188,0,IF(CF188&lt;0,IF($J188=7,-$E188*$I188/12*0,IF($J188=8,-$E188*$I188/12*1,IF($J188=9,-$E188*$I188/12*2,IF($J188&gt;=10,-$E188*$I188/12*3,0))))))</f>
        <v>0</v>
      </c>
      <c r="CJ188" s="412">
        <f>IF($H188&lt;&gt;CK$5,0,IF(CK188&lt;0,IF(OR($J188=1,$J188=2,$J188=3,$J188=4,$J188=5,$J188=6,$J188=7,$J188=8,$J188=9,$J188=10),-$E188*$I188/12*3,IF($J188=11,-$E188*$I188/12*2,IF($J188=12,-$E188*$I188/12*1,0)))))+IF(CF$5&lt;&gt;$H188,0,IF(CF188&lt;0,IF($J188=10,-$E188*$I188/12*0,IF($J188=11,-$E188*$I188/12*1,IF($J188=12,-$E188*$I188/12*2,0)))))</f>
        <v>0</v>
      </c>
      <c r="CK188" s="413">
        <f>IF(AND(CF188&lt;&gt;0,CF$5=$H188),-$I188*$E188-CF188,IF(CK$5=$H188,-$I188*$E188*(12-$J188+1)/12,0))</f>
        <v>0</v>
      </c>
      <c r="CL188" s="410">
        <f>IF($H188&lt;&gt;CP$5,0,IF(CP188&lt;0,IF($J188=1,-$E188*$I188/12*3,IF($J188=2,-$E188*$I188/12*2,IF($J188=3,-$E188*$I188/12*1,0)))))+IF(CK$5&lt;&gt;$H188,0,IF(CK188&lt;0,IF($J188=1,-$E188*$I188/12*0,IF($J188=2,-$E188*$I188/12*1,IF($J188=3,-$E188*$I188/12*2,IF($J188&gt;=4,-$E188*$I188/12*3,0))))))</f>
        <v>0</v>
      </c>
      <c r="CM188" s="416">
        <f>IF($H188&lt;&gt;CP$5,0,IF(CP188&lt;0,IF(OR($J188=1,$J188=2,$J188=3,$J188=4),-$E188*$I188/12*3,IF($J188=5,-$E188*$I188/12*2,IF($J188=6,-$E188*$I188/12*1,0)))))+IF(CK$5&lt;&gt;$H188,0,IF(CK188&lt;0,IF($J188=4,-$E188*$I188/12*0,IF($J188=5,-$E188*$I188/12*1,IF($J188=6,-$E188*$I188/12*2,IF($J188&gt;=7,-$E188*$I188/12*3,0))))))</f>
        <v>0</v>
      </c>
      <c r="CN188" s="416">
        <f>IF($H188&lt;&gt;CP$5,0,IF(CP188&lt;0,IF(OR($J188=1,$J188=2,$J188=3,$J188=4,$J188=5,$J188=6,$J188=7),-$E188*$I188/12*3,IF($J188=8,-$E188*$I188/12*2,IF($J188=9,-$E188*$I188/12*1,0)))))+IF(CK$5&lt;&gt;$H188,0,IF(CK188&lt;0,IF($J188=7,-$E188*$I188/12*0,IF($J188=8,-$E188*$I188/12*1,IF($J188=9,-$E188*$I188/12*2,IF($J188&gt;=10,-$E188*$I188/12*3,0))))))</f>
        <v>0</v>
      </c>
      <c r="CO188" s="412">
        <f>IF($H188&lt;&gt;CP$5,0,IF(CP188&lt;0,IF(OR($J188=1,$J188=2,$J188=3,$J188=4,$J188=5,$J188=6,$J188=7,$J188=8,$J188=9,$J188=10),-$E188*$I188/12*3,IF($J188=11,-$E188*$I188/12*2,IF($J188=12,-$E188*$I188/12*1,0)))))+IF(CK$5&lt;&gt;$H188,0,IF(CK188&lt;0,IF($J188=10,-$E188*$I188/12*0,IF($J188=11,-$E188*$I188/12*1,IF($J188=12,-$E188*$I188/12*2,0)))))</f>
        <v>0</v>
      </c>
      <c r="CP188" s="413">
        <f>IF(AND(CK188&lt;&gt;0,CK$5=$H188),-$I188*$E188-CK188,IF(CP$5=$H188,-$I188*$E188*(12-$J188+1)/12,0))</f>
        <v>0</v>
      </c>
      <c r="CQ188" s="410">
        <f>IF($H188&lt;&gt;CU$5,0,IF(CU188&lt;0,IF($J188=1,-$E188*$I188/12*3,IF($J188=2,-$E188*$I188/12*2,IF($J188=3,-$E188*$I188/12*1,0)))))+IF(CP$5&lt;&gt;$H188,0,IF(CP188&lt;0,IF($J188=1,-$E188*$I188/12*0,IF($J188=2,-$E188*$I188/12*1,IF($J188=3,-$E188*$I188/12*2,IF($J188&gt;=4,-$E188*$I188/12*3,0))))))</f>
        <v>0</v>
      </c>
      <c r="CR188" s="416">
        <f>IF($H188&lt;&gt;CU$5,0,IF(CU188&lt;0,IF(OR($J188=1,$J188=2,$J188=3,$J188=4),-$E188*$I188/12*3,IF($J188=5,-$E188*$I188/12*2,IF($J188=6,-$E188*$I188/12*1,0)))))+IF(CP$5&lt;&gt;$H188,0,IF(CP188&lt;0,IF($J188=4,-$E188*$I188/12*0,IF($J188=5,-$E188*$I188/12*1,IF($J188=6,-$E188*$I188/12*2,IF($J188&gt;=7,-$E188*$I188/12*3,0))))))</f>
        <v>0</v>
      </c>
      <c r="CS188" s="416">
        <f>IF($H188&lt;&gt;CU$5,0,IF(CU188&lt;0,IF(OR($J188=1,$J188=2,$J188=3,$J188=4,$J188=5,$J188=6,$J188=7),-$E188*$I188/12*3,IF($J188=8,-$E188*$I188/12*2,IF($J188=9,-$E188*$I188/12*1,0)))))+IF(CP$5&lt;&gt;$H188,0,IF(CP188&lt;0,IF($J188=7,-$E188*$I188/12*0,IF($J188=8,-$E188*$I188/12*1,IF($J188=9,-$E188*$I188/12*2,IF($J188&gt;=10,-$E188*$I188/12*3,0))))))</f>
        <v>0</v>
      </c>
      <c r="CT188" s="412">
        <f>IF($H188&lt;&gt;CU$5,0,IF(CU188&lt;0,IF(OR($J188=1,$J188=2,$J188=3,$J188=4,$J188=5,$J188=6,$J188=7,$J188=8,$J188=9,$J188=10),-$E188*$I188/12*3,IF($J188=11,-$E188*$I188/12*2,IF($J188=12,-$E188*$I188/12*1,0)))))+IF(CP$5&lt;&gt;$H188,0,IF(CP188&lt;0,IF($J188=10,-$E188*$I188/12*0,IF($J188=11,-$E188*$I188/12*1,IF($J188=12,-$E188*$I188/12*2,0)))))</f>
        <v>0</v>
      </c>
      <c r="CU188" s="413">
        <f>IF(AND(CP188&lt;&gt;0,CP$5=$H188),-$I188*$E188-CP188,IF(CU$5=$H188,-$I188*$E188*(12-$J188+1)/12,0))</f>
        <v>0</v>
      </c>
      <c r="CV188" s="410">
        <f>IF($H188&lt;&gt;CZ$5,0,IF(CZ188&lt;0,IF($J188=1,-$E188*$I188/12*3,IF($J188=2,-$E188*$I188/12*2,IF($J188=3,-$E188*$I188/12*1,0)))))+IF(CU$5&lt;&gt;$H188,0,IF(CU188&lt;0,IF($J188=1,-$E188*$I188/12*0,IF($J188=2,-$E188*$I188/12*1,IF($J188=3,-$E188*$I188/12*2,IF($J188&gt;=4,-$E188*$I188/12*3,0))))))</f>
        <v>0</v>
      </c>
      <c r="CW188" s="416">
        <f>IF($H188&lt;&gt;CZ$5,0,IF(CZ188&lt;0,IF(OR($J188=1,$J188=2,$J188=3,$J188=4),-$E188*$I188/12*3,IF($J188=5,-$E188*$I188/12*2,IF($J188=6,-$E188*$I188/12*1,0)))))+IF(CU$5&lt;&gt;$H188,0,IF(CU188&lt;0,IF($J188=4,-$E188*$I188/12*0,IF($J188=5,-$E188*$I188/12*1,IF($J188=6,-$E188*$I188/12*2,IF($J188&gt;=7,-$E188*$I188/12*3,0))))))</f>
        <v>0</v>
      </c>
      <c r="CX188" s="416">
        <f>IF($H188&lt;&gt;CZ$5,0,IF(CZ188&lt;0,IF(OR($J188=1,$J188=2,$J188=3,$J188=4,$J188=5,$J188=6,$J188=7),-$E188*$I188/12*3,IF($J188=8,-$E188*$I188/12*2,IF($J188=9,-$E188*$I188/12*1,0)))))+IF(CU$5&lt;&gt;$H188,0,IF(CU188&lt;0,IF($J188=7,-$E188*$I188/12*0,IF($J188=8,-$E188*$I188/12*1,IF($J188=9,-$E188*$I188/12*2,IF($J188&gt;=10,-$E188*$I188/12*3,0))))))</f>
        <v>0</v>
      </c>
      <c r="CY188" s="412">
        <f>IF($H188&lt;&gt;CZ$5,0,IF(CZ188&lt;0,IF(OR($J188=1,$J188=2,$J188=3,$J188=4,$J188=5,$J188=6,$J188=7,$J188=8,$J188=9,$J188=10),-$E188*$I188/12*3,IF($J188=11,-$E188*$I188/12*2,IF($J188=12,-$E188*$I188/12*1,0)))))+IF(CU$5&lt;&gt;$H188,0,IF(CU188&lt;0,IF($J188=10,-$E188*$I188/12*0,IF($J188=11,-$E188*$I188/12*1,IF($J188=12,-$E188*$I188/12*2,0)))))</f>
        <v>0</v>
      </c>
      <c r="CZ188" s="413">
        <f>IF(AND(CU188&lt;&gt;0,CU$5=$H188),-$I188*$E188-CU188,IF(CZ$5=$H188,-$I188*$E188*(12-$J188+1)/12,0))</f>
        <v>0</v>
      </c>
      <c r="DA188" s="410">
        <f>IF($H188&lt;&gt;DE$5,0,IF(DE188&lt;0,IF($J188=1,-$E188*$I188/12*3,IF($J188=2,-$E188*$I188/12*2,IF($J188=3,-$E188*$I188/12*1,0)))))+IF(CZ$5&lt;&gt;$H188,0,IF(CZ188&lt;0,IF($J188=1,-$E188*$I188/12*0,IF($J188=2,-$E188*$I188/12*1,IF($J188=3,-$E188*$I188/12*2,IF($J188&gt;=4,-$E188*$I188/12*3,0))))))</f>
        <v>0</v>
      </c>
      <c r="DB188" s="416">
        <f>IF($H188&lt;&gt;DE$5,0,IF(DE188&lt;0,IF(OR($J188=1,$J188=2,$J188=3,$J188=4),-$E188*$I188/12*3,IF($J188=5,-$E188*$I188/12*2,IF($J188=6,-$E188*$I188/12*1,0)))))+IF(CZ$5&lt;&gt;$H188,0,IF(CZ188&lt;0,IF($J188=4,-$E188*$I188/12*0,IF($J188=5,-$E188*$I188/12*1,IF($J188=6,-$E188*$I188/12*2,IF($J188&gt;=7,-$E188*$I188/12*3,0))))))</f>
        <v>0</v>
      </c>
      <c r="DC188" s="416">
        <f>IF($H188&lt;&gt;DE$5,0,IF(DE188&lt;0,IF(OR($J188=1,$J188=2,$J188=3,$J188=4,$J188=5,$J188=6,$J188=7),-$E188*$I188/12*3,IF($J188=8,-$E188*$I188/12*2,IF($J188=9,-$E188*$I188/12*1,0)))))+IF(CZ$5&lt;&gt;$H188,0,IF(CZ188&lt;0,IF($J188=7,-$E188*$I188/12*0,IF($J188=8,-$E188*$I188/12*1,IF($J188=9,-$E188*$I188/12*2,IF($J188&gt;=10,-$E188*$I188/12*3,0))))))</f>
        <v>0</v>
      </c>
      <c r="DD188" s="412">
        <f>IF($H188&lt;&gt;DE$5,0,IF(DE188&lt;0,IF(OR($J188=1,$J188=2,$J188=3,$J188=4,$J188=5,$J188=6,$J188=7,$J188=8,$J188=9,$J188=10),-$E188*$I188/12*3,IF($J188=11,-$E188*$I188/12*2,IF($J188=12,-$E188*$I188/12*1,0)))))+IF(CZ$5&lt;&gt;$H188,0,IF(CZ188&lt;0,IF($J188=10,-$E188*$I188/12*0,IF($J188=11,-$E188*$I188/12*1,IF($J188=12,-$E188*$I188/12*2,0)))))</f>
        <v>0</v>
      </c>
      <c r="DE188" s="413">
        <f>IF(AND(CZ188&lt;&gt;0,CZ$5=$H188),-$I188*$E188-CZ188,IF(DE$5=$H188,-$I188*$E188*(12-$J188+1)/12,0))</f>
        <v>0</v>
      </c>
      <c r="DF188" s="410">
        <f>IF($H188&lt;&gt;DJ$5,0,IF(DJ188&lt;0,IF($J188=1,-$E188*$I188/12*3,IF($J188=2,-$E188*$I188/12*2,IF($J188=3,-$E188*$I188/12*1,0)))))+IF(DE$5&lt;&gt;$H188,0,IF(DE188&lt;0,IF($J188=1,-$E188*$I188/12*0,IF($J188=2,-$E188*$I188/12*1,IF($J188=3,-$E188*$I188/12*2,IF($J188&gt;=4,-$E188*$I188/12*3,0))))))</f>
        <v>0</v>
      </c>
      <c r="DG188" s="416">
        <f>IF($H188&lt;&gt;DJ$5,0,IF(DJ188&lt;0,IF(OR($J188=1,$J188=2,$J188=3,$J188=4),-$E188*$I188/12*3,IF($J188=5,-$E188*$I188/12*2,IF($J188=6,-$E188*$I188/12*1,0)))))+IF(DE$5&lt;&gt;$H188,0,IF(DE188&lt;0,IF($J188=4,-$E188*$I188/12*0,IF($J188=5,-$E188*$I188/12*1,IF($J188=6,-$E188*$I188/12*2,IF($J188&gt;=7,-$E188*$I188/12*3,0))))))</f>
        <v>0</v>
      </c>
      <c r="DH188" s="416">
        <f>IF($H188&lt;&gt;DJ$5,0,IF(DJ188&lt;0,IF(OR($J188=1,$J188=2,$J188=3,$J188=4,$J188=5,$J188=6,$J188=7),-$E188*$I188/12*3,IF($J188=8,-$E188*$I188/12*2,IF($J188=9,-$E188*$I188/12*1,0)))))+IF(DE$5&lt;&gt;$H188,0,IF(DE188&lt;0,IF($J188=7,-$E188*$I188/12*0,IF($J188=8,-$E188*$I188/12*1,IF($J188=9,-$E188*$I188/12*2,IF($J188&gt;=10,-$E188*$I188/12*3,0))))))</f>
        <v>0</v>
      </c>
      <c r="DI188" s="412">
        <f>IF($H188&lt;&gt;DJ$5,0,IF(DJ188&lt;0,IF(OR($J188=1,$J188=2,$J188=3,$J188=4,$J188=5,$J188=6,$J188=7,$J188=8,$J188=9,$J188=10),-$E188*$I188/12*3,IF($J188=11,-$E188*$I188/12*2,IF($J188=12,-$E188*$I188/12*1,0)))))+IF(DE$5&lt;&gt;$H188,0,IF(DE188&lt;0,IF($J188=10,-$E188*$I188/12*0,IF($J188=11,-$E188*$I188/12*1,IF($J188=12,-$E188*$I188/12*2,0)))))</f>
        <v>0</v>
      </c>
      <c r="DJ188" s="413">
        <f>IF(AND(DE188&lt;&gt;0,DE$5=$H188),-$I188*$E188-DE188,IF(DJ$5=$H188,-$I188*$E188*(12-$J188+1)/12,0))</f>
        <v>0</v>
      </c>
      <c r="DK188" s="410">
        <f>IF($H188&lt;&gt;DO$5,0,IF(DO188&lt;0,IF($J188=1,-$E188*$I188/12*3,IF($J188=2,-$E188*$I188/12*2,IF($J188=3,-$E188*$I188/12*1,0)))))+IF(DJ$5&lt;&gt;$H188,0,IF(DJ188&lt;0,IF($J188=1,-$E188*$I188/12*0,IF($J188=2,-$E188*$I188/12*1,IF($J188=3,-$E188*$I188/12*2,IF($J188&gt;=4,-$E188*$I188/12*3,0))))))</f>
        <v>0</v>
      </c>
      <c r="DL188" s="416">
        <f>IF($H188&lt;&gt;DO$5,0,IF(DO188&lt;0,IF(OR($J188=1,$J188=2,$J188=3,$J188=4),-$E188*$I188/12*3,IF($J188=5,-$E188*$I188/12*2,IF($J188=6,-$E188*$I188/12*1,0)))))+IF(DJ$5&lt;&gt;$H188,0,IF(DJ188&lt;0,IF($J188=4,-$E188*$I188/12*0,IF($J188=5,-$E188*$I188/12*1,IF($J188=6,-$E188*$I188/12*2,IF($J188&gt;=7,-$E188*$I188/12*3,0))))))</f>
        <v>0</v>
      </c>
      <c r="DM188" s="416">
        <f>IF($H188&lt;&gt;DO$5,0,IF(DO188&lt;0,IF(OR($J188=1,$J188=2,$J188=3,$J188=4,$J188=5,$J188=6,$J188=7),-$E188*$I188/12*3,IF($J188=8,-$E188*$I188/12*2,IF($J188=9,-$E188*$I188/12*1,0)))))+IF(DJ$5&lt;&gt;$H188,0,IF(DJ188&lt;0,IF($J188=7,-$E188*$I188/12*0,IF($J188=8,-$E188*$I188/12*1,IF($J188=9,-$E188*$I188/12*2,IF($J188&gt;=10,-$E188*$I188/12*3,0))))))</f>
        <v>0</v>
      </c>
      <c r="DN188" s="412">
        <f>IF($H188&lt;&gt;DO$5,0,IF(DO188&lt;0,IF(OR($J188=1,$J188=2,$J188=3,$J188=4,$J188=5,$J188=6,$J188=7,$J188=8,$J188=9,$J188=10),-$E188*$I188/12*3,IF($J188=11,-$E188*$I188/12*2,IF($J188=12,-$E188*$I188/12*1,0)))))+IF(DJ$5&lt;&gt;$H188,0,IF(DJ188&lt;0,IF($J188=10,-$E188*$I188/12*0,IF($J188=11,-$E188*$I188/12*1,IF($J188=12,-$E188*$I188/12*2,0)))))</f>
        <v>0</v>
      </c>
      <c r="DO188" s="413">
        <f>IF(AND(DJ188&lt;&gt;0,DJ$5=$H188),-$I188*$E188-DJ188,IF(DO$5=$H188,-$I188*$E188*(12-$J188+1)/12,0))</f>
        <v>0</v>
      </c>
      <c r="DP188" s="410">
        <f>IF($H188&lt;&gt;DT$5,0,IF(DT188&lt;0,IF($J188=1,-$E188*$I188/12*3,IF($J188=2,-$E188*$I188/12*2,IF($J188=3,-$E188*$I188/12*1,0)))))+IF(DO$5&lt;&gt;$H188,0,IF(DO188&lt;0,IF($J188=1,-$E188*$I188/12*0,IF($J188=2,-$E188*$I188/12*1,IF($J188=3,-$E188*$I188/12*2,IF($J188&gt;=4,-$E188*$I188/12*3,0))))))</f>
        <v>0</v>
      </c>
      <c r="DQ188" s="416">
        <f>IF($H188&lt;&gt;DT$5,0,IF(DT188&lt;0,IF(OR($J188=1,$J188=2,$J188=3,$J188=4),-$E188*$I188/12*3,IF($J188=5,-$E188*$I188/12*2,IF($J188=6,-$E188*$I188/12*1,0)))))+IF(DO$5&lt;&gt;$H188,0,IF(DO188&lt;0,IF($J188=4,-$E188*$I188/12*0,IF($J188=5,-$E188*$I188/12*1,IF($J188=6,-$E188*$I188/12*2,IF($J188&gt;=7,-$E188*$I188/12*3,0))))))</f>
        <v>0</v>
      </c>
      <c r="DR188" s="416">
        <f>IF($H188&lt;&gt;DT$5,0,IF(DT188&lt;0,IF(OR($J188=1,$J188=2,$J188=3,$J188=4,$J188=5,$J188=6,$J188=7),-$E188*$I188/12*3,IF($J188=8,-$E188*$I188/12*2,IF($J188=9,-$E188*$I188/12*1,0)))))+IF(DO$5&lt;&gt;$H188,0,IF(DO188&lt;0,IF($J188=7,-$E188*$I188/12*0,IF($J188=8,-$E188*$I188/12*1,IF($J188=9,-$E188*$I188/12*2,IF($J188&gt;=10,-$E188*$I188/12*3,0))))))</f>
        <v>0</v>
      </c>
      <c r="DS188" s="412">
        <f>IF($H188&lt;&gt;DT$5,0,IF(DT188&lt;0,IF(OR($J188=1,$J188=2,$J188=3,$J188=4,$J188=5,$J188=6,$J188=7,$J188=8,$J188=9,$J188=10),-$E188*$I188/12*3,IF($J188=11,-$E188*$I188/12*2,IF($J188=12,-$E188*$I188/12*1,0)))))+IF(DO$5&lt;&gt;$H188,0,IF(DO188&lt;0,IF($J188=10,-$E188*$I188/12*0,IF($J188=11,-$E188*$I188/12*1,IF($J188=12,-$E188*$I188/12*2,0)))))</f>
        <v>0</v>
      </c>
      <c r="DT188" s="413">
        <f>IF(AND(DO188&lt;&gt;0,DO$5=$H188),-$I188*$E188-DO188,IF(DT$5=$H188,-$I188*$E188*(12-$J188+1)/12,0))</f>
        <v>0</v>
      </c>
    </row>
    <row r="189" spans="1:124" ht="12.75" customHeight="1">
      <c r="A189" s="491"/>
      <c r="C189" s="559" t="s">
        <v>1338</v>
      </c>
      <c r="D189" s="1885"/>
      <c r="E189" s="1886">
        <f t="shared" si="1458"/>
        <v>165</v>
      </c>
      <c r="F189" s="1532">
        <v>165</v>
      </c>
      <c r="G189" s="1532">
        <v>0</v>
      </c>
      <c r="H189" s="610">
        <v>2029</v>
      </c>
      <c r="I189" s="830">
        <v>3.4500000000000003E-2</v>
      </c>
      <c r="J189" s="615">
        <v>9</v>
      </c>
      <c r="K189" s="402"/>
      <c r="L189" s="407">
        <f t="shared" si="1346"/>
        <v>0</v>
      </c>
      <c r="M189" s="404">
        <f>IF(Q189=0,0,IF(Q189&lt;0,IF($J189=3,Q189,IF($J189=2,Q189,IF($J189=1,Q189,0)))))</f>
        <v>0</v>
      </c>
      <c r="N189" s="414">
        <f>IF(Q189=0,0,IF(Q189&lt;0,IF($J189=6,Q189,IF($J189=5,Q189,IF($J189=4,Q189,0)))))</f>
        <v>0</v>
      </c>
      <c r="O189" s="414">
        <f>IF(Q189=0,0,IF(Q189&lt;0,IF($J189=9,Q189,IF($J189=8,Q189,IF($J189=7,Q189,0)))))</f>
        <v>0</v>
      </c>
      <c r="P189" s="406">
        <f>IF(Q189=0,0,IF(Q189&lt;0,IF($J189=12,Q189,IF($J189=11,Q189,IF($J189=10,Q189,0)))))</f>
        <v>0</v>
      </c>
      <c r="Q189" s="407">
        <f t="shared" si="1351"/>
        <v>0</v>
      </c>
      <c r="R189" s="404">
        <f>IF(V189=0,0,IF(V189&lt;0,IF($J189=3,V189,IF($J189=2,V189,IF($J189=1,V189,0)))))</f>
        <v>0</v>
      </c>
      <c r="S189" s="414">
        <f>IF(V189=0,0,IF(V189&lt;0,IF($J189=6,V189,IF($J189=5,V189,IF($J189=4,V189,0)))))</f>
        <v>0</v>
      </c>
      <c r="T189" s="414">
        <f>IF(V189=0,0,IF(V189&lt;0,IF($J189=9,V189,IF($J189=8,V189,IF($J189=7,V189,0)))))</f>
        <v>0</v>
      </c>
      <c r="U189" s="406">
        <f>IF(V189=0,0,IF(V189&lt;0,IF($J189=12,V189,IF($J189=11,V189,IF($J189=10,V189,0)))))</f>
        <v>0</v>
      </c>
      <c r="V189" s="407">
        <f t="shared" si="1356"/>
        <v>0</v>
      </c>
      <c r="W189" s="404">
        <f>IF(AA189=0,0,IF(AA189&lt;0,IF($J189=3,AA189,IF($J189=2,AA189,IF($J189=1,AA189,0)))))</f>
        <v>0</v>
      </c>
      <c r="X189" s="414">
        <f>IF(AA189=0,0,IF(AA189&lt;0,IF($J189=6,AA189,IF($J189=5,AA189,IF($J189=4,AA189,0)))))</f>
        <v>0</v>
      </c>
      <c r="Y189" s="414">
        <f>IF(AA189=0,0,IF(AA189&lt;0,IF($J189=9,AA189,IF($J189=8,AA189,IF($J189=7,AA189,0)))))</f>
        <v>0</v>
      </c>
      <c r="Z189" s="406">
        <f>IF(AA189=0,0,IF(AA189&lt;0,IF($J189=12,AA189,IF($J189=11,AA189,IF($J189=10,AA189,0)))))</f>
        <v>0</v>
      </c>
      <c r="AA189" s="407">
        <f t="shared" si="1361"/>
        <v>0</v>
      </c>
      <c r="AB189" s="404">
        <f>IF(AF189=0,0,IF(AF189&lt;0,IF($J189=3,AF189,IF($J189=2,AF189,IF($J189=1,AF189,0)))))</f>
        <v>0</v>
      </c>
      <c r="AC189" s="414">
        <f>IF(AF189=0,0,IF(AF189&lt;0,IF($J189=6,AF189,IF($J189=5,AF189,IF($J189=4,AF189,0)))))</f>
        <v>0</v>
      </c>
      <c r="AD189" s="414">
        <f>IF(AF189=0,0,IF(AF189&lt;0,IF($J189=9,AF189,IF($J189=8,AF189,IF($J189=7,AF189,0)))))</f>
        <v>0</v>
      </c>
      <c r="AE189" s="406">
        <f>IF(AF189=0,0,IF(AF189&lt;0,IF($J189=12,AF189,IF($J189=11,AF189,IF($J189=10,AF189,0)))))</f>
        <v>0</v>
      </c>
      <c r="AF189" s="407">
        <f t="shared" si="1366"/>
        <v>0</v>
      </c>
      <c r="AG189" s="404">
        <f>IF(AK189=0,0,IF(AK189&lt;0,IF($J189=3,AK189,IF($J189=2,AK189,IF($J189=1,AK189,0)))))</f>
        <v>0</v>
      </c>
      <c r="AH189" s="414">
        <f>IF(AK189=0,0,IF(AK189&lt;0,IF($J189=6,AK189,IF($J189=5,AK189,IF($J189=4,AK189,0)))))</f>
        <v>0</v>
      </c>
      <c r="AI189" s="414">
        <f>IF(AK189=0,0,IF(AK189&lt;0,IF($J189=9,AK189,IF($J189=8,AK189,IF($J189=7,AK189,0)))))</f>
        <v>0</v>
      </c>
      <c r="AJ189" s="406">
        <f>IF(AK189=0,0,IF(AK189&lt;0,IF($J189=12,AK189,IF($J189=11,AK189,IF($J189=10,AK189,0)))))</f>
        <v>0</v>
      </c>
      <c r="AK189" s="407">
        <f t="shared" si="1371"/>
        <v>0</v>
      </c>
      <c r="AL189" s="404">
        <f>IF(AP189=0,0,IF(AP189&lt;0,IF($J189=3,AP189,IF($J189=2,AP189,IF($J189=1,AP189,0)))))</f>
        <v>0</v>
      </c>
      <c r="AM189" s="414">
        <f>IF(AP189=0,0,IF(AP189&lt;0,IF($J189=6,AP189,IF($J189=5,AP189,IF($J189=4,AP189,0)))))</f>
        <v>0</v>
      </c>
      <c r="AN189" s="414">
        <f>IF(AP189=0,0,IF(AP189&lt;0,IF($J189=9,AP189,IF($J189=8,AP189,IF($J189=7,AP189,0)))))</f>
        <v>0</v>
      </c>
      <c r="AO189" s="406">
        <f>IF(AP189=0,0,IF(AP189&lt;0,IF($J189=12,AP189,IF($J189=11,AP189,IF($J189=10,AP189,0)))))</f>
        <v>0</v>
      </c>
      <c r="AP189" s="407">
        <f t="shared" si="1376"/>
        <v>0</v>
      </c>
      <c r="AQ189" s="404">
        <f>IF(AU189=0,0,IF(AU189&lt;0,IF($J189=3,AU189,IF($J189=2,AU189,IF($J189=1,AU189,0)))))</f>
        <v>0</v>
      </c>
      <c r="AR189" s="414">
        <f>IF(AU189=0,0,IF(AU189&lt;0,IF($J189=6,AU189,IF($J189=5,AU189,IF($J189=4,AU189,0)))))</f>
        <v>0</v>
      </c>
      <c r="AS189" s="414">
        <f>IF(AU189=0,0,IF(AU189&lt;0,IF($J189=9,AU189,IF($J189=8,AU189,IF($J189=7,AU189,0)))))</f>
        <v>0</v>
      </c>
      <c r="AT189" s="406">
        <f>IF(AU189=0,0,IF(AU189&lt;0,IF($J189=12,AU189,IF($J189=11,AU189,IF($J189=10,AU189,0)))))</f>
        <v>0</v>
      </c>
      <c r="AU189" s="407">
        <f t="shared" si="1381"/>
        <v>0</v>
      </c>
      <c r="AV189" s="404">
        <f>IF(AZ189=0,0,IF(AZ189&lt;0,IF($J189=3,AZ189,IF($J189=2,AZ189,IF($J189=1,AZ189,0)))))</f>
        <v>0</v>
      </c>
      <c r="AW189" s="414">
        <f>IF(AZ189=0,0,IF(AZ189&lt;0,IF($J189=6,AZ189,IF($J189=5,AZ189,IF($J189=4,AZ189,0)))))</f>
        <v>0</v>
      </c>
      <c r="AX189" s="414">
        <f>IF(AZ189=0,0,IF(AZ189&lt;0,IF($J189=9,AZ189,IF($J189=8,AZ189,IF($J189=7,AZ189,0)))))</f>
        <v>0</v>
      </c>
      <c r="AY189" s="406">
        <f>IF(AZ189=0,0,IF(AZ189&lt;0,IF($J189=12,AZ189,IF($J189=11,AZ189,IF($J189=10,AZ189,0)))))</f>
        <v>0</v>
      </c>
      <c r="AZ189" s="407">
        <f t="shared" si="1386"/>
        <v>0</v>
      </c>
      <c r="BA189" s="404">
        <f>IF(BE189=0,0,IF(BE189&lt;0,IF($J189=3,BE189,IF($J189=2,BE189,IF($J189=1,BE189,0)))))</f>
        <v>0</v>
      </c>
      <c r="BB189" s="414">
        <f>IF(BE189=0,0,IF(BE189&lt;0,IF($J189=6,BE189,IF($J189=5,BE189,IF($J189=4,BE189,0)))))</f>
        <v>0</v>
      </c>
      <c r="BC189" s="414">
        <f>IF(BE189=0,0,IF(BE189&lt;0,IF($J189=9,BE189,IF($J189=8,BE189,IF($J189=7,BE189,0)))))</f>
        <v>0</v>
      </c>
      <c r="BD189" s="406">
        <f>IF(BE189=0,0,IF(BE189&lt;0,IF($J189=12,BE189,IF($J189=11,BE189,IF($J189=10,BE189,0)))))</f>
        <v>0</v>
      </c>
      <c r="BE189" s="407">
        <f t="shared" si="1391"/>
        <v>0</v>
      </c>
      <c r="BF189" s="404">
        <f>IF(BJ189=0,0,IF(BJ189&lt;0,IF($J189=3,BJ189,IF($J189=2,BJ189,IF($J189=1,BJ189,0)))))</f>
        <v>0</v>
      </c>
      <c r="BG189" s="414">
        <f>IF(BJ189=0,0,IF(BJ189&lt;0,IF($J189=6,BJ189,IF($J189=5,BJ189,IF($J189=4,BJ189,0)))))</f>
        <v>0</v>
      </c>
      <c r="BH189" s="414">
        <f>IF(BJ189=0,0,IF(BJ189&lt;0,IF($J189=9,BJ189,IF($J189=8,BJ189,IF($J189=7,BJ189,0)))))</f>
        <v>0</v>
      </c>
      <c r="BI189" s="406">
        <f>IF(BJ189=0,0,IF(BJ189&lt;0,IF($J189=12,BJ189,IF($J189=11,BJ189,IF($J189=10,BJ189,0)))))</f>
        <v>0</v>
      </c>
      <c r="BJ189" s="407">
        <f t="shared" si="1396"/>
        <v>0</v>
      </c>
      <c r="BK189" s="404">
        <f>IF(BO189=0,0,IF(BO189&lt;0,IF($J189=3,BO189,IF($J189=2,BO189,IF($J189=1,BO189,0)))))</f>
        <v>0</v>
      </c>
      <c r="BL189" s="414">
        <f>IF(BO189=0,0,IF(BO189&lt;0,IF($J189=6,BO189,IF($J189=5,BO189,IF($J189=4,BO189,0)))))</f>
        <v>0</v>
      </c>
      <c r="BM189" s="414">
        <f>IF(BO189=0,0,IF(BO189&lt;0,IF($J189=9,BO189,IF($J189=8,BO189,IF($J189=7,BO189,0)))))</f>
        <v>0</v>
      </c>
      <c r="BN189" s="406">
        <f>IF(BO189=0,0,IF(BO189&lt;0,IF($J189=12,BO189,IF($J189=11,BO189,IF($J189=10,BO189,0)))))</f>
        <v>0</v>
      </c>
      <c r="BO189" s="407">
        <f t="shared" si="1401"/>
        <v>0</v>
      </c>
      <c r="BP189" s="449"/>
      <c r="BQ189" s="413">
        <f>IF(AND(AH189&lt;&gt;0,AH$5=$H189),-$I189*$E189-AH189,IF(BQ$5=$H189,-$I189*$E189*(12-$J189+1)/12,0))</f>
        <v>0</v>
      </c>
      <c r="BR189" s="410">
        <f>IF($H189&lt;&gt;BV$5,0,IF(BV189&lt;0,IF($J189=1,-$E189*$I189/12*3,IF($J189=2,-$E189*$I189/12*2,IF($J189=3,-$E189*$I189/12*1,0)))))+IF(BQ$5&lt;&gt;$H189,0,IF(BQ189&lt;0,IF($J189=1,-$E189*$I189/12*0,IF($J189=2,-$E189*$I189/12*1,IF($J189=3,-$E189*$I189/12*2,IF($J189&gt;=4,-$E189*$I189/12*3,0))))))</f>
        <v>0</v>
      </c>
      <c r="BS189" s="416">
        <f>IF($H189&lt;&gt;BV$5,0,IF(BV189&lt;0,IF(OR($J189=1,$J189=2,$J189=3,$J189=4),-$E189*$I189/12*3,IF($J189=5,-$E189*$I189/12*2,IF($J189=6,-$E189*$I189/12*1,0)))))+IF(BQ$5&lt;&gt;$H189,0,IF(BQ189&lt;0,IF($J189=4,-$E189*$I189/12*0,IF($J189=5,-$E189*$I189/12*1,IF($J189=6,-$E189*$I189/12*2,IF($J189&gt;=7,-$E189*$I189/12*3,0))))))</f>
        <v>0</v>
      </c>
      <c r="BT189" s="416">
        <f>IF($H189&lt;&gt;BV$5,0,IF(BV189&lt;0,IF(OR($J189=1,$J189=2,$J189=3,$J189=4,$J189=5,$J189=6,$J189=7),-$E189*$I189/12*3,IF($J189=8,-$E189*$I189/12*2,IF($J189=9,-$E189*$I189/12*1,0)))))+IF(BQ$5&lt;&gt;$H189,0,IF(BQ189&lt;0,IF($J189=7,-$E189*$I189/12*0,IF($J189=8,-$E189*$I189/12*1,IF($J189=9,-$E189*$I189/12*2,IF($J189&gt;=10,-$E189*$I189/12*3,0))))))</f>
        <v>0</v>
      </c>
      <c r="BU189" s="412">
        <f>IF($H189&lt;&gt;BV$5,0,IF(BV189&lt;0,IF(OR($J189=1,$J189=2,$J189=3,$J189=4,$J189=5,$J189=6,$J189=7,$J189=8,$J189=9,$J189=10),-$E189*$I189/12*3,IF($J189=11,-$E189*$I189/12*2,IF($J189=12,-$E189*$I189/12*1,0)))))+IF(BQ$5&lt;&gt;$H189,0,IF(BQ189&lt;0,IF($J189=10,-$E189*$I189/12*0,IF($J189=11,-$E189*$I189/12*1,IF($J189=12,-$E189*$I189/12*2,0)))))</f>
        <v>0</v>
      </c>
      <c r="BV189" s="413">
        <f>IF(AND(BQ189&lt;&gt;0,BQ$5=$H189),-$I189*$E189-BQ189,IF(BV$5=$H189,-$I189*$E189*(12-$J189+1)/12,0))</f>
        <v>0</v>
      </c>
      <c r="BW189" s="410">
        <f>IF($H189&lt;&gt;CA$5,0,IF(CA189&lt;0,IF($J189=1,-$E189*$I189/12*3,IF($J189=2,-$E189*$I189/12*2,IF($J189=3,-$E189*$I189/12*1,0)))))+IF(BV$5&lt;&gt;$H189,0,IF(BV189&lt;0,IF($J189=1,-$E189*$I189/12*0,IF($J189=2,-$E189*$I189/12*1,IF($J189=3,-$E189*$I189/12*2,IF($J189&gt;=4,-$E189*$I189/12*3,0))))))</f>
        <v>0</v>
      </c>
      <c r="BX189" s="416">
        <f>IF($H189&lt;&gt;CA$5,0,IF(CA189&lt;0,IF(OR($J189=1,$J189=2,$J189=3,$J189=4),-$E189*$I189/12*3,IF($J189=5,-$E189*$I189/12*2,IF($J189=6,-$E189*$I189/12*1,0)))))+IF(BV$5&lt;&gt;$H189,0,IF(BV189&lt;0,IF($J189=4,-$E189*$I189/12*0,IF($J189=5,-$E189*$I189/12*1,IF($J189=6,-$E189*$I189/12*2,IF($J189&gt;=7,-$E189*$I189/12*3,0))))))</f>
        <v>0</v>
      </c>
      <c r="BY189" s="416">
        <f>IF($H189&lt;&gt;CA$5,0,IF(CA189&lt;0,IF(OR($J189=1,$J189=2,$J189=3,$J189=4,$J189=5,$J189=6,$J189=7),-$E189*$I189/12*3,IF($J189=8,-$E189*$I189/12*2,IF($J189=9,-$E189*$I189/12*1,0)))))+IF(BV$5&lt;&gt;$H189,0,IF(BV189&lt;0,IF($J189=7,-$E189*$I189/12*0,IF($J189=8,-$E189*$I189/12*1,IF($J189=9,-$E189*$I189/12*2,IF($J189&gt;=10,-$E189*$I189/12*3,0))))))</f>
        <v>0</v>
      </c>
      <c r="BZ189" s="412">
        <f>IF($H189&lt;&gt;CA$5,0,IF(CA189&lt;0,IF(OR($J189=1,$J189=2,$J189=3,$J189=4,$J189=5,$J189=6,$J189=7,$J189=8,$J189=9,$J189=10),-$E189*$I189/12*3,IF($J189=11,-$E189*$I189/12*2,IF($J189=12,-$E189*$I189/12*1,0)))))+IF(BV$5&lt;&gt;$H189,0,IF(BV189&lt;0,IF($J189=10,-$E189*$I189/12*0,IF($J189=11,-$E189*$I189/12*1,IF($J189=12,-$E189*$I189/12*2,0)))))</f>
        <v>0</v>
      </c>
      <c r="CA189" s="413">
        <f>IF(AND(BV189&lt;&gt;0,BV$5=$H189),-$I189*$E189-BV189,IF(CA$5=$H189,-$I189*$E189*(12-$J189+1)/12,0))</f>
        <v>0</v>
      </c>
      <c r="CB189" s="410">
        <f>IF($H189&lt;&gt;CF$5,0,IF(CF189&lt;0,IF($J189=1,-$E189*$I189/12*3,IF($J189=2,-$E189*$I189/12*2,IF($J189=3,-$E189*$I189/12*1,0)))))+IF(CA$5&lt;&gt;$H189,0,IF(CA189&lt;0,IF($J189=1,-$E189*$I189/12*0,IF($J189=2,-$E189*$I189/12*1,IF($J189=3,-$E189*$I189/12*2,IF($J189&gt;=4,-$E189*$I189/12*3,0))))))</f>
        <v>0</v>
      </c>
      <c r="CC189" s="416">
        <f>IF($H189&lt;&gt;CF$5,0,IF(CF189&lt;0,IF(OR($J189=1,$J189=2,$J189=3,$J189=4),-$E189*$I189/12*3,IF($J189=5,-$E189*$I189/12*2,IF($J189=6,-$E189*$I189/12*1,0)))))+IF(CA$5&lt;&gt;$H189,0,IF(CA189&lt;0,IF($J189=4,-$E189*$I189/12*0,IF($J189=5,-$E189*$I189/12*1,IF($J189=6,-$E189*$I189/12*2,IF($J189&gt;=7,-$E189*$I189/12*3,0))))))</f>
        <v>0</v>
      </c>
      <c r="CD189" s="416">
        <f>IF($H189&lt;&gt;CF$5,0,IF(CF189&lt;0,IF(OR($J189=1,$J189=2,$J189=3,$J189=4,$J189=5,$J189=6,$J189=7),-$E189*$I189/12*3,IF($J189=8,-$E189*$I189/12*2,IF($J189=9,-$E189*$I189/12*1,0)))))+IF(CA$5&lt;&gt;$H189,0,IF(CA189&lt;0,IF($J189=7,-$E189*$I189/12*0,IF($J189=8,-$E189*$I189/12*1,IF($J189=9,-$E189*$I189/12*2,IF($J189&gt;=10,-$E189*$I189/12*3,0))))))</f>
        <v>0</v>
      </c>
      <c r="CE189" s="412">
        <f>IF($H189&lt;&gt;CF$5,0,IF(CF189&lt;0,IF(OR($J189=1,$J189=2,$J189=3,$J189=4,$J189=5,$J189=6,$J189=7,$J189=8,$J189=9,$J189=10),-$E189*$I189/12*3,IF($J189=11,-$E189*$I189/12*2,IF($J189=12,-$E189*$I189/12*1,0)))))+IF(CA$5&lt;&gt;$H189,0,IF(CA189&lt;0,IF($J189=10,-$E189*$I189/12*0,IF($J189=11,-$E189*$I189/12*1,IF($J189=12,-$E189*$I189/12*2,0)))))</f>
        <v>0</v>
      </c>
      <c r="CF189" s="413">
        <f>IF(AND(CA189&lt;&gt;0,CA$5=$H189),-$I189*$E189-CA189,IF(CF$5=$H189,-$I189*$E189*(12-$J189+1)/12,0))</f>
        <v>0</v>
      </c>
      <c r="CG189" s="410">
        <f>IF($H189&lt;&gt;CK$5,0,IF(CK189&lt;0,IF($J189=1,-$E189*$I189/12*3,IF($J189=2,-$E189*$I189/12*2,IF($J189=3,-$E189*$I189/12*1,0)))))+IF(CF$5&lt;&gt;$H189,0,IF(CF189&lt;0,IF($J189=1,-$E189*$I189/12*0,IF($J189=2,-$E189*$I189/12*1,IF($J189=3,-$E189*$I189/12*2,IF($J189&gt;=4,-$E189*$I189/12*3,0))))))</f>
        <v>0</v>
      </c>
      <c r="CH189" s="416">
        <f>IF($H189&lt;&gt;CK$5,0,IF(CK189&lt;0,IF(OR($J189=1,$J189=2,$J189=3,$J189=4),-$E189*$I189/12*3,IF($J189=5,-$E189*$I189/12*2,IF($J189=6,-$E189*$I189/12*1,0)))))+IF(CF$5&lt;&gt;$H189,0,IF(CF189&lt;0,IF($J189=4,-$E189*$I189/12*0,IF($J189=5,-$E189*$I189/12*1,IF($J189=6,-$E189*$I189/12*2,IF($J189&gt;=7,-$E189*$I189/12*3,0))))))</f>
        <v>0</v>
      </c>
      <c r="CI189" s="416">
        <f>IF($H189&lt;&gt;CK$5,0,IF(CK189&lt;0,IF(OR($J189=1,$J189=2,$J189=3,$J189=4,$J189=5,$J189=6,$J189=7),-$E189*$I189/12*3,IF($J189=8,-$E189*$I189/12*2,IF($J189=9,-$E189*$I189/12*1,0)))))+IF(CF$5&lt;&gt;$H189,0,IF(CF189&lt;0,IF($J189=7,-$E189*$I189/12*0,IF($J189=8,-$E189*$I189/12*1,IF($J189=9,-$E189*$I189/12*2,IF($J189&gt;=10,-$E189*$I189/12*3,0))))))</f>
        <v>0</v>
      </c>
      <c r="CJ189" s="412">
        <f>IF($H189&lt;&gt;CK$5,0,IF(CK189&lt;0,IF(OR($J189=1,$J189=2,$J189=3,$J189=4,$J189=5,$J189=6,$J189=7,$J189=8,$J189=9,$J189=10),-$E189*$I189/12*3,IF($J189=11,-$E189*$I189/12*2,IF($J189=12,-$E189*$I189/12*1,0)))))+IF(CF$5&lt;&gt;$H189,0,IF(CF189&lt;0,IF($J189=10,-$E189*$I189/12*0,IF($J189=11,-$E189*$I189/12*1,IF($J189=12,-$E189*$I189/12*2,0)))))</f>
        <v>0</v>
      </c>
      <c r="CK189" s="413">
        <f>IF(AND(CF189&lt;&gt;0,CF$5=$H189),-$I189*$E189-CF189,IF(CK$5=$H189,-$I189*$E189*(12-$J189+1)/12,0))</f>
        <v>0</v>
      </c>
      <c r="CL189" s="410">
        <f>IF($H189&lt;&gt;CP$5,0,IF(CP189&lt;0,IF($J189=1,-$E189*$I189/12*3,IF($J189=2,-$E189*$I189/12*2,IF($J189=3,-$E189*$I189/12*1,0)))))+IF(CK$5&lt;&gt;$H189,0,IF(CK189&lt;0,IF($J189=1,-$E189*$I189/12*0,IF($J189=2,-$E189*$I189/12*1,IF($J189=3,-$E189*$I189/12*2,IF($J189&gt;=4,-$E189*$I189/12*3,0))))))</f>
        <v>0</v>
      </c>
      <c r="CM189" s="416">
        <f>IF($H189&lt;&gt;CP$5,0,IF(CP189&lt;0,IF(OR($J189=1,$J189=2,$J189=3,$J189=4),-$E189*$I189/12*3,IF($J189=5,-$E189*$I189/12*2,IF($J189=6,-$E189*$I189/12*1,0)))))+IF(CK$5&lt;&gt;$H189,0,IF(CK189&lt;0,IF($J189=4,-$E189*$I189/12*0,IF($J189=5,-$E189*$I189/12*1,IF($J189=6,-$E189*$I189/12*2,IF($J189&gt;=7,-$E189*$I189/12*3,0))))))</f>
        <v>0</v>
      </c>
      <c r="CN189" s="416">
        <f>IF($H189&lt;&gt;CP$5,0,IF(CP189&lt;0,IF(OR($J189=1,$J189=2,$J189=3,$J189=4,$J189=5,$J189=6,$J189=7),-$E189*$I189/12*3,IF($J189=8,-$E189*$I189/12*2,IF($J189=9,-$E189*$I189/12*1,0)))))+IF(CK$5&lt;&gt;$H189,0,IF(CK189&lt;0,IF($J189=7,-$E189*$I189/12*0,IF($J189=8,-$E189*$I189/12*1,IF($J189=9,-$E189*$I189/12*2,IF($J189&gt;=10,-$E189*$I189/12*3,0))))))</f>
        <v>0</v>
      </c>
      <c r="CO189" s="412">
        <f>IF($H189&lt;&gt;CP$5,0,IF(CP189&lt;0,IF(OR($J189=1,$J189=2,$J189=3,$J189=4,$J189=5,$J189=6,$J189=7,$J189=8,$J189=9,$J189=10),-$E189*$I189/12*3,IF($J189=11,-$E189*$I189/12*2,IF($J189=12,-$E189*$I189/12*1,0)))))+IF(CK$5&lt;&gt;$H189,0,IF(CK189&lt;0,IF($J189=10,-$E189*$I189/12*0,IF($J189=11,-$E189*$I189/12*1,IF($J189=12,-$E189*$I189/12*2,0)))))</f>
        <v>0</v>
      </c>
      <c r="CP189" s="413">
        <f>IF(AND(CK189&lt;&gt;0,CK$5=$H189),-$I189*$E189-CK189,IF(CP$5=$H189,-$I189*$E189*(12-$J189+1)/12,0))</f>
        <v>0</v>
      </c>
      <c r="CQ189" s="410">
        <f>IF($H189&lt;&gt;CU$5,0,IF(CU189&lt;0,IF($J189=1,-$E189*$I189/12*3,IF($J189=2,-$E189*$I189/12*2,IF($J189=3,-$E189*$I189/12*1,0)))))+IF(CP$5&lt;&gt;$H189,0,IF(CP189&lt;0,IF($J189=1,-$E189*$I189/12*0,IF($J189=2,-$E189*$I189/12*1,IF($J189=3,-$E189*$I189/12*2,IF($J189&gt;=4,-$E189*$I189/12*3,0))))))</f>
        <v>0</v>
      </c>
      <c r="CR189" s="416">
        <f>IF($H189&lt;&gt;CU$5,0,IF(CU189&lt;0,IF(OR($J189=1,$J189=2,$J189=3,$J189=4),-$E189*$I189/12*3,IF($J189=5,-$E189*$I189/12*2,IF($J189=6,-$E189*$I189/12*1,0)))))+IF(CP$5&lt;&gt;$H189,0,IF(CP189&lt;0,IF($J189=4,-$E189*$I189/12*0,IF($J189=5,-$E189*$I189/12*1,IF($J189=6,-$E189*$I189/12*2,IF($J189&gt;=7,-$E189*$I189/12*3,0))))))</f>
        <v>0</v>
      </c>
      <c r="CS189" s="416">
        <f>IF($H189&lt;&gt;CU$5,0,IF(CU189&lt;0,IF(OR($J189=1,$J189=2,$J189=3,$J189=4,$J189=5,$J189=6,$J189=7),-$E189*$I189/12*3,IF($J189=8,-$E189*$I189/12*2,IF($J189=9,-$E189*$I189/12*1,0)))))+IF(CP$5&lt;&gt;$H189,0,IF(CP189&lt;0,IF($J189=7,-$E189*$I189/12*0,IF($J189=8,-$E189*$I189/12*1,IF($J189=9,-$E189*$I189/12*2,IF($J189&gt;=10,-$E189*$I189/12*3,0))))))</f>
        <v>0</v>
      </c>
      <c r="CT189" s="412">
        <f>IF($H189&lt;&gt;CU$5,0,IF(CU189&lt;0,IF(OR($J189=1,$J189=2,$J189=3,$J189=4,$J189=5,$J189=6,$J189=7,$J189=8,$J189=9,$J189=10),-$E189*$I189/12*3,IF($J189=11,-$E189*$I189/12*2,IF($J189=12,-$E189*$I189/12*1,0)))))+IF(CP$5&lt;&gt;$H189,0,IF(CP189&lt;0,IF($J189=10,-$E189*$I189/12*0,IF($J189=11,-$E189*$I189/12*1,IF($J189=12,-$E189*$I189/12*2,0)))))</f>
        <v>0</v>
      </c>
      <c r="CU189" s="413">
        <f>IF(AND(CP189&lt;&gt;0,CP$5=$H189),-$I189*$E189-CP189,IF(CU$5=$H189,-$I189*$E189*(12-$J189+1)/12,0))</f>
        <v>0</v>
      </c>
      <c r="CV189" s="410">
        <f>IF($H189&lt;&gt;CZ$5,0,IF(CZ189&lt;0,IF($J189=1,-$E189*$I189/12*3,IF($J189=2,-$E189*$I189/12*2,IF($J189=3,-$E189*$I189/12*1,0)))))+IF(CU$5&lt;&gt;$H189,0,IF(CU189&lt;0,IF($J189=1,-$E189*$I189/12*0,IF($J189=2,-$E189*$I189/12*1,IF($J189=3,-$E189*$I189/12*2,IF($J189&gt;=4,-$E189*$I189/12*3,0))))))</f>
        <v>0</v>
      </c>
      <c r="CW189" s="416">
        <f>IF($H189&lt;&gt;CZ$5,0,IF(CZ189&lt;0,IF(OR($J189=1,$J189=2,$J189=3,$J189=4),-$E189*$I189/12*3,IF($J189=5,-$E189*$I189/12*2,IF($J189=6,-$E189*$I189/12*1,0)))))+IF(CU$5&lt;&gt;$H189,0,IF(CU189&lt;0,IF($J189=4,-$E189*$I189/12*0,IF($J189=5,-$E189*$I189/12*1,IF($J189=6,-$E189*$I189/12*2,IF($J189&gt;=7,-$E189*$I189/12*3,0))))))</f>
        <v>0</v>
      </c>
      <c r="CX189" s="416">
        <f>IF($H189&lt;&gt;CZ$5,0,IF(CZ189&lt;0,IF(OR($J189=1,$J189=2,$J189=3,$J189=4,$J189=5,$J189=6,$J189=7),-$E189*$I189/12*3,IF($J189=8,-$E189*$I189/12*2,IF($J189=9,-$E189*$I189/12*1,0)))))+IF(CU$5&lt;&gt;$H189,0,IF(CU189&lt;0,IF($J189=7,-$E189*$I189/12*0,IF($J189=8,-$E189*$I189/12*1,IF($J189=9,-$E189*$I189/12*2,IF($J189&gt;=10,-$E189*$I189/12*3,0))))))</f>
        <v>0</v>
      </c>
      <c r="CY189" s="412">
        <f>IF($H189&lt;&gt;CZ$5,0,IF(CZ189&lt;0,IF(OR($J189=1,$J189=2,$J189=3,$J189=4,$J189=5,$J189=6,$J189=7,$J189=8,$J189=9,$J189=10),-$E189*$I189/12*3,IF($J189=11,-$E189*$I189/12*2,IF($J189=12,-$E189*$I189/12*1,0)))))+IF(CU$5&lt;&gt;$H189,0,IF(CU189&lt;0,IF($J189=10,-$E189*$I189/12*0,IF($J189=11,-$E189*$I189/12*1,IF($J189=12,-$E189*$I189/12*2,0)))))</f>
        <v>0</v>
      </c>
      <c r="CZ189" s="413">
        <f>IF(AND(CU189&lt;&gt;0,CU$5=$H189),-$I189*$E189-CU189,IF(CZ$5=$H189,-$I189*$E189*(12-$J189+1)/12,0))</f>
        <v>0</v>
      </c>
      <c r="DA189" s="410">
        <f>IF($H189&lt;&gt;DE$5,0,IF(DE189&lt;0,IF($J189=1,-$E189*$I189/12*3,IF($J189=2,-$E189*$I189/12*2,IF($J189=3,-$E189*$I189/12*1,0)))))+IF(CZ$5&lt;&gt;$H189,0,IF(CZ189&lt;0,IF($J189=1,-$E189*$I189/12*0,IF($J189=2,-$E189*$I189/12*1,IF($J189=3,-$E189*$I189/12*2,IF($J189&gt;=4,-$E189*$I189/12*3,0))))))</f>
        <v>0</v>
      </c>
      <c r="DB189" s="416">
        <f>IF($H189&lt;&gt;DE$5,0,IF(DE189&lt;0,IF(OR($J189=1,$J189=2,$J189=3,$J189=4),-$E189*$I189/12*3,IF($J189=5,-$E189*$I189/12*2,IF($J189=6,-$E189*$I189/12*1,0)))))+IF(CZ$5&lt;&gt;$H189,0,IF(CZ189&lt;0,IF($J189=4,-$E189*$I189/12*0,IF($J189=5,-$E189*$I189/12*1,IF($J189=6,-$E189*$I189/12*2,IF($J189&gt;=7,-$E189*$I189/12*3,0))))))</f>
        <v>0</v>
      </c>
      <c r="DC189" s="416">
        <f>IF($H189&lt;&gt;DE$5,0,IF(DE189&lt;0,IF(OR($J189=1,$J189=2,$J189=3,$J189=4,$J189=5,$J189=6,$J189=7),-$E189*$I189/12*3,IF($J189=8,-$E189*$I189/12*2,IF($J189=9,-$E189*$I189/12*1,0)))))+IF(CZ$5&lt;&gt;$H189,0,IF(CZ189&lt;0,IF($J189=7,-$E189*$I189/12*0,IF($J189=8,-$E189*$I189/12*1,IF($J189=9,-$E189*$I189/12*2,IF($J189&gt;=10,-$E189*$I189/12*3,0))))))</f>
        <v>0</v>
      </c>
      <c r="DD189" s="412">
        <f>IF($H189&lt;&gt;DE$5,0,IF(DE189&lt;0,IF(OR($J189=1,$J189=2,$J189=3,$J189=4,$J189=5,$J189=6,$J189=7,$J189=8,$J189=9,$J189=10),-$E189*$I189/12*3,IF($J189=11,-$E189*$I189/12*2,IF($J189=12,-$E189*$I189/12*1,0)))))+IF(CZ$5&lt;&gt;$H189,0,IF(CZ189&lt;0,IF($J189=10,-$E189*$I189/12*0,IF($J189=11,-$E189*$I189/12*1,IF($J189=12,-$E189*$I189/12*2,0)))))</f>
        <v>0</v>
      </c>
      <c r="DE189" s="413">
        <f>IF(AND(CZ189&lt;&gt;0,CZ$5=$H189),-$I189*$E189-CZ189,IF(DE$5=$H189,-$I189*$E189*(12-$J189+1)/12,0))</f>
        <v>0</v>
      </c>
      <c r="DF189" s="410">
        <f>IF($H189&lt;&gt;DJ$5,0,IF(DJ189&lt;0,IF($J189=1,-$E189*$I189/12*3,IF($J189=2,-$E189*$I189/12*2,IF($J189=3,-$E189*$I189/12*1,0)))))+IF(DE$5&lt;&gt;$H189,0,IF(DE189&lt;0,IF($J189=1,-$E189*$I189/12*0,IF($J189=2,-$E189*$I189/12*1,IF($J189=3,-$E189*$I189/12*2,IF($J189&gt;=4,-$E189*$I189/12*3,0))))))</f>
        <v>0</v>
      </c>
      <c r="DG189" s="416">
        <f>IF($H189&lt;&gt;DJ$5,0,IF(DJ189&lt;0,IF(OR($J189=1,$J189=2,$J189=3,$J189=4),-$E189*$I189/12*3,IF($J189=5,-$E189*$I189/12*2,IF($J189=6,-$E189*$I189/12*1,0)))))+IF(DE$5&lt;&gt;$H189,0,IF(DE189&lt;0,IF($J189=4,-$E189*$I189/12*0,IF($J189=5,-$E189*$I189/12*1,IF($J189=6,-$E189*$I189/12*2,IF($J189&gt;=7,-$E189*$I189/12*3,0))))))</f>
        <v>0</v>
      </c>
      <c r="DH189" s="416">
        <f>IF($H189&lt;&gt;DJ$5,0,IF(DJ189&lt;0,IF(OR($J189=1,$J189=2,$J189=3,$J189=4,$J189=5,$J189=6,$J189=7),-$E189*$I189/12*3,IF($J189=8,-$E189*$I189/12*2,IF($J189=9,-$E189*$I189/12*1,0)))))+IF(DE$5&lt;&gt;$H189,0,IF(DE189&lt;0,IF($J189=7,-$E189*$I189/12*0,IF($J189=8,-$E189*$I189/12*1,IF($J189=9,-$E189*$I189/12*2,IF($J189&gt;=10,-$E189*$I189/12*3,0))))))</f>
        <v>0</v>
      </c>
      <c r="DI189" s="412">
        <f>IF($H189&lt;&gt;DJ$5,0,IF(DJ189&lt;0,IF(OR($J189=1,$J189=2,$J189=3,$J189=4,$J189=5,$J189=6,$J189=7,$J189=8,$J189=9,$J189=10),-$E189*$I189/12*3,IF($J189=11,-$E189*$I189/12*2,IF($J189=12,-$E189*$I189/12*1,0)))))+IF(DE$5&lt;&gt;$H189,0,IF(DE189&lt;0,IF($J189=10,-$E189*$I189/12*0,IF($J189=11,-$E189*$I189/12*1,IF($J189=12,-$E189*$I189/12*2,0)))))</f>
        <v>0</v>
      </c>
      <c r="DJ189" s="413">
        <f>IF(AND(DE189&lt;&gt;0,DE$5=$H189),-$I189*$E189-DE189,IF(DJ$5=$H189,-$I189*$E189*(12-$J189+1)/12,0))</f>
        <v>0</v>
      </c>
      <c r="DK189" s="410">
        <f>IF($H189&lt;&gt;DO$5,0,IF(DO189&lt;0,IF($J189=1,-$E189*$I189/12*3,IF($J189=2,-$E189*$I189/12*2,IF($J189=3,-$E189*$I189/12*1,0)))))+IF(DJ$5&lt;&gt;$H189,0,IF(DJ189&lt;0,IF($J189=1,-$E189*$I189/12*0,IF($J189=2,-$E189*$I189/12*1,IF($J189=3,-$E189*$I189/12*2,IF($J189&gt;=4,-$E189*$I189/12*3,0))))))</f>
        <v>0</v>
      </c>
      <c r="DL189" s="416">
        <f>IF($H189&lt;&gt;DO$5,0,IF(DO189&lt;0,IF(OR($J189=1,$J189=2,$J189=3,$J189=4),-$E189*$I189/12*3,IF($J189=5,-$E189*$I189/12*2,IF($J189=6,-$E189*$I189/12*1,0)))))+IF(DJ$5&lt;&gt;$H189,0,IF(DJ189&lt;0,IF($J189=4,-$E189*$I189/12*0,IF($J189=5,-$E189*$I189/12*1,IF($J189=6,-$E189*$I189/12*2,IF($J189&gt;=7,-$E189*$I189/12*3,0))))))</f>
        <v>0</v>
      </c>
      <c r="DM189" s="416">
        <f>IF($H189&lt;&gt;DO$5,0,IF(DO189&lt;0,IF(OR($J189=1,$J189=2,$J189=3,$J189=4,$J189=5,$J189=6,$J189=7),-$E189*$I189/12*3,IF($J189=8,-$E189*$I189/12*2,IF($J189=9,-$E189*$I189/12*1,0)))))+IF(DJ$5&lt;&gt;$H189,0,IF(DJ189&lt;0,IF($J189=7,-$E189*$I189/12*0,IF($J189=8,-$E189*$I189/12*1,IF($J189=9,-$E189*$I189/12*2,IF($J189&gt;=10,-$E189*$I189/12*3,0))))))</f>
        <v>0</v>
      </c>
      <c r="DN189" s="412">
        <f>IF($H189&lt;&gt;DO$5,0,IF(DO189&lt;0,IF(OR($J189=1,$J189=2,$J189=3,$J189=4,$J189=5,$J189=6,$J189=7,$J189=8,$J189=9,$J189=10),-$E189*$I189/12*3,IF($J189=11,-$E189*$I189/12*2,IF($J189=12,-$E189*$I189/12*1,0)))))+IF(DJ$5&lt;&gt;$H189,0,IF(DJ189&lt;0,IF($J189=10,-$E189*$I189/12*0,IF($J189=11,-$E189*$I189/12*1,IF($J189=12,-$E189*$I189/12*2,0)))))</f>
        <v>0</v>
      </c>
      <c r="DO189" s="413">
        <f>IF(AND(DJ189&lt;&gt;0,DJ$5=$H189),-$I189*$E189-DJ189,IF(DO$5=$H189,-$I189*$E189*(12-$J189+1)/12,0))</f>
        <v>0</v>
      </c>
      <c r="DP189" s="410">
        <f>IF($H189&lt;&gt;DT$5,0,IF(DT189&lt;0,IF($J189=1,-$E189*$I189/12*3,IF($J189=2,-$E189*$I189/12*2,IF($J189=3,-$E189*$I189/12*1,0)))))+IF(DO$5&lt;&gt;$H189,0,IF(DO189&lt;0,IF($J189=1,-$E189*$I189/12*0,IF($J189=2,-$E189*$I189/12*1,IF($J189=3,-$E189*$I189/12*2,IF($J189&gt;=4,-$E189*$I189/12*3,0))))))</f>
        <v>0</v>
      </c>
      <c r="DQ189" s="416">
        <f>IF($H189&lt;&gt;DT$5,0,IF(DT189&lt;0,IF(OR($J189=1,$J189=2,$J189=3,$J189=4),-$E189*$I189/12*3,IF($J189=5,-$E189*$I189/12*2,IF($J189=6,-$E189*$I189/12*1,0)))))+IF(DO$5&lt;&gt;$H189,0,IF(DO189&lt;0,IF($J189=4,-$E189*$I189/12*0,IF($J189=5,-$E189*$I189/12*1,IF($J189=6,-$E189*$I189/12*2,IF($J189&gt;=7,-$E189*$I189/12*3,0))))))</f>
        <v>0</v>
      </c>
      <c r="DR189" s="416">
        <f>IF($H189&lt;&gt;DT$5,0,IF(DT189&lt;0,IF(OR($J189=1,$J189=2,$J189=3,$J189=4,$J189=5,$J189=6,$J189=7),-$E189*$I189/12*3,IF($J189=8,-$E189*$I189/12*2,IF($J189=9,-$E189*$I189/12*1,0)))))+IF(DO$5&lt;&gt;$H189,0,IF(DO189&lt;0,IF($J189=7,-$E189*$I189/12*0,IF($J189=8,-$E189*$I189/12*1,IF($J189=9,-$E189*$I189/12*2,IF($J189&gt;=10,-$E189*$I189/12*3,0))))))</f>
        <v>0</v>
      </c>
      <c r="DS189" s="412">
        <f>IF($H189&lt;&gt;DT$5,0,IF(DT189&lt;0,IF(OR($J189=1,$J189=2,$J189=3,$J189=4,$J189=5,$J189=6,$J189=7,$J189=8,$J189=9,$J189=10),-$E189*$I189/12*3,IF($J189=11,-$E189*$I189/12*2,IF($J189=12,-$E189*$I189/12*1,0)))))+IF(DO$5&lt;&gt;$H189,0,IF(DO189&lt;0,IF($J189=10,-$E189*$I189/12*0,IF($J189=11,-$E189*$I189/12*1,IF($J189=12,-$E189*$I189/12*2,0)))))</f>
        <v>0</v>
      </c>
      <c r="DT189" s="413">
        <f>IF(AND(DO189&lt;&gt;0,DO$5=$H189),-$I189*$E189-DO189,IF(DT$5=$H189,-$I189*$E189*(12-$J189+1)/12,0))</f>
        <v>0</v>
      </c>
    </row>
    <row r="190" spans="1:124" ht="12.75" customHeight="1">
      <c r="A190" s="491"/>
      <c r="C190" s="559" t="s">
        <v>1339</v>
      </c>
      <c r="D190" s="1885"/>
      <c r="E190" s="1886">
        <f t="shared" si="1458"/>
        <v>55</v>
      </c>
      <c r="F190" s="1532">
        <v>55</v>
      </c>
      <c r="G190" s="1532">
        <v>0</v>
      </c>
      <c r="H190" s="610">
        <v>2047</v>
      </c>
      <c r="I190" s="830">
        <v>4.1200000000000001E-2</v>
      </c>
      <c r="J190" s="615">
        <v>9</v>
      </c>
      <c r="K190" s="402"/>
      <c r="L190" s="407">
        <f t="shared" si="1346"/>
        <v>0</v>
      </c>
      <c r="M190" s="404">
        <f>IF(Q190=0,0,IF(Q190&lt;0,IF($J190=3,Q190,IF($J190=2,Q190,IF($J190=1,Q190,0)))))</f>
        <v>0</v>
      </c>
      <c r="N190" s="414">
        <f>IF(Q190=0,0,IF(Q190&lt;0,IF($J190=6,Q190,IF($J190=5,Q190,IF($J190=4,Q190,0)))))</f>
        <v>0</v>
      </c>
      <c r="O190" s="414">
        <f>IF(Q190=0,0,IF(Q190&lt;0,IF($J190=9,Q190,IF($J190=8,Q190,IF($J190=7,Q190,0)))))</f>
        <v>0</v>
      </c>
      <c r="P190" s="406">
        <f>IF(Q190=0,0,IF(Q190&lt;0,IF($J190=12,Q190,IF($J190=11,Q190,IF($J190=10,Q190,0)))))</f>
        <v>0</v>
      </c>
      <c r="Q190" s="407">
        <f t="shared" si="1351"/>
        <v>0</v>
      </c>
      <c r="R190" s="404">
        <f>IF(V190=0,0,IF(V190&lt;0,IF($J190=3,V190,IF($J190=2,V190,IF($J190=1,V190,0)))))</f>
        <v>0</v>
      </c>
      <c r="S190" s="414">
        <f>IF(V190=0,0,IF(V190&lt;0,IF($J190=6,V190,IF($J190=5,V190,IF($J190=4,V190,0)))))</f>
        <v>0</v>
      </c>
      <c r="T190" s="414">
        <f>IF(V190=0,0,IF(V190&lt;0,IF($J190=9,V190,IF($J190=8,V190,IF($J190=7,V190,0)))))</f>
        <v>0</v>
      </c>
      <c r="U190" s="406">
        <f>IF(V190=0,0,IF(V190&lt;0,IF($J190=12,V190,IF($J190=11,V190,IF($J190=10,V190,0)))))</f>
        <v>0</v>
      </c>
      <c r="V190" s="407">
        <f t="shared" si="1356"/>
        <v>0</v>
      </c>
      <c r="W190" s="404">
        <f>IF(AA190=0,0,IF(AA190&lt;0,IF($J190=3,AA190,IF($J190=2,AA190,IF($J190=1,AA190,0)))))</f>
        <v>0</v>
      </c>
      <c r="X190" s="414">
        <f>IF(AA190=0,0,IF(AA190&lt;0,IF($J190=6,AA190,IF($J190=5,AA190,IF($J190=4,AA190,0)))))</f>
        <v>0</v>
      </c>
      <c r="Y190" s="414">
        <f>IF(AA190=0,0,IF(AA190&lt;0,IF($J190=9,AA190,IF($J190=8,AA190,IF($J190=7,AA190,0)))))</f>
        <v>0</v>
      </c>
      <c r="Z190" s="406">
        <f>IF(AA190=0,0,IF(AA190&lt;0,IF($J190=12,AA190,IF($J190=11,AA190,IF($J190=10,AA190,0)))))</f>
        <v>0</v>
      </c>
      <c r="AA190" s="407">
        <f t="shared" si="1361"/>
        <v>0</v>
      </c>
      <c r="AB190" s="404">
        <f>IF(AF190=0,0,IF(AF190&lt;0,IF($J190=3,AF190,IF($J190=2,AF190,IF($J190=1,AF190,0)))))</f>
        <v>0</v>
      </c>
      <c r="AC190" s="414">
        <f>IF(AF190=0,0,IF(AF190&lt;0,IF($J190=6,AF190,IF($J190=5,AF190,IF($J190=4,AF190,0)))))</f>
        <v>0</v>
      </c>
      <c r="AD190" s="414">
        <f>IF(AF190=0,0,IF(AF190&lt;0,IF($J190=9,AF190,IF($J190=8,AF190,IF($J190=7,AF190,0)))))</f>
        <v>0</v>
      </c>
      <c r="AE190" s="406">
        <f>IF(AF190=0,0,IF(AF190&lt;0,IF($J190=12,AF190,IF($J190=11,AF190,IF($J190=10,AF190,0)))))</f>
        <v>0</v>
      </c>
      <c r="AF190" s="407">
        <f t="shared" si="1366"/>
        <v>0</v>
      </c>
      <c r="AG190" s="404">
        <f>IF(AK190=0,0,IF(AK190&lt;0,IF($J190=3,AK190,IF($J190=2,AK190,IF($J190=1,AK190,0)))))</f>
        <v>0</v>
      </c>
      <c r="AH190" s="414">
        <f>IF(AK190=0,0,IF(AK190&lt;0,IF($J190=6,AK190,IF($J190=5,AK190,IF($J190=4,AK190,0)))))</f>
        <v>0</v>
      </c>
      <c r="AI190" s="414">
        <f>IF(AK190=0,0,IF(AK190&lt;0,IF($J190=9,AK190,IF($J190=8,AK190,IF($J190=7,AK190,0)))))</f>
        <v>0</v>
      </c>
      <c r="AJ190" s="406">
        <f>IF(AK190=0,0,IF(AK190&lt;0,IF($J190=12,AK190,IF($J190=11,AK190,IF($J190=10,AK190,0)))))</f>
        <v>0</v>
      </c>
      <c r="AK190" s="407">
        <f t="shared" si="1371"/>
        <v>0</v>
      </c>
      <c r="AL190" s="404">
        <f>IF(AP190=0,0,IF(AP190&lt;0,IF($J190=3,AP190,IF($J190=2,AP190,IF($J190=1,AP190,0)))))</f>
        <v>0</v>
      </c>
      <c r="AM190" s="414">
        <f>IF(AP190=0,0,IF(AP190&lt;0,IF($J190=6,AP190,IF($J190=5,AP190,IF($J190=4,AP190,0)))))</f>
        <v>0</v>
      </c>
      <c r="AN190" s="414">
        <f>IF(AP190=0,0,IF(AP190&lt;0,IF($J190=9,AP190,IF($J190=8,AP190,IF($J190=7,AP190,0)))))</f>
        <v>0</v>
      </c>
      <c r="AO190" s="406">
        <f>IF(AP190=0,0,IF(AP190&lt;0,IF($J190=12,AP190,IF($J190=11,AP190,IF($J190=10,AP190,0)))))</f>
        <v>0</v>
      </c>
      <c r="AP190" s="407">
        <f t="shared" si="1376"/>
        <v>0</v>
      </c>
      <c r="AQ190" s="404">
        <f>IF(AU190=0,0,IF(AU190&lt;0,IF($J190=3,AU190,IF($J190=2,AU190,IF($J190=1,AU190,0)))))</f>
        <v>0</v>
      </c>
      <c r="AR190" s="414">
        <f>IF(AU190=0,0,IF(AU190&lt;0,IF($J190=6,AU190,IF($J190=5,AU190,IF($J190=4,AU190,0)))))</f>
        <v>0</v>
      </c>
      <c r="AS190" s="414">
        <f>IF(AU190=0,0,IF(AU190&lt;0,IF($J190=9,AU190,IF($J190=8,AU190,IF($J190=7,AU190,0)))))</f>
        <v>0</v>
      </c>
      <c r="AT190" s="406">
        <f>IF(AU190=0,0,IF(AU190&lt;0,IF($J190=12,AU190,IF($J190=11,AU190,IF($J190=10,AU190,0)))))</f>
        <v>0</v>
      </c>
      <c r="AU190" s="407">
        <f t="shared" si="1381"/>
        <v>0</v>
      </c>
      <c r="AV190" s="404">
        <f>IF(AZ190=0,0,IF(AZ190&lt;0,IF($J190=3,AZ190,IF($J190=2,AZ190,IF($J190=1,AZ190,0)))))</f>
        <v>0</v>
      </c>
      <c r="AW190" s="414">
        <f>IF(AZ190=0,0,IF(AZ190&lt;0,IF($J190=6,AZ190,IF($J190=5,AZ190,IF($J190=4,AZ190,0)))))</f>
        <v>0</v>
      </c>
      <c r="AX190" s="414">
        <f>IF(AZ190=0,0,IF(AZ190&lt;0,IF($J190=9,AZ190,IF($J190=8,AZ190,IF($J190=7,AZ190,0)))))</f>
        <v>0</v>
      </c>
      <c r="AY190" s="406">
        <f>IF(AZ190=0,0,IF(AZ190&lt;0,IF($J190=12,AZ190,IF($J190=11,AZ190,IF($J190=10,AZ190,0)))))</f>
        <v>0</v>
      </c>
      <c r="AZ190" s="407">
        <f t="shared" si="1386"/>
        <v>0</v>
      </c>
      <c r="BA190" s="404">
        <f>IF(BE190=0,0,IF(BE190&lt;0,IF($J190=3,BE190,IF($J190=2,BE190,IF($J190=1,BE190,0)))))</f>
        <v>0</v>
      </c>
      <c r="BB190" s="414">
        <f>IF(BE190=0,0,IF(BE190&lt;0,IF($J190=6,BE190,IF($J190=5,BE190,IF($J190=4,BE190,0)))))</f>
        <v>0</v>
      </c>
      <c r="BC190" s="414">
        <f>IF(BE190=0,0,IF(BE190&lt;0,IF($J190=9,BE190,IF($J190=8,BE190,IF($J190=7,BE190,0)))))</f>
        <v>0</v>
      </c>
      <c r="BD190" s="406">
        <f>IF(BE190=0,0,IF(BE190&lt;0,IF($J190=12,BE190,IF($J190=11,BE190,IF($J190=10,BE190,0)))))</f>
        <v>0</v>
      </c>
      <c r="BE190" s="407">
        <f t="shared" si="1391"/>
        <v>0</v>
      </c>
      <c r="BF190" s="404">
        <f>IF(BJ190=0,0,IF(BJ190&lt;0,IF($J190=3,BJ190,IF($J190=2,BJ190,IF($J190=1,BJ190,0)))))</f>
        <v>0</v>
      </c>
      <c r="BG190" s="414">
        <f>IF(BJ190=0,0,IF(BJ190&lt;0,IF($J190=6,BJ190,IF($J190=5,BJ190,IF($J190=4,BJ190,0)))))</f>
        <v>0</v>
      </c>
      <c r="BH190" s="414">
        <f>IF(BJ190=0,0,IF(BJ190&lt;0,IF($J190=9,BJ190,IF($J190=8,BJ190,IF($J190=7,BJ190,0)))))</f>
        <v>0</v>
      </c>
      <c r="BI190" s="406">
        <f>IF(BJ190=0,0,IF(BJ190&lt;0,IF($J190=12,BJ190,IF($J190=11,BJ190,IF($J190=10,BJ190,0)))))</f>
        <v>0</v>
      </c>
      <c r="BJ190" s="407">
        <f t="shared" si="1396"/>
        <v>0</v>
      </c>
      <c r="BK190" s="404">
        <f>IF(BO190=0,0,IF(BO190&lt;0,IF($J190=3,BO190,IF($J190=2,BO190,IF($J190=1,BO190,0)))))</f>
        <v>0</v>
      </c>
      <c r="BL190" s="414">
        <f>IF(BO190=0,0,IF(BO190&lt;0,IF($J190=6,BO190,IF($J190=5,BO190,IF($J190=4,BO190,0)))))</f>
        <v>0</v>
      </c>
      <c r="BM190" s="414">
        <f>IF(BO190=0,0,IF(BO190&lt;0,IF($J190=9,BO190,IF($J190=8,BO190,IF($J190=7,BO190,0)))))</f>
        <v>0</v>
      </c>
      <c r="BN190" s="406">
        <f>IF(BO190=0,0,IF(BO190&lt;0,IF($J190=12,BO190,IF($J190=11,BO190,IF($J190=10,BO190,0)))))</f>
        <v>0</v>
      </c>
      <c r="BO190" s="407">
        <f t="shared" si="1401"/>
        <v>0</v>
      </c>
      <c r="BP190" s="449"/>
      <c r="BQ190" s="413">
        <f>IF(AND(AH190&lt;&gt;0,AH$5=$H190),-$I190*$E190-AH190,IF(BQ$5=$H190,-$I190*$E190*(12-$J190+1)/12,0))</f>
        <v>0</v>
      </c>
      <c r="BR190" s="410">
        <f>IF($H190&lt;&gt;BV$5,0,IF(BV190&lt;0,IF($J190=1,-$E190*$I190/12*3,IF($J190=2,-$E190*$I190/12*2,IF($J190=3,-$E190*$I190/12*1,0)))))+IF(BQ$5&lt;&gt;$H190,0,IF(BQ190&lt;0,IF($J190=1,-$E190*$I190/12*0,IF($J190=2,-$E190*$I190/12*1,IF($J190=3,-$E190*$I190/12*2,IF($J190&gt;=4,-$E190*$I190/12*3,0))))))</f>
        <v>0</v>
      </c>
      <c r="BS190" s="416">
        <f>IF($H190&lt;&gt;BV$5,0,IF(BV190&lt;0,IF(OR($J190=1,$J190=2,$J190=3,$J190=4),-$E190*$I190/12*3,IF($J190=5,-$E190*$I190/12*2,IF($J190=6,-$E190*$I190/12*1,0)))))+IF(BQ$5&lt;&gt;$H190,0,IF(BQ190&lt;0,IF($J190=4,-$E190*$I190/12*0,IF($J190=5,-$E190*$I190/12*1,IF($J190=6,-$E190*$I190/12*2,IF($J190&gt;=7,-$E190*$I190/12*3,0))))))</f>
        <v>0</v>
      </c>
      <c r="BT190" s="416">
        <f>IF($H190&lt;&gt;BV$5,0,IF(BV190&lt;0,IF(OR($J190=1,$J190=2,$J190=3,$J190=4,$J190=5,$J190=6,$J190=7),-$E190*$I190/12*3,IF($J190=8,-$E190*$I190/12*2,IF($J190=9,-$E190*$I190/12*1,0)))))+IF(BQ$5&lt;&gt;$H190,0,IF(BQ190&lt;0,IF($J190=7,-$E190*$I190/12*0,IF($J190=8,-$E190*$I190/12*1,IF($J190=9,-$E190*$I190/12*2,IF($J190&gt;=10,-$E190*$I190/12*3,0))))))</f>
        <v>0</v>
      </c>
      <c r="BU190" s="412">
        <f>IF($H190&lt;&gt;BV$5,0,IF(BV190&lt;0,IF(OR($J190=1,$J190=2,$J190=3,$J190=4,$J190=5,$J190=6,$J190=7,$J190=8,$J190=9,$J190=10),-$E190*$I190/12*3,IF($J190=11,-$E190*$I190/12*2,IF($J190=12,-$E190*$I190/12*1,0)))))+IF(BQ$5&lt;&gt;$H190,0,IF(BQ190&lt;0,IF($J190=10,-$E190*$I190/12*0,IF($J190=11,-$E190*$I190/12*1,IF($J190=12,-$E190*$I190/12*2,0)))))</f>
        <v>0</v>
      </c>
      <c r="BV190" s="413">
        <f>IF(AND(BQ190&lt;&gt;0,BQ$5=$H190),-$I190*$E190-BQ190,IF(BV$5=$H190,-$I190*$E190*(12-$J190+1)/12,0))</f>
        <v>0</v>
      </c>
      <c r="BW190" s="410">
        <f>IF($H190&lt;&gt;CA$5,0,IF(CA190&lt;0,IF($J190=1,-$E190*$I190/12*3,IF($J190=2,-$E190*$I190/12*2,IF($J190=3,-$E190*$I190/12*1,0)))))+IF(BV$5&lt;&gt;$H190,0,IF(BV190&lt;0,IF($J190=1,-$E190*$I190/12*0,IF($J190=2,-$E190*$I190/12*1,IF($J190=3,-$E190*$I190/12*2,IF($J190&gt;=4,-$E190*$I190/12*3,0))))))</f>
        <v>0</v>
      </c>
      <c r="BX190" s="416">
        <f>IF($H190&lt;&gt;CA$5,0,IF(CA190&lt;0,IF(OR($J190=1,$J190=2,$J190=3,$J190=4),-$E190*$I190/12*3,IF($J190=5,-$E190*$I190/12*2,IF($J190=6,-$E190*$I190/12*1,0)))))+IF(BV$5&lt;&gt;$H190,0,IF(BV190&lt;0,IF($J190=4,-$E190*$I190/12*0,IF($J190=5,-$E190*$I190/12*1,IF($J190=6,-$E190*$I190/12*2,IF($J190&gt;=7,-$E190*$I190/12*3,0))))))</f>
        <v>0</v>
      </c>
      <c r="BY190" s="416">
        <f>IF($H190&lt;&gt;CA$5,0,IF(CA190&lt;0,IF(OR($J190=1,$J190=2,$J190=3,$J190=4,$J190=5,$J190=6,$J190=7),-$E190*$I190/12*3,IF($J190=8,-$E190*$I190/12*2,IF($J190=9,-$E190*$I190/12*1,0)))))+IF(BV$5&lt;&gt;$H190,0,IF(BV190&lt;0,IF($J190=7,-$E190*$I190/12*0,IF($J190=8,-$E190*$I190/12*1,IF($J190=9,-$E190*$I190/12*2,IF($J190&gt;=10,-$E190*$I190/12*3,0))))))</f>
        <v>0</v>
      </c>
      <c r="BZ190" s="412">
        <f>IF($H190&lt;&gt;CA$5,0,IF(CA190&lt;0,IF(OR($J190=1,$J190=2,$J190=3,$J190=4,$J190=5,$J190=6,$J190=7,$J190=8,$J190=9,$J190=10),-$E190*$I190/12*3,IF($J190=11,-$E190*$I190/12*2,IF($J190=12,-$E190*$I190/12*1,0)))))+IF(BV$5&lt;&gt;$H190,0,IF(BV190&lt;0,IF($J190=10,-$E190*$I190/12*0,IF($J190=11,-$E190*$I190/12*1,IF($J190=12,-$E190*$I190/12*2,0)))))</f>
        <v>0</v>
      </c>
      <c r="CA190" s="413">
        <f>IF(AND(BV190&lt;&gt;0,BV$5=$H190),-$I190*$E190-BV190,IF(CA$5=$H190,-$I190*$E190*(12-$J190+1)/12,0))</f>
        <v>0</v>
      </c>
      <c r="CB190" s="410">
        <f>IF($H190&lt;&gt;CF$5,0,IF(CF190&lt;0,IF($J190=1,-$E190*$I190/12*3,IF($J190=2,-$E190*$I190/12*2,IF($J190=3,-$E190*$I190/12*1,0)))))+IF(CA$5&lt;&gt;$H190,0,IF(CA190&lt;0,IF($J190=1,-$E190*$I190/12*0,IF($J190=2,-$E190*$I190/12*1,IF($J190=3,-$E190*$I190/12*2,IF($J190&gt;=4,-$E190*$I190/12*3,0))))))</f>
        <v>0</v>
      </c>
      <c r="CC190" s="416">
        <f>IF($H190&lt;&gt;CF$5,0,IF(CF190&lt;0,IF(OR($J190=1,$J190=2,$J190=3,$J190=4),-$E190*$I190/12*3,IF($J190=5,-$E190*$I190/12*2,IF($J190=6,-$E190*$I190/12*1,0)))))+IF(CA$5&lt;&gt;$H190,0,IF(CA190&lt;0,IF($J190=4,-$E190*$I190/12*0,IF($J190=5,-$E190*$I190/12*1,IF($J190=6,-$E190*$I190/12*2,IF($J190&gt;=7,-$E190*$I190/12*3,0))))))</f>
        <v>0</v>
      </c>
      <c r="CD190" s="416">
        <f>IF($H190&lt;&gt;CF$5,0,IF(CF190&lt;0,IF(OR($J190=1,$J190=2,$J190=3,$J190=4,$J190=5,$J190=6,$J190=7),-$E190*$I190/12*3,IF($J190=8,-$E190*$I190/12*2,IF($J190=9,-$E190*$I190/12*1,0)))))+IF(CA$5&lt;&gt;$H190,0,IF(CA190&lt;0,IF($J190=7,-$E190*$I190/12*0,IF($J190=8,-$E190*$I190/12*1,IF($J190=9,-$E190*$I190/12*2,IF($J190&gt;=10,-$E190*$I190/12*3,0))))))</f>
        <v>0</v>
      </c>
      <c r="CE190" s="412">
        <f>IF($H190&lt;&gt;CF$5,0,IF(CF190&lt;0,IF(OR($J190=1,$J190=2,$J190=3,$J190=4,$J190=5,$J190=6,$J190=7,$J190=8,$J190=9,$J190=10),-$E190*$I190/12*3,IF($J190=11,-$E190*$I190/12*2,IF($J190=12,-$E190*$I190/12*1,0)))))+IF(CA$5&lt;&gt;$H190,0,IF(CA190&lt;0,IF($J190=10,-$E190*$I190/12*0,IF($J190=11,-$E190*$I190/12*1,IF($J190=12,-$E190*$I190/12*2,0)))))</f>
        <v>0</v>
      </c>
      <c r="CF190" s="413">
        <f>IF(AND(CA190&lt;&gt;0,CA$5=$H190),-$I190*$E190-CA190,IF(CF$5=$H190,-$I190*$E190*(12-$J190+1)/12,0))</f>
        <v>0</v>
      </c>
      <c r="CG190" s="410">
        <f>IF($H190&lt;&gt;CK$5,0,IF(CK190&lt;0,IF($J190=1,-$E190*$I190/12*3,IF($J190=2,-$E190*$I190/12*2,IF($J190=3,-$E190*$I190/12*1,0)))))+IF(CF$5&lt;&gt;$H190,0,IF(CF190&lt;0,IF($J190=1,-$E190*$I190/12*0,IF($J190=2,-$E190*$I190/12*1,IF($J190=3,-$E190*$I190/12*2,IF($J190&gt;=4,-$E190*$I190/12*3,0))))))</f>
        <v>0</v>
      </c>
      <c r="CH190" s="416">
        <f>IF($H190&lt;&gt;CK$5,0,IF(CK190&lt;0,IF(OR($J190=1,$J190=2,$J190=3,$J190=4),-$E190*$I190/12*3,IF($J190=5,-$E190*$I190/12*2,IF($J190=6,-$E190*$I190/12*1,0)))))+IF(CF$5&lt;&gt;$H190,0,IF(CF190&lt;0,IF($J190=4,-$E190*$I190/12*0,IF($J190=5,-$E190*$I190/12*1,IF($J190=6,-$E190*$I190/12*2,IF($J190&gt;=7,-$E190*$I190/12*3,0))))))</f>
        <v>0</v>
      </c>
      <c r="CI190" s="416">
        <f>IF($H190&lt;&gt;CK$5,0,IF(CK190&lt;0,IF(OR($J190=1,$J190=2,$J190=3,$J190=4,$J190=5,$J190=6,$J190=7),-$E190*$I190/12*3,IF($J190=8,-$E190*$I190/12*2,IF($J190=9,-$E190*$I190/12*1,0)))))+IF(CF$5&lt;&gt;$H190,0,IF(CF190&lt;0,IF($J190=7,-$E190*$I190/12*0,IF($J190=8,-$E190*$I190/12*1,IF($J190=9,-$E190*$I190/12*2,IF($J190&gt;=10,-$E190*$I190/12*3,0))))))</f>
        <v>0</v>
      </c>
      <c r="CJ190" s="412">
        <f>IF($H190&lt;&gt;CK$5,0,IF(CK190&lt;0,IF(OR($J190=1,$J190=2,$J190=3,$J190=4,$J190=5,$J190=6,$J190=7,$J190=8,$J190=9,$J190=10),-$E190*$I190/12*3,IF($J190=11,-$E190*$I190/12*2,IF($J190=12,-$E190*$I190/12*1,0)))))+IF(CF$5&lt;&gt;$H190,0,IF(CF190&lt;0,IF($J190=10,-$E190*$I190/12*0,IF($J190=11,-$E190*$I190/12*1,IF($J190=12,-$E190*$I190/12*2,0)))))</f>
        <v>0</v>
      </c>
      <c r="CK190" s="413">
        <f>IF(AND(CF190&lt;&gt;0,CF$5=$H190),-$I190*$E190-CF190,IF(CK$5=$H190,-$I190*$E190*(12-$J190+1)/12,0))</f>
        <v>0</v>
      </c>
      <c r="CL190" s="410">
        <f>IF($H190&lt;&gt;CP$5,0,IF(CP190&lt;0,IF($J190=1,-$E190*$I190/12*3,IF($J190=2,-$E190*$I190/12*2,IF($J190=3,-$E190*$I190/12*1,0)))))+IF(CK$5&lt;&gt;$H190,0,IF(CK190&lt;0,IF($J190=1,-$E190*$I190/12*0,IF($J190=2,-$E190*$I190/12*1,IF($J190=3,-$E190*$I190/12*2,IF($J190&gt;=4,-$E190*$I190/12*3,0))))))</f>
        <v>0</v>
      </c>
      <c r="CM190" s="416">
        <f>IF($H190&lt;&gt;CP$5,0,IF(CP190&lt;0,IF(OR($J190=1,$J190=2,$J190=3,$J190=4),-$E190*$I190/12*3,IF($J190=5,-$E190*$I190/12*2,IF($J190=6,-$E190*$I190/12*1,0)))))+IF(CK$5&lt;&gt;$H190,0,IF(CK190&lt;0,IF($J190=4,-$E190*$I190/12*0,IF($J190=5,-$E190*$I190/12*1,IF($J190=6,-$E190*$I190/12*2,IF($J190&gt;=7,-$E190*$I190/12*3,0))))))</f>
        <v>0</v>
      </c>
      <c r="CN190" s="416">
        <f>IF($H190&lt;&gt;CP$5,0,IF(CP190&lt;0,IF(OR($J190=1,$J190=2,$J190=3,$J190=4,$J190=5,$J190=6,$J190=7),-$E190*$I190/12*3,IF($J190=8,-$E190*$I190/12*2,IF($J190=9,-$E190*$I190/12*1,0)))))+IF(CK$5&lt;&gt;$H190,0,IF(CK190&lt;0,IF($J190=7,-$E190*$I190/12*0,IF($J190=8,-$E190*$I190/12*1,IF($J190=9,-$E190*$I190/12*2,IF($J190&gt;=10,-$E190*$I190/12*3,0))))))</f>
        <v>0</v>
      </c>
      <c r="CO190" s="412">
        <f>IF($H190&lt;&gt;CP$5,0,IF(CP190&lt;0,IF(OR($J190=1,$J190=2,$J190=3,$J190=4,$J190=5,$J190=6,$J190=7,$J190=8,$J190=9,$J190=10),-$E190*$I190/12*3,IF($J190=11,-$E190*$I190/12*2,IF($J190=12,-$E190*$I190/12*1,0)))))+IF(CK$5&lt;&gt;$H190,0,IF(CK190&lt;0,IF($J190=10,-$E190*$I190/12*0,IF($J190=11,-$E190*$I190/12*1,IF($J190=12,-$E190*$I190/12*2,0)))))</f>
        <v>0</v>
      </c>
      <c r="CP190" s="413">
        <f>IF(AND(CK190&lt;&gt;0,CK$5=$H190),-$I190*$E190-CK190,IF(CP$5=$H190,-$I190*$E190*(12-$J190+1)/12,0))</f>
        <v>0</v>
      </c>
      <c r="CQ190" s="410">
        <f>IF($H190&lt;&gt;CU$5,0,IF(CU190&lt;0,IF($J190=1,-$E190*$I190/12*3,IF($J190=2,-$E190*$I190/12*2,IF($J190=3,-$E190*$I190/12*1,0)))))+IF(CP$5&lt;&gt;$H190,0,IF(CP190&lt;0,IF($J190=1,-$E190*$I190/12*0,IF($J190=2,-$E190*$I190/12*1,IF($J190=3,-$E190*$I190/12*2,IF($J190&gt;=4,-$E190*$I190/12*3,0))))))</f>
        <v>0</v>
      </c>
      <c r="CR190" s="416">
        <f>IF($H190&lt;&gt;CU$5,0,IF(CU190&lt;0,IF(OR($J190=1,$J190=2,$J190=3,$J190=4),-$E190*$I190/12*3,IF($J190=5,-$E190*$I190/12*2,IF($J190=6,-$E190*$I190/12*1,0)))))+IF(CP$5&lt;&gt;$H190,0,IF(CP190&lt;0,IF($J190=4,-$E190*$I190/12*0,IF($J190=5,-$E190*$I190/12*1,IF($J190=6,-$E190*$I190/12*2,IF($J190&gt;=7,-$E190*$I190/12*3,0))))))</f>
        <v>0</v>
      </c>
      <c r="CS190" s="416">
        <f>IF($H190&lt;&gt;CU$5,0,IF(CU190&lt;0,IF(OR($J190=1,$J190=2,$J190=3,$J190=4,$J190=5,$J190=6,$J190=7),-$E190*$I190/12*3,IF($J190=8,-$E190*$I190/12*2,IF($J190=9,-$E190*$I190/12*1,0)))))+IF(CP$5&lt;&gt;$H190,0,IF(CP190&lt;0,IF($J190=7,-$E190*$I190/12*0,IF($J190=8,-$E190*$I190/12*1,IF($J190=9,-$E190*$I190/12*2,IF($J190&gt;=10,-$E190*$I190/12*3,0))))))</f>
        <v>0</v>
      </c>
      <c r="CT190" s="412">
        <f>IF($H190&lt;&gt;CU$5,0,IF(CU190&lt;0,IF(OR($J190=1,$J190=2,$J190=3,$J190=4,$J190=5,$J190=6,$J190=7,$J190=8,$J190=9,$J190=10),-$E190*$I190/12*3,IF($J190=11,-$E190*$I190/12*2,IF($J190=12,-$E190*$I190/12*1,0)))))+IF(CP$5&lt;&gt;$H190,0,IF(CP190&lt;0,IF($J190=10,-$E190*$I190/12*0,IF($J190=11,-$E190*$I190/12*1,IF($J190=12,-$E190*$I190/12*2,0)))))</f>
        <v>0</v>
      </c>
      <c r="CU190" s="413">
        <f>IF(AND(CP190&lt;&gt;0,CP$5=$H190),-$I190*$E190-CP190,IF(CU$5=$H190,-$I190*$E190*(12-$J190+1)/12,0))</f>
        <v>0</v>
      </c>
      <c r="CV190" s="410">
        <f>IF($H190&lt;&gt;CZ$5,0,IF(CZ190&lt;0,IF($J190=1,-$E190*$I190/12*3,IF($J190=2,-$E190*$I190/12*2,IF($J190=3,-$E190*$I190/12*1,0)))))+IF(CU$5&lt;&gt;$H190,0,IF(CU190&lt;0,IF($J190=1,-$E190*$I190/12*0,IF($J190=2,-$E190*$I190/12*1,IF($J190=3,-$E190*$I190/12*2,IF($J190&gt;=4,-$E190*$I190/12*3,0))))))</f>
        <v>0</v>
      </c>
      <c r="CW190" s="416">
        <f>IF($H190&lt;&gt;CZ$5,0,IF(CZ190&lt;0,IF(OR($J190=1,$J190=2,$J190=3,$J190=4),-$E190*$I190/12*3,IF($J190=5,-$E190*$I190/12*2,IF($J190=6,-$E190*$I190/12*1,0)))))+IF(CU$5&lt;&gt;$H190,0,IF(CU190&lt;0,IF($J190=4,-$E190*$I190/12*0,IF($J190=5,-$E190*$I190/12*1,IF($J190=6,-$E190*$I190/12*2,IF($J190&gt;=7,-$E190*$I190/12*3,0))))))</f>
        <v>0</v>
      </c>
      <c r="CX190" s="416">
        <f>IF($H190&lt;&gt;CZ$5,0,IF(CZ190&lt;0,IF(OR($J190=1,$J190=2,$J190=3,$J190=4,$J190=5,$J190=6,$J190=7),-$E190*$I190/12*3,IF($J190=8,-$E190*$I190/12*2,IF($J190=9,-$E190*$I190/12*1,0)))))+IF(CU$5&lt;&gt;$H190,0,IF(CU190&lt;0,IF($J190=7,-$E190*$I190/12*0,IF($J190=8,-$E190*$I190/12*1,IF($J190=9,-$E190*$I190/12*2,IF($J190&gt;=10,-$E190*$I190/12*3,0))))))</f>
        <v>0</v>
      </c>
      <c r="CY190" s="412">
        <f>IF($H190&lt;&gt;CZ$5,0,IF(CZ190&lt;0,IF(OR($J190=1,$J190=2,$J190=3,$J190=4,$J190=5,$J190=6,$J190=7,$J190=8,$J190=9,$J190=10),-$E190*$I190/12*3,IF($J190=11,-$E190*$I190/12*2,IF($J190=12,-$E190*$I190/12*1,0)))))+IF(CU$5&lt;&gt;$H190,0,IF(CU190&lt;0,IF($J190=10,-$E190*$I190/12*0,IF($J190=11,-$E190*$I190/12*1,IF($J190=12,-$E190*$I190/12*2,0)))))</f>
        <v>0</v>
      </c>
      <c r="CZ190" s="413">
        <f>IF(AND(CU190&lt;&gt;0,CU$5=$H190),-$I190*$E190-CU190,IF(CZ$5=$H190,-$I190*$E190*(12-$J190+1)/12,0))</f>
        <v>0</v>
      </c>
      <c r="DA190" s="410">
        <f>IF($H190&lt;&gt;DE$5,0,IF(DE190&lt;0,IF($J190=1,-$E190*$I190/12*3,IF($J190=2,-$E190*$I190/12*2,IF($J190=3,-$E190*$I190/12*1,0)))))+IF(CZ$5&lt;&gt;$H190,0,IF(CZ190&lt;0,IF($J190=1,-$E190*$I190/12*0,IF($J190=2,-$E190*$I190/12*1,IF($J190=3,-$E190*$I190/12*2,IF($J190&gt;=4,-$E190*$I190/12*3,0))))))</f>
        <v>0</v>
      </c>
      <c r="DB190" s="416">
        <f>IF($H190&lt;&gt;DE$5,0,IF(DE190&lt;0,IF(OR($J190=1,$J190=2,$J190=3,$J190=4),-$E190*$I190/12*3,IF($J190=5,-$E190*$I190/12*2,IF($J190=6,-$E190*$I190/12*1,0)))))+IF(CZ$5&lt;&gt;$H190,0,IF(CZ190&lt;0,IF($J190=4,-$E190*$I190/12*0,IF($J190=5,-$E190*$I190/12*1,IF($J190=6,-$E190*$I190/12*2,IF($J190&gt;=7,-$E190*$I190/12*3,0))))))</f>
        <v>0</v>
      </c>
      <c r="DC190" s="416">
        <f>IF($H190&lt;&gt;DE$5,0,IF(DE190&lt;0,IF(OR($J190=1,$J190=2,$J190=3,$J190=4,$J190=5,$J190=6,$J190=7),-$E190*$I190/12*3,IF($J190=8,-$E190*$I190/12*2,IF($J190=9,-$E190*$I190/12*1,0)))))+IF(CZ$5&lt;&gt;$H190,0,IF(CZ190&lt;0,IF($J190=7,-$E190*$I190/12*0,IF($J190=8,-$E190*$I190/12*1,IF($J190=9,-$E190*$I190/12*2,IF($J190&gt;=10,-$E190*$I190/12*3,0))))))</f>
        <v>0</v>
      </c>
      <c r="DD190" s="412">
        <f>IF($H190&lt;&gt;DE$5,0,IF(DE190&lt;0,IF(OR($J190=1,$J190=2,$J190=3,$J190=4,$J190=5,$J190=6,$J190=7,$J190=8,$J190=9,$J190=10),-$E190*$I190/12*3,IF($J190=11,-$E190*$I190/12*2,IF($J190=12,-$E190*$I190/12*1,0)))))+IF(CZ$5&lt;&gt;$H190,0,IF(CZ190&lt;0,IF($J190=10,-$E190*$I190/12*0,IF($J190=11,-$E190*$I190/12*1,IF($J190=12,-$E190*$I190/12*2,0)))))</f>
        <v>0</v>
      </c>
      <c r="DE190" s="413">
        <f>IF(AND(CZ190&lt;&gt;0,CZ$5=$H190),-$I190*$E190-CZ190,IF(DE$5=$H190,-$I190*$E190*(12-$J190+1)/12,0))</f>
        <v>0</v>
      </c>
      <c r="DF190" s="410">
        <f>IF($H190&lt;&gt;DJ$5,0,IF(DJ190&lt;0,IF($J190=1,-$E190*$I190/12*3,IF($J190=2,-$E190*$I190/12*2,IF($J190=3,-$E190*$I190/12*1,0)))))+IF(DE$5&lt;&gt;$H190,0,IF(DE190&lt;0,IF($J190=1,-$E190*$I190/12*0,IF($J190=2,-$E190*$I190/12*1,IF($J190=3,-$E190*$I190/12*2,IF($J190&gt;=4,-$E190*$I190/12*3,0))))))</f>
        <v>0</v>
      </c>
      <c r="DG190" s="416">
        <f>IF($H190&lt;&gt;DJ$5,0,IF(DJ190&lt;0,IF(OR($J190=1,$J190=2,$J190=3,$J190=4),-$E190*$I190/12*3,IF($J190=5,-$E190*$I190/12*2,IF($J190=6,-$E190*$I190/12*1,0)))))+IF(DE$5&lt;&gt;$H190,0,IF(DE190&lt;0,IF($J190=4,-$E190*$I190/12*0,IF($J190=5,-$E190*$I190/12*1,IF($J190=6,-$E190*$I190/12*2,IF($J190&gt;=7,-$E190*$I190/12*3,0))))))</f>
        <v>0</v>
      </c>
      <c r="DH190" s="416">
        <f>IF($H190&lt;&gt;DJ$5,0,IF(DJ190&lt;0,IF(OR($J190=1,$J190=2,$J190=3,$J190=4,$J190=5,$J190=6,$J190=7),-$E190*$I190/12*3,IF($J190=8,-$E190*$I190/12*2,IF($J190=9,-$E190*$I190/12*1,0)))))+IF(DE$5&lt;&gt;$H190,0,IF(DE190&lt;0,IF($J190=7,-$E190*$I190/12*0,IF($J190=8,-$E190*$I190/12*1,IF($J190=9,-$E190*$I190/12*2,IF($J190&gt;=10,-$E190*$I190/12*3,0))))))</f>
        <v>0</v>
      </c>
      <c r="DI190" s="412">
        <f>IF($H190&lt;&gt;DJ$5,0,IF(DJ190&lt;0,IF(OR($J190=1,$J190=2,$J190=3,$J190=4,$J190=5,$J190=6,$J190=7,$J190=8,$J190=9,$J190=10),-$E190*$I190/12*3,IF($J190=11,-$E190*$I190/12*2,IF($J190=12,-$E190*$I190/12*1,0)))))+IF(DE$5&lt;&gt;$H190,0,IF(DE190&lt;0,IF($J190=10,-$E190*$I190/12*0,IF($J190=11,-$E190*$I190/12*1,IF($J190=12,-$E190*$I190/12*2,0)))))</f>
        <v>0</v>
      </c>
      <c r="DJ190" s="413">
        <f>IF(AND(DE190&lt;&gt;0,DE$5=$H190),-$I190*$E190-DE190,IF(DJ$5=$H190,-$I190*$E190*(12-$J190+1)/12,0))</f>
        <v>0</v>
      </c>
      <c r="DK190" s="410">
        <f>IF($H190&lt;&gt;DO$5,0,IF(DO190&lt;0,IF($J190=1,-$E190*$I190/12*3,IF($J190=2,-$E190*$I190/12*2,IF($J190=3,-$E190*$I190/12*1,0)))))+IF(DJ$5&lt;&gt;$H190,0,IF(DJ190&lt;0,IF($J190=1,-$E190*$I190/12*0,IF($J190=2,-$E190*$I190/12*1,IF($J190=3,-$E190*$I190/12*2,IF($J190&gt;=4,-$E190*$I190/12*3,0))))))</f>
        <v>0</v>
      </c>
      <c r="DL190" s="416">
        <f>IF($H190&lt;&gt;DO$5,0,IF(DO190&lt;0,IF(OR($J190=1,$J190=2,$J190=3,$J190=4),-$E190*$I190/12*3,IF($J190=5,-$E190*$I190/12*2,IF($J190=6,-$E190*$I190/12*1,0)))))+IF(DJ$5&lt;&gt;$H190,0,IF(DJ190&lt;0,IF($J190=4,-$E190*$I190/12*0,IF($J190=5,-$E190*$I190/12*1,IF($J190=6,-$E190*$I190/12*2,IF($J190&gt;=7,-$E190*$I190/12*3,0))))))</f>
        <v>0</v>
      </c>
      <c r="DM190" s="416">
        <f>IF($H190&lt;&gt;DO$5,0,IF(DO190&lt;0,IF(OR($J190=1,$J190=2,$J190=3,$J190=4,$J190=5,$J190=6,$J190=7),-$E190*$I190/12*3,IF($J190=8,-$E190*$I190/12*2,IF($J190=9,-$E190*$I190/12*1,0)))))+IF(DJ$5&lt;&gt;$H190,0,IF(DJ190&lt;0,IF($J190=7,-$E190*$I190/12*0,IF($J190=8,-$E190*$I190/12*1,IF($J190=9,-$E190*$I190/12*2,IF($J190&gt;=10,-$E190*$I190/12*3,0))))))</f>
        <v>0</v>
      </c>
      <c r="DN190" s="412">
        <f>IF($H190&lt;&gt;DO$5,0,IF(DO190&lt;0,IF(OR($J190=1,$J190=2,$J190=3,$J190=4,$J190=5,$J190=6,$J190=7,$J190=8,$J190=9,$J190=10),-$E190*$I190/12*3,IF($J190=11,-$E190*$I190/12*2,IF($J190=12,-$E190*$I190/12*1,0)))))+IF(DJ$5&lt;&gt;$H190,0,IF(DJ190&lt;0,IF($J190=10,-$E190*$I190/12*0,IF($J190=11,-$E190*$I190/12*1,IF($J190=12,-$E190*$I190/12*2,0)))))</f>
        <v>0</v>
      </c>
      <c r="DO190" s="413">
        <f>IF(AND(DJ190&lt;&gt;0,DJ$5=$H190),-$I190*$E190-DJ190,IF(DO$5=$H190,-$I190*$E190*(12-$J190+1)/12,0))</f>
        <v>0</v>
      </c>
      <c r="DP190" s="410">
        <f>IF($H190&lt;&gt;DT$5,0,IF(DT190&lt;0,IF($J190=1,-$E190*$I190/12*3,IF($J190=2,-$E190*$I190/12*2,IF($J190=3,-$E190*$I190/12*1,0)))))+IF(DO$5&lt;&gt;$H190,0,IF(DO190&lt;0,IF($J190=1,-$E190*$I190/12*0,IF($J190=2,-$E190*$I190/12*1,IF($J190=3,-$E190*$I190/12*2,IF($J190&gt;=4,-$E190*$I190/12*3,0))))))</f>
        <v>0</v>
      </c>
      <c r="DQ190" s="416">
        <f>IF($H190&lt;&gt;DT$5,0,IF(DT190&lt;0,IF(OR($J190=1,$J190=2,$J190=3,$J190=4),-$E190*$I190/12*3,IF($J190=5,-$E190*$I190/12*2,IF($J190=6,-$E190*$I190/12*1,0)))))+IF(DO$5&lt;&gt;$H190,0,IF(DO190&lt;0,IF($J190=4,-$E190*$I190/12*0,IF($J190=5,-$E190*$I190/12*1,IF($J190=6,-$E190*$I190/12*2,IF($J190&gt;=7,-$E190*$I190/12*3,0))))))</f>
        <v>0</v>
      </c>
      <c r="DR190" s="416">
        <f>IF($H190&lt;&gt;DT$5,0,IF(DT190&lt;0,IF(OR($J190=1,$J190=2,$J190=3,$J190=4,$J190=5,$J190=6,$J190=7),-$E190*$I190/12*3,IF($J190=8,-$E190*$I190/12*2,IF($J190=9,-$E190*$I190/12*1,0)))))+IF(DO$5&lt;&gt;$H190,0,IF(DO190&lt;0,IF($J190=7,-$E190*$I190/12*0,IF($J190=8,-$E190*$I190/12*1,IF($J190=9,-$E190*$I190/12*2,IF($J190&gt;=10,-$E190*$I190/12*3,0))))))</f>
        <v>0</v>
      </c>
      <c r="DS190" s="412">
        <f>IF($H190&lt;&gt;DT$5,0,IF(DT190&lt;0,IF(OR($J190=1,$J190=2,$J190=3,$J190=4,$J190=5,$J190=6,$J190=7,$J190=8,$J190=9,$J190=10),-$E190*$I190/12*3,IF($J190=11,-$E190*$I190/12*2,IF($J190=12,-$E190*$I190/12*1,0)))))+IF(DO$5&lt;&gt;$H190,0,IF(DO190&lt;0,IF($J190=10,-$E190*$I190/12*0,IF($J190=11,-$E190*$I190/12*1,IF($J190=12,-$E190*$I190/12*2,0)))))</f>
        <v>0</v>
      </c>
      <c r="DT190" s="413">
        <f>IF(AND(DO190&lt;&gt;0,DO$5=$H190),-$I190*$E190-DO190,IF(DT$5=$H190,-$I190*$E190*(12-$J190+1)/12,0))</f>
        <v>0</v>
      </c>
    </row>
    <row r="191" spans="1:124" ht="12.75" customHeight="1">
      <c r="A191" s="491"/>
      <c r="C191" s="1438"/>
      <c r="D191" s="1438"/>
      <c r="E191" s="1531"/>
      <c r="F191" s="1532"/>
      <c r="G191" s="1532"/>
      <c r="H191" s="610"/>
      <c r="I191" s="1534"/>
      <c r="J191" s="615"/>
      <c r="K191" s="402"/>
      <c r="L191" s="407"/>
      <c r="M191" s="404"/>
      <c r="N191" s="414"/>
      <c r="O191" s="414"/>
      <c r="P191" s="406"/>
      <c r="Q191" s="407"/>
      <c r="R191" s="404"/>
      <c r="S191" s="414"/>
      <c r="T191" s="414"/>
      <c r="U191" s="406"/>
      <c r="V191" s="407"/>
      <c r="W191" s="404"/>
      <c r="X191" s="414"/>
      <c r="Y191" s="414"/>
      <c r="Z191" s="406"/>
      <c r="AA191" s="407"/>
      <c r="AB191" s="404"/>
      <c r="AC191" s="414"/>
      <c r="AD191" s="414"/>
      <c r="AE191" s="406"/>
      <c r="AF191" s="407"/>
      <c r="AG191" s="404"/>
      <c r="AH191" s="414"/>
      <c r="AI191" s="414"/>
      <c r="AJ191" s="406"/>
      <c r="AK191" s="407"/>
      <c r="AL191" s="404"/>
      <c r="AM191" s="414"/>
      <c r="AN191" s="414"/>
      <c r="AO191" s="406"/>
      <c r="AP191" s="407"/>
      <c r="AQ191" s="404"/>
      <c r="AR191" s="414"/>
      <c r="AS191" s="414"/>
      <c r="AT191" s="406"/>
      <c r="AU191" s="407"/>
      <c r="AV191" s="404"/>
      <c r="AW191" s="414"/>
      <c r="AX191" s="414"/>
      <c r="AY191" s="406"/>
      <c r="AZ191" s="407"/>
      <c r="BA191" s="404"/>
      <c r="BB191" s="414"/>
      <c r="BC191" s="414"/>
      <c r="BD191" s="406"/>
      <c r="BE191" s="407"/>
      <c r="BF191" s="404"/>
      <c r="BG191" s="414"/>
      <c r="BH191" s="414"/>
      <c r="BI191" s="406"/>
      <c r="BJ191" s="407"/>
      <c r="BK191" s="404"/>
      <c r="BL191" s="414"/>
      <c r="BM191" s="414"/>
      <c r="BN191" s="406"/>
      <c r="BO191" s="407"/>
      <c r="BP191" s="449"/>
      <c r="BQ191" s="413"/>
      <c r="BR191" s="410"/>
      <c r="BS191" s="416"/>
      <c r="BT191" s="416"/>
      <c r="BU191" s="412"/>
      <c r="BV191" s="413"/>
      <c r="BW191" s="410"/>
      <c r="BX191" s="416"/>
      <c r="BY191" s="416"/>
      <c r="BZ191" s="412"/>
      <c r="CA191" s="413"/>
      <c r="CB191" s="410"/>
      <c r="CC191" s="416"/>
      <c r="CD191" s="416"/>
      <c r="CE191" s="412"/>
      <c r="CF191" s="413"/>
      <c r="CG191" s="410"/>
      <c r="CH191" s="416"/>
      <c r="CI191" s="416"/>
      <c r="CJ191" s="412"/>
      <c r="CK191" s="413"/>
      <c r="CL191" s="410"/>
      <c r="CM191" s="416"/>
      <c r="CN191" s="416"/>
      <c r="CO191" s="412"/>
      <c r="CP191" s="413"/>
      <c r="CQ191" s="410"/>
      <c r="CR191" s="416"/>
      <c r="CS191" s="416"/>
      <c r="CT191" s="412"/>
      <c r="CU191" s="413"/>
      <c r="CV191" s="410"/>
      <c r="CW191" s="416"/>
      <c r="CX191" s="416"/>
      <c r="CY191" s="412"/>
      <c r="CZ191" s="413"/>
      <c r="DA191" s="410"/>
      <c r="DB191" s="416"/>
      <c r="DC191" s="416"/>
      <c r="DD191" s="412"/>
      <c r="DE191" s="413"/>
      <c r="DF191" s="410"/>
      <c r="DG191" s="416"/>
      <c r="DH191" s="416"/>
      <c r="DI191" s="412"/>
      <c r="DJ191" s="413"/>
      <c r="DK191" s="410"/>
      <c r="DL191" s="416"/>
      <c r="DM191" s="416"/>
      <c r="DN191" s="412"/>
      <c r="DO191" s="413"/>
      <c r="DP191" s="410"/>
      <c r="DQ191" s="416"/>
      <c r="DR191" s="416"/>
      <c r="DS191" s="412"/>
      <c r="DT191" s="413"/>
    </row>
    <row r="192" spans="1:124" ht="12.75" customHeight="1">
      <c r="A192" s="491"/>
      <c r="C192" s="1885" t="s">
        <v>1296</v>
      </c>
      <c r="D192" s="1885"/>
      <c r="E192" s="1886">
        <f>IF(F192=0,G192,F192)</f>
        <v>65</v>
      </c>
      <c r="F192" s="1532">
        <v>65</v>
      </c>
      <c r="G192" s="1532">
        <v>65</v>
      </c>
      <c r="H192" s="610">
        <v>2036</v>
      </c>
      <c r="I192" s="1534">
        <v>4.4999999999999998E-2</v>
      </c>
      <c r="J192" s="615">
        <v>4</v>
      </c>
      <c r="K192" s="402"/>
      <c r="L192" s="407">
        <f t="shared" si="1346"/>
        <v>0</v>
      </c>
      <c r="M192" s="404">
        <f>IF(Q192=0,0,IF(Q192&lt;0,IF($J192=3,Q192,IF($J192=2,Q192,IF($J192=1,Q192,0)))))</f>
        <v>0</v>
      </c>
      <c r="N192" s="414">
        <f>IF(Q192=0,0,IF(Q192&lt;0,IF($J192=6,Q192,IF($J192=5,Q192,IF($J192=4,Q192,0)))))</f>
        <v>0</v>
      </c>
      <c r="O192" s="414">
        <f>IF(Q192=0,0,IF(Q192&lt;0,IF($J192=9,Q192,IF($J192=8,Q192,IF($J192=7,Q192,0)))))</f>
        <v>0</v>
      </c>
      <c r="P192" s="406">
        <f>IF(Q192=0,0,IF(Q192&lt;0,IF($J192=12,Q192,IF($J192=11,Q192,IF($J192=10,Q192,0)))))</f>
        <v>0</v>
      </c>
      <c r="Q192" s="407">
        <f t="shared" si="1351"/>
        <v>0</v>
      </c>
      <c r="R192" s="404">
        <f>IF(V192=0,0,IF(V192&lt;0,IF($J192=3,V192,IF($J192=2,V192,IF($J192=1,V192,0)))))</f>
        <v>0</v>
      </c>
      <c r="S192" s="414">
        <f>IF(V192=0,0,IF(V192&lt;0,IF($J192=6,V192,IF($J192=5,V192,IF($J192=4,V192,0)))))</f>
        <v>0</v>
      </c>
      <c r="T192" s="414">
        <f>IF(V192=0,0,IF(V192&lt;0,IF($J192=9,V192,IF($J192=8,V192,IF($J192=7,V192,0)))))</f>
        <v>0</v>
      </c>
      <c r="U192" s="406">
        <f>IF(V192=0,0,IF(V192&lt;0,IF($J192=12,V192,IF($J192=11,V192,IF($J192=10,V192,0)))))</f>
        <v>0</v>
      </c>
      <c r="V192" s="407">
        <f t="shared" si="1356"/>
        <v>0</v>
      </c>
      <c r="W192" s="404">
        <f>IF(AA192=0,0,IF(AA192&lt;0,IF($J192=3,AA192,IF($J192=2,AA192,IF($J192=1,AA192,0)))))</f>
        <v>0</v>
      </c>
      <c r="X192" s="414">
        <f>IF(AA192=0,0,IF(AA192&lt;0,IF($J192=6,AA192,IF($J192=5,AA192,IF($J192=4,AA192,0)))))</f>
        <v>0</v>
      </c>
      <c r="Y192" s="414">
        <f>IF(AA192=0,0,IF(AA192&lt;0,IF($J192=9,AA192,IF($J192=8,AA192,IF($J192=7,AA192,0)))))</f>
        <v>0</v>
      </c>
      <c r="Z192" s="406">
        <f>IF(AA192=0,0,IF(AA192&lt;0,IF($J192=12,AA192,IF($J192=11,AA192,IF($J192=10,AA192,0)))))</f>
        <v>0</v>
      </c>
      <c r="AA192" s="407">
        <f t="shared" si="1361"/>
        <v>0</v>
      </c>
      <c r="AB192" s="404">
        <f>IF(AF192=0,0,IF(AF192&lt;0,IF($J192=3,AF192,IF($J192=2,AF192,IF($J192=1,AF192,0)))))</f>
        <v>0</v>
      </c>
      <c r="AC192" s="414">
        <f>IF(AF192=0,0,IF(AF192&lt;0,IF($J192=6,AF192,IF($J192=5,AF192,IF($J192=4,AF192,0)))))</f>
        <v>0</v>
      </c>
      <c r="AD192" s="414">
        <f>IF(AF192=0,0,IF(AF192&lt;0,IF($J192=9,AF192,IF($J192=8,AF192,IF($J192=7,AF192,0)))))</f>
        <v>0</v>
      </c>
      <c r="AE192" s="406">
        <f>IF(AF192=0,0,IF(AF192&lt;0,IF($J192=12,AF192,IF($J192=11,AF192,IF($J192=10,AF192,0)))))</f>
        <v>0</v>
      </c>
      <c r="AF192" s="407">
        <f t="shared" si="1366"/>
        <v>0</v>
      </c>
      <c r="AG192" s="404">
        <f>IF(AK192=0,0,IF(AK192&lt;0,IF($J192=3,AK192,IF($J192=2,AK192,IF($J192=1,AK192,0)))))</f>
        <v>0</v>
      </c>
      <c r="AH192" s="414">
        <f>IF(AK192=0,0,IF(AK192&lt;0,IF($J192=6,AK192,IF($J192=5,AK192,IF($J192=4,AK192,0)))))</f>
        <v>0</v>
      </c>
      <c r="AI192" s="414">
        <f>IF(AK192=0,0,IF(AK192&lt;0,IF($J192=9,AK192,IF($J192=8,AK192,IF($J192=7,AK192,0)))))</f>
        <v>0</v>
      </c>
      <c r="AJ192" s="406">
        <f>IF(AK192=0,0,IF(AK192&lt;0,IF($J192=12,AK192,IF($J192=11,AK192,IF($J192=10,AK192,0)))))</f>
        <v>0</v>
      </c>
      <c r="AK192" s="407">
        <f t="shared" si="1371"/>
        <v>0</v>
      </c>
      <c r="AL192" s="404">
        <f>IF(AP192=0,0,IF(AP192&lt;0,IF($J192=3,AP192,IF($J192=2,AP192,IF($J192=1,AP192,0)))))</f>
        <v>0</v>
      </c>
      <c r="AM192" s="414">
        <f>IF(AP192=0,0,IF(AP192&lt;0,IF($J192=6,AP192,IF($J192=5,AP192,IF($J192=4,AP192,0)))))</f>
        <v>0</v>
      </c>
      <c r="AN192" s="414">
        <f>IF(AP192=0,0,IF(AP192&lt;0,IF($J192=9,AP192,IF($J192=8,AP192,IF($J192=7,AP192,0)))))</f>
        <v>0</v>
      </c>
      <c r="AO192" s="406">
        <f>IF(AP192=0,0,IF(AP192&lt;0,IF($J192=12,AP192,IF($J192=11,AP192,IF($J192=10,AP192,0)))))</f>
        <v>0</v>
      </c>
      <c r="AP192" s="407">
        <f t="shared" si="1376"/>
        <v>0</v>
      </c>
      <c r="AQ192" s="404">
        <f>IF(AU192=0,0,IF(AU192&lt;0,IF($J192=3,AU192,IF($J192=2,AU192,IF($J192=1,AU192,0)))))</f>
        <v>0</v>
      </c>
      <c r="AR192" s="414">
        <f>IF(AU192=0,0,IF(AU192&lt;0,IF($J192=6,AU192,IF($J192=5,AU192,IF($J192=4,AU192,0)))))</f>
        <v>0</v>
      </c>
      <c r="AS192" s="414">
        <f>IF(AU192=0,0,IF(AU192&lt;0,IF($J192=9,AU192,IF($J192=8,AU192,IF($J192=7,AU192,0)))))</f>
        <v>0</v>
      </c>
      <c r="AT192" s="406">
        <f>IF(AU192=0,0,IF(AU192&lt;0,IF($J192=12,AU192,IF($J192=11,AU192,IF($J192=10,AU192,0)))))</f>
        <v>0</v>
      </c>
      <c r="AU192" s="407">
        <f t="shared" si="1381"/>
        <v>0</v>
      </c>
      <c r="AV192" s="404">
        <f>IF(AZ192=0,0,IF(AZ192&lt;0,IF($J192=3,AZ192,IF($J192=2,AZ192,IF($J192=1,AZ192,0)))))</f>
        <v>0</v>
      </c>
      <c r="AW192" s="414">
        <f>IF(AZ192=0,0,IF(AZ192&lt;0,IF($J192=6,AZ192,IF($J192=5,AZ192,IF($J192=4,AZ192,0)))))</f>
        <v>0</v>
      </c>
      <c r="AX192" s="414">
        <f>IF(AZ192=0,0,IF(AZ192&lt;0,IF($J192=9,AZ192,IF($J192=8,AZ192,IF($J192=7,AZ192,0)))))</f>
        <v>0</v>
      </c>
      <c r="AY192" s="406">
        <f>IF(AZ192=0,0,IF(AZ192&lt;0,IF($J192=12,AZ192,IF($J192=11,AZ192,IF($J192=10,AZ192,0)))))</f>
        <v>0</v>
      </c>
      <c r="AZ192" s="407">
        <f t="shared" si="1386"/>
        <v>0</v>
      </c>
      <c r="BA192" s="404">
        <f>IF(BE192=0,0,IF(BE192&lt;0,IF($J192=3,BE192,IF($J192=2,BE192,IF($J192=1,BE192,0)))))</f>
        <v>0</v>
      </c>
      <c r="BB192" s="414">
        <f>IF(BE192=0,0,IF(BE192&lt;0,IF($J192=6,BE192,IF($J192=5,BE192,IF($J192=4,BE192,0)))))</f>
        <v>0</v>
      </c>
      <c r="BC192" s="414">
        <f>IF(BE192=0,0,IF(BE192&lt;0,IF($J192=9,BE192,IF($J192=8,BE192,IF($J192=7,BE192,0)))))</f>
        <v>0</v>
      </c>
      <c r="BD192" s="406">
        <f>IF(BE192=0,0,IF(BE192&lt;0,IF($J192=12,BE192,IF($J192=11,BE192,IF($J192=10,BE192,0)))))</f>
        <v>0</v>
      </c>
      <c r="BE192" s="407">
        <f t="shared" si="1391"/>
        <v>0</v>
      </c>
      <c r="BF192" s="404">
        <f>IF(BJ192=0,0,IF(BJ192&lt;0,IF($J192=3,BJ192,IF($J192=2,BJ192,IF($J192=1,BJ192,0)))))</f>
        <v>0</v>
      </c>
      <c r="BG192" s="414">
        <f>IF(BJ192=0,0,IF(BJ192&lt;0,IF($J192=6,BJ192,IF($J192=5,BJ192,IF($J192=4,BJ192,0)))))</f>
        <v>0</v>
      </c>
      <c r="BH192" s="414">
        <f>IF(BJ192=0,0,IF(BJ192&lt;0,IF($J192=9,BJ192,IF($J192=8,BJ192,IF($J192=7,BJ192,0)))))</f>
        <v>0</v>
      </c>
      <c r="BI192" s="406">
        <f>IF(BJ192=0,0,IF(BJ192&lt;0,IF($J192=12,BJ192,IF($J192=11,BJ192,IF($J192=10,BJ192,0)))))</f>
        <v>0</v>
      </c>
      <c r="BJ192" s="407">
        <f t="shared" si="1396"/>
        <v>0</v>
      </c>
      <c r="BK192" s="404">
        <f>IF(BO192=0,0,IF(BO192&lt;0,IF($J192=3,BO192,IF($J192=2,BO192,IF($J192=1,BO192,0)))))</f>
        <v>0</v>
      </c>
      <c r="BL192" s="414">
        <f>IF(BO192=0,0,IF(BO192&lt;0,IF($J192=6,BO192,IF($J192=5,BO192,IF($J192=4,BO192,0)))))</f>
        <v>0</v>
      </c>
      <c r="BM192" s="414">
        <f>IF(BO192=0,0,IF(BO192&lt;0,IF($J192=9,BO192,IF($J192=8,BO192,IF($J192=7,BO192,0)))))</f>
        <v>0</v>
      </c>
      <c r="BN192" s="406">
        <f>IF(BO192=0,0,IF(BO192&lt;0,IF($J192=12,BO192,IF($J192=11,BO192,IF($J192=10,BO192,0)))))</f>
        <v>0</v>
      </c>
      <c r="BO192" s="407">
        <f t="shared" si="1401"/>
        <v>0</v>
      </c>
      <c r="BP192" s="449"/>
      <c r="BQ192" s="413">
        <f>IF(AND(AH192&lt;&gt;0,AH$5=$H192),-$I192*$E192-AH192,IF(BQ$5=$H192,-$I192*$E192*(12-$J192+1)/12,0))</f>
        <v>0</v>
      </c>
      <c r="BR192" s="410">
        <f>IF($H192&lt;&gt;BV$5,0,IF(BV192&lt;0,IF($J192=1,-$E192*$I192/12*3,IF($J192=2,-$E192*$I192/12*2,IF($J192=3,-$E192*$I192/12*1,0)))))+IF(BQ$5&lt;&gt;$H192,0,IF(BQ192&lt;0,IF($J192=1,-$E192*$I192/12*0,IF($J192=2,-$E192*$I192/12*1,IF($J192=3,-$E192*$I192/12*2,IF($J192&gt;=4,-$E192*$I192/12*3,0))))))</f>
        <v>0</v>
      </c>
      <c r="BS192" s="416">
        <f>IF($H192&lt;&gt;BV$5,0,IF(BV192&lt;0,IF(OR($J192=1,$J192=2,$J192=3,$J192=4),-$E192*$I192/12*3,IF($J192=5,-$E192*$I192/12*2,IF($J192=6,-$E192*$I192/12*1,0)))))+IF(BQ$5&lt;&gt;$H192,0,IF(BQ192&lt;0,IF($J192=4,-$E192*$I192/12*0,IF($J192=5,-$E192*$I192/12*1,IF($J192=6,-$E192*$I192/12*2,IF($J192&gt;=7,-$E192*$I192/12*3,0))))))</f>
        <v>0</v>
      </c>
      <c r="BT192" s="416">
        <f>IF($H192&lt;&gt;BV$5,0,IF(BV192&lt;0,IF(OR($J192=1,$J192=2,$J192=3,$J192=4,$J192=5,$J192=6,$J192=7),-$E192*$I192/12*3,IF($J192=8,-$E192*$I192/12*2,IF($J192=9,-$E192*$I192/12*1,0)))))+IF(BQ$5&lt;&gt;$H192,0,IF(BQ192&lt;0,IF($J192=7,-$E192*$I192/12*0,IF($J192=8,-$E192*$I192/12*1,IF($J192=9,-$E192*$I192/12*2,IF($J192&gt;=10,-$E192*$I192/12*3,0))))))</f>
        <v>0</v>
      </c>
      <c r="BU192" s="412">
        <f>IF($H192&lt;&gt;BV$5,0,IF(BV192&lt;0,IF(OR($J192=1,$J192=2,$J192=3,$J192=4,$J192=5,$J192=6,$J192=7,$J192=8,$J192=9,$J192=10),-$E192*$I192/12*3,IF($J192=11,-$E192*$I192/12*2,IF($J192=12,-$E192*$I192/12*1,0)))))+IF(BQ$5&lt;&gt;$H192,0,IF(BQ192&lt;0,IF($J192=10,-$E192*$I192/12*0,IF($J192=11,-$E192*$I192/12*1,IF($J192=12,-$E192*$I192/12*2,0)))))</f>
        <v>0</v>
      </c>
      <c r="BV192" s="413">
        <f>IF(AND(BQ192&lt;&gt;0,BQ$5=$H192),-$I192*$E192-BQ192,IF(BV$5=$H192,-$I192*$E192*(12-$J192+1)/12,0))</f>
        <v>0</v>
      </c>
      <c r="BW192" s="410">
        <f>IF($H192&lt;&gt;CA$5,0,IF(CA192&lt;0,IF($J192=1,-$E192*$I192/12*3,IF($J192=2,-$E192*$I192/12*2,IF($J192=3,-$E192*$I192/12*1,0)))))+IF(BV$5&lt;&gt;$H192,0,IF(BV192&lt;0,IF($J192=1,-$E192*$I192/12*0,IF($J192=2,-$E192*$I192/12*1,IF($J192=3,-$E192*$I192/12*2,IF($J192&gt;=4,-$E192*$I192/12*3,0))))))</f>
        <v>0</v>
      </c>
      <c r="BX192" s="416">
        <f>IF($H192&lt;&gt;CA$5,0,IF(CA192&lt;0,IF(OR($J192=1,$J192=2,$J192=3,$J192=4),-$E192*$I192/12*3,IF($J192=5,-$E192*$I192/12*2,IF($J192=6,-$E192*$I192/12*1,0)))))+IF(BV$5&lt;&gt;$H192,0,IF(BV192&lt;0,IF($J192=4,-$E192*$I192/12*0,IF($J192=5,-$E192*$I192/12*1,IF($J192=6,-$E192*$I192/12*2,IF($J192&gt;=7,-$E192*$I192/12*3,0))))))</f>
        <v>0</v>
      </c>
      <c r="BY192" s="416">
        <f>IF($H192&lt;&gt;CA$5,0,IF(CA192&lt;0,IF(OR($J192=1,$J192=2,$J192=3,$J192=4,$J192=5,$J192=6,$J192=7),-$E192*$I192/12*3,IF($J192=8,-$E192*$I192/12*2,IF($J192=9,-$E192*$I192/12*1,0)))))+IF(BV$5&lt;&gt;$H192,0,IF(BV192&lt;0,IF($J192=7,-$E192*$I192/12*0,IF($J192=8,-$E192*$I192/12*1,IF($J192=9,-$E192*$I192/12*2,IF($J192&gt;=10,-$E192*$I192/12*3,0))))))</f>
        <v>0</v>
      </c>
      <c r="BZ192" s="412">
        <f>IF($H192&lt;&gt;CA$5,0,IF(CA192&lt;0,IF(OR($J192=1,$J192=2,$J192=3,$J192=4,$J192=5,$J192=6,$J192=7,$J192=8,$J192=9,$J192=10),-$E192*$I192/12*3,IF($J192=11,-$E192*$I192/12*2,IF($J192=12,-$E192*$I192/12*1,0)))))+IF(BV$5&lt;&gt;$H192,0,IF(BV192&lt;0,IF($J192=10,-$E192*$I192/12*0,IF($J192=11,-$E192*$I192/12*1,IF($J192=12,-$E192*$I192/12*2,0)))))</f>
        <v>0</v>
      </c>
      <c r="CA192" s="413">
        <f>IF(AND(BV192&lt;&gt;0,BV$5=$H192),-$I192*$E192-BV192,IF(CA$5=$H192,-$I192*$E192*(12-$J192+1)/12,0))</f>
        <v>0</v>
      </c>
      <c r="CB192" s="410">
        <f>IF($H192&lt;&gt;CF$5,0,IF(CF192&lt;0,IF($J192=1,-$E192*$I192/12*3,IF($J192=2,-$E192*$I192/12*2,IF($J192=3,-$E192*$I192/12*1,0)))))+IF(CA$5&lt;&gt;$H192,0,IF(CA192&lt;0,IF($J192=1,-$E192*$I192/12*0,IF($J192=2,-$E192*$I192/12*1,IF($J192=3,-$E192*$I192/12*2,IF($J192&gt;=4,-$E192*$I192/12*3,0))))))</f>
        <v>0</v>
      </c>
      <c r="CC192" s="416">
        <f>IF($H192&lt;&gt;CF$5,0,IF(CF192&lt;0,IF(OR($J192=1,$J192=2,$J192=3,$J192=4),-$E192*$I192/12*3,IF($J192=5,-$E192*$I192/12*2,IF($J192=6,-$E192*$I192/12*1,0)))))+IF(CA$5&lt;&gt;$H192,0,IF(CA192&lt;0,IF($J192=4,-$E192*$I192/12*0,IF($J192=5,-$E192*$I192/12*1,IF($J192=6,-$E192*$I192/12*2,IF($J192&gt;=7,-$E192*$I192/12*3,0))))))</f>
        <v>0</v>
      </c>
      <c r="CD192" s="416">
        <f>IF($H192&lt;&gt;CF$5,0,IF(CF192&lt;0,IF(OR($J192=1,$J192=2,$J192=3,$J192=4,$J192=5,$J192=6,$J192=7),-$E192*$I192/12*3,IF($J192=8,-$E192*$I192/12*2,IF($J192=9,-$E192*$I192/12*1,0)))))+IF(CA$5&lt;&gt;$H192,0,IF(CA192&lt;0,IF($J192=7,-$E192*$I192/12*0,IF($J192=8,-$E192*$I192/12*1,IF($J192=9,-$E192*$I192/12*2,IF($J192&gt;=10,-$E192*$I192/12*3,0))))))</f>
        <v>0</v>
      </c>
      <c r="CE192" s="412">
        <f>IF($H192&lt;&gt;CF$5,0,IF(CF192&lt;0,IF(OR($J192=1,$J192=2,$J192=3,$J192=4,$J192=5,$J192=6,$J192=7,$J192=8,$J192=9,$J192=10),-$E192*$I192/12*3,IF($J192=11,-$E192*$I192/12*2,IF($J192=12,-$E192*$I192/12*1,0)))))+IF(CA$5&lt;&gt;$H192,0,IF(CA192&lt;0,IF($J192=10,-$E192*$I192/12*0,IF($J192=11,-$E192*$I192/12*1,IF($J192=12,-$E192*$I192/12*2,0)))))</f>
        <v>0</v>
      </c>
      <c r="CF192" s="413">
        <f>IF(AND(CA192&lt;&gt;0,CA$5=$H192),-$I192*$E192-CA192,IF(CF$5=$H192,-$I192*$E192*(12-$J192+1)/12,0))</f>
        <v>0</v>
      </c>
      <c r="CG192" s="410">
        <f>IF($H192&lt;&gt;CK$5,0,IF(CK192&lt;0,IF($J192=1,-$E192*$I192/12*3,IF($J192=2,-$E192*$I192/12*2,IF($J192=3,-$E192*$I192/12*1,0)))))+IF(CF$5&lt;&gt;$H192,0,IF(CF192&lt;0,IF($J192=1,-$E192*$I192/12*0,IF($J192=2,-$E192*$I192/12*1,IF($J192=3,-$E192*$I192/12*2,IF($J192&gt;=4,-$E192*$I192/12*3,0))))))</f>
        <v>0</v>
      </c>
      <c r="CH192" s="416">
        <f>IF($H192&lt;&gt;CK$5,0,IF(CK192&lt;0,IF(OR($J192=1,$J192=2,$J192=3,$J192=4),-$E192*$I192/12*3,IF($J192=5,-$E192*$I192/12*2,IF($J192=6,-$E192*$I192/12*1,0)))))+IF(CF$5&lt;&gt;$H192,0,IF(CF192&lt;0,IF($J192=4,-$E192*$I192/12*0,IF($J192=5,-$E192*$I192/12*1,IF($J192=6,-$E192*$I192/12*2,IF($J192&gt;=7,-$E192*$I192/12*3,0))))))</f>
        <v>0</v>
      </c>
      <c r="CI192" s="416">
        <f>IF($H192&lt;&gt;CK$5,0,IF(CK192&lt;0,IF(OR($J192=1,$J192=2,$J192=3,$J192=4,$J192=5,$J192=6,$J192=7),-$E192*$I192/12*3,IF($J192=8,-$E192*$I192/12*2,IF($J192=9,-$E192*$I192/12*1,0)))))+IF(CF$5&lt;&gt;$H192,0,IF(CF192&lt;0,IF($J192=7,-$E192*$I192/12*0,IF($J192=8,-$E192*$I192/12*1,IF($J192=9,-$E192*$I192/12*2,IF($J192&gt;=10,-$E192*$I192/12*3,0))))))</f>
        <v>0</v>
      </c>
      <c r="CJ192" s="412">
        <f>IF($H192&lt;&gt;CK$5,0,IF(CK192&lt;0,IF(OR($J192=1,$J192=2,$J192=3,$J192=4,$J192=5,$J192=6,$J192=7,$J192=8,$J192=9,$J192=10),-$E192*$I192/12*3,IF($J192=11,-$E192*$I192/12*2,IF($J192=12,-$E192*$I192/12*1,0)))))+IF(CF$5&lt;&gt;$H192,0,IF(CF192&lt;0,IF($J192=10,-$E192*$I192/12*0,IF($J192=11,-$E192*$I192/12*1,IF($J192=12,-$E192*$I192/12*2,0)))))</f>
        <v>0</v>
      </c>
      <c r="CK192" s="413">
        <f>IF(AND(CF192&lt;&gt;0,CF$5=$H192),-$I192*$E192-CF192,IF(CK$5=$H192,-$I192*$E192*(12-$J192+1)/12,0))</f>
        <v>0</v>
      </c>
      <c r="CL192" s="410">
        <f>IF($H192&lt;&gt;CP$5,0,IF(CP192&lt;0,IF($J192=1,-$E192*$I192/12*3,IF($J192=2,-$E192*$I192/12*2,IF($J192=3,-$E192*$I192/12*1,0)))))+IF(CK$5&lt;&gt;$H192,0,IF(CK192&lt;0,IF($J192=1,-$E192*$I192/12*0,IF($J192=2,-$E192*$I192/12*1,IF($J192=3,-$E192*$I192/12*2,IF($J192&gt;=4,-$E192*$I192/12*3,0))))))</f>
        <v>0</v>
      </c>
      <c r="CM192" s="416">
        <f>IF($H192&lt;&gt;CP$5,0,IF(CP192&lt;0,IF(OR($J192=1,$J192=2,$J192=3,$J192=4),-$E192*$I192/12*3,IF($J192=5,-$E192*$I192/12*2,IF($J192=6,-$E192*$I192/12*1,0)))))+IF(CK$5&lt;&gt;$H192,0,IF(CK192&lt;0,IF($J192=4,-$E192*$I192/12*0,IF($J192=5,-$E192*$I192/12*1,IF($J192=6,-$E192*$I192/12*2,IF($J192&gt;=7,-$E192*$I192/12*3,0))))))</f>
        <v>0</v>
      </c>
      <c r="CN192" s="416">
        <f>IF($H192&lt;&gt;CP$5,0,IF(CP192&lt;0,IF(OR($J192=1,$J192=2,$J192=3,$J192=4,$J192=5,$J192=6,$J192=7),-$E192*$I192/12*3,IF($J192=8,-$E192*$I192/12*2,IF($J192=9,-$E192*$I192/12*1,0)))))+IF(CK$5&lt;&gt;$H192,0,IF(CK192&lt;0,IF($J192=7,-$E192*$I192/12*0,IF($J192=8,-$E192*$I192/12*1,IF($J192=9,-$E192*$I192/12*2,IF($J192&gt;=10,-$E192*$I192/12*3,0))))))</f>
        <v>0</v>
      </c>
      <c r="CO192" s="412">
        <f>IF($H192&lt;&gt;CP$5,0,IF(CP192&lt;0,IF(OR($J192=1,$J192=2,$J192=3,$J192=4,$J192=5,$J192=6,$J192=7,$J192=8,$J192=9,$J192=10),-$E192*$I192/12*3,IF($J192=11,-$E192*$I192/12*2,IF($J192=12,-$E192*$I192/12*1,0)))))+IF(CK$5&lt;&gt;$H192,0,IF(CK192&lt;0,IF($J192=10,-$E192*$I192/12*0,IF($J192=11,-$E192*$I192/12*1,IF($J192=12,-$E192*$I192/12*2,0)))))</f>
        <v>0</v>
      </c>
      <c r="CP192" s="413">
        <f>IF(AND(CK192&lt;&gt;0,CK$5=$H192),-$I192*$E192-CK192,IF(CP$5=$H192,-$I192*$E192*(12-$J192+1)/12,0))</f>
        <v>0</v>
      </c>
      <c r="CQ192" s="410">
        <f>IF($H192&lt;&gt;CU$5,0,IF(CU192&lt;0,IF($J192=1,-$E192*$I192/12*3,IF($J192=2,-$E192*$I192/12*2,IF($J192=3,-$E192*$I192/12*1,0)))))+IF(CP$5&lt;&gt;$H192,0,IF(CP192&lt;0,IF($J192=1,-$E192*$I192/12*0,IF($J192=2,-$E192*$I192/12*1,IF($J192=3,-$E192*$I192/12*2,IF($J192&gt;=4,-$E192*$I192/12*3,0))))))</f>
        <v>0</v>
      </c>
      <c r="CR192" s="416">
        <f>IF($H192&lt;&gt;CU$5,0,IF(CU192&lt;0,IF(OR($J192=1,$J192=2,$J192=3,$J192=4),-$E192*$I192/12*3,IF($J192=5,-$E192*$I192/12*2,IF($J192=6,-$E192*$I192/12*1,0)))))+IF(CP$5&lt;&gt;$H192,0,IF(CP192&lt;0,IF($J192=4,-$E192*$I192/12*0,IF($J192=5,-$E192*$I192/12*1,IF($J192=6,-$E192*$I192/12*2,IF($J192&gt;=7,-$E192*$I192/12*3,0))))))</f>
        <v>0</v>
      </c>
      <c r="CS192" s="416">
        <f>IF($H192&lt;&gt;CU$5,0,IF(CU192&lt;0,IF(OR($J192=1,$J192=2,$J192=3,$J192=4,$J192=5,$J192=6,$J192=7),-$E192*$I192/12*3,IF($J192=8,-$E192*$I192/12*2,IF($J192=9,-$E192*$I192/12*1,0)))))+IF(CP$5&lt;&gt;$H192,0,IF(CP192&lt;0,IF($J192=7,-$E192*$I192/12*0,IF($J192=8,-$E192*$I192/12*1,IF($J192=9,-$E192*$I192/12*2,IF($J192&gt;=10,-$E192*$I192/12*3,0))))))</f>
        <v>0</v>
      </c>
      <c r="CT192" s="412">
        <f>IF($H192&lt;&gt;CU$5,0,IF(CU192&lt;0,IF(OR($J192=1,$J192=2,$J192=3,$J192=4,$J192=5,$J192=6,$J192=7,$J192=8,$J192=9,$J192=10),-$E192*$I192/12*3,IF($J192=11,-$E192*$I192/12*2,IF($J192=12,-$E192*$I192/12*1,0)))))+IF(CP$5&lt;&gt;$H192,0,IF(CP192&lt;0,IF($J192=10,-$E192*$I192/12*0,IF($J192=11,-$E192*$I192/12*1,IF($J192=12,-$E192*$I192/12*2,0)))))</f>
        <v>0</v>
      </c>
      <c r="CU192" s="413">
        <f>IF(AND(CP192&lt;&gt;0,CP$5=$H192),-$I192*$E192-CP192,IF(CU$5=$H192,-$I192*$E192*(12-$J192+1)/12,0))</f>
        <v>0</v>
      </c>
      <c r="CV192" s="410">
        <f>IF($H192&lt;&gt;CZ$5,0,IF(CZ192&lt;0,IF($J192=1,-$E192*$I192/12*3,IF($J192=2,-$E192*$I192/12*2,IF($J192=3,-$E192*$I192/12*1,0)))))+IF(CU$5&lt;&gt;$H192,0,IF(CU192&lt;0,IF($J192=1,-$E192*$I192/12*0,IF($J192=2,-$E192*$I192/12*1,IF($J192=3,-$E192*$I192/12*2,IF($J192&gt;=4,-$E192*$I192/12*3,0))))))</f>
        <v>0</v>
      </c>
      <c r="CW192" s="416">
        <f>IF($H192&lt;&gt;CZ$5,0,IF(CZ192&lt;0,IF(OR($J192=1,$J192=2,$J192=3,$J192=4),-$E192*$I192/12*3,IF($J192=5,-$E192*$I192/12*2,IF($J192=6,-$E192*$I192/12*1,0)))))+IF(CU$5&lt;&gt;$H192,0,IF(CU192&lt;0,IF($J192=4,-$E192*$I192/12*0,IF($J192=5,-$E192*$I192/12*1,IF($J192=6,-$E192*$I192/12*2,IF($J192&gt;=7,-$E192*$I192/12*3,0))))))</f>
        <v>0</v>
      </c>
      <c r="CX192" s="416">
        <f>IF($H192&lt;&gt;CZ$5,0,IF(CZ192&lt;0,IF(OR($J192=1,$J192=2,$J192=3,$J192=4,$J192=5,$J192=6,$J192=7),-$E192*$I192/12*3,IF($J192=8,-$E192*$I192/12*2,IF($J192=9,-$E192*$I192/12*1,0)))))+IF(CU$5&lt;&gt;$H192,0,IF(CU192&lt;0,IF($J192=7,-$E192*$I192/12*0,IF($J192=8,-$E192*$I192/12*1,IF($J192=9,-$E192*$I192/12*2,IF($J192&gt;=10,-$E192*$I192/12*3,0))))))</f>
        <v>0</v>
      </c>
      <c r="CY192" s="412">
        <f>IF($H192&lt;&gt;CZ$5,0,IF(CZ192&lt;0,IF(OR($J192=1,$J192=2,$J192=3,$J192=4,$J192=5,$J192=6,$J192=7,$J192=8,$J192=9,$J192=10),-$E192*$I192/12*3,IF($J192=11,-$E192*$I192/12*2,IF($J192=12,-$E192*$I192/12*1,0)))))+IF(CU$5&lt;&gt;$H192,0,IF(CU192&lt;0,IF($J192=10,-$E192*$I192/12*0,IF($J192=11,-$E192*$I192/12*1,IF($J192=12,-$E192*$I192/12*2,0)))))</f>
        <v>0</v>
      </c>
      <c r="CZ192" s="413">
        <f>IF(AND(CU192&lt;&gt;0,CU$5=$H192),-$I192*$E192-CU192,IF(CZ$5=$H192,-$I192*$E192*(12-$J192+1)/12,0))</f>
        <v>0</v>
      </c>
      <c r="DA192" s="410">
        <f>IF($H192&lt;&gt;DE$5,0,IF(DE192&lt;0,IF($J192=1,-$E192*$I192/12*3,IF($J192=2,-$E192*$I192/12*2,IF($J192=3,-$E192*$I192/12*1,0)))))+IF(CZ$5&lt;&gt;$H192,0,IF(CZ192&lt;0,IF($J192=1,-$E192*$I192/12*0,IF($J192=2,-$E192*$I192/12*1,IF($J192=3,-$E192*$I192/12*2,IF($J192&gt;=4,-$E192*$I192/12*3,0))))))</f>
        <v>0</v>
      </c>
      <c r="DB192" s="416">
        <f>IF($H192&lt;&gt;DE$5,0,IF(DE192&lt;0,IF(OR($J192=1,$J192=2,$J192=3,$J192=4),-$E192*$I192/12*3,IF($J192=5,-$E192*$I192/12*2,IF($J192=6,-$E192*$I192/12*1,0)))))+IF(CZ$5&lt;&gt;$H192,0,IF(CZ192&lt;0,IF($J192=4,-$E192*$I192/12*0,IF($J192=5,-$E192*$I192/12*1,IF($J192=6,-$E192*$I192/12*2,IF($J192&gt;=7,-$E192*$I192/12*3,0))))))</f>
        <v>0</v>
      </c>
      <c r="DC192" s="416">
        <f>IF($H192&lt;&gt;DE$5,0,IF(DE192&lt;0,IF(OR($J192=1,$J192=2,$J192=3,$J192=4,$J192=5,$J192=6,$J192=7),-$E192*$I192/12*3,IF($J192=8,-$E192*$I192/12*2,IF($J192=9,-$E192*$I192/12*1,0)))))+IF(CZ$5&lt;&gt;$H192,0,IF(CZ192&lt;0,IF($J192=7,-$E192*$I192/12*0,IF($J192=8,-$E192*$I192/12*1,IF($J192=9,-$E192*$I192/12*2,IF($J192&gt;=10,-$E192*$I192/12*3,0))))))</f>
        <v>0</v>
      </c>
      <c r="DD192" s="412">
        <f>IF($H192&lt;&gt;DE$5,0,IF(DE192&lt;0,IF(OR($J192=1,$J192=2,$J192=3,$J192=4,$J192=5,$J192=6,$J192=7,$J192=8,$J192=9,$J192=10),-$E192*$I192/12*3,IF($J192=11,-$E192*$I192/12*2,IF($J192=12,-$E192*$I192/12*1,0)))))+IF(CZ$5&lt;&gt;$H192,0,IF(CZ192&lt;0,IF($J192=10,-$E192*$I192/12*0,IF($J192=11,-$E192*$I192/12*1,IF($J192=12,-$E192*$I192/12*2,0)))))</f>
        <v>0</v>
      </c>
      <c r="DE192" s="413">
        <f>IF(AND(CZ192&lt;&gt;0,CZ$5=$H192),-$I192*$E192-CZ192,IF(DE$5=$H192,-$I192*$E192*(12-$J192+1)/12,0))</f>
        <v>0</v>
      </c>
      <c r="DF192" s="410">
        <f>IF($H192&lt;&gt;DJ$5,0,IF(DJ192&lt;0,IF($J192=1,-$E192*$I192/12*3,IF($J192=2,-$E192*$I192/12*2,IF($J192=3,-$E192*$I192/12*1,0)))))+IF(DE$5&lt;&gt;$H192,0,IF(DE192&lt;0,IF($J192=1,-$E192*$I192/12*0,IF($J192=2,-$E192*$I192/12*1,IF($J192=3,-$E192*$I192/12*2,IF($J192&gt;=4,-$E192*$I192/12*3,0))))))</f>
        <v>0</v>
      </c>
      <c r="DG192" s="416">
        <f>IF($H192&lt;&gt;DJ$5,0,IF(DJ192&lt;0,IF(OR($J192=1,$J192=2,$J192=3,$J192=4),-$E192*$I192/12*3,IF($J192=5,-$E192*$I192/12*2,IF($J192=6,-$E192*$I192/12*1,0)))))+IF(DE$5&lt;&gt;$H192,0,IF(DE192&lt;0,IF($J192=4,-$E192*$I192/12*0,IF($J192=5,-$E192*$I192/12*1,IF($J192=6,-$E192*$I192/12*2,IF($J192&gt;=7,-$E192*$I192/12*3,0))))))</f>
        <v>0</v>
      </c>
      <c r="DH192" s="416">
        <f>IF($H192&lt;&gt;DJ$5,0,IF(DJ192&lt;0,IF(OR($J192=1,$J192=2,$J192=3,$J192=4,$J192=5,$J192=6,$J192=7),-$E192*$I192/12*3,IF($J192=8,-$E192*$I192/12*2,IF($J192=9,-$E192*$I192/12*1,0)))))+IF(DE$5&lt;&gt;$H192,0,IF(DE192&lt;0,IF($J192=7,-$E192*$I192/12*0,IF($J192=8,-$E192*$I192/12*1,IF($J192=9,-$E192*$I192/12*2,IF($J192&gt;=10,-$E192*$I192/12*3,0))))))</f>
        <v>0</v>
      </c>
      <c r="DI192" s="412">
        <f>IF($H192&lt;&gt;DJ$5,0,IF(DJ192&lt;0,IF(OR($J192=1,$J192=2,$J192=3,$J192=4,$J192=5,$J192=6,$J192=7,$J192=8,$J192=9,$J192=10),-$E192*$I192/12*3,IF($J192=11,-$E192*$I192/12*2,IF($J192=12,-$E192*$I192/12*1,0)))))+IF(DE$5&lt;&gt;$H192,0,IF(DE192&lt;0,IF($J192=10,-$E192*$I192/12*0,IF($J192=11,-$E192*$I192/12*1,IF($J192=12,-$E192*$I192/12*2,0)))))</f>
        <v>0</v>
      </c>
      <c r="DJ192" s="413">
        <f>IF(AND(DE192&lt;&gt;0,DE$5=$H192),-$I192*$E192-DE192,IF(DJ$5=$H192,-$I192*$E192*(12-$J192+1)/12,0))</f>
        <v>0</v>
      </c>
      <c r="DK192" s="410">
        <f>IF($H192&lt;&gt;DO$5,0,IF(DO192&lt;0,IF($J192=1,-$E192*$I192/12*3,IF($J192=2,-$E192*$I192/12*2,IF($J192=3,-$E192*$I192/12*1,0)))))+IF(DJ$5&lt;&gt;$H192,0,IF(DJ192&lt;0,IF($J192=1,-$E192*$I192/12*0,IF($J192=2,-$E192*$I192/12*1,IF($J192=3,-$E192*$I192/12*2,IF($J192&gt;=4,-$E192*$I192/12*3,0))))))</f>
        <v>0</v>
      </c>
      <c r="DL192" s="416">
        <f>IF($H192&lt;&gt;DO$5,0,IF(DO192&lt;0,IF(OR($J192=1,$J192=2,$J192=3,$J192=4),-$E192*$I192/12*3,IF($J192=5,-$E192*$I192/12*2,IF($J192=6,-$E192*$I192/12*1,0)))))+IF(DJ$5&lt;&gt;$H192,0,IF(DJ192&lt;0,IF($J192=4,-$E192*$I192/12*0,IF($J192=5,-$E192*$I192/12*1,IF($J192=6,-$E192*$I192/12*2,IF($J192&gt;=7,-$E192*$I192/12*3,0))))))</f>
        <v>0</v>
      </c>
      <c r="DM192" s="416">
        <f>IF($H192&lt;&gt;DO$5,0,IF(DO192&lt;0,IF(OR($J192=1,$J192=2,$J192=3,$J192=4,$J192=5,$J192=6,$J192=7),-$E192*$I192/12*3,IF($J192=8,-$E192*$I192/12*2,IF($J192=9,-$E192*$I192/12*1,0)))))+IF(DJ$5&lt;&gt;$H192,0,IF(DJ192&lt;0,IF($J192=7,-$E192*$I192/12*0,IF($J192=8,-$E192*$I192/12*1,IF($J192=9,-$E192*$I192/12*2,IF($J192&gt;=10,-$E192*$I192/12*3,0))))))</f>
        <v>0</v>
      </c>
      <c r="DN192" s="412">
        <f>IF($H192&lt;&gt;DO$5,0,IF(DO192&lt;0,IF(OR($J192=1,$J192=2,$J192=3,$J192=4,$J192=5,$J192=6,$J192=7,$J192=8,$J192=9,$J192=10),-$E192*$I192/12*3,IF($J192=11,-$E192*$I192/12*2,IF($J192=12,-$E192*$I192/12*1,0)))))+IF(DJ$5&lt;&gt;$H192,0,IF(DJ192&lt;0,IF($J192=10,-$E192*$I192/12*0,IF($J192=11,-$E192*$I192/12*1,IF($J192=12,-$E192*$I192/12*2,0)))))</f>
        <v>0</v>
      </c>
      <c r="DO192" s="413">
        <f>IF(AND(DJ192&lt;&gt;0,DJ$5=$H192),-$I192*$E192-DJ192,IF(DO$5=$H192,-$I192*$E192*(12-$J192+1)/12,0))</f>
        <v>0</v>
      </c>
      <c r="DP192" s="410">
        <f>IF($H192&lt;&gt;DT$5,0,IF(DT192&lt;0,IF($J192=1,-$E192*$I192/12*3,IF($J192=2,-$E192*$I192/12*2,IF($J192=3,-$E192*$I192/12*1,0)))))+IF(DO$5&lt;&gt;$H192,0,IF(DO192&lt;0,IF($J192=1,-$E192*$I192/12*0,IF($J192=2,-$E192*$I192/12*1,IF($J192=3,-$E192*$I192/12*2,IF($J192&gt;=4,-$E192*$I192/12*3,0))))))</f>
        <v>0</v>
      </c>
      <c r="DQ192" s="416">
        <f>IF($H192&lt;&gt;DT$5,0,IF(DT192&lt;0,IF(OR($J192=1,$J192=2,$J192=3,$J192=4),-$E192*$I192/12*3,IF($J192=5,-$E192*$I192/12*2,IF($J192=6,-$E192*$I192/12*1,0)))))+IF(DO$5&lt;&gt;$H192,0,IF(DO192&lt;0,IF($J192=4,-$E192*$I192/12*0,IF($J192=5,-$E192*$I192/12*1,IF($J192=6,-$E192*$I192/12*2,IF($J192&gt;=7,-$E192*$I192/12*3,0))))))</f>
        <v>0</v>
      </c>
      <c r="DR192" s="416">
        <f>IF($H192&lt;&gt;DT$5,0,IF(DT192&lt;0,IF(OR($J192=1,$J192=2,$J192=3,$J192=4,$J192=5,$J192=6,$J192=7),-$E192*$I192/12*3,IF($J192=8,-$E192*$I192/12*2,IF($J192=9,-$E192*$I192/12*1,0)))))+IF(DO$5&lt;&gt;$H192,0,IF(DO192&lt;0,IF($J192=7,-$E192*$I192/12*0,IF($J192=8,-$E192*$I192/12*1,IF($J192=9,-$E192*$I192/12*2,IF($J192&gt;=10,-$E192*$I192/12*3,0))))))</f>
        <v>0</v>
      </c>
      <c r="DS192" s="412">
        <f>IF($H192&lt;&gt;DT$5,0,IF(DT192&lt;0,IF(OR($J192=1,$J192=2,$J192=3,$J192=4,$J192=5,$J192=6,$J192=7,$J192=8,$J192=9,$J192=10),-$E192*$I192/12*3,IF($J192=11,-$E192*$I192/12*2,IF($J192=12,-$E192*$I192/12*1,0)))))+IF(DO$5&lt;&gt;$H192,0,IF(DO192&lt;0,IF($J192=10,-$E192*$I192/12*0,IF($J192=11,-$E192*$I192/12*1,IF($J192=12,-$E192*$I192/12*2,0)))))</f>
        <v>0</v>
      </c>
      <c r="DT192" s="413">
        <f>IF(AND(DO192&lt;&gt;0,DO$5=$H192),-$I192*$E192-DO192,IF(DT$5=$H192,-$I192*$E192*(12-$J192+1)/12,0))</f>
        <v>0</v>
      </c>
    </row>
    <row r="193" spans="1:124" s="315" customFormat="1" ht="12.75" customHeight="1">
      <c r="A193"/>
      <c r="B193"/>
      <c r="C193" s="17"/>
      <c r="D193" s="17"/>
      <c r="E193" s="5"/>
      <c r="F193" s="1228"/>
      <c r="G193" s="1228"/>
      <c r="H193" s="19"/>
      <c r="I193" s="20"/>
      <c r="J193" s="625"/>
      <c r="K193" s="418"/>
      <c r="L193" s="419"/>
      <c r="M193" s="420"/>
      <c r="N193" s="421"/>
      <c r="O193" s="421"/>
      <c r="P193" s="422"/>
      <c r="Q193" s="419"/>
      <c r="R193" s="420"/>
      <c r="S193" s="421"/>
      <c r="T193" s="421"/>
      <c r="U193" s="422"/>
      <c r="V193" s="419"/>
      <c r="W193" s="420"/>
      <c r="X193" s="421"/>
      <c r="Y193" s="421"/>
      <c r="Z193" s="422"/>
      <c r="AA193" s="419"/>
      <c r="AB193" s="420"/>
      <c r="AC193" s="421"/>
      <c r="AD193" s="421"/>
      <c r="AE193" s="422"/>
      <c r="AF193" s="419"/>
      <c r="AG193" s="420"/>
      <c r="AH193" s="421"/>
      <c r="AI193" s="421"/>
      <c r="AJ193" s="422"/>
      <c r="AK193" s="419"/>
      <c r="AL193" s="420"/>
      <c r="AM193" s="421"/>
      <c r="AN193" s="421"/>
      <c r="AO193" s="422"/>
      <c r="AP193" s="419"/>
      <c r="AQ193" s="420"/>
      <c r="AR193" s="421"/>
      <c r="AS193" s="421"/>
      <c r="AT193" s="422"/>
      <c r="AU193" s="419"/>
      <c r="AV193" s="420"/>
      <c r="AW193" s="421"/>
      <c r="AX193" s="421"/>
      <c r="AY193" s="422"/>
      <c r="AZ193" s="419"/>
      <c r="BA193" s="420"/>
      <c r="BB193" s="421"/>
      <c r="BC193" s="421"/>
      <c r="BD193" s="422"/>
      <c r="BE193" s="419"/>
      <c r="BF193" s="420"/>
      <c r="BG193" s="421"/>
      <c r="BH193" s="421"/>
      <c r="BI193" s="422"/>
      <c r="BJ193" s="419"/>
      <c r="BK193" s="420"/>
      <c r="BL193" s="421"/>
      <c r="BM193" s="421"/>
      <c r="BN193" s="422"/>
      <c r="BO193" s="419"/>
      <c r="BP193" s="452"/>
      <c r="BQ193" s="424"/>
      <c r="BR193" s="425"/>
      <c r="BS193" s="426"/>
      <c r="BT193" s="426"/>
      <c r="BU193" s="427"/>
      <c r="BV193" s="424"/>
      <c r="BW193" s="425"/>
      <c r="BX193" s="426"/>
      <c r="BY193" s="426"/>
      <c r="BZ193" s="427"/>
      <c r="CA193" s="424"/>
      <c r="CB193" s="425"/>
      <c r="CC193" s="426"/>
      <c r="CD193" s="426"/>
      <c r="CE193" s="427"/>
      <c r="CF193" s="424"/>
      <c r="CG193" s="425"/>
      <c r="CH193" s="426"/>
      <c r="CI193" s="426"/>
      <c r="CJ193" s="427"/>
      <c r="CK193" s="424"/>
      <c r="CL193" s="425"/>
      <c r="CM193" s="426"/>
      <c r="CN193" s="426"/>
      <c r="CO193" s="427"/>
      <c r="CP193" s="424"/>
      <c r="CQ193" s="425"/>
      <c r="CR193" s="426"/>
      <c r="CS193" s="426"/>
      <c r="CT193" s="427"/>
      <c r="CU193" s="424"/>
      <c r="CV193" s="425"/>
      <c r="CW193" s="426"/>
      <c r="CX193" s="426"/>
      <c r="CY193" s="427"/>
      <c r="CZ193" s="424"/>
      <c r="DA193" s="425"/>
      <c r="DB193" s="426"/>
      <c r="DC193" s="426"/>
      <c r="DD193" s="427"/>
      <c r="DE193" s="424"/>
      <c r="DF193" s="425"/>
      <c r="DG193" s="426"/>
      <c r="DH193" s="426"/>
      <c r="DI193" s="427"/>
      <c r="DJ193" s="424"/>
      <c r="DK193" s="425"/>
      <c r="DL193" s="426"/>
      <c r="DM193" s="426"/>
      <c r="DN193" s="427"/>
      <c r="DO193" s="424"/>
      <c r="DP193" s="425"/>
      <c r="DQ193" s="426"/>
      <c r="DR193" s="426"/>
      <c r="DS193" s="427"/>
      <c r="DT193" s="424"/>
    </row>
    <row r="194" spans="1:124" ht="12.75" customHeight="1">
      <c r="C194" s="751" t="s">
        <v>48</v>
      </c>
      <c r="D194" s="751"/>
      <c r="E194" s="8">
        <f>SUM(E77:E193)</f>
        <v>12412.093822000001</v>
      </c>
      <c r="F194" s="1229">
        <f t="shared" ref="F194:G194" si="1459">SUM(F77:F193)</f>
        <v>11123.387597000001</v>
      </c>
      <c r="G194" s="1229">
        <f t="shared" si="1459"/>
        <v>11237.202658999999</v>
      </c>
      <c r="H194" s="21"/>
      <c r="I194" s="22"/>
      <c r="J194" s="626"/>
      <c r="K194" s="453"/>
      <c r="L194" s="429">
        <f t="shared" ref="L194:AQ194" si="1460">SUM(L79:L193)</f>
        <v>0</v>
      </c>
      <c r="M194" s="430">
        <f t="shared" si="1460"/>
        <v>0</v>
      </c>
      <c r="N194" s="431">
        <f t="shared" si="1460"/>
        <v>0</v>
      </c>
      <c r="O194" s="431">
        <f t="shared" si="1460"/>
        <v>0</v>
      </c>
      <c r="P194" s="432">
        <f t="shared" si="1460"/>
        <v>0</v>
      </c>
      <c r="Q194" s="429">
        <f t="shared" si="1460"/>
        <v>0</v>
      </c>
      <c r="R194" s="430">
        <f t="shared" si="1460"/>
        <v>0</v>
      </c>
      <c r="S194" s="431">
        <f t="shared" si="1460"/>
        <v>0</v>
      </c>
      <c r="T194" s="431">
        <f t="shared" si="1460"/>
        <v>0</v>
      </c>
      <c r="U194" s="432">
        <f t="shared" si="1460"/>
        <v>0</v>
      </c>
      <c r="V194" s="429">
        <f t="shared" si="1460"/>
        <v>0</v>
      </c>
      <c r="W194" s="430">
        <f t="shared" si="1460"/>
        <v>0</v>
      </c>
      <c r="X194" s="431">
        <f t="shared" si="1460"/>
        <v>0</v>
      </c>
      <c r="Y194" s="431">
        <f t="shared" si="1460"/>
        <v>0</v>
      </c>
      <c r="Z194" s="432">
        <f t="shared" si="1460"/>
        <v>0</v>
      </c>
      <c r="AA194" s="429">
        <f t="shared" si="1460"/>
        <v>0</v>
      </c>
      <c r="AB194" s="430">
        <f t="shared" si="1460"/>
        <v>0</v>
      </c>
      <c r="AC194" s="431">
        <f t="shared" si="1460"/>
        <v>0</v>
      </c>
      <c r="AD194" s="431">
        <f t="shared" si="1460"/>
        <v>0</v>
      </c>
      <c r="AE194" s="432">
        <f t="shared" si="1460"/>
        <v>0</v>
      </c>
      <c r="AF194" s="429">
        <f t="shared" si="1460"/>
        <v>0</v>
      </c>
      <c r="AG194" s="430">
        <f t="shared" si="1460"/>
        <v>0</v>
      </c>
      <c r="AH194" s="431">
        <f t="shared" si="1460"/>
        <v>0</v>
      </c>
      <c r="AI194" s="431">
        <f t="shared" si="1460"/>
        <v>0</v>
      </c>
      <c r="AJ194" s="432">
        <f t="shared" si="1460"/>
        <v>0</v>
      </c>
      <c r="AK194" s="429">
        <f t="shared" si="1460"/>
        <v>0</v>
      </c>
      <c r="AL194" s="430">
        <f t="shared" si="1460"/>
        <v>0</v>
      </c>
      <c r="AM194" s="431">
        <f t="shared" si="1460"/>
        <v>0</v>
      </c>
      <c r="AN194" s="431">
        <f t="shared" si="1460"/>
        <v>0</v>
      </c>
      <c r="AO194" s="432">
        <f t="shared" si="1460"/>
        <v>0</v>
      </c>
      <c r="AP194" s="429">
        <f t="shared" si="1460"/>
        <v>0</v>
      </c>
      <c r="AQ194" s="430">
        <f t="shared" si="1460"/>
        <v>-444.57499999999999</v>
      </c>
      <c r="AR194" s="431">
        <f t="shared" ref="AR194:BO194" si="1461">SUM(AR79:AR193)</f>
        <v>-540</v>
      </c>
      <c r="AS194" s="431">
        <f t="shared" si="1461"/>
        <v>-325</v>
      </c>
      <c r="AT194" s="432">
        <f t="shared" si="1461"/>
        <v>-4.1312249999999997</v>
      </c>
      <c r="AU194" s="429">
        <f t="shared" si="1461"/>
        <v>-1313.7062249999999</v>
      </c>
      <c r="AV194" s="430">
        <f t="shared" si="1461"/>
        <v>-381.7</v>
      </c>
      <c r="AW194" s="431">
        <f t="shared" si="1461"/>
        <v>-200</v>
      </c>
      <c r="AX194" s="431">
        <f t="shared" si="1461"/>
        <v>0</v>
      </c>
      <c r="AY194" s="432">
        <f t="shared" si="1461"/>
        <v>-75</v>
      </c>
      <c r="AZ194" s="429">
        <f t="shared" si="1461"/>
        <v>-656.7</v>
      </c>
      <c r="BA194" s="430">
        <f t="shared" si="1461"/>
        <v>-928.5</v>
      </c>
      <c r="BB194" s="431">
        <f t="shared" si="1461"/>
        <v>-102.55974000000001</v>
      </c>
      <c r="BC194" s="431">
        <f t="shared" si="1461"/>
        <v>0</v>
      </c>
      <c r="BD194" s="432">
        <f t="shared" si="1461"/>
        <v>-391.29063500000001</v>
      </c>
      <c r="BE194" s="429">
        <f t="shared" si="1461"/>
        <v>-1422.350375</v>
      </c>
      <c r="BF194" s="430">
        <f t="shared" si="1461"/>
        <v>0</v>
      </c>
      <c r="BG194" s="431">
        <f t="shared" si="1461"/>
        <v>-127.66</v>
      </c>
      <c r="BH194" s="431">
        <f t="shared" si="1461"/>
        <v>0</v>
      </c>
      <c r="BI194" s="432">
        <f t="shared" si="1461"/>
        <v>-42.767795999999997</v>
      </c>
      <c r="BJ194" s="429">
        <f t="shared" si="1461"/>
        <v>-170.427796</v>
      </c>
      <c r="BK194" s="430">
        <f t="shared" si="1461"/>
        <v>-652</v>
      </c>
      <c r="BL194" s="431">
        <f t="shared" si="1461"/>
        <v>-133.81298200000001</v>
      </c>
      <c r="BM194" s="431">
        <f t="shared" si="1461"/>
        <v>0</v>
      </c>
      <c r="BN194" s="432">
        <f t="shared" si="1461"/>
        <v>-17.5</v>
      </c>
      <c r="BO194" s="429">
        <f t="shared" si="1461"/>
        <v>-803.31298200000003</v>
      </c>
      <c r="BP194" s="454"/>
      <c r="BQ194" s="434">
        <f t="shared" ref="BQ194:CV194" si="1462">SUM(BQ79:BQ193)</f>
        <v>0</v>
      </c>
      <c r="BR194" s="435">
        <f t="shared" si="1462"/>
        <v>0</v>
      </c>
      <c r="BS194" s="436">
        <f t="shared" si="1462"/>
        <v>0</v>
      </c>
      <c r="BT194" s="436">
        <f t="shared" si="1462"/>
        <v>0</v>
      </c>
      <c r="BU194" s="437">
        <f t="shared" si="1462"/>
        <v>0</v>
      </c>
      <c r="BV194" s="434">
        <f t="shared" si="1462"/>
        <v>0</v>
      </c>
      <c r="BW194" s="435">
        <f t="shared" si="1462"/>
        <v>0</v>
      </c>
      <c r="BX194" s="436">
        <f t="shared" si="1462"/>
        <v>0</v>
      </c>
      <c r="BY194" s="436">
        <f t="shared" si="1462"/>
        <v>0</v>
      </c>
      <c r="BZ194" s="437">
        <f t="shared" si="1462"/>
        <v>0</v>
      </c>
      <c r="CA194" s="434">
        <f t="shared" si="1462"/>
        <v>0</v>
      </c>
      <c r="CB194" s="435">
        <f t="shared" si="1462"/>
        <v>0</v>
      </c>
      <c r="CC194" s="436">
        <f t="shared" si="1462"/>
        <v>0</v>
      </c>
      <c r="CD194" s="436">
        <f t="shared" si="1462"/>
        <v>0</v>
      </c>
      <c r="CE194" s="437">
        <f t="shared" si="1462"/>
        <v>0</v>
      </c>
      <c r="CF194" s="434">
        <f t="shared" si="1462"/>
        <v>0</v>
      </c>
      <c r="CG194" s="435">
        <f t="shared" si="1462"/>
        <v>0</v>
      </c>
      <c r="CH194" s="436">
        <f t="shared" si="1462"/>
        <v>0</v>
      </c>
      <c r="CI194" s="436">
        <f t="shared" si="1462"/>
        <v>0</v>
      </c>
      <c r="CJ194" s="437">
        <f t="shared" si="1462"/>
        <v>0</v>
      </c>
      <c r="CK194" s="434">
        <f t="shared" si="1462"/>
        <v>0</v>
      </c>
      <c r="CL194" s="435">
        <f t="shared" si="1462"/>
        <v>0</v>
      </c>
      <c r="CM194" s="436">
        <f t="shared" si="1462"/>
        <v>0</v>
      </c>
      <c r="CN194" s="436">
        <f t="shared" si="1462"/>
        <v>0</v>
      </c>
      <c r="CO194" s="437">
        <f t="shared" si="1462"/>
        <v>0</v>
      </c>
      <c r="CP194" s="434">
        <f t="shared" si="1462"/>
        <v>0</v>
      </c>
      <c r="CQ194" s="435">
        <f t="shared" si="1462"/>
        <v>0</v>
      </c>
      <c r="CR194" s="436">
        <f t="shared" si="1462"/>
        <v>0</v>
      </c>
      <c r="CS194" s="436">
        <f t="shared" si="1462"/>
        <v>0</v>
      </c>
      <c r="CT194" s="437">
        <f t="shared" si="1462"/>
        <v>0</v>
      </c>
      <c r="CU194" s="434">
        <f t="shared" si="1462"/>
        <v>0</v>
      </c>
      <c r="CV194" s="435">
        <f t="shared" si="1462"/>
        <v>-4.9932924999999999</v>
      </c>
      <c r="CW194" s="436">
        <f t="shared" ref="CW194:DT194" si="1463">SUM(CW79:CW193)</f>
        <v>-8.1458237499999999</v>
      </c>
      <c r="CX194" s="436">
        <f t="shared" si="1463"/>
        <v>-13.51532375</v>
      </c>
      <c r="CY194" s="437">
        <f t="shared" si="1463"/>
        <v>-16.811800031249998</v>
      </c>
      <c r="CZ194" s="434">
        <f t="shared" si="1463"/>
        <v>-43.466240031250003</v>
      </c>
      <c r="DA194" s="435">
        <f t="shared" si="1463"/>
        <v>-13.624270031250001</v>
      </c>
      <c r="DB194" s="436">
        <f t="shared" si="1463"/>
        <v>-15.58326378125</v>
      </c>
      <c r="DC194" s="436">
        <f t="shared" si="1463"/>
        <v>-10.96376378125</v>
      </c>
      <c r="DD194" s="437">
        <f t="shared" si="1463"/>
        <v>-8.2297875000000005</v>
      </c>
      <c r="DE194" s="434">
        <f t="shared" si="1463"/>
        <v>-48.401085093750005</v>
      </c>
      <c r="DF194" s="435">
        <f t="shared" si="1463"/>
        <v>-15.997441666666667</v>
      </c>
      <c r="DG194" s="436">
        <f t="shared" si="1463"/>
        <v>-17.128213741666666</v>
      </c>
      <c r="DH194" s="436">
        <f t="shared" si="1463"/>
        <v>-16.755297075000001</v>
      </c>
      <c r="DI194" s="437">
        <f t="shared" si="1463"/>
        <v>-18.386483385416668</v>
      </c>
      <c r="DJ194" s="434">
        <f t="shared" si="1463"/>
        <v>-68.267435868749999</v>
      </c>
      <c r="DK194" s="435">
        <f t="shared" si="1463"/>
        <v>-11.427650052083333</v>
      </c>
      <c r="DL194" s="436">
        <f t="shared" si="1463"/>
        <v>-6.5260504770833334</v>
      </c>
      <c r="DM194" s="436">
        <f t="shared" si="1463"/>
        <v>-6.24286214375</v>
      </c>
      <c r="DN194" s="437">
        <f t="shared" si="1463"/>
        <v>-4.5303135383333331</v>
      </c>
      <c r="DO194" s="434">
        <f t="shared" si="1463"/>
        <v>-28.726876211250001</v>
      </c>
      <c r="DP194" s="435">
        <f t="shared" si="1463"/>
        <v>-5.6757302049999998</v>
      </c>
      <c r="DQ194" s="436">
        <f t="shared" si="1463"/>
        <v>-9.2320954191666686</v>
      </c>
      <c r="DR194" s="436">
        <f t="shared" si="1463"/>
        <v>-9.6215337525000013</v>
      </c>
      <c r="DS194" s="437">
        <f t="shared" si="1463"/>
        <v>-9.2752918808333344</v>
      </c>
      <c r="DT194" s="434">
        <f t="shared" si="1463"/>
        <v>-33.804651257500005</v>
      </c>
    </row>
    <row r="195" spans="1:124" ht="12.75" customHeight="1">
      <c r="C195" s="1441"/>
      <c r="D195" s="1441"/>
      <c r="E195" s="831"/>
      <c r="F195" s="1226"/>
      <c r="G195" s="1226"/>
      <c r="H195" s="610"/>
      <c r="I195" s="1325"/>
      <c r="J195" s="617"/>
      <c r="K195" s="402"/>
      <c r="L195" s="403"/>
      <c r="M195" s="404"/>
      <c r="N195" s="405"/>
      <c r="O195" s="405"/>
      <c r="P195" s="406"/>
      <c r="Q195" s="407"/>
      <c r="R195" s="404"/>
      <c r="S195" s="405"/>
      <c r="T195" s="405"/>
      <c r="U195" s="406"/>
      <c r="V195" s="407"/>
      <c r="W195" s="404"/>
      <c r="X195" s="405"/>
      <c r="Y195" s="405"/>
      <c r="Z195" s="406"/>
      <c r="AA195" s="407"/>
      <c r="AB195" s="404"/>
      <c r="AC195" s="405"/>
      <c r="AD195" s="405"/>
      <c r="AE195" s="406"/>
      <c r="AF195" s="407"/>
      <c r="AG195" s="404"/>
      <c r="AH195" s="405"/>
      <c r="AI195" s="405"/>
      <c r="AJ195" s="406"/>
      <c r="AK195" s="407"/>
      <c r="AL195" s="404"/>
      <c r="AM195" s="405"/>
      <c r="AN195" s="405"/>
      <c r="AO195" s="406"/>
      <c r="AP195" s="407"/>
      <c r="AQ195" s="404"/>
      <c r="AR195" s="405"/>
      <c r="AS195" s="405"/>
      <c r="AT195" s="406"/>
      <c r="AU195" s="407"/>
      <c r="AV195" s="404"/>
      <c r="AW195" s="405"/>
      <c r="AX195" s="405"/>
      <c r="AY195" s="406"/>
      <c r="AZ195" s="407"/>
      <c r="BA195" s="404"/>
      <c r="BB195" s="405"/>
      <c r="BC195" s="405"/>
      <c r="BD195" s="406"/>
      <c r="BE195" s="407"/>
      <c r="BF195" s="404"/>
      <c r="BG195" s="405"/>
      <c r="BH195" s="405"/>
      <c r="BI195" s="406"/>
      <c r="BJ195" s="407"/>
      <c r="BK195" s="404"/>
      <c r="BL195" s="405"/>
      <c r="BM195" s="405"/>
      <c r="BN195" s="406"/>
      <c r="BO195" s="407"/>
      <c r="BP195" s="449"/>
      <c r="BQ195" s="413"/>
      <c r="BR195" s="410"/>
      <c r="BS195" s="411"/>
      <c r="BT195" s="411"/>
      <c r="BU195" s="412"/>
      <c r="BV195" s="413"/>
      <c r="BW195" s="410"/>
      <c r="BX195" s="411"/>
      <c r="BY195" s="411"/>
      <c r="BZ195" s="412"/>
      <c r="CA195" s="413"/>
      <c r="CB195" s="410"/>
      <c r="CC195" s="411"/>
      <c r="CD195" s="411"/>
      <c r="CE195" s="412"/>
      <c r="CF195" s="413"/>
      <c r="CG195" s="410"/>
      <c r="CH195" s="411"/>
      <c r="CI195" s="411"/>
      <c r="CJ195" s="412"/>
      <c r="CK195" s="413"/>
      <c r="CL195" s="410"/>
      <c r="CM195" s="411"/>
      <c r="CN195" s="411"/>
      <c r="CO195" s="412"/>
      <c r="CP195" s="413"/>
      <c r="CQ195" s="410"/>
      <c r="CR195" s="411"/>
      <c r="CS195" s="411"/>
      <c r="CT195" s="412"/>
      <c r="CU195" s="413"/>
      <c r="CV195" s="410"/>
      <c r="CW195" s="411"/>
      <c r="CX195" s="411"/>
      <c r="CY195" s="412"/>
      <c r="CZ195" s="413"/>
      <c r="DA195" s="410"/>
      <c r="DB195" s="411"/>
      <c r="DC195" s="411"/>
      <c r="DD195" s="412"/>
      <c r="DE195" s="413"/>
      <c r="DF195" s="410"/>
      <c r="DG195" s="411"/>
      <c r="DH195" s="411"/>
      <c r="DI195" s="412"/>
      <c r="DJ195" s="413"/>
      <c r="DK195" s="410"/>
      <c r="DL195" s="411"/>
      <c r="DM195" s="411"/>
      <c r="DN195" s="412"/>
      <c r="DO195" s="413"/>
      <c r="DP195" s="410"/>
      <c r="DQ195" s="411"/>
      <c r="DR195" s="411"/>
      <c r="DS195" s="412"/>
      <c r="DT195" s="413"/>
    </row>
    <row r="196" spans="1:124" ht="12.75" customHeight="1">
      <c r="C196" s="14" t="s">
        <v>279</v>
      </c>
      <c r="D196" s="14"/>
      <c r="E196" s="831"/>
      <c r="F196" s="1226"/>
      <c r="G196" s="1226"/>
      <c r="H196" s="30"/>
      <c r="I196" s="611"/>
      <c r="J196" s="627"/>
      <c r="K196" s="402"/>
      <c r="L196" s="403"/>
      <c r="M196" s="404"/>
      <c r="N196" s="405"/>
      <c r="O196" s="405"/>
      <c r="P196" s="406"/>
      <c r="Q196" s="407"/>
      <c r="R196" s="404"/>
      <c r="S196" s="405"/>
      <c r="T196" s="405"/>
      <c r="U196" s="406"/>
      <c r="V196" s="407"/>
      <c r="W196" s="404"/>
      <c r="X196" s="405"/>
      <c r="Y196" s="405"/>
      <c r="Z196" s="406"/>
      <c r="AA196" s="407"/>
      <c r="AB196" s="404"/>
      <c r="AC196" s="405"/>
      <c r="AD196" s="405"/>
      <c r="AE196" s="406"/>
      <c r="AF196" s="407"/>
      <c r="AG196" s="404"/>
      <c r="AH196" s="405"/>
      <c r="AI196" s="405"/>
      <c r="AJ196" s="406"/>
      <c r="AK196" s="407"/>
      <c r="AL196" s="404"/>
      <c r="AM196" s="405"/>
      <c r="AN196" s="405"/>
      <c r="AO196" s="406"/>
      <c r="AP196" s="407"/>
      <c r="AQ196" s="404"/>
      <c r="AR196" s="405"/>
      <c r="AS196" s="405"/>
      <c r="AT196" s="406"/>
      <c r="AU196" s="407"/>
      <c r="AV196" s="404"/>
      <c r="AW196" s="405"/>
      <c r="AX196" s="405"/>
      <c r="AY196" s="406"/>
      <c r="AZ196" s="407"/>
      <c r="BA196" s="404"/>
      <c r="BB196" s="405"/>
      <c r="BC196" s="405"/>
      <c r="BD196" s="406"/>
      <c r="BE196" s="407"/>
      <c r="BF196" s="404"/>
      <c r="BG196" s="405"/>
      <c r="BH196" s="405"/>
      <c r="BI196" s="406"/>
      <c r="BJ196" s="407"/>
      <c r="BK196" s="404"/>
      <c r="BL196" s="405"/>
      <c r="BM196" s="405"/>
      <c r="BN196" s="406"/>
      <c r="BO196" s="407"/>
      <c r="BP196" s="447"/>
      <c r="BQ196" s="409"/>
      <c r="BR196" s="410"/>
      <c r="BS196" s="411"/>
      <c r="BT196" s="411"/>
      <c r="BU196" s="412"/>
      <c r="BV196" s="413"/>
      <c r="BW196" s="410"/>
      <c r="BX196" s="411"/>
      <c r="BY196" s="411"/>
      <c r="BZ196" s="412"/>
      <c r="CA196" s="413"/>
      <c r="CB196" s="410"/>
      <c r="CC196" s="411"/>
      <c r="CD196" s="411"/>
      <c r="CE196" s="412"/>
      <c r="CF196" s="413"/>
      <c r="CG196" s="410"/>
      <c r="CH196" s="411"/>
      <c r="CI196" s="411"/>
      <c r="CJ196" s="412"/>
      <c r="CK196" s="413"/>
      <c r="CL196" s="410"/>
      <c r="CM196" s="411"/>
      <c r="CN196" s="411"/>
      <c r="CO196" s="412"/>
      <c r="CP196" s="413"/>
      <c r="CQ196" s="410"/>
      <c r="CR196" s="411"/>
      <c r="CS196" s="411"/>
      <c r="CT196" s="412"/>
      <c r="CU196" s="413"/>
      <c r="CV196" s="410"/>
      <c r="CW196" s="411"/>
      <c r="CX196" s="411"/>
      <c r="CY196" s="412"/>
      <c r="CZ196" s="413"/>
      <c r="DA196" s="410"/>
      <c r="DB196" s="411"/>
      <c r="DC196" s="411"/>
      <c r="DD196" s="412"/>
      <c r="DE196" s="413"/>
      <c r="DF196" s="410"/>
      <c r="DG196" s="411"/>
      <c r="DH196" s="411"/>
      <c r="DI196" s="412"/>
      <c r="DJ196" s="413"/>
      <c r="DK196" s="410"/>
      <c r="DL196" s="411"/>
      <c r="DM196" s="411"/>
      <c r="DN196" s="412"/>
      <c r="DO196" s="413"/>
      <c r="DP196" s="410"/>
      <c r="DQ196" s="411"/>
      <c r="DR196" s="411"/>
      <c r="DS196" s="412"/>
      <c r="DT196" s="413"/>
    </row>
    <row r="197" spans="1:124" ht="12.75" customHeight="1">
      <c r="A197" s="491"/>
      <c r="C197" s="1885" t="s">
        <v>1325</v>
      </c>
      <c r="D197" s="601"/>
      <c r="E197" s="1869">
        <v>325</v>
      </c>
      <c r="F197" s="1532"/>
      <c r="G197" s="1532"/>
      <c r="H197" s="610">
        <v>2017</v>
      </c>
      <c r="I197" s="830">
        <v>3.3000000000000002E-2</v>
      </c>
      <c r="J197" s="617">
        <v>4</v>
      </c>
      <c r="K197" s="402"/>
      <c r="L197" s="407">
        <f t="shared" ref="L197:L211" si="1464">IF(L$5=$H197,$E197,0)</f>
        <v>0</v>
      </c>
      <c r="M197" s="404">
        <f t="shared" ref="M197:M203" si="1465">IF(Q197=0,0,IF(Q197&gt;0,IF($J197=3,Q197,IF($J197=2,Q197,IF($J197=1,Q197,0)))))</f>
        <v>0</v>
      </c>
      <c r="N197" s="414">
        <f t="shared" ref="N197:N203" si="1466">IF(Q197=0,0,IF(Q197&gt;0,IF($J197=6,Q197,IF($J197=5,Q197,IF($J197=4,Q197,0)))))</f>
        <v>0</v>
      </c>
      <c r="O197" s="414">
        <f t="shared" ref="O197:O203" si="1467">IF(Q197=0,0,IF(Q197&gt;0,IF($J197=9,Q197,IF($J197=8,Q197,IF($J197=7,Q197,0)))))</f>
        <v>0</v>
      </c>
      <c r="P197" s="406">
        <f t="shared" ref="P197:P203" si="1468">IF(Q197=0,0,IF(Q197&gt;0,IF($J197=12,Q197,IF($J197=11,Q197,IF($J197=10,Q197,0)))))</f>
        <v>0</v>
      </c>
      <c r="Q197" s="407">
        <f t="shared" ref="Q197:Q211" si="1469">IF(Q$5=$H197,$E197,0)</f>
        <v>0</v>
      </c>
      <c r="R197" s="404">
        <f t="shared" ref="R197:R203" si="1470">IF(V197=0,0,IF(V197&gt;0,IF($J197=3,V197,IF($J197=2,V197,IF($J197=1,V197,0)))))</f>
        <v>0</v>
      </c>
      <c r="S197" s="414">
        <f t="shared" ref="S197:S203" si="1471">IF(V197=0,0,IF(V197&gt;0,IF($J197=6,V197,IF($J197=5,V197,IF($J197=4,V197,0)))))</f>
        <v>0</v>
      </c>
      <c r="T197" s="414">
        <f t="shared" ref="T197:T203" si="1472">IF(V197=0,0,IF(V197&gt;0,IF($J197=9,V197,IF($J197=8,V197,IF($J197=7,V197,0)))))</f>
        <v>0</v>
      </c>
      <c r="U197" s="406">
        <f t="shared" ref="U197:U203" si="1473">IF(V197=0,0,IF(V197&gt;0,IF($J197=12,V197,IF($J197=11,V197,IF($J197=10,V197,0)))))</f>
        <v>0</v>
      </c>
      <c r="V197" s="407">
        <f t="shared" ref="V197:V211" si="1474">IF(V$5=$H197,$E197,0)</f>
        <v>0</v>
      </c>
      <c r="W197" s="404">
        <f t="shared" ref="W197:W203" si="1475">IF(AA197=0,0,IF(AA197&gt;0,IF($J197=3,AA197,IF($J197=2,AA197,IF($J197=1,AA197,0)))))</f>
        <v>0</v>
      </c>
      <c r="X197" s="414">
        <f t="shared" ref="X197:X203" si="1476">IF(AA197=0,0,IF(AA197&gt;0,IF($J197=6,AA197,IF($J197=5,AA197,IF($J197=4,AA197,0)))))</f>
        <v>0</v>
      </c>
      <c r="Y197" s="414">
        <f t="shared" ref="Y197:Y203" si="1477">IF(AA197=0,0,IF(AA197&gt;0,IF($J197=9,AA197,IF($J197=8,AA197,IF($J197=7,AA197,0)))))</f>
        <v>0</v>
      </c>
      <c r="Z197" s="406">
        <f t="shared" ref="Z197:Z203" si="1478">IF(AA197=0,0,IF(AA197&gt;0,IF($J197=12,AA197,IF($J197=11,AA197,IF($J197=10,AA197,0)))))</f>
        <v>0</v>
      </c>
      <c r="AA197" s="407">
        <f t="shared" ref="AA197:AA211" si="1479">IF(AA$5=$H197,$E197,0)</f>
        <v>0</v>
      </c>
      <c r="AB197" s="404">
        <f t="shared" ref="AB197:AB203" si="1480">IF(AF197=0,0,IF(AF197&gt;0,IF($J197=3,AF197,IF($J197=2,AF197,IF($J197=1,AF197,0)))))</f>
        <v>0</v>
      </c>
      <c r="AC197" s="414">
        <f t="shared" ref="AC197:AC203" si="1481">IF(AF197=0,0,IF(AF197&gt;0,IF($J197=6,AF197,IF($J197=5,AF197,IF($J197=4,AF197,0)))))</f>
        <v>0</v>
      </c>
      <c r="AD197" s="414">
        <f t="shared" ref="AD197:AD203" si="1482">IF(AF197=0,0,IF(AF197&gt;0,IF($J197=9,AF197,IF($J197=8,AF197,IF($J197=7,AF197,0)))))</f>
        <v>0</v>
      </c>
      <c r="AE197" s="406">
        <f t="shared" ref="AE197:AE203" si="1483">IF(AF197=0,0,IF(AF197&gt;0,IF($J197=12,AF197,IF($J197=11,AF197,IF($J197=10,AF197,0)))))</f>
        <v>0</v>
      </c>
      <c r="AF197" s="407">
        <f t="shared" ref="AF197:AF211" si="1484">IF(AF$5=$H197,$E197,0)</f>
        <v>0</v>
      </c>
      <c r="AG197" s="404">
        <f t="shared" ref="AG197:AG203" si="1485">IF(AK197=0,0,IF(AK197&gt;0,IF($J197=3,AK197,IF($J197=2,AK197,IF($J197=1,AK197,0)))))</f>
        <v>0</v>
      </c>
      <c r="AH197" s="414">
        <f t="shared" ref="AH197:AH203" si="1486">IF(AK197=0,0,IF(AK197&gt;0,IF($J197=6,AK197,IF($J197=5,AK197,IF($J197=4,AK197,0)))))</f>
        <v>0</v>
      </c>
      <c r="AI197" s="414">
        <f t="shared" ref="AI197:AI203" si="1487">IF(AK197=0,0,IF(AK197&gt;0,IF($J197=9,AK197,IF($J197=8,AK197,IF($J197=7,AK197,0)))))</f>
        <v>0</v>
      </c>
      <c r="AJ197" s="406">
        <f t="shared" ref="AJ197:AJ203" si="1488">IF(AK197=0,0,IF(AK197&gt;0,IF($J197=12,AK197,IF($J197=11,AK197,IF($J197=10,AK197,0)))))</f>
        <v>0</v>
      </c>
      <c r="AK197" s="407">
        <f t="shared" ref="AK197:AK211" si="1489">IF(AK$5=$H197,$E197,0)</f>
        <v>0</v>
      </c>
      <c r="AL197" s="404">
        <f t="shared" ref="AL197:AL203" si="1490">IF(AP197=0,0,IF(AP197&gt;0,IF($J197=3,AP197,IF($J197=2,AP197,IF($J197=1,AP197,0)))))</f>
        <v>0</v>
      </c>
      <c r="AM197" s="414">
        <f t="shared" ref="AM197:AM203" si="1491">IF(AP197=0,0,IF(AP197&gt;0,IF($J197=6,AP197,IF($J197=5,AP197,IF($J197=4,AP197,0)))))</f>
        <v>0</v>
      </c>
      <c r="AN197" s="414">
        <f t="shared" ref="AN197:AN203" si="1492">IF(AP197=0,0,IF(AP197&gt;0,IF($J197=9,AP197,IF($J197=8,AP197,IF($J197=7,AP197,0)))))</f>
        <v>0</v>
      </c>
      <c r="AO197" s="406">
        <f t="shared" ref="AO197:AO203" si="1493">IF(AP197=0,0,IF(AP197&gt;0,IF($J197=12,AP197,IF($J197=11,AP197,IF($J197=10,AP197,0)))))</f>
        <v>0</v>
      </c>
      <c r="AP197" s="407">
        <f t="shared" ref="AP197:AP211" si="1494">IF(AP$5=$H197,$E197,0)</f>
        <v>0</v>
      </c>
      <c r="AQ197" s="404">
        <f t="shared" ref="AQ197:AQ203" si="1495">IF(AU197=0,0,IF(AU197&gt;0,IF($J197=3,AU197,IF($J197=2,AU197,IF($J197=1,AU197,0)))))</f>
        <v>0</v>
      </c>
      <c r="AR197" s="414">
        <f t="shared" ref="AR197:AR203" si="1496">IF(AU197=0,0,IF(AU197&gt;0,IF($J197=6,AU197,IF($J197=5,AU197,IF($J197=4,AU197,0)))))</f>
        <v>325</v>
      </c>
      <c r="AS197" s="414">
        <f t="shared" ref="AS197:AS203" si="1497">IF(AU197=0,0,IF(AU197&gt;0,IF($J197=9,AU197,IF($J197=8,AU197,IF($J197=7,AU197,0)))))</f>
        <v>0</v>
      </c>
      <c r="AT197" s="406">
        <f t="shared" ref="AT197:AT203" si="1498">IF(AU197=0,0,IF(AU197&gt;0,IF($J197=12,AU197,IF($J197=11,AU197,IF($J197=10,AU197,0)))))</f>
        <v>0</v>
      </c>
      <c r="AU197" s="407">
        <f t="shared" ref="AU197:AU211" si="1499">IF(AU$5=$H197,$E197,0)</f>
        <v>325</v>
      </c>
      <c r="AV197" s="404">
        <f t="shared" ref="AV197:AV203" si="1500">IF(AZ197=0,0,IF(AZ197&gt;0,IF($J197=3,AZ197,IF($J197=2,AZ197,IF($J197=1,AZ197,0)))))</f>
        <v>0</v>
      </c>
      <c r="AW197" s="414">
        <f t="shared" ref="AW197:AW203" si="1501">IF(AZ197=0,0,IF(AZ197&gt;0,IF($J197=6,AZ197,IF($J197=5,AZ197,IF($J197=4,AZ197,0)))))</f>
        <v>0</v>
      </c>
      <c r="AX197" s="414">
        <f t="shared" ref="AX197:AX203" si="1502">IF(AZ197=0,0,IF(AZ197&gt;0,IF($J197=9,AZ197,IF($J197=8,AZ197,IF($J197=7,AZ197,0)))))</f>
        <v>0</v>
      </c>
      <c r="AY197" s="406">
        <f t="shared" ref="AY197:AY203" si="1503">IF(AZ197=0,0,IF(AZ197&gt;0,IF($J197=12,AZ197,IF($J197=11,AZ197,IF($J197=10,AZ197,0)))))</f>
        <v>0</v>
      </c>
      <c r="AZ197" s="407">
        <f t="shared" ref="AZ197:AZ211" si="1504">IF(AZ$5=$H197,$E197,0)</f>
        <v>0</v>
      </c>
      <c r="BA197" s="404">
        <f t="shared" ref="BA197:BA203" si="1505">IF(BE197=0,0,IF(BE197&gt;0,IF($J197=3,BE197,IF($J197=2,BE197,IF($J197=1,BE197,0)))))</f>
        <v>0</v>
      </c>
      <c r="BB197" s="414">
        <f t="shared" ref="BB197:BB203" si="1506">IF(BE197=0,0,IF(BE197&gt;0,IF($J197=6,BE197,IF($J197=5,BE197,IF($J197=4,BE197,0)))))</f>
        <v>0</v>
      </c>
      <c r="BC197" s="414">
        <f t="shared" ref="BC197:BC203" si="1507">IF(BE197=0,0,IF(BE197&gt;0,IF($J197=9,BE197,IF($J197=8,BE197,IF($J197=7,BE197,0)))))</f>
        <v>0</v>
      </c>
      <c r="BD197" s="406">
        <f t="shared" ref="BD197:BD203" si="1508">IF(BE197=0,0,IF(BE197&gt;0,IF($J197=12,BE197,IF($J197=11,BE197,IF($J197=10,BE197,0)))))</f>
        <v>0</v>
      </c>
      <c r="BE197" s="407">
        <f t="shared" ref="BE197:BE211" si="1509">IF(BE$5=$H197,$E197,0)</f>
        <v>0</v>
      </c>
      <c r="BF197" s="404">
        <f t="shared" ref="BF197:BF203" si="1510">IF(BJ197=0,0,IF(BJ197&gt;0,IF($J197=3,BJ197,IF($J197=2,BJ197,IF($J197=1,BJ197,0)))))</f>
        <v>0</v>
      </c>
      <c r="BG197" s="414">
        <f t="shared" ref="BG197:BG203" si="1511">IF(BJ197=0,0,IF(BJ197&gt;0,IF($J197=6,BJ197,IF($J197=5,BJ197,IF($J197=4,BJ197,0)))))</f>
        <v>0</v>
      </c>
      <c r="BH197" s="414">
        <f t="shared" ref="BH197:BH203" si="1512">IF(BJ197=0,0,IF(BJ197&gt;0,IF($J197=9,BJ197,IF($J197=8,BJ197,IF($J197=7,BJ197,0)))))</f>
        <v>0</v>
      </c>
      <c r="BI197" s="406">
        <f t="shared" ref="BI197:BI203" si="1513">IF(BJ197=0,0,IF(BJ197&gt;0,IF($J197=12,BJ197,IF($J197=11,BJ197,IF($J197=10,BJ197,0)))))</f>
        <v>0</v>
      </c>
      <c r="BJ197" s="407">
        <f t="shared" ref="BJ197:BJ211" si="1514">IF(BJ$5=$H197,$E197,0)</f>
        <v>0</v>
      </c>
      <c r="BK197" s="404">
        <f t="shared" ref="BK197:BK203" si="1515">IF(BO197=0,0,IF(BO197&gt;0,IF($J197=3,BO197,IF($J197=2,BO197,IF($J197=1,BO197,0)))))</f>
        <v>0</v>
      </c>
      <c r="BL197" s="414">
        <f t="shared" ref="BL197:BL203" si="1516">IF(BO197=0,0,IF(BO197&gt;0,IF($J197=6,BO197,IF($J197=5,BO197,IF($J197=4,BO197,0)))))</f>
        <v>0</v>
      </c>
      <c r="BM197" s="414">
        <f t="shared" ref="BM197:BM203" si="1517">IF(BO197=0,0,IF(BO197&gt;0,IF($J197=9,BO197,IF($J197=8,BO197,IF($J197=7,BO197,0)))))</f>
        <v>0</v>
      </c>
      <c r="BN197" s="406">
        <f t="shared" ref="BN197:BN203" si="1518">IF(BO197=0,0,IF(BO197&gt;0,IF($J197=12,BO197,IF($J197=11,BO197,IF($J197=10,BO197,0)))))</f>
        <v>0</v>
      </c>
      <c r="BO197" s="407">
        <f t="shared" ref="BO197:BO211" si="1519">IF(BO$5=$H197,$E197,0)</f>
        <v>0</v>
      </c>
      <c r="BP197" s="447"/>
      <c r="BQ197" s="413">
        <f t="shared" ref="BQ197:BQ203" si="1520">IF(AND(AH197&lt;&gt;0,AH$5=$H197),$I197*$E197-AH197,IF(BQ$5=$H197,$I197*$E197*(12-$J197+1)/12,0))</f>
        <v>0</v>
      </c>
      <c r="BR197" s="410">
        <f t="shared" ref="BR197:BR203" si="1521">IF($H197&lt;&gt;BV$5,0,IF(BV197&gt;0,IF($J197=1,$E197*$I197/12*3,IF($J197=2,$E197*$I197/12*2,IF($J197=3,$E197*$I197/12*1,0)))))+IF(BQ$5&lt;&gt;$H197,0,IF(BQ197&gt;0,IF($J197=1,$E197*$I197/12*0,IF($J197=2,$E197*$I197/12*1,IF($J197=3,$E197*$I197/12*2,IF($J197&gt;=4,$E197*$I197/12*3,0))))))</f>
        <v>0</v>
      </c>
      <c r="BS197" s="416">
        <f t="shared" ref="BS197:BS203" si="1522">IF($H197&lt;&gt;BV$5,0,IF(BV197&gt;0,IF(OR($J197=1,$J197=2,$J197=3,$J197=4),$E197*$I197/12*3,IF($J197=5,$E197*$I197/12*2,IF($J197=6,$E197*$I197/12*1,0)))))+IF(BQ$5&lt;&gt;$H197,0,IF(BQ197&gt;0,IF($J197=4,$E197*$I197/12*0,IF($J197=5,$E197*$I197/12*1,IF($J197=6,$E197*$I197/12*2,IF($J197&gt;=7,$E197*$I197/12*3,0))))))</f>
        <v>0</v>
      </c>
      <c r="BT197" s="416">
        <f t="shared" ref="BT197:BT203" si="1523">IF($H197&lt;&gt;BV$5,0,IF(BV197&gt;0,IF(OR($J197=1,$J197=2,$J197=3,$J197=4,$J197=5,$J197=6,$J197=7),$E197*$I197/12*3,IF($J197=8,$E197*$I197/12*2,IF($J197=9,$E197*$I197/12*1,0)))))+IF(BQ$5&lt;&gt;$H197,0,IF(BQ197&gt;0,IF($J197=7,$E197*$I197/12*0,IF($J197=8,$E197*$I197/12*1,IF($J197=9,$E197*$I197/12*2,IF($J197&gt;=10,$E197*$I197/12*3,0))))))</f>
        <v>0</v>
      </c>
      <c r="BU197" s="412">
        <f t="shared" ref="BU197:BU203" si="1524">IF($H197&lt;&gt;BV$5,0,IF(BV197&gt;0,IF(OR($J197=1,$J197=2,$J197=3,$J197=4,$J197=5,$J197=6,$J197=7,$J197=8,$J197=9,$J197=10),$E197*$I197/12*3,IF($J197=11,$E197*$I197/12*2,IF($J197=12,$E197*$I197/12*1,0)))))+IF(BQ$5&lt;&gt;$H197,0,IF(BQ197&gt;0,IF($J197=10,$E197*$I197/12*0,IF($J197=11,$E197*$I197/12*1,IF($J197=12,$E197*$I197/12*2,0)))))</f>
        <v>0</v>
      </c>
      <c r="BV197" s="413">
        <f t="shared" ref="BV197:BV203" si="1525">IF(AND(BQ197&lt;&gt;0,BQ$5=$H197),$I197*$E197-BQ197,IF(BV$5=$H197,$I197*$E197*(12-$J197+1)/12,0))</f>
        <v>0</v>
      </c>
      <c r="BW197" s="410">
        <f t="shared" ref="BW197:BW203" si="1526">IF($H197&lt;&gt;CA$5,0,IF(CA197&gt;0,IF($J197=1,$E197*$I197/12*3,IF($J197=2,$E197*$I197/12*2,IF($J197=3,$E197*$I197/12*1,0)))))+IF(BV$5&lt;&gt;$H197,0,IF(BV197&gt;0,IF($J197=1,$E197*$I197/12*0,IF($J197=2,$E197*$I197/12*1,IF($J197=3,$E197*$I197/12*2,IF($J197&gt;=4,$E197*$I197/12*3,0))))))</f>
        <v>0</v>
      </c>
      <c r="BX197" s="416">
        <f t="shared" ref="BX197:BX203" si="1527">IF($H197&lt;&gt;CA$5,0,IF(CA197&gt;0,IF(OR($J197=1,$J197=2,$J197=3,$J197=4),$E197*$I197/12*3,IF($J197=5,$E197*$I197/12*2,IF($J197=6,$E197*$I197/12*1,0)))))+IF(BV$5&lt;&gt;$H197,0,IF(BV197&gt;0,IF($J197=4,$E197*$I197/12*0,IF($J197=5,$E197*$I197/12*1,IF($J197=6,$E197*$I197/12*2,IF($J197&gt;=7,$E197*$I197/12*3,0))))))</f>
        <v>0</v>
      </c>
      <c r="BY197" s="416">
        <f t="shared" ref="BY197:BY203" si="1528">IF($H197&lt;&gt;CA$5,0,IF(CA197&gt;0,IF(OR($J197=1,$J197=2,$J197=3,$J197=4,$J197=5,$J197=6,$J197=7),$E197*$I197/12*3,IF($J197=8,$E197*$I197/12*2,IF($J197=9,$E197*$I197/12*1,0)))))+IF(BV$5&lt;&gt;$H197,0,IF(BV197&gt;0,IF($J197=7,$E197*$I197/12*0,IF($J197=8,$E197*$I197/12*1,IF($J197=9,$E197*$I197/12*2,IF($J197&gt;=10,$E197*$I197/12*3,0))))))</f>
        <v>0</v>
      </c>
      <c r="BZ197" s="412">
        <f t="shared" ref="BZ197:BZ203" si="1529">IF($H197&lt;&gt;CA$5,0,IF(CA197&gt;0,IF(OR($J197=1,$J197=2,$J197=3,$J197=4,$J197=5,$J197=6,$J197=7,$J197=8,$J197=9,$J197=10),$E197*$I197/12*3,IF($J197=11,$E197*$I197/12*2,IF($J197=12,$E197*$I197/12*1,0)))))+IF(BV$5&lt;&gt;$H197,0,IF(BV197&gt;0,IF($J197=10,$E197*$I197/12*0,IF($J197=11,$E197*$I197/12*1,IF($J197=12,$E197*$I197/12*2,0)))))</f>
        <v>0</v>
      </c>
      <c r="CA197" s="413">
        <f t="shared" ref="CA197:CA203" si="1530">IF(AND(BV197&lt;&gt;0,BV$5=$H197),$I197*$E197-BV197,IF(CA$5=$H197,$I197*$E197*(12-$J197+1)/12,0))</f>
        <v>0</v>
      </c>
      <c r="CB197" s="410">
        <f t="shared" ref="CB197:CB203" si="1531">IF($H197&lt;&gt;CF$5,0,IF(CF197&gt;0,IF($J197=1,$E197*$I197/12*3,IF($J197=2,$E197*$I197/12*2,IF($J197=3,$E197*$I197/12*1,0)))))+IF(CA$5&lt;&gt;$H197,0,IF(CA197&gt;0,IF($J197=1,$E197*$I197/12*0,IF($J197=2,$E197*$I197/12*1,IF($J197=3,$E197*$I197/12*2,IF($J197&gt;=4,$E197*$I197/12*3,0))))))</f>
        <v>0</v>
      </c>
      <c r="CC197" s="416">
        <f t="shared" ref="CC197:CC203" si="1532">IF($H197&lt;&gt;CF$5,0,IF(CF197&gt;0,IF(OR($J197=1,$J197=2,$J197=3,$J197=4),$E197*$I197/12*3,IF($J197=5,$E197*$I197/12*2,IF($J197=6,$E197*$I197/12*1,0)))))+IF(CA$5&lt;&gt;$H197,0,IF(CA197&gt;0,IF($J197=4,$E197*$I197/12*0,IF($J197=5,$E197*$I197/12*1,IF($J197=6,$E197*$I197/12*2,IF($J197&gt;=7,$E197*$I197/12*3,0))))))</f>
        <v>0</v>
      </c>
      <c r="CD197" s="416">
        <f t="shared" ref="CD197:CD203" si="1533">IF($H197&lt;&gt;CF$5,0,IF(CF197&gt;0,IF(OR($J197=1,$J197=2,$J197=3,$J197=4,$J197=5,$J197=6,$J197=7),$E197*$I197/12*3,IF($J197=8,$E197*$I197/12*2,IF($J197=9,$E197*$I197/12*1,0)))))+IF(CA$5&lt;&gt;$H197,0,IF(CA197&gt;0,IF($J197=7,$E197*$I197/12*0,IF($J197=8,$E197*$I197/12*1,IF($J197=9,$E197*$I197/12*2,IF($J197&gt;=10,$E197*$I197/12*3,0))))))</f>
        <v>0</v>
      </c>
      <c r="CE197" s="412">
        <f t="shared" ref="CE197:CE203" si="1534">IF($H197&lt;&gt;CF$5,0,IF(CF197&gt;0,IF(OR($J197=1,$J197=2,$J197=3,$J197=4,$J197=5,$J197=6,$J197=7,$J197=8,$J197=9,$J197=10),$E197*$I197/12*3,IF($J197=11,$E197*$I197/12*2,IF($J197=12,$E197*$I197/12*1,0)))))+IF(CA$5&lt;&gt;$H197,0,IF(CA197&gt;0,IF($J197=10,$E197*$I197/12*0,IF($J197=11,$E197*$I197/12*1,IF($J197=12,$E197*$I197/12*2,0)))))</f>
        <v>0</v>
      </c>
      <c r="CF197" s="413">
        <f t="shared" ref="CF197:CF203" si="1535">IF(AND(CA197&lt;&gt;0,CA$5=$H197),$I197*$E197-CA197,IF(CF$5=$H197,$I197*$E197*(12-$J197+1)/12,0))</f>
        <v>0</v>
      </c>
      <c r="CG197" s="410">
        <f t="shared" ref="CG197:CG203" si="1536">IF($H197&lt;&gt;CK$5,0,IF(CK197&gt;0,IF($J197=1,$E197*$I197/12*3,IF($J197=2,$E197*$I197/12*2,IF($J197=3,$E197*$I197/12*1,0)))))+IF(CF$5&lt;&gt;$H197,0,IF(CF197&gt;0,IF($J197=1,$E197*$I197/12*0,IF($J197=2,$E197*$I197/12*1,IF($J197=3,$E197*$I197/12*2,IF($J197&gt;=4,$E197*$I197/12*3,0))))))</f>
        <v>0</v>
      </c>
      <c r="CH197" s="416">
        <f t="shared" ref="CH197:CH203" si="1537">IF($H197&lt;&gt;CK$5,0,IF(CK197&gt;0,IF(OR($J197=1,$J197=2,$J197=3,$J197=4),$E197*$I197/12*3,IF($J197=5,$E197*$I197/12*2,IF($J197=6,$E197*$I197/12*1,0)))))+IF(CF$5&lt;&gt;$H197,0,IF(CF197&gt;0,IF($J197=4,$E197*$I197/12*0,IF($J197=5,$E197*$I197/12*1,IF($J197=6,$E197*$I197/12*2,IF($J197&gt;=7,$E197*$I197/12*3,0))))))</f>
        <v>0</v>
      </c>
      <c r="CI197" s="416">
        <f t="shared" ref="CI197:CI203" si="1538">IF($H197&lt;&gt;CK$5,0,IF(CK197&gt;0,IF(OR($J197=1,$J197=2,$J197=3,$J197=4,$J197=5,$J197=6,$J197=7),$E197*$I197/12*3,IF($J197=8,$E197*$I197/12*2,IF($J197=9,$E197*$I197/12*1,0)))))+IF(CF$5&lt;&gt;$H197,0,IF(CF197&gt;0,IF($J197=7,$E197*$I197/12*0,IF($J197=8,$E197*$I197/12*1,IF($J197=9,$E197*$I197/12*2,IF($J197&gt;=10,$E197*$I197/12*3,0))))))</f>
        <v>0</v>
      </c>
      <c r="CJ197" s="412">
        <f t="shared" ref="CJ197:CJ203" si="1539">IF($H197&lt;&gt;CK$5,0,IF(CK197&gt;0,IF(OR($J197=1,$J197=2,$J197=3,$J197=4,$J197=5,$J197=6,$J197=7,$J197=8,$J197=9,$J197=10),$E197*$I197/12*3,IF($J197=11,$E197*$I197/12*2,IF($J197=12,$E197*$I197/12*1,0)))))+IF(CF$5&lt;&gt;$H197,0,IF(CF197&gt;0,IF($J197=10,$E197*$I197/12*0,IF($J197=11,$E197*$I197/12*1,IF($J197=12,$E197*$I197/12*2,0)))))</f>
        <v>0</v>
      </c>
      <c r="CK197" s="413">
        <f t="shared" ref="CK197:CK203" si="1540">IF(AND(CF197&lt;&gt;0,CF$5=$H197),$I197*$E197-CF197,IF(CK$5=$H197,$I197*$E197*(12-$J197+1)/12,0))</f>
        <v>0</v>
      </c>
      <c r="CL197" s="410">
        <f t="shared" ref="CL197:CL203" si="1541">IF($H197&lt;&gt;CP$5,0,IF(CP197&gt;0,IF($J197=1,$E197*$I197/12*3,IF($J197=2,$E197*$I197/12*2,IF($J197=3,$E197*$I197/12*1,0)))))+IF(CK$5&lt;&gt;$H197,0,IF(CK197&gt;0,IF($J197=1,$E197*$I197/12*0,IF($J197=2,$E197*$I197/12*1,IF($J197=3,$E197*$I197/12*2,IF($J197&gt;=4,$E197*$I197/12*3,0))))))</f>
        <v>0</v>
      </c>
      <c r="CM197" s="416">
        <f t="shared" ref="CM197:CM203" si="1542">IF($H197&lt;&gt;CP$5,0,IF(CP197&gt;0,IF(OR($J197=1,$J197=2,$J197=3,$J197=4),$E197*$I197/12*3,IF($J197=5,$E197*$I197/12*2,IF($J197=6,$E197*$I197/12*1,0)))))+IF(CK$5&lt;&gt;$H197,0,IF(CK197&gt;0,IF($J197=4,$E197*$I197/12*0,IF($J197=5,$E197*$I197/12*1,IF($J197=6,$E197*$I197/12*2,IF($J197&gt;=7,$E197*$I197/12*3,0))))))</f>
        <v>0</v>
      </c>
      <c r="CN197" s="416">
        <f t="shared" ref="CN197:CN203" si="1543">IF($H197&lt;&gt;CP$5,0,IF(CP197&gt;0,IF(OR($J197=1,$J197=2,$J197=3,$J197=4,$J197=5,$J197=6,$J197=7),$E197*$I197/12*3,IF($J197=8,$E197*$I197/12*2,IF($J197=9,$E197*$I197/12*1,0)))))+IF(CK$5&lt;&gt;$H197,0,IF(CK197&gt;0,IF($J197=7,$E197*$I197/12*0,IF($J197=8,$E197*$I197/12*1,IF($J197=9,$E197*$I197/12*2,IF($J197&gt;=10,$E197*$I197/12*3,0))))))</f>
        <v>0</v>
      </c>
      <c r="CO197" s="412">
        <f t="shared" ref="CO197:CO203" si="1544">IF($H197&lt;&gt;CP$5,0,IF(CP197&gt;0,IF(OR($J197=1,$J197=2,$J197=3,$J197=4,$J197=5,$J197=6,$J197=7,$J197=8,$J197=9,$J197=10),$E197*$I197/12*3,IF($J197=11,$E197*$I197/12*2,IF($J197=12,$E197*$I197/12*1,0)))))+IF(CK$5&lt;&gt;$H197,0,IF(CK197&gt;0,IF($J197=10,$E197*$I197/12*0,IF($J197=11,$E197*$I197/12*1,IF($J197=12,$E197*$I197/12*2,0)))))</f>
        <v>0</v>
      </c>
      <c r="CP197" s="413">
        <f t="shared" ref="CP197:CP203" si="1545">IF(AND(CK197&lt;&gt;0,CK$5=$H197),$I197*$E197-CK197,IF(CP$5=$H197,$I197*$E197*(12-$J197+1)/12,0))</f>
        <v>0</v>
      </c>
      <c r="CQ197" s="410">
        <f t="shared" ref="CQ197:CQ203" si="1546">IF($H197&lt;&gt;CU$5,0,IF(CU197&gt;0,IF($J197=1,$E197*$I197/12*3,IF($J197=2,$E197*$I197/12*2,IF($J197=3,$E197*$I197/12*1,0)))))+IF(CP$5&lt;&gt;$H197,0,IF(CP197&gt;0,IF($J197=1,$E197*$I197/12*0,IF($J197=2,$E197*$I197/12*1,IF($J197=3,$E197*$I197/12*2,IF($J197&gt;=4,$E197*$I197/12*3,0))))))</f>
        <v>0</v>
      </c>
      <c r="CR197" s="416">
        <f t="shared" ref="CR197:CR203" si="1547">IF($H197&lt;&gt;CU$5,0,IF(CU197&gt;0,IF(OR($J197=1,$J197=2,$J197=3,$J197=4),$E197*$I197/12*3,IF($J197=5,$E197*$I197/12*2,IF($J197=6,$E197*$I197/12*1,0)))))+IF(CP$5&lt;&gt;$H197,0,IF(CP197&gt;0,IF($J197=4,$E197*$I197/12*0,IF($J197=5,$E197*$I197/12*1,IF($J197=6,$E197*$I197/12*2,IF($J197&gt;=7,$E197*$I197/12*3,0))))))</f>
        <v>0</v>
      </c>
      <c r="CS197" s="416">
        <f t="shared" ref="CS197:CS203" si="1548">IF($H197&lt;&gt;CU$5,0,IF(CU197&gt;0,IF(OR($J197=1,$J197=2,$J197=3,$J197=4,$J197=5,$J197=6,$J197=7),$E197*$I197/12*3,IF($J197=8,$E197*$I197/12*2,IF($J197=9,$E197*$I197/12*1,0)))))+IF(CP$5&lt;&gt;$H197,0,IF(CP197&gt;0,IF($J197=7,$E197*$I197/12*0,IF($J197=8,$E197*$I197/12*1,IF($J197=9,$E197*$I197/12*2,IF($J197&gt;=10,$E197*$I197/12*3,0))))))</f>
        <v>0</v>
      </c>
      <c r="CT197" s="412">
        <f t="shared" ref="CT197:CT203" si="1549">IF($H197&lt;&gt;CU$5,0,IF(CU197&gt;0,IF(OR($J197=1,$J197=2,$J197=3,$J197=4,$J197=5,$J197=6,$J197=7,$J197=8,$J197=9,$J197=10),$E197*$I197/12*3,IF($J197=11,$E197*$I197/12*2,IF($J197=12,$E197*$I197/12*1,0)))))+IF(CP$5&lt;&gt;$H197,0,IF(CP197&gt;0,IF($J197=10,$E197*$I197/12*0,IF($J197=11,$E197*$I197/12*1,IF($J197=12,$E197*$I197/12*2,0)))))</f>
        <v>0</v>
      </c>
      <c r="CU197" s="413">
        <f t="shared" ref="CU197:CU203" si="1550">IF(AND(CP197&lt;&gt;0,CP$5=$H197),$I197*$E197-CP197,IF(CU$5=$H197,$I197*$E197*(12-$J197+1)/12,0))</f>
        <v>0</v>
      </c>
      <c r="CV197" s="410">
        <f t="shared" ref="CV197:CV203" si="1551">IF($H197&lt;&gt;CZ$5,0,IF(CZ197&gt;0,IF($J197=1,$E197*$I197/12*3,IF($J197=2,$E197*$I197/12*2,IF($J197=3,$E197*$I197/12*1,0)))))+IF(CU$5&lt;&gt;$H197,0,IF(CU197&gt;0,IF($J197=1,$E197*$I197/12*0,IF($J197=2,$E197*$I197/12*1,IF($J197=3,$E197*$I197/12*2,IF($J197&gt;=4,$E197*$I197/12*3,0))))))</f>
        <v>0</v>
      </c>
      <c r="CW197" s="416">
        <f t="shared" ref="CW197:CW203" si="1552">IF($H197&lt;&gt;CZ$5,0,IF(CZ197&gt;0,IF(OR($J197=1,$J197=2,$J197=3,$J197=4),$E197*$I197/12*3,IF($J197=5,$E197*$I197/12*2,IF($J197=6,$E197*$I197/12*1,0)))))+IF(CU$5&lt;&gt;$H197,0,IF(CU197&gt;0,IF($J197=4,$E197*$I197/12*0,IF($J197=5,$E197*$I197/12*1,IF($J197=6,$E197*$I197/12*2,IF($J197&gt;=7,$E197*$I197/12*3,0))))))</f>
        <v>2.6812499999999999</v>
      </c>
      <c r="CX197" s="416">
        <f t="shared" ref="CX197:CX203" si="1553">IF($H197&lt;&gt;CZ$5,0,IF(CZ197&gt;0,IF(OR($J197=1,$J197=2,$J197=3,$J197=4,$J197=5,$J197=6,$J197=7),$E197*$I197/12*3,IF($J197=8,$E197*$I197/12*2,IF($J197=9,$E197*$I197/12*1,0)))))+IF(CU$5&lt;&gt;$H197,0,IF(CU197&gt;0,IF($J197=7,$E197*$I197/12*0,IF($J197=8,$E197*$I197/12*1,IF($J197=9,$E197*$I197/12*2,IF($J197&gt;=10,$E197*$I197/12*3,0))))))</f>
        <v>2.6812499999999999</v>
      </c>
      <c r="CY197" s="412">
        <f t="shared" ref="CY197:CY203" si="1554">IF($H197&lt;&gt;CZ$5,0,IF(CZ197&gt;0,IF(OR($J197=1,$J197=2,$J197=3,$J197=4,$J197=5,$J197=6,$J197=7,$J197=8,$J197=9,$J197=10),$E197*$I197/12*3,IF($J197=11,$E197*$I197/12*2,IF($J197=12,$E197*$I197/12*1,0)))))+IF(CU$5&lt;&gt;$H197,0,IF(CU197&gt;0,IF($J197=10,$E197*$I197/12*0,IF($J197=11,$E197*$I197/12*1,IF($J197=12,$E197*$I197/12*2,0)))))</f>
        <v>2.6812499999999999</v>
      </c>
      <c r="CZ197" s="413">
        <f t="shared" ref="CZ197:CZ203" si="1555">IF(AND(CU197&lt;&gt;0,CU$5=$H197),$I197*$E197-CU197,IF(CZ$5=$H197,$I197*$E197*(12-$J197+1)/12,0))</f>
        <v>8.0437499999999993</v>
      </c>
      <c r="DA197" s="410">
        <f t="shared" ref="DA197:DA203" si="1556">IF($H197&lt;&gt;DE$5,0,IF(DE197&gt;0,IF($J197=1,$E197*$I197/12*3,IF($J197=2,$E197*$I197/12*2,IF($J197=3,$E197*$I197/12*1,0)))))+IF(CZ$5&lt;&gt;$H197,0,IF(CZ197&gt;0,IF($J197=1,$E197*$I197/12*0,IF($J197=2,$E197*$I197/12*1,IF($J197=3,$E197*$I197/12*2,IF($J197&gt;=4,$E197*$I197/12*3,0))))))</f>
        <v>2.6812499999999999</v>
      </c>
      <c r="DB197" s="416">
        <f t="shared" ref="DB197:DB203" si="1557">IF($H197&lt;&gt;DE$5,0,IF(DE197&gt;0,IF(OR($J197=1,$J197=2,$J197=3,$J197=4),$E197*$I197/12*3,IF($J197=5,$E197*$I197/12*2,IF($J197=6,$E197*$I197/12*1,0)))))+IF(CZ$5&lt;&gt;$H197,0,IF(CZ197&gt;0,IF($J197=4,$E197*$I197/12*0,IF($J197=5,$E197*$I197/12*1,IF($J197=6,$E197*$I197/12*2,IF($J197&gt;=7,$E197*$I197/12*3,0))))))</f>
        <v>0</v>
      </c>
      <c r="DC197" s="416">
        <f t="shared" ref="DC197:DC203" si="1558">IF($H197&lt;&gt;DE$5,0,IF(DE197&gt;0,IF(OR($J197=1,$J197=2,$J197=3,$J197=4,$J197=5,$J197=6,$J197=7),$E197*$I197/12*3,IF($J197=8,$E197*$I197/12*2,IF($J197=9,$E197*$I197/12*1,0)))))+IF(CZ$5&lt;&gt;$H197,0,IF(CZ197&gt;0,IF($J197=7,$E197*$I197/12*0,IF($J197=8,$E197*$I197/12*1,IF($J197=9,$E197*$I197/12*2,IF($J197&gt;=10,$E197*$I197/12*3,0))))))</f>
        <v>0</v>
      </c>
      <c r="DD197" s="412">
        <f t="shared" ref="DD197:DD203" si="1559">IF($H197&lt;&gt;DE$5,0,IF(DE197&gt;0,IF(OR($J197=1,$J197=2,$J197=3,$J197=4,$J197=5,$J197=6,$J197=7,$J197=8,$J197=9,$J197=10),$E197*$I197/12*3,IF($J197=11,$E197*$I197/12*2,IF($J197=12,$E197*$I197/12*1,0)))))+IF(CZ$5&lt;&gt;$H197,0,IF(CZ197&gt;0,IF($J197=10,$E197*$I197/12*0,IF($J197=11,$E197*$I197/12*1,IF($J197=12,$E197*$I197/12*2,0)))))</f>
        <v>0</v>
      </c>
      <c r="DE197" s="413">
        <f t="shared" ref="DE197:DE203" si="1560">IF(AND(CZ197&lt;&gt;0,CZ$5=$H197),$I197*$E197-CZ197,IF(DE$5=$H197,$I197*$E197*(12-$J197+1)/12,0))</f>
        <v>2.6812500000000004</v>
      </c>
      <c r="DF197" s="410">
        <f t="shared" ref="DF197:DF203" si="1561">IF($H197&lt;&gt;DJ$5,0,IF(DJ197&gt;0,IF($J197=1,$E197*$I197/12*3,IF($J197=2,$E197*$I197/12*2,IF($J197=3,$E197*$I197/12*1,0)))))+IF(DE$5&lt;&gt;$H197,0,IF(DE197&gt;0,IF($J197=1,$E197*$I197/12*0,IF($J197=2,$E197*$I197/12*1,IF($J197=3,$E197*$I197/12*2,IF($J197&gt;=4,$E197*$I197/12*3,0))))))</f>
        <v>0</v>
      </c>
      <c r="DG197" s="416">
        <f t="shared" ref="DG197:DG203" si="1562">IF($H197&lt;&gt;DJ$5,0,IF(DJ197&gt;0,IF(OR($J197=1,$J197=2,$J197=3,$J197=4),$E197*$I197/12*3,IF($J197=5,$E197*$I197/12*2,IF($J197=6,$E197*$I197/12*1,0)))))+IF(DE$5&lt;&gt;$H197,0,IF(DE197&gt;0,IF($J197=4,$E197*$I197/12*0,IF($J197=5,$E197*$I197/12*1,IF($J197=6,$E197*$I197/12*2,IF($J197&gt;=7,$E197*$I197/12*3,0))))))</f>
        <v>0</v>
      </c>
      <c r="DH197" s="416">
        <f t="shared" ref="DH197:DH203" si="1563">IF($H197&lt;&gt;DJ$5,0,IF(DJ197&gt;0,IF(OR($J197=1,$J197=2,$J197=3,$J197=4,$J197=5,$J197=6,$J197=7),$E197*$I197/12*3,IF($J197=8,$E197*$I197/12*2,IF($J197=9,$E197*$I197/12*1,0)))))+IF(DE$5&lt;&gt;$H197,0,IF(DE197&gt;0,IF($J197=7,$E197*$I197/12*0,IF($J197=8,$E197*$I197/12*1,IF($J197=9,$E197*$I197/12*2,IF($J197&gt;=10,$E197*$I197/12*3,0))))))</f>
        <v>0</v>
      </c>
      <c r="DI197" s="412">
        <f t="shared" ref="DI197:DI203" si="1564">IF($H197&lt;&gt;DJ$5,0,IF(DJ197&gt;0,IF(OR($J197=1,$J197=2,$J197=3,$J197=4,$J197=5,$J197=6,$J197=7,$J197=8,$J197=9,$J197=10),$E197*$I197/12*3,IF($J197=11,$E197*$I197/12*2,IF($J197=12,$E197*$I197/12*1,0)))))+IF(DE$5&lt;&gt;$H197,0,IF(DE197&gt;0,IF($J197=10,$E197*$I197/12*0,IF($J197=11,$E197*$I197/12*1,IF($J197=12,$E197*$I197/12*2,0)))))</f>
        <v>0</v>
      </c>
      <c r="DJ197" s="413">
        <f t="shared" ref="DJ197:DJ203" si="1565">IF(AND(DE197&lt;&gt;0,DE$5=$H197),$I197*$E197-DE197,IF(DJ$5=$H197,$I197*$E197*(12-$J197+1)/12,0))</f>
        <v>0</v>
      </c>
      <c r="DK197" s="410">
        <f t="shared" ref="DK197:DK203" si="1566">IF($H197&lt;&gt;DO$5,0,IF(DO197&gt;0,IF($J197=1,$E197*$I197/12*3,IF($J197=2,$E197*$I197/12*2,IF($J197=3,$E197*$I197/12*1,0)))))+IF(DJ$5&lt;&gt;$H197,0,IF(DJ197&gt;0,IF($J197=1,$E197*$I197/12*0,IF($J197=2,$E197*$I197/12*1,IF($J197=3,$E197*$I197/12*2,IF($J197&gt;=4,$E197*$I197/12*3,0))))))</f>
        <v>0</v>
      </c>
      <c r="DL197" s="416">
        <f t="shared" ref="DL197:DL203" si="1567">IF($H197&lt;&gt;DO$5,0,IF(DO197&gt;0,IF(OR($J197=1,$J197=2,$J197=3,$J197=4),$E197*$I197/12*3,IF($J197=5,$E197*$I197/12*2,IF($J197=6,$E197*$I197/12*1,0)))))+IF(DJ$5&lt;&gt;$H197,0,IF(DJ197&gt;0,IF($J197=4,$E197*$I197/12*0,IF($J197=5,$E197*$I197/12*1,IF($J197=6,$E197*$I197/12*2,IF($J197&gt;=7,$E197*$I197/12*3,0))))))</f>
        <v>0</v>
      </c>
      <c r="DM197" s="416">
        <f t="shared" ref="DM197:DM203" si="1568">IF($H197&lt;&gt;DO$5,0,IF(DO197&gt;0,IF(OR($J197=1,$J197=2,$J197=3,$J197=4,$J197=5,$J197=6,$J197=7),$E197*$I197/12*3,IF($J197=8,$E197*$I197/12*2,IF($J197=9,$E197*$I197/12*1,0)))))+IF(DJ$5&lt;&gt;$H197,0,IF(DJ197&gt;0,IF($J197=7,$E197*$I197/12*0,IF($J197=8,$E197*$I197/12*1,IF($J197=9,$E197*$I197/12*2,IF($J197&gt;=10,$E197*$I197/12*3,0))))))</f>
        <v>0</v>
      </c>
      <c r="DN197" s="412">
        <f t="shared" ref="DN197:DN203" si="1569">IF($H197&lt;&gt;DO$5,0,IF(DO197&gt;0,IF(OR($J197=1,$J197=2,$J197=3,$J197=4,$J197=5,$J197=6,$J197=7,$J197=8,$J197=9,$J197=10),$E197*$I197/12*3,IF($J197=11,$E197*$I197/12*2,IF($J197=12,$E197*$I197/12*1,0)))))+IF(DJ$5&lt;&gt;$H197,0,IF(DJ197&gt;0,IF($J197=10,$E197*$I197/12*0,IF($J197=11,$E197*$I197/12*1,IF($J197=12,$E197*$I197/12*2,0)))))</f>
        <v>0</v>
      </c>
      <c r="DO197" s="413">
        <f t="shared" ref="DO197:DO203" si="1570">IF(AND(DJ197&lt;&gt;0,DJ$5=$H197),$I197*$E197-DJ197,IF(DO$5=$H197,$I197*$E197*(12-$J197+1)/12,0))</f>
        <v>0</v>
      </c>
      <c r="DP197" s="410">
        <f t="shared" ref="DP197:DP203" si="1571">IF($H197&lt;&gt;DT$5,0,IF(DT197&gt;0,IF($J197=1,$E197*$I197/12*3,IF($J197=2,$E197*$I197/12*2,IF($J197=3,$E197*$I197/12*1,0)))))+IF(DO$5&lt;&gt;$H197,0,IF(DO197&gt;0,IF($J197=1,$E197*$I197/12*0,IF($J197=2,$E197*$I197/12*1,IF($J197=3,$E197*$I197/12*2,IF($J197&gt;=4,$E197*$I197/12*3,0))))))</f>
        <v>0</v>
      </c>
      <c r="DQ197" s="416">
        <f t="shared" ref="DQ197:DQ203" si="1572">IF($H197&lt;&gt;DT$5,0,IF(DT197&gt;0,IF(OR($J197=1,$J197=2,$J197=3,$J197=4),$E197*$I197/12*3,IF($J197=5,$E197*$I197/12*2,IF($J197=6,$E197*$I197/12*1,0)))))+IF(DO$5&lt;&gt;$H197,0,IF(DO197&gt;0,IF($J197=4,$E197*$I197/12*0,IF($J197=5,$E197*$I197/12*1,IF($J197=6,$E197*$I197/12*2,IF($J197&gt;=7,$E197*$I197/12*3,0))))))</f>
        <v>0</v>
      </c>
      <c r="DR197" s="416">
        <f t="shared" ref="DR197:DR203" si="1573">IF($H197&lt;&gt;DT$5,0,IF(DT197&gt;0,IF(OR($J197=1,$J197=2,$J197=3,$J197=4,$J197=5,$J197=6,$J197=7),$E197*$I197/12*3,IF($J197=8,$E197*$I197/12*2,IF($J197=9,$E197*$I197/12*1,0)))))+IF(DO$5&lt;&gt;$H197,0,IF(DO197&gt;0,IF($J197=7,$E197*$I197/12*0,IF($J197=8,$E197*$I197/12*1,IF($J197=9,$E197*$I197/12*2,IF($J197&gt;=10,$E197*$I197/12*3,0))))))</f>
        <v>0</v>
      </c>
      <c r="DS197" s="412">
        <f t="shared" ref="DS197:DS203" si="1574">IF($H197&lt;&gt;DT$5,0,IF(DT197&gt;0,IF(OR($J197=1,$J197=2,$J197=3,$J197=4,$J197=5,$J197=6,$J197=7,$J197=8,$J197=9,$J197=10),$E197*$I197/12*3,IF($J197=11,$E197*$I197/12*2,IF($J197=12,$E197*$I197/12*1,0)))))+IF(DO$5&lt;&gt;$H197,0,IF(DO197&gt;0,IF($J197=10,$E197*$I197/12*0,IF($J197=11,$E197*$I197/12*1,IF($J197=12,$E197*$I197/12*2,0)))))</f>
        <v>0</v>
      </c>
      <c r="DT197" s="413">
        <f t="shared" ref="DT197:DT203" si="1575">IF(AND(DO197&lt;&gt;0,DO$5=$H197),$I197*$E197-DO197,IF(DT$5=$H197,$I197*$E197*(12-$J197+1)/12,0))</f>
        <v>0</v>
      </c>
    </row>
    <row r="198" spans="1:124" ht="12.75" customHeight="1">
      <c r="A198" s="491"/>
      <c r="C198" s="559" t="s">
        <v>1322</v>
      </c>
      <c r="D198" s="1885"/>
      <c r="E198" s="1869">
        <v>40</v>
      </c>
      <c r="F198" s="1888"/>
      <c r="G198" s="1888"/>
      <c r="H198" s="610">
        <v>2017</v>
      </c>
      <c r="I198" s="828">
        <v>4.4999999999999998E-2</v>
      </c>
      <c r="J198" s="617">
        <v>4</v>
      </c>
      <c r="K198" s="402"/>
      <c r="L198" s="407">
        <f>IF(L$5=$H198,$E198,0)</f>
        <v>0</v>
      </c>
      <c r="M198" s="404">
        <f t="shared" si="1465"/>
        <v>0</v>
      </c>
      <c r="N198" s="414">
        <f t="shared" si="1466"/>
        <v>0</v>
      </c>
      <c r="O198" s="414">
        <f t="shared" si="1467"/>
        <v>0</v>
      </c>
      <c r="P198" s="406">
        <f t="shared" si="1468"/>
        <v>0</v>
      </c>
      <c r="Q198" s="407">
        <f>IF(Q$5=$H198,$E198,0)</f>
        <v>0</v>
      </c>
      <c r="R198" s="404">
        <f t="shared" si="1470"/>
        <v>0</v>
      </c>
      <c r="S198" s="414">
        <f t="shared" si="1471"/>
        <v>0</v>
      </c>
      <c r="T198" s="414">
        <f t="shared" si="1472"/>
        <v>0</v>
      </c>
      <c r="U198" s="406">
        <f t="shared" si="1473"/>
        <v>0</v>
      </c>
      <c r="V198" s="407">
        <f>IF(V$5=$H198,$E198,0)</f>
        <v>0</v>
      </c>
      <c r="W198" s="404">
        <f t="shared" si="1475"/>
        <v>0</v>
      </c>
      <c r="X198" s="414">
        <f t="shared" si="1476"/>
        <v>0</v>
      </c>
      <c r="Y198" s="414">
        <f t="shared" si="1477"/>
        <v>0</v>
      </c>
      <c r="Z198" s="406">
        <f t="shared" si="1478"/>
        <v>0</v>
      </c>
      <c r="AA198" s="407">
        <f>IF(AA$5=$H198,$E198,0)</f>
        <v>0</v>
      </c>
      <c r="AB198" s="404">
        <f t="shared" si="1480"/>
        <v>0</v>
      </c>
      <c r="AC198" s="414">
        <f t="shared" si="1481"/>
        <v>0</v>
      </c>
      <c r="AD198" s="414">
        <f t="shared" si="1482"/>
        <v>0</v>
      </c>
      <c r="AE198" s="406">
        <f t="shared" si="1483"/>
        <v>0</v>
      </c>
      <c r="AF198" s="407">
        <f>IF(AF$5=$H198,$E198,0)</f>
        <v>0</v>
      </c>
      <c r="AG198" s="404">
        <f t="shared" si="1485"/>
        <v>0</v>
      </c>
      <c r="AH198" s="414">
        <f t="shared" si="1486"/>
        <v>0</v>
      </c>
      <c r="AI198" s="414">
        <f t="shared" si="1487"/>
        <v>0</v>
      </c>
      <c r="AJ198" s="406">
        <f t="shared" si="1488"/>
        <v>0</v>
      </c>
      <c r="AK198" s="407">
        <f>IF(AK$5=$H198,$E198,0)</f>
        <v>0</v>
      </c>
      <c r="AL198" s="404">
        <f t="shared" si="1490"/>
        <v>0</v>
      </c>
      <c r="AM198" s="414">
        <f t="shared" si="1491"/>
        <v>0</v>
      </c>
      <c r="AN198" s="414">
        <f t="shared" si="1492"/>
        <v>0</v>
      </c>
      <c r="AO198" s="406">
        <f t="shared" si="1493"/>
        <v>0</v>
      </c>
      <c r="AP198" s="407">
        <f>IF(AP$5=$H198,$E198,0)</f>
        <v>0</v>
      </c>
      <c r="AQ198" s="404">
        <f t="shared" si="1495"/>
        <v>0</v>
      </c>
      <c r="AR198" s="414">
        <f t="shared" si="1496"/>
        <v>40</v>
      </c>
      <c r="AS198" s="414">
        <f t="shared" si="1497"/>
        <v>0</v>
      </c>
      <c r="AT198" s="406">
        <f t="shared" si="1498"/>
        <v>0</v>
      </c>
      <c r="AU198" s="407">
        <f>IF(AU$5=$H198,$E198,0)</f>
        <v>40</v>
      </c>
      <c r="AV198" s="404">
        <f t="shared" si="1500"/>
        <v>0</v>
      </c>
      <c r="AW198" s="414">
        <f t="shared" si="1501"/>
        <v>0</v>
      </c>
      <c r="AX198" s="414">
        <f t="shared" si="1502"/>
        <v>0</v>
      </c>
      <c r="AY198" s="406">
        <f t="shared" si="1503"/>
        <v>0</v>
      </c>
      <c r="AZ198" s="407">
        <f>IF(AZ$5=$H198,$E198,0)</f>
        <v>0</v>
      </c>
      <c r="BA198" s="404">
        <f t="shared" si="1505"/>
        <v>0</v>
      </c>
      <c r="BB198" s="414">
        <f t="shared" si="1506"/>
        <v>0</v>
      </c>
      <c r="BC198" s="414">
        <f t="shared" si="1507"/>
        <v>0</v>
      </c>
      <c r="BD198" s="406">
        <f t="shared" si="1508"/>
        <v>0</v>
      </c>
      <c r="BE198" s="407">
        <f>IF(BE$5=$H198,$E198,0)</f>
        <v>0</v>
      </c>
      <c r="BF198" s="404">
        <f t="shared" si="1510"/>
        <v>0</v>
      </c>
      <c r="BG198" s="414">
        <f t="shared" si="1511"/>
        <v>0</v>
      </c>
      <c r="BH198" s="414">
        <f t="shared" si="1512"/>
        <v>0</v>
      </c>
      <c r="BI198" s="406">
        <f t="shared" si="1513"/>
        <v>0</v>
      </c>
      <c r="BJ198" s="407">
        <f>IF(BJ$5=$H198,$E198,0)</f>
        <v>0</v>
      </c>
      <c r="BK198" s="404">
        <f t="shared" si="1515"/>
        <v>0</v>
      </c>
      <c r="BL198" s="414">
        <f t="shared" si="1516"/>
        <v>0</v>
      </c>
      <c r="BM198" s="414">
        <f t="shared" si="1517"/>
        <v>0</v>
      </c>
      <c r="BN198" s="406">
        <f t="shared" si="1518"/>
        <v>0</v>
      </c>
      <c r="BO198" s="407">
        <f>IF(BO$5=$H198,$E198,0)</f>
        <v>0</v>
      </c>
      <c r="BP198" s="447"/>
      <c r="BQ198" s="413">
        <f t="shared" si="1520"/>
        <v>0</v>
      </c>
      <c r="BR198" s="410">
        <f t="shared" si="1521"/>
        <v>0</v>
      </c>
      <c r="BS198" s="416">
        <f t="shared" si="1522"/>
        <v>0</v>
      </c>
      <c r="BT198" s="416">
        <f t="shared" si="1523"/>
        <v>0</v>
      </c>
      <c r="BU198" s="412">
        <f t="shared" si="1524"/>
        <v>0</v>
      </c>
      <c r="BV198" s="413">
        <f t="shared" si="1525"/>
        <v>0</v>
      </c>
      <c r="BW198" s="410">
        <f t="shared" si="1526"/>
        <v>0</v>
      </c>
      <c r="BX198" s="416">
        <f t="shared" si="1527"/>
        <v>0</v>
      </c>
      <c r="BY198" s="416">
        <f t="shared" si="1528"/>
        <v>0</v>
      </c>
      <c r="BZ198" s="412">
        <f t="shared" si="1529"/>
        <v>0</v>
      </c>
      <c r="CA198" s="413">
        <f t="shared" si="1530"/>
        <v>0</v>
      </c>
      <c r="CB198" s="410">
        <f t="shared" si="1531"/>
        <v>0</v>
      </c>
      <c r="CC198" s="416">
        <f t="shared" si="1532"/>
        <v>0</v>
      </c>
      <c r="CD198" s="416">
        <f t="shared" si="1533"/>
        <v>0</v>
      </c>
      <c r="CE198" s="412">
        <f t="shared" si="1534"/>
        <v>0</v>
      </c>
      <c r="CF198" s="413">
        <f t="shared" si="1535"/>
        <v>0</v>
      </c>
      <c r="CG198" s="410">
        <f t="shared" si="1536"/>
        <v>0</v>
      </c>
      <c r="CH198" s="416">
        <f t="shared" si="1537"/>
        <v>0</v>
      </c>
      <c r="CI198" s="416">
        <f t="shared" si="1538"/>
        <v>0</v>
      </c>
      <c r="CJ198" s="412">
        <f t="shared" si="1539"/>
        <v>0</v>
      </c>
      <c r="CK198" s="413">
        <f t="shared" si="1540"/>
        <v>0</v>
      </c>
      <c r="CL198" s="410">
        <f t="shared" si="1541"/>
        <v>0</v>
      </c>
      <c r="CM198" s="416">
        <f t="shared" si="1542"/>
        <v>0</v>
      </c>
      <c r="CN198" s="416">
        <f t="shared" si="1543"/>
        <v>0</v>
      </c>
      <c r="CO198" s="412">
        <f t="shared" si="1544"/>
        <v>0</v>
      </c>
      <c r="CP198" s="413">
        <f t="shared" si="1545"/>
        <v>0</v>
      </c>
      <c r="CQ198" s="410">
        <f t="shared" si="1546"/>
        <v>0</v>
      </c>
      <c r="CR198" s="416">
        <f t="shared" si="1547"/>
        <v>0</v>
      </c>
      <c r="CS198" s="416">
        <f t="shared" si="1548"/>
        <v>0</v>
      </c>
      <c r="CT198" s="412">
        <f t="shared" si="1549"/>
        <v>0</v>
      </c>
      <c r="CU198" s="413">
        <f t="shared" si="1550"/>
        <v>0</v>
      </c>
      <c r="CV198" s="410">
        <f t="shared" si="1551"/>
        <v>0</v>
      </c>
      <c r="CW198" s="416">
        <f t="shared" si="1552"/>
        <v>0.44999999999999996</v>
      </c>
      <c r="CX198" s="416">
        <f t="shared" si="1553"/>
        <v>0.44999999999999996</v>
      </c>
      <c r="CY198" s="412">
        <f t="shared" si="1554"/>
        <v>0.44999999999999996</v>
      </c>
      <c r="CZ198" s="413">
        <f t="shared" si="1555"/>
        <v>1.3499999999999999</v>
      </c>
      <c r="DA198" s="410">
        <f t="shared" si="1556"/>
        <v>0.44999999999999996</v>
      </c>
      <c r="DB198" s="416">
        <f t="shared" si="1557"/>
        <v>0</v>
      </c>
      <c r="DC198" s="416">
        <f t="shared" si="1558"/>
        <v>0</v>
      </c>
      <c r="DD198" s="412">
        <f t="shared" si="1559"/>
        <v>0</v>
      </c>
      <c r="DE198" s="413">
        <f t="shared" si="1560"/>
        <v>0.44999999999999996</v>
      </c>
      <c r="DF198" s="410">
        <f t="shared" si="1561"/>
        <v>0</v>
      </c>
      <c r="DG198" s="416">
        <f t="shared" si="1562"/>
        <v>0</v>
      </c>
      <c r="DH198" s="416">
        <f t="shared" si="1563"/>
        <v>0</v>
      </c>
      <c r="DI198" s="412">
        <f t="shared" si="1564"/>
        <v>0</v>
      </c>
      <c r="DJ198" s="413">
        <f t="shared" si="1565"/>
        <v>0</v>
      </c>
      <c r="DK198" s="410">
        <f t="shared" si="1566"/>
        <v>0</v>
      </c>
      <c r="DL198" s="416">
        <f t="shared" si="1567"/>
        <v>0</v>
      </c>
      <c r="DM198" s="416">
        <f t="shared" si="1568"/>
        <v>0</v>
      </c>
      <c r="DN198" s="412">
        <f t="shared" si="1569"/>
        <v>0</v>
      </c>
      <c r="DO198" s="413">
        <f t="shared" si="1570"/>
        <v>0</v>
      </c>
      <c r="DP198" s="410">
        <f t="shared" si="1571"/>
        <v>0</v>
      </c>
      <c r="DQ198" s="416">
        <f t="shared" si="1572"/>
        <v>0</v>
      </c>
      <c r="DR198" s="416">
        <f t="shared" si="1573"/>
        <v>0</v>
      </c>
      <c r="DS198" s="412">
        <f t="shared" si="1574"/>
        <v>0</v>
      </c>
      <c r="DT198" s="413">
        <f t="shared" si="1575"/>
        <v>0</v>
      </c>
    </row>
    <row r="199" spans="1:124" ht="12.75" customHeight="1">
      <c r="A199" s="491"/>
      <c r="C199" s="559" t="s">
        <v>1321</v>
      </c>
      <c r="D199" s="1885"/>
      <c r="E199" s="1869">
        <v>25</v>
      </c>
      <c r="F199" s="1888"/>
      <c r="G199" s="1888"/>
      <c r="H199" s="610">
        <v>2017</v>
      </c>
      <c r="I199" s="828">
        <v>4.4999999999999998E-2</v>
      </c>
      <c r="J199" s="617">
        <v>1</v>
      </c>
      <c r="K199" s="402"/>
      <c r="L199" s="407">
        <f>IF(L$5=$H199,$E199,0)</f>
        <v>0</v>
      </c>
      <c r="M199" s="404">
        <f t="shared" si="1465"/>
        <v>0</v>
      </c>
      <c r="N199" s="414">
        <f t="shared" si="1466"/>
        <v>0</v>
      </c>
      <c r="O199" s="414">
        <f t="shared" si="1467"/>
        <v>0</v>
      </c>
      <c r="P199" s="406">
        <f t="shared" si="1468"/>
        <v>0</v>
      </c>
      <c r="Q199" s="407">
        <f>IF(Q$5=$H199,$E199,0)</f>
        <v>0</v>
      </c>
      <c r="R199" s="404">
        <f t="shared" si="1470"/>
        <v>0</v>
      </c>
      <c r="S199" s="414">
        <f t="shared" si="1471"/>
        <v>0</v>
      </c>
      <c r="T199" s="414">
        <f t="shared" si="1472"/>
        <v>0</v>
      </c>
      <c r="U199" s="406">
        <f t="shared" si="1473"/>
        <v>0</v>
      </c>
      <c r="V199" s="407">
        <f>IF(V$5=$H199,$E199,0)</f>
        <v>0</v>
      </c>
      <c r="W199" s="404">
        <f t="shared" si="1475"/>
        <v>0</v>
      </c>
      <c r="X199" s="414">
        <f t="shared" si="1476"/>
        <v>0</v>
      </c>
      <c r="Y199" s="414">
        <f t="shared" si="1477"/>
        <v>0</v>
      </c>
      <c r="Z199" s="406">
        <f t="shared" si="1478"/>
        <v>0</v>
      </c>
      <c r="AA199" s="407">
        <f>IF(AA$5=$H199,$E199,0)</f>
        <v>0</v>
      </c>
      <c r="AB199" s="404">
        <f t="shared" si="1480"/>
        <v>0</v>
      </c>
      <c r="AC199" s="414">
        <f t="shared" si="1481"/>
        <v>0</v>
      </c>
      <c r="AD199" s="414">
        <f t="shared" si="1482"/>
        <v>0</v>
      </c>
      <c r="AE199" s="406">
        <f t="shared" si="1483"/>
        <v>0</v>
      </c>
      <c r="AF199" s="407">
        <f>IF(AF$5=$H199,$E199,0)</f>
        <v>0</v>
      </c>
      <c r="AG199" s="404">
        <f t="shared" si="1485"/>
        <v>0</v>
      </c>
      <c r="AH199" s="414">
        <f t="shared" si="1486"/>
        <v>0</v>
      </c>
      <c r="AI199" s="414">
        <f t="shared" si="1487"/>
        <v>0</v>
      </c>
      <c r="AJ199" s="406">
        <f t="shared" si="1488"/>
        <v>0</v>
      </c>
      <c r="AK199" s="407">
        <f>IF(AK$5=$H199,$E199,0)</f>
        <v>0</v>
      </c>
      <c r="AL199" s="404">
        <f t="shared" si="1490"/>
        <v>0</v>
      </c>
      <c r="AM199" s="414">
        <f t="shared" si="1491"/>
        <v>0</v>
      </c>
      <c r="AN199" s="414">
        <f t="shared" si="1492"/>
        <v>0</v>
      </c>
      <c r="AO199" s="406">
        <f t="shared" si="1493"/>
        <v>0</v>
      </c>
      <c r="AP199" s="407">
        <f>IF(AP$5=$H199,$E199,0)</f>
        <v>0</v>
      </c>
      <c r="AQ199" s="404">
        <f t="shared" si="1495"/>
        <v>25</v>
      </c>
      <c r="AR199" s="414">
        <f t="shared" si="1496"/>
        <v>0</v>
      </c>
      <c r="AS199" s="414">
        <f t="shared" si="1497"/>
        <v>0</v>
      </c>
      <c r="AT199" s="406">
        <f t="shared" si="1498"/>
        <v>0</v>
      </c>
      <c r="AU199" s="407">
        <f>IF(AU$5=$H199,$E199,0)</f>
        <v>25</v>
      </c>
      <c r="AV199" s="404">
        <f t="shared" si="1500"/>
        <v>0</v>
      </c>
      <c r="AW199" s="414">
        <f t="shared" si="1501"/>
        <v>0</v>
      </c>
      <c r="AX199" s="414">
        <f t="shared" si="1502"/>
        <v>0</v>
      </c>
      <c r="AY199" s="406">
        <f t="shared" si="1503"/>
        <v>0</v>
      </c>
      <c r="AZ199" s="407">
        <f>IF(AZ$5=$H199,$E199,0)</f>
        <v>0</v>
      </c>
      <c r="BA199" s="404">
        <f t="shared" si="1505"/>
        <v>0</v>
      </c>
      <c r="BB199" s="414">
        <f t="shared" si="1506"/>
        <v>0</v>
      </c>
      <c r="BC199" s="414">
        <f t="shared" si="1507"/>
        <v>0</v>
      </c>
      <c r="BD199" s="406">
        <f t="shared" si="1508"/>
        <v>0</v>
      </c>
      <c r="BE199" s="407">
        <f>IF(BE$5=$H199,$E199,0)</f>
        <v>0</v>
      </c>
      <c r="BF199" s="404">
        <f t="shared" si="1510"/>
        <v>0</v>
      </c>
      <c r="BG199" s="414">
        <f t="shared" si="1511"/>
        <v>0</v>
      </c>
      <c r="BH199" s="414">
        <f t="shared" si="1512"/>
        <v>0</v>
      </c>
      <c r="BI199" s="406">
        <f t="shared" si="1513"/>
        <v>0</v>
      </c>
      <c r="BJ199" s="407">
        <f>IF(BJ$5=$H199,$E199,0)</f>
        <v>0</v>
      </c>
      <c r="BK199" s="404">
        <f t="shared" si="1515"/>
        <v>0</v>
      </c>
      <c r="BL199" s="414">
        <f t="shared" si="1516"/>
        <v>0</v>
      </c>
      <c r="BM199" s="414">
        <f t="shared" si="1517"/>
        <v>0</v>
      </c>
      <c r="BN199" s="406">
        <f t="shared" si="1518"/>
        <v>0</v>
      </c>
      <c r="BO199" s="407">
        <f>IF(BO$5=$H199,$E199,0)</f>
        <v>0</v>
      </c>
      <c r="BP199" s="447"/>
      <c r="BQ199" s="413">
        <f t="shared" si="1520"/>
        <v>0</v>
      </c>
      <c r="BR199" s="410">
        <f t="shared" si="1521"/>
        <v>0</v>
      </c>
      <c r="BS199" s="416">
        <f t="shared" si="1522"/>
        <v>0</v>
      </c>
      <c r="BT199" s="416">
        <f t="shared" si="1523"/>
        <v>0</v>
      </c>
      <c r="BU199" s="412">
        <f t="shared" si="1524"/>
        <v>0</v>
      </c>
      <c r="BV199" s="413">
        <f t="shared" si="1525"/>
        <v>0</v>
      </c>
      <c r="BW199" s="410">
        <f t="shared" si="1526"/>
        <v>0</v>
      </c>
      <c r="BX199" s="416">
        <f t="shared" si="1527"/>
        <v>0</v>
      </c>
      <c r="BY199" s="416">
        <f t="shared" si="1528"/>
        <v>0</v>
      </c>
      <c r="BZ199" s="412">
        <f t="shared" si="1529"/>
        <v>0</v>
      </c>
      <c r="CA199" s="413">
        <f t="shared" si="1530"/>
        <v>0</v>
      </c>
      <c r="CB199" s="410">
        <f t="shared" si="1531"/>
        <v>0</v>
      </c>
      <c r="CC199" s="416">
        <f t="shared" si="1532"/>
        <v>0</v>
      </c>
      <c r="CD199" s="416">
        <f t="shared" si="1533"/>
        <v>0</v>
      </c>
      <c r="CE199" s="412">
        <f t="shared" si="1534"/>
        <v>0</v>
      </c>
      <c r="CF199" s="413">
        <f t="shared" si="1535"/>
        <v>0</v>
      </c>
      <c r="CG199" s="410">
        <f t="shared" si="1536"/>
        <v>0</v>
      </c>
      <c r="CH199" s="416">
        <f t="shared" si="1537"/>
        <v>0</v>
      </c>
      <c r="CI199" s="416">
        <f t="shared" si="1538"/>
        <v>0</v>
      </c>
      <c r="CJ199" s="412">
        <f t="shared" si="1539"/>
        <v>0</v>
      </c>
      <c r="CK199" s="413">
        <f t="shared" si="1540"/>
        <v>0</v>
      </c>
      <c r="CL199" s="410">
        <f t="shared" si="1541"/>
        <v>0</v>
      </c>
      <c r="CM199" s="416">
        <f t="shared" si="1542"/>
        <v>0</v>
      </c>
      <c r="CN199" s="416">
        <f t="shared" si="1543"/>
        <v>0</v>
      </c>
      <c r="CO199" s="412">
        <f t="shared" si="1544"/>
        <v>0</v>
      </c>
      <c r="CP199" s="413">
        <f t="shared" si="1545"/>
        <v>0</v>
      </c>
      <c r="CQ199" s="410">
        <f t="shared" si="1546"/>
        <v>0</v>
      </c>
      <c r="CR199" s="416">
        <f t="shared" si="1547"/>
        <v>0</v>
      </c>
      <c r="CS199" s="416">
        <f t="shared" si="1548"/>
        <v>0</v>
      </c>
      <c r="CT199" s="412">
        <f t="shared" si="1549"/>
        <v>0</v>
      </c>
      <c r="CU199" s="413">
        <f t="shared" si="1550"/>
        <v>0</v>
      </c>
      <c r="CV199" s="410">
        <f t="shared" si="1551"/>
        <v>0.28125</v>
      </c>
      <c r="CW199" s="416">
        <f t="shared" si="1552"/>
        <v>0.28125</v>
      </c>
      <c r="CX199" s="416">
        <f t="shared" si="1553"/>
        <v>0.28125</v>
      </c>
      <c r="CY199" s="412">
        <f t="shared" si="1554"/>
        <v>0.28125</v>
      </c>
      <c r="CZ199" s="413">
        <f t="shared" si="1555"/>
        <v>1.125</v>
      </c>
      <c r="DA199" s="410">
        <f t="shared" si="1556"/>
        <v>0</v>
      </c>
      <c r="DB199" s="416">
        <f t="shared" si="1557"/>
        <v>0</v>
      </c>
      <c r="DC199" s="416">
        <f t="shared" si="1558"/>
        <v>0</v>
      </c>
      <c r="DD199" s="412">
        <f t="shared" si="1559"/>
        <v>0</v>
      </c>
      <c r="DE199" s="413">
        <f t="shared" si="1560"/>
        <v>0</v>
      </c>
      <c r="DF199" s="410">
        <f t="shared" si="1561"/>
        <v>0</v>
      </c>
      <c r="DG199" s="416">
        <f t="shared" si="1562"/>
        <v>0</v>
      </c>
      <c r="DH199" s="416">
        <f t="shared" si="1563"/>
        <v>0</v>
      </c>
      <c r="DI199" s="412">
        <f t="shared" si="1564"/>
        <v>0</v>
      </c>
      <c r="DJ199" s="413">
        <f t="shared" si="1565"/>
        <v>0</v>
      </c>
      <c r="DK199" s="410">
        <f t="shared" si="1566"/>
        <v>0</v>
      </c>
      <c r="DL199" s="416">
        <f t="shared" si="1567"/>
        <v>0</v>
      </c>
      <c r="DM199" s="416">
        <f t="shared" si="1568"/>
        <v>0</v>
      </c>
      <c r="DN199" s="412">
        <f t="shared" si="1569"/>
        <v>0</v>
      </c>
      <c r="DO199" s="413">
        <f t="shared" si="1570"/>
        <v>0</v>
      </c>
      <c r="DP199" s="410">
        <f t="shared" si="1571"/>
        <v>0</v>
      </c>
      <c r="DQ199" s="416">
        <f t="shared" si="1572"/>
        <v>0</v>
      </c>
      <c r="DR199" s="416">
        <f t="shared" si="1573"/>
        <v>0</v>
      </c>
      <c r="DS199" s="412">
        <f t="shared" si="1574"/>
        <v>0</v>
      </c>
      <c r="DT199" s="413">
        <f t="shared" si="1575"/>
        <v>0</v>
      </c>
    </row>
    <row r="200" spans="1:124" ht="12.75" customHeight="1">
      <c r="A200" s="491"/>
      <c r="C200" s="559" t="s">
        <v>1322</v>
      </c>
      <c r="D200" s="1885"/>
      <c r="E200" s="1869">
        <v>52</v>
      </c>
      <c r="F200" s="1888"/>
      <c r="G200" s="1888"/>
      <c r="H200" s="610">
        <v>2017</v>
      </c>
      <c r="I200" s="828">
        <v>4.4999999999999998E-2</v>
      </c>
      <c r="J200" s="617">
        <v>1</v>
      </c>
      <c r="K200" s="402"/>
      <c r="L200" s="407">
        <f>IF(L$5=$H200,$E200,0)</f>
        <v>0</v>
      </c>
      <c r="M200" s="404">
        <f t="shared" si="1465"/>
        <v>0</v>
      </c>
      <c r="N200" s="414">
        <f t="shared" si="1466"/>
        <v>0</v>
      </c>
      <c r="O200" s="414">
        <f t="shared" si="1467"/>
        <v>0</v>
      </c>
      <c r="P200" s="406">
        <f t="shared" si="1468"/>
        <v>0</v>
      </c>
      <c r="Q200" s="407">
        <f>IF(Q$5=$H200,$E200,0)</f>
        <v>0</v>
      </c>
      <c r="R200" s="404">
        <f t="shared" si="1470"/>
        <v>0</v>
      </c>
      <c r="S200" s="414">
        <f t="shared" si="1471"/>
        <v>0</v>
      </c>
      <c r="T200" s="414">
        <f t="shared" si="1472"/>
        <v>0</v>
      </c>
      <c r="U200" s="406">
        <f t="shared" si="1473"/>
        <v>0</v>
      </c>
      <c r="V200" s="407">
        <f>IF(V$5=$H200,$E200,0)</f>
        <v>0</v>
      </c>
      <c r="W200" s="404">
        <f t="shared" si="1475"/>
        <v>0</v>
      </c>
      <c r="X200" s="414">
        <f t="shared" si="1476"/>
        <v>0</v>
      </c>
      <c r="Y200" s="414">
        <f t="shared" si="1477"/>
        <v>0</v>
      </c>
      <c r="Z200" s="406">
        <f t="shared" si="1478"/>
        <v>0</v>
      </c>
      <c r="AA200" s="407">
        <f>IF(AA$5=$H200,$E200,0)</f>
        <v>0</v>
      </c>
      <c r="AB200" s="404">
        <f t="shared" si="1480"/>
        <v>0</v>
      </c>
      <c r="AC200" s="414">
        <f t="shared" si="1481"/>
        <v>0</v>
      </c>
      <c r="AD200" s="414">
        <f t="shared" si="1482"/>
        <v>0</v>
      </c>
      <c r="AE200" s="406">
        <f t="shared" si="1483"/>
        <v>0</v>
      </c>
      <c r="AF200" s="407">
        <f>IF(AF$5=$H200,$E200,0)</f>
        <v>0</v>
      </c>
      <c r="AG200" s="404">
        <f t="shared" si="1485"/>
        <v>0</v>
      </c>
      <c r="AH200" s="414">
        <f t="shared" si="1486"/>
        <v>0</v>
      </c>
      <c r="AI200" s="414">
        <f t="shared" si="1487"/>
        <v>0</v>
      </c>
      <c r="AJ200" s="406">
        <f t="shared" si="1488"/>
        <v>0</v>
      </c>
      <c r="AK200" s="407">
        <f>IF(AK$5=$H200,$E200,0)</f>
        <v>0</v>
      </c>
      <c r="AL200" s="404">
        <f t="shared" si="1490"/>
        <v>0</v>
      </c>
      <c r="AM200" s="414">
        <f t="shared" si="1491"/>
        <v>0</v>
      </c>
      <c r="AN200" s="414">
        <f t="shared" si="1492"/>
        <v>0</v>
      </c>
      <c r="AO200" s="406">
        <f t="shared" si="1493"/>
        <v>0</v>
      </c>
      <c r="AP200" s="407">
        <f>IF(AP$5=$H200,$E200,0)</f>
        <v>0</v>
      </c>
      <c r="AQ200" s="404">
        <f t="shared" si="1495"/>
        <v>52</v>
      </c>
      <c r="AR200" s="414">
        <f t="shared" si="1496"/>
        <v>0</v>
      </c>
      <c r="AS200" s="414">
        <f t="shared" si="1497"/>
        <v>0</v>
      </c>
      <c r="AT200" s="406">
        <f t="shared" si="1498"/>
        <v>0</v>
      </c>
      <c r="AU200" s="407">
        <f>IF(AU$5=$H200,$E200,0)</f>
        <v>52</v>
      </c>
      <c r="AV200" s="404">
        <f t="shared" si="1500"/>
        <v>0</v>
      </c>
      <c r="AW200" s="414">
        <f t="shared" si="1501"/>
        <v>0</v>
      </c>
      <c r="AX200" s="414">
        <f t="shared" si="1502"/>
        <v>0</v>
      </c>
      <c r="AY200" s="406">
        <f t="shared" si="1503"/>
        <v>0</v>
      </c>
      <c r="AZ200" s="407">
        <f>IF(AZ$5=$H200,$E200,0)</f>
        <v>0</v>
      </c>
      <c r="BA200" s="404">
        <f t="shared" si="1505"/>
        <v>0</v>
      </c>
      <c r="BB200" s="414">
        <f t="shared" si="1506"/>
        <v>0</v>
      </c>
      <c r="BC200" s="414">
        <f t="shared" si="1507"/>
        <v>0</v>
      </c>
      <c r="BD200" s="406">
        <f t="shared" si="1508"/>
        <v>0</v>
      </c>
      <c r="BE200" s="407">
        <f>IF(BE$5=$H200,$E200,0)</f>
        <v>0</v>
      </c>
      <c r="BF200" s="404">
        <f t="shared" si="1510"/>
        <v>0</v>
      </c>
      <c r="BG200" s="414">
        <f t="shared" si="1511"/>
        <v>0</v>
      </c>
      <c r="BH200" s="414">
        <f t="shared" si="1512"/>
        <v>0</v>
      </c>
      <c r="BI200" s="406">
        <f t="shared" si="1513"/>
        <v>0</v>
      </c>
      <c r="BJ200" s="407">
        <f>IF(BJ$5=$H200,$E200,0)</f>
        <v>0</v>
      </c>
      <c r="BK200" s="404">
        <f t="shared" si="1515"/>
        <v>0</v>
      </c>
      <c r="BL200" s="414">
        <f t="shared" si="1516"/>
        <v>0</v>
      </c>
      <c r="BM200" s="414">
        <f t="shared" si="1517"/>
        <v>0</v>
      </c>
      <c r="BN200" s="406">
        <f t="shared" si="1518"/>
        <v>0</v>
      </c>
      <c r="BO200" s="407">
        <f>IF(BO$5=$H200,$E200,0)</f>
        <v>0</v>
      </c>
      <c r="BP200" s="447"/>
      <c r="BQ200" s="413">
        <f t="shared" si="1520"/>
        <v>0</v>
      </c>
      <c r="BR200" s="410">
        <f t="shared" si="1521"/>
        <v>0</v>
      </c>
      <c r="BS200" s="416">
        <f t="shared" si="1522"/>
        <v>0</v>
      </c>
      <c r="BT200" s="416">
        <f t="shared" si="1523"/>
        <v>0</v>
      </c>
      <c r="BU200" s="412">
        <f t="shared" si="1524"/>
        <v>0</v>
      </c>
      <c r="BV200" s="413">
        <f t="shared" si="1525"/>
        <v>0</v>
      </c>
      <c r="BW200" s="410">
        <f t="shared" si="1526"/>
        <v>0</v>
      </c>
      <c r="BX200" s="416">
        <f t="shared" si="1527"/>
        <v>0</v>
      </c>
      <c r="BY200" s="416">
        <f t="shared" si="1528"/>
        <v>0</v>
      </c>
      <c r="BZ200" s="412">
        <f t="shared" si="1529"/>
        <v>0</v>
      </c>
      <c r="CA200" s="413">
        <f t="shared" si="1530"/>
        <v>0</v>
      </c>
      <c r="CB200" s="410">
        <f t="shared" si="1531"/>
        <v>0</v>
      </c>
      <c r="CC200" s="416">
        <f t="shared" si="1532"/>
        <v>0</v>
      </c>
      <c r="CD200" s="416">
        <f t="shared" si="1533"/>
        <v>0</v>
      </c>
      <c r="CE200" s="412">
        <f t="shared" si="1534"/>
        <v>0</v>
      </c>
      <c r="CF200" s="413">
        <f t="shared" si="1535"/>
        <v>0</v>
      </c>
      <c r="CG200" s="410">
        <f t="shared" si="1536"/>
        <v>0</v>
      </c>
      <c r="CH200" s="416">
        <f t="shared" si="1537"/>
        <v>0</v>
      </c>
      <c r="CI200" s="416">
        <f t="shared" si="1538"/>
        <v>0</v>
      </c>
      <c r="CJ200" s="412">
        <f t="shared" si="1539"/>
        <v>0</v>
      </c>
      <c r="CK200" s="413">
        <f t="shared" si="1540"/>
        <v>0</v>
      </c>
      <c r="CL200" s="410">
        <f t="shared" si="1541"/>
        <v>0</v>
      </c>
      <c r="CM200" s="416">
        <f t="shared" si="1542"/>
        <v>0</v>
      </c>
      <c r="CN200" s="416">
        <f t="shared" si="1543"/>
        <v>0</v>
      </c>
      <c r="CO200" s="412">
        <f t="shared" si="1544"/>
        <v>0</v>
      </c>
      <c r="CP200" s="413">
        <f t="shared" si="1545"/>
        <v>0</v>
      </c>
      <c r="CQ200" s="410">
        <f t="shared" si="1546"/>
        <v>0</v>
      </c>
      <c r="CR200" s="416">
        <f t="shared" si="1547"/>
        <v>0</v>
      </c>
      <c r="CS200" s="416">
        <f t="shared" si="1548"/>
        <v>0</v>
      </c>
      <c r="CT200" s="412">
        <f t="shared" si="1549"/>
        <v>0</v>
      </c>
      <c r="CU200" s="413">
        <f t="shared" si="1550"/>
        <v>0</v>
      </c>
      <c r="CV200" s="410">
        <f t="shared" si="1551"/>
        <v>0.58499999999999996</v>
      </c>
      <c r="CW200" s="416">
        <f t="shared" si="1552"/>
        <v>0.58499999999999996</v>
      </c>
      <c r="CX200" s="416">
        <f t="shared" si="1553"/>
        <v>0.58499999999999996</v>
      </c>
      <c r="CY200" s="412">
        <f t="shared" si="1554"/>
        <v>0.58499999999999996</v>
      </c>
      <c r="CZ200" s="413">
        <f t="shared" si="1555"/>
        <v>2.34</v>
      </c>
      <c r="DA200" s="410">
        <f t="shared" si="1556"/>
        <v>0</v>
      </c>
      <c r="DB200" s="416">
        <f t="shared" si="1557"/>
        <v>0</v>
      </c>
      <c r="DC200" s="416">
        <f t="shared" si="1558"/>
        <v>0</v>
      </c>
      <c r="DD200" s="412">
        <f t="shared" si="1559"/>
        <v>0</v>
      </c>
      <c r="DE200" s="413">
        <f t="shared" si="1560"/>
        <v>0</v>
      </c>
      <c r="DF200" s="410">
        <f t="shared" si="1561"/>
        <v>0</v>
      </c>
      <c r="DG200" s="416">
        <f t="shared" si="1562"/>
        <v>0</v>
      </c>
      <c r="DH200" s="416">
        <f t="shared" si="1563"/>
        <v>0</v>
      </c>
      <c r="DI200" s="412">
        <f t="shared" si="1564"/>
        <v>0</v>
      </c>
      <c r="DJ200" s="413">
        <f t="shared" si="1565"/>
        <v>0</v>
      </c>
      <c r="DK200" s="410">
        <f t="shared" si="1566"/>
        <v>0</v>
      </c>
      <c r="DL200" s="416">
        <f t="shared" si="1567"/>
        <v>0</v>
      </c>
      <c r="DM200" s="416">
        <f t="shared" si="1568"/>
        <v>0</v>
      </c>
      <c r="DN200" s="412">
        <f t="shared" si="1569"/>
        <v>0</v>
      </c>
      <c r="DO200" s="413">
        <f t="shared" si="1570"/>
        <v>0</v>
      </c>
      <c r="DP200" s="410">
        <f t="shared" si="1571"/>
        <v>0</v>
      </c>
      <c r="DQ200" s="416">
        <f t="shared" si="1572"/>
        <v>0</v>
      </c>
      <c r="DR200" s="416">
        <f t="shared" si="1573"/>
        <v>0</v>
      </c>
      <c r="DS200" s="412">
        <f t="shared" si="1574"/>
        <v>0</v>
      </c>
      <c r="DT200" s="413">
        <f t="shared" si="1575"/>
        <v>0</v>
      </c>
    </row>
    <row r="201" spans="1:124" ht="12.75" customHeight="1">
      <c r="A201" s="491"/>
      <c r="C201" s="1885" t="s">
        <v>1326</v>
      </c>
      <c r="D201" s="601"/>
      <c r="E201" s="1869">
        <v>300</v>
      </c>
      <c r="F201" s="1532"/>
      <c r="G201" s="1532"/>
      <c r="H201" s="610">
        <v>2017</v>
      </c>
      <c r="I201" s="830">
        <v>3.7499999999999999E-2</v>
      </c>
      <c r="J201" s="617">
        <v>4</v>
      </c>
      <c r="K201" s="402"/>
      <c r="L201" s="407">
        <f t="shared" si="1464"/>
        <v>0</v>
      </c>
      <c r="M201" s="404">
        <f t="shared" si="1465"/>
        <v>0</v>
      </c>
      <c r="N201" s="414">
        <f t="shared" si="1466"/>
        <v>0</v>
      </c>
      <c r="O201" s="414">
        <f t="shared" si="1467"/>
        <v>0</v>
      </c>
      <c r="P201" s="406">
        <f t="shared" si="1468"/>
        <v>0</v>
      </c>
      <c r="Q201" s="407">
        <f t="shared" si="1469"/>
        <v>0</v>
      </c>
      <c r="R201" s="404">
        <f t="shared" si="1470"/>
        <v>0</v>
      </c>
      <c r="S201" s="414">
        <f t="shared" si="1471"/>
        <v>0</v>
      </c>
      <c r="T201" s="414">
        <f t="shared" si="1472"/>
        <v>0</v>
      </c>
      <c r="U201" s="406">
        <f t="shared" si="1473"/>
        <v>0</v>
      </c>
      <c r="V201" s="407">
        <f t="shared" si="1474"/>
        <v>0</v>
      </c>
      <c r="W201" s="404">
        <f t="shared" si="1475"/>
        <v>0</v>
      </c>
      <c r="X201" s="414">
        <f t="shared" si="1476"/>
        <v>0</v>
      </c>
      <c r="Y201" s="414">
        <f t="shared" si="1477"/>
        <v>0</v>
      </c>
      <c r="Z201" s="406">
        <f t="shared" si="1478"/>
        <v>0</v>
      </c>
      <c r="AA201" s="407">
        <f t="shared" si="1479"/>
        <v>0</v>
      </c>
      <c r="AB201" s="404">
        <f t="shared" si="1480"/>
        <v>0</v>
      </c>
      <c r="AC201" s="414">
        <f t="shared" si="1481"/>
        <v>0</v>
      </c>
      <c r="AD201" s="414">
        <f t="shared" si="1482"/>
        <v>0</v>
      </c>
      <c r="AE201" s="406">
        <f t="shared" si="1483"/>
        <v>0</v>
      </c>
      <c r="AF201" s="407">
        <f t="shared" si="1484"/>
        <v>0</v>
      </c>
      <c r="AG201" s="404">
        <f t="shared" si="1485"/>
        <v>0</v>
      </c>
      <c r="AH201" s="414">
        <f t="shared" si="1486"/>
        <v>0</v>
      </c>
      <c r="AI201" s="414">
        <f t="shared" si="1487"/>
        <v>0</v>
      </c>
      <c r="AJ201" s="406">
        <f t="shared" si="1488"/>
        <v>0</v>
      </c>
      <c r="AK201" s="407">
        <f t="shared" si="1489"/>
        <v>0</v>
      </c>
      <c r="AL201" s="404">
        <f t="shared" si="1490"/>
        <v>0</v>
      </c>
      <c r="AM201" s="414">
        <f t="shared" si="1491"/>
        <v>0</v>
      </c>
      <c r="AN201" s="414">
        <f t="shared" si="1492"/>
        <v>0</v>
      </c>
      <c r="AO201" s="406">
        <f t="shared" si="1493"/>
        <v>0</v>
      </c>
      <c r="AP201" s="407">
        <f t="shared" si="1494"/>
        <v>0</v>
      </c>
      <c r="AQ201" s="404">
        <f t="shared" si="1495"/>
        <v>0</v>
      </c>
      <c r="AR201" s="414">
        <f t="shared" si="1496"/>
        <v>300</v>
      </c>
      <c r="AS201" s="414">
        <f t="shared" si="1497"/>
        <v>0</v>
      </c>
      <c r="AT201" s="406">
        <f t="shared" si="1498"/>
        <v>0</v>
      </c>
      <c r="AU201" s="407">
        <f t="shared" si="1499"/>
        <v>300</v>
      </c>
      <c r="AV201" s="404">
        <f t="shared" si="1500"/>
        <v>0</v>
      </c>
      <c r="AW201" s="414">
        <f t="shared" si="1501"/>
        <v>0</v>
      </c>
      <c r="AX201" s="414">
        <f t="shared" si="1502"/>
        <v>0</v>
      </c>
      <c r="AY201" s="406">
        <f t="shared" si="1503"/>
        <v>0</v>
      </c>
      <c r="AZ201" s="407">
        <f t="shared" si="1504"/>
        <v>0</v>
      </c>
      <c r="BA201" s="404">
        <f t="shared" si="1505"/>
        <v>0</v>
      </c>
      <c r="BB201" s="414">
        <f t="shared" si="1506"/>
        <v>0</v>
      </c>
      <c r="BC201" s="414">
        <f t="shared" si="1507"/>
        <v>0</v>
      </c>
      <c r="BD201" s="406">
        <f t="shared" si="1508"/>
        <v>0</v>
      </c>
      <c r="BE201" s="407">
        <f t="shared" si="1509"/>
        <v>0</v>
      </c>
      <c r="BF201" s="404">
        <f t="shared" si="1510"/>
        <v>0</v>
      </c>
      <c r="BG201" s="414">
        <f t="shared" si="1511"/>
        <v>0</v>
      </c>
      <c r="BH201" s="414">
        <f t="shared" si="1512"/>
        <v>0</v>
      </c>
      <c r="BI201" s="406">
        <f t="shared" si="1513"/>
        <v>0</v>
      </c>
      <c r="BJ201" s="407">
        <f t="shared" si="1514"/>
        <v>0</v>
      </c>
      <c r="BK201" s="404">
        <f t="shared" si="1515"/>
        <v>0</v>
      </c>
      <c r="BL201" s="414">
        <f t="shared" si="1516"/>
        <v>0</v>
      </c>
      <c r="BM201" s="414">
        <f t="shared" si="1517"/>
        <v>0</v>
      </c>
      <c r="BN201" s="406">
        <f t="shared" si="1518"/>
        <v>0</v>
      </c>
      <c r="BO201" s="407">
        <f t="shared" si="1519"/>
        <v>0</v>
      </c>
      <c r="BP201" s="447"/>
      <c r="BQ201" s="413">
        <f t="shared" si="1520"/>
        <v>0</v>
      </c>
      <c r="BR201" s="410">
        <f t="shared" si="1521"/>
        <v>0</v>
      </c>
      <c r="BS201" s="416">
        <f t="shared" si="1522"/>
        <v>0</v>
      </c>
      <c r="BT201" s="416">
        <f t="shared" si="1523"/>
        <v>0</v>
      </c>
      <c r="BU201" s="412">
        <f t="shared" si="1524"/>
        <v>0</v>
      </c>
      <c r="BV201" s="413">
        <f t="shared" si="1525"/>
        <v>0</v>
      </c>
      <c r="BW201" s="410">
        <f t="shared" si="1526"/>
        <v>0</v>
      </c>
      <c r="BX201" s="416">
        <f t="shared" si="1527"/>
        <v>0</v>
      </c>
      <c r="BY201" s="416">
        <f t="shared" si="1528"/>
        <v>0</v>
      </c>
      <c r="BZ201" s="412">
        <f t="shared" si="1529"/>
        <v>0</v>
      </c>
      <c r="CA201" s="413">
        <f t="shared" si="1530"/>
        <v>0</v>
      </c>
      <c r="CB201" s="410">
        <f t="shared" si="1531"/>
        <v>0</v>
      </c>
      <c r="CC201" s="416">
        <f t="shared" si="1532"/>
        <v>0</v>
      </c>
      <c r="CD201" s="416">
        <f t="shared" si="1533"/>
        <v>0</v>
      </c>
      <c r="CE201" s="412">
        <f t="shared" si="1534"/>
        <v>0</v>
      </c>
      <c r="CF201" s="413">
        <f t="shared" si="1535"/>
        <v>0</v>
      </c>
      <c r="CG201" s="410">
        <f t="shared" si="1536"/>
        <v>0</v>
      </c>
      <c r="CH201" s="416">
        <f t="shared" si="1537"/>
        <v>0</v>
      </c>
      <c r="CI201" s="416">
        <f t="shared" si="1538"/>
        <v>0</v>
      </c>
      <c r="CJ201" s="412">
        <f t="shared" si="1539"/>
        <v>0</v>
      </c>
      <c r="CK201" s="413">
        <f t="shared" si="1540"/>
        <v>0</v>
      </c>
      <c r="CL201" s="410">
        <f t="shared" si="1541"/>
        <v>0</v>
      </c>
      <c r="CM201" s="416">
        <f t="shared" si="1542"/>
        <v>0</v>
      </c>
      <c r="CN201" s="416">
        <f t="shared" si="1543"/>
        <v>0</v>
      </c>
      <c r="CO201" s="412">
        <f t="shared" si="1544"/>
        <v>0</v>
      </c>
      <c r="CP201" s="413">
        <f t="shared" si="1545"/>
        <v>0</v>
      </c>
      <c r="CQ201" s="410">
        <f t="shared" si="1546"/>
        <v>0</v>
      </c>
      <c r="CR201" s="416">
        <f t="shared" si="1547"/>
        <v>0</v>
      </c>
      <c r="CS201" s="416">
        <f t="shared" si="1548"/>
        <v>0</v>
      </c>
      <c r="CT201" s="412">
        <f t="shared" si="1549"/>
        <v>0</v>
      </c>
      <c r="CU201" s="413">
        <f t="shared" si="1550"/>
        <v>0</v>
      </c>
      <c r="CV201" s="410">
        <f t="shared" si="1551"/>
        <v>0</v>
      </c>
      <c r="CW201" s="416">
        <f t="shared" si="1552"/>
        <v>2.8125</v>
      </c>
      <c r="CX201" s="416">
        <f t="shared" si="1553"/>
        <v>2.8125</v>
      </c>
      <c r="CY201" s="412">
        <f t="shared" si="1554"/>
        <v>2.8125</v>
      </c>
      <c r="CZ201" s="413">
        <f t="shared" si="1555"/>
        <v>8.4375</v>
      </c>
      <c r="DA201" s="410">
        <f t="shared" si="1556"/>
        <v>2.8125</v>
      </c>
      <c r="DB201" s="416">
        <f t="shared" si="1557"/>
        <v>0</v>
      </c>
      <c r="DC201" s="416">
        <f t="shared" si="1558"/>
        <v>0</v>
      </c>
      <c r="DD201" s="412">
        <f t="shared" si="1559"/>
        <v>0</v>
      </c>
      <c r="DE201" s="413">
        <f t="shared" si="1560"/>
        <v>2.8125</v>
      </c>
      <c r="DF201" s="410">
        <f t="shared" si="1561"/>
        <v>0</v>
      </c>
      <c r="DG201" s="416">
        <f t="shared" si="1562"/>
        <v>0</v>
      </c>
      <c r="DH201" s="416">
        <f t="shared" si="1563"/>
        <v>0</v>
      </c>
      <c r="DI201" s="412">
        <f t="shared" si="1564"/>
        <v>0</v>
      </c>
      <c r="DJ201" s="413">
        <f t="shared" si="1565"/>
        <v>0</v>
      </c>
      <c r="DK201" s="410">
        <f t="shared" si="1566"/>
        <v>0</v>
      </c>
      <c r="DL201" s="416">
        <f t="shared" si="1567"/>
        <v>0</v>
      </c>
      <c r="DM201" s="416">
        <f t="shared" si="1568"/>
        <v>0</v>
      </c>
      <c r="DN201" s="412">
        <f t="shared" si="1569"/>
        <v>0</v>
      </c>
      <c r="DO201" s="413">
        <f t="shared" si="1570"/>
        <v>0</v>
      </c>
      <c r="DP201" s="410">
        <f t="shared" si="1571"/>
        <v>0</v>
      </c>
      <c r="DQ201" s="416">
        <f t="shared" si="1572"/>
        <v>0</v>
      </c>
      <c r="DR201" s="416">
        <f t="shared" si="1573"/>
        <v>0</v>
      </c>
      <c r="DS201" s="412">
        <f t="shared" si="1574"/>
        <v>0</v>
      </c>
      <c r="DT201" s="413">
        <f t="shared" si="1575"/>
        <v>0</v>
      </c>
    </row>
    <row r="202" spans="1:124" ht="12.75" customHeight="1">
      <c r="A202" s="491"/>
      <c r="C202" s="1885" t="s">
        <v>1327</v>
      </c>
      <c r="D202" s="601"/>
      <c r="E202" s="1869">
        <v>115</v>
      </c>
      <c r="F202" s="1532"/>
      <c r="G202" s="1532"/>
      <c r="H202" s="610">
        <v>2017</v>
      </c>
      <c r="I202" s="828">
        <v>4.4999999999999998E-2</v>
      </c>
      <c r="J202" s="617">
        <v>4</v>
      </c>
      <c r="K202" s="402"/>
      <c r="L202" s="407">
        <f t="shared" si="1464"/>
        <v>0</v>
      </c>
      <c r="M202" s="404">
        <f t="shared" si="1465"/>
        <v>0</v>
      </c>
      <c r="N202" s="414">
        <f t="shared" si="1466"/>
        <v>0</v>
      </c>
      <c r="O202" s="414">
        <f t="shared" si="1467"/>
        <v>0</v>
      </c>
      <c r="P202" s="406">
        <f t="shared" si="1468"/>
        <v>0</v>
      </c>
      <c r="Q202" s="407">
        <f t="shared" si="1469"/>
        <v>0</v>
      </c>
      <c r="R202" s="404">
        <f t="shared" si="1470"/>
        <v>0</v>
      </c>
      <c r="S202" s="414">
        <f t="shared" si="1471"/>
        <v>0</v>
      </c>
      <c r="T202" s="414">
        <f t="shared" si="1472"/>
        <v>0</v>
      </c>
      <c r="U202" s="406">
        <f t="shared" si="1473"/>
        <v>0</v>
      </c>
      <c r="V202" s="407">
        <f t="shared" si="1474"/>
        <v>0</v>
      </c>
      <c r="W202" s="404">
        <f t="shared" si="1475"/>
        <v>0</v>
      </c>
      <c r="X202" s="414">
        <f t="shared" si="1476"/>
        <v>0</v>
      </c>
      <c r="Y202" s="414">
        <f t="shared" si="1477"/>
        <v>0</v>
      </c>
      <c r="Z202" s="406">
        <f t="shared" si="1478"/>
        <v>0</v>
      </c>
      <c r="AA202" s="407">
        <f t="shared" si="1479"/>
        <v>0</v>
      </c>
      <c r="AB202" s="404">
        <f t="shared" si="1480"/>
        <v>0</v>
      </c>
      <c r="AC202" s="414">
        <f t="shared" si="1481"/>
        <v>0</v>
      </c>
      <c r="AD202" s="414">
        <f t="shared" si="1482"/>
        <v>0</v>
      </c>
      <c r="AE202" s="406">
        <f t="shared" si="1483"/>
        <v>0</v>
      </c>
      <c r="AF202" s="407">
        <f t="shared" si="1484"/>
        <v>0</v>
      </c>
      <c r="AG202" s="404">
        <f t="shared" si="1485"/>
        <v>0</v>
      </c>
      <c r="AH202" s="414">
        <f t="shared" si="1486"/>
        <v>0</v>
      </c>
      <c r="AI202" s="414">
        <f t="shared" si="1487"/>
        <v>0</v>
      </c>
      <c r="AJ202" s="406">
        <f t="shared" si="1488"/>
        <v>0</v>
      </c>
      <c r="AK202" s="407">
        <f t="shared" si="1489"/>
        <v>0</v>
      </c>
      <c r="AL202" s="404">
        <f t="shared" si="1490"/>
        <v>0</v>
      </c>
      <c r="AM202" s="414">
        <f t="shared" si="1491"/>
        <v>0</v>
      </c>
      <c r="AN202" s="414">
        <f t="shared" si="1492"/>
        <v>0</v>
      </c>
      <c r="AO202" s="406">
        <f t="shared" si="1493"/>
        <v>0</v>
      </c>
      <c r="AP202" s="407">
        <f t="shared" si="1494"/>
        <v>0</v>
      </c>
      <c r="AQ202" s="404">
        <f t="shared" si="1495"/>
        <v>0</v>
      </c>
      <c r="AR202" s="414">
        <f t="shared" si="1496"/>
        <v>115</v>
      </c>
      <c r="AS202" s="414">
        <f t="shared" si="1497"/>
        <v>0</v>
      </c>
      <c r="AT202" s="406">
        <f t="shared" si="1498"/>
        <v>0</v>
      </c>
      <c r="AU202" s="407">
        <f t="shared" si="1499"/>
        <v>115</v>
      </c>
      <c r="AV202" s="404">
        <f t="shared" si="1500"/>
        <v>0</v>
      </c>
      <c r="AW202" s="414">
        <f t="shared" si="1501"/>
        <v>0</v>
      </c>
      <c r="AX202" s="414">
        <f t="shared" si="1502"/>
        <v>0</v>
      </c>
      <c r="AY202" s="406">
        <f t="shared" si="1503"/>
        <v>0</v>
      </c>
      <c r="AZ202" s="407">
        <f t="shared" si="1504"/>
        <v>0</v>
      </c>
      <c r="BA202" s="404">
        <f t="shared" si="1505"/>
        <v>0</v>
      </c>
      <c r="BB202" s="414">
        <f t="shared" si="1506"/>
        <v>0</v>
      </c>
      <c r="BC202" s="414">
        <f t="shared" si="1507"/>
        <v>0</v>
      </c>
      <c r="BD202" s="406">
        <f t="shared" si="1508"/>
        <v>0</v>
      </c>
      <c r="BE202" s="407">
        <f t="shared" si="1509"/>
        <v>0</v>
      </c>
      <c r="BF202" s="404">
        <f t="shared" si="1510"/>
        <v>0</v>
      </c>
      <c r="BG202" s="414">
        <f t="shared" si="1511"/>
        <v>0</v>
      </c>
      <c r="BH202" s="414">
        <f t="shared" si="1512"/>
        <v>0</v>
      </c>
      <c r="BI202" s="406">
        <f t="shared" si="1513"/>
        <v>0</v>
      </c>
      <c r="BJ202" s="407">
        <f t="shared" si="1514"/>
        <v>0</v>
      </c>
      <c r="BK202" s="404">
        <f t="shared" si="1515"/>
        <v>0</v>
      </c>
      <c r="BL202" s="414">
        <f t="shared" si="1516"/>
        <v>0</v>
      </c>
      <c r="BM202" s="414">
        <f t="shared" si="1517"/>
        <v>0</v>
      </c>
      <c r="BN202" s="406">
        <f t="shared" si="1518"/>
        <v>0</v>
      </c>
      <c r="BO202" s="407">
        <f t="shared" si="1519"/>
        <v>0</v>
      </c>
      <c r="BP202" s="447"/>
      <c r="BQ202" s="413">
        <f t="shared" si="1520"/>
        <v>0</v>
      </c>
      <c r="BR202" s="410">
        <f t="shared" si="1521"/>
        <v>0</v>
      </c>
      <c r="BS202" s="416">
        <f t="shared" si="1522"/>
        <v>0</v>
      </c>
      <c r="BT202" s="416">
        <f t="shared" si="1523"/>
        <v>0</v>
      </c>
      <c r="BU202" s="412">
        <f t="shared" si="1524"/>
        <v>0</v>
      </c>
      <c r="BV202" s="413">
        <f t="shared" si="1525"/>
        <v>0</v>
      </c>
      <c r="BW202" s="410">
        <f t="shared" si="1526"/>
        <v>0</v>
      </c>
      <c r="BX202" s="416">
        <f t="shared" si="1527"/>
        <v>0</v>
      </c>
      <c r="BY202" s="416">
        <f t="shared" si="1528"/>
        <v>0</v>
      </c>
      <c r="BZ202" s="412">
        <f t="shared" si="1529"/>
        <v>0</v>
      </c>
      <c r="CA202" s="413">
        <f t="shared" si="1530"/>
        <v>0</v>
      </c>
      <c r="CB202" s="410">
        <f t="shared" si="1531"/>
        <v>0</v>
      </c>
      <c r="CC202" s="416">
        <f t="shared" si="1532"/>
        <v>0</v>
      </c>
      <c r="CD202" s="416">
        <f t="shared" si="1533"/>
        <v>0</v>
      </c>
      <c r="CE202" s="412">
        <f t="shared" si="1534"/>
        <v>0</v>
      </c>
      <c r="CF202" s="413">
        <f t="shared" si="1535"/>
        <v>0</v>
      </c>
      <c r="CG202" s="410">
        <f t="shared" si="1536"/>
        <v>0</v>
      </c>
      <c r="CH202" s="416">
        <f t="shared" si="1537"/>
        <v>0</v>
      </c>
      <c r="CI202" s="416">
        <f t="shared" si="1538"/>
        <v>0</v>
      </c>
      <c r="CJ202" s="412">
        <f t="shared" si="1539"/>
        <v>0</v>
      </c>
      <c r="CK202" s="413">
        <f t="shared" si="1540"/>
        <v>0</v>
      </c>
      <c r="CL202" s="410">
        <f t="shared" si="1541"/>
        <v>0</v>
      </c>
      <c r="CM202" s="416">
        <f t="shared" si="1542"/>
        <v>0</v>
      </c>
      <c r="CN202" s="416">
        <f t="shared" si="1543"/>
        <v>0</v>
      </c>
      <c r="CO202" s="412">
        <f t="shared" si="1544"/>
        <v>0</v>
      </c>
      <c r="CP202" s="413">
        <f t="shared" si="1545"/>
        <v>0</v>
      </c>
      <c r="CQ202" s="410">
        <f t="shared" si="1546"/>
        <v>0</v>
      </c>
      <c r="CR202" s="416">
        <f t="shared" si="1547"/>
        <v>0</v>
      </c>
      <c r="CS202" s="416">
        <f t="shared" si="1548"/>
        <v>0</v>
      </c>
      <c r="CT202" s="412">
        <f t="shared" si="1549"/>
        <v>0</v>
      </c>
      <c r="CU202" s="413">
        <f t="shared" si="1550"/>
        <v>0</v>
      </c>
      <c r="CV202" s="410">
        <f t="shared" si="1551"/>
        <v>0</v>
      </c>
      <c r="CW202" s="416">
        <f t="shared" si="1552"/>
        <v>1.29375</v>
      </c>
      <c r="CX202" s="416">
        <f t="shared" si="1553"/>
        <v>1.29375</v>
      </c>
      <c r="CY202" s="412">
        <f t="shared" si="1554"/>
        <v>1.29375</v>
      </c>
      <c r="CZ202" s="413">
        <f t="shared" si="1555"/>
        <v>3.8812499999999996</v>
      </c>
      <c r="DA202" s="410">
        <f t="shared" si="1556"/>
        <v>1.29375</v>
      </c>
      <c r="DB202" s="416">
        <f t="shared" si="1557"/>
        <v>0</v>
      </c>
      <c r="DC202" s="416">
        <f t="shared" si="1558"/>
        <v>0</v>
      </c>
      <c r="DD202" s="412">
        <f t="shared" si="1559"/>
        <v>0</v>
      </c>
      <c r="DE202" s="413">
        <f t="shared" si="1560"/>
        <v>1.2937500000000002</v>
      </c>
      <c r="DF202" s="410">
        <f t="shared" si="1561"/>
        <v>0</v>
      </c>
      <c r="DG202" s="416">
        <f t="shared" si="1562"/>
        <v>0</v>
      </c>
      <c r="DH202" s="416">
        <f t="shared" si="1563"/>
        <v>0</v>
      </c>
      <c r="DI202" s="412">
        <f t="shared" si="1564"/>
        <v>0</v>
      </c>
      <c r="DJ202" s="413">
        <f t="shared" si="1565"/>
        <v>0</v>
      </c>
      <c r="DK202" s="410">
        <f t="shared" si="1566"/>
        <v>0</v>
      </c>
      <c r="DL202" s="416">
        <f t="shared" si="1567"/>
        <v>0</v>
      </c>
      <c r="DM202" s="416">
        <f t="shared" si="1568"/>
        <v>0</v>
      </c>
      <c r="DN202" s="412">
        <f t="shared" si="1569"/>
        <v>0</v>
      </c>
      <c r="DO202" s="413">
        <f t="shared" si="1570"/>
        <v>0</v>
      </c>
      <c r="DP202" s="410">
        <f t="shared" si="1571"/>
        <v>0</v>
      </c>
      <c r="DQ202" s="416">
        <f t="shared" si="1572"/>
        <v>0</v>
      </c>
      <c r="DR202" s="416">
        <f t="shared" si="1573"/>
        <v>0</v>
      </c>
      <c r="DS202" s="412">
        <f t="shared" si="1574"/>
        <v>0</v>
      </c>
      <c r="DT202" s="413">
        <f t="shared" si="1575"/>
        <v>0</v>
      </c>
    </row>
    <row r="203" spans="1:124" ht="12.75" customHeight="1">
      <c r="A203" s="491"/>
      <c r="C203" s="559" t="s">
        <v>1328</v>
      </c>
      <c r="D203" s="1885"/>
      <c r="E203" s="1869">
        <v>65</v>
      </c>
      <c r="F203" s="1888"/>
      <c r="G203" s="1888"/>
      <c r="H203" s="610">
        <v>2017</v>
      </c>
      <c r="I203" s="830">
        <v>0.02</v>
      </c>
      <c r="J203" s="617">
        <v>4</v>
      </c>
      <c r="K203" s="402"/>
      <c r="L203" s="407">
        <f>IF(L$5=$H203,$E203,0)</f>
        <v>0</v>
      </c>
      <c r="M203" s="404">
        <f t="shared" si="1465"/>
        <v>0</v>
      </c>
      <c r="N203" s="414">
        <f t="shared" si="1466"/>
        <v>0</v>
      </c>
      <c r="O203" s="414">
        <f t="shared" si="1467"/>
        <v>0</v>
      </c>
      <c r="P203" s="406">
        <f t="shared" si="1468"/>
        <v>0</v>
      </c>
      <c r="Q203" s="407">
        <f>IF(Q$5=$H203,$E203,0)</f>
        <v>0</v>
      </c>
      <c r="R203" s="404">
        <f t="shared" si="1470"/>
        <v>0</v>
      </c>
      <c r="S203" s="414">
        <f t="shared" si="1471"/>
        <v>0</v>
      </c>
      <c r="T203" s="414">
        <f t="shared" si="1472"/>
        <v>0</v>
      </c>
      <c r="U203" s="406">
        <f t="shared" si="1473"/>
        <v>0</v>
      </c>
      <c r="V203" s="407">
        <f>IF(V$5=$H203,$E203,0)</f>
        <v>0</v>
      </c>
      <c r="W203" s="404">
        <f t="shared" si="1475"/>
        <v>0</v>
      </c>
      <c r="X203" s="414">
        <f t="shared" si="1476"/>
        <v>0</v>
      </c>
      <c r="Y203" s="414">
        <f t="shared" si="1477"/>
        <v>0</v>
      </c>
      <c r="Z203" s="406">
        <f t="shared" si="1478"/>
        <v>0</v>
      </c>
      <c r="AA203" s="407">
        <f>IF(AA$5=$H203,$E203,0)</f>
        <v>0</v>
      </c>
      <c r="AB203" s="404">
        <f t="shared" si="1480"/>
        <v>0</v>
      </c>
      <c r="AC203" s="414">
        <f t="shared" si="1481"/>
        <v>0</v>
      </c>
      <c r="AD203" s="414">
        <f t="shared" si="1482"/>
        <v>0</v>
      </c>
      <c r="AE203" s="406">
        <f t="shared" si="1483"/>
        <v>0</v>
      </c>
      <c r="AF203" s="407">
        <f>IF(AF$5=$H203,$E203,0)</f>
        <v>0</v>
      </c>
      <c r="AG203" s="404">
        <f t="shared" si="1485"/>
        <v>0</v>
      </c>
      <c r="AH203" s="414">
        <f t="shared" si="1486"/>
        <v>0</v>
      </c>
      <c r="AI203" s="414">
        <f t="shared" si="1487"/>
        <v>0</v>
      </c>
      <c r="AJ203" s="406">
        <f t="shared" si="1488"/>
        <v>0</v>
      </c>
      <c r="AK203" s="407">
        <f>IF(AK$5=$H203,$E203,0)</f>
        <v>0</v>
      </c>
      <c r="AL203" s="404">
        <f t="shared" si="1490"/>
        <v>0</v>
      </c>
      <c r="AM203" s="414">
        <f t="shared" si="1491"/>
        <v>0</v>
      </c>
      <c r="AN203" s="414">
        <f t="shared" si="1492"/>
        <v>0</v>
      </c>
      <c r="AO203" s="406">
        <f t="shared" si="1493"/>
        <v>0</v>
      </c>
      <c r="AP203" s="407">
        <f>IF(AP$5=$H203,$E203,0)</f>
        <v>0</v>
      </c>
      <c r="AQ203" s="404">
        <f t="shared" si="1495"/>
        <v>0</v>
      </c>
      <c r="AR203" s="414">
        <f t="shared" si="1496"/>
        <v>65</v>
      </c>
      <c r="AS203" s="414">
        <f t="shared" si="1497"/>
        <v>0</v>
      </c>
      <c r="AT203" s="406">
        <f t="shared" si="1498"/>
        <v>0</v>
      </c>
      <c r="AU203" s="407">
        <f>IF(AU$5=$H203,$E203,0)</f>
        <v>65</v>
      </c>
      <c r="AV203" s="404">
        <f t="shared" si="1500"/>
        <v>0</v>
      </c>
      <c r="AW203" s="414">
        <f t="shared" si="1501"/>
        <v>0</v>
      </c>
      <c r="AX203" s="414">
        <f t="shared" si="1502"/>
        <v>0</v>
      </c>
      <c r="AY203" s="406">
        <f t="shared" si="1503"/>
        <v>0</v>
      </c>
      <c r="AZ203" s="407">
        <f>IF(AZ$5=$H203,$E203,0)</f>
        <v>0</v>
      </c>
      <c r="BA203" s="404">
        <f t="shared" si="1505"/>
        <v>0</v>
      </c>
      <c r="BB203" s="414">
        <f t="shared" si="1506"/>
        <v>0</v>
      </c>
      <c r="BC203" s="414">
        <f t="shared" si="1507"/>
        <v>0</v>
      </c>
      <c r="BD203" s="406">
        <f t="shared" si="1508"/>
        <v>0</v>
      </c>
      <c r="BE203" s="407">
        <f>IF(BE$5=$H203,$E203,0)</f>
        <v>0</v>
      </c>
      <c r="BF203" s="404">
        <f t="shared" si="1510"/>
        <v>0</v>
      </c>
      <c r="BG203" s="414">
        <f t="shared" si="1511"/>
        <v>0</v>
      </c>
      <c r="BH203" s="414">
        <f t="shared" si="1512"/>
        <v>0</v>
      </c>
      <c r="BI203" s="406">
        <f t="shared" si="1513"/>
        <v>0</v>
      </c>
      <c r="BJ203" s="407">
        <f>IF(BJ$5=$H203,$E203,0)</f>
        <v>0</v>
      </c>
      <c r="BK203" s="404">
        <f t="shared" si="1515"/>
        <v>0</v>
      </c>
      <c r="BL203" s="414">
        <f t="shared" si="1516"/>
        <v>0</v>
      </c>
      <c r="BM203" s="414">
        <f t="shared" si="1517"/>
        <v>0</v>
      </c>
      <c r="BN203" s="406">
        <f t="shared" si="1518"/>
        <v>0</v>
      </c>
      <c r="BO203" s="407">
        <f>IF(BO$5=$H203,$E203,0)</f>
        <v>0</v>
      </c>
      <c r="BP203" s="447"/>
      <c r="BQ203" s="413">
        <f t="shared" si="1520"/>
        <v>0</v>
      </c>
      <c r="BR203" s="410">
        <f t="shared" si="1521"/>
        <v>0</v>
      </c>
      <c r="BS203" s="416">
        <f t="shared" si="1522"/>
        <v>0</v>
      </c>
      <c r="BT203" s="416">
        <f t="shared" si="1523"/>
        <v>0</v>
      </c>
      <c r="BU203" s="412">
        <f t="shared" si="1524"/>
        <v>0</v>
      </c>
      <c r="BV203" s="413">
        <f t="shared" si="1525"/>
        <v>0</v>
      </c>
      <c r="BW203" s="410">
        <f t="shared" si="1526"/>
        <v>0</v>
      </c>
      <c r="BX203" s="416">
        <f t="shared" si="1527"/>
        <v>0</v>
      </c>
      <c r="BY203" s="416">
        <f t="shared" si="1528"/>
        <v>0</v>
      </c>
      <c r="BZ203" s="412">
        <f t="shared" si="1529"/>
        <v>0</v>
      </c>
      <c r="CA203" s="413">
        <f t="shared" si="1530"/>
        <v>0</v>
      </c>
      <c r="CB203" s="410">
        <f t="shared" si="1531"/>
        <v>0</v>
      </c>
      <c r="CC203" s="416">
        <f t="shared" si="1532"/>
        <v>0</v>
      </c>
      <c r="CD203" s="416">
        <f t="shared" si="1533"/>
        <v>0</v>
      </c>
      <c r="CE203" s="412">
        <f t="shared" si="1534"/>
        <v>0</v>
      </c>
      <c r="CF203" s="413">
        <f t="shared" si="1535"/>
        <v>0</v>
      </c>
      <c r="CG203" s="410">
        <f t="shared" si="1536"/>
        <v>0</v>
      </c>
      <c r="CH203" s="416">
        <f t="shared" si="1537"/>
        <v>0</v>
      </c>
      <c r="CI203" s="416">
        <f t="shared" si="1538"/>
        <v>0</v>
      </c>
      <c r="CJ203" s="412">
        <f t="shared" si="1539"/>
        <v>0</v>
      </c>
      <c r="CK203" s="413">
        <f t="shared" si="1540"/>
        <v>0</v>
      </c>
      <c r="CL203" s="410">
        <f t="shared" si="1541"/>
        <v>0</v>
      </c>
      <c r="CM203" s="416">
        <f t="shared" si="1542"/>
        <v>0</v>
      </c>
      <c r="CN203" s="416">
        <f t="shared" si="1543"/>
        <v>0</v>
      </c>
      <c r="CO203" s="412">
        <f t="shared" si="1544"/>
        <v>0</v>
      </c>
      <c r="CP203" s="413">
        <f t="shared" si="1545"/>
        <v>0</v>
      </c>
      <c r="CQ203" s="410">
        <f t="shared" si="1546"/>
        <v>0</v>
      </c>
      <c r="CR203" s="416">
        <f t="shared" si="1547"/>
        <v>0</v>
      </c>
      <c r="CS203" s="416">
        <f t="shared" si="1548"/>
        <v>0</v>
      </c>
      <c r="CT203" s="412">
        <f t="shared" si="1549"/>
        <v>0</v>
      </c>
      <c r="CU203" s="413">
        <f t="shared" si="1550"/>
        <v>0</v>
      </c>
      <c r="CV203" s="410">
        <f t="shared" si="1551"/>
        <v>0</v>
      </c>
      <c r="CW203" s="416">
        <f t="shared" si="1552"/>
        <v>0.32500000000000001</v>
      </c>
      <c r="CX203" s="416">
        <f t="shared" si="1553"/>
        <v>0.32500000000000001</v>
      </c>
      <c r="CY203" s="412">
        <f t="shared" si="1554"/>
        <v>0.32500000000000001</v>
      </c>
      <c r="CZ203" s="413">
        <f t="shared" si="1555"/>
        <v>0.97500000000000009</v>
      </c>
      <c r="DA203" s="410">
        <f t="shared" si="1556"/>
        <v>0.32500000000000001</v>
      </c>
      <c r="DB203" s="416">
        <f t="shared" si="1557"/>
        <v>0</v>
      </c>
      <c r="DC203" s="416">
        <f t="shared" si="1558"/>
        <v>0</v>
      </c>
      <c r="DD203" s="412">
        <f t="shared" si="1559"/>
        <v>0</v>
      </c>
      <c r="DE203" s="413">
        <f t="shared" si="1560"/>
        <v>0.32499999999999996</v>
      </c>
      <c r="DF203" s="410">
        <f t="shared" si="1561"/>
        <v>0</v>
      </c>
      <c r="DG203" s="416">
        <f t="shared" si="1562"/>
        <v>0</v>
      </c>
      <c r="DH203" s="416">
        <f t="shared" si="1563"/>
        <v>0</v>
      </c>
      <c r="DI203" s="412">
        <f t="shared" si="1564"/>
        <v>0</v>
      </c>
      <c r="DJ203" s="413">
        <f t="shared" si="1565"/>
        <v>0</v>
      </c>
      <c r="DK203" s="410">
        <f t="shared" si="1566"/>
        <v>0</v>
      </c>
      <c r="DL203" s="416">
        <f t="shared" si="1567"/>
        <v>0</v>
      </c>
      <c r="DM203" s="416">
        <f t="shared" si="1568"/>
        <v>0</v>
      </c>
      <c r="DN203" s="412">
        <f t="shared" si="1569"/>
        <v>0</v>
      </c>
      <c r="DO203" s="413">
        <f t="shared" si="1570"/>
        <v>0</v>
      </c>
      <c r="DP203" s="410">
        <f t="shared" si="1571"/>
        <v>0</v>
      </c>
      <c r="DQ203" s="416">
        <f t="shared" si="1572"/>
        <v>0</v>
      </c>
      <c r="DR203" s="416">
        <f t="shared" si="1573"/>
        <v>0</v>
      </c>
      <c r="DS203" s="412">
        <f t="shared" si="1574"/>
        <v>0</v>
      </c>
      <c r="DT203" s="413">
        <f t="shared" si="1575"/>
        <v>0</v>
      </c>
    </row>
    <row r="204" spans="1:124" ht="12.75" customHeight="1">
      <c r="A204" s="491"/>
      <c r="C204" s="559" t="s">
        <v>1336</v>
      </c>
      <c r="D204" s="1885"/>
      <c r="E204" s="1869">
        <v>65</v>
      </c>
      <c r="F204" s="1888"/>
      <c r="G204" s="1888"/>
      <c r="H204" s="610">
        <v>2017</v>
      </c>
      <c r="I204" s="830">
        <v>3.1300000000000001E-2</v>
      </c>
      <c r="J204" s="615">
        <v>9</v>
      </c>
      <c r="K204" s="402"/>
      <c r="L204" s="407">
        <f>IF(L$5=$H204,$E204,0)</f>
        <v>0</v>
      </c>
      <c r="M204" s="404">
        <f>IF(Q204=0,0,IF(Q204&gt;0,IF($J204=3,Q204,IF($J204=2,Q204,IF($J204=1,Q204,0)))))</f>
        <v>0</v>
      </c>
      <c r="N204" s="414">
        <f>IF(Q204=0,0,IF(Q204&gt;0,IF($J204=6,Q204,IF($J204=5,Q204,IF($J204=4,Q204,0)))))</f>
        <v>0</v>
      </c>
      <c r="O204" s="414">
        <f>IF(Q204=0,0,IF(Q204&gt;0,IF($J204=9,Q204,IF($J204=8,Q204,IF($J204=7,Q204,0)))))</f>
        <v>0</v>
      </c>
      <c r="P204" s="406">
        <f>IF(Q204=0,0,IF(Q204&gt;0,IF($J204=12,Q204,IF($J204=11,Q204,IF($J204=10,Q204,0)))))</f>
        <v>0</v>
      </c>
      <c r="Q204" s="407">
        <f>IF(Q$5=$H204,$E204,0)</f>
        <v>0</v>
      </c>
      <c r="R204" s="404">
        <f>IF(V204=0,0,IF(V204&gt;0,IF($J204=3,V204,IF($J204=2,V204,IF($J204=1,V204,0)))))</f>
        <v>0</v>
      </c>
      <c r="S204" s="414">
        <f>IF(V204=0,0,IF(V204&gt;0,IF($J204=6,V204,IF($J204=5,V204,IF($J204=4,V204,0)))))</f>
        <v>0</v>
      </c>
      <c r="T204" s="414">
        <f>IF(V204=0,0,IF(V204&gt;0,IF($J204=9,V204,IF($J204=8,V204,IF($J204=7,V204,0)))))</f>
        <v>0</v>
      </c>
      <c r="U204" s="406">
        <f>IF(V204=0,0,IF(V204&gt;0,IF($J204=12,V204,IF($J204=11,V204,IF($J204=10,V204,0)))))</f>
        <v>0</v>
      </c>
      <c r="V204" s="407">
        <f>IF(V$5=$H204,$E204,0)</f>
        <v>0</v>
      </c>
      <c r="W204" s="404">
        <f>IF(AA204=0,0,IF(AA204&gt;0,IF($J204=3,AA204,IF($J204=2,AA204,IF($J204=1,AA204,0)))))</f>
        <v>0</v>
      </c>
      <c r="X204" s="414">
        <f>IF(AA204=0,0,IF(AA204&gt;0,IF($J204=6,AA204,IF($J204=5,AA204,IF($J204=4,AA204,0)))))</f>
        <v>0</v>
      </c>
      <c r="Y204" s="414">
        <f>IF(AA204=0,0,IF(AA204&gt;0,IF($J204=9,AA204,IF($J204=8,AA204,IF($J204=7,AA204,0)))))</f>
        <v>0</v>
      </c>
      <c r="Z204" s="406">
        <f>IF(AA204=0,0,IF(AA204&gt;0,IF($J204=12,AA204,IF($J204=11,AA204,IF($J204=10,AA204,0)))))</f>
        <v>0</v>
      </c>
      <c r="AA204" s="407">
        <f>IF(AA$5=$H204,$E204,0)</f>
        <v>0</v>
      </c>
      <c r="AB204" s="404">
        <f>IF(AF204=0,0,IF(AF204&gt;0,IF($J204=3,AF204,IF($J204=2,AF204,IF($J204=1,AF204,0)))))</f>
        <v>0</v>
      </c>
      <c r="AC204" s="414">
        <f>IF(AF204=0,0,IF(AF204&gt;0,IF($J204=6,AF204,IF($J204=5,AF204,IF($J204=4,AF204,0)))))</f>
        <v>0</v>
      </c>
      <c r="AD204" s="414">
        <f>IF(AF204=0,0,IF(AF204&gt;0,IF($J204=9,AF204,IF($J204=8,AF204,IF($J204=7,AF204,0)))))</f>
        <v>0</v>
      </c>
      <c r="AE204" s="406">
        <f>IF(AF204=0,0,IF(AF204&gt;0,IF($J204=12,AF204,IF($J204=11,AF204,IF($J204=10,AF204,0)))))</f>
        <v>0</v>
      </c>
      <c r="AF204" s="407">
        <f>IF(AF$5=$H204,$E204,0)</f>
        <v>0</v>
      </c>
      <c r="AG204" s="404">
        <f>IF(AK204=0,0,IF(AK204&gt;0,IF($J204=3,AK204,IF($J204=2,AK204,IF($J204=1,AK204,0)))))</f>
        <v>0</v>
      </c>
      <c r="AH204" s="414">
        <f>IF(AK204=0,0,IF(AK204&gt;0,IF($J204=6,AK204,IF($J204=5,AK204,IF($J204=4,AK204,0)))))</f>
        <v>0</v>
      </c>
      <c r="AI204" s="414">
        <f>IF(AK204=0,0,IF(AK204&gt;0,IF($J204=9,AK204,IF($J204=8,AK204,IF($J204=7,AK204,0)))))</f>
        <v>0</v>
      </c>
      <c r="AJ204" s="406">
        <f>IF(AK204=0,0,IF(AK204&gt;0,IF($J204=12,AK204,IF($J204=11,AK204,IF($J204=10,AK204,0)))))</f>
        <v>0</v>
      </c>
      <c r="AK204" s="407">
        <f>IF(AK$5=$H204,$E204,0)</f>
        <v>0</v>
      </c>
      <c r="AL204" s="404">
        <f>IF(AP204=0,0,IF(AP204&gt;0,IF($J204=3,AP204,IF($J204=2,AP204,IF($J204=1,AP204,0)))))</f>
        <v>0</v>
      </c>
      <c r="AM204" s="414">
        <f>IF(AP204=0,0,IF(AP204&gt;0,IF($J204=6,AP204,IF($J204=5,AP204,IF($J204=4,AP204,0)))))</f>
        <v>0</v>
      </c>
      <c r="AN204" s="414">
        <f>IF(AP204=0,0,IF(AP204&gt;0,IF($J204=9,AP204,IF($J204=8,AP204,IF($J204=7,AP204,0)))))</f>
        <v>0</v>
      </c>
      <c r="AO204" s="406">
        <f>IF(AP204=0,0,IF(AP204&gt;0,IF($J204=12,AP204,IF($J204=11,AP204,IF($J204=10,AP204,0)))))</f>
        <v>0</v>
      </c>
      <c r="AP204" s="407">
        <f>IF(AP$5=$H204,$E204,0)</f>
        <v>0</v>
      </c>
      <c r="AQ204" s="404">
        <f>IF(AU204=0,0,IF(AU204&gt;0,IF($J204=3,AU204,IF($J204=2,AU204,IF($J204=1,AU204,0)))))</f>
        <v>0</v>
      </c>
      <c r="AR204" s="414">
        <f>IF(AU204=0,0,IF(AU204&gt;0,IF($J204=6,AU204,IF($J204=5,AU204,IF($J204=4,AU204,0)))))</f>
        <v>0</v>
      </c>
      <c r="AS204" s="414">
        <f>IF(AU204=0,0,IF(AU204&gt;0,IF($J204=9,AU204,IF($J204=8,AU204,IF($J204=7,AU204,0)))))</f>
        <v>65</v>
      </c>
      <c r="AT204" s="406">
        <f>IF(AU204=0,0,IF(AU204&gt;0,IF($J204=12,AU204,IF($J204=11,AU204,IF($J204=10,AU204,0)))))</f>
        <v>0</v>
      </c>
      <c r="AU204" s="407">
        <f>IF(AU$5=$H204,$E204,0)</f>
        <v>65</v>
      </c>
      <c r="AV204" s="404">
        <f>IF(AZ204=0,0,IF(AZ204&gt;0,IF($J204=3,AZ204,IF($J204=2,AZ204,IF($J204=1,AZ204,0)))))</f>
        <v>0</v>
      </c>
      <c r="AW204" s="414">
        <f>IF(AZ204=0,0,IF(AZ204&gt;0,IF($J204=6,AZ204,IF($J204=5,AZ204,IF($J204=4,AZ204,0)))))</f>
        <v>0</v>
      </c>
      <c r="AX204" s="414">
        <f>IF(AZ204=0,0,IF(AZ204&gt;0,IF($J204=9,AZ204,IF($J204=8,AZ204,IF($J204=7,AZ204,0)))))</f>
        <v>0</v>
      </c>
      <c r="AY204" s="406">
        <f>IF(AZ204=0,0,IF(AZ204&gt;0,IF($J204=12,AZ204,IF($J204=11,AZ204,IF($J204=10,AZ204,0)))))</f>
        <v>0</v>
      </c>
      <c r="AZ204" s="407">
        <f>IF(AZ$5=$H204,$E204,0)</f>
        <v>0</v>
      </c>
      <c r="BA204" s="404">
        <f>IF(BE204=0,0,IF(BE204&gt;0,IF($J204=3,BE204,IF($J204=2,BE204,IF($J204=1,BE204,0)))))</f>
        <v>0</v>
      </c>
      <c r="BB204" s="414">
        <f>IF(BE204=0,0,IF(BE204&gt;0,IF($J204=6,BE204,IF($J204=5,BE204,IF($J204=4,BE204,0)))))</f>
        <v>0</v>
      </c>
      <c r="BC204" s="414">
        <f>IF(BE204=0,0,IF(BE204&gt;0,IF($J204=9,BE204,IF($J204=8,BE204,IF($J204=7,BE204,0)))))</f>
        <v>0</v>
      </c>
      <c r="BD204" s="406">
        <f>IF(BE204=0,0,IF(BE204&gt;0,IF($J204=12,BE204,IF($J204=11,BE204,IF($J204=10,BE204,0)))))</f>
        <v>0</v>
      </c>
      <c r="BE204" s="407">
        <f>IF(BE$5=$H204,$E204,0)</f>
        <v>0</v>
      </c>
      <c r="BF204" s="404">
        <f>IF(BJ204=0,0,IF(BJ204&gt;0,IF($J204=3,BJ204,IF($J204=2,BJ204,IF($J204=1,BJ204,0)))))</f>
        <v>0</v>
      </c>
      <c r="BG204" s="414">
        <f>IF(BJ204=0,0,IF(BJ204&gt;0,IF($J204=6,BJ204,IF($J204=5,BJ204,IF($J204=4,BJ204,0)))))</f>
        <v>0</v>
      </c>
      <c r="BH204" s="414">
        <f>IF(BJ204=0,0,IF(BJ204&gt;0,IF($J204=9,BJ204,IF($J204=8,BJ204,IF($J204=7,BJ204,0)))))</f>
        <v>0</v>
      </c>
      <c r="BI204" s="406">
        <f>IF(BJ204=0,0,IF(BJ204&gt;0,IF($J204=12,BJ204,IF($J204=11,BJ204,IF($J204=10,BJ204,0)))))</f>
        <v>0</v>
      </c>
      <c r="BJ204" s="407">
        <f>IF(BJ$5=$H204,$E204,0)</f>
        <v>0</v>
      </c>
      <c r="BK204" s="404">
        <f>IF(BO204=0,0,IF(BO204&gt;0,IF($J204=3,BO204,IF($J204=2,BO204,IF($J204=1,BO204,0)))))</f>
        <v>0</v>
      </c>
      <c r="BL204" s="414">
        <f>IF(BO204=0,0,IF(BO204&gt;0,IF($J204=6,BO204,IF($J204=5,BO204,IF($J204=4,BO204,0)))))</f>
        <v>0</v>
      </c>
      <c r="BM204" s="414">
        <f>IF(BO204=0,0,IF(BO204&gt;0,IF($J204=9,BO204,IF($J204=8,BO204,IF($J204=7,BO204,0)))))</f>
        <v>0</v>
      </c>
      <c r="BN204" s="406">
        <f>IF(BO204=0,0,IF(BO204&gt;0,IF($J204=12,BO204,IF($J204=11,BO204,IF($J204=10,BO204,0)))))</f>
        <v>0</v>
      </c>
      <c r="BO204" s="407">
        <f>IF(BO$5=$H204,$E204,0)</f>
        <v>0</v>
      </c>
      <c r="BP204" s="447"/>
      <c r="BQ204" s="413">
        <f>IF(AND(AH204&lt;&gt;0,AH$5=$H204),$I204*$E204-AH204,IF(BQ$5=$H204,$I204*$E204*(12-$J204+1)/12,0))</f>
        <v>0</v>
      </c>
      <c r="BR204" s="410">
        <f>IF($H204&lt;&gt;BV$5,0,IF(BV204&gt;0,IF($J204=1,$E204*$I204/12*3,IF($J204=2,$E204*$I204/12*2,IF($J204=3,$E204*$I204/12*1,0)))))+IF(BQ$5&lt;&gt;$H204,0,IF(BQ204&gt;0,IF($J204=1,$E204*$I204/12*0,IF($J204=2,$E204*$I204/12*1,IF($J204=3,$E204*$I204/12*2,IF($J204&gt;=4,$E204*$I204/12*3,0))))))</f>
        <v>0</v>
      </c>
      <c r="BS204" s="416">
        <f>IF($H204&lt;&gt;BV$5,0,IF(BV204&gt;0,IF(OR($J204=1,$J204=2,$J204=3,$J204=4),$E204*$I204/12*3,IF($J204=5,$E204*$I204/12*2,IF($J204=6,$E204*$I204/12*1,0)))))+IF(BQ$5&lt;&gt;$H204,0,IF(BQ204&gt;0,IF($J204=4,$E204*$I204/12*0,IF($J204=5,$E204*$I204/12*1,IF($J204=6,$E204*$I204/12*2,IF($J204&gt;=7,$E204*$I204/12*3,0))))))</f>
        <v>0</v>
      </c>
      <c r="BT204" s="416">
        <f>IF($H204&lt;&gt;BV$5,0,IF(BV204&gt;0,IF(OR($J204=1,$J204=2,$J204=3,$J204=4,$J204=5,$J204=6,$J204=7),$E204*$I204/12*3,IF($J204=8,$E204*$I204/12*2,IF($J204=9,$E204*$I204/12*1,0)))))+IF(BQ$5&lt;&gt;$H204,0,IF(BQ204&gt;0,IF($J204=7,$E204*$I204/12*0,IF($J204=8,$E204*$I204/12*1,IF($J204=9,$E204*$I204/12*2,IF($J204&gt;=10,$E204*$I204/12*3,0))))))</f>
        <v>0</v>
      </c>
      <c r="BU204" s="412">
        <f>IF($H204&lt;&gt;BV$5,0,IF(BV204&gt;0,IF(OR($J204=1,$J204=2,$J204=3,$J204=4,$J204=5,$J204=6,$J204=7,$J204=8,$J204=9,$J204=10),$E204*$I204/12*3,IF($J204=11,$E204*$I204/12*2,IF($J204=12,$E204*$I204/12*1,0)))))+IF(BQ$5&lt;&gt;$H204,0,IF(BQ204&gt;0,IF($J204=10,$E204*$I204/12*0,IF($J204=11,$E204*$I204/12*1,IF($J204=12,$E204*$I204/12*2,0)))))</f>
        <v>0</v>
      </c>
      <c r="BV204" s="413">
        <f>IF(AND(BQ204&lt;&gt;0,BQ$5=$H204),$I204*$E204-BQ204,IF(BV$5=$H204,$I204*$E204*(12-$J204+1)/12,0))</f>
        <v>0</v>
      </c>
      <c r="BW204" s="410">
        <f>IF($H204&lt;&gt;CA$5,0,IF(CA204&gt;0,IF($J204=1,$E204*$I204/12*3,IF($J204=2,$E204*$I204/12*2,IF($J204=3,$E204*$I204/12*1,0)))))+IF(BV$5&lt;&gt;$H204,0,IF(BV204&gt;0,IF($J204=1,$E204*$I204/12*0,IF($J204=2,$E204*$I204/12*1,IF($J204=3,$E204*$I204/12*2,IF($J204&gt;=4,$E204*$I204/12*3,0))))))</f>
        <v>0</v>
      </c>
      <c r="BX204" s="416">
        <f>IF($H204&lt;&gt;CA$5,0,IF(CA204&gt;0,IF(OR($J204=1,$J204=2,$J204=3,$J204=4),$E204*$I204/12*3,IF($J204=5,$E204*$I204/12*2,IF($J204=6,$E204*$I204/12*1,0)))))+IF(BV$5&lt;&gt;$H204,0,IF(BV204&gt;0,IF($J204=4,$E204*$I204/12*0,IF($J204=5,$E204*$I204/12*1,IF($J204=6,$E204*$I204/12*2,IF($J204&gt;=7,$E204*$I204/12*3,0))))))</f>
        <v>0</v>
      </c>
      <c r="BY204" s="416">
        <f>IF($H204&lt;&gt;CA$5,0,IF(CA204&gt;0,IF(OR($J204=1,$J204=2,$J204=3,$J204=4,$J204=5,$J204=6,$J204=7),$E204*$I204/12*3,IF($J204=8,$E204*$I204/12*2,IF($J204=9,$E204*$I204/12*1,0)))))+IF(BV$5&lt;&gt;$H204,0,IF(BV204&gt;0,IF($J204=7,$E204*$I204/12*0,IF($J204=8,$E204*$I204/12*1,IF($J204=9,$E204*$I204/12*2,IF($J204&gt;=10,$E204*$I204/12*3,0))))))</f>
        <v>0</v>
      </c>
      <c r="BZ204" s="412">
        <f>IF($H204&lt;&gt;CA$5,0,IF(CA204&gt;0,IF(OR($J204=1,$J204=2,$J204=3,$J204=4,$J204=5,$J204=6,$J204=7,$J204=8,$J204=9,$J204=10),$E204*$I204/12*3,IF($J204=11,$E204*$I204/12*2,IF($J204=12,$E204*$I204/12*1,0)))))+IF(BV$5&lt;&gt;$H204,0,IF(BV204&gt;0,IF($J204=10,$E204*$I204/12*0,IF($J204=11,$E204*$I204/12*1,IF($J204=12,$E204*$I204/12*2,0)))))</f>
        <v>0</v>
      </c>
      <c r="CA204" s="413">
        <f>IF(AND(BV204&lt;&gt;0,BV$5=$H204),$I204*$E204-BV204,IF(CA$5=$H204,$I204*$E204*(12-$J204+1)/12,0))</f>
        <v>0</v>
      </c>
      <c r="CB204" s="410">
        <f>IF($H204&lt;&gt;CF$5,0,IF(CF204&gt;0,IF($J204=1,$E204*$I204/12*3,IF($J204=2,$E204*$I204/12*2,IF($J204=3,$E204*$I204/12*1,0)))))+IF(CA$5&lt;&gt;$H204,0,IF(CA204&gt;0,IF($J204=1,$E204*$I204/12*0,IF($J204=2,$E204*$I204/12*1,IF($J204=3,$E204*$I204/12*2,IF($J204&gt;=4,$E204*$I204/12*3,0))))))</f>
        <v>0</v>
      </c>
      <c r="CC204" s="416">
        <f>IF($H204&lt;&gt;CF$5,0,IF(CF204&gt;0,IF(OR($J204=1,$J204=2,$J204=3,$J204=4),$E204*$I204/12*3,IF($J204=5,$E204*$I204/12*2,IF($J204=6,$E204*$I204/12*1,0)))))+IF(CA$5&lt;&gt;$H204,0,IF(CA204&gt;0,IF($J204=4,$E204*$I204/12*0,IF($J204=5,$E204*$I204/12*1,IF($J204=6,$E204*$I204/12*2,IF($J204&gt;=7,$E204*$I204/12*3,0))))))</f>
        <v>0</v>
      </c>
      <c r="CD204" s="416">
        <f>IF($H204&lt;&gt;CF$5,0,IF(CF204&gt;0,IF(OR($J204=1,$J204=2,$J204=3,$J204=4,$J204=5,$J204=6,$J204=7),$E204*$I204/12*3,IF($J204=8,$E204*$I204/12*2,IF($J204=9,$E204*$I204/12*1,0)))))+IF(CA$5&lt;&gt;$H204,0,IF(CA204&gt;0,IF($J204=7,$E204*$I204/12*0,IF($J204=8,$E204*$I204/12*1,IF($J204=9,$E204*$I204/12*2,IF($J204&gt;=10,$E204*$I204/12*3,0))))))</f>
        <v>0</v>
      </c>
      <c r="CE204" s="412">
        <f>IF($H204&lt;&gt;CF$5,0,IF(CF204&gt;0,IF(OR($J204=1,$J204=2,$J204=3,$J204=4,$J204=5,$J204=6,$J204=7,$J204=8,$J204=9,$J204=10),$E204*$I204/12*3,IF($J204=11,$E204*$I204/12*2,IF($J204=12,$E204*$I204/12*1,0)))))+IF(CA$5&lt;&gt;$H204,0,IF(CA204&gt;0,IF($J204=10,$E204*$I204/12*0,IF($J204=11,$E204*$I204/12*1,IF($J204=12,$E204*$I204/12*2,0)))))</f>
        <v>0</v>
      </c>
      <c r="CF204" s="413">
        <f>IF(AND(CA204&lt;&gt;0,CA$5=$H204),$I204*$E204-CA204,IF(CF$5=$H204,$I204*$E204*(12-$J204+1)/12,0))</f>
        <v>0</v>
      </c>
      <c r="CG204" s="410">
        <f>IF($H204&lt;&gt;CK$5,0,IF(CK204&gt;0,IF($J204=1,$E204*$I204/12*3,IF($J204=2,$E204*$I204/12*2,IF($J204=3,$E204*$I204/12*1,0)))))+IF(CF$5&lt;&gt;$H204,0,IF(CF204&gt;0,IF($J204=1,$E204*$I204/12*0,IF($J204=2,$E204*$I204/12*1,IF($J204=3,$E204*$I204/12*2,IF($J204&gt;=4,$E204*$I204/12*3,0))))))</f>
        <v>0</v>
      </c>
      <c r="CH204" s="416">
        <f>IF($H204&lt;&gt;CK$5,0,IF(CK204&gt;0,IF(OR($J204=1,$J204=2,$J204=3,$J204=4),$E204*$I204/12*3,IF($J204=5,$E204*$I204/12*2,IF($J204=6,$E204*$I204/12*1,0)))))+IF(CF$5&lt;&gt;$H204,0,IF(CF204&gt;0,IF($J204=4,$E204*$I204/12*0,IF($J204=5,$E204*$I204/12*1,IF($J204=6,$E204*$I204/12*2,IF($J204&gt;=7,$E204*$I204/12*3,0))))))</f>
        <v>0</v>
      </c>
      <c r="CI204" s="416">
        <f>IF($H204&lt;&gt;CK$5,0,IF(CK204&gt;0,IF(OR($J204=1,$J204=2,$J204=3,$J204=4,$J204=5,$J204=6,$J204=7),$E204*$I204/12*3,IF($J204=8,$E204*$I204/12*2,IF($J204=9,$E204*$I204/12*1,0)))))+IF(CF$5&lt;&gt;$H204,0,IF(CF204&gt;0,IF($J204=7,$E204*$I204/12*0,IF($J204=8,$E204*$I204/12*1,IF($J204=9,$E204*$I204/12*2,IF($J204&gt;=10,$E204*$I204/12*3,0))))))</f>
        <v>0</v>
      </c>
      <c r="CJ204" s="412">
        <f>IF($H204&lt;&gt;CK$5,0,IF(CK204&gt;0,IF(OR($J204=1,$J204=2,$J204=3,$J204=4,$J204=5,$J204=6,$J204=7,$J204=8,$J204=9,$J204=10),$E204*$I204/12*3,IF($J204=11,$E204*$I204/12*2,IF($J204=12,$E204*$I204/12*1,0)))))+IF(CF$5&lt;&gt;$H204,0,IF(CF204&gt;0,IF($J204=10,$E204*$I204/12*0,IF($J204=11,$E204*$I204/12*1,IF($J204=12,$E204*$I204/12*2,0)))))</f>
        <v>0</v>
      </c>
      <c r="CK204" s="413">
        <f>IF(AND(CF204&lt;&gt;0,CF$5=$H204),$I204*$E204-CF204,IF(CK$5=$H204,$I204*$E204*(12-$J204+1)/12,0))</f>
        <v>0</v>
      </c>
      <c r="CL204" s="410">
        <f>IF($H204&lt;&gt;CP$5,0,IF(CP204&gt;0,IF($J204=1,$E204*$I204/12*3,IF($J204=2,$E204*$I204/12*2,IF($J204=3,$E204*$I204/12*1,0)))))+IF(CK$5&lt;&gt;$H204,0,IF(CK204&gt;0,IF($J204=1,$E204*$I204/12*0,IF($J204=2,$E204*$I204/12*1,IF($J204=3,$E204*$I204/12*2,IF($J204&gt;=4,$E204*$I204/12*3,0))))))</f>
        <v>0</v>
      </c>
      <c r="CM204" s="416">
        <f>IF($H204&lt;&gt;CP$5,0,IF(CP204&gt;0,IF(OR($J204=1,$J204=2,$J204=3,$J204=4),$E204*$I204/12*3,IF($J204=5,$E204*$I204/12*2,IF($J204=6,$E204*$I204/12*1,0)))))+IF(CK$5&lt;&gt;$H204,0,IF(CK204&gt;0,IF($J204=4,$E204*$I204/12*0,IF($J204=5,$E204*$I204/12*1,IF($J204=6,$E204*$I204/12*2,IF($J204&gt;=7,$E204*$I204/12*3,0))))))</f>
        <v>0</v>
      </c>
      <c r="CN204" s="416">
        <f>IF($H204&lt;&gt;CP$5,0,IF(CP204&gt;0,IF(OR($J204=1,$J204=2,$J204=3,$J204=4,$J204=5,$J204=6,$J204=7),$E204*$I204/12*3,IF($J204=8,$E204*$I204/12*2,IF($J204=9,$E204*$I204/12*1,0)))))+IF(CK$5&lt;&gt;$H204,0,IF(CK204&gt;0,IF($J204=7,$E204*$I204/12*0,IF($J204=8,$E204*$I204/12*1,IF($J204=9,$E204*$I204/12*2,IF($J204&gt;=10,$E204*$I204/12*3,0))))))</f>
        <v>0</v>
      </c>
      <c r="CO204" s="412">
        <f>IF($H204&lt;&gt;CP$5,0,IF(CP204&gt;0,IF(OR($J204=1,$J204=2,$J204=3,$J204=4,$J204=5,$J204=6,$J204=7,$J204=8,$J204=9,$J204=10),$E204*$I204/12*3,IF($J204=11,$E204*$I204/12*2,IF($J204=12,$E204*$I204/12*1,0)))))+IF(CK$5&lt;&gt;$H204,0,IF(CK204&gt;0,IF($J204=10,$E204*$I204/12*0,IF($J204=11,$E204*$I204/12*1,IF($J204=12,$E204*$I204/12*2,0)))))</f>
        <v>0</v>
      </c>
      <c r="CP204" s="413">
        <f>IF(AND(CK204&lt;&gt;0,CK$5=$H204),$I204*$E204-CK204,IF(CP$5=$H204,$I204*$E204*(12-$J204+1)/12,0))</f>
        <v>0</v>
      </c>
      <c r="CQ204" s="410">
        <f>IF($H204&lt;&gt;CU$5,0,IF(CU204&gt;0,IF($J204=1,$E204*$I204/12*3,IF($J204=2,$E204*$I204/12*2,IF($J204=3,$E204*$I204/12*1,0)))))+IF(CP$5&lt;&gt;$H204,0,IF(CP204&gt;0,IF($J204=1,$E204*$I204/12*0,IF($J204=2,$E204*$I204/12*1,IF($J204=3,$E204*$I204/12*2,IF($J204&gt;=4,$E204*$I204/12*3,0))))))</f>
        <v>0</v>
      </c>
      <c r="CR204" s="416">
        <f>IF($H204&lt;&gt;CU$5,0,IF(CU204&gt;0,IF(OR($J204=1,$J204=2,$J204=3,$J204=4),$E204*$I204/12*3,IF($J204=5,$E204*$I204/12*2,IF($J204=6,$E204*$I204/12*1,0)))))+IF(CP$5&lt;&gt;$H204,0,IF(CP204&gt;0,IF($J204=4,$E204*$I204/12*0,IF($J204=5,$E204*$I204/12*1,IF($J204=6,$E204*$I204/12*2,IF($J204&gt;=7,$E204*$I204/12*3,0))))))</f>
        <v>0</v>
      </c>
      <c r="CS204" s="416">
        <f>IF($H204&lt;&gt;CU$5,0,IF(CU204&gt;0,IF(OR($J204=1,$J204=2,$J204=3,$J204=4,$J204=5,$J204=6,$J204=7),$E204*$I204/12*3,IF($J204=8,$E204*$I204/12*2,IF($J204=9,$E204*$I204/12*1,0)))))+IF(CP$5&lt;&gt;$H204,0,IF(CP204&gt;0,IF($J204=7,$E204*$I204/12*0,IF($J204=8,$E204*$I204/12*1,IF($J204=9,$E204*$I204/12*2,IF($J204&gt;=10,$E204*$I204/12*3,0))))))</f>
        <v>0</v>
      </c>
      <c r="CT204" s="412">
        <f>IF($H204&lt;&gt;CU$5,0,IF(CU204&gt;0,IF(OR($J204=1,$J204=2,$J204=3,$J204=4,$J204=5,$J204=6,$J204=7,$J204=8,$J204=9,$J204=10),$E204*$I204/12*3,IF($J204=11,$E204*$I204/12*2,IF($J204=12,$E204*$I204/12*1,0)))))+IF(CP$5&lt;&gt;$H204,0,IF(CP204&gt;0,IF($J204=10,$E204*$I204/12*0,IF($J204=11,$E204*$I204/12*1,IF($J204=12,$E204*$I204/12*2,0)))))</f>
        <v>0</v>
      </c>
      <c r="CU204" s="413">
        <f>IF(AND(CP204&lt;&gt;0,CP$5=$H204),$I204*$E204-CP204,IF(CU$5=$H204,$I204*$E204*(12-$J204+1)/12,0))</f>
        <v>0</v>
      </c>
      <c r="CV204" s="410">
        <f>IF($H204&lt;&gt;CZ$5,0,IF(CZ204&gt;0,IF($J204=1,$E204*$I204/12*3,IF($J204=2,$E204*$I204/12*2,IF($J204=3,$E204*$I204/12*1,0)))))+IF(CU$5&lt;&gt;$H204,0,IF(CU204&gt;0,IF($J204=1,$E204*$I204/12*0,IF($J204=2,$E204*$I204/12*1,IF($J204=3,$E204*$I204/12*2,IF($J204&gt;=4,$E204*$I204/12*3,0))))))</f>
        <v>0</v>
      </c>
      <c r="CW204" s="416">
        <f>IF($H204&lt;&gt;CZ$5,0,IF(CZ204&gt;0,IF(OR($J204=1,$J204=2,$J204=3,$J204=4),$E204*$I204/12*3,IF($J204=5,$E204*$I204/12*2,IF($J204=6,$E204*$I204/12*1,0)))))+IF(CU$5&lt;&gt;$H204,0,IF(CU204&gt;0,IF($J204=4,$E204*$I204/12*0,IF($J204=5,$E204*$I204/12*1,IF($J204=6,$E204*$I204/12*2,IF($J204&gt;=7,$E204*$I204/12*3,0))))))</f>
        <v>0</v>
      </c>
      <c r="CX204" s="416">
        <f>IF($H204&lt;&gt;CZ$5,0,IF(CZ204&gt;0,IF(OR($J204=1,$J204=2,$J204=3,$J204=4,$J204=5,$J204=6,$J204=7),$E204*$I204/12*3,IF($J204=8,$E204*$I204/12*2,IF($J204=9,$E204*$I204/12*1,0)))))+IF(CU$5&lt;&gt;$H204,0,IF(CU204&gt;0,IF($J204=7,$E204*$I204/12*0,IF($J204=8,$E204*$I204/12*1,IF($J204=9,$E204*$I204/12*2,IF($J204&gt;=10,$E204*$I204/12*3,0))))))</f>
        <v>0.16954166666666667</v>
      </c>
      <c r="CY204" s="412">
        <f>IF($H204&lt;&gt;CZ$5,0,IF(CZ204&gt;0,IF(OR($J204=1,$J204=2,$J204=3,$J204=4,$J204=5,$J204=6,$J204=7,$J204=8,$J204=9,$J204=10),$E204*$I204/12*3,IF($J204=11,$E204*$I204/12*2,IF($J204=12,$E204*$I204/12*1,0)))))+IF(CU$5&lt;&gt;$H204,0,IF(CU204&gt;0,IF($J204=10,$E204*$I204/12*0,IF($J204=11,$E204*$I204/12*1,IF($J204=12,$E204*$I204/12*2,0)))))</f>
        <v>0.50862499999999999</v>
      </c>
      <c r="CZ204" s="413">
        <f>IF(AND(CU204&lt;&gt;0,CU$5=$H204),$I204*$E204-CU204,IF(CZ$5=$H204,$I204*$E204*(12-$J204+1)/12,0))</f>
        <v>0.6781666666666667</v>
      </c>
      <c r="DA204" s="410">
        <f>IF($H204&lt;&gt;DE$5,0,IF(DE204&gt;0,IF($J204=1,$E204*$I204/12*3,IF($J204=2,$E204*$I204/12*2,IF($J204=3,$E204*$I204/12*1,0)))))+IF(CZ$5&lt;&gt;$H204,0,IF(CZ204&gt;0,IF($J204=1,$E204*$I204/12*0,IF($J204=2,$E204*$I204/12*1,IF($J204=3,$E204*$I204/12*2,IF($J204&gt;=4,$E204*$I204/12*3,0))))))</f>
        <v>0.50862499999999999</v>
      </c>
      <c r="DB204" s="416">
        <f>IF($H204&lt;&gt;DE$5,0,IF(DE204&gt;0,IF(OR($J204=1,$J204=2,$J204=3,$J204=4),$E204*$I204/12*3,IF($J204=5,$E204*$I204/12*2,IF($J204=6,$E204*$I204/12*1,0)))))+IF(CZ$5&lt;&gt;$H204,0,IF(CZ204&gt;0,IF($J204=4,$E204*$I204/12*0,IF($J204=5,$E204*$I204/12*1,IF($J204=6,$E204*$I204/12*2,IF($J204&gt;=7,$E204*$I204/12*3,0))))))</f>
        <v>0.50862499999999999</v>
      </c>
      <c r="DC204" s="416">
        <f>IF($H204&lt;&gt;DE$5,0,IF(DE204&gt;0,IF(OR($J204=1,$J204=2,$J204=3,$J204=4,$J204=5,$J204=6,$J204=7),$E204*$I204/12*3,IF($J204=8,$E204*$I204/12*2,IF($J204=9,$E204*$I204/12*1,0)))))+IF(CZ$5&lt;&gt;$H204,0,IF(CZ204&gt;0,IF($J204=7,$E204*$I204/12*0,IF($J204=8,$E204*$I204/12*1,IF($J204=9,$E204*$I204/12*2,IF($J204&gt;=10,$E204*$I204/12*3,0))))))</f>
        <v>0.33908333333333335</v>
      </c>
      <c r="DD204" s="412">
        <f>IF($H204&lt;&gt;DE$5,0,IF(DE204&gt;0,IF(OR($J204=1,$J204=2,$J204=3,$J204=4,$J204=5,$J204=6,$J204=7,$J204=8,$J204=9,$J204=10),$E204*$I204/12*3,IF($J204=11,$E204*$I204/12*2,IF($J204=12,$E204*$I204/12*1,0)))))+IF(CZ$5&lt;&gt;$H204,0,IF(CZ204&gt;0,IF($J204=10,$E204*$I204/12*0,IF($J204=11,$E204*$I204/12*1,IF($J204=12,$E204*$I204/12*2,0)))))</f>
        <v>0</v>
      </c>
      <c r="DE204" s="413">
        <f>IF(AND(CZ204&lt;&gt;0,CZ$5=$H204),$I204*$E204-CZ204,IF(DE$5=$H204,$I204*$E204*(12-$J204+1)/12,0))</f>
        <v>1.3563333333333332</v>
      </c>
      <c r="DF204" s="410">
        <f>IF($H204&lt;&gt;DJ$5,0,IF(DJ204&gt;0,IF($J204=1,$E204*$I204/12*3,IF($J204=2,$E204*$I204/12*2,IF($J204=3,$E204*$I204/12*1,0)))))+IF(DE$5&lt;&gt;$H204,0,IF(DE204&gt;0,IF($J204=1,$E204*$I204/12*0,IF($J204=2,$E204*$I204/12*1,IF($J204=3,$E204*$I204/12*2,IF($J204&gt;=4,$E204*$I204/12*3,0))))))</f>
        <v>0</v>
      </c>
      <c r="DG204" s="416">
        <f>IF($H204&lt;&gt;DJ$5,0,IF(DJ204&gt;0,IF(OR($J204=1,$J204=2,$J204=3,$J204=4),$E204*$I204/12*3,IF($J204=5,$E204*$I204/12*2,IF($J204=6,$E204*$I204/12*1,0)))))+IF(DE$5&lt;&gt;$H204,0,IF(DE204&gt;0,IF($J204=4,$E204*$I204/12*0,IF($J204=5,$E204*$I204/12*1,IF($J204=6,$E204*$I204/12*2,IF($J204&gt;=7,$E204*$I204/12*3,0))))))</f>
        <v>0</v>
      </c>
      <c r="DH204" s="416">
        <f>IF($H204&lt;&gt;DJ$5,0,IF(DJ204&gt;0,IF(OR($J204=1,$J204=2,$J204=3,$J204=4,$J204=5,$J204=6,$J204=7),$E204*$I204/12*3,IF($J204=8,$E204*$I204/12*2,IF($J204=9,$E204*$I204/12*1,0)))))+IF(DE$5&lt;&gt;$H204,0,IF(DE204&gt;0,IF($J204=7,$E204*$I204/12*0,IF($J204=8,$E204*$I204/12*1,IF($J204=9,$E204*$I204/12*2,IF($J204&gt;=10,$E204*$I204/12*3,0))))))</f>
        <v>0</v>
      </c>
      <c r="DI204" s="412">
        <f>IF($H204&lt;&gt;DJ$5,0,IF(DJ204&gt;0,IF(OR($J204=1,$J204=2,$J204=3,$J204=4,$J204=5,$J204=6,$J204=7,$J204=8,$J204=9,$J204=10),$E204*$I204/12*3,IF($J204=11,$E204*$I204/12*2,IF($J204=12,$E204*$I204/12*1,0)))))+IF(DE$5&lt;&gt;$H204,0,IF(DE204&gt;0,IF($J204=10,$E204*$I204/12*0,IF($J204=11,$E204*$I204/12*1,IF($J204=12,$E204*$I204/12*2,0)))))</f>
        <v>0</v>
      </c>
      <c r="DJ204" s="413">
        <f>IF(AND(DE204&lt;&gt;0,DE$5=$H204),$I204*$E204-DE204,IF(DJ$5=$H204,$I204*$E204*(12-$J204+1)/12,0))</f>
        <v>0</v>
      </c>
      <c r="DK204" s="410">
        <f>IF($H204&lt;&gt;DO$5,0,IF(DO204&gt;0,IF($J204=1,$E204*$I204/12*3,IF($J204=2,$E204*$I204/12*2,IF($J204=3,$E204*$I204/12*1,0)))))+IF(DJ$5&lt;&gt;$H204,0,IF(DJ204&gt;0,IF($J204=1,$E204*$I204/12*0,IF($J204=2,$E204*$I204/12*1,IF($J204=3,$E204*$I204/12*2,IF($J204&gt;=4,$E204*$I204/12*3,0))))))</f>
        <v>0</v>
      </c>
      <c r="DL204" s="416">
        <f>IF($H204&lt;&gt;DO$5,0,IF(DO204&gt;0,IF(OR($J204=1,$J204=2,$J204=3,$J204=4),$E204*$I204/12*3,IF($J204=5,$E204*$I204/12*2,IF($J204=6,$E204*$I204/12*1,0)))))+IF(DJ$5&lt;&gt;$H204,0,IF(DJ204&gt;0,IF($J204=4,$E204*$I204/12*0,IF($J204=5,$E204*$I204/12*1,IF($J204=6,$E204*$I204/12*2,IF($J204&gt;=7,$E204*$I204/12*3,0))))))</f>
        <v>0</v>
      </c>
      <c r="DM204" s="416">
        <f>IF($H204&lt;&gt;DO$5,0,IF(DO204&gt;0,IF(OR($J204=1,$J204=2,$J204=3,$J204=4,$J204=5,$J204=6,$J204=7),$E204*$I204/12*3,IF($J204=8,$E204*$I204/12*2,IF($J204=9,$E204*$I204/12*1,0)))))+IF(DJ$5&lt;&gt;$H204,0,IF(DJ204&gt;0,IF($J204=7,$E204*$I204/12*0,IF($J204=8,$E204*$I204/12*1,IF($J204=9,$E204*$I204/12*2,IF($J204&gt;=10,$E204*$I204/12*3,0))))))</f>
        <v>0</v>
      </c>
      <c r="DN204" s="412">
        <f>IF($H204&lt;&gt;DO$5,0,IF(DO204&gt;0,IF(OR($J204=1,$J204=2,$J204=3,$J204=4,$J204=5,$J204=6,$J204=7,$J204=8,$J204=9,$J204=10),$E204*$I204/12*3,IF($J204=11,$E204*$I204/12*2,IF($J204=12,$E204*$I204/12*1,0)))))+IF(DJ$5&lt;&gt;$H204,0,IF(DJ204&gt;0,IF($J204=10,$E204*$I204/12*0,IF($J204=11,$E204*$I204/12*1,IF($J204=12,$E204*$I204/12*2,0)))))</f>
        <v>0</v>
      </c>
      <c r="DO204" s="413">
        <f>IF(AND(DJ204&lt;&gt;0,DJ$5=$H204),$I204*$E204-DJ204,IF(DO$5=$H204,$I204*$E204*(12-$J204+1)/12,0))</f>
        <v>0</v>
      </c>
      <c r="DP204" s="410">
        <f>IF($H204&lt;&gt;DT$5,0,IF(DT204&gt;0,IF($J204=1,$E204*$I204/12*3,IF($J204=2,$E204*$I204/12*2,IF($J204=3,$E204*$I204/12*1,0)))))+IF(DO$5&lt;&gt;$H204,0,IF(DO204&gt;0,IF($J204=1,$E204*$I204/12*0,IF($J204=2,$E204*$I204/12*1,IF($J204=3,$E204*$I204/12*2,IF($J204&gt;=4,$E204*$I204/12*3,0))))))</f>
        <v>0</v>
      </c>
      <c r="DQ204" s="416">
        <f>IF($H204&lt;&gt;DT$5,0,IF(DT204&gt;0,IF(OR($J204=1,$J204=2,$J204=3,$J204=4),$E204*$I204/12*3,IF($J204=5,$E204*$I204/12*2,IF($J204=6,$E204*$I204/12*1,0)))))+IF(DO$5&lt;&gt;$H204,0,IF(DO204&gt;0,IF($J204=4,$E204*$I204/12*0,IF($J204=5,$E204*$I204/12*1,IF($J204=6,$E204*$I204/12*2,IF($J204&gt;=7,$E204*$I204/12*3,0))))))</f>
        <v>0</v>
      </c>
      <c r="DR204" s="416">
        <f>IF($H204&lt;&gt;DT$5,0,IF(DT204&gt;0,IF(OR($J204=1,$J204=2,$J204=3,$J204=4,$J204=5,$J204=6,$J204=7),$E204*$I204/12*3,IF($J204=8,$E204*$I204/12*2,IF($J204=9,$E204*$I204/12*1,0)))))+IF(DO$5&lt;&gt;$H204,0,IF(DO204&gt;0,IF($J204=7,$E204*$I204/12*0,IF($J204=8,$E204*$I204/12*1,IF($J204=9,$E204*$I204/12*2,IF($J204&gt;=10,$E204*$I204/12*3,0))))))</f>
        <v>0</v>
      </c>
      <c r="DS204" s="412">
        <f>IF($H204&lt;&gt;DT$5,0,IF(DT204&gt;0,IF(OR($J204=1,$J204=2,$J204=3,$J204=4,$J204=5,$J204=6,$J204=7,$J204=8,$J204=9,$J204=10),$E204*$I204/12*3,IF($J204=11,$E204*$I204/12*2,IF($J204=12,$E204*$I204/12*1,0)))))+IF(DO$5&lt;&gt;$H204,0,IF(DO204&gt;0,IF($J204=10,$E204*$I204/12*0,IF($J204=11,$E204*$I204/12*1,IF($J204=12,$E204*$I204/12*2,0)))))</f>
        <v>0</v>
      </c>
      <c r="DT204" s="413">
        <f>IF(AND(DO204&lt;&gt;0,DO$5=$H204),$I204*$E204-DO204,IF(DT$5=$H204,$I204*$E204*(12-$J204+1)/12,0))</f>
        <v>0</v>
      </c>
    </row>
    <row r="205" spans="1:124" ht="12.75" customHeight="1">
      <c r="A205" s="491"/>
      <c r="C205" s="559" t="s">
        <v>1337</v>
      </c>
      <c r="D205" s="1885"/>
      <c r="E205" s="1869">
        <v>40</v>
      </c>
      <c r="F205" s="1888"/>
      <c r="G205" s="1888"/>
      <c r="H205" s="610">
        <v>2017</v>
      </c>
      <c r="I205" s="830">
        <v>3.3500000000000002E-2</v>
      </c>
      <c r="J205" s="615">
        <v>9</v>
      </c>
      <c r="K205" s="402"/>
      <c r="L205" s="407">
        <f>IF(L$5=$H205,$E205,0)</f>
        <v>0</v>
      </c>
      <c r="M205" s="404">
        <f>IF(Q205=0,0,IF(Q205&gt;0,IF($J205=3,Q205,IF($J205=2,Q205,IF($J205=1,Q205,0)))))</f>
        <v>0</v>
      </c>
      <c r="N205" s="414">
        <f>IF(Q205=0,0,IF(Q205&gt;0,IF($J205=6,Q205,IF($J205=5,Q205,IF($J205=4,Q205,0)))))</f>
        <v>0</v>
      </c>
      <c r="O205" s="414">
        <f>IF(Q205=0,0,IF(Q205&gt;0,IF($J205=9,Q205,IF($J205=8,Q205,IF($J205=7,Q205,0)))))</f>
        <v>0</v>
      </c>
      <c r="P205" s="406">
        <f>IF(Q205=0,0,IF(Q205&gt;0,IF($J205=12,Q205,IF($J205=11,Q205,IF($J205=10,Q205,0)))))</f>
        <v>0</v>
      </c>
      <c r="Q205" s="407">
        <f>IF(Q$5=$H205,$E205,0)</f>
        <v>0</v>
      </c>
      <c r="R205" s="404">
        <f>IF(V205=0,0,IF(V205&gt;0,IF($J205=3,V205,IF($J205=2,V205,IF($J205=1,V205,0)))))</f>
        <v>0</v>
      </c>
      <c r="S205" s="414">
        <f>IF(V205=0,0,IF(V205&gt;0,IF($J205=6,V205,IF($J205=5,V205,IF($J205=4,V205,0)))))</f>
        <v>0</v>
      </c>
      <c r="T205" s="414">
        <f>IF(V205=0,0,IF(V205&gt;0,IF($J205=9,V205,IF($J205=8,V205,IF($J205=7,V205,0)))))</f>
        <v>0</v>
      </c>
      <c r="U205" s="406">
        <f>IF(V205=0,0,IF(V205&gt;0,IF($J205=12,V205,IF($J205=11,V205,IF($J205=10,V205,0)))))</f>
        <v>0</v>
      </c>
      <c r="V205" s="407">
        <f>IF(V$5=$H205,$E205,0)</f>
        <v>0</v>
      </c>
      <c r="W205" s="404">
        <f>IF(AA205=0,0,IF(AA205&gt;0,IF($J205=3,AA205,IF($J205=2,AA205,IF($J205=1,AA205,0)))))</f>
        <v>0</v>
      </c>
      <c r="X205" s="414">
        <f>IF(AA205=0,0,IF(AA205&gt;0,IF($J205=6,AA205,IF($J205=5,AA205,IF($J205=4,AA205,0)))))</f>
        <v>0</v>
      </c>
      <c r="Y205" s="414">
        <f>IF(AA205=0,0,IF(AA205&gt;0,IF($J205=9,AA205,IF($J205=8,AA205,IF($J205=7,AA205,0)))))</f>
        <v>0</v>
      </c>
      <c r="Z205" s="406">
        <f>IF(AA205=0,0,IF(AA205&gt;0,IF($J205=12,AA205,IF($J205=11,AA205,IF($J205=10,AA205,0)))))</f>
        <v>0</v>
      </c>
      <c r="AA205" s="407">
        <f>IF(AA$5=$H205,$E205,0)</f>
        <v>0</v>
      </c>
      <c r="AB205" s="404">
        <f>IF(AF205=0,0,IF(AF205&gt;0,IF($J205=3,AF205,IF($J205=2,AF205,IF($J205=1,AF205,0)))))</f>
        <v>0</v>
      </c>
      <c r="AC205" s="414">
        <f>IF(AF205=0,0,IF(AF205&gt;0,IF($J205=6,AF205,IF($J205=5,AF205,IF($J205=4,AF205,0)))))</f>
        <v>0</v>
      </c>
      <c r="AD205" s="414">
        <f>IF(AF205=0,0,IF(AF205&gt;0,IF($J205=9,AF205,IF($J205=8,AF205,IF($J205=7,AF205,0)))))</f>
        <v>0</v>
      </c>
      <c r="AE205" s="406">
        <f>IF(AF205=0,0,IF(AF205&gt;0,IF($J205=12,AF205,IF($J205=11,AF205,IF($J205=10,AF205,0)))))</f>
        <v>0</v>
      </c>
      <c r="AF205" s="407">
        <f>IF(AF$5=$H205,$E205,0)</f>
        <v>0</v>
      </c>
      <c r="AG205" s="404">
        <f>IF(AK205=0,0,IF(AK205&gt;0,IF($J205=3,AK205,IF($J205=2,AK205,IF($J205=1,AK205,0)))))</f>
        <v>0</v>
      </c>
      <c r="AH205" s="414">
        <f>IF(AK205=0,0,IF(AK205&gt;0,IF($J205=6,AK205,IF($J205=5,AK205,IF($J205=4,AK205,0)))))</f>
        <v>0</v>
      </c>
      <c r="AI205" s="414">
        <f>IF(AK205=0,0,IF(AK205&gt;0,IF($J205=9,AK205,IF($J205=8,AK205,IF($J205=7,AK205,0)))))</f>
        <v>0</v>
      </c>
      <c r="AJ205" s="406">
        <f>IF(AK205=0,0,IF(AK205&gt;0,IF($J205=12,AK205,IF($J205=11,AK205,IF($J205=10,AK205,0)))))</f>
        <v>0</v>
      </c>
      <c r="AK205" s="407">
        <f>IF(AK$5=$H205,$E205,0)</f>
        <v>0</v>
      </c>
      <c r="AL205" s="404">
        <f>IF(AP205=0,0,IF(AP205&gt;0,IF($J205=3,AP205,IF($J205=2,AP205,IF($J205=1,AP205,0)))))</f>
        <v>0</v>
      </c>
      <c r="AM205" s="414">
        <f>IF(AP205=0,0,IF(AP205&gt;0,IF($J205=6,AP205,IF($J205=5,AP205,IF($J205=4,AP205,0)))))</f>
        <v>0</v>
      </c>
      <c r="AN205" s="414">
        <f>IF(AP205=0,0,IF(AP205&gt;0,IF($J205=9,AP205,IF($J205=8,AP205,IF($J205=7,AP205,0)))))</f>
        <v>0</v>
      </c>
      <c r="AO205" s="406">
        <f>IF(AP205=0,0,IF(AP205&gt;0,IF($J205=12,AP205,IF($J205=11,AP205,IF($J205=10,AP205,0)))))</f>
        <v>0</v>
      </c>
      <c r="AP205" s="407">
        <f>IF(AP$5=$H205,$E205,0)</f>
        <v>0</v>
      </c>
      <c r="AQ205" s="404">
        <f>IF(AU205=0,0,IF(AU205&gt;0,IF($J205=3,AU205,IF($J205=2,AU205,IF($J205=1,AU205,0)))))</f>
        <v>0</v>
      </c>
      <c r="AR205" s="414">
        <f>IF(AU205=0,0,IF(AU205&gt;0,IF($J205=6,AU205,IF($J205=5,AU205,IF($J205=4,AU205,0)))))</f>
        <v>0</v>
      </c>
      <c r="AS205" s="414">
        <f>IF(AU205=0,0,IF(AU205&gt;0,IF($J205=9,AU205,IF($J205=8,AU205,IF($J205=7,AU205,0)))))</f>
        <v>40</v>
      </c>
      <c r="AT205" s="406">
        <f>IF(AU205=0,0,IF(AU205&gt;0,IF($J205=12,AU205,IF($J205=11,AU205,IF($J205=10,AU205,0)))))</f>
        <v>0</v>
      </c>
      <c r="AU205" s="407">
        <f>IF(AU$5=$H205,$E205,0)</f>
        <v>40</v>
      </c>
      <c r="AV205" s="404">
        <f>IF(AZ205=0,0,IF(AZ205&gt;0,IF($J205=3,AZ205,IF($J205=2,AZ205,IF($J205=1,AZ205,0)))))</f>
        <v>0</v>
      </c>
      <c r="AW205" s="414">
        <f>IF(AZ205=0,0,IF(AZ205&gt;0,IF($J205=6,AZ205,IF($J205=5,AZ205,IF($J205=4,AZ205,0)))))</f>
        <v>0</v>
      </c>
      <c r="AX205" s="414">
        <f>IF(AZ205=0,0,IF(AZ205&gt;0,IF($J205=9,AZ205,IF($J205=8,AZ205,IF($J205=7,AZ205,0)))))</f>
        <v>0</v>
      </c>
      <c r="AY205" s="406">
        <f>IF(AZ205=0,0,IF(AZ205&gt;0,IF($J205=12,AZ205,IF($J205=11,AZ205,IF($J205=10,AZ205,0)))))</f>
        <v>0</v>
      </c>
      <c r="AZ205" s="407">
        <f>IF(AZ$5=$H205,$E205,0)</f>
        <v>0</v>
      </c>
      <c r="BA205" s="404">
        <f>IF(BE205=0,0,IF(BE205&gt;0,IF($J205=3,BE205,IF($J205=2,BE205,IF($J205=1,BE205,0)))))</f>
        <v>0</v>
      </c>
      <c r="BB205" s="414">
        <f>IF(BE205=0,0,IF(BE205&gt;0,IF($J205=6,BE205,IF($J205=5,BE205,IF($J205=4,BE205,0)))))</f>
        <v>0</v>
      </c>
      <c r="BC205" s="414">
        <f>IF(BE205=0,0,IF(BE205&gt;0,IF($J205=9,BE205,IF($J205=8,BE205,IF($J205=7,BE205,0)))))</f>
        <v>0</v>
      </c>
      <c r="BD205" s="406">
        <f>IF(BE205=0,0,IF(BE205&gt;0,IF($J205=12,BE205,IF($J205=11,BE205,IF($J205=10,BE205,0)))))</f>
        <v>0</v>
      </c>
      <c r="BE205" s="407">
        <f>IF(BE$5=$H205,$E205,0)</f>
        <v>0</v>
      </c>
      <c r="BF205" s="404">
        <f>IF(BJ205=0,0,IF(BJ205&gt;0,IF($J205=3,BJ205,IF($J205=2,BJ205,IF($J205=1,BJ205,0)))))</f>
        <v>0</v>
      </c>
      <c r="BG205" s="414">
        <f>IF(BJ205=0,0,IF(BJ205&gt;0,IF($J205=6,BJ205,IF($J205=5,BJ205,IF($J205=4,BJ205,0)))))</f>
        <v>0</v>
      </c>
      <c r="BH205" s="414">
        <f>IF(BJ205=0,0,IF(BJ205&gt;0,IF($J205=9,BJ205,IF($J205=8,BJ205,IF($J205=7,BJ205,0)))))</f>
        <v>0</v>
      </c>
      <c r="BI205" s="406">
        <f>IF(BJ205=0,0,IF(BJ205&gt;0,IF($J205=12,BJ205,IF($J205=11,BJ205,IF($J205=10,BJ205,0)))))</f>
        <v>0</v>
      </c>
      <c r="BJ205" s="407">
        <f>IF(BJ$5=$H205,$E205,0)</f>
        <v>0</v>
      </c>
      <c r="BK205" s="404">
        <f>IF(BO205=0,0,IF(BO205&gt;0,IF($J205=3,BO205,IF($J205=2,BO205,IF($J205=1,BO205,0)))))</f>
        <v>0</v>
      </c>
      <c r="BL205" s="414">
        <f>IF(BO205=0,0,IF(BO205&gt;0,IF($J205=6,BO205,IF($J205=5,BO205,IF($J205=4,BO205,0)))))</f>
        <v>0</v>
      </c>
      <c r="BM205" s="414">
        <f>IF(BO205=0,0,IF(BO205&gt;0,IF($J205=9,BO205,IF($J205=8,BO205,IF($J205=7,BO205,0)))))</f>
        <v>0</v>
      </c>
      <c r="BN205" s="406">
        <f>IF(BO205=0,0,IF(BO205&gt;0,IF($J205=12,BO205,IF($J205=11,BO205,IF($J205=10,BO205,0)))))</f>
        <v>0</v>
      </c>
      <c r="BO205" s="407">
        <f>IF(BO$5=$H205,$E205,0)</f>
        <v>0</v>
      </c>
      <c r="BP205" s="447"/>
      <c r="BQ205" s="413">
        <f>IF(AND(AH205&lt;&gt;0,AH$5=$H205),$I205*$E205-AH205,IF(BQ$5=$H205,$I205*$E205*(12-$J205+1)/12,0))</f>
        <v>0</v>
      </c>
      <c r="BR205" s="410">
        <f>IF($H205&lt;&gt;BV$5,0,IF(BV205&gt;0,IF($J205=1,$E205*$I205/12*3,IF($J205=2,$E205*$I205/12*2,IF($J205=3,$E205*$I205/12*1,0)))))+IF(BQ$5&lt;&gt;$H205,0,IF(BQ205&gt;0,IF($J205=1,$E205*$I205/12*0,IF($J205=2,$E205*$I205/12*1,IF($J205=3,$E205*$I205/12*2,IF($J205&gt;=4,$E205*$I205/12*3,0))))))</f>
        <v>0</v>
      </c>
      <c r="BS205" s="416">
        <f>IF($H205&lt;&gt;BV$5,0,IF(BV205&gt;0,IF(OR($J205=1,$J205=2,$J205=3,$J205=4),$E205*$I205/12*3,IF($J205=5,$E205*$I205/12*2,IF($J205=6,$E205*$I205/12*1,0)))))+IF(BQ$5&lt;&gt;$H205,0,IF(BQ205&gt;0,IF($J205=4,$E205*$I205/12*0,IF($J205=5,$E205*$I205/12*1,IF($J205=6,$E205*$I205/12*2,IF($J205&gt;=7,$E205*$I205/12*3,0))))))</f>
        <v>0</v>
      </c>
      <c r="BT205" s="416">
        <f>IF($H205&lt;&gt;BV$5,0,IF(BV205&gt;0,IF(OR($J205=1,$J205=2,$J205=3,$J205=4,$J205=5,$J205=6,$J205=7),$E205*$I205/12*3,IF($J205=8,$E205*$I205/12*2,IF($J205=9,$E205*$I205/12*1,0)))))+IF(BQ$5&lt;&gt;$H205,0,IF(BQ205&gt;0,IF($J205=7,$E205*$I205/12*0,IF($J205=8,$E205*$I205/12*1,IF($J205=9,$E205*$I205/12*2,IF($J205&gt;=10,$E205*$I205/12*3,0))))))</f>
        <v>0</v>
      </c>
      <c r="BU205" s="412">
        <f>IF($H205&lt;&gt;BV$5,0,IF(BV205&gt;0,IF(OR($J205=1,$J205=2,$J205=3,$J205=4,$J205=5,$J205=6,$J205=7,$J205=8,$J205=9,$J205=10),$E205*$I205/12*3,IF($J205=11,$E205*$I205/12*2,IF($J205=12,$E205*$I205/12*1,0)))))+IF(BQ$5&lt;&gt;$H205,0,IF(BQ205&gt;0,IF($J205=10,$E205*$I205/12*0,IF($J205=11,$E205*$I205/12*1,IF($J205=12,$E205*$I205/12*2,0)))))</f>
        <v>0</v>
      </c>
      <c r="BV205" s="413">
        <f>IF(AND(BQ205&lt;&gt;0,BQ$5=$H205),$I205*$E205-BQ205,IF(BV$5=$H205,$I205*$E205*(12-$J205+1)/12,0))</f>
        <v>0</v>
      </c>
      <c r="BW205" s="410">
        <f>IF($H205&lt;&gt;CA$5,0,IF(CA205&gt;0,IF($J205=1,$E205*$I205/12*3,IF($J205=2,$E205*$I205/12*2,IF($J205=3,$E205*$I205/12*1,0)))))+IF(BV$5&lt;&gt;$H205,0,IF(BV205&gt;0,IF($J205=1,$E205*$I205/12*0,IF($J205=2,$E205*$I205/12*1,IF($J205=3,$E205*$I205/12*2,IF($J205&gt;=4,$E205*$I205/12*3,0))))))</f>
        <v>0</v>
      </c>
      <c r="BX205" s="416">
        <f>IF($H205&lt;&gt;CA$5,0,IF(CA205&gt;0,IF(OR($J205=1,$J205=2,$J205=3,$J205=4),$E205*$I205/12*3,IF($J205=5,$E205*$I205/12*2,IF($J205=6,$E205*$I205/12*1,0)))))+IF(BV$5&lt;&gt;$H205,0,IF(BV205&gt;0,IF($J205=4,$E205*$I205/12*0,IF($J205=5,$E205*$I205/12*1,IF($J205=6,$E205*$I205/12*2,IF($J205&gt;=7,$E205*$I205/12*3,0))))))</f>
        <v>0</v>
      </c>
      <c r="BY205" s="416">
        <f>IF($H205&lt;&gt;CA$5,0,IF(CA205&gt;0,IF(OR($J205=1,$J205=2,$J205=3,$J205=4,$J205=5,$J205=6,$J205=7),$E205*$I205/12*3,IF($J205=8,$E205*$I205/12*2,IF($J205=9,$E205*$I205/12*1,0)))))+IF(BV$5&lt;&gt;$H205,0,IF(BV205&gt;0,IF($J205=7,$E205*$I205/12*0,IF($J205=8,$E205*$I205/12*1,IF($J205=9,$E205*$I205/12*2,IF($J205&gt;=10,$E205*$I205/12*3,0))))))</f>
        <v>0</v>
      </c>
      <c r="BZ205" s="412">
        <f>IF($H205&lt;&gt;CA$5,0,IF(CA205&gt;0,IF(OR($J205=1,$J205=2,$J205=3,$J205=4,$J205=5,$J205=6,$J205=7,$J205=8,$J205=9,$J205=10),$E205*$I205/12*3,IF($J205=11,$E205*$I205/12*2,IF($J205=12,$E205*$I205/12*1,0)))))+IF(BV$5&lt;&gt;$H205,0,IF(BV205&gt;0,IF($J205=10,$E205*$I205/12*0,IF($J205=11,$E205*$I205/12*1,IF($J205=12,$E205*$I205/12*2,0)))))</f>
        <v>0</v>
      </c>
      <c r="CA205" s="413">
        <f>IF(AND(BV205&lt;&gt;0,BV$5=$H205),$I205*$E205-BV205,IF(CA$5=$H205,$I205*$E205*(12-$J205+1)/12,0))</f>
        <v>0</v>
      </c>
      <c r="CB205" s="410">
        <f>IF($H205&lt;&gt;CF$5,0,IF(CF205&gt;0,IF($J205=1,$E205*$I205/12*3,IF($J205=2,$E205*$I205/12*2,IF($J205=3,$E205*$I205/12*1,0)))))+IF(CA$5&lt;&gt;$H205,0,IF(CA205&gt;0,IF($J205=1,$E205*$I205/12*0,IF($J205=2,$E205*$I205/12*1,IF($J205=3,$E205*$I205/12*2,IF($J205&gt;=4,$E205*$I205/12*3,0))))))</f>
        <v>0</v>
      </c>
      <c r="CC205" s="416">
        <f>IF($H205&lt;&gt;CF$5,0,IF(CF205&gt;0,IF(OR($J205=1,$J205=2,$J205=3,$J205=4),$E205*$I205/12*3,IF($J205=5,$E205*$I205/12*2,IF($J205=6,$E205*$I205/12*1,0)))))+IF(CA$5&lt;&gt;$H205,0,IF(CA205&gt;0,IF($J205=4,$E205*$I205/12*0,IF($J205=5,$E205*$I205/12*1,IF($J205=6,$E205*$I205/12*2,IF($J205&gt;=7,$E205*$I205/12*3,0))))))</f>
        <v>0</v>
      </c>
      <c r="CD205" s="416">
        <f>IF($H205&lt;&gt;CF$5,0,IF(CF205&gt;0,IF(OR($J205=1,$J205=2,$J205=3,$J205=4,$J205=5,$J205=6,$J205=7),$E205*$I205/12*3,IF($J205=8,$E205*$I205/12*2,IF($J205=9,$E205*$I205/12*1,0)))))+IF(CA$5&lt;&gt;$H205,0,IF(CA205&gt;0,IF($J205=7,$E205*$I205/12*0,IF($J205=8,$E205*$I205/12*1,IF($J205=9,$E205*$I205/12*2,IF($J205&gt;=10,$E205*$I205/12*3,0))))))</f>
        <v>0</v>
      </c>
      <c r="CE205" s="412">
        <f>IF($H205&lt;&gt;CF$5,0,IF(CF205&gt;0,IF(OR($J205=1,$J205=2,$J205=3,$J205=4,$J205=5,$J205=6,$J205=7,$J205=8,$J205=9,$J205=10),$E205*$I205/12*3,IF($J205=11,$E205*$I205/12*2,IF($J205=12,$E205*$I205/12*1,0)))))+IF(CA$5&lt;&gt;$H205,0,IF(CA205&gt;0,IF($J205=10,$E205*$I205/12*0,IF($J205=11,$E205*$I205/12*1,IF($J205=12,$E205*$I205/12*2,0)))))</f>
        <v>0</v>
      </c>
      <c r="CF205" s="413">
        <f>IF(AND(CA205&lt;&gt;0,CA$5=$H205),$I205*$E205-CA205,IF(CF$5=$H205,$I205*$E205*(12-$J205+1)/12,0))</f>
        <v>0</v>
      </c>
      <c r="CG205" s="410">
        <f>IF($H205&lt;&gt;CK$5,0,IF(CK205&gt;0,IF($J205=1,$E205*$I205/12*3,IF($J205=2,$E205*$I205/12*2,IF($J205=3,$E205*$I205/12*1,0)))))+IF(CF$5&lt;&gt;$H205,0,IF(CF205&gt;0,IF($J205=1,$E205*$I205/12*0,IF($J205=2,$E205*$I205/12*1,IF($J205=3,$E205*$I205/12*2,IF($J205&gt;=4,$E205*$I205/12*3,0))))))</f>
        <v>0</v>
      </c>
      <c r="CH205" s="416">
        <f>IF($H205&lt;&gt;CK$5,0,IF(CK205&gt;0,IF(OR($J205=1,$J205=2,$J205=3,$J205=4),$E205*$I205/12*3,IF($J205=5,$E205*$I205/12*2,IF($J205=6,$E205*$I205/12*1,0)))))+IF(CF$5&lt;&gt;$H205,0,IF(CF205&gt;0,IF($J205=4,$E205*$I205/12*0,IF($J205=5,$E205*$I205/12*1,IF($J205=6,$E205*$I205/12*2,IF($J205&gt;=7,$E205*$I205/12*3,0))))))</f>
        <v>0</v>
      </c>
      <c r="CI205" s="416">
        <f>IF($H205&lt;&gt;CK$5,0,IF(CK205&gt;0,IF(OR($J205=1,$J205=2,$J205=3,$J205=4,$J205=5,$J205=6,$J205=7),$E205*$I205/12*3,IF($J205=8,$E205*$I205/12*2,IF($J205=9,$E205*$I205/12*1,0)))))+IF(CF$5&lt;&gt;$H205,0,IF(CF205&gt;0,IF($J205=7,$E205*$I205/12*0,IF($J205=8,$E205*$I205/12*1,IF($J205=9,$E205*$I205/12*2,IF($J205&gt;=10,$E205*$I205/12*3,0))))))</f>
        <v>0</v>
      </c>
      <c r="CJ205" s="412">
        <f>IF($H205&lt;&gt;CK$5,0,IF(CK205&gt;0,IF(OR($J205=1,$J205=2,$J205=3,$J205=4,$J205=5,$J205=6,$J205=7,$J205=8,$J205=9,$J205=10),$E205*$I205/12*3,IF($J205=11,$E205*$I205/12*2,IF($J205=12,$E205*$I205/12*1,0)))))+IF(CF$5&lt;&gt;$H205,0,IF(CF205&gt;0,IF($J205=10,$E205*$I205/12*0,IF($J205=11,$E205*$I205/12*1,IF($J205=12,$E205*$I205/12*2,0)))))</f>
        <v>0</v>
      </c>
      <c r="CK205" s="413">
        <f>IF(AND(CF205&lt;&gt;0,CF$5=$H205),$I205*$E205-CF205,IF(CK$5=$H205,$I205*$E205*(12-$J205+1)/12,0))</f>
        <v>0</v>
      </c>
      <c r="CL205" s="410">
        <f>IF($H205&lt;&gt;CP$5,0,IF(CP205&gt;0,IF($J205=1,$E205*$I205/12*3,IF($J205=2,$E205*$I205/12*2,IF($J205=3,$E205*$I205/12*1,0)))))+IF(CK$5&lt;&gt;$H205,0,IF(CK205&gt;0,IF($J205=1,$E205*$I205/12*0,IF($J205=2,$E205*$I205/12*1,IF($J205=3,$E205*$I205/12*2,IF($J205&gt;=4,$E205*$I205/12*3,0))))))</f>
        <v>0</v>
      </c>
      <c r="CM205" s="416">
        <f>IF($H205&lt;&gt;CP$5,0,IF(CP205&gt;0,IF(OR($J205=1,$J205=2,$J205=3,$J205=4),$E205*$I205/12*3,IF($J205=5,$E205*$I205/12*2,IF($J205=6,$E205*$I205/12*1,0)))))+IF(CK$5&lt;&gt;$H205,0,IF(CK205&gt;0,IF($J205=4,$E205*$I205/12*0,IF($J205=5,$E205*$I205/12*1,IF($J205=6,$E205*$I205/12*2,IF($J205&gt;=7,$E205*$I205/12*3,0))))))</f>
        <v>0</v>
      </c>
      <c r="CN205" s="416">
        <f>IF($H205&lt;&gt;CP$5,0,IF(CP205&gt;0,IF(OR($J205=1,$J205=2,$J205=3,$J205=4,$J205=5,$J205=6,$J205=7),$E205*$I205/12*3,IF($J205=8,$E205*$I205/12*2,IF($J205=9,$E205*$I205/12*1,0)))))+IF(CK$5&lt;&gt;$H205,0,IF(CK205&gt;0,IF($J205=7,$E205*$I205/12*0,IF($J205=8,$E205*$I205/12*1,IF($J205=9,$E205*$I205/12*2,IF($J205&gt;=10,$E205*$I205/12*3,0))))))</f>
        <v>0</v>
      </c>
      <c r="CO205" s="412">
        <f>IF($H205&lt;&gt;CP$5,0,IF(CP205&gt;0,IF(OR($J205=1,$J205=2,$J205=3,$J205=4,$J205=5,$J205=6,$J205=7,$J205=8,$J205=9,$J205=10),$E205*$I205/12*3,IF($J205=11,$E205*$I205/12*2,IF($J205=12,$E205*$I205/12*1,0)))))+IF(CK$5&lt;&gt;$H205,0,IF(CK205&gt;0,IF($J205=10,$E205*$I205/12*0,IF($J205=11,$E205*$I205/12*1,IF($J205=12,$E205*$I205/12*2,0)))))</f>
        <v>0</v>
      </c>
      <c r="CP205" s="413">
        <f>IF(AND(CK205&lt;&gt;0,CK$5=$H205),$I205*$E205-CK205,IF(CP$5=$H205,$I205*$E205*(12-$J205+1)/12,0))</f>
        <v>0</v>
      </c>
      <c r="CQ205" s="410">
        <f>IF($H205&lt;&gt;CU$5,0,IF(CU205&gt;0,IF($J205=1,$E205*$I205/12*3,IF($J205=2,$E205*$I205/12*2,IF($J205=3,$E205*$I205/12*1,0)))))+IF(CP$5&lt;&gt;$H205,0,IF(CP205&gt;0,IF($J205=1,$E205*$I205/12*0,IF($J205=2,$E205*$I205/12*1,IF($J205=3,$E205*$I205/12*2,IF($J205&gt;=4,$E205*$I205/12*3,0))))))</f>
        <v>0</v>
      </c>
      <c r="CR205" s="416">
        <f>IF($H205&lt;&gt;CU$5,0,IF(CU205&gt;0,IF(OR($J205=1,$J205=2,$J205=3,$J205=4),$E205*$I205/12*3,IF($J205=5,$E205*$I205/12*2,IF($J205=6,$E205*$I205/12*1,0)))))+IF(CP$5&lt;&gt;$H205,0,IF(CP205&gt;0,IF($J205=4,$E205*$I205/12*0,IF($J205=5,$E205*$I205/12*1,IF($J205=6,$E205*$I205/12*2,IF($J205&gt;=7,$E205*$I205/12*3,0))))))</f>
        <v>0</v>
      </c>
      <c r="CS205" s="416">
        <f>IF($H205&lt;&gt;CU$5,0,IF(CU205&gt;0,IF(OR($J205=1,$J205=2,$J205=3,$J205=4,$J205=5,$J205=6,$J205=7),$E205*$I205/12*3,IF($J205=8,$E205*$I205/12*2,IF($J205=9,$E205*$I205/12*1,0)))))+IF(CP$5&lt;&gt;$H205,0,IF(CP205&gt;0,IF($J205=7,$E205*$I205/12*0,IF($J205=8,$E205*$I205/12*1,IF($J205=9,$E205*$I205/12*2,IF($J205&gt;=10,$E205*$I205/12*3,0))))))</f>
        <v>0</v>
      </c>
      <c r="CT205" s="412">
        <f>IF($H205&lt;&gt;CU$5,0,IF(CU205&gt;0,IF(OR($J205=1,$J205=2,$J205=3,$J205=4,$J205=5,$J205=6,$J205=7,$J205=8,$J205=9,$J205=10),$E205*$I205/12*3,IF($J205=11,$E205*$I205/12*2,IF($J205=12,$E205*$I205/12*1,0)))))+IF(CP$5&lt;&gt;$H205,0,IF(CP205&gt;0,IF($J205=10,$E205*$I205/12*0,IF($J205=11,$E205*$I205/12*1,IF($J205=12,$E205*$I205/12*2,0)))))</f>
        <v>0</v>
      </c>
      <c r="CU205" s="413">
        <f>IF(AND(CP205&lt;&gt;0,CP$5=$H205),$I205*$E205-CP205,IF(CU$5=$H205,$I205*$E205*(12-$J205+1)/12,0))</f>
        <v>0</v>
      </c>
      <c r="CV205" s="410">
        <f>IF($H205&lt;&gt;CZ$5,0,IF(CZ205&gt;0,IF($J205=1,$E205*$I205/12*3,IF($J205=2,$E205*$I205/12*2,IF($J205=3,$E205*$I205/12*1,0)))))+IF(CU$5&lt;&gt;$H205,0,IF(CU205&gt;0,IF($J205=1,$E205*$I205/12*0,IF($J205=2,$E205*$I205/12*1,IF($J205=3,$E205*$I205/12*2,IF($J205&gt;=4,$E205*$I205/12*3,0))))))</f>
        <v>0</v>
      </c>
      <c r="CW205" s="416">
        <f>IF($H205&lt;&gt;CZ$5,0,IF(CZ205&gt;0,IF(OR($J205=1,$J205=2,$J205=3,$J205=4),$E205*$I205/12*3,IF($J205=5,$E205*$I205/12*2,IF($J205=6,$E205*$I205/12*1,0)))))+IF(CU$5&lt;&gt;$H205,0,IF(CU205&gt;0,IF($J205=4,$E205*$I205/12*0,IF($J205=5,$E205*$I205/12*1,IF($J205=6,$E205*$I205/12*2,IF($J205&gt;=7,$E205*$I205/12*3,0))))))</f>
        <v>0</v>
      </c>
      <c r="CX205" s="416">
        <f>IF($H205&lt;&gt;CZ$5,0,IF(CZ205&gt;0,IF(OR($J205=1,$J205=2,$J205=3,$J205=4,$J205=5,$J205=6,$J205=7),$E205*$I205/12*3,IF($J205=8,$E205*$I205/12*2,IF($J205=9,$E205*$I205/12*1,0)))))+IF(CU$5&lt;&gt;$H205,0,IF(CU205&gt;0,IF($J205=7,$E205*$I205/12*0,IF($J205=8,$E205*$I205/12*1,IF($J205=9,$E205*$I205/12*2,IF($J205&gt;=10,$E205*$I205/12*3,0))))))</f>
        <v>0.11166666666666668</v>
      </c>
      <c r="CY205" s="412">
        <f>IF($H205&lt;&gt;CZ$5,0,IF(CZ205&gt;0,IF(OR($J205=1,$J205=2,$J205=3,$J205=4,$J205=5,$J205=6,$J205=7,$J205=8,$J205=9,$J205=10),$E205*$I205/12*3,IF($J205=11,$E205*$I205/12*2,IF($J205=12,$E205*$I205/12*1,0)))))+IF(CU$5&lt;&gt;$H205,0,IF(CU205&gt;0,IF($J205=10,$E205*$I205/12*0,IF($J205=11,$E205*$I205/12*1,IF($J205=12,$E205*$I205/12*2,0)))))</f>
        <v>0.33500000000000002</v>
      </c>
      <c r="CZ205" s="413">
        <f>IF(AND(CU205&lt;&gt;0,CU$5=$H205),$I205*$E205-CU205,IF(CZ$5=$H205,$I205*$E205*(12-$J205+1)/12,0))</f>
        <v>0.44666666666666671</v>
      </c>
      <c r="DA205" s="410">
        <f>IF($H205&lt;&gt;DE$5,0,IF(DE205&gt;0,IF($J205=1,$E205*$I205/12*3,IF($J205=2,$E205*$I205/12*2,IF($J205=3,$E205*$I205/12*1,0)))))+IF(CZ$5&lt;&gt;$H205,0,IF(CZ205&gt;0,IF($J205=1,$E205*$I205/12*0,IF($J205=2,$E205*$I205/12*1,IF($J205=3,$E205*$I205/12*2,IF($J205&gt;=4,$E205*$I205/12*3,0))))))</f>
        <v>0.33500000000000002</v>
      </c>
      <c r="DB205" s="416">
        <f>IF($H205&lt;&gt;DE$5,0,IF(DE205&gt;0,IF(OR($J205=1,$J205=2,$J205=3,$J205=4),$E205*$I205/12*3,IF($J205=5,$E205*$I205/12*2,IF($J205=6,$E205*$I205/12*1,0)))))+IF(CZ$5&lt;&gt;$H205,0,IF(CZ205&gt;0,IF($J205=4,$E205*$I205/12*0,IF($J205=5,$E205*$I205/12*1,IF($J205=6,$E205*$I205/12*2,IF($J205&gt;=7,$E205*$I205/12*3,0))))))</f>
        <v>0.33500000000000002</v>
      </c>
      <c r="DC205" s="416">
        <f>IF($H205&lt;&gt;DE$5,0,IF(DE205&gt;0,IF(OR($J205=1,$J205=2,$J205=3,$J205=4,$J205=5,$J205=6,$J205=7),$E205*$I205/12*3,IF($J205=8,$E205*$I205/12*2,IF($J205=9,$E205*$I205/12*1,0)))))+IF(CZ$5&lt;&gt;$H205,0,IF(CZ205&gt;0,IF($J205=7,$E205*$I205/12*0,IF($J205=8,$E205*$I205/12*1,IF($J205=9,$E205*$I205/12*2,IF($J205&gt;=10,$E205*$I205/12*3,0))))))</f>
        <v>0.22333333333333336</v>
      </c>
      <c r="DD205" s="412">
        <f>IF($H205&lt;&gt;DE$5,0,IF(DE205&gt;0,IF(OR($J205=1,$J205=2,$J205=3,$J205=4,$J205=5,$J205=6,$J205=7,$J205=8,$J205=9,$J205=10),$E205*$I205/12*3,IF($J205=11,$E205*$I205/12*2,IF($J205=12,$E205*$I205/12*1,0)))))+IF(CZ$5&lt;&gt;$H205,0,IF(CZ205&gt;0,IF($J205=10,$E205*$I205/12*0,IF($J205=11,$E205*$I205/12*1,IF($J205=12,$E205*$I205/12*2,0)))))</f>
        <v>0</v>
      </c>
      <c r="DE205" s="413">
        <f>IF(AND(CZ205&lt;&gt;0,CZ$5=$H205),$I205*$E205-CZ205,IF(DE$5=$H205,$I205*$E205*(12-$J205+1)/12,0))</f>
        <v>0.89333333333333331</v>
      </c>
      <c r="DF205" s="410">
        <f>IF($H205&lt;&gt;DJ$5,0,IF(DJ205&gt;0,IF($J205=1,$E205*$I205/12*3,IF($J205=2,$E205*$I205/12*2,IF($J205=3,$E205*$I205/12*1,0)))))+IF(DE$5&lt;&gt;$H205,0,IF(DE205&gt;0,IF($J205=1,$E205*$I205/12*0,IF($J205=2,$E205*$I205/12*1,IF($J205=3,$E205*$I205/12*2,IF($J205&gt;=4,$E205*$I205/12*3,0))))))</f>
        <v>0</v>
      </c>
      <c r="DG205" s="416">
        <f>IF($H205&lt;&gt;DJ$5,0,IF(DJ205&gt;0,IF(OR($J205=1,$J205=2,$J205=3,$J205=4),$E205*$I205/12*3,IF($J205=5,$E205*$I205/12*2,IF($J205=6,$E205*$I205/12*1,0)))))+IF(DE$5&lt;&gt;$H205,0,IF(DE205&gt;0,IF($J205=4,$E205*$I205/12*0,IF($J205=5,$E205*$I205/12*1,IF($J205=6,$E205*$I205/12*2,IF($J205&gt;=7,$E205*$I205/12*3,0))))))</f>
        <v>0</v>
      </c>
      <c r="DH205" s="416">
        <f>IF($H205&lt;&gt;DJ$5,0,IF(DJ205&gt;0,IF(OR($J205=1,$J205=2,$J205=3,$J205=4,$J205=5,$J205=6,$J205=7),$E205*$I205/12*3,IF($J205=8,$E205*$I205/12*2,IF($J205=9,$E205*$I205/12*1,0)))))+IF(DE$5&lt;&gt;$H205,0,IF(DE205&gt;0,IF($J205=7,$E205*$I205/12*0,IF($J205=8,$E205*$I205/12*1,IF($J205=9,$E205*$I205/12*2,IF($J205&gt;=10,$E205*$I205/12*3,0))))))</f>
        <v>0</v>
      </c>
      <c r="DI205" s="412">
        <f>IF($H205&lt;&gt;DJ$5,0,IF(DJ205&gt;0,IF(OR($J205=1,$J205=2,$J205=3,$J205=4,$J205=5,$J205=6,$J205=7,$J205=8,$J205=9,$J205=10),$E205*$I205/12*3,IF($J205=11,$E205*$I205/12*2,IF($J205=12,$E205*$I205/12*1,0)))))+IF(DE$5&lt;&gt;$H205,0,IF(DE205&gt;0,IF($J205=10,$E205*$I205/12*0,IF($J205=11,$E205*$I205/12*1,IF($J205=12,$E205*$I205/12*2,0)))))</f>
        <v>0</v>
      </c>
      <c r="DJ205" s="413">
        <f>IF(AND(DE205&lt;&gt;0,DE$5=$H205),$I205*$E205-DE205,IF(DJ$5=$H205,$I205*$E205*(12-$J205+1)/12,0))</f>
        <v>0</v>
      </c>
      <c r="DK205" s="410">
        <f>IF($H205&lt;&gt;DO$5,0,IF(DO205&gt;0,IF($J205=1,$E205*$I205/12*3,IF($J205=2,$E205*$I205/12*2,IF($J205=3,$E205*$I205/12*1,0)))))+IF(DJ$5&lt;&gt;$H205,0,IF(DJ205&gt;0,IF($J205=1,$E205*$I205/12*0,IF($J205=2,$E205*$I205/12*1,IF($J205=3,$E205*$I205/12*2,IF($J205&gt;=4,$E205*$I205/12*3,0))))))</f>
        <v>0</v>
      </c>
      <c r="DL205" s="416">
        <f>IF($H205&lt;&gt;DO$5,0,IF(DO205&gt;0,IF(OR($J205=1,$J205=2,$J205=3,$J205=4),$E205*$I205/12*3,IF($J205=5,$E205*$I205/12*2,IF($J205=6,$E205*$I205/12*1,0)))))+IF(DJ$5&lt;&gt;$H205,0,IF(DJ205&gt;0,IF($J205=4,$E205*$I205/12*0,IF($J205=5,$E205*$I205/12*1,IF($J205=6,$E205*$I205/12*2,IF($J205&gt;=7,$E205*$I205/12*3,0))))))</f>
        <v>0</v>
      </c>
      <c r="DM205" s="416">
        <f>IF($H205&lt;&gt;DO$5,0,IF(DO205&gt;0,IF(OR($J205=1,$J205=2,$J205=3,$J205=4,$J205=5,$J205=6,$J205=7),$E205*$I205/12*3,IF($J205=8,$E205*$I205/12*2,IF($J205=9,$E205*$I205/12*1,0)))))+IF(DJ$5&lt;&gt;$H205,0,IF(DJ205&gt;0,IF($J205=7,$E205*$I205/12*0,IF($J205=8,$E205*$I205/12*1,IF($J205=9,$E205*$I205/12*2,IF($J205&gt;=10,$E205*$I205/12*3,0))))))</f>
        <v>0</v>
      </c>
      <c r="DN205" s="412">
        <f>IF($H205&lt;&gt;DO$5,0,IF(DO205&gt;0,IF(OR($J205=1,$J205=2,$J205=3,$J205=4,$J205=5,$J205=6,$J205=7,$J205=8,$J205=9,$J205=10),$E205*$I205/12*3,IF($J205=11,$E205*$I205/12*2,IF($J205=12,$E205*$I205/12*1,0)))))+IF(DJ$5&lt;&gt;$H205,0,IF(DJ205&gt;0,IF($J205=10,$E205*$I205/12*0,IF($J205=11,$E205*$I205/12*1,IF($J205=12,$E205*$I205/12*2,0)))))</f>
        <v>0</v>
      </c>
      <c r="DO205" s="413">
        <f>IF(AND(DJ205&lt;&gt;0,DJ$5=$H205),$I205*$E205-DJ205,IF(DO$5=$H205,$I205*$E205*(12-$J205+1)/12,0))</f>
        <v>0</v>
      </c>
      <c r="DP205" s="410">
        <f>IF($H205&lt;&gt;DT$5,0,IF(DT205&gt;0,IF($J205=1,$E205*$I205/12*3,IF($J205=2,$E205*$I205/12*2,IF($J205=3,$E205*$I205/12*1,0)))))+IF(DO$5&lt;&gt;$H205,0,IF(DO205&gt;0,IF($J205=1,$E205*$I205/12*0,IF($J205=2,$E205*$I205/12*1,IF($J205=3,$E205*$I205/12*2,IF($J205&gt;=4,$E205*$I205/12*3,0))))))</f>
        <v>0</v>
      </c>
      <c r="DQ205" s="416">
        <f>IF($H205&lt;&gt;DT$5,0,IF(DT205&gt;0,IF(OR($J205=1,$J205=2,$J205=3,$J205=4),$E205*$I205/12*3,IF($J205=5,$E205*$I205/12*2,IF($J205=6,$E205*$I205/12*1,0)))))+IF(DO$5&lt;&gt;$H205,0,IF(DO205&gt;0,IF($J205=4,$E205*$I205/12*0,IF($J205=5,$E205*$I205/12*1,IF($J205=6,$E205*$I205/12*2,IF($J205&gt;=7,$E205*$I205/12*3,0))))))</f>
        <v>0</v>
      </c>
      <c r="DR205" s="416">
        <f>IF($H205&lt;&gt;DT$5,0,IF(DT205&gt;0,IF(OR($J205=1,$J205=2,$J205=3,$J205=4,$J205=5,$J205=6,$J205=7),$E205*$I205/12*3,IF($J205=8,$E205*$I205/12*2,IF($J205=9,$E205*$I205/12*1,0)))))+IF(DO$5&lt;&gt;$H205,0,IF(DO205&gt;0,IF($J205=7,$E205*$I205/12*0,IF($J205=8,$E205*$I205/12*1,IF($J205=9,$E205*$I205/12*2,IF($J205&gt;=10,$E205*$I205/12*3,0))))))</f>
        <v>0</v>
      </c>
      <c r="DS205" s="412">
        <f>IF($H205&lt;&gt;DT$5,0,IF(DT205&gt;0,IF(OR($J205=1,$J205=2,$J205=3,$J205=4,$J205=5,$J205=6,$J205=7,$J205=8,$J205=9,$J205=10),$E205*$I205/12*3,IF($J205=11,$E205*$I205/12*2,IF($J205=12,$E205*$I205/12*1,0)))))+IF(DO$5&lt;&gt;$H205,0,IF(DO205&gt;0,IF($J205=10,$E205*$I205/12*0,IF($J205=11,$E205*$I205/12*1,IF($J205=12,$E205*$I205/12*2,0)))))</f>
        <v>0</v>
      </c>
      <c r="DT205" s="413">
        <f>IF(AND(DO205&lt;&gt;0,DO$5=$H205),$I205*$E205-DO205,IF(DT$5=$H205,$I205*$E205*(12-$J205+1)/12,0))</f>
        <v>0</v>
      </c>
    </row>
    <row r="206" spans="1:124" ht="12.75" customHeight="1">
      <c r="A206" s="491"/>
      <c r="C206" s="559" t="s">
        <v>1338</v>
      </c>
      <c r="D206" s="1885"/>
      <c r="E206" s="1869">
        <v>165</v>
      </c>
      <c r="F206" s="1888"/>
      <c r="G206" s="1888"/>
      <c r="H206" s="610">
        <v>2017</v>
      </c>
      <c r="I206" s="830">
        <v>3.4500000000000003E-2</v>
      </c>
      <c r="J206" s="615">
        <v>9</v>
      </c>
      <c r="K206" s="402"/>
      <c r="L206" s="407">
        <f>IF(L$5=$H206,$E206,0)</f>
        <v>0</v>
      </c>
      <c r="M206" s="404">
        <f>IF(Q206=0,0,IF(Q206&gt;0,IF($J206=3,Q206,IF($J206=2,Q206,IF($J206=1,Q206,0)))))</f>
        <v>0</v>
      </c>
      <c r="N206" s="414">
        <f>IF(Q206=0,0,IF(Q206&gt;0,IF($J206=6,Q206,IF($J206=5,Q206,IF($J206=4,Q206,0)))))</f>
        <v>0</v>
      </c>
      <c r="O206" s="414">
        <f>IF(Q206=0,0,IF(Q206&gt;0,IF($J206=9,Q206,IF($J206=8,Q206,IF($J206=7,Q206,0)))))</f>
        <v>0</v>
      </c>
      <c r="P206" s="406">
        <f>IF(Q206=0,0,IF(Q206&gt;0,IF($J206=12,Q206,IF($J206=11,Q206,IF($J206=10,Q206,0)))))</f>
        <v>0</v>
      </c>
      <c r="Q206" s="407">
        <f>IF(Q$5=$H206,$E206,0)</f>
        <v>0</v>
      </c>
      <c r="R206" s="404">
        <f>IF(V206=0,0,IF(V206&gt;0,IF($J206=3,V206,IF($J206=2,V206,IF($J206=1,V206,0)))))</f>
        <v>0</v>
      </c>
      <c r="S206" s="414">
        <f>IF(V206=0,0,IF(V206&gt;0,IF($J206=6,V206,IF($J206=5,V206,IF($J206=4,V206,0)))))</f>
        <v>0</v>
      </c>
      <c r="T206" s="414">
        <f>IF(V206=0,0,IF(V206&gt;0,IF($J206=9,V206,IF($J206=8,V206,IF($J206=7,V206,0)))))</f>
        <v>0</v>
      </c>
      <c r="U206" s="406">
        <f>IF(V206=0,0,IF(V206&gt;0,IF($J206=12,V206,IF($J206=11,V206,IF($J206=10,V206,0)))))</f>
        <v>0</v>
      </c>
      <c r="V206" s="407">
        <f>IF(V$5=$H206,$E206,0)</f>
        <v>0</v>
      </c>
      <c r="W206" s="404">
        <f>IF(AA206=0,0,IF(AA206&gt;0,IF($J206=3,AA206,IF($J206=2,AA206,IF($J206=1,AA206,0)))))</f>
        <v>0</v>
      </c>
      <c r="X206" s="414">
        <f>IF(AA206=0,0,IF(AA206&gt;0,IF($J206=6,AA206,IF($J206=5,AA206,IF($J206=4,AA206,0)))))</f>
        <v>0</v>
      </c>
      <c r="Y206" s="414">
        <f>IF(AA206=0,0,IF(AA206&gt;0,IF($J206=9,AA206,IF($J206=8,AA206,IF($J206=7,AA206,0)))))</f>
        <v>0</v>
      </c>
      <c r="Z206" s="406">
        <f>IF(AA206=0,0,IF(AA206&gt;0,IF($J206=12,AA206,IF($J206=11,AA206,IF($J206=10,AA206,0)))))</f>
        <v>0</v>
      </c>
      <c r="AA206" s="407">
        <f>IF(AA$5=$H206,$E206,0)</f>
        <v>0</v>
      </c>
      <c r="AB206" s="404">
        <f>IF(AF206=0,0,IF(AF206&gt;0,IF($J206=3,AF206,IF($J206=2,AF206,IF($J206=1,AF206,0)))))</f>
        <v>0</v>
      </c>
      <c r="AC206" s="414">
        <f>IF(AF206=0,0,IF(AF206&gt;0,IF($J206=6,AF206,IF($J206=5,AF206,IF($J206=4,AF206,0)))))</f>
        <v>0</v>
      </c>
      <c r="AD206" s="414">
        <f>IF(AF206=0,0,IF(AF206&gt;0,IF($J206=9,AF206,IF($J206=8,AF206,IF($J206=7,AF206,0)))))</f>
        <v>0</v>
      </c>
      <c r="AE206" s="406">
        <f>IF(AF206=0,0,IF(AF206&gt;0,IF($J206=12,AF206,IF($J206=11,AF206,IF($J206=10,AF206,0)))))</f>
        <v>0</v>
      </c>
      <c r="AF206" s="407">
        <f>IF(AF$5=$H206,$E206,0)</f>
        <v>0</v>
      </c>
      <c r="AG206" s="404">
        <f>IF(AK206=0,0,IF(AK206&gt;0,IF($J206=3,AK206,IF($J206=2,AK206,IF($J206=1,AK206,0)))))</f>
        <v>0</v>
      </c>
      <c r="AH206" s="414">
        <f>IF(AK206=0,0,IF(AK206&gt;0,IF($J206=6,AK206,IF($J206=5,AK206,IF($J206=4,AK206,0)))))</f>
        <v>0</v>
      </c>
      <c r="AI206" s="414">
        <f>IF(AK206=0,0,IF(AK206&gt;0,IF($J206=9,AK206,IF($J206=8,AK206,IF($J206=7,AK206,0)))))</f>
        <v>0</v>
      </c>
      <c r="AJ206" s="406">
        <f>IF(AK206=0,0,IF(AK206&gt;0,IF($J206=12,AK206,IF($J206=11,AK206,IF($J206=10,AK206,0)))))</f>
        <v>0</v>
      </c>
      <c r="AK206" s="407">
        <f>IF(AK$5=$H206,$E206,0)</f>
        <v>0</v>
      </c>
      <c r="AL206" s="404">
        <f>IF(AP206=0,0,IF(AP206&gt;0,IF($J206=3,AP206,IF($J206=2,AP206,IF($J206=1,AP206,0)))))</f>
        <v>0</v>
      </c>
      <c r="AM206" s="414">
        <f>IF(AP206=0,0,IF(AP206&gt;0,IF($J206=6,AP206,IF($J206=5,AP206,IF($J206=4,AP206,0)))))</f>
        <v>0</v>
      </c>
      <c r="AN206" s="414">
        <f>IF(AP206=0,0,IF(AP206&gt;0,IF($J206=9,AP206,IF($J206=8,AP206,IF($J206=7,AP206,0)))))</f>
        <v>0</v>
      </c>
      <c r="AO206" s="406">
        <f>IF(AP206=0,0,IF(AP206&gt;0,IF($J206=12,AP206,IF($J206=11,AP206,IF($J206=10,AP206,0)))))</f>
        <v>0</v>
      </c>
      <c r="AP206" s="407">
        <f>IF(AP$5=$H206,$E206,0)</f>
        <v>0</v>
      </c>
      <c r="AQ206" s="404">
        <f>IF(AU206=0,0,IF(AU206&gt;0,IF($J206=3,AU206,IF($J206=2,AU206,IF($J206=1,AU206,0)))))</f>
        <v>0</v>
      </c>
      <c r="AR206" s="414">
        <f>IF(AU206=0,0,IF(AU206&gt;0,IF($J206=6,AU206,IF($J206=5,AU206,IF($J206=4,AU206,0)))))</f>
        <v>0</v>
      </c>
      <c r="AS206" s="414">
        <f>IF(AU206=0,0,IF(AU206&gt;0,IF($J206=9,AU206,IF($J206=8,AU206,IF($J206=7,AU206,0)))))</f>
        <v>165</v>
      </c>
      <c r="AT206" s="406">
        <f>IF(AU206=0,0,IF(AU206&gt;0,IF($J206=12,AU206,IF($J206=11,AU206,IF($J206=10,AU206,0)))))</f>
        <v>0</v>
      </c>
      <c r="AU206" s="407">
        <f>IF(AU$5=$H206,$E206,0)</f>
        <v>165</v>
      </c>
      <c r="AV206" s="404">
        <f>IF(AZ206=0,0,IF(AZ206&gt;0,IF($J206=3,AZ206,IF($J206=2,AZ206,IF($J206=1,AZ206,0)))))</f>
        <v>0</v>
      </c>
      <c r="AW206" s="414">
        <f>IF(AZ206=0,0,IF(AZ206&gt;0,IF($J206=6,AZ206,IF($J206=5,AZ206,IF($J206=4,AZ206,0)))))</f>
        <v>0</v>
      </c>
      <c r="AX206" s="414">
        <f>IF(AZ206=0,0,IF(AZ206&gt;0,IF($J206=9,AZ206,IF($J206=8,AZ206,IF($J206=7,AZ206,0)))))</f>
        <v>0</v>
      </c>
      <c r="AY206" s="406">
        <f>IF(AZ206=0,0,IF(AZ206&gt;0,IF($J206=12,AZ206,IF($J206=11,AZ206,IF($J206=10,AZ206,0)))))</f>
        <v>0</v>
      </c>
      <c r="AZ206" s="407">
        <f>IF(AZ$5=$H206,$E206,0)</f>
        <v>0</v>
      </c>
      <c r="BA206" s="404">
        <f>IF(BE206=0,0,IF(BE206&gt;0,IF($J206=3,BE206,IF($J206=2,BE206,IF($J206=1,BE206,0)))))</f>
        <v>0</v>
      </c>
      <c r="BB206" s="414">
        <f>IF(BE206=0,0,IF(BE206&gt;0,IF($J206=6,BE206,IF($J206=5,BE206,IF($J206=4,BE206,0)))))</f>
        <v>0</v>
      </c>
      <c r="BC206" s="414">
        <f>IF(BE206=0,0,IF(BE206&gt;0,IF($J206=9,BE206,IF($J206=8,BE206,IF($J206=7,BE206,0)))))</f>
        <v>0</v>
      </c>
      <c r="BD206" s="406">
        <f>IF(BE206=0,0,IF(BE206&gt;0,IF($J206=12,BE206,IF($J206=11,BE206,IF($J206=10,BE206,0)))))</f>
        <v>0</v>
      </c>
      <c r="BE206" s="407">
        <f>IF(BE$5=$H206,$E206,0)</f>
        <v>0</v>
      </c>
      <c r="BF206" s="404">
        <f>IF(BJ206=0,0,IF(BJ206&gt;0,IF($J206=3,BJ206,IF($J206=2,BJ206,IF($J206=1,BJ206,0)))))</f>
        <v>0</v>
      </c>
      <c r="BG206" s="414">
        <f>IF(BJ206=0,0,IF(BJ206&gt;0,IF($J206=6,BJ206,IF($J206=5,BJ206,IF($J206=4,BJ206,0)))))</f>
        <v>0</v>
      </c>
      <c r="BH206" s="414">
        <f>IF(BJ206=0,0,IF(BJ206&gt;0,IF($J206=9,BJ206,IF($J206=8,BJ206,IF($J206=7,BJ206,0)))))</f>
        <v>0</v>
      </c>
      <c r="BI206" s="406">
        <f>IF(BJ206=0,0,IF(BJ206&gt;0,IF($J206=12,BJ206,IF($J206=11,BJ206,IF($J206=10,BJ206,0)))))</f>
        <v>0</v>
      </c>
      <c r="BJ206" s="407">
        <f>IF(BJ$5=$H206,$E206,0)</f>
        <v>0</v>
      </c>
      <c r="BK206" s="404">
        <f>IF(BO206=0,0,IF(BO206&gt;0,IF($J206=3,BO206,IF($J206=2,BO206,IF($J206=1,BO206,0)))))</f>
        <v>0</v>
      </c>
      <c r="BL206" s="414">
        <f>IF(BO206=0,0,IF(BO206&gt;0,IF($J206=6,BO206,IF($J206=5,BO206,IF($J206=4,BO206,0)))))</f>
        <v>0</v>
      </c>
      <c r="BM206" s="414">
        <f>IF(BO206=0,0,IF(BO206&gt;0,IF($J206=9,BO206,IF($J206=8,BO206,IF($J206=7,BO206,0)))))</f>
        <v>0</v>
      </c>
      <c r="BN206" s="406">
        <f>IF(BO206=0,0,IF(BO206&gt;0,IF($J206=12,BO206,IF($J206=11,BO206,IF($J206=10,BO206,0)))))</f>
        <v>0</v>
      </c>
      <c r="BO206" s="407">
        <f>IF(BO$5=$H206,$E206,0)</f>
        <v>0</v>
      </c>
      <c r="BP206" s="447"/>
      <c r="BQ206" s="413">
        <f>IF(AND(AH206&lt;&gt;0,AH$5=$H206),$I206*$E206-AH206,IF(BQ$5=$H206,$I206*$E206*(12-$J206+1)/12,0))</f>
        <v>0</v>
      </c>
      <c r="BR206" s="410">
        <f>IF($H206&lt;&gt;BV$5,0,IF(BV206&gt;0,IF($J206=1,$E206*$I206/12*3,IF($J206=2,$E206*$I206/12*2,IF($J206=3,$E206*$I206/12*1,0)))))+IF(BQ$5&lt;&gt;$H206,0,IF(BQ206&gt;0,IF($J206=1,$E206*$I206/12*0,IF($J206=2,$E206*$I206/12*1,IF($J206=3,$E206*$I206/12*2,IF($J206&gt;=4,$E206*$I206/12*3,0))))))</f>
        <v>0</v>
      </c>
      <c r="BS206" s="416">
        <f>IF($H206&lt;&gt;BV$5,0,IF(BV206&gt;0,IF(OR($J206=1,$J206=2,$J206=3,$J206=4),$E206*$I206/12*3,IF($J206=5,$E206*$I206/12*2,IF($J206=6,$E206*$I206/12*1,0)))))+IF(BQ$5&lt;&gt;$H206,0,IF(BQ206&gt;0,IF($J206=4,$E206*$I206/12*0,IF($J206=5,$E206*$I206/12*1,IF($J206=6,$E206*$I206/12*2,IF($J206&gt;=7,$E206*$I206/12*3,0))))))</f>
        <v>0</v>
      </c>
      <c r="BT206" s="416">
        <f>IF($H206&lt;&gt;BV$5,0,IF(BV206&gt;0,IF(OR($J206=1,$J206=2,$J206=3,$J206=4,$J206=5,$J206=6,$J206=7),$E206*$I206/12*3,IF($J206=8,$E206*$I206/12*2,IF($J206=9,$E206*$I206/12*1,0)))))+IF(BQ$5&lt;&gt;$H206,0,IF(BQ206&gt;0,IF($J206=7,$E206*$I206/12*0,IF($J206=8,$E206*$I206/12*1,IF($J206=9,$E206*$I206/12*2,IF($J206&gt;=10,$E206*$I206/12*3,0))))))</f>
        <v>0</v>
      </c>
      <c r="BU206" s="412">
        <f>IF($H206&lt;&gt;BV$5,0,IF(BV206&gt;0,IF(OR($J206=1,$J206=2,$J206=3,$J206=4,$J206=5,$J206=6,$J206=7,$J206=8,$J206=9,$J206=10),$E206*$I206/12*3,IF($J206=11,$E206*$I206/12*2,IF($J206=12,$E206*$I206/12*1,0)))))+IF(BQ$5&lt;&gt;$H206,0,IF(BQ206&gt;0,IF($J206=10,$E206*$I206/12*0,IF($J206=11,$E206*$I206/12*1,IF($J206=12,$E206*$I206/12*2,0)))))</f>
        <v>0</v>
      </c>
      <c r="BV206" s="413">
        <f>IF(AND(BQ206&lt;&gt;0,BQ$5=$H206),$I206*$E206-BQ206,IF(BV$5=$H206,$I206*$E206*(12-$J206+1)/12,0))</f>
        <v>0</v>
      </c>
      <c r="BW206" s="410">
        <f>IF($H206&lt;&gt;CA$5,0,IF(CA206&gt;0,IF($J206=1,$E206*$I206/12*3,IF($J206=2,$E206*$I206/12*2,IF($J206=3,$E206*$I206/12*1,0)))))+IF(BV$5&lt;&gt;$H206,0,IF(BV206&gt;0,IF($J206=1,$E206*$I206/12*0,IF($J206=2,$E206*$I206/12*1,IF($J206=3,$E206*$I206/12*2,IF($J206&gt;=4,$E206*$I206/12*3,0))))))</f>
        <v>0</v>
      </c>
      <c r="BX206" s="416">
        <f>IF($H206&lt;&gt;CA$5,0,IF(CA206&gt;0,IF(OR($J206=1,$J206=2,$J206=3,$J206=4),$E206*$I206/12*3,IF($J206=5,$E206*$I206/12*2,IF($J206=6,$E206*$I206/12*1,0)))))+IF(BV$5&lt;&gt;$H206,0,IF(BV206&gt;0,IF($J206=4,$E206*$I206/12*0,IF($J206=5,$E206*$I206/12*1,IF($J206=6,$E206*$I206/12*2,IF($J206&gt;=7,$E206*$I206/12*3,0))))))</f>
        <v>0</v>
      </c>
      <c r="BY206" s="416">
        <f>IF($H206&lt;&gt;CA$5,0,IF(CA206&gt;0,IF(OR($J206=1,$J206=2,$J206=3,$J206=4,$J206=5,$J206=6,$J206=7),$E206*$I206/12*3,IF($J206=8,$E206*$I206/12*2,IF($J206=9,$E206*$I206/12*1,0)))))+IF(BV$5&lt;&gt;$H206,0,IF(BV206&gt;0,IF($J206=7,$E206*$I206/12*0,IF($J206=8,$E206*$I206/12*1,IF($J206=9,$E206*$I206/12*2,IF($J206&gt;=10,$E206*$I206/12*3,0))))))</f>
        <v>0</v>
      </c>
      <c r="BZ206" s="412">
        <f>IF($H206&lt;&gt;CA$5,0,IF(CA206&gt;0,IF(OR($J206=1,$J206=2,$J206=3,$J206=4,$J206=5,$J206=6,$J206=7,$J206=8,$J206=9,$J206=10),$E206*$I206/12*3,IF($J206=11,$E206*$I206/12*2,IF($J206=12,$E206*$I206/12*1,0)))))+IF(BV$5&lt;&gt;$H206,0,IF(BV206&gt;0,IF($J206=10,$E206*$I206/12*0,IF($J206=11,$E206*$I206/12*1,IF($J206=12,$E206*$I206/12*2,0)))))</f>
        <v>0</v>
      </c>
      <c r="CA206" s="413">
        <f>IF(AND(BV206&lt;&gt;0,BV$5=$H206),$I206*$E206-BV206,IF(CA$5=$H206,$I206*$E206*(12-$J206+1)/12,0))</f>
        <v>0</v>
      </c>
      <c r="CB206" s="410">
        <f>IF($H206&lt;&gt;CF$5,0,IF(CF206&gt;0,IF($J206=1,$E206*$I206/12*3,IF($J206=2,$E206*$I206/12*2,IF($J206=3,$E206*$I206/12*1,0)))))+IF(CA$5&lt;&gt;$H206,0,IF(CA206&gt;0,IF($J206=1,$E206*$I206/12*0,IF($J206=2,$E206*$I206/12*1,IF($J206=3,$E206*$I206/12*2,IF($J206&gt;=4,$E206*$I206/12*3,0))))))</f>
        <v>0</v>
      </c>
      <c r="CC206" s="416">
        <f>IF($H206&lt;&gt;CF$5,0,IF(CF206&gt;0,IF(OR($J206=1,$J206=2,$J206=3,$J206=4),$E206*$I206/12*3,IF($J206=5,$E206*$I206/12*2,IF($J206=6,$E206*$I206/12*1,0)))))+IF(CA$5&lt;&gt;$H206,0,IF(CA206&gt;0,IF($J206=4,$E206*$I206/12*0,IF($J206=5,$E206*$I206/12*1,IF($J206=6,$E206*$I206/12*2,IF($J206&gt;=7,$E206*$I206/12*3,0))))))</f>
        <v>0</v>
      </c>
      <c r="CD206" s="416">
        <f>IF($H206&lt;&gt;CF$5,0,IF(CF206&gt;0,IF(OR($J206=1,$J206=2,$J206=3,$J206=4,$J206=5,$J206=6,$J206=7),$E206*$I206/12*3,IF($J206=8,$E206*$I206/12*2,IF($J206=9,$E206*$I206/12*1,0)))))+IF(CA$5&lt;&gt;$H206,0,IF(CA206&gt;0,IF($J206=7,$E206*$I206/12*0,IF($J206=8,$E206*$I206/12*1,IF($J206=9,$E206*$I206/12*2,IF($J206&gt;=10,$E206*$I206/12*3,0))))))</f>
        <v>0</v>
      </c>
      <c r="CE206" s="412">
        <f>IF($H206&lt;&gt;CF$5,0,IF(CF206&gt;0,IF(OR($J206=1,$J206=2,$J206=3,$J206=4,$J206=5,$J206=6,$J206=7,$J206=8,$J206=9,$J206=10),$E206*$I206/12*3,IF($J206=11,$E206*$I206/12*2,IF($J206=12,$E206*$I206/12*1,0)))))+IF(CA$5&lt;&gt;$H206,0,IF(CA206&gt;0,IF($J206=10,$E206*$I206/12*0,IF($J206=11,$E206*$I206/12*1,IF($J206=12,$E206*$I206/12*2,0)))))</f>
        <v>0</v>
      </c>
      <c r="CF206" s="413">
        <f>IF(AND(CA206&lt;&gt;0,CA$5=$H206),$I206*$E206-CA206,IF(CF$5=$H206,$I206*$E206*(12-$J206+1)/12,0))</f>
        <v>0</v>
      </c>
      <c r="CG206" s="410">
        <f>IF($H206&lt;&gt;CK$5,0,IF(CK206&gt;0,IF($J206=1,$E206*$I206/12*3,IF($J206=2,$E206*$I206/12*2,IF($J206=3,$E206*$I206/12*1,0)))))+IF(CF$5&lt;&gt;$H206,0,IF(CF206&gt;0,IF($J206=1,$E206*$I206/12*0,IF($J206=2,$E206*$I206/12*1,IF($J206=3,$E206*$I206/12*2,IF($J206&gt;=4,$E206*$I206/12*3,0))))))</f>
        <v>0</v>
      </c>
      <c r="CH206" s="416">
        <f>IF($H206&lt;&gt;CK$5,0,IF(CK206&gt;0,IF(OR($J206=1,$J206=2,$J206=3,$J206=4),$E206*$I206/12*3,IF($J206=5,$E206*$I206/12*2,IF($J206=6,$E206*$I206/12*1,0)))))+IF(CF$5&lt;&gt;$H206,0,IF(CF206&gt;0,IF($J206=4,$E206*$I206/12*0,IF($J206=5,$E206*$I206/12*1,IF($J206=6,$E206*$I206/12*2,IF($J206&gt;=7,$E206*$I206/12*3,0))))))</f>
        <v>0</v>
      </c>
      <c r="CI206" s="416">
        <f>IF($H206&lt;&gt;CK$5,0,IF(CK206&gt;0,IF(OR($J206=1,$J206=2,$J206=3,$J206=4,$J206=5,$J206=6,$J206=7),$E206*$I206/12*3,IF($J206=8,$E206*$I206/12*2,IF($J206=9,$E206*$I206/12*1,0)))))+IF(CF$5&lt;&gt;$H206,0,IF(CF206&gt;0,IF($J206=7,$E206*$I206/12*0,IF($J206=8,$E206*$I206/12*1,IF($J206=9,$E206*$I206/12*2,IF($J206&gt;=10,$E206*$I206/12*3,0))))))</f>
        <v>0</v>
      </c>
      <c r="CJ206" s="412">
        <f>IF($H206&lt;&gt;CK$5,0,IF(CK206&gt;0,IF(OR($J206=1,$J206=2,$J206=3,$J206=4,$J206=5,$J206=6,$J206=7,$J206=8,$J206=9,$J206=10),$E206*$I206/12*3,IF($J206=11,$E206*$I206/12*2,IF($J206=12,$E206*$I206/12*1,0)))))+IF(CF$5&lt;&gt;$H206,0,IF(CF206&gt;0,IF($J206=10,$E206*$I206/12*0,IF($J206=11,$E206*$I206/12*1,IF($J206=12,$E206*$I206/12*2,0)))))</f>
        <v>0</v>
      </c>
      <c r="CK206" s="413">
        <f>IF(AND(CF206&lt;&gt;0,CF$5=$H206),$I206*$E206-CF206,IF(CK$5=$H206,$I206*$E206*(12-$J206+1)/12,0))</f>
        <v>0</v>
      </c>
      <c r="CL206" s="410">
        <f>IF($H206&lt;&gt;CP$5,0,IF(CP206&gt;0,IF($J206=1,$E206*$I206/12*3,IF($J206=2,$E206*$I206/12*2,IF($J206=3,$E206*$I206/12*1,0)))))+IF(CK$5&lt;&gt;$H206,0,IF(CK206&gt;0,IF($J206=1,$E206*$I206/12*0,IF($J206=2,$E206*$I206/12*1,IF($J206=3,$E206*$I206/12*2,IF($J206&gt;=4,$E206*$I206/12*3,0))))))</f>
        <v>0</v>
      </c>
      <c r="CM206" s="416">
        <f>IF($H206&lt;&gt;CP$5,0,IF(CP206&gt;0,IF(OR($J206=1,$J206=2,$J206=3,$J206=4),$E206*$I206/12*3,IF($J206=5,$E206*$I206/12*2,IF($J206=6,$E206*$I206/12*1,0)))))+IF(CK$5&lt;&gt;$H206,0,IF(CK206&gt;0,IF($J206=4,$E206*$I206/12*0,IF($J206=5,$E206*$I206/12*1,IF($J206=6,$E206*$I206/12*2,IF($J206&gt;=7,$E206*$I206/12*3,0))))))</f>
        <v>0</v>
      </c>
      <c r="CN206" s="416">
        <f>IF($H206&lt;&gt;CP$5,0,IF(CP206&gt;0,IF(OR($J206=1,$J206=2,$J206=3,$J206=4,$J206=5,$J206=6,$J206=7),$E206*$I206/12*3,IF($J206=8,$E206*$I206/12*2,IF($J206=9,$E206*$I206/12*1,0)))))+IF(CK$5&lt;&gt;$H206,0,IF(CK206&gt;0,IF($J206=7,$E206*$I206/12*0,IF($J206=8,$E206*$I206/12*1,IF($J206=9,$E206*$I206/12*2,IF($J206&gt;=10,$E206*$I206/12*3,0))))))</f>
        <v>0</v>
      </c>
      <c r="CO206" s="412">
        <f>IF($H206&lt;&gt;CP$5,0,IF(CP206&gt;0,IF(OR($J206=1,$J206=2,$J206=3,$J206=4,$J206=5,$J206=6,$J206=7,$J206=8,$J206=9,$J206=10),$E206*$I206/12*3,IF($J206=11,$E206*$I206/12*2,IF($J206=12,$E206*$I206/12*1,0)))))+IF(CK$5&lt;&gt;$H206,0,IF(CK206&gt;0,IF($J206=10,$E206*$I206/12*0,IF($J206=11,$E206*$I206/12*1,IF($J206=12,$E206*$I206/12*2,0)))))</f>
        <v>0</v>
      </c>
      <c r="CP206" s="413">
        <f>IF(AND(CK206&lt;&gt;0,CK$5=$H206),$I206*$E206-CK206,IF(CP$5=$H206,$I206*$E206*(12-$J206+1)/12,0))</f>
        <v>0</v>
      </c>
      <c r="CQ206" s="410">
        <f>IF($H206&lt;&gt;CU$5,0,IF(CU206&gt;0,IF($J206=1,$E206*$I206/12*3,IF($J206=2,$E206*$I206/12*2,IF($J206=3,$E206*$I206/12*1,0)))))+IF(CP$5&lt;&gt;$H206,0,IF(CP206&gt;0,IF($J206=1,$E206*$I206/12*0,IF($J206=2,$E206*$I206/12*1,IF($J206=3,$E206*$I206/12*2,IF($J206&gt;=4,$E206*$I206/12*3,0))))))</f>
        <v>0</v>
      </c>
      <c r="CR206" s="416">
        <f>IF($H206&lt;&gt;CU$5,0,IF(CU206&gt;0,IF(OR($J206=1,$J206=2,$J206=3,$J206=4),$E206*$I206/12*3,IF($J206=5,$E206*$I206/12*2,IF($J206=6,$E206*$I206/12*1,0)))))+IF(CP$5&lt;&gt;$H206,0,IF(CP206&gt;0,IF($J206=4,$E206*$I206/12*0,IF($J206=5,$E206*$I206/12*1,IF($J206=6,$E206*$I206/12*2,IF($J206&gt;=7,$E206*$I206/12*3,0))))))</f>
        <v>0</v>
      </c>
      <c r="CS206" s="416">
        <f>IF($H206&lt;&gt;CU$5,0,IF(CU206&gt;0,IF(OR($J206=1,$J206=2,$J206=3,$J206=4,$J206=5,$J206=6,$J206=7),$E206*$I206/12*3,IF($J206=8,$E206*$I206/12*2,IF($J206=9,$E206*$I206/12*1,0)))))+IF(CP$5&lt;&gt;$H206,0,IF(CP206&gt;0,IF($J206=7,$E206*$I206/12*0,IF($J206=8,$E206*$I206/12*1,IF($J206=9,$E206*$I206/12*2,IF($J206&gt;=10,$E206*$I206/12*3,0))))))</f>
        <v>0</v>
      </c>
      <c r="CT206" s="412">
        <f>IF($H206&lt;&gt;CU$5,0,IF(CU206&gt;0,IF(OR($J206=1,$J206=2,$J206=3,$J206=4,$J206=5,$J206=6,$J206=7,$J206=8,$J206=9,$J206=10),$E206*$I206/12*3,IF($J206=11,$E206*$I206/12*2,IF($J206=12,$E206*$I206/12*1,0)))))+IF(CP$5&lt;&gt;$H206,0,IF(CP206&gt;0,IF($J206=10,$E206*$I206/12*0,IF($J206=11,$E206*$I206/12*1,IF($J206=12,$E206*$I206/12*2,0)))))</f>
        <v>0</v>
      </c>
      <c r="CU206" s="413">
        <f>IF(AND(CP206&lt;&gt;0,CP$5=$H206),$I206*$E206-CP206,IF(CU$5=$H206,$I206*$E206*(12-$J206+1)/12,0))</f>
        <v>0</v>
      </c>
      <c r="CV206" s="410">
        <f>IF($H206&lt;&gt;CZ$5,0,IF(CZ206&gt;0,IF($J206=1,$E206*$I206/12*3,IF($J206=2,$E206*$I206/12*2,IF($J206=3,$E206*$I206/12*1,0)))))+IF(CU$5&lt;&gt;$H206,0,IF(CU206&gt;0,IF($J206=1,$E206*$I206/12*0,IF($J206=2,$E206*$I206/12*1,IF($J206=3,$E206*$I206/12*2,IF($J206&gt;=4,$E206*$I206/12*3,0))))))</f>
        <v>0</v>
      </c>
      <c r="CW206" s="416">
        <f>IF($H206&lt;&gt;CZ$5,0,IF(CZ206&gt;0,IF(OR($J206=1,$J206=2,$J206=3,$J206=4),$E206*$I206/12*3,IF($J206=5,$E206*$I206/12*2,IF($J206=6,$E206*$I206/12*1,0)))))+IF(CU$5&lt;&gt;$H206,0,IF(CU206&gt;0,IF($J206=4,$E206*$I206/12*0,IF($J206=5,$E206*$I206/12*1,IF($J206=6,$E206*$I206/12*2,IF($J206&gt;=7,$E206*$I206/12*3,0))))))</f>
        <v>0</v>
      </c>
      <c r="CX206" s="416">
        <f>IF($H206&lt;&gt;CZ$5,0,IF(CZ206&gt;0,IF(OR($J206=1,$J206=2,$J206=3,$J206=4,$J206=5,$J206=6,$J206=7),$E206*$I206/12*3,IF($J206=8,$E206*$I206/12*2,IF($J206=9,$E206*$I206/12*1,0)))))+IF(CU$5&lt;&gt;$H206,0,IF(CU206&gt;0,IF($J206=7,$E206*$I206/12*0,IF($J206=8,$E206*$I206/12*1,IF($J206=9,$E206*$I206/12*2,IF($J206&gt;=10,$E206*$I206/12*3,0))))))</f>
        <v>0.47437500000000005</v>
      </c>
      <c r="CY206" s="412">
        <f>IF($H206&lt;&gt;CZ$5,0,IF(CZ206&gt;0,IF(OR($J206=1,$J206=2,$J206=3,$J206=4,$J206=5,$J206=6,$J206=7,$J206=8,$J206=9,$J206=10),$E206*$I206/12*3,IF($J206=11,$E206*$I206/12*2,IF($J206=12,$E206*$I206/12*1,0)))))+IF(CU$5&lt;&gt;$H206,0,IF(CU206&gt;0,IF($J206=10,$E206*$I206/12*0,IF($J206=11,$E206*$I206/12*1,IF($J206=12,$E206*$I206/12*2,0)))))</f>
        <v>1.4231250000000002</v>
      </c>
      <c r="CZ206" s="413">
        <f>IF(AND(CU206&lt;&gt;0,CU$5=$H206),$I206*$E206-CU206,IF(CZ$5=$H206,$I206*$E206*(12-$J206+1)/12,0))</f>
        <v>1.8975000000000002</v>
      </c>
      <c r="DA206" s="410">
        <f>IF($H206&lt;&gt;DE$5,0,IF(DE206&gt;0,IF($J206=1,$E206*$I206/12*3,IF($J206=2,$E206*$I206/12*2,IF($J206=3,$E206*$I206/12*1,0)))))+IF(CZ$5&lt;&gt;$H206,0,IF(CZ206&gt;0,IF($J206=1,$E206*$I206/12*0,IF($J206=2,$E206*$I206/12*1,IF($J206=3,$E206*$I206/12*2,IF($J206&gt;=4,$E206*$I206/12*3,0))))))</f>
        <v>1.4231250000000002</v>
      </c>
      <c r="DB206" s="416">
        <f>IF($H206&lt;&gt;DE$5,0,IF(DE206&gt;0,IF(OR($J206=1,$J206=2,$J206=3,$J206=4),$E206*$I206/12*3,IF($J206=5,$E206*$I206/12*2,IF($J206=6,$E206*$I206/12*1,0)))))+IF(CZ$5&lt;&gt;$H206,0,IF(CZ206&gt;0,IF($J206=4,$E206*$I206/12*0,IF($J206=5,$E206*$I206/12*1,IF($J206=6,$E206*$I206/12*2,IF($J206&gt;=7,$E206*$I206/12*3,0))))))</f>
        <v>1.4231250000000002</v>
      </c>
      <c r="DC206" s="416">
        <f>IF($H206&lt;&gt;DE$5,0,IF(DE206&gt;0,IF(OR($J206=1,$J206=2,$J206=3,$J206=4,$J206=5,$J206=6,$J206=7),$E206*$I206/12*3,IF($J206=8,$E206*$I206/12*2,IF($J206=9,$E206*$I206/12*1,0)))))+IF(CZ$5&lt;&gt;$H206,0,IF(CZ206&gt;0,IF($J206=7,$E206*$I206/12*0,IF($J206=8,$E206*$I206/12*1,IF($J206=9,$E206*$I206/12*2,IF($J206&gt;=10,$E206*$I206/12*3,0))))))</f>
        <v>0.94875000000000009</v>
      </c>
      <c r="DD206" s="412">
        <f>IF($H206&lt;&gt;DE$5,0,IF(DE206&gt;0,IF(OR($J206=1,$J206=2,$J206=3,$J206=4,$J206=5,$J206=6,$J206=7,$J206=8,$J206=9,$J206=10),$E206*$I206/12*3,IF($J206=11,$E206*$I206/12*2,IF($J206=12,$E206*$I206/12*1,0)))))+IF(CZ$5&lt;&gt;$H206,0,IF(CZ206&gt;0,IF($J206=10,$E206*$I206/12*0,IF($J206=11,$E206*$I206/12*1,IF($J206=12,$E206*$I206/12*2,0)))))</f>
        <v>0</v>
      </c>
      <c r="DE206" s="413">
        <f>IF(AND(CZ206&lt;&gt;0,CZ$5=$H206),$I206*$E206-CZ206,IF(DE$5=$H206,$I206*$E206*(12-$J206+1)/12,0))</f>
        <v>3.7950000000000008</v>
      </c>
      <c r="DF206" s="410">
        <f>IF($H206&lt;&gt;DJ$5,0,IF(DJ206&gt;0,IF($J206=1,$E206*$I206/12*3,IF($J206=2,$E206*$I206/12*2,IF($J206=3,$E206*$I206/12*1,0)))))+IF(DE$5&lt;&gt;$H206,0,IF(DE206&gt;0,IF($J206=1,$E206*$I206/12*0,IF($J206=2,$E206*$I206/12*1,IF($J206=3,$E206*$I206/12*2,IF($J206&gt;=4,$E206*$I206/12*3,0))))))</f>
        <v>0</v>
      </c>
      <c r="DG206" s="416">
        <f>IF($H206&lt;&gt;DJ$5,0,IF(DJ206&gt;0,IF(OR($J206=1,$J206=2,$J206=3,$J206=4),$E206*$I206/12*3,IF($J206=5,$E206*$I206/12*2,IF($J206=6,$E206*$I206/12*1,0)))))+IF(DE$5&lt;&gt;$H206,0,IF(DE206&gt;0,IF($J206=4,$E206*$I206/12*0,IF($J206=5,$E206*$I206/12*1,IF($J206=6,$E206*$I206/12*2,IF($J206&gt;=7,$E206*$I206/12*3,0))))))</f>
        <v>0</v>
      </c>
      <c r="DH206" s="416">
        <f>IF($H206&lt;&gt;DJ$5,0,IF(DJ206&gt;0,IF(OR($J206=1,$J206=2,$J206=3,$J206=4,$J206=5,$J206=6,$J206=7),$E206*$I206/12*3,IF($J206=8,$E206*$I206/12*2,IF($J206=9,$E206*$I206/12*1,0)))))+IF(DE$5&lt;&gt;$H206,0,IF(DE206&gt;0,IF($J206=7,$E206*$I206/12*0,IF($J206=8,$E206*$I206/12*1,IF($J206=9,$E206*$I206/12*2,IF($J206&gt;=10,$E206*$I206/12*3,0))))))</f>
        <v>0</v>
      </c>
      <c r="DI206" s="412">
        <f>IF($H206&lt;&gt;DJ$5,0,IF(DJ206&gt;0,IF(OR($J206=1,$J206=2,$J206=3,$J206=4,$J206=5,$J206=6,$J206=7,$J206=8,$J206=9,$J206=10),$E206*$I206/12*3,IF($J206=11,$E206*$I206/12*2,IF($J206=12,$E206*$I206/12*1,0)))))+IF(DE$5&lt;&gt;$H206,0,IF(DE206&gt;0,IF($J206=10,$E206*$I206/12*0,IF($J206=11,$E206*$I206/12*1,IF($J206=12,$E206*$I206/12*2,0)))))</f>
        <v>0</v>
      </c>
      <c r="DJ206" s="413">
        <f>IF(AND(DE206&lt;&gt;0,DE$5=$H206),$I206*$E206-DE206,IF(DJ$5=$H206,$I206*$E206*(12-$J206+1)/12,0))</f>
        <v>0</v>
      </c>
      <c r="DK206" s="410">
        <f>IF($H206&lt;&gt;DO$5,0,IF(DO206&gt;0,IF($J206=1,$E206*$I206/12*3,IF($J206=2,$E206*$I206/12*2,IF($J206=3,$E206*$I206/12*1,0)))))+IF(DJ$5&lt;&gt;$H206,0,IF(DJ206&gt;0,IF($J206=1,$E206*$I206/12*0,IF($J206=2,$E206*$I206/12*1,IF($J206=3,$E206*$I206/12*2,IF($J206&gt;=4,$E206*$I206/12*3,0))))))</f>
        <v>0</v>
      </c>
      <c r="DL206" s="416">
        <f>IF($H206&lt;&gt;DO$5,0,IF(DO206&gt;0,IF(OR($J206=1,$J206=2,$J206=3,$J206=4),$E206*$I206/12*3,IF($J206=5,$E206*$I206/12*2,IF($J206=6,$E206*$I206/12*1,0)))))+IF(DJ$5&lt;&gt;$H206,0,IF(DJ206&gt;0,IF($J206=4,$E206*$I206/12*0,IF($J206=5,$E206*$I206/12*1,IF($J206=6,$E206*$I206/12*2,IF($J206&gt;=7,$E206*$I206/12*3,0))))))</f>
        <v>0</v>
      </c>
      <c r="DM206" s="416">
        <f>IF($H206&lt;&gt;DO$5,0,IF(DO206&gt;0,IF(OR($J206=1,$J206=2,$J206=3,$J206=4,$J206=5,$J206=6,$J206=7),$E206*$I206/12*3,IF($J206=8,$E206*$I206/12*2,IF($J206=9,$E206*$I206/12*1,0)))))+IF(DJ$5&lt;&gt;$H206,0,IF(DJ206&gt;0,IF($J206=7,$E206*$I206/12*0,IF($J206=8,$E206*$I206/12*1,IF($J206=9,$E206*$I206/12*2,IF($J206&gt;=10,$E206*$I206/12*3,0))))))</f>
        <v>0</v>
      </c>
      <c r="DN206" s="412">
        <f>IF($H206&lt;&gt;DO$5,0,IF(DO206&gt;0,IF(OR($J206=1,$J206=2,$J206=3,$J206=4,$J206=5,$J206=6,$J206=7,$J206=8,$J206=9,$J206=10),$E206*$I206/12*3,IF($J206=11,$E206*$I206/12*2,IF($J206=12,$E206*$I206/12*1,0)))))+IF(DJ$5&lt;&gt;$H206,0,IF(DJ206&gt;0,IF($J206=10,$E206*$I206/12*0,IF($J206=11,$E206*$I206/12*1,IF($J206=12,$E206*$I206/12*2,0)))))</f>
        <v>0</v>
      </c>
      <c r="DO206" s="413">
        <f>IF(AND(DJ206&lt;&gt;0,DJ$5=$H206),$I206*$E206-DJ206,IF(DO$5=$H206,$I206*$E206*(12-$J206+1)/12,0))</f>
        <v>0</v>
      </c>
      <c r="DP206" s="410">
        <f>IF($H206&lt;&gt;DT$5,0,IF(DT206&gt;0,IF($J206=1,$E206*$I206/12*3,IF($J206=2,$E206*$I206/12*2,IF($J206=3,$E206*$I206/12*1,0)))))+IF(DO$5&lt;&gt;$H206,0,IF(DO206&gt;0,IF($J206=1,$E206*$I206/12*0,IF($J206=2,$E206*$I206/12*1,IF($J206=3,$E206*$I206/12*2,IF($J206&gt;=4,$E206*$I206/12*3,0))))))</f>
        <v>0</v>
      </c>
      <c r="DQ206" s="416">
        <f>IF($H206&lt;&gt;DT$5,0,IF(DT206&gt;0,IF(OR($J206=1,$J206=2,$J206=3,$J206=4),$E206*$I206/12*3,IF($J206=5,$E206*$I206/12*2,IF($J206=6,$E206*$I206/12*1,0)))))+IF(DO$5&lt;&gt;$H206,0,IF(DO206&gt;0,IF($J206=4,$E206*$I206/12*0,IF($J206=5,$E206*$I206/12*1,IF($J206=6,$E206*$I206/12*2,IF($J206&gt;=7,$E206*$I206/12*3,0))))))</f>
        <v>0</v>
      </c>
      <c r="DR206" s="416">
        <f>IF($H206&lt;&gt;DT$5,0,IF(DT206&gt;0,IF(OR($J206=1,$J206=2,$J206=3,$J206=4,$J206=5,$J206=6,$J206=7),$E206*$I206/12*3,IF($J206=8,$E206*$I206/12*2,IF($J206=9,$E206*$I206/12*1,0)))))+IF(DO$5&lt;&gt;$H206,0,IF(DO206&gt;0,IF($J206=7,$E206*$I206/12*0,IF($J206=8,$E206*$I206/12*1,IF($J206=9,$E206*$I206/12*2,IF($J206&gt;=10,$E206*$I206/12*3,0))))))</f>
        <v>0</v>
      </c>
      <c r="DS206" s="412">
        <f>IF($H206&lt;&gt;DT$5,0,IF(DT206&gt;0,IF(OR($J206=1,$J206=2,$J206=3,$J206=4,$J206=5,$J206=6,$J206=7,$J206=8,$J206=9,$J206=10),$E206*$I206/12*3,IF($J206=11,$E206*$I206/12*2,IF($J206=12,$E206*$I206/12*1,0)))))+IF(DO$5&lt;&gt;$H206,0,IF(DO206&gt;0,IF($J206=10,$E206*$I206/12*0,IF($J206=11,$E206*$I206/12*1,IF($J206=12,$E206*$I206/12*2,0)))))</f>
        <v>0</v>
      </c>
      <c r="DT206" s="413">
        <f>IF(AND(DO206&lt;&gt;0,DO$5=$H206),$I206*$E206-DO206,IF(DT$5=$H206,$I206*$E206*(12-$J206+1)/12,0))</f>
        <v>0</v>
      </c>
    </row>
    <row r="207" spans="1:124" ht="12.75" customHeight="1">
      <c r="A207" s="491"/>
      <c r="C207" s="559" t="s">
        <v>1339</v>
      </c>
      <c r="D207" s="1885"/>
      <c r="E207" s="1869">
        <v>55</v>
      </c>
      <c r="F207" s="1888"/>
      <c r="G207" s="1888"/>
      <c r="H207" s="610">
        <v>2017</v>
      </c>
      <c r="I207" s="830">
        <v>4.1200000000000001E-2</v>
      </c>
      <c r="J207" s="615">
        <v>9</v>
      </c>
      <c r="K207" s="402"/>
      <c r="L207" s="407">
        <f>IF(L$5=$H207,$E207,0)</f>
        <v>0</v>
      </c>
      <c r="M207" s="404">
        <f>IF(Q207=0,0,IF(Q207&gt;0,IF($J207=3,Q207,IF($J207=2,Q207,IF($J207=1,Q207,0)))))</f>
        <v>0</v>
      </c>
      <c r="N207" s="414">
        <f>IF(Q207=0,0,IF(Q207&gt;0,IF($J207=6,Q207,IF($J207=5,Q207,IF($J207=4,Q207,0)))))</f>
        <v>0</v>
      </c>
      <c r="O207" s="414">
        <f>IF(Q207=0,0,IF(Q207&gt;0,IF($J207=9,Q207,IF($J207=8,Q207,IF($J207=7,Q207,0)))))</f>
        <v>0</v>
      </c>
      <c r="P207" s="406">
        <f>IF(Q207=0,0,IF(Q207&gt;0,IF($J207=12,Q207,IF($J207=11,Q207,IF($J207=10,Q207,0)))))</f>
        <v>0</v>
      </c>
      <c r="Q207" s="407">
        <f>IF(Q$5=$H207,$E207,0)</f>
        <v>0</v>
      </c>
      <c r="R207" s="404">
        <f>IF(V207=0,0,IF(V207&gt;0,IF($J207=3,V207,IF($J207=2,V207,IF($J207=1,V207,0)))))</f>
        <v>0</v>
      </c>
      <c r="S207" s="414">
        <f>IF(V207=0,0,IF(V207&gt;0,IF($J207=6,V207,IF($J207=5,V207,IF($J207=4,V207,0)))))</f>
        <v>0</v>
      </c>
      <c r="T207" s="414">
        <f>IF(V207=0,0,IF(V207&gt;0,IF($J207=9,V207,IF($J207=8,V207,IF($J207=7,V207,0)))))</f>
        <v>0</v>
      </c>
      <c r="U207" s="406">
        <f>IF(V207=0,0,IF(V207&gt;0,IF($J207=12,V207,IF($J207=11,V207,IF($J207=10,V207,0)))))</f>
        <v>0</v>
      </c>
      <c r="V207" s="407">
        <f>IF(V$5=$H207,$E207,0)</f>
        <v>0</v>
      </c>
      <c r="W207" s="404">
        <f>IF(AA207=0,0,IF(AA207&gt;0,IF($J207=3,AA207,IF($J207=2,AA207,IF($J207=1,AA207,0)))))</f>
        <v>0</v>
      </c>
      <c r="X207" s="414">
        <f>IF(AA207=0,0,IF(AA207&gt;0,IF($J207=6,AA207,IF($J207=5,AA207,IF($J207=4,AA207,0)))))</f>
        <v>0</v>
      </c>
      <c r="Y207" s="414">
        <f>IF(AA207=0,0,IF(AA207&gt;0,IF($J207=9,AA207,IF($J207=8,AA207,IF($J207=7,AA207,0)))))</f>
        <v>0</v>
      </c>
      <c r="Z207" s="406">
        <f>IF(AA207=0,0,IF(AA207&gt;0,IF($J207=12,AA207,IF($J207=11,AA207,IF($J207=10,AA207,0)))))</f>
        <v>0</v>
      </c>
      <c r="AA207" s="407">
        <f>IF(AA$5=$H207,$E207,0)</f>
        <v>0</v>
      </c>
      <c r="AB207" s="404">
        <f>IF(AF207=0,0,IF(AF207&gt;0,IF($J207=3,AF207,IF($J207=2,AF207,IF($J207=1,AF207,0)))))</f>
        <v>0</v>
      </c>
      <c r="AC207" s="414">
        <f>IF(AF207=0,0,IF(AF207&gt;0,IF($J207=6,AF207,IF($J207=5,AF207,IF($J207=4,AF207,0)))))</f>
        <v>0</v>
      </c>
      <c r="AD207" s="414">
        <f>IF(AF207=0,0,IF(AF207&gt;0,IF($J207=9,AF207,IF($J207=8,AF207,IF($J207=7,AF207,0)))))</f>
        <v>0</v>
      </c>
      <c r="AE207" s="406">
        <f>IF(AF207=0,0,IF(AF207&gt;0,IF($J207=12,AF207,IF($J207=11,AF207,IF($J207=10,AF207,0)))))</f>
        <v>0</v>
      </c>
      <c r="AF207" s="407">
        <f>IF(AF$5=$H207,$E207,0)</f>
        <v>0</v>
      </c>
      <c r="AG207" s="404">
        <f>IF(AK207=0,0,IF(AK207&gt;0,IF($J207=3,AK207,IF($J207=2,AK207,IF($J207=1,AK207,0)))))</f>
        <v>0</v>
      </c>
      <c r="AH207" s="414">
        <f>IF(AK207=0,0,IF(AK207&gt;0,IF($J207=6,AK207,IF($J207=5,AK207,IF($J207=4,AK207,0)))))</f>
        <v>0</v>
      </c>
      <c r="AI207" s="414">
        <f>IF(AK207=0,0,IF(AK207&gt;0,IF($J207=9,AK207,IF($J207=8,AK207,IF($J207=7,AK207,0)))))</f>
        <v>0</v>
      </c>
      <c r="AJ207" s="406">
        <f>IF(AK207=0,0,IF(AK207&gt;0,IF($J207=12,AK207,IF($J207=11,AK207,IF($J207=10,AK207,0)))))</f>
        <v>0</v>
      </c>
      <c r="AK207" s="407">
        <f>IF(AK$5=$H207,$E207,0)</f>
        <v>0</v>
      </c>
      <c r="AL207" s="404">
        <f>IF(AP207=0,0,IF(AP207&gt;0,IF($J207=3,AP207,IF($J207=2,AP207,IF($J207=1,AP207,0)))))</f>
        <v>0</v>
      </c>
      <c r="AM207" s="414">
        <f>IF(AP207=0,0,IF(AP207&gt;0,IF($J207=6,AP207,IF($J207=5,AP207,IF($J207=4,AP207,0)))))</f>
        <v>0</v>
      </c>
      <c r="AN207" s="414">
        <f>IF(AP207=0,0,IF(AP207&gt;0,IF($J207=9,AP207,IF($J207=8,AP207,IF($J207=7,AP207,0)))))</f>
        <v>0</v>
      </c>
      <c r="AO207" s="406">
        <f>IF(AP207=0,0,IF(AP207&gt;0,IF($J207=12,AP207,IF($J207=11,AP207,IF($J207=10,AP207,0)))))</f>
        <v>0</v>
      </c>
      <c r="AP207" s="407">
        <f>IF(AP$5=$H207,$E207,0)</f>
        <v>0</v>
      </c>
      <c r="AQ207" s="404">
        <f>IF(AU207=0,0,IF(AU207&gt;0,IF($J207=3,AU207,IF($J207=2,AU207,IF($J207=1,AU207,0)))))</f>
        <v>0</v>
      </c>
      <c r="AR207" s="414">
        <f>IF(AU207=0,0,IF(AU207&gt;0,IF($J207=6,AU207,IF($J207=5,AU207,IF($J207=4,AU207,0)))))</f>
        <v>0</v>
      </c>
      <c r="AS207" s="414">
        <f>IF(AU207=0,0,IF(AU207&gt;0,IF($J207=9,AU207,IF($J207=8,AU207,IF($J207=7,AU207,0)))))</f>
        <v>55</v>
      </c>
      <c r="AT207" s="406">
        <f>IF(AU207=0,0,IF(AU207&gt;0,IF($J207=12,AU207,IF($J207=11,AU207,IF($J207=10,AU207,0)))))</f>
        <v>0</v>
      </c>
      <c r="AU207" s="407">
        <f>IF(AU$5=$H207,$E207,0)</f>
        <v>55</v>
      </c>
      <c r="AV207" s="404">
        <f>IF(AZ207=0,0,IF(AZ207&gt;0,IF($J207=3,AZ207,IF($J207=2,AZ207,IF($J207=1,AZ207,0)))))</f>
        <v>0</v>
      </c>
      <c r="AW207" s="414">
        <f>IF(AZ207=0,0,IF(AZ207&gt;0,IF($J207=6,AZ207,IF($J207=5,AZ207,IF($J207=4,AZ207,0)))))</f>
        <v>0</v>
      </c>
      <c r="AX207" s="414">
        <f>IF(AZ207=0,0,IF(AZ207&gt;0,IF($J207=9,AZ207,IF($J207=8,AZ207,IF($J207=7,AZ207,0)))))</f>
        <v>0</v>
      </c>
      <c r="AY207" s="406">
        <f>IF(AZ207=0,0,IF(AZ207&gt;0,IF($J207=12,AZ207,IF($J207=11,AZ207,IF($J207=10,AZ207,0)))))</f>
        <v>0</v>
      </c>
      <c r="AZ207" s="407">
        <f>IF(AZ$5=$H207,$E207,0)</f>
        <v>0</v>
      </c>
      <c r="BA207" s="404">
        <f>IF(BE207=0,0,IF(BE207&gt;0,IF($J207=3,BE207,IF($J207=2,BE207,IF($J207=1,BE207,0)))))</f>
        <v>0</v>
      </c>
      <c r="BB207" s="414">
        <f>IF(BE207=0,0,IF(BE207&gt;0,IF($J207=6,BE207,IF($J207=5,BE207,IF($J207=4,BE207,0)))))</f>
        <v>0</v>
      </c>
      <c r="BC207" s="414">
        <f>IF(BE207=0,0,IF(BE207&gt;0,IF($J207=9,BE207,IF($J207=8,BE207,IF($J207=7,BE207,0)))))</f>
        <v>0</v>
      </c>
      <c r="BD207" s="406">
        <f>IF(BE207=0,0,IF(BE207&gt;0,IF($J207=12,BE207,IF($J207=11,BE207,IF($J207=10,BE207,0)))))</f>
        <v>0</v>
      </c>
      <c r="BE207" s="407">
        <f>IF(BE$5=$H207,$E207,0)</f>
        <v>0</v>
      </c>
      <c r="BF207" s="404">
        <f>IF(BJ207=0,0,IF(BJ207&gt;0,IF($J207=3,BJ207,IF($J207=2,BJ207,IF($J207=1,BJ207,0)))))</f>
        <v>0</v>
      </c>
      <c r="BG207" s="414">
        <f>IF(BJ207=0,0,IF(BJ207&gt;0,IF($J207=6,BJ207,IF($J207=5,BJ207,IF($J207=4,BJ207,0)))))</f>
        <v>0</v>
      </c>
      <c r="BH207" s="414">
        <f>IF(BJ207=0,0,IF(BJ207&gt;0,IF($J207=9,BJ207,IF($J207=8,BJ207,IF($J207=7,BJ207,0)))))</f>
        <v>0</v>
      </c>
      <c r="BI207" s="406">
        <f>IF(BJ207=0,0,IF(BJ207&gt;0,IF($J207=12,BJ207,IF($J207=11,BJ207,IF($J207=10,BJ207,0)))))</f>
        <v>0</v>
      </c>
      <c r="BJ207" s="407">
        <f>IF(BJ$5=$H207,$E207,0)</f>
        <v>0</v>
      </c>
      <c r="BK207" s="404">
        <f>IF(BO207=0,0,IF(BO207&gt;0,IF($J207=3,BO207,IF($J207=2,BO207,IF($J207=1,BO207,0)))))</f>
        <v>0</v>
      </c>
      <c r="BL207" s="414">
        <f>IF(BO207=0,0,IF(BO207&gt;0,IF($J207=6,BO207,IF($J207=5,BO207,IF($J207=4,BO207,0)))))</f>
        <v>0</v>
      </c>
      <c r="BM207" s="414">
        <f>IF(BO207=0,0,IF(BO207&gt;0,IF($J207=9,BO207,IF($J207=8,BO207,IF($J207=7,BO207,0)))))</f>
        <v>0</v>
      </c>
      <c r="BN207" s="406">
        <f>IF(BO207=0,0,IF(BO207&gt;0,IF($J207=12,BO207,IF($J207=11,BO207,IF($J207=10,BO207,0)))))</f>
        <v>0</v>
      </c>
      <c r="BO207" s="407">
        <f>IF(BO$5=$H207,$E207,0)</f>
        <v>0</v>
      </c>
      <c r="BP207" s="447"/>
      <c r="BQ207" s="413">
        <f>IF(AND(AH207&lt;&gt;0,AH$5=$H207),$I207*$E207-AH207,IF(BQ$5=$H207,$I207*$E207*(12-$J207+1)/12,0))</f>
        <v>0</v>
      </c>
      <c r="BR207" s="410">
        <f>IF($H207&lt;&gt;BV$5,0,IF(BV207&gt;0,IF($J207=1,$E207*$I207/12*3,IF($J207=2,$E207*$I207/12*2,IF($J207=3,$E207*$I207/12*1,0)))))+IF(BQ$5&lt;&gt;$H207,0,IF(BQ207&gt;0,IF($J207=1,$E207*$I207/12*0,IF($J207=2,$E207*$I207/12*1,IF($J207=3,$E207*$I207/12*2,IF($J207&gt;=4,$E207*$I207/12*3,0))))))</f>
        <v>0</v>
      </c>
      <c r="BS207" s="416">
        <f>IF($H207&lt;&gt;BV$5,0,IF(BV207&gt;0,IF(OR($J207=1,$J207=2,$J207=3,$J207=4),$E207*$I207/12*3,IF($J207=5,$E207*$I207/12*2,IF($J207=6,$E207*$I207/12*1,0)))))+IF(BQ$5&lt;&gt;$H207,0,IF(BQ207&gt;0,IF($J207=4,$E207*$I207/12*0,IF($J207=5,$E207*$I207/12*1,IF($J207=6,$E207*$I207/12*2,IF($J207&gt;=7,$E207*$I207/12*3,0))))))</f>
        <v>0</v>
      </c>
      <c r="BT207" s="416">
        <f>IF($H207&lt;&gt;BV$5,0,IF(BV207&gt;0,IF(OR($J207=1,$J207=2,$J207=3,$J207=4,$J207=5,$J207=6,$J207=7),$E207*$I207/12*3,IF($J207=8,$E207*$I207/12*2,IF($J207=9,$E207*$I207/12*1,0)))))+IF(BQ$5&lt;&gt;$H207,0,IF(BQ207&gt;0,IF($J207=7,$E207*$I207/12*0,IF($J207=8,$E207*$I207/12*1,IF($J207=9,$E207*$I207/12*2,IF($J207&gt;=10,$E207*$I207/12*3,0))))))</f>
        <v>0</v>
      </c>
      <c r="BU207" s="412">
        <f>IF($H207&lt;&gt;BV$5,0,IF(BV207&gt;0,IF(OR($J207=1,$J207=2,$J207=3,$J207=4,$J207=5,$J207=6,$J207=7,$J207=8,$J207=9,$J207=10),$E207*$I207/12*3,IF($J207=11,$E207*$I207/12*2,IF($J207=12,$E207*$I207/12*1,0)))))+IF(BQ$5&lt;&gt;$H207,0,IF(BQ207&gt;0,IF($J207=10,$E207*$I207/12*0,IF($J207=11,$E207*$I207/12*1,IF($J207=12,$E207*$I207/12*2,0)))))</f>
        <v>0</v>
      </c>
      <c r="BV207" s="413">
        <f>IF(AND(BQ207&lt;&gt;0,BQ$5=$H207),$I207*$E207-BQ207,IF(BV$5=$H207,$I207*$E207*(12-$J207+1)/12,0))</f>
        <v>0</v>
      </c>
      <c r="BW207" s="410">
        <f>IF($H207&lt;&gt;CA$5,0,IF(CA207&gt;0,IF($J207=1,$E207*$I207/12*3,IF($J207=2,$E207*$I207/12*2,IF($J207=3,$E207*$I207/12*1,0)))))+IF(BV$5&lt;&gt;$H207,0,IF(BV207&gt;0,IF($J207=1,$E207*$I207/12*0,IF($J207=2,$E207*$I207/12*1,IF($J207=3,$E207*$I207/12*2,IF($J207&gt;=4,$E207*$I207/12*3,0))))))</f>
        <v>0</v>
      </c>
      <c r="BX207" s="416">
        <f>IF($H207&lt;&gt;CA$5,0,IF(CA207&gt;0,IF(OR($J207=1,$J207=2,$J207=3,$J207=4),$E207*$I207/12*3,IF($J207=5,$E207*$I207/12*2,IF($J207=6,$E207*$I207/12*1,0)))))+IF(BV$5&lt;&gt;$H207,0,IF(BV207&gt;0,IF($J207=4,$E207*$I207/12*0,IF($J207=5,$E207*$I207/12*1,IF($J207=6,$E207*$I207/12*2,IF($J207&gt;=7,$E207*$I207/12*3,0))))))</f>
        <v>0</v>
      </c>
      <c r="BY207" s="416">
        <f>IF($H207&lt;&gt;CA$5,0,IF(CA207&gt;0,IF(OR($J207=1,$J207=2,$J207=3,$J207=4,$J207=5,$J207=6,$J207=7),$E207*$I207/12*3,IF($J207=8,$E207*$I207/12*2,IF($J207=9,$E207*$I207/12*1,0)))))+IF(BV$5&lt;&gt;$H207,0,IF(BV207&gt;0,IF($J207=7,$E207*$I207/12*0,IF($J207=8,$E207*$I207/12*1,IF($J207=9,$E207*$I207/12*2,IF($J207&gt;=10,$E207*$I207/12*3,0))))))</f>
        <v>0</v>
      </c>
      <c r="BZ207" s="412">
        <f>IF($H207&lt;&gt;CA$5,0,IF(CA207&gt;0,IF(OR($J207=1,$J207=2,$J207=3,$J207=4,$J207=5,$J207=6,$J207=7,$J207=8,$J207=9,$J207=10),$E207*$I207/12*3,IF($J207=11,$E207*$I207/12*2,IF($J207=12,$E207*$I207/12*1,0)))))+IF(BV$5&lt;&gt;$H207,0,IF(BV207&gt;0,IF($J207=10,$E207*$I207/12*0,IF($J207=11,$E207*$I207/12*1,IF($J207=12,$E207*$I207/12*2,0)))))</f>
        <v>0</v>
      </c>
      <c r="CA207" s="413">
        <f>IF(AND(BV207&lt;&gt;0,BV$5=$H207),$I207*$E207-BV207,IF(CA$5=$H207,$I207*$E207*(12-$J207+1)/12,0))</f>
        <v>0</v>
      </c>
      <c r="CB207" s="410">
        <f>IF($H207&lt;&gt;CF$5,0,IF(CF207&gt;0,IF($J207=1,$E207*$I207/12*3,IF($J207=2,$E207*$I207/12*2,IF($J207=3,$E207*$I207/12*1,0)))))+IF(CA$5&lt;&gt;$H207,0,IF(CA207&gt;0,IF($J207=1,$E207*$I207/12*0,IF($J207=2,$E207*$I207/12*1,IF($J207=3,$E207*$I207/12*2,IF($J207&gt;=4,$E207*$I207/12*3,0))))))</f>
        <v>0</v>
      </c>
      <c r="CC207" s="416">
        <f>IF($H207&lt;&gt;CF$5,0,IF(CF207&gt;0,IF(OR($J207=1,$J207=2,$J207=3,$J207=4),$E207*$I207/12*3,IF($J207=5,$E207*$I207/12*2,IF($J207=6,$E207*$I207/12*1,0)))))+IF(CA$5&lt;&gt;$H207,0,IF(CA207&gt;0,IF($J207=4,$E207*$I207/12*0,IF($J207=5,$E207*$I207/12*1,IF($J207=6,$E207*$I207/12*2,IF($J207&gt;=7,$E207*$I207/12*3,0))))))</f>
        <v>0</v>
      </c>
      <c r="CD207" s="416">
        <f>IF($H207&lt;&gt;CF$5,0,IF(CF207&gt;0,IF(OR($J207=1,$J207=2,$J207=3,$J207=4,$J207=5,$J207=6,$J207=7),$E207*$I207/12*3,IF($J207=8,$E207*$I207/12*2,IF($J207=9,$E207*$I207/12*1,0)))))+IF(CA$5&lt;&gt;$H207,0,IF(CA207&gt;0,IF($J207=7,$E207*$I207/12*0,IF($J207=8,$E207*$I207/12*1,IF($J207=9,$E207*$I207/12*2,IF($J207&gt;=10,$E207*$I207/12*3,0))))))</f>
        <v>0</v>
      </c>
      <c r="CE207" s="412">
        <f>IF($H207&lt;&gt;CF$5,0,IF(CF207&gt;0,IF(OR($J207=1,$J207=2,$J207=3,$J207=4,$J207=5,$J207=6,$J207=7,$J207=8,$J207=9,$J207=10),$E207*$I207/12*3,IF($J207=11,$E207*$I207/12*2,IF($J207=12,$E207*$I207/12*1,0)))))+IF(CA$5&lt;&gt;$H207,0,IF(CA207&gt;0,IF($J207=10,$E207*$I207/12*0,IF($J207=11,$E207*$I207/12*1,IF($J207=12,$E207*$I207/12*2,0)))))</f>
        <v>0</v>
      </c>
      <c r="CF207" s="413">
        <f>IF(AND(CA207&lt;&gt;0,CA$5=$H207),$I207*$E207-CA207,IF(CF$5=$H207,$I207*$E207*(12-$J207+1)/12,0))</f>
        <v>0</v>
      </c>
      <c r="CG207" s="410">
        <f>IF($H207&lt;&gt;CK$5,0,IF(CK207&gt;0,IF($J207=1,$E207*$I207/12*3,IF($J207=2,$E207*$I207/12*2,IF($J207=3,$E207*$I207/12*1,0)))))+IF(CF$5&lt;&gt;$H207,0,IF(CF207&gt;0,IF($J207=1,$E207*$I207/12*0,IF($J207=2,$E207*$I207/12*1,IF($J207=3,$E207*$I207/12*2,IF($J207&gt;=4,$E207*$I207/12*3,0))))))</f>
        <v>0</v>
      </c>
      <c r="CH207" s="416">
        <f>IF($H207&lt;&gt;CK$5,0,IF(CK207&gt;0,IF(OR($J207=1,$J207=2,$J207=3,$J207=4),$E207*$I207/12*3,IF($J207=5,$E207*$I207/12*2,IF($J207=6,$E207*$I207/12*1,0)))))+IF(CF$5&lt;&gt;$H207,0,IF(CF207&gt;0,IF($J207=4,$E207*$I207/12*0,IF($J207=5,$E207*$I207/12*1,IF($J207=6,$E207*$I207/12*2,IF($J207&gt;=7,$E207*$I207/12*3,0))))))</f>
        <v>0</v>
      </c>
      <c r="CI207" s="416">
        <f>IF($H207&lt;&gt;CK$5,0,IF(CK207&gt;0,IF(OR($J207=1,$J207=2,$J207=3,$J207=4,$J207=5,$J207=6,$J207=7),$E207*$I207/12*3,IF($J207=8,$E207*$I207/12*2,IF($J207=9,$E207*$I207/12*1,0)))))+IF(CF$5&lt;&gt;$H207,0,IF(CF207&gt;0,IF($J207=7,$E207*$I207/12*0,IF($J207=8,$E207*$I207/12*1,IF($J207=9,$E207*$I207/12*2,IF($J207&gt;=10,$E207*$I207/12*3,0))))))</f>
        <v>0</v>
      </c>
      <c r="CJ207" s="412">
        <f>IF($H207&lt;&gt;CK$5,0,IF(CK207&gt;0,IF(OR($J207=1,$J207=2,$J207=3,$J207=4,$J207=5,$J207=6,$J207=7,$J207=8,$J207=9,$J207=10),$E207*$I207/12*3,IF($J207=11,$E207*$I207/12*2,IF($J207=12,$E207*$I207/12*1,0)))))+IF(CF$5&lt;&gt;$H207,0,IF(CF207&gt;0,IF($J207=10,$E207*$I207/12*0,IF($J207=11,$E207*$I207/12*1,IF($J207=12,$E207*$I207/12*2,0)))))</f>
        <v>0</v>
      </c>
      <c r="CK207" s="413">
        <f>IF(AND(CF207&lt;&gt;0,CF$5=$H207),$I207*$E207-CF207,IF(CK$5=$H207,$I207*$E207*(12-$J207+1)/12,0))</f>
        <v>0</v>
      </c>
      <c r="CL207" s="410">
        <f>IF($H207&lt;&gt;CP$5,0,IF(CP207&gt;0,IF($J207=1,$E207*$I207/12*3,IF($J207=2,$E207*$I207/12*2,IF($J207=3,$E207*$I207/12*1,0)))))+IF(CK$5&lt;&gt;$H207,0,IF(CK207&gt;0,IF($J207=1,$E207*$I207/12*0,IF($J207=2,$E207*$I207/12*1,IF($J207=3,$E207*$I207/12*2,IF($J207&gt;=4,$E207*$I207/12*3,0))))))</f>
        <v>0</v>
      </c>
      <c r="CM207" s="416">
        <f>IF($H207&lt;&gt;CP$5,0,IF(CP207&gt;0,IF(OR($J207=1,$J207=2,$J207=3,$J207=4),$E207*$I207/12*3,IF($J207=5,$E207*$I207/12*2,IF($J207=6,$E207*$I207/12*1,0)))))+IF(CK$5&lt;&gt;$H207,0,IF(CK207&gt;0,IF($J207=4,$E207*$I207/12*0,IF($J207=5,$E207*$I207/12*1,IF($J207=6,$E207*$I207/12*2,IF($J207&gt;=7,$E207*$I207/12*3,0))))))</f>
        <v>0</v>
      </c>
      <c r="CN207" s="416">
        <f>IF($H207&lt;&gt;CP$5,0,IF(CP207&gt;0,IF(OR($J207=1,$J207=2,$J207=3,$J207=4,$J207=5,$J207=6,$J207=7),$E207*$I207/12*3,IF($J207=8,$E207*$I207/12*2,IF($J207=9,$E207*$I207/12*1,0)))))+IF(CK$5&lt;&gt;$H207,0,IF(CK207&gt;0,IF($J207=7,$E207*$I207/12*0,IF($J207=8,$E207*$I207/12*1,IF($J207=9,$E207*$I207/12*2,IF($J207&gt;=10,$E207*$I207/12*3,0))))))</f>
        <v>0</v>
      </c>
      <c r="CO207" s="412">
        <f>IF($H207&lt;&gt;CP$5,0,IF(CP207&gt;0,IF(OR($J207=1,$J207=2,$J207=3,$J207=4,$J207=5,$J207=6,$J207=7,$J207=8,$J207=9,$J207=10),$E207*$I207/12*3,IF($J207=11,$E207*$I207/12*2,IF($J207=12,$E207*$I207/12*1,0)))))+IF(CK$5&lt;&gt;$H207,0,IF(CK207&gt;0,IF($J207=10,$E207*$I207/12*0,IF($J207=11,$E207*$I207/12*1,IF($J207=12,$E207*$I207/12*2,0)))))</f>
        <v>0</v>
      </c>
      <c r="CP207" s="413">
        <f>IF(AND(CK207&lt;&gt;0,CK$5=$H207),$I207*$E207-CK207,IF(CP$5=$H207,$I207*$E207*(12-$J207+1)/12,0))</f>
        <v>0</v>
      </c>
      <c r="CQ207" s="410">
        <f>IF($H207&lt;&gt;CU$5,0,IF(CU207&gt;0,IF($J207=1,$E207*$I207/12*3,IF($J207=2,$E207*$I207/12*2,IF($J207=3,$E207*$I207/12*1,0)))))+IF(CP$5&lt;&gt;$H207,0,IF(CP207&gt;0,IF($J207=1,$E207*$I207/12*0,IF($J207=2,$E207*$I207/12*1,IF($J207=3,$E207*$I207/12*2,IF($J207&gt;=4,$E207*$I207/12*3,0))))))</f>
        <v>0</v>
      </c>
      <c r="CR207" s="416">
        <f>IF($H207&lt;&gt;CU$5,0,IF(CU207&gt;0,IF(OR($J207=1,$J207=2,$J207=3,$J207=4),$E207*$I207/12*3,IF($J207=5,$E207*$I207/12*2,IF($J207=6,$E207*$I207/12*1,0)))))+IF(CP$5&lt;&gt;$H207,0,IF(CP207&gt;0,IF($J207=4,$E207*$I207/12*0,IF($J207=5,$E207*$I207/12*1,IF($J207=6,$E207*$I207/12*2,IF($J207&gt;=7,$E207*$I207/12*3,0))))))</f>
        <v>0</v>
      </c>
      <c r="CS207" s="416">
        <f>IF($H207&lt;&gt;CU$5,0,IF(CU207&gt;0,IF(OR($J207=1,$J207=2,$J207=3,$J207=4,$J207=5,$J207=6,$J207=7),$E207*$I207/12*3,IF($J207=8,$E207*$I207/12*2,IF($J207=9,$E207*$I207/12*1,0)))))+IF(CP$5&lt;&gt;$H207,0,IF(CP207&gt;0,IF($J207=7,$E207*$I207/12*0,IF($J207=8,$E207*$I207/12*1,IF($J207=9,$E207*$I207/12*2,IF($J207&gt;=10,$E207*$I207/12*3,0))))))</f>
        <v>0</v>
      </c>
      <c r="CT207" s="412">
        <f>IF($H207&lt;&gt;CU$5,0,IF(CU207&gt;0,IF(OR($J207=1,$J207=2,$J207=3,$J207=4,$J207=5,$J207=6,$J207=7,$J207=8,$J207=9,$J207=10),$E207*$I207/12*3,IF($J207=11,$E207*$I207/12*2,IF($J207=12,$E207*$I207/12*1,0)))))+IF(CP$5&lt;&gt;$H207,0,IF(CP207&gt;0,IF($J207=10,$E207*$I207/12*0,IF($J207=11,$E207*$I207/12*1,IF($J207=12,$E207*$I207/12*2,0)))))</f>
        <v>0</v>
      </c>
      <c r="CU207" s="413">
        <f>IF(AND(CP207&lt;&gt;0,CP$5=$H207),$I207*$E207-CP207,IF(CU$5=$H207,$I207*$E207*(12-$J207+1)/12,0))</f>
        <v>0</v>
      </c>
      <c r="CV207" s="410">
        <f>IF($H207&lt;&gt;CZ$5,0,IF(CZ207&gt;0,IF($J207=1,$E207*$I207/12*3,IF($J207=2,$E207*$I207/12*2,IF($J207=3,$E207*$I207/12*1,0)))))+IF(CU$5&lt;&gt;$H207,0,IF(CU207&gt;0,IF($J207=1,$E207*$I207/12*0,IF($J207=2,$E207*$I207/12*1,IF($J207=3,$E207*$I207/12*2,IF($J207&gt;=4,$E207*$I207/12*3,0))))))</f>
        <v>0</v>
      </c>
      <c r="CW207" s="416">
        <f>IF($H207&lt;&gt;CZ$5,0,IF(CZ207&gt;0,IF(OR($J207=1,$J207=2,$J207=3,$J207=4),$E207*$I207/12*3,IF($J207=5,$E207*$I207/12*2,IF($J207=6,$E207*$I207/12*1,0)))))+IF(CU$5&lt;&gt;$H207,0,IF(CU207&gt;0,IF($J207=4,$E207*$I207/12*0,IF($J207=5,$E207*$I207/12*1,IF($J207=6,$E207*$I207/12*2,IF($J207&gt;=7,$E207*$I207/12*3,0))))))</f>
        <v>0</v>
      </c>
      <c r="CX207" s="416">
        <f>IF($H207&lt;&gt;CZ$5,0,IF(CZ207&gt;0,IF(OR($J207=1,$J207=2,$J207=3,$J207=4,$J207=5,$J207=6,$J207=7),$E207*$I207/12*3,IF($J207=8,$E207*$I207/12*2,IF($J207=9,$E207*$I207/12*1,0)))))+IF(CU$5&lt;&gt;$H207,0,IF(CU207&gt;0,IF($J207=7,$E207*$I207/12*0,IF($J207=8,$E207*$I207/12*1,IF($J207=9,$E207*$I207/12*2,IF($J207&gt;=10,$E207*$I207/12*3,0))))))</f>
        <v>0.18883333333333333</v>
      </c>
      <c r="CY207" s="412">
        <f>IF($H207&lt;&gt;CZ$5,0,IF(CZ207&gt;0,IF(OR($J207=1,$J207=2,$J207=3,$J207=4,$J207=5,$J207=6,$J207=7,$J207=8,$J207=9,$J207=10),$E207*$I207/12*3,IF($J207=11,$E207*$I207/12*2,IF($J207=12,$E207*$I207/12*1,0)))))+IF(CU$5&lt;&gt;$H207,0,IF(CU207&gt;0,IF($J207=10,$E207*$I207/12*0,IF($J207=11,$E207*$I207/12*1,IF($J207=12,$E207*$I207/12*2,0)))))</f>
        <v>0.5665</v>
      </c>
      <c r="CZ207" s="413">
        <f>IF(AND(CU207&lt;&gt;0,CU$5=$H207),$I207*$E207-CU207,IF(CZ$5=$H207,$I207*$E207*(12-$J207+1)/12,0))</f>
        <v>0.7553333333333333</v>
      </c>
      <c r="DA207" s="410">
        <f>IF($H207&lt;&gt;DE$5,0,IF(DE207&gt;0,IF($J207=1,$E207*$I207/12*3,IF($J207=2,$E207*$I207/12*2,IF($J207=3,$E207*$I207/12*1,0)))))+IF(CZ$5&lt;&gt;$H207,0,IF(CZ207&gt;0,IF($J207=1,$E207*$I207/12*0,IF($J207=2,$E207*$I207/12*1,IF($J207=3,$E207*$I207/12*2,IF($J207&gt;=4,$E207*$I207/12*3,0))))))</f>
        <v>0.5665</v>
      </c>
      <c r="DB207" s="416">
        <f>IF($H207&lt;&gt;DE$5,0,IF(DE207&gt;0,IF(OR($J207=1,$J207=2,$J207=3,$J207=4),$E207*$I207/12*3,IF($J207=5,$E207*$I207/12*2,IF($J207=6,$E207*$I207/12*1,0)))))+IF(CZ$5&lt;&gt;$H207,0,IF(CZ207&gt;0,IF($J207=4,$E207*$I207/12*0,IF($J207=5,$E207*$I207/12*1,IF($J207=6,$E207*$I207/12*2,IF($J207&gt;=7,$E207*$I207/12*3,0))))))</f>
        <v>0.5665</v>
      </c>
      <c r="DC207" s="416">
        <f>IF($H207&lt;&gt;DE$5,0,IF(DE207&gt;0,IF(OR($J207=1,$J207=2,$J207=3,$J207=4,$J207=5,$J207=6,$J207=7),$E207*$I207/12*3,IF($J207=8,$E207*$I207/12*2,IF($J207=9,$E207*$I207/12*1,0)))))+IF(CZ$5&lt;&gt;$H207,0,IF(CZ207&gt;0,IF($J207=7,$E207*$I207/12*0,IF($J207=8,$E207*$I207/12*1,IF($J207=9,$E207*$I207/12*2,IF($J207&gt;=10,$E207*$I207/12*3,0))))))</f>
        <v>0.37766666666666665</v>
      </c>
      <c r="DD207" s="412">
        <f>IF($H207&lt;&gt;DE$5,0,IF(DE207&gt;0,IF(OR($J207=1,$J207=2,$J207=3,$J207=4,$J207=5,$J207=6,$J207=7,$J207=8,$J207=9,$J207=10),$E207*$I207/12*3,IF($J207=11,$E207*$I207/12*2,IF($J207=12,$E207*$I207/12*1,0)))))+IF(CZ$5&lt;&gt;$H207,0,IF(CZ207&gt;0,IF($J207=10,$E207*$I207/12*0,IF($J207=11,$E207*$I207/12*1,IF($J207=12,$E207*$I207/12*2,0)))))</f>
        <v>0</v>
      </c>
      <c r="DE207" s="413">
        <f>IF(AND(CZ207&lt;&gt;0,CZ$5=$H207),$I207*$E207-CZ207,IF(DE$5=$H207,$I207*$E207*(12-$J207+1)/12,0))</f>
        <v>1.5106666666666668</v>
      </c>
      <c r="DF207" s="410">
        <f>IF($H207&lt;&gt;DJ$5,0,IF(DJ207&gt;0,IF($J207=1,$E207*$I207/12*3,IF($J207=2,$E207*$I207/12*2,IF($J207=3,$E207*$I207/12*1,0)))))+IF(DE$5&lt;&gt;$H207,0,IF(DE207&gt;0,IF($J207=1,$E207*$I207/12*0,IF($J207=2,$E207*$I207/12*1,IF($J207=3,$E207*$I207/12*2,IF($J207&gt;=4,$E207*$I207/12*3,0))))))</f>
        <v>0</v>
      </c>
      <c r="DG207" s="416">
        <f>IF($H207&lt;&gt;DJ$5,0,IF(DJ207&gt;0,IF(OR($J207=1,$J207=2,$J207=3,$J207=4),$E207*$I207/12*3,IF($J207=5,$E207*$I207/12*2,IF($J207=6,$E207*$I207/12*1,0)))))+IF(DE$5&lt;&gt;$H207,0,IF(DE207&gt;0,IF($J207=4,$E207*$I207/12*0,IF($J207=5,$E207*$I207/12*1,IF($J207=6,$E207*$I207/12*2,IF($J207&gt;=7,$E207*$I207/12*3,0))))))</f>
        <v>0</v>
      </c>
      <c r="DH207" s="416">
        <f>IF($H207&lt;&gt;DJ$5,0,IF(DJ207&gt;0,IF(OR($J207=1,$J207=2,$J207=3,$J207=4,$J207=5,$J207=6,$J207=7),$E207*$I207/12*3,IF($J207=8,$E207*$I207/12*2,IF($J207=9,$E207*$I207/12*1,0)))))+IF(DE$5&lt;&gt;$H207,0,IF(DE207&gt;0,IF($J207=7,$E207*$I207/12*0,IF($J207=8,$E207*$I207/12*1,IF($J207=9,$E207*$I207/12*2,IF($J207&gt;=10,$E207*$I207/12*3,0))))))</f>
        <v>0</v>
      </c>
      <c r="DI207" s="412">
        <f>IF($H207&lt;&gt;DJ$5,0,IF(DJ207&gt;0,IF(OR($J207=1,$J207=2,$J207=3,$J207=4,$J207=5,$J207=6,$J207=7,$J207=8,$J207=9,$J207=10),$E207*$I207/12*3,IF($J207=11,$E207*$I207/12*2,IF($J207=12,$E207*$I207/12*1,0)))))+IF(DE$5&lt;&gt;$H207,0,IF(DE207&gt;0,IF($J207=10,$E207*$I207/12*0,IF($J207=11,$E207*$I207/12*1,IF($J207=12,$E207*$I207/12*2,0)))))</f>
        <v>0</v>
      </c>
      <c r="DJ207" s="413">
        <f>IF(AND(DE207&lt;&gt;0,DE$5=$H207),$I207*$E207-DE207,IF(DJ$5=$H207,$I207*$E207*(12-$J207+1)/12,0))</f>
        <v>0</v>
      </c>
      <c r="DK207" s="410">
        <f>IF($H207&lt;&gt;DO$5,0,IF(DO207&gt;0,IF($J207=1,$E207*$I207/12*3,IF($J207=2,$E207*$I207/12*2,IF($J207=3,$E207*$I207/12*1,0)))))+IF(DJ$5&lt;&gt;$H207,0,IF(DJ207&gt;0,IF($J207=1,$E207*$I207/12*0,IF($J207=2,$E207*$I207/12*1,IF($J207=3,$E207*$I207/12*2,IF($J207&gt;=4,$E207*$I207/12*3,0))))))</f>
        <v>0</v>
      </c>
      <c r="DL207" s="416">
        <f>IF($H207&lt;&gt;DO$5,0,IF(DO207&gt;0,IF(OR($J207=1,$J207=2,$J207=3,$J207=4),$E207*$I207/12*3,IF($J207=5,$E207*$I207/12*2,IF($J207=6,$E207*$I207/12*1,0)))))+IF(DJ$5&lt;&gt;$H207,0,IF(DJ207&gt;0,IF($J207=4,$E207*$I207/12*0,IF($J207=5,$E207*$I207/12*1,IF($J207=6,$E207*$I207/12*2,IF($J207&gt;=7,$E207*$I207/12*3,0))))))</f>
        <v>0</v>
      </c>
      <c r="DM207" s="416">
        <f>IF($H207&lt;&gt;DO$5,0,IF(DO207&gt;0,IF(OR($J207=1,$J207=2,$J207=3,$J207=4,$J207=5,$J207=6,$J207=7),$E207*$I207/12*3,IF($J207=8,$E207*$I207/12*2,IF($J207=9,$E207*$I207/12*1,0)))))+IF(DJ$5&lt;&gt;$H207,0,IF(DJ207&gt;0,IF($J207=7,$E207*$I207/12*0,IF($J207=8,$E207*$I207/12*1,IF($J207=9,$E207*$I207/12*2,IF($J207&gt;=10,$E207*$I207/12*3,0))))))</f>
        <v>0</v>
      </c>
      <c r="DN207" s="412">
        <f>IF($H207&lt;&gt;DO$5,0,IF(DO207&gt;0,IF(OR($J207=1,$J207=2,$J207=3,$J207=4,$J207=5,$J207=6,$J207=7,$J207=8,$J207=9,$J207=10),$E207*$I207/12*3,IF($J207=11,$E207*$I207/12*2,IF($J207=12,$E207*$I207/12*1,0)))))+IF(DJ$5&lt;&gt;$H207,0,IF(DJ207&gt;0,IF($J207=10,$E207*$I207/12*0,IF($J207=11,$E207*$I207/12*1,IF($J207=12,$E207*$I207/12*2,0)))))</f>
        <v>0</v>
      </c>
      <c r="DO207" s="413">
        <f>IF(AND(DJ207&lt;&gt;0,DJ$5=$H207),$I207*$E207-DJ207,IF(DO$5=$H207,$I207*$E207*(12-$J207+1)/12,0))</f>
        <v>0</v>
      </c>
      <c r="DP207" s="410">
        <f>IF($H207&lt;&gt;DT$5,0,IF(DT207&gt;0,IF($J207=1,$E207*$I207/12*3,IF($J207=2,$E207*$I207/12*2,IF($J207=3,$E207*$I207/12*1,0)))))+IF(DO$5&lt;&gt;$H207,0,IF(DO207&gt;0,IF($J207=1,$E207*$I207/12*0,IF($J207=2,$E207*$I207/12*1,IF($J207=3,$E207*$I207/12*2,IF($J207&gt;=4,$E207*$I207/12*3,0))))))</f>
        <v>0</v>
      </c>
      <c r="DQ207" s="416">
        <f>IF($H207&lt;&gt;DT$5,0,IF(DT207&gt;0,IF(OR($J207=1,$J207=2,$J207=3,$J207=4),$E207*$I207/12*3,IF($J207=5,$E207*$I207/12*2,IF($J207=6,$E207*$I207/12*1,0)))))+IF(DO$5&lt;&gt;$H207,0,IF(DO207&gt;0,IF($J207=4,$E207*$I207/12*0,IF($J207=5,$E207*$I207/12*1,IF($J207=6,$E207*$I207/12*2,IF($J207&gt;=7,$E207*$I207/12*3,0))))))</f>
        <v>0</v>
      </c>
      <c r="DR207" s="416">
        <f>IF($H207&lt;&gt;DT$5,0,IF(DT207&gt;0,IF(OR($J207=1,$J207=2,$J207=3,$J207=4,$J207=5,$J207=6,$J207=7),$E207*$I207/12*3,IF($J207=8,$E207*$I207/12*2,IF($J207=9,$E207*$I207/12*1,0)))))+IF(DO$5&lt;&gt;$H207,0,IF(DO207&gt;0,IF($J207=7,$E207*$I207/12*0,IF($J207=8,$E207*$I207/12*1,IF($J207=9,$E207*$I207/12*2,IF($J207&gt;=10,$E207*$I207/12*3,0))))))</f>
        <v>0</v>
      </c>
      <c r="DS207" s="412">
        <f>IF($H207&lt;&gt;DT$5,0,IF(DT207&gt;0,IF(OR($J207=1,$J207=2,$J207=3,$J207=4,$J207=5,$J207=6,$J207=7,$J207=8,$J207=9,$J207=10),$E207*$I207/12*3,IF($J207=11,$E207*$I207/12*2,IF($J207=12,$E207*$I207/12*1,0)))))+IF(DO$5&lt;&gt;$H207,0,IF(DO207&gt;0,IF($J207=10,$E207*$I207/12*0,IF($J207=11,$E207*$I207/12*1,IF($J207=12,$E207*$I207/12*2,0)))))</f>
        <v>0</v>
      </c>
      <c r="DT207" s="413">
        <f>IF(AND(DO207&lt;&gt;0,DO$5=$H207),$I207*$E207-DO207,IF(DT$5=$H207,$I207*$E207*(12-$J207+1)/12,0))</f>
        <v>0</v>
      </c>
    </row>
    <row r="208" spans="1:124" ht="12.75" customHeight="1">
      <c r="C208" s="1885" t="s">
        <v>74</v>
      </c>
      <c r="D208" s="1885"/>
      <c r="E208" s="1887">
        <f>'Vertically Integrated Utilities'!BB161</f>
        <v>1660</v>
      </c>
      <c r="F208" s="1888"/>
      <c r="G208" s="1888"/>
      <c r="H208" s="16">
        <v>2018</v>
      </c>
      <c r="I208" s="1889">
        <f>+'Utility Detail'!$AW$13</f>
        <v>0.05</v>
      </c>
      <c r="J208" s="617">
        <v>7</v>
      </c>
      <c r="K208" s="402"/>
      <c r="L208" s="407">
        <f t="shared" si="1464"/>
        <v>0</v>
      </c>
      <c r="M208" s="404">
        <f t="shared" ref="M208:M211" si="1576">IF(Q208=0,0,IF(Q208&gt;0,IF($J208=3,Q208,IF($J208=2,Q208,IF($J208=1,Q208,0)))))</f>
        <v>0</v>
      </c>
      <c r="N208" s="414">
        <f t="shared" ref="N208:N211" si="1577">IF(Q208=0,0,IF(Q208&gt;0,IF($J208=6,Q208,IF($J208=5,Q208,IF($J208=4,Q208,0)))))</f>
        <v>0</v>
      </c>
      <c r="O208" s="414">
        <f t="shared" ref="O208:O211" si="1578">IF(Q208=0,0,IF(Q208&gt;0,IF($J208=9,Q208,IF($J208=8,Q208,IF($J208=7,Q208,0)))))</f>
        <v>0</v>
      </c>
      <c r="P208" s="406">
        <f t="shared" ref="P208:P211" si="1579">IF(Q208=0,0,IF(Q208&gt;0,IF($J208=12,Q208,IF($J208=11,Q208,IF($J208=10,Q208,0)))))</f>
        <v>0</v>
      </c>
      <c r="Q208" s="407">
        <f t="shared" si="1469"/>
        <v>0</v>
      </c>
      <c r="R208" s="404">
        <f t="shared" ref="R208:R211" si="1580">IF(V208=0,0,IF(V208&gt;0,IF($J208=3,V208,IF($J208=2,V208,IF($J208=1,V208,0)))))</f>
        <v>0</v>
      </c>
      <c r="S208" s="414">
        <f t="shared" ref="S208:S211" si="1581">IF(V208=0,0,IF(V208&gt;0,IF($J208=6,V208,IF($J208=5,V208,IF($J208=4,V208,0)))))</f>
        <v>0</v>
      </c>
      <c r="T208" s="414">
        <f t="shared" ref="T208:T211" si="1582">IF(V208=0,0,IF(V208&gt;0,IF($J208=9,V208,IF($J208=8,V208,IF($J208=7,V208,0)))))</f>
        <v>0</v>
      </c>
      <c r="U208" s="406">
        <f t="shared" ref="U208:U211" si="1583">IF(V208=0,0,IF(V208&gt;0,IF($J208=12,V208,IF($J208=11,V208,IF($J208=10,V208,0)))))</f>
        <v>0</v>
      </c>
      <c r="V208" s="407">
        <f t="shared" si="1474"/>
        <v>0</v>
      </c>
      <c r="W208" s="404">
        <f t="shared" ref="W208:W211" si="1584">IF(AA208=0,0,IF(AA208&gt;0,IF($J208=3,AA208,IF($J208=2,AA208,IF($J208=1,AA208,0)))))</f>
        <v>0</v>
      </c>
      <c r="X208" s="414">
        <f t="shared" ref="X208:X211" si="1585">IF(AA208=0,0,IF(AA208&gt;0,IF($J208=6,AA208,IF($J208=5,AA208,IF($J208=4,AA208,0)))))</f>
        <v>0</v>
      </c>
      <c r="Y208" s="414">
        <f t="shared" ref="Y208:Y211" si="1586">IF(AA208=0,0,IF(AA208&gt;0,IF($J208=9,AA208,IF($J208=8,AA208,IF($J208=7,AA208,0)))))</f>
        <v>0</v>
      </c>
      <c r="Z208" s="406">
        <f t="shared" ref="Z208:Z211" si="1587">IF(AA208=0,0,IF(AA208&gt;0,IF($J208=12,AA208,IF($J208=11,AA208,IF($J208=10,AA208,0)))))</f>
        <v>0</v>
      </c>
      <c r="AA208" s="407">
        <f t="shared" si="1479"/>
        <v>0</v>
      </c>
      <c r="AB208" s="404">
        <f t="shared" ref="AB208:AB211" si="1588">IF(AF208=0,0,IF(AF208&gt;0,IF($J208=3,AF208,IF($J208=2,AF208,IF($J208=1,AF208,0)))))</f>
        <v>0</v>
      </c>
      <c r="AC208" s="414">
        <f t="shared" ref="AC208:AC211" si="1589">IF(AF208=0,0,IF(AF208&gt;0,IF($J208=6,AF208,IF($J208=5,AF208,IF($J208=4,AF208,0)))))</f>
        <v>0</v>
      </c>
      <c r="AD208" s="414">
        <f t="shared" ref="AD208:AD211" si="1590">IF(AF208=0,0,IF(AF208&gt;0,IF($J208=9,AF208,IF($J208=8,AF208,IF($J208=7,AF208,0)))))</f>
        <v>0</v>
      </c>
      <c r="AE208" s="406">
        <f t="shared" ref="AE208:AE211" si="1591">IF(AF208=0,0,IF(AF208&gt;0,IF($J208=12,AF208,IF($J208=11,AF208,IF($J208=10,AF208,0)))))</f>
        <v>0</v>
      </c>
      <c r="AF208" s="407">
        <f t="shared" si="1484"/>
        <v>0</v>
      </c>
      <c r="AG208" s="404">
        <f t="shared" ref="AG208:AG211" si="1592">IF(AK208=0,0,IF(AK208&gt;0,IF($J208=3,AK208,IF($J208=2,AK208,IF($J208=1,AK208,0)))))</f>
        <v>0</v>
      </c>
      <c r="AH208" s="414">
        <f t="shared" ref="AH208:AH211" si="1593">IF(AK208=0,0,IF(AK208&gt;0,IF($J208=6,AK208,IF($J208=5,AK208,IF($J208=4,AK208,0)))))</f>
        <v>0</v>
      </c>
      <c r="AI208" s="414">
        <f t="shared" ref="AI208:AI211" si="1594">IF(AK208=0,0,IF(AK208&gt;0,IF($J208=9,AK208,IF($J208=8,AK208,IF($J208=7,AK208,0)))))</f>
        <v>0</v>
      </c>
      <c r="AJ208" s="406">
        <f t="shared" ref="AJ208:AJ211" si="1595">IF(AK208=0,0,IF(AK208&gt;0,IF($J208=12,AK208,IF($J208=11,AK208,IF($J208=10,AK208,0)))))</f>
        <v>0</v>
      </c>
      <c r="AK208" s="407">
        <f t="shared" si="1489"/>
        <v>0</v>
      </c>
      <c r="AL208" s="404">
        <f t="shared" ref="AL208:AL211" si="1596">IF(AP208=0,0,IF(AP208&gt;0,IF($J208=3,AP208,IF($J208=2,AP208,IF($J208=1,AP208,0)))))</f>
        <v>0</v>
      </c>
      <c r="AM208" s="414">
        <f t="shared" ref="AM208:AM211" si="1597">IF(AP208=0,0,IF(AP208&gt;0,IF($J208=6,AP208,IF($J208=5,AP208,IF($J208=4,AP208,0)))))</f>
        <v>0</v>
      </c>
      <c r="AN208" s="414">
        <f t="shared" ref="AN208:AN211" si="1598">IF(AP208=0,0,IF(AP208&gt;0,IF($J208=9,AP208,IF($J208=8,AP208,IF($J208=7,AP208,0)))))</f>
        <v>0</v>
      </c>
      <c r="AO208" s="406">
        <f t="shared" ref="AO208:AO211" si="1599">IF(AP208=0,0,IF(AP208&gt;0,IF($J208=12,AP208,IF($J208=11,AP208,IF($J208=10,AP208,0)))))</f>
        <v>0</v>
      </c>
      <c r="AP208" s="407">
        <f t="shared" si="1494"/>
        <v>0</v>
      </c>
      <c r="AQ208" s="404">
        <f t="shared" ref="AQ208:AQ211" si="1600">IF(AU208=0,0,IF(AU208&gt;0,IF($J208=3,AU208,IF($J208=2,AU208,IF($J208=1,AU208,0)))))</f>
        <v>0</v>
      </c>
      <c r="AR208" s="414">
        <f t="shared" ref="AR208:AR211" si="1601">IF(AU208=0,0,IF(AU208&gt;0,IF($J208=6,AU208,IF($J208=5,AU208,IF($J208=4,AU208,0)))))</f>
        <v>0</v>
      </c>
      <c r="AS208" s="414">
        <f t="shared" ref="AS208:AS211" si="1602">IF(AU208=0,0,IF(AU208&gt;0,IF($J208=9,AU208,IF($J208=8,AU208,IF($J208=7,AU208,0)))))</f>
        <v>0</v>
      </c>
      <c r="AT208" s="406">
        <f t="shared" ref="AT208:AT211" si="1603">IF(AU208=0,0,IF(AU208&gt;0,IF($J208=12,AU208,IF($J208=11,AU208,IF($J208=10,AU208,0)))))</f>
        <v>0</v>
      </c>
      <c r="AU208" s="407">
        <f t="shared" si="1499"/>
        <v>0</v>
      </c>
      <c r="AV208" s="404">
        <f t="shared" ref="AV208:AV211" si="1604">IF(AZ208=0,0,IF(AZ208&gt;0,IF($J208=3,AZ208,IF($J208=2,AZ208,IF($J208=1,AZ208,0)))))</f>
        <v>0</v>
      </c>
      <c r="AW208" s="414">
        <f t="shared" ref="AW208:AW211" si="1605">IF(AZ208=0,0,IF(AZ208&gt;0,IF($J208=6,AZ208,IF($J208=5,AZ208,IF($J208=4,AZ208,0)))))</f>
        <v>0</v>
      </c>
      <c r="AX208" s="414">
        <f t="shared" ref="AX208:AX211" si="1606">IF(AZ208=0,0,IF(AZ208&gt;0,IF($J208=9,AZ208,IF($J208=8,AZ208,IF($J208=7,AZ208,0)))))</f>
        <v>1660</v>
      </c>
      <c r="AY208" s="406">
        <f t="shared" ref="AY208:AY211" si="1607">IF(AZ208=0,0,IF(AZ208&gt;0,IF($J208=12,AZ208,IF($J208=11,AZ208,IF($J208=10,AZ208,0)))))</f>
        <v>0</v>
      </c>
      <c r="AZ208" s="407">
        <f t="shared" si="1504"/>
        <v>1660</v>
      </c>
      <c r="BA208" s="404">
        <f t="shared" ref="BA208:BA211" si="1608">IF(BE208=0,0,IF(BE208&gt;0,IF($J208=3,BE208,IF($J208=2,BE208,IF($J208=1,BE208,0)))))</f>
        <v>0</v>
      </c>
      <c r="BB208" s="414">
        <f t="shared" ref="BB208:BB211" si="1609">IF(BE208=0,0,IF(BE208&gt;0,IF($J208=6,BE208,IF($J208=5,BE208,IF($J208=4,BE208,0)))))</f>
        <v>0</v>
      </c>
      <c r="BC208" s="414">
        <f t="shared" ref="BC208:BC211" si="1610">IF(BE208=0,0,IF(BE208&gt;0,IF($J208=9,BE208,IF($J208=8,BE208,IF($J208=7,BE208,0)))))</f>
        <v>0</v>
      </c>
      <c r="BD208" s="406">
        <f t="shared" ref="BD208:BD211" si="1611">IF(BE208=0,0,IF(BE208&gt;0,IF($J208=12,BE208,IF($J208=11,BE208,IF($J208=10,BE208,0)))))</f>
        <v>0</v>
      </c>
      <c r="BE208" s="407">
        <f t="shared" si="1509"/>
        <v>0</v>
      </c>
      <c r="BF208" s="404">
        <f t="shared" ref="BF208:BF211" si="1612">IF(BJ208=0,0,IF(BJ208&gt;0,IF($J208=3,BJ208,IF($J208=2,BJ208,IF($J208=1,BJ208,0)))))</f>
        <v>0</v>
      </c>
      <c r="BG208" s="414">
        <f t="shared" ref="BG208:BG211" si="1613">IF(BJ208=0,0,IF(BJ208&gt;0,IF($J208=6,BJ208,IF($J208=5,BJ208,IF($J208=4,BJ208,0)))))</f>
        <v>0</v>
      </c>
      <c r="BH208" s="414">
        <f t="shared" ref="BH208:BH211" si="1614">IF(BJ208=0,0,IF(BJ208&gt;0,IF($J208=9,BJ208,IF($J208=8,BJ208,IF($J208=7,BJ208,0)))))</f>
        <v>0</v>
      </c>
      <c r="BI208" s="406">
        <f t="shared" ref="BI208:BI211" si="1615">IF(BJ208=0,0,IF(BJ208&gt;0,IF($J208=12,BJ208,IF($J208=11,BJ208,IF($J208=10,BJ208,0)))))</f>
        <v>0</v>
      </c>
      <c r="BJ208" s="407">
        <f t="shared" si="1514"/>
        <v>0</v>
      </c>
      <c r="BK208" s="404">
        <f t="shared" ref="BK208:BK211" si="1616">IF(BO208=0,0,IF(BO208&gt;0,IF($J208=3,BO208,IF($J208=2,BO208,IF($J208=1,BO208,0)))))</f>
        <v>0</v>
      </c>
      <c r="BL208" s="414">
        <f t="shared" ref="BL208:BL211" si="1617">IF(BO208=0,0,IF(BO208&gt;0,IF($J208=6,BO208,IF($J208=5,BO208,IF($J208=4,BO208,0)))))</f>
        <v>0</v>
      </c>
      <c r="BM208" s="414">
        <f t="shared" ref="BM208:BM211" si="1618">IF(BO208=0,0,IF(BO208&gt;0,IF($J208=9,BO208,IF($J208=8,BO208,IF($J208=7,BO208,0)))))</f>
        <v>0</v>
      </c>
      <c r="BN208" s="406">
        <f t="shared" ref="BN208:BN211" si="1619">IF(BO208=0,0,IF(BO208&gt;0,IF($J208=12,BO208,IF($J208=11,BO208,IF($J208=10,BO208,0)))))</f>
        <v>0</v>
      </c>
      <c r="BO208" s="407">
        <f t="shared" si="1519"/>
        <v>0</v>
      </c>
      <c r="BP208" s="447"/>
      <c r="BQ208" s="413">
        <f t="shared" ref="BQ208:BQ211" si="1620">IF(AND(AH208&lt;&gt;0,AH$5=$H208),$I208*$E208-AH208,IF(BQ$5=$H208,$I208*$E208*(12-$J208+1)/12,0))</f>
        <v>0</v>
      </c>
      <c r="BR208" s="410">
        <f t="shared" ref="BR208:BR211" si="1621">IF($H208&lt;&gt;BV$5,0,IF(BV208&gt;0,IF($J208=1,$E208*$I208/12*3,IF($J208=2,$E208*$I208/12*2,IF($J208=3,$E208*$I208/12*1,0)))))+IF(BQ$5&lt;&gt;$H208,0,IF(BQ208&gt;0,IF($J208=1,$E208*$I208/12*0,IF($J208=2,$E208*$I208/12*1,IF($J208=3,$E208*$I208/12*2,IF($J208&gt;=4,$E208*$I208/12*3,0))))))</f>
        <v>0</v>
      </c>
      <c r="BS208" s="416">
        <f t="shared" ref="BS208:BS211" si="1622">IF($H208&lt;&gt;BV$5,0,IF(BV208&gt;0,IF(OR($J208=1,$J208=2,$J208=3,$J208=4),$E208*$I208/12*3,IF($J208=5,$E208*$I208/12*2,IF($J208=6,$E208*$I208/12*1,0)))))+IF(BQ$5&lt;&gt;$H208,0,IF(BQ208&gt;0,IF($J208=4,$E208*$I208/12*0,IF($J208=5,$E208*$I208/12*1,IF($J208=6,$E208*$I208/12*2,IF($J208&gt;=7,$E208*$I208/12*3,0))))))</f>
        <v>0</v>
      </c>
      <c r="BT208" s="416">
        <f t="shared" ref="BT208:BT211" si="1623">IF($H208&lt;&gt;BV$5,0,IF(BV208&gt;0,IF(OR($J208=1,$J208=2,$J208=3,$J208=4,$J208=5,$J208=6,$J208=7),$E208*$I208/12*3,IF($J208=8,$E208*$I208/12*2,IF($J208=9,$E208*$I208/12*1,0)))))+IF(BQ$5&lt;&gt;$H208,0,IF(BQ208&gt;0,IF($J208=7,$E208*$I208/12*0,IF($J208=8,$E208*$I208/12*1,IF($J208=9,$E208*$I208/12*2,IF($J208&gt;=10,$E208*$I208/12*3,0))))))</f>
        <v>0</v>
      </c>
      <c r="BU208" s="412">
        <f t="shared" ref="BU208:BU211" si="1624">IF($H208&lt;&gt;BV$5,0,IF(BV208&gt;0,IF(OR($J208=1,$J208=2,$J208=3,$J208=4,$J208=5,$J208=6,$J208=7,$J208=8,$J208=9,$J208=10),$E208*$I208/12*3,IF($J208=11,$E208*$I208/12*2,IF($J208=12,$E208*$I208/12*1,0)))))+IF(BQ$5&lt;&gt;$H208,0,IF(BQ208&gt;0,IF($J208=10,$E208*$I208/12*0,IF($J208=11,$E208*$I208/12*1,IF($J208=12,$E208*$I208/12*2,0)))))</f>
        <v>0</v>
      </c>
      <c r="BV208" s="413">
        <f t="shared" ref="BV208:BV211" si="1625">IF(AND(BQ208&lt;&gt;0,BQ$5=$H208),$I208*$E208-BQ208,IF(BV$5=$H208,$I208*$E208*(12-$J208+1)/12,0))</f>
        <v>0</v>
      </c>
      <c r="BW208" s="410">
        <f t="shared" ref="BW208:BW211" si="1626">IF($H208&lt;&gt;CA$5,0,IF(CA208&gt;0,IF($J208=1,$E208*$I208/12*3,IF($J208=2,$E208*$I208/12*2,IF($J208=3,$E208*$I208/12*1,0)))))+IF(BV$5&lt;&gt;$H208,0,IF(BV208&gt;0,IF($J208=1,$E208*$I208/12*0,IF($J208=2,$E208*$I208/12*1,IF($J208=3,$E208*$I208/12*2,IF($J208&gt;=4,$E208*$I208/12*3,0))))))</f>
        <v>0</v>
      </c>
      <c r="BX208" s="416">
        <f t="shared" ref="BX208:BX211" si="1627">IF($H208&lt;&gt;CA$5,0,IF(CA208&gt;0,IF(OR($J208=1,$J208=2,$J208=3,$J208=4),$E208*$I208/12*3,IF($J208=5,$E208*$I208/12*2,IF($J208=6,$E208*$I208/12*1,0)))))+IF(BV$5&lt;&gt;$H208,0,IF(BV208&gt;0,IF($J208=4,$E208*$I208/12*0,IF($J208=5,$E208*$I208/12*1,IF($J208=6,$E208*$I208/12*2,IF($J208&gt;=7,$E208*$I208/12*3,0))))))</f>
        <v>0</v>
      </c>
      <c r="BY208" s="416">
        <f t="shared" ref="BY208:BY211" si="1628">IF($H208&lt;&gt;CA$5,0,IF(CA208&gt;0,IF(OR($J208=1,$J208=2,$J208=3,$J208=4,$J208=5,$J208=6,$J208=7),$E208*$I208/12*3,IF($J208=8,$E208*$I208/12*2,IF($J208=9,$E208*$I208/12*1,0)))))+IF(BV$5&lt;&gt;$H208,0,IF(BV208&gt;0,IF($J208=7,$E208*$I208/12*0,IF($J208=8,$E208*$I208/12*1,IF($J208=9,$E208*$I208/12*2,IF($J208&gt;=10,$E208*$I208/12*3,0))))))</f>
        <v>0</v>
      </c>
      <c r="BZ208" s="412">
        <f t="shared" ref="BZ208:BZ211" si="1629">IF($H208&lt;&gt;CA$5,0,IF(CA208&gt;0,IF(OR($J208=1,$J208=2,$J208=3,$J208=4,$J208=5,$J208=6,$J208=7,$J208=8,$J208=9,$J208=10),$E208*$I208/12*3,IF($J208=11,$E208*$I208/12*2,IF($J208=12,$E208*$I208/12*1,0)))))+IF(BV$5&lt;&gt;$H208,0,IF(BV208&gt;0,IF($J208=10,$E208*$I208/12*0,IF($J208=11,$E208*$I208/12*1,IF($J208=12,$E208*$I208/12*2,0)))))</f>
        <v>0</v>
      </c>
      <c r="CA208" s="413">
        <f t="shared" ref="CA208:CA211" si="1630">IF(AND(BV208&lt;&gt;0,BV$5=$H208),$I208*$E208-BV208,IF(CA$5=$H208,$I208*$E208*(12-$J208+1)/12,0))</f>
        <v>0</v>
      </c>
      <c r="CB208" s="410">
        <f t="shared" ref="CB208:CB211" si="1631">IF($H208&lt;&gt;CF$5,0,IF(CF208&gt;0,IF($J208=1,$E208*$I208/12*3,IF($J208=2,$E208*$I208/12*2,IF($J208=3,$E208*$I208/12*1,0)))))+IF(CA$5&lt;&gt;$H208,0,IF(CA208&gt;0,IF($J208=1,$E208*$I208/12*0,IF($J208=2,$E208*$I208/12*1,IF($J208=3,$E208*$I208/12*2,IF($J208&gt;=4,$E208*$I208/12*3,0))))))</f>
        <v>0</v>
      </c>
      <c r="CC208" s="416">
        <f t="shared" ref="CC208:CC211" si="1632">IF($H208&lt;&gt;CF$5,0,IF(CF208&gt;0,IF(OR($J208=1,$J208=2,$J208=3,$J208=4),$E208*$I208/12*3,IF($J208=5,$E208*$I208/12*2,IF($J208=6,$E208*$I208/12*1,0)))))+IF(CA$5&lt;&gt;$H208,0,IF(CA208&gt;0,IF($J208=4,$E208*$I208/12*0,IF($J208=5,$E208*$I208/12*1,IF($J208=6,$E208*$I208/12*2,IF($J208&gt;=7,$E208*$I208/12*3,0))))))</f>
        <v>0</v>
      </c>
      <c r="CD208" s="416">
        <f t="shared" ref="CD208:CD211" si="1633">IF($H208&lt;&gt;CF$5,0,IF(CF208&gt;0,IF(OR($J208=1,$J208=2,$J208=3,$J208=4,$J208=5,$J208=6,$J208=7),$E208*$I208/12*3,IF($J208=8,$E208*$I208/12*2,IF($J208=9,$E208*$I208/12*1,0)))))+IF(CA$5&lt;&gt;$H208,0,IF(CA208&gt;0,IF($J208=7,$E208*$I208/12*0,IF($J208=8,$E208*$I208/12*1,IF($J208=9,$E208*$I208/12*2,IF($J208&gt;=10,$E208*$I208/12*3,0))))))</f>
        <v>0</v>
      </c>
      <c r="CE208" s="412">
        <f t="shared" ref="CE208:CE211" si="1634">IF($H208&lt;&gt;CF$5,0,IF(CF208&gt;0,IF(OR($J208=1,$J208=2,$J208=3,$J208=4,$J208=5,$J208=6,$J208=7,$J208=8,$J208=9,$J208=10),$E208*$I208/12*3,IF($J208=11,$E208*$I208/12*2,IF($J208=12,$E208*$I208/12*1,0)))))+IF(CA$5&lt;&gt;$H208,0,IF(CA208&gt;0,IF($J208=10,$E208*$I208/12*0,IF($J208=11,$E208*$I208/12*1,IF($J208=12,$E208*$I208/12*2,0)))))</f>
        <v>0</v>
      </c>
      <c r="CF208" s="413">
        <f t="shared" ref="CF208:CF211" si="1635">IF(AND(CA208&lt;&gt;0,CA$5=$H208),$I208*$E208-CA208,IF(CF$5=$H208,$I208*$E208*(12-$J208+1)/12,0))</f>
        <v>0</v>
      </c>
      <c r="CG208" s="410">
        <f t="shared" ref="CG208:CG211" si="1636">IF($H208&lt;&gt;CK$5,0,IF(CK208&gt;0,IF($J208=1,$E208*$I208/12*3,IF($J208=2,$E208*$I208/12*2,IF($J208=3,$E208*$I208/12*1,0)))))+IF(CF$5&lt;&gt;$H208,0,IF(CF208&gt;0,IF($J208=1,$E208*$I208/12*0,IF($J208=2,$E208*$I208/12*1,IF($J208=3,$E208*$I208/12*2,IF($J208&gt;=4,$E208*$I208/12*3,0))))))</f>
        <v>0</v>
      </c>
      <c r="CH208" s="416">
        <f t="shared" ref="CH208:CH211" si="1637">IF($H208&lt;&gt;CK$5,0,IF(CK208&gt;0,IF(OR($J208=1,$J208=2,$J208=3,$J208=4),$E208*$I208/12*3,IF($J208=5,$E208*$I208/12*2,IF($J208=6,$E208*$I208/12*1,0)))))+IF(CF$5&lt;&gt;$H208,0,IF(CF208&gt;0,IF($J208=4,$E208*$I208/12*0,IF($J208=5,$E208*$I208/12*1,IF($J208=6,$E208*$I208/12*2,IF($J208&gt;=7,$E208*$I208/12*3,0))))))</f>
        <v>0</v>
      </c>
      <c r="CI208" s="416">
        <f t="shared" ref="CI208:CI211" si="1638">IF($H208&lt;&gt;CK$5,0,IF(CK208&gt;0,IF(OR($J208=1,$J208=2,$J208=3,$J208=4,$J208=5,$J208=6,$J208=7),$E208*$I208/12*3,IF($J208=8,$E208*$I208/12*2,IF($J208=9,$E208*$I208/12*1,0)))))+IF(CF$5&lt;&gt;$H208,0,IF(CF208&gt;0,IF($J208=7,$E208*$I208/12*0,IF($J208=8,$E208*$I208/12*1,IF($J208=9,$E208*$I208/12*2,IF($J208&gt;=10,$E208*$I208/12*3,0))))))</f>
        <v>0</v>
      </c>
      <c r="CJ208" s="412">
        <f t="shared" ref="CJ208:CJ211" si="1639">IF($H208&lt;&gt;CK$5,0,IF(CK208&gt;0,IF(OR($J208=1,$J208=2,$J208=3,$J208=4,$J208=5,$J208=6,$J208=7,$J208=8,$J208=9,$J208=10),$E208*$I208/12*3,IF($J208=11,$E208*$I208/12*2,IF($J208=12,$E208*$I208/12*1,0)))))+IF(CF$5&lt;&gt;$H208,0,IF(CF208&gt;0,IF($J208=10,$E208*$I208/12*0,IF($J208=11,$E208*$I208/12*1,IF($J208=12,$E208*$I208/12*2,0)))))</f>
        <v>0</v>
      </c>
      <c r="CK208" s="413">
        <f t="shared" ref="CK208:CK211" si="1640">IF(AND(CF208&lt;&gt;0,CF$5=$H208),$I208*$E208-CF208,IF(CK$5=$H208,$I208*$E208*(12-$J208+1)/12,0))</f>
        <v>0</v>
      </c>
      <c r="CL208" s="410">
        <f t="shared" ref="CL208:CL211" si="1641">IF($H208&lt;&gt;CP$5,0,IF(CP208&gt;0,IF($J208=1,$E208*$I208/12*3,IF($J208=2,$E208*$I208/12*2,IF($J208=3,$E208*$I208/12*1,0)))))+IF(CK$5&lt;&gt;$H208,0,IF(CK208&gt;0,IF($J208=1,$E208*$I208/12*0,IF($J208=2,$E208*$I208/12*1,IF($J208=3,$E208*$I208/12*2,IF($J208&gt;=4,$E208*$I208/12*3,0))))))</f>
        <v>0</v>
      </c>
      <c r="CM208" s="416">
        <f t="shared" ref="CM208:CM211" si="1642">IF($H208&lt;&gt;CP$5,0,IF(CP208&gt;0,IF(OR($J208=1,$J208=2,$J208=3,$J208=4),$E208*$I208/12*3,IF($J208=5,$E208*$I208/12*2,IF($J208=6,$E208*$I208/12*1,0)))))+IF(CK$5&lt;&gt;$H208,0,IF(CK208&gt;0,IF($J208=4,$E208*$I208/12*0,IF($J208=5,$E208*$I208/12*1,IF($J208=6,$E208*$I208/12*2,IF($J208&gt;=7,$E208*$I208/12*3,0))))))</f>
        <v>0</v>
      </c>
      <c r="CN208" s="416">
        <f t="shared" ref="CN208:CN211" si="1643">IF($H208&lt;&gt;CP$5,0,IF(CP208&gt;0,IF(OR($J208=1,$J208=2,$J208=3,$J208=4,$J208=5,$J208=6,$J208=7),$E208*$I208/12*3,IF($J208=8,$E208*$I208/12*2,IF($J208=9,$E208*$I208/12*1,0)))))+IF(CK$5&lt;&gt;$H208,0,IF(CK208&gt;0,IF($J208=7,$E208*$I208/12*0,IF($J208=8,$E208*$I208/12*1,IF($J208=9,$E208*$I208/12*2,IF($J208&gt;=10,$E208*$I208/12*3,0))))))</f>
        <v>0</v>
      </c>
      <c r="CO208" s="412">
        <f t="shared" ref="CO208:CO211" si="1644">IF($H208&lt;&gt;CP$5,0,IF(CP208&gt;0,IF(OR($J208=1,$J208=2,$J208=3,$J208=4,$J208=5,$J208=6,$J208=7,$J208=8,$J208=9,$J208=10),$E208*$I208/12*3,IF($J208=11,$E208*$I208/12*2,IF($J208=12,$E208*$I208/12*1,0)))))+IF(CK$5&lt;&gt;$H208,0,IF(CK208&gt;0,IF($J208=10,$E208*$I208/12*0,IF($J208=11,$E208*$I208/12*1,IF($J208=12,$E208*$I208/12*2,0)))))</f>
        <v>0</v>
      </c>
      <c r="CP208" s="413">
        <f t="shared" ref="CP208:CP211" si="1645">IF(AND(CK208&lt;&gt;0,CK$5=$H208),$I208*$E208-CK208,IF(CP$5=$H208,$I208*$E208*(12-$J208+1)/12,0))</f>
        <v>0</v>
      </c>
      <c r="CQ208" s="410">
        <f t="shared" ref="CQ208:CQ211" si="1646">IF($H208&lt;&gt;CU$5,0,IF(CU208&gt;0,IF($J208=1,$E208*$I208/12*3,IF($J208=2,$E208*$I208/12*2,IF($J208=3,$E208*$I208/12*1,0)))))+IF(CP$5&lt;&gt;$H208,0,IF(CP208&gt;0,IF($J208=1,$E208*$I208/12*0,IF($J208=2,$E208*$I208/12*1,IF($J208=3,$E208*$I208/12*2,IF($J208&gt;=4,$E208*$I208/12*3,0))))))</f>
        <v>0</v>
      </c>
      <c r="CR208" s="416">
        <f t="shared" ref="CR208:CR211" si="1647">IF($H208&lt;&gt;CU$5,0,IF(CU208&gt;0,IF(OR($J208=1,$J208=2,$J208=3,$J208=4),$E208*$I208/12*3,IF($J208=5,$E208*$I208/12*2,IF($J208=6,$E208*$I208/12*1,0)))))+IF(CP$5&lt;&gt;$H208,0,IF(CP208&gt;0,IF($J208=4,$E208*$I208/12*0,IF($J208=5,$E208*$I208/12*1,IF($J208=6,$E208*$I208/12*2,IF($J208&gt;=7,$E208*$I208/12*3,0))))))</f>
        <v>0</v>
      </c>
      <c r="CS208" s="416">
        <f t="shared" ref="CS208:CS211" si="1648">IF($H208&lt;&gt;CU$5,0,IF(CU208&gt;0,IF(OR($J208=1,$J208=2,$J208=3,$J208=4,$J208=5,$J208=6,$J208=7),$E208*$I208/12*3,IF($J208=8,$E208*$I208/12*2,IF($J208=9,$E208*$I208/12*1,0)))))+IF(CP$5&lt;&gt;$H208,0,IF(CP208&gt;0,IF($J208=7,$E208*$I208/12*0,IF($J208=8,$E208*$I208/12*1,IF($J208=9,$E208*$I208/12*2,IF($J208&gt;=10,$E208*$I208/12*3,0))))))</f>
        <v>0</v>
      </c>
      <c r="CT208" s="412">
        <f t="shared" ref="CT208:CT211" si="1649">IF($H208&lt;&gt;CU$5,0,IF(CU208&gt;0,IF(OR($J208=1,$J208=2,$J208=3,$J208=4,$J208=5,$J208=6,$J208=7,$J208=8,$J208=9,$J208=10),$E208*$I208/12*3,IF($J208=11,$E208*$I208/12*2,IF($J208=12,$E208*$I208/12*1,0)))))+IF(CP$5&lt;&gt;$H208,0,IF(CP208&gt;0,IF($J208=10,$E208*$I208/12*0,IF($J208=11,$E208*$I208/12*1,IF($J208=12,$E208*$I208/12*2,0)))))</f>
        <v>0</v>
      </c>
      <c r="CU208" s="413">
        <f t="shared" ref="CU208:CU211" si="1650">IF(AND(CP208&lt;&gt;0,CP$5=$H208),$I208*$E208-CP208,IF(CU$5=$H208,$I208*$E208*(12-$J208+1)/12,0))</f>
        <v>0</v>
      </c>
      <c r="CV208" s="410">
        <f t="shared" ref="CV208:CV211" si="1651">IF($H208&lt;&gt;CZ$5,0,IF(CZ208&gt;0,IF($J208=1,$E208*$I208/12*3,IF($J208=2,$E208*$I208/12*2,IF($J208=3,$E208*$I208/12*1,0)))))+IF(CU$5&lt;&gt;$H208,0,IF(CU208&gt;0,IF($J208=1,$E208*$I208/12*0,IF($J208=2,$E208*$I208/12*1,IF($J208=3,$E208*$I208/12*2,IF($J208&gt;=4,$E208*$I208/12*3,0))))))</f>
        <v>0</v>
      </c>
      <c r="CW208" s="416">
        <f t="shared" ref="CW208:CW211" si="1652">IF($H208&lt;&gt;CZ$5,0,IF(CZ208&gt;0,IF(OR($J208=1,$J208=2,$J208=3,$J208=4),$E208*$I208/12*3,IF($J208=5,$E208*$I208/12*2,IF($J208=6,$E208*$I208/12*1,0)))))+IF(CU$5&lt;&gt;$H208,0,IF(CU208&gt;0,IF($J208=4,$E208*$I208/12*0,IF($J208=5,$E208*$I208/12*1,IF($J208=6,$E208*$I208/12*2,IF($J208&gt;=7,$E208*$I208/12*3,0))))))</f>
        <v>0</v>
      </c>
      <c r="CX208" s="416">
        <f t="shared" ref="CX208:CX211" si="1653">IF($H208&lt;&gt;CZ$5,0,IF(CZ208&gt;0,IF(OR($J208=1,$J208=2,$J208=3,$J208=4,$J208=5,$J208=6,$J208=7),$E208*$I208/12*3,IF($J208=8,$E208*$I208/12*2,IF($J208=9,$E208*$I208/12*1,0)))))+IF(CU$5&lt;&gt;$H208,0,IF(CU208&gt;0,IF($J208=7,$E208*$I208/12*0,IF($J208=8,$E208*$I208/12*1,IF($J208=9,$E208*$I208/12*2,IF($J208&gt;=10,$E208*$I208/12*3,0))))))</f>
        <v>0</v>
      </c>
      <c r="CY208" s="412">
        <f t="shared" ref="CY208:CY211" si="1654">IF($H208&lt;&gt;CZ$5,0,IF(CZ208&gt;0,IF(OR($J208=1,$J208=2,$J208=3,$J208=4,$J208=5,$J208=6,$J208=7,$J208=8,$J208=9,$J208=10),$E208*$I208/12*3,IF($J208=11,$E208*$I208/12*2,IF($J208=12,$E208*$I208/12*1,0)))))+IF(CU$5&lt;&gt;$H208,0,IF(CU208&gt;0,IF($J208=10,$E208*$I208/12*0,IF($J208=11,$E208*$I208/12*1,IF($J208=12,$E208*$I208/12*2,0)))))</f>
        <v>0</v>
      </c>
      <c r="CZ208" s="413">
        <f t="shared" ref="CZ208:CZ211" si="1655">IF(AND(CU208&lt;&gt;0,CU$5=$H208),$I208*$E208-CU208,IF(CZ$5=$H208,$I208*$E208*(12-$J208+1)/12,0))</f>
        <v>0</v>
      </c>
      <c r="DA208" s="410">
        <f t="shared" ref="DA208:DA211" si="1656">IF($H208&lt;&gt;DE$5,0,IF(DE208&gt;0,IF($J208=1,$E208*$I208/12*3,IF($J208=2,$E208*$I208/12*2,IF($J208=3,$E208*$I208/12*1,0)))))+IF(CZ$5&lt;&gt;$H208,0,IF(CZ208&gt;0,IF($J208=1,$E208*$I208/12*0,IF($J208=2,$E208*$I208/12*1,IF($J208=3,$E208*$I208/12*2,IF($J208&gt;=4,$E208*$I208/12*3,0))))))</f>
        <v>0</v>
      </c>
      <c r="DB208" s="416">
        <f t="shared" ref="DB208:DB211" si="1657">IF($H208&lt;&gt;DE$5,0,IF(DE208&gt;0,IF(OR($J208=1,$J208=2,$J208=3,$J208=4),$E208*$I208/12*3,IF($J208=5,$E208*$I208/12*2,IF($J208=6,$E208*$I208/12*1,0)))))+IF(CZ$5&lt;&gt;$H208,0,IF(CZ208&gt;0,IF($J208=4,$E208*$I208/12*0,IF($J208=5,$E208*$I208/12*1,IF($J208=6,$E208*$I208/12*2,IF($J208&gt;=7,$E208*$I208/12*3,0))))))</f>
        <v>0</v>
      </c>
      <c r="DC208" s="416">
        <f t="shared" ref="DC208:DC211" si="1658">IF($H208&lt;&gt;DE$5,0,IF(DE208&gt;0,IF(OR($J208=1,$J208=2,$J208=3,$J208=4,$J208=5,$J208=6,$J208=7),$E208*$I208/12*3,IF($J208=8,$E208*$I208/12*2,IF($J208=9,$E208*$I208/12*1,0)))))+IF(CZ$5&lt;&gt;$H208,0,IF(CZ208&gt;0,IF($J208=7,$E208*$I208/12*0,IF($J208=8,$E208*$I208/12*1,IF($J208=9,$E208*$I208/12*2,IF($J208&gt;=10,$E208*$I208/12*3,0))))))</f>
        <v>20.75</v>
      </c>
      <c r="DD208" s="412">
        <f t="shared" ref="DD208:DD211" si="1659">IF($H208&lt;&gt;DE$5,0,IF(DE208&gt;0,IF(OR($J208=1,$J208=2,$J208=3,$J208=4,$J208=5,$J208=6,$J208=7,$J208=8,$J208=9,$J208=10),$E208*$I208/12*3,IF($J208=11,$E208*$I208/12*2,IF($J208=12,$E208*$I208/12*1,0)))))+IF(CZ$5&lt;&gt;$H208,0,IF(CZ208&gt;0,IF($J208=10,$E208*$I208/12*0,IF($J208=11,$E208*$I208/12*1,IF($J208=12,$E208*$I208/12*2,0)))))</f>
        <v>20.75</v>
      </c>
      <c r="DE208" s="413">
        <f t="shared" ref="DE208:DE211" si="1660">IF(AND(CZ208&lt;&gt;0,CZ$5=$H208),$I208*$E208-CZ208,IF(DE$5=$H208,$I208*$E208*(12-$J208+1)/12,0))</f>
        <v>41.5</v>
      </c>
      <c r="DF208" s="410">
        <f t="shared" ref="DF208:DF211" si="1661">IF($H208&lt;&gt;DJ$5,0,IF(DJ208&gt;0,IF($J208=1,$E208*$I208/12*3,IF($J208=2,$E208*$I208/12*2,IF($J208=3,$E208*$I208/12*1,0)))))+IF(DE$5&lt;&gt;$H208,0,IF(DE208&gt;0,IF($J208=1,$E208*$I208/12*0,IF($J208=2,$E208*$I208/12*1,IF($J208=3,$E208*$I208/12*2,IF($J208&gt;=4,$E208*$I208/12*3,0))))))</f>
        <v>20.75</v>
      </c>
      <c r="DG208" s="416">
        <f t="shared" ref="DG208:DG211" si="1662">IF($H208&lt;&gt;DJ$5,0,IF(DJ208&gt;0,IF(OR($J208=1,$J208=2,$J208=3,$J208=4),$E208*$I208/12*3,IF($J208=5,$E208*$I208/12*2,IF($J208=6,$E208*$I208/12*1,0)))))+IF(DE$5&lt;&gt;$H208,0,IF(DE208&gt;0,IF($J208=4,$E208*$I208/12*0,IF($J208=5,$E208*$I208/12*1,IF($J208=6,$E208*$I208/12*2,IF($J208&gt;=7,$E208*$I208/12*3,0))))))</f>
        <v>20.75</v>
      </c>
      <c r="DH208" s="416">
        <f t="shared" ref="DH208:DH211" si="1663">IF($H208&lt;&gt;DJ$5,0,IF(DJ208&gt;0,IF(OR($J208=1,$J208=2,$J208=3,$J208=4,$J208=5,$J208=6,$J208=7),$E208*$I208/12*3,IF($J208=8,$E208*$I208/12*2,IF($J208=9,$E208*$I208/12*1,0)))))+IF(DE$5&lt;&gt;$H208,0,IF(DE208&gt;0,IF($J208=7,$E208*$I208/12*0,IF($J208=8,$E208*$I208/12*1,IF($J208=9,$E208*$I208/12*2,IF($J208&gt;=10,$E208*$I208/12*3,0))))))</f>
        <v>0</v>
      </c>
      <c r="DI208" s="412">
        <f t="shared" ref="DI208:DI211" si="1664">IF($H208&lt;&gt;DJ$5,0,IF(DJ208&gt;0,IF(OR($J208=1,$J208=2,$J208=3,$J208=4,$J208=5,$J208=6,$J208=7,$J208=8,$J208=9,$J208=10),$E208*$I208/12*3,IF($J208=11,$E208*$I208/12*2,IF($J208=12,$E208*$I208/12*1,0)))))+IF(DE$5&lt;&gt;$H208,0,IF(DE208&gt;0,IF($J208=10,$E208*$I208/12*0,IF($J208=11,$E208*$I208/12*1,IF($J208=12,$E208*$I208/12*2,0)))))</f>
        <v>0</v>
      </c>
      <c r="DJ208" s="413">
        <f t="shared" ref="DJ208:DJ211" si="1665">IF(AND(DE208&lt;&gt;0,DE$5=$H208),$I208*$E208-DE208,IF(DJ$5=$H208,$I208*$E208*(12-$J208+1)/12,0))</f>
        <v>41.5</v>
      </c>
      <c r="DK208" s="410">
        <f t="shared" ref="DK208:DK211" si="1666">IF($H208&lt;&gt;DO$5,0,IF(DO208&gt;0,IF($J208=1,$E208*$I208/12*3,IF($J208=2,$E208*$I208/12*2,IF($J208=3,$E208*$I208/12*1,0)))))+IF(DJ$5&lt;&gt;$H208,0,IF(DJ208&gt;0,IF($J208=1,$E208*$I208/12*0,IF($J208=2,$E208*$I208/12*1,IF($J208=3,$E208*$I208/12*2,IF($J208&gt;=4,$E208*$I208/12*3,0))))))</f>
        <v>0</v>
      </c>
      <c r="DL208" s="416">
        <f t="shared" ref="DL208:DL211" si="1667">IF($H208&lt;&gt;DO$5,0,IF(DO208&gt;0,IF(OR($J208=1,$J208=2,$J208=3,$J208=4),$E208*$I208/12*3,IF($J208=5,$E208*$I208/12*2,IF($J208=6,$E208*$I208/12*1,0)))))+IF(DJ$5&lt;&gt;$H208,0,IF(DJ208&gt;0,IF($J208=4,$E208*$I208/12*0,IF($J208=5,$E208*$I208/12*1,IF($J208=6,$E208*$I208/12*2,IF($J208&gt;=7,$E208*$I208/12*3,0))))))</f>
        <v>0</v>
      </c>
      <c r="DM208" s="416">
        <f t="shared" ref="DM208:DM211" si="1668">IF($H208&lt;&gt;DO$5,0,IF(DO208&gt;0,IF(OR($J208=1,$J208=2,$J208=3,$J208=4,$J208=5,$J208=6,$J208=7),$E208*$I208/12*3,IF($J208=8,$E208*$I208/12*2,IF($J208=9,$E208*$I208/12*1,0)))))+IF(DJ$5&lt;&gt;$H208,0,IF(DJ208&gt;0,IF($J208=7,$E208*$I208/12*0,IF($J208=8,$E208*$I208/12*1,IF($J208=9,$E208*$I208/12*2,IF($J208&gt;=10,$E208*$I208/12*3,0))))))</f>
        <v>0</v>
      </c>
      <c r="DN208" s="412">
        <f t="shared" ref="DN208:DN211" si="1669">IF($H208&lt;&gt;DO$5,0,IF(DO208&gt;0,IF(OR($J208=1,$J208=2,$J208=3,$J208=4,$J208=5,$J208=6,$J208=7,$J208=8,$J208=9,$J208=10),$E208*$I208/12*3,IF($J208=11,$E208*$I208/12*2,IF($J208=12,$E208*$I208/12*1,0)))))+IF(DJ$5&lt;&gt;$H208,0,IF(DJ208&gt;0,IF($J208=10,$E208*$I208/12*0,IF($J208=11,$E208*$I208/12*1,IF($J208=12,$E208*$I208/12*2,0)))))</f>
        <v>0</v>
      </c>
      <c r="DO208" s="413">
        <f t="shared" ref="DO208:DO211" si="1670">IF(AND(DJ208&lt;&gt;0,DJ$5=$H208),$I208*$E208-DJ208,IF(DO$5=$H208,$I208*$E208*(12-$J208+1)/12,0))</f>
        <v>0</v>
      </c>
      <c r="DP208" s="410">
        <f t="shared" ref="DP208:DP211" si="1671">IF($H208&lt;&gt;DT$5,0,IF(DT208&gt;0,IF($J208=1,$E208*$I208/12*3,IF($J208=2,$E208*$I208/12*2,IF($J208=3,$E208*$I208/12*1,0)))))+IF(DO$5&lt;&gt;$H208,0,IF(DO208&gt;0,IF($J208=1,$E208*$I208/12*0,IF($J208=2,$E208*$I208/12*1,IF($J208=3,$E208*$I208/12*2,IF($J208&gt;=4,$E208*$I208/12*3,0))))))</f>
        <v>0</v>
      </c>
      <c r="DQ208" s="416">
        <f t="shared" ref="DQ208:DQ211" si="1672">IF($H208&lt;&gt;DT$5,0,IF(DT208&gt;0,IF(OR($J208=1,$J208=2,$J208=3,$J208=4),$E208*$I208/12*3,IF($J208=5,$E208*$I208/12*2,IF($J208=6,$E208*$I208/12*1,0)))))+IF(DO$5&lt;&gt;$H208,0,IF(DO208&gt;0,IF($J208=4,$E208*$I208/12*0,IF($J208=5,$E208*$I208/12*1,IF($J208=6,$E208*$I208/12*2,IF($J208&gt;=7,$E208*$I208/12*3,0))))))</f>
        <v>0</v>
      </c>
      <c r="DR208" s="416">
        <f t="shared" ref="DR208:DR211" si="1673">IF($H208&lt;&gt;DT$5,0,IF(DT208&gt;0,IF(OR($J208=1,$J208=2,$J208=3,$J208=4,$J208=5,$J208=6,$J208=7),$E208*$I208/12*3,IF($J208=8,$E208*$I208/12*2,IF($J208=9,$E208*$I208/12*1,0)))))+IF(DO$5&lt;&gt;$H208,0,IF(DO208&gt;0,IF($J208=7,$E208*$I208/12*0,IF($J208=8,$E208*$I208/12*1,IF($J208=9,$E208*$I208/12*2,IF($J208&gt;=10,$E208*$I208/12*3,0))))))</f>
        <v>0</v>
      </c>
      <c r="DS208" s="412">
        <f t="shared" ref="DS208:DS211" si="1674">IF($H208&lt;&gt;DT$5,0,IF(DT208&gt;0,IF(OR($J208=1,$J208=2,$J208=3,$J208=4,$J208=5,$J208=6,$J208=7,$J208=8,$J208=9,$J208=10),$E208*$I208/12*3,IF($J208=11,$E208*$I208/12*2,IF($J208=12,$E208*$I208/12*1,0)))))+IF(DO$5&lt;&gt;$H208,0,IF(DO208&gt;0,IF($J208=10,$E208*$I208/12*0,IF($J208=11,$E208*$I208/12*1,IF($J208=12,$E208*$I208/12*2,0)))))</f>
        <v>0</v>
      </c>
      <c r="DT208" s="413">
        <f t="shared" ref="DT208:DT211" si="1675">IF(AND(DO208&lt;&gt;0,DO$5=$H208),$I208*$E208-DO208,IF(DT$5=$H208,$I208*$E208*(12-$J208+1)/12,0))</f>
        <v>0</v>
      </c>
    </row>
    <row r="209" spans="1:124" ht="12.75" customHeight="1">
      <c r="C209" s="1885" t="s">
        <v>1083</v>
      </c>
      <c r="D209" s="1885"/>
      <c r="E209" s="1887">
        <f>'Vertically Integrated Utilities'!$BG$161</f>
        <v>2420</v>
      </c>
      <c r="F209" s="1888"/>
      <c r="G209" s="1888"/>
      <c r="H209" s="16">
        <v>2019</v>
      </c>
      <c r="I209" s="1889">
        <f>+'Utility Detail'!$AW$13</f>
        <v>0.05</v>
      </c>
      <c r="J209" s="617">
        <v>7</v>
      </c>
      <c r="K209" s="402"/>
      <c r="L209" s="407">
        <f t="shared" si="1464"/>
        <v>0</v>
      </c>
      <c r="M209" s="404">
        <f t="shared" si="1576"/>
        <v>0</v>
      </c>
      <c r="N209" s="414">
        <f t="shared" si="1577"/>
        <v>0</v>
      </c>
      <c r="O209" s="414">
        <f t="shared" si="1578"/>
        <v>0</v>
      </c>
      <c r="P209" s="406">
        <f t="shared" si="1579"/>
        <v>0</v>
      </c>
      <c r="Q209" s="407">
        <f t="shared" si="1469"/>
        <v>0</v>
      </c>
      <c r="R209" s="404">
        <f t="shared" si="1580"/>
        <v>0</v>
      </c>
      <c r="S209" s="414">
        <f t="shared" si="1581"/>
        <v>0</v>
      </c>
      <c r="T209" s="414">
        <f t="shared" si="1582"/>
        <v>0</v>
      </c>
      <c r="U209" s="406">
        <f t="shared" si="1583"/>
        <v>0</v>
      </c>
      <c r="V209" s="407">
        <f t="shared" si="1474"/>
        <v>0</v>
      </c>
      <c r="W209" s="404">
        <f t="shared" si="1584"/>
        <v>0</v>
      </c>
      <c r="X209" s="414">
        <f t="shared" si="1585"/>
        <v>0</v>
      </c>
      <c r="Y209" s="414">
        <f t="shared" si="1586"/>
        <v>0</v>
      </c>
      <c r="Z209" s="406">
        <f t="shared" si="1587"/>
        <v>0</v>
      </c>
      <c r="AA209" s="407">
        <f t="shared" si="1479"/>
        <v>0</v>
      </c>
      <c r="AB209" s="404">
        <f t="shared" si="1588"/>
        <v>0</v>
      </c>
      <c r="AC209" s="414">
        <f t="shared" si="1589"/>
        <v>0</v>
      </c>
      <c r="AD209" s="414">
        <f t="shared" si="1590"/>
        <v>0</v>
      </c>
      <c r="AE209" s="406">
        <f t="shared" si="1591"/>
        <v>0</v>
      </c>
      <c r="AF209" s="407">
        <f t="shared" si="1484"/>
        <v>0</v>
      </c>
      <c r="AG209" s="404">
        <f t="shared" si="1592"/>
        <v>0</v>
      </c>
      <c r="AH209" s="414">
        <f t="shared" si="1593"/>
        <v>0</v>
      </c>
      <c r="AI209" s="414">
        <f t="shared" si="1594"/>
        <v>0</v>
      </c>
      <c r="AJ209" s="406">
        <f t="shared" si="1595"/>
        <v>0</v>
      </c>
      <c r="AK209" s="407">
        <f t="shared" si="1489"/>
        <v>0</v>
      </c>
      <c r="AL209" s="404">
        <f t="shared" si="1596"/>
        <v>0</v>
      </c>
      <c r="AM209" s="414">
        <f t="shared" si="1597"/>
        <v>0</v>
      </c>
      <c r="AN209" s="414">
        <f t="shared" si="1598"/>
        <v>0</v>
      </c>
      <c r="AO209" s="406">
        <f t="shared" si="1599"/>
        <v>0</v>
      </c>
      <c r="AP209" s="407">
        <f t="shared" si="1494"/>
        <v>0</v>
      </c>
      <c r="AQ209" s="404">
        <f t="shared" si="1600"/>
        <v>0</v>
      </c>
      <c r="AR209" s="414">
        <f t="shared" si="1601"/>
        <v>0</v>
      </c>
      <c r="AS209" s="414">
        <f t="shared" si="1602"/>
        <v>0</v>
      </c>
      <c r="AT209" s="406">
        <f t="shared" si="1603"/>
        <v>0</v>
      </c>
      <c r="AU209" s="407">
        <f t="shared" si="1499"/>
        <v>0</v>
      </c>
      <c r="AV209" s="404">
        <f t="shared" si="1604"/>
        <v>0</v>
      </c>
      <c r="AW209" s="414">
        <f t="shared" si="1605"/>
        <v>0</v>
      </c>
      <c r="AX209" s="414">
        <f t="shared" si="1606"/>
        <v>0</v>
      </c>
      <c r="AY209" s="406">
        <f t="shared" si="1607"/>
        <v>0</v>
      </c>
      <c r="AZ209" s="407">
        <f t="shared" si="1504"/>
        <v>0</v>
      </c>
      <c r="BA209" s="404">
        <f t="shared" si="1608"/>
        <v>0</v>
      </c>
      <c r="BB209" s="414">
        <f t="shared" si="1609"/>
        <v>0</v>
      </c>
      <c r="BC209" s="414">
        <f t="shared" si="1610"/>
        <v>2420</v>
      </c>
      <c r="BD209" s="406">
        <f t="shared" si="1611"/>
        <v>0</v>
      </c>
      <c r="BE209" s="407">
        <f t="shared" si="1509"/>
        <v>2420</v>
      </c>
      <c r="BF209" s="404">
        <f t="shared" si="1612"/>
        <v>0</v>
      </c>
      <c r="BG209" s="414">
        <f t="shared" si="1613"/>
        <v>0</v>
      </c>
      <c r="BH209" s="414">
        <f t="shared" si="1614"/>
        <v>0</v>
      </c>
      <c r="BI209" s="406">
        <f t="shared" si="1615"/>
        <v>0</v>
      </c>
      <c r="BJ209" s="407">
        <f t="shared" si="1514"/>
        <v>0</v>
      </c>
      <c r="BK209" s="404">
        <f t="shared" si="1616"/>
        <v>0</v>
      </c>
      <c r="BL209" s="414">
        <f t="shared" si="1617"/>
        <v>0</v>
      </c>
      <c r="BM209" s="414">
        <f t="shared" si="1618"/>
        <v>0</v>
      </c>
      <c r="BN209" s="406">
        <f t="shared" si="1619"/>
        <v>0</v>
      </c>
      <c r="BO209" s="407">
        <f t="shared" si="1519"/>
        <v>0</v>
      </c>
      <c r="BP209" s="447"/>
      <c r="BQ209" s="413">
        <f t="shared" si="1620"/>
        <v>0</v>
      </c>
      <c r="BR209" s="410">
        <f t="shared" si="1621"/>
        <v>0</v>
      </c>
      <c r="BS209" s="416">
        <f t="shared" si="1622"/>
        <v>0</v>
      </c>
      <c r="BT209" s="416">
        <f t="shared" si="1623"/>
        <v>0</v>
      </c>
      <c r="BU209" s="412">
        <f t="shared" si="1624"/>
        <v>0</v>
      </c>
      <c r="BV209" s="413">
        <f t="shared" si="1625"/>
        <v>0</v>
      </c>
      <c r="BW209" s="410">
        <f t="shared" si="1626"/>
        <v>0</v>
      </c>
      <c r="BX209" s="416">
        <f t="shared" si="1627"/>
        <v>0</v>
      </c>
      <c r="BY209" s="416">
        <f t="shared" si="1628"/>
        <v>0</v>
      </c>
      <c r="BZ209" s="412">
        <f t="shared" si="1629"/>
        <v>0</v>
      </c>
      <c r="CA209" s="413">
        <f t="shared" si="1630"/>
        <v>0</v>
      </c>
      <c r="CB209" s="410">
        <f t="shared" si="1631"/>
        <v>0</v>
      </c>
      <c r="CC209" s="416">
        <f t="shared" si="1632"/>
        <v>0</v>
      </c>
      <c r="CD209" s="416">
        <f t="shared" si="1633"/>
        <v>0</v>
      </c>
      <c r="CE209" s="412">
        <f t="shared" si="1634"/>
        <v>0</v>
      </c>
      <c r="CF209" s="413">
        <f t="shared" si="1635"/>
        <v>0</v>
      </c>
      <c r="CG209" s="410">
        <f t="shared" si="1636"/>
        <v>0</v>
      </c>
      <c r="CH209" s="416">
        <f t="shared" si="1637"/>
        <v>0</v>
      </c>
      <c r="CI209" s="416">
        <f t="shared" si="1638"/>
        <v>0</v>
      </c>
      <c r="CJ209" s="412">
        <f t="shared" si="1639"/>
        <v>0</v>
      </c>
      <c r="CK209" s="413">
        <f t="shared" si="1640"/>
        <v>0</v>
      </c>
      <c r="CL209" s="410">
        <f t="shared" si="1641"/>
        <v>0</v>
      </c>
      <c r="CM209" s="416">
        <f t="shared" si="1642"/>
        <v>0</v>
      </c>
      <c r="CN209" s="416">
        <f t="shared" si="1643"/>
        <v>0</v>
      </c>
      <c r="CO209" s="412">
        <f t="shared" si="1644"/>
        <v>0</v>
      </c>
      <c r="CP209" s="413">
        <f t="shared" si="1645"/>
        <v>0</v>
      </c>
      <c r="CQ209" s="410">
        <f t="shared" si="1646"/>
        <v>0</v>
      </c>
      <c r="CR209" s="416">
        <f t="shared" si="1647"/>
        <v>0</v>
      </c>
      <c r="CS209" s="416">
        <f t="shared" si="1648"/>
        <v>0</v>
      </c>
      <c r="CT209" s="412">
        <f t="shared" si="1649"/>
        <v>0</v>
      </c>
      <c r="CU209" s="413">
        <f t="shared" si="1650"/>
        <v>0</v>
      </c>
      <c r="CV209" s="410">
        <f t="shared" si="1651"/>
        <v>0</v>
      </c>
      <c r="CW209" s="416">
        <f t="shared" si="1652"/>
        <v>0</v>
      </c>
      <c r="CX209" s="416">
        <f t="shared" si="1653"/>
        <v>0</v>
      </c>
      <c r="CY209" s="412">
        <f t="shared" si="1654"/>
        <v>0</v>
      </c>
      <c r="CZ209" s="413">
        <f t="shared" si="1655"/>
        <v>0</v>
      </c>
      <c r="DA209" s="410">
        <f t="shared" si="1656"/>
        <v>0</v>
      </c>
      <c r="DB209" s="416">
        <f t="shared" si="1657"/>
        <v>0</v>
      </c>
      <c r="DC209" s="416">
        <f t="shared" si="1658"/>
        <v>0</v>
      </c>
      <c r="DD209" s="412">
        <f t="shared" si="1659"/>
        <v>0</v>
      </c>
      <c r="DE209" s="413">
        <f t="shared" si="1660"/>
        <v>0</v>
      </c>
      <c r="DF209" s="410">
        <f t="shared" si="1661"/>
        <v>0</v>
      </c>
      <c r="DG209" s="416">
        <f t="shared" si="1662"/>
        <v>0</v>
      </c>
      <c r="DH209" s="416">
        <f t="shared" si="1663"/>
        <v>30.25</v>
      </c>
      <c r="DI209" s="412">
        <f t="shared" si="1664"/>
        <v>30.25</v>
      </c>
      <c r="DJ209" s="413">
        <f t="shared" si="1665"/>
        <v>60.5</v>
      </c>
      <c r="DK209" s="410">
        <f t="shared" si="1666"/>
        <v>30.25</v>
      </c>
      <c r="DL209" s="416">
        <f t="shared" si="1667"/>
        <v>30.25</v>
      </c>
      <c r="DM209" s="416">
        <f t="shared" si="1668"/>
        <v>0</v>
      </c>
      <c r="DN209" s="412">
        <f t="shared" si="1669"/>
        <v>0</v>
      </c>
      <c r="DO209" s="413">
        <f t="shared" si="1670"/>
        <v>60.5</v>
      </c>
      <c r="DP209" s="410">
        <f t="shared" si="1671"/>
        <v>0</v>
      </c>
      <c r="DQ209" s="416">
        <f t="shared" si="1672"/>
        <v>0</v>
      </c>
      <c r="DR209" s="416">
        <f t="shared" si="1673"/>
        <v>0</v>
      </c>
      <c r="DS209" s="412">
        <f t="shared" si="1674"/>
        <v>0</v>
      </c>
      <c r="DT209" s="413">
        <f t="shared" si="1675"/>
        <v>0</v>
      </c>
    </row>
    <row r="210" spans="1:124" ht="12.75" customHeight="1">
      <c r="C210" s="1885" t="s">
        <v>1084</v>
      </c>
      <c r="D210" s="1885"/>
      <c r="E210" s="1887">
        <f>'Vertically Integrated Utilities'!$BL$161</f>
        <v>1020</v>
      </c>
      <c r="F210" s="1888"/>
      <c r="G210" s="1888"/>
      <c r="H210" s="16">
        <v>2020</v>
      </c>
      <c r="I210" s="1889">
        <f>+'Utility Detail'!$AW$13</f>
        <v>0.05</v>
      </c>
      <c r="J210" s="617">
        <v>1</v>
      </c>
      <c r="K210" s="402"/>
      <c r="L210" s="407">
        <f t="shared" si="1464"/>
        <v>0</v>
      </c>
      <c r="M210" s="404">
        <f t="shared" si="1576"/>
        <v>0</v>
      </c>
      <c r="N210" s="414">
        <f t="shared" si="1577"/>
        <v>0</v>
      </c>
      <c r="O210" s="414">
        <f t="shared" si="1578"/>
        <v>0</v>
      </c>
      <c r="P210" s="406">
        <f t="shared" si="1579"/>
        <v>0</v>
      </c>
      <c r="Q210" s="407">
        <f t="shared" si="1469"/>
        <v>0</v>
      </c>
      <c r="R210" s="404">
        <f t="shared" si="1580"/>
        <v>0</v>
      </c>
      <c r="S210" s="414">
        <f t="shared" si="1581"/>
        <v>0</v>
      </c>
      <c r="T210" s="414">
        <f t="shared" si="1582"/>
        <v>0</v>
      </c>
      <c r="U210" s="406">
        <f t="shared" si="1583"/>
        <v>0</v>
      </c>
      <c r="V210" s="407">
        <f t="shared" si="1474"/>
        <v>0</v>
      </c>
      <c r="W210" s="404">
        <f t="shared" si="1584"/>
        <v>0</v>
      </c>
      <c r="X210" s="414">
        <f t="shared" si="1585"/>
        <v>0</v>
      </c>
      <c r="Y210" s="414">
        <f t="shared" si="1586"/>
        <v>0</v>
      </c>
      <c r="Z210" s="406">
        <f t="shared" si="1587"/>
        <v>0</v>
      </c>
      <c r="AA210" s="407">
        <f t="shared" si="1479"/>
        <v>0</v>
      </c>
      <c r="AB210" s="404">
        <f t="shared" si="1588"/>
        <v>0</v>
      </c>
      <c r="AC210" s="414">
        <f t="shared" si="1589"/>
        <v>0</v>
      </c>
      <c r="AD210" s="414">
        <f t="shared" si="1590"/>
        <v>0</v>
      </c>
      <c r="AE210" s="406">
        <f t="shared" si="1591"/>
        <v>0</v>
      </c>
      <c r="AF210" s="407">
        <f t="shared" si="1484"/>
        <v>0</v>
      </c>
      <c r="AG210" s="404">
        <f t="shared" si="1592"/>
        <v>0</v>
      </c>
      <c r="AH210" s="414">
        <f t="shared" si="1593"/>
        <v>0</v>
      </c>
      <c r="AI210" s="414">
        <f t="shared" si="1594"/>
        <v>0</v>
      </c>
      <c r="AJ210" s="406">
        <f t="shared" si="1595"/>
        <v>0</v>
      </c>
      <c r="AK210" s="407">
        <f t="shared" si="1489"/>
        <v>0</v>
      </c>
      <c r="AL210" s="404">
        <f t="shared" si="1596"/>
        <v>0</v>
      </c>
      <c r="AM210" s="414">
        <f t="shared" si="1597"/>
        <v>0</v>
      </c>
      <c r="AN210" s="414">
        <f t="shared" si="1598"/>
        <v>0</v>
      </c>
      <c r="AO210" s="406">
        <f t="shared" si="1599"/>
        <v>0</v>
      </c>
      <c r="AP210" s="407">
        <f t="shared" si="1494"/>
        <v>0</v>
      </c>
      <c r="AQ210" s="404">
        <f t="shared" si="1600"/>
        <v>0</v>
      </c>
      <c r="AR210" s="414">
        <f t="shared" si="1601"/>
        <v>0</v>
      </c>
      <c r="AS210" s="414">
        <f t="shared" si="1602"/>
        <v>0</v>
      </c>
      <c r="AT210" s="406">
        <f t="shared" si="1603"/>
        <v>0</v>
      </c>
      <c r="AU210" s="407">
        <f t="shared" si="1499"/>
        <v>0</v>
      </c>
      <c r="AV210" s="404">
        <f t="shared" si="1604"/>
        <v>0</v>
      </c>
      <c r="AW210" s="414">
        <f t="shared" si="1605"/>
        <v>0</v>
      </c>
      <c r="AX210" s="414">
        <f t="shared" si="1606"/>
        <v>0</v>
      </c>
      <c r="AY210" s="406">
        <f t="shared" si="1607"/>
        <v>0</v>
      </c>
      <c r="AZ210" s="407">
        <f t="shared" si="1504"/>
        <v>0</v>
      </c>
      <c r="BA210" s="404">
        <f t="shared" si="1608"/>
        <v>0</v>
      </c>
      <c r="BB210" s="414">
        <f t="shared" si="1609"/>
        <v>0</v>
      </c>
      <c r="BC210" s="414">
        <f t="shared" si="1610"/>
        <v>0</v>
      </c>
      <c r="BD210" s="406">
        <f t="shared" si="1611"/>
        <v>0</v>
      </c>
      <c r="BE210" s="407">
        <f t="shared" si="1509"/>
        <v>0</v>
      </c>
      <c r="BF210" s="404">
        <f t="shared" si="1612"/>
        <v>1020</v>
      </c>
      <c r="BG210" s="414">
        <f t="shared" si="1613"/>
        <v>0</v>
      </c>
      <c r="BH210" s="414">
        <f t="shared" si="1614"/>
        <v>0</v>
      </c>
      <c r="BI210" s="406">
        <f t="shared" si="1615"/>
        <v>0</v>
      </c>
      <c r="BJ210" s="407">
        <f t="shared" si="1514"/>
        <v>1020</v>
      </c>
      <c r="BK210" s="404">
        <f t="shared" si="1616"/>
        <v>0</v>
      </c>
      <c r="BL210" s="414">
        <f t="shared" si="1617"/>
        <v>0</v>
      </c>
      <c r="BM210" s="414">
        <f t="shared" si="1618"/>
        <v>0</v>
      </c>
      <c r="BN210" s="406">
        <f t="shared" si="1619"/>
        <v>0</v>
      </c>
      <c r="BO210" s="407">
        <f t="shared" si="1519"/>
        <v>0</v>
      </c>
      <c r="BP210" s="447"/>
      <c r="BQ210" s="413">
        <f t="shared" si="1620"/>
        <v>0</v>
      </c>
      <c r="BR210" s="410">
        <f t="shared" si="1621"/>
        <v>0</v>
      </c>
      <c r="BS210" s="416">
        <f t="shared" si="1622"/>
        <v>0</v>
      </c>
      <c r="BT210" s="416">
        <f t="shared" si="1623"/>
        <v>0</v>
      </c>
      <c r="BU210" s="412">
        <f t="shared" si="1624"/>
        <v>0</v>
      </c>
      <c r="BV210" s="413">
        <f t="shared" si="1625"/>
        <v>0</v>
      </c>
      <c r="BW210" s="410">
        <f t="shared" si="1626"/>
        <v>0</v>
      </c>
      <c r="BX210" s="416">
        <f t="shared" si="1627"/>
        <v>0</v>
      </c>
      <c r="BY210" s="416">
        <f t="shared" si="1628"/>
        <v>0</v>
      </c>
      <c r="BZ210" s="412">
        <f t="shared" si="1629"/>
        <v>0</v>
      </c>
      <c r="CA210" s="413">
        <f t="shared" si="1630"/>
        <v>0</v>
      </c>
      <c r="CB210" s="410">
        <f t="shared" si="1631"/>
        <v>0</v>
      </c>
      <c r="CC210" s="416">
        <f t="shared" si="1632"/>
        <v>0</v>
      </c>
      <c r="CD210" s="416">
        <f t="shared" si="1633"/>
        <v>0</v>
      </c>
      <c r="CE210" s="412">
        <f t="shared" si="1634"/>
        <v>0</v>
      </c>
      <c r="CF210" s="413">
        <f t="shared" si="1635"/>
        <v>0</v>
      </c>
      <c r="CG210" s="410">
        <f t="shared" si="1636"/>
        <v>0</v>
      </c>
      <c r="CH210" s="416">
        <f t="shared" si="1637"/>
        <v>0</v>
      </c>
      <c r="CI210" s="416">
        <f t="shared" si="1638"/>
        <v>0</v>
      </c>
      <c r="CJ210" s="412">
        <f t="shared" si="1639"/>
        <v>0</v>
      </c>
      <c r="CK210" s="413">
        <f t="shared" si="1640"/>
        <v>0</v>
      </c>
      <c r="CL210" s="410">
        <f t="shared" si="1641"/>
        <v>0</v>
      </c>
      <c r="CM210" s="416">
        <f t="shared" si="1642"/>
        <v>0</v>
      </c>
      <c r="CN210" s="416">
        <f t="shared" si="1643"/>
        <v>0</v>
      </c>
      <c r="CO210" s="412">
        <f t="shared" si="1644"/>
        <v>0</v>
      </c>
      <c r="CP210" s="413">
        <f t="shared" si="1645"/>
        <v>0</v>
      </c>
      <c r="CQ210" s="410">
        <f t="shared" si="1646"/>
        <v>0</v>
      </c>
      <c r="CR210" s="416">
        <f t="shared" si="1647"/>
        <v>0</v>
      </c>
      <c r="CS210" s="416">
        <f t="shared" si="1648"/>
        <v>0</v>
      </c>
      <c r="CT210" s="412">
        <f t="shared" si="1649"/>
        <v>0</v>
      </c>
      <c r="CU210" s="413">
        <f t="shared" si="1650"/>
        <v>0</v>
      </c>
      <c r="CV210" s="410">
        <f t="shared" si="1651"/>
        <v>0</v>
      </c>
      <c r="CW210" s="416">
        <f t="shared" si="1652"/>
        <v>0</v>
      </c>
      <c r="CX210" s="416">
        <f t="shared" si="1653"/>
        <v>0</v>
      </c>
      <c r="CY210" s="412">
        <f t="shared" si="1654"/>
        <v>0</v>
      </c>
      <c r="CZ210" s="413">
        <f t="shared" si="1655"/>
        <v>0</v>
      </c>
      <c r="DA210" s="410">
        <f t="shared" si="1656"/>
        <v>0</v>
      </c>
      <c r="DB210" s="416">
        <f t="shared" si="1657"/>
        <v>0</v>
      </c>
      <c r="DC210" s="416">
        <f t="shared" si="1658"/>
        <v>0</v>
      </c>
      <c r="DD210" s="412">
        <f t="shared" si="1659"/>
        <v>0</v>
      </c>
      <c r="DE210" s="413">
        <f t="shared" si="1660"/>
        <v>0</v>
      </c>
      <c r="DF210" s="410">
        <f t="shared" si="1661"/>
        <v>0</v>
      </c>
      <c r="DG210" s="416">
        <f t="shared" si="1662"/>
        <v>0</v>
      </c>
      <c r="DH210" s="416">
        <f t="shared" si="1663"/>
        <v>0</v>
      </c>
      <c r="DI210" s="412">
        <f t="shared" si="1664"/>
        <v>0</v>
      </c>
      <c r="DJ210" s="413">
        <f t="shared" si="1665"/>
        <v>0</v>
      </c>
      <c r="DK210" s="410">
        <f t="shared" si="1666"/>
        <v>12.75</v>
      </c>
      <c r="DL210" s="416">
        <f t="shared" si="1667"/>
        <v>12.75</v>
      </c>
      <c r="DM210" s="416">
        <f t="shared" si="1668"/>
        <v>12.75</v>
      </c>
      <c r="DN210" s="412">
        <f t="shared" si="1669"/>
        <v>12.75</v>
      </c>
      <c r="DO210" s="413">
        <f t="shared" si="1670"/>
        <v>51</v>
      </c>
      <c r="DP210" s="410">
        <f t="shared" si="1671"/>
        <v>0</v>
      </c>
      <c r="DQ210" s="416">
        <f t="shared" si="1672"/>
        <v>0</v>
      </c>
      <c r="DR210" s="416">
        <f t="shared" si="1673"/>
        <v>0</v>
      </c>
      <c r="DS210" s="412">
        <f t="shared" si="1674"/>
        <v>0</v>
      </c>
      <c r="DT210" s="413">
        <f t="shared" si="1675"/>
        <v>0</v>
      </c>
    </row>
    <row r="211" spans="1:124" ht="12.75" customHeight="1">
      <c r="C211" s="1885" t="s">
        <v>1288</v>
      </c>
      <c r="D211" s="1885"/>
      <c r="E211" s="1887">
        <f>'Vertically Integrated Utilities'!$BQ$161</f>
        <v>2325</v>
      </c>
      <c r="F211" s="1888"/>
      <c r="G211" s="1888"/>
      <c r="H211" s="16">
        <v>2021</v>
      </c>
      <c r="I211" s="1889">
        <f>+'Utility Detail'!$AW$13</f>
        <v>0.05</v>
      </c>
      <c r="J211" s="617">
        <v>7</v>
      </c>
      <c r="K211" s="402"/>
      <c r="L211" s="407">
        <f t="shared" si="1464"/>
        <v>0</v>
      </c>
      <c r="M211" s="404">
        <f t="shared" si="1576"/>
        <v>0</v>
      </c>
      <c r="N211" s="414">
        <f t="shared" si="1577"/>
        <v>0</v>
      </c>
      <c r="O211" s="414">
        <f t="shared" si="1578"/>
        <v>0</v>
      </c>
      <c r="P211" s="406">
        <f t="shared" si="1579"/>
        <v>0</v>
      </c>
      <c r="Q211" s="407">
        <f t="shared" si="1469"/>
        <v>0</v>
      </c>
      <c r="R211" s="404">
        <f t="shared" si="1580"/>
        <v>0</v>
      </c>
      <c r="S211" s="414">
        <f t="shared" si="1581"/>
        <v>0</v>
      </c>
      <c r="T211" s="414">
        <f t="shared" si="1582"/>
        <v>0</v>
      </c>
      <c r="U211" s="406">
        <f t="shared" si="1583"/>
        <v>0</v>
      </c>
      <c r="V211" s="407">
        <f t="shared" si="1474"/>
        <v>0</v>
      </c>
      <c r="W211" s="404">
        <f t="shared" si="1584"/>
        <v>0</v>
      </c>
      <c r="X211" s="414">
        <f t="shared" si="1585"/>
        <v>0</v>
      </c>
      <c r="Y211" s="414">
        <f t="shared" si="1586"/>
        <v>0</v>
      </c>
      <c r="Z211" s="406">
        <f t="shared" si="1587"/>
        <v>0</v>
      </c>
      <c r="AA211" s="407">
        <f t="shared" si="1479"/>
        <v>0</v>
      </c>
      <c r="AB211" s="404">
        <f t="shared" si="1588"/>
        <v>0</v>
      </c>
      <c r="AC211" s="414">
        <f t="shared" si="1589"/>
        <v>0</v>
      </c>
      <c r="AD211" s="414">
        <f t="shared" si="1590"/>
        <v>0</v>
      </c>
      <c r="AE211" s="406">
        <f t="shared" si="1591"/>
        <v>0</v>
      </c>
      <c r="AF211" s="407">
        <f t="shared" si="1484"/>
        <v>0</v>
      </c>
      <c r="AG211" s="404">
        <f t="shared" si="1592"/>
        <v>0</v>
      </c>
      <c r="AH211" s="414">
        <f t="shared" si="1593"/>
        <v>0</v>
      </c>
      <c r="AI211" s="414">
        <f t="shared" si="1594"/>
        <v>0</v>
      </c>
      <c r="AJ211" s="406">
        <f t="shared" si="1595"/>
        <v>0</v>
      </c>
      <c r="AK211" s="407">
        <f t="shared" si="1489"/>
        <v>0</v>
      </c>
      <c r="AL211" s="404">
        <f t="shared" si="1596"/>
        <v>0</v>
      </c>
      <c r="AM211" s="414">
        <f t="shared" si="1597"/>
        <v>0</v>
      </c>
      <c r="AN211" s="414">
        <f t="shared" si="1598"/>
        <v>0</v>
      </c>
      <c r="AO211" s="406">
        <f t="shared" si="1599"/>
        <v>0</v>
      </c>
      <c r="AP211" s="407">
        <f t="shared" si="1494"/>
        <v>0</v>
      </c>
      <c r="AQ211" s="404">
        <f t="shared" si="1600"/>
        <v>0</v>
      </c>
      <c r="AR211" s="414">
        <f t="shared" si="1601"/>
        <v>0</v>
      </c>
      <c r="AS211" s="414">
        <f t="shared" si="1602"/>
        <v>0</v>
      </c>
      <c r="AT211" s="406">
        <f t="shared" si="1603"/>
        <v>0</v>
      </c>
      <c r="AU211" s="407">
        <f t="shared" si="1499"/>
        <v>0</v>
      </c>
      <c r="AV211" s="404">
        <f t="shared" si="1604"/>
        <v>0</v>
      </c>
      <c r="AW211" s="414">
        <f t="shared" si="1605"/>
        <v>0</v>
      </c>
      <c r="AX211" s="414">
        <f t="shared" si="1606"/>
        <v>0</v>
      </c>
      <c r="AY211" s="406">
        <f t="shared" si="1607"/>
        <v>0</v>
      </c>
      <c r="AZ211" s="407">
        <f t="shared" si="1504"/>
        <v>0</v>
      </c>
      <c r="BA211" s="404">
        <f t="shared" si="1608"/>
        <v>0</v>
      </c>
      <c r="BB211" s="414">
        <f t="shared" si="1609"/>
        <v>0</v>
      </c>
      <c r="BC211" s="414">
        <f t="shared" si="1610"/>
        <v>0</v>
      </c>
      <c r="BD211" s="406">
        <f t="shared" si="1611"/>
        <v>0</v>
      </c>
      <c r="BE211" s="407">
        <f t="shared" si="1509"/>
        <v>0</v>
      </c>
      <c r="BF211" s="404">
        <f t="shared" si="1612"/>
        <v>0</v>
      </c>
      <c r="BG211" s="414">
        <f t="shared" si="1613"/>
        <v>0</v>
      </c>
      <c r="BH211" s="414">
        <f t="shared" si="1614"/>
        <v>0</v>
      </c>
      <c r="BI211" s="406">
        <f t="shared" si="1615"/>
        <v>0</v>
      </c>
      <c r="BJ211" s="407">
        <f t="shared" si="1514"/>
        <v>0</v>
      </c>
      <c r="BK211" s="404">
        <f t="shared" si="1616"/>
        <v>0</v>
      </c>
      <c r="BL211" s="414">
        <f t="shared" si="1617"/>
        <v>0</v>
      </c>
      <c r="BM211" s="414">
        <f t="shared" si="1618"/>
        <v>2325</v>
      </c>
      <c r="BN211" s="406">
        <f t="shared" si="1619"/>
        <v>0</v>
      </c>
      <c r="BO211" s="407">
        <f t="shared" si="1519"/>
        <v>2325</v>
      </c>
      <c r="BP211" s="447"/>
      <c r="BQ211" s="413">
        <f t="shared" si="1620"/>
        <v>0</v>
      </c>
      <c r="BR211" s="410">
        <f t="shared" si="1621"/>
        <v>0</v>
      </c>
      <c r="BS211" s="416">
        <f t="shared" si="1622"/>
        <v>0</v>
      </c>
      <c r="BT211" s="416">
        <f t="shared" si="1623"/>
        <v>0</v>
      </c>
      <c r="BU211" s="412">
        <f t="shared" si="1624"/>
        <v>0</v>
      </c>
      <c r="BV211" s="413">
        <f t="shared" si="1625"/>
        <v>0</v>
      </c>
      <c r="BW211" s="410">
        <f t="shared" si="1626"/>
        <v>0</v>
      </c>
      <c r="BX211" s="416">
        <f t="shared" si="1627"/>
        <v>0</v>
      </c>
      <c r="BY211" s="416">
        <f t="shared" si="1628"/>
        <v>0</v>
      </c>
      <c r="BZ211" s="412">
        <f t="shared" si="1629"/>
        <v>0</v>
      </c>
      <c r="CA211" s="413">
        <f t="shared" si="1630"/>
        <v>0</v>
      </c>
      <c r="CB211" s="410">
        <f t="shared" si="1631"/>
        <v>0</v>
      </c>
      <c r="CC211" s="416">
        <f t="shared" si="1632"/>
        <v>0</v>
      </c>
      <c r="CD211" s="416">
        <f t="shared" si="1633"/>
        <v>0</v>
      </c>
      <c r="CE211" s="412">
        <f t="shared" si="1634"/>
        <v>0</v>
      </c>
      <c r="CF211" s="413">
        <f t="shared" si="1635"/>
        <v>0</v>
      </c>
      <c r="CG211" s="410">
        <f t="shared" si="1636"/>
        <v>0</v>
      </c>
      <c r="CH211" s="416">
        <f t="shared" si="1637"/>
        <v>0</v>
      </c>
      <c r="CI211" s="416">
        <f t="shared" si="1638"/>
        <v>0</v>
      </c>
      <c r="CJ211" s="412">
        <f t="shared" si="1639"/>
        <v>0</v>
      </c>
      <c r="CK211" s="413">
        <f t="shared" si="1640"/>
        <v>0</v>
      </c>
      <c r="CL211" s="410">
        <f t="shared" si="1641"/>
        <v>0</v>
      </c>
      <c r="CM211" s="416">
        <f t="shared" si="1642"/>
        <v>0</v>
      </c>
      <c r="CN211" s="416">
        <f t="shared" si="1643"/>
        <v>0</v>
      </c>
      <c r="CO211" s="412">
        <f t="shared" si="1644"/>
        <v>0</v>
      </c>
      <c r="CP211" s="413">
        <f t="shared" si="1645"/>
        <v>0</v>
      </c>
      <c r="CQ211" s="410">
        <f t="shared" si="1646"/>
        <v>0</v>
      </c>
      <c r="CR211" s="416">
        <f t="shared" si="1647"/>
        <v>0</v>
      </c>
      <c r="CS211" s="416">
        <f t="shared" si="1648"/>
        <v>0</v>
      </c>
      <c r="CT211" s="412">
        <f t="shared" si="1649"/>
        <v>0</v>
      </c>
      <c r="CU211" s="413">
        <f t="shared" si="1650"/>
        <v>0</v>
      </c>
      <c r="CV211" s="410">
        <f t="shared" si="1651"/>
        <v>0</v>
      </c>
      <c r="CW211" s="416">
        <f t="shared" si="1652"/>
        <v>0</v>
      </c>
      <c r="CX211" s="416">
        <f t="shared" si="1653"/>
        <v>0</v>
      </c>
      <c r="CY211" s="412">
        <f t="shared" si="1654"/>
        <v>0</v>
      </c>
      <c r="CZ211" s="413">
        <f t="shared" si="1655"/>
        <v>0</v>
      </c>
      <c r="DA211" s="410">
        <f t="shared" si="1656"/>
        <v>0</v>
      </c>
      <c r="DB211" s="416">
        <f t="shared" si="1657"/>
        <v>0</v>
      </c>
      <c r="DC211" s="416">
        <f t="shared" si="1658"/>
        <v>0</v>
      </c>
      <c r="DD211" s="412">
        <f t="shared" si="1659"/>
        <v>0</v>
      </c>
      <c r="DE211" s="413">
        <f t="shared" si="1660"/>
        <v>0</v>
      </c>
      <c r="DF211" s="410">
        <f t="shared" si="1661"/>
        <v>0</v>
      </c>
      <c r="DG211" s="416">
        <f t="shared" si="1662"/>
        <v>0</v>
      </c>
      <c r="DH211" s="416">
        <f t="shared" si="1663"/>
        <v>0</v>
      </c>
      <c r="DI211" s="412">
        <f t="shared" si="1664"/>
        <v>0</v>
      </c>
      <c r="DJ211" s="413">
        <f t="shared" si="1665"/>
        <v>0</v>
      </c>
      <c r="DK211" s="410">
        <f t="shared" si="1666"/>
        <v>0</v>
      </c>
      <c r="DL211" s="416">
        <f t="shared" si="1667"/>
        <v>0</v>
      </c>
      <c r="DM211" s="416">
        <f t="shared" si="1668"/>
        <v>0</v>
      </c>
      <c r="DN211" s="412">
        <f t="shared" si="1669"/>
        <v>0</v>
      </c>
      <c r="DO211" s="413">
        <f t="shared" si="1670"/>
        <v>0</v>
      </c>
      <c r="DP211" s="410">
        <f t="shared" si="1671"/>
        <v>0</v>
      </c>
      <c r="DQ211" s="416">
        <f t="shared" si="1672"/>
        <v>0</v>
      </c>
      <c r="DR211" s="416">
        <f t="shared" si="1673"/>
        <v>29.0625</v>
      </c>
      <c r="DS211" s="412">
        <f t="shared" si="1674"/>
        <v>29.0625</v>
      </c>
      <c r="DT211" s="413">
        <f t="shared" si="1675"/>
        <v>58.125</v>
      </c>
    </row>
    <row r="212" spans="1:124" ht="12.75" customHeight="1">
      <c r="C212" s="23"/>
      <c r="D212" s="23"/>
      <c r="E212" s="5"/>
      <c r="F212" s="1228"/>
      <c r="G212" s="1228"/>
      <c r="H212" s="18"/>
      <c r="I212" s="7"/>
      <c r="J212" s="632"/>
      <c r="K212" s="418"/>
      <c r="L212" s="419"/>
      <c r="M212" s="420"/>
      <c r="N212" s="421"/>
      <c r="O212" s="421"/>
      <c r="P212" s="422"/>
      <c r="Q212" s="419"/>
      <c r="R212" s="420"/>
      <c r="S212" s="421"/>
      <c r="T212" s="421"/>
      <c r="U212" s="422"/>
      <c r="V212" s="419"/>
      <c r="W212" s="420"/>
      <c r="X212" s="421"/>
      <c r="Y212" s="421"/>
      <c r="Z212" s="422"/>
      <c r="AA212" s="419"/>
      <c r="AB212" s="420"/>
      <c r="AC212" s="421"/>
      <c r="AD212" s="421"/>
      <c r="AE212" s="422"/>
      <c r="AF212" s="419"/>
      <c r="AG212" s="420"/>
      <c r="AH212" s="421"/>
      <c r="AI212" s="421"/>
      <c r="AJ212" s="422"/>
      <c r="AK212" s="419"/>
      <c r="AL212" s="420"/>
      <c r="AM212" s="421"/>
      <c r="AN212" s="421"/>
      <c r="AO212" s="422"/>
      <c r="AP212" s="419"/>
      <c r="AQ212" s="420"/>
      <c r="AR212" s="421"/>
      <c r="AS212" s="421"/>
      <c r="AT212" s="422"/>
      <c r="AU212" s="419"/>
      <c r="AV212" s="420"/>
      <c r="AW212" s="421"/>
      <c r="AX212" s="421"/>
      <c r="AY212" s="422"/>
      <c r="AZ212" s="419"/>
      <c r="BA212" s="420"/>
      <c r="BB212" s="421"/>
      <c r="BC212" s="421"/>
      <c r="BD212" s="422"/>
      <c r="BE212" s="419"/>
      <c r="BF212" s="420"/>
      <c r="BG212" s="421"/>
      <c r="BH212" s="421"/>
      <c r="BI212" s="422"/>
      <c r="BJ212" s="419"/>
      <c r="BK212" s="420"/>
      <c r="BL212" s="421"/>
      <c r="BM212" s="421"/>
      <c r="BN212" s="422"/>
      <c r="BO212" s="419"/>
      <c r="BP212" s="477"/>
      <c r="BQ212" s="424"/>
      <c r="BR212" s="425"/>
      <c r="BS212" s="426"/>
      <c r="BT212" s="426"/>
      <c r="BU212" s="427"/>
      <c r="BV212" s="424"/>
      <c r="BW212" s="425"/>
      <c r="BX212" s="426"/>
      <c r="BY212" s="426"/>
      <c r="BZ212" s="427"/>
      <c r="CA212" s="424"/>
      <c r="CB212" s="425"/>
      <c r="CC212" s="426"/>
      <c r="CD212" s="426"/>
      <c r="CE212" s="427"/>
      <c r="CF212" s="424"/>
      <c r="CG212" s="425"/>
      <c r="CH212" s="426"/>
      <c r="CI212" s="426"/>
      <c r="CJ212" s="427"/>
      <c r="CK212" s="424"/>
      <c r="CL212" s="425"/>
      <c r="CM212" s="426"/>
      <c r="CN212" s="426"/>
      <c r="CO212" s="427"/>
      <c r="CP212" s="424"/>
      <c r="CQ212" s="425"/>
      <c r="CR212" s="426"/>
      <c r="CS212" s="426"/>
      <c r="CT212" s="427"/>
      <c r="CU212" s="424"/>
      <c r="CV212" s="425"/>
      <c r="CW212" s="426"/>
      <c r="CX212" s="426"/>
      <c r="CY212" s="427"/>
      <c r="CZ212" s="424"/>
      <c r="DA212" s="425"/>
      <c r="DB212" s="426"/>
      <c r="DC212" s="426"/>
      <c r="DD212" s="427"/>
      <c r="DE212" s="424"/>
      <c r="DF212" s="425"/>
      <c r="DG212" s="426"/>
      <c r="DH212" s="426"/>
      <c r="DI212" s="427"/>
      <c r="DJ212" s="424"/>
      <c r="DK212" s="425"/>
      <c r="DL212" s="426"/>
      <c r="DM212" s="426"/>
      <c r="DN212" s="427"/>
      <c r="DO212" s="424"/>
      <c r="DP212" s="425"/>
      <c r="DQ212" s="426"/>
      <c r="DR212" s="426"/>
      <c r="DS212" s="427"/>
      <c r="DT212" s="424"/>
    </row>
    <row r="213" spans="1:124" ht="12.75" customHeight="1">
      <c r="A213" s="56"/>
      <c r="B213" s="56"/>
      <c r="C213" s="164" t="s">
        <v>48</v>
      </c>
      <c r="D213" s="164"/>
      <c r="E213" s="8">
        <f>SUM(E197:E212)</f>
        <v>8672</v>
      </c>
      <c r="F213" s="1230"/>
      <c r="G213" s="1230"/>
      <c r="H213" s="1320"/>
      <c r="I213" s="1314"/>
      <c r="J213" s="629"/>
      <c r="K213" s="453"/>
      <c r="L213" s="429">
        <f t="shared" ref="L213:AQ213" si="1676">SUM(L197:L212)</f>
        <v>0</v>
      </c>
      <c r="M213" s="430">
        <f t="shared" si="1676"/>
        <v>0</v>
      </c>
      <c r="N213" s="431">
        <f t="shared" si="1676"/>
        <v>0</v>
      </c>
      <c r="O213" s="431">
        <f t="shared" si="1676"/>
        <v>0</v>
      </c>
      <c r="P213" s="432">
        <f t="shared" si="1676"/>
        <v>0</v>
      </c>
      <c r="Q213" s="429">
        <f t="shared" si="1676"/>
        <v>0</v>
      </c>
      <c r="R213" s="430">
        <f t="shared" si="1676"/>
        <v>0</v>
      </c>
      <c r="S213" s="431">
        <f t="shared" si="1676"/>
        <v>0</v>
      </c>
      <c r="T213" s="431">
        <f t="shared" si="1676"/>
        <v>0</v>
      </c>
      <c r="U213" s="432">
        <f t="shared" si="1676"/>
        <v>0</v>
      </c>
      <c r="V213" s="429">
        <f t="shared" si="1676"/>
        <v>0</v>
      </c>
      <c r="W213" s="430">
        <f t="shared" si="1676"/>
        <v>0</v>
      </c>
      <c r="X213" s="431">
        <f t="shared" si="1676"/>
        <v>0</v>
      </c>
      <c r="Y213" s="431">
        <f t="shared" si="1676"/>
        <v>0</v>
      </c>
      <c r="Z213" s="432">
        <f t="shared" si="1676"/>
        <v>0</v>
      </c>
      <c r="AA213" s="429">
        <f t="shared" si="1676"/>
        <v>0</v>
      </c>
      <c r="AB213" s="430">
        <f t="shared" si="1676"/>
        <v>0</v>
      </c>
      <c r="AC213" s="431">
        <f t="shared" si="1676"/>
        <v>0</v>
      </c>
      <c r="AD213" s="431">
        <f t="shared" si="1676"/>
        <v>0</v>
      </c>
      <c r="AE213" s="432">
        <f t="shared" si="1676"/>
        <v>0</v>
      </c>
      <c r="AF213" s="429">
        <f t="shared" si="1676"/>
        <v>0</v>
      </c>
      <c r="AG213" s="430">
        <f t="shared" si="1676"/>
        <v>0</v>
      </c>
      <c r="AH213" s="431">
        <f t="shared" si="1676"/>
        <v>0</v>
      </c>
      <c r="AI213" s="431">
        <f t="shared" si="1676"/>
        <v>0</v>
      </c>
      <c r="AJ213" s="432">
        <f t="shared" si="1676"/>
        <v>0</v>
      </c>
      <c r="AK213" s="429">
        <f t="shared" si="1676"/>
        <v>0</v>
      </c>
      <c r="AL213" s="430">
        <f t="shared" si="1676"/>
        <v>0</v>
      </c>
      <c r="AM213" s="431">
        <f t="shared" si="1676"/>
        <v>0</v>
      </c>
      <c r="AN213" s="431">
        <f t="shared" si="1676"/>
        <v>0</v>
      </c>
      <c r="AO213" s="432">
        <f t="shared" si="1676"/>
        <v>0</v>
      </c>
      <c r="AP213" s="429">
        <f t="shared" si="1676"/>
        <v>0</v>
      </c>
      <c r="AQ213" s="430">
        <f t="shared" si="1676"/>
        <v>77</v>
      </c>
      <c r="AR213" s="431">
        <f t="shared" ref="AR213:BO213" si="1677">SUM(AR197:AR212)</f>
        <v>845</v>
      </c>
      <c r="AS213" s="431">
        <f t="shared" si="1677"/>
        <v>325</v>
      </c>
      <c r="AT213" s="432">
        <f t="shared" si="1677"/>
        <v>0</v>
      </c>
      <c r="AU213" s="429">
        <f t="shared" si="1677"/>
        <v>1247</v>
      </c>
      <c r="AV213" s="430">
        <f t="shared" si="1677"/>
        <v>0</v>
      </c>
      <c r="AW213" s="431">
        <f t="shared" si="1677"/>
        <v>0</v>
      </c>
      <c r="AX213" s="431">
        <f t="shared" si="1677"/>
        <v>1660</v>
      </c>
      <c r="AY213" s="432">
        <f t="shared" si="1677"/>
        <v>0</v>
      </c>
      <c r="AZ213" s="429">
        <f t="shared" si="1677"/>
        <v>1660</v>
      </c>
      <c r="BA213" s="430">
        <f t="shared" si="1677"/>
        <v>0</v>
      </c>
      <c r="BB213" s="431">
        <f t="shared" si="1677"/>
        <v>0</v>
      </c>
      <c r="BC213" s="431">
        <f t="shared" si="1677"/>
        <v>2420</v>
      </c>
      <c r="BD213" s="432">
        <f t="shared" si="1677"/>
        <v>0</v>
      </c>
      <c r="BE213" s="429">
        <f t="shared" si="1677"/>
        <v>2420</v>
      </c>
      <c r="BF213" s="430">
        <f t="shared" si="1677"/>
        <v>1020</v>
      </c>
      <c r="BG213" s="431">
        <f t="shared" si="1677"/>
        <v>0</v>
      </c>
      <c r="BH213" s="431">
        <f t="shared" si="1677"/>
        <v>0</v>
      </c>
      <c r="BI213" s="432">
        <f t="shared" si="1677"/>
        <v>0</v>
      </c>
      <c r="BJ213" s="429">
        <f t="shared" si="1677"/>
        <v>1020</v>
      </c>
      <c r="BK213" s="430">
        <f t="shared" si="1677"/>
        <v>0</v>
      </c>
      <c r="BL213" s="431">
        <f t="shared" si="1677"/>
        <v>0</v>
      </c>
      <c r="BM213" s="431">
        <f t="shared" si="1677"/>
        <v>2325</v>
      </c>
      <c r="BN213" s="432">
        <f t="shared" si="1677"/>
        <v>0</v>
      </c>
      <c r="BO213" s="429">
        <f t="shared" si="1677"/>
        <v>2325</v>
      </c>
      <c r="BP213" s="463"/>
      <c r="BQ213" s="434">
        <f t="shared" ref="BQ213:CV213" si="1678">SUM(BQ197:BQ212)</f>
        <v>0</v>
      </c>
      <c r="BR213" s="435">
        <f t="shared" si="1678"/>
        <v>0</v>
      </c>
      <c r="BS213" s="436">
        <f t="shared" si="1678"/>
        <v>0</v>
      </c>
      <c r="BT213" s="436">
        <f t="shared" si="1678"/>
        <v>0</v>
      </c>
      <c r="BU213" s="437">
        <f t="shared" si="1678"/>
        <v>0</v>
      </c>
      <c r="BV213" s="434">
        <f t="shared" si="1678"/>
        <v>0</v>
      </c>
      <c r="BW213" s="435">
        <f t="shared" si="1678"/>
        <v>0</v>
      </c>
      <c r="BX213" s="436">
        <f t="shared" si="1678"/>
        <v>0</v>
      </c>
      <c r="BY213" s="436">
        <f t="shared" si="1678"/>
        <v>0</v>
      </c>
      <c r="BZ213" s="437">
        <f t="shared" si="1678"/>
        <v>0</v>
      </c>
      <c r="CA213" s="434">
        <f t="shared" si="1678"/>
        <v>0</v>
      </c>
      <c r="CB213" s="435">
        <f t="shared" si="1678"/>
        <v>0</v>
      </c>
      <c r="CC213" s="436">
        <f t="shared" si="1678"/>
        <v>0</v>
      </c>
      <c r="CD213" s="436">
        <f t="shared" si="1678"/>
        <v>0</v>
      </c>
      <c r="CE213" s="437">
        <f t="shared" si="1678"/>
        <v>0</v>
      </c>
      <c r="CF213" s="434">
        <f t="shared" si="1678"/>
        <v>0</v>
      </c>
      <c r="CG213" s="435">
        <f t="shared" si="1678"/>
        <v>0</v>
      </c>
      <c r="CH213" s="436">
        <f t="shared" si="1678"/>
        <v>0</v>
      </c>
      <c r="CI213" s="436">
        <f t="shared" si="1678"/>
        <v>0</v>
      </c>
      <c r="CJ213" s="437">
        <f t="shared" si="1678"/>
        <v>0</v>
      </c>
      <c r="CK213" s="434">
        <f t="shared" si="1678"/>
        <v>0</v>
      </c>
      <c r="CL213" s="435">
        <f t="shared" si="1678"/>
        <v>0</v>
      </c>
      <c r="CM213" s="436">
        <f t="shared" si="1678"/>
        <v>0</v>
      </c>
      <c r="CN213" s="436">
        <f t="shared" si="1678"/>
        <v>0</v>
      </c>
      <c r="CO213" s="437">
        <f t="shared" si="1678"/>
        <v>0</v>
      </c>
      <c r="CP213" s="434">
        <f t="shared" si="1678"/>
        <v>0</v>
      </c>
      <c r="CQ213" s="435">
        <f t="shared" si="1678"/>
        <v>0</v>
      </c>
      <c r="CR213" s="436">
        <f t="shared" si="1678"/>
        <v>0</v>
      </c>
      <c r="CS213" s="436">
        <f t="shared" si="1678"/>
        <v>0</v>
      </c>
      <c r="CT213" s="437">
        <f t="shared" si="1678"/>
        <v>0</v>
      </c>
      <c r="CU213" s="434">
        <f t="shared" si="1678"/>
        <v>0</v>
      </c>
      <c r="CV213" s="435">
        <f t="shared" si="1678"/>
        <v>0.86624999999999996</v>
      </c>
      <c r="CW213" s="436">
        <f t="shared" ref="CW213:DT213" si="1679">SUM(CW197:CW212)</f>
        <v>8.4287499999999991</v>
      </c>
      <c r="CX213" s="436">
        <f t="shared" si="1679"/>
        <v>9.3731666666666662</v>
      </c>
      <c r="CY213" s="437">
        <f t="shared" si="1679"/>
        <v>11.262</v>
      </c>
      <c r="CZ213" s="434">
        <f t="shared" si="1679"/>
        <v>29.930166666666668</v>
      </c>
      <c r="DA213" s="435">
        <f t="shared" si="1679"/>
        <v>10.395750000000001</v>
      </c>
      <c r="DB213" s="436">
        <f t="shared" si="1679"/>
        <v>2.83325</v>
      </c>
      <c r="DC213" s="436">
        <f t="shared" si="1679"/>
        <v>22.638833333333334</v>
      </c>
      <c r="DD213" s="437">
        <f t="shared" si="1679"/>
        <v>20.75</v>
      </c>
      <c r="DE213" s="434">
        <f t="shared" si="1679"/>
        <v>56.617833333333337</v>
      </c>
      <c r="DF213" s="435">
        <f t="shared" si="1679"/>
        <v>20.75</v>
      </c>
      <c r="DG213" s="436">
        <f t="shared" si="1679"/>
        <v>20.75</v>
      </c>
      <c r="DH213" s="436">
        <f t="shared" si="1679"/>
        <v>30.25</v>
      </c>
      <c r="DI213" s="437">
        <f t="shared" si="1679"/>
        <v>30.25</v>
      </c>
      <c r="DJ213" s="434">
        <f t="shared" si="1679"/>
        <v>102</v>
      </c>
      <c r="DK213" s="435">
        <f t="shared" si="1679"/>
        <v>43</v>
      </c>
      <c r="DL213" s="436">
        <f t="shared" si="1679"/>
        <v>43</v>
      </c>
      <c r="DM213" s="436">
        <f t="shared" si="1679"/>
        <v>12.75</v>
      </c>
      <c r="DN213" s="437">
        <f t="shared" si="1679"/>
        <v>12.75</v>
      </c>
      <c r="DO213" s="434">
        <f t="shared" si="1679"/>
        <v>111.5</v>
      </c>
      <c r="DP213" s="435">
        <f t="shared" si="1679"/>
        <v>0</v>
      </c>
      <c r="DQ213" s="436">
        <f t="shared" si="1679"/>
        <v>0</v>
      </c>
      <c r="DR213" s="436">
        <f t="shared" si="1679"/>
        <v>29.0625</v>
      </c>
      <c r="DS213" s="437">
        <f t="shared" si="1679"/>
        <v>29.0625</v>
      </c>
      <c r="DT213" s="434">
        <f t="shared" si="1679"/>
        <v>58.125</v>
      </c>
    </row>
    <row r="214" spans="1:124" ht="12.75" customHeight="1">
      <c r="C214" s="56"/>
      <c r="D214" s="56"/>
      <c r="E214" s="831"/>
      <c r="F214" s="1226"/>
      <c r="G214" s="1226"/>
      <c r="H214" s="30"/>
      <c r="I214" s="614"/>
      <c r="J214" s="627"/>
      <c r="K214" s="402"/>
      <c r="L214" s="403"/>
      <c r="M214" s="404"/>
      <c r="N214" s="405"/>
      <c r="O214" s="405"/>
      <c r="P214" s="406"/>
      <c r="Q214" s="407"/>
      <c r="R214" s="404"/>
      <c r="S214" s="405"/>
      <c r="T214" s="405"/>
      <c r="U214" s="406"/>
      <c r="V214" s="407"/>
      <c r="W214" s="404"/>
      <c r="X214" s="405"/>
      <c r="Y214" s="405"/>
      <c r="Z214" s="406"/>
      <c r="AA214" s="407"/>
      <c r="AB214" s="404"/>
      <c r="AC214" s="405"/>
      <c r="AD214" s="405"/>
      <c r="AE214" s="406"/>
      <c r="AF214" s="407"/>
      <c r="AG214" s="404"/>
      <c r="AH214" s="405"/>
      <c r="AI214" s="405"/>
      <c r="AJ214" s="406"/>
      <c r="AK214" s="407"/>
      <c r="AL214" s="404"/>
      <c r="AM214" s="405"/>
      <c r="AN214" s="405"/>
      <c r="AO214" s="406"/>
      <c r="AP214" s="407"/>
      <c r="AQ214" s="404"/>
      <c r="AR214" s="405"/>
      <c r="AS214" s="405"/>
      <c r="AT214" s="406"/>
      <c r="AU214" s="407"/>
      <c r="AV214" s="404"/>
      <c r="AW214" s="405"/>
      <c r="AX214" s="405"/>
      <c r="AY214" s="406"/>
      <c r="AZ214" s="407"/>
      <c r="BA214" s="404"/>
      <c r="BB214" s="405"/>
      <c r="BC214" s="405"/>
      <c r="BD214" s="406"/>
      <c r="BE214" s="407"/>
      <c r="BF214" s="404"/>
      <c r="BG214" s="405"/>
      <c r="BH214" s="405"/>
      <c r="BI214" s="406"/>
      <c r="BJ214" s="407"/>
      <c r="BK214" s="404"/>
      <c r="BL214" s="405"/>
      <c r="BM214" s="405"/>
      <c r="BN214" s="406"/>
      <c r="BO214" s="407"/>
      <c r="BP214" s="447"/>
      <c r="BQ214" s="409"/>
      <c r="BR214" s="410"/>
      <c r="BS214" s="411"/>
      <c r="BT214" s="411"/>
      <c r="BU214" s="412"/>
      <c r="BV214" s="413"/>
      <c r="BW214" s="410"/>
      <c r="BX214" s="411"/>
      <c r="BY214" s="411"/>
      <c r="BZ214" s="412"/>
      <c r="CA214" s="413"/>
      <c r="CB214" s="410"/>
      <c r="CC214" s="411"/>
      <c r="CD214" s="411"/>
      <c r="CE214" s="412"/>
      <c r="CF214" s="413"/>
      <c r="CG214" s="410"/>
      <c r="CH214" s="411"/>
      <c r="CI214" s="411"/>
      <c r="CJ214" s="412"/>
      <c r="CK214" s="413"/>
      <c r="CL214" s="410"/>
      <c r="CM214" s="411"/>
      <c r="CN214" s="411"/>
      <c r="CO214" s="412"/>
      <c r="CP214" s="413"/>
      <c r="CQ214" s="410"/>
      <c r="CR214" s="411"/>
      <c r="CS214" s="411"/>
      <c r="CT214" s="412"/>
      <c r="CU214" s="413"/>
      <c r="CV214" s="410"/>
      <c r="CW214" s="411"/>
      <c r="CX214" s="411"/>
      <c r="CY214" s="412"/>
      <c r="CZ214" s="413"/>
      <c r="DA214" s="410"/>
      <c r="DB214" s="411"/>
      <c r="DC214" s="411"/>
      <c r="DD214" s="412"/>
      <c r="DE214" s="413"/>
      <c r="DF214" s="410"/>
      <c r="DG214" s="411"/>
      <c r="DH214" s="411"/>
      <c r="DI214" s="412"/>
      <c r="DJ214" s="413"/>
      <c r="DK214" s="410"/>
      <c r="DL214" s="411"/>
      <c r="DM214" s="411"/>
      <c r="DN214" s="412"/>
      <c r="DO214" s="413"/>
      <c r="DP214" s="410"/>
      <c r="DQ214" s="411"/>
      <c r="DR214" s="411"/>
      <c r="DS214" s="412"/>
      <c r="DT214" s="413"/>
    </row>
    <row r="215" spans="1:124" ht="12.75" customHeight="1">
      <c r="C215" s="56" t="s">
        <v>283</v>
      </c>
      <c r="D215" s="56"/>
      <c r="E215" s="8"/>
      <c r="F215" s="1230"/>
      <c r="G215" s="1230"/>
      <c r="H215" s="1320"/>
      <c r="I215" s="1314"/>
      <c r="J215" s="629"/>
      <c r="K215" s="453"/>
      <c r="L215" s="429">
        <f t="shared" ref="L215:AQ215" si="1680">+L194+L213</f>
        <v>0</v>
      </c>
      <c r="M215" s="430">
        <f t="shared" si="1680"/>
        <v>0</v>
      </c>
      <c r="N215" s="431">
        <f t="shared" si="1680"/>
        <v>0</v>
      </c>
      <c r="O215" s="431">
        <f t="shared" si="1680"/>
        <v>0</v>
      </c>
      <c r="P215" s="432">
        <f t="shared" si="1680"/>
        <v>0</v>
      </c>
      <c r="Q215" s="429">
        <f t="shared" si="1680"/>
        <v>0</v>
      </c>
      <c r="R215" s="430">
        <f t="shared" si="1680"/>
        <v>0</v>
      </c>
      <c r="S215" s="431">
        <f t="shared" si="1680"/>
        <v>0</v>
      </c>
      <c r="T215" s="431">
        <f t="shared" si="1680"/>
        <v>0</v>
      </c>
      <c r="U215" s="432">
        <f t="shared" si="1680"/>
        <v>0</v>
      </c>
      <c r="V215" s="429">
        <f t="shared" si="1680"/>
        <v>0</v>
      </c>
      <c r="W215" s="430">
        <f t="shared" si="1680"/>
        <v>0</v>
      </c>
      <c r="X215" s="431">
        <f t="shared" si="1680"/>
        <v>0</v>
      </c>
      <c r="Y215" s="431">
        <f t="shared" si="1680"/>
        <v>0</v>
      </c>
      <c r="Z215" s="432">
        <f t="shared" si="1680"/>
        <v>0</v>
      </c>
      <c r="AA215" s="429">
        <f t="shared" si="1680"/>
        <v>0</v>
      </c>
      <c r="AB215" s="430">
        <f t="shared" si="1680"/>
        <v>0</v>
      </c>
      <c r="AC215" s="431">
        <f t="shared" si="1680"/>
        <v>0</v>
      </c>
      <c r="AD215" s="431">
        <f t="shared" si="1680"/>
        <v>0</v>
      </c>
      <c r="AE215" s="432">
        <f t="shared" si="1680"/>
        <v>0</v>
      </c>
      <c r="AF215" s="429">
        <f t="shared" si="1680"/>
        <v>0</v>
      </c>
      <c r="AG215" s="430">
        <f t="shared" si="1680"/>
        <v>0</v>
      </c>
      <c r="AH215" s="431">
        <f t="shared" si="1680"/>
        <v>0</v>
      </c>
      <c r="AI215" s="431">
        <f t="shared" si="1680"/>
        <v>0</v>
      </c>
      <c r="AJ215" s="432">
        <f t="shared" si="1680"/>
        <v>0</v>
      </c>
      <c r="AK215" s="429">
        <f t="shared" si="1680"/>
        <v>0</v>
      </c>
      <c r="AL215" s="430">
        <f t="shared" si="1680"/>
        <v>0</v>
      </c>
      <c r="AM215" s="431">
        <f t="shared" si="1680"/>
        <v>0</v>
      </c>
      <c r="AN215" s="431">
        <f t="shared" si="1680"/>
        <v>0</v>
      </c>
      <c r="AO215" s="432">
        <f t="shared" si="1680"/>
        <v>0</v>
      </c>
      <c r="AP215" s="429">
        <f t="shared" si="1680"/>
        <v>0</v>
      </c>
      <c r="AQ215" s="430">
        <f t="shared" si="1680"/>
        <v>-367.57499999999999</v>
      </c>
      <c r="AR215" s="431">
        <f t="shared" ref="AR215:BO215" si="1681">+AR194+AR213</f>
        <v>305</v>
      </c>
      <c r="AS215" s="431">
        <f t="shared" si="1681"/>
        <v>0</v>
      </c>
      <c r="AT215" s="432">
        <f t="shared" si="1681"/>
        <v>-4.1312249999999997</v>
      </c>
      <c r="AU215" s="429">
        <f t="shared" si="1681"/>
        <v>-66.706224999999904</v>
      </c>
      <c r="AV215" s="430">
        <f t="shared" si="1681"/>
        <v>-381.7</v>
      </c>
      <c r="AW215" s="431">
        <f t="shared" si="1681"/>
        <v>-200</v>
      </c>
      <c r="AX215" s="431">
        <f t="shared" si="1681"/>
        <v>1660</v>
      </c>
      <c r="AY215" s="432">
        <f t="shared" si="1681"/>
        <v>-75</v>
      </c>
      <c r="AZ215" s="429">
        <f t="shared" si="1681"/>
        <v>1003.3</v>
      </c>
      <c r="BA215" s="430">
        <f t="shared" si="1681"/>
        <v>-928.5</v>
      </c>
      <c r="BB215" s="431">
        <f t="shared" si="1681"/>
        <v>-102.55974000000001</v>
      </c>
      <c r="BC215" s="431">
        <f t="shared" si="1681"/>
        <v>2420</v>
      </c>
      <c r="BD215" s="432">
        <f t="shared" si="1681"/>
        <v>-391.29063500000001</v>
      </c>
      <c r="BE215" s="429">
        <f t="shared" si="1681"/>
        <v>997.64962500000001</v>
      </c>
      <c r="BF215" s="430">
        <f t="shared" si="1681"/>
        <v>1020</v>
      </c>
      <c r="BG215" s="431">
        <f t="shared" si="1681"/>
        <v>-127.66</v>
      </c>
      <c r="BH215" s="431">
        <f t="shared" si="1681"/>
        <v>0</v>
      </c>
      <c r="BI215" s="432">
        <f t="shared" si="1681"/>
        <v>-42.767795999999997</v>
      </c>
      <c r="BJ215" s="429">
        <f t="shared" si="1681"/>
        <v>849.57220400000006</v>
      </c>
      <c r="BK215" s="430">
        <f t="shared" si="1681"/>
        <v>-652</v>
      </c>
      <c r="BL215" s="431">
        <f t="shared" si="1681"/>
        <v>-133.81298200000001</v>
      </c>
      <c r="BM215" s="431">
        <f t="shared" si="1681"/>
        <v>2325</v>
      </c>
      <c r="BN215" s="432">
        <f t="shared" si="1681"/>
        <v>-17.5</v>
      </c>
      <c r="BO215" s="429">
        <f t="shared" si="1681"/>
        <v>1521.6870180000001</v>
      </c>
      <c r="BP215" s="463"/>
      <c r="BQ215" s="434">
        <f t="shared" ref="BQ215:CV215" si="1682">+BQ194+BQ213</f>
        <v>0</v>
      </c>
      <c r="BR215" s="435">
        <f t="shared" si="1682"/>
        <v>0</v>
      </c>
      <c r="BS215" s="436">
        <f t="shared" si="1682"/>
        <v>0</v>
      </c>
      <c r="BT215" s="436">
        <f t="shared" si="1682"/>
        <v>0</v>
      </c>
      <c r="BU215" s="437">
        <f t="shared" si="1682"/>
        <v>0</v>
      </c>
      <c r="BV215" s="434">
        <f t="shared" si="1682"/>
        <v>0</v>
      </c>
      <c r="BW215" s="435">
        <f t="shared" si="1682"/>
        <v>0</v>
      </c>
      <c r="BX215" s="436">
        <f t="shared" si="1682"/>
        <v>0</v>
      </c>
      <c r="BY215" s="436">
        <f t="shared" si="1682"/>
        <v>0</v>
      </c>
      <c r="BZ215" s="437">
        <f t="shared" si="1682"/>
        <v>0</v>
      </c>
      <c r="CA215" s="434">
        <f t="shared" si="1682"/>
        <v>0</v>
      </c>
      <c r="CB215" s="435">
        <f t="shared" si="1682"/>
        <v>0</v>
      </c>
      <c r="CC215" s="436">
        <f t="shared" si="1682"/>
        <v>0</v>
      </c>
      <c r="CD215" s="436">
        <f t="shared" si="1682"/>
        <v>0</v>
      </c>
      <c r="CE215" s="437">
        <f t="shared" si="1682"/>
        <v>0</v>
      </c>
      <c r="CF215" s="434">
        <f t="shared" si="1682"/>
        <v>0</v>
      </c>
      <c r="CG215" s="435">
        <f t="shared" si="1682"/>
        <v>0</v>
      </c>
      <c r="CH215" s="436">
        <f t="shared" si="1682"/>
        <v>0</v>
      </c>
      <c r="CI215" s="436">
        <f t="shared" si="1682"/>
        <v>0</v>
      </c>
      <c r="CJ215" s="437">
        <f t="shared" si="1682"/>
        <v>0</v>
      </c>
      <c r="CK215" s="434">
        <f t="shared" si="1682"/>
        <v>0</v>
      </c>
      <c r="CL215" s="435">
        <f t="shared" si="1682"/>
        <v>0</v>
      </c>
      <c r="CM215" s="436">
        <f t="shared" si="1682"/>
        <v>0</v>
      </c>
      <c r="CN215" s="436">
        <f t="shared" si="1682"/>
        <v>0</v>
      </c>
      <c r="CO215" s="437">
        <f t="shared" si="1682"/>
        <v>0</v>
      </c>
      <c r="CP215" s="434">
        <f t="shared" si="1682"/>
        <v>0</v>
      </c>
      <c r="CQ215" s="435">
        <f t="shared" si="1682"/>
        <v>0</v>
      </c>
      <c r="CR215" s="436">
        <f t="shared" si="1682"/>
        <v>0</v>
      </c>
      <c r="CS215" s="436">
        <f t="shared" si="1682"/>
        <v>0</v>
      </c>
      <c r="CT215" s="437">
        <f t="shared" si="1682"/>
        <v>0</v>
      </c>
      <c r="CU215" s="434">
        <f t="shared" si="1682"/>
        <v>0</v>
      </c>
      <c r="CV215" s="435">
        <f t="shared" si="1682"/>
        <v>-4.1270424999999999</v>
      </c>
      <c r="CW215" s="436">
        <f t="shared" ref="CW215:DT215" si="1683">+CW194+CW213</f>
        <v>0.28292624999999916</v>
      </c>
      <c r="CX215" s="436">
        <f t="shared" si="1683"/>
        <v>-4.1421570833333341</v>
      </c>
      <c r="CY215" s="437">
        <f t="shared" si="1683"/>
        <v>-5.5498000312499975</v>
      </c>
      <c r="CZ215" s="434">
        <f t="shared" si="1683"/>
        <v>-13.536073364583334</v>
      </c>
      <c r="DA215" s="435">
        <f t="shared" si="1683"/>
        <v>-3.2285200312499995</v>
      </c>
      <c r="DB215" s="436">
        <f t="shared" si="1683"/>
        <v>-12.750013781250001</v>
      </c>
      <c r="DC215" s="436">
        <f t="shared" si="1683"/>
        <v>11.675069552083334</v>
      </c>
      <c r="DD215" s="437">
        <f t="shared" si="1683"/>
        <v>12.5202125</v>
      </c>
      <c r="DE215" s="434">
        <f t="shared" si="1683"/>
        <v>8.2167482395833318</v>
      </c>
      <c r="DF215" s="435">
        <f t="shared" si="1683"/>
        <v>4.752558333333333</v>
      </c>
      <c r="DG215" s="436">
        <f t="shared" si="1683"/>
        <v>3.6217862583333336</v>
      </c>
      <c r="DH215" s="436">
        <f t="shared" si="1683"/>
        <v>13.494702924999999</v>
      </c>
      <c r="DI215" s="437">
        <f t="shared" si="1683"/>
        <v>11.863516614583332</v>
      </c>
      <c r="DJ215" s="434">
        <f t="shared" si="1683"/>
        <v>33.732564131250001</v>
      </c>
      <c r="DK215" s="435">
        <f t="shared" si="1683"/>
        <v>31.572349947916667</v>
      </c>
      <c r="DL215" s="436">
        <f t="shared" si="1683"/>
        <v>36.473949522916669</v>
      </c>
      <c r="DM215" s="436">
        <f t="shared" si="1683"/>
        <v>6.50713785625</v>
      </c>
      <c r="DN215" s="437">
        <f t="shared" si="1683"/>
        <v>8.2196864616666669</v>
      </c>
      <c r="DO215" s="434">
        <f t="shared" si="1683"/>
        <v>82.773123788749999</v>
      </c>
      <c r="DP215" s="435">
        <f t="shared" si="1683"/>
        <v>-5.6757302049999998</v>
      </c>
      <c r="DQ215" s="436">
        <f t="shared" si="1683"/>
        <v>-9.2320954191666686</v>
      </c>
      <c r="DR215" s="436">
        <f t="shared" si="1683"/>
        <v>19.4409662475</v>
      </c>
      <c r="DS215" s="437">
        <f t="shared" si="1683"/>
        <v>19.787208119166664</v>
      </c>
      <c r="DT215" s="434">
        <f t="shared" si="1683"/>
        <v>24.320348742499995</v>
      </c>
    </row>
    <row r="216" spans="1:124" ht="12.75" customHeight="1">
      <c r="C216" s="56"/>
      <c r="D216" s="56"/>
      <c r="E216" s="8"/>
      <c r="F216" s="1230"/>
      <c r="G216" s="1230"/>
      <c r="H216" s="1320"/>
      <c r="I216" s="1314"/>
      <c r="J216" s="629"/>
      <c r="K216" s="453"/>
      <c r="L216" s="464"/>
      <c r="M216" s="430"/>
      <c r="N216" s="438"/>
      <c r="O216" s="438"/>
      <c r="P216" s="432"/>
      <c r="Q216" s="429"/>
      <c r="R216" s="430"/>
      <c r="S216" s="438"/>
      <c r="T216" s="438"/>
      <c r="U216" s="432"/>
      <c r="V216" s="429"/>
      <c r="W216" s="430"/>
      <c r="X216" s="438"/>
      <c r="Y216" s="438"/>
      <c r="Z216" s="432"/>
      <c r="AA216" s="429"/>
      <c r="AB216" s="430"/>
      <c r="AC216" s="438"/>
      <c r="AD216" s="438"/>
      <c r="AE216" s="432"/>
      <c r="AF216" s="429"/>
      <c r="AG216" s="430"/>
      <c r="AH216" s="438"/>
      <c r="AI216" s="438"/>
      <c r="AJ216" s="432"/>
      <c r="AK216" s="429"/>
      <c r="AL216" s="430"/>
      <c r="AM216" s="438"/>
      <c r="AN216" s="438"/>
      <c r="AO216" s="432"/>
      <c r="AP216" s="429"/>
      <c r="AQ216" s="430"/>
      <c r="AR216" s="438"/>
      <c r="AS216" s="438"/>
      <c r="AT216" s="432"/>
      <c r="AU216" s="429"/>
      <c r="AV216" s="430"/>
      <c r="AW216" s="438"/>
      <c r="AX216" s="438"/>
      <c r="AY216" s="432"/>
      <c r="AZ216" s="429"/>
      <c r="BA216" s="430"/>
      <c r="BB216" s="438"/>
      <c r="BC216" s="438"/>
      <c r="BD216" s="432"/>
      <c r="BE216" s="429"/>
      <c r="BF216" s="430"/>
      <c r="BG216" s="438"/>
      <c r="BH216" s="438"/>
      <c r="BI216" s="432"/>
      <c r="BJ216" s="429"/>
      <c r="BK216" s="430"/>
      <c r="BL216" s="438"/>
      <c r="BM216" s="438"/>
      <c r="BN216" s="432"/>
      <c r="BO216" s="429"/>
      <c r="BP216" s="463"/>
      <c r="BQ216" s="439"/>
      <c r="BR216" s="435"/>
      <c r="BS216" s="440"/>
      <c r="BT216" s="440"/>
      <c r="BU216" s="437"/>
      <c r="BV216" s="434"/>
      <c r="BW216" s="435"/>
      <c r="BX216" s="440"/>
      <c r="BY216" s="440"/>
      <c r="BZ216" s="437"/>
      <c r="CA216" s="434"/>
      <c r="CB216" s="435"/>
      <c r="CC216" s="440"/>
      <c r="CD216" s="440"/>
      <c r="CE216" s="437"/>
      <c r="CF216" s="434"/>
      <c r="CG216" s="435"/>
      <c r="CH216" s="440"/>
      <c r="CI216" s="440"/>
      <c r="CJ216" s="437"/>
      <c r="CK216" s="434"/>
      <c r="CL216" s="435"/>
      <c r="CM216" s="440"/>
      <c r="CN216" s="440"/>
      <c r="CO216" s="437"/>
      <c r="CP216" s="434"/>
      <c r="CQ216" s="435"/>
      <c r="CR216" s="440"/>
      <c r="CS216" s="440"/>
      <c r="CT216" s="437"/>
      <c r="CU216" s="434"/>
      <c r="CV216" s="435"/>
      <c r="CW216" s="440"/>
      <c r="CX216" s="440"/>
      <c r="CY216" s="437"/>
      <c r="CZ216" s="434"/>
      <c r="DA216" s="435"/>
      <c r="DB216" s="440"/>
      <c r="DC216" s="440"/>
      <c r="DD216" s="437"/>
      <c r="DE216" s="434"/>
      <c r="DF216" s="435"/>
      <c r="DG216" s="440"/>
      <c r="DH216" s="440"/>
      <c r="DI216" s="437"/>
      <c r="DJ216" s="434"/>
      <c r="DK216" s="435"/>
      <c r="DL216" s="440"/>
      <c r="DM216" s="440"/>
      <c r="DN216" s="437"/>
      <c r="DO216" s="434"/>
      <c r="DP216" s="435"/>
      <c r="DQ216" s="440"/>
      <c r="DR216" s="440"/>
      <c r="DS216" s="437"/>
      <c r="DT216" s="434"/>
    </row>
    <row r="217" spans="1:124" ht="13.5" thickBot="1">
      <c r="B217" s="387"/>
      <c r="C217" s="441"/>
      <c r="D217" s="441"/>
      <c r="E217" s="1315"/>
      <c r="F217" s="1231"/>
      <c r="G217" s="1231"/>
      <c r="H217" s="1321"/>
      <c r="I217" s="1317"/>
      <c r="J217" s="630"/>
      <c r="K217" s="465"/>
      <c r="L217" s="444"/>
      <c r="M217" s="466"/>
      <c r="N217" s="467"/>
      <c r="O217" s="467"/>
      <c r="P217" s="468"/>
      <c r="Q217" s="444"/>
      <c r="R217" s="466"/>
      <c r="S217" s="467"/>
      <c r="T217" s="467"/>
      <c r="U217" s="468"/>
      <c r="V217" s="444"/>
      <c r="W217" s="466"/>
      <c r="X217" s="467"/>
      <c r="Y217" s="467"/>
      <c r="Z217" s="468"/>
      <c r="AA217" s="444"/>
      <c r="AB217" s="466"/>
      <c r="AC217" s="467"/>
      <c r="AD217" s="467"/>
      <c r="AE217" s="468"/>
      <c r="AF217" s="444"/>
      <c r="AG217" s="466"/>
      <c r="AH217" s="467"/>
      <c r="AI217" s="467"/>
      <c r="AJ217" s="468"/>
      <c r="AK217" s="444"/>
      <c r="AL217" s="466"/>
      <c r="AM217" s="467"/>
      <c r="AN217" s="467"/>
      <c r="AO217" s="468"/>
      <c r="AP217" s="444"/>
      <c r="AQ217" s="466"/>
      <c r="AR217" s="467"/>
      <c r="AS217" s="467"/>
      <c r="AT217" s="468"/>
      <c r="AU217" s="444"/>
      <c r="AV217" s="466"/>
      <c r="AW217" s="467"/>
      <c r="AX217" s="467"/>
      <c r="AY217" s="468"/>
      <c r="AZ217" s="444"/>
      <c r="BA217" s="466"/>
      <c r="BB217" s="467"/>
      <c r="BC217" s="467"/>
      <c r="BD217" s="468"/>
      <c r="BE217" s="444"/>
      <c r="BF217" s="466"/>
      <c r="BG217" s="467"/>
      <c r="BH217" s="467"/>
      <c r="BI217" s="468"/>
      <c r="BJ217" s="444"/>
      <c r="BK217" s="466"/>
      <c r="BL217" s="467"/>
      <c r="BM217" s="467"/>
      <c r="BN217" s="468"/>
      <c r="BO217" s="444"/>
      <c r="BP217" s="469"/>
      <c r="BQ217" s="446"/>
      <c r="BR217" s="470"/>
      <c r="BS217" s="471"/>
      <c r="BT217" s="471"/>
      <c r="BU217" s="472"/>
      <c r="BV217" s="446"/>
      <c r="BW217" s="470"/>
      <c r="BX217" s="471"/>
      <c r="BY217" s="471"/>
      <c r="BZ217" s="472"/>
      <c r="CA217" s="446"/>
      <c r="CB217" s="470"/>
      <c r="CC217" s="471"/>
      <c r="CD217" s="471"/>
      <c r="CE217" s="472"/>
      <c r="CF217" s="446"/>
      <c r="CG217" s="470"/>
      <c r="CH217" s="471"/>
      <c r="CI217" s="471"/>
      <c r="CJ217" s="472"/>
      <c r="CK217" s="446"/>
      <c r="CL217" s="470"/>
      <c r="CM217" s="471"/>
      <c r="CN217" s="471"/>
      <c r="CO217" s="472"/>
      <c r="CP217" s="446"/>
      <c r="CQ217" s="470"/>
      <c r="CR217" s="471"/>
      <c r="CS217" s="471"/>
      <c r="CT217" s="472"/>
      <c r="CU217" s="446"/>
      <c r="CV217" s="470"/>
      <c r="CW217" s="471"/>
      <c r="CX217" s="471"/>
      <c r="CY217" s="472"/>
      <c r="CZ217" s="446"/>
      <c r="DA217" s="470"/>
      <c r="DB217" s="471"/>
      <c r="DC217" s="471"/>
      <c r="DD217" s="472"/>
      <c r="DE217" s="446"/>
      <c r="DF217" s="470"/>
      <c r="DG217" s="471"/>
      <c r="DH217" s="471"/>
      <c r="DI217" s="472"/>
      <c r="DJ217" s="446"/>
      <c r="DK217" s="470"/>
      <c r="DL217" s="471"/>
      <c r="DM217" s="471"/>
      <c r="DN217" s="472"/>
      <c r="DO217" s="446"/>
      <c r="DP217" s="470"/>
      <c r="DQ217" s="471"/>
      <c r="DR217" s="471"/>
      <c r="DS217" s="472"/>
      <c r="DT217" s="446"/>
    </row>
    <row r="218" spans="1:124" ht="13.5" customHeight="1">
      <c r="B218" s="46" t="s">
        <v>876</v>
      </c>
      <c r="C218" s="46"/>
      <c r="D218" s="46"/>
      <c r="E218" s="831"/>
      <c r="F218" s="1226"/>
      <c r="G218" s="1226"/>
      <c r="H218" s="30"/>
      <c r="I218" s="614"/>
      <c r="J218" s="627"/>
      <c r="K218" s="402"/>
      <c r="L218" s="403"/>
      <c r="M218" s="404"/>
      <c r="N218" s="405"/>
      <c r="O218" s="405"/>
      <c r="P218" s="406"/>
      <c r="Q218" s="407"/>
      <c r="R218" s="404"/>
      <c r="S218" s="405"/>
      <c r="T218" s="405"/>
      <c r="U218" s="406"/>
      <c r="V218" s="407"/>
      <c r="W218" s="404"/>
      <c r="X218" s="405"/>
      <c r="Y218" s="405"/>
      <c r="Z218" s="406"/>
      <c r="AA218" s="407"/>
      <c r="AB218" s="404"/>
      <c r="AC218" s="405"/>
      <c r="AD218" s="405"/>
      <c r="AE218" s="406"/>
      <c r="AF218" s="407"/>
      <c r="AG218" s="404"/>
      <c r="AH218" s="405"/>
      <c r="AI218" s="405"/>
      <c r="AJ218" s="406"/>
      <c r="AK218" s="407"/>
      <c r="AL218" s="404"/>
      <c r="AM218" s="405"/>
      <c r="AN218" s="405"/>
      <c r="AO218" s="406"/>
      <c r="AP218" s="407"/>
      <c r="AQ218" s="404"/>
      <c r="AR218" s="405"/>
      <c r="AS218" s="405"/>
      <c r="AT218" s="406"/>
      <c r="AU218" s="407"/>
      <c r="AV218" s="404"/>
      <c r="AW218" s="405"/>
      <c r="AX218" s="405"/>
      <c r="AY218" s="406"/>
      <c r="AZ218" s="407"/>
      <c r="BA218" s="404"/>
      <c r="BB218" s="405"/>
      <c r="BC218" s="405"/>
      <c r="BD218" s="406"/>
      <c r="BE218" s="407"/>
      <c r="BF218" s="404"/>
      <c r="BG218" s="405"/>
      <c r="BH218" s="405"/>
      <c r="BI218" s="406"/>
      <c r="BJ218" s="407"/>
      <c r="BK218" s="404"/>
      <c r="BL218" s="405"/>
      <c r="BM218" s="405"/>
      <c r="BN218" s="406"/>
      <c r="BO218" s="407"/>
      <c r="BP218" s="447"/>
      <c r="BQ218" s="409"/>
      <c r="BR218" s="410"/>
      <c r="BS218" s="411"/>
      <c r="BT218" s="411"/>
      <c r="BU218" s="412"/>
      <c r="BV218" s="413"/>
      <c r="BW218" s="410"/>
      <c r="BX218" s="411"/>
      <c r="BY218" s="411"/>
      <c r="BZ218" s="412"/>
      <c r="CA218" s="413"/>
      <c r="CB218" s="410"/>
      <c r="CC218" s="411"/>
      <c r="CD218" s="411"/>
      <c r="CE218" s="412"/>
      <c r="CF218" s="413"/>
      <c r="CG218" s="410"/>
      <c r="CH218" s="411"/>
      <c r="CI218" s="411"/>
      <c r="CJ218" s="412"/>
      <c r="CK218" s="413"/>
      <c r="CL218" s="410"/>
      <c r="CM218" s="411"/>
      <c r="CN218" s="411"/>
      <c r="CO218" s="412"/>
      <c r="CP218" s="413"/>
      <c r="CQ218" s="410"/>
      <c r="CR218" s="411"/>
      <c r="CS218" s="411"/>
      <c r="CT218" s="412"/>
      <c r="CU218" s="413"/>
      <c r="CV218" s="410"/>
      <c r="CW218" s="411"/>
      <c r="CX218" s="411"/>
      <c r="CY218" s="412"/>
      <c r="CZ218" s="413"/>
      <c r="DA218" s="410"/>
      <c r="DB218" s="411"/>
      <c r="DC218" s="411"/>
      <c r="DD218" s="412"/>
      <c r="DE218" s="413"/>
      <c r="DF218" s="410"/>
      <c r="DG218" s="411"/>
      <c r="DH218" s="411"/>
      <c r="DI218" s="412"/>
      <c r="DJ218" s="413"/>
      <c r="DK218" s="410"/>
      <c r="DL218" s="411"/>
      <c r="DM218" s="411"/>
      <c r="DN218" s="412"/>
      <c r="DO218" s="413"/>
      <c r="DP218" s="410"/>
      <c r="DQ218" s="411"/>
      <c r="DR218" s="411"/>
      <c r="DS218" s="412"/>
      <c r="DT218" s="413"/>
    </row>
    <row r="219" spans="1:124" ht="13.5" customHeight="1">
      <c r="C219" s="56"/>
      <c r="D219" s="56"/>
      <c r="E219" s="831"/>
      <c r="F219" s="1232"/>
      <c r="G219" s="1232"/>
      <c r="H219" s="1326"/>
      <c r="I219" s="1318"/>
      <c r="J219" s="631"/>
      <c r="K219" s="402"/>
      <c r="L219" s="403"/>
      <c r="M219" s="404"/>
      <c r="N219" s="405"/>
      <c r="O219" s="405"/>
      <c r="P219" s="406"/>
      <c r="Q219" s="407"/>
      <c r="R219" s="404"/>
      <c r="S219" s="405"/>
      <c r="T219" s="405"/>
      <c r="U219" s="406"/>
      <c r="V219" s="407"/>
      <c r="W219" s="404"/>
      <c r="X219" s="405"/>
      <c r="Y219" s="405"/>
      <c r="Z219" s="406"/>
      <c r="AA219" s="407"/>
      <c r="AB219" s="404"/>
      <c r="AC219" s="405"/>
      <c r="AD219" s="405"/>
      <c r="AE219" s="406"/>
      <c r="AF219" s="407"/>
      <c r="AG219" s="404"/>
      <c r="AH219" s="405"/>
      <c r="AI219" s="405"/>
      <c r="AJ219" s="406"/>
      <c r="AK219" s="407"/>
      <c r="AL219" s="404"/>
      <c r="AM219" s="405"/>
      <c r="AN219" s="405"/>
      <c r="AO219" s="406"/>
      <c r="AP219" s="407"/>
      <c r="AQ219" s="404"/>
      <c r="AR219" s="405"/>
      <c r="AS219" s="405"/>
      <c r="AT219" s="406"/>
      <c r="AU219" s="407"/>
      <c r="AV219" s="404"/>
      <c r="AW219" s="405"/>
      <c r="AX219" s="405"/>
      <c r="AY219" s="406"/>
      <c r="AZ219" s="407"/>
      <c r="BA219" s="404"/>
      <c r="BB219" s="405"/>
      <c r="BC219" s="405"/>
      <c r="BD219" s="406"/>
      <c r="BE219" s="407"/>
      <c r="BF219" s="404"/>
      <c r="BG219" s="405"/>
      <c r="BH219" s="405"/>
      <c r="BI219" s="406"/>
      <c r="BJ219" s="407"/>
      <c r="BK219" s="404"/>
      <c r="BL219" s="405"/>
      <c r="BM219" s="405"/>
      <c r="BN219" s="406"/>
      <c r="BO219" s="407"/>
      <c r="BP219" s="447"/>
      <c r="BQ219" s="409"/>
      <c r="BR219" s="410"/>
      <c r="BS219" s="411"/>
      <c r="BT219" s="411"/>
      <c r="BU219" s="412"/>
      <c r="BV219" s="413"/>
      <c r="BW219" s="410"/>
      <c r="BX219" s="411"/>
      <c r="BY219" s="411"/>
      <c r="BZ219" s="412"/>
      <c r="CA219" s="413"/>
      <c r="CB219" s="410"/>
      <c r="CC219" s="411"/>
      <c r="CD219" s="411"/>
      <c r="CE219" s="412"/>
      <c r="CF219" s="413"/>
      <c r="CG219" s="410"/>
      <c r="CH219" s="411"/>
      <c r="CI219" s="411"/>
      <c r="CJ219" s="412"/>
      <c r="CK219" s="413"/>
      <c r="CL219" s="410"/>
      <c r="CM219" s="411"/>
      <c r="CN219" s="411"/>
      <c r="CO219" s="412"/>
      <c r="CP219" s="413"/>
      <c r="CQ219" s="410"/>
      <c r="CR219" s="411"/>
      <c r="CS219" s="411"/>
      <c r="CT219" s="412"/>
      <c r="CU219" s="413"/>
      <c r="CV219" s="410"/>
      <c r="CW219" s="411"/>
      <c r="CX219" s="411"/>
      <c r="CY219" s="412"/>
      <c r="CZ219" s="413"/>
      <c r="DA219" s="410"/>
      <c r="DB219" s="411"/>
      <c r="DC219" s="411"/>
      <c r="DD219" s="412"/>
      <c r="DE219" s="413"/>
      <c r="DF219" s="410"/>
      <c r="DG219" s="411"/>
      <c r="DH219" s="411"/>
      <c r="DI219" s="412"/>
      <c r="DJ219" s="413"/>
      <c r="DK219" s="410"/>
      <c r="DL219" s="411"/>
      <c r="DM219" s="411"/>
      <c r="DN219" s="412"/>
      <c r="DO219" s="413"/>
      <c r="DP219" s="410"/>
      <c r="DQ219" s="411"/>
      <c r="DR219" s="411"/>
      <c r="DS219" s="412"/>
      <c r="DT219" s="413"/>
    </row>
    <row r="220" spans="1:124" ht="12.75" customHeight="1">
      <c r="C220" s="261" t="s">
        <v>282</v>
      </c>
      <c r="D220" s="261"/>
      <c r="E220" s="25"/>
      <c r="F220" s="1233"/>
      <c r="G220" s="1233"/>
      <c r="H220" s="1326"/>
      <c r="I220" s="1318"/>
      <c r="J220" s="627"/>
      <c r="K220" s="448"/>
      <c r="L220" s="403"/>
      <c r="M220" s="404"/>
      <c r="N220" s="405"/>
      <c r="O220" s="405"/>
      <c r="P220" s="406"/>
      <c r="Q220" s="407"/>
      <c r="R220" s="404"/>
      <c r="S220" s="405"/>
      <c r="T220" s="405"/>
      <c r="U220" s="406"/>
      <c r="V220" s="407"/>
      <c r="W220" s="404"/>
      <c r="X220" s="405"/>
      <c r="Y220" s="405"/>
      <c r="Z220" s="406"/>
      <c r="AA220" s="407"/>
      <c r="AB220" s="404"/>
      <c r="AC220" s="405"/>
      <c r="AD220" s="405"/>
      <c r="AE220" s="406"/>
      <c r="AF220" s="407"/>
      <c r="AG220" s="404"/>
      <c r="AH220" s="405"/>
      <c r="AI220" s="405"/>
      <c r="AJ220" s="406"/>
      <c r="AK220" s="407"/>
      <c r="AL220" s="404"/>
      <c r="AM220" s="405"/>
      <c r="AN220" s="405"/>
      <c r="AO220" s="406"/>
      <c r="AP220" s="407"/>
      <c r="AQ220" s="404"/>
      <c r="AR220" s="405"/>
      <c r="AS220" s="405"/>
      <c r="AT220" s="406"/>
      <c r="AU220" s="407"/>
      <c r="AV220" s="404"/>
      <c r="AW220" s="405"/>
      <c r="AX220" s="405"/>
      <c r="AY220" s="406"/>
      <c r="AZ220" s="407"/>
      <c r="BA220" s="404"/>
      <c r="BB220" s="405"/>
      <c r="BC220" s="405"/>
      <c r="BD220" s="406"/>
      <c r="BE220" s="407"/>
      <c r="BF220" s="404"/>
      <c r="BG220" s="405"/>
      <c r="BH220" s="405"/>
      <c r="BI220" s="406"/>
      <c r="BJ220" s="407"/>
      <c r="BK220" s="404"/>
      <c r="BL220" s="405"/>
      <c r="BM220" s="405"/>
      <c r="BN220" s="406"/>
      <c r="BO220" s="407"/>
      <c r="BP220" s="447"/>
      <c r="BQ220" s="409"/>
      <c r="BR220" s="410"/>
      <c r="BS220" s="411"/>
      <c r="BT220" s="411"/>
      <c r="BU220" s="412"/>
      <c r="BV220" s="413"/>
      <c r="BW220" s="410"/>
      <c r="BX220" s="411"/>
      <c r="BY220" s="411"/>
      <c r="BZ220" s="412"/>
      <c r="CA220" s="413"/>
      <c r="CB220" s="410"/>
      <c r="CC220" s="411"/>
      <c r="CD220" s="411"/>
      <c r="CE220" s="412"/>
      <c r="CF220" s="413"/>
      <c r="CG220" s="410"/>
      <c r="CH220" s="411"/>
      <c r="CI220" s="411"/>
      <c r="CJ220" s="412"/>
      <c r="CK220" s="413"/>
      <c r="CL220" s="410"/>
      <c r="CM220" s="411"/>
      <c r="CN220" s="411"/>
      <c r="CO220" s="412"/>
      <c r="CP220" s="413"/>
      <c r="CQ220" s="410"/>
      <c r="CR220" s="411"/>
      <c r="CS220" s="411"/>
      <c r="CT220" s="412"/>
      <c r="CU220" s="413"/>
      <c r="CV220" s="410"/>
      <c r="CW220" s="411"/>
      <c r="CX220" s="411"/>
      <c r="CY220" s="412"/>
      <c r="CZ220" s="413"/>
      <c r="DA220" s="410"/>
      <c r="DB220" s="411"/>
      <c r="DC220" s="411"/>
      <c r="DD220" s="412"/>
      <c r="DE220" s="413"/>
      <c r="DF220" s="410"/>
      <c r="DG220" s="411"/>
      <c r="DH220" s="411"/>
      <c r="DI220" s="412"/>
      <c r="DJ220" s="413"/>
      <c r="DK220" s="410"/>
      <c r="DL220" s="411"/>
      <c r="DM220" s="411"/>
      <c r="DN220" s="412"/>
      <c r="DO220" s="413"/>
      <c r="DP220" s="410"/>
      <c r="DQ220" s="411"/>
      <c r="DR220" s="411"/>
      <c r="DS220" s="412"/>
      <c r="DT220" s="413"/>
    </row>
    <row r="221" spans="1:124" ht="13.5" customHeight="1">
      <c r="C221" s="56"/>
      <c r="D221" s="56"/>
      <c r="E221" s="831"/>
      <c r="F221" s="1226"/>
      <c r="G221" s="1226"/>
      <c r="H221" s="1326"/>
      <c r="I221" s="1318"/>
      <c r="J221" s="631"/>
      <c r="K221" s="402"/>
      <c r="L221" s="403"/>
      <c r="M221" s="404"/>
      <c r="N221" s="405"/>
      <c r="O221" s="405"/>
      <c r="P221" s="406"/>
      <c r="Q221" s="407"/>
      <c r="R221" s="404"/>
      <c r="S221" s="405"/>
      <c r="T221" s="405"/>
      <c r="U221" s="406"/>
      <c r="V221" s="407"/>
      <c r="W221" s="404"/>
      <c r="X221" s="405"/>
      <c r="Y221" s="405"/>
      <c r="Z221" s="406"/>
      <c r="AA221" s="407"/>
      <c r="AB221" s="404"/>
      <c r="AC221" s="405"/>
      <c r="AD221" s="405"/>
      <c r="AE221" s="406"/>
      <c r="AF221" s="407"/>
      <c r="AG221" s="404"/>
      <c r="AH221" s="405"/>
      <c r="AI221" s="405"/>
      <c r="AJ221" s="406"/>
      <c r="AK221" s="407"/>
      <c r="AL221" s="404"/>
      <c r="AM221" s="405"/>
      <c r="AN221" s="405"/>
      <c r="AO221" s="406"/>
      <c r="AP221" s="407"/>
      <c r="AQ221" s="404"/>
      <c r="AR221" s="405"/>
      <c r="AS221" s="405"/>
      <c r="AT221" s="406"/>
      <c r="AU221" s="407"/>
      <c r="AV221" s="404"/>
      <c r="AW221" s="405"/>
      <c r="AX221" s="405"/>
      <c r="AY221" s="406"/>
      <c r="AZ221" s="407"/>
      <c r="BA221" s="404"/>
      <c r="BB221" s="405"/>
      <c r="BC221" s="405"/>
      <c r="BD221" s="406"/>
      <c r="BE221" s="407"/>
      <c r="BF221" s="404"/>
      <c r="BG221" s="405"/>
      <c r="BH221" s="405"/>
      <c r="BI221" s="406"/>
      <c r="BJ221" s="407"/>
      <c r="BK221" s="404"/>
      <c r="BL221" s="405"/>
      <c r="BM221" s="405"/>
      <c r="BN221" s="406"/>
      <c r="BO221" s="407"/>
      <c r="BP221" s="447"/>
      <c r="BQ221" s="409"/>
      <c r="BR221" s="410"/>
      <c r="BS221" s="411"/>
      <c r="BT221" s="411"/>
      <c r="BU221" s="412"/>
      <c r="BV221" s="413"/>
      <c r="BW221" s="410"/>
      <c r="BX221" s="411"/>
      <c r="BY221" s="411"/>
      <c r="BZ221" s="412"/>
      <c r="CA221" s="413"/>
      <c r="CB221" s="410"/>
      <c r="CC221" s="411"/>
      <c r="CD221" s="411"/>
      <c r="CE221" s="412"/>
      <c r="CF221" s="413"/>
      <c r="CG221" s="410"/>
      <c r="CH221" s="411"/>
      <c r="CI221" s="411"/>
      <c r="CJ221" s="412"/>
      <c r="CK221" s="413"/>
      <c r="CL221" s="410"/>
      <c r="CM221" s="411"/>
      <c r="CN221" s="411"/>
      <c r="CO221" s="412"/>
      <c r="CP221" s="413"/>
      <c r="CQ221" s="410"/>
      <c r="CR221" s="411"/>
      <c r="CS221" s="411"/>
      <c r="CT221" s="412"/>
      <c r="CU221" s="413"/>
      <c r="CV221" s="410"/>
      <c r="CW221" s="411"/>
      <c r="CX221" s="411"/>
      <c r="CY221" s="412"/>
      <c r="CZ221" s="413"/>
      <c r="DA221" s="410"/>
      <c r="DB221" s="411"/>
      <c r="DC221" s="411"/>
      <c r="DD221" s="412"/>
      <c r="DE221" s="413"/>
      <c r="DF221" s="410"/>
      <c r="DG221" s="411"/>
      <c r="DH221" s="411"/>
      <c r="DI221" s="412"/>
      <c r="DJ221" s="413"/>
      <c r="DK221" s="410"/>
      <c r="DL221" s="411"/>
      <c r="DM221" s="411"/>
      <c r="DN221" s="412"/>
      <c r="DO221" s="413"/>
      <c r="DP221" s="410"/>
      <c r="DQ221" s="411"/>
      <c r="DR221" s="411"/>
      <c r="DS221" s="412"/>
      <c r="DT221" s="413"/>
    </row>
    <row r="222" spans="1:124" ht="12.75" customHeight="1">
      <c r="A222" s="491"/>
      <c r="C222" s="14" t="s">
        <v>356</v>
      </c>
      <c r="D222" s="14"/>
      <c r="E222" s="1531"/>
      <c r="F222" s="1535"/>
      <c r="G222" s="1535"/>
      <c r="H222" s="610"/>
      <c r="I222" s="1533"/>
      <c r="J222" s="615"/>
      <c r="K222" s="402"/>
      <c r="L222" s="407"/>
      <c r="M222" s="404"/>
      <c r="N222" s="414"/>
      <c r="O222" s="414"/>
      <c r="P222" s="406"/>
      <c r="Q222" s="407"/>
      <c r="R222" s="404"/>
      <c r="S222" s="414"/>
      <c r="T222" s="414"/>
      <c r="U222" s="406"/>
      <c r="V222" s="407"/>
      <c r="W222" s="404"/>
      <c r="X222" s="414"/>
      <c r="Y222" s="414"/>
      <c r="Z222" s="406"/>
      <c r="AA222" s="407"/>
      <c r="AB222" s="404"/>
      <c r="AC222" s="414"/>
      <c r="AD222" s="414"/>
      <c r="AE222" s="406"/>
      <c r="AF222" s="407"/>
      <c r="AG222" s="404"/>
      <c r="AH222" s="414"/>
      <c r="AI222" s="414"/>
      <c r="AJ222" s="406"/>
      <c r="AK222" s="407"/>
      <c r="AL222" s="404"/>
      <c r="AM222" s="414"/>
      <c r="AN222" s="414"/>
      <c r="AO222" s="406"/>
      <c r="AP222" s="407"/>
      <c r="AQ222" s="404"/>
      <c r="AR222" s="414"/>
      <c r="AS222" s="414"/>
      <c r="AT222" s="406"/>
      <c r="AU222" s="407"/>
      <c r="AV222" s="404"/>
      <c r="AW222" s="414"/>
      <c r="AX222" s="414"/>
      <c r="AY222" s="406"/>
      <c r="AZ222" s="407"/>
      <c r="BA222" s="404"/>
      <c r="BB222" s="414"/>
      <c r="BC222" s="414"/>
      <c r="BD222" s="406"/>
      <c r="BE222" s="407"/>
      <c r="BF222" s="404"/>
      <c r="BG222" s="414"/>
      <c r="BH222" s="414"/>
      <c r="BI222" s="406"/>
      <c r="BJ222" s="407"/>
      <c r="BK222" s="404"/>
      <c r="BL222" s="414"/>
      <c r="BM222" s="414"/>
      <c r="BN222" s="406"/>
      <c r="BO222" s="407"/>
      <c r="BP222" s="449"/>
      <c r="BQ222" s="413"/>
      <c r="BR222" s="410"/>
      <c r="BS222" s="416"/>
      <c r="BT222" s="416"/>
      <c r="BU222" s="412"/>
      <c r="BV222" s="413"/>
      <c r="BW222" s="410"/>
      <c r="BX222" s="416"/>
      <c r="BY222" s="416"/>
      <c r="BZ222" s="412"/>
      <c r="CA222" s="413"/>
      <c r="CB222" s="410"/>
      <c r="CC222" s="416"/>
      <c r="CD222" s="416"/>
      <c r="CE222" s="412"/>
      <c r="CF222" s="413"/>
      <c r="CG222" s="410"/>
      <c r="CH222" s="416"/>
      <c r="CI222" s="416"/>
      <c r="CJ222" s="412"/>
      <c r="CK222" s="413"/>
      <c r="CL222" s="410"/>
      <c r="CM222" s="416"/>
      <c r="CN222" s="416"/>
      <c r="CO222" s="412"/>
      <c r="CP222" s="413"/>
      <c r="CQ222" s="410"/>
      <c r="CR222" s="416"/>
      <c r="CS222" s="416"/>
      <c r="CT222" s="412"/>
      <c r="CU222" s="413"/>
      <c r="CV222" s="410"/>
      <c r="CW222" s="416"/>
      <c r="CX222" s="416"/>
      <c r="CY222" s="412"/>
      <c r="CZ222" s="413"/>
      <c r="DA222" s="410"/>
      <c r="DB222" s="416"/>
      <c r="DC222" s="416"/>
      <c r="DD222" s="412"/>
      <c r="DE222" s="413"/>
      <c r="DF222" s="410"/>
      <c r="DG222" s="416"/>
      <c r="DH222" s="416"/>
      <c r="DI222" s="412"/>
      <c r="DJ222" s="413"/>
      <c r="DK222" s="410"/>
      <c r="DL222" s="416"/>
      <c r="DM222" s="416"/>
      <c r="DN222" s="412"/>
      <c r="DO222" s="413"/>
      <c r="DP222" s="410"/>
      <c r="DQ222" s="416"/>
      <c r="DR222" s="416"/>
      <c r="DS222" s="412"/>
      <c r="DT222" s="413"/>
    </row>
    <row r="223" spans="1:124" ht="12.75" customHeight="1">
      <c r="C223" s="26" t="s">
        <v>406</v>
      </c>
      <c r="D223" s="26"/>
      <c r="E223" s="1886"/>
      <c r="F223" s="1892"/>
      <c r="G223" s="1892"/>
      <c r="H223" s="610"/>
      <c r="I223" s="1533"/>
      <c r="J223" s="615"/>
      <c r="K223" s="402"/>
      <c r="L223" s="407"/>
      <c r="M223" s="404"/>
      <c r="N223" s="414"/>
      <c r="O223" s="414"/>
      <c r="P223" s="406"/>
      <c r="Q223" s="407"/>
      <c r="R223" s="404"/>
      <c r="S223" s="414"/>
      <c r="T223" s="414"/>
      <c r="U223" s="406"/>
      <c r="V223" s="407"/>
      <c r="W223" s="404"/>
      <c r="X223" s="414"/>
      <c r="Y223" s="414"/>
      <c r="Z223" s="406"/>
      <c r="AA223" s="407"/>
      <c r="AB223" s="404"/>
      <c r="AC223" s="414"/>
      <c r="AD223" s="414"/>
      <c r="AE223" s="406"/>
      <c r="AF223" s="407"/>
      <c r="AG223" s="404"/>
      <c r="AH223" s="414"/>
      <c r="AI223" s="414"/>
      <c r="AJ223" s="406"/>
      <c r="AK223" s="407"/>
      <c r="AL223" s="404"/>
      <c r="AM223" s="414"/>
      <c r="AN223" s="414"/>
      <c r="AO223" s="406"/>
      <c r="AP223" s="407"/>
      <c r="AQ223" s="404"/>
      <c r="AR223" s="414"/>
      <c r="AS223" s="414"/>
      <c r="AT223" s="406"/>
      <c r="AU223" s="407"/>
      <c r="AV223" s="404"/>
      <c r="AW223" s="414"/>
      <c r="AX223" s="414"/>
      <c r="AY223" s="406"/>
      <c r="AZ223" s="407"/>
      <c r="BA223" s="404"/>
      <c r="BB223" s="414"/>
      <c r="BC223" s="414"/>
      <c r="BD223" s="406"/>
      <c r="BE223" s="407"/>
      <c r="BF223" s="404"/>
      <c r="BG223" s="414"/>
      <c r="BH223" s="414"/>
      <c r="BI223" s="406"/>
      <c r="BJ223" s="407"/>
      <c r="BK223" s="404"/>
      <c r="BL223" s="414"/>
      <c r="BM223" s="414"/>
      <c r="BN223" s="406"/>
      <c r="BO223" s="407"/>
      <c r="BP223" s="449"/>
      <c r="BQ223" s="413"/>
      <c r="BR223" s="410"/>
      <c r="BS223" s="416"/>
      <c r="BT223" s="416"/>
      <c r="BU223" s="412"/>
      <c r="BV223" s="413"/>
      <c r="BW223" s="410"/>
      <c r="BX223" s="416"/>
      <c r="BY223" s="416"/>
      <c r="BZ223" s="412"/>
      <c r="CA223" s="413"/>
      <c r="CB223" s="410"/>
      <c r="CC223" s="416"/>
      <c r="CD223" s="416"/>
      <c r="CE223" s="412"/>
      <c r="CF223" s="413"/>
      <c r="CG223" s="410"/>
      <c r="CH223" s="416"/>
      <c r="CI223" s="416"/>
      <c r="CJ223" s="412"/>
      <c r="CK223" s="413"/>
      <c r="CL223" s="410"/>
      <c r="CM223" s="416"/>
      <c r="CN223" s="416"/>
      <c r="CO223" s="412"/>
      <c r="CP223" s="413"/>
      <c r="CQ223" s="410"/>
      <c r="CR223" s="416"/>
      <c r="CS223" s="416"/>
      <c r="CT223" s="412"/>
      <c r="CU223" s="413"/>
      <c r="CV223" s="410"/>
      <c r="CW223" s="416"/>
      <c r="CX223" s="416"/>
      <c r="CY223" s="412"/>
      <c r="CZ223" s="413"/>
      <c r="DA223" s="410"/>
      <c r="DB223" s="416"/>
      <c r="DC223" s="416"/>
      <c r="DD223" s="412"/>
      <c r="DE223" s="413"/>
      <c r="DF223" s="410"/>
      <c r="DG223" s="416"/>
      <c r="DH223" s="416"/>
      <c r="DI223" s="412"/>
      <c r="DJ223" s="413"/>
      <c r="DK223" s="410"/>
      <c r="DL223" s="416"/>
      <c r="DM223" s="416"/>
      <c r="DN223" s="412"/>
      <c r="DO223" s="413"/>
      <c r="DP223" s="410"/>
      <c r="DQ223" s="416"/>
      <c r="DR223" s="416"/>
      <c r="DS223" s="412"/>
      <c r="DT223" s="413"/>
    </row>
    <row r="224" spans="1:124" ht="12.75" customHeight="1">
      <c r="C224" s="601" t="s">
        <v>419</v>
      </c>
      <c r="D224" s="601"/>
      <c r="E224" s="1886">
        <f>IF(F224=0,G224,F224)</f>
        <v>32.244999999999997</v>
      </c>
      <c r="F224" s="1532">
        <v>32.244999999999997</v>
      </c>
      <c r="G224" s="1532">
        <v>32.244999999999997</v>
      </c>
      <c r="H224" s="610">
        <v>2038</v>
      </c>
      <c r="I224" s="1533">
        <v>5.8000000000000003E-2</v>
      </c>
      <c r="J224" s="615">
        <v>12</v>
      </c>
      <c r="K224" s="402"/>
      <c r="L224" s="407">
        <f>IF(L$5=$H224,-$E224,0)</f>
        <v>0</v>
      </c>
      <c r="M224" s="404">
        <f>IF(Q224=0,0,IF(Q224&lt;0,IF($J224=3,Q224,IF($J224=2,Q224,IF($J224=1,Q224,0)))))</f>
        <v>0</v>
      </c>
      <c r="N224" s="414">
        <f>IF(Q224=0,0,IF(Q224&lt;0,IF($J224=6,Q224,IF($J224=5,Q224,IF($J224=4,Q224,0)))))</f>
        <v>0</v>
      </c>
      <c r="O224" s="414">
        <f>IF(Q224=0,0,IF(Q224&lt;0,IF($J224=9,Q224,IF($J224=8,Q224,IF($J224=7,Q224,0)))))</f>
        <v>0</v>
      </c>
      <c r="P224" s="406">
        <f>IF(Q224=0,0,IF(Q224&lt;0,IF($J224=12,Q224,IF($J224=11,Q224,IF($J224=10,Q224,0)))))</f>
        <v>0</v>
      </c>
      <c r="Q224" s="407">
        <f>IF(Q$5=$H224,-$E224,0)</f>
        <v>0</v>
      </c>
      <c r="R224" s="404">
        <f>IF(V224=0,0,IF(V224&lt;0,IF($J224=3,V224,IF($J224=2,V224,IF($J224=1,V224,0)))))</f>
        <v>0</v>
      </c>
      <c r="S224" s="414">
        <f>IF(V224=0,0,IF(V224&lt;0,IF($J224=6,V224,IF($J224=5,V224,IF($J224=4,V224,0)))))</f>
        <v>0</v>
      </c>
      <c r="T224" s="414">
        <f>IF(V224=0,0,IF(V224&lt;0,IF($J224=9,V224,IF($J224=8,V224,IF($J224=7,V224,0)))))</f>
        <v>0</v>
      </c>
      <c r="U224" s="406">
        <f>IF(V224=0,0,IF(V224&lt;0,IF($J224=12,V224,IF($J224=11,V224,IF($J224=10,V224,0)))))</f>
        <v>0</v>
      </c>
      <c r="V224" s="407">
        <f>IF(V$5=$H224,-$E224,0)</f>
        <v>0</v>
      </c>
      <c r="W224" s="404">
        <f>IF(AA224=0,0,IF(AA224&lt;0,IF($J224=3,AA224,IF($J224=2,AA224,IF($J224=1,AA224,0)))))</f>
        <v>0</v>
      </c>
      <c r="X224" s="414">
        <f>IF(AA224=0,0,IF(AA224&lt;0,IF($J224=6,AA224,IF($J224=5,AA224,IF($J224=4,AA224,0)))))</f>
        <v>0</v>
      </c>
      <c r="Y224" s="414">
        <f>IF(AA224=0,0,IF(AA224&lt;0,IF($J224=9,AA224,IF($J224=8,AA224,IF($J224=7,AA224,0)))))</f>
        <v>0</v>
      </c>
      <c r="Z224" s="406">
        <f>IF(AA224=0,0,IF(AA224&lt;0,IF($J224=12,AA224,IF($J224=11,AA224,IF($J224=10,AA224,0)))))</f>
        <v>0</v>
      </c>
      <c r="AA224" s="407">
        <f>IF(AA$5=$H224,-$E224,0)</f>
        <v>0</v>
      </c>
      <c r="AB224" s="404">
        <f>IF(AF224=0,0,IF(AF224&lt;0,IF($J224=3,AF224,IF($J224=2,AF224,IF($J224=1,AF224,0)))))</f>
        <v>0</v>
      </c>
      <c r="AC224" s="414">
        <f>IF(AF224=0,0,IF(AF224&lt;0,IF($J224=6,AF224,IF($J224=5,AF224,IF($J224=4,AF224,0)))))</f>
        <v>0</v>
      </c>
      <c r="AD224" s="414">
        <f>IF(AF224=0,0,IF(AF224&lt;0,IF($J224=9,AF224,IF($J224=8,AF224,IF($J224=7,AF224,0)))))</f>
        <v>0</v>
      </c>
      <c r="AE224" s="406">
        <f>IF(AF224=0,0,IF(AF224&lt;0,IF($J224=12,AF224,IF($J224=11,AF224,IF($J224=10,AF224,0)))))</f>
        <v>0</v>
      </c>
      <c r="AF224" s="407">
        <f>IF(AF$5=$H224,-$E224,0)</f>
        <v>0</v>
      </c>
      <c r="AG224" s="404">
        <f>IF(AK224=0,0,IF(AK224&lt;0,IF($J224=3,AK224,IF($J224=2,AK224,IF($J224=1,AK224,0)))))</f>
        <v>0</v>
      </c>
      <c r="AH224" s="414">
        <f>IF(AK224=0,0,IF(AK224&lt;0,IF($J224=6,AK224,IF($J224=5,AK224,IF($J224=4,AK224,0)))))</f>
        <v>0</v>
      </c>
      <c r="AI224" s="414">
        <f>IF(AK224=0,0,IF(AK224&lt;0,IF($J224=9,AK224,IF($J224=8,AK224,IF($J224=7,AK224,0)))))</f>
        <v>0</v>
      </c>
      <c r="AJ224" s="406">
        <f>IF(AK224=0,0,IF(AK224&lt;0,IF($J224=12,AK224,IF($J224=11,AK224,IF($J224=10,AK224,0)))))</f>
        <v>0</v>
      </c>
      <c r="AK224" s="407">
        <f>IF(AK$5=$H224,-$E224,0)</f>
        <v>0</v>
      </c>
      <c r="AL224" s="404">
        <f>IF(AP224=0,0,IF(AP224&lt;0,IF($J224=3,AP224,IF($J224=2,AP224,IF($J224=1,AP224,0)))))</f>
        <v>0</v>
      </c>
      <c r="AM224" s="414">
        <f>IF(AP224=0,0,IF(AP224&lt;0,IF($J224=6,AP224,IF($J224=5,AP224,IF($J224=4,AP224,0)))))</f>
        <v>0</v>
      </c>
      <c r="AN224" s="414">
        <f>IF(AP224=0,0,IF(AP224&lt;0,IF($J224=9,AP224,IF($J224=8,AP224,IF($J224=7,AP224,0)))))</f>
        <v>0</v>
      </c>
      <c r="AO224" s="406">
        <f>IF(AP224=0,0,IF(AP224&lt;0,IF($J224=12,AP224,IF($J224=11,AP224,IF($J224=10,AP224,0)))))</f>
        <v>0</v>
      </c>
      <c r="AP224" s="407">
        <f>IF(AP$5=$H224,-$E224,0)</f>
        <v>0</v>
      </c>
      <c r="AQ224" s="404">
        <f>IF(AU224=0,0,IF(AU224&lt;0,IF($J224=3,AU224,IF($J224=2,AU224,IF($J224=1,AU224,0)))))</f>
        <v>0</v>
      </c>
      <c r="AR224" s="414">
        <f>IF(AU224=0,0,IF(AU224&lt;0,IF($J224=6,AU224,IF($J224=5,AU224,IF($J224=4,AU224,0)))))</f>
        <v>0</v>
      </c>
      <c r="AS224" s="414">
        <f>IF(AU224=0,0,IF(AU224&lt;0,IF($J224=9,AU224,IF($J224=8,AU224,IF($J224=7,AU224,0)))))</f>
        <v>0</v>
      </c>
      <c r="AT224" s="406">
        <f>IF(AU224=0,0,IF(AU224&lt;0,IF($J224=12,AU224,IF($J224=11,AU224,IF($J224=10,AU224,0)))))</f>
        <v>0</v>
      </c>
      <c r="AU224" s="407">
        <f>IF(AU$5=$H224,-$E224,0)</f>
        <v>0</v>
      </c>
      <c r="AV224" s="404">
        <f>IF(AZ224=0,0,IF(AZ224&lt;0,IF($J224=3,AZ224,IF($J224=2,AZ224,IF($J224=1,AZ224,0)))))</f>
        <v>0</v>
      </c>
      <c r="AW224" s="414">
        <f>IF(AZ224=0,0,IF(AZ224&lt;0,IF($J224=6,AZ224,IF($J224=5,AZ224,IF($J224=4,AZ224,0)))))</f>
        <v>0</v>
      </c>
      <c r="AX224" s="414">
        <f>IF(AZ224=0,0,IF(AZ224&lt;0,IF($J224=9,AZ224,IF($J224=8,AZ224,IF($J224=7,AZ224,0)))))</f>
        <v>0</v>
      </c>
      <c r="AY224" s="406">
        <f>IF(AZ224=0,0,IF(AZ224&lt;0,IF($J224=12,AZ224,IF($J224=11,AZ224,IF($J224=10,AZ224,0)))))</f>
        <v>0</v>
      </c>
      <c r="AZ224" s="407">
        <f>IF(AZ$5=$H224,-$E224,0)</f>
        <v>0</v>
      </c>
      <c r="BA224" s="404">
        <f>IF(BE224=0,0,IF(BE224&lt;0,IF($J224=3,BE224,IF($J224=2,BE224,IF($J224=1,BE224,0)))))</f>
        <v>0</v>
      </c>
      <c r="BB224" s="414">
        <f>IF(BE224=0,0,IF(BE224&lt;0,IF($J224=6,BE224,IF($J224=5,BE224,IF($J224=4,BE224,0)))))</f>
        <v>0</v>
      </c>
      <c r="BC224" s="414">
        <f>IF(BE224=0,0,IF(BE224&lt;0,IF($J224=9,BE224,IF($J224=8,BE224,IF($J224=7,BE224,0)))))</f>
        <v>0</v>
      </c>
      <c r="BD224" s="406">
        <f>IF(BE224=0,0,IF(BE224&lt;0,IF($J224=12,BE224,IF($J224=11,BE224,IF($J224=10,BE224,0)))))</f>
        <v>0</v>
      </c>
      <c r="BE224" s="407">
        <f>IF(BE$5=$H224,-$E224,0)</f>
        <v>0</v>
      </c>
      <c r="BF224" s="404">
        <f>IF(BJ224=0,0,IF(BJ224&lt;0,IF($J224=3,BJ224,IF($J224=2,BJ224,IF($J224=1,BJ224,0)))))</f>
        <v>0</v>
      </c>
      <c r="BG224" s="414">
        <f>IF(BJ224=0,0,IF(BJ224&lt;0,IF($J224=6,BJ224,IF($J224=5,BJ224,IF($J224=4,BJ224,0)))))</f>
        <v>0</v>
      </c>
      <c r="BH224" s="414">
        <f>IF(BJ224=0,0,IF(BJ224&lt;0,IF($J224=9,BJ224,IF($J224=8,BJ224,IF($J224=7,BJ224,0)))))</f>
        <v>0</v>
      </c>
      <c r="BI224" s="406">
        <f>IF(BJ224=0,0,IF(BJ224&lt;0,IF($J224=12,BJ224,IF($J224=11,BJ224,IF($J224=10,BJ224,0)))))</f>
        <v>0</v>
      </c>
      <c r="BJ224" s="407">
        <f>IF(BJ$5=$H224,-$E224,0)</f>
        <v>0</v>
      </c>
      <c r="BK224" s="404">
        <f>IF(BO224=0,0,IF(BO224&lt;0,IF($J224=3,BO224,IF($J224=2,BO224,IF($J224=1,BO224,0)))))</f>
        <v>0</v>
      </c>
      <c r="BL224" s="414">
        <f>IF(BO224=0,0,IF(BO224&lt;0,IF($J224=6,BO224,IF($J224=5,BO224,IF($J224=4,BO224,0)))))</f>
        <v>0</v>
      </c>
      <c r="BM224" s="414">
        <f>IF(BO224=0,0,IF(BO224&lt;0,IF($J224=9,BO224,IF($J224=8,BO224,IF($J224=7,BO224,0)))))</f>
        <v>0</v>
      </c>
      <c r="BN224" s="406">
        <f>IF(BO224=0,0,IF(BO224&lt;0,IF($J224=12,BO224,IF($J224=11,BO224,IF($J224=10,BO224,0)))))</f>
        <v>0</v>
      </c>
      <c r="BO224" s="407">
        <f>IF(BO$5=$H224,-$E224,0)</f>
        <v>0</v>
      </c>
      <c r="BP224" s="449"/>
      <c r="BQ224" s="413">
        <f>IF(AND(AH224&lt;&gt;0,AH$5=$H224),-$I224*$E224-AH224,IF(BQ$5=$H224,-$I224*$E224*(12-$J224+1)/12,0))</f>
        <v>0</v>
      </c>
      <c r="BR224" s="410">
        <f>IF($H224&lt;&gt;BV$5,0,IF(BV224&lt;0,IF($J224=1,-$E224*$I224/12*3,IF($J224=2,-$E224*$I224/12*2,IF($J224=3,-$E224*$I224/12*1,0)))))+IF(BQ$5&lt;&gt;$H224,0,IF(BQ224&lt;0,IF($J224=1,-$E224*$I224/12*0,IF($J224=2,-$E224*$I224/12*1,IF($J224=3,-$E224*$I224/12*2,IF($J224&gt;=4,-$E224*$I224/12*3,0))))))</f>
        <v>0</v>
      </c>
      <c r="BS224" s="416">
        <f>IF($H224&lt;&gt;BV$5,0,IF(BV224&lt;0,IF(OR($J224=1,$J224=2,$J224=3,$J224=4),-$E224*$I224/12*3,IF($J224=5,-$E224*$I224/12*2,IF($J224=6,-$E224*$I224/12*1,0)))))+IF(BQ$5&lt;&gt;$H224,0,IF(BQ224&lt;0,IF($J224=4,-$E224*$I224/12*0,IF($J224=5,-$E224*$I224/12*1,IF($J224=6,-$E224*$I224/12*2,IF($J224&gt;=7,-$E224*$I224/12*3,0))))))</f>
        <v>0</v>
      </c>
      <c r="BT224" s="416">
        <f>IF($H224&lt;&gt;BV$5,0,IF(BV224&lt;0,IF(OR($J224=1,$J224=2,$J224=3,$J224=4,$J224=5,$J224=6,$J224=7),-$E224*$I224/12*3,IF($J224=8,-$E224*$I224/12*2,IF($J224=9,-$E224*$I224/12*1,0)))))+IF(BQ$5&lt;&gt;$H224,0,IF(BQ224&lt;0,IF($J224=7,-$E224*$I224/12*0,IF($J224=8,-$E224*$I224/12*1,IF($J224=9,-$E224*$I224/12*2,IF($J224&gt;=10,-$E224*$I224/12*3,0))))))</f>
        <v>0</v>
      </c>
      <c r="BU224" s="412">
        <f>IF($H224&lt;&gt;BV$5,0,IF(BV224&lt;0,IF(OR($J224=1,$J224=2,$J224=3,$J224=4,$J224=5,$J224=6,$J224=7,$J224=8,$J224=9,$J224=10),-$E224*$I224/12*3,IF($J224=11,-$E224*$I224/12*2,IF($J224=12,-$E224*$I224/12*1,0)))))+IF(BQ$5&lt;&gt;$H224,0,IF(BQ224&lt;0,IF($J224=10,-$E224*$I224/12*0,IF($J224=11,-$E224*$I224/12*1,IF($J224=12,-$E224*$I224/12*2,0)))))</f>
        <v>0</v>
      </c>
      <c r="BV224" s="413">
        <f>IF(AND(BQ224&lt;&gt;0,BQ$5=$H224),-$I224*$E224-BQ224,IF(BV$5=$H224,-$I224*$E224*(12-$J224+1)/12,0))</f>
        <v>0</v>
      </c>
      <c r="BW224" s="410">
        <f>IF($H224&lt;&gt;CA$5,0,IF(CA224&lt;0,IF($J224=1,-$E224*$I224/12*3,IF($J224=2,-$E224*$I224/12*2,IF($J224=3,-$E224*$I224/12*1,0)))))+IF(BV$5&lt;&gt;$H224,0,IF(BV224&lt;0,IF($J224=1,-$E224*$I224/12*0,IF($J224=2,-$E224*$I224/12*1,IF($J224=3,-$E224*$I224/12*2,IF($J224&gt;=4,-$E224*$I224/12*3,0))))))</f>
        <v>0</v>
      </c>
      <c r="BX224" s="416">
        <f>IF($H224&lt;&gt;CA$5,0,IF(CA224&lt;0,IF(OR($J224=1,$J224=2,$J224=3,$J224=4),-$E224*$I224/12*3,IF($J224=5,-$E224*$I224/12*2,IF($J224=6,-$E224*$I224/12*1,0)))))+IF(BV$5&lt;&gt;$H224,0,IF(BV224&lt;0,IF($J224=4,-$E224*$I224/12*0,IF($J224=5,-$E224*$I224/12*1,IF($J224=6,-$E224*$I224/12*2,IF($J224&gt;=7,-$E224*$I224/12*3,0))))))</f>
        <v>0</v>
      </c>
      <c r="BY224" s="416">
        <f>IF($H224&lt;&gt;CA$5,0,IF(CA224&lt;0,IF(OR($J224=1,$J224=2,$J224=3,$J224=4,$J224=5,$J224=6,$J224=7),-$E224*$I224/12*3,IF($J224=8,-$E224*$I224/12*2,IF($J224=9,-$E224*$I224/12*1,0)))))+IF(BV$5&lt;&gt;$H224,0,IF(BV224&lt;0,IF($J224=7,-$E224*$I224/12*0,IF($J224=8,-$E224*$I224/12*1,IF($J224=9,-$E224*$I224/12*2,IF($J224&gt;=10,-$E224*$I224/12*3,0))))))</f>
        <v>0</v>
      </c>
      <c r="BZ224" s="412">
        <f>IF($H224&lt;&gt;CA$5,0,IF(CA224&lt;0,IF(OR($J224=1,$J224=2,$J224=3,$J224=4,$J224=5,$J224=6,$J224=7,$J224=8,$J224=9,$J224=10),-$E224*$I224/12*3,IF($J224=11,-$E224*$I224/12*2,IF($J224=12,-$E224*$I224/12*1,0)))))+IF(BV$5&lt;&gt;$H224,0,IF(BV224&lt;0,IF($J224=10,-$E224*$I224/12*0,IF($J224=11,-$E224*$I224/12*1,IF($J224=12,-$E224*$I224/12*2,0)))))</f>
        <v>0</v>
      </c>
      <c r="CA224" s="413">
        <f>IF(AND(BV224&lt;&gt;0,BV$5=$H224),-$I224*$E224-BV224,IF(CA$5=$H224,-$I224*$E224*(12-$J224+1)/12,0))</f>
        <v>0</v>
      </c>
      <c r="CB224" s="410">
        <f>IF($H224&lt;&gt;CF$5,0,IF(CF224&lt;0,IF($J224=1,-$E224*$I224/12*3,IF($J224=2,-$E224*$I224/12*2,IF($J224=3,-$E224*$I224/12*1,0)))))+IF(CA$5&lt;&gt;$H224,0,IF(CA224&lt;0,IF($J224=1,-$E224*$I224/12*0,IF($J224=2,-$E224*$I224/12*1,IF($J224=3,-$E224*$I224/12*2,IF($J224&gt;=4,-$E224*$I224/12*3,0))))))</f>
        <v>0</v>
      </c>
      <c r="CC224" s="416">
        <f>IF($H224&lt;&gt;CF$5,0,IF(CF224&lt;0,IF(OR($J224=1,$J224=2,$J224=3,$J224=4),-$E224*$I224/12*3,IF($J224=5,-$E224*$I224/12*2,IF($J224=6,-$E224*$I224/12*1,0)))))+IF(CA$5&lt;&gt;$H224,0,IF(CA224&lt;0,IF($J224=4,-$E224*$I224/12*0,IF($J224=5,-$E224*$I224/12*1,IF($J224=6,-$E224*$I224/12*2,IF($J224&gt;=7,-$E224*$I224/12*3,0))))))</f>
        <v>0</v>
      </c>
      <c r="CD224" s="416">
        <f>IF($H224&lt;&gt;CF$5,0,IF(CF224&lt;0,IF(OR($J224=1,$J224=2,$J224=3,$J224=4,$J224=5,$J224=6,$J224=7),-$E224*$I224/12*3,IF($J224=8,-$E224*$I224/12*2,IF($J224=9,-$E224*$I224/12*1,0)))))+IF(CA$5&lt;&gt;$H224,0,IF(CA224&lt;0,IF($J224=7,-$E224*$I224/12*0,IF($J224=8,-$E224*$I224/12*1,IF($J224=9,-$E224*$I224/12*2,IF($J224&gt;=10,-$E224*$I224/12*3,0))))))</f>
        <v>0</v>
      </c>
      <c r="CE224" s="412">
        <f>IF($H224&lt;&gt;CF$5,0,IF(CF224&lt;0,IF(OR($J224=1,$J224=2,$J224=3,$J224=4,$J224=5,$J224=6,$J224=7,$J224=8,$J224=9,$J224=10),-$E224*$I224/12*3,IF($J224=11,-$E224*$I224/12*2,IF($J224=12,-$E224*$I224/12*1,0)))))+IF(CA$5&lt;&gt;$H224,0,IF(CA224&lt;0,IF($J224=10,-$E224*$I224/12*0,IF($J224=11,-$E224*$I224/12*1,IF($J224=12,-$E224*$I224/12*2,0)))))</f>
        <v>0</v>
      </c>
      <c r="CF224" s="413">
        <f>IF(AND(CA224&lt;&gt;0,CA$5=$H224),-$I224*$E224-CA224,IF(CF$5=$H224,-$I224*$E224*(12-$J224+1)/12,0))</f>
        <v>0</v>
      </c>
      <c r="CG224" s="410">
        <f>IF($H224&lt;&gt;CK$5,0,IF(CK224&lt;0,IF($J224=1,-$E224*$I224/12*3,IF($J224=2,-$E224*$I224/12*2,IF($J224=3,-$E224*$I224/12*1,0)))))+IF(CF$5&lt;&gt;$H224,0,IF(CF224&lt;0,IF($J224=1,-$E224*$I224/12*0,IF($J224=2,-$E224*$I224/12*1,IF($J224=3,-$E224*$I224/12*2,IF($J224&gt;=4,-$E224*$I224/12*3,0))))))</f>
        <v>0</v>
      </c>
      <c r="CH224" s="416">
        <f>IF($H224&lt;&gt;CK$5,0,IF(CK224&lt;0,IF(OR($J224=1,$J224=2,$J224=3,$J224=4),-$E224*$I224/12*3,IF($J224=5,-$E224*$I224/12*2,IF($J224=6,-$E224*$I224/12*1,0)))))+IF(CF$5&lt;&gt;$H224,0,IF(CF224&lt;0,IF($J224=4,-$E224*$I224/12*0,IF($J224=5,-$E224*$I224/12*1,IF($J224=6,-$E224*$I224/12*2,IF($J224&gt;=7,-$E224*$I224/12*3,0))))))</f>
        <v>0</v>
      </c>
      <c r="CI224" s="416">
        <f>IF($H224&lt;&gt;CK$5,0,IF(CK224&lt;0,IF(OR($J224=1,$J224=2,$J224=3,$J224=4,$J224=5,$J224=6,$J224=7),-$E224*$I224/12*3,IF($J224=8,-$E224*$I224/12*2,IF($J224=9,-$E224*$I224/12*1,0)))))+IF(CF$5&lt;&gt;$H224,0,IF(CF224&lt;0,IF($J224=7,-$E224*$I224/12*0,IF($J224=8,-$E224*$I224/12*1,IF($J224=9,-$E224*$I224/12*2,IF($J224&gt;=10,-$E224*$I224/12*3,0))))))</f>
        <v>0</v>
      </c>
      <c r="CJ224" s="412">
        <f>IF($H224&lt;&gt;CK$5,0,IF(CK224&lt;0,IF(OR($J224=1,$J224=2,$J224=3,$J224=4,$J224=5,$J224=6,$J224=7,$J224=8,$J224=9,$J224=10),-$E224*$I224/12*3,IF($J224=11,-$E224*$I224/12*2,IF($J224=12,-$E224*$I224/12*1,0)))))+IF(CF$5&lt;&gt;$H224,0,IF(CF224&lt;0,IF($J224=10,-$E224*$I224/12*0,IF($J224=11,-$E224*$I224/12*1,IF($J224=12,-$E224*$I224/12*2,0)))))</f>
        <v>0</v>
      </c>
      <c r="CK224" s="413">
        <f>IF(AND(CF224&lt;&gt;0,CF$5=$H224),-$I224*$E224-CF224,IF(CK$5=$H224,-$I224*$E224*(12-$J224+1)/12,0))</f>
        <v>0</v>
      </c>
      <c r="CL224" s="410">
        <f>IF($H224&lt;&gt;CP$5,0,IF(CP224&lt;0,IF($J224=1,-$E224*$I224/12*3,IF($J224=2,-$E224*$I224/12*2,IF($J224=3,-$E224*$I224/12*1,0)))))+IF(CK$5&lt;&gt;$H224,0,IF(CK224&lt;0,IF($J224=1,-$E224*$I224/12*0,IF($J224=2,-$E224*$I224/12*1,IF($J224=3,-$E224*$I224/12*2,IF($J224&gt;=4,-$E224*$I224/12*3,0))))))</f>
        <v>0</v>
      </c>
      <c r="CM224" s="416">
        <f>IF($H224&lt;&gt;CP$5,0,IF(CP224&lt;0,IF(OR($J224=1,$J224=2,$J224=3,$J224=4),-$E224*$I224/12*3,IF($J224=5,-$E224*$I224/12*2,IF($J224=6,-$E224*$I224/12*1,0)))))+IF(CK$5&lt;&gt;$H224,0,IF(CK224&lt;0,IF($J224=4,-$E224*$I224/12*0,IF($J224=5,-$E224*$I224/12*1,IF($J224=6,-$E224*$I224/12*2,IF($J224&gt;=7,-$E224*$I224/12*3,0))))))</f>
        <v>0</v>
      </c>
      <c r="CN224" s="416">
        <f>IF($H224&lt;&gt;CP$5,0,IF(CP224&lt;0,IF(OR($J224=1,$J224=2,$J224=3,$J224=4,$J224=5,$J224=6,$J224=7),-$E224*$I224/12*3,IF($J224=8,-$E224*$I224/12*2,IF($J224=9,-$E224*$I224/12*1,0)))))+IF(CK$5&lt;&gt;$H224,0,IF(CK224&lt;0,IF($J224=7,-$E224*$I224/12*0,IF($J224=8,-$E224*$I224/12*1,IF($J224=9,-$E224*$I224/12*2,IF($J224&gt;=10,-$E224*$I224/12*3,0))))))</f>
        <v>0</v>
      </c>
      <c r="CO224" s="412">
        <f>IF($H224&lt;&gt;CP$5,0,IF(CP224&lt;0,IF(OR($J224=1,$J224=2,$J224=3,$J224=4,$J224=5,$J224=6,$J224=7,$J224=8,$J224=9,$J224=10),-$E224*$I224/12*3,IF($J224=11,-$E224*$I224/12*2,IF($J224=12,-$E224*$I224/12*1,0)))))+IF(CK$5&lt;&gt;$H224,0,IF(CK224&lt;0,IF($J224=10,-$E224*$I224/12*0,IF($J224=11,-$E224*$I224/12*1,IF($J224=12,-$E224*$I224/12*2,0)))))</f>
        <v>0</v>
      </c>
      <c r="CP224" s="413">
        <f>IF(AND(CK224&lt;&gt;0,CK$5=$H224),-$I224*$E224-CK224,IF(CP$5=$H224,-$I224*$E224*(12-$J224+1)/12,0))</f>
        <v>0</v>
      </c>
      <c r="CQ224" s="410">
        <f>IF($H224&lt;&gt;CU$5,0,IF(CU224&lt;0,IF($J224=1,-$E224*$I224/12*3,IF($J224=2,-$E224*$I224/12*2,IF($J224=3,-$E224*$I224/12*1,0)))))+IF(CP$5&lt;&gt;$H224,0,IF(CP224&lt;0,IF($J224=1,-$E224*$I224/12*0,IF($J224=2,-$E224*$I224/12*1,IF($J224=3,-$E224*$I224/12*2,IF($J224&gt;=4,-$E224*$I224/12*3,0))))))</f>
        <v>0</v>
      </c>
      <c r="CR224" s="416">
        <f>IF($H224&lt;&gt;CU$5,0,IF(CU224&lt;0,IF(OR($J224=1,$J224=2,$J224=3,$J224=4),-$E224*$I224/12*3,IF($J224=5,-$E224*$I224/12*2,IF($J224=6,-$E224*$I224/12*1,0)))))+IF(CP$5&lt;&gt;$H224,0,IF(CP224&lt;0,IF($J224=4,-$E224*$I224/12*0,IF($J224=5,-$E224*$I224/12*1,IF($J224=6,-$E224*$I224/12*2,IF($J224&gt;=7,-$E224*$I224/12*3,0))))))</f>
        <v>0</v>
      </c>
      <c r="CS224" s="416">
        <f>IF($H224&lt;&gt;CU$5,0,IF(CU224&lt;0,IF(OR($J224=1,$J224=2,$J224=3,$J224=4,$J224=5,$J224=6,$J224=7),-$E224*$I224/12*3,IF($J224=8,-$E224*$I224/12*2,IF($J224=9,-$E224*$I224/12*1,0)))))+IF(CP$5&lt;&gt;$H224,0,IF(CP224&lt;0,IF($J224=7,-$E224*$I224/12*0,IF($J224=8,-$E224*$I224/12*1,IF($J224=9,-$E224*$I224/12*2,IF($J224&gt;=10,-$E224*$I224/12*3,0))))))</f>
        <v>0</v>
      </c>
      <c r="CT224" s="412">
        <f>IF($H224&lt;&gt;CU$5,0,IF(CU224&lt;0,IF(OR($J224=1,$J224=2,$J224=3,$J224=4,$J224=5,$J224=6,$J224=7,$J224=8,$J224=9,$J224=10),-$E224*$I224/12*3,IF($J224=11,-$E224*$I224/12*2,IF($J224=12,-$E224*$I224/12*1,0)))))+IF(CP$5&lt;&gt;$H224,0,IF(CP224&lt;0,IF($J224=10,-$E224*$I224/12*0,IF($J224=11,-$E224*$I224/12*1,IF($J224=12,-$E224*$I224/12*2,0)))))</f>
        <v>0</v>
      </c>
      <c r="CU224" s="413">
        <f>IF(AND(CP224&lt;&gt;0,CP$5=$H224),-$I224*$E224-CP224,IF(CU$5=$H224,-$I224*$E224*(12-$J224+1)/12,0))</f>
        <v>0</v>
      </c>
      <c r="CV224" s="410">
        <f>IF($H224&lt;&gt;CZ$5,0,IF(CZ224&lt;0,IF($J224=1,-$E224*$I224/12*3,IF($J224=2,-$E224*$I224/12*2,IF($J224=3,-$E224*$I224/12*1,0)))))+IF(CU$5&lt;&gt;$H224,0,IF(CU224&lt;0,IF($J224=1,-$E224*$I224/12*0,IF($J224=2,-$E224*$I224/12*1,IF($J224=3,-$E224*$I224/12*2,IF($J224&gt;=4,-$E224*$I224/12*3,0))))))</f>
        <v>0</v>
      </c>
      <c r="CW224" s="416">
        <f>IF($H224&lt;&gt;CZ$5,0,IF(CZ224&lt;0,IF(OR($J224=1,$J224=2,$J224=3,$J224=4),-$E224*$I224/12*3,IF($J224=5,-$E224*$I224/12*2,IF($J224=6,-$E224*$I224/12*1,0)))))+IF(CU$5&lt;&gt;$H224,0,IF(CU224&lt;0,IF($J224=4,-$E224*$I224/12*0,IF($J224=5,-$E224*$I224/12*1,IF($J224=6,-$E224*$I224/12*2,IF($J224&gt;=7,-$E224*$I224/12*3,0))))))</f>
        <v>0</v>
      </c>
      <c r="CX224" s="416">
        <f>IF($H224&lt;&gt;CZ$5,0,IF(CZ224&lt;0,IF(OR($J224=1,$J224=2,$J224=3,$J224=4,$J224=5,$J224=6,$J224=7),-$E224*$I224/12*3,IF($J224=8,-$E224*$I224/12*2,IF($J224=9,-$E224*$I224/12*1,0)))))+IF(CU$5&lt;&gt;$H224,0,IF(CU224&lt;0,IF($J224=7,-$E224*$I224/12*0,IF($J224=8,-$E224*$I224/12*1,IF($J224=9,-$E224*$I224/12*2,IF($J224&gt;=10,-$E224*$I224/12*3,0))))))</f>
        <v>0</v>
      </c>
      <c r="CY224" s="412">
        <f>IF($H224&lt;&gt;CZ$5,0,IF(CZ224&lt;0,IF(OR($J224=1,$J224=2,$J224=3,$J224=4,$J224=5,$J224=6,$J224=7,$J224=8,$J224=9,$J224=10),-$E224*$I224/12*3,IF($J224=11,-$E224*$I224/12*2,IF($J224=12,-$E224*$I224/12*1,0)))))+IF(CU$5&lt;&gt;$H224,0,IF(CU224&lt;0,IF($J224=10,-$E224*$I224/12*0,IF($J224=11,-$E224*$I224/12*1,IF($J224=12,-$E224*$I224/12*2,0)))))</f>
        <v>0</v>
      </c>
      <c r="CZ224" s="413">
        <f>IF(AND(CU224&lt;&gt;0,CU$5=$H224),-$I224*$E224-CU224,IF(CZ$5=$H224,-$I224*$E224*(12-$J224+1)/12,0))</f>
        <v>0</v>
      </c>
      <c r="DA224" s="410">
        <f>IF($H224&lt;&gt;DE$5,0,IF(DE224&lt;0,IF($J224=1,-$E224*$I224/12*3,IF($J224=2,-$E224*$I224/12*2,IF($J224=3,-$E224*$I224/12*1,0)))))+IF(CZ$5&lt;&gt;$H224,0,IF(CZ224&lt;0,IF($J224=1,-$E224*$I224/12*0,IF($J224=2,-$E224*$I224/12*1,IF($J224=3,-$E224*$I224/12*2,IF($J224&gt;=4,-$E224*$I224/12*3,0))))))</f>
        <v>0</v>
      </c>
      <c r="DB224" s="416">
        <f>IF($H224&lt;&gt;DE$5,0,IF(DE224&lt;0,IF(OR($J224=1,$J224=2,$J224=3,$J224=4),-$E224*$I224/12*3,IF($J224=5,-$E224*$I224/12*2,IF($J224=6,-$E224*$I224/12*1,0)))))+IF(CZ$5&lt;&gt;$H224,0,IF(CZ224&lt;0,IF($J224=4,-$E224*$I224/12*0,IF($J224=5,-$E224*$I224/12*1,IF($J224=6,-$E224*$I224/12*2,IF($J224&gt;=7,-$E224*$I224/12*3,0))))))</f>
        <v>0</v>
      </c>
      <c r="DC224" s="416">
        <f>IF($H224&lt;&gt;DE$5,0,IF(DE224&lt;0,IF(OR($J224=1,$J224=2,$J224=3,$J224=4,$J224=5,$J224=6,$J224=7),-$E224*$I224/12*3,IF($J224=8,-$E224*$I224/12*2,IF($J224=9,-$E224*$I224/12*1,0)))))+IF(CZ$5&lt;&gt;$H224,0,IF(CZ224&lt;0,IF($J224=7,-$E224*$I224/12*0,IF($J224=8,-$E224*$I224/12*1,IF($J224=9,-$E224*$I224/12*2,IF($J224&gt;=10,-$E224*$I224/12*3,0))))))</f>
        <v>0</v>
      </c>
      <c r="DD224" s="412">
        <f>IF($H224&lt;&gt;DE$5,0,IF(DE224&lt;0,IF(OR($J224=1,$J224=2,$J224=3,$J224=4,$J224=5,$J224=6,$J224=7,$J224=8,$J224=9,$J224=10),-$E224*$I224/12*3,IF($J224=11,-$E224*$I224/12*2,IF($J224=12,-$E224*$I224/12*1,0)))))+IF(CZ$5&lt;&gt;$H224,0,IF(CZ224&lt;0,IF($J224=10,-$E224*$I224/12*0,IF($J224=11,-$E224*$I224/12*1,IF($J224=12,-$E224*$I224/12*2,0)))))</f>
        <v>0</v>
      </c>
      <c r="DE224" s="413">
        <f>IF(AND(CZ224&lt;&gt;0,CZ$5=$H224),-$I224*$E224-CZ224,IF(DE$5=$H224,-$I224*$E224*(12-$J224+1)/12,0))</f>
        <v>0</v>
      </c>
      <c r="DF224" s="410">
        <f>IF($H224&lt;&gt;DJ$5,0,IF(DJ224&lt;0,IF($J224=1,-$E224*$I224/12*3,IF($J224=2,-$E224*$I224/12*2,IF($J224=3,-$E224*$I224/12*1,0)))))+IF(DE$5&lt;&gt;$H224,0,IF(DE224&lt;0,IF($J224=1,-$E224*$I224/12*0,IF($J224=2,-$E224*$I224/12*1,IF($J224=3,-$E224*$I224/12*2,IF($J224&gt;=4,-$E224*$I224/12*3,0))))))</f>
        <v>0</v>
      </c>
      <c r="DG224" s="416">
        <f>IF($H224&lt;&gt;DJ$5,0,IF(DJ224&lt;0,IF(OR($J224=1,$J224=2,$J224=3,$J224=4),-$E224*$I224/12*3,IF($J224=5,-$E224*$I224/12*2,IF($J224=6,-$E224*$I224/12*1,0)))))+IF(DE$5&lt;&gt;$H224,0,IF(DE224&lt;0,IF($J224=4,-$E224*$I224/12*0,IF($J224=5,-$E224*$I224/12*1,IF($J224=6,-$E224*$I224/12*2,IF($J224&gt;=7,-$E224*$I224/12*3,0))))))</f>
        <v>0</v>
      </c>
      <c r="DH224" s="416">
        <f>IF($H224&lt;&gt;DJ$5,0,IF(DJ224&lt;0,IF(OR($J224=1,$J224=2,$J224=3,$J224=4,$J224=5,$J224=6,$J224=7),-$E224*$I224/12*3,IF($J224=8,-$E224*$I224/12*2,IF($J224=9,-$E224*$I224/12*1,0)))))+IF(DE$5&lt;&gt;$H224,0,IF(DE224&lt;0,IF($J224=7,-$E224*$I224/12*0,IF($J224=8,-$E224*$I224/12*1,IF($J224=9,-$E224*$I224/12*2,IF($J224&gt;=10,-$E224*$I224/12*3,0))))))</f>
        <v>0</v>
      </c>
      <c r="DI224" s="412">
        <f>IF($H224&lt;&gt;DJ$5,0,IF(DJ224&lt;0,IF(OR($J224=1,$J224=2,$J224=3,$J224=4,$J224=5,$J224=6,$J224=7,$J224=8,$J224=9,$J224=10),-$E224*$I224/12*3,IF($J224=11,-$E224*$I224/12*2,IF($J224=12,-$E224*$I224/12*1,0)))))+IF(DE$5&lt;&gt;$H224,0,IF(DE224&lt;0,IF($J224=10,-$E224*$I224/12*0,IF($J224=11,-$E224*$I224/12*1,IF($J224=12,-$E224*$I224/12*2,0)))))</f>
        <v>0</v>
      </c>
      <c r="DJ224" s="413">
        <f>IF(AND(DE224&lt;&gt;0,DE$5=$H224),-$I224*$E224-DE224,IF(DJ$5=$H224,-$I224*$E224*(12-$J224+1)/12,0))</f>
        <v>0</v>
      </c>
      <c r="DK224" s="410">
        <f>IF($H224&lt;&gt;DO$5,0,IF(DO224&lt;0,IF($J224=1,-$E224*$I224/12*3,IF($J224=2,-$E224*$I224/12*2,IF($J224=3,-$E224*$I224/12*1,0)))))+IF(DJ$5&lt;&gt;$H224,0,IF(DJ224&lt;0,IF($J224=1,-$E224*$I224/12*0,IF($J224=2,-$E224*$I224/12*1,IF($J224=3,-$E224*$I224/12*2,IF($J224&gt;=4,-$E224*$I224/12*3,0))))))</f>
        <v>0</v>
      </c>
      <c r="DL224" s="416">
        <f>IF($H224&lt;&gt;DO$5,0,IF(DO224&lt;0,IF(OR($J224=1,$J224=2,$J224=3,$J224=4),-$E224*$I224/12*3,IF($J224=5,-$E224*$I224/12*2,IF($J224=6,-$E224*$I224/12*1,0)))))+IF(DJ$5&lt;&gt;$H224,0,IF(DJ224&lt;0,IF($J224=4,-$E224*$I224/12*0,IF($J224=5,-$E224*$I224/12*1,IF($J224=6,-$E224*$I224/12*2,IF($J224&gt;=7,-$E224*$I224/12*3,0))))))</f>
        <v>0</v>
      </c>
      <c r="DM224" s="416">
        <f>IF($H224&lt;&gt;DO$5,0,IF(DO224&lt;0,IF(OR($J224=1,$J224=2,$J224=3,$J224=4,$J224=5,$J224=6,$J224=7),-$E224*$I224/12*3,IF($J224=8,-$E224*$I224/12*2,IF($J224=9,-$E224*$I224/12*1,0)))))+IF(DJ$5&lt;&gt;$H224,0,IF(DJ224&lt;0,IF($J224=7,-$E224*$I224/12*0,IF($J224=8,-$E224*$I224/12*1,IF($J224=9,-$E224*$I224/12*2,IF($J224&gt;=10,-$E224*$I224/12*3,0))))))</f>
        <v>0</v>
      </c>
      <c r="DN224" s="412">
        <f>IF($H224&lt;&gt;DO$5,0,IF(DO224&lt;0,IF(OR($J224=1,$J224=2,$J224=3,$J224=4,$J224=5,$J224=6,$J224=7,$J224=8,$J224=9,$J224=10),-$E224*$I224/12*3,IF($J224=11,-$E224*$I224/12*2,IF($J224=12,-$E224*$I224/12*1,0)))))+IF(DJ$5&lt;&gt;$H224,0,IF(DJ224&lt;0,IF($J224=10,-$E224*$I224/12*0,IF($J224=11,-$E224*$I224/12*1,IF($J224=12,-$E224*$I224/12*2,0)))))</f>
        <v>0</v>
      </c>
      <c r="DO224" s="413">
        <f>IF(AND(DJ224&lt;&gt;0,DJ$5=$H224),-$I224*$E224-DJ224,IF(DO$5=$H224,-$I224*$E224*(12-$J224+1)/12,0))</f>
        <v>0</v>
      </c>
      <c r="DP224" s="410">
        <f>IF($H224&lt;&gt;DT$5,0,IF(DT224&lt;0,IF($J224=1,-$E224*$I224/12*3,IF($J224=2,-$E224*$I224/12*2,IF($J224=3,-$E224*$I224/12*1,0)))))+IF(DO$5&lt;&gt;$H224,0,IF(DO224&lt;0,IF($J224=1,-$E224*$I224/12*0,IF($J224=2,-$E224*$I224/12*1,IF($J224=3,-$E224*$I224/12*2,IF($J224&gt;=4,-$E224*$I224/12*3,0))))))</f>
        <v>0</v>
      </c>
      <c r="DQ224" s="416">
        <f>IF($H224&lt;&gt;DT$5,0,IF(DT224&lt;0,IF(OR($J224=1,$J224=2,$J224=3,$J224=4),-$E224*$I224/12*3,IF($J224=5,-$E224*$I224/12*2,IF($J224=6,-$E224*$I224/12*1,0)))))+IF(DO$5&lt;&gt;$H224,0,IF(DO224&lt;0,IF($J224=4,-$E224*$I224/12*0,IF($J224=5,-$E224*$I224/12*1,IF($J224=6,-$E224*$I224/12*2,IF($J224&gt;=7,-$E224*$I224/12*3,0))))))</f>
        <v>0</v>
      </c>
      <c r="DR224" s="416">
        <f>IF($H224&lt;&gt;DT$5,0,IF(DT224&lt;0,IF(OR($J224=1,$J224=2,$J224=3,$J224=4,$J224=5,$J224=6,$J224=7),-$E224*$I224/12*3,IF($J224=8,-$E224*$I224/12*2,IF($J224=9,-$E224*$I224/12*1,0)))))+IF(DO$5&lt;&gt;$H224,0,IF(DO224&lt;0,IF($J224=7,-$E224*$I224/12*0,IF($J224=8,-$E224*$I224/12*1,IF($J224=9,-$E224*$I224/12*2,IF($J224&gt;=10,-$E224*$I224/12*3,0))))))</f>
        <v>0</v>
      </c>
      <c r="DS224" s="412">
        <f>IF($H224&lt;&gt;DT$5,0,IF(DT224&lt;0,IF(OR($J224=1,$J224=2,$J224=3,$J224=4,$J224=5,$J224=6,$J224=7,$J224=8,$J224=9,$J224=10),-$E224*$I224/12*3,IF($J224=11,-$E224*$I224/12*2,IF($J224=12,-$E224*$I224/12*1,0)))))+IF(DO$5&lt;&gt;$H224,0,IF(DO224&lt;0,IF($J224=10,-$E224*$I224/12*0,IF($J224=11,-$E224*$I224/12*1,IF($J224=12,-$E224*$I224/12*2,0)))))</f>
        <v>0</v>
      </c>
      <c r="DT224" s="413">
        <f>IF(AND(DO224&lt;&gt;0,DO$5=$H224),-$I224*$E224-DO224,IF(DT$5=$H224,-$I224*$E224*(12-$J224+1)/12,0))</f>
        <v>0</v>
      </c>
    </row>
    <row r="225" spans="1:124" ht="12.75" customHeight="1">
      <c r="C225" s="1439"/>
      <c r="D225" s="1439"/>
      <c r="E225" s="1531"/>
      <c r="F225" s="1532"/>
      <c r="G225" s="1532"/>
      <c r="H225" s="610"/>
      <c r="I225" s="1534"/>
      <c r="J225" s="617"/>
      <c r="K225" s="402"/>
      <c r="L225" s="407"/>
      <c r="M225" s="404"/>
      <c r="N225" s="414"/>
      <c r="O225" s="414"/>
      <c r="P225" s="406"/>
      <c r="Q225" s="407"/>
      <c r="R225" s="404"/>
      <c r="S225" s="414"/>
      <c r="T225" s="414"/>
      <c r="U225" s="406"/>
      <c r="V225" s="407"/>
      <c r="W225" s="404"/>
      <c r="X225" s="414"/>
      <c r="Y225" s="414"/>
      <c r="Z225" s="406"/>
      <c r="AA225" s="407"/>
      <c r="AB225" s="404"/>
      <c r="AC225" s="414"/>
      <c r="AD225" s="414"/>
      <c r="AE225" s="406"/>
      <c r="AF225" s="407"/>
      <c r="AG225" s="404"/>
      <c r="AH225" s="414"/>
      <c r="AI225" s="414"/>
      <c r="AJ225" s="406"/>
      <c r="AK225" s="407"/>
      <c r="AL225" s="404"/>
      <c r="AM225" s="414"/>
      <c r="AN225" s="414"/>
      <c r="AO225" s="406"/>
      <c r="AP225" s="407"/>
      <c r="AQ225" s="404"/>
      <c r="AR225" s="414"/>
      <c r="AS225" s="414"/>
      <c r="AT225" s="406"/>
      <c r="AU225" s="407"/>
      <c r="AV225" s="404"/>
      <c r="AW225" s="414"/>
      <c r="AX225" s="414"/>
      <c r="AY225" s="406"/>
      <c r="AZ225" s="407"/>
      <c r="BA225" s="404"/>
      <c r="BB225" s="414"/>
      <c r="BC225" s="414"/>
      <c r="BD225" s="406"/>
      <c r="BE225" s="407"/>
      <c r="BF225" s="404"/>
      <c r="BG225" s="414"/>
      <c r="BH225" s="414"/>
      <c r="BI225" s="406"/>
      <c r="BJ225" s="407"/>
      <c r="BK225" s="404"/>
      <c r="BL225" s="414"/>
      <c r="BM225" s="414"/>
      <c r="BN225" s="406"/>
      <c r="BO225" s="407"/>
      <c r="BP225" s="449"/>
      <c r="BQ225" s="413"/>
      <c r="BR225" s="410"/>
      <c r="BS225" s="416"/>
      <c r="BT225" s="416"/>
      <c r="BU225" s="412"/>
      <c r="BV225" s="413"/>
      <c r="BW225" s="410"/>
      <c r="BX225" s="416"/>
      <c r="BY225" s="416"/>
      <c r="BZ225" s="412"/>
      <c r="CA225" s="413"/>
      <c r="CB225" s="410"/>
      <c r="CC225" s="416"/>
      <c r="CD225" s="416"/>
      <c r="CE225" s="412"/>
      <c r="CF225" s="413"/>
      <c r="CG225" s="410"/>
      <c r="CH225" s="416"/>
      <c r="CI225" s="416"/>
      <c r="CJ225" s="412"/>
      <c r="CK225" s="413"/>
      <c r="CL225" s="410"/>
      <c r="CM225" s="416"/>
      <c r="CN225" s="416"/>
      <c r="CO225" s="412"/>
      <c r="CP225" s="413"/>
      <c r="CQ225" s="410"/>
      <c r="CR225" s="416"/>
      <c r="CS225" s="416"/>
      <c r="CT225" s="412"/>
      <c r="CU225" s="413"/>
      <c r="CV225" s="410"/>
      <c r="CW225" s="416"/>
      <c r="CX225" s="416"/>
      <c r="CY225" s="412"/>
      <c r="CZ225" s="413"/>
      <c r="DA225" s="410"/>
      <c r="DB225" s="416"/>
      <c r="DC225" s="416"/>
      <c r="DD225" s="412"/>
      <c r="DE225" s="413"/>
      <c r="DF225" s="410"/>
      <c r="DG225" s="416"/>
      <c r="DH225" s="416"/>
      <c r="DI225" s="412"/>
      <c r="DJ225" s="413"/>
      <c r="DK225" s="410"/>
      <c r="DL225" s="416"/>
      <c r="DM225" s="416"/>
      <c r="DN225" s="412"/>
      <c r="DO225" s="413"/>
      <c r="DP225" s="410"/>
      <c r="DQ225" s="416"/>
      <c r="DR225" s="416"/>
      <c r="DS225" s="412"/>
      <c r="DT225" s="413"/>
    </row>
    <row r="226" spans="1:124" ht="12.75" customHeight="1">
      <c r="C226" s="1884" t="s">
        <v>1095</v>
      </c>
      <c r="D226" s="601"/>
      <c r="E226" s="1886">
        <f>IF(F226=0,G226,F226)</f>
        <v>16.272593000000001</v>
      </c>
      <c r="F226" s="1532">
        <v>0</v>
      </c>
      <c r="G226" s="1532">
        <f>38.672593-G227</f>
        <v>16.272593000000001</v>
      </c>
      <c r="H226" s="610">
        <v>2017</v>
      </c>
      <c r="I226" s="1533">
        <v>9.58E-3</v>
      </c>
      <c r="J226" s="615">
        <v>7</v>
      </c>
      <c r="K226" s="402"/>
      <c r="L226" s="407">
        <f>IF(L$5=$H226,-$E226,0)</f>
        <v>0</v>
      </c>
      <c r="M226" s="404">
        <f>IF(Q226=0,0,IF(Q226&lt;0,IF($J226=3,Q226,IF($J226=2,Q226,IF($J226=1,Q226,0)))))</f>
        <v>0</v>
      </c>
      <c r="N226" s="414">
        <f>IF(Q226=0,0,IF(Q226&lt;0,IF($J226=6,Q226,IF($J226=5,Q226,IF($J226=4,Q226,0)))))</f>
        <v>0</v>
      </c>
      <c r="O226" s="414">
        <f>IF(Q226=0,0,IF(Q226&lt;0,IF($J226=9,Q226,IF($J226=8,Q226,IF($J226=7,Q226,0)))))</f>
        <v>0</v>
      </c>
      <c r="P226" s="406">
        <f>IF(Q226=0,0,IF(Q226&lt;0,IF($J226=12,Q226,IF($J226=11,Q226,IF($J226=10,Q226,0)))))</f>
        <v>0</v>
      </c>
      <c r="Q226" s="407">
        <f>IF(Q$5=$H226,-$E226,0)</f>
        <v>0</v>
      </c>
      <c r="R226" s="404">
        <f>IF(V226=0,0,IF(V226&lt;0,IF($J226=3,V226,IF($J226=2,V226,IF($J226=1,V226,0)))))</f>
        <v>0</v>
      </c>
      <c r="S226" s="414">
        <f>IF(V226=0,0,IF(V226&lt;0,IF($J226=6,V226,IF($J226=5,V226,IF($J226=4,V226,0)))))</f>
        <v>0</v>
      </c>
      <c r="T226" s="414">
        <f>IF(V226=0,0,IF(V226&lt;0,IF($J226=9,V226,IF($J226=8,V226,IF($J226=7,V226,0)))))</f>
        <v>0</v>
      </c>
      <c r="U226" s="406">
        <f>IF(V226=0,0,IF(V226&lt;0,IF($J226=12,V226,IF($J226=11,V226,IF($J226=10,V226,0)))))</f>
        <v>0</v>
      </c>
      <c r="V226" s="407">
        <f>IF(V$5=$H226,-$E226,0)</f>
        <v>0</v>
      </c>
      <c r="W226" s="404">
        <f>IF(AA226=0,0,IF(AA226&lt;0,IF($J226=3,AA226,IF($J226=2,AA226,IF($J226=1,AA226,0)))))</f>
        <v>0</v>
      </c>
      <c r="X226" s="414">
        <f>IF(AA226=0,0,IF(AA226&lt;0,IF($J226=6,AA226,IF($J226=5,AA226,IF($J226=4,AA226,0)))))</f>
        <v>0</v>
      </c>
      <c r="Y226" s="414">
        <f>IF(AA226=0,0,IF(AA226&lt;0,IF($J226=9,AA226,IF($J226=8,AA226,IF($J226=7,AA226,0)))))</f>
        <v>0</v>
      </c>
      <c r="Z226" s="406">
        <f>IF(AA226=0,0,IF(AA226&lt;0,IF($J226=12,AA226,IF($J226=11,AA226,IF($J226=10,AA226,0)))))</f>
        <v>0</v>
      </c>
      <c r="AA226" s="407">
        <f>IF(AA$5=$H226,-$E226,0)</f>
        <v>0</v>
      </c>
      <c r="AB226" s="404">
        <f>IF(AF226=0,0,IF(AF226&lt;0,IF($J226=3,AF226,IF($J226=2,AF226,IF($J226=1,AF226,0)))))</f>
        <v>0</v>
      </c>
      <c r="AC226" s="414">
        <f>IF(AF226=0,0,IF(AF226&lt;0,IF($J226=6,AF226,IF($J226=5,AF226,IF($J226=4,AF226,0)))))</f>
        <v>0</v>
      </c>
      <c r="AD226" s="414">
        <f>IF(AF226=0,0,IF(AF226&lt;0,IF($J226=9,AF226,IF($J226=8,AF226,IF($J226=7,AF226,0)))))</f>
        <v>0</v>
      </c>
      <c r="AE226" s="406">
        <f>IF(AF226=0,0,IF(AF226&lt;0,IF($J226=12,AF226,IF($J226=11,AF226,IF($J226=10,AF226,0)))))</f>
        <v>0</v>
      </c>
      <c r="AF226" s="407">
        <f>IF(AF$5=$H226,-$E226,0)</f>
        <v>0</v>
      </c>
      <c r="AG226" s="404">
        <f>IF(AK226=0,0,IF(AK226&lt;0,IF($J226=3,AK226,IF($J226=2,AK226,IF($J226=1,AK226,0)))))</f>
        <v>0</v>
      </c>
      <c r="AH226" s="414">
        <f>IF(AK226=0,0,IF(AK226&lt;0,IF($J226=6,AK226,IF($J226=5,AK226,IF($J226=4,AK226,0)))))</f>
        <v>0</v>
      </c>
      <c r="AI226" s="414">
        <f>IF(AK226=0,0,IF(AK226&lt;0,IF($J226=9,AK226,IF($J226=8,AK226,IF($J226=7,AK226,0)))))</f>
        <v>0</v>
      </c>
      <c r="AJ226" s="406">
        <f>IF(AK226=0,0,IF(AK226&lt;0,IF($J226=12,AK226,IF($J226=11,AK226,IF($J226=10,AK226,0)))))</f>
        <v>0</v>
      </c>
      <c r="AK226" s="407">
        <f>IF(AK$5=$H226,-$E226,0)</f>
        <v>0</v>
      </c>
      <c r="AL226" s="404">
        <f>IF(AP226=0,0,IF(AP226&lt;0,IF($J226=3,AP226,IF($J226=2,AP226,IF($J226=1,AP226,0)))))</f>
        <v>0</v>
      </c>
      <c r="AM226" s="414">
        <f>IF(AP226=0,0,IF(AP226&lt;0,IF($J226=6,AP226,IF($J226=5,AP226,IF($J226=4,AP226,0)))))</f>
        <v>0</v>
      </c>
      <c r="AN226" s="414">
        <f>IF(AP226=0,0,IF(AP226&lt;0,IF($J226=9,AP226,IF($J226=8,AP226,IF($J226=7,AP226,0)))))</f>
        <v>0</v>
      </c>
      <c r="AO226" s="406">
        <f>IF(AP226=0,0,IF(AP226&lt;0,IF($J226=12,AP226,IF($J226=11,AP226,IF($J226=10,AP226,0)))))</f>
        <v>0</v>
      </c>
      <c r="AP226" s="407">
        <f>IF(AP$5=$H226,-$E226,0)</f>
        <v>0</v>
      </c>
      <c r="AQ226" s="404">
        <f>IF(AU226=0,0,IF(AU226&lt;0,IF($J226=3,AU226,IF($J226=2,AU226,IF($J226=1,AU226,0)))))</f>
        <v>0</v>
      </c>
      <c r="AR226" s="414">
        <f>IF(AU226=0,0,IF(AU226&lt;0,IF($J226=6,AU226,IF($J226=5,AU226,IF($J226=4,AU226,0)))))</f>
        <v>0</v>
      </c>
      <c r="AS226" s="414">
        <f>IF(AU226=0,0,IF(AU226&lt;0,IF($J226=9,AU226,IF($J226=8,AU226,IF($J226=7,AU226,0)))))</f>
        <v>-16.272593000000001</v>
      </c>
      <c r="AT226" s="406">
        <f>IF(AU226=0,0,IF(AU226&lt;0,IF($J226=12,AU226,IF($J226=11,AU226,IF($J226=10,AU226,0)))))</f>
        <v>0</v>
      </c>
      <c r="AU226" s="407">
        <f>IF(AU$5=$H226,-$E226,0)</f>
        <v>-16.272593000000001</v>
      </c>
      <c r="AV226" s="404">
        <f>IF(AZ226=0,0,IF(AZ226&lt;0,IF($J226=3,AZ226,IF($J226=2,AZ226,IF($J226=1,AZ226,0)))))</f>
        <v>0</v>
      </c>
      <c r="AW226" s="414">
        <f>IF(AZ226=0,0,IF(AZ226&lt;0,IF($J226=6,AZ226,IF($J226=5,AZ226,IF($J226=4,AZ226,0)))))</f>
        <v>0</v>
      </c>
      <c r="AX226" s="414">
        <f>IF(AZ226=0,0,IF(AZ226&lt;0,IF($J226=9,AZ226,IF($J226=8,AZ226,IF($J226=7,AZ226,0)))))</f>
        <v>0</v>
      </c>
      <c r="AY226" s="406">
        <f>IF(AZ226=0,0,IF(AZ226&lt;0,IF($J226=12,AZ226,IF($J226=11,AZ226,IF($J226=10,AZ226,0)))))</f>
        <v>0</v>
      </c>
      <c r="AZ226" s="407">
        <f>IF(AZ$5=$H226,-$E226,0)</f>
        <v>0</v>
      </c>
      <c r="BA226" s="404">
        <f>IF(BE226=0,0,IF(BE226&lt;0,IF($J226=3,BE226,IF($J226=2,BE226,IF($J226=1,BE226,0)))))</f>
        <v>0</v>
      </c>
      <c r="BB226" s="414">
        <f>IF(BE226=0,0,IF(BE226&lt;0,IF($J226=6,BE226,IF($J226=5,BE226,IF($J226=4,BE226,0)))))</f>
        <v>0</v>
      </c>
      <c r="BC226" s="414">
        <f>IF(BE226=0,0,IF(BE226&lt;0,IF($J226=9,BE226,IF($J226=8,BE226,IF($J226=7,BE226,0)))))</f>
        <v>0</v>
      </c>
      <c r="BD226" s="406">
        <f>IF(BE226=0,0,IF(BE226&lt;0,IF($J226=12,BE226,IF($J226=11,BE226,IF($J226=10,BE226,0)))))</f>
        <v>0</v>
      </c>
      <c r="BE226" s="407">
        <f>IF(BE$5=$H226,-$E226,0)</f>
        <v>0</v>
      </c>
      <c r="BF226" s="404">
        <f>IF(BJ226=0,0,IF(BJ226&lt;0,IF($J226=3,BJ226,IF($J226=2,BJ226,IF($J226=1,BJ226,0)))))</f>
        <v>0</v>
      </c>
      <c r="BG226" s="414">
        <f>IF(BJ226=0,0,IF(BJ226&lt;0,IF($J226=6,BJ226,IF($J226=5,BJ226,IF($J226=4,BJ226,0)))))</f>
        <v>0</v>
      </c>
      <c r="BH226" s="414">
        <f>IF(BJ226=0,0,IF(BJ226&lt;0,IF($J226=9,BJ226,IF($J226=8,BJ226,IF($J226=7,BJ226,0)))))</f>
        <v>0</v>
      </c>
      <c r="BI226" s="406">
        <f>IF(BJ226=0,0,IF(BJ226&lt;0,IF($J226=12,BJ226,IF($J226=11,BJ226,IF($J226=10,BJ226,0)))))</f>
        <v>0</v>
      </c>
      <c r="BJ226" s="407">
        <f>IF(BJ$5=$H226,-$E226,0)</f>
        <v>0</v>
      </c>
      <c r="BK226" s="404">
        <f>IF(BO226=0,0,IF(BO226&lt;0,IF($J226=3,BO226,IF($J226=2,BO226,IF($J226=1,BO226,0)))))</f>
        <v>0</v>
      </c>
      <c r="BL226" s="414">
        <f>IF(BO226=0,0,IF(BO226&lt;0,IF($J226=6,BO226,IF($J226=5,BO226,IF($J226=4,BO226,0)))))</f>
        <v>0</v>
      </c>
      <c r="BM226" s="414">
        <f>IF(BO226=0,0,IF(BO226&lt;0,IF($J226=9,BO226,IF($J226=8,BO226,IF($J226=7,BO226,0)))))</f>
        <v>0</v>
      </c>
      <c r="BN226" s="406">
        <f>IF(BO226=0,0,IF(BO226&lt;0,IF($J226=12,BO226,IF($J226=11,BO226,IF($J226=10,BO226,0)))))</f>
        <v>0</v>
      </c>
      <c r="BO226" s="407">
        <f>IF(BO$5=$H226,-$E226,0)</f>
        <v>0</v>
      </c>
      <c r="BP226" s="449"/>
      <c r="BQ226" s="413">
        <f>IF(AND(AH226&lt;&gt;0,AH$5=$H226),-$I226*$E226-AH226,IF(BQ$5=$H226,-$I226*$E226*(12-$J226+1)/12,0))</f>
        <v>0</v>
      </c>
      <c r="BR226" s="410">
        <f>IF($H226&lt;&gt;BV$5,0,IF(BV226&lt;0,IF($J226=1,-$E226*$I226/12*3,IF($J226=2,-$E226*$I226/12*2,IF($J226=3,-$E226*$I226/12*1,0)))))+IF(BQ$5&lt;&gt;$H226,0,IF(BQ226&lt;0,IF($J226=1,-$E226*$I226/12*0,IF($J226=2,-$E226*$I226/12*1,IF($J226=3,-$E226*$I226/12*2,IF($J226&gt;=4,-$E226*$I226/12*3,0))))))</f>
        <v>0</v>
      </c>
      <c r="BS226" s="416">
        <f>IF($H226&lt;&gt;BV$5,0,IF(BV226&lt;0,IF(OR($J226=1,$J226=2,$J226=3,$J226=4),-$E226*$I226/12*3,IF($J226=5,-$E226*$I226/12*2,IF($J226=6,-$E226*$I226/12*1,0)))))+IF(BQ$5&lt;&gt;$H226,0,IF(BQ226&lt;0,IF($J226=4,-$E226*$I226/12*0,IF($J226=5,-$E226*$I226/12*1,IF($J226=6,-$E226*$I226/12*2,IF($J226&gt;=7,-$E226*$I226/12*3,0))))))</f>
        <v>0</v>
      </c>
      <c r="BT226" s="416">
        <f>IF($H226&lt;&gt;BV$5,0,IF(BV226&lt;0,IF(OR($J226=1,$J226=2,$J226=3,$J226=4,$J226=5,$J226=6,$J226=7),-$E226*$I226/12*3,IF($J226=8,-$E226*$I226/12*2,IF($J226=9,-$E226*$I226/12*1,0)))))+IF(BQ$5&lt;&gt;$H226,0,IF(BQ226&lt;0,IF($J226=7,-$E226*$I226/12*0,IF($J226=8,-$E226*$I226/12*1,IF($J226=9,-$E226*$I226/12*2,IF($J226&gt;=10,-$E226*$I226/12*3,0))))))</f>
        <v>0</v>
      </c>
      <c r="BU226" s="412">
        <f>IF($H226&lt;&gt;BV$5,0,IF(BV226&lt;0,IF(OR($J226=1,$J226=2,$J226=3,$J226=4,$J226=5,$J226=6,$J226=7,$J226=8,$J226=9,$J226=10),-$E226*$I226/12*3,IF($J226=11,-$E226*$I226/12*2,IF($J226=12,-$E226*$I226/12*1,0)))))+IF(BQ$5&lt;&gt;$H226,0,IF(BQ226&lt;0,IF($J226=10,-$E226*$I226/12*0,IF($J226=11,-$E226*$I226/12*1,IF($J226=12,-$E226*$I226/12*2,0)))))</f>
        <v>0</v>
      </c>
      <c r="BV226" s="413">
        <f>IF(AND(BQ226&lt;&gt;0,BQ$5=$H226),-$I226*$E226-BQ226,IF(BV$5=$H226,-$I226*$E226*(12-$J226+1)/12,0))</f>
        <v>0</v>
      </c>
      <c r="BW226" s="410">
        <f>IF($H226&lt;&gt;CA$5,0,IF(CA226&lt;0,IF($J226=1,-$E226*$I226/12*3,IF($J226=2,-$E226*$I226/12*2,IF($J226=3,-$E226*$I226/12*1,0)))))+IF(BV$5&lt;&gt;$H226,0,IF(BV226&lt;0,IF($J226=1,-$E226*$I226/12*0,IF($J226=2,-$E226*$I226/12*1,IF($J226=3,-$E226*$I226/12*2,IF($J226&gt;=4,-$E226*$I226/12*3,0))))))</f>
        <v>0</v>
      </c>
      <c r="BX226" s="416">
        <f>IF($H226&lt;&gt;CA$5,0,IF(CA226&lt;0,IF(OR($J226=1,$J226=2,$J226=3,$J226=4),-$E226*$I226/12*3,IF($J226=5,-$E226*$I226/12*2,IF($J226=6,-$E226*$I226/12*1,0)))))+IF(BV$5&lt;&gt;$H226,0,IF(BV226&lt;0,IF($J226=4,-$E226*$I226/12*0,IF($J226=5,-$E226*$I226/12*1,IF($J226=6,-$E226*$I226/12*2,IF($J226&gt;=7,-$E226*$I226/12*3,0))))))</f>
        <v>0</v>
      </c>
      <c r="BY226" s="416">
        <f>IF($H226&lt;&gt;CA$5,0,IF(CA226&lt;0,IF(OR($J226=1,$J226=2,$J226=3,$J226=4,$J226=5,$J226=6,$J226=7),-$E226*$I226/12*3,IF($J226=8,-$E226*$I226/12*2,IF($J226=9,-$E226*$I226/12*1,0)))))+IF(BV$5&lt;&gt;$H226,0,IF(BV226&lt;0,IF($J226=7,-$E226*$I226/12*0,IF($J226=8,-$E226*$I226/12*1,IF($J226=9,-$E226*$I226/12*2,IF($J226&gt;=10,-$E226*$I226/12*3,0))))))</f>
        <v>0</v>
      </c>
      <c r="BZ226" s="412">
        <f>IF($H226&lt;&gt;CA$5,0,IF(CA226&lt;0,IF(OR($J226=1,$J226=2,$J226=3,$J226=4,$J226=5,$J226=6,$J226=7,$J226=8,$J226=9,$J226=10),-$E226*$I226/12*3,IF($J226=11,-$E226*$I226/12*2,IF($J226=12,-$E226*$I226/12*1,0)))))+IF(BV$5&lt;&gt;$H226,0,IF(BV226&lt;0,IF($J226=10,-$E226*$I226/12*0,IF($J226=11,-$E226*$I226/12*1,IF($J226=12,-$E226*$I226/12*2,0)))))</f>
        <v>0</v>
      </c>
      <c r="CA226" s="413">
        <f>IF(AND(BV226&lt;&gt;0,BV$5=$H226),-$I226*$E226-BV226,IF(CA$5=$H226,-$I226*$E226*(12-$J226+1)/12,0))</f>
        <v>0</v>
      </c>
      <c r="CB226" s="410">
        <f>IF($H226&lt;&gt;CF$5,0,IF(CF226&lt;0,IF($J226=1,-$E226*$I226/12*3,IF($J226=2,-$E226*$I226/12*2,IF($J226=3,-$E226*$I226/12*1,0)))))+IF(CA$5&lt;&gt;$H226,0,IF(CA226&lt;0,IF($J226=1,-$E226*$I226/12*0,IF($J226=2,-$E226*$I226/12*1,IF($J226=3,-$E226*$I226/12*2,IF($J226&gt;=4,-$E226*$I226/12*3,0))))))</f>
        <v>0</v>
      </c>
      <c r="CC226" s="416">
        <f>IF($H226&lt;&gt;CF$5,0,IF(CF226&lt;0,IF(OR($J226=1,$J226=2,$J226=3,$J226=4),-$E226*$I226/12*3,IF($J226=5,-$E226*$I226/12*2,IF($J226=6,-$E226*$I226/12*1,0)))))+IF(CA$5&lt;&gt;$H226,0,IF(CA226&lt;0,IF($J226=4,-$E226*$I226/12*0,IF($J226=5,-$E226*$I226/12*1,IF($J226=6,-$E226*$I226/12*2,IF($J226&gt;=7,-$E226*$I226/12*3,0))))))</f>
        <v>0</v>
      </c>
      <c r="CD226" s="416">
        <f>IF($H226&lt;&gt;CF$5,0,IF(CF226&lt;0,IF(OR($J226=1,$J226=2,$J226=3,$J226=4,$J226=5,$J226=6,$J226=7),-$E226*$I226/12*3,IF($J226=8,-$E226*$I226/12*2,IF($J226=9,-$E226*$I226/12*1,0)))))+IF(CA$5&lt;&gt;$H226,0,IF(CA226&lt;0,IF($J226=7,-$E226*$I226/12*0,IF($J226=8,-$E226*$I226/12*1,IF($J226=9,-$E226*$I226/12*2,IF($J226&gt;=10,-$E226*$I226/12*3,0))))))</f>
        <v>0</v>
      </c>
      <c r="CE226" s="412">
        <f>IF($H226&lt;&gt;CF$5,0,IF(CF226&lt;0,IF(OR($J226=1,$J226=2,$J226=3,$J226=4,$J226=5,$J226=6,$J226=7,$J226=8,$J226=9,$J226=10),-$E226*$I226/12*3,IF($J226=11,-$E226*$I226/12*2,IF($J226=12,-$E226*$I226/12*1,0)))))+IF(CA$5&lt;&gt;$H226,0,IF(CA226&lt;0,IF($J226=10,-$E226*$I226/12*0,IF($J226=11,-$E226*$I226/12*1,IF($J226=12,-$E226*$I226/12*2,0)))))</f>
        <v>0</v>
      </c>
      <c r="CF226" s="413">
        <f>IF(AND(CA226&lt;&gt;0,CA$5=$H226),-$I226*$E226-CA226,IF(CF$5=$H226,-$I226*$E226*(12-$J226+1)/12,0))</f>
        <v>0</v>
      </c>
      <c r="CG226" s="410">
        <f>IF($H226&lt;&gt;CK$5,0,IF(CK226&lt;0,IF($J226=1,-$E226*$I226/12*3,IF($J226=2,-$E226*$I226/12*2,IF($J226=3,-$E226*$I226/12*1,0)))))+IF(CF$5&lt;&gt;$H226,0,IF(CF226&lt;0,IF($J226=1,-$E226*$I226/12*0,IF($J226=2,-$E226*$I226/12*1,IF($J226=3,-$E226*$I226/12*2,IF($J226&gt;=4,-$E226*$I226/12*3,0))))))</f>
        <v>0</v>
      </c>
      <c r="CH226" s="416">
        <f>IF($H226&lt;&gt;CK$5,0,IF(CK226&lt;0,IF(OR($J226=1,$J226=2,$J226=3,$J226=4),-$E226*$I226/12*3,IF($J226=5,-$E226*$I226/12*2,IF($J226=6,-$E226*$I226/12*1,0)))))+IF(CF$5&lt;&gt;$H226,0,IF(CF226&lt;0,IF($J226=4,-$E226*$I226/12*0,IF($J226=5,-$E226*$I226/12*1,IF($J226=6,-$E226*$I226/12*2,IF($J226&gt;=7,-$E226*$I226/12*3,0))))))</f>
        <v>0</v>
      </c>
      <c r="CI226" s="416">
        <f>IF($H226&lt;&gt;CK$5,0,IF(CK226&lt;0,IF(OR($J226=1,$J226=2,$J226=3,$J226=4,$J226=5,$J226=6,$J226=7),-$E226*$I226/12*3,IF($J226=8,-$E226*$I226/12*2,IF($J226=9,-$E226*$I226/12*1,0)))))+IF(CF$5&lt;&gt;$H226,0,IF(CF226&lt;0,IF($J226=7,-$E226*$I226/12*0,IF($J226=8,-$E226*$I226/12*1,IF($J226=9,-$E226*$I226/12*2,IF($J226&gt;=10,-$E226*$I226/12*3,0))))))</f>
        <v>0</v>
      </c>
      <c r="CJ226" s="412">
        <f>IF($H226&lt;&gt;CK$5,0,IF(CK226&lt;0,IF(OR($J226=1,$J226=2,$J226=3,$J226=4,$J226=5,$J226=6,$J226=7,$J226=8,$J226=9,$J226=10),-$E226*$I226/12*3,IF($J226=11,-$E226*$I226/12*2,IF($J226=12,-$E226*$I226/12*1,0)))))+IF(CF$5&lt;&gt;$H226,0,IF(CF226&lt;0,IF($J226=10,-$E226*$I226/12*0,IF($J226=11,-$E226*$I226/12*1,IF($J226=12,-$E226*$I226/12*2,0)))))</f>
        <v>0</v>
      </c>
      <c r="CK226" s="413">
        <f>IF(AND(CF226&lt;&gt;0,CF$5=$H226),-$I226*$E226-CF226,IF(CK$5=$H226,-$I226*$E226*(12-$J226+1)/12,0))</f>
        <v>0</v>
      </c>
      <c r="CL226" s="410">
        <f>IF($H226&lt;&gt;CP$5,0,IF(CP226&lt;0,IF($J226=1,-$E226*$I226/12*3,IF($J226=2,-$E226*$I226/12*2,IF($J226=3,-$E226*$I226/12*1,0)))))+IF(CK$5&lt;&gt;$H226,0,IF(CK226&lt;0,IF($J226=1,-$E226*$I226/12*0,IF($J226=2,-$E226*$I226/12*1,IF($J226=3,-$E226*$I226/12*2,IF($J226&gt;=4,-$E226*$I226/12*3,0))))))</f>
        <v>0</v>
      </c>
      <c r="CM226" s="416">
        <f>IF($H226&lt;&gt;CP$5,0,IF(CP226&lt;0,IF(OR($J226=1,$J226=2,$J226=3,$J226=4),-$E226*$I226/12*3,IF($J226=5,-$E226*$I226/12*2,IF($J226=6,-$E226*$I226/12*1,0)))))+IF(CK$5&lt;&gt;$H226,0,IF(CK226&lt;0,IF($J226=4,-$E226*$I226/12*0,IF($J226=5,-$E226*$I226/12*1,IF($J226=6,-$E226*$I226/12*2,IF($J226&gt;=7,-$E226*$I226/12*3,0))))))</f>
        <v>0</v>
      </c>
      <c r="CN226" s="416">
        <f>IF($H226&lt;&gt;CP$5,0,IF(CP226&lt;0,IF(OR($J226=1,$J226=2,$J226=3,$J226=4,$J226=5,$J226=6,$J226=7),-$E226*$I226/12*3,IF($J226=8,-$E226*$I226/12*2,IF($J226=9,-$E226*$I226/12*1,0)))))+IF(CK$5&lt;&gt;$H226,0,IF(CK226&lt;0,IF($J226=7,-$E226*$I226/12*0,IF($J226=8,-$E226*$I226/12*1,IF($J226=9,-$E226*$I226/12*2,IF($J226&gt;=10,-$E226*$I226/12*3,0))))))</f>
        <v>0</v>
      </c>
      <c r="CO226" s="412">
        <f>IF($H226&lt;&gt;CP$5,0,IF(CP226&lt;0,IF(OR($J226=1,$J226=2,$J226=3,$J226=4,$J226=5,$J226=6,$J226=7,$J226=8,$J226=9,$J226=10),-$E226*$I226/12*3,IF($J226=11,-$E226*$I226/12*2,IF($J226=12,-$E226*$I226/12*1,0)))))+IF(CK$5&lt;&gt;$H226,0,IF(CK226&lt;0,IF($J226=10,-$E226*$I226/12*0,IF($J226=11,-$E226*$I226/12*1,IF($J226=12,-$E226*$I226/12*2,0)))))</f>
        <v>0</v>
      </c>
      <c r="CP226" s="413">
        <f>IF(AND(CK226&lt;&gt;0,CK$5=$H226),-$I226*$E226-CK226,IF(CP$5=$H226,-$I226*$E226*(12-$J226+1)/12,0))</f>
        <v>0</v>
      </c>
      <c r="CQ226" s="410">
        <f>IF($H226&lt;&gt;CU$5,0,IF(CU226&lt;0,IF($J226=1,-$E226*$I226/12*3,IF($J226=2,-$E226*$I226/12*2,IF($J226=3,-$E226*$I226/12*1,0)))))+IF(CP$5&lt;&gt;$H226,0,IF(CP226&lt;0,IF($J226=1,-$E226*$I226/12*0,IF($J226=2,-$E226*$I226/12*1,IF($J226=3,-$E226*$I226/12*2,IF($J226&gt;=4,-$E226*$I226/12*3,0))))))</f>
        <v>0</v>
      </c>
      <c r="CR226" s="416">
        <f>IF($H226&lt;&gt;CU$5,0,IF(CU226&lt;0,IF(OR($J226=1,$J226=2,$J226=3,$J226=4),-$E226*$I226/12*3,IF($J226=5,-$E226*$I226/12*2,IF($J226=6,-$E226*$I226/12*1,0)))))+IF(CP$5&lt;&gt;$H226,0,IF(CP226&lt;0,IF($J226=4,-$E226*$I226/12*0,IF($J226=5,-$E226*$I226/12*1,IF($J226=6,-$E226*$I226/12*2,IF($J226&gt;=7,-$E226*$I226/12*3,0))))))</f>
        <v>0</v>
      </c>
      <c r="CS226" s="416">
        <f>IF($H226&lt;&gt;CU$5,0,IF(CU226&lt;0,IF(OR($J226=1,$J226=2,$J226=3,$J226=4,$J226=5,$J226=6,$J226=7),-$E226*$I226/12*3,IF($J226=8,-$E226*$I226/12*2,IF($J226=9,-$E226*$I226/12*1,0)))))+IF(CP$5&lt;&gt;$H226,0,IF(CP226&lt;0,IF($J226=7,-$E226*$I226/12*0,IF($J226=8,-$E226*$I226/12*1,IF($J226=9,-$E226*$I226/12*2,IF($J226&gt;=10,-$E226*$I226/12*3,0))))))</f>
        <v>0</v>
      </c>
      <c r="CT226" s="412">
        <f>IF($H226&lt;&gt;CU$5,0,IF(CU226&lt;0,IF(OR($J226=1,$J226=2,$J226=3,$J226=4,$J226=5,$J226=6,$J226=7,$J226=8,$J226=9,$J226=10),-$E226*$I226/12*3,IF($J226=11,-$E226*$I226/12*2,IF($J226=12,-$E226*$I226/12*1,0)))))+IF(CP$5&lt;&gt;$H226,0,IF(CP226&lt;0,IF($J226=10,-$E226*$I226/12*0,IF($J226=11,-$E226*$I226/12*1,IF($J226=12,-$E226*$I226/12*2,0)))))</f>
        <v>0</v>
      </c>
      <c r="CU226" s="413">
        <f>IF(AND(CP226&lt;&gt;0,CP$5=$H226),-$I226*$E226-CP226,IF(CU$5=$H226,-$I226*$E226*(12-$J226+1)/12,0))</f>
        <v>0</v>
      </c>
      <c r="CV226" s="410">
        <f>IF($H226&lt;&gt;CZ$5,0,IF(CZ226&lt;0,IF($J226=1,-$E226*$I226/12*3,IF($J226=2,-$E226*$I226/12*2,IF($J226=3,-$E226*$I226/12*1,0)))))+IF(CU$5&lt;&gt;$H226,0,IF(CU226&lt;0,IF($J226=1,-$E226*$I226/12*0,IF($J226=2,-$E226*$I226/12*1,IF($J226=3,-$E226*$I226/12*2,IF($J226&gt;=4,-$E226*$I226/12*3,0))))))</f>
        <v>0</v>
      </c>
      <c r="CW226" s="416">
        <f>IF($H226&lt;&gt;CZ$5,0,IF(CZ226&lt;0,IF(OR($J226=1,$J226=2,$J226=3,$J226=4),-$E226*$I226/12*3,IF($J226=5,-$E226*$I226/12*2,IF($J226=6,-$E226*$I226/12*1,0)))))+IF(CU$5&lt;&gt;$H226,0,IF(CU226&lt;0,IF($J226=4,-$E226*$I226/12*0,IF($J226=5,-$E226*$I226/12*1,IF($J226=6,-$E226*$I226/12*2,IF($J226&gt;=7,-$E226*$I226/12*3,0))))))</f>
        <v>0</v>
      </c>
      <c r="CX226" s="416">
        <f>IF($H226&lt;&gt;CZ$5,0,IF(CZ226&lt;0,IF(OR($J226=1,$J226=2,$J226=3,$J226=4,$J226=5,$J226=6,$J226=7),-$E226*$I226/12*3,IF($J226=8,-$E226*$I226/12*2,IF($J226=9,-$E226*$I226/12*1,0)))))+IF(CU$5&lt;&gt;$H226,0,IF(CU226&lt;0,IF($J226=7,-$E226*$I226/12*0,IF($J226=8,-$E226*$I226/12*1,IF($J226=9,-$E226*$I226/12*2,IF($J226&gt;=10,-$E226*$I226/12*3,0))))))</f>
        <v>-3.8972860235000004E-2</v>
      </c>
      <c r="CY226" s="412">
        <f>IF($H226&lt;&gt;CZ$5,0,IF(CZ226&lt;0,IF(OR($J226=1,$J226=2,$J226=3,$J226=4,$J226=5,$J226=6,$J226=7,$J226=8,$J226=9,$J226=10),-$E226*$I226/12*3,IF($J226=11,-$E226*$I226/12*2,IF($J226=12,-$E226*$I226/12*1,0)))))+IF(CU$5&lt;&gt;$H226,0,IF(CU226&lt;0,IF($J226=10,-$E226*$I226/12*0,IF($J226=11,-$E226*$I226/12*1,IF($J226=12,-$E226*$I226/12*2,0)))))</f>
        <v>-3.8972860235000004E-2</v>
      </c>
      <c r="CZ226" s="413">
        <f>IF(AND(CU226&lt;&gt;0,CU$5=$H226),-$I226*$E226-CU226,IF(CZ$5=$H226,-$I226*$E226*(12-$J226+1)/12,0))</f>
        <v>-7.7945720470000007E-2</v>
      </c>
      <c r="DA226" s="410">
        <f>IF($H226&lt;&gt;DE$5,0,IF(DE226&lt;0,IF($J226=1,-$E226*$I226/12*3,IF($J226=2,-$E226*$I226/12*2,IF($J226=3,-$E226*$I226/12*1,0)))))+IF(CZ$5&lt;&gt;$H226,0,IF(CZ226&lt;0,IF($J226=1,-$E226*$I226/12*0,IF($J226=2,-$E226*$I226/12*1,IF($J226=3,-$E226*$I226/12*2,IF($J226&gt;=4,-$E226*$I226/12*3,0))))))</f>
        <v>-3.8972860235000004E-2</v>
      </c>
      <c r="DB226" s="416">
        <f>IF($H226&lt;&gt;DE$5,0,IF(DE226&lt;0,IF(OR($J226=1,$J226=2,$J226=3,$J226=4),-$E226*$I226/12*3,IF($J226=5,-$E226*$I226/12*2,IF($J226=6,-$E226*$I226/12*1,0)))))+IF(CZ$5&lt;&gt;$H226,0,IF(CZ226&lt;0,IF($J226=4,-$E226*$I226/12*0,IF($J226=5,-$E226*$I226/12*1,IF($J226=6,-$E226*$I226/12*2,IF($J226&gt;=7,-$E226*$I226/12*3,0))))))</f>
        <v>-3.8972860235000004E-2</v>
      </c>
      <c r="DC226" s="416">
        <f>IF($H226&lt;&gt;DE$5,0,IF(DE226&lt;0,IF(OR($J226=1,$J226=2,$J226=3,$J226=4,$J226=5,$J226=6,$J226=7),-$E226*$I226/12*3,IF($J226=8,-$E226*$I226/12*2,IF($J226=9,-$E226*$I226/12*1,0)))))+IF(CZ$5&lt;&gt;$H226,0,IF(CZ226&lt;0,IF($J226=7,-$E226*$I226/12*0,IF($J226=8,-$E226*$I226/12*1,IF($J226=9,-$E226*$I226/12*2,IF($J226&gt;=10,-$E226*$I226/12*3,0))))))</f>
        <v>0</v>
      </c>
      <c r="DD226" s="412">
        <f>IF($H226&lt;&gt;DE$5,0,IF(DE226&lt;0,IF(OR($J226=1,$J226=2,$J226=3,$J226=4,$J226=5,$J226=6,$J226=7,$J226=8,$J226=9,$J226=10),-$E226*$I226/12*3,IF($J226=11,-$E226*$I226/12*2,IF($J226=12,-$E226*$I226/12*1,0)))))+IF(CZ$5&lt;&gt;$H226,0,IF(CZ226&lt;0,IF($J226=10,-$E226*$I226/12*0,IF($J226=11,-$E226*$I226/12*1,IF($J226=12,-$E226*$I226/12*2,0)))))</f>
        <v>0</v>
      </c>
      <c r="DE226" s="413">
        <f>IF(AND(CZ226&lt;&gt;0,CZ$5=$H226),-$I226*$E226-CZ226,IF(DE$5=$H226,-$I226*$E226*(12-$J226+1)/12,0))</f>
        <v>-7.7945720470000007E-2</v>
      </c>
      <c r="DF226" s="410">
        <f>IF($H226&lt;&gt;DJ$5,0,IF(DJ226&lt;0,IF($J226=1,-$E226*$I226/12*3,IF($J226=2,-$E226*$I226/12*2,IF($J226=3,-$E226*$I226/12*1,0)))))+IF(DE$5&lt;&gt;$H226,0,IF(DE226&lt;0,IF($J226=1,-$E226*$I226/12*0,IF($J226=2,-$E226*$I226/12*1,IF($J226=3,-$E226*$I226/12*2,IF($J226&gt;=4,-$E226*$I226/12*3,0))))))</f>
        <v>0</v>
      </c>
      <c r="DG226" s="416">
        <f>IF($H226&lt;&gt;DJ$5,0,IF(DJ226&lt;0,IF(OR($J226=1,$J226=2,$J226=3,$J226=4),-$E226*$I226/12*3,IF($J226=5,-$E226*$I226/12*2,IF($J226=6,-$E226*$I226/12*1,0)))))+IF(DE$5&lt;&gt;$H226,0,IF(DE226&lt;0,IF($J226=4,-$E226*$I226/12*0,IF($J226=5,-$E226*$I226/12*1,IF($J226=6,-$E226*$I226/12*2,IF($J226&gt;=7,-$E226*$I226/12*3,0))))))</f>
        <v>0</v>
      </c>
      <c r="DH226" s="416">
        <f>IF($H226&lt;&gt;DJ$5,0,IF(DJ226&lt;0,IF(OR($J226=1,$J226=2,$J226=3,$J226=4,$J226=5,$J226=6,$J226=7),-$E226*$I226/12*3,IF($J226=8,-$E226*$I226/12*2,IF($J226=9,-$E226*$I226/12*1,0)))))+IF(DE$5&lt;&gt;$H226,0,IF(DE226&lt;0,IF($J226=7,-$E226*$I226/12*0,IF($J226=8,-$E226*$I226/12*1,IF($J226=9,-$E226*$I226/12*2,IF($J226&gt;=10,-$E226*$I226/12*3,0))))))</f>
        <v>0</v>
      </c>
      <c r="DI226" s="412">
        <f>IF($H226&lt;&gt;DJ$5,0,IF(DJ226&lt;0,IF(OR($J226=1,$J226=2,$J226=3,$J226=4,$J226=5,$J226=6,$J226=7,$J226=8,$J226=9,$J226=10),-$E226*$I226/12*3,IF($J226=11,-$E226*$I226/12*2,IF($J226=12,-$E226*$I226/12*1,0)))))+IF(DE$5&lt;&gt;$H226,0,IF(DE226&lt;0,IF($J226=10,-$E226*$I226/12*0,IF($J226=11,-$E226*$I226/12*1,IF($J226=12,-$E226*$I226/12*2,0)))))</f>
        <v>0</v>
      </c>
      <c r="DJ226" s="413">
        <f>IF(AND(DE226&lt;&gt;0,DE$5=$H226),-$I226*$E226-DE226,IF(DJ$5=$H226,-$I226*$E226*(12-$J226+1)/12,0))</f>
        <v>0</v>
      </c>
      <c r="DK226" s="410">
        <f>IF($H226&lt;&gt;DO$5,0,IF(DO226&lt;0,IF($J226=1,-$E226*$I226/12*3,IF($J226=2,-$E226*$I226/12*2,IF($J226=3,-$E226*$I226/12*1,0)))))+IF(DJ$5&lt;&gt;$H226,0,IF(DJ226&lt;0,IF($J226=1,-$E226*$I226/12*0,IF($J226=2,-$E226*$I226/12*1,IF($J226=3,-$E226*$I226/12*2,IF($J226&gt;=4,-$E226*$I226/12*3,0))))))</f>
        <v>0</v>
      </c>
      <c r="DL226" s="416">
        <f>IF($H226&lt;&gt;DO$5,0,IF(DO226&lt;0,IF(OR($J226=1,$J226=2,$J226=3,$J226=4),-$E226*$I226/12*3,IF($J226=5,-$E226*$I226/12*2,IF($J226=6,-$E226*$I226/12*1,0)))))+IF(DJ$5&lt;&gt;$H226,0,IF(DJ226&lt;0,IF($J226=4,-$E226*$I226/12*0,IF($J226=5,-$E226*$I226/12*1,IF($J226=6,-$E226*$I226/12*2,IF($J226&gt;=7,-$E226*$I226/12*3,0))))))</f>
        <v>0</v>
      </c>
      <c r="DM226" s="416">
        <f>IF($H226&lt;&gt;DO$5,0,IF(DO226&lt;0,IF(OR($J226=1,$J226=2,$J226=3,$J226=4,$J226=5,$J226=6,$J226=7),-$E226*$I226/12*3,IF($J226=8,-$E226*$I226/12*2,IF($J226=9,-$E226*$I226/12*1,0)))))+IF(DJ$5&lt;&gt;$H226,0,IF(DJ226&lt;0,IF($J226=7,-$E226*$I226/12*0,IF($J226=8,-$E226*$I226/12*1,IF($J226=9,-$E226*$I226/12*2,IF($J226&gt;=10,-$E226*$I226/12*3,0))))))</f>
        <v>0</v>
      </c>
      <c r="DN226" s="412">
        <f>IF($H226&lt;&gt;DO$5,0,IF(DO226&lt;0,IF(OR($J226=1,$J226=2,$J226=3,$J226=4,$J226=5,$J226=6,$J226=7,$J226=8,$J226=9,$J226=10),-$E226*$I226/12*3,IF($J226=11,-$E226*$I226/12*2,IF($J226=12,-$E226*$I226/12*1,0)))))+IF(DJ$5&lt;&gt;$H226,0,IF(DJ226&lt;0,IF($J226=10,-$E226*$I226/12*0,IF($J226=11,-$E226*$I226/12*1,IF($J226=12,-$E226*$I226/12*2,0)))))</f>
        <v>0</v>
      </c>
      <c r="DO226" s="413">
        <f>IF(AND(DJ226&lt;&gt;0,DJ$5=$H226),-$I226*$E226-DJ226,IF(DO$5=$H226,-$I226*$E226*(12-$J226+1)/12,0))</f>
        <v>0</v>
      </c>
      <c r="DP226" s="410">
        <f>IF($H226&lt;&gt;DT$5,0,IF(DT226&lt;0,IF($J226=1,-$E226*$I226/12*3,IF($J226=2,-$E226*$I226/12*2,IF($J226=3,-$E226*$I226/12*1,0)))))+IF(DO$5&lt;&gt;$H226,0,IF(DO226&lt;0,IF($J226=1,-$E226*$I226/12*0,IF($J226=2,-$E226*$I226/12*1,IF($J226=3,-$E226*$I226/12*2,IF($J226&gt;=4,-$E226*$I226/12*3,0))))))</f>
        <v>0</v>
      </c>
      <c r="DQ226" s="416">
        <f>IF($H226&lt;&gt;DT$5,0,IF(DT226&lt;0,IF(OR($J226=1,$J226=2,$J226=3,$J226=4),-$E226*$I226/12*3,IF($J226=5,-$E226*$I226/12*2,IF($J226=6,-$E226*$I226/12*1,0)))))+IF(DO$5&lt;&gt;$H226,0,IF(DO226&lt;0,IF($J226=4,-$E226*$I226/12*0,IF($J226=5,-$E226*$I226/12*1,IF($J226=6,-$E226*$I226/12*2,IF($J226&gt;=7,-$E226*$I226/12*3,0))))))</f>
        <v>0</v>
      </c>
      <c r="DR226" s="416">
        <f>IF($H226&lt;&gt;DT$5,0,IF(DT226&lt;0,IF(OR($J226=1,$J226=2,$J226=3,$J226=4,$J226=5,$J226=6,$J226=7),-$E226*$I226/12*3,IF($J226=8,-$E226*$I226/12*2,IF($J226=9,-$E226*$I226/12*1,0)))))+IF(DO$5&lt;&gt;$H226,0,IF(DO226&lt;0,IF($J226=7,-$E226*$I226/12*0,IF($J226=8,-$E226*$I226/12*1,IF($J226=9,-$E226*$I226/12*2,IF($J226&gt;=10,-$E226*$I226/12*3,0))))))</f>
        <v>0</v>
      </c>
      <c r="DS226" s="412">
        <f>IF($H226&lt;&gt;DT$5,0,IF(DT226&lt;0,IF(OR($J226=1,$J226=2,$J226=3,$J226=4,$J226=5,$J226=6,$J226=7,$J226=8,$J226=9,$J226=10),-$E226*$I226/12*3,IF($J226=11,-$E226*$I226/12*2,IF($J226=12,-$E226*$I226/12*1,0)))))+IF(DO$5&lt;&gt;$H226,0,IF(DO226&lt;0,IF($J226=10,-$E226*$I226/12*0,IF($J226=11,-$E226*$I226/12*1,IF($J226=12,-$E226*$I226/12*2,0)))))</f>
        <v>0</v>
      </c>
      <c r="DT226" s="413">
        <f>IF(AND(DO226&lt;&gt;0,DO$5=$H226),-$I226*$E226-DO226,IF(DT$5=$H226,-$I226*$E226*(12-$J226+1)/12,0))</f>
        <v>0</v>
      </c>
    </row>
    <row r="227" spans="1:124" ht="12.75" customHeight="1">
      <c r="C227" s="1884" t="s">
        <v>1095</v>
      </c>
      <c r="D227" s="601"/>
      <c r="E227" s="1886">
        <f>IF(F227=0,G227,F227)</f>
        <v>22.4</v>
      </c>
      <c r="F227" s="1532">
        <v>0</v>
      </c>
      <c r="G227" s="1532">
        <v>22.4</v>
      </c>
      <c r="H227" s="610">
        <v>2017</v>
      </c>
      <c r="I227" s="1533">
        <v>9.58E-3</v>
      </c>
      <c r="J227" s="615">
        <v>2</v>
      </c>
      <c r="K227" s="402"/>
      <c r="L227" s="407">
        <f>IF(L$5=$H227,-$E227,0)</f>
        <v>0</v>
      </c>
      <c r="M227" s="404">
        <f>IF(Q227=0,0,IF(Q227&lt;0,IF($J227=3,Q227,IF($J227=2,Q227,IF($J227=1,Q227,0)))))</f>
        <v>0</v>
      </c>
      <c r="N227" s="414">
        <f>IF(Q227=0,0,IF(Q227&lt;0,IF($J227=6,Q227,IF($J227=5,Q227,IF($J227=4,Q227,0)))))</f>
        <v>0</v>
      </c>
      <c r="O227" s="414">
        <f>IF(Q227=0,0,IF(Q227&lt;0,IF($J227=9,Q227,IF($J227=8,Q227,IF($J227=7,Q227,0)))))</f>
        <v>0</v>
      </c>
      <c r="P227" s="406">
        <f>IF(Q227=0,0,IF(Q227&lt;0,IF($J227=12,Q227,IF($J227=11,Q227,IF($J227=10,Q227,0)))))</f>
        <v>0</v>
      </c>
      <c r="Q227" s="407">
        <f>IF(Q$5=$H227,-$E227,0)</f>
        <v>0</v>
      </c>
      <c r="R227" s="404">
        <f>IF(V227=0,0,IF(V227&lt;0,IF($J227=3,V227,IF($J227=2,V227,IF($J227=1,V227,0)))))</f>
        <v>0</v>
      </c>
      <c r="S227" s="414">
        <f>IF(V227=0,0,IF(V227&lt;0,IF($J227=6,V227,IF($J227=5,V227,IF($J227=4,V227,0)))))</f>
        <v>0</v>
      </c>
      <c r="T227" s="414">
        <f>IF(V227=0,0,IF(V227&lt;0,IF($J227=9,V227,IF($J227=8,V227,IF($J227=7,V227,0)))))</f>
        <v>0</v>
      </c>
      <c r="U227" s="406">
        <f>IF(V227=0,0,IF(V227&lt;0,IF($J227=12,V227,IF($J227=11,V227,IF($J227=10,V227,0)))))</f>
        <v>0</v>
      </c>
      <c r="V227" s="407">
        <f>IF(V$5=$H227,-$E227,0)</f>
        <v>0</v>
      </c>
      <c r="W227" s="404">
        <f>IF(AA227=0,0,IF(AA227&lt;0,IF($J227=3,AA227,IF($J227=2,AA227,IF($J227=1,AA227,0)))))</f>
        <v>0</v>
      </c>
      <c r="X227" s="414">
        <f>IF(AA227=0,0,IF(AA227&lt;0,IF($J227=6,AA227,IF($J227=5,AA227,IF($J227=4,AA227,0)))))</f>
        <v>0</v>
      </c>
      <c r="Y227" s="414">
        <f>IF(AA227=0,0,IF(AA227&lt;0,IF($J227=9,AA227,IF($J227=8,AA227,IF($J227=7,AA227,0)))))</f>
        <v>0</v>
      </c>
      <c r="Z227" s="406">
        <f>IF(AA227=0,0,IF(AA227&lt;0,IF($J227=12,AA227,IF($J227=11,AA227,IF($J227=10,AA227,0)))))</f>
        <v>0</v>
      </c>
      <c r="AA227" s="407">
        <f>IF(AA$5=$H227,-$E227,0)</f>
        <v>0</v>
      </c>
      <c r="AB227" s="404">
        <f>IF(AF227=0,0,IF(AF227&lt;0,IF($J227=3,AF227,IF($J227=2,AF227,IF($J227=1,AF227,0)))))</f>
        <v>0</v>
      </c>
      <c r="AC227" s="414">
        <f>IF(AF227=0,0,IF(AF227&lt;0,IF($J227=6,AF227,IF($J227=5,AF227,IF($J227=4,AF227,0)))))</f>
        <v>0</v>
      </c>
      <c r="AD227" s="414">
        <f>IF(AF227=0,0,IF(AF227&lt;0,IF($J227=9,AF227,IF($J227=8,AF227,IF($J227=7,AF227,0)))))</f>
        <v>0</v>
      </c>
      <c r="AE227" s="406">
        <f>IF(AF227=0,0,IF(AF227&lt;0,IF($J227=12,AF227,IF($J227=11,AF227,IF($J227=10,AF227,0)))))</f>
        <v>0</v>
      </c>
      <c r="AF227" s="407">
        <f>IF(AF$5=$H227,-$E227,0)</f>
        <v>0</v>
      </c>
      <c r="AG227" s="404">
        <f>IF(AK227=0,0,IF(AK227&lt;0,IF($J227=3,AK227,IF($J227=2,AK227,IF($J227=1,AK227,0)))))</f>
        <v>0</v>
      </c>
      <c r="AH227" s="414">
        <f>IF(AK227=0,0,IF(AK227&lt;0,IF($J227=6,AK227,IF($J227=5,AK227,IF($J227=4,AK227,0)))))</f>
        <v>0</v>
      </c>
      <c r="AI227" s="414">
        <f>IF(AK227=0,0,IF(AK227&lt;0,IF($J227=9,AK227,IF($J227=8,AK227,IF($J227=7,AK227,0)))))</f>
        <v>0</v>
      </c>
      <c r="AJ227" s="406">
        <f>IF(AK227=0,0,IF(AK227&lt;0,IF($J227=12,AK227,IF($J227=11,AK227,IF($J227=10,AK227,0)))))</f>
        <v>0</v>
      </c>
      <c r="AK227" s="407">
        <f>IF(AK$5=$H227,-$E227,0)</f>
        <v>0</v>
      </c>
      <c r="AL227" s="404">
        <f>IF(AP227=0,0,IF(AP227&lt;0,IF($J227=3,AP227,IF($J227=2,AP227,IF($J227=1,AP227,0)))))</f>
        <v>0</v>
      </c>
      <c r="AM227" s="414">
        <f>IF(AP227=0,0,IF(AP227&lt;0,IF($J227=6,AP227,IF($J227=5,AP227,IF($J227=4,AP227,0)))))</f>
        <v>0</v>
      </c>
      <c r="AN227" s="414">
        <f>IF(AP227=0,0,IF(AP227&lt;0,IF($J227=9,AP227,IF($J227=8,AP227,IF($J227=7,AP227,0)))))</f>
        <v>0</v>
      </c>
      <c r="AO227" s="406">
        <f>IF(AP227=0,0,IF(AP227&lt;0,IF($J227=12,AP227,IF($J227=11,AP227,IF($J227=10,AP227,0)))))</f>
        <v>0</v>
      </c>
      <c r="AP227" s="407">
        <f>IF(AP$5=$H227,-$E227,0)</f>
        <v>0</v>
      </c>
      <c r="AQ227" s="404">
        <f>IF(AU227=0,0,IF(AU227&lt;0,IF($J227=3,AU227,IF($J227=2,AU227,IF($J227=1,AU227,0)))))</f>
        <v>-22.4</v>
      </c>
      <c r="AR227" s="414">
        <f>IF(AU227=0,0,IF(AU227&lt;0,IF($J227=6,AU227,IF($J227=5,AU227,IF($J227=4,AU227,0)))))</f>
        <v>0</v>
      </c>
      <c r="AS227" s="414">
        <f>IF(AU227=0,0,IF(AU227&lt;0,IF($J227=9,AU227,IF($J227=8,AU227,IF($J227=7,AU227,0)))))</f>
        <v>0</v>
      </c>
      <c r="AT227" s="406">
        <f>IF(AU227=0,0,IF(AU227&lt;0,IF($J227=12,AU227,IF($J227=11,AU227,IF($J227=10,AU227,0)))))</f>
        <v>0</v>
      </c>
      <c r="AU227" s="407">
        <f>IF(AU$5=$H227,-$E227,0)</f>
        <v>-22.4</v>
      </c>
      <c r="AV227" s="404">
        <f>IF(AZ227=0,0,IF(AZ227&lt;0,IF($J227=3,AZ227,IF($J227=2,AZ227,IF($J227=1,AZ227,0)))))</f>
        <v>0</v>
      </c>
      <c r="AW227" s="414">
        <f>IF(AZ227=0,0,IF(AZ227&lt;0,IF($J227=6,AZ227,IF($J227=5,AZ227,IF($J227=4,AZ227,0)))))</f>
        <v>0</v>
      </c>
      <c r="AX227" s="414">
        <f>IF(AZ227=0,0,IF(AZ227&lt;0,IF($J227=9,AZ227,IF($J227=8,AZ227,IF($J227=7,AZ227,0)))))</f>
        <v>0</v>
      </c>
      <c r="AY227" s="406">
        <f>IF(AZ227=0,0,IF(AZ227&lt;0,IF($J227=12,AZ227,IF($J227=11,AZ227,IF($J227=10,AZ227,0)))))</f>
        <v>0</v>
      </c>
      <c r="AZ227" s="407">
        <f>IF(AZ$5=$H227,-$E227,0)</f>
        <v>0</v>
      </c>
      <c r="BA227" s="404">
        <f>IF(BE227=0,0,IF(BE227&lt;0,IF($J227=3,BE227,IF($J227=2,BE227,IF($J227=1,BE227,0)))))</f>
        <v>0</v>
      </c>
      <c r="BB227" s="414">
        <f>IF(BE227=0,0,IF(BE227&lt;0,IF($J227=6,BE227,IF($J227=5,BE227,IF($J227=4,BE227,0)))))</f>
        <v>0</v>
      </c>
      <c r="BC227" s="414">
        <f>IF(BE227=0,0,IF(BE227&lt;0,IF($J227=9,BE227,IF($J227=8,BE227,IF($J227=7,BE227,0)))))</f>
        <v>0</v>
      </c>
      <c r="BD227" s="406">
        <f>IF(BE227=0,0,IF(BE227&lt;0,IF($J227=12,BE227,IF($J227=11,BE227,IF($J227=10,BE227,0)))))</f>
        <v>0</v>
      </c>
      <c r="BE227" s="407">
        <f>IF(BE$5=$H227,-$E227,0)</f>
        <v>0</v>
      </c>
      <c r="BF227" s="404">
        <f>IF(BJ227=0,0,IF(BJ227&lt;0,IF($J227=3,BJ227,IF($J227=2,BJ227,IF($J227=1,BJ227,0)))))</f>
        <v>0</v>
      </c>
      <c r="BG227" s="414">
        <f>IF(BJ227=0,0,IF(BJ227&lt;0,IF($J227=6,BJ227,IF($J227=5,BJ227,IF($J227=4,BJ227,0)))))</f>
        <v>0</v>
      </c>
      <c r="BH227" s="414">
        <f>IF(BJ227=0,0,IF(BJ227&lt;0,IF($J227=9,BJ227,IF($J227=8,BJ227,IF($J227=7,BJ227,0)))))</f>
        <v>0</v>
      </c>
      <c r="BI227" s="406">
        <f>IF(BJ227=0,0,IF(BJ227&lt;0,IF($J227=12,BJ227,IF($J227=11,BJ227,IF($J227=10,BJ227,0)))))</f>
        <v>0</v>
      </c>
      <c r="BJ227" s="407">
        <f>IF(BJ$5=$H227,-$E227,0)</f>
        <v>0</v>
      </c>
      <c r="BK227" s="404">
        <f>IF(BO227=0,0,IF(BO227&lt;0,IF($J227=3,BO227,IF($J227=2,BO227,IF($J227=1,BO227,0)))))</f>
        <v>0</v>
      </c>
      <c r="BL227" s="414">
        <f>IF(BO227=0,0,IF(BO227&lt;0,IF($J227=6,BO227,IF($J227=5,BO227,IF($J227=4,BO227,0)))))</f>
        <v>0</v>
      </c>
      <c r="BM227" s="414">
        <f>IF(BO227=0,0,IF(BO227&lt;0,IF($J227=9,BO227,IF($J227=8,BO227,IF($J227=7,BO227,0)))))</f>
        <v>0</v>
      </c>
      <c r="BN227" s="406">
        <f>IF(BO227=0,0,IF(BO227&lt;0,IF($J227=12,BO227,IF($J227=11,BO227,IF($J227=10,BO227,0)))))</f>
        <v>0</v>
      </c>
      <c r="BO227" s="407">
        <f>IF(BO$5=$H227,-$E227,0)</f>
        <v>0</v>
      </c>
      <c r="BP227" s="449"/>
      <c r="BQ227" s="413">
        <f>IF(AND(AH227&lt;&gt;0,AH$5=$H227),-$I227*$E227-AH227,IF(BQ$5=$H227,-$I227*$E227*(12-$J227+1)/12,0))</f>
        <v>0</v>
      </c>
      <c r="BR227" s="410">
        <f>IF($H227&lt;&gt;BV$5,0,IF(BV227&lt;0,IF($J227=1,-$E227*$I227/12*3,IF($J227=2,-$E227*$I227/12*2,IF($J227=3,-$E227*$I227/12*1,0)))))+IF(BQ$5&lt;&gt;$H227,0,IF(BQ227&lt;0,IF($J227=1,-$E227*$I227/12*0,IF($J227=2,-$E227*$I227/12*1,IF($J227=3,-$E227*$I227/12*2,IF($J227&gt;=4,-$E227*$I227/12*3,0))))))</f>
        <v>0</v>
      </c>
      <c r="BS227" s="416">
        <f>IF($H227&lt;&gt;BV$5,0,IF(BV227&lt;0,IF(OR($J227=1,$J227=2,$J227=3,$J227=4),-$E227*$I227/12*3,IF($J227=5,-$E227*$I227/12*2,IF($J227=6,-$E227*$I227/12*1,0)))))+IF(BQ$5&lt;&gt;$H227,0,IF(BQ227&lt;0,IF($J227=4,-$E227*$I227/12*0,IF($J227=5,-$E227*$I227/12*1,IF($J227=6,-$E227*$I227/12*2,IF($J227&gt;=7,-$E227*$I227/12*3,0))))))</f>
        <v>0</v>
      </c>
      <c r="BT227" s="416">
        <f>IF($H227&lt;&gt;BV$5,0,IF(BV227&lt;0,IF(OR($J227=1,$J227=2,$J227=3,$J227=4,$J227=5,$J227=6,$J227=7),-$E227*$I227/12*3,IF($J227=8,-$E227*$I227/12*2,IF($J227=9,-$E227*$I227/12*1,0)))))+IF(BQ$5&lt;&gt;$H227,0,IF(BQ227&lt;0,IF($J227=7,-$E227*$I227/12*0,IF($J227=8,-$E227*$I227/12*1,IF($J227=9,-$E227*$I227/12*2,IF($J227&gt;=10,-$E227*$I227/12*3,0))))))</f>
        <v>0</v>
      </c>
      <c r="BU227" s="412">
        <f>IF($H227&lt;&gt;BV$5,0,IF(BV227&lt;0,IF(OR($J227=1,$J227=2,$J227=3,$J227=4,$J227=5,$J227=6,$J227=7,$J227=8,$J227=9,$J227=10),-$E227*$I227/12*3,IF($J227=11,-$E227*$I227/12*2,IF($J227=12,-$E227*$I227/12*1,0)))))+IF(BQ$5&lt;&gt;$H227,0,IF(BQ227&lt;0,IF($J227=10,-$E227*$I227/12*0,IF($J227=11,-$E227*$I227/12*1,IF($J227=12,-$E227*$I227/12*2,0)))))</f>
        <v>0</v>
      </c>
      <c r="BV227" s="413">
        <f>IF(AND(BQ227&lt;&gt;0,BQ$5=$H227),-$I227*$E227-BQ227,IF(BV$5=$H227,-$I227*$E227*(12-$J227+1)/12,0))</f>
        <v>0</v>
      </c>
      <c r="BW227" s="410">
        <f>IF($H227&lt;&gt;CA$5,0,IF(CA227&lt;0,IF($J227=1,-$E227*$I227/12*3,IF($J227=2,-$E227*$I227/12*2,IF($J227=3,-$E227*$I227/12*1,0)))))+IF(BV$5&lt;&gt;$H227,0,IF(BV227&lt;0,IF($J227=1,-$E227*$I227/12*0,IF($J227=2,-$E227*$I227/12*1,IF($J227=3,-$E227*$I227/12*2,IF($J227&gt;=4,-$E227*$I227/12*3,0))))))</f>
        <v>0</v>
      </c>
      <c r="BX227" s="416">
        <f>IF($H227&lt;&gt;CA$5,0,IF(CA227&lt;0,IF(OR($J227=1,$J227=2,$J227=3,$J227=4),-$E227*$I227/12*3,IF($J227=5,-$E227*$I227/12*2,IF($J227=6,-$E227*$I227/12*1,0)))))+IF(BV$5&lt;&gt;$H227,0,IF(BV227&lt;0,IF($J227=4,-$E227*$I227/12*0,IF($J227=5,-$E227*$I227/12*1,IF($J227=6,-$E227*$I227/12*2,IF($J227&gt;=7,-$E227*$I227/12*3,0))))))</f>
        <v>0</v>
      </c>
      <c r="BY227" s="416">
        <f>IF($H227&lt;&gt;CA$5,0,IF(CA227&lt;0,IF(OR($J227=1,$J227=2,$J227=3,$J227=4,$J227=5,$J227=6,$J227=7),-$E227*$I227/12*3,IF($J227=8,-$E227*$I227/12*2,IF($J227=9,-$E227*$I227/12*1,0)))))+IF(BV$5&lt;&gt;$H227,0,IF(BV227&lt;0,IF($J227=7,-$E227*$I227/12*0,IF($J227=8,-$E227*$I227/12*1,IF($J227=9,-$E227*$I227/12*2,IF($J227&gt;=10,-$E227*$I227/12*3,0))))))</f>
        <v>0</v>
      </c>
      <c r="BZ227" s="412">
        <f>IF($H227&lt;&gt;CA$5,0,IF(CA227&lt;0,IF(OR($J227=1,$J227=2,$J227=3,$J227=4,$J227=5,$J227=6,$J227=7,$J227=8,$J227=9,$J227=10),-$E227*$I227/12*3,IF($J227=11,-$E227*$I227/12*2,IF($J227=12,-$E227*$I227/12*1,0)))))+IF(BV$5&lt;&gt;$H227,0,IF(BV227&lt;0,IF($J227=10,-$E227*$I227/12*0,IF($J227=11,-$E227*$I227/12*1,IF($J227=12,-$E227*$I227/12*2,0)))))</f>
        <v>0</v>
      </c>
      <c r="CA227" s="413">
        <f>IF(AND(BV227&lt;&gt;0,BV$5=$H227),-$I227*$E227-BV227,IF(CA$5=$H227,-$I227*$E227*(12-$J227+1)/12,0))</f>
        <v>0</v>
      </c>
      <c r="CB227" s="410">
        <f>IF($H227&lt;&gt;CF$5,0,IF(CF227&lt;0,IF($J227=1,-$E227*$I227/12*3,IF($J227=2,-$E227*$I227/12*2,IF($J227=3,-$E227*$I227/12*1,0)))))+IF(CA$5&lt;&gt;$H227,0,IF(CA227&lt;0,IF($J227=1,-$E227*$I227/12*0,IF($J227=2,-$E227*$I227/12*1,IF($J227=3,-$E227*$I227/12*2,IF($J227&gt;=4,-$E227*$I227/12*3,0))))))</f>
        <v>0</v>
      </c>
      <c r="CC227" s="416">
        <f>IF($H227&lt;&gt;CF$5,0,IF(CF227&lt;0,IF(OR($J227=1,$J227=2,$J227=3,$J227=4),-$E227*$I227/12*3,IF($J227=5,-$E227*$I227/12*2,IF($J227=6,-$E227*$I227/12*1,0)))))+IF(CA$5&lt;&gt;$H227,0,IF(CA227&lt;0,IF($J227=4,-$E227*$I227/12*0,IF($J227=5,-$E227*$I227/12*1,IF($J227=6,-$E227*$I227/12*2,IF($J227&gt;=7,-$E227*$I227/12*3,0))))))</f>
        <v>0</v>
      </c>
      <c r="CD227" s="416">
        <f>IF($H227&lt;&gt;CF$5,0,IF(CF227&lt;0,IF(OR($J227=1,$J227=2,$J227=3,$J227=4,$J227=5,$J227=6,$J227=7),-$E227*$I227/12*3,IF($J227=8,-$E227*$I227/12*2,IF($J227=9,-$E227*$I227/12*1,0)))))+IF(CA$5&lt;&gt;$H227,0,IF(CA227&lt;0,IF($J227=7,-$E227*$I227/12*0,IF($J227=8,-$E227*$I227/12*1,IF($J227=9,-$E227*$I227/12*2,IF($J227&gt;=10,-$E227*$I227/12*3,0))))))</f>
        <v>0</v>
      </c>
      <c r="CE227" s="412">
        <f>IF($H227&lt;&gt;CF$5,0,IF(CF227&lt;0,IF(OR($J227=1,$J227=2,$J227=3,$J227=4,$J227=5,$J227=6,$J227=7,$J227=8,$J227=9,$J227=10),-$E227*$I227/12*3,IF($J227=11,-$E227*$I227/12*2,IF($J227=12,-$E227*$I227/12*1,0)))))+IF(CA$5&lt;&gt;$H227,0,IF(CA227&lt;0,IF($J227=10,-$E227*$I227/12*0,IF($J227=11,-$E227*$I227/12*1,IF($J227=12,-$E227*$I227/12*2,0)))))</f>
        <v>0</v>
      </c>
      <c r="CF227" s="413">
        <f>IF(AND(CA227&lt;&gt;0,CA$5=$H227),-$I227*$E227-CA227,IF(CF$5=$H227,-$I227*$E227*(12-$J227+1)/12,0))</f>
        <v>0</v>
      </c>
      <c r="CG227" s="410">
        <f>IF($H227&lt;&gt;CK$5,0,IF(CK227&lt;0,IF($J227=1,-$E227*$I227/12*3,IF($J227=2,-$E227*$I227/12*2,IF($J227=3,-$E227*$I227/12*1,0)))))+IF(CF$5&lt;&gt;$H227,0,IF(CF227&lt;0,IF($J227=1,-$E227*$I227/12*0,IF($J227=2,-$E227*$I227/12*1,IF($J227=3,-$E227*$I227/12*2,IF($J227&gt;=4,-$E227*$I227/12*3,0))))))</f>
        <v>0</v>
      </c>
      <c r="CH227" s="416">
        <f>IF($H227&lt;&gt;CK$5,0,IF(CK227&lt;0,IF(OR($J227=1,$J227=2,$J227=3,$J227=4),-$E227*$I227/12*3,IF($J227=5,-$E227*$I227/12*2,IF($J227=6,-$E227*$I227/12*1,0)))))+IF(CF$5&lt;&gt;$H227,0,IF(CF227&lt;0,IF($J227=4,-$E227*$I227/12*0,IF($J227=5,-$E227*$I227/12*1,IF($J227=6,-$E227*$I227/12*2,IF($J227&gt;=7,-$E227*$I227/12*3,0))))))</f>
        <v>0</v>
      </c>
      <c r="CI227" s="416">
        <f>IF($H227&lt;&gt;CK$5,0,IF(CK227&lt;0,IF(OR($J227=1,$J227=2,$J227=3,$J227=4,$J227=5,$J227=6,$J227=7),-$E227*$I227/12*3,IF($J227=8,-$E227*$I227/12*2,IF($J227=9,-$E227*$I227/12*1,0)))))+IF(CF$5&lt;&gt;$H227,0,IF(CF227&lt;0,IF($J227=7,-$E227*$I227/12*0,IF($J227=8,-$E227*$I227/12*1,IF($J227=9,-$E227*$I227/12*2,IF($J227&gt;=10,-$E227*$I227/12*3,0))))))</f>
        <v>0</v>
      </c>
      <c r="CJ227" s="412">
        <f>IF($H227&lt;&gt;CK$5,0,IF(CK227&lt;0,IF(OR($J227=1,$J227=2,$J227=3,$J227=4,$J227=5,$J227=6,$J227=7,$J227=8,$J227=9,$J227=10),-$E227*$I227/12*3,IF($J227=11,-$E227*$I227/12*2,IF($J227=12,-$E227*$I227/12*1,0)))))+IF(CF$5&lt;&gt;$H227,0,IF(CF227&lt;0,IF($J227=10,-$E227*$I227/12*0,IF($J227=11,-$E227*$I227/12*1,IF($J227=12,-$E227*$I227/12*2,0)))))</f>
        <v>0</v>
      </c>
      <c r="CK227" s="413">
        <f>IF(AND(CF227&lt;&gt;0,CF$5=$H227),-$I227*$E227-CF227,IF(CK$5=$H227,-$I227*$E227*(12-$J227+1)/12,0))</f>
        <v>0</v>
      </c>
      <c r="CL227" s="410">
        <f>IF($H227&lt;&gt;CP$5,0,IF(CP227&lt;0,IF($J227=1,-$E227*$I227/12*3,IF($J227=2,-$E227*$I227/12*2,IF($J227=3,-$E227*$I227/12*1,0)))))+IF(CK$5&lt;&gt;$H227,0,IF(CK227&lt;0,IF($J227=1,-$E227*$I227/12*0,IF($J227=2,-$E227*$I227/12*1,IF($J227=3,-$E227*$I227/12*2,IF($J227&gt;=4,-$E227*$I227/12*3,0))))))</f>
        <v>0</v>
      </c>
      <c r="CM227" s="416">
        <f>IF($H227&lt;&gt;CP$5,0,IF(CP227&lt;0,IF(OR($J227=1,$J227=2,$J227=3,$J227=4),-$E227*$I227/12*3,IF($J227=5,-$E227*$I227/12*2,IF($J227=6,-$E227*$I227/12*1,0)))))+IF(CK$5&lt;&gt;$H227,0,IF(CK227&lt;0,IF($J227=4,-$E227*$I227/12*0,IF($J227=5,-$E227*$I227/12*1,IF($J227=6,-$E227*$I227/12*2,IF($J227&gt;=7,-$E227*$I227/12*3,0))))))</f>
        <v>0</v>
      </c>
      <c r="CN227" s="416">
        <f>IF($H227&lt;&gt;CP$5,0,IF(CP227&lt;0,IF(OR($J227=1,$J227=2,$J227=3,$J227=4,$J227=5,$J227=6,$J227=7),-$E227*$I227/12*3,IF($J227=8,-$E227*$I227/12*2,IF($J227=9,-$E227*$I227/12*1,0)))))+IF(CK$5&lt;&gt;$H227,0,IF(CK227&lt;0,IF($J227=7,-$E227*$I227/12*0,IF($J227=8,-$E227*$I227/12*1,IF($J227=9,-$E227*$I227/12*2,IF($J227&gt;=10,-$E227*$I227/12*3,0))))))</f>
        <v>0</v>
      </c>
      <c r="CO227" s="412">
        <f>IF($H227&lt;&gt;CP$5,0,IF(CP227&lt;0,IF(OR($J227=1,$J227=2,$J227=3,$J227=4,$J227=5,$J227=6,$J227=7,$J227=8,$J227=9,$J227=10),-$E227*$I227/12*3,IF($J227=11,-$E227*$I227/12*2,IF($J227=12,-$E227*$I227/12*1,0)))))+IF(CK$5&lt;&gt;$H227,0,IF(CK227&lt;0,IF($J227=10,-$E227*$I227/12*0,IF($J227=11,-$E227*$I227/12*1,IF($J227=12,-$E227*$I227/12*2,0)))))</f>
        <v>0</v>
      </c>
      <c r="CP227" s="413">
        <f>IF(AND(CK227&lt;&gt;0,CK$5=$H227),-$I227*$E227-CK227,IF(CP$5=$H227,-$I227*$E227*(12-$J227+1)/12,0))</f>
        <v>0</v>
      </c>
      <c r="CQ227" s="410">
        <f>IF($H227&lt;&gt;CU$5,0,IF(CU227&lt;0,IF($J227=1,-$E227*$I227/12*3,IF($J227=2,-$E227*$I227/12*2,IF($J227=3,-$E227*$I227/12*1,0)))))+IF(CP$5&lt;&gt;$H227,0,IF(CP227&lt;0,IF($J227=1,-$E227*$I227/12*0,IF($J227=2,-$E227*$I227/12*1,IF($J227=3,-$E227*$I227/12*2,IF($J227&gt;=4,-$E227*$I227/12*3,0))))))</f>
        <v>0</v>
      </c>
      <c r="CR227" s="416">
        <f>IF($H227&lt;&gt;CU$5,0,IF(CU227&lt;0,IF(OR($J227=1,$J227=2,$J227=3,$J227=4),-$E227*$I227/12*3,IF($J227=5,-$E227*$I227/12*2,IF($J227=6,-$E227*$I227/12*1,0)))))+IF(CP$5&lt;&gt;$H227,0,IF(CP227&lt;0,IF($J227=4,-$E227*$I227/12*0,IF($J227=5,-$E227*$I227/12*1,IF($J227=6,-$E227*$I227/12*2,IF($J227&gt;=7,-$E227*$I227/12*3,0))))))</f>
        <v>0</v>
      </c>
      <c r="CS227" s="416">
        <f>IF($H227&lt;&gt;CU$5,0,IF(CU227&lt;0,IF(OR($J227=1,$J227=2,$J227=3,$J227=4,$J227=5,$J227=6,$J227=7),-$E227*$I227/12*3,IF($J227=8,-$E227*$I227/12*2,IF($J227=9,-$E227*$I227/12*1,0)))))+IF(CP$5&lt;&gt;$H227,0,IF(CP227&lt;0,IF($J227=7,-$E227*$I227/12*0,IF($J227=8,-$E227*$I227/12*1,IF($J227=9,-$E227*$I227/12*2,IF($J227&gt;=10,-$E227*$I227/12*3,0))))))</f>
        <v>0</v>
      </c>
      <c r="CT227" s="412">
        <f>IF($H227&lt;&gt;CU$5,0,IF(CU227&lt;0,IF(OR($J227=1,$J227=2,$J227=3,$J227=4,$J227=5,$J227=6,$J227=7,$J227=8,$J227=9,$J227=10),-$E227*$I227/12*3,IF($J227=11,-$E227*$I227/12*2,IF($J227=12,-$E227*$I227/12*1,0)))))+IF(CP$5&lt;&gt;$H227,0,IF(CP227&lt;0,IF($J227=10,-$E227*$I227/12*0,IF($J227=11,-$E227*$I227/12*1,IF($J227=12,-$E227*$I227/12*2,0)))))</f>
        <v>0</v>
      </c>
      <c r="CU227" s="413">
        <f>IF(AND(CP227&lt;&gt;0,CP$5=$H227),-$I227*$E227-CP227,IF(CU$5=$H227,-$I227*$E227*(12-$J227+1)/12,0))</f>
        <v>0</v>
      </c>
      <c r="CV227" s="410">
        <f>IF($H227&lt;&gt;CZ$5,0,IF(CZ227&lt;0,IF($J227=1,-$E227*$I227/12*3,IF($J227=2,-$E227*$I227/12*2,IF($J227=3,-$E227*$I227/12*1,0)))))+IF(CU$5&lt;&gt;$H227,0,IF(CU227&lt;0,IF($J227=1,-$E227*$I227/12*0,IF($J227=2,-$E227*$I227/12*1,IF($J227=3,-$E227*$I227/12*2,IF($J227&gt;=4,-$E227*$I227/12*3,0))))))</f>
        <v>-3.576533333333333E-2</v>
      </c>
      <c r="CW227" s="416">
        <f>IF($H227&lt;&gt;CZ$5,0,IF(CZ227&lt;0,IF(OR($J227=1,$J227=2,$J227=3,$J227=4),-$E227*$I227/12*3,IF($J227=5,-$E227*$I227/12*2,IF($J227=6,-$E227*$I227/12*1,0)))))+IF(CU$5&lt;&gt;$H227,0,IF(CU227&lt;0,IF($J227=4,-$E227*$I227/12*0,IF($J227=5,-$E227*$I227/12*1,IF($J227=6,-$E227*$I227/12*2,IF($J227&gt;=7,-$E227*$I227/12*3,0))))))</f>
        <v>-5.3647999999999994E-2</v>
      </c>
      <c r="CX227" s="416">
        <f>IF($H227&lt;&gt;CZ$5,0,IF(CZ227&lt;0,IF(OR($J227=1,$J227=2,$J227=3,$J227=4,$J227=5,$J227=6,$J227=7),-$E227*$I227/12*3,IF($J227=8,-$E227*$I227/12*2,IF($J227=9,-$E227*$I227/12*1,0)))))+IF(CU$5&lt;&gt;$H227,0,IF(CU227&lt;0,IF($J227=7,-$E227*$I227/12*0,IF($J227=8,-$E227*$I227/12*1,IF($J227=9,-$E227*$I227/12*2,IF($J227&gt;=10,-$E227*$I227/12*3,0))))))</f>
        <v>-5.3647999999999994E-2</v>
      </c>
      <c r="CY227" s="412">
        <f>IF($H227&lt;&gt;CZ$5,0,IF(CZ227&lt;0,IF(OR($J227=1,$J227=2,$J227=3,$J227=4,$J227=5,$J227=6,$J227=7,$J227=8,$J227=9,$J227=10),-$E227*$I227/12*3,IF($J227=11,-$E227*$I227/12*2,IF($J227=12,-$E227*$I227/12*1,0)))))+IF(CU$5&lt;&gt;$H227,0,IF(CU227&lt;0,IF($J227=10,-$E227*$I227/12*0,IF($J227=11,-$E227*$I227/12*1,IF($J227=12,-$E227*$I227/12*2,0)))))</f>
        <v>-5.3647999999999994E-2</v>
      </c>
      <c r="CZ227" s="413">
        <f>IF(AND(CU227&lt;&gt;0,CU$5=$H227),-$I227*$E227-CU227,IF(CZ$5=$H227,-$I227*$E227*(12-$J227+1)/12,0))</f>
        <v>-0.19670933333333332</v>
      </c>
      <c r="DA227" s="410">
        <f>IF($H227&lt;&gt;DE$5,0,IF(DE227&lt;0,IF($J227=1,-$E227*$I227/12*3,IF($J227=2,-$E227*$I227/12*2,IF($J227=3,-$E227*$I227/12*1,0)))))+IF(CZ$5&lt;&gt;$H227,0,IF(CZ227&lt;0,IF($J227=1,-$E227*$I227/12*0,IF($J227=2,-$E227*$I227/12*1,IF($J227=3,-$E227*$I227/12*2,IF($J227&gt;=4,-$E227*$I227/12*3,0))))))</f>
        <v>-1.7882666666666665E-2</v>
      </c>
      <c r="DB227" s="416">
        <f>IF($H227&lt;&gt;DE$5,0,IF(DE227&lt;0,IF(OR($J227=1,$J227=2,$J227=3,$J227=4),-$E227*$I227/12*3,IF($J227=5,-$E227*$I227/12*2,IF($J227=6,-$E227*$I227/12*1,0)))))+IF(CZ$5&lt;&gt;$H227,0,IF(CZ227&lt;0,IF($J227=4,-$E227*$I227/12*0,IF($J227=5,-$E227*$I227/12*1,IF($J227=6,-$E227*$I227/12*2,IF($J227&gt;=7,-$E227*$I227/12*3,0))))))</f>
        <v>0</v>
      </c>
      <c r="DC227" s="416">
        <f>IF($H227&lt;&gt;DE$5,0,IF(DE227&lt;0,IF(OR($J227=1,$J227=2,$J227=3,$J227=4,$J227=5,$J227=6,$J227=7),-$E227*$I227/12*3,IF($J227=8,-$E227*$I227/12*2,IF($J227=9,-$E227*$I227/12*1,0)))))+IF(CZ$5&lt;&gt;$H227,0,IF(CZ227&lt;0,IF($J227=7,-$E227*$I227/12*0,IF($J227=8,-$E227*$I227/12*1,IF($J227=9,-$E227*$I227/12*2,IF($J227&gt;=10,-$E227*$I227/12*3,0))))))</f>
        <v>0</v>
      </c>
      <c r="DD227" s="412">
        <f>IF($H227&lt;&gt;DE$5,0,IF(DE227&lt;0,IF(OR($J227=1,$J227=2,$J227=3,$J227=4,$J227=5,$J227=6,$J227=7,$J227=8,$J227=9,$J227=10),-$E227*$I227/12*3,IF($J227=11,-$E227*$I227/12*2,IF($J227=12,-$E227*$I227/12*1,0)))))+IF(CZ$5&lt;&gt;$H227,0,IF(CZ227&lt;0,IF($J227=10,-$E227*$I227/12*0,IF($J227=11,-$E227*$I227/12*1,IF($J227=12,-$E227*$I227/12*2,0)))))</f>
        <v>0</v>
      </c>
      <c r="DE227" s="413">
        <f>IF(AND(CZ227&lt;&gt;0,CZ$5=$H227),-$I227*$E227-CZ227,IF(DE$5=$H227,-$I227*$E227*(12-$J227+1)/12,0))</f>
        <v>-1.7882666666666658E-2</v>
      </c>
      <c r="DF227" s="410">
        <f>IF($H227&lt;&gt;DJ$5,0,IF(DJ227&lt;0,IF($J227=1,-$E227*$I227/12*3,IF($J227=2,-$E227*$I227/12*2,IF($J227=3,-$E227*$I227/12*1,0)))))+IF(DE$5&lt;&gt;$H227,0,IF(DE227&lt;0,IF($J227=1,-$E227*$I227/12*0,IF($J227=2,-$E227*$I227/12*1,IF($J227=3,-$E227*$I227/12*2,IF($J227&gt;=4,-$E227*$I227/12*3,0))))))</f>
        <v>0</v>
      </c>
      <c r="DG227" s="416">
        <f>IF($H227&lt;&gt;DJ$5,0,IF(DJ227&lt;0,IF(OR($J227=1,$J227=2,$J227=3,$J227=4),-$E227*$I227/12*3,IF($J227=5,-$E227*$I227/12*2,IF($J227=6,-$E227*$I227/12*1,0)))))+IF(DE$5&lt;&gt;$H227,0,IF(DE227&lt;0,IF($J227=4,-$E227*$I227/12*0,IF($J227=5,-$E227*$I227/12*1,IF($J227=6,-$E227*$I227/12*2,IF($J227&gt;=7,-$E227*$I227/12*3,0))))))</f>
        <v>0</v>
      </c>
      <c r="DH227" s="416">
        <f>IF($H227&lt;&gt;DJ$5,0,IF(DJ227&lt;0,IF(OR($J227=1,$J227=2,$J227=3,$J227=4,$J227=5,$J227=6,$J227=7),-$E227*$I227/12*3,IF($J227=8,-$E227*$I227/12*2,IF($J227=9,-$E227*$I227/12*1,0)))))+IF(DE$5&lt;&gt;$H227,0,IF(DE227&lt;0,IF($J227=7,-$E227*$I227/12*0,IF($J227=8,-$E227*$I227/12*1,IF($J227=9,-$E227*$I227/12*2,IF($J227&gt;=10,-$E227*$I227/12*3,0))))))</f>
        <v>0</v>
      </c>
      <c r="DI227" s="412">
        <f>IF($H227&lt;&gt;DJ$5,0,IF(DJ227&lt;0,IF(OR($J227=1,$J227=2,$J227=3,$J227=4,$J227=5,$J227=6,$J227=7,$J227=8,$J227=9,$J227=10),-$E227*$I227/12*3,IF($J227=11,-$E227*$I227/12*2,IF($J227=12,-$E227*$I227/12*1,0)))))+IF(DE$5&lt;&gt;$H227,0,IF(DE227&lt;0,IF($J227=10,-$E227*$I227/12*0,IF($J227=11,-$E227*$I227/12*1,IF($J227=12,-$E227*$I227/12*2,0)))))</f>
        <v>0</v>
      </c>
      <c r="DJ227" s="413">
        <f>IF(AND(DE227&lt;&gt;0,DE$5=$H227),-$I227*$E227-DE227,IF(DJ$5=$H227,-$I227*$E227*(12-$J227+1)/12,0))</f>
        <v>0</v>
      </c>
      <c r="DK227" s="410">
        <f>IF($H227&lt;&gt;DO$5,0,IF(DO227&lt;0,IF($J227=1,-$E227*$I227/12*3,IF($J227=2,-$E227*$I227/12*2,IF($J227=3,-$E227*$I227/12*1,0)))))+IF(DJ$5&lt;&gt;$H227,0,IF(DJ227&lt;0,IF($J227=1,-$E227*$I227/12*0,IF($J227=2,-$E227*$I227/12*1,IF($J227=3,-$E227*$I227/12*2,IF($J227&gt;=4,-$E227*$I227/12*3,0))))))</f>
        <v>0</v>
      </c>
      <c r="DL227" s="416">
        <f>IF($H227&lt;&gt;DO$5,0,IF(DO227&lt;0,IF(OR($J227=1,$J227=2,$J227=3,$J227=4),-$E227*$I227/12*3,IF($J227=5,-$E227*$I227/12*2,IF($J227=6,-$E227*$I227/12*1,0)))))+IF(DJ$5&lt;&gt;$H227,0,IF(DJ227&lt;0,IF($J227=4,-$E227*$I227/12*0,IF($J227=5,-$E227*$I227/12*1,IF($J227=6,-$E227*$I227/12*2,IF($J227&gt;=7,-$E227*$I227/12*3,0))))))</f>
        <v>0</v>
      </c>
      <c r="DM227" s="416">
        <f>IF($H227&lt;&gt;DO$5,0,IF(DO227&lt;0,IF(OR($J227=1,$J227=2,$J227=3,$J227=4,$J227=5,$J227=6,$J227=7),-$E227*$I227/12*3,IF($J227=8,-$E227*$I227/12*2,IF($J227=9,-$E227*$I227/12*1,0)))))+IF(DJ$5&lt;&gt;$H227,0,IF(DJ227&lt;0,IF($J227=7,-$E227*$I227/12*0,IF($J227=8,-$E227*$I227/12*1,IF($J227=9,-$E227*$I227/12*2,IF($J227&gt;=10,-$E227*$I227/12*3,0))))))</f>
        <v>0</v>
      </c>
      <c r="DN227" s="412">
        <f>IF($H227&lt;&gt;DO$5,0,IF(DO227&lt;0,IF(OR($J227=1,$J227=2,$J227=3,$J227=4,$J227=5,$J227=6,$J227=7,$J227=8,$J227=9,$J227=10),-$E227*$I227/12*3,IF($J227=11,-$E227*$I227/12*2,IF($J227=12,-$E227*$I227/12*1,0)))))+IF(DJ$5&lt;&gt;$H227,0,IF(DJ227&lt;0,IF($J227=10,-$E227*$I227/12*0,IF($J227=11,-$E227*$I227/12*1,IF($J227=12,-$E227*$I227/12*2,0)))))</f>
        <v>0</v>
      </c>
      <c r="DO227" s="413">
        <f>IF(AND(DJ227&lt;&gt;0,DJ$5=$H227),-$I227*$E227-DJ227,IF(DO$5=$H227,-$I227*$E227*(12-$J227+1)/12,0))</f>
        <v>0</v>
      </c>
      <c r="DP227" s="410">
        <f>IF($H227&lt;&gt;DT$5,0,IF(DT227&lt;0,IF($J227=1,-$E227*$I227/12*3,IF($J227=2,-$E227*$I227/12*2,IF($J227=3,-$E227*$I227/12*1,0)))))+IF(DO$5&lt;&gt;$H227,0,IF(DO227&lt;0,IF($J227=1,-$E227*$I227/12*0,IF($J227=2,-$E227*$I227/12*1,IF($J227=3,-$E227*$I227/12*2,IF($J227&gt;=4,-$E227*$I227/12*3,0))))))</f>
        <v>0</v>
      </c>
      <c r="DQ227" s="416">
        <f>IF($H227&lt;&gt;DT$5,0,IF(DT227&lt;0,IF(OR($J227=1,$J227=2,$J227=3,$J227=4),-$E227*$I227/12*3,IF($J227=5,-$E227*$I227/12*2,IF($J227=6,-$E227*$I227/12*1,0)))))+IF(DO$5&lt;&gt;$H227,0,IF(DO227&lt;0,IF($J227=4,-$E227*$I227/12*0,IF($J227=5,-$E227*$I227/12*1,IF($J227=6,-$E227*$I227/12*2,IF($J227&gt;=7,-$E227*$I227/12*3,0))))))</f>
        <v>0</v>
      </c>
      <c r="DR227" s="416">
        <f>IF($H227&lt;&gt;DT$5,0,IF(DT227&lt;0,IF(OR($J227=1,$J227=2,$J227=3,$J227=4,$J227=5,$J227=6,$J227=7),-$E227*$I227/12*3,IF($J227=8,-$E227*$I227/12*2,IF($J227=9,-$E227*$I227/12*1,0)))))+IF(DO$5&lt;&gt;$H227,0,IF(DO227&lt;0,IF($J227=7,-$E227*$I227/12*0,IF($J227=8,-$E227*$I227/12*1,IF($J227=9,-$E227*$I227/12*2,IF($J227&gt;=10,-$E227*$I227/12*3,0))))))</f>
        <v>0</v>
      </c>
      <c r="DS227" s="412">
        <f>IF($H227&lt;&gt;DT$5,0,IF(DT227&lt;0,IF(OR($J227=1,$J227=2,$J227=3,$J227=4,$J227=5,$J227=6,$J227=7,$J227=8,$J227=9,$J227=10),-$E227*$I227/12*3,IF($J227=11,-$E227*$I227/12*2,IF($J227=12,-$E227*$I227/12*1,0)))))+IF(DO$5&lt;&gt;$H227,0,IF(DO227&lt;0,IF($J227=10,-$E227*$I227/12*0,IF($J227=11,-$E227*$I227/12*1,IF($J227=12,-$E227*$I227/12*2,0)))))</f>
        <v>0</v>
      </c>
      <c r="DT227" s="413">
        <f>IF(AND(DO227&lt;&gt;0,DO$5=$H227),-$I227*$E227-DO227,IF(DT$5=$H227,-$I227*$E227*(12-$J227+1)/12,0))</f>
        <v>0</v>
      </c>
    </row>
    <row r="228" spans="1:124" ht="12.75" customHeight="1">
      <c r="C228" s="601" t="s">
        <v>1096</v>
      </c>
      <c r="D228" s="601"/>
      <c r="E228" s="1886">
        <f>IF(F228=0,G228,F228)</f>
        <v>94.878310999999997</v>
      </c>
      <c r="F228" s="1532">
        <v>94.878310999999997</v>
      </c>
      <c r="G228" s="1532">
        <f>102.508</f>
        <v>102.508</v>
      </c>
      <c r="H228" s="610">
        <v>2019</v>
      </c>
      <c r="I228" s="1533">
        <v>2.0490000000000001E-2</v>
      </c>
      <c r="J228" s="615">
        <v>7</v>
      </c>
      <c r="K228" s="402"/>
      <c r="L228" s="407">
        <f>IF(L$5=$H228,-$E228,0)</f>
        <v>0</v>
      </c>
      <c r="M228" s="404">
        <f>IF(Q228=0,0,IF(Q228&lt;0,IF($J228=3,Q228,IF($J228=2,Q228,IF($J228=1,Q228,0)))))</f>
        <v>0</v>
      </c>
      <c r="N228" s="414">
        <f>IF(Q228=0,0,IF(Q228&lt;0,IF($J228=6,Q228,IF($J228=5,Q228,IF($J228=4,Q228,0)))))</f>
        <v>0</v>
      </c>
      <c r="O228" s="414">
        <f>IF(Q228=0,0,IF(Q228&lt;0,IF($J228=9,Q228,IF($J228=8,Q228,IF($J228=7,Q228,0)))))</f>
        <v>0</v>
      </c>
      <c r="P228" s="406">
        <f>IF(Q228=0,0,IF(Q228&lt;0,IF($J228=12,Q228,IF($J228=11,Q228,IF($J228=10,Q228,0)))))</f>
        <v>0</v>
      </c>
      <c r="Q228" s="407">
        <f>IF(Q$5=$H228,-$E228,0)</f>
        <v>0</v>
      </c>
      <c r="R228" s="404">
        <f>IF(V228=0,0,IF(V228&lt;0,IF($J228=3,V228,IF($J228=2,V228,IF($J228=1,V228,0)))))</f>
        <v>0</v>
      </c>
      <c r="S228" s="414">
        <f>IF(V228=0,0,IF(V228&lt;0,IF($J228=6,V228,IF($J228=5,V228,IF($J228=4,V228,0)))))</f>
        <v>0</v>
      </c>
      <c r="T228" s="414">
        <f>IF(V228=0,0,IF(V228&lt;0,IF($J228=9,V228,IF($J228=8,V228,IF($J228=7,V228,0)))))</f>
        <v>0</v>
      </c>
      <c r="U228" s="406">
        <f>IF(V228=0,0,IF(V228&lt;0,IF($J228=12,V228,IF($J228=11,V228,IF($J228=10,V228,0)))))</f>
        <v>0</v>
      </c>
      <c r="V228" s="407">
        <f>IF(V$5=$H228,-$E228,0)</f>
        <v>0</v>
      </c>
      <c r="W228" s="404">
        <f>IF(AA228=0,0,IF(AA228&lt;0,IF($J228=3,AA228,IF($J228=2,AA228,IF($J228=1,AA228,0)))))</f>
        <v>0</v>
      </c>
      <c r="X228" s="414">
        <f>IF(AA228=0,0,IF(AA228&lt;0,IF($J228=6,AA228,IF($J228=5,AA228,IF($J228=4,AA228,0)))))</f>
        <v>0</v>
      </c>
      <c r="Y228" s="414">
        <f>IF(AA228=0,0,IF(AA228&lt;0,IF($J228=9,AA228,IF($J228=8,AA228,IF($J228=7,AA228,0)))))</f>
        <v>0</v>
      </c>
      <c r="Z228" s="406">
        <f>IF(AA228=0,0,IF(AA228&lt;0,IF($J228=12,AA228,IF($J228=11,AA228,IF($J228=10,AA228,0)))))</f>
        <v>0</v>
      </c>
      <c r="AA228" s="407">
        <f>IF(AA$5=$H228,-$E228,0)</f>
        <v>0</v>
      </c>
      <c r="AB228" s="404">
        <f>IF(AF228=0,0,IF(AF228&lt;0,IF($J228=3,AF228,IF($J228=2,AF228,IF($J228=1,AF228,0)))))</f>
        <v>0</v>
      </c>
      <c r="AC228" s="414">
        <f>IF(AF228=0,0,IF(AF228&lt;0,IF($J228=6,AF228,IF($J228=5,AF228,IF($J228=4,AF228,0)))))</f>
        <v>0</v>
      </c>
      <c r="AD228" s="414">
        <f>IF(AF228=0,0,IF(AF228&lt;0,IF($J228=9,AF228,IF($J228=8,AF228,IF($J228=7,AF228,0)))))</f>
        <v>0</v>
      </c>
      <c r="AE228" s="406">
        <f>IF(AF228=0,0,IF(AF228&lt;0,IF($J228=12,AF228,IF($J228=11,AF228,IF($J228=10,AF228,0)))))</f>
        <v>0</v>
      </c>
      <c r="AF228" s="407">
        <f>IF(AF$5=$H228,-$E228,0)</f>
        <v>0</v>
      </c>
      <c r="AG228" s="404">
        <f>IF(AK228=0,0,IF(AK228&lt;0,IF($J228=3,AK228,IF($J228=2,AK228,IF($J228=1,AK228,0)))))</f>
        <v>0</v>
      </c>
      <c r="AH228" s="414">
        <f>IF(AK228=0,0,IF(AK228&lt;0,IF($J228=6,AK228,IF($J228=5,AK228,IF($J228=4,AK228,0)))))</f>
        <v>0</v>
      </c>
      <c r="AI228" s="414">
        <f>IF(AK228=0,0,IF(AK228&lt;0,IF($J228=9,AK228,IF($J228=8,AK228,IF($J228=7,AK228,0)))))</f>
        <v>0</v>
      </c>
      <c r="AJ228" s="406">
        <f>IF(AK228=0,0,IF(AK228&lt;0,IF($J228=12,AK228,IF($J228=11,AK228,IF($J228=10,AK228,0)))))</f>
        <v>0</v>
      </c>
      <c r="AK228" s="407">
        <f>IF(AK$5=$H228,-$E228,0)</f>
        <v>0</v>
      </c>
      <c r="AL228" s="404">
        <f>IF(AP228=0,0,IF(AP228&lt;0,IF($J228=3,AP228,IF($J228=2,AP228,IF($J228=1,AP228,0)))))</f>
        <v>0</v>
      </c>
      <c r="AM228" s="414">
        <f>IF(AP228=0,0,IF(AP228&lt;0,IF($J228=6,AP228,IF($J228=5,AP228,IF($J228=4,AP228,0)))))</f>
        <v>0</v>
      </c>
      <c r="AN228" s="414">
        <f>IF(AP228=0,0,IF(AP228&lt;0,IF($J228=9,AP228,IF($J228=8,AP228,IF($J228=7,AP228,0)))))</f>
        <v>0</v>
      </c>
      <c r="AO228" s="406">
        <f>IF(AP228=0,0,IF(AP228&lt;0,IF($J228=12,AP228,IF($J228=11,AP228,IF($J228=10,AP228,0)))))</f>
        <v>0</v>
      </c>
      <c r="AP228" s="407">
        <f>IF(AP$5=$H228,-$E228,0)</f>
        <v>0</v>
      </c>
      <c r="AQ228" s="404">
        <f>IF(AU228=0,0,IF(AU228&lt;0,IF($J228=3,AU228,IF($J228=2,AU228,IF($J228=1,AU228,0)))))</f>
        <v>0</v>
      </c>
      <c r="AR228" s="414">
        <f>IF(AU228=0,0,IF(AU228&lt;0,IF($J228=6,AU228,IF($J228=5,AU228,IF($J228=4,AU228,0)))))</f>
        <v>0</v>
      </c>
      <c r="AS228" s="414">
        <f>IF(AU228=0,0,IF(AU228&lt;0,IF($J228=9,AU228,IF($J228=8,AU228,IF($J228=7,AU228,0)))))</f>
        <v>0</v>
      </c>
      <c r="AT228" s="406">
        <f>IF(AU228=0,0,IF(AU228&lt;0,IF($J228=12,AU228,IF($J228=11,AU228,IF($J228=10,AU228,0)))))</f>
        <v>0</v>
      </c>
      <c r="AU228" s="407">
        <f>IF(AU$5=$H228,-$E228,0)</f>
        <v>0</v>
      </c>
      <c r="AV228" s="404">
        <f>IF(AZ228=0,0,IF(AZ228&lt;0,IF($J228=3,AZ228,IF($J228=2,AZ228,IF($J228=1,AZ228,0)))))</f>
        <v>0</v>
      </c>
      <c r="AW228" s="414">
        <f>IF(AZ228=0,0,IF(AZ228&lt;0,IF($J228=6,AZ228,IF($J228=5,AZ228,IF($J228=4,AZ228,0)))))</f>
        <v>0</v>
      </c>
      <c r="AX228" s="414">
        <f>IF(AZ228=0,0,IF(AZ228&lt;0,IF($J228=9,AZ228,IF($J228=8,AZ228,IF($J228=7,AZ228,0)))))</f>
        <v>0</v>
      </c>
      <c r="AY228" s="406">
        <f>IF(AZ228=0,0,IF(AZ228&lt;0,IF($J228=12,AZ228,IF($J228=11,AZ228,IF($J228=10,AZ228,0)))))</f>
        <v>0</v>
      </c>
      <c r="AZ228" s="407">
        <f>IF(AZ$5=$H228,-$E228,0)</f>
        <v>0</v>
      </c>
      <c r="BA228" s="404">
        <f>IF(BE228=0,0,IF(BE228&lt;0,IF($J228=3,BE228,IF($J228=2,BE228,IF($J228=1,BE228,0)))))</f>
        <v>0</v>
      </c>
      <c r="BB228" s="414">
        <f>IF(BE228=0,0,IF(BE228&lt;0,IF($J228=6,BE228,IF($J228=5,BE228,IF($J228=4,BE228,0)))))</f>
        <v>0</v>
      </c>
      <c r="BC228" s="414">
        <f>IF(BE228=0,0,IF(BE228&lt;0,IF($J228=9,BE228,IF($J228=8,BE228,IF($J228=7,BE228,0)))))</f>
        <v>-94.878310999999997</v>
      </c>
      <c r="BD228" s="406">
        <f>IF(BE228=0,0,IF(BE228&lt;0,IF($J228=12,BE228,IF($J228=11,BE228,IF($J228=10,BE228,0)))))</f>
        <v>0</v>
      </c>
      <c r="BE228" s="407">
        <f>IF(BE$5=$H228,-$E228,0)</f>
        <v>-94.878310999999997</v>
      </c>
      <c r="BF228" s="404">
        <f>IF(BJ228=0,0,IF(BJ228&lt;0,IF($J228=3,BJ228,IF($J228=2,BJ228,IF($J228=1,BJ228,0)))))</f>
        <v>0</v>
      </c>
      <c r="BG228" s="414">
        <f>IF(BJ228=0,0,IF(BJ228&lt;0,IF($J228=6,BJ228,IF($J228=5,BJ228,IF($J228=4,BJ228,0)))))</f>
        <v>0</v>
      </c>
      <c r="BH228" s="414">
        <f>IF(BJ228=0,0,IF(BJ228&lt;0,IF($J228=9,BJ228,IF($J228=8,BJ228,IF($J228=7,BJ228,0)))))</f>
        <v>0</v>
      </c>
      <c r="BI228" s="406">
        <f>IF(BJ228=0,0,IF(BJ228&lt;0,IF($J228=12,BJ228,IF($J228=11,BJ228,IF($J228=10,BJ228,0)))))</f>
        <v>0</v>
      </c>
      <c r="BJ228" s="407">
        <f>IF(BJ$5=$H228,-$E228,0)</f>
        <v>0</v>
      </c>
      <c r="BK228" s="404">
        <f>IF(BO228=0,0,IF(BO228&lt;0,IF($J228=3,BO228,IF($J228=2,BO228,IF($J228=1,BO228,0)))))</f>
        <v>0</v>
      </c>
      <c r="BL228" s="414">
        <f>IF(BO228=0,0,IF(BO228&lt;0,IF($J228=6,BO228,IF($J228=5,BO228,IF($J228=4,BO228,0)))))</f>
        <v>0</v>
      </c>
      <c r="BM228" s="414">
        <f>IF(BO228=0,0,IF(BO228&lt;0,IF($J228=9,BO228,IF($J228=8,BO228,IF($J228=7,BO228,0)))))</f>
        <v>0</v>
      </c>
      <c r="BN228" s="406">
        <f>IF(BO228=0,0,IF(BO228&lt;0,IF($J228=12,BO228,IF($J228=11,BO228,IF($J228=10,BO228,0)))))</f>
        <v>0</v>
      </c>
      <c r="BO228" s="407">
        <f>IF(BO$5=$H228,-$E228,0)</f>
        <v>0</v>
      </c>
      <c r="BP228" s="449"/>
      <c r="BQ228" s="413">
        <f>IF(AND(AH228&lt;&gt;0,AH$5=$H228),-$I228*$E228-AH228,IF(BQ$5=$H228,-$I228*$E228*(12-$J228+1)/12,0))</f>
        <v>0</v>
      </c>
      <c r="BR228" s="410">
        <f>IF($H228&lt;&gt;BV$5,0,IF(BV228&lt;0,IF($J228=1,-$E228*$I228/12*3,IF($J228=2,-$E228*$I228/12*2,IF($J228=3,-$E228*$I228/12*1,0)))))+IF(BQ$5&lt;&gt;$H228,0,IF(BQ228&lt;0,IF($J228=1,-$E228*$I228/12*0,IF($J228=2,-$E228*$I228/12*1,IF($J228=3,-$E228*$I228/12*2,IF($J228&gt;=4,-$E228*$I228/12*3,0))))))</f>
        <v>0</v>
      </c>
      <c r="BS228" s="416">
        <f>IF($H228&lt;&gt;BV$5,0,IF(BV228&lt;0,IF(OR($J228=1,$J228=2,$J228=3,$J228=4),-$E228*$I228/12*3,IF($J228=5,-$E228*$I228/12*2,IF($J228=6,-$E228*$I228/12*1,0)))))+IF(BQ$5&lt;&gt;$H228,0,IF(BQ228&lt;0,IF($J228=4,-$E228*$I228/12*0,IF($J228=5,-$E228*$I228/12*1,IF($J228=6,-$E228*$I228/12*2,IF($J228&gt;=7,-$E228*$I228/12*3,0))))))</f>
        <v>0</v>
      </c>
      <c r="BT228" s="416">
        <f>IF($H228&lt;&gt;BV$5,0,IF(BV228&lt;0,IF(OR($J228=1,$J228=2,$J228=3,$J228=4,$J228=5,$J228=6,$J228=7),-$E228*$I228/12*3,IF($J228=8,-$E228*$I228/12*2,IF($J228=9,-$E228*$I228/12*1,0)))))+IF(BQ$5&lt;&gt;$H228,0,IF(BQ228&lt;0,IF($J228=7,-$E228*$I228/12*0,IF($J228=8,-$E228*$I228/12*1,IF($J228=9,-$E228*$I228/12*2,IF($J228&gt;=10,-$E228*$I228/12*3,0))))))</f>
        <v>0</v>
      </c>
      <c r="BU228" s="412">
        <f>IF($H228&lt;&gt;BV$5,0,IF(BV228&lt;0,IF(OR($J228=1,$J228=2,$J228=3,$J228=4,$J228=5,$J228=6,$J228=7,$J228=8,$J228=9,$J228=10),-$E228*$I228/12*3,IF($J228=11,-$E228*$I228/12*2,IF($J228=12,-$E228*$I228/12*1,0)))))+IF(BQ$5&lt;&gt;$H228,0,IF(BQ228&lt;0,IF($J228=10,-$E228*$I228/12*0,IF($J228=11,-$E228*$I228/12*1,IF($J228=12,-$E228*$I228/12*2,0)))))</f>
        <v>0</v>
      </c>
      <c r="BV228" s="413">
        <f>IF(AND(BQ228&lt;&gt;0,BQ$5=$H228),-$I228*$E228-BQ228,IF(BV$5=$H228,-$I228*$E228*(12-$J228+1)/12,0))</f>
        <v>0</v>
      </c>
      <c r="BW228" s="410">
        <f>IF($H228&lt;&gt;CA$5,0,IF(CA228&lt;0,IF($J228=1,-$E228*$I228/12*3,IF($J228=2,-$E228*$I228/12*2,IF($J228=3,-$E228*$I228/12*1,0)))))+IF(BV$5&lt;&gt;$H228,0,IF(BV228&lt;0,IF($J228=1,-$E228*$I228/12*0,IF($J228=2,-$E228*$I228/12*1,IF($J228=3,-$E228*$I228/12*2,IF($J228&gt;=4,-$E228*$I228/12*3,0))))))</f>
        <v>0</v>
      </c>
      <c r="BX228" s="416">
        <f>IF($H228&lt;&gt;CA$5,0,IF(CA228&lt;0,IF(OR($J228=1,$J228=2,$J228=3,$J228=4),-$E228*$I228/12*3,IF($J228=5,-$E228*$I228/12*2,IF($J228=6,-$E228*$I228/12*1,0)))))+IF(BV$5&lt;&gt;$H228,0,IF(BV228&lt;0,IF($J228=4,-$E228*$I228/12*0,IF($J228=5,-$E228*$I228/12*1,IF($J228=6,-$E228*$I228/12*2,IF($J228&gt;=7,-$E228*$I228/12*3,0))))))</f>
        <v>0</v>
      </c>
      <c r="BY228" s="416">
        <f>IF($H228&lt;&gt;CA$5,0,IF(CA228&lt;0,IF(OR($J228=1,$J228=2,$J228=3,$J228=4,$J228=5,$J228=6,$J228=7),-$E228*$I228/12*3,IF($J228=8,-$E228*$I228/12*2,IF($J228=9,-$E228*$I228/12*1,0)))))+IF(BV$5&lt;&gt;$H228,0,IF(BV228&lt;0,IF($J228=7,-$E228*$I228/12*0,IF($J228=8,-$E228*$I228/12*1,IF($J228=9,-$E228*$I228/12*2,IF($J228&gt;=10,-$E228*$I228/12*3,0))))))</f>
        <v>0</v>
      </c>
      <c r="BZ228" s="412">
        <f>IF($H228&lt;&gt;CA$5,0,IF(CA228&lt;0,IF(OR($J228=1,$J228=2,$J228=3,$J228=4,$J228=5,$J228=6,$J228=7,$J228=8,$J228=9,$J228=10),-$E228*$I228/12*3,IF($J228=11,-$E228*$I228/12*2,IF($J228=12,-$E228*$I228/12*1,0)))))+IF(BV$5&lt;&gt;$H228,0,IF(BV228&lt;0,IF($J228=10,-$E228*$I228/12*0,IF($J228=11,-$E228*$I228/12*1,IF($J228=12,-$E228*$I228/12*2,0)))))</f>
        <v>0</v>
      </c>
      <c r="CA228" s="413">
        <f>IF(AND(BV228&lt;&gt;0,BV$5=$H228),-$I228*$E228-BV228,IF(CA$5=$H228,-$I228*$E228*(12-$J228+1)/12,0))</f>
        <v>0</v>
      </c>
      <c r="CB228" s="410">
        <f>IF($H228&lt;&gt;CF$5,0,IF(CF228&lt;0,IF($J228=1,-$E228*$I228/12*3,IF($J228=2,-$E228*$I228/12*2,IF($J228=3,-$E228*$I228/12*1,0)))))+IF(CA$5&lt;&gt;$H228,0,IF(CA228&lt;0,IF($J228=1,-$E228*$I228/12*0,IF($J228=2,-$E228*$I228/12*1,IF($J228=3,-$E228*$I228/12*2,IF($J228&gt;=4,-$E228*$I228/12*3,0))))))</f>
        <v>0</v>
      </c>
      <c r="CC228" s="416">
        <f>IF($H228&lt;&gt;CF$5,0,IF(CF228&lt;0,IF(OR($J228=1,$J228=2,$J228=3,$J228=4),-$E228*$I228/12*3,IF($J228=5,-$E228*$I228/12*2,IF($J228=6,-$E228*$I228/12*1,0)))))+IF(CA$5&lt;&gt;$H228,0,IF(CA228&lt;0,IF($J228=4,-$E228*$I228/12*0,IF($J228=5,-$E228*$I228/12*1,IF($J228=6,-$E228*$I228/12*2,IF($J228&gt;=7,-$E228*$I228/12*3,0))))))</f>
        <v>0</v>
      </c>
      <c r="CD228" s="416">
        <f>IF($H228&lt;&gt;CF$5,0,IF(CF228&lt;0,IF(OR($J228=1,$J228=2,$J228=3,$J228=4,$J228=5,$J228=6,$J228=7),-$E228*$I228/12*3,IF($J228=8,-$E228*$I228/12*2,IF($J228=9,-$E228*$I228/12*1,0)))))+IF(CA$5&lt;&gt;$H228,0,IF(CA228&lt;0,IF($J228=7,-$E228*$I228/12*0,IF($J228=8,-$E228*$I228/12*1,IF($J228=9,-$E228*$I228/12*2,IF($J228&gt;=10,-$E228*$I228/12*3,0))))))</f>
        <v>0</v>
      </c>
      <c r="CE228" s="412">
        <f>IF($H228&lt;&gt;CF$5,0,IF(CF228&lt;0,IF(OR($J228=1,$J228=2,$J228=3,$J228=4,$J228=5,$J228=6,$J228=7,$J228=8,$J228=9,$J228=10),-$E228*$I228/12*3,IF($J228=11,-$E228*$I228/12*2,IF($J228=12,-$E228*$I228/12*1,0)))))+IF(CA$5&lt;&gt;$H228,0,IF(CA228&lt;0,IF($J228=10,-$E228*$I228/12*0,IF($J228=11,-$E228*$I228/12*1,IF($J228=12,-$E228*$I228/12*2,0)))))</f>
        <v>0</v>
      </c>
      <c r="CF228" s="413">
        <f>IF(AND(CA228&lt;&gt;0,CA$5=$H228),-$I228*$E228-CA228,IF(CF$5=$H228,-$I228*$E228*(12-$J228+1)/12,0))</f>
        <v>0</v>
      </c>
      <c r="CG228" s="410">
        <f>IF($H228&lt;&gt;CK$5,0,IF(CK228&lt;0,IF($J228=1,-$E228*$I228/12*3,IF($J228=2,-$E228*$I228/12*2,IF($J228=3,-$E228*$I228/12*1,0)))))+IF(CF$5&lt;&gt;$H228,0,IF(CF228&lt;0,IF($J228=1,-$E228*$I228/12*0,IF($J228=2,-$E228*$I228/12*1,IF($J228=3,-$E228*$I228/12*2,IF($J228&gt;=4,-$E228*$I228/12*3,0))))))</f>
        <v>0</v>
      </c>
      <c r="CH228" s="416">
        <f>IF($H228&lt;&gt;CK$5,0,IF(CK228&lt;0,IF(OR($J228=1,$J228=2,$J228=3,$J228=4),-$E228*$I228/12*3,IF($J228=5,-$E228*$I228/12*2,IF($J228=6,-$E228*$I228/12*1,0)))))+IF(CF$5&lt;&gt;$H228,0,IF(CF228&lt;0,IF($J228=4,-$E228*$I228/12*0,IF($J228=5,-$E228*$I228/12*1,IF($J228=6,-$E228*$I228/12*2,IF($J228&gt;=7,-$E228*$I228/12*3,0))))))</f>
        <v>0</v>
      </c>
      <c r="CI228" s="416">
        <f>IF($H228&lt;&gt;CK$5,0,IF(CK228&lt;0,IF(OR($J228=1,$J228=2,$J228=3,$J228=4,$J228=5,$J228=6,$J228=7),-$E228*$I228/12*3,IF($J228=8,-$E228*$I228/12*2,IF($J228=9,-$E228*$I228/12*1,0)))))+IF(CF$5&lt;&gt;$H228,0,IF(CF228&lt;0,IF($J228=7,-$E228*$I228/12*0,IF($J228=8,-$E228*$I228/12*1,IF($J228=9,-$E228*$I228/12*2,IF($J228&gt;=10,-$E228*$I228/12*3,0))))))</f>
        <v>0</v>
      </c>
      <c r="CJ228" s="412">
        <f>IF($H228&lt;&gt;CK$5,0,IF(CK228&lt;0,IF(OR($J228=1,$J228=2,$J228=3,$J228=4,$J228=5,$J228=6,$J228=7,$J228=8,$J228=9,$J228=10),-$E228*$I228/12*3,IF($J228=11,-$E228*$I228/12*2,IF($J228=12,-$E228*$I228/12*1,0)))))+IF(CF$5&lt;&gt;$H228,0,IF(CF228&lt;0,IF($J228=10,-$E228*$I228/12*0,IF($J228=11,-$E228*$I228/12*1,IF($J228=12,-$E228*$I228/12*2,0)))))</f>
        <v>0</v>
      </c>
      <c r="CK228" s="413">
        <f>IF(AND(CF228&lt;&gt;0,CF$5=$H228),-$I228*$E228-CF228,IF(CK$5=$H228,-$I228*$E228*(12-$J228+1)/12,0))</f>
        <v>0</v>
      </c>
      <c r="CL228" s="410">
        <f>IF($H228&lt;&gt;CP$5,0,IF(CP228&lt;0,IF($J228=1,-$E228*$I228/12*3,IF($J228=2,-$E228*$I228/12*2,IF($J228=3,-$E228*$I228/12*1,0)))))+IF(CK$5&lt;&gt;$H228,0,IF(CK228&lt;0,IF($J228=1,-$E228*$I228/12*0,IF($J228=2,-$E228*$I228/12*1,IF($J228=3,-$E228*$I228/12*2,IF($J228&gt;=4,-$E228*$I228/12*3,0))))))</f>
        <v>0</v>
      </c>
      <c r="CM228" s="416">
        <f>IF($H228&lt;&gt;CP$5,0,IF(CP228&lt;0,IF(OR($J228=1,$J228=2,$J228=3,$J228=4),-$E228*$I228/12*3,IF($J228=5,-$E228*$I228/12*2,IF($J228=6,-$E228*$I228/12*1,0)))))+IF(CK$5&lt;&gt;$H228,0,IF(CK228&lt;0,IF($J228=4,-$E228*$I228/12*0,IF($J228=5,-$E228*$I228/12*1,IF($J228=6,-$E228*$I228/12*2,IF($J228&gt;=7,-$E228*$I228/12*3,0))))))</f>
        <v>0</v>
      </c>
      <c r="CN228" s="416">
        <f>IF($H228&lt;&gt;CP$5,0,IF(CP228&lt;0,IF(OR($J228=1,$J228=2,$J228=3,$J228=4,$J228=5,$J228=6,$J228=7),-$E228*$I228/12*3,IF($J228=8,-$E228*$I228/12*2,IF($J228=9,-$E228*$I228/12*1,0)))))+IF(CK$5&lt;&gt;$H228,0,IF(CK228&lt;0,IF($J228=7,-$E228*$I228/12*0,IF($J228=8,-$E228*$I228/12*1,IF($J228=9,-$E228*$I228/12*2,IF($J228&gt;=10,-$E228*$I228/12*3,0))))))</f>
        <v>0</v>
      </c>
      <c r="CO228" s="412">
        <f>IF($H228&lt;&gt;CP$5,0,IF(CP228&lt;0,IF(OR($J228=1,$J228=2,$J228=3,$J228=4,$J228=5,$J228=6,$J228=7,$J228=8,$J228=9,$J228=10),-$E228*$I228/12*3,IF($J228=11,-$E228*$I228/12*2,IF($J228=12,-$E228*$I228/12*1,0)))))+IF(CK$5&lt;&gt;$H228,0,IF(CK228&lt;0,IF($J228=10,-$E228*$I228/12*0,IF($J228=11,-$E228*$I228/12*1,IF($J228=12,-$E228*$I228/12*2,0)))))</f>
        <v>0</v>
      </c>
      <c r="CP228" s="413">
        <f>IF(AND(CK228&lt;&gt;0,CK$5=$H228),-$I228*$E228-CK228,IF(CP$5=$H228,-$I228*$E228*(12-$J228+1)/12,0))</f>
        <v>0</v>
      </c>
      <c r="CQ228" s="410">
        <f>IF($H228&lt;&gt;CU$5,0,IF(CU228&lt;0,IF($J228=1,-$E228*$I228/12*3,IF($J228=2,-$E228*$I228/12*2,IF($J228=3,-$E228*$I228/12*1,0)))))+IF(CP$5&lt;&gt;$H228,0,IF(CP228&lt;0,IF($J228=1,-$E228*$I228/12*0,IF($J228=2,-$E228*$I228/12*1,IF($J228=3,-$E228*$I228/12*2,IF($J228&gt;=4,-$E228*$I228/12*3,0))))))</f>
        <v>0</v>
      </c>
      <c r="CR228" s="416">
        <f>IF($H228&lt;&gt;CU$5,0,IF(CU228&lt;0,IF(OR($J228=1,$J228=2,$J228=3,$J228=4),-$E228*$I228/12*3,IF($J228=5,-$E228*$I228/12*2,IF($J228=6,-$E228*$I228/12*1,0)))))+IF(CP$5&lt;&gt;$H228,0,IF(CP228&lt;0,IF($J228=4,-$E228*$I228/12*0,IF($J228=5,-$E228*$I228/12*1,IF($J228=6,-$E228*$I228/12*2,IF($J228&gt;=7,-$E228*$I228/12*3,0))))))</f>
        <v>0</v>
      </c>
      <c r="CS228" s="416">
        <f>IF($H228&lt;&gt;CU$5,0,IF(CU228&lt;0,IF(OR($J228=1,$J228=2,$J228=3,$J228=4,$J228=5,$J228=6,$J228=7),-$E228*$I228/12*3,IF($J228=8,-$E228*$I228/12*2,IF($J228=9,-$E228*$I228/12*1,0)))))+IF(CP$5&lt;&gt;$H228,0,IF(CP228&lt;0,IF($J228=7,-$E228*$I228/12*0,IF($J228=8,-$E228*$I228/12*1,IF($J228=9,-$E228*$I228/12*2,IF($J228&gt;=10,-$E228*$I228/12*3,0))))))</f>
        <v>0</v>
      </c>
      <c r="CT228" s="412">
        <f>IF($H228&lt;&gt;CU$5,0,IF(CU228&lt;0,IF(OR($J228=1,$J228=2,$J228=3,$J228=4,$J228=5,$J228=6,$J228=7,$J228=8,$J228=9,$J228=10),-$E228*$I228/12*3,IF($J228=11,-$E228*$I228/12*2,IF($J228=12,-$E228*$I228/12*1,0)))))+IF(CP$5&lt;&gt;$H228,0,IF(CP228&lt;0,IF($J228=10,-$E228*$I228/12*0,IF($J228=11,-$E228*$I228/12*1,IF($J228=12,-$E228*$I228/12*2,0)))))</f>
        <v>0</v>
      </c>
      <c r="CU228" s="413">
        <f>IF(AND(CP228&lt;&gt;0,CP$5=$H228),-$I228*$E228-CP228,IF(CU$5=$H228,-$I228*$E228*(12-$J228+1)/12,0))</f>
        <v>0</v>
      </c>
      <c r="CV228" s="410">
        <f>IF($H228&lt;&gt;CZ$5,0,IF(CZ228&lt;0,IF($J228=1,-$E228*$I228/12*3,IF($J228=2,-$E228*$I228/12*2,IF($J228=3,-$E228*$I228/12*1,0)))))+IF(CU$5&lt;&gt;$H228,0,IF(CU228&lt;0,IF($J228=1,-$E228*$I228/12*0,IF($J228=2,-$E228*$I228/12*1,IF($J228=3,-$E228*$I228/12*2,IF($J228&gt;=4,-$E228*$I228/12*3,0))))))</f>
        <v>0</v>
      </c>
      <c r="CW228" s="416">
        <f>IF($H228&lt;&gt;CZ$5,0,IF(CZ228&lt;0,IF(OR($J228=1,$J228=2,$J228=3,$J228=4),-$E228*$I228/12*3,IF($J228=5,-$E228*$I228/12*2,IF($J228=6,-$E228*$I228/12*1,0)))))+IF(CU$5&lt;&gt;$H228,0,IF(CU228&lt;0,IF($J228=4,-$E228*$I228/12*0,IF($J228=5,-$E228*$I228/12*1,IF($J228=6,-$E228*$I228/12*2,IF($J228&gt;=7,-$E228*$I228/12*3,0))))))</f>
        <v>0</v>
      </c>
      <c r="CX228" s="416">
        <f>IF($H228&lt;&gt;CZ$5,0,IF(CZ228&lt;0,IF(OR($J228=1,$J228=2,$J228=3,$J228=4,$J228=5,$J228=6,$J228=7),-$E228*$I228/12*3,IF($J228=8,-$E228*$I228/12*2,IF($J228=9,-$E228*$I228/12*1,0)))))+IF(CU$5&lt;&gt;$H228,0,IF(CU228&lt;0,IF($J228=7,-$E228*$I228/12*0,IF($J228=8,-$E228*$I228/12*1,IF($J228=9,-$E228*$I228/12*2,IF($J228&gt;=10,-$E228*$I228/12*3,0))))))</f>
        <v>0</v>
      </c>
      <c r="CY228" s="412">
        <f>IF($H228&lt;&gt;CZ$5,0,IF(CZ228&lt;0,IF(OR($J228=1,$J228=2,$J228=3,$J228=4,$J228=5,$J228=6,$J228=7,$J228=8,$J228=9,$J228=10),-$E228*$I228/12*3,IF($J228=11,-$E228*$I228/12*2,IF($J228=12,-$E228*$I228/12*1,0)))))+IF(CU$5&lt;&gt;$H228,0,IF(CU228&lt;0,IF($J228=10,-$E228*$I228/12*0,IF($J228=11,-$E228*$I228/12*1,IF($J228=12,-$E228*$I228/12*2,0)))))</f>
        <v>0</v>
      </c>
      <c r="CZ228" s="413">
        <f>IF(AND(CU228&lt;&gt;0,CU$5=$H228),-$I228*$E228-CU228,IF(CZ$5=$H228,-$I228*$E228*(12-$J228+1)/12,0))</f>
        <v>0</v>
      </c>
      <c r="DA228" s="410">
        <f>IF($H228&lt;&gt;DE$5,0,IF(DE228&lt;0,IF($J228=1,-$E228*$I228/12*3,IF($J228=2,-$E228*$I228/12*2,IF($J228=3,-$E228*$I228/12*1,0)))))+IF(CZ$5&lt;&gt;$H228,0,IF(CZ228&lt;0,IF($J228=1,-$E228*$I228/12*0,IF($J228=2,-$E228*$I228/12*1,IF($J228=3,-$E228*$I228/12*2,IF($J228&gt;=4,-$E228*$I228/12*3,0))))))</f>
        <v>0</v>
      </c>
      <c r="DB228" s="416">
        <f>IF($H228&lt;&gt;DE$5,0,IF(DE228&lt;0,IF(OR($J228=1,$J228=2,$J228=3,$J228=4),-$E228*$I228/12*3,IF($J228=5,-$E228*$I228/12*2,IF($J228=6,-$E228*$I228/12*1,0)))))+IF(CZ$5&lt;&gt;$H228,0,IF(CZ228&lt;0,IF($J228=4,-$E228*$I228/12*0,IF($J228=5,-$E228*$I228/12*1,IF($J228=6,-$E228*$I228/12*2,IF($J228&gt;=7,-$E228*$I228/12*3,0))))))</f>
        <v>0</v>
      </c>
      <c r="DC228" s="416">
        <f>IF($H228&lt;&gt;DE$5,0,IF(DE228&lt;0,IF(OR($J228=1,$J228=2,$J228=3,$J228=4,$J228=5,$J228=6,$J228=7),-$E228*$I228/12*3,IF($J228=8,-$E228*$I228/12*2,IF($J228=9,-$E228*$I228/12*1,0)))))+IF(CZ$5&lt;&gt;$H228,0,IF(CZ228&lt;0,IF($J228=7,-$E228*$I228/12*0,IF($J228=8,-$E228*$I228/12*1,IF($J228=9,-$E228*$I228/12*2,IF($J228&gt;=10,-$E228*$I228/12*3,0))))))</f>
        <v>0</v>
      </c>
      <c r="DD228" s="412">
        <f>IF($H228&lt;&gt;DE$5,0,IF(DE228&lt;0,IF(OR($J228=1,$J228=2,$J228=3,$J228=4,$J228=5,$J228=6,$J228=7,$J228=8,$J228=9,$J228=10),-$E228*$I228/12*3,IF($J228=11,-$E228*$I228/12*2,IF($J228=12,-$E228*$I228/12*1,0)))))+IF(CZ$5&lt;&gt;$H228,0,IF(CZ228&lt;0,IF($J228=10,-$E228*$I228/12*0,IF($J228=11,-$E228*$I228/12*1,IF($J228=12,-$E228*$I228/12*2,0)))))</f>
        <v>0</v>
      </c>
      <c r="DE228" s="413">
        <f>IF(AND(CZ228&lt;&gt;0,CZ$5=$H228),-$I228*$E228-CZ228,IF(DE$5=$H228,-$I228*$E228*(12-$J228+1)/12,0))</f>
        <v>0</v>
      </c>
      <c r="DF228" s="410">
        <f>IF($H228&lt;&gt;DJ$5,0,IF(DJ228&lt;0,IF($J228=1,-$E228*$I228/12*3,IF($J228=2,-$E228*$I228/12*2,IF($J228=3,-$E228*$I228/12*1,0)))))+IF(DE$5&lt;&gt;$H228,0,IF(DE228&lt;0,IF($J228=1,-$E228*$I228/12*0,IF($J228=2,-$E228*$I228/12*1,IF($J228=3,-$E228*$I228/12*2,IF($J228&gt;=4,-$E228*$I228/12*3,0))))))</f>
        <v>0</v>
      </c>
      <c r="DG228" s="416">
        <f>IF($H228&lt;&gt;DJ$5,0,IF(DJ228&lt;0,IF(OR($J228=1,$J228=2,$J228=3,$J228=4),-$E228*$I228/12*3,IF($J228=5,-$E228*$I228/12*2,IF($J228=6,-$E228*$I228/12*1,0)))))+IF(DE$5&lt;&gt;$H228,0,IF(DE228&lt;0,IF($J228=4,-$E228*$I228/12*0,IF($J228=5,-$E228*$I228/12*1,IF($J228=6,-$E228*$I228/12*2,IF($J228&gt;=7,-$E228*$I228/12*3,0))))))</f>
        <v>0</v>
      </c>
      <c r="DH228" s="416">
        <f>IF($H228&lt;&gt;DJ$5,0,IF(DJ228&lt;0,IF(OR($J228=1,$J228=2,$J228=3,$J228=4,$J228=5,$J228=6,$J228=7),-$E228*$I228/12*3,IF($J228=8,-$E228*$I228/12*2,IF($J228=9,-$E228*$I228/12*1,0)))))+IF(DE$5&lt;&gt;$H228,0,IF(DE228&lt;0,IF($J228=7,-$E228*$I228/12*0,IF($J228=8,-$E228*$I228/12*1,IF($J228=9,-$E228*$I228/12*2,IF($J228&gt;=10,-$E228*$I228/12*3,0))))))</f>
        <v>-0.48601414809749999</v>
      </c>
      <c r="DI228" s="412">
        <f>IF($H228&lt;&gt;DJ$5,0,IF(DJ228&lt;0,IF(OR($J228=1,$J228=2,$J228=3,$J228=4,$J228=5,$J228=6,$J228=7,$J228=8,$J228=9,$J228=10),-$E228*$I228/12*3,IF($J228=11,-$E228*$I228/12*2,IF($J228=12,-$E228*$I228/12*1,0)))))+IF(DE$5&lt;&gt;$H228,0,IF(DE228&lt;0,IF($J228=10,-$E228*$I228/12*0,IF($J228=11,-$E228*$I228/12*1,IF($J228=12,-$E228*$I228/12*2,0)))))</f>
        <v>-0.48601414809749999</v>
      </c>
      <c r="DJ228" s="413">
        <f>IF(AND(DE228&lt;&gt;0,DE$5=$H228),-$I228*$E228-DE228,IF(DJ$5=$H228,-$I228*$E228*(12-$J228+1)/12,0))</f>
        <v>-0.97202829619499997</v>
      </c>
      <c r="DK228" s="410">
        <f>IF($H228&lt;&gt;DO$5,0,IF(DO228&lt;0,IF($J228=1,-$E228*$I228/12*3,IF($J228=2,-$E228*$I228/12*2,IF($J228=3,-$E228*$I228/12*1,0)))))+IF(DJ$5&lt;&gt;$H228,0,IF(DJ228&lt;0,IF($J228=1,-$E228*$I228/12*0,IF($J228=2,-$E228*$I228/12*1,IF($J228=3,-$E228*$I228/12*2,IF($J228&gt;=4,-$E228*$I228/12*3,0))))))</f>
        <v>-0.48601414809749999</v>
      </c>
      <c r="DL228" s="416">
        <f>IF($H228&lt;&gt;DO$5,0,IF(DO228&lt;0,IF(OR($J228=1,$J228=2,$J228=3,$J228=4),-$E228*$I228/12*3,IF($J228=5,-$E228*$I228/12*2,IF($J228=6,-$E228*$I228/12*1,0)))))+IF(DJ$5&lt;&gt;$H228,0,IF(DJ228&lt;0,IF($J228=4,-$E228*$I228/12*0,IF($J228=5,-$E228*$I228/12*1,IF($J228=6,-$E228*$I228/12*2,IF($J228&gt;=7,-$E228*$I228/12*3,0))))))</f>
        <v>-0.48601414809749999</v>
      </c>
      <c r="DM228" s="416">
        <f>IF($H228&lt;&gt;DO$5,0,IF(DO228&lt;0,IF(OR($J228=1,$J228=2,$J228=3,$J228=4,$J228=5,$J228=6,$J228=7),-$E228*$I228/12*3,IF($J228=8,-$E228*$I228/12*2,IF($J228=9,-$E228*$I228/12*1,0)))))+IF(DJ$5&lt;&gt;$H228,0,IF(DJ228&lt;0,IF($J228=7,-$E228*$I228/12*0,IF($J228=8,-$E228*$I228/12*1,IF($J228=9,-$E228*$I228/12*2,IF($J228&gt;=10,-$E228*$I228/12*3,0))))))</f>
        <v>0</v>
      </c>
      <c r="DN228" s="412">
        <f>IF($H228&lt;&gt;DO$5,0,IF(DO228&lt;0,IF(OR($J228=1,$J228=2,$J228=3,$J228=4,$J228=5,$J228=6,$J228=7,$J228=8,$J228=9,$J228=10),-$E228*$I228/12*3,IF($J228=11,-$E228*$I228/12*2,IF($J228=12,-$E228*$I228/12*1,0)))))+IF(DJ$5&lt;&gt;$H228,0,IF(DJ228&lt;0,IF($J228=10,-$E228*$I228/12*0,IF($J228=11,-$E228*$I228/12*1,IF($J228=12,-$E228*$I228/12*2,0)))))</f>
        <v>0</v>
      </c>
      <c r="DO228" s="413">
        <f>IF(AND(DJ228&lt;&gt;0,DJ$5=$H228),-$I228*$E228-DJ228,IF(DO$5=$H228,-$I228*$E228*(12-$J228+1)/12,0))</f>
        <v>-0.97202829619499997</v>
      </c>
      <c r="DP228" s="410">
        <f>IF($H228&lt;&gt;DT$5,0,IF(DT228&lt;0,IF($J228=1,-$E228*$I228/12*3,IF($J228=2,-$E228*$I228/12*2,IF($J228=3,-$E228*$I228/12*1,0)))))+IF(DO$5&lt;&gt;$H228,0,IF(DO228&lt;0,IF($J228=1,-$E228*$I228/12*0,IF($J228=2,-$E228*$I228/12*1,IF($J228=3,-$E228*$I228/12*2,IF($J228&gt;=4,-$E228*$I228/12*3,0))))))</f>
        <v>0</v>
      </c>
      <c r="DQ228" s="416">
        <f>IF($H228&lt;&gt;DT$5,0,IF(DT228&lt;0,IF(OR($J228=1,$J228=2,$J228=3,$J228=4),-$E228*$I228/12*3,IF($J228=5,-$E228*$I228/12*2,IF($J228=6,-$E228*$I228/12*1,0)))))+IF(DO$5&lt;&gt;$H228,0,IF(DO228&lt;0,IF($J228=4,-$E228*$I228/12*0,IF($J228=5,-$E228*$I228/12*1,IF($J228=6,-$E228*$I228/12*2,IF($J228&gt;=7,-$E228*$I228/12*3,0))))))</f>
        <v>0</v>
      </c>
      <c r="DR228" s="416">
        <f>IF($H228&lt;&gt;DT$5,0,IF(DT228&lt;0,IF(OR($J228=1,$J228=2,$J228=3,$J228=4,$J228=5,$J228=6,$J228=7),-$E228*$I228/12*3,IF($J228=8,-$E228*$I228/12*2,IF($J228=9,-$E228*$I228/12*1,0)))))+IF(DO$5&lt;&gt;$H228,0,IF(DO228&lt;0,IF($J228=7,-$E228*$I228/12*0,IF($J228=8,-$E228*$I228/12*1,IF($J228=9,-$E228*$I228/12*2,IF($J228&gt;=10,-$E228*$I228/12*3,0))))))</f>
        <v>0</v>
      </c>
      <c r="DS228" s="412">
        <f>IF($H228&lt;&gt;DT$5,0,IF(DT228&lt;0,IF(OR($J228=1,$J228=2,$J228=3,$J228=4,$J228=5,$J228=6,$J228=7,$J228=8,$J228=9,$J228=10),-$E228*$I228/12*3,IF($J228=11,-$E228*$I228/12*2,IF($J228=12,-$E228*$I228/12*1,0)))))+IF(DO$5&lt;&gt;$H228,0,IF(DO228&lt;0,IF($J228=10,-$E228*$I228/12*0,IF($J228=11,-$E228*$I228/12*1,IF($J228=12,-$E228*$I228/12*2,0)))))</f>
        <v>0</v>
      </c>
      <c r="DT228" s="413">
        <f>IF(AND(DO228&lt;&gt;0,DO$5=$H228),-$I228*$E228-DO228,IF(DT$5=$H228,-$I228*$E228*(12-$J228+1)/12,0))</f>
        <v>0</v>
      </c>
    </row>
    <row r="229" spans="1:124" ht="12.75" customHeight="1">
      <c r="C229" s="601"/>
      <c r="D229" s="601"/>
      <c r="E229" s="1531"/>
      <c r="F229" s="1535"/>
      <c r="G229" s="1535"/>
      <c r="H229" s="610"/>
      <c r="I229" s="1533"/>
      <c r="J229" s="615"/>
      <c r="K229" s="402"/>
      <c r="L229" s="407"/>
      <c r="M229" s="404"/>
      <c r="N229" s="414"/>
      <c r="O229" s="414"/>
      <c r="P229" s="406"/>
      <c r="Q229" s="407"/>
      <c r="R229" s="404"/>
      <c r="S229" s="414"/>
      <c r="T229" s="414"/>
      <c r="U229" s="406"/>
      <c r="V229" s="407"/>
      <c r="W229" s="404"/>
      <c r="X229" s="414"/>
      <c r="Y229" s="414"/>
      <c r="Z229" s="406"/>
      <c r="AA229" s="407"/>
      <c r="AB229" s="404"/>
      <c r="AC229" s="414"/>
      <c r="AD229" s="414"/>
      <c r="AE229" s="406"/>
      <c r="AF229" s="407"/>
      <c r="AG229" s="404"/>
      <c r="AH229" s="414"/>
      <c r="AI229" s="414"/>
      <c r="AJ229" s="406"/>
      <c r="AK229" s="407"/>
      <c r="AL229" s="404"/>
      <c r="AM229" s="414"/>
      <c r="AN229" s="414"/>
      <c r="AO229" s="406"/>
      <c r="AP229" s="407"/>
      <c r="AQ229" s="404"/>
      <c r="AR229" s="414"/>
      <c r="AS229" s="414"/>
      <c r="AT229" s="406"/>
      <c r="AU229" s="407"/>
      <c r="AV229" s="404"/>
      <c r="AW229" s="414"/>
      <c r="AX229" s="414"/>
      <c r="AY229" s="406"/>
      <c r="AZ229" s="407"/>
      <c r="BA229" s="404"/>
      <c r="BB229" s="414"/>
      <c r="BC229" s="414"/>
      <c r="BD229" s="406"/>
      <c r="BE229" s="407"/>
      <c r="BF229" s="404"/>
      <c r="BG229" s="414"/>
      <c r="BH229" s="414"/>
      <c r="BI229" s="406"/>
      <c r="BJ229" s="407"/>
      <c r="BK229" s="404"/>
      <c r="BL229" s="414"/>
      <c r="BM229" s="414"/>
      <c r="BN229" s="406"/>
      <c r="BO229" s="407"/>
      <c r="BP229" s="449"/>
      <c r="BQ229" s="413"/>
      <c r="BR229" s="410"/>
      <c r="BS229" s="416"/>
      <c r="BT229" s="416"/>
      <c r="BU229" s="412"/>
      <c r="BV229" s="413"/>
      <c r="BW229" s="410"/>
      <c r="BX229" s="416"/>
      <c r="BY229" s="416"/>
      <c r="BZ229" s="412"/>
      <c r="CA229" s="413"/>
      <c r="CB229" s="410"/>
      <c r="CC229" s="416"/>
      <c r="CD229" s="416"/>
      <c r="CE229" s="412"/>
      <c r="CF229" s="413"/>
      <c r="CG229" s="410"/>
      <c r="CH229" s="416"/>
      <c r="CI229" s="416"/>
      <c r="CJ229" s="412"/>
      <c r="CK229" s="413"/>
      <c r="CL229" s="410"/>
      <c r="CM229" s="416"/>
      <c r="CN229" s="416"/>
      <c r="CO229" s="412"/>
      <c r="CP229" s="413"/>
      <c r="CQ229" s="410"/>
      <c r="CR229" s="416"/>
      <c r="CS229" s="416"/>
      <c r="CT229" s="412"/>
      <c r="CU229" s="413"/>
      <c r="CV229" s="410"/>
      <c r="CW229" s="416"/>
      <c r="CX229" s="416"/>
      <c r="CY229" s="412"/>
      <c r="CZ229" s="413"/>
      <c r="DA229" s="410"/>
      <c r="DB229" s="416"/>
      <c r="DC229" s="416"/>
      <c r="DD229" s="412"/>
      <c r="DE229" s="413"/>
      <c r="DF229" s="410"/>
      <c r="DG229" s="416"/>
      <c r="DH229" s="416"/>
      <c r="DI229" s="412"/>
      <c r="DJ229" s="413"/>
      <c r="DK229" s="410"/>
      <c r="DL229" s="416"/>
      <c r="DM229" s="416"/>
      <c r="DN229" s="412"/>
      <c r="DO229" s="413"/>
      <c r="DP229" s="410"/>
      <c r="DQ229" s="416"/>
      <c r="DR229" s="416"/>
      <c r="DS229" s="412"/>
      <c r="DT229" s="413"/>
    </row>
    <row r="230" spans="1:124" ht="12.75" customHeight="1">
      <c r="C230" s="613" t="s">
        <v>412</v>
      </c>
      <c r="D230" s="613"/>
      <c r="E230" s="1531"/>
      <c r="F230" s="1535"/>
      <c r="G230" s="1535"/>
      <c r="H230" s="610"/>
      <c r="I230" s="1533"/>
      <c r="J230" s="615"/>
      <c r="K230" s="402"/>
      <c r="L230" s="407"/>
      <c r="M230" s="404"/>
      <c r="N230" s="414"/>
      <c r="O230" s="414"/>
      <c r="P230" s="406"/>
      <c r="Q230" s="407"/>
      <c r="R230" s="404"/>
      <c r="S230" s="414"/>
      <c r="T230" s="414"/>
      <c r="U230" s="406"/>
      <c r="V230" s="407"/>
      <c r="W230" s="404"/>
      <c r="X230" s="414"/>
      <c r="Y230" s="414"/>
      <c r="Z230" s="406"/>
      <c r="AA230" s="407"/>
      <c r="AB230" s="404"/>
      <c r="AC230" s="414"/>
      <c r="AD230" s="414"/>
      <c r="AE230" s="406"/>
      <c r="AF230" s="407"/>
      <c r="AG230" s="404"/>
      <c r="AH230" s="414"/>
      <c r="AI230" s="414"/>
      <c r="AJ230" s="406"/>
      <c r="AK230" s="407"/>
      <c r="AL230" s="404"/>
      <c r="AM230" s="414"/>
      <c r="AN230" s="414"/>
      <c r="AO230" s="406"/>
      <c r="AP230" s="407"/>
      <c r="AQ230" s="404"/>
      <c r="AR230" s="414"/>
      <c r="AS230" s="414"/>
      <c r="AT230" s="406"/>
      <c r="AU230" s="407"/>
      <c r="AV230" s="404"/>
      <c r="AW230" s="414"/>
      <c r="AX230" s="414"/>
      <c r="AY230" s="406"/>
      <c r="AZ230" s="407"/>
      <c r="BA230" s="404"/>
      <c r="BB230" s="414"/>
      <c r="BC230" s="414"/>
      <c r="BD230" s="406"/>
      <c r="BE230" s="407"/>
      <c r="BF230" s="404"/>
      <c r="BG230" s="414"/>
      <c r="BH230" s="414"/>
      <c r="BI230" s="406"/>
      <c r="BJ230" s="407"/>
      <c r="BK230" s="404"/>
      <c r="BL230" s="414"/>
      <c r="BM230" s="414"/>
      <c r="BN230" s="406"/>
      <c r="BO230" s="407"/>
      <c r="BP230" s="449"/>
      <c r="BQ230" s="413"/>
      <c r="BR230" s="410"/>
      <c r="BS230" s="416"/>
      <c r="BT230" s="416"/>
      <c r="BU230" s="412"/>
      <c r="BV230" s="413"/>
      <c r="BW230" s="410"/>
      <c r="BX230" s="416"/>
      <c r="BY230" s="416"/>
      <c r="BZ230" s="412"/>
      <c r="CA230" s="413"/>
      <c r="CB230" s="410"/>
      <c r="CC230" s="416"/>
      <c r="CD230" s="416"/>
      <c r="CE230" s="412"/>
      <c r="CF230" s="413"/>
      <c r="CG230" s="410"/>
      <c r="CH230" s="416"/>
      <c r="CI230" s="416"/>
      <c r="CJ230" s="412"/>
      <c r="CK230" s="413"/>
      <c r="CL230" s="410"/>
      <c r="CM230" s="416"/>
      <c r="CN230" s="416"/>
      <c r="CO230" s="412"/>
      <c r="CP230" s="413"/>
      <c r="CQ230" s="410"/>
      <c r="CR230" s="416"/>
      <c r="CS230" s="416"/>
      <c r="CT230" s="412"/>
      <c r="CU230" s="413"/>
      <c r="CV230" s="410"/>
      <c r="CW230" s="416"/>
      <c r="CX230" s="416"/>
      <c r="CY230" s="412"/>
      <c r="CZ230" s="413"/>
      <c r="DA230" s="410"/>
      <c r="DB230" s="416"/>
      <c r="DC230" s="416"/>
      <c r="DD230" s="412"/>
      <c r="DE230" s="413"/>
      <c r="DF230" s="410"/>
      <c r="DG230" s="416"/>
      <c r="DH230" s="416"/>
      <c r="DI230" s="412"/>
      <c r="DJ230" s="413"/>
      <c r="DK230" s="410"/>
      <c r="DL230" s="416"/>
      <c r="DM230" s="416"/>
      <c r="DN230" s="412"/>
      <c r="DO230" s="413"/>
      <c r="DP230" s="410"/>
      <c r="DQ230" s="416"/>
      <c r="DR230" s="416"/>
      <c r="DS230" s="412"/>
      <c r="DT230" s="413"/>
    </row>
    <row r="231" spans="1:124" ht="12.75" customHeight="1">
      <c r="C231" s="601" t="s">
        <v>421</v>
      </c>
      <c r="D231" s="601"/>
      <c r="E231" s="1886">
        <f t="shared" ref="E231:E235" si="1684">IF(F231=0,G231,F231)</f>
        <v>250</v>
      </c>
      <c r="F231" s="1532">
        <v>250</v>
      </c>
      <c r="G231" s="1532">
        <v>250</v>
      </c>
      <c r="H231" s="610">
        <v>2033</v>
      </c>
      <c r="I231" s="1533">
        <v>6.6000000000000003E-2</v>
      </c>
      <c r="J231" s="615">
        <v>10</v>
      </c>
      <c r="K231" s="402"/>
      <c r="L231" s="407">
        <f t="shared" ref="L231:L235" si="1685">IF(L$5=$H231,-$E231,0)</f>
        <v>0</v>
      </c>
      <c r="M231" s="404">
        <f t="shared" ref="M231:M235" si="1686">IF(Q231=0,0,IF(Q231&lt;0,IF($J231=3,Q231,IF($J231=2,Q231,IF($J231=1,Q231,0)))))</f>
        <v>0</v>
      </c>
      <c r="N231" s="414">
        <f t="shared" ref="N231:N235" si="1687">IF(Q231=0,0,IF(Q231&lt;0,IF($J231=6,Q231,IF($J231=5,Q231,IF($J231=4,Q231,0)))))</f>
        <v>0</v>
      </c>
      <c r="O231" s="414">
        <f t="shared" ref="O231:O235" si="1688">IF(Q231=0,0,IF(Q231&lt;0,IF($J231=9,Q231,IF($J231=8,Q231,IF($J231=7,Q231,0)))))</f>
        <v>0</v>
      </c>
      <c r="P231" s="406">
        <f t="shared" ref="P231:P235" si="1689">IF(Q231=0,0,IF(Q231&lt;0,IF($J231=12,Q231,IF($J231=11,Q231,IF($J231=10,Q231,0)))))</f>
        <v>0</v>
      </c>
      <c r="Q231" s="407">
        <f t="shared" ref="Q231:Q235" si="1690">IF(Q$5=$H231,-$E231,0)</f>
        <v>0</v>
      </c>
      <c r="R231" s="404">
        <f t="shared" ref="R231:R235" si="1691">IF(V231=0,0,IF(V231&lt;0,IF($J231=3,V231,IF($J231=2,V231,IF($J231=1,V231,0)))))</f>
        <v>0</v>
      </c>
      <c r="S231" s="414">
        <f t="shared" ref="S231:S235" si="1692">IF(V231=0,0,IF(V231&lt;0,IF($J231=6,V231,IF($J231=5,V231,IF($J231=4,V231,0)))))</f>
        <v>0</v>
      </c>
      <c r="T231" s="414">
        <f t="shared" ref="T231:T235" si="1693">IF(V231=0,0,IF(V231&lt;0,IF($J231=9,V231,IF($J231=8,V231,IF($J231=7,V231,0)))))</f>
        <v>0</v>
      </c>
      <c r="U231" s="406">
        <f t="shared" ref="U231:U235" si="1694">IF(V231=0,0,IF(V231&lt;0,IF($J231=12,V231,IF($J231=11,V231,IF($J231=10,V231,0)))))</f>
        <v>0</v>
      </c>
      <c r="V231" s="407">
        <f t="shared" ref="V231:V235" si="1695">IF(V$5=$H231,-$E231,0)</f>
        <v>0</v>
      </c>
      <c r="W231" s="404">
        <f t="shared" ref="W231:W235" si="1696">IF(AA231=0,0,IF(AA231&lt;0,IF($J231=3,AA231,IF($J231=2,AA231,IF($J231=1,AA231,0)))))</f>
        <v>0</v>
      </c>
      <c r="X231" s="414">
        <f t="shared" ref="X231:X235" si="1697">IF(AA231=0,0,IF(AA231&lt;0,IF($J231=6,AA231,IF($J231=5,AA231,IF($J231=4,AA231,0)))))</f>
        <v>0</v>
      </c>
      <c r="Y231" s="414">
        <f t="shared" ref="Y231:Y235" si="1698">IF(AA231=0,0,IF(AA231&lt;0,IF($J231=9,AA231,IF($J231=8,AA231,IF($J231=7,AA231,0)))))</f>
        <v>0</v>
      </c>
      <c r="Z231" s="406">
        <f t="shared" ref="Z231:Z235" si="1699">IF(AA231=0,0,IF(AA231&lt;0,IF($J231=12,AA231,IF($J231=11,AA231,IF($J231=10,AA231,0)))))</f>
        <v>0</v>
      </c>
      <c r="AA231" s="407">
        <f t="shared" ref="AA231:AA235" si="1700">IF(AA$5=$H231,-$E231,0)</f>
        <v>0</v>
      </c>
      <c r="AB231" s="404">
        <f t="shared" ref="AB231:AB235" si="1701">IF(AF231=0,0,IF(AF231&lt;0,IF($J231=3,AF231,IF($J231=2,AF231,IF($J231=1,AF231,0)))))</f>
        <v>0</v>
      </c>
      <c r="AC231" s="414">
        <f t="shared" ref="AC231:AC235" si="1702">IF(AF231=0,0,IF(AF231&lt;0,IF($J231=6,AF231,IF($J231=5,AF231,IF($J231=4,AF231,0)))))</f>
        <v>0</v>
      </c>
      <c r="AD231" s="414">
        <f t="shared" ref="AD231:AD235" si="1703">IF(AF231=0,0,IF(AF231&lt;0,IF($J231=9,AF231,IF($J231=8,AF231,IF($J231=7,AF231,0)))))</f>
        <v>0</v>
      </c>
      <c r="AE231" s="406">
        <f t="shared" ref="AE231:AE235" si="1704">IF(AF231=0,0,IF(AF231&lt;0,IF($J231=12,AF231,IF($J231=11,AF231,IF($J231=10,AF231,0)))))</f>
        <v>0</v>
      </c>
      <c r="AF231" s="407">
        <f t="shared" ref="AF231:AF235" si="1705">IF(AF$5=$H231,-$E231,0)</f>
        <v>0</v>
      </c>
      <c r="AG231" s="404">
        <f t="shared" ref="AG231:AG235" si="1706">IF(AK231=0,0,IF(AK231&lt;0,IF($J231=3,AK231,IF($J231=2,AK231,IF($J231=1,AK231,0)))))</f>
        <v>0</v>
      </c>
      <c r="AH231" s="414">
        <f t="shared" ref="AH231:AH235" si="1707">IF(AK231=0,0,IF(AK231&lt;0,IF($J231=6,AK231,IF($J231=5,AK231,IF($J231=4,AK231,0)))))</f>
        <v>0</v>
      </c>
      <c r="AI231" s="414">
        <f t="shared" ref="AI231:AI235" si="1708">IF(AK231=0,0,IF(AK231&lt;0,IF($J231=9,AK231,IF($J231=8,AK231,IF($J231=7,AK231,0)))))</f>
        <v>0</v>
      </c>
      <c r="AJ231" s="406">
        <f t="shared" ref="AJ231:AJ235" si="1709">IF(AK231=0,0,IF(AK231&lt;0,IF($J231=12,AK231,IF($J231=11,AK231,IF($J231=10,AK231,0)))))</f>
        <v>0</v>
      </c>
      <c r="AK231" s="407">
        <f t="shared" ref="AK231:AK235" si="1710">IF(AK$5=$H231,-$E231,0)</f>
        <v>0</v>
      </c>
      <c r="AL231" s="404">
        <f t="shared" ref="AL231:AL235" si="1711">IF(AP231=0,0,IF(AP231&lt;0,IF($J231=3,AP231,IF($J231=2,AP231,IF($J231=1,AP231,0)))))</f>
        <v>0</v>
      </c>
      <c r="AM231" s="414">
        <f t="shared" ref="AM231:AM235" si="1712">IF(AP231=0,0,IF(AP231&lt;0,IF($J231=6,AP231,IF($J231=5,AP231,IF($J231=4,AP231,0)))))</f>
        <v>0</v>
      </c>
      <c r="AN231" s="414">
        <f t="shared" ref="AN231:AN235" si="1713">IF(AP231=0,0,IF(AP231&lt;0,IF($J231=9,AP231,IF($J231=8,AP231,IF($J231=7,AP231,0)))))</f>
        <v>0</v>
      </c>
      <c r="AO231" s="406">
        <f t="shared" ref="AO231:AO235" si="1714">IF(AP231=0,0,IF(AP231&lt;0,IF($J231=12,AP231,IF($J231=11,AP231,IF($J231=10,AP231,0)))))</f>
        <v>0</v>
      </c>
      <c r="AP231" s="407">
        <f t="shared" ref="AP231:AP235" si="1715">IF(AP$5=$H231,-$E231,0)</f>
        <v>0</v>
      </c>
      <c r="AQ231" s="404">
        <f t="shared" ref="AQ231:AQ235" si="1716">IF(AU231=0,0,IF(AU231&lt;0,IF($J231=3,AU231,IF($J231=2,AU231,IF($J231=1,AU231,0)))))</f>
        <v>0</v>
      </c>
      <c r="AR231" s="414">
        <f t="shared" ref="AR231:AR235" si="1717">IF(AU231=0,0,IF(AU231&lt;0,IF($J231=6,AU231,IF($J231=5,AU231,IF($J231=4,AU231,0)))))</f>
        <v>0</v>
      </c>
      <c r="AS231" s="414">
        <f t="shared" ref="AS231:AS235" si="1718">IF(AU231=0,0,IF(AU231&lt;0,IF($J231=9,AU231,IF($J231=8,AU231,IF($J231=7,AU231,0)))))</f>
        <v>0</v>
      </c>
      <c r="AT231" s="406">
        <f t="shared" ref="AT231:AT235" si="1719">IF(AU231=0,0,IF(AU231&lt;0,IF($J231=12,AU231,IF($J231=11,AU231,IF($J231=10,AU231,0)))))</f>
        <v>0</v>
      </c>
      <c r="AU231" s="407">
        <f t="shared" ref="AU231:AU235" si="1720">IF(AU$5=$H231,-$E231,0)</f>
        <v>0</v>
      </c>
      <c r="AV231" s="404">
        <f t="shared" ref="AV231:AV235" si="1721">IF(AZ231=0,0,IF(AZ231&lt;0,IF($J231=3,AZ231,IF($J231=2,AZ231,IF($J231=1,AZ231,0)))))</f>
        <v>0</v>
      </c>
      <c r="AW231" s="414">
        <f t="shared" ref="AW231:AW235" si="1722">IF(AZ231=0,0,IF(AZ231&lt;0,IF($J231=6,AZ231,IF($J231=5,AZ231,IF($J231=4,AZ231,0)))))</f>
        <v>0</v>
      </c>
      <c r="AX231" s="414">
        <f t="shared" ref="AX231:AX235" si="1723">IF(AZ231=0,0,IF(AZ231&lt;0,IF($J231=9,AZ231,IF($J231=8,AZ231,IF($J231=7,AZ231,0)))))</f>
        <v>0</v>
      </c>
      <c r="AY231" s="406">
        <f t="shared" ref="AY231:AY235" si="1724">IF(AZ231=0,0,IF(AZ231&lt;0,IF($J231=12,AZ231,IF($J231=11,AZ231,IF($J231=10,AZ231,0)))))</f>
        <v>0</v>
      </c>
      <c r="AZ231" s="407">
        <f t="shared" ref="AZ231:AZ235" si="1725">IF(AZ$5=$H231,-$E231,0)</f>
        <v>0</v>
      </c>
      <c r="BA231" s="404">
        <f t="shared" ref="BA231:BA235" si="1726">IF(BE231=0,0,IF(BE231&lt;0,IF($J231=3,BE231,IF($J231=2,BE231,IF($J231=1,BE231,0)))))</f>
        <v>0</v>
      </c>
      <c r="BB231" s="414">
        <f t="shared" ref="BB231:BB235" si="1727">IF(BE231=0,0,IF(BE231&lt;0,IF($J231=6,BE231,IF($J231=5,BE231,IF($J231=4,BE231,0)))))</f>
        <v>0</v>
      </c>
      <c r="BC231" s="414">
        <f t="shared" ref="BC231:BC235" si="1728">IF(BE231=0,0,IF(BE231&lt;0,IF($J231=9,BE231,IF($J231=8,BE231,IF($J231=7,BE231,0)))))</f>
        <v>0</v>
      </c>
      <c r="BD231" s="406">
        <f t="shared" ref="BD231:BD235" si="1729">IF(BE231=0,0,IF(BE231&lt;0,IF($J231=12,BE231,IF($J231=11,BE231,IF($J231=10,BE231,0)))))</f>
        <v>0</v>
      </c>
      <c r="BE231" s="407">
        <f t="shared" ref="BE231:BE235" si="1730">IF(BE$5=$H231,-$E231,0)</f>
        <v>0</v>
      </c>
      <c r="BF231" s="404">
        <f t="shared" ref="BF231:BF235" si="1731">IF(BJ231=0,0,IF(BJ231&lt;0,IF($J231=3,BJ231,IF($J231=2,BJ231,IF($J231=1,BJ231,0)))))</f>
        <v>0</v>
      </c>
      <c r="BG231" s="414">
        <f t="shared" ref="BG231:BG235" si="1732">IF(BJ231=0,0,IF(BJ231&lt;0,IF($J231=6,BJ231,IF($J231=5,BJ231,IF($J231=4,BJ231,0)))))</f>
        <v>0</v>
      </c>
      <c r="BH231" s="414">
        <f t="shared" ref="BH231:BH235" si="1733">IF(BJ231=0,0,IF(BJ231&lt;0,IF($J231=9,BJ231,IF($J231=8,BJ231,IF($J231=7,BJ231,0)))))</f>
        <v>0</v>
      </c>
      <c r="BI231" s="406">
        <f t="shared" ref="BI231:BI235" si="1734">IF(BJ231=0,0,IF(BJ231&lt;0,IF($J231=12,BJ231,IF($J231=11,BJ231,IF($J231=10,BJ231,0)))))</f>
        <v>0</v>
      </c>
      <c r="BJ231" s="407">
        <f t="shared" ref="BJ231:BJ235" si="1735">IF(BJ$5=$H231,-$E231,0)</f>
        <v>0</v>
      </c>
      <c r="BK231" s="404">
        <f t="shared" ref="BK231:BK235" si="1736">IF(BO231=0,0,IF(BO231&lt;0,IF($J231=3,BO231,IF($J231=2,BO231,IF($J231=1,BO231,0)))))</f>
        <v>0</v>
      </c>
      <c r="BL231" s="414">
        <f t="shared" ref="BL231:BL235" si="1737">IF(BO231=0,0,IF(BO231&lt;0,IF($J231=6,BO231,IF($J231=5,BO231,IF($J231=4,BO231,0)))))</f>
        <v>0</v>
      </c>
      <c r="BM231" s="414">
        <f t="shared" ref="BM231:BM235" si="1738">IF(BO231=0,0,IF(BO231&lt;0,IF($J231=9,BO231,IF($J231=8,BO231,IF($J231=7,BO231,0)))))</f>
        <v>0</v>
      </c>
      <c r="BN231" s="406">
        <f t="shared" ref="BN231:BN235" si="1739">IF(BO231=0,0,IF(BO231&lt;0,IF($J231=12,BO231,IF($J231=11,BO231,IF($J231=10,BO231,0)))))</f>
        <v>0</v>
      </c>
      <c r="BO231" s="407">
        <f t="shared" ref="BO231:BO235" si="1740">IF(BO$5=$H231,-$E231,0)</f>
        <v>0</v>
      </c>
      <c r="BP231" s="449"/>
      <c r="BQ231" s="413">
        <f t="shared" ref="BQ231:BQ235" si="1741">IF(AND(AH231&lt;&gt;0,AH$5=$H231),-$I231*$E231-AH231,IF(BQ$5=$H231,-$I231*$E231*(12-$J231+1)/12,0))</f>
        <v>0</v>
      </c>
      <c r="BR231" s="410">
        <f t="shared" ref="BR231:BR235" si="1742">IF($H231&lt;&gt;BV$5,0,IF(BV231&lt;0,IF($J231=1,-$E231*$I231/12*3,IF($J231=2,-$E231*$I231/12*2,IF($J231=3,-$E231*$I231/12*1,0)))))+IF(BQ$5&lt;&gt;$H231,0,IF(BQ231&lt;0,IF($J231=1,-$E231*$I231/12*0,IF($J231=2,-$E231*$I231/12*1,IF($J231=3,-$E231*$I231/12*2,IF($J231&gt;=4,-$E231*$I231/12*3,0))))))</f>
        <v>0</v>
      </c>
      <c r="BS231" s="416">
        <f t="shared" ref="BS231:BS235" si="1743">IF($H231&lt;&gt;BV$5,0,IF(BV231&lt;0,IF(OR($J231=1,$J231=2,$J231=3,$J231=4),-$E231*$I231/12*3,IF($J231=5,-$E231*$I231/12*2,IF($J231=6,-$E231*$I231/12*1,0)))))+IF(BQ$5&lt;&gt;$H231,0,IF(BQ231&lt;0,IF($J231=4,-$E231*$I231/12*0,IF($J231=5,-$E231*$I231/12*1,IF($J231=6,-$E231*$I231/12*2,IF($J231&gt;=7,-$E231*$I231/12*3,0))))))</f>
        <v>0</v>
      </c>
      <c r="BT231" s="416">
        <f t="shared" ref="BT231:BT235" si="1744">IF($H231&lt;&gt;BV$5,0,IF(BV231&lt;0,IF(OR($J231=1,$J231=2,$J231=3,$J231=4,$J231=5,$J231=6,$J231=7),-$E231*$I231/12*3,IF($J231=8,-$E231*$I231/12*2,IF($J231=9,-$E231*$I231/12*1,0)))))+IF(BQ$5&lt;&gt;$H231,0,IF(BQ231&lt;0,IF($J231=7,-$E231*$I231/12*0,IF($J231=8,-$E231*$I231/12*1,IF($J231=9,-$E231*$I231/12*2,IF($J231&gt;=10,-$E231*$I231/12*3,0))))))</f>
        <v>0</v>
      </c>
      <c r="BU231" s="412">
        <f t="shared" ref="BU231:BU235" si="1745">IF($H231&lt;&gt;BV$5,0,IF(BV231&lt;0,IF(OR($J231=1,$J231=2,$J231=3,$J231=4,$J231=5,$J231=6,$J231=7,$J231=8,$J231=9,$J231=10),-$E231*$I231/12*3,IF($J231=11,-$E231*$I231/12*2,IF($J231=12,-$E231*$I231/12*1,0)))))+IF(BQ$5&lt;&gt;$H231,0,IF(BQ231&lt;0,IF($J231=10,-$E231*$I231/12*0,IF($J231=11,-$E231*$I231/12*1,IF($J231=12,-$E231*$I231/12*2,0)))))</f>
        <v>0</v>
      </c>
      <c r="BV231" s="413">
        <f t="shared" ref="BV231:BV235" si="1746">IF(AND(BQ231&lt;&gt;0,BQ$5=$H231),-$I231*$E231-BQ231,IF(BV$5=$H231,-$I231*$E231*(12-$J231+1)/12,0))</f>
        <v>0</v>
      </c>
      <c r="BW231" s="410">
        <f t="shared" ref="BW231:BW235" si="1747">IF($H231&lt;&gt;CA$5,0,IF(CA231&lt;0,IF($J231=1,-$E231*$I231/12*3,IF($J231=2,-$E231*$I231/12*2,IF($J231=3,-$E231*$I231/12*1,0)))))+IF(BV$5&lt;&gt;$H231,0,IF(BV231&lt;0,IF($J231=1,-$E231*$I231/12*0,IF($J231=2,-$E231*$I231/12*1,IF($J231=3,-$E231*$I231/12*2,IF($J231&gt;=4,-$E231*$I231/12*3,0))))))</f>
        <v>0</v>
      </c>
      <c r="BX231" s="416">
        <f t="shared" ref="BX231:BX235" si="1748">IF($H231&lt;&gt;CA$5,0,IF(CA231&lt;0,IF(OR($J231=1,$J231=2,$J231=3,$J231=4),-$E231*$I231/12*3,IF($J231=5,-$E231*$I231/12*2,IF($J231=6,-$E231*$I231/12*1,0)))))+IF(BV$5&lt;&gt;$H231,0,IF(BV231&lt;0,IF($J231=4,-$E231*$I231/12*0,IF($J231=5,-$E231*$I231/12*1,IF($J231=6,-$E231*$I231/12*2,IF($J231&gt;=7,-$E231*$I231/12*3,0))))))</f>
        <v>0</v>
      </c>
      <c r="BY231" s="416">
        <f t="shared" ref="BY231:BY235" si="1749">IF($H231&lt;&gt;CA$5,0,IF(CA231&lt;0,IF(OR($J231=1,$J231=2,$J231=3,$J231=4,$J231=5,$J231=6,$J231=7),-$E231*$I231/12*3,IF($J231=8,-$E231*$I231/12*2,IF($J231=9,-$E231*$I231/12*1,0)))))+IF(BV$5&lt;&gt;$H231,0,IF(BV231&lt;0,IF($J231=7,-$E231*$I231/12*0,IF($J231=8,-$E231*$I231/12*1,IF($J231=9,-$E231*$I231/12*2,IF($J231&gt;=10,-$E231*$I231/12*3,0))))))</f>
        <v>0</v>
      </c>
      <c r="BZ231" s="412">
        <f t="shared" ref="BZ231:BZ235" si="1750">IF($H231&lt;&gt;CA$5,0,IF(CA231&lt;0,IF(OR($J231=1,$J231=2,$J231=3,$J231=4,$J231=5,$J231=6,$J231=7,$J231=8,$J231=9,$J231=10),-$E231*$I231/12*3,IF($J231=11,-$E231*$I231/12*2,IF($J231=12,-$E231*$I231/12*1,0)))))+IF(BV$5&lt;&gt;$H231,0,IF(BV231&lt;0,IF($J231=10,-$E231*$I231/12*0,IF($J231=11,-$E231*$I231/12*1,IF($J231=12,-$E231*$I231/12*2,0)))))</f>
        <v>0</v>
      </c>
      <c r="CA231" s="413">
        <f t="shared" ref="CA231:CA235" si="1751">IF(AND(BV231&lt;&gt;0,BV$5=$H231),-$I231*$E231-BV231,IF(CA$5=$H231,-$I231*$E231*(12-$J231+1)/12,0))</f>
        <v>0</v>
      </c>
      <c r="CB231" s="410">
        <f t="shared" ref="CB231:CB235" si="1752">IF($H231&lt;&gt;CF$5,0,IF(CF231&lt;0,IF($J231=1,-$E231*$I231/12*3,IF($J231=2,-$E231*$I231/12*2,IF($J231=3,-$E231*$I231/12*1,0)))))+IF(CA$5&lt;&gt;$H231,0,IF(CA231&lt;0,IF($J231=1,-$E231*$I231/12*0,IF($J231=2,-$E231*$I231/12*1,IF($J231=3,-$E231*$I231/12*2,IF($J231&gt;=4,-$E231*$I231/12*3,0))))))</f>
        <v>0</v>
      </c>
      <c r="CC231" s="416">
        <f t="shared" ref="CC231:CC235" si="1753">IF($H231&lt;&gt;CF$5,0,IF(CF231&lt;0,IF(OR($J231=1,$J231=2,$J231=3,$J231=4),-$E231*$I231/12*3,IF($J231=5,-$E231*$I231/12*2,IF($J231=6,-$E231*$I231/12*1,0)))))+IF(CA$5&lt;&gt;$H231,0,IF(CA231&lt;0,IF($J231=4,-$E231*$I231/12*0,IF($J231=5,-$E231*$I231/12*1,IF($J231=6,-$E231*$I231/12*2,IF($J231&gt;=7,-$E231*$I231/12*3,0))))))</f>
        <v>0</v>
      </c>
      <c r="CD231" s="416">
        <f t="shared" ref="CD231:CD235" si="1754">IF($H231&lt;&gt;CF$5,0,IF(CF231&lt;0,IF(OR($J231=1,$J231=2,$J231=3,$J231=4,$J231=5,$J231=6,$J231=7),-$E231*$I231/12*3,IF($J231=8,-$E231*$I231/12*2,IF($J231=9,-$E231*$I231/12*1,0)))))+IF(CA$5&lt;&gt;$H231,0,IF(CA231&lt;0,IF($J231=7,-$E231*$I231/12*0,IF($J231=8,-$E231*$I231/12*1,IF($J231=9,-$E231*$I231/12*2,IF($J231&gt;=10,-$E231*$I231/12*3,0))))))</f>
        <v>0</v>
      </c>
      <c r="CE231" s="412">
        <f t="shared" ref="CE231:CE235" si="1755">IF($H231&lt;&gt;CF$5,0,IF(CF231&lt;0,IF(OR($J231=1,$J231=2,$J231=3,$J231=4,$J231=5,$J231=6,$J231=7,$J231=8,$J231=9,$J231=10),-$E231*$I231/12*3,IF($J231=11,-$E231*$I231/12*2,IF($J231=12,-$E231*$I231/12*1,0)))))+IF(CA$5&lt;&gt;$H231,0,IF(CA231&lt;0,IF($J231=10,-$E231*$I231/12*0,IF($J231=11,-$E231*$I231/12*1,IF($J231=12,-$E231*$I231/12*2,0)))))</f>
        <v>0</v>
      </c>
      <c r="CF231" s="413">
        <f t="shared" ref="CF231:CF235" si="1756">IF(AND(CA231&lt;&gt;0,CA$5=$H231),-$I231*$E231-CA231,IF(CF$5=$H231,-$I231*$E231*(12-$J231+1)/12,0))</f>
        <v>0</v>
      </c>
      <c r="CG231" s="410">
        <f t="shared" ref="CG231:CG235" si="1757">IF($H231&lt;&gt;CK$5,0,IF(CK231&lt;0,IF($J231=1,-$E231*$I231/12*3,IF($J231=2,-$E231*$I231/12*2,IF($J231=3,-$E231*$I231/12*1,0)))))+IF(CF$5&lt;&gt;$H231,0,IF(CF231&lt;0,IF($J231=1,-$E231*$I231/12*0,IF($J231=2,-$E231*$I231/12*1,IF($J231=3,-$E231*$I231/12*2,IF($J231&gt;=4,-$E231*$I231/12*3,0))))))</f>
        <v>0</v>
      </c>
      <c r="CH231" s="416">
        <f t="shared" ref="CH231:CH235" si="1758">IF($H231&lt;&gt;CK$5,0,IF(CK231&lt;0,IF(OR($J231=1,$J231=2,$J231=3,$J231=4),-$E231*$I231/12*3,IF($J231=5,-$E231*$I231/12*2,IF($J231=6,-$E231*$I231/12*1,0)))))+IF(CF$5&lt;&gt;$H231,0,IF(CF231&lt;0,IF($J231=4,-$E231*$I231/12*0,IF($J231=5,-$E231*$I231/12*1,IF($J231=6,-$E231*$I231/12*2,IF($J231&gt;=7,-$E231*$I231/12*3,0))))))</f>
        <v>0</v>
      </c>
      <c r="CI231" s="416">
        <f t="shared" ref="CI231:CI235" si="1759">IF($H231&lt;&gt;CK$5,0,IF(CK231&lt;0,IF(OR($J231=1,$J231=2,$J231=3,$J231=4,$J231=5,$J231=6,$J231=7),-$E231*$I231/12*3,IF($J231=8,-$E231*$I231/12*2,IF($J231=9,-$E231*$I231/12*1,0)))))+IF(CF$5&lt;&gt;$H231,0,IF(CF231&lt;0,IF($J231=7,-$E231*$I231/12*0,IF($J231=8,-$E231*$I231/12*1,IF($J231=9,-$E231*$I231/12*2,IF($J231&gt;=10,-$E231*$I231/12*3,0))))))</f>
        <v>0</v>
      </c>
      <c r="CJ231" s="412">
        <f t="shared" ref="CJ231:CJ235" si="1760">IF($H231&lt;&gt;CK$5,0,IF(CK231&lt;0,IF(OR($J231=1,$J231=2,$J231=3,$J231=4,$J231=5,$J231=6,$J231=7,$J231=8,$J231=9,$J231=10),-$E231*$I231/12*3,IF($J231=11,-$E231*$I231/12*2,IF($J231=12,-$E231*$I231/12*1,0)))))+IF(CF$5&lt;&gt;$H231,0,IF(CF231&lt;0,IF($J231=10,-$E231*$I231/12*0,IF($J231=11,-$E231*$I231/12*1,IF($J231=12,-$E231*$I231/12*2,0)))))</f>
        <v>0</v>
      </c>
      <c r="CK231" s="413">
        <f t="shared" ref="CK231:CK235" si="1761">IF(AND(CF231&lt;&gt;0,CF$5=$H231),-$I231*$E231-CF231,IF(CK$5=$H231,-$I231*$E231*(12-$J231+1)/12,0))</f>
        <v>0</v>
      </c>
      <c r="CL231" s="410">
        <f t="shared" ref="CL231:CL235" si="1762">IF($H231&lt;&gt;CP$5,0,IF(CP231&lt;0,IF($J231=1,-$E231*$I231/12*3,IF($J231=2,-$E231*$I231/12*2,IF($J231=3,-$E231*$I231/12*1,0)))))+IF(CK$5&lt;&gt;$H231,0,IF(CK231&lt;0,IF($J231=1,-$E231*$I231/12*0,IF($J231=2,-$E231*$I231/12*1,IF($J231=3,-$E231*$I231/12*2,IF($J231&gt;=4,-$E231*$I231/12*3,0))))))</f>
        <v>0</v>
      </c>
      <c r="CM231" s="416">
        <f t="shared" ref="CM231:CM235" si="1763">IF($H231&lt;&gt;CP$5,0,IF(CP231&lt;0,IF(OR($J231=1,$J231=2,$J231=3,$J231=4),-$E231*$I231/12*3,IF($J231=5,-$E231*$I231/12*2,IF($J231=6,-$E231*$I231/12*1,0)))))+IF(CK$5&lt;&gt;$H231,0,IF(CK231&lt;0,IF($J231=4,-$E231*$I231/12*0,IF($J231=5,-$E231*$I231/12*1,IF($J231=6,-$E231*$I231/12*2,IF($J231&gt;=7,-$E231*$I231/12*3,0))))))</f>
        <v>0</v>
      </c>
      <c r="CN231" s="416">
        <f t="shared" ref="CN231:CN235" si="1764">IF($H231&lt;&gt;CP$5,0,IF(CP231&lt;0,IF(OR($J231=1,$J231=2,$J231=3,$J231=4,$J231=5,$J231=6,$J231=7),-$E231*$I231/12*3,IF($J231=8,-$E231*$I231/12*2,IF($J231=9,-$E231*$I231/12*1,0)))))+IF(CK$5&lt;&gt;$H231,0,IF(CK231&lt;0,IF($J231=7,-$E231*$I231/12*0,IF($J231=8,-$E231*$I231/12*1,IF($J231=9,-$E231*$I231/12*2,IF($J231&gt;=10,-$E231*$I231/12*3,0))))))</f>
        <v>0</v>
      </c>
      <c r="CO231" s="412">
        <f t="shared" ref="CO231:CO235" si="1765">IF($H231&lt;&gt;CP$5,0,IF(CP231&lt;0,IF(OR($J231=1,$J231=2,$J231=3,$J231=4,$J231=5,$J231=6,$J231=7,$J231=8,$J231=9,$J231=10),-$E231*$I231/12*3,IF($J231=11,-$E231*$I231/12*2,IF($J231=12,-$E231*$I231/12*1,0)))))+IF(CK$5&lt;&gt;$H231,0,IF(CK231&lt;0,IF($J231=10,-$E231*$I231/12*0,IF($J231=11,-$E231*$I231/12*1,IF($J231=12,-$E231*$I231/12*2,0)))))</f>
        <v>0</v>
      </c>
      <c r="CP231" s="413">
        <f t="shared" ref="CP231:CP235" si="1766">IF(AND(CK231&lt;&gt;0,CK$5=$H231),-$I231*$E231-CK231,IF(CP$5=$H231,-$I231*$E231*(12-$J231+1)/12,0))</f>
        <v>0</v>
      </c>
      <c r="CQ231" s="410">
        <f t="shared" ref="CQ231:CQ235" si="1767">IF($H231&lt;&gt;CU$5,0,IF(CU231&lt;0,IF($J231=1,-$E231*$I231/12*3,IF($J231=2,-$E231*$I231/12*2,IF($J231=3,-$E231*$I231/12*1,0)))))+IF(CP$5&lt;&gt;$H231,0,IF(CP231&lt;0,IF($J231=1,-$E231*$I231/12*0,IF($J231=2,-$E231*$I231/12*1,IF($J231=3,-$E231*$I231/12*2,IF($J231&gt;=4,-$E231*$I231/12*3,0))))))</f>
        <v>0</v>
      </c>
      <c r="CR231" s="416">
        <f t="shared" ref="CR231:CR235" si="1768">IF($H231&lt;&gt;CU$5,0,IF(CU231&lt;0,IF(OR($J231=1,$J231=2,$J231=3,$J231=4),-$E231*$I231/12*3,IF($J231=5,-$E231*$I231/12*2,IF($J231=6,-$E231*$I231/12*1,0)))))+IF(CP$5&lt;&gt;$H231,0,IF(CP231&lt;0,IF($J231=4,-$E231*$I231/12*0,IF($J231=5,-$E231*$I231/12*1,IF($J231=6,-$E231*$I231/12*2,IF($J231&gt;=7,-$E231*$I231/12*3,0))))))</f>
        <v>0</v>
      </c>
      <c r="CS231" s="416">
        <f t="shared" ref="CS231:CS235" si="1769">IF($H231&lt;&gt;CU$5,0,IF(CU231&lt;0,IF(OR($J231=1,$J231=2,$J231=3,$J231=4,$J231=5,$J231=6,$J231=7),-$E231*$I231/12*3,IF($J231=8,-$E231*$I231/12*2,IF($J231=9,-$E231*$I231/12*1,0)))))+IF(CP$5&lt;&gt;$H231,0,IF(CP231&lt;0,IF($J231=7,-$E231*$I231/12*0,IF($J231=8,-$E231*$I231/12*1,IF($J231=9,-$E231*$I231/12*2,IF($J231&gt;=10,-$E231*$I231/12*3,0))))))</f>
        <v>0</v>
      </c>
      <c r="CT231" s="412">
        <f t="shared" ref="CT231:CT235" si="1770">IF($H231&lt;&gt;CU$5,0,IF(CU231&lt;0,IF(OR($J231=1,$J231=2,$J231=3,$J231=4,$J231=5,$J231=6,$J231=7,$J231=8,$J231=9,$J231=10),-$E231*$I231/12*3,IF($J231=11,-$E231*$I231/12*2,IF($J231=12,-$E231*$I231/12*1,0)))))+IF(CP$5&lt;&gt;$H231,0,IF(CP231&lt;0,IF($J231=10,-$E231*$I231/12*0,IF($J231=11,-$E231*$I231/12*1,IF($J231=12,-$E231*$I231/12*2,0)))))</f>
        <v>0</v>
      </c>
      <c r="CU231" s="413">
        <f t="shared" ref="CU231:CU235" si="1771">IF(AND(CP231&lt;&gt;0,CP$5=$H231),-$I231*$E231-CP231,IF(CU$5=$H231,-$I231*$E231*(12-$J231+1)/12,0))</f>
        <v>0</v>
      </c>
      <c r="CV231" s="410">
        <f t="shared" ref="CV231:CV235" si="1772">IF($H231&lt;&gt;CZ$5,0,IF(CZ231&lt;0,IF($J231=1,-$E231*$I231/12*3,IF($J231=2,-$E231*$I231/12*2,IF($J231=3,-$E231*$I231/12*1,0)))))+IF(CU$5&lt;&gt;$H231,0,IF(CU231&lt;0,IF($J231=1,-$E231*$I231/12*0,IF($J231=2,-$E231*$I231/12*1,IF($J231=3,-$E231*$I231/12*2,IF($J231&gt;=4,-$E231*$I231/12*3,0))))))</f>
        <v>0</v>
      </c>
      <c r="CW231" s="416">
        <f t="shared" ref="CW231:CW235" si="1773">IF($H231&lt;&gt;CZ$5,0,IF(CZ231&lt;0,IF(OR($J231=1,$J231=2,$J231=3,$J231=4),-$E231*$I231/12*3,IF($J231=5,-$E231*$I231/12*2,IF($J231=6,-$E231*$I231/12*1,0)))))+IF(CU$5&lt;&gt;$H231,0,IF(CU231&lt;0,IF($J231=4,-$E231*$I231/12*0,IF($J231=5,-$E231*$I231/12*1,IF($J231=6,-$E231*$I231/12*2,IF($J231&gt;=7,-$E231*$I231/12*3,0))))))</f>
        <v>0</v>
      </c>
      <c r="CX231" s="416">
        <f t="shared" ref="CX231:CX235" si="1774">IF($H231&lt;&gt;CZ$5,0,IF(CZ231&lt;0,IF(OR($J231=1,$J231=2,$J231=3,$J231=4,$J231=5,$J231=6,$J231=7),-$E231*$I231/12*3,IF($J231=8,-$E231*$I231/12*2,IF($J231=9,-$E231*$I231/12*1,0)))))+IF(CU$5&lt;&gt;$H231,0,IF(CU231&lt;0,IF($J231=7,-$E231*$I231/12*0,IF($J231=8,-$E231*$I231/12*1,IF($J231=9,-$E231*$I231/12*2,IF($J231&gt;=10,-$E231*$I231/12*3,0))))))</f>
        <v>0</v>
      </c>
      <c r="CY231" s="412">
        <f t="shared" ref="CY231:CY235" si="1775">IF($H231&lt;&gt;CZ$5,0,IF(CZ231&lt;0,IF(OR($J231=1,$J231=2,$J231=3,$J231=4,$J231=5,$J231=6,$J231=7,$J231=8,$J231=9,$J231=10),-$E231*$I231/12*3,IF($J231=11,-$E231*$I231/12*2,IF($J231=12,-$E231*$I231/12*1,0)))))+IF(CU$5&lt;&gt;$H231,0,IF(CU231&lt;0,IF($J231=10,-$E231*$I231/12*0,IF($J231=11,-$E231*$I231/12*1,IF($J231=12,-$E231*$I231/12*2,0)))))</f>
        <v>0</v>
      </c>
      <c r="CZ231" s="413">
        <f t="shared" ref="CZ231:CZ235" si="1776">IF(AND(CU231&lt;&gt;0,CU$5=$H231),-$I231*$E231-CU231,IF(CZ$5=$H231,-$I231*$E231*(12-$J231+1)/12,0))</f>
        <v>0</v>
      </c>
      <c r="DA231" s="410">
        <f t="shared" ref="DA231:DA235" si="1777">IF($H231&lt;&gt;DE$5,0,IF(DE231&lt;0,IF($J231=1,-$E231*$I231/12*3,IF($J231=2,-$E231*$I231/12*2,IF($J231=3,-$E231*$I231/12*1,0)))))+IF(CZ$5&lt;&gt;$H231,0,IF(CZ231&lt;0,IF($J231=1,-$E231*$I231/12*0,IF($J231=2,-$E231*$I231/12*1,IF($J231=3,-$E231*$I231/12*2,IF($J231&gt;=4,-$E231*$I231/12*3,0))))))</f>
        <v>0</v>
      </c>
      <c r="DB231" s="416">
        <f t="shared" ref="DB231:DB235" si="1778">IF($H231&lt;&gt;DE$5,0,IF(DE231&lt;0,IF(OR($J231=1,$J231=2,$J231=3,$J231=4),-$E231*$I231/12*3,IF($J231=5,-$E231*$I231/12*2,IF($J231=6,-$E231*$I231/12*1,0)))))+IF(CZ$5&lt;&gt;$H231,0,IF(CZ231&lt;0,IF($J231=4,-$E231*$I231/12*0,IF($J231=5,-$E231*$I231/12*1,IF($J231=6,-$E231*$I231/12*2,IF($J231&gt;=7,-$E231*$I231/12*3,0))))))</f>
        <v>0</v>
      </c>
      <c r="DC231" s="416">
        <f t="shared" ref="DC231:DC235" si="1779">IF($H231&lt;&gt;DE$5,0,IF(DE231&lt;0,IF(OR($J231=1,$J231=2,$J231=3,$J231=4,$J231=5,$J231=6,$J231=7),-$E231*$I231/12*3,IF($J231=8,-$E231*$I231/12*2,IF($J231=9,-$E231*$I231/12*1,0)))))+IF(CZ$5&lt;&gt;$H231,0,IF(CZ231&lt;0,IF($J231=7,-$E231*$I231/12*0,IF($J231=8,-$E231*$I231/12*1,IF($J231=9,-$E231*$I231/12*2,IF($J231&gt;=10,-$E231*$I231/12*3,0))))))</f>
        <v>0</v>
      </c>
      <c r="DD231" s="412">
        <f t="shared" ref="DD231:DD235" si="1780">IF($H231&lt;&gt;DE$5,0,IF(DE231&lt;0,IF(OR($J231=1,$J231=2,$J231=3,$J231=4,$J231=5,$J231=6,$J231=7,$J231=8,$J231=9,$J231=10),-$E231*$I231/12*3,IF($J231=11,-$E231*$I231/12*2,IF($J231=12,-$E231*$I231/12*1,0)))))+IF(CZ$5&lt;&gt;$H231,0,IF(CZ231&lt;0,IF($J231=10,-$E231*$I231/12*0,IF($J231=11,-$E231*$I231/12*1,IF($J231=12,-$E231*$I231/12*2,0)))))</f>
        <v>0</v>
      </c>
      <c r="DE231" s="413">
        <f t="shared" ref="DE231:DE235" si="1781">IF(AND(CZ231&lt;&gt;0,CZ$5=$H231),-$I231*$E231-CZ231,IF(DE$5=$H231,-$I231*$E231*(12-$J231+1)/12,0))</f>
        <v>0</v>
      </c>
      <c r="DF231" s="410">
        <f t="shared" ref="DF231:DF235" si="1782">IF($H231&lt;&gt;DJ$5,0,IF(DJ231&lt;0,IF($J231=1,-$E231*$I231/12*3,IF($J231=2,-$E231*$I231/12*2,IF($J231=3,-$E231*$I231/12*1,0)))))+IF(DE$5&lt;&gt;$H231,0,IF(DE231&lt;0,IF($J231=1,-$E231*$I231/12*0,IF($J231=2,-$E231*$I231/12*1,IF($J231=3,-$E231*$I231/12*2,IF($J231&gt;=4,-$E231*$I231/12*3,0))))))</f>
        <v>0</v>
      </c>
      <c r="DG231" s="416">
        <f t="shared" ref="DG231:DG235" si="1783">IF($H231&lt;&gt;DJ$5,0,IF(DJ231&lt;0,IF(OR($J231=1,$J231=2,$J231=3,$J231=4),-$E231*$I231/12*3,IF($J231=5,-$E231*$I231/12*2,IF($J231=6,-$E231*$I231/12*1,0)))))+IF(DE$5&lt;&gt;$H231,0,IF(DE231&lt;0,IF($J231=4,-$E231*$I231/12*0,IF($J231=5,-$E231*$I231/12*1,IF($J231=6,-$E231*$I231/12*2,IF($J231&gt;=7,-$E231*$I231/12*3,0))))))</f>
        <v>0</v>
      </c>
      <c r="DH231" s="416">
        <f t="shared" ref="DH231:DH235" si="1784">IF($H231&lt;&gt;DJ$5,0,IF(DJ231&lt;0,IF(OR($J231=1,$J231=2,$J231=3,$J231=4,$J231=5,$J231=6,$J231=7),-$E231*$I231/12*3,IF($J231=8,-$E231*$I231/12*2,IF($J231=9,-$E231*$I231/12*1,0)))))+IF(DE$5&lt;&gt;$H231,0,IF(DE231&lt;0,IF($J231=7,-$E231*$I231/12*0,IF($J231=8,-$E231*$I231/12*1,IF($J231=9,-$E231*$I231/12*2,IF($J231&gt;=10,-$E231*$I231/12*3,0))))))</f>
        <v>0</v>
      </c>
      <c r="DI231" s="412">
        <f t="shared" ref="DI231:DI235" si="1785">IF($H231&lt;&gt;DJ$5,0,IF(DJ231&lt;0,IF(OR($J231=1,$J231=2,$J231=3,$J231=4,$J231=5,$J231=6,$J231=7,$J231=8,$J231=9,$J231=10),-$E231*$I231/12*3,IF($J231=11,-$E231*$I231/12*2,IF($J231=12,-$E231*$I231/12*1,0)))))+IF(DE$5&lt;&gt;$H231,0,IF(DE231&lt;0,IF($J231=10,-$E231*$I231/12*0,IF($J231=11,-$E231*$I231/12*1,IF($J231=12,-$E231*$I231/12*2,0)))))</f>
        <v>0</v>
      </c>
      <c r="DJ231" s="413">
        <f t="shared" ref="DJ231:DJ235" si="1786">IF(AND(DE231&lt;&gt;0,DE$5=$H231),-$I231*$E231-DE231,IF(DJ$5=$H231,-$I231*$E231*(12-$J231+1)/12,0))</f>
        <v>0</v>
      </c>
      <c r="DK231" s="410">
        <f t="shared" ref="DK231:DK235" si="1787">IF($H231&lt;&gt;DO$5,0,IF(DO231&lt;0,IF($J231=1,-$E231*$I231/12*3,IF($J231=2,-$E231*$I231/12*2,IF($J231=3,-$E231*$I231/12*1,0)))))+IF(DJ$5&lt;&gt;$H231,0,IF(DJ231&lt;0,IF($J231=1,-$E231*$I231/12*0,IF($J231=2,-$E231*$I231/12*1,IF($J231=3,-$E231*$I231/12*2,IF($J231&gt;=4,-$E231*$I231/12*3,0))))))</f>
        <v>0</v>
      </c>
      <c r="DL231" s="416">
        <f t="shared" ref="DL231:DL235" si="1788">IF($H231&lt;&gt;DO$5,0,IF(DO231&lt;0,IF(OR($J231=1,$J231=2,$J231=3,$J231=4),-$E231*$I231/12*3,IF($J231=5,-$E231*$I231/12*2,IF($J231=6,-$E231*$I231/12*1,0)))))+IF(DJ$5&lt;&gt;$H231,0,IF(DJ231&lt;0,IF($J231=4,-$E231*$I231/12*0,IF($J231=5,-$E231*$I231/12*1,IF($J231=6,-$E231*$I231/12*2,IF($J231&gt;=7,-$E231*$I231/12*3,0))))))</f>
        <v>0</v>
      </c>
      <c r="DM231" s="416">
        <f t="shared" ref="DM231:DM235" si="1789">IF($H231&lt;&gt;DO$5,0,IF(DO231&lt;0,IF(OR($J231=1,$J231=2,$J231=3,$J231=4,$J231=5,$J231=6,$J231=7),-$E231*$I231/12*3,IF($J231=8,-$E231*$I231/12*2,IF($J231=9,-$E231*$I231/12*1,0)))))+IF(DJ$5&lt;&gt;$H231,0,IF(DJ231&lt;0,IF($J231=7,-$E231*$I231/12*0,IF($J231=8,-$E231*$I231/12*1,IF($J231=9,-$E231*$I231/12*2,IF($J231&gt;=10,-$E231*$I231/12*3,0))))))</f>
        <v>0</v>
      </c>
      <c r="DN231" s="412">
        <f t="shared" ref="DN231:DN235" si="1790">IF($H231&lt;&gt;DO$5,0,IF(DO231&lt;0,IF(OR($J231=1,$J231=2,$J231=3,$J231=4,$J231=5,$J231=6,$J231=7,$J231=8,$J231=9,$J231=10),-$E231*$I231/12*3,IF($J231=11,-$E231*$I231/12*2,IF($J231=12,-$E231*$I231/12*1,0)))))+IF(DJ$5&lt;&gt;$H231,0,IF(DJ231&lt;0,IF($J231=10,-$E231*$I231/12*0,IF($J231=11,-$E231*$I231/12*1,IF($J231=12,-$E231*$I231/12*2,0)))))</f>
        <v>0</v>
      </c>
      <c r="DO231" s="413">
        <f t="shared" ref="DO231:DO235" si="1791">IF(AND(DJ231&lt;&gt;0,DJ$5=$H231),-$I231*$E231-DJ231,IF(DO$5=$H231,-$I231*$E231*(12-$J231+1)/12,0))</f>
        <v>0</v>
      </c>
      <c r="DP231" s="410">
        <f t="shared" ref="DP231:DP235" si="1792">IF($H231&lt;&gt;DT$5,0,IF(DT231&lt;0,IF($J231=1,-$E231*$I231/12*3,IF($J231=2,-$E231*$I231/12*2,IF($J231=3,-$E231*$I231/12*1,0)))))+IF(DO$5&lt;&gt;$H231,0,IF(DO231&lt;0,IF($J231=1,-$E231*$I231/12*0,IF($J231=2,-$E231*$I231/12*1,IF($J231=3,-$E231*$I231/12*2,IF($J231&gt;=4,-$E231*$I231/12*3,0))))))</f>
        <v>0</v>
      </c>
      <c r="DQ231" s="416">
        <f t="shared" ref="DQ231:DQ235" si="1793">IF($H231&lt;&gt;DT$5,0,IF(DT231&lt;0,IF(OR($J231=1,$J231=2,$J231=3,$J231=4),-$E231*$I231/12*3,IF($J231=5,-$E231*$I231/12*2,IF($J231=6,-$E231*$I231/12*1,0)))))+IF(DO$5&lt;&gt;$H231,0,IF(DO231&lt;0,IF($J231=4,-$E231*$I231/12*0,IF($J231=5,-$E231*$I231/12*1,IF($J231=6,-$E231*$I231/12*2,IF($J231&gt;=7,-$E231*$I231/12*3,0))))))</f>
        <v>0</v>
      </c>
      <c r="DR231" s="416">
        <f t="shared" ref="DR231:DR235" si="1794">IF($H231&lt;&gt;DT$5,0,IF(DT231&lt;0,IF(OR($J231=1,$J231=2,$J231=3,$J231=4,$J231=5,$J231=6,$J231=7),-$E231*$I231/12*3,IF($J231=8,-$E231*$I231/12*2,IF($J231=9,-$E231*$I231/12*1,0)))))+IF(DO$5&lt;&gt;$H231,0,IF(DO231&lt;0,IF($J231=7,-$E231*$I231/12*0,IF($J231=8,-$E231*$I231/12*1,IF($J231=9,-$E231*$I231/12*2,IF($J231&gt;=10,-$E231*$I231/12*3,0))))))</f>
        <v>0</v>
      </c>
      <c r="DS231" s="412">
        <f t="shared" ref="DS231:DS235" si="1795">IF($H231&lt;&gt;DT$5,0,IF(DT231&lt;0,IF(OR($J231=1,$J231=2,$J231=3,$J231=4,$J231=5,$J231=6,$J231=7,$J231=8,$J231=9,$J231=10),-$E231*$I231/12*3,IF($J231=11,-$E231*$I231/12*2,IF($J231=12,-$E231*$I231/12*1,0)))))+IF(DO$5&lt;&gt;$H231,0,IF(DO231&lt;0,IF($J231=10,-$E231*$I231/12*0,IF($J231=11,-$E231*$I231/12*1,IF($J231=12,-$E231*$I231/12*2,0)))))</f>
        <v>0</v>
      </c>
      <c r="DT231" s="413">
        <f t="shared" ref="DT231:DT235" si="1796">IF(AND(DO231&lt;&gt;0,DO$5=$H231),-$I231*$E231-DO231,IF(DT$5=$H231,-$I231*$E231*(12-$J231+1)/12,0))</f>
        <v>0</v>
      </c>
    </row>
    <row r="232" spans="1:124" ht="12.75" customHeight="1">
      <c r="A232" s="491"/>
      <c r="C232" s="601" t="s">
        <v>422</v>
      </c>
      <c r="D232" s="601"/>
      <c r="E232" s="1886">
        <f t="shared" si="1684"/>
        <v>250</v>
      </c>
      <c r="F232" s="1532">
        <v>250</v>
      </c>
      <c r="G232" s="1532">
        <v>250</v>
      </c>
      <c r="H232" s="610">
        <v>2035</v>
      </c>
      <c r="I232" s="1533">
        <v>5.8500000000000003E-2</v>
      </c>
      <c r="J232" s="615">
        <v>10</v>
      </c>
      <c r="K232" s="402"/>
      <c r="L232" s="407">
        <f t="shared" si="1685"/>
        <v>0</v>
      </c>
      <c r="M232" s="404">
        <f t="shared" si="1686"/>
        <v>0</v>
      </c>
      <c r="N232" s="414">
        <f t="shared" si="1687"/>
        <v>0</v>
      </c>
      <c r="O232" s="414">
        <f t="shared" si="1688"/>
        <v>0</v>
      </c>
      <c r="P232" s="406">
        <f t="shared" si="1689"/>
        <v>0</v>
      </c>
      <c r="Q232" s="407">
        <f t="shared" si="1690"/>
        <v>0</v>
      </c>
      <c r="R232" s="404">
        <f t="shared" si="1691"/>
        <v>0</v>
      </c>
      <c r="S232" s="414">
        <f t="shared" si="1692"/>
        <v>0</v>
      </c>
      <c r="T232" s="414">
        <f t="shared" si="1693"/>
        <v>0</v>
      </c>
      <c r="U232" s="406">
        <f t="shared" si="1694"/>
        <v>0</v>
      </c>
      <c r="V232" s="407">
        <f t="shared" si="1695"/>
        <v>0</v>
      </c>
      <c r="W232" s="404">
        <f t="shared" si="1696"/>
        <v>0</v>
      </c>
      <c r="X232" s="414">
        <f t="shared" si="1697"/>
        <v>0</v>
      </c>
      <c r="Y232" s="414">
        <f t="shared" si="1698"/>
        <v>0</v>
      </c>
      <c r="Z232" s="406">
        <f t="shared" si="1699"/>
        <v>0</v>
      </c>
      <c r="AA232" s="407">
        <f t="shared" si="1700"/>
        <v>0</v>
      </c>
      <c r="AB232" s="404">
        <f t="shared" si="1701"/>
        <v>0</v>
      </c>
      <c r="AC232" s="414">
        <f t="shared" si="1702"/>
        <v>0</v>
      </c>
      <c r="AD232" s="414">
        <f t="shared" si="1703"/>
        <v>0</v>
      </c>
      <c r="AE232" s="406">
        <f t="shared" si="1704"/>
        <v>0</v>
      </c>
      <c r="AF232" s="407">
        <f t="shared" si="1705"/>
        <v>0</v>
      </c>
      <c r="AG232" s="404">
        <f t="shared" si="1706"/>
        <v>0</v>
      </c>
      <c r="AH232" s="414">
        <f t="shared" si="1707"/>
        <v>0</v>
      </c>
      <c r="AI232" s="414">
        <f t="shared" si="1708"/>
        <v>0</v>
      </c>
      <c r="AJ232" s="406">
        <f t="shared" si="1709"/>
        <v>0</v>
      </c>
      <c r="AK232" s="407">
        <f t="shared" si="1710"/>
        <v>0</v>
      </c>
      <c r="AL232" s="404">
        <f t="shared" si="1711"/>
        <v>0</v>
      </c>
      <c r="AM232" s="414">
        <f t="shared" si="1712"/>
        <v>0</v>
      </c>
      <c r="AN232" s="414">
        <f t="shared" si="1713"/>
        <v>0</v>
      </c>
      <c r="AO232" s="406">
        <f t="shared" si="1714"/>
        <v>0</v>
      </c>
      <c r="AP232" s="407">
        <f t="shared" si="1715"/>
        <v>0</v>
      </c>
      <c r="AQ232" s="404">
        <f t="shared" si="1716"/>
        <v>0</v>
      </c>
      <c r="AR232" s="414">
        <f t="shared" si="1717"/>
        <v>0</v>
      </c>
      <c r="AS232" s="414">
        <f t="shared" si="1718"/>
        <v>0</v>
      </c>
      <c r="AT232" s="406">
        <f t="shared" si="1719"/>
        <v>0</v>
      </c>
      <c r="AU232" s="407">
        <f t="shared" si="1720"/>
        <v>0</v>
      </c>
      <c r="AV232" s="404">
        <f t="shared" si="1721"/>
        <v>0</v>
      </c>
      <c r="AW232" s="414">
        <f t="shared" si="1722"/>
        <v>0</v>
      </c>
      <c r="AX232" s="414">
        <f t="shared" si="1723"/>
        <v>0</v>
      </c>
      <c r="AY232" s="406">
        <f t="shared" si="1724"/>
        <v>0</v>
      </c>
      <c r="AZ232" s="407">
        <f t="shared" si="1725"/>
        <v>0</v>
      </c>
      <c r="BA232" s="404">
        <f t="shared" si="1726"/>
        <v>0</v>
      </c>
      <c r="BB232" s="414">
        <f t="shared" si="1727"/>
        <v>0</v>
      </c>
      <c r="BC232" s="414">
        <f t="shared" si="1728"/>
        <v>0</v>
      </c>
      <c r="BD232" s="406">
        <f t="shared" si="1729"/>
        <v>0</v>
      </c>
      <c r="BE232" s="407">
        <f t="shared" si="1730"/>
        <v>0</v>
      </c>
      <c r="BF232" s="404">
        <f t="shared" si="1731"/>
        <v>0</v>
      </c>
      <c r="BG232" s="414">
        <f t="shared" si="1732"/>
        <v>0</v>
      </c>
      <c r="BH232" s="414">
        <f t="shared" si="1733"/>
        <v>0</v>
      </c>
      <c r="BI232" s="406">
        <f t="shared" si="1734"/>
        <v>0</v>
      </c>
      <c r="BJ232" s="407">
        <f t="shared" si="1735"/>
        <v>0</v>
      </c>
      <c r="BK232" s="404">
        <f t="shared" si="1736"/>
        <v>0</v>
      </c>
      <c r="BL232" s="414">
        <f t="shared" si="1737"/>
        <v>0</v>
      </c>
      <c r="BM232" s="414">
        <f t="shared" si="1738"/>
        <v>0</v>
      </c>
      <c r="BN232" s="406">
        <f t="shared" si="1739"/>
        <v>0</v>
      </c>
      <c r="BO232" s="407">
        <f t="shared" si="1740"/>
        <v>0</v>
      </c>
      <c r="BP232" s="449"/>
      <c r="BQ232" s="413">
        <f t="shared" si="1741"/>
        <v>0</v>
      </c>
      <c r="BR232" s="410">
        <f t="shared" si="1742"/>
        <v>0</v>
      </c>
      <c r="BS232" s="416">
        <f t="shared" si="1743"/>
        <v>0</v>
      </c>
      <c r="BT232" s="416">
        <f t="shared" si="1744"/>
        <v>0</v>
      </c>
      <c r="BU232" s="412">
        <f t="shared" si="1745"/>
        <v>0</v>
      </c>
      <c r="BV232" s="413">
        <f t="shared" si="1746"/>
        <v>0</v>
      </c>
      <c r="BW232" s="410">
        <f t="shared" si="1747"/>
        <v>0</v>
      </c>
      <c r="BX232" s="416">
        <f t="shared" si="1748"/>
        <v>0</v>
      </c>
      <c r="BY232" s="416">
        <f t="shared" si="1749"/>
        <v>0</v>
      </c>
      <c r="BZ232" s="412">
        <f t="shared" si="1750"/>
        <v>0</v>
      </c>
      <c r="CA232" s="413">
        <f t="shared" si="1751"/>
        <v>0</v>
      </c>
      <c r="CB232" s="410">
        <f t="shared" si="1752"/>
        <v>0</v>
      </c>
      <c r="CC232" s="416">
        <f t="shared" si="1753"/>
        <v>0</v>
      </c>
      <c r="CD232" s="416">
        <f t="shared" si="1754"/>
        <v>0</v>
      </c>
      <c r="CE232" s="412">
        <f t="shared" si="1755"/>
        <v>0</v>
      </c>
      <c r="CF232" s="413">
        <f t="shared" si="1756"/>
        <v>0</v>
      </c>
      <c r="CG232" s="410">
        <f t="shared" si="1757"/>
        <v>0</v>
      </c>
      <c r="CH232" s="416">
        <f t="shared" si="1758"/>
        <v>0</v>
      </c>
      <c r="CI232" s="416">
        <f t="shared" si="1759"/>
        <v>0</v>
      </c>
      <c r="CJ232" s="412">
        <f t="shared" si="1760"/>
        <v>0</v>
      </c>
      <c r="CK232" s="413">
        <f t="shared" si="1761"/>
        <v>0</v>
      </c>
      <c r="CL232" s="410">
        <f t="shared" si="1762"/>
        <v>0</v>
      </c>
      <c r="CM232" s="416">
        <f t="shared" si="1763"/>
        <v>0</v>
      </c>
      <c r="CN232" s="416">
        <f t="shared" si="1764"/>
        <v>0</v>
      </c>
      <c r="CO232" s="412">
        <f t="shared" si="1765"/>
        <v>0</v>
      </c>
      <c r="CP232" s="413">
        <f t="shared" si="1766"/>
        <v>0</v>
      </c>
      <c r="CQ232" s="410">
        <f t="shared" si="1767"/>
        <v>0</v>
      </c>
      <c r="CR232" s="416">
        <f t="shared" si="1768"/>
        <v>0</v>
      </c>
      <c r="CS232" s="416">
        <f t="shared" si="1769"/>
        <v>0</v>
      </c>
      <c r="CT232" s="412">
        <f t="shared" si="1770"/>
        <v>0</v>
      </c>
      <c r="CU232" s="413">
        <f t="shared" si="1771"/>
        <v>0</v>
      </c>
      <c r="CV232" s="410">
        <f t="shared" si="1772"/>
        <v>0</v>
      </c>
      <c r="CW232" s="416">
        <f t="shared" si="1773"/>
        <v>0</v>
      </c>
      <c r="CX232" s="416">
        <f t="shared" si="1774"/>
        <v>0</v>
      </c>
      <c r="CY232" s="412">
        <f t="shared" si="1775"/>
        <v>0</v>
      </c>
      <c r="CZ232" s="413">
        <f t="shared" si="1776"/>
        <v>0</v>
      </c>
      <c r="DA232" s="410">
        <f t="shared" si="1777"/>
        <v>0</v>
      </c>
      <c r="DB232" s="416">
        <f t="shared" si="1778"/>
        <v>0</v>
      </c>
      <c r="DC232" s="416">
        <f t="shared" si="1779"/>
        <v>0</v>
      </c>
      <c r="DD232" s="412">
        <f t="shared" si="1780"/>
        <v>0</v>
      </c>
      <c r="DE232" s="413">
        <f t="shared" si="1781"/>
        <v>0</v>
      </c>
      <c r="DF232" s="410">
        <f t="shared" si="1782"/>
        <v>0</v>
      </c>
      <c r="DG232" s="416">
        <f t="shared" si="1783"/>
        <v>0</v>
      </c>
      <c r="DH232" s="416">
        <f t="shared" si="1784"/>
        <v>0</v>
      </c>
      <c r="DI232" s="412">
        <f t="shared" si="1785"/>
        <v>0</v>
      </c>
      <c r="DJ232" s="413">
        <f t="shared" si="1786"/>
        <v>0</v>
      </c>
      <c r="DK232" s="410">
        <f t="shared" si="1787"/>
        <v>0</v>
      </c>
      <c r="DL232" s="416">
        <f t="shared" si="1788"/>
        <v>0</v>
      </c>
      <c r="DM232" s="416">
        <f t="shared" si="1789"/>
        <v>0</v>
      </c>
      <c r="DN232" s="412">
        <f t="shared" si="1790"/>
        <v>0</v>
      </c>
      <c r="DO232" s="413">
        <f t="shared" si="1791"/>
        <v>0</v>
      </c>
      <c r="DP232" s="410">
        <f t="shared" si="1792"/>
        <v>0</v>
      </c>
      <c r="DQ232" s="416">
        <f t="shared" si="1793"/>
        <v>0</v>
      </c>
      <c r="DR232" s="416">
        <f t="shared" si="1794"/>
        <v>0</v>
      </c>
      <c r="DS232" s="412">
        <f t="shared" si="1795"/>
        <v>0</v>
      </c>
      <c r="DT232" s="413">
        <f t="shared" si="1796"/>
        <v>0</v>
      </c>
    </row>
    <row r="233" spans="1:124" ht="12.75" customHeight="1">
      <c r="C233" s="601" t="s">
        <v>420</v>
      </c>
      <c r="D233" s="601"/>
      <c r="E233" s="1886">
        <f t="shared" si="1684"/>
        <v>350</v>
      </c>
      <c r="F233" s="1532">
        <v>350</v>
      </c>
      <c r="G233" s="1532">
        <v>350</v>
      </c>
      <c r="H233" s="610">
        <v>2018</v>
      </c>
      <c r="I233" s="1533">
        <v>6.0499999999999998E-2</v>
      </c>
      <c r="J233" s="615">
        <v>5</v>
      </c>
      <c r="K233" s="402"/>
      <c r="L233" s="407">
        <f t="shared" si="1685"/>
        <v>0</v>
      </c>
      <c r="M233" s="404">
        <f t="shared" si="1686"/>
        <v>0</v>
      </c>
      <c r="N233" s="414">
        <f t="shared" si="1687"/>
        <v>0</v>
      </c>
      <c r="O233" s="414">
        <f t="shared" si="1688"/>
        <v>0</v>
      </c>
      <c r="P233" s="406">
        <f t="shared" si="1689"/>
        <v>0</v>
      </c>
      <c r="Q233" s="407">
        <f t="shared" si="1690"/>
        <v>0</v>
      </c>
      <c r="R233" s="404">
        <f t="shared" si="1691"/>
        <v>0</v>
      </c>
      <c r="S233" s="414">
        <f t="shared" si="1692"/>
        <v>0</v>
      </c>
      <c r="T233" s="414">
        <f t="shared" si="1693"/>
        <v>0</v>
      </c>
      <c r="U233" s="406">
        <f t="shared" si="1694"/>
        <v>0</v>
      </c>
      <c r="V233" s="407">
        <f t="shared" si="1695"/>
        <v>0</v>
      </c>
      <c r="W233" s="404">
        <f t="shared" si="1696"/>
        <v>0</v>
      </c>
      <c r="X233" s="414">
        <f t="shared" si="1697"/>
        <v>0</v>
      </c>
      <c r="Y233" s="414">
        <f t="shared" si="1698"/>
        <v>0</v>
      </c>
      <c r="Z233" s="406">
        <f t="shared" si="1699"/>
        <v>0</v>
      </c>
      <c r="AA233" s="407">
        <f t="shared" si="1700"/>
        <v>0</v>
      </c>
      <c r="AB233" s="404">
        <f t="shared" si="1701"/>
        <v>0</v>
      </c>
      <c r="AC233" s="414">
        <f t="shared" si="1702"/>
        <v>0</v>
      </c>
      <c r="AD233" s="414">
        <f t="shared" si="1703"/>
        <v>0</v>
      </c>
      <c r="AE233" s="406">
        <f t="shared" si="1704"/>
        <v>0</v>
      </c>
      <c r="AF233" s="407">
        <f t="shared" si="1705"/>
        <v>0</v>
      </c>
      <c r="AG233" s="404">
        <f t="shared" si="1706"/>
        <v>0</v>
      </c>
      <c r="AH233" s="414">
        <f t="shared" si="1707"/>
        <v>0</v>
      </c>
      <c r="AI233" s="414">
        <f t="shared" si="1708"/>
        <v>0</v>
      </c>
      <c r="AJ233" s="406">
        <f t="shared" si="1709"/>
        <v>0</v>
      </c>
      <c r="AK233" s="407">
        <f t="shared" si="1710"/>
        <v>0</v>
      </c>
      <c r="AL233" s="404">
        <f t="shared" si="1711"/>
        <v>0</v>
      </c>
      <c r="AM233" s="414">
        <f t="shared" si="1712"/>
        <v>0</v>
      </c>
      <c r="AN233" s="414">
        <f t="shared" si="1713"/>
        <v>0</v>
      </c>
      <c r="AO233" s="406">
        <f t="shared" si="1714"/>
        <v>0</v>
      </c>
      <c r="AP233" s="407">
        <f t="shared" si="1715"/>
        <v>0</v>
      </c>
      <c r="AQ233" s="404">
        <f t="shared" si="1716"/>
        <v>0</v>
      </c>
      <c r="AR233" s="414">
        <f t="shared" si="1717"/>
        <v>0</v>
      </c>
      <c r="AS233" s="414">
        <f t="shared" si="1718"/>
        <v>0</v>
      </c>
      <c r="AT233" s="406">
        <f t="shared" si="1719"/>
        <v>0</v>
      </c>
      <c r="AU233" s="407">
        <f t="shared" si="1720"/>
        <v>0</v>
      </c>
      <c r="AV233" s="404">
        <f t="shared" si="1721"/>
        <v>0</v>
      </c>
      <c r="AW233" s="414">
        <f t="shared" si="1722"/>
        <v>-350</v>
      </c>
      <c r="AX233" s="414">
        <f t="shared" si="1723"/>
        <v>0</v>
      </c>
      <c r="AY233" s="406">
        <f t="shared" si="1724"/>
        <v>0</v>
      </c>
      <c r="AZ233" s="407">
        <f t="shared" si="1725"/>
        <v>-350</v>
      </c>
      <c r="BA233" s="404">
        <f t="shared" si="1726"/>
        <v>0</v>
      </c>
      <c r="BB233" s="414">
        <f t="shared" si="1727"/>
        <v>0</v>
      </c>
      <c r="BC233" s="414">
        <f t="shared" si="1728"/>
        <v>0</v>
      </c>
      <c r="BD233" s="406">
        <f t="shared" si="1729"/>
        <v>0</v>
      </c>
      <c r="BE233" s="407">
        <f t="shared" si="1730"/>
        <v>0</v>
      </c>
      <c r="BF233" s="404">
        <f t="shared" si="1731"/>
        <v>0</v>
      </c>
      <c r="BG233" s="414">
        <f t="shared" si="1732"/>
        <v>0</v>
      </c>
      <c r="BH233" s="414">
        <f t="shared" si="1733"/>
        <v>0</v>
      </c>
      <c r="BI233" s="406">
        <f t="shared" si="1734"/>
        <v>0</v>
      </c>
      <c r="BJ233" s="407">
        <f t="shared" si="1735"/>
        <v>0</v>
      </c>
      <c r="BK233" s="404">
        <f t="shared" si="1736"/>
        <v>0</v>
      </c>
      <c r="BL233" s="414">
        <f t="shared" si="1737"/>
        <v>0</v>
      </c>
      <c r="BM233" s="414">
        <f t="shared" si="1738"/>
        <v>0</v>
      </c>
      <c r="BN233" s="406">
        <f t="shared" si="1739"/>
        <v>0</v>
      </c>
      <c r="BO233" s="407">
        <f t="shared" si="1740"/>
        <v>0</v>
      </c>
      <c r="BP233" s="449"/>
      <c r="BQ233" s="413">
        <f t="shared" si="1741"/>
        <v>0</v>
      </c>
      <c r="BR233" s="410">
        <f t="shared" si="1742"/>
        <v>0</v>
      </c>
      <c r="BS233" s="416">
        <f t="shared" si="1743"/>
        <v>0</v>
      </c>
      <c r="BT233" s="416">
        <f t="shared" si="1744"/>
        <v>0</v>
      </c>
      <c r="BU233" s="412">
        <f t="shared" si="1745"/>
        <v>0</v>
      </c>
      <c r="BV233" s="413">
        <f t="shared" si="1746"/>
        <v>0</v>
      </c>
      <c r="BW233" s="410">
        <f t="shared" si="1747"/>
        <v>0</v>
      </c>
      <c r="BX233" s="416">
        <f t="shared" si="1748"/>
        <v>0</v>
      </c>
      <c r="BY233" s="416">
        <f t="shared" si="1749"/>
        <v>0</v>
      </c>
      <c r="BZ233" s="412">
        <f t="shared" si="1750"/>
        <v>0</v>
      </c>
      <c r="CA233" s="413">
        <f t="shared" si="1751"/>
        <v>0</v>
      </c>
      <c r="CB233" s="410">
        <f t="shared" si="1752"/>
        <v>0</v>
      </c>
      <c r="CC233" s="416">
        <f t="shared" si="1753"/>
        <v>0</v>
      </c>
      <c r="CD233" s="416">
        <f t="shared" si="1754"/>
        <v>0</v>
      </c>
      <c r="CE233" s="412">
        <f t="shared" si="1755"/>
        <v>0</v>
      </c>
      <c r="CF233" s="413">
        <f t="shared" si="1756"/>
        <v>0</v>
      </c>
      <c r="CG233" s="410">
        <f t="shared" si="1757"/>
        <v>0</v>
      </c>
      <c r="CH233" s="416">
        <f t="shared" si="1758"/>
        <v>0</v>
      </c>
      <c r="CI233" s="416">
        <f t="shared" si="1759"/>
        <v>0</v>
      </c>
      <c r="CJ233" s="412">
        <f t="shared" si="1760"/>
        <v>0</v>
      </c>
      <c r="CK233" s="413">
        <f t="shared" si="1761"/>
        <v>0</v>
      </c>
      <c r="CL233" s="410">
        <f t="shared" si="1762"/>
        <v>0</v>
      </c>
      <c r="CM233" s="416">
        <f t="shared" si="1763"/>
        <v>0</v>
      </c>
      <c r="CN233" s="416">
        <f t="shared" si="1764"/>
        <v>0</v>
      </c>
      <c r="CO233" s="412">
        <f t="shared" si="1765"/>
        <v>0</v>
      </c>
      <c r="CP233" s="413">
        <f t="shared" si="1766"/>
        <v>0</v>
      </c>
      <c r="CQ233" s="410">
        <f t="shared" si="1767"/>
        <v>0</v>
      </c>
      <c r="CR233" s="416">
        <f t="shared" si="1768"/>
        <v>0</v>
      </c>
      <c r="CS233" s="416">
        <f t="shared" si="1769"/>
        <v>0</v>
      </c>
      <c r="CT233" s="412">
        <f t="shared" si="1770"/>
        <v>0</v>
      </c>
      <c r="CU233" s="413">
        <f t="shared" si="1771"/>
        <v>0</v>
      </c>
      <c r="CV233" s="410">
        <f t="shared" si="1772"/>
        <v>0</v>
      </c>
      <c r="CW233" s="416">
        <f t="shared" si="1773"/>
        <v>0</v>
      </c>
      <c r="CX233" s="416">
        <f t="shared" si="1774"/>
        <v>0</v>
      </c>
      <c r="CY233" s="412">
        <f t="shared" si="1775"/>
        <v>0</v>
      </c>
      <c r="CZ233" s="413">
        <f t="shared" si="1776"/>
        <v>0</v>
      </c>
      <c r="DA233" s="410">
        <f t="shared" si="1777"/>
        <v>0</v>
      </c>
      <c r="DB233" s="416">
        <f t="shared" si="1778"/>
        <v>-3.5291666666666668</v>
      </c>
      <c r="DC233" s="416">
        <f t="shared" si="1779"/>
        <v>-5.2937500000000002</v>
      </c>
      <c r="DD233" s="412">
        <f t="shared" si="1780"/>
        <v>-5.2937500000000002</v>
      </c>
      <c r="DE233" s="413">
        <f t="shared" si="1781"/>
        <v>-14.116666666666667</v>
      </c>
      <c r="DF233" s="410">
        <f t="shared" si="1782"/>
        <v>-5.2937500000000002</v>
      </c>
      <c r="DG233" s="416">
        <f t="shared" si="1783"/>
        <v>-1.7645833333333334</v>
      </c>
      <c r="DH233" s="416">
        <f t="shared" si="1784"/>
        <v>0</v>
      </c>
      <c r="DI233" s="412">
        <f t="shared" si="1785"/>
        <v>0</v>
      </c>
      <c r="DJ233" s="413">
        <f t="shared" si="1786"/>
        <v>-7.0583333333333336</v>
      </c>
      <c r="DK233" s="410">
        <f t="shared" si="1787"/>
        <v>0</v>
      </c>
      <c r="DL233" s="416">
        <f t="shared" si="1788"/>
        <v>0</v>
      </c>
      <c r="DM233" s="416">
        <f t="shared" si="1789"/>
        <v>0</v>
      </c>
      <c r="DN233" s="412">
        <f t="shared" si="1790"/>
        <v>0</v>
      </c>
      <c r="DO233" s="413">
        <f t="shared" si="1791"/>
        <v>0</v>
      </c>
      <c r="DP233" s="410">
        <f t="shared" si="1792"/>
        <v>0</v>
      </c>
      <c r="DQ233" s="416">
        <f t="shared" si="1793"/>
        <v>0</v>
      </c>
      <c r="DR233" s="416">
        <f t="shared" si="1794"/>
        <v>0</v>
      </c>
      <c r="DS233" s="412">
        <f t="shared" si="1795"/>
        <v>0</v>
      </c>
      <c r="DT233" s="413">
        <f t="shared" si="1796"/>
        <v>0</v>
      </c>
    </row>
    <row r="234" spans="1:124" ht="12.75" customHeight="1">
      <c r="C234" s="601" t="s">
        <v>421</v>
      </c>
      <c r="D234" s="601"/>
      <c r="E234" s="1886">
        <f t="shared" si="1684"/>
        <v>250</v>
      </c>
      <c r="F234" s="1532">
        <v>250</v>
      </c>
      <c r="G234" s="1532">
        <v>250</v>
      </c>
      <c r="H234" s="610">
        <v>2033</v>
      </c>
      <c r="I234" s="1533">
        <v>6.6000000000000003E-2</v>
      </c>
      <c r="J234" s="615">
        <v>2</v>
      </c>
      <c r="K234" s="402"/>
      <c r="L234" s="407">
        <f t="shared" si="1685"/>
        <v>0</v>
      </c>
      <c r="M234" s="404">
        <f t="shared" si="1686"/>
        <v>0</v>
      </c>
      <c r="N234" s="414">
        <f t="shared" si="1687"/>
        <v>0</v>
      </c>
      <c r="O234" s="414">
        <f t="shared" si="1688"/>
        <v>0</v>
      </c>
      <c r="P234" s="406">
        <f t="shared" si="1689"/>
        <v>0</v>
      </c>
      <c r="Q234" s="407">
        <f t="shared" si="1690"/>
        <v>0</v>
      </c>
      <c r="R234" s="404">
        <f t="shared" si="1691"/>
        <v>0</v>
      </c>
      <c r="S234" s="414">
        <f t="shared" si="1692"/>
        <v>0</v>
      </c>
      <c r="T234" s="414">
        <f t="shared" si="1693"/>
        <v>0</v>
      </c>
      <c r="U234" s="406">
        <f t="shared" si="1694"/>
        <v>0</v>
      </c>
      <c r="V234" s="407">
        <f t="shared" si="1695"/>
        <v>0</v>
      </c>
      <c r="W234" s="404">
        <f t="shared" si="1696"/>
        <v>0</v>
      </c>
      <c r="X234" s="414">
        <f t="shared" si="1697"/>
        <v>0</v>
      </c>
      <c r="Y234" s="414">
        <f t="shared" si="1698"/>
        <v>0</v>
      </c>
      <c r="Z234" s="406">
        <f t="shared" si="1699"/>
        <v>0</v>
      </c>
      <c r="AA234" s="407">
        <f t="shared" si="1700"/>
        <v>0</v>
      </c>
      <c r="AB234" s="404">
        <f t="shared" si="1701"/>
        <v>0</v>
      </c>
      <c r="AC234" s="414">
        <f t="shared" si="1702"/>
        <v>0</v>
      </c>
      <c r="AD234" s="414">
        <f t="shared" si="1703"/>
        <v>0</v>
      </c>
      <c r="AE234" s="406">
        <f t="shared" si="1704"/>
        <v>0</v>
      </c>
      <c r="AF234" s="407">
        <f t="shared" si="1705"/>
        <v>0</v>
      </c>
      <c r="AG234" s="404">
        <f t="shared" si="1706"/>
        <v>0</v>
      </c>
      <c r="AH234" s="414">
        <f t="shared" si="1707"/>
        <v>0</v>
      </c>
      <c r="AI234" s="414">
        <f t="shared" si="1708"/>
        <v>0</v>
      </c>
      <c r="AJ234" s="406">
        <f t="shared" si="1709"/>
        <v>0</v>
      </c>
      <c r="AK234" s="407">
        <f t="shared" si="1710"/>
        <v>0</v>
      </c>
      <c r="AL234" s="404">
        <f t="shared" si="1711"/>
        <v>0</v>
      </c>
      <c r="AM234" s="414">
        <f t="shared" si="1712"/>
        <v>0</v>
      </c>
      <c r="AN234" s="414">
        <f t="shared" si="1713"/>
        <v>0</v>
      </c>
      <c r="AO234" s="406">
        <f t="shared" si="1714"/>
        <v>0</v>
      </c>
      <c r="AP234" s="407">
        <f t="shared" si="1715"/>
        <v>0</v>
      </c>
      <c r="AQ234" s="404">
        <f t="shared" si="1716"/>
        <v>0</v>
      </c>
      <c r="AR234" s="414">
        <f t="shared" si="1717"/>
        <v>0</v>
      </c>
      <c r="AS234" s="414">
        <f t="shared" si="1718"/>
        <v>0</v>
      </c>
      <c r="AT234" s="406">
        <f t="shared" si="1719"/>
        <v>0</v>
      </c>
      <c r="AU234" s="407">
        <f t="shared" si="1720"/>
        <v>0</v>
      </c>
      <c r="AV234" s="404">
        <f t="shared" si="1721"/>
        <v>0</v>
      </c>
      <c r="AW234" s="414">
        <f t="shared" si="1722"/>
        <v>0</v>
      </c>
      <c r="AX234" s="414">
        <f t="shared" si="1723"/>
        <v>0</v>
      </c>
      <c r="AY234" s="406">
        <f t="shared" si="1724"/>
        <v>0</v>
      </c>
      <c r="AZ234" s="407">
        <f t="shared" si="1725"/>
        <v>0</v>
      </c>
      <c r="BA234" s="404">
        <f t="shared" si="1726"/>
        <v>0</v>
      </c>
      <c r="BB234" s="414">
        <f t="shared" si="1727"/>
        <v>0</v>
      </c>
      <c r="BC234" s="414">
        <f t="shared" si="1728"/>
        <v>0</v>
      </c>
      <c r="BD234" s="406">
        <f t="shared" si="1729"/>
        <v>0</v>
      </c>
      <c r="BE234" s="407">
        <f t="shared" si="1730"/>
        <v>0</v>
      </c>
      <c r="BF234" s="404">
        <f t="shared" si="1731"/>
        <v>0</v>
      </c>
      <c r="BG234" s="414">
        <f t="shared" si="1732"/>
        <v>0</v>
      </c>
      <c r="BH234" s="414">
        <f t="shared" si="1733"/>
        <v>0</v>
      </c>
      <c r="BI234" s="406">
        <f t="shared" si="1734"/>
        <v>0</v>
      </c>
      <c r="BJ234" s="407">
        <f t="shared" si="1735"/>
        <v>0</v>
      </c>
      <c r="BK234" s="404">
        <f t="shared" si="1736"/>
        <v>0</v>
      </c>
      <c r="BL234" s="414">
        <f t="shared" si="1737"/>
        <v>0</v>
      </c>
      <c r="BM234" s="414">
        <f t="shared" si="1738"/>
        <v>0</v>
      </c>
      <c r="BN234" s="406">
        <f t="shared" si="1739"/>
        <v>0</v>
      </c>
      <c r="BO234" s="407">
        <f t="shared" si="1740"/>
        <v>0</v>
      </c>
      <c r="BP234" s="449"/>
      <c r="BQ234" s="413">
        <f t="shared" si="1741"/>
        <v>0</v>
      </c>
      <c r="BR234" s="410">
        <f t="shared" si="1742"/>
        <v>0</v>
      </c>
      <c r="BS234" s="416">
        <f t="shared" si="1743"/>
        <v>0</v>
      </c>
      <c r="BT234" s="416">
        <f t="shared" si="1744"/>
        <v>0</v>
      </c>
      <c r="BU234" s="412">
        <f t="shared" si="1745"/>
        <v>0</v>
      </c>
      <c r="BV234" s="413">
        <f t="shared" si="1746"/>
        <v>0</v>
      </c>
      <c r="BW234" s="410">
        <f t="shared" si="1747"/>
        <v>0</v>
      </c>
      <c r="BX234" s="416">
        <f t="shared" si="1748"/>
        <v>0</v>
      </c>
      <c r="BY234" s="416">
        <f t="shared" si="1749"/>
        <v>0</v>
      </c>
      <c r="BZ234" s="412">
        <f t="shared" si="1750"/>
        <v>0</v>
      </c>
      <c r="CA234" s="413">
        <f t="shared" si="1751"/>
        <v>0</v>
      </c>
      <c r="CB234" s="410">
        <f t="shared" si="1752"/>
        <v>0</v>
      </c>
      <c r="CC234" s="416">
        <f t="shared" si="1753"/>
        <v>0</v>
      </c>
      <c r="CD234" s="416">
        <f t="shared" si="1754"/>
        <v>0</v>
      </c>
      <c r="CE234" s="412">
        <f t="shared" si="1755"/>
        <v>0</v>
      </c>
      <c r="CF234" s="413">
        <f t="shared" si="1756"/>
        <v>0</v>
      </c>
      <c r="CG234" s="410">
        <f t="shared" si="1757"/>
        <v>0</v>
      </c>
      <c r="CH234" s="416">
        <f t="shared" si="1758"/>
        <v>0</v>
      </c>
      <c r="CI234" s="416">
        <f t="shared" si="1759"/>
        <v>0</v>
      </c>
      <c r="CJ234" s="412">
        <f t="shared" si="1760"/>
        <v>0</v>
      </c>
      <c r="CK234" s="413">
        <f t="shared" si="1761"/>
        <v>0</v>
      </c>
      <c r="CL234" s="410">
        <f t="shared" si="1762"/>
        <v>0</v>
      </c>
      <c r="CM234" s="416">
        <f t="shared" si="1763"/>
        <v>0</v>
      </c>
      <c r="CN234" s="416">
        <f t="shared" si="1764"/>
        <v>0</v>
      </c>
      <c r="CO234" s="412">
        <f t="shared" si="1765"/>
        <v>0</v>
      </c>
      <c r="CP234" s="413">
        <f t="shared" si="1766"/>
        <v>0</v>
      </c>
      <c r="CQ234" s="410">
        <f t="shared" si="1767"/>
        <v>0</v>
      </c>
      <c r="CR234" s="416">
        <f t="shared" si="1768"/>
        <v>0</v>
      </c>
      <c r="CS234" s="416">
        <f t="shared" si="1769"/>
        <v>0</v>
      </c>
      <c r="CT234" s="412">
        <f t="shared" si="1770"/>
        <v>0</v>
      </c>
      <c r="CU234" s="413">
        <f t="shared" si="1771"/>
        <v>0</v>
      </c>
      <c r="CV234" s="410">
        <f t="shared" si="1772"/>
        <v>0</v>
      </c>
      <c r="CW234" s="416">
        <f t="shared" si="1773"/>
        <v>0</v>
      </c>
      <c r="CX234" s="416">
        <f t="shared" si="1774"/>
        <v>0</v>
      </c>
      <c r="CY234" s="412">
        <f t="shared" si="1775"/>
        <v>0</v>
      </c>
      <c r="CZ234" s="413">
        <f t="shared" si="1776"/>
        <v>0</v>
      </c>
      <c r="DA234" s="410">
        <f t="shared" si="1777"/>
        <v>0</v>
      </c>
      <c r="DB234" s="416">
        <f t="shared" si="1778"/>
        <v>0</v>
      </c>
      <c r="DC234" s="416">
        <f t="shared" si="1779"/>
        <v>0</v>
      </c>
      <c r="DD234" s="412">
        <f t="shared" si="1780"/>
        <v>0</v>
      </c>
      <c r="DE234" s="413">
        <f t="shared" si="1781"/>
        <v>0</v>
      </c>
      <c r="DF234" s="410">
        <f t="shared" si="1782"/>
        <v>0</v>
      </c>
      <c r="DG234" s="416">
        <f t="shared" si="1783"/>
        <v>0</v>
      </c>
      <c r="DH234" s="416">
        <f t="shared" si="1784"/>
        <v>0</v>
      </c>
      <c r="DI234" s="412">
        <f t="shared" si="1785"/>
        <v>0</v>
      </c>
      <c r="DJ234" s="413">
        <f t="shared" si="1786"/>
        <v>0</v>
      </c>
      <c r="DK234" s="410">
        <f t="shared" si="1787"/>
        <v>0</v>
      </c>
      <c r="DL234" s="416">
        <f t="shared" si="1788"/>
        <v>0</v>
      </c>
      <c r="DM234" s="416">
        <f t="shared" si="1789"/>
        <v>0</v>
      </c>
      <c r="DN234" s="412">
        <f t="shared" si="1790"/>
        <v>0</v>
      </c>
      <c r="DO234" s="413">
        <f t="shared" si="1791"/>
        <v>0</v>
      </c>
      <c r="DP234" s="410">
        <f t="shared" si="1792"/>
        <v>0</v>
      </c>
      <c r="DQ234" s="416">
        <f t="shared" si="1793"/>
        <v>0</v>
      </c>
      <c r="DR234" s="416">
        <f t="shared" si="1794"/>
        <v>0</v>
      </c>
      <c r="DS234" s="412">
        <f t="shared" si="1795"/>
        <v>0</v>
      </c>
      <c r="DT234" s="413">
        <f t="shared" si="1796"/>
        <v>0</v>
      </c>
    </row>
    <row r="235" spans="1:124" ht="12.75" customHeight="1">
      <c r="A235" s="491"/>
      <c r="C235" s="601" t="s">
        <v>560</v>
      </c>
      <c r="D235" s="601"/>
      <c r="E235" s="1886">
        <f t="shared" si="1684"/>
        <v>500</v>
      </c>
      <c r="F235" s="1532">
        <v>500</v>
      </c>
      <c r="G235" s="1532">
        <v>500</v>
      </c>
      <c r="H235" s="610">
        <v>2021</v>
      </c>
      <c r="I235" s="1533">
        <v>5.3749999999999999E-2</v>
      </c>
      <c r="J235" s="615">
        <v>10</v>
      </c>
      <c r="K235" s="402"/>
      <c r="L235" s="407">
        <f t="shared" si="1685"/>
        <v>0</v>
      </c>
      <c r="M235" s="404">
        <f t="shared" si="1686"/>
        <v>0</v>
      </c>
      <c r="N235" s="414">
        <f t="shared" si="1687"/>
        <v>0</v>
      </c>
      <c r="O235" s="414">
        <f t="shared" si="1688"/>
        <v>0</v>
      </c>
      <c r="P235" s="406">
        <f t="shared" si="1689"/>
        <v>0</v>
      </c>
      <c r="Q235" s="407">
        <f t="shared" si="1690"/>
        <v>0</v>
      </c>
      <c r="R235" s="404">
        <f t="shared" si="1691"/>
        <v>0</v>
      </c>
      <c r="S235" s="414">
        <f t="shared" si="1692"/>
        <v>0</v>
      </c>
      <c r="T235" s="414">
        <f t="shared" si="1693"/>
        <v>0</v>
      </c>
      <c r="U235" s="406">
        <f t="shared" si="1694"/>
        <v>0</v>
      </c>
      <c r="V235" s="407">
        <f t="shared" si="1695"/>
        <v>0</v>
      </c>
      <c r="W235" s="404">
        <f t="shared" si="1696"/>
        <v>0</v>
      </c>
      <c r="X235" s="414">
        <f t="shared" si="1697"/>
        <v>0</v>
      </c>
      <c r="Y235" s="414">
        <f t="shared" si="1698"/>
        <v>0</v>
      </c>
      <c r="Z235" s="406">
        <f t="shared" si="1699"/>
        <v>0</v>
      </c>
      <c r="AA235" s="407">
        <f t="shared" si="1700"/>
        <v>0</v>
      </c>
      <c r="AB235" s="404">
        <f t="shared" si="1701"/>
        <v>0</v>
      </c>
      <c r="AC235" s="414">
        <f t="shared" si="1702"/>
        <v>0</v>
      </c>
      <c r="AD235" s="414">
        <f t="shared" si="1703"/>
        <v>0</v>
      </c>
      <c r="AE235" s="406">
        <f t="shared" si="1704"/>
        <v>0</v>
      </c>
      <c r="AF235" s="407">
        <f t="shared" si="1705"/>
        <v>0</v>
      </c>
      <c r="AG235" s="404">
        <f t="shared" si="1706"/>
        <v>0</v>
      </c>
      <c r="AH235" s="414">
        <f t="shared" si="1707"/>
        <v>0</v>
      </c>
      <c r="AI235" s="414">
        <f t="shared" si="1708"/>
        <v>0</v>
      </c>
      <c r="AJ235" s="406">
        <f t="shared" si="1709"/>
        <v>0</v>
      </c>
      <c r="AK235" s="407">
        <f t="shared" si="1710"/>
        <v>0</v>
      </c>
      <c r="AL235" s="404">
        <f t="shared" si="1711"/>
        <v>0</v>
      </c>
      <c r="AM235" s="414">
        <f t="shared" si="1712"/>
        <v>0</v>
      </c>
      <c r="AN235" s="414">
        <f t="shared" si="1713"/>
        <v>0</v>
      </c>
      <c r="AO235" s="406">
        <f t="shared" si="1714"/>
        <v>0</v>
      </c>
      <c r="AP235" s="407">
        <f t="shared" si="1715"/>
        <v>0</v>
      </c>
      <c r="AQ235" s="404">
        <f t="shared" si="1716"/>
        <v>0</v>
      </c>
      <c r="AR235" s="414">
        <f t="shared" si="1717"/>
        <v>0</v>
      </c>
      <c r="AS235" s="414">
        <f t="shared" si="1718"/>
        <v>0</v>
      </c>
      <c r="AT235" s="406">
        <f t="shared" si="1719"/>
        <v>0</v>
      </c>
      <c r="AU235" s="407">
        <f t="shared" si="1720"/>
        <v>0</v>
      </c>
      <c r="AV235" s="404">
        <f t="shared" si="1721"/>
        <v>0</v>
      </c>
      <c r="AW235" s="414">
        <f t="shared" si="1722"/>
        <v>0</v>
      </c>
      <c r="AX235" s="414">
        <f t="shared" si="1723"/>
        <v>0</v>
      </c>
      <c r="AY235" s="406">
        <f t="shared" si="1724"/>
        <v>0</v>
      </c>
      <c r="AZ235" s="407">
        <f t="shared" si="1725"/>
        <v>0</v>
      </c>
      <c r="BA235" s="404">
        <f t="shared" si="1726"/>
        <v>0</v>
      </c>
      <c r="BB235" s="414">
        <f t="shared" si="1727"/>
        <v>0</v>
      </c>
      <c r="BC235" s="414">
        <f t="shared" si="1728"/>
        <v>0</v>
      </c>
      <c r="BD235" s="406">
        <f t="shared" si="1729"/>
        <v>0</v>
      </c>
      <c r="BE235" s="407">
        <f t="shared" si="1730"/>
        <v>0</v>
      </c>
      <c r="BF235" s="404">
        <f t="shared" si="1731"/>
        <v>0</v>
      </c>
      <c r="BG235" s="414">
        <f t="shared" si="1732"/>
        <v>0</v>
      </c>
      <c r="BH235" s="414">
        <f t="shared" si="1733"/>
        <v>0</v>
      </c>
      <c r="BI235" s="406">
        <f t="shared" si="1734"/>
        <v>0</v>
      </c>
      <c r="BJ235" s="407">
        <f t="shared" si="1735"/>
        <v>0</v>
      </c>
      <c r="BK235" s="404">
        <f t="shared" si="1736"/>
        <v>0</v>
      </c>
      <c r="BL235" s="414">
        <f t="shared" si="1737"/>
        <v>0</v>
      </c>
      <c r="BM235" s="414">
        <f t="shared" si="1738"/>
        <v>0</v>
      </c>
      <c r="BN235" s="406">
        <f t="shared" si="1739"/>
        <v>-500</v>
      </c>
      <c r="BO235" s="407">
        <f t="shared" si="1740"/>
        <v>-500</v>
      </c>
      <c r="BP235" s="449"/>
      <c r="BQ235" s="413">
        <f t="shared" si="1741"/>
        <v>0</v>
      </c>
      <c r="BR235" s="410">
        <f t="shared" si="1742"/>
        <v>0</v>
      </c>
      <c r="BS235" s="416">
        <f t="shared" si="1743"/>
        <v>0</v>
      </c>
      <c r="BT235" s="416">
        <f t="shared" si="1744"/>
        <v>0</v>
      </c>
      <c r="BU235" s="412">
        <f t="shared" si="1745"/>
        <v>0</v>
      </c>
      <c r="BV235" s="413">
        <f t="shared" si="1746"/>
        <v>0</v>
      </c>
      <c r="BW235" s="410">
        <f t="shared" si="1747"/>
        <v>0</v>
      </c>
      <c r="BX235" s="416">
        <f t="shared" si="1748"/>
        <v>0</v>
      </c>
      <c r="BY235" s="416">
        <f t="shared" si="1749"/>
        <v>0</v>
      </c>
      <c r="BZ235" s="412">
        <f t="shared" si="1750"/>
        <v>0</v>
      </c>
      <c r="CA235" s="413">
        <f t="shared" si="1751"/>
        <v>0</v>
      </c>
      <c r="CB235" s="410">
        <f t="shared" si="1752"/>
        <v>0</v>
      </c>
      <c r="CC235" s="416">
        <f t="shared" si="1753"/>
        <v>0</v>
      </c>
      <c r="CD235" s="416">
        <f t="shared" si="1754"/>
        <v>0</v>
      </c>
      <c r="CE235" s="412">
        <f t="shared" si="1755"/>
        <v>0</v>
      </c>
      <c r="CF235" s="413">
        <f t="shared" si="1756"/>
        <v>0</v>
      </c>
      <c r="CG235" s="410">
        <f t="shared" si="1757"/>
        <v>0</v>
      </c>
      <c r="CH235" s="416">
        <f t="shared" si="1758"/>
        <v>0</v>
      </c>
      <c r="CI235" s="416">
        <f t="shared" si="1759"/>
        <v>0</v>
      </c>
      <c r="CJ235" s="412">
        <f t="shared" si="1760"/>
        <v>0</v>
      </c>
      <c r="CK235" s="413">
        <f t="shared" si="1761"/>
        <v>0</v>
      </c>
      <c r="CL235" s="410">
        <f t="shared" si="1762"/>
        <v>0</v>
      </c>
      <c r="CM235" s="416">
        <f t="shared" si="1763"/>
        <v>0</v>
      </c>
      <c r="CN235" s="416">
        <f t="shared" si="1764"/>
        <v>0</v>
      </c>
      <c r="CO235" s="412">
        <f t="shared" si="1765"/>
        <v>0</v>
      </c>
      <c r="CP235" s="413">
        <f t="shared" si="1766"/>
        <v>0</v>
      </c>
      <c r="CQ235" s="410">
        <f t="shared" si="1767"/>
        <v>0</v>
      </c>
      <c r="CR235" s="416">
        <f t="shared" si="1768"/>
        <v>0</v>
      </c>
      <c r="CS235" s="416">
        <f t="shared" si="1769"/>
        <v>0</v>
      </c>
      <c r="CT235" s="412">
        <f t="shared" si="1770"/>
        <v>0</v>
      </c>
      <c r="CU235" s="413">
        <f t="shared" si="1771"/>
        <v>0</v>
      </c>
      <c r="CV235" s="410">
        <f t="shared" si="1772"/>
        <v>0</v>
      </c>
      <c r="CW235" s="416">
        <f t="shared" si="1773"/>
        <v>0</v>
      </c>
      <c r="CX235" s="416">
        <f t="shared" si="1774"/>
        <v>0</v>
      </c>
      <c r="CY235" s="412">
        <f t="shared" si="1775"/>
        <v>0</v>
      </c>
      <c r="CZ235" s="413">
        <f t="shared" si="1776"/>
        <v>0</v>
      </c>
      <c r="DA235" s="410">
        <f t="shared" si="1777"/>
        <v>0</v>
      </c>
      <c r="DB235" s="416">
        <f t="shared" si="1778"/>
        <v>0</v>
      </c>
      <c r="DC235" s="416">
        <f t="shared" si="1779"/>
        <v>0</v>
      </c>
      <c r="DD235" s="412">
        <f t="shared" si="1780"/>
        <v>0</v>
      </c>
      <c r="DE235" s="413">
        <f t="shared" si="1781"/>
        <v>0</v>
      </c>
      <c r="DF235" s="410">
        <f t="shared" si="1782"/>
        <v>0</v>
      </c>
      <c r="DG235" s="416">
        <f t="shared" si="1783"/>
        <v>0</v>
      </c>
      <c r="DH235" s="416">
        <f t="shared" si="1784"/>
        <v>0</v>
      </c>
      <c r="DI235" s="412">
        <f t="shared" si="1785"/>
        <v>0</v>
      </c>
      <c r="DJ235" s="413">
        <f t="shared" si="1786"/>
        <v>0</v>
      </c>
      <c r="DK235" s="410">
        <f t="shared" si="1787"/>
        <v>0</v>
      </c>
      <c r="DL235" s="416">
        <f t="shared" si="1788"/>
        <v>0</v>
      </c>
      <c r="DM235" s="416">
        <f t="shared" si="1789"/>
        <v>0</v>
      </c>
      <c r="DN235" s="412">
        <f t="shared" si="1790"/>
        <v>0</v>
      </c>
      <c r="DO235" s="413">
        <f t="shared" si="1791"/>
        <v>0</v>
      </c>
      <c r="DP235" s="410">
        <f t="shared" si="1792"/>
        <v>0</v>
      </c>
      <c r="DQ235" s="416">
        <f t="shared" si="1793"/>
        <v>0</v>
      </c>
      <c r="DR235" s="416">
        <f t="shared" si="1794"/>
        <v>0</v>
      </c>
      <c r="DS235" s="412">
        <f t="shared" si="1795"/>
        <v>-6.71875</v>
      </c>
      <c r="DT235" s="413">
        <f t="shared" si="1796"/>
        <v>-6.71875</v>
      </c>
    </row>
    <row r="236" spans="1:124" ht="12.75" customHeight="1">
      <c r="C236" s="601"/>
      <c r="D236" s="601"/>
      <c r="E236" s="831"/>
      <c r="F236" s="829"/>
      <c r="G236" s="829"/>
      <c r="H236" s="610"/>
      <c r="I236" s="830"/>
      <c r="J236" s="615"/>
      <c r="K236" s="402"/>
      <c r="L236" s="407"/>
      <c r="M236" s="404"/>
      <c r="N236" s="414"/>
      <c r="O236" s="414"/>
      <c r="P236" s="406"/>
      <c r="Q236" s="407"/>
      <c r="R236" s="404"/>
      <c r="S236" s="414"/>
      <c r="T236" s="414"/>
      <c r="U236" s="406"/>
      <c r="V236" s="407"/>
      <c r="W236" s="404"/>
      <c r="X236" s="414"/>
      <c r="Y236" s="414"/>
      <c r="Z236" s="406"/>
      <c r="AA236" s="407"/>
      <c r="AB236" s="404"/>
      <c r="AC236" s="414"/>
      <c r="AD236" s="414"/>
      <c r="AE236" s="406"/>
      <c r="AF236" s="407"/>
      <c r="AG236" s="404"/>
      <c r="AH236" s="414"/>
      <c r="AI236" s="414"/>
      <c r="AJ236" s="406"/>
      <c r="AK236" s="407"/>
      <c r="AL236" s="404"/>
      <c r="AM236" s="414"/>
      <c r="AN236" s="414"/>
      <c r="AO236" s="406"/>
      <c r="AP236" s="407"/>
      <c r="AQ236" s="404"/>
      <c r="AR236" s="414"/>
      <c r="AS236" s="414"/>
      <c r="AT236" s="406"/>
      <c r="AU236" s="407"/>
      <c r="AV236" s="404"/>
      <c r="AW236" s="414"/>
      <c r="AX236" s="414"/>
      <c r="AY236" s="406"/>
      <c r="AZ236" s="407"/>
      <c r="BA236" s="404"/>
      <c r="BB236" s="414"/>
      <c r="BC236" s="414"/>
      <c r="BD236" s="406"/>
      <c r="BE236" s="407"/>
      <c r="BF236" s="404"/>
      <c r="BG236" s="414"/>
      <c r="BH236" s="414"/>
      <c r="BI236" s="406"/>
      <c r="BJ236" s="407"/>
      <c r="BK236" s="404"/>
      <c r="BL236" s="414"/>
      <c r="BM236" s="414"/>
      <c r="BN236" s="406"/>
      <c r="BO236" s="407"/>
      <c r="BP236" s="449"/>
      <c r="BQ236" s="413"/>
      <c r="BR236" s="410"/>
      <c r="BS236" s="416"/>
      <c r="BT236" s="416"/>
      <c r="BU236" s="412"/>
      <c r="BV236" s="413"/>
      <c r="BW236" s="410"/>
      <c r="BX236" s="416"/>
      <c r="BY236" s="416"/>
      <c r="BZ236" s="412"/>
      <c r="CA236" s="413"/>
      <c r="CB236" s="410"/>
      <c r="CC236" s="416"/>
      <c r="CD236" s="416"/>
      <c r="CE236" s="412"/>
      <c r="CF236" s="413"/>
      <c r="CG236" s="410"/>
      <c r="CH236" s="416"/>
      <c r="CI236" s="416"/>
      <c r="CJ236" s="412"/>
      <c r="CK236" s="413"/>
      <c r="CL236" s="410"/>
      <c r="CM236" s="416"/>
      <c r="CN236" s="416"/>
      <c r="CO236" s="412"/>
      <c r="CP236" s="413"/>
      <c r="CQ236" s="410"/>
      <c r="CR236" s="416"/>
      <c r="CS236" s="416"/>
      <c r="CT236" s="412"/>
      <c r="CU236" s="413"/>
      <c r="CV236" s="410"/>
      <c r="CW236" s="416"/>
      <c r="CX236" s="416"/>
      <c r="CY236" s="412"/>
      <c r="CZ236" s="413"/>
      <c r="DA236" s="410"/>
      <c r="DB236" s="416"/>
      <c r="DC236" s="416"/>
      <c r="DD236" s="412"/>
      <c r="DE236" s="413"/>
      <c r="DF236" s="410"/>
      <c r="DG236" s="416"/>
      <c r="DH236" s="416"/>
      <c r="DI236" s="412"/>
      <c r="DJ236" s="413"/>
      <c r="DK236" s="410"/>
      <c r="DL236" s="416"/>
      <c r="DM236" s="416"/>
      <c r="DN236" s="412"/>
      <c r="DO236" s="413"/>
      <c r="DP236" s="410"/>
      <c r="DQ236" s="416"/>
      <c r="DR236" s="416"/>
      <c r="DS236" s="412"/>
      <c r="DT236" s="413"/>
    </row>
    <row r="237" spans="1:124" ht="12.75" customHeight="1">
      <c r="C237" s="14" t="s">
        <v>296</v>
      </c>
      <c r="D237" s="14"/>
      <c r="E237" s="831"/>
      <c r="F237" s="829"/>
      <c r="G237" s="829"/>
      <c r="H237" s="610"/>
      <c r="I237" s="830"/>
      <c r="J237" s="615"/>
      <c r="K237" s="402"/>
      <c r="L237" s="407"/>
      <c r="M237" s="404"/>
      <c r="N237" s="414"/>
      <c r="O237" s="414"/>
      <c r="P237" s="406"/>
      <c r="Q237" s="407"/>
      <c r="R237" s="404"/>
      <c r="S237" s="414"/>
      <c r="T237" s="414"/>
      <c r="U237" s="406"/>
      <c r="V237" s="407"/>
      <c r="W237" s="404"/>
      <c r="X237" s="414"/>
      <c r="Y237" s="414"/>
      <c r="Z237" s="406"/>
      <c r="AA237" s="407"/>
      <c r="AB237" s="404"/>
      <c r="AC237" s="414"/>
      <c r="AD237" s="414"/>
      <c r="AE237" s="406"/>
      <c r="AF237" s="407"/>
      <c r="AG237" s="404"/>
      <c r="AH237" s="414"/>
      <c r="AI237" s="414"/>
      <c r="AJ237" s="406"/>
      <c r="AK237" s="407"/>
      <c r="AL237" s="404"/>
      <c r="AM237" s="414"/>
      <c r="AN237" s="414"/>
      <c r="AO237" s="406"/>
      <c r="AP237" s="407"/>
      <c r="AQ237" s="404"/>
      <c r="AR237" s="414"/>
      <c r="AS237" s="414"/>
      <c r="AT237" s="406"/>
      <c r="AU237" s="407"/>
      <c r="AV237" s="404"/>
      <c r="AW237" s="414"/>
      <c r="AX237" s="414"/>
      <c r="AY237" s="406"/>
      <c r="AZ237" s="407"/>
      <c r="BA237" s="404"/>
      <c r="BB237" s="414"/>
      <c r="BC237" s="414"/>
      <c r="BD237" s="406"/>
      <c r="BE237" s="407"/>
      <c r="BF237" s="404"/>
      <c r="BG237" s="414"/>
      <c r="BH237" s="414"/>
      <c r="BI237" s="406"/>
      <c r="BJ237" s="407"/>
      <c r="BK237" s="404"/>
      <c r="BL237" s="414"/>
      <c r="BM237" s="414"/>
      <c r="BN237" s="406"/>
      <c r="BO237" s="407"/>
      <c r="BP237" s="449"/>
      <c r="BQ237" s="413"/>
      <c r="BR237" s="410"/>
      <c r="BS237" s="416"/>
      <c r="BT237" s="416"/>
      <c r="BU237" s="412"/>
      <c r="BV237" s="413"/>
      <c r="BW237" s="410"/>
      <c r="BX237" s="416"/>
      <c r="BY237" s="416"/>
      <c r="BZ237" s="412"/>
      <c r="CA237" s="413"/>
      <c r="CB237" s="410"/>
      <c r="CC237" s="416"/>
      <c r="CD237" s="416"/>
      <c r="CE237" s="412"/>
      <c r="CF237" s="413"/>
      <c r="CG237" s="410"/>
      <c r="CH237" s="416"/>
      <c r="CI237" s="416"/>
      <c r="CJ237" s="412"/>
      <c r="CK237" s="413"/>
      <c r="CL237" s="410"/>
      <c r="CM237" s="416"/>
      <c r="CN237" s="416"/>
      <c r="CO237" s="412"/>
      <c r="CP237" s="413"/>
      <c r="CQ237" s="410"/>
      <c r="CR237" s="416"/>
      <c r="CS237" s="416"/>
      <c r="CT237" s="412"/>
      <c r="CU237" s="413"/>
      <c r="CV237" s="410"/>
      <c r="CW237" s="416"/>
      <c r="CX237" s="416"/>
      <c r="CY237" s="412"/>
      <c r="CZ237" s="413"/>
      <c r="DA237" s="410"/>
      <c r="DB237" s="416"/>
      <c r="DC237" s="416"/>
      <c r="DD237" s="412"/>
      <c r="DE237" s="413"/>
      <c r="DF237" s="410"/>
      <c r="DG237" s="416"/>
      <c r="DH237" s="416"/>
      <c r="DI237" s="412"/>
      <c r="DJ237" s="413"/>
      <c r="DK237" s="410"/>
      <c r="DL237" s="416"/>
      <c r="DM237" s="416"/>
      <c r="DN237" s="412"/>
      <c r="DO237" s="413"/>
      <c r="DP237" s="410"/>
      <c r="DQ237" s="416"/>
      <c r="DR237" s="416"/>
      <c r="DS237" s="412"/>
      <c r="DT237" s="413"/>
    </row>
    <row r="238" spans="1:124" ht="12.75" customHeight="1">
      <c r="C238" s="601"/>
      <c r="D238" s="601"/>
      <c r="E238" s="831"/>
      <c r="F238" s="829"/>
      <c r="G238" s="829"/>
      <c r="H238" s="610"/>
      <c r="I238" s="830"/>
      <c r="J238" s="615"/>
      <c r="K238" s="402"/>
      <c r="L238" s="407"/>
      <c r="M238" s="404"/>
      <c r="N238" s="414"/>
      <c r="O238" s="414"/>
      <c r="P238" s="406"/>
      <c r="Q238" s="407"/>
      <c r="R238" s="404"/>
      <c r="S238" s="414"/>
      <c r="T238" s="414"/>
      <c r="U238" s="406"/>
      <c r="V238" s="407"/>
      <c r="W238" s="404"/>
      <c r="X238" s="414"/>
      <c r="Y238" s="414"/>
      <c r="Z238" s="406"/>
      <c r="AA238" s="407"/>
      <c r="AB238" s="404"/>
      <c r="AC238" s="414"/>
      <c r="AD238" s="414"/>
      <c r="AE238" s="406"/>
      <c r="AF238" s="407"/>
      <c r="AG238" s="404"/>
      <c r="AH238" s="414"/>
      <c r="AI238" s="414"/>
      <c r="AJ238" s="406"/>
      <c r="AK238" s="407"/>
      <c r="AL238" s="404"/>
      <c r="AM238" s="414"/>
      <c r="AN238" s="414"/>
      <c r="AO238" s="406"/>
      <c r="AP238" s="407"/>
      <c r="AQ238" s="404"/>
      <c r="AR238" s="414"/>
      <c r="AS238" s="414"/>
      <c r="AT238" s="406"/>
      <c r="AU238" s="407"/>
      <c r="AV238" s="404"/>
      <c r="AW238" s="414"/>
      <c r="AX238" s="414"/>
      <c r="AY238" s="406"/>
      <c r="AZ238" s="407"/>
      <c r="BA238" s="404"/>
      <c r="BB238" s="414"/>
      <c r="BC238" s="414"/>
      <c r="BD238" s="406"/>
      <c r="BE238" s="407"/>
      <c r="BF238" s="404"/>
      <c r="BG238" s="414"/>
      <c r="BH238" s="414"/>
      <c r="BI238" s="406"/>
      <c r="BJ238" s="407"/>
      <c r="BK238" s="404"/>
      <c r="BL238" s="414"/>
      <c r="BM238" s="414"/>
      <c r="BN238" s="406"/>
      <c r="BO238" s="407"/>
      <c r="BP238" s="449"/>
      <c r="BQ238" s="413"/>
      <c r="BR238" s="410"/>
      <c r="BS238" s="416"/>
      <c r="BT238" s="416"/>
      <c r="BU238" s="412"/>
      <c r="BV238" s="413"/>
      <c r="BW238" s="410"/>
      <c r="BX238" s="416"/>
      <c r="BY238" s="416"/>
      <c r="BZ238" s="412"/>
      <c r="CA238" s="413"/>
      <c r="CB238" s="410"/>
      <c r="CC238" s="416"/>
      <c r="CD238" s="416"/>
      <c r="CE238" s="412"/>
      <c r="CF238" s="413"/>
      <c r="CG238" s="410"/>
      <c r="CH238" s="416"/>
      <c r="CI238" s="416"/>
      <c r="CJ238" s="412"/>
      <c r="CK238" s="413"/>
      <c r="CL238" s="410"/>
      <c r="CM238" s="416"/>
      <c r="CN238" s="416"/>
      <c r="CO238" s="412"/>
      <c r="CP238" s="413"/>
      <c r="CQ238" s="410"/>
      <c r="CR238" s="416"/>
      <c r="CS238" s="416"/>
      <c r="CT238" s="412"/>
      <c r="CU238" s="413"/>
      <c r="CV238" s="410"/>
      <c r="CW238" s="416"/>
      <c r="CX238" s="416"/>
      <c r="CY238" s="412"/>
      <c r="CZ238" s="413"/>
      <c r="DA238" s="410"/>
      <c r="DB238" s="416"/>
      <c r="DC238" s="416"/>
      <c r="DD238" s="412"/>
      <c r="DE238" s="413"/>
      <c r="DF238" s="410"/>
      <c r="DG238" s="416"/>
      <c r="DH238" s="416"/>
      <c r="DI238" s="412"/>
      <c r="DJ238" s="413"/>
      <c r="DK238" s="410"/>
      <c r="DL238" s="416"/>
      <c r="DM238" s="416"/>
      <c r="DN238" s="412"/>
      <c r="DO238" s="413"/>
      <c r="DP238" s="410"/>
      <c r="DQ238" s="416"/>
      <c r="DR238" s="416"/>
      <c r="DS238" s="412"/>
      <c r="DT238" s="413"/>
    </row>
    <row r="239" spans="1:124" ht="12.75" customHeight="1">
      <c r="A239" s="491"/>
      <c r="C239" s="81" t="s">
        <v>369</v>
      </c>
      <c r="D239" s="81"/>
      <c r="E239" s="1531">
        <f t="shared" ref="E239:E246" si="1797">IF(F239=0,G239,F239)</f>
        <v>40.89</v>
      </c>
      <c r="F239" s="1532">
        <v>40.89</v>
      </c>
      <c r="G239" s="1532">
        <v>40.89</v>
      </c>
      <c r="H239" s="610">
        <v>2017</v>
      </c>
      <c r="I239" s="1533">
        <v>5.6250000000000001E-2</v>
      </c>
      <c r="J239" s="615">
        <v>10</v>
      </c>
      <c r="K239" s="402"/>
      <c r="L239" s="407">
        <f t="shared" ref="L239:L246" si="1798">IF(L$5=$H239,-$E239,0)</f>
        <v>0</v>
      </c>
      <c r="M239" s="404">
        <f t="shared" ref="M239:M246" si="1799">IF(Q239=0,0,IF(Q239&lt;0,IF($J239=3,Q239,IF($J239=2,Q239,IF($J239=1,Q239,0)))))</f>
        <v>0</v>
      </c>
      <c r="N239" s="414">
        <f t="shared" ref="N239:N246" si="1800">IF(Q239=0,0,IF(Q239&lt;0,IF($J239=6,Q239,IF($J239=5,Q239,IF($J239=4,Q239,0)))))</f>
        <v>0</v>
      </c>
      <c r="O239" s="414">
        <f t="shared" ref="O239:O246" si="1801">IF(Q239=0,0,IF(Q239&lt;0,IF($J239=9,Q239,IF($J239=8,Q239,IF($J239=7,Q239,0)))))</f>
        <v>0</v>
      </c>
      <c r="P239" s="406">
        <f t="shared" ref="P239:P246" si="1802">IF(Q239=0,0,IF(Q239&lt;0,IF($J239=12,Q239,IF($J239=11,Q239,IF($J239=10,Q239,0)))))</f>
        <v>0</v>
      </c>
      <c r="Q239" s="407">
        <f t="shared" ref="Q239:Q246" si="1803">IF(Q$5=$H239,-$E239,0)</f>
        <v>0</v>
      </c>
      <c r="R239" s="404">
        <f t="shared" ref="R239:R246" si="1804">IF(V239=0,0,IF(V239&lt;0,IF($J239=3,V239,IF($J239=2,V239,IF($J239=1,V239,0)))))</f>
        <v>0</v>
      </c>
      <c r="S239" s="414">
        <f t="shared" ref="S239:S246" si="1805">IF(V239=0,0,IF(V239&lt;0,IF($J239=6,V239,IF($J239=5,V239,IF($J239=4,V239,0)))))</f>
        <v>0</v>
      </c>
      <c r="T239" s="414">
        <f t="shared" ref="T239:T246" si="1806">IF(V239=0,0,IF(V239&lt;0,IF($J239=9,V239,IF($J239=8,V239,IF($J239=7,V239,0)))))</f>
        <v>0</v>
      </c>
      <c r="U239" s="406">
        <f t="shared" ref="U239:U246" si="1807">IF(V239=0,0,IF(V239&lt;0,IF($J239=12,V239,IF($J239=11,V239,IF($J239=10,V239,0)))))</f>
        <v>0</v>
      </c>
      <c r="V239" s="407">
        <f t="shared" ref="V239:V246" si="1808">IF(V$5=$H239,-$E239,0)</f>
        <v>0</v>
      </c>
      <c r="W239" s="404">
        <f t="shared" ref="W239:W246" si="1809">IF(AA239=0,0,IF(AA239&lt;0,IF($J239=3,AA239,IF($J239=2,AA239,IF($J239=1,AA239,0)))))</f>
        <v>0</v>
      </c>
      <c r="X239" s="414">
        <f t="shared" ref="X239:X246" si="1810">IF(AA239=0,0,IF(AA239&lt;0,IF($J239=6,AA239,IF($J239=5,AA239,IF($J239=4,AA239,0)))))</f>
        <v>0</v>
      </c>
      <c r="Y239" s="414">
        <f t="shared" ref="Y239:Y246" si="1811">IF(AA239=0,0,IF(AA239&lt;0,IF($J239=9,AA239,IF($J239=8,AA239,IF($J239=7,AA239,0)))))</f>
        <v>0</v>
      </c>
      <c r="Z239" s="406">
        <f t="shared" ref="Z239:Z246" si="1812">IF(AA239=0,0,IF(AA239&lt;0,IF($J239=12,AA239,IF($J239=11,AA239,IF($J239=10,AA239,0)))))</f>
        <v>0</v>
      </c>
      <c r="AA239" s="407">
        <f t="shared" ref="AA239:AA246" si="1813">IF(AA$5=$H239,-$E239,0)</f>
        <v>0</v>
      </c>
      <c r="AB239" s="404">
        <f t="shared" ref="AB239:AB246" si="1814">IF(AF239=0,0,IF(AF239&lt;0,IF($J239=3,AF239,IF($J239=2,AF239,IF($J239=1,AF239,0)))))</f>
        <v>0</v>
      </c>
      <c r="AC239" s="414">
        <f t="shared" ref="AC239:AC246" si="1815">IF(AF239=0,0,IF(AF239&lt;0,IF($J239=6,AF239,IF($J239=5,AF239,IF($J239=4,AF239,0)))))</f>
        <v>0</v>
      </c>
      <c r="AD239" s="414">
        <f t="shared" ref="AD239:AD246" si="1816">IF(AF239=0,0,IF(AF239&lt;0,IF($J239=9,AF239,IF($J239=8,AF239,IF($J239=7,AF239,0)))))</f>
        <v>0</v>
      </c>
      <c r="AE239" s="406">
        <f t="shared" ref="AE239:AE246" si="1817">IF(AF239=0,0,IF(AF239&lt;0,IF($J239=12,AF239,IF($J239=11,AF239,IF($J239=10,AF239,0)))))</f>
        <v>0</v>
      </c>
      <c r="AF239" s="407">
        <f t="shared" ref="AF239:AF246" si="1818">IF(AF$5=$H239,-$E239,0)</f>
        <v>0</v>
      </c>
      <c r="AG239" s="404">
        <f t="shared" ref="AG239:AG246" si="1819">IF(AK239=0,0,IF(AK239&lt;0,IF($J239=3,AK239,IF($J239=2,AK239,IF($J239=1,AK239,0)))))</f>
        <v>0</v>
      </c>
      <c r="AH239" s="414">
        <f t="shared" ref="AH239:AH246" si="1820">IF(AK239=0,0,IF(AK239&lt;0,IF($J239=6,AK239,IF($J239=5,AK239,IF($J239=4,AK239,0)))))</f>
        <v>0</v>
      </c>
      <c r="AI239" s="414">
        <f t="shared" ref="AI239:AI246" si="1821">IF(AK239=0,0,IF(AK239&lt;0,IF($J239=9,AK239,IF($J239=8,AK239,IF($J239=7,AK239,0)))))</f>
        <v>0</v>
      </c>
      <c r="AJ239" s="406">
        <f t="shared" ref="AJ239:AJ246" si="1822">IF(AK239=0,0,IF(AK239&lt;0,IF($J239=12,AK239,IF($J239=11,AK239,IF($J239=10,AK239,0)))))</f>
        <v>0</v>
      </c>
      <c r="AK239" s="407">
        <f t="shared" ref="AK239:AK246" si="1823">IF(AK$5=$H239,-$E239,0)</f>
        <v>0</v>
      </c>
      <c r="AL239" s="404">
        <f t="shared" ref="AL239:AL246" si="1824">IF(AP239=0,0,IF(AP239&lt;0,IF($J239=3,AP239,IF($J239=2,AP239,IF($J239=1,AP239,0)))))</f>
        <v>0</v>
      </c>
      <c r="AM239" s="414">
        <f t="shared" ref="AM239:AM246" si="1825">IF(AP239=0,0,IF(AP239&lt;0,IF($J239=6,AP239,IF($J239=5,AP239,IF($J239=4,AP239,0)))))</f>
        <v>0</v>
      </c>
      <c r="AN239" s="414">
        <f t="shared" ref="AN239:AN246" si="1826">IF(AP239=0,0,IF(AP239&lt;0,IF($J239=9,AP239,IF($J239=8,AP239,IF($J239=7,AP239,0)))))</f>
        <v>0</v>
      </c>
      <c r="AO239" s="406">
        <f t="shared" ref="AO239:AO246" si="1827">IF(AP239=0,0,IF(AP239&lt;0,IF($J239=12,AP239,IF($J239=11,AP239,IF($J239=10,AP239,0)))))</f>
        <v>0</v>
      </c>
      <c r="AP239" s="407">
        <f t="shared" ref="AP239:AP246" si="1828">IF(AP$5=$H239,-$E239,0)</f>
        <v>0</v>
      </c>
      <c r="AQ239" s="404">
        <f t="shared" ref="AQ239:AQ246" si="1829">IF(AU239=0,0,IF(AU239&lt;0,IF($J239=3,AU239,IF($J239=2,AU239,IF($J239=1,AU239,0)))))</f>
        <v>0</v>
      </c>
      <c r="AR239" s="414">
        <f t="shared" ref="AR239:AR246" si="1830">IF(AU239=0,0,IF(AU239&lt;0,IF($J239=6,AU239,IF($J239=5,AU239,IF($J239=4,AU239,0)))))</f>
        <v>0</v>
      </c>
      <c r="AS239" s="414">
        <f t="shared" ref="AS239:AS246" si="1831">IF(AU239=0,0,IF(AU239&lt;0,IF($J239=9,AU239,IF($J239=8,AU239,IF($J239=7,AU239,0)))))</f>
        <v>0</v>
      </c>
      <c r="AT239" s="406">
        <f t="shared" ref="AT239:AT246" si="1832">IF(AU239=0,0,IF(AU239&lt;0,IF($J239=12,AU239,IF($J239=11,AU239,IF($J239=10,AU239,0)))))</f>
        <v>-40.89</v>
      </c>
      <c r="AU239" s="407">
        <f t="shared" ref="AU239:AU246" si="1833">IF(AU$5=$H239,-$E239,0)</f>
        <v>-40.89</v>
      </c>
      <c r="AV239" s="404">
        <f t="shared" ref="AV239:AV246" si="1834">IF(AZ239=0,0,IF(AZ239&lt;0,IF($J239=3,AZ239,IF($J239=2,AZ239,IF($J239=1,AZ239,0)))))</f>
        <v>0</v>
      </c>
      <c r="AW239" s="414">
        <f t="shared" ref="AW239:AW246" si="1835">IF(AZ239=0,0,IF(AZ239&lt;0,IF($J239=6,AZ239,IF($J239=5,AZ239,IF($J239=4,AZ239,0)))))</f>
        <v>0</v>
      </c>
      <c r="AX239" s="414">
        <f t="shared" ref="AX239:AX246" si="1836">IF(AZ239=0,0,IF(AZ239&lt;0,IF($J239=9,AZ239,IF($J239=8,AZ239,IF($J239=7,AZ239,0)))))</f>
        <v>0</v>
      </c>
      <c r="AY239" s="406">
        <f t="shared" ref="AY239:AY246" si="1837">IF(AZ239=0,0,IF(AZ239&lt;0,IF($J239=12,AZ239,IF($J239=11,AZ239,IF($J239=10,AZ239,0)))))</f>
        <v>0</v>
      </c>
      <c r="AZ239" s="407">
        <f t="shared" ref="AZ239:AZ246" si="1838">IF(AZ$5=$H239,-$E239,0)</f>
        <v>0</v>
      </c>
      <c r="BA239" s="404">
        <f t="shared" ref="BA239:BA246" si="1839">IF(BE239=0,0,IF(BE239&lt;0,IF($J239=3,BE239,IF($J239=2,BE239,IF($J239=1,BE239,0)))))</f>
        <v>0</v>
      </c>
      <c r="BB239" s="414">
        <f t="shared" ref="BB239:BB246" si="1840">IF(BE239=0,0,IF(BE239&lt;0,IF($J239=6,BE239,IF($J239=5,BE239,IF($J239=4,BE239,0)))))</f>
        <v>0</v>
      </c>
      <c r="BC239" s="414">
        <f t="shared" ref="BC239:BC246" si="1841">IF(BE239=0,0,IF(BE239&lt;0,IF($J239=9,BE239,IF($J239=8,BE239,IF($J239=7,BE239,0)))))</f>
        <v>0</v>
      </c>
      <c r="BD239" s="406">
        <f t="shared" ref="BD239:BD246" si="1842">IF(BE239=0,0,IF(BE239&lt;0,IF($J239=12,BE239,IF($J239=11,BE239,IF($J239=10,BE239,0)))))</f>
        <v>0</v>
      </c>
      <c r="BE239" s="407">
        <f t="shared" ref="BE239:BE246" si="1843">IF(BE$5=$H239,-$E239,0)</f>
        <v>0</v>
      </c>
      <c r="BF239" s="404">
        <f t="shared" ref="BF239:BF246" si="1844">IF(BJ239=0,0,IF(BJ239&lt;0,IF($J239=3,BJ239,IF($J239=2,BJ239,IF($J239=1,BJ239,0)))))</f>
        <v>0</v>
      </c>
      <c r="BG239" s="414">
        <f t="shared" ref="BG239:BG246" si="1845">IF(BJ239=0,0,IF(BJ239&lt;0,IF($J239=6,BJ239,IF($J239=5,BJ239,IF($J239=4,BJ239,0)))))</f>
        <v>0</v>
      </c>
      <c r="BH239" s="414">
        <f t="shared" ref="BH239:BH246" si="1846">IF(BJ239=0,0,IF(BJ239&lt;0,IF($J239=9,BJ239,IF($J239=8,BJ239,IF($J239=7,BJ239,0)))))</f>
        <v>0</v>
      </c>
      <c r="BI239" s="406">
        <f t="shared" ref="BI239:BI246" si="1847">IF(BJ239=0,0,IF(BJ239&lt;0,IF($J239=12,BJ239,IF($J239=11,BJ239,IF($J239=10,BJ239,0)))))</f>
        <v>0</v>
      </c>
      <c r="BJ239" s="407">
        <f t="shared" ref="BJ239:BJ246" si="1848">IF(BJ$5=$H239,-$E239,0)</f>
        <v>0</v>
      </c>
      <c r="BK239" s="404">
        <f t="shared" ref="BK239:BK246" si="1849">IF(BO239=0,0,IF(BO239&lt;0,IF($J239=3,BO239,IF($J239=2,BO239,IF($J239=1,BO239,0)))))</f>
        <v>0</v>
      </c>
      <c r="BL239" s="414">
        <f t="shared" ref="BL239:BL246" si="1850">IF(BO239=0,0,IF(BO239&lt;0,IF($J239=6,BO239,IF($J239=5,BO239,IF($J239=4,BO239,0)))))</f>
        <v>0</v>
      </c>
      <c r="BM239" s="414">
        <f t="shared" ref="BM239:BM246" si="1851">IF(BO239=0,0,IF(BO239&lt;0,IF($J239=9,BO239,IF($J239=8,BO239,IF($J239=7,BO239,0)))))</f>
        <v>0</v>
      </c>
      <c r="BN239" s="406">
        <f t="shared" ref="BN239:BN246" si="1852">IF(BO239=0,0,IF(BO239&lt;0,IF($J239=12,BO239,IF($J239=11,BO239,IF($J239=10,BO239,0)))))</f>
        <v>0</v>
      </c>
      <c r="BO239" s="407">
        <f t="shared" ref="BO239:BO246" si="1853">IF(BO$5=$H239,-$E239,0)</f>
        <v>0</v>
      </c>
      <c r="BP239" s="449"/>
      <c r="BQ239" s="413">
        <f t="shared" ref="BQ239:BQ246" si="1854">IF(AND(AH239&lt;&gt;0,AH$5=$H239),-$I239*$E239-AH239,IF(BQ$5=$H239,-$I239*$E239*(12-$J239+1)/12,0))</f>
        <v>0</v>
      </c>
      <c r="BR239" s="410">
        <f t="shared" ref="BR239:BR246" si="1855">IF($H239&lt;&gt;BV$5,0,IF(BV239&lt;0,IF($J239=1,-$E239*$I239/12*3,IF($J239=2,-$E239*$I239/12*2,IF($J239=3,-$E239*$I239/12*1,0)))))+IF(BQ$5&lt;&gt;$H239,0,IF(BQ239&lt;0,IF($J239=1,-$E239*$I239/12*0,IF($J239=2,-$E239*$I239/12*1,IF($J239=3,-$E239*$I239/12*2,IF($J239&gt;=4,-$E239*$I239/12*3,0))))))</f>
        <v>0</v>
      </c>
      <c r="BS239" s="416">
        <f t="shared" ref="BS239:BS246" si="1856">IF($H239&lt;&gt;BV$5,0,IF(BV239&lt;0,IF(OR($J239=1,$J239=2,$J239=3,$J239=4),-$E239*$I239/12*3,IF($J239=5,-$E239*$I239/12*2,IF($J239=6,-$E239*$I239/12*1,0)))))+IF(BQ$5&lt;&gt;$H239,0,IF(BQ239&lt;0,IF($J239=4,-$E239*$I239/12*0,IF($J239=5,-$E239*$I239/12*1,IF($J239=6,-$E239*$I239/12*2,IF($J239&gt;=7,-$E239*$I239/12*3,0))))))</f>
        <v>0</v>
      </c>
      <c r="BT239" s="416">
        <f t="shared" ref="BT239:BT246" si="1857">IF($H239&lt;&gt;BV$5,0,IF(BV239&lt;0,IF(OR($J239=1,$J239=2,$J239=3,$J239=4,$J239=5,$J239=6,$J239=7),-$E239*$I239/12*3,IF($J239=8,-$E239*$I239/12*2,IF($J239=9,-$E239*$I239/12*1,0)))))+IF(BQ$5&lt;&gt;$H239,0,IF(BQ239&lt;0,IF($J239=7,-$E239*$I239/12*0,IF($J239=8,-$E239*$I239/12*1,IF($J239=9,-$E239*$I239/12*2,IF($J239&gt;=10,-$E239*$I239/12*3,0))))))</f>
        <v>0</v>
      </c>
      <c r="BU239" s="412">
        <f t="shared" ref="BU239:BU246" si="1858">IF($H239&lt;&gt;BV$5,0,IF(BV239&lt;0,IF(OR($J239=1,$J239=2,$J239=3,$J239=4,$J239=5,$J239=6,$J239=7,$J239=8,$J239=9,$J239=10),-$E239*$I239/12*3,IF($J239=11,-$E239*$I239/12*2,IF($J239=12,-$E239*$I239/12*1,0)))))+IF(BQ$5&lt;&gt;$H239,0,IF(BQ239&lt;0,IF($J239=10,-$E239*$I239/12*0,IF($J239=11,-$E239*$I239/12*1,IF($J239=12,-$E239*$I239/12*2,0)))))</f>
        <v>0</v>
      </c>
      <c r="BV239" s="413">
        <f t="shared" ref="BV239:BV246" si="1859">IF(AND(BQ239&lt;&gt;0,BQ$5=$H239),-$I239*$E239-BQ239,IF(BV$5=$H239,-$I239*$E239*(12-$J239+1)/12,0))</f>
        <v>0</v>
      </c>
      <c r="BW239" s="410">
        <f t="shared" ref="BW239:BW246" si="1860">IF($H239&lt;&gt;CA$5,0,IF(CA239&lt;0,IF($J239=1,-$E239*$I239/12*3,IF($J239=2,-$E239*$I239/12*2,IF($J239=3,-$E239*$I239/12*1,0)))))+IF(BV$5&lt;&gt;$H239,0,IF(BV239&lt;0,IF($J239=1,-$E239*$I239/12*0,IF($J239=2,-$E239*$I239/12*1,IF($J239=3,-$E239*$I239/12*2,IF($J239&gt;=4,-$E239*$I239/12*3,0))))))</f>
        <v>0</v>
      </c>
      <c r="BX239" s="416">
        <f t="shared" ref="BX239:BX246" si="1861">IF($H239&lt;&gt;CA$5,0,IF(CA239&lt;0,IF(OR($J239=1,$J239=2,$J239=3,$J239=4),-$E239*$I239/12*3,IF($J239=5,-$E239*$I239/12*2,IF($J239=6,-$E239*$I239/12*1,0)))))+IF(BV$5&lt;&gt;$H239,0,IF(BV239&lt;0,IF($J239=4,-$E239*$I239/12*0,IF($J239=5,-$E239*$I239/12*1,IF($J239=6,-$E239*$I239/12*2,IF($J239&gt;=7,-$E239*$I239/12*3,0))))))</f>
        <v>0</v>
      </c>
      <c r="BY239" s="416">
        <f t="shared" ref="BY239:BY246" si="1862">IF($H239&lt;&gt;CA$5,0,IF(CA239&lt;0,IF(OR($J239=1,$J239=2,$J239=3,$J239=4,$J239=5,$J239=6,$J239=7),-$E239*$I239/12*3,IF($J239=8,-$E239*$I239/12*2,IF($J239=9,-$E239*$I239/12*1,0)))))+IF(BV$5&lt;&gt;$H239,0,IF(BV239&lt;0,IF($J239=7,-$E239*$I239/12*0,IF($J239=8,-$E239*$I239/12*1,IF($J239=9,-$E239*$I239/12*2,IF($J239&gt;=10,-$E239*$I239/12*3,0))))))</f>
        <v>0</v>
      </c>
      <c r="BZ239" s="412">
        <f t="shared" ref="BZ239:BZ246" si="1863">IF($H239&lt;&gt;CA$5,0,IF(CA239&lt;0,IF(OR($J239=1,$J239=2,$J239=3,$J239=4,$J239=5,$J239=6,$J239=7,$J239=8,$J239=9,$J239=10),-$E239*$I239/12*3,IF($J239=11,-$E239*$I239/12*2,IF($J239=12,-$E239*$I239/12*1,0)))))+IF(BV$5&lt;&gt;$H239,0,IF(BV239&lt;0,IF($J239=10,-$E239*$I239/12*0,IF($J239=11,-$E239*$I239/12*1,IF($J239=12,-$E239*$I239/12*2,0)))))</f>
        <v>0</v>
      </c>
      <c r="CA239" s="413">
        <f t="shared" ref="CA239:CA246" si="1864">IF(AND(BV239&lt;&gt;0,BV$5=$H239),-$I239*$E239-BV239,IF(CA$5=$H239,-$I239*$E239*(12-$J239+1)/12,0))</f>
        <v>0</v>
      </c>
      <c r="CB239" s="410">
        <f t="shared" ref="CB239:CB246" si="1865">IF($H239&lt;&gt;CF$5,0,IF(CF239&lt;0,IF($J239=1,-$E239*$I239/12*3,IF($J239=2,-$E239*$I239/12*2,IF($J239=3,-$E239*$I239/12*1,0)))))+IF(CA$5&lt;&gt;$H239,0,IF(CA239&lt;0,IF($J239=1,-$E239*$I239/12*0,IF($J239=2,-$E239*$I239/12*1,IF($J239=3,-$E239*$I239/12*2,IF($J239&gt;=4,-$E239*$I239/12*3,0))))))</f>
        <v>0</v>
      </c>
      <c r="CC239" s="416">
        <f t="shared" ref="CC239:CC246" si="1866">IF($H239&lt;&gt;CF$5,0,IF(CF239&lt;0,IF(OR($J239=1,$J239=2,$J239=3,$J239=4),-$E239*$I239/12*3,IF($J239=5,-$E239*$I239/12*2,IF($J239=6,-$E239*$I239/12*1,0)))))+IF(CA$5&lt;&gt;$H239,0,IF(CA239&lt;0,IF($J239=4,-$E239*$I239/12*0,IF($J239=5,-$E239*$I239/12*1,IF($J239=6,-$E239*$I239/12*2,IF($J239&gt;=7,-$E239*$I239/12*3,0))))))</f>
        <v>0</v>
      </c>
      <c r="CD239" s="416">
        <f t="shared" ref="CD239:CD246" si="1867">IF($H239&lt;&gt;CF$5,0,IF(CF239&lt;0,IF(OR($J239=1,$J239=2,$J239=3,$J239=4,$J239=5,$J239=6,$J239=7),-$E239*$I239/12*3,IF($J239=8,-$E239*$I239/12*2,IF($J239=9,-$E239*$I239/12*1,0)))))+IF(CA$5&lt;&gt;$H239,0,IF(CA239&lt;0,IF($J239=7,-$E239*$I239/12*0,IF($J239=8,-$E239*$I239/12*1,IF($J239=9,-$E239*$I239/12*2,IF($J239&gt;=10,-$E239*$I239/12*3,0))))))</f>
        <v>0</v>
      </c>
      <c r="CE239" s="412">
        <f t="shared" ref="CE239:CE246" si="1868">IF($H239&lt;&gt;CF$5,0,IF(CF239&lt;0,IF(OR($J239=1,$J239=2,$J239=3,$J239=4,$J239=5,$J239=6,$J239=7,$J239=8,$J239=9,$J239=10),-$E239*$I239/12*3,IF($J239=11,-$E239*$I239/12*2,IF($J239=12,-$E239*$I239/12*1,0)))))+IF(CA$5&lt;&gt;$H239,0,IF(CA239&lt;0,IF($J239=10,-$E239*$I239/12*0,IF($J239=11,-$E239*$I239/12*1,IF($J239=12,-$E239*$I239/12*2,0)))))</f>
        <v>0</v>
      </c>
      <c r="CF239" s="413">
        <f t="shared" ref="CF239:CF246" si="1869">IF(AND(CA239&lt;&gt;0,CA$5=$H239),-$I239*$E239-CA239,IF(CF$5=$H239,-$I239*$E239*(12-$J239+1)/12,0))</f>
        <v>0</v>
      </c>
      <c r="CG239" s="410">
        <f t="shared" ref="CG239:CG246" si="1870">IF($H239&lt;&gt;CK$5,0,IF(CK239&lt;0,IF($J239=1,-$E239*$I239/12*3,IF($J239=2,-$E239*$I239/12*2,IF($J239=3,-$E239*$I239/12*1,0)))))+IF(CF$5&lt;&gt;$H239,0,IF(CF239&lt;0,IF($J239=1,-$E239*$I239/12*0,IF($J239=2,-$E239*$I239/12*1,IF($J239=3,-$E239*$I239/12*2,IF($J239&gt;=4,-$E239*$I239/12*3,0))))))</f>
        <v>0</v>
      </c>
      <c r="CH239" s="416">
        <f t="shared" ref="CH239:CH246" si="1871">IF($H239&lt;&gt;CK$5,0,IF(CK239&lt;0,IF(OR($J239=1,$J239=2,$J239=3,$J239=4),-$E239*$I239/12*3,IF($J239=5,-$E239*$I239/12*2,IF($J239=6,-$E239*$I239/12*1,0)))))+IF(CF$5&lt;&gt;$H239,0,IF(CF239&lt;0,IF($J239=4,-$E239*$I239/12*0,IF($J239=5,-$E239*$I239/12*1,IF($J239=6,-$E239*$I239/12*2,IF($J239&gt;=7,-$E239*$I239/12*3,0))))))</f>
        <v>0</v>
      </c>
      <c r="CI239" s="416">
        <f t="shared" ref="CI239:CI246" si="1872">IF($H239&lt;&gt;CK$5,0,IF(CK239&lt;0,IF(OR($J239=1,$J239=2,$J239=3,$J239=4,$J239=5,$J239=6,$J239=7),-$E239*$I239/12*3,IF($J239=8,-$E239*$I239/12*2,IF($J239=9,-$E239*$I239/12*1,0)))))+IF(CF$5&lt;&gt;$H239,0,IF(CF239&lt;0,IF($J239=7,-$E239*$I239/12*0,IF($J239=8,-$E239*$I239/12*1,IF($J239=9,-$E239*$I239/12*2,IF($J239&gt;=10,-$E239*$I239/12*3,0))))))</f>
        <v>0</v>
      </c>
      <c r="CJ239" s="412">
        <f t="shared" ref="CJ239:CJ246" si="1873">IF($H239&lt;&gt;CK$5,0,IF(CK239&lt;0,IF(OR($J239=1,$J239=2,$J239=3,$J239=4,$J239=5,$J239=6,$J239=7,$J239=8,$J239=9,$J239=10),-$E239*$I239/12*3,IF($J239=11,-$E239*$I239/12*2,IF($J239=12,-$E239*$I239/12*1,0)))))+IF(CF$5&lt;&gt;$H239,0,IF(CF239&lt;0,IF($J239=10,-$E239*$I239/12*0,IF($J239=11,-$E239*$I239/12*1,IF($J239=12,-$E239*$I239/12*2,0)))))</f>
        <v>0</v>
      </c>
      <c r="CK239" s="413">
        <f t="shared" ref="CK239:CK246" si="1874">IF(AND(CF239&lt;&gt;0,CF$5=$H239),-$I239*$E239-CF239,IF(CK$5=$H239,-$I239*$E239*(12-$J239+1)/12,0))</f>
        <v>0</v>
      </c>
      <c r="CL239" s="410">
        <f t="shared" ref="CL239:CL246" si="1875">IF($H239&lt;&gt;CP$5,0,IF(CP239&lt;0,IF($J239=1,-$E239*$I239/12*3,IF($J239=2,-$E239*$I239/12*2,IF($J239=3,-$E239*$I239/12*1,0)))))+IF(CK$5&lt;&gt;$H239,0,IF(CK239&lt;0,IF($J239=1,-$E239*$I239/12*0,IF($J239=2,-$E239*$I239/12*1,IF($J239=3,-$E239*$I239/12*2,IF($J239&gt;=4,-$E239*$I239/12*3,0))))))</f>
        <v>0</v>
      </c>
      <c r="CM239" s="416">
        <f t="shared" ref="CM239:CM246" si="1876">IF($H239&lt;&gt;CP$5,0,IF(CP239&lt;0,IF(OR($J239=1,$J239=2,$J239=3,$J239=4),-$E239*$I239/12*3,IF($J239=5,-$E239*$I239/12*2,IF($J239=6,-$E239*$I239/12*1,0)))))+IF(CK$5&lt;&gt;$H239,0,IF(CK239&lt;0,IF($J239=4,-$E239*$I239/12*0,IF($J239=5,-$E239*$I239/12*1,IF($J239=6,-$E239*$I239/12*2,IF($J239&gt;=7,-$E239*$I239/12*3,0))))))</f>
        <v>0</v>
      </c>
      <c r="CN239" s="416">
        <f t="shared" ref="CN239:CN246" si="1877">IF($H239&lt;&gt;CP$5,0,IF(CP239&lt;0,IF(OR($J239=1,$J239=2,$J239=3,$J239=4,$J239=5,$J239=6,$J239=7),-$E239*$I239/12*3,IF($J239=8,-$E239*$I239/12*2,IF($J239=9,-$E239*$I239/12*1,0)))))+IF(CK$5&lt;&gt;$H239,0,IF(CK239&lt;0,IF($J239=7,-$E239*$I239/12*0,IF($J239=8,-$E239*$I239/12*1,IF($J239=9,-$E239*$I239/12*2,IF($J239&gt;=10,-$E239*$I239/12*3,0))))))</f>
        <v>0</v>
      </c>
      <c r="CO239" s="412">
        <f t="shared" ref="CO239:CO246" si="1878">IF($H239&lt;&gt;CP$5,0,IF(CP239&lt;0,IF(OR($J239=1,$J239=2,$J239=3,$J239=4,$J239=5,$J239=6,$J239=7,$J239=8,$J239=9,$J239=10),-$E239*$I239/12*3,IF($J239=11,-$E239*$I239/12*2,IF($J239=12,-$E239*$I239/12*1,0)))))+IF(CK$5&lt;&gt;$H239,0,IF(CK239&lt;0,IF($J239=10,-$E239*$I239/12*0,IF($J239=11,-$E239*$I239/12*1,IF($J239=12,-$E239*$I239/12*2,0)))))</f>
        <v>0</v>
      </c>
      <c r="CP239" s="413">
        <f t="shared" ref="CP239:CP246" si="1879">IF(AND(CK239&lt;&gt;0,CK$5=$H239),-$I239*$E239-CK239,IF(CP$5=$H239,-$I239*$E239*(12-$J239+1)/12,0))</f>
        <v>0</v>
      </c>
      <c r="CQ239" s="410">
        <f t="shared" ref="CQ239:CQ246" si="1880">IF($H239&lt;&gt;CU$5,0,IF(CU239&lt;0,IF($J239=1,-$E239*$I239/12*3,IF($J239=2,-$E239*$I239/12*2,IF($J239=3,-$E239*$I239/12*1,0)))))+IF(CP$5&lt;&gt;$H239,0,IF(CP239&lt;0,IF($J239=1,-$E239*$I239/12*0,IF($J239=2,-$E239*$I239/12*1,IF($J239=3,-$E239*$I239/12*2,IF($J239&gt;=4,-$E239*$I239/12*3,0))))))</f>
        <v>0</v>
      </c>
      <c r="CR239" s="416">
        <f t="shared" ref="CR239:CR246" si="1881">IF($H239&lt;&gt;CU$5,0,IF(CU239&lt;0,IF(OR($J239=1,$J239=2,$J239=3,$J239=4),-$E239*$I239/12*3,IF($J239=5,-$E239*$I239/12*2,IF($J239=6,-$E239*$I239/12*1,0)))))+IF(CP$5&lt;&gt;$H239,0,IF(CP239&lt;0,IF($J239=4,-$E239*$I239/12*0,IF($J239=5,-$E239*$I239/12*1,IF($J239=6,-$E239*$I239/12*2,IF($J239&gt;=7,-$E239*$I239/12*3,0))))))</f>
        <v>0</v>
      </c>
      <c r="CS239" s="416">
        <f t="shared" ref="CS239:CS246" si="1882">IF($H239&lt;&gt;CU$5,0,IF(CU239&lt;0,IF(OR($J239=1,$J239=2,$J239=3,$J239=4,$J239=5,$J239=6,$J239=7),-$E239*$I239/12*3,IF($J239=8,-$E239*$I239/12*2,IF($J239=9,-$E239*$I239/12*1,0)))))+IF(CP$5&lt;&gt;$H239,0,IF(CP239&lt;0,IF($J239=7,-$E239*$I239/12*0,IF($J239=8,-$E239*$I239/12*1,IF($J239=9,-$E239*$I239/12*2,IF($J239&gt;=10,-$E239*$I239/12*3,0))))))</f>
        <v>0</v>
      </c>
      <c r="CT239" s="412">
        <f t="shared" ref="CT239:CT246" si="1883">IF($H239&lt;&gt;CU$5,0,IF(CU239&lt;0,IF(OR($J239=1,$J239=2,$J239=3,$J239=4,$J239=5,$J239=6,$J239=7,$J239=8,$J239=9,$J239=10),-$E239*$I239/12*3,IF($J239=11,-$E239*$I239/12*2,IF($J239=12,-$E239*$I239/12*1,0)))))+IF(CP$5&lt;&gt;$H239,0,IF(CP239&lt;0,IF($J239=10,-$E239*$I239/12*0,IF($J239=11,-$E239*$I239/12*1,IF($J239=12,-$E239*$I239/12*2,0)))))</f>
        <v>0</v>
      </c>
      <c r="CU239" s="413">
        <f t="shared" ref="CU239:CU246" si="1884">IF(AND(CP239&lt;&gt;0,CP$5=$H239),-$I239*$E239-CP239,IF(CU$5=$H239,-$I239*$E239*(12-$J239+1)/12,0))</f>
        <v>0</v>
      </c>
      <c r="CV239" s="410">
        <f t="shared" ref="CV239:CV246" si="1885">IF($H239&lt;&gt;CZ$5,0,IF(CZ239&lt;0,IF($J239=1,-$E239*$I239/12*3,IF($J239=2,-$E239*$I239/12*2,IF($J239=3,-$E239*$I239/12*1,0)))))+IF(CU$5&lt;&gt;$H239,0,IF(CU239&lt;0,IF($J239=1,-$E239*$I239/12*0,IF($J239=2,-$E239*$I239/12*1,IF($J239=3,-$E239*$I239/12*2,IF($J239&gt;=4,-$E239*$I239/12*3,0))))))</f>
        <v>0</v>
      </c>
      <c r="CW239" s="416">
        <f t="shared" ref="CW239:CW246" si="1886">IF($H239&lt;&gt;CZ$5,0,IF(CZ239&lt;0,IF(OR($J239=1,$J239=2,$J239=3,$J239=4),-$E239*$I239/12*3,IF($J239=5,-$E239*$I239/12*2,IF($J239=6,-$E239*$I239/12*1,0)))))+IF(CU$5&lt;&gt;$H239,0,IF(CU239&lt;0,IF($J239=4,-$E239*$I239/12*0,IF($J239=5,-$E239*$I239/12*1,IF($J239=6,-$E239*$I239/12*2,IF($J239&gt;=7,-$E239*$I239/12*3,0))))))</f>
        <v>0</v>
      </c>
      <c r="CX239" s="416">
        <f t="shared" ref="CX239:CX246" si="1887">IF($H239&lt;&gt;CZ$5,0,IF(CZ239&lt;0,IF(OR($J239=1,$J239=2,$J239=3,$J239=4,$J239=5,$J239=6,$J239=7),-$E239*$I239/12*3,IF($J239=8,-$E239*$I239/12*2,IF($J239=9,-$E239*$I239/12*1,0)))))+IF(CU$5&lt;&gt;$H239,0,IF(CU239&lt;0,IF($J239=7,-$E239*$I239/12*0,IF($J239=8,-$E239*$I239/12*1,IF($J239=9,-$E239*$I239/12*2,IF($J239&gt;=10,-$E239*$I239/12*3,0))))))</f>
        <v>0</v>
      </c>
      <c r="CY239" s="412">
        <f t="shared" ref="CY239:CY246" si="1888">IF($H239&lt;&gt;CZ$5,0,IF(CZ239&lt;0,IF(OR($J239=1,$J239=2,$J239=3,$J239=4,$J239=5,$J239=6,$J239=7,$J239=8,$J239=9,$J239=10),-$E239*$I239/12*3,IF($J239=11,-$E239*$I239/12*2,IF($J239=12,-$E239*$I239/12*1,0)))))+IF(CU$5&lt;&gt;$H239,0,IF(CU239&lt;0,IF($J239=10,-$E239*$I239/12*0,IF($J239=11,-$E239*$I239/12*1,IF($J239=12,-$E239*$I239/12*2,0)))))</f>
        <v>-0.57501562500000003</v>
      </c>
      <c r="CZ239" s="413">
        <f t="shared" ref="CZ239:CZ246" si="1889">IF(AND(CU239&lt;&gt;0,CU$5=$H239),-$I239*$E239-CU239,IF(CZ$5=$H239,-$I239*$E239*(12-$J239+1)/12,0))</f>
        <v>-0.57501562500000003</v>
      </c>
      <c r="DA239" s="410">
        <f t="shared" ref="DA239:DA246" si="1890">IF($H239&lt;&gt;DE$5,0,IF(DE239&lt;0,IF($J239=1,-$E239*$I239/12*3,IF($J239=2,-$E239*$I239/12*2,IF($J239=3,-$E239*$I239/12*1,0)))))+IF(CZ$5&lt;&gt;$H239,0,IF(CZ239&lt;0,IF($J239=1,-$E239*$I239/12*0,IF($J239=2,-$E239*$I239/12*1,IF($J239=3,-$E239*$I239/12*2,IF($J239&gt;=4,-$E239*$I239/12*3,0))))))</f>
        <v>-0.57501562500000003</v>
      </c>
      <c r="DB239" s="416">
        <f t="shared" ref="DB239:DB246" si="1891">IF($H239&lt;&gt;DE$5,0,IF(DE239&lt;0,IF(OR($J239=1,$J239=2,$J239=3,$J239=4),-$E239*$I239/12*3,IF($J239=5,-$E239*$I239/12*2,IF($J239=6,-$E239*$I239/12*1,0)))))+IF(CZ$5&lt;&gt;$H239,0,IF(CZ239&lt;0,IF($J239=4,-$E239*$I239/12*0,IF($J239=5,-$E239*$I239/12*1,IF($J239=6,-$E239*$I239/12*2,IF($J239&gt;=7,-$E239*$I239/12*3,0))))))</f>
        <v>-0.57501562500000003</v>
      </c>
      <c r="DC239" s="416">
        <f t="shared" ref="DC239:DC246" si="1892">IF($H239&lt;&gt;DE$5,0,IF(DE239&lt;0,IF(OR($J239=1,$J239=2,$J239=3,$J239=4,$J239=5,$J239=6,$J239=7),-$E239*$I239/12*3,IF($J239=8,-$E239*$I239/12*2,IF($J239=9,-$E239*$I239/12*1,0)))))+IF(CZ$5&lt;&gt;$H239,0,IF(CZ239&lt;0,IF($J239=7,-$E239*$I239/12*0,IF($J239=8,-$E239*$I239/12*1,IF($J239=9,-$E239*$I239/12*2,IF($J239&gt;=10,-$E239*$I239/12*3,0))))))</f>
        <v>-0.57501562500000003</v>
      </c>
      <c r="DD239" s="412">
        <f t="shared" ref="DD239:DD246" si="1893">IF($H239&lt;&gt;DE$5,0,IF(DE239&lt;0,IF(OR($J239=1,$J239=2,$J239=3,$J239=4,$J239=5,$J239=6,$J239=7,$J239=8,$J239=9,$J239=10),-$E239*$I239/12*3,IF($J239=11,-$E239*$I239/12*2,IF($J239=12,-$E239*$I239/12*1,0)))))+IF(CZ$5&lt;&gt;$H239,0,IF(CZ239&lt;0,IF($J239=10,-$E239*$I239/12*0,IF($J239=11,-$E239*$I239/12*1,IF($J239=12,-$E239*$I239/12*2,0)))))</f>
        <v>0</v>
      </c>
      <c r="DE239" s="413">
        <f t="shared" ref="DE239:DE246" si="1894">IF(AND(CZ239&lt;&gt;0,CZ$5=$H239),-$I239*$E239-CZ239,IF(DE$5=$H239,-$I239*$E239*(12-$J239+1)/12,0))</f>
        <v>-1.7250468750000001</v>
      </c>
      <c r="DF239" s="410">
        <f t="shared" ref="DF239:DF246" si="1895">IF($H239&lt;&gt;DJ$5,0,IF(DJ239&lt;0,IF($J239=1,-$E239*$I239/12*3,IF($J239=2,-$E239*$I239/12*2,IF($J239=3,-$E239*$I239/12*1,0)))))+IF(DE$5&lt;&gt;$H239,0,IF(DE239&lt;0,IF($J239=1,-$E239*$I239/12*0,IF($J239=2,-$E239*$I239/12*1,IF($J239=3,-$E239*$I239/12*2,IF($J239&gt;=4,-$E239*$I239/12*3,0))))))</f>
        <v>0</v>
      </c>
      <c r="DG239" s="416">
        <f t="shared" ref="DG239:DG246" si="1896">IF($H239&lt;&gt;DJ$5,0,IF(DJ239&lt;0,IF(OR($J239=1,$J239=2,$J239=3,$J239=4),-$E239*$I239/12*3,IF($J239=5,-$E239*$I239/12*2,IF($J239=6,-$E239*$I239/12*1,0)))))+IF(DE$5&lt;&gt;$H239,0,IF(DE239&lt;0,IF($J239=4,-$E239*$I239/12*0,IF($J239=5,-$E239*$I239/12*1,IF($J239=6,-$E239*$I239/12*2,IF($J239&gt;=7,-$E239*$I239/12*3,0))))))</f>
        <v>0</v>
      </c>
      <c r="DH239" s="416">
        <f t="shared" ref="DH239:DH246" si="1897">IF($H239&lt;&gt;DJ$5,0,IF(DJ239&lt;0,IF(OR($J239=1,$J239=2,$J239=3,$J239=4,$J239=5,$J239=6,$J239=7),-$E239*$I239/12*3,IF($J239=8,-$E239*$I239/12*2,IF($J239=9,-$E239*$I239/12*1,0)))))+IF(DE$5&lt;&gt;$H239,0,IF(DE239&lt;0,IF($J239=7,-$E239*$I239/12*0,IF($J239=8,-$E239*$I239/12*1,IF($J239=9,-$E239*$I239/12*2,IF($J239&gt;=10,-$E239*$I239/12*3,0))))))</f>
        <v>0</v>
      </c>
      <c r="DI239" s="412">
        <f t="shared" ref="DI239:DI246" si="1898">IF($H239&lt;&gt;DJ$5,0,IF(DJ239&lt;0,IF(OR($J239=1,$J239=2,$J239=3,$J239=4,$J239=5,$J239=6,$J239=7,$J239=8,$J239=9,$J239=10),-$E239*$I239/12*3,IF($J239=11,-$E239*$I239/12*2,IF($J239=12,-$E239*$I239/12*1,0)))))+IF(DE$5&lt;&gt;$H239,0,IF(DE239&lt;0,IF($J239=10,-$E239*$I239/12*0,IF($J239=11,-$E239*$I239/12*1,IF($J239=12,-$E239*$I239/12*2,0)))))</f>
        <v>0</v>
      </c>
      <c r="DJ239" s="413">
        <f t="shared" ref="DJ239:DJ246" si="1899">IF(AND(DE239&lt;&gt;0,DE$5=$H239),-$I239*$E239-DE239,IF(DJ$5=$H239,-$I239*$E239*(12-$J239+1)/12,0))</f>
        <v>0</v>
      </c>
      <c r="DK239" s="410">
        <f t="shared" ref="DK239:DK246" si="1900">IF($H239&lt;&gt;DO$5,0,IF(DO239&lt;0,IF($J239=1,-$E239*$I239/12*3,IF($J239=2,-$E239*$I239/12*2,IF($J239=3,-$E239*$I239/12*1,0)))))+IF(DJ$5&lt;&gt;$H239,0,IF(DJ239&lt;0,IF($J239=1,-$E239*$I239/12*0,IF($J239=2,-$E239*$I239/12*1,IF($J239=3,-$E239*$I239/12*2,IF($J239&gt;=4,-$E239*$I239/12*3,0))))))</f>
        <v>0</v>
      </c>
      <c r="DL239" s="416">
        <f t="shared" ref="DL239:DL246" si="1901">IF($H239&lt;&gt;DO$5,0,IF(DO239&lt;0,IF(OR($J239=1,$J239=2,$J239=3,$J239=4),-$E239*$I239/12*3,IF($J239=5,-$E239*$I239/12*2,IF($J239=6,-$E239*$I239/12*1,0)))))+IF(DJ$5&lt;&gt;$H239,0,IF(DJ239&lt;0,IF($J239=4,-$E239*$I239/12*0,IF($J239=5,-$E239*$I239/12*1,IF($J239=6,-$E239*$I239/12*2,IF($J239&gt;=7,-$E239*$I239/12*3,0))))))</f>
        <v>0</v>
      </c>
      <c r="DM239" s="416">
        <f t="shared" ref="DM239:DM246" si="1902">IF($H239&lt;&gt;DO$5,0,IF(DO239&lt;0,IF(OR($J239=1,$J239=2,$J239=3,$J239=4,$J239=5,$J239=6,$J239=7),-$E239*$I239/12*3,IF($J239=8,-$E239*$I239/12*2,IF($J239=9,-$E239*$I239/12*1,0)))))+IF(DJ$5&lt;&gt;$H239,0,IF(DJ239&lt;0,IF($J239=7,-$E239*$I239/12*0,IF($J239=8,-$E239*$I239/12*1,IF($J239=9,-$E239*$I239/12*2,IF($J239&gt;=10,-$E239*$I239/12*3,0))))))</f>
        <v>0</v>
      </c>
      <c r="DN239" s="412">
        <f t="shared" ref="DN239:DN246" si="1903">IF($H239&lt;&gt;DO$5,0,IF(DO239&lt;0,IF(OR($J239=1,$J239=2,$J239=3,$J239=4,$J239=5,$J239=6,$J239=7,$J239=8,$J239=9,$J239=10),-$E239*$I239/12*3,IF($J239=11,-$E239*$I239/12*2,IF($J239=12,-$E239*$I239/12*1,0)))))+IF(DJ$5&lt;&gt;$H239,0,IF(DJ239&lt;0,IF($J239=10,-$E239*$I239/12*0,IF($J239=11,-$E239*$I239/12*1,IF($J239=12,-$E239*$I239/12*2,0)))))</f>
        <v>0</v>
      </c>
      <c r="DO239" s="413">
        <f t="shared" ref="DO239:DO246" si="1904">IF(AND(DJ239&lt;&gt;0,DJ$5=$H239),-$I239*$E239-DJ239,IF(DO$5=$H239,-$I239*$E239*(12-$J239+1)/12,0))</f>
        <v>0</v>
      </c>
      <c r="DP239" s="410">
        <f t="shared" ref="DP239:DP246" si="1905">IF($H239&lt;&gt;DT$5,0,IF(DT239&lt;0,IF($J239=1,-$E239*$I239/12*3,IF($J239=2,-$E239*$I239/12*2,IF($J239=3,-$E239*$I239/12*1,0)))))+IF(DO$5&lt;&gt;$H239,0,IF(DO239&lt;0,IF($J239=1,-$E239*$I239/12*0,IF($J239=2,-$E239*$I239/12*1,IF($J239=3,-$E239*$I239/12*2,IF($J239&gt;=4,-$E239*$I239/12*3,0))))))</f>
        <v>0</v>
      </c>
      <c r="DQ239" s="416">
        <f t="shared" ref="DQ239:DQ246" si="1906">IF($H239&lt;&gt;DT$5,0,IF(DT239&lt;0,IF(OR($J239=1,$J239=2,$J239=3,$J239=4),-$E239*$I239/12*3,IF($J239=5,-$E239*$I239/12*2,IF($J239=6,-$E239*$I239/12*1,0)))))+IF(DO$5&lt;&gt;$H239,0,IF(DO239&lt;0,IF($J239=4,-$E239*$I239/12*0,IF($J239=5,-$E239*$I239/12*1,IF($J239=6,-$E239*$I239/12*2,IF($J239&gt;=7,-$E239*$I239/12*3,0))))))</f>
        <v>0</v>
      </c>
      <c r="DR239" s="416">
        <f t="shared" ref="DR239:DR246" si="1907">IF($H239&lt;&gt;DT$5,0,IF(DT239&lt;0,IF(OR($J239=1,$J239=2,$J239=3,$J239=4,$J239=5,$J239=6,$J239=7),-$E239*$I239/12*3,IF($J239=8,-$E239*$I239/12*2,IF($J239=9,-$E239*$I239/12*1,0)))))+IF(DO$5&lt;&gt;$H239,0,IF(DO239&lt;0,IF($J239=7,-$E239*$I239/12*0,IF($J239=8,-$E239*$I239/12*1,IF($J239=9,-$E239*$I239/12*2,IF($J239&gt;=10,-$E239*$I239/12*3,0))))))</f>
        <v>0</v>
      </c>
      <c r="DS239" s="412">
        <f t="shared" ref="DS239:DS246" si="1908">IF($H239&lt;&gt;DT$5,0,IF(DT239&lt;0,IF(OR($J239=1,$J239=2,$J239=3,$J239=4,$J239=5,$J239=6,$J239=7,$J239=8,$J239=9,$J239=10),-$E239*$I239/12*3,IF($J239=11,-$E239*$I239/12*2,IF($J239=12,-$E239*$I239/12*1,0)))))+IF(DO$5&lt;&gt;$H239,0,IF(DO239&lt;0,IF($J239=10,-$E239*$I239/12*0,IF($J239=11,-$E239*$I239/12*1,IF($J239=12,-$E239*$I239/12*2,0)))))</f>
        <v>0</v>
      </c>
      <c r="DT239" s="413">
        <f t="shared" ref="DT239:DT246" si="1909">IF(AND(DO239&lt;&gt;0,DO$5=$H239),-$I239*$E239-DO239,IF(DT$5=$H239,-$I239*$E239*(12-$J239+1)/12,0))</f>
        <v>0</v>
      </c>
    </row>
    <row r="240" spans="1:124" ht="12.75" customHeight="1">
      <c r="A240" s="491"/>
      <c r="C240" s="81" t="s">
        <v>366</v>
      </c>
      <c r="D240" s="81"/>
      <c r="E240" s="1531">
        <f t="shared" si="1797"/>
        <v>6.33</v>
      </c>
      <c r="F240" s="1532">
        <v>6.33</v>
      </c>
      <c r="G240" s="1532">
        <v>6.33</v>
      </c>
      <c r="H240" s="610">
        <v>2020</v>
      </c>
      <c r="I240" s="1533">
        <v>4.4499999999999998E-2</v>
      </c>
      <c r="J240" s="615">
        <v>6</v>
      </c>
      <c r="K240" s="402"/>
      <c r="L240" s="407">
        <f t="shared" si="1798"/>
        <v>0</v>
      </c>
      <c r="M240" s="404">
        <f t="shared" si="1799"/>
        <v>0</v>
      </c>
      <c r="N240" s="414">
        <f t="shared" si="1800"/>
        <v>0</v>
      </c>
      <c r="O240" s="414">
        <f t="shared" si="1801"/>
        <v>0</v>
      </c>
      <c r="P240" s="406">
        <f t="shared" si="1802"/>
        <v>0</v>
      </c>
      <c r="Q240" s="407">
        <f t="shared" si="1803"/>
        <v>0</v>
      </c>
      <c r="R240" s="404">
        <f t="shared" si="1804"/>
        <v>0</v>
      </c>
      <c r="S240" s="414">
        <f t="shared" si="1805"/>
        <v>0</v>
      </c>
      <c r="T240" s="414">
        <f t="shared" si="1806"/>
        <v>0</v>
      </c>
      <c r="U240" s="406">
        <f t="shared" si="1807"/>
        <v>0</v>
      </c>
      <c r="V240" s="407">
        <f t="shared" si="1808"/>
        <v>0</v>
      </c>
      <c r="W240" s="404">
        <f t="shared" si="1809"/>
        <v>0</v>
      </c>
      <c r="X240" s="414">
        <f t="shared" si="1810"/>
        <v>0</v>
      </c>
      <c r="Y240" s="414">
        <f t="shared" si="1811"/>
        <v>0</v>
      </c>
      <c r="Z240" s="406">
        <f t="shared" si="1812"/>
        <v>0</v>
      </c>
      <c r="AA240" s="407">
        <f t="shared" si="1813"/>
        <v>0</v>
      </c>
      <c r="AB240" s="404">
        <f t="shared" si="1814"/>
        <v>0</v>
      </c>
      <c r="AC240" s="414">
        <f t="shared" si="1815"/>
        <v>0</v>
      </c>
      <c r="AD240" s="414">
        <f t="shared" si="1816"/>
        <v>0</v>
      </c>
      <c r="AE240" s="406">
        <f t="shared" si="1817"/>
        <v>0</v>
      </c>
      <c r="AF240" s="407">
        <f t="shared" si="1818"/>
        <v>0</v>
      </c>
      <c r="AG240" s="404">
        <f t="shared" si="1819"/>
        <v>0</v>
      </c>
      <c r="AH240" s="414">
        <f t="shared" si="1820"/>
        <v>0</v>
      </c>
      <c r="AI240" s="414">
        <f t="shared" si="1821"/>
        <v>0</v>
      </c>
      <c r="AJ240" s="406">
        <f t="shared" si="1822"/>
        <v>0</v>
      </c>
      <c r="AK240" s="407">
        <f t="shared" si="1823"/>
        <v>0</v>
      </c>
      <c r="AL240" s="404">
        <f t="shared" si="1824"/>
        <v>0</v>
      </c>
      <c r="AM240" s="414">
        <f t="shared" si="1825"/>
        <v>0</v>
      </c>
      <c r="AN240" s="414">
        <f t="shared" si="1826"/>
        <v>0</v>
      </c>
      <c r="AO240" s="406">
        <f t="shared" si="1827"/>
        <v>0</v>
      </c>
      <c r="AP240" s="407">
        <f t="shared" si="1828"/>
        <v>0</v>
      </c>
      <c r="AQ240" s="404">
        <f t="shared" si="1829"/>
        <v>0</v>
      </c>
      <c r="AR240" s="414">
        <f t="shared" si="1830"/>
        <v>0</v>
      </c>
      <c r="AS240" s="414">
        <f t="shared" si="1831"/>
        <v>0</v>
      </c>
      <c r="AT240" s="406">
        <f t="shared" si="1832"/>
        <v>0</v>
      </c>
      <c r="AU240" s="407">
        <f t="shared" si="1833"/>
        <v>0</v>
      </c>
      <c r="AV240" s="404">
        <f t="shared" si="1834"/>
        <v>0</v>
      </c>
      <c r="AW240" s="414">
        <f t="shared" si="1835"/>
        <v>0</v>
      </c>
      <c r="AX240" s="414">
        <f t="shared" si="1836"/>
        <v>0</v>
      </c>
      <c r="AY240" s="406">
        <f t="shared" si="1837"/>
        <v>0</v>
      </c>
      <c r="AZ240" s="407">
        <f t="shared" si="1838"/>
        <v>0</v>
      </c>
      <c r="BA240" s="404">
        <f t="shared" si="1839"/>
        <v>0</v>
      </c>
      <c r="BB240" s="414">
        <f t="shared" si="1840"/>
        <v>0</v>
      </c>
      <c r="BC240" s="414">
        <f t="shared" si="1841"/>
        <v>0</v>
      </c>
      <c r="BD240" s="406">
        <f t="shared" si="1842"/>
        <v>0</v>
      </c>
      <c r="BE240" s="407">
        <f t="shared" si="1843"/>
        <v>0</v>
      </c>
      <c r="BF240" s="404">
        <f t="shared" si="1844"/>
        <v>0</v>
      </c>
      <c r="BG240" s="414">
        <f t="shared" si="1845"/>
        <v>-6.33</v>
      </c>
      <c r="BH240" s="414">
        <f t="shared" si="1846"/>
        <v>0</v>
      </c>
      <c r="BI240" s="406">
        <f t="shared" si="1847"/>
        <v>0</v>
      </c>
      <c r="BJ240" s="407">
        <f t="shared" si="1848"/>
        <v>-6.33</v>
      </c>
      <c r="BK240" s="404">
        <f t="shared" si="1849"/>
        <v>0</v>
      </c>
      <c r="BL240" s="414">
        <f t="shared" si="1850"/>
        <v>0</v>
      </c>
      <c r="BM240" s="414">
        <f t="shared" si="1851"/>
        <v>0</v>
      </c>
      <c r="BN240" s="406">
        <f t="shared" si="1852"/>
        <v>0</v>
      </c>
      <c r="BO240" s="407">
        <f t="shared" si="1853"/>
        <v>0</v>
      </c>
      <c r="BP240" s="449"/>
      <c r="BQ240" s="413">
        <f t="shared" si="1854"/>
        <v>0</v>
      </c>
      <c r="BR240" s="410">
        <f t="shared" si="1855"/>
        <v>0</v>
      </c>
      <c r="BS240" s="416">
        <f t="shared" si="1856"/>
        <v>0</v>
      </c>
      <c r="BT240" s="416">
        <f t="shared" si="1857"/>
        <v>0</v>
      </c>
      <c r="BU240" s="412">
        <f t="shared" si="1858"/>
        <v>0</v>
      </c>
      <c r="BV240" s="413">
        <f t="shared" si="1859"/>
        <v>0</v>
      </c>
      <c r="BW240" s="410">
        <f t="shared" si="1860"/>
        <v>0</v>
      </c>
      <c r="BX240" s="416">
        <f t="shared" si="1861"/>
        <v>0</v>
      </c>
      <c r="BY240" s="416">
        <f t="shared" si="1862"/>
        <v>0</v>
      </c>
      <c r="BZ240" s="412">
        <f t="shared" si="1863"/>
        <v>0</v>
      </c>
      <c r="CA240" s="413">
        <f t="shared" si="1864"/>
        <v>0</v>
      </c>
      <c r="CB240" s="410">
        <f t="shared" si="1865"/>
        <v>0</v>
      </c>
      <c r="CC240" s="416">
        <f t="shared" si="1866"/>
        <v>0</v>
      </c>
      <c r="CD240" s="416">
        <f t="shared" si="1867"/>
        <v>0</v>
      </c>
      <c r="CE240" s="412">
        <f t="shared" si="1868"/>
        <v>0</v>
      </c>
      <c r="CF240" s="413">
        <f t="shared" si="1869"/>
        <v>0</v>
      </c>
      <c r="CG240" s="410">
        <f t="shared" si="1870"/>
        <v>0</v>
      </c>
      <c r="CH240" s="416">
        <f t="shared" si="1871"/>
        <v>0</v>
      </c>
      <c r="CI240" s="416">
        <f t="shared" si="1872"/>
        <v>0</v>
      </c>
      <c r="CJ240" s="412">
        <f t="shared" si="1873"/>
        <v>0</v>
      </c>
      <c r="CK240" s="413">
        <f t="shared" si="1874"/>
        <v>0</v>
      </c>
      <c r="CL240" s="410">
        <f t="shared" si="1875"/>
        <v>0</v>
      </c>
      <c r="CM240" s="416">
        <f t="shared" si="1876"/>
        <v>0</v>
      </c>
      <c r="CN240" s="416">
        <f t="shared" si="1877"/>
        <v>0</v>
      </c>
      <c r="CO240" s="412">
        <f t="shared" si="1878"/>
        <v>0</v>
      </c>
      <c r="CP240" s="413">
        <f t="shared" si="1879"/>
        <v>0</v>
      </c>
      <c r="CQ240" s="410">
        <f t="shared" si="1880"/>
        <v>0</v>
      </c>
      <c r="CR240" s="416">
        <f t="shared" si="1881"/>
        <v>0</v>
      </c>
      <c r="CS240" s="416">
        <f t="shared" si="1882"/>
        <v>0</v>
      </c>
      <c r="CT240" s="412">
        <f t="shared" si="1883"/>
        <v>0</v>
      </c>
      <c r="CU240" s="413">
        <f t="shared" si="1884"/>
        <v>0</v>
      </c>
      <c r="CV240" s="410">
        <f t="shared" si="1885"/>
        <v>0</v>
      </c>
      <c r="CW240" s="416">
        <f t="shared" si="1886"/>
        <v>0</v>
      </c>
      <c r="CX240" s="416">
        <f t="shared" si="1887"/>
        <v>0</v>
      </c>
      <c r="CY240" s="412">
        <f t="shared" si="1888"/>
        <v>0</v>
      </c>
      <c r="CZ240" s="413">
        <f t="shared" si="1889"/>
        <v>0</v>
      </c>
      <c r="DA240" s="410">
        <f t="shared" si="1890"/>
        <v>0</v>
      </c>
      <c r="DB240" s="416">
        <f t="shared" si="1891"/>
        <v>0</v>
      </c>
      <c r="DC240" s="416">
        <f t="shared" si="1892"/>
        <v>0</v>
      </c>
      <c r="DD240" s="412">
        <f t="shared" si="1893"/>
        <v>0</v>
      </c>
      <c r="DE240" s="413">
        <f t="shared" si="1894"/>
        <v>0</v>
      </c>
      <c r="DF240" s="410">
        <f t="shared" si="1895"/>
        <v>0</v>
      </c>
      <c r="DG240" s="416">
        <f t="shared" si="1896"/>
        <v>0</v>
      </c>
      <c r="DH240" s="416">
        <f t="shared" si="1897"/>
        <v>0</v>
      </c>
      <c r="DI240" s="412">
        <f t="shared" si="1898"/>
        <v>0</v>
      </c>
      <c r="DJ240" s="413">
        <f t="shared" si="1899"/>
        <v>0</v>
      </c>
      <c r="DK240" s="410">
        <f t="shared" si="1900"/>
        <v>0</v>
      </c>
      <c r="DL240" s="416">
        <f t="shared" si="1901"/>
        <v>-2.3473749999999998E-2</v>
      </c>
      <c r="DM240" s="416">
        <f t="shared" si="1902"/>
        <v>-7.0421249999999991E-2</v>
      </c>
      <c r="DN240" s="412">
        <f t="shared" si="1903"/>
        <v>-7.0421249999999991E-2</v>
      </c>
      <c r="DO240" s="413">
        <f t="shared" si="1904"/>
        <v>-0.16431624999999997</v>
      </c>
      <c r="DP240" s="410">
        <f t="shared" si="1905"/>
        <v>-7.0421249999999991E-2</v>
      </c>
      <c r="DQ240" s="416">
        <f t="shared" si="1906"/>
        <v>-4.6947499999999996E-2</v>
      </c>
      <c r="DR240" s="416">
        <f t="shared" si="1907"/>
        <v>0</v>
      </c>
      <c r="DS240" s="412">
        <f t="shared" si="1908"/>
        <v>0</v>
      </c>
      <c r="DT240" s="413">
        <f t="shared" si="1909"/>
        <v>-0.11736874999999999</v>
      </c>
    </row>
    <row r="241" spans="1:124" ht="12.75" customHeight="1">
      <c r="A241" s="491"/>
      <c r="C241" s="81" t="s">
        <v>390</v>
      </c>
      <c r="D241" s="81"/>
      <c r="E241" s="1531">
        <f t="shared" si="1797"/>
        <v>100.63500000000001</v>
      </c>
      <c r="F241" s="1532">
        <v>100.63500000000001</v>
      </c>
      <c r="G241" s="1532">
        <v>100.63500000000001</v>
      </c>
      <c r="H241" s="610">
        <v>2029</v>
      </c>
      <c r="I241" s="1533">
        <v>6.3E-2</v>
      </c>
      <c r="J241" s="615">
        <v>11</v>
      </c>
      <c r="K241" s="402"/>
      <c r="L241" s="407">
        <f t="shared" si="1798"/>
        <v>0</v>
      </c>
      <c r="M241" s="404">
        <f t="shared" si="1799"/>
        <v>0</v>
      </c>
      <c r="N241" s="414">
        <f t="shared" si="1800"/>
        <v>0</v>
      </c>
      <c r="O241" s="414">
        <f t="shared" si="1801"/>
        <v>0</v>
      </c>
      <c r="P241" s="406">
        <f t="shared" si="1802"/>
        <v>0</v>
      </c>
      <c r="Q241" s="407">
        <f t="shared" si="1803"/>
        <v>0</v>
      </c>
      <c r="R241" s="404">
        <f t="shared" si="1804"/>
        <v>0</v>
      </c>
      <c r="S241" s="414">
        <f t="shared" si="1805"/>
        <v>0</v>
      </c>
      <c r="T241" s="414">
        <f t="shared" si="1806"/>
        <v>0</v>
      </c>
      <c r="U241" s="406">
        <f t="shared" si="1807"/>
        <v>0</v>
      </c>
      <c r="V241" s="407">
        <f t="shared" si="1808"/>
        <v>0</v>
      </c>
      <c r="W241" s="404">
        <f t="shared" si="1809"/>
        <v>0</v>
      </c>
      <c r="X241" s="414">
        <f t="shared" si="1810"/>
        <v>0</v>
      </c>
      <c r="Y241" s="414">
        <f t="shared" si="1811"/>
        <v>0</v>
      </c>
      <c r="Z241" s="406">
        <f t="shared" si="1812"/>
        <v>0</v>
      </c>
      <c r="AA241" s="407">
        <f t="shared" si="1813"/>
        <v>0</v>
      </c>
      <c r="AB241" s="404">
        <f t="shared" si="1814"/>
        <v>0</v>
      </c>
      <c r="AC241" s="414">
        <f t="shared" si="1815"/>
        <v>0</v>
      </c>
      <c r="AD241" s="414">
        <f t="shared" si="1816"/>
        <v>0</v>
      </c>
      <c r="AE241" s="406">
        <f t="shared" si="1817"/>
        <v>0</v>
      </c>
      <c r="AF241" s="407">
        <f t="shared" si="1818"/>
        <v>0</v>
      </c>
      <c r="AG241" s="404">
        <f t="shared" si="1819"/>
        <v>0</v>
      </c>
      <c r="AH241" s="414">
        <f t="shared" si="1820"/>
        <v>0</v>
      </c>
      <c r="AI241" s="414">
        <f t="shared" si="1821"/>
        <v>0</v>
      </c>
      <c r="AJ241" s="406">
        <f t="shared" si="1822"/>
        <v>0</v>
      </c>
      <c r="AK241" s="407">
        <f t="shared" si="1823"/>
        <v>0</v>
      </c>
      <c r="AL241" s="404">
        <f t="shared" si="1824"/>
        <v>0</v>
      </c>
      <c r="AM241" s="414">
        <f t="shared" si="1825"/>
        <v>0</v>
      </c>
      <c r="AN241" s="414">
        <f t="shared" si="1826"/>
        <v>0</v>
      </c>
      <c r="AO241" s="406">
        <f t="shared" si="1827"/>
        <v>0</v>
      </c>
      <c r="AP241" s="407">
        <f t="shared" si="1828"/>
        <v>0</v>
      </c>
      <c r="AQ241" s="404">
        <f t="shared" si="1829"/>
        <v>0</v>
      </c>
      <c r="AR241" s="414">
        <f t="shared" si="1830"/>
        <v>0</v>
      </c>
      <c r="AS241" s="414">
        <f t="shared" si="1831"/>
        <v>0</v>
      </c>
      <c r="AT241" s="406">
        <f t="shared" si="1832"/>
        <v>0</v>
      </c>
      <c r="AU241" s="407">
        <f t="shared" si="1833"/>
        <v>0</v>
      </c>
      <c r="AV241" s="404">
        <f t="shared" si="1834"/>
        <v>0</v>
      </c>
      <c r="AW241" s="414">
        <f t="shared" si="1835"/>
        <v>0</v>
      </c>
      <c r="AX241" s="414">
        <f t="shared" si="1836"/>
        <v>0</v>
      </c>
      <c r="AY241" s="406">
        <f t="shared" si="1837"/>
        <v>0</v>
      </c>
      <c r="AZ241" s="407">
        <f t="shared" si="1838"/>
        <v>0</v>
      </c>
      <c r="BA241" s="404">
        <f t="shared" si="1839"/>
        <v>0</v>
      </c>
      <c r="BB241" s="414">
        <f t="shared" si="1840"/>
        <v>0</v>
      </c>
      <c r="BC241" s="414">
        <f t="shared" si="1841"/>
        <v>0</v>
      </c>
      <c r="BD241" s="406">
        <f t="shared" si="1842"/>
        <v>0</v>
      </c>
      <c r="BE241" s="407">
        <f t="shared" si="1843"/>
        <v>0</v>
      </c>
      <c r="BF241" s="404">
        <f t="shared" si="1844"/>
        <v>0</v>
      </c>
      <c r="BG241" s="414">
        <f t="shared" si="1845"/>
        <v>0</v>
      </c>
      <c r="BH241" s="414">
        <f t="shared" si="1846"/>
        <v>0</v>
      </c>
      <c r="BI241" s="406">
        <f t="shared" si="1847"/>
        <v>0</v>
      </c>
      <c r="BJ241" s="407">
        <f t="shared" si="1848"/>
        <v>0</v>
      </c>
      <c r="BK241" s="404">
        <f t="shared" si="1849"/>
        <v>0</v>
      </c>
      <c r="BL241" s="414">
        <f t="shared" si="1850"/>
        <v>0</v>
      </c>
      <c r="BM241" s="414">
        <f t="shared" si="1851"/>
        <v>0</v>
      </c>
      <c r="BN241" s="406">
        <f t="shared" si="1852"/>
        <v>0</v>
      </c>
      <c r="BO241" s="407">
        <f t="shared" si="1853"/>
        <v>0</v>
      </c>
      <c r="BP241" s="449"/>
      <c r="BQ241" s="413">
        <f t="shared" si="1854"/>
        <v>0</v>
      </c>
      <c r="BR241" s="410">
        <f t="shared" si="1855"/>
        <v>0</v>
      </c>
      <c r="BS241" s="416">
        <f t="shared" si="1856"/>
        <v>0</v>
      </c>
      <c r="BT241" s="416">
        <f t="shared" si="1857"/>
        <v>0</v>
      </c>
      <c r="BU241" s="412">
        <f t="shared" si="1858"/>
        <v>0</v>
      </c>
      <c r="BV241" s="413">
        <f t="shared" si="1859"/>
        <v>0</v>
      </c>
      <c r="BW241" s="410">
        <f t="shared" si="1860"/>
        <v>0</v>
      </c>
      <c r="BX241" s="416">
        <f t="shared" si="1861"/>
        <v>0</v>
      </c>
      <c r="BY241" s="416">
        <f t="shared" si="1862"/>
        <v>0</v>
      </c>
      <c r="BZ241" s="412">
        <f t="shared" si="1863"/>
        <v>0</v>
      </c>
      <c r="CA241" s="413">
        <f t="shared" si="1864"/>
        <v>0</v>
      </c>
      <c r="CB241" s="410">
        <f t="shared" si="1865"/>
        <v>0</v>
      </c>
      <c r="CC241" s="416">
        <f t="shared" si="1866"/>
        <v>0</v>
      </c>
      <c r="CD241" s="416">
        <f t="shared" si="1867"/>
        <v>0</v>
      </c>
      <c r="CE241" s="412">
        <f t="shared" si="1868"/>
        <v>0</v>
      </c>
      <c r="CF241" s="413">
        <f t="shared" si="1869"/>
        <v>0</v>
      </c>
      <c r="CG241" s="410">
        <f t="shared" si="1870"/>
        <v>0</v>
      </c>
      <c r="CH241" s="416">
        <f t="shared" si="1871"/>
        <v>0</v>
      </c>
      <c r="CI241" s="416">
        <f t="shared" si="1872"/>
        <v>0</v>
      </c>
      <c r="CJ241" s="412">
        <f t="shared" si="1873"/>
        <v>0</v>
      </c>
      <c r="CK241" s="413">
        <f t="shared" si="1874"/>
        <v>0</v>
      </c>
      <c r="CL241" s="410">
        <f t="shared" si="1875"/>
        <v>0</v>
      </c>
      <c r="CM241" s="416">
        <f t="shared" si="1876"/>
        <v>0</v>
      </c>
      <c r="CN241" s="416">
        <f t="shared" si="1877"/>
        <v>0</v>
      </c>
      <c r="CO241" s="412">
        <f t="shared" si="1878"/>
        <v>0</v>
      </c>
      <c r="CP241" s="413">
        <f t="shared" si="1879"/>
        <v>0</v>
      </c>
      <c r="CQ241" s="410">
        <f t="shared" si="1880"/>
        <v>0</v>
      </c>
      <c r="CR241" s="416">
        <f t="shared" si="1881"/>
        <v>0</v>
      </c>
      <c r="CS241" s="416">
        <f t="shared" si="1882"/>
        <v>0</v>
      </c>
      <c r="CT241" s="412">
        <f t="shared" si="1883"/>
        <v>0</v>
      </c>
      <c r="CU241" s="413">
        <f t="shared" si="1884"/>
        <v>0</v>
      </c>
      <c r="CV241" s="410">
        <f t="shared" si="1885"/>
        <v>0</v>
      </c>
      <c r="CW241" s="416">
        <f t="shared" si="1886"/>
        <v>0</v>
      </c>
      <c r="CX241" s="416">
        <f t="shared" si="1887"/>
        <v>0</v>
      </c>
      <c r="CY241" s="412">
        <f t="shared" si="1888"/>
        <v>0</v>
      </c>
      <c r="CZ241" s="413">
        <f t="shared" si="1889"/>
        <v>0</v>
      </c>
      <c r="DA241" s="410">
        <f t="shared" si="1890"/>
        <v>0</v>
      </c>
      <c r="DB241" s="416">
        <f t="shared" si="1891"/>
        <v>0</v>
      </c>
      <c r="DC241" s="416">
        <f t="shared" si="1892"/>
        <v>0</v>
      </c>
      <c r="DD241" s="412">
        <f t="shared" si="1893"/>
        <v>0</v>
      </c>
      <c r="DE241" s="413">
        <f t="shared" si="1894"/>
        <v>0</v>
      </c>
      <c r="DF241" s="410">
        <f t="shared" si="1895"/>
        <v>0</v>
      </c>
      <c r="DG241" s="416">
        <f t="shared" si="1896"/>
        <v>0</v>
      </c>
      <c r="DH241" s="416">
        <f t="shared" si="1897"/>
        <v>0</v>
      </c>
      <c r="DI241" s="412">
        <f t="shared" si="1898"/>
        <v>0</v>
      </c>
      <c r="DJ241" s="413">
        <f t="shared" si="1899"/>
        <v>0</v>
      </c>
      <c r="DK241" s="410">
        <f t="shared" si="1900"/>
        <v>0</v>
      </c>
      <c r="DL241" s="416">
        <f t="shared" si="1901"/>
        <v>0</v>
      </c>
      <c r="DM241" s="416">
        <f t="shared" si="1902"/>
        <v>0</v>
      </c>
      <c r="DN241" s="412">
        <f t="shared" si="1903"/>
        <v>0</v>
      </c>
      <c r="DO241" s="413">
        <f t="shared" si="1904"/>
        <v>0</v>
      </c>
      <c r="DP241" s="410">
        <f t="shared" si="1905"/>
        <v>0</v>
      </c>
      <c r="DQ241" s="416">
        <f t="shared" si="1906"/>
        <v>0</v>
      </c>
      <c r="DR241" s="416">
        <f t="shared" si="1907"/>
        <v>0</v>
      </c>
      <c r="DS241" s="412">
        <f t="shared" si="1908"/>
        <v>0</v>
      </c>
      <c r="DT241" s="413">
        <f t="shared" si="1909"/>
        <v>0</v>
      </c>
    </row>
    <row r="242" spans="1:124" ht="12.75" customHeight="1">
      <c r="A242" s="491"/>
      <c r="C242" s="81" t="s">
        <v>391</v>
      </c>
      <c r="D242" s="81"/>
      <c r="E242" s="1531">
        <f t="shared" si="1797"/>
        <v>60</v>
      </c>
      <c r="F242" s="1532">
        <v>0</v>
      </c>
      <c r="G242" s="1532">
        <v>60</v>
      </c>
      <c r="H242" s="610">
        <v>2016</v>
      </c>
      <c r="I242" s="1533">
        <v>5.1999999999999998E-2</v>
      </c>
      <c r="J242" s="615">
        <v>5</v>
      </c>
      <c r="K242" s="402"/>
      <c r="L242" s="407">
        <f t="shared" si="1798"/>
        <v>0</v>
      </c>
      <c r="M242" s="404">
        <f t="shared" si="1799"/>
        <v>0</v>
      </c>
      <c r="N242" s="414">
        <f t="shared" si="1800"/>
        <v>0</v>
      </c>
      <c r="O242" s="414">
        <f t="shared" si="1801"/>
        <v>0</v>
      </c>
      <c r="P242" s="406">
        <f t="shared" si="1802"/>
        <v>0</v>
      </c>
      <c r="Q242" s="407">
        <f t="shared" si="1803"/>
        <v>0</v>
      </c>
      <c r="R242" s="404">
        <f t="shared" si="1804"/>
        <v>0</v>
      </c>
      <c r="S242" s="414">
        <f t="shared" si="1805"/>
        <v>0</v>
      </c>
      <c r="T242" s="414">
        <f t="shared" si="1806"/>
        <v>0</v>
      </c>
      <c r="U242" s="406">
        <f t="shared" si="1807"/>
        <v>0</v>
      </c>
      <c r="V242" s="407">
        <f t="shared" si="1808"/>
        <v>0</v>
      </c>
      <c r="W242" s="404">
        <f t="shared" si="1809"/>
        <v>0</v>
      </c>
      <c r="X242" s="414">
        <f t="shared" si="1810"/>
        <v>0</v>
      </c>
      <c r="Y242" s="414">
        <f t="shared" si="1811"/>
        <v>0</v>
      </c>
      <c r="Z242" s="406">
        <f t="shared" si="1812"/>
        <v>0</v>
      </c>
      <c r="AA242" s="407">
        <f t="shared" si="1813"/>
        <v>0</v>
      </c>
      <c r="AB242" s="404">
        <f t="shared" si="1814"/>
        <v>0</v>
      </c>
      <c r="AC242" s="414">
        <f t="shared" si="1815"/>
        <v>0</v>
      </c>
      <c r="AD242" s="414">
        <f t="shared" si="1816"/>
        <v>0</v>
      </c>
      <c r="AE242" s="406">
        <f t="shared" si="1817"/>
        <v>0</v>
      </c>
      <c r="AF242" s="407">
        <f t="shared" si="1818"/>
        <v>0</v>
      </c>
      <c r="AG242" s="404">
        <f t="shared" si="1819"/>
        <v>0</v>
      </c>
      <c r="AH242" s="414">
        <f t="shared" si="1820"/>
        <v>0</v>
      </c>
      <c r="AI242" s="414">
        <f t="shared" si="1821"/>
        <v>0</v>
      </c>
      <c r="AJ242" s="406">
        <f t="shared" si="1822"/>
        <v>0</v>
      </c>
      <c r="AK242" s="407">
        <f t="shared" si="1823"/>
        <v>0</v>
      </c>
      <c r="AL242" s="404">
        <f t="shared" si="1824"/>
        <v>0</v>
      </c>
      <c r="AM242" s="414">
        <f t="shared" si="1825"/>
        <v>-60</v>
      </c>
      <c r="AN242" s="414">
        <f t="shared" si="1826"/>
        <v>0</v>
      </c>
      <c r="AO242" s="406">
        <f t="shared" si="1827"/>
        <v>0</v>
      </c>
      <c r="AP242" s="407">
        <f t="shared" si="1828"/>
        <v>-60</v>
      </c>
      <c r="AQ242" s="404">
        <f t="shared" si="1829"/>
        <v>0</v>
      </c>
      <c r="AR242" s="414">
        <f t="shared" si="1830"/>
        <v>0</v>
      </c>
      <c r="AS242" s="414">
        <f t="shared" si="1831"/>
        <v>0</v>
      </c>
      <c r="AT242" s="406">
        <f t="shared" si="1832"/>
        <v>0</v>
      </c>
      <c r="AU242" s="407">
        <f t="shared" si="1833"/>
        <v>0</v>
      </c>
      <c r="AV242" s="404">
        <f t="shared" si="1834"/>
        <v>0</v>
      </c>
      <c r="AW242" s="414">
        <f t="shared" si="1835"/>
        <v>0</v>
      </c>
      <c r="AX242" s="414">
        <f t="shared" si="1836"/>
        <v>0</v>
      </c>
      <c r="AY242" s="406">
        <f t="shared" si="1837"/>
        <v>0</v>
      </c>
      <c r="AZ242" s="407">
        <f t="shared" si="1838"/>
        <v>0</v>
      </c>
      <c r="BA242" s="404">
        <f t="shared" si="1839"/>
        <v>0</v>
      </c>
      <c r="BB242" s="414">
        <f t="shared" si="1840"/>
        <v>0</v>
      </c>
      <c r="BC242" s="414">
        <f t="shared" si="1841"/>
        <v>0</v>
      </c>
      <c r="BD242" s="406">
        <f t="shared" si="1842"/>
        <v>0</v>
      </c>
      <c r="BE242" s="407">
        <f t="shared" si="1843"/>
        <v>0</v>
      </c>
      <c r="BF242" s="404">
        <f t="shared" si="1844"/>
        <v>0</v>
      </c>
      <c r="BG242" s="414">
        <f t="shared" si="1845"/>
        <v>0</v>
      </c>
      <c r="BH242" s="414">
        <f t="shared" si="1846"/>
        <v>0</v>
      </c>
      <c r="BI242" s="406">
        <f t="shared" si="1847"/>
        <v>0</v>
      </c>
      <c r="BJ242" s="407">
        <f t="shared" si="1848"/>
        <v>0</v>
      </c>
      <c r="BK242" s="404">
        <f t="shared" si="1849"/>
        <v>0</v>
      </c>
      <c r="BL242" s="414">
        <f t="shared" si="1850"/>
        <v>0</v>
      </c>
      <c r="BM242" s="414">
        <f t="shared" si="1851"/>
        <v>0</v>
      </c>
      <c r="BN242" s="406">
        <f t="shared" si="1852"/>
        <v>0</v>
      </c>
      <c r="BO242" s="407">
        <f t="shared" si="1853"/>
        <v>0</v>
      </c>
      <c r="BP242" s="449"/>
      <c r="BQ242" s="413">
        <f t="shared" si="1854"/>
        <v>0</v>
      </c>
      <c r="BR242" s="410">
        <f t="shared" si="1855"/>
        <v>0</v>
      </c>
      <c r="BS242" s="416">
        <f t="shared" si="1856"/>
        <v>0</v>
      </c>
      <c r="BT242" s="416">
        <f t="shared" si="1857"/>
        <v>0</v>
      </c>
      <c r="BU242" s="412">
        <f t="shared" si="1858"/>
        <v>0</v>
      </c>
      <c r="BV242" s="413">
        <f t="shared" si="1859"/>
        <v>0</v>
      </c>
      <c r="BW242" s="410">
        <f t="shared" si="1860"/>
        <v>0</v>
      </c>
      <c r="BX242" s="416">
        <f t="shared" si="1861"/>
        <v>0</v>
      </c>
      <c r="BY242" s="416">
        <f t="shared" si="1862"/>
        <v>0</v>
      </c>
      <c r="BZ242" s="412">
        <f t="shared" si="1863"/>
        <v>0</v>
      </c>
      <c r="CA242" s="413">
        <f t="shared" si="1864"/>
        <v>0</v>
      </c>
      <c r="CB242" s="410">
        <f t="shared" si="1865"/>
        <v>0</v>
      </c>
      <c r="CC242" s="416">
        <f t="shared" si="1866"/>
        <v>0</v>
      </c>
      <c r="CD242" s="416">
        <f t="shared" si="1867"/>
        <v>0</v>
      </c>
      <c r="CE242" s="412">
        <f t="shared" si="1868"/>
        <v>0</v>
      </c>
      <c r="CF242" s="413">
        <f t="shared" si="1869"/>
        <v>0</v>
      </c>
      <c r="CG242" s="410">
        <f t="shared" si="1870"/>
        <v>0</v>
      </c>
      <c r="CH242" s="416">
        <f t="shared" si="1871"/>
        <v>0</v>
      </c>
      <c r="CI242" s="416">
        <f t="shared" si="1872"/>
        <v>0</v>
      </c>
      <c r="CJ242" s="412">
        <f t="shared" si="1873"/>
        <v>0</v>
      </c>
      <c r="CK242" s="413">
        <f t="shared" si="1874"/>
        <v>0</v>
      </c>
      <c r="CL242" s="410">
        <f t="shared" si="1875"/>
        <v>0</v>
      </c>
      <c r="CM242" s="416">
        <f t="shared" si="1876"/>
        <v>0</v>
      </c>
      <c r="CN242" s="416">
        <f t="shared" si="1877"/>
        <v>0</v>
      </c>
      <c r="CO242" s="412">
        <f t="shared" si="1878"/>
        <v>0</v>
      </c>
      <c r="CP242" s="413">
        <f t="shared" si="1879"/>
        <v>0</v>
      </c>
      <c r="CQ242" s="410">
        <f t="shared" si="1880"/>
        <v>0</v>
      </c>
      <c r="CR242" s="416">
        <f t="shared" si="1881"/>
        <v>-0.51999999999999991</v>
      </c>
      <c r="CS242" s="416">
        <f t="shared" si="1882"/>
        <v>-0.7799999999999998</v>
      </c>
      <c r="CT242" s="412">
        <f t="shared" si="1883"/>
        <v>-0.7799999999999998</v>
      </c>
      <c r="CU242" s="413">
        <f t="shared" si="1884"/>
        <v>-2.0799999999999996</v>
      </c>
      <c r="CV242" s="410">
        <f t="shared" si="1885"/>
        <v>-0.7799999999999998</v>
      </c>
      <c r="CW242" s="416">
        <f t="shared" si="1886"/>
        <v>-0.25999999999999995</v>
      </c>
      <c r="CX242" s="416">
        <f t="shared" si="1887"/>
        <v>0</v>
      </c>
      <c r="CY242" s="412">
        <f t="shared" si="1888"/>
        <v>0</v>
      </c>
      <c r="CZ242" s="413">
        <f t="shared" si="1889"/>
        <v>-1.04</v>
      </c>
      <c r="DA242" s="410">
        <f t="shared" si="1890"/>
        <v>0</v>
      </c>
      <c r="DB242" s="416">
        <f t="shared" si="1891"/>
        <v>0</v>
      </c>
      <c r="DC242" s="416">
        <f t="shared" si="1892"/>
        <v>0</v>
      </c>
      <c r="DD242" s="412">
        <f t="shared" si="1893"/>
        <v>0</v>
      </c>
      <c r="DE242" s="413">
        <f t="shared" si="1894"/>
        <v>0</v>
      </c>
      <c r="DF242" s="410">
        <f t="shared" si="1895"/>
        <v>0</v>
      </c>
      <c r="DG242" s="416">
        <f t="shared" si="1896"/>
        <v>0</v>
      </c>
      <c r="DH242" s="416">
        <f t="shared" si="1897"/>
        <v>0</v>
      </c>
      <c r="DI242" s="412">
        <f t="shared" si="1898"/>
        <v>0</v>
      </c>
      <c r="DJ242" s="413">
        <f t="shared" si="1899"/>
        <v>0</v>
      </c>
      <c r="DK242" s="410">
        <f t="shared" si="1900"/>
        <v>0</v>
      </c>
      <c r="DL242" s="416">
        <f t="shared" si="1901"/>
        <v>0</v>
      </c>
      <c r="DM242" s="416">
        <f t="shared" si="1902"/>
        <v>0</v>
      </c>
      <c r="DN242" s="412">
        <f t="shared" si="1903"/>
        <v>0</v>
      </c>
      <c r="DO242" s="413">
        <f t="shared" si="1904"/>
        <v>0</v>
      </c>
      <c r="DP242" s="410">
        <f t="shared" si="1905"/>
        <v>0</v>
      </c>
      <c r="DQ242" s="416">
        <f t="shared" si="1906"/>
        <v>0</v>
      </c>
      <c r="DR242" s="416">
        <f t="shared" si="1907"/>
        <v>0</v>
      </c>
      <c r="DS242" s="412">
        <f t="shared" si="1908"/>
        <v>0</v>
      </c>
      <c r="DT242" s="413">
        <f t="shared" si="1909"/>
        <v>0</v>
      </c>
    </row>
    <row r="243" spans="1:124" ht="12.75" customHeight="1">
      <c r="A243" s="491"/>
      <c r="C243" s="845" t="s">
        <v>621</v>
      </c>
      <c r="D243" s="845"/>
      <c r="E243" s="1531">
        <f>IF(F243=0,G243,F243)</f>
        <v>120.265</v>
      </c>
      <c r="F243" s="1536">
        <v>120.265</v>
      </c>
      <c r="G243" s="1536">
        <v>120.265</v>
      </c>
      <c r="H243" s="610">
        <v>2030</v>
      </c>
      <c r="I243" s="1533">
        <v>0.04</v>
      </c>
      <c r="J243" s="615">
        <v>6</v>
      </c>
      <c r="K243" s="402"/>
      <c r="L243" s="407">
        <f>IF(L$5=$H243,-$E243,0)</f>
        <v>0</v>
      </c>
      <c r="M243" s="404">
        <f>IF(Q243=0,0,IF(Q243&lt;0,IF($J243=3,Q243,IF($J243=2,Q243,IF($J243=1,Q243,0)))))</f>
        <v>0</v>
      </c>
      <c r="N243" s="414">
        <f>IF(Q243=0,0,IF(Q243&lt;0,IF($J243=6,Q243,IF($J243=5,Q243,IF($J243=4,Q243,0)))))</f>
        <v>0</v>
      </c>
      <c r="O243" s="414">
        <f>IF(Q243=0,0,IF(Q243&lt;0,IF($J243=9,Q243,IF($J243=8,Q243,IF($J243=7,Q243,0)))))</f>
        <v>0</v>
      </c>
      <c r="P243" s="406">
        <f>IF(Q243=0,0,IF(Q243&lt;0,IF($J243=12,Q243,IF($J243=11,Q243,IF($J243=10,Q243,0)))))</f>
        <v>0</v>
      </c>
      <c r="Q243" s="407">
        <f>IF(Q$5=$H243,-$E243,0)</f>
        <v>0</v>
      </c>
      <c r="R243" s="404">
        <f>IF(V243=0,0,IF(V243&lt;0,IF($J243=3,V243,IF($J243=2,V243,IF($J243=1,V243,0)))))</f>
        <v>0</v>
      </c>
      <c r="S243" s="414">
        <f>IF(V243=0,0,IF(V243&lt;0,IF($J243=6,V243,IF($J243=5,V243,IF($J243=4,V243,0)))))</f>
        <v>0</v>
      </c>
      <c r="T243" s="414">
        <f>IF(V243=0,0,IF(V243&lt;0,IF($J243=9,V243,IF($J243=8,V243,IF($J243=7,V243,0)))))</f>
        <v>0</v>
      </c>
      <c r="U243" s="406">
        <f>IF(V243=0,0,IF(V243&lt;0,IF($J243=12,V243,IF($J243=11,V243,IF($J243=10,V243,0)))))</f>
        <v>0</v>
      </c>
      <c r="V243" s="407">
        <f>IF(V$5=$H243,-$E243,0)</f>
        <v>0</v>
      </c>
      <c r="W243" s="404">
        <f>IF(AA243=0,0,IF(AA243&lt;0,IF($J243=3,AA243,IF($J243=2,AA243,IF($J243=1,AA243,0)))))</f>
        <v>0</v>
      </c>
      <c r="X243" s="414">
        <f>IF(AA243=0,0,IF(AA243&lt;0,IF($J243=6,AA243,IF($J243=5,AA243,IF($J243=4,AA243,0)))))</f>
        <v>0</v>
      </c>
      <c r="Y243" s="414">
        <f>IF(AA243=0,0,IF(AA243&lt;0,IF($J243=9,AA243,IF($J243=8,AA243,IF($J243=7,AA243,0)))))</f>
        <v>0</v>
      </c>
      <c r="Z243" s="406">
        <f>IF(AA243=0,0,IF(AA243&lt;0,IF($J243=12,AA243,IF($J243=11,AA243,IF($J243=10,AA243,0)))))</f>
        <v>0</v>
      </c>
      <c r="AA243" s="407">
        <f>IF(AA$5=$H243,-$E243,0)</f>
        <v>0</v>
      </c>
      <c r="AB243" s="404">
        <f>IF(AF243=0,0,IF(AF243&lt;0,IF($J243=3,AF243,IF($J243=2,AF243,IF($J243=1,AF243,0)))))</f>
        <v>0</v>
      </c>
      <c r="AC243" s="414">
        <f>IF(AF243=0,0,IF(AF243&lt;0,IF($J243=6,AF243,IF($J243=5,AF243,IF($J243=4,AF243,0)))))</f>
        <v>0</v>
      </c>
      <c r="AD243" s="414">
        <f>IF(AF243=0,0,IF(AF243&lt;0,IF($J243=9,AF243,IF($J243=8,AF243,IF($J243=7,AF243,0)))))</f>
        <v>0</v>
      </c>
      <c r="AE243" s="406">
        <f>IF(AF243=0,0,IF(AF243&lt;0,IF($J243=12,AF243,IF($J243=11,AF243,IF($J243=10,AF243,0)))))</f>
        <v>0</v>
      </c>
      <c r="AF243" s="407">
        <f>IF(AF$5=$H243,-$E243,0)</f>
        <v>0</v>
      </c>
      <c r="AG243" s="404">
        <f>IF(AK243=0,0,IF(AK243&lt;0,IF($J243=3,AK243,IF($J243=2,AK243,IF($J243=1,AK243,0)))))</f>
        <v>0</v>
      </c>
      <c r="AH243" s="414">
        <f>IF(AK243=0,0,IF(AK243&lt;0,IF($J243=6,AK243,IF($J243=5,AK243,IF($J243=4,AK243,0)))))</f>
        <v>0</v>
      </c>
      <c r="AI243" s="414">
        <f>IF(AK243=0,0,IF(AK243&lt;0,IF($J243=9,AK243,IF($J243=8,AK243,IF($J243=7,AK243,0)))))</f>
        <v>0</v>
      </c>
      <c r="AJ243" s="406">
        <f>IF(AK243=0,0,IF(AK243&lt;0,IF($J243=12,AK243,IF($J243=11,AK243,IF($J243=10,AK243,0)))))</f>
        <v>0</v>
      </c>
      <c r="AK243" s="407">
        <f>IF(AK$5=$H243,-$E243,0)</f>
        <v>0</v>
      </c>
      <c r="AL243" s="404">
        <f>IF(AP243=0,0,IF(AP243&lt;0,IF($J243=3,AP243,IF($J243=2,AP243,IF($J243=1,AP243,0)))))</f>
        <v>0</v>
      </c>
      <c r="AM243" s="414">
        <f>IF(AP243=0,0,IF(AP243&lt;0,IF($J243=6,AP243,IF($J243=5,AP243,IF($J243=4,AP243,0)))))</f>
        <v>0</v>
      </c>
      <c r="AN243" s="414">
        <f>IF(AP243=0,0,IF(AP243&lt;0,IF($J243=9,AP243,IF($J243=8,AP243,IF($J243=7,AP243,0)))))</f>
        <v>0</v>
      </c>
      <c r="AO243" s="406">
        <f>IF(AP243=0,0,IF(AP243&lt;0,IF($J243=12,AP243,IF($J243=11,AP243,IF($J243=10,AP243,0)))))</f>
        <v>0</v>
      </c>
      <c r="AP243" s="407">
        <f>IF(AP$5=$H243,-$E243,0)</f>
        <v>0</v>
      </c>
      <c r="AQ243" s="404">
        <f>IF(AU243=0,0,IF(AU243&lt;0,IF($J243=3,AU243,IF($J243=2,AU243,IF($J243=1,AU243,0)))))</f>
        <v>0</v>
      </c>
      <c r="AR243" s="414">
        <f t="shared" si="1830"/>
        <v>0</v>
      </c>
      <c r="AS243" s="414">
        <f>IF(AU243=0,0,IF(AU243&lt;0,IF($J243=9,AU243,IF($J243=8,AU243,IF($J243=7,AU243,0)))))</f>
        <v>0</v>
      </c>
      <c r="AT243" s="406">
        <f>IF(AU243=0,0,IF(AU243&lt;0,IF($J243=12,AU243,IF($J243=11,AU243,IF($J243=10,AU243,0)))))</f>
        <v>0</v>
      </c>
      <c r="AU243" s="407">
        <f>IF(AU$5=$H243,-$E243,0)</f>
        <v>0</v>
      </c>
      <c r="AV243" s="404">
        <f>IF(AZ243=0,0,IF(AZ243&lt;0,IF($J243=3,AZ243,IF($J243=2,AZ243,IF($J243=1,AZ243,0)))))</f>
        <v>0</v>
      </c>
      <c r="AW243" s="414">
        <f>IF(AZ243=0,0,IF(AZ243&lt;0,IF($J243=6,AZ243,IF($J243=5,AZ243,IF($J243=4,AZ243,0)))))</f>
        <v>0</v>
      </c>
      <c r="AX243" s="414">
        <f>IF(AZ243=0,0,IF(AZ243&lt;0,IF($J243=9,AZ243,IF($J243=8,AZ243,IF($J243=7,AZ243,0)))))</f>
        <v>0</v>
      </c>
      <c r="AY243" s="406">
        <f>IF(AZ243=0,0,IF(AZ243&lt;0,IF($J243=12,AZ243,IF($J243=11,AZ243,IF($J243=10,AZ243,0)))))</f>
        <v>0</v>
      </c>
      <c r="AZ243" s="407">
        <f>IF(AZ$5=$H243,-$E243,0)</f>
        <v>0</v>
      </c>
      <c r="BA243" s="404">
        <f>IF(BE243=0,0,IF(BE243&lt;0,IF($J243=3,BE243,IF($J243=2,BE243,IF($J243=1,BE243,0)))))</f>
        <v>0</v>
      </c>
      <c r="BB243" s="414">
        <f>IF(BE243=0,0,IF(BE243&lt;0,IF($J243=6,BE243,IF($J243=5,BE243,IF($J243=4,BE243,0)))))</f>
        <v>0</v>
      </c>
      <c r="BC243" s="414">
        <f>IF(BE243=0,0,IF(BE243&lt;0,IF($J243=9,BE243,IF($J243=8,BE243,IF($J243=7,BE243,0)))))</f>
        <v>0</v>
      </c>
      <c r="BD243" s="406">
        <f>IF(BE243=0,0,IF(BE243&lt;0,IF($J243=12,BE243,IF($J243=11,BE243,IF($J243=10,BE243,0)))))</f>
        <v>0</v>
      </c>
      <c r="BE243" s="407">
        <f>IF(BE$5=$H243,-$E243,0)</f>
        <v>0</v>
      </c>
      <c r="BF243" s="404">
        <f>IF(BJ243=0,0,IF(BJ243&lt;0,IF($J243=3,BJ243,IF($J243=2,BJ243,IF($J243=1,BJ243,0)))))</f>
        <v>0</v>
      </c>
      <c r="BG243" s="414">
        <f>IF(BJ243=0,0,IF(BJ243&lt;0,IF($J243=6,BJ243,IF($J243=5,BJ243,IF($J243=4,BJ243,0)))))</f>
        <v>0</v>
      </c>
      <c r="BH243" s="414">
        <f>IF(BJ243=0,0,IF(BJ243&lt;0,IF($J243=9,BJ243,IF($J243=8,BJ243,IF($J243=7,BJ243,0)))))</f>
        <v>0</v>
      </c>
      <c r="BI243" s="406">
        <f>IF(BJ243=0,0,IF(BJ243&lt;0,IF($J243=12,BJ243,IF($J243=11,BJ243,IF($J243=10,BJ243,0)))))</f>
        <v>0</v>
      </c>
      <c r="BJ243" s="407">
        <f>IF(BJ$5=$H243,-$E243,0)</f>
        <v>0</v>
      </c>
      <c r="BK243" s="404">
        <f>IF(BO243=0,0,IF(BO243&lt;0,IF($J243=3,BO243,IF($J243=2,BO243,IF($J243=1,BO243,0)))))</f>
        <v>0</v>
      </c>
      <c r="BL243" s="414">
        <f>IF(BO243=0,0,IF(BO243&lt;0,IF($J243=6,BO243,IF($J243=5,BO243,IF($J243=4,BO243,0)))))</f>
        <v>0</v>
      </c>
      <c r="BM243" s="414">
        <f>IF(BO243=0,0,IF(BO243&lt;0,IF($J243=9,BO243,IF($J243=8,BO243,IF($J243=7,BO243,0)))))</f>
        <v>0</v>
      </c>
      <c r="BN243" s="406">
        <f>IF(BO243=0,0,IF(BO243&lt;0,IF($J243=12,BO243,IF($J243=11,BO243,IF($J243=10,BO243,0)))))</f>
        <v>0</v>
      </c>
      <c r="BO243" s="407">
        <f>IF(BO$5=$H243,-$E243,0)</f>
        <v>0</v>
      </c>
      <c r="BP243" s="449"/>
      <c r="BQ243" s="413">
        <f>IF(AND(AH243&lt;&gt;0,AH$5=$H243),-$I243*$E243-AH243,IF(BQ$5=$H243,-$I243*$E243*(12-$J243+1)/12,0))</f>
        <v>0</v>
      </c>
      <c r="BR243" s="410">
        <f>IF($H243&lt;&gt;BV$5,0,IF(BV243&lt;0,IF($J243=1,-$E243*$I243/12*3,IF($J243=2,-$E243*$I243/12*2,IF($J243=3,-$E243*$I243/12*1,0)))))+IF(BQ$5&lt;&gt;$H243,0,IF(BQ243&lt;0,IF($J243=1,-$E243*$I243/12*0,IF($J243=2,-$E243*$I243/12*1,IF($J243=3,-$E243*$I243/12*2,IF($J243&gt;=4,-$E243*$I243/12*3,0))))))</f>
        <v>0</v>
      </c>
      <c r="BS243" s="416">
        <f>IF($H243&lt;&gt;BV$5,0,IF(BV243&lt;0,IF(OR($J243=1,$J243=2,$J243=3,$J243=4),-$E243*$I243/12*3,IF($J243=5,-$E243*$I243/12*2,IF($J243=6,-$E243*$I243/12*1,0)))))+IF(BQ$5&lt;&gt;$H243,0,IF(BQ243&lt;0,IF($J243=4,-$E243*$I243/12*0,IF($J243=5,-$E243*$I243/12*1,IF($J243=6,-$E243*$I243/12*2,IF($J243&gt;=7,-$E243*$I243/12*3,0))))))</f>
        <v>0</v>
      </c>
      <c r="BT243" s="416">
        <f>IF($H243&lt;&gt;BV$5,0,IF(BV243&lt;0,IF(OR($J243=1,$J243=2,$J243=3,$J243=4,$J243=5,$J243=6,$J243=7),-$E243*$I243/12*3,IF($J243=8,-$E243*$I243/12*2,IF($J243=9,-$E243*$I243/12*1,0)))))+IF(BQ$5&lt;&gt;$H243,0,IF(BQ243&lt;0,IF($J243=7,-$E243*$I243/12*0,IF($J243=8,-$E243*$I243/12*1,IF($J243=9,-$E243*$I243/12*2,IF($J243&gt;=10,-$E243*$I243/12*3,0))))))</f>
        <v>0</v>
      </c>
      <c r="BU243" s="412">
        <f>IF($H243&lt;&gt;BV$5,0,IF(BV243&lt;0,IF(OR($J243=1,$J243=2,$J243=3,$J243=4,$J243=5,$J243=6,$J243=7,$J243=8,$J243=9,$J243=10),-$E243*$I243/12*3,IF($J243=11,-$E243*$I243/12*2,IF($J243=12,-$E243*$I243/12*1,0)))))+IF(BQ$5&lt;&gt;$H243,0,IF(BQ243&lt;0,IF($J243=10,-$E243*$I243/12*0,IF($J243=11,-$E243*$I243/12*1,IF($J243=12,-$E243*$I243/12*2,0)))))</f>
        <v>0</v>
      </c>
      <c r="BV243" s="413">
        <f>IF(AND(BQ243&lt;&gt;0,BQ$5=$H243),-$I243*$E243-BQ243,IF(BV$5=$H243,-$I243*$E243*(12-$J243+1)/12,0))</f>
        <v>0</v>
      </c>
      <c r="BW243" s="410">
        <f>IF($H243&lt;&gt;CA$5,0,IF(CA243&lt;0,IF($J243=1,-$E243*$I243/12*3,IF($J243=2,-$E243*$I243/12*2,IF($J243=3,-$E243*$I243/12*1,0)))))+IF(BV$5&lt;&gt;$H243,0,IF(BV243&lt;0,IF($J243=1,-$E243*$I243/12*0,IF($J243=2,-$E243*$I243/12*1,IF($J243=3,-$E243*$I243/12*2,IF($J243&gt;=4,-$E243*$I243/12*3,0))))))</f>
        <v>0</v>
      </c>
      <c r="BX243" s="416">
        <f>IF($H243&lt;&gt;CA$5,0,IF(CA243&lt;0,IF(OR($J243=1,$J243=2,$J243=3,$J243=4),-$E243*$I243/12*3,IF($J243=5,-$E243*$I243/12*2,IF($J243=6,-$E243*$I243/12*1,0)))))+IF(BV$5&lt;&gt;$H243,0,IF(BV243&lt;0,IF($J243=4,-$E243*$I243/12*0,IF($J243=5,-$E243*$I243/12*1,IF($J243=6,-$E243*$I243/12*2,IF($J243&gt;=7,-$E243*$I243/12*3,0))))))</f>
        <v>0</v>
      </c>
      <c r="BY243" s="416">
        <f>IF($H243&lt;&gt;CA$5,0,IF(CA243&lt;0,IF(OR($J243=1,$J243=2,$J243=3,$J243=4,$J243=5,$J243=6,$J243=7),-$E243*$I243/12*3,IF($J243=8,-$E243*$I243/12*2,IF($J243=9,-$E243*$I243/12*1,0)))))+IF(BV$5&lt;&gt;$H243,0,IF(BV243&lt;0,IF($J243=7,-$E243*$I243/12*0,IF($J243=8,-$E243*$I243/12*1,IF($J243=9,-$E243*$I243/12*2,IF($J243&gt;=10,-$E243*$I243/12*3,0))))))</f>
        <v>0</v>
      </c>
      <c r="BZ243" s="412">
        <f>IF($H243&lt;&gt;CA$5,0,IF(CA243&lt;0,IF(OR($J243=1,$J243=2,$J243=3,$J243=4,$J243=5,$J243=6,$J243=7,$J243=8,$J243=9,$J243=10),-$E243*$I243/12*3,IF($J243=11,-$E243*$I243/12*2,IF($J243=12,-$E243*$I243/12*1,0)))))+IF(BV$5&lt;&gt;$H243,0,IF(BV243&lt;0,IF($J243=10,-$E243*$I243/12*0,IF($J243=11,-$E243*$I243/12*1,IF($J243=12,-$E243*$I243/12*2,0)))))</f>
        <v>0</v>
      </c>
      <c r="CA243" s="413">
        <f>IF(AND(BV243&lt;&gt;0,BV$5=$H243),-$I243*$E243-BV243,IF(CA$5=$H243,-$I243*$E243*(12-$J243+1)/12,0))</f>
        <v>0</v>
      </c>
      <c r="CB243" s="410">
        <f>IF($H243&lt;&gt;CF$5,0,IF(CF243&lt;0,IF($J243=1,-$E243*$I243/12*3,IF($J243=2,-$E243*$I243/12*2,IF($J243=3,-$E243*$I243/12*1,0)))))+IF(CA$5&lt;&gt;$H243,0,IF(CA243&lt;0,IF($J243=1,-$E243*$I243/12*0,IF($J243=2,-$E243*$I243/12*1,IF($J243=3,-$E243*$I243/12*2,IF($J243&gt;=4,-$E243*$I243/12*3,0))))))</f>
        <v>0</v>
      </c>
      <c r="CC243" s="416">
        <f>IF($H243&lt;&gt;CF$5,0,IF(CF243&lt;0,IF(OR($J243=1,$J243=2,$J243=3,$J243=4),-$E243*$I243/12*3,IF($J243=5,-$E243*$I243/12*2,IF($J243=6,-$E243*$I243/12*1,0)))))+IF(CA$5&lt;&gt;$H243,0,IF(CA243&lt;0,IF($J243=4,-$E243*$I243/12*0,IF($J243=5,-$E243*$I243/12*1,IF($J243=6,-$E243*$I243/12*2,IF($J243&gt;=7,-$E243*$I243/12*3,0))))))</f>
        <v>0</v>
      </c>
      <c r="CD243" s="416">
        <f>IF($H243&lt;&gt;CF$5,0,IF(CF243&lt;0,IF(OR($J243=1,$J243=2,$J243=3,$J243=4,$J243=5,$J243=6,$J243=7),-$E243*$I243/12*3,IF($J243=8,-$E243*$I243/12*2,IF($J243=9,-$E243*$I243/12*1,0)))))+IF(CA$5&lt;&gt;$H243,0,IF(CA243&lt;0,IF($J243=7,-$E243*$I243/12*0,IF($J243=8,-$E243*$I243/12*1,IF($J243=9,-$E243*$I243/12*2,IF($J243&gt;=10,-$E243*$I243/12*3,0))))))</f>
        <v>0</v>
      </c>
      <c r="CE243" s="412">
        <f>IF($H243&lt;&gt;CF$5,0,IF(CF243&lt;0,IF(OR($J243=1,$J243=2,$J243=3,$J243=4,$J243=5,$J243=6,$J243=7,$J243=8,$J243=9,$J243=10),-$E243*$I243/12*3,IF($J243=11,-$E243*$I243/12*2,IF($J243=12,-$E243*$I243/12*1,0)))))+IF(CA$5&lt;&gt;$H243,0,IF(CA243&lt;0,IF($J243=10,-$E243*$I243/12*0,IF($J243=11,-$E243*$I243/12*1,IF($J243=12,-$E243*$I243/12*2,0)))))</f>
        <v>0</v>
      </c>
      <c r="CF243" s="413">
        <f>IF(AND(CA243&lt;&gt;0,CA$5=$H243),-$I243*$E243-CA243,IF(CF$5=$H243,-$I243*$E243*(12-$J243+1)/12,0))</f>
        <v>0</v>
      </c>
      <c r="CG243" s="410">
        <f>IF($H243&lt;&gt;CK$5,0,IF(CK243&lt;0,IF($J243=1,-$E243*$I243/12*3,IF($J243=2,-$E243*$I243/12*2,IF($J243=3,-$E243*$I243/12*1,0)))))+IF(CF$5&lt;&gt;$H243,0,IF(CF243&lt;0,IF($J243=1,-$E243*$I243/12*0,IF($J243=2,-$E243*$I243/12*1,IF($J243=3,-$E243*$I243/12*2,IF($J243&gt;=4,-$E243*$I243/12*3,0))))))</f>
        <v>0</v>
      </c>
      <c r="CH243" s="416">
        <f>IF($H243&lt;&gt;CK$5,0,IF(CK243&lt;0,IF(OR($J243=1,$J243=2,$J243=3,$J243=4),-$E243*$I243/12*3,IF($J243=5,-$E243*$I243/12*2,IF($J243=6,-$E243*$I243/12*1,0)))))+IF(CF$5&lt;&gt;$H243,0,IF(CF243&lt;0,IF($J243=4,-$E243*$I243/12*0,IF($J243=5,-$E243*$I243/12*1,IF($J243=6,-$E243*$I243/12*2,IF($J243&gt;=7,-$E243*$I243/12*3,0))))))</f>
        <v>0</v>
      </c>
      <c r="CI243" s="416">
        <f>IF($H243&lt;&gt;CK$5,0,IF(CK243&lt;0,IF(OR($J243=1,$J243=2,$J243=3,$J243=4,$J243=5,$J243=6,$J243=7),-$E243*$I243/12*3,IF($J243=8,-$E243*$I243/12*2,IF($J243=9,-$E243*$I243/12*1,0)))))+IF(CF$5&lt;&gt;$H243,0,IF(CF243&lt;0,IF($J243=7,-$E243*$I243/12*0,IF($J243=8,-$E243*$I243/12*1,IF($J243=9,-$E243*$I243/12*2,IF($J243&gt;=10,-$E243*$I243/12*3,0))))))</f>
        <v>0</v>
      </c>
      <c r="CJ243" s="412">
        <f>IF($H243&lt;&gt;CK$5,0,IF(CK243&lt;0,IF(OR($J243=1,$J243=2,$J243=3,$J243=4,$J243=5,$J243=6,$J243=7,$J243=8,$J243=9,$J243=10),-$E243*$I243/12*3,IF($J243=11,-$E243*$I243/12*2,IF($J243=12,-$E243*$I243/12*1,0)))))+IF(CF$5&lt;&gt;$H243,0,IF(CF243&lt;0,IF($J243=10,-$E243*$I243/12*0,IF($J243=11,-$E243*$I243/12*1,IF($J243=12,-$E243*$I243/12*2,0)))))</f>
        <v>0</v>
      </c>
      <c r="CK243" s="413">
        <f>IF(AND(CF243&lt;&gt;0,CF$5=$H243),-$I243*$E243-CF243,IF(CK$5=$H243,-$I243*$E243*(12-$J243+1)/12,0))</f>
        <v>0</v>
      </c>
      <c r="CL243" s="410">
        <f>IF($H243&lt;&gt;CP$5,0,IF(CP243&lt;0,IF($J243=1,-$E243*$I243/12*3,IF($J243=2,-$E243*$I243/12*2,IF($J243=3,-$E243*$I243/12*1,0)))))+IF(CK$5&lt;&gt;$H243,0,IF(CK243&lt;0,IF($J243=1,-$E243*$I243/12*0,IF($J243=2,-$E243*$I243/12*1,IF($J243=3,-$E243*$I243/12*2,IF($J243&gt;=4,-$E243*$I243/12*3,0))))))</f>
        <v>0</v>
      </c>
      <c r="CM243" s="416">
        <f>IF($H243&lt;&gt;CP$5,0,IF(CP243&lt;0,IF(OR($J243=1,$J243=2,$J243=3,$J243=4),-$E243*$I243/12*3,IF($J243=5,-$E243*$I243/12*2,IF($J243=6,-$E243*$I243/12*1,0)))))+IF(CK$5&lt;&gt;$H243,0,IF(CK243&lt;0,IF($J243=4,-$E243*$I243/12*0,IF($J243=5,-$E243*$I243/12*1,IF($J243=6,-$E243*$I243/12*2,IF($J243&gt;=7,-$E243*$I243/12*3,0))))))</f>
        <v>0</v>
      </c>
      <c r="CN243" s="416">
        <f>IF($H243&lt;&gt;CP$5,0,IF(CP243&lt;0,IF(OR($J243=1,$J243=2,$J243=3,$J243=4,$J243=5,$J243=6,$J243=7),-$E243*$I243/12*3,IF($J243=8,-$E243*$I243/12*2,IF($J243=9,-$E243*$I243/12*1,0)))))+IF(CK$5&lt;&gt;$H243,0,IF(CK243&lt;0,IF($J243=7,-$E243*$I243/12*0,IF($J243=8,-$E243*$I243/12*1,IF($J243=9,-$E243*$I243/12*2,IF($J243&gt;=10,-$E243*$I243/12*3,0))))))</f>
        <v>0</v>
      </c>
      <c r="CO243" s="412">
        <f>IF($H243&lt;&gt;CP$5,0,IF(CP243&lt;0,IF(OR($J243=1,$J243=2,$J243=3,$J243=4,$J243=5,$J243=6,$J243=7,$J243=8,$J243=9,$J243=10),-$E243*$I243/12*3,IF($J243=11,-$E243*$I243/12*2,IF($J243=12,-$E243*$I243/12*1,0)))))+IF(CK$5&lt;&gt;$H243,0,IF(CK243&lt;0,IF($J243=10,-$E243*$I243/12*0,IF($J243=11,-$E243*$I243/12*1,IF($J243=12,-$E243*$I243/12*2,0)))))</f>
        <v>0</v>
      </c>
      <c r="CP243" s="413">
        <f>IF(AND(CK243&lt;&gt;0,CK$5=$H243),-$I243*$E243-CK243,IF(CP$5=$H243,-$I243*$E243*(12-$J243+1)/12,0))</f>
        <v>0</v>
      </c>
      <c r="CQ243" s="410">
        <f>IF($H243&lt;&gt;CU$5,0,IF(CU243&lt;0,IF($J243=1,-$E243*$I243/12*3,IF($J243=2,-$E243*$I243/12*2,IF($J243=3,-$E243*$I243/12*1,0)))))+IF(CP$5&lt;&gt;$H243,0,IF(CP243&lt;0,IF($J243=1,-$E243*$I243/12*0,IF($J243=2,-$E243*$I243/12*1,IF($J243=3,-$E243*$I243/12*2,IF($J243&gt;=4,-$E243*$I243/12*3,0))))))</f>
        <v>0</v>
      </c>
      <c r="CR243" s="416">
        <f>IF($H243&lt;&gt;CU$5,0,IF(CU243&lt;0,IF(OR($J243=1,$J243=2,$J243=3,$J243=4),-$E243*$I243/12*3,IF($J243=5,-$E243*$I243/12*2,IF($J243=6,-$E243*$I243/12*1,0)))))+IF(CP$5&lt;&gt;$H243,0,IF(CP243&lt;0,IF($J243=4,-$E243*$I243/12*0,IF($J243=5,-$E243*$I243/12*1,IF($J243=6,-$E243*$I243/12*2,IF($J243&gt;=7,-$E243*$I243/12*3,0))))))</f>
        <v>0</v>
      </c>
      <c r="CS243" s="416">
        <f>IF($H243&lt;&gt;CU$5,0,IF(CU243&lt;0,IF(OR($J243=1,$J243=2,$J243=3,$J243=4,$J243=5,$J243=6,$J243=7),-$E243*$I243/12*3,IF($J243=8,-$E243*$I243/12*2,IF($J243=9,-$E243*$I243/12*1,0)))))+IF(CP$5&lt;&gt;$H243,0,IF(CP243&lt;0,IF($J243=7,-$E243*$I243/12*0,IF($J243=8,-$E243*$I243/12*1,IF($J243=9,-$E243*$I243/12*2,IF($J243&gt;=10,-$E243*$I243/12*3,0))))))</f>
        <v>0</v>
      </c>
      <c r="CT243" s="412">
        <f>IF($H243&lt;&gt;CU$5,0,IF(CU243&lt;0,IF(OR($J243=1,$J243=2,$J243=3,$J243=4,$J243=5,$J243=6,$J243=7,$J243=8,$J243=9,$J243=10),-$E243*$I243/12*3,IF($J243=11,-$E243*$I243/12*2,IF($J243=12,-$E243*$I243/12*1,0)))))+IF(CP$5&lt;&gt;$H243,0,IF(CP243&lt;0,IF($J243=10,-$E243*$I243/12*0,IF($J243=11,-$E243*$I243/12*1,IF($J243=12,-$E243*$I243/12*2,0)))))</f>
        <v>0</v>
      </c>
      <c r="CU243" s="413">
        <f>IF(AND(CP243&lt;&gt;0,CP$5=$H243),-$I243*$E243-CP243,IF(CU$5=$H243,-$I243*$E243*(12-$J243+1)/12,0))</f>
        <v>0</v>
      </c>
      <c r="CV243" s="410">
        <f>IF($H243&lt;&gt;CZ$5,0,IF(CZ243&lt;0,IF($J243=1,-$E243*$I243/12*3,IF($J243=2,-$E243*$I243/12*2,IF($J243=3,-$E243*$I243/12*1,0)))))+IF(CU$5&lt;&gt;$H243,0,IF(CU243&lt;0,IF($J243=1,-$E243*$I243/12*0,IF($J243=2,-$E243*$I243/12*1,IF($J243=3,-$E243*$I243/12*2,IF($J243&gt;=4,-$E243*$I243/12*3,0))))))</f>
        <v>0</v>
      </c>
      <c r="CW243" s="416">
        <f>IF($H243&lt;&gt;CZ$5,0,IF(CZ243&lt;0,IF(OR($J243=1,$J243=2,$J243=3,$J243=4),-$E243*$I243/12*3,IF($J243=5,-$E243*$I243/12*2,IF($J243=6,-$E243*$I243/12*1,0)))))+IF(CU$5&lt;&gt;$H243,0,IF(CU243&lt;0,IF($J243=4,-$E243*$I243/12*0,IF($J243=5,-$E243*$I243/12*1,IF($J243=6,-$E243*$I243/12*2,IF($J243&gt;=7,-$E243*$I243/12*3,0))))))</f>
        <v>0</v>
      </c>
      <c r="CX243" s="416">
        <f>IF($H243&lt;&gt;CZ$5,0,IF(CZ243&lt;0,IF(OR($J243=1,$J243=2,$J243=3,$J243=4,$J243=5,$J243=6,$J243=7),-$E243*$I243/12*3,IF($J243=8,-$E243*$I243/12*2,IF($J243=9,-$E243*$I243/12*1,0)))))+IF(CU$5&lt;&gt;$H243,0,IF(CU243&lt;0,IF($J243=7,-$E243*$I243/12*0,IF($J243=8,-$E243*$I243/12*1,IF($J243=9,-$E243*$I243/12*2,IF($J243&gt;=10,-$E243*$I243/12*3,0))))))</f>
        <v>0</v>
      </c>
      <c r="CY243" s="412">
        <f>IF($H243&lt;&gt;CZ$5,0,IF(CZ243&lt;0,IF(OR($J243=1,$J243=2,$J243=3,$J243=4,$J243=5,$J243=6,$J243=7,$J243=8,$J243=9,$J243=10),-$E243*$I243/12*3,IF($J243=11,-$E243*$I243/12*2,IF($J243=12,-$E243*$I243/12*1,0)))))+IF(CU$5&lt;&gt;$H243,0,IF(CU243&lt;0,IF($J243=10,-$E243*$I243/12*0,IF($J243=11,-$E243*$I243/12*1,IF($J243=12,-$E243*$I243/12*2,0)))))</f>
        <v>0</v>
      </c>
      <c r="CZ243" s="413">
        <f>IF(AND(CU243&lt;&gt;0,CU$5=$H243),-$I243*$E243-CU243,IF(CZ$5=$H243,-$I243*$E243*(12-$J243+1)/12,0))</f>
        <v>0</v>
      </c>
      <c r="DA243" s="410">
        <f>IF($H243&lt;&gt;DE$5,0,IF(DE243&lt;0,IF($J243=1,-$E243*$I243/12*3,IF($J243=2,-$E243*$I243/12*2,IF($J243=3,-$E243*$I243/12*1,0)))))+IF(CZ$5&lt;&gt;$H243,0,IF(CZ243&lt;0,IF($J243=1,-$E243*$I243/12*0,IF($J243=2,-$E243*$I243/12*1,IF($J243=3,-$E243*$I243/12*2,IF($J243&gt;=4,-$E243*$I243/12*3,0))))))</f>
        <v>0</v>
      </c>
      <c r="DB243" s="416">
        <f>IF($H243&lt;&gt;DE$5,0,IF(DE243&lt;0,IF(OR($J243=1,$J243=2,$J243=3,$J243=4),-$E243*$I243/12*3,IF($J243=5,-$E243*$I243/12*2,IF($J243=6,-$E243*$I243/12*1,0)))))+IF(CZ$5&lt;&gt;$H243,0,IF(CZ243&lt;0,IF($J243=4,-$E243*$I243/12*0,IF($J243=5,-$E243*$I243/12*1,IF($J243=6,-$E243*$I243/12*2,IF($J243&gt;=7,-$E243*$I243/12*3,0))))))</f>
        <v>0</v>
      </c>
      <c r="DC243" s="416">
        <f>IF($H243&lt;&gt;DE$5,0,IF(DE243&lt;0,IF(OR($J243=1,$J243=2,$J243=3,$J243=4,$J243=5,$J243=6,$J243=7),-$E243*$I243/12*3,IF($J243=8,-$E243*$I243/12*2,IF($J243=9,-$E243*$I243/12*1,0)))))+IF(CZ$5&lt;&gt;$H243,0,IF(CZ243&lt;0,IF($J243=7,-$E243*$I243/12*0,IF($J243=8,-$E243*$I243/12*1,IF($J243=9,-$E243*$I243/12*2,IF($J243&gt;=10,-$E243*$I243/12*3,0))))))</f>
        <v>0</v>
      </c>
      <c r="DD243" s="412">
        <f>IF($H243&lt;&gt;DE$5,0,IF(DE243&lt;0,IF(OR($J243=1,$J243=2,$J243=3,$J243=4,$J243=5,$J243=6,$J243=7,$J243=8,$J243=9,$J243=10),-$E243*$I243/12*3,IF($J243=11,-$E243*$I243/12*2,IF($J243=12,-$E243*$I243/12*1,0)))))+IF(CZ$5&lt;&gt;$H243,0,IF(CZ243&lt;0,IF($J243=10,-$E243*$I243/12*0,IF($J243=11,-$E243*$I243/12*1,IF($J243=12,-$E243*$I243/12*2,0)))))</f>
        <v>0</v>
      </c>
      <c r="DE243" s="413">
        <f>IF(AND(CZ243&lt;&gt;0,CZ$5=$H243),-$I243*$E243-CZ243,IF(DE$5=$H243,-$I243*$E243*(12-$J243+1)/12,0))</f>
        <v>0</v>
      </c>
      <c r="DF243" s="410">
        <f>IF($H243&lt;&gt;DJ$5,0,IF(DJ243&lt;0,IF($J243=1,-$E243*$I243/12*3,IF($J243=2,-$E243*$I243/12*2,IF($J243=3,-$E243*$I243/12*1,0)))))+IF(DE$5&lt;&gt;$H243,0,IF(DE243&lt;0,IF($J243=1,-$E243*$I243/12*0,IF($J243=2,-$E243*$I243/12*1,IF($J243=3,-$E243*$I243/12*2,IF($J243&gt;=4,-$E243*$I243/12*3,0))))))</f>
        <v>0</v>
      </c>
      <c r="DG243" s="416">
        <f>IF($H243&lt;&gt;DJ$5,0,IF(DJ243&lt;0,IF(OR($J243=1,$J243=2,$J243=3,$J243=4),-$E243*$I243/12*3,IF($J243=5,-$E243*$I243/12*2,IF($J243=6,-$E243*$I243/12*1,0)))))+IF(DE$5&lt;&gt;$H243,0,IF(DE243&lt;0,IF($J243=4,-$E243*$I243/12*0,IF($J243=5,-$E243*$I243/12*1,IF($J243=6,-$E243*$I243/12*2,IF($J243&gt;=7,-$E243*$I243/12*3,0))))))</f>
        <v>0</v>
      </c>
      <c r="DH243" s="416">
        <f>IF($H243&lt;&gt;DJ$5,0,IF(DJ243&lt;0,IF(OR($J243=1,$J243=2,$J243=3,$J243=4,$J243=5,$J243=6,$J243=7),-$E243*$I243/12*3,IF($J243=8,-$E243*$I243/12*2,IF($J243=9,-$E243*$I243/12*1,0)))))+IF(DE$5&lt;&gt;$H243,0,IF(DE243&lt;0,IF($J243=7,-$E243*$I243/12*0,IF($J243=8,-$E243*$I243/12*1,IF($J243=9,-$E243*$I243/12*2,IF($J243&gt;=10,-$E243*$I243/12*3,0))))))</f>
        <v>0</v>
      </c>
      <c r="DI243" s="412">
        <f>IF($H243&lt;&gt;DJ$5,0,IF(DJ243&lt;0,IF(OR($J243=1,$J243=2,$J243=3,$J243=4,$J243=5,$J243=6,$J243=7,$J243=8,$J243=9,$J243=10),-$E243*$I243/12*3,IF($J243=11,-$E243*$I243/12*2,IF($J243=12,-$E243*$I243/12*1,0)))))+IF(DE$5&lt;&gt;$H243,0,IF(DE243&lt;0,IF($J243=10,-$E243*$I243/12*0,IF($J243=11,-$E243*$I243/12*1,IF($J243=12,-$E243*$I243/12*2,0)))))</f>
        <v>0</v>
      </c>
      <c r="DJ243" s="413">
        <f>IF(AND(DE243&lt;&gt;0,DE$5=$H243),-$I243*$E243-DE243,IF(DJ$5=$H243,-$I243*$E243*(12-$J243+1)/12,0))</f>
        <v>0</v>
      </c>
      <c r="DK243" s="410">
        <f>IF($H243&lt;&gt;DO$5,0,IF(DO243&lt;0,IF($J243=1,-$E243*$I243/12*3,IF($J243=2,-$E243*$I243/12*2,IF($J243=3,-$E243*$I243/12*1,0)))))+IF(DJ$5&lt;&gt;$H243,0,IF(DJ243&lt;0,IF($J243=1,-$E243*$I243/12*0,IF($J243=2,-$E243*$I243/12*1,IF($J243=3,-$E243*$I243/12*2,IF($J243&gt;=4,-$E243*$I243/12*3,0))))))</f>
        <v>0</v>
      </c>
      <c r="DL243" s="416">
        <f>IF($H243&lt;&gt;DO$5,0,IF(DO243&lt;0,IF(OR($J243=1,$J243=2,$J243=3,$J243=4),-$E243*$I243/12*3,IF($J243=5,-$E243*$I243/12*2,IF($J243=6,-$E243*$I243/12*1,0)))))+IF(DJ$5&lt;&gt;$H243,0,IF(DJ243&lt;0,IF($J243=4,-$E243*$I243/12*0,IF($J243=5,-$E243*$I243/12*1,IF($J243=6,-$E243*$I243/12*2,IF($J243&gt;=7,-$E243*$I243/12*3,0))))))</f>
        <v>0</v>
      </c>
      <c r="DM243" s="416">
        <f>IF($H243&lt;&gt;DO$5,0,IF(DO243&lt;0,IF(OR($J243=1,$J243=2,$J243=3,$J243=4,$J243=5,$J243=6,$J243=7),-$E243*$I243/12*3,IF($J243=8,-$E243*$I243/12*2,IF($J243=9,-$E243*$I243/12*1,0)))))+IF(DJ$5&lt;&gt;$H243,0,IF(DJ243&lt;0,IF($J243=7,-$E243*$I243/12*0,IF($J243=8,-$E243*$I243/12*1,IF($J243=9,-$E243*$I243/12*2,IF($J243&gt;=10,-$E243*$I243/12*3,0))))))</f>
        <v>0</v>
      </c>
      <c r="DN243" s="412">
        <f>IF($H243&lt;&gt;DO$5,0,IF(DO243&lt;0,IF(OR($J243=1,$J243=2,$J243=3,$J243=4,$J243=5,$J243=6,$J243=7,$J243=8,$J243=9,$J243=10),-$E243*$I243/12*3,IF($J243=11,-$E243*$I243/12*2,IF($J243=12,-$E243*$I243/12*1,0)))))+IF(DJ$5&lt;&gt;$H243,0,IF(DJ243&lt;0,IF($J243=10,-$E243*$I243/12*0,IF($J243=11,-$E243*$I243/12*1,IF($J243=12,-$E243*$I243/12*2,0)))))</f>
        <v>0</v>
      </c>
      <c r="DO243" s="413">
        <f>IF(AND(DJ243&lt;&gt;0,DJ$5=$H243),-$I243*$E243-DJ243,IF(DO$5=$H243,-$I243*$E243*(12-$J243+1)/12,0))</f>
        <v>0</v>
      </c>
      <c r="DP243" s="410">
        <f>IF($H243&lt;&gt;DT$5,0,IF(DT243&lt;0,IF($J243=1,-$E243*$I243/12*3,IF($J243=2,-$E243*$I243/12*2,IF($J243=3,-$E243*$I243/12*1,0)))))+IF(DO$5&lt;&gt;$H243,0,IF(DO243&lt;0,IF($J243=1,-$E243*$I243/12*0,IF($J243=2,-$E243*$I243/12*1,IF($J243=3,-$E243*$I243/12*2,IF($J243&gt;=4,-$E243*$I243/12*3,0))))))</f>
        <v>0</v>
      </c>
      <c r="DQ243" s="416">
        <f>IF($H243&lt;&gt;DT$5,0,IF(DT243&lt;0,IF(OR($J243=1,$J243=2,$J243=3,$J243=4),-$E243*$I243/12*3,IF($J243=5,-$E243*$I243/12*2,IF($J243=6,-$E243*$I243/12*1,0)))))+IF(DO$5&lt;&gt;$H243,0,IF(DO243&lt;0,IF($J243=4,-$E243*$I243/12*0,IF($J243=5,-$E243*$I243/12*1,IF($J243=6,-$E243*$I243/12*2,IF($J243&gt;=7,-$E243*$I243/12*3,0))))))</f>
        <v>0</v>
      </c>
      <c r="DR243" s="416">
        <f>IF($H243&lt;&gt;DT$5,0,IF(DT243&lt;0,IF(OR($J243=1,$J243=2,$J243=3,$J243=4,$J243=5,$J243=6,$J243=7),-$E243*$I243/12*3,IF($J243=8,-$E243*$I243/12*2,IF($J243=9,-$E243*$I243/12*1,0)))))+IF(DO$5&lt;&gt;$H243,0,IF(DO243&lt;0,IF($J243=7,-$E243*$I243/12*0,IF($J243=8,-$E243*$I243/12*1,IF($J243=9,-$E243*$I243/12*2,IF($J243&gt;=10,-$E243*$I243/12*3,0))))))</f>
        <v>0</v>
      </c>
      <c r="DS243" s="412">
        <f>IF($H243&lt;&gt;DT$5,0,IF(DT243&lt;0,IF(OR($J243=1,$J243=2,$J243=3,$J243=4,$J243=5,$J243=6,$J243=7,$J243=8,$J243=9,$J243=10),-$E243*$I243/12*3,IF($J243=11,-$E243*$I243/12*2,IF($J243=12,-$E243*$I243/12*1,0)))))+IF(DO$5&lt;&gt;$H243,0,IF(DO243&lt;0,IF($J243=10,-$E243*$I243/12*0,IF($J243=11,-$E243*$I243/12*1,IF($J243=12,-$E243*$I243/12*2,0)))))</f>
        <v>0</v>
      </c>
      <c r="DT243" s="413">
        <f>IF(AND(DO243&lt;&gt;0,DO$5=$H243),-$I243*$E243-DO243,IF(DT$5=$H243,-$I243*$E243*(12-$J243+1)/12,0))</f>
        <v>0</v>
      </c>
    </row>
    <row r="244" spans="1:124" ht="12.75" customHeight="1">
      <c r="A244" s="491"/>
      <c r="C244" s="1438" t="s">
        <v>1298</v>
      </c>
      <c r="D244" s="1438"/>
      <c r="E244" s="1531">
        <f>IF(F244=0,G244,F244)</f>
        <v>60</v>
      </c>
      <c r="F244" s="1536">
        <v>60</v>
      </c>
      <c r="G244" s="1536">
        <v>0</v>
      </c>
      <c r="H244" s="610">
        <v>2030</v>
      </c>
      <c r="I244" s="1533">
        <v>5.1999999999999998E-2</v>
      </c>
      <c r="J244" s="615">
        <v>5</v>
      </c>
      <c r="K244" s="402"/>
      <c r="L244" s="407">
        <f>IF(L$5=$H244,-$E244,0)</f>
        <v>0</v>
      </c>
      <c r="M244" s="404">
        <f>IF(Q244=0,0,IF(Q244&lt;0,IF($J244=3,Q244,IF($J244=2,Q244,IF($J244=1,Q244,0)))))</f>
        <v>0</v>
      </c>
      <c r="N244" s="414">
        <f>IF(Q244=0,0,IF(Q244&lt;0,IF($J244=6,Q244,IF($J244=5,Q244,IF($J244=4,Q244,0)))))</f>
        <v>0</v>
      </c>
      <c r="O244" s="414">
        <f>IF(Q244=0,0,IF(Q244&lt;0,IF($J244=9,Q244,IF($J244=8,Q244,IF($J244=7,Q244,0)))))</f>
        <v>0</v>
      </c>
      <c r="P244" s="406">
        <f>IF(Q244=0,0,IF(Q244&lt;0,IF($J244=12,Q244,IF($J244=11,Q244,IF($J244=10,Q244,0)))))</f>
        <v>0</v>
      </c>
      <c r="Q244" s="407">
        <f>IF(Q$5=$H244,-$E244,0)</f>
        <v>0</v>
      </c>
      <c r="R244" s="404">
        <f>IF(V244=0,0,IF(V244&lt;0,IF($J244=3,V244,IF($J244=2,V244,IF($J244=1,V244,0)))))</f>
        <v>0</v>
      </c>
      <c r="S244" s="414">
        <f>IF(V244=0,0,IF(V244&lt;0,IF($J244=6,V244,IF($J244=5,V244,IF($J244=4,V244,0)))))</f>
        <v>0</v>
      </c>
      <c r="T244" s="414">
        <f>IF(V244=0,0,IF(V244&lt;0,IF($J244=9,V244,IF($J244=8,V244,IF($J244=7,V244,0)))))</f>
        <v>0</v>
      </c>
      <c r="U244" s="406">
        <f>IF(V244=0,0,IF(V244&lt;0,IF($J244=12,V244,IF($J244=11,V244,IF($J244=10,V244,0)))))</f>
        <v>0</v>
      </c>
      <c r="V244" s="407">
        <f>IF(V$5=$H244,-$E244,0)</f>
        <v>0</v>
      </c>
      <c r="W244" s="404">
        <f>IF(AA244=0,0,IF(AA244&lt;0,IF($J244=3,AA244,IF($J244=2,AA244,IF($J244=1,AA244,0)))))</f>
        <v>0</v>
      </c>
      <c r="X244" s="414">
        <f>IF(AA244=0,0,IF(AA244&lt;0,IF($J244=6,AA244,IF($J244=5,AA244,IF($J244=4,AA244,0)))))</f>
        <v>0</v>
      </c>
      <c r="Y244" s="414">
        <f>IF(AA244=0,0,IF(AA244&lt;0,IF($J244=9,AA244,IF($J244=8,AA244,IF($J244=7,AA244,0)))))</f>
        <v>0</v>
      </c>
      <c r="Z244" s="406">
        <f>IF(AA244=0,0,IF(AA244&lt;0,IF($J244=12,AA244,IF($J244=11,AA244,IF($J244=10,AA244,0)))))</f>
        <v>0</v>
      </c>
      <c r="AA244" s="407">
        <f>IF(AA$5=$H244,-$E244,0)</f>
        <v>0</v>
      </c>
      <c r="AB244" s="404">
        <f>IF(AF244=0,0,IF(AF244&lt;0,IF($J244=3,AF244,IF($J244=2,AF244,IF($J244=1,AF244,0)))))</f>
        <v>0</v>
      </c>
      <c r="AC244" s="414">
        <f>IF(AF244=0,0,IF(AF244&lt;0,IF($J244=6,AF244,IF($J244=5,AF244,IF($J244=4,AF244,0)))))</f>
        <v>0</v>
      </c>
      <c r="AD244" s="414">
        <f>IF(AF244=0,0,IF(AF244&lt;0,IF($J244=9,AF244,IF($J244=8,AF244,IF($J244=7,AF244,0)))))</f>
        <v>0</v>
      </c>
      <c r="AE244" s="406">
        <f>IF(AF244=0,0,IF(AF244&lt;0,IF($J244=12,AF244,IF($J244=11,AF244,IF($J244=10,AF244,0)))))</f>
        <v>0</v>
      </c>
      <c r="AF244" s="407">
        <f>IF(AF$5=$H244,-$E244,0)</f>
        <v>0</v>
      </c>
      <c r="AG244" s="404">
        <f>IF(AK244=0,0,IF(AK244&lt;0,IF($J244=3,AK244,IF($J244=2,AK244,IF($J244=1,AK244,0)))))</f>
        <v>0</v>
      </c>
      <c r="AH244" s="414">
        <f>IF(AK244=0,0,IF(AK244&lt;0,IF($J244=6,AK244,IF($J244=5,AK244,IF($J244=4,AK244,0)))))</f>
        <v>0</v>
      </c>
      <c r="AI244" s="414">
        <f>IF(AK244=0,0,IF(AK244&lt;0,IF($J244=9,AK244,IF($J244=8,AK244,IF($J244=7,AK244,0)))))</f>
        <v>0</v>
      </c>
      <c r="AJ244" s="406">
        <f>IF(AK244=0,0,IF(AK244&lt;0,IF($J244=12,AK244,IF($J244=11,AK244,IF($J244=10,AK244,0)))))</f>
        <v>0</v>
      </c>
      <c r="AK244" s="407">
        <f>IF(AK$5=$H244,-$E244,0)</f>
        <v>0</v>
      </c>
      <c r="AL244" s="404">
        <f>IF(AP244=0,0,IF(AP244&lt;0,IF($J244=3,AP244,IF($J244=2,AP244,IF($J244=1,AP244,0)))))</f>
        <v>0</v>
      </c>
      <c r="AM244" s="414">
        <f>IF(AP244=0,0,IF(AP244&lt;0,IF($J244=6,AP244,IF($J244=5,AP244,IF($J244=4,AP244,0)))))</f>
        <v>0</v>
      </c>
      <c r="AN244" s="414">
        <f>IF(AP244=0,0,IF(AP244&lt;0,IF($J244=9,AP244,IF($J244=8,AP244,IF($J244=7,AP244,0)))))</f>
        <v>0</v>
      </c>
      <c r="AO244" s="406">
        <f>IF(AP244=0,0,IF(AP244&lt;0,IF($J244=12,AP244,IF($J244=11,AP244,IF($J244=10,AP244,0)))))</f>
        <v>0</v>
      </c>
      <c r="AP244" s="407">
        <f>IF(AP$5=$H244,-$E244,0)</f>
        <v>0</v>
      </c>
      <c r="AQ244" s="404">
        <f>IF(AU244=0,0,IF(AU244&lt;0,IF($J244=3,AU244,IF($J244=2,AU244,IF($J244=1,AU244,0)))))</f>
        <v>0</v>
      </c>
      <c r="AR244" s="414">
        <f t="shared" si="1830"/>
        <v>0</v>
      </c>
      <c r="AS244" s="414">
        <f>IF(AU244=0,0,IF(AU244&lt;0,IF($J244=9,AU244,IF($J244=8,AU244,IF($J244=7,AU244,0)))))</f>
        <v>0</v>
      </c>
      <c r="AT244" s="406">
        <f>IF(AU244=0,0,IF(AU244&lt;0,IF($J244=12,AU244,IF($J244=11,AU244,IF($J244=10,AU244,0)))))</f>
        <v>0</v>
      </c>
      <c r="AU244" s="407">
        <f>IF(AU$5=$H244,-$E244,0)</f>
        <v>0</v>
      </c>
      <c r="AV244" s="404">
        <f>IF(AZ244=0,0,IF(AZ244&lt;0,IF($J244=3,AZ244,IF($J244=2,AZ244,IF($J244=1,AZ244,0)))))</f>
        <v>0</v>
      </c>
      <c r="AW244" s="414">
        <f>IF(AZ244=0,0,IF(AZ244&lt;0,IF($J244=6,AZ244,IF($J244=5,AZ244,IF($J244=4,AZ244,0)))))</f>
        <v>0</v>
      </c>
      <c r="AX244" s="414">
        <f>IF(AZ244=0,0,IF(AZ244&lt;0,IF($J244=9,AZ244,IF($J244=8,AZ244,IF($J244=7,AZ244,0)))))</f>
        <v>0</v>
      </c>
      <c r="AY244" s="406">
        <f>IF(AZ244=0,0,IF(AZ244&lt;0,IF($J244=12,AZ244,IF($J244=11,AZ244,IF($J244=10,AZ244,0)))))</f>
        <v>0</v>
      </c>
      <c r="AZ244" s="407">
        <f>IF(AZ$5=$H244,-$E244,0)</f>
        <v>0</v>
      </c>
      <c r="BA244" s="404">
        <f>IF(BE244=0,0,IF(BE244&lt;0,IF($J244=3,BE244,IF($J244=2,BE244,IF($J244=1,BE244,0)))))</f>
        <v>0</v>
      </c>
      <c r="BB244" s="414">
        <f>IF(BE244=0,0,IF(BE244&lt;0,IF($J244=6,BE244,IF($J244=5,BE244,IF($J244=4,BE244,0)))))</f>
        <v>0</v>
      </c>
      <c r="BC244" s="414">
        <f>IF(BE244=0,0,IF(BE244&lt;0,IF($J244=9,BE244,IF($J244=8,BE244,IF($J244=7,BE244,0)))))</f>
        <v>0</v>
      </c>
      <c r="BD244" s="406">
        <f>IF(BE244=0,0,IF(BE244&lt;0,IF($J244=12,BE244,IF($J244=11,BE244,IF($J244=10,BE244,0)))))</f>
        <v>0</v>
      </c>
      <c r="BE244" s="407">
        <f>IF(BE$5=$H244,-$E244,0)</f>
        <v>0</v>
      </c>
      <c r="BF244" s="404">
        <f>IF(BJ244=0,0,IF(BJ244&lt;0,IF($J244=3,BJ244,IF($J244=2,BJ244,IF($J244=1,BJ244,0)))))</f>
        <v>0</v>
      </c>
      <c r="BG244" s="414">
        <f>IF(BJ244=0,0,IF(BJ244&lt;0,IF($J244=6,BJ244,IF($J244=5,BJ244,IF($J244=4,BJ244,0)))))</f>
        <v>0</v>
      </c>
      <c r="BH244" s="414">
        <f>IF(BJ244=0,0,IF(BJ244&lt;0,IF($J244=9,BJ244,IF($J244=8,BJ244,IF($J244=7,BJ244,0)))))</f>
        <v>0</v>
      </c>
      <c r="BI244" s="406">
        <f>IF(BJ244=0,0,IF(BJ244&lt;0,IF($J244=12,BJ244,IF($J244=11,BJ244,IF($J244=10,BJ244,0)))))</f>
        <v>0</v>
      </c>
      <c r="BJ244" s="407">
        <f>IF(BJ$5=$H244,-$E244,0)</f>
        <v>0</v>
      </c>
      <c r="BK244" s="404">
        <f>IF(BO244=0,0,IF(BO244&lt;0,IF($J244=3,BO244,IF($J244=2,BO244,IF($J244=1,BO244,0)))))</f>
        <v>0</v>
      </c>
      <c r="BL244" s="414">
        <f>IF(BO244=0,0,IF(BO244&lt;0,IF($J244=6,BO244,IF($J244=5,BO244,IF($J244=4,BO244,0)))))</f>
        <v>0</v>
      </c>
      <c r="BM244" s="414">
        <f>IF(BO244=0,0,IF(BO244&lt;0,IF($J244=9,BO244,IF($J244=8,BO244,IF($J244=7,BO244,0)))))</f>
        <v>0</v>
      </c>
      <c r="BN244" s="406">
        <f>IF(BO244=0,0,IF(BO244&lt;0,IF($J244=12,BO244,IF($J244=11,BO244,IF($J244=10,BO244,0)))))</f>
        <v>0</v>
      </c>
      <c r="BO244" s="407">
        <f>IF(BO$5=$H244,-$E244,0)</f>
        <v>0</v>
      </c>
      <c r="BP244" s="449"/>
      <c r="BQ244" s="413">
        <f>IF(AND(AH244&lt;&gt;0,AH$5=$H244),-$I244*$E244-AH244,IF(BQ$5=$H244,-$I244*$E244*(12-$J244+1)/12,0))</f>
        <v>0</v>
      </c>
      <c r="BR244" s="410">
        <f>IF($H244&lt;&gt;BV$5,0,IF(BV244&lt;0,IF($J244=1,-$E244*$I244/12*3,IF($J244=2,-$E244*$I244/12*2,IF($J244=3,-$E244*$I244/12*1,0)))))+IF(BQ$5&lt;&gt;$H244,0,IF(BQ244&lt;0,IF($J244=1,-$E244*$I244/12*0,IF($J244=2,-$E244*$I244/12*1,IF($J244=3,-$E244*$I244/12*2,IF($J244&gt;=4,-$E244*$I244/12*3,0))))))</f>
        <v>0</v>
      </c>
      <c r="BS244" s="416">
        <f>IF($H244&lt;&gt;BV$5,0,IF(BV244&lt;0,IF(OR($J244=1,$J244=2,$J244=3,$J244=4),-$E244*$I244/12*3,IF($J244=5,-$E244*$I244/12*2,IF($J244=6,-$E244*$I244/12*1,0)))))+IF(BQ$5&lt;&gt;$H244,0,IF(BQ244&lt;0,IF($J244=4,-$E244*$I244/12*0,IF($J244=5,-$E244*$I244/12*1,IF($J244=6,-$E244*$I244/12*2,IF($J244&gt;=7,-$E244*$I244/12*3,0))))))</f>
        <v>0</v>
      </c>
      <c r="BT244" s="416">
        <f>IF($H244&lt;&gt;BV$5,0,IF(BV244&lt;0,IF(OR($J244=1,$J244=2,$J244=3,$J244=4,$J244=5,$J244=6,$J244=7),-$E244*$I244/12*3,IF($J244=8,-$E244*$I244/12*2,IF($J244=9,-$E244*$I244/12*1,0)))))+IF(BQ$5&lt;&gt;$H244,0,IF(BQ244&lt;0,IF($J244=7,-$E244*$I244/12*0,IF($J244=8,-$E244*$I244/12*1,IF($J244=9,-$E244*$I244/12*2,IF($J244&gt;=10,-$E244*$I244/12*3,0))))))</f>
        <v>0</v>
      </c>
      <c r="BU244" s="412">
        <f>IF($H244&lt;&gt;BV$5,0,IF(BV244&lt;0,IF(OR($J244=1,$J244=2,$J244=3,$J244=4,$J244=5,$J244=6,$J244=7,$J244=8,$J244=9,$J244=10),-$E244*$I244/12*3,IF($J244=11,-$E244*$I244/12*2,IF($J244=12,-$E244*$I244/12*1,0)))))+IF(BQ$5&lt;&gt;$H244,0,IF(BQ244&lt;0,IF($J244=10,-$E244*$I244/12*0,IF($J244=11,-$E244*$I244/12*1,IF($J244=12,-$E244*$I244/12*2,0)))))</f>
        <v>0</v>
      </c>
      <c r="BV244" s="413">
        <f>IF(AND(BQ244&lt;&gt;0,BQ$5=$H244),-$I244*$E244-BQ244,IF(BV$5=$H244,-$I244*$E244*(12-$J244+1)/12,0))</f>
        <v>0</v>
      </c>
      <c r="BW244" s="410">
        <f>IF($H244&lt;&gt;CA$5,0,IF(CA244&lt;0,IF($J244=1,-$E244*$I244/12*3,IF($J244=2,-$E244*$I244/12*2,IF($J244=3,-$E244*$I244/12*1,0)))))+IF(BV$5&lt;&gt;$H244,0,IF(BV244&lt;0,IF($J244=1,-$E244*$I244/12*0,IF($J244=2,-$E244*$I244/12*1,IF($J244=3,-$E244*$I244/12*2,IF($J244&gt;=4,-$E244*$I244/12*3,0))))))</f>
        <v>0</v>
      </c>
      <c r="BX244" s="416">
        <f>IF($H244&lt;&gt;CA$5,0,IF(CA244&lt;0,IF(OR($J244=1,$J244=2,$J244=3,$J244=4),-$E244*$I244/12*3,IF($J244=5,-$E244*$I244/12*2,IF($J244=6,-$E244*$I244/12*1,0)))))+IF(BV$5&lt;&gt;$H244,0,IF(BV244&lt;0,IF($J244=4,-$E244*$I244/12*0,IF($J244=5,-$E244*$I244/12*1,IF($J244=6,-$E244*$I244/12*2,IF($J244&gt;=7,-$E244*$I244/12*3,0))))))</f>
        <v>0</v>
      </c>
      <c r="BY244" s="416">
        <f>IF($H244&lt;&gt;CA$5,0,IF(CA244&lt;0,IF(OR($J244=1,$J244=2,$J244=3,$J244=4,$J244=5,$J244=6,$J244=7),-$E244*$I244/12*3,IF($J244=8,-$E244*$I244/12*2,IF($J244=9,-$E244*$I244/12*1,0)))))+IF(BV$5&lt;&gt;$H244,0,IF(BV244&lt;0,IF($J244=7,-$E244*$I244/12*0,IF($J244=8,-$E244*$I244/12*1,IF($J244=9,-$E244*$I244/12*2,IF($J244&gt;=10,-$E244*$I244/12*3,0))))))</f>
        <v>0</v>
      </c>
      <c r="BZ244" s="412">
        <f>IF($H244&lt;&gt;CA$5,0,IF(CA244&lt;0,IF(OR($J244=1,$J244=2,$J244=3,$J244=4,$J244=5,$J244=6,$J244=7,$J244=8,$J244=9,$J244=10),-$E244*$I244/12*3,IF($J244=11,-$E244*$I244/12*2,IF($J244=12,-$E244*$I244/12*1,0)))))+IF(BV$5&lt;&gt;$H244,0,IF(BV244&lt;0,IF($J244=10,-$E244*$I244/12*0,IF($J244=11,-$E244*$I244/12*1,IF($J244=12,-$E244*$I244/12*2,0)))))</f>
        <v>0</v>
      </c>
      <c r="CA244" s="413">
        <f>IF(AND(BV244&lt;&gt;0,BV$5=$H244),-$I244*$E244-BV244,IF(CA$5=$H244,-$I244*$E244*(12-$J244+1)/12,0))</f>
        <v>0</v>
      </c>
      <c r="CB244" s="410">
        <f>IF($H244&lt;&gt;CF$5,0,IF(CF244&lt;0,IF($J244=1,-$E244*$I244/12*3,IF($J244=2,-$E244*$I244/12*2,IF($J244=3,-$E244*$I244/12*1,0)))))+IF(CA$5&lt;&gt;$H244,0,IF(CA244&lt;0,IF($J244=1,-$E244*$I244/12*0,IF($J244=2,-$E244*$I244/12*1,IF($J244=3,-$E244*$I244/12*2,IF($J244&gt;=4,-$E244*$I244/12*3,0))))))</f>
        <v>0</v>
      </c>
      <c r="CC244" s="416">
        <f>IF($H244&lt;&gt;CF$5,0,IF(CF244&lt;0,IF(OR($J244=1,$J244=2,$J244=3,$J244=4),-$E244*$I244/12*3,IF($J244=5,-$E244*$I244/12*2,IF($J244=6,-$E244*$I244/12*1,0)))))+IF(CA$5&lt;&gt;$H244,0,IF(CA244&lt;0,IF($J244=4,-$E244*$I244/12*0,IF($J244=5,-$E244*$I244/12*1,IF($J244=6,-$E244*$I244/12*2,IF($J244&gt;=7,-$E244*$I244/12*3,0))))))</f>
        <v>0</v>
      </c>
      <c r="CD244" s="416">
        <f>IF($H244&lt;&gt;CF$5,0,IF(CF244&lt;0,IF(OR($J244=1,$J244=2,$J244=3,$J244=4,$J244=5,$J244=6,$J244=7),-$E244*$I244/12*3,IF($J244=8,-$E244*$I244/12*2,IF($J244=9,-$E244*$I244/12*1,0)))))+IF(CA$5&lt;&gt;$H244,0,IF(CA244&lt;0,IF($J244=7,-$E244*$I244/12*0,IF($J244=8,-$E244*$I244/12*1,IF($J244=9,-$E244*$I244/12*2,IF($J244&gt;=10,-$E244*$I244/12*3,0))))))</f>
        <v>0</v>
      </c>
      <c r="CE244" s="412">
        <f>IF($H244&lt;&gt;CF$5,0,IF(CF244&lt;0,IF(OR($J244=1,$J244=2,$J244=3,$J244=4,$J244=5,$J244=6,$J244=7,$J244=8,$J244=9,$J244=10),-$E244*$I244/12*3,IF($J244=11,-$E244*$I244/12*2,IF($J244=12,-$E244*$I244/12*1,0)))))+IF(CA$5&lt;&gt;$H244,0,IF(CA244&lt;0,IF($J244=10,-$E244*$I244/12*0,IF($J244=11,-$E244*$I244/12*1,IF($J244=12,-$E244*$I244/12*2,0)))))</f>
        <v>0</v>
      </c>
      <c r="CF244" s="413">
        <f>IF(AND(CA244&lt;&gt;0,CA$5=$H244),-$I244*$E244-CA244,IF(CF$5=$H244,-$I244*$E244*(12-$J244+1)/12,0))</f>
        <v>0</v>
      </c>
      <c r="CG244" s="410">
        <f>IF($H244&lt;&gt;CK$5,0,IF(CK244&lt;0,IF($J244=1,-$E244*$I244/12*3,IF($J244=2,-$E244*$I244/12*2,IF($J244=3,-$E244*$I244/12*1,0)))))+IF(CF$5&lt;&gt;$H244,0,IF(CF244&lt;0,IF($J244=1,-$E244*$I244/12*0,IF($J244=2,-$E244*$I244/12*1,IF($J244=3,-$E244*$I244/12*2,IF($J244&gt;=4,-$E244*$I244/12*3,0))))))</f>
        <v>0</v>
      </c>
      <c r="CH244" s="416">
        <f>IF($H244&lt;&gt;CK$5,0,IF(CK244&lt;0,IF(OR($J244=1,$J244=2,$J244=3,$J244=4),-$E244*$I244/12*3,IF($J244=5,-$E244*$I244/12*2,IF($J244=6,-$E244*$I244/12*1,0)))))+IF(CF$5&lt;&gt;$H244,0,IF(CF244&lt;0,IF($J244=4,-$E244*$I244/12*0,IF($J244=5,-$E244*$I244/12*1,IF($J244=6,-$E244*$I244/12*2,IF($J244&gt;=7,-$E244*$I244/12*3,0))))))</f>
        <v>0</v>
      </c>
      <c r="CI244" s="416">
        <f>IF($H244&lt;&gt;CK$5,0,IF(CK244&lt;0,IF(OR($J244=1,$J244=2,$J244=3,$J244=4,$J244=5,$J244=6,$J244=7),-$E244*$I244/12*3,IF($J244=8,-$E244*$I244/12*2,IF($J244=9,-$E244*$I244/12*1,0)))))+IF(CF$5&lt;&gt;$H244,0,IF(CF244&lt;0,IF($J244=7,-$E244*$I244/12*0,IF($J244=8,-$E244*$I244/12*1,IF($J244=9,-$E244*$I244/12*2,IF($J244&gt;=10,-$E244*$I244/12*3,0))))))</f>
        <v>0</v>
      </c>
      <c r="CJ244" s="412">
        <f>IF($H244&lt;&gt;CK$5,0,IF(CK244&lt;0,IF(OR($J244=1,$J244=2,$J244=3,$J244=4,$J244=5,$J244=6,$J244=7,$J244=8,$J244=9,$J244=10),-$E244*$I244/12*3,IF($J244=11,-$E244*$I244/12*2,IF($J244=12,-$E244*$I244/12*1,0)))))+IF(CF$5&lt;&gt;$H244,0,IF(CF244&lt;0,IF($J244=10,-$E244*$I244/12*0,IF($J244=11,-$E244*$I244/12*1,IF($J244=12,-$E244*$I244/12*2,0)))))</f>
        <v>0</v>
      </c>
      <c r="CK244" s="413">
        <f>IF(AND(CF244&lt;&gt;0,CF$5=$H244),-$I244*$E244-CF244,IF(CK$5=$H244,-$I244*$E244*(12-$J244+1)/12,0))</f>
        <v>0</v>
      </c>
      <c r="CL244" s="410">
        <f>IF($H244&lt;&gt;CP$5,0,IF(CP244&lt;0,IF($J244=1,-$E244*$I244/12*3,IF($J244=2,-$E244*$I244/12*2,IF($J244=3,-$E244*$I244/12*1,0)))))+IF(CK$5&lt;&gt;$H244,0,IF(CK244&lt;0,IF($J244=1,-$E244*$I244/12*0,IF($J244=2,-$E244*$I244/12*1,IF($J244=3,-$E244*$I244/12*2,IF($J244&gt;=4,-$E244*$I244/12*3,0))))))</f>
        <v>0</v>
      </c>
      <c r="CM244" s="416">
        <f>IF($H244&lt;&gt;CP$5,0,IF(CP244&lt;0,IF(OR($J244=1,$J244=2,$J244=3,$J244=4),-$E244*$I244/12*3,IF($J244=5,-$E244*$I244/12*2,IF($J244=6,-$E244*$I244/12*1,0)))))+IF(CK$5&lt;&gt;$H244,0,IF(CK244&lt;0,IF($J244=4,-$E244*$I244/12*0,IF($J244=5,-$E244*$I244/12*1,IF($J244=6,-$E244*$I244/12*2,IF($J244&gt;=7,-$E244*$I244/12*3,0))))))</f>
        <v>0</v>
      </c>
      <c r="CN244" s="416">
        <f>IF($H244&lt;&gt;CP$5,0,IF(CP244&lt;0,IF(OR($J244=1,$J244=2,$J244=3,$J244=4,$J244=5,$J244=6,$J244=7),-$E244*$I244/12*3,IF($J244=8,-$E244*$I244/12*2,IF($J244=9,-$E244*$I244/12*1,0)))))+IF(CK$5&lt;&gt;$H244,0,IF(CK244&lt;0,IF($J244=7,-$E244*$I244/12*0,IF($J244=8,-$E244*$I244/12*1,IF($J244=9,-$E244*$I244/12*2,IF($J244&gt;=10,-$E244*$I244/12*3,0))))))</f>
        <v>0</v>
      </c>
      <c r="CO244" s="412">
        <f>IF($H244&lt;&gt;CP$5,0,IF(CP244&lt;0,IF(OR($J244=1,$J244=2,$J244=3,$J244=4,$J244=5,$J244=6,$J244=7,$J244=8,$J244=9,$J244=10),-$E244*$I244/12*3,IF($J244=11,-$E244*$I244/12*2,IF($J244=12,-$E244*$I244/12*1,0)))))+IF(CK$5&lt;&gt;$H244,0,IF(CK244&lt;0,IF($J244=10,-$E244*$I244/12*0,IF($J244=11,-$E244*$I244/12*1,IF($J244=12,-$E244*$I244/12*2,0)))))</f>
        <v>0</v>
      </c>
      <c r="CP244" s="413">
        <f>IF(AND(CK244&lt;&gt;0,CK$5=$H244),-$I244*$E244-CK244,IF(CP$5=$H244,-$I244*$E244*(12-$J244+1)/12,0))</f>
        <v>0</v>
      </c>
      <c r="CQ244" s="410">
        <f>IF($H244&lt;&gt;CU$5,0,IF(CU244&lt;0,IF($J244=1,-$E244*$I244/12*3,IF($J244=2,-$E244*$I244/12*2,IF($J244=3,-$E244*$I244/12*1,0)))))+IF(CP$5&lt;&gt;$H244,0,IF(CP244&lt;0,IF($J244=1,-$E244*$I244/12*0,IF($J244=2,-$E244*$I244/12*1,IF($J244=3,-$E244*$I244/12*2,IF($J244&gt;=4,-$E244*$I244/12*3,0))))))</f>
        <v>0</v>
      </c>
      <c r="CR244" s="416">
        <f>IF($H244&lt;&gt;CU$5,0,IF(CU244&lt;0,IF(OR($J244=1,$J244=2,$J244=3,$J244=4),-$E244*$I244/12*3,IF($J244=5,-$E244*$I244/12*2,IF($J244=6,-$E244*$I244/12*1,0)))))+IF(CP$5&lt;&gt;$H244,0,IF(CP244&lt;0,IF($J244=4,-$E244*$I244/12*0,IF($J244=5,-$E244*$I244/12*1,IF($J244=6,-$E244*$I244/12*2,IF($J244&gt;=7,-$E244*$I244/12*3,0))))))</f>
        <v>0</v>
      </c>
      <c r="CS244" s="416">
        <f>IF($H244&lt;&gt;CU$5,0,IF(CU244&lt;0,IF(OR($J244=1,$J244=2,$J244=3,$J244=4,$J244=5,$J244=6,$J244=7),-$E244*$I244/12*3,IF($J244=8,-$E244*$I244/12*2,IF($J244=9,-$E244*$I244/12*1,0)))))+IF(CP$5&lt;&gt;$H244,0,IF(CP244&lt;0,IF($J244=7,-$E244*$I244/12*0,IF($J244=8,-$E244*$I244/12*1,IF($J244=9,-$E244*$I244/12*2,IF($J244&gt;=10,-$E244*$I244/12*3,0))))))</f>
        <v>0</v>
      </c>
      <c r="CT244" s="412">
        <f>IF($H244&lt;&gt;CU$5,0,IF(CU244&lt;0,IF(OR($J244=1,$J244=2,$J244=3,$J244=4,$J244=5,$J244=6,$J244=7,$J244=8,$J244=9,$J244=10),-$E244*$I244/12*3,IF($J244=11,-$E244*$I244/12*2,IF($J244=12,-$E244*$I244/12*1,0)))))+IF(CP$5&lt;&gt;$H244,0,IF(CP244&lt;0,IF($J244=10,-$E244*$I244/12*0,IF($J244=11,-$E244*$I244/12*1,IF($J244=12,-$E244*$I244/12*2,0)))))</f>
        <v>0</v>
      </c>
      <c r="CU244" s="413">
        <f>IF(AND(CP244&lt;&gt;0,CP$5=$H244),-$I244*$E244-CP244,IF(CU$5=$H244,-$I244*$E244*(12-$J244+1)/12,0))</f>
        <v>0</v>
      </c>
      <c r="CV244" s="410">
        <f>IF($H244&lt;&gt;CZ$5,0,IF(CZ244&lt;0,IF($J244=1,-$E244*$I244/12*3,IF($J244=2,-$E244*$I244/12*2,IF($J244=3,-$E244*$I244/12*1,0)))))+IF(CU$5&lt;&gt;$H244,0,IF(CU244&lt;0,IF($J244=1,-$E244*$I244/12*0,IF($J244=2,-$E244*$I244/12*1,IF($J244=3,-$E244*$I244/12*2,IF($J244&gt;=4,-$E244*$I244/12*3,0))))))</f>
        <v>0</v>
      </c>
      <c r="CW244" s="416">
        <f>IF($H244&lt;&gt;CZ$5,0,IF(CZ244&lt;0,IF(OR($J244=1,$J244=2,$J244=3,$J244=4),-$E244*$I244/12*3,IF($J244=5,-$E244*$I244/12*2,IF($J244=6,-$E244*$I244/12*1,0)))))+IF(CU$5&lt;&gt;$H244,0,IF(CU244&lt;0,IF($J244=4,-$E244*$I244/12*0,IF($J244=5,-$E244*$I244/12*1,IF($J244=6,-$E244*$I244/12*2,IF($J244&gt;=7,-$E244*$I244/12*3,0))))))</f>
        <v>0</v>
      </c>
      <c r="CX244" s="416">
        <f>IF($H244&lt;&gt;CZ$5,0,IF(CZ244&lt;0,IF(OR($J244=1,$J244=2,$J244=3,$J244=4,$J244=5,$J244=6,$J244=7),-$E244*$I244/12*3,IF($J244=8,-$E244*$I244/12*2,IF($J244=9,-$E244*$I244/12*1,0)))))+IF(CU$5&lt;&gt;$H244,0,IF(CU244&lt;0,IF($J244=7,-$E244*$I244/12*0,IF($J244=8,-$E244*$I244/12*1,IF($J244=9,-$E244*$I244/12*2,IF($J244&gt;=10,-$E244*$I244/12*3,0))))))</f>
        <v>0</v>
      </c>
      <c r="CY244" s="412">
        <f>IF($H244&lt;&gt;CZ$5,0,IF(CZ244&lt;0,IF(OR($J244=1,$J244=2,$J244=3,$J244=4,$J244=5,$J244=6,$J244=7,$J244=8,$J244=9,$J244=10),-$E244*$I244/12*3,IF($J244=11,-$E244*$I244/12*2,IF($J244=12,-$E244*$I244/12*1,0)))))+IF(CU$5&lt;&gt;$H244,0,IF(CU244&lt;0,IF($J244=10,-$E244*$I244/12*0,IF($J244=11,-$E244*$I244/12*1,IF($J244=12,-$E244*$I244/12*2,0)))))</f>
        <v>0</v>
      </c>
      <c r="CZ244" s="413">
        <f>IF(AND(CU244&lt;&gt;0,CU$5=$H244),-$I244*$E244-CU244,IF(CZ$5=$H244,-$I244*$E244*(12-$J244+1)/12,0))</f>
        <v>0</v>
      </c>
      <c r="DA244" s="410">
        <f>IF($H244&lt;&gt;DE$5,0,IF(DE244&lt;0,IF($J244=1,-$E244*$I244/12*3,IF($J244=2,-$E244*$I244/12*2,IF($J244=3,-$E244*$I244/12*1,0)))))+IF(CZ$5&lt;&gt;$H244,0,IF(CZ244&lt;0,IF($J244=1,-$E244*$I244/12*0,IF($J244=2,-$E244*$I244/12*1,IF($J244=3,-$E244*$I244/12*2,IF($J244&gt;=4,-$E244*$I244/12*3,0))))))</f>
        <v>0</v>
      </c>
      <c r="DB244" s="416">
        <f>IF($H244&lt;&gt;DE$5,0,IF(DE244&lt;0,IF(OR($J244=1,$J244=2,$J244=3,$J244=4),-$E244*$I244/12*3,IF($J244=5,-$E244*$I244/12*2,IF($J244=6,-$E244*$I244/12*1,0)))))+IF(CZ$5&lt;&gt;$H244,0,IF(CZ244&lt;0,IF($J244=4,-$E244*$I244/12*0,IF($J244=5,-$E244*$I244/12*1,IF($J244=6,-$E244*$I244/12*2,IF($J244&gt;=7,-$E244*$I244/12*3,0))))))</f>
        <v>0</v>
      </c>
      <c r="DC244" s="416">
        <f>IF($H244&lt;&gt;DE$5,0,IF(DE244&lt;0,IF(OR($J244=1,$J244=2,$J244=3,$J244=4,$J244=5,$J244=6,$J244=7),-$E244*$I244/12*3,IF($J244=8,-$E244*$I244/12*2,IF($J244=9,-$E244*$I244/12*1,0)))))+IF(CZ$5&lt;&gt;$H244,0,IF(CZ244&lt;0,IF($J244=7,-$E244*$I244/12*0,IF($J244=8,-$E244*$I244/12*1,IF($J244=9,-$E244*$I244/12*2,IF($J244&gt;=10,-$E244*$I244/12*3,0))))))</f>
        <v>0</v>
      </c>
      <c r="DD244" s="412">
        <f>IF($H244&lt;&gt;DE$5,0,IF(DE244&lt;0,IF(OR($J244=1,$J244=2,$J244=3,$J244=4,$J244=5,$J244=6,$J244=7,$J244=8,$J244=9,$J244=10),-$E244*$I244/12*3,IF($J244=11,-$E244*$I244/12*2,IF($J244=12,-$E244*$I244/12*1,0)))))+IF(CZ$5&lt;&gt;$H244,0,IF(CZ244&lt;0,IF($J244=10,-$E244*$I244/12*0,IF($J244=11,-$E244*$I244/12*1,IF($J244=12,-$E244*$I244/12*2,0)))))</f>
        <v>0</v>
      </c>
      <c r="DE244" s="413">
        <f>IF(AND(CZ244&lt;&gt;0,CZ$5=$H244),-$I244*$E244-CZ244,IF(DE$5=$H244,-$I244*$E244*(12-$J244+1)/12,0))</f>
        <v>0</v>
      </c>
      <c r="DF244" s="410">
        <f>IF($H244&lt;&gt;DJ$5,0,IF(DJ244&lt;0,IF($J244=1,-$E244*$I244/12*3,IF($J244=2,-$E244*$I244/12*2,IF($J244=3,-$E244*$I244/12*1,0)))))+IF(DE$5&lt;&gt;$H244,0,IF(DE244&lt;0,IF($J244=1,-$E244*$I244/12*0,IF($J244=2,-$E244*$I244/12*1,IF($J244=3,-$E244*$I244/12*2,IF($J244&gt;=4,-$E244*$I244/12*3,0))))))</f>
        <v>0</v>
      </c>
      <c r="DG244" s="416">
        <f>IF($H244&lt;&gt;DJ$5,0,IF(DJ244&lt;0,IF(OR($J244=1,$J244=2,$J244=3,$J244=4),-$E244*$I244/12*3,IF($J244=5,-$E244*$I244/12*2,IF($J244=6,-$E244*$I244/12*1,0)))))+IF(DE$5&lt;&gt;$H244,0,IF(DE244&lt;0,IF($J244=4,-$E244*$I244/12*0,IF($J244=5,-$E244*$I244/12*1,IF($J244=6,-$E244*$I244/12*2,IF($J244&gt;=7,-$E244*$I244/12*3,0))))))</f>
        <v>0</v>
      </c>
      <c r="DH244" s="416">
        <f>IF($H244&lt;&gt;DJ$5,0,IF(DJ244&lt;0,IF(OR($J244=1,$J244=2,$J244=3,$J244=4,$J244=5,$J244=6,$J244=7),-$E244*$I244/12*3,IF($J244=8,-$E244*$I244/12*2,IF($J244=9,-$E244*$I244/12*1,0)))))+IF(DE$5&lt;&gt;$H244,0,IF(DE244&lt;0,IF($J244=7,-$E244*$I244/12*0,IF($J244=8,-$E244*$I244/12*1,IF($J244=9,-$E244*$I244/12*2,IF($J244&gt;=10,-$E244*$I244/12*3,0))))))</f>
        <v>0</v>
      </c>
      <c r="DI244" s="412">
        <f>IF($H244&lt;&gt;DJ$5,0,IF(DJ244&lt;0,IF(OR($J244=1,$J244=2,$J244=3,$J244=4,$J244=5,$J244=6,$J244=7,$J244=8,$J244=9,$J244=10),-$E244*$I244/12*3,IF($J244=11,-$E244*$I244/12*2,IF($J244=12,-$E244*$I244/12*1,0)))))+IF(DE$5&lt;&gt;$H244,0,IF(DE244&lt;0,IF($J244=10,-$E244*$I244/12*0,IF($J244=11,-$E244*$I244/12*1,IF($J244=12,-$E244*$I244/12*2,0)))))</f>
        <v>0</v>
      </c>
      <c r="DJ244" s="413">
        <f>IF(AND(DE244&lt;&gt;0,DE$5=$H244),-$I244*$E244-DE244,IF(DJ$5=$H244,-$I244*$E244*(12-$J244+1)/12,0))</f>
        <v>0</v>
      </c>
      <c r="DK244" s="410">
        <f>IF($H244&lt;&gt;DO$5,0,IF(DO244&lt;0,IF($J244=1,-$E244*$I244/12*3,IF($J244=2,-$E244*$I244/12*2,IF($J244=3,-$E244*$I244/12*1,0)))))+IF(DJ$5&lt;&gt;$H244,0,IF(DJ244&lt;0,IF($J244=1,-$E244*$I244/12*0,IF($J244=2,-$E244*$I244/12*1,IF($J244=3,-$E244*$I244/12*2,IF($J244&gt;=4,-$E244*$I244/12*3,0))))))</f>
        <v>0</v>
      </c>
      <c r="DL244" s="416">
        <f>IF($H244&lt;&gt;DO$5,0,IF(DO244&lt;0,IF(OR($J244=1,$J244=2,$J244=3,$J244=4),-$E244*$I244/12*3,IF($J244=5,-$E244*$I244/12*2,IF($J244=6,-$E244*$I244/12*1,0)))))+IF(DJ$5&lt;&gt;$H244,0,IF(DJ244&lt;0,IF($J244=4,-$E244*$I244/12*0,IF($J244=5,-$E244*$I244/12*1,IF($J244=6,-$E244*$I244/12*2,IF($J244&gt;=7,-$E244*$I244/12*3,0))))))</f>
        <v>0</v>
      </c>
      <c r="DM244" s="416">
        <f>IF($H244&lt;&gt;DO$5,0,IF(DO244&lt;0,IF(OR($J244=1,$J244=2,$J244=3,$J244=4,$J244=5,$J244=6,$J244=7),-$E244*$I244/12*3,IF($J244=8,-$E244*$I244/12*2,IF($J244=9,-$E244*$I244/12*1,0)))))+IF(DJ$5&lt;&gt;$H244,0,IF(DJ244&lt;0,IF($J244=7,-$E244*$I244/12*0,IF($J244=8,-$E244*$I244/12*1,IF($J244=9,-$E244*$I244/12*2,IF($J244&gt;=10,-$E244*$I244/12*3,0))))))</f>
        <v>0</v>
      </c>
      <c r="DN244" s="412">
        <f>IF($H244&lt;&gt;DO$5,0,IF(DO244&lt;0,IF(OR($J244=1,$J244=2,$J244=3,$J244=4,$J244=5,$J244=6,$J244=7,$J244=8,$J244=9,$J244=10),-$E244*$I244/12*3,IF($J244=11,-$E244*$I244/12*2,IF($J244=12,-$E244*$I244/12*1,0)))))+IF(DJ$5&lt;&gt;$H244,0,IF(DJ244&lt;0,IF($J244=10,-$E244*$I244/12*0,IF($J244=11,-$E244*$I244/12*1,IF($J244=12,-$E244*$I244/12*2,0)))))</f>
        <v>0</v>
      </c>
      <c r="DO244" s="413">
        <f>IF(AND(DJ244&lt;&gt;0,DJ$5=$H244),-$I244*$E244-DJ244,IF(DO$5=$H244,-$I244*$E244*(12-$J244+1)/12,0))</f>
        <v>0</v>
      </c>
      <c r="DP244" s="410">
        <f>IF($H244&lt;&gt;DT$5,0,IF(DT244&lt;0,IF($J244=1,-$E244*$I244/12*3,IF($J244=2,-$E244*$I244/12*2,IF($J244=3,-$E244*$I244/12*1,0)))))+IF(DO$5&lt;&gt;$H244,0,IF(DO244&lt;0,IF($J244=1,-$E244*$I244/12*0,IF($J244=2,-$E244*$I244/12*1,IF($J244=3,-$E244*$I244/12*2,IF($J244&gt;=4,-$E244*$I244/12*3,0))))))</f>
        <v>0</v>
      </c>
      <c r="DQ244" s="416">
        <f>IF($H244&lt;&gt;DT$5,0,IF(DT244&lt;0,IF(OR($J244=1,$J244=2,$J244=3,$J244=4),-$E244*$I244/12*3,IF($J244=5,-$E244*$I244/12*2,IF($J244=6,-$E244*$I244/12*1,0)))))+IF(DO$5&lt;&gt;$H244,0,IF(DO244&lt;0,IF($J244=4,-$E244*$I244/12*0,IF($J244=5,-$E244*$I244/12*1,IF($J244=6,-$E244*$I244/12*2,IF($J244&gt;=7,-$E244*$I244/12*3,0))))))</f>
        <v>0</v>
      </c>
      <c r="DR244" s="416">
        <f>IF($H244&lt;&gt;DT$5,0,IF(DT244&lt;0,IF(OR($J244=1,$J244=2,$J244=3,$J244=4,$J244=5,$J244=6,$J244=7),-$E244*$I244/12*3,IF($J244=8,-$E244*$I244/12*2,IF($J244=9,-$E244*$I244/12*1,0)))))+IF(DO$5&lt;&gt;$H244,0,IF(DO244&lt;0,IF($J244=7,-$E244*$I244/12*0,IF($J244=8,-$E244*$I244/12*1,IF($J244=9,-$E244*$I244/12*2,IF($J244&gt;=10,-$E244*$I244/12*3,0))))))</f>
        <v>0</v>
      </c>
      <c r="DS244" s="412">
        <f>IF($H244&lt;&gt;DT$5,0,IF(DT244&lt;0,IF(OR($J244=1,$J244=2,$J244=3,$J244=4,$J244=5,$J244=6,$J244=7,$J244=8,$J244=9,$J244=10),-$E244*$I244/12*3,IF($J244=11,-$E244*$I244/12*2,IF($J244=12,-$E244*$I244/12*1,0)))))+IF(DO$5&lt;&gt;$H244,0,IF(DO244&lt;0,IF($J244=10,-$E244*$I244/12*0,IF($J244=11,-$E244*$I244/12*1,IF($J244=12,-$E244*$I244/12*2,0)))))</f>
        <v>0</v>
      </c>
      <c r="DT244" s="413">
        <f>IF(AND(DO244&lt;&gt;0,DO$5=$H244),-$I244*$E244-DO244,IF(DT$5=$H244,-$I244*$E244*(12-$J244+1)/12,0))</f>
        <v>0</v>
      </c>
    </row>
    <row r="245" spans="1:124" ht="12.75" customHeight="1">
      <c r="A245" s="491"/>
      <c r="C245" s="81" t="s">
        <v>392</v>
      </c>
      <c r="D245" s="81"/>
      <c r="E245" s="1531">
        <f t="shared" si="1797"/>
        <v>111.7</v>
      </c>
      <c r="F245" s="1532">
        <v>111.7</v>
      </c>
      <c r="G245" s="1532">
        <v>111.7</v>
      </c>
      <c r="H245" s="610">
        <v>2030</v>
      </c>
      <c r="I245" s="1533">
        <v>4.3999999999999997E-2</v>
      </c>
      <c r="J245" s="615">
        <v>5</v>
      </c>
      <c r="K245" s="402"/>
      <c r="L245" s="407">
        <f t="shared" si="1798"/>
        <v>0</v>
      </c>
      <c r="M245" s="404">
        <f t="shared" si="1799"/>
        <v>0</v>
      </c>
      <c r="N245" s="414">
        <f t="shared" si="1800"/>
        <v>0</v>
      </c>
      <c r="O245" s="414">
        <f t="shared" si="1801"/>
        <v>0</v>
      </c>
      <c r="P245" s="406">
        <f t="shared" si="1802"/>
        <v>0</v>
      </c>
      <c r="Q245" s="407">
        <f t="shared" si="1803"/>
        <v>0</v>
      </c>
      <c r="R245" s="404">
        <f t="shared" si="1804"/>
        <v>0</v>
      </c>
      <c r="S245" s="414">
        <f t="shared" si="1805"/>
        <v>0</v>
      </c>
      <c r="T245" s="414">
        <f t="shared" si="1806"/>
        <v>0</v>
      </c>
      <c r="U245" s="406">
        <f t="shared" si="1807"/>
        <v>0</v>
      </c>
      <c r="V245" s="407">
        <f t="shared" si="1808"/>
        <v>0</v>
      </c>
      <c r="W245" s="404">
        <f t="shared" si="1809"/>
        <v>0</v>
      </c>
      <c r="X245" s="414">
        <f t="shared" si="1810"/>
        <v>0</v>
      </c>
      <c r="Y245" s="414">
        <f t="shared" si="1811"/>
        <v>0</v>
      </c>
      <c r="Z245" s="406">
        <f t="shared" si="1812"/>
        <v>0</v>
      </c>
      <c r="AA245" s="407">
        <f t="shared" si="1813"/>
        <v>0</v>
      </c>
      <c r="AB245" s="404">
        <f t="shared" si="1814"/>
        <v>0</v>
      </c>
      <c r="AC245" s="414">
        <f t="shared" si="1815"/>
        <v>0</v>
      </c>
      <c r="AD245" s="414">
        <f t="shared" si="1816"/>
        <v>0</v>
      </c>
      <c r="AE245" s="406">
        <f t="shared" si="1817"/>
        <v>0</v>
      </c>
      <c r="AF245" s="407">
        <f t="shared" si="1818"/>
        <v>0</v>
      </c>
      <c r="AG245" s="404">
        <f t="shared" si="1819"/>
        <v>0</v>
      </c>
      <c r="AH245" s="414">
        <f t="shared" si="1820"/>
        <v>0</v>
      </c>
      <c r="AI245" s="414">
        <f t="shared" si="1821"/>
        <v>0</v>
      </c>
      <c r="AJ245" s="406">
        <f t="shared" si="1822"/>
        <v>0</v>
      </c>
      <c r="AK245" s="407">
        <f t="shared" si="1823"/>
        <v>0</v>
      </c>
      <c r="AL245" s="404">
        <f t="shared" si="1824"/>
        <v>0</v>
      </c>
      <c r="AM245" s="414">
        <f t="shared" si="1825"/>
        <v>0</v>
      </c>
      <c r="AN245" s="414">
        <f t="shared" si="1826"/>
        <v>0</v>
      </c>
      <c r="AO245" s="406">
        <f t="shared" si="1827"/>
        <v>0</v>
      </c>
      <c r="AP245" s="407">
        <f t="shared" si="1828"/>
        <v>0</v>
      </c>
      <c r="AQ245" s="404">
        <f t="shared" si="1829"/>
        <v>0</v>
      </c>
      <c r="AR245" s="414">
        <f t="shared" si="1830"/>
        <v>0</v>
      </c>
      <c r="AS245" s="414">
        <f t="shared" si="1831"/>
        <v>0</v>
      </c>
      <c r="AT245" s="406">
        <f t="shared" si="1832"/>
        <v>0</v>
      </c>
      <c r="AU245" s="407">
        <f t="shared" si="1833"/>
        <v>0</v>
      </c>
      <c r="AV245" s="404">
        <f t="shared" si="1834"/>
        <v>0</v>
      </c>
      <c r="AW245" s="414">
        <f t="shared" si="1835"/>
        <v>0</v>
      </c>
      <c r="AX245" s="414">
        <f t="shared" si="1836"/>
        <v>0</v>
      </c>
      <c r="AY245" s="406">
        <f t="shared" si="1837"/>
        <v>0</v>
      </c>
      <c r="AZ245" s="407">
        <f t="shared" si="1838"/>
        <v>0</v>
      </c>
      <c r="BA245" s="404">
        <f t="shared" si="1839"/>
        <v>0</v>
      </c>
      <c r="BB245" s="414">
        <f t="shared" si="1840"/>
        <v>0</v>
      </c>
      <c r="BC245" s="414">
        <f t="shared" si="1841"/>
        <v>0</v>
      </c>
      <c r="BD245" s="406">
        <f t="shared" si="1842"/>
        <v>0</v>
      </c>
      <c r="BE245" s="407">
        <f t="shared" si="1843"/>
        <v>0</v>
      </c>
      <c r="BF245" s="404">
        <f t="shared" si="1844"/>
        <v>0</v>
      </c>
      <c r="BG245" s="414">
        <f t="shared" si="1845"/>
        <v>0</v>
      </c>
      <c r="BH245" s="414">
        <f t="shared" si="1846"/>
        <v>0</v>
      </c>
      <c r="BI245" s="406">
        <f t="shared" si="1847"/>
        <v>0</v>
      </c>
      <c r="BJ245" s="407">
        <f t="shared" si="1848"/>
        <v>0</v>
      </c>
      <c r="BK245" s="404">
        <f t="shared" si="1849"/>
        <v>0</v>
      </c>
      <c r="BL245" s="414">
        <f t="shared" si="1850"/>
        <v>0</v>
      </c>
      <c r="BM245" s="414">
        <f t="shared" si="1851"/>
        <v>0</v>
      </c>
      <c r="BN245" s="406">
        <f t="shared" si="1852"/>
        <v>0</v>
      </c>
      <c r="BO245" s="407">
        <f t="shared" si="1853"/>
        <v>0</v>
      </c>
      <c r="BP245" s="449"/>
      <c r="BQ245" s="413">
        <f t="shared" si="1854"/>
        <v>0</v>
      </c>
      <c r="BR245" s="410">
        <f t="shared" si="1855"/>
        <v>0</v>
      </c>
      <c r="BS245" s="416">
        <f t="shared" si="1856"/>
        <v>0</v>
      </c>
      <c r="BT245" s="416">
        <f t="shared" si="1857"/>
        <v>0</v>
      </c>
      <c r="BU245" s="412">
        <f t="shared" si="1858"/>
        <v>0</v>
      </c>
      <c r="BV245" s="413">
        <f t="shared" si="1859"/>
        <v>0</v>
      </c>
      <c r="BW245" s="410">
        <f t="shared" si="1860"/>
        <v>0</v>
      </c>
      <c r="BX245" s="416">
        <f t="shared" si="1861"/>
        <v>0</v>
      </c>
      <c r="BY245" s="416">
        <f t="shared" si="1862"/>
        <v>0</v>
      </c>
      <c r="BZ245" s="412">
        <f t="shared" si="1863"/>
        <v>0</v>
      </c>
      <c r="CA245" s="413">
        <f t="shared" si="1864"/>
        <v>0</v>
      </c>
      <c r="CB245" s="410">
        <f t="shared" si="1865"/>
        <v>0</v>
      </c>
      <c r="CC245" s="416">
        <f t="shared" si="1866"/>
        <v>0</v>
      </c>
      <c r="CD245" s="416">
        <f t="shared" si="1867"/>
        <v>0</v>
      </c>
      <c r="CE245" s="412">
        <f t="shared" si="1868"/>
        <v>0</v>
      </c>
      <c r="CF245" s="413">
        <f t="shared" si="1869"/>
        <v>0</v>
      </c>
      <c r="CG245" s="410">
        <f t="shared" si="1870"/>
        <v>0</v>
      </c>
      <c r="CH245" s="416">
        <f t="shared" si="1871"/>
        <v>0</v>
      </c>
      <c r="CI245" s="416">
        <f t="shared" si="1872"/>
        <v>0</v>
      </c>
      <c r="CJ245" s="412">
        <f t="shared" si="1873"/>
        <v>0</v>
      </c>
      <c r="CK245" s="413">
        <f t="shared" si="1874"/>
        <v>0</v>
      </c>
      <c r="CL245" s="410">
        <f t="shared" si="1875"/>
        <v>0</v>
      </c>
      <c r="CM245" s="416">
        <f t="shared" si="1876"/>
        <v>0</v>
      </c>
      <c r="CN245" s="416">
        <f t="shared" si="1877"/>
        <v>0</v>
      </c>
      <c r="CO245" s="412">
        <f t="shared" si="1878"/>
        <v>0</v>
      </c>
      <c r="CP245" s="413">
        <f t="shared" si="1879"/>
        <v>0</v>
      </c>
      <c r="CQ245" s="410">
        <f t="shared" si="1880"/>
        <v>0</v>
      </c>
      <c r="CR245" s="416">
        <f t="shared" si="1881"/>
        <v>0</v>
      </c>
      <c r="CS245" s="416">
        <f t="shared" si="1882"/>
        <v>0</v>
      </c>
      <c r="CT245" s="412">
        <f t="shared" si="1883"/>
        <v>0</v>
      </c>
      <c r="CU245" s="413">
        <f t="shared" si="1884"/>
        <v>0</v>
      </c>
      <c r="CV245" s="410">
        <f t="shared" si="1885"/>
        <v>0</v>
      </c>
      <c r="CW245" s="416">
        <f t="shared" si="1886"/>
        <v>0</v>
      </c>
      <c r="CX245" s="416">
        <f t="shared" si="1887"/>
        <v>0</v>
      </c>
      <c r="CY245" s="412">
        <f t="shared" si="1888"/>
        <v>0</v>
      </c>
      <c r="CZ245" s="413">
        <f t="shared" si="1889"/>
        <v>0</v>
      </c>
      <c r="DA245" s="410">
        <f t="shared" si="1890"/>
        <v>0</v>
      </c>
      <c r="DB245" s="416">
        <f t="shared" si="1891"/>
        <v>0</v>
      </c>
      <c r="DC245" s="416">
        <f t="shared" si="1892"/>
        <v>0</v>
      </c>
      <c r="DD245" s="412">
        <f t="shared" si="1893"/>
        <v>0</v>
      </c>
      <c r="DE245" s="413">
        <f t="shared" si="1894"/>
        <v>0</v>
      </c>
      <c r="DF245" s="410">
        <f t="shared" si="1895"/>
        <v>0</v>
      </c>
      <c r="DG245" s="416">
        <f t="shared" si="1896"/>
        <v>0</v>
      </c>
      <c r="DH245" s="416">
        <f t="shared" si="1897"/>
        <v>0</v>
      </c>
      <c r="DI245" s="412">
        <f t="shared" si="1898"/>
        <v>0</v>
      </c>
      <c r="DJ245" s="413">
        <f t="shared" si="1899"/>
        <v>0</v>
      </c>
      <c r="DK245" s="410">
        <f t="shared" si="1900"/>
        <v>0</v>
      </c>
      <c r="DL245" s="416">
        <f t="shared" si="1901"/>
        <v>0</v>
      </c>
      <c r="DM245" s="416">
        <f t="shared" si="1902"/>
        <v>0</v>
      </c>
      <c r="DN245" s="412">
        <f t="shared" si="1903"/>
        <v>0</v>
      </c>
      <c r="DO245" s="413">
        <f t="shared" si="1904"/>
        <v>0</v>
      </c>
      <c r="DP245" s="410">
        <f t="shared" si="1905"/>
        <v>0</v>
      </c>
      <c r="DQ245" s="416">
        <f t="shared" si="1906"/>
        <v>0</v>
      </c>
      <c r="DR245" s="416">
        <f t="shared" si="1907"/>
        <v>0</v>
      </c>
      <c r="DS245" s="412">
        <f t="shared" si="1908"/>
        <v>0</v>
      </c>
      <c r="DT245" s="413">
        <f t="shared" si="1909"/>
        <v>0</v>
      </c>
    </row>
    <row r="246" spans="1:124" ht="12.75" customHeight="1">
      <c r="A246" s="491"/>
      <c r="C246" s="81" t="s">
        <v>393</v>
      </c>
      <c r="D246" s="81"/>
      <c r="E246" s="1531">
        <f t="shared" si="1797"/>
        <v>50</v>
      </c>
      <c r="F246" s="1532">
        <v>50</v>
      </c>
      <c r="G246" s="1532">
        <v>50</v>
      </c>
      <c r="H246" s="610">
        <v>2030</v>
      </c>
      <c r="I246" s="1533">
        <v>4.5499999999999999E-2</v>
      </c>
      <c r="J246" s="615">
        <v>5</v>
      </c>
      <c r="K246" s="402"/>
      <c r="L246" s="407">
        <f t="shared" si="1798"/>
        <v>0</v>
      </c>
      <c r="M246" s="404">
        <f t="shared" si="1799"/>
        <v>0</v>
      </c>
      <c r="N246" s="414">
        <f t="shared" si="1800"/>
        <v>0</v>
      </c>
      <c r="O246" s="414">
        <f t="shared" si="1801"/>
        <v>0</v>
      </c>
      <c r="P246" s="406">
        <f t="shared" si="1802"/>
        <v>0</v>
      </c>
      <c r="Q246" s="407">
        <f t="shared" si="1803"/>
        <v>0</v>
      </c>
      <c r="R246" s="404">
        <f t="shared" si="1804"/>
        <v>0</v>
      </c>
      <c r="S246" s="414">
        <f t="shared" si="1805"/>
        <v>0</v>
      </c>
      <c r="T246" s="414">
        <f t="shared" si="1806"/>
        <v>0</v>
      </c>
      <c r="U246" s="406">
        <f t="shared" si="1807"/>
        <v>0</v>
      </c>
      <c r="V246" s="407">
        <f t="shared" si="1808"/>
        <v>0</v>
      </c>
      <c r="W246" s="404">
        <f t="shared" si="1809"/>
        <v>0</v>
      </c>
      <c r="X246" s="414">
        <f t="shared" si="1810"/>
        <v>0</v>
      </c>
      <c r="Y246" s="414">
        <f t="shared" si="1811"/>
        <v>0</v>
      </c>
      <c r="Z246" s="406">
        <f t="shared" si="1812"/>
        <v>0</v>
      </c>
      <c r="AA246" s="407">
        <f t="shared" si="1813"/>
        <v>0</v>
      </c>
      <c r="AB246" s="404">
        <f t="shared" si="1814"/>
        <v>0</v>
      </c>
      <c r="AC246" s="414">
        <f t="shared" si="1815"/>
        <v>0</v>
      </c>
      <c r="AD246" s="414">
        <f t="shared" si="1816"/>
        <v>0</v>
      </c>
      <c r="AE246" s="406">
        <f t="shared" si="1817"/>
        <v>0</v>
      </c>
      <c r="AF246" s="407">
        <f t="shared" si="1818"/>
        <v>0</v>
      </c>
      <c r="AG246" s="404">
        <f t="shared" si="1819"/>
        <v>0</v>
      </c>
      <c r="AH246" s="414">
        <f t="shared" si="1820"/>
        <v>0</v>
      </c>
      <c r="AI246" s="414">
        <f t="shared" si="1821"/>
        <v>0</v>
      </c>
      <c r="AJ246" s="406">
        <f t="shared" si="1822"/>
        <v>0</v>
      </c>
      <c r="AK246" s="407">
        <f t="shared" si="1823"/>
        <v>0</v>
      </c>
      <c r="AL246" s="404">
        <f t="shared" si="1824"/>
        <v>0</v>
      </c>
      <c r="AM246" s="414">
        <f t="shared" si="1825"/>
        <v>0</v>
      </c>
      <c r="AN246" s="414">
        <f t="shared" si="1826"/>
        <v>0</v>
      </c>
      <c r="AO246" s="406">
        <f t="shared" si="1827"/>
        <v>0</v>
      </c>
      <c r="AP246" s="407">
        <f t="shared" si="1828"/>
        <v>0</v>
      </c>
      <c r="AQ246" s="404">
        <f t="shared" si="1829"/>
        <v>0</v>
      </c>
      <c r="AR246" s="414">
        <f t="shared" si="1830"/>
        <v>0</v>
      </c>
      <c r="AS246" s="414">
        <f t="shared" si="1831"/>
        <v>0</v>
      </c>
      <c r="AT246" s="406">
        <f t="shared" si="1832"/>
        <v>0</v>
      </c>
      <c r="AU246" s="407">
        <f t="shared" si="1833"/>
        <v>0</v>
      </c>
      <c r="AV246" s="404">
        <f t="shared" si="1834"/>
        <v>0</v>
      </c>
      <c r="AW246" s="414">
        <f t="shared" si="1835"/>
        <v>0</v>
      </c>
      <c r="AX246" s="414">
        <f t="shared" si="1836"/>
        <v>0</v>
      </c>
      <c r="AY246" s="406">
        <f t="shared" si="1837"/>
        <v>0</v>
      </c>
      <c r="AZ246" s="407">
        <f t="shared" si="1838"/>
        <v>0</v>
      </c>
      <c r="BA246" s="404">
        <f t="shared" si="1839"/>
        <v>0</v>
      </c>
      <c r="BB246" s="414">
        <f t="shared" si="1840"/>
        <v>0</v>
      </c>
      <c r="BC246" s="414">
        <f t="shared" si="1841"/>
        <v>0</v>
      </c>
      <c r="BD246" s="406">
        <f t="shared" si="1842"/>
        <v>0</v>
      </c>
      <c r="BE246" s="407">
        <f t="shared" si="1843"/>
        <v>0</v>
      </c>
      <c r="BF246" s="404">
        <f t="shared" si="1844"/>
        <v>0</v>
      </c>
      <c r="BG246" s="414">
        <f t="shared" si="1845"/>
        <v>0</v>
      </c>
      <c r="BH246" s="414">
        <f t="shared" si="1846"/>
        <v>0</v>
      </c>
      <c r="BI246" s="406">
        <f t="shared" si="1847"/>
        <v>0</v>
      </c>
      <c r="BJ246" s="407">
        <f t="shared" si="1848"/>
        <v>0</v>
      </c>
      <c r="BK246" s="404">
        <f t="shared" si="1849"/>
        <v>0</v>
      </c>
      <c r="BL246" s="414">
        <f t="shared" si="1850"/>
        <v>0</v>
      </c>
      <c r="BM246" s="414">
        <f t="shared" si="1851"/>
        <v>0</v>
      </c>
      <c r="BN246" s="406">
        <f t="shared" si="1852"/>
        <v>0</v>
      </c>
      <c r="BO246" s="407">
        <f t="shared" si="1853"/>
        <v>0</v>
      </c>
      <c r="BP246" s="449"/>
      <c r="BQ246" s="413">
        <f t="shared" si="1854"/>
        <v>0</v>
      </c>
      <c r="BR246" s="410">
        <f t="shared" si="1855"/>
        <v>0</v>
      </c>
      <c r="BS246" s="416">
        <f t="shared" si="1856"/>
        <v>0</v>
      </c>
      <c r="BT246" s="416">
        <f t="shared" si="1857"/>
        <v>0</v>
      </c>
      <c r="BU246" s="412">
        <f t="shared" si="1858"/>
        <v>0</v>
      </c>
      <c r="BV246" s="413">
        <f t="shared" si="1859"/>
        <v>0</v>
      </c>
      <c r="BW246" s="410">
        <f t="shared" si="1860"/>
        <v>0</v>
      </c>
      <c r="BX246" s="416">
        <f t="shared" si="1861"/>
        <v>0</v>
      </c>
      <c r="BY246" s="416">
        <f t="shared" si="1862"/>
        <v>0</v>
      </c>
      <c r="BZ246" s="412">
        <f t="shared" si="1863"/>
        <v>0</v>
      </c>
      <c r="CA246" s="413">
        <f t="shared" si="1864"/>
        <v>0</v>
      </c>
      <c r="CB246" s="410">
        <f t="shared" si="1865"/>
        <v>0</v>
      </c>
      <c r="CC246" s="416">
        <f t="shared" si="1866"/>
        <v>0</v>
      </c>
      <c r="CD246" s="416">
        <f t="shared" si="1867"/>
        <v>0</v>
      </c>
      <c r="CE246" s="412">
        <f t="shared" si="1868"/>
        <v>0</v>
      </c>
      <c r="CF246" s="413">
        <f t="shared" si="1869"/>
        <v>0</v>
      </c>
      <c r="CG246" s="410">
        <f t="shared" si="1870"/>
        <v>0</v>
      </c>
      <c r="CH246" s="416">
        <f t="shared" si="1871"/>
        <v>0</v>
      </c>
      <c r="CI246" s="416">
        <f t="shared" si="1872"/>
        <v>0</v>
      </c>
      <c r="CJ246" s="412">
        <f t="shared" si="1873"/>
        <v>0</v>
      </c>
      <c r="CK246" s="413">
        <f t="shared" si="1874"/>
        <v>0</v>
      </c>
      <c r="CL246" s="410">
        <f t="shared" si="1875"/>
        <v>0</v>
      </c>
      <c r="CM246" s="416">
        <f t="shared" si="1876"/>
        <v>0</v>
      </c>
      <c r="CN246" s="416">
        <f t="shared" si="1877"/>
        <v>0</v>
      </c>
      <c r="CO246" s="412">
        <f t="shared" si="1878"/>
        <v>0</v>
      </c>
      <c r="CP246" s="413">
        <f t="shared" si="1879"/>
        <v>0</v>
      </c>
      <c r="CQ246" s="410">
        <f t="shared" si="1880"/>
        <v>0</v>
      </c>
      <c r="CR246" s="416">
        <f t="shared" si="1881"/>
        <v>0</v>
      </c>
      <c r="CS246" s="416">
        <f t="shared" si="1882"/>
        <v>0</v>
      </c>
      <c r="CT246" s="412">
        <f t="shared" si="1883"/>
        <v>0</v>
      </c>
      <c r="CU246" s="413">
        <f t="shared" si="1884"/>
        <v>0</v>
      </c>
      <c r="CV246" s="410">
        <f t="shared" si="1885"/>
        <v>0</v>
      </c>
      <c r="CW246" s="416">
        <f t="shared" si="1886"/>
        <v>0</v>
      </c>
      <c r="CX246" s="416">
        <f t="shared" si="1887"/>
        <v>0</v>
      </c>
      <c r="CY246" s="412">
        <f t="shared" si="1888"/>
        <v>0</v>
      </c>
      <c r="CZ246" s="413">
        <f t="shared" si="1889"/>
        <v>0</v>
      </c>
      <c r="DA246" s="410">
        <f t="shared" si="1890"/>
        <v>0</v>
      </c>
      <c r="DB246" s="416">
        <f t="shared" si="1891"/>
        <v>0</v>
      </c>
      <c r="DC246" s="416">
        <f t="shared" si="1892"/>
        <v>0</v>
      </c>
      <c r="DD246" s="412">
        <f t="shared" si="1893"/>
        <v>0</v>
      </c>
      <c r="DE246" s="413">
        <f t="shared" si="1894"/>
        <v>0</v>
      </c>
      <c r="DF246" s="410">
        <f t="shared" si="1895"/>
        <v>0</v>
      </c>
      <c r="DG246" s="416">
        <f t="shared" si="1896"/>
        <v>0</v>
      </c>
      <c r="DH246" s="416">
        <f t="shared" si="1897"/>
        <v>0</v>
      </c>
      <c r="DI246" s="412">
        <f t="shared" si="1898"/>
        <v>0</v>
      </c>
      <c r="DJ246" s="413">
        <f t="shared" si="1899"/>
        <v>0</v>
      </c>
      <c r="DK246" s="410">
        <f t="shared" si="1900"/>
        <v>0</v>
      </c>
      <c r="DL246" s="416">
        <f t="shared" si="1901"/>
        <v>0</v>
      </c>
      <c r="DM246" s="416">
        <f t="shared" si="1902"/>
        <v>0</v>
      </c>
      <c r="DN246" s="412">
        <f t="shared" si="1903"/>
        <v>0</v>
      </c>
      <c r="DO246" s="413">
        <f t="shared" si="1904"/>
        <v>0</v>
      </c>
      <c r="DP246" s="410">
        <f t="shared" si="1905"/>
        <v>0</v>
      </c>
      <c r="DQ246" s="416">
        <f t="shared" si="1906"/>
        <v>0</v>
      </c>
      <c r="DR246" s="416">
        <f t="shared" si="1907"/>
        <v>0</v>
      </c>
      <c r="DS246" s="412">
        <f t="shared" si="1908"/>
        <v>0</v>
      </c>
      <c r="DT246" s="413">
        <f t="shared" si="1909"/>
        <v>0</v>
      </c>
    </row>
    <row r="247" spans="1:124" ht="12.75" customHeight="1">
      <c r="A247" s="491"/>
      <c r="C247" s="845"/>
      <c r="D247" s="845"/>
      <c r="E247" s="1531"/>
      <c r="F247" s="1532"/>
      <c r="G247" s="1532"/>
      <c r="H247" s="16"/>
      <c r="I247" s="1533"/>
      <c r="J247" s="617"/>
      <c r="K247" s="402"/>
      <c r="L247" s="407"/>
      <c r="M247" s="404"/>
      <c r="N247" s="414"/>
      <c r="O247" s="414"/>
      <c r="P247" s="406"/>
      <c r="Q247" s="407"/>
      <c r="R247" s="404"/>
      <c r="S247" s="414"/>
      <c r="T247" s="414"/>
      <c r="U247" s="406"/>
      <c r="V247" s="407"/>
      <c r="W247" s="404"/>
      <c r="X247" s="414"/>
      <c r="Y247" s="414"/>
      <c r="Z247" s="406"/>
      <c r="AA247" s="407"/>
      <c r="AB247" s="404"/>
      <c r="AC247" s="414"/>
      <c r="AD247" s="414"/>
      <c r="AE247" s="406"/>
      <c r="AF247" s="407"/>
      <c r="AG247" s="404"/>
      <c r="AH247" s="414"/>
      <c r="AI247" s="414"/>
      <c r="AJ247" s="406"/>
      <c r="AK247" s="407"/>
      <c r="AL247" s="404"/>
      <c r="AM247" s="414"/>
      <c r="AN247" s="414"/>
      <c r="AO247" s="406"/>
      <c r="AP247" s="407"/>
      <c r="AQ247" s="404"/>
      <c r="AR247" s="414"/>
      <c r="AS247" s="414"/>
      <c r="AT247" s="406"/>
      <c r="AU247" s="407"/>
      <c r="AV247" s="404"/>
      <c r="AW247" s="414"/>
      <c r="AX247" s="414"/>
      <c r="AY247" s="406"/>
      <c r="AZ247" s="407"/>
      <c r="BA247" s="404"/>
      <c r="BB247" s="414"/>
      <c r="BC247" s="414"/>
      <c r="BD247" s="406"/>
      <c r="BE247" s="407"/>
      <c r="BF247" s="404"/>
      <c r="BG247" s="414"/>
      <c r="BH247" s="414"/>
      <c r="BI247" s="406"/>
      <c r="BJ247" s="407"/>
      <c r="BK247" s="404"/>
      <c r="BL247" s="414"/>
      <c r="BM247" s="414"/>
      <c r="BN247" s="406"/>
      <c r="BO247" s="407"/>
      <c r="BP247" s="449"/>
      <c r="BQ247" s="413"/>
      <c r="BR247" s="410"/>
      <c r="BS247" s="416"/>
      <c r="BT247" s="416"/>
      <c r="BU247" s="412"/>
      <c r="BV247" s="413"/>
      <c r="BW247" s="410"/>
      <c r="BX247" s="416"/>
      <c r="BY247" s="416"/>
      <c r="BZ247" s="412"/>
      <c r="CA247" s="413"/>
      <c r="CB247" s="410"/>
      <c r="CC247" s="416"/>
      <c r="CD247" s="416"/>
      <c r="CE247" s="412"/>
      <c r="CF247" s="413"/>
      <c r="CG247" s="410"/>
      <c r="CH247" s="416"/>
      <c r="CI247" s="416"/>
      <c r="CJ247" s="412"/>
      <c r="CK247" s="413"/>
      <c r="CL247" s="410"/>
      <c r="CM247" s="416"/>
      <c r="CN247" s="416"/>
      <c r="CO247" s="412"/>
      <c r="CP247" s="413"/>
      <c r="CQ247" s="410"/>
      <c r="CR247" s="416"/>
      <c r="CS247" s="416"/>
      <c r="CT247" s="412"/>
      <c r="CU247" s="413"/>
      <c r="CV247" s="410"/>
      <c r="CW247" s="416"/>
      <c r="CX247" s="416"/>
      <c r="CY247" s="412"/>
      <c r="CZ247" s="413"/>
      <c r="DA247" s="410"/>
      <c r="DB247" s="416"/>
      <c r="DC247" s="416"/>
      <c r="DD247" s="412"/>
      <c r="DE247" s="413"/>
      <c r="DF247" s="410"/>
      <c r="DG247" s="416"/>
      <c r="DH247" s="416"/>
      <c r="DI247" s="412"/>
      <c r="DJ247" s="413"/>
      <c r="DK247" s="410"/>
      <c r="DL247" s="416"/>
      <c r="DM247" s="416"/>
      <c r="DN247" s="412"/>
      <c r="DO247" s="413"/>
      <c r="DP247" s="410"/>
      <c r="DQ247" s="416"/>
      <c r="DR247" s="416"/>
      <c r="DS247" s="412"/>
      <c r="DT247" s="413"/>
    </row>
    <row r="248" spans="1:124" ht="12.75" customHeight="1">
      <c r="A248" s="491"/>
      <c r="C248" s="1885" t="s">
        <v>1294</v>
      </c>
      <c r="D248" s="1885"/>
      <c r="E248" s="1886">
        <f>IF(F248=0,G248,F248)</f>
        <v>125</v>
      </c>
      <c r="F248" s="1532">
        <v>125</v>
      </c>
      <c r="G248" s="1532">
        <v>0</v>
      </c>
      <c r="H248" s="610">
        <v>2019</v>
      </c>
      <c r="I248" s="1534">
        <v>4.4999999999999998E-2</v>
      </c>
      <c r="J248" s="615">
        <v>7</v>
      </c>
      <c r="K248" s="402"/>
      <c r="L248" s="407">
        <f t="shared" ref="L248:L253" si="1910">IF(L$5=$H248,-$E248,0)</f>
        <v>0</v>
      </c>
      <c r="M248" s="404">
        <f t="shared" ref="M248:M253" si="1911">IF(Q248=0,0,IF(Q248&lt;0,IF($J248=3,Q248,IF($J248=2,Q248,IF($J248=1,Q248,0)))))</f>
        <v>0</v>
      </c>
      <c r="N248" s="414">
        <f t="shared" ref="N248:N253" si="1912">IF(Q248=0,0,IF(Q248&lt;0,IF($J248=6,Q248,IF($J248=5,Q248,IF($J248=4,Q248,0)))))</f>
        <v>0</v>
      </c>
      <c r="O248" s="414">
        <f t="shared" ref="O248:O253" si="1913">IF(Q248=0,0,IF(Q248&lt;0,IF($J248=9,Q248,IF($J248=8,Q248,IF($J248=7,Q248,0)))))</f>
        <v>0</v>
      </c>
      <c r="P248" s="406">
        <f t="shared" ref="P248:P253" si="1914">IF(Q248=0,0,IF(Q248&lt;0,IF($J248=12,Q248,IF($J248=11,Q248,IF($J248=10,Q248,0)))))</f>
        <v>0</v>
      </c>
      <c r="Q248" s="407">
        <f t="shared" ref="Q248:Q253" si="1915">IF(Q$5=$H248,-$E248,0)</f>
        <v>0</v>
      </c>
      <c r="R248" s="404">
        <f t="shared" ref="R248:R253" si="1916">IF(V248=0,0,IF(V248&lt;0,IF($J248=3,V248,IF($J248=2,V248,IF($J248=1,V248,0)))))</f>
        <v>0</v>
      </c>
      <c r="S248" s="414">
        <f t="shared" ref="S248:S253" si="1917">IF(V248=0,0,IF(V248&lt;0,IF($J248=6,V248,IF($J248=5,V248,IF($J248=4,V248,0)))))</f>
        <v>0</v>
      </c>
      <c r="T248" s="414">
        <f t="shared" ref="T248:T253" si="1918">IF(V248=0,0,IF(V248&lt;0,IF($J248=9,V248,IF($J248=8,V248,IF($J248=7,V248,0)))))</f>
        <v>0</v>
      </c>
      <c r="U248" s="406">
        <f t="shared" ref="U248:U253" si="1919">IF(V248=0,0,IF(V248&lt;0,IF($J248=12,V248,IF($J248=11,V248,IF($J248=10,V248,0)))))</f>
        <v>0</v>
      </c>
      <c r="V248" s="407">
        <f t="shared" ref="V248:V253" si="1920">IF(V$5=$H248,-$E248,0)</f>
        <v>0</v>
      </c>
      <c r="W248" s="404">
        <f t="shared" ref="W248:W253" si="1921">IF(AA248=0,0,IF(AA248&lt;0,IF($J248=3,AA248,IF($J248=2,AA248,IF($J248=1,AA248,0)))))</f>
        <v>0</v>
      </c>
      <c r="X248" s="414">
        <f t="shared" ref="X248:X253" si="1922">IF(AA248=0,0,IF(AA248&lt;0,IF($J248=6,AA248,IF($J248=5,AA248,IF($J248=4,AA248,0)))))</f>
        <v>0</v>
      </c>
      <c r="Y248" s="414">
        <f t="shared" ref="Y248:Y253" si="1923">IF(AA248=0,0,IF(AA248&lt;0,IF($J248=9,AA248,IF($J248=8,AA248,IF($J248=7,AA248,0)))))</f>
        <v>0</v>
      </c>
      <c r="Z248" s="406">
        <f t="shared" ref="Z248:Z253" si="1924">IF(AA248=0,0,IF(AA248&lt;0,IF($J248=12,AA248,IF($J248=11,AA248,IF($J248=10,AA248,0)))))</f>
        <v>0</v>
      </c>
      <c r="AA248" s="407">
        <f t="shared" ref="AA248:AA253" si="1925">IF(AA$5=$H248,-$E248,0)</f>
        <v>0</v>
      </c>
      <c r="AB248" s="404">
        <f t="shared" ref="AB248:AB253" si="1926">IF(AF248=0,0,IF(AF248&lt;0,IF($J248=3,AF248,IF($J248=2,AF248,IF($J248=1,AF248,0)))))</f>
        <v>0</v>
      </c>
      <c r="AC248" s="414">
        <f t="shared" ref="AC248:AC253" si="1927">IF(AF248=0,0,IF(AF248&lt;0,IF($J248=6,AF248,IF($J248=5,AF248,IF($J248=4,AF248,0)))))</f>
        <v>0</v>
      </c>
      <c r="AD248" s="414">
        <f t="shared" ref="AD248:AD253" si="1928">IF(AF248=0,0,IF(AF248&lt;0,IF($J248=9,AF248,IF($J248=8,AF248,IF($J248=7,AF248,0)))))</f>
        <v>0</v>
      </c>
      <c r="AE248" s="406">
        <f t="shared" ref="AE248:AE253" si="1929">IF(AF248=0,0,IF(AF248&lt;0,IF($J248=12,AF248,IF($J248=11,AF248,IF($J248=10,AF248,0)))))</f>
        <v>0</v>
      </c>
      <c r="AF248" s="407">
        <f t="shared" ref="AF248:AF253" si="1930">IF(AF$5=$H248,-$E248,0)</f>
        <v>0</v>
      </c>
      <c r="AG248" s="404">
        <f t="shared" ref="AG248:AG253" si="1931">IF(AK248=0,0,IF(AK248&lt;0,IF($J248=3,AK248,IF($J248=2,AK248,IF($J248=1,AK248,0)))))</f>
        <v>0</v>
      </c>
      <c r="AH248" s="414">
        <f t="shared" ref="AH248:AH253" si="1932">IF(AK248=0,0,IF(AK248&lt;0,IF($J248=6,AK248,IF($J248=5,AK248,IF($J248=4,AK248,0)))))</f>
        <v>0</v>
      </c>
      <c r="AI248" s="414">
        <f t="shared" ref="AI248:AI253" si="1933">IF(AK248=0,0,IF(AK248&lt;0,IF($J248=9,AK248,IF($J248=8,AK248,IF($J248=7,AK248,0)))))</f>
        <v>0</v>
      </c>
      <c r="AJ248" s="406">
        <f t="shared" ref="AJ248:AJ253" si="1934">IF(AK248=0,0,IF(AK248&lt;0,IF($J248=12,AK248,IF($J248=11,AK248,IF($J248=10,AK248,0)))))</f>
        <v>0</v>
      </c>
      <c r="AK248" s="407">
        <f t="shared" ref="AK248:AK253" si="1935">IF(AK$5=$H248,-$E248,0)</f>
        <v>0</v>
      </c>
      <c r="AL248" s="404">
        <f t="shared" ref="AL248:AL253" si="1936">IF(AP248=0,0,IF(AP248&lt;0,IF($J248=3,AP248,IF($J248=2,AP248,IF($J248=1,AP248,0)))))</f>
        <v>0</v>
      </c>
      <c r="AM248" s="414">
        <f t="shared" ref="AM248:AM253" si="1937">IF(AP248=0,0,IF(AP248&lt;0,IF($J248=6,AP248,IF($J248=5,AP248,IF($J248=4,AP248,0)))))</f>
        <v>0</v>
      </c>
      <c r="AN248" s="414">
        <f t="shared" ref="AN248:AN253" si="1938">IF(AP248=0,0,IF(AP248&lt;0,IF($J248=9,AP248,IF($J248=8,AP248,IF($J248=7,AP248,0)))))</f>
        <v>0</v>
      </c>
      <c r="AO248" s="406">
        <f t="shared" ref="AO248:AO253" si="1939">IF(AP248=0,0,IF(AP248&lt;0,IF($J248=12,AP248,IF($J248=11,AP248,IF($J248=10,AP248,0)))))</f>
        <v>0</v>
      </c>
      <c r="AP248" s="407">
        <f t="shared" ref="AP248:AP253" si="1940">IF(AP$5=$H248,-$E248,0)</f>
        <v>0</v>
      </c>
      <c r="AQ248" s="404">
        <f t="shared" ref="AQ248:AQ253" si="1941">IF(AU248=0,0,IF(AU248&lt;0,IF($J248=3,AU248,IF($J248=2,AU248,IF($J248=1,AU248,0)))))</f>
        <v>0</v>
      </c>
      <c r="AR248" s="414">
        <f t="shared" ref="AR248:AR253" si="1942">IF(AU248=0,0,IF(AU248&lt;0,IF($J248=6,AU248,IF($J248=5,AU248,IF($J248=4,AU248,0)))))</f>
        <v>0</v>
      </c>
      <c r="AS248" s="414">
        <f t="shared" ref="AS248:AS253" si="1943">IF(AU248=0,0,IF(AU248&lt;0,IF($J248=9,AU248,IF($J248=8,AU248,IF($J248=7,AU248,0)))))</f>
        <v>0</v>
      </c>
      <c r="AT248" s="406">
        <f t="shared" ref="AT248:AT253" si="1944">IF(AU248=0,0,IF(AU248&lt;0,IF($J248=12,AU248,IF($J248=11,AU248,IF($J248=10,AU248,0)))))</f>
        <v>0</v>
      </c>
      <c r="AU248" s="407">
        <f t="shared" ref="AU248:AU253" si="1945">IF(AU$5=$H248,-$E248,0)</f>
        <v>0</v>
      </c>
      <c r="AV248" s="404">
        <f t="shared" ref="AV248:AV253" si="1946">IF(AZ248=0,0,IF(AZ248&lt;0,IF($J248=3,AZ248,IF($J248=2,AZ248,IF($J248=1,AZ248,0)))))</f>
        <v>0</v>
      </c>
      <c r="AW248" s="414">
        <f t="shared" ref="AW248:AW253" si="1947">IF(AZ248=0,0,IF(AZ248&lt;0,IF($J248=6,AZ248,IF($J248=5,AZ248,IF($J248=4,AZ248,0)))))</f>
        <v>0</v>
      </c>
      <c r="AX248" s="414">
        <f t="shared" ref="AX248:AX253" si="1948">IF(AZ248=0,0,IF(AZ248&lt;0,IF($J248=9,AZ248,IF($J248=8,AZ248,IF($J248=7,AZ248,0)))))</f>
        <v>0</v>
      </c>
      <c r="AY248" s="406">
        <f t="shared" ref="AY248:AY253" si="1949">IF(AZ248=0,0,IF(AZ248&lt;0,IF($J248=12,AZ248,IF($J248=11,AZ248,IF($J248=10,AZ248,0)))))</f>
        <v>0</v>
      </c>
      <c r="AZ248" s="407">
        <f t="shared" ref="AZ248:AZ253" si="1950">IF(AZ$5=$H248,-$E248,0)</f>
        <v>0</v>
      </c>
      <c r="BA248" s="404">
        <f t="shared" ref="BA248:BA253" si="1951">IF(BE248=0,0,IF(BE248&lt;0,IF($J248=3,BE248,IF($J248=2,BE248,IF($J248=1,BE248,0)))))</f>
        <v>0</v>
      </c>
      <c r="BB248" s="414">
        <f t="shared" ref="BB248:BB253" si="1952">IF(BE248=0,0,IF(BE248&lt;0,IF($J248=6,BE248,IF($J248=5,BE248,IF($J248=4,BE248,0)))))</f>
        <v>0</v>
      </c>
      <c r="BC248" s="414">
        <f t="shared" ref="BC248:BC253" si="1953">IF(BE248=0,0,IF(BE248&lt;0,IF($J248=9,BE248,IF($J248=8,BE248,IF($J248=7,BE248,0)))))</f>
        <v>-125</v>
      </c>
      <c r="BD248" s="406">
        <f t="shared" ref="BD248:BD253" si="1954">IF(BE248=0,0,IF(BE248&lt;0,IF($J248=12,BE248,IF($J248=11,BE248,IF($J248=10,BE248,0)))))</f>
        <v>0</v>
      </c>
      <c r="BE248" s="407">
        <f t="shared" ref="BE248:BE253" si="1955">IF(BE$5=$H248,-$E248,0)</f>
        <v>-125</v>
      </c>
      <c r="BF248" s="404">
        <f t="shared" ref="BF248:BF253" si="1956">IF(BJ248=0,0,IF(BJ248&lt;0,IF($J248=3,BJ248,IF($J248=2,BJ248,IF($J248=1,BJ248,0)))))</f>
        <v>0</v>
      </c>
      <c r="BG248" s="414">
        <f t="shared" ref="BG248:BG253" si="1957">IF(BJ248=0,0,IF(BJ248&lt;0,IF($J248=6,BJ248,IF($J248=5,BJ248,IF($J248=4,BJ248,0)))))</f>
        <v>0</v>
      </c>
      <c r="BH248" s="414">
        <f t="shared" ref="BH248:BH253" si="1958">IF(BJ248=0,0,IF(BJ248&lt;0,IF($J248=9,BJ248,IF($J248=8,BJ248,IF($J248=7,BJ248,0)))))</f>
        <v>0</v>
      </c>
      <c r="BI248" s="406">
        <f t="shared" ref="BI248:BI253" si="1959">IF(BJ248=0,0,IF(BJ248&lt;0,IF($J248=12,BJ248,IF($J248=11,BJ248,IF($J248=10,BJ248,0)))))</f>
        <v>0</v>
      </c>
      <c r="BJ248" s="407">
        <f t="shared" ref="BJ248:BJ253" si="1960">IF(BJ$5=$H248,-$E248,0)</f>
        <v>0</v>
      </c>
      <c r="BK248" s="404">
        <f t="shared" ref="BK248:BK253" si="1961">IF(BO248=0,0,IF(BO248&lt;0,IF($J248=3,BO248,IF($J248=2,BO248,IF($J248=1,BO248,0)))))</f>
        <v>0</v>
      </c>
      <c r="BL248" s="414">
        <f t="shared" ref="BL248:BL253" si="1962">IF(BO248=0,0,IF(BO248&lt;0,IF($J248=6,BO248,IF($J248=5,BO248,IF($J248=4,BO248,0)))))</f>
        <v>0</v>
      </c>
      <c r="BM248" s="414">
        <f t="shared" ref="BM248:BM253" si="1963">IF(BO248=0,0,IF(BO248&lt;0,IF($J248=9,BO248,IF($J248=8,BO248,IF($J248=7,BO248,0)))))</f>
        <v>0</v>
      </c>
      <c r="BN248" s="406">
        <f t="shared" ref="BN248:BN253" si="1964">IF(BO248=0,0,IF(BO248&lt;0,IF($J248=12,BO248,IF($J248=11,BO248,IF($J248=10,BO248,0)))))</f>
        <v>0</v>
      </c>
      <c r="BO248" s="407">
        <f t="shared" ref="BO248:BO253" si="1965">IF(BO$5=$H248,-$E248,0)</f>
        <v>0</v>
      </c>
      <c r="BP248" s="449"/>
      <c r="BQ248" s="413">
        <f t="shared" ref="BQ248:BQ253" si="1966">IF(AND(AH248&lt;&gt;0,AH$5=$H248),-$I248*$E248-AH248,IF(BQ$5=$H248,-$I248*$E248*(12-$J248+1)/12,0))</f>
        <v>0</v>
      </c>
      <c r="BR248" s="410">
        <f t="shared" ref="BR248:BR253" si="1967">IF($H248&lt;&gt;BV$5,0,IF(BV248&lt;0,IF($J248=1,-$E248*$I248/12*3,IF($J248=2,-$E248*$I248/12*2,IF($J248=3,-$E248*$I248/12*1,0)))))+IF(BQ$5&lt;&gt;$H248,0,IF(BQ248&lt;0,IF($J248=1,-$E248*$I248/12*0,IF($J248=2,-$E248*$I248/12*1,IF($J248=3,-$E248*$I248/12*2,IF($J248&gt;=4,-$E248*$I248/12*3,0))))))</f>
        <v>0</v>
      </c>
      <c r="BS248" s="416">
        <f t="shared" ref="BS248:BS253" si="1968">IF($H248&lt;&gt;BV$5,0,IF(BV248&lt;0,IF(OR($J248=1,$J248=2,$J248=3,$J248=4),-$E248*$I248/12*3,IF($J248=5,-$E248*$I248/12*2,IF($J248=6,-$E248*$I248/12*1,0)))))+IF(BQ$5&lt;&gt;$H248,0,IF(BQ248&lt;0,IF($J248=4,-$E248*$I248/12*0,IF($J248=5,-$E248*$I248/12*1,IF($J248=6,-$E248*$I248/12*2,IF($J248&gt;=7,-$E248*$I248/12*3,0))))))</f>
        <v>0</v>
      </c>
      <c r="BT248" s="416">
        <f t="shared" ref="BT248:BT253" si="1969">IF($H248&lt;&gt;BV$5,0,IF(BV248&lt;0,IF(OR($J248=1,$J248=2,$J248=3,$J248=4,$J248=5,$J248=6,$J248=7),-$E248*$I248/12*3,IF($J248=8,-$E248*$I248/12*2,IF($J248=9,-$E248*$I248/12*1,0)))))+IF(BQ$5&lt;&gt;$H248,0,IF(BQ248&lt;0,IF($J248=7,-$E248*$I248/12*0,IF($J248=8,-$E248*$I248/12*1,IF($J248=9,-$E248*$I248/12*2,IF($J248&gt;=10,-$E248*$I248/12*3,0))))))</f>
        <v>0</v>
      </c>
      <c r="BU248" s="412">
        <f t="shared" ref="BU248:BU253" si="1970">IF($H248&lt;&gt;BV$5,0,IF(BV248&lt;0,IF(OR($J248=1,$J248=2,$J248=3,$J248=4,$J248=5,$J248=6,$J248=7,$J248=8,$J248=9,$J248=10),-$E248*$I248/12*3,IF($J248=11,-$E248*$I248/12*2,IF($J248=12,-$E248*$I248/12*1,0)))))+IF(BQ$5&lt;&gt;$H248,0,IF(BQ248&lt;0,IF($J248=10,-$E248*$I248/12*0,IF($J248=11,-$E248*$I248/12*1,IF($J248=12,-$E248*$I248/12*2,0)))))</f>
        <v>0</v>
      </c>
      <c r="BV248" s="413">
        <f t="shared" ref="BV248:BV253" si="1971">IF(AND(BQ248&lt;&gt;0,BQ$5=$H248),-$I248*$E248-BQ248,IF(BV$5=$H248,-$I248*$E248*(12-$J248+1)/12,0))</f>
        <v>0</v>
      </c>
      <c r="BW248" s="410">
        <f t="shared" ref="BW248:BW253" si="1972">IF($H248&lt;&gt;CA$5,0,IF(CA248&lt;0,IF($J248=1,-$E248*$I248/12*3,IF($J248=2,-$E248*$I248/12*2,IF($J248=3,-$E248*$I248/12*1,0)))))+IF(BV$5&lt;&gt;$H248,0,IF(BV248&lt;0,IF($J248=1,-$E248*$I248/12*0,IF($J248=2,-$E248*$I248/12*1,IF($J248=3,-$E248*$I248/12*2,IF($J248&gt;=4,-$E248*$I248/12*3,0))))))</f>
        <v>0</v>
      </c>
      <c r="BX248" s="416">
        <f t="shared" ref="BX248:BX253" si="1973">IF($H248&lt;&gt;CA$5,0,IF(CA248&lt;0,IF(OR($J248=1,$J248=2,$J248=3,$J248=4),-$E248*$I248/12*3,IF($J248=5,-$E248*$I248/12*2,IF($J248=6,-$E248*$I248/12*1,0)))))+IF(BV$5&lt;&gt;$H248,0,IF(BV248&lt;0,IF($J248=4,-$E248*$I248/12*0,IF($J248=5,-$E248*$I248/12*1,IF($J248=6,-$E248*$I248/12*2,IF($J248&gt;=7,-$E248*$I248/12*3,0))))))</f>
        <v>0</v>
      </c>
      <c r="BY248" s="416">
        <f t="shared" ref="BY248:BY253" si="1974">IF($H248&lt;&gt;CA$5,0,IF(CA248&lt;0,IF(OR($J248=1,$J248=2,$J248=3,$J248=4,$J248=5,$J248=6,$J248=7),-$E248*$I248/12*3,IF($J248=8,-$E248*$I248/12*2,IF($J248=9,-$E248*$I248/12*1,0)))))+IF(BV$5&lt;&gt;$H248,0,IF(BV248&lt;0,IF($J248=7,-$E248*$I248/12*0,IF($J248=8,-$E248*$I248/12*1,IF($J248=9,-$E248*$I248/12*2,IF($J248&gt;=10,-$E248*$I248/12*3,0))))))</f>
        <v>0</v>
      </c>
      <c r="BZ248" s="412">
        <f t="shared" ref="BZ248:BZ253" si="1975">IF($H248&lt;&gt;CA$5,0,IF(CA248&lt;0,IF(OR($J248=1,$J248=2,$J248=3,$J248=4,$J248=5,$J248=6,$J248=7,$J248=8,$J248=9,$J248=10),-$E248*$I248/12*3,IF($J248=11,-$E248*$I248/12*2,IF($J248=12,-$E248*$I248/12*1,0)))))+IF(BV$5&lt;&gt;$H248,0,IF(BV248&lt;0,IF($J248=10,-$E248*$I248/12*0,IF($J248=11,-$E248*$I248/12*1,IF($J248=12,-$E248*$I248/12*2,0)))))</f>
        <v>0</v>
      </c>
      <c r="CA248" s="413">
        <f t="shared" ref="CA248:CA253" si="1976">IF(AND(BV248&lt;&gt;0,BV$5=$H248),-$I248*$E248-BV248,IF(CA$5=$H248,-$I248*$E248*(12-$J248+1)/12,0))</f>
        <v>0</v>
      </c>
      <c r="CB248" s="410">
        <f t="shared" ref="CB248:CB253" si="1977">IF($H248&lt;&gt;CF$5,0,IF(CF248&lt;0,IF($J248=1,-$E248*$I248/12*3,IF($J248=2,-$E248*$I248/12*2,IF($J248=3,-$E248*$I248/12*1,0)))))+IF(CA$5&lt;&gt;$H248,0,IF(CA248&lt;0,IF($J248=1,-$E248*$I248/12*0,IF($J248=2,-$E248*$I248/12*1,IF($J248=3,-$E248*$I248/12*2,IF($J248&gt;=4,-$E248*$I248/12*3,0))))))</f>
        <v>0</v>
      </c>
      <c r="CC248" s="416">
        <f t="shared" ref="CC248:CC253" si="1978">IF($H248&lt;&gt;CF$5,0,IF(CF248&lt;0,IF(OR($J248=1,$J248=2,$J248=3,$J248=4),-$E248*$I248/12*3,IF($J248=5,-$E248*$I248/12*2,IF($J248=6,-$E248*$I248/12*1,0)))))+IF(CA$5&lt;&gt;$H248,0,IF(CA248&lt;0,IF($J248=4,-$E248*$I248/12*0,IF($J248=5,-$E248*$I248/12*1,IF($J248=6,-$E248*$I248/12*2,IF($J248&gt;=7,-$E248*$I248/12*3,0))))))</f>
        <v>0</v>
      </c>
      <c r="CD248" s="416">
        <f t="shared" ref="CD248:CD253" si="1979">IF($H248&lt;&gt;CF$5,0,IF(CF248&lt;0,IF(OR($J248=1,$J248=2,$J248=3,$J248=4,$J248=5,$J248=6,$J248=7),-$E248*$I248/12*3,IF($J248=8,-$E248*$I248/12*2,IF($J248=9,-$E248*$I248/12*1,0)))))+IF(CA$5&lt;&gt;$H248,0,IF(CA248&lt;0,IF($J248=7,-$E248*$I248/12*0,IF($J248=8,-$E248*$I248/12*1,IF($J248=9,-$E248*$I248/12*2,IF($J248&gt;=10,-$E248*$I248/12*3,0))))))</f>
        <v>0</v>
      </c>
      <c r="CE248" s="412">
        <f t="shared" ref="CE248:CE253" si="1980">IF($H248&lt;&gt;CF$5,0,IF(CF248&lt;0,IF(OR($J248=1,$J248=2,$J248=3,$J248=4,$J248=5,$J248=6,$J248=7,$J248=8,$J248=9,$J248=10),-$E248*$I248/12*3,IF($J248=11,-$E248*$I248/12*2,IF($J248=12,-$E248*$I248/12*1,0)))))+IF(CA$5&lt;&gt;$H248,0,IF(CA248&lt;0,IF($J248=10,-$E248*$I248/12*0,IF($J248=11,-$E248*$I248/12*1,IF($J248=12,-$E248*$I248/12*2,0)))))</f>
        <v>0</v>
      </c>
      <c r="CF248" s="413">
        <f t="shared" ref="CF248:CF253" si="1981">IF(AND(CA248&lt;&gt;0,CA$5=$H248),-$I248*$E248-CA248,IF(CF$5=$H248,-$I248*$E248*(12-$J248+1)/12,0))</f>
        <v>0</v>
      </c>
      <c r="CG248" s="410">
        <f t="shared" ref="CG248:CG253" si="1982">IF($H248&lt;&gt;CK$5,0,IF(CK248&lt;0,IF($J248=1,-$E248*$I248/12*3,IF($J248=2,-$E248*$I248/12*2,IF($J248=3,-$E248*$I248/12*1,0)))))+IF(CF$5&lt;&gt;$H248,0,IF(CF248&lt;0,IF($J248=1,-$E248*$I248/12*0,IF($J248=2,-$E248*$I248/12*1,IF($J248=3,-$E248*$I248/12*2,IF($J248&gt;=4,-$E248*$I248/12*3,0))))))</f>
        <v>0</v>
      </c>
      <c r="CH248" s="416">
        <f t="shared" ref="CH248:CH253" si="1983">IF($H248&lt;&gt;CK$5,0,IF(CK248&lt;0,IF(OR($J248=1,$J248=2,$J248=3,$J248=4),-$E248*$I248/12*3,IF($J248=5,-$E248*$I248/12*2,IF($J248=6,-$E248*$I248/12*1,0)))))+IF(CF$5&lt;&gt;$H248,0,IF(CF248&lt;0,IF($J248=4,-$E248*$I248/12*0,IF($J248=5,-$E248*$I248/12*1,IF($J248=6,-$E248*$I248/12*2,IF($J248&gt;=7,-$E248*$I248/12*3,0))))))</f>
        <v>0</v>
      </c>
      <c r="CI248" s="416">
        <f t="shared" ref="CI248:CI253" si="1984">IF($H248&lt;&gt;CK$5,0,IF(CK248&lt;0,IF(OR($J248=1,$J248=2,$J248=3,$J248=4,$J248=5,$J248=6,$J248=7),-$E248*$I248/12*3,IF($J248=8,-$E248*$I248/12*2,IF($J248=9,-$E248*$I248/12*1,0)))))+IF(CF$5&lt;&gt;$H248,0,IF(CF248&lt;0,IF($J248=7,-$E248*$I248/12*0,IF($J248=8,-$E248*$I248/12*1,IF($J248=9,-$E248*$I248/12*2,IF($J248&gt;=10,-$E248*$I248/12*3,0))))))</f>
        <v>0</v>
      </c>
      <c r="CJ248" s="412">
        <f t="shared" ref="CJ248:CJ253" si="1985">IF($H248&lt;&gt;CK$5,0,IF(CK248&lt;0,IF(OR($J248=1,$J248=2,$J248=3,$J248=4,$J248=5,$J248=6,$J248=7,$J248=8,$J248=9,$J248=10),-$E248*$I248/12*3,IF($J248=11,-$E248*$I248/12*2,IF($J248=12,-$E248*$I248/12*1,0)))))+IF(CF$5&lt;&gt;$H248,0,IF(CF248&lt;0,IF($J248=10,-$E248*$I248/12*0,IF($J248=11,-$E248*$I248/12*1,IF($J248=12,-$E248*$I248/12*2,0)))))</f>
        <v>0</v>
      </c>
      <c r="CK248" s="413">
        <f t="shared" ref="CK248:CK253" si="1986">IF(AND(CF248&lt;&gt;0,CF$5=$H248),-$I248*$E248-CF248,IF(CK$5=$H248,-$I248*$E248*(12-$J248+1)/12,0))</f>
        <v>0</v>
      </c>
      <c r="CL248" s="410">
        <f t="shared" ref="CL248:CL253" si="1987">IF($H248&lt;&gt;CP$5,0,IF(CP248&lt;0,IF($J248=1,-$E248*$I248/12*3,IF($J248=2,-$E248*$I248/12*2,IF($J248=3,-$E248*$I248/12*1,0)))))+IF(CK$5&lt;&gt;$H248,0,IF(CK248&lt;0,IF($J248=1,-$E248*$I248/12*0,IF($J248=2,-$E248*$I248/12*1,IF($J248=3,-$E248*$I248/12*2,IF($J248&gt;=4,-$E248*$I248/12*3,0))))))</f>
        <v>0</v>
      </c>
      <c r="CM248" s="416">
        <f t="shared" ref="CM248:CM253" si="1988">IF($H248&lt;&gt;CP$5,0,IF(CP248&lt;0,IF(OR($J248=1,$J248=2,$J248=3,$J248=4),-$E248*$I248/12*3,IF($J248=5,-$E248*$I248/12*2,IF($J248=6,-$E248*$I248/12*1,0)))))+IF(CK$5&lt;&gt;$H248,0,IF(CK248&lt;0,IF($J248=4,-$E248*$I248/12*0,IF($J248=5,-$E248*$I248/12*1,IF($J248=6,-$E248*$I248/12*2,IF($J248&gt;=7,-$E248*$I248/12*3,0))))))</f>
        <v>0</v>
      </c>
      <c r="CN248" s="416">
        <f t="shared" ref="CN248:CN253" si="1989">IF($H248&lt;&gt;CP$5,0,IF(CP248&lt;0,IF(OR($J248=1,$J248=2,$J248=3,$J248=4,$J248=5,$J248=6,$J248=7),-$E248*$I248/12*3,IF($J248=8,-$E248*$I248/12*2,IF($J248=9,-$E248*$I248/12*1,0)))))+IF(CK$5&lt;&gt;$H248,0,IF(CK248&lt;0,IF($J248=7,-$E248*$I248/12*0,IF($J248=8,-$E248*$I248/12*1,IF($J248=9,-$E248*$I248/12*2,IF($J248&gt;=10,-$E248*$I248/12*3,0))))))</f>
        <v>0</v>
      </c>
      <c r="CO248" s="412">
        <f t="shared" ref="CO248:CO253" si="1990">IF($H248&lt;&gt;CP$5,0,IF(CP248&lt;0,IF(OR($J248=1,$J248=2,$J248=3,$J248=4,$J248=5,$J248=6,$J248=7,$J248=8,$J248=9,$J248=10),-$E248*$I248/12*3,IF($J248=11,-$E248*$I248/12*2,IF($J248=12,-$E248*$I248/12*1,0)))))+IF(CK$5&lt;&gt;$H248,0,IF(CK248&lt;0,IF($J248=10,-$E248*$I248/12*0,IF($J248=11,-$E248*$I248/12*1,IF($J248=12,-$E248*$I248/12*2,0)))))</f>
        <v>0</v>
      </c>
      <c r="CP248" s="413">
        <f t="shared" ref="CP248:CP253" si="1991">IF(AND(CK248&lt;&gt;0,CK$5=$H248),-$I248*$E248-CK248,IF(CP$5=$H248,-$I248*$E248*(12-$J248+1)/12,0))</f>
        <v>0</v>
      </c>
      <c r="CQ248" s="410">
        <f t="shared" ref="CQ248:CQ253" si="1992">IF($H248&lt;&gt;CU$5,0,IF(CU248&lt;0,IF($J248=1,-$E248*$I248/12*3,IF($J248=2,-$E248*$I248/12*2,IF($J248=3,-$E248*$I248/12*1,0)))))+IF(CP$5&lt;&gt;$H248,0,IF(CP248&lt;0,IF($J248=1,-$E248*$I248/12*0,IF($J248=2,-$E248*$I248/12*1,IF($J248=3,-$E248*$I248/12*2,IF($J248&gt;=4,-$E248*$I248/12*3,0))))))</f>
        <v>0</v>
      </c>
      <c r="CR248" s="416">
        <f t="shared" ref="CR248:CR253" si="1993">IF($H248&lt;&gt;CU$5,0,IF(CU248&lt;0,IF(OR($J248=1,$J248=2,$J248=3,$J248=4),-$E248*$I248/12*3,IF($J248=5,-$E248*$I248/12*2,IF($J248=6,-$E248*$I248/12*1,0)))))+IF(CP$5&lt;&gt;$H248,0,IF(CP248&lt;0,IF($J248=4,-$E248*$I248/12*0,IF($J248=5,-$E248*$I248/12*1,IF($J248=6,-$E248*$I248/12*2,IF($J248&gt;=7,-$E248*$I248/12*3,0))))))</f>
        <v>0</v>
      </c>
      <c r="CS248" s="416">
        <f t="shared" ref="CS248:CS253" si="1994">IF($H248&lt;&gt;CU$5,0,IF(CU248&lt;0,IF(OR($J248=1,$J248=2,$J248=3,$J248=4,$J248=5,$J248=6,$J248=7),-$E248*$I248/12*3,IF($J248=8,-$E248*$I248/12*2,IF($J248=9,-$E248*$I248/12*1,0)))))+IF(CP$5&lt;&gt;$H248,0,IF(CP248&lt;0,IF($J248=7,-$E248*$I248/12*0,IF($J248=8,-$E248*$I248/12*1,IF($J248=9,-$E248*$I248/12*2,IF($J248&gt;=10,-$E248*$I248/12*3,0))))))</f>
        <v>0</v>
      </c>
      <c r="CT248" s="412">
        <f t="shared" ref="CT248:CT253" si="1995">IF($H248&lt;&gt;CU$5,0,IF(CU248&lt;0,IF(OR($J248=1,$J248=2,$J248=3,$J248=4,$J248=5,$J248=6,$J248=7,$J248=8,$J248=9,$J248=10),-$E248*$I248/12*3,IF($J248=11,-$E248*$I248/12*2,IF($J248=12,-$E248*$I248/12*1,0)))))+IF(CP$5&lt;&gt;$H248,0,IF(CP248&lt;0,IF($J248=10,-$E248*$I248/12*0,IF($J248=11,-$E248*$I248/12*1,IF($J248=12,-$E248*$I248/12*2,0)))))</f>
        <v>0</v>
      </c>
      <c r="CU248" s="413">
        <f t="shared" ref="CU248:CU253" si="1996">IF(AND(CP248&lt;&gt;0,CP$5=$H248),-$I248*$E248-CP248,IF(CU$5=$H248,-$I248*$E248*(12-$J248+1)/12,0))</f>
        <v>0</v>
      </c>
      <c r="CV248" s="410">
        <f t="shared" ref="CV248:CV253" si="1997">IF($H248&lt;&gt;CZ$5,0,IF(CZ248&lt;0,IF($J248=1,-$E248*$I248/12*3,IF($J248=2,-$E248*$I248/12*2,IF($J248=3,-$E248*$I248/12*1,0)))))+IF(CU$5&lt;&gt;$H248,0,IF(CU248&lt;0,IF($J248=1,-$E248*$I248/12*0,IF($J248=2,-$E248*$I248/12*1,IF($J248=3,-$E248*$I248/12*2,IF($J248&gt;=4,-$E248*$I248/12*3,0))))))</f>
        <v>0</v>
      </c>
      <c r="CW248" s="416">
        <f t="shared" ref="CW248:CW253" si="1998">IF($H248&lt;&gt;CZ$5,0,IF(CZ248&lt;0,IF(OR($J248=1,$J248=2,$J248=3,$J248=4),-$E248*$I248/12*3,IF($J248=5,-$E248*$I248/12*2,IF($J248=6,-$E248*$I248/12*1,0)))))+IF(CU$5&lt;&gt;$H248,0,IF(CU248&lt;0,IF($J248=4,-$E248*$I248/12*0,IF($J248=5,-$E248*$I248/12*1,IF($J248=6,-$E248*$I248/12*2,IF($J248&gt;=7,-$E248*$I248/12*3,0))))))</f>
        <v>0</v>
      </c>
      <c r="CX248" s="416">
        <f t="shared" ref="CX248:CX253" si="1999">IF($H248&lt;&gt;CZ$5,0,IF(CZ248&lt;0,IF(OR($J248=1,$J248=2,$J248=3,$J248=4,$J248=5,$J248=6,$J248=7),-$E248*$I248/12*3,IF($J248=8,-$E248*$I248/12*2,IF($J248=9,-$E248*$I248/12*1,0)))))+IF(CU$5&lt;&gt;$H248,0,IF(CU248&lt;0,IF($J248=7,-$E248*$I248/12*0,IF($J248=8,-$E248*$I248/12*1,IF($J248=9,-$E248*$I248/12*2,IF($J248&gt;=10,-$E248*$I248/12*3,0))))))</f>
        <v>0</v>
      </c>
      <c r="CY248" s="412">
        <f t="shared" ref="CY248:CY253" si="2000">IF($H248&lt;&gt;CZ$5,0,IF(CZ248&lt;0,IF(OR($J248=1,$J248=2,$J248=3,$J248=4,$J248=5,$J248=6,$J248=7,$J248=8,$J248=9,$J248=10),-$E248*$I248/12*3,IF($J248=11,-$E248*$I248/12*2,IF($J248=12,-$E248*$I248/12*1,0)))))+IF(CU$5&lt;&gt;$H248,0,IF(CU248&lt;0,IF($J248=10,-$E248*$I248/12*0,IF($J248=11,-$E248*$I248/12*1,IF($J248=12,-$E248*$I248/12*2,0)))))</f>
        <v>0</v>
      </c>
      <c r="CZ248" s="413">
        <f t="shared" ref="CZ248:CZ253" si="2001">IF(AND(CU248&lt;&gt;0,CU$5=$H248),-$I248*$E248-CU248,IF(CZ$5=$H248,-$I248*$E248*(12-$J248+1)/12,0))</f>
        <v>0</v>
      </c>
      <c r="DA248" s="410">
        <f t="shared" ref="DA248:DA253" si="2002">IF($H248&lt;&gt;DE$5,0,IF(DE248&lt;0,IF($J248=1,-$E248*$I248/12*3,IF($J248=2,-$E248*$I248/12*2,IF($J248=3,-$E248*$I248/12*1,0)))))+IF(CZ$5&lt;&gt;$H248,0,IF(CZ248&lt;0,IF($J248=1,-$E248*$I248/12*0,IF($J248=2,-$E248*$I248/12*1,IF($J248=3,-$E248*$I248/12*2,IF($J248&gt;=4,-$E248*$I248/12*3,0))))))</f>
        <v>0</v>
      </c>
      <c r="DB248" s="416">
        <f t="shared" ref="DB248:DB253" si="2003">IF($H248&lt;&gt;DE$5,0,IF(DE248&lt;0,IF(OR($J248=1,$J248=2,$J248=3,$J248=4),-$E248*$I248/12*3,IF($J248=5,-$E248*$I248/12*2,IF($J248=6,-$E248*$I248/12*1,0)))))+IF(CZ$5&lt;&gt;$H248,0,IF(CZ248&lt;0,IF($J248=4,-$E248*$I248/12*0,IF($J248=5,-$E248*$I248/12*1,IF($J248=6,-$E248*$I248/12*2,IF($J248&gt;=7,-$E248*$I248/12*3,0))))))</f>
        <v>0</v>
      </c>
      <c r="DC248" s="416">
        <f t="shared" ref="DC248:DC253" si="2004">IF($H248&lt;&gt;DE$5,0,IF(DE248&lt;0,IF(OR($J248=1,$J248=2,$J248=3,$J248=4,$J248=5,$J248=6,$J248=7),-$E248*$I248/12*3,IF($J248=8,-$E248*$I248/12*2,IF($J248=9,-$E248*$I248/12*1,0)))))+IF(CZ$5&lt;&gt;$H248,0,IF(CZ248&lt;0,IF($J248=7,-$E248*$I248/12*0,IF($J248=8,-$E248*$I248/12*1,IF($J248=9,-$E248*$I248/12*2,IF($J248&gt;=10,-$E248*$I248/12*3,0))))))</f>
        <v>0</v>
      </c>
      <c r="DD248" s="412">
        <f t="shared" ref="DD248:DD253" si="2005">IF($H248&lt;&gt;DE$5,0,IF(DE248&lt;0,IF(OR($J248=1,$J248=2,$J248=3,$J248=4,$J248=5,$J248=6,$J248=7,$J248=8,$J248=9,$J248=10),-$E248*$I248/12*3,IF($J248=11,-$E248*$I248/12*2,IF($J248=12,-$E248*$I248/12*1,0)))))+IF(CZ$5&lt;&gt;$H248,0,IF(CZ248&lt;0,IF($J248=10,-$E248*$I248/12*0,IF($J248=11,-$E248*$I248/12*1,IF($J248=12,-$E248*$I248/12*2,0)))))</f>
        <v>0</v>
      </c>
      <c r="DE248" s="413">
        <f t="shared" ref="DE248:DE253" si="2006">IF(AND(CZ248&lt;&gt;0,CZ$5=$H248),-$I248*$E248-CZ248,IF(DE$5=$H248,-$I248*$E248*(12-$J248+1)/12,0))</f>
        <v>0</v>
      </c>
      <c r="DF248" s="410">
        <f t="shared" ref="DF248:DF253" si="2007">IF($H248&lt;&gt;DJ$5,0,IF(DJ248&lt;0,IF($J248=1,-$E248*$I248/12*3,IF($J248=2,-$E248*$I248/12*2,IF($J248=3,-$E248*$I248/12*1,0)))))+IF(DE$5&lt;&gt;$H248,0,IF(DE248&lt;0,IF($J248=1,-$E248*$I248/12*0,IF($J248=2,-$E248*$I248/12*1,IF($J248=3,-$E248*$I248/12*2,IF($J248&gt;=4,-$E248*$I248/12*3,0))))))</f>
        <v>0</v>
      </c>
      <c r="DG248" s="416">
        <f t="shared" ref="DG248:DG253" si="2008">IF($H248&lt;&gt;DJ$5,0,IF(DJ248&lt;0,IF(OR($J248=1,$J248=2,$J248=3,$J248=4),-$E248*$I248/12*3,IF($J248=5,-$E248*$I248/12*2,IF($J248=6,-$E248*$I248/12*1,0)))))+IF(DE$5&lt;&gt;$H248,0,IF(DE248&lt;0,IF($J248=4,-$E248*$I248/12*0,IF($J248=5,-$E248*$I248/12*1,IF($J248=6,-$E248*$I248/12*2,IF($J248&gt;=7,-$E248*$I248/12*3,0))))))</f>
        <v>0</v>
      </c>
      <c r="DH248" s="416">
        <f t="shared" ref="DH248:DH253" si="2009">IF($H248&lt;&gt;DJ$5,0,IF(DJ248&lt;0,IF(OR($J248=1,$J248=2,$J248=3,$J248=4,$J248=5,$J248=6,$J248=7),-$E248*$I248/12*3,IF($J248=8,-$E248*$I248/12*2,IF($J248=9,-$E248*$I248/12*1,0)))))+IF(DE$5&lt;&gt;$H248,0,IF(DE248&lt;0,IF($J248=7,-$E248*$I248/12*0,IF($J248=8,-$E248*$I248/12*1,IF($J248=9,-$E248*$I248/12*2,IF($J248&gt;=10,-$E248*$I248/12*3,0))))))</f>
        <v>-1.40625</v>
      </c>
      <c r="DI248" s="412">
        <f t="shared" ref="DI248:DI253" si="2010">IF($H248&lt;&gt;DJ$5,0,IF(DJ248&lt;0,IF(OR($J248=1,$J248=2,$J248=3,$J248=4,$J248=5,$J248=6,$J248=7,$J248=8,$J248=9,$J248=10),-$E248*$I248/12*3,IF($J248=11,-$E248*$I248/12*2,IF($J248=12,-$E248*$I248/12*1,0)))))+IF(DE$5&lt;&gt;$H248,0,IF(DE248&lt;0,IF($J248=10,-$E248*$I248/12*0,IF($J248=11,-$E248*$I248/12*1,IF($J248=12,-$E248*$I248/12*2,0)))))</f>
        <v>-1.40625</v>
      </c>
      <c r="DJ248" s="413">
        <f t="shared" ref="DJ248:DJ253" si="2011">IF(AND(DE248&lt;&gt;0,DE$5=$H248),-$I248*$E248-DE248,IF(DJ$5=$H248,-$I248*$E248*(12-$J248+1)/12,0))</f>
        <v>-2.8125</v>
      </c>
      <c r="DK248" s="410">
        <f t="shared" ref="DK248:DK253" si="2012">IF($H248&lt;&gt;DO$5,0,IF(DO248&lt;0,IF($J248=1,-$E248*$I248/12*3,IF($J248=2,-$E248*$I248/12*2,IF($J248=3,-$E248*$I248/12*1,0)))))+IF(DJ$5&lt;&gt;$H248,0,IF(DJ248&lt;0,IF($J248=1,-$E248*$I248/12*0,IF($J248=2,-$E248*$I248/12*1,IF($J248=3,-$E248*$I248/12*2,IF($J248&gt;=4,-$E248*$I248/12*3,0))))))</f>
        <v>-1.40625</v>
      </c>
      <c r="DL248" s="416">
        <f t="shared" ref="DL248:DL253" si="2013">IF($H248&lt;&gt;DO$5,0,IF(DO248&lt;0,IF(OR($J248=1,$J248=2,$J248=3,$J248=4),-$E248*$I248/12*3,IF($J248=5,-$E248*$I248/12*2,IF($J248=6,-$E248*$I248/12*1,0)))))+IF(DJ$5&lt;&gt;$H248,0,IF(DJ248&lt;0,IF($J248=4,-$E248*$I248/12*0,IF($J248=5,-$E248*$I248/12*1,IF($J248=6,-$E248*$I248/12*2,IF($J248&gt;=7,-$E248*$I248/12*3,0))))))</f>
        <v>-1.40625</v>
      </c>
      <c r="DM248" s="416">
        <f t="shared" ref="DM248:DM253" si="2014">IF($H248&lt;&gt;DO$5,0,IF(DO248&lt;0,IF(OR($J248=1,$J248=2,$J248=3,$J248=4,$J248=5,$J248=6,$J248=7),-$E248*$I248/12*3,IF($J248=8,-$E248*$I248/12*2,IF($J248=9,-$E248*$I248/12*1,0)))))+IF(DJ$5&lt;&gt;$H248,0,IF(DJ248&lt;0,IF($J248=7,-$E248*$I248/12*0,IF($J248=8,-$E248*$I248/12*1,IF($J248=9,-$E248*$I248/12*2,IF($J248&gt;=10,-$E248*$I248/12*3,0))))))</f>
        <v>0</v>
      </c>
      <c r="DN248" s="412">
        <f t="shared" ref="DN248:DN253" si="2015">IF($H248&lt;&gt;DO$5,0,IF(DO248&lt;0,IF(OR($J248=1,$J248=2,$J248=3,$J248=4,$J248=5,$J248=6,$J248=7,$J248=8,$J248=9,$J248=10),-$E248*$I248/12*3,IF($J248=11,-$E248*$I248/12*2,IF($J248=12,-$E248*$I248/12*1,0)))))+IF(DJ$5&lt;&gt;$H248,0,IF(DJ248&lt;0,IF($J248=10,-$E248*$I248/12*0,IF($J248=11,-$E248*$I248/12*1,IF($J248=12,-$E248*$I248/12*2,0)))))</f>
        <v>0</v>
      </c>
      <c r="DO248" s="413">
        <f t="shared" ref="DO248:DO253" si="2016">IF(AND(DJ248&lt;&gt;0,DJ$5=$H248),-$I248*$E248-DJ248,IF(DO$5=$H248,-$I248*$E248*(12-$J248+1)/12,0))</f>
        <v>-2.8125</v>
      </c>
      <c r="DP248" s="410">
        <f t="shared" ref="DP248:DP253" si="2017">IF($H248&lt;&gt;DT$5,0,IF(DT248&lt;0,IF($J248=1,-$E248*$I248/12*3,IF($J248=2,-$E248*$I248/12*2,IF($J248=3,-$E248*$I248/12*1,0)))))+IF(DO$5&lt;&gt;$H248,0,IF(DO248&lt;0,IF($J248=1,-$E248*$I248/12*0,IF($J248=2,-$E248*$I248/12*1,IF($J248=3,-$E248*$I248/12*2,IF($J248&gt;=4,-$E248*$I248/12*3,0))))))</f>
        <v>0</v>
      </c>
      <c r="DQ248" s="416">
        <f t="shared" ref="DQ248:DQ253" si="2018">IF($H248&lt;&gt;DT$5,0,IF(DT248&lt;0,IF(OR($J248=1,$J248=2,$J248=3,$J248=4),-$E248*$I248/12*3,IF($J248=5,-$E248*$I248/12*2,IF($J248=6,-$E248*$I248/12*1,0)))))+IF(DO$5&lt;&gt;$H248,0,IF(DO248&lt;0,IF($J248=4,-$E248*$I248/12*0,IF($J248=5,-$E248*$I248/12*1,IF($J248=6,-$E248*$I248/12*2,IF($J248&gt;=7,-$E248*$I248/12*3,0))))))</f>
        <v>0</v>
      </c>
      <c r="DR248" s="416">
        <f t="shared" ref="DR248:DR253" si="2019">IF($H248&lt;&gt;DT$5,0,IF(DT248&lt;0,IF(OR($J248=1,$J248=2,$J248=3,$J248=4,$J248=5,$J248=6,$J248=7),-$E248*$I248/12*3,IF($J248=8,-$E248*$I248/12*2,IF($J248=9,-$E248*$I248/12*1,0)))))+IF(DO$5&lt;&gt;$H248,0,IF(DO248&lt;0,IF($J248=7,-$E248*$I248/12*0,IF($J248=8,-$E248*$I248/12*1,IF($J248=9,-$E248*$I248/12*2,IF($J248&gt;=10,-$E248*$I248/12*3,0))))))</f>
        <v>0</v>
      </c>
      <c r="DS248" s="412">
        <f t="shared" ref="DS248:DS253" si="2020">IF($H248&lt;&gt;DT$5,0,IF(DT248&lt;0,IF(OR($J248=1,$J248=2,$J248=3,$J248=4,$J248=5,$J248=6,$J248=7,$J248=8,$J248=9,$J248=10),-$E248*$I248/12*3,IF($J248=11,-$E248*$I248/12*2,IF($J248=12,-$E248*$I248/12*1,0)))))+IF(DO$5&lt;&gt;$H248,0,IF(DO248&lt;0,IF($J248=10,-$E248*$I248/12*0,IF($J248=11,-$E248*$I248/12*1,IF($J248=12,-$E248*$I248/12*2,0)))))</f>
        <v>0</v>
      </c>
      <c r="DT248" s="413">
        <f t="shared" ref="DT248:DT253" si="2021">IF(AND(DO248&lt;&gt;0,DO$5=$H248),-$I248*$E248-DO248,IF(DT$5=$H248,-$I248*$E248*(12-$J248+1)/12,0))</f>
        <v>0</v>
      </c>
    </row>
    <row r="249" spans="1:124" ht="12.75" customHeight="1">
      <c r="A249" s="491"/>
      <c r="C249" s="1885" t="s">
        <v>394</v>
      </c>
      <c r="D249" s="1885"/>
      <c r="E249" s="1886">
        <f t="shared" ref="E249:E254" si="2022">IF(F249=0,G249,F249)</f>
        <v>275</v>
      </c>
      <c r="F249" s="1532">
        <v>275</v>
      </c>
      <c r="G249" s="1532">
        <v>275</v>
      </c>
      <c r="H249" s="610">
        <v>2033</v>
      </c>
      <c r="I249" s="1533">
        <v>6.6500000000000004E-2</v>
      </c>
      <c r="J249" s="615">
        <v>2</v>
      </c>
      <c r="K249" s="402"/>
      <c r="L249" s="407">
        <f t="shared" si="1910"/>
        <v>0</v>
      </c>
      <c r="M249" s="404">
        <f t="shared" si="1911"/>
        <v>0</v>
      </c>
      <c r="N249" s="414">
        <f t="shared" si="1912"/>
        <v>0</v>
      </c>
      <c r="O249" s="414">
        <f t="shared" si="1913"/>
        <v>0</v>
      </c>
      <c r="P249" s="406">
        <f t="shared" si="1914"/>
        <v>0</v>
      </c>
      <c r="Q249" s="407">
        <f t="shared" si="1915"/>
        <v>0</v>
      </c>
      <c r="R249" s="404">
        <f t="shared" si="1916"/>
        <v>0</v>
      </c>
      <c r="S249" s="414">
        <f t="shared" si="1917"/>
        <v>0</v>
      </c>
      <c r="T249" s="414">
        <f t="shared" si="1918"/>
        <v>0</v>
      </c>
      <c r="U249" s="406">
        <f t="shared" si="1919"/>
        <v>0</v>
      </c>
      <c r="V249" s="407">
        <f t="shared" si="1920"/>
        <v>0</v>
      </c>
      <c r="W249" s="404">
        <f t="shared" si="1921"/>
        <v>0</v>
      </c>
      <c r="X249" s="414">
        <f t="shared" si="1922"/>
        <v>0</v>
      </c>
      <c r="Y249" s="414">
        <f t="shared" si="1923"/>
        <v>0</v>
      </c>
      <c r="Z249" s="406">
        <f t="shared" si="1924"/>
        <v>0</v>
      </c>
      <c r="AA249" s="407">
        <f t="shared" si="1925"/>
        <v>0</v>
      </c>
      <c r="AB249" s="404">
        <f t="shared" si="1926"/>
        <v>0</v>
      </c>
      <c r="AC249" s="414">
        <f t="shared" si="1927"/>
        <v>0</v>
      </c>
      <c r="AD249" s="414">
        <f t="shared" si="1928"/>
        <v>0</v>
      </c>
      <c r="AE249" s="406">
        <f t="shared" si="1929"/>
        <v>0</v>
      </c>
      <c r="AF249" s="407">
        <f t="shared" si="1930"/>
        <v>0</v>
      </c>
      <c r="AG249" s="404">
        <f t="shared" si="1931"/>
        <v>0</v>
      </c>
      <c r="AH249" s="414">
        <f t="shared" si="1932"/>
        <v>0</v>
      </c>
      <c r="AI249" s="414">
        <f t="shared" si="1933"/>
        <v>0</v>
      </c>
      <c r="AJ249" s="406">
        <f t="shared" si="1934"/>
        <v>0</v>
      </c>
      <c r="AK249" s="407">
        <f t="shared" si="1935"/>
        <v>0</v>
      </c>
      <c r="AL249" s="404">
        <f t="shared" si="1936"/>
        <v>0</v>
      </c>
      <c r="AM249" s="414">
        <f t="shared" si="1937"/>
        <v>0</v>
      </c>
      <c r="AN249" s="414">
        <f t="shared" si="1938"/>
        <v>0</v>
      </c>
      <c r="AO249" s="406">
        <f t="shared" si="1939"/>
        <v>0</v>
      </c>
      <c r="AP249" s="407">
        <f t="shared" si="1940"/>
        <v>0</v>
      </c>
      <c r="AQ249" s="404">
        <f t="shared" si="1941"/>
        <v>0</v>
      </c>
      <c r="AR249" s="414">
        <f t="shared" si="1942"/>
        <v>0</v>
      </c>
      <c r="AS249" s="414">
        <f t="shared" si="1943"/>
        <v>0</v>
      </c>
      <c r="AT249" s="406">
        <f t="shared" si="1944"/>
        <v>0</v>
      </c>
      <c r="AU249" s="407">
        <f t="shared" si="1945"/>
        <v>0</v>
      </c>
      <c r="AV249" s="404">
        <f t="shared" si="1946"/>
        <v>0</v>
      </c>
      <c r="AW249" s="414">
        <f t="shared" si="1947"/>
        <v>0</v>
      </c>
      <c r="AX249" s="414">
        <f t="shared" si="1948"/>
        <v>0</v>
      </c>
      <c r="AY249" s="406">
        <f t="shared" si="1949"/>
        <v>0</v>
      </c>
      <c r="AZ249" s="407">
        <f t="shared" si="1950"/>
        <v>0</v>
      </c>
      <c r="BA249" s="404">
        <f t="shared" si="1951"/>
        <v>0</v>
      </c>
      <c r="BB249" s="414">
        <f t="shared" si="1952"/>
        <v>0</v>
      </c>
      <c r="BC249" s="414">
        <f t="shared" si="1953"/>
        <v>0</v>
      </c>
      <c r="BD249" s="406">
        <f t="shared" si="1954"/>
        <v>0</v>
      </c>
      <c r="BE249" s="407">
        <f t="shared" si="1955"/>
        <v>0</v>
      </c>
      <c r="BF249" s="404">
        <f t="shared" si="1956"/>
        <v>0</v>
      </c>
      <c r="BG249" s="414">
        <f t="shared" si="1957"/>
        <v>0</v>
      </c>
      <c r="BH249" s="414">
        <f t="shared" si="1958"/>
        <v>0</v>
      </c>
      <c r="BI249" s="406">
        <f t="shared" si="1959"/>
        <v>0</v>
      </c>
      <c r="BJ249" s="407">
        <f t="shared" si="1960"/>
        <v>0</v>
      </c>
      <c r="BK249" s="404">
        <f t="shared" si="1961"/>
        <v>0</v>
      </c>
      <c r="BL249" s="414">
        <f t="shared" si="1962"/>
        <v>0</v>
      </c>
      <c r="BM249" s="414">
        <f t="shared" si="1963"/>
        <v>0</v>
      </c>
      <c r="BN249" s="406">
        <f t="shared" si="1964"/>
        <v>0</v>
      </c>
      <c r="BO249" s="407">
        <f t="shared" si="1965"/>
        <v>0</v>
      </c>
      <c r="BP249" s="449"/>
      <c r="BQ249" s="413">
        <f t="shared" si="1966"/>
        <v>0</v>
      </c>
      <c r="BR249" s="410">
        <f t="shared" si="1967"/>
        <v>0</v>
      </c>
      <c r="BS249" s="416">
        <f t="shared" si="1968"/>
        <v>0</v>
      </c>
      <c r="BT249" s="416">
        <f t="shared" si="1969"/>
        <v>0</v>
      </c>
      <c r="BU249" s="412">
        <f t="shared" si="1970"/>
        <v>0</v>
      </c>
      <c r="BV249" s="413">
        <f t="shared" si="1971"/>
        <v>0</v>
      </c>
      <c r="BW249" s="410">
        <f t="shared" si="1972"/>
        <v>0</v>
      </c>
      <c r="BX249" s="416">
        <f t="shared" si="1973"/>
        <v>0</v>
      </c>
      <c r="BY249" s="416">
        <f t="shared" si="1974"/>
        <v>0</v>
      </c>
      <c r="BZ249" s="412">
        <f t="shared" si="1975"/>
        <v>0</v>
      </c>
      <c r="CA249" s="413">
        <f t="shared" si="1976"/>
        <v>0</v>
      </c>
      <c r="CB249" s="410">
        <f t="shared" si="1977"/>
        <v>0</v>
      </c>
      <c r="CC249" s="416">
        <f t="shared" si="1978"/>
        <v>0</v>
      </c>
      <c r="CD249" s="416">
        <f t="shared" si="1979"/>
        <v>0</v>
      </c>
      <c r="CE249" s="412">
        <f t="shared" si="1980"/>
        <v>0</v>
      </c>
      <c r="CF249" s="413">
        <f t="shared" si="1981"/>
        <v>0</v>
      </c>
      <c r="CG249" s="410">
        <f t="shared" si="1982"/>
        <v>0</v>
      </c>
      <c r="CH249" s="416">
        <f t="shared" si="1983"/>
        <v>0</v>
      </c>
      <c r="CI249" s="416">
        <f t="shared" si="1984"/>
        <v>0</v>
      </c>
      <c r="CJ249" s="412">
        <f t="shared" si="1985"/>
        <v>0</v>
      </c>
      <c r="CK249" s="413">
        <f t="shared" si="1986"/>
        <v>0</v>
      </c>
      <c r="CL249" s="410">
        <f t="shared" si="1987"/>
        <v>0</v>
      </c>
      <c r="CM249" s="416">
        <f t="shared" si="1988"/>
        <v>0</v>
      </c>
      <c r="CN249" s="416">
        <f t="shared" si="1989"/>
        <v>0</v>
      </c>
      <c r="CO249" s="412">
        <f t="shared" si="1990"/>
        <v>0</v>
      </c>
      <c r="CP249" s="413">
        <f t="shared" si="1991"/>
        <v>0</v>
      </c>
      <c r="CQ249" s="410">
        <f t="shared" si="1992"/>
        <v>0</v>
      </c>
      <c r="CR249" s="416">
        <f t="shared" si="1993"/>
        <v>0</v>
      </c>
      <c r="CS249" s="416">
        <f t="shared" si="1994"/>
        <v>0</v>
      </c>
      <c r="CT249" s="412">
        <f t="shared" si="1995"/>
        <v>0</v>
      </c>
      <c r="CU249" s="413">
        <f t="shared" si="1996"/>
        <v>0</v>
      </c>
      <c r="CV249" s="410">
        <f t="shared" si="1997"/>
        <v>0</v>
      </c>
      <c r="CW249" s="416">
        <f t="shared" si="1998"/>
        <v>0</v>
      </c>
      <c r="CX249" s="416">
        <f t="shared" si="1999"/>
        <v>0</v>
      </c>
      <c r="CY249" s="412">
        <f t="shared" si="2000"/>
        <v>0</v>
      </c>
      <c r="CZ249" s="413">
        <f t="shared" si="2001"/>
        <v>0</v>
      </c>
      <c r="DA249" s="410">
        <f t="shared" si="2002"/>
        <v>0</v>
      </c>
      <c r="DB249" s="416">
        <f t="shared" si="2003"/>
        <v>0</v>
      </c>
      <c r="DC249" s="416">
        <f t="shared" si="2004"/>
        <v>0</v>
      </c>
      <c r="DD249" s="412">
        <f t="shared" si="2005"/>
        <v>0</v>
      </c>
      <c r="DE249" s="413">
        <f t="shared" si="2006"/>
        <v>0</v>
      </c>
      <c r="DF249" s="410">
        <f t="shared" si="2007"/>
        <v>0</v>
      </c>
      <c r="DG249" s="416">
        <f t="shared" si="2008"/>
        <v>0</v>
      </c>
      <c r="DH249" s="416">
        <f t="shared" si="2009"/>
        <v>0</v>
      </c>
      <c r="DI249" s="412">
        <f t="shared" si="2010"/>
        <v>0</v>
      </c>
      <c r="DJ249" s="413">
        <f t="shared" si="2011"/>
        <v>0</v>
      </c>
      <c r="DK249" s="410">
        <f t="shared" si="2012"/>
        <v>0</v>
      </c>
      <c r="DL249" s="416">
        <f t="shared" si="2013"/>
        <v>0</v>
      </c>
      <c r="DM249" s="416">
        <f t="shared" si="2014"/>
        <v>0</v>
      </c>
      <c r="DN249" s="412">
        <f t="shared" si="2015"/>
        <v>0</v>
      </c>
      <c r="DO249" s="413">
        <f t="shared" si="2016"/>
        <v>0</v>
      </c>
      <c r="DP249" s="410">
        <f t="shared" si="2017"/>
        <v>0</v>
      </c>
      <c r="DQ249" s="416">
        <f t="shared" si="2018"/>
        <v>0</v>
      </c>
      <c r="DR249" s="416">
        <f t="shared" si="2019"/>
        <v>0</v>
      </c>
      <c r="DS249" s="412">
        <f t="shared" si="2020"/>
        <v>0</v>
      </c>
      <c r="DT249" s="413">
        <f t="shared" si="2021"/>
        <v>0</v>
      </c>
    </row>
    <row r="250" spans="1:124" ht="12.75" customHeight="1">
      <c r="A250" s="491"/>
      <c r="C250" s="1885" t="s">
        <v>1097</v>
      </c>
      <c r="D250" s="1885"/>
      <c r="E250" s="1886">
        <f t="shared" si="2022"/>
        <v>50</v>
      </c>
      <c r="F250" s="1532">
        <v>50</v>
      </c>
      <c r="G250" s="1532">
        <v>50</v>
      </c>
      <c r="H250" s="610">
        <v>2019</v>
      </c>
      <c r="I250" s="1533">
        <v>2.6100000000000002E-2</v>
      </c>
      <c r="J250" s="615">
        <v>4</v>
      </c>
      <c r="K250" s="402"/>
      <c r="L250" s="407">
        <f t="shared" si="1910"/>
        <v>0</v>
      </c>
      <c r="M250" s="404">
        <f t="shared" si="1911"/>
        <v>0</v>
      </c>
      <c r="N250" s="414">
        <f t="shared" si="1912"/>
        <v>0</v>
      </c>
      <c r="O250" s="414">
        <f t="shared" si="1913"/>
        <v>0</v>
      </c>
      <c r="P250" s="406">
        <f t="shared" si="1914"/>
        <v>0</v>
      </c>
      <c r="Q250" s="407">
        <f t="shared" si="1915"/>
        <v>0</v>
      </c>
      <c r="R250" s="404">
        <f t="shared" si="1916"/>
        <v>0</v>
      </c>
      <c r="S250" s="414">
        <f t="shared" si="1917"/>
        <v>0</v>
      </c>
      <c r="T250" s="414">
        <f t="shared" si="1918"/>
        <v>0</v>
      </c>
      <c r="U250" s="406">
        <f t="shared" si="1919"/>
        <v>0</v>
      </c>
      <c r="V250" s="407">
        <f t="shared" si="1920"/>
        <v>0</v>
      </c>
      <c r="W250" s="404">
        <f t="shared" si="1921"/>
        <v>0</v>
      </c>
      <c r="X250" s="414">
        <f t="shared" si="1922"/>
        <v>0</v>
      </c>
      <c r="Y250" s="414">
        <f t="shared" si="1923"/>
        <v>0</v>
      </c>
      <c r="Z250" s="406">
        <f t="shared" si="1924"/>
        <v>0</v>
      </c>
      <c r="AA250" s="407">
        <f t="shared" si="1925"/>
        <v>0</v>
      </c>
      <c r="AB250" s="404">
        <f t="shared" si="1926"/>
        <v>0</v>
      </c>
      <c r="AC250" s="414">
        <f t="shared" si="1927"/>
        <v>0</v>
      </c>
      <c r="AD250" s="414">
        <f t="shared" si="1928"/>
        <v>0</v>
      </c>
      <c r="AE250" s="406">
        <f t="shared" si="1929"/>
        <v>0</v>
      </c>
      <c r="AF250" s="407">
        <f t="shared" si="1930"/>
        <v>0</v>
      </c>
      <c r="AG250" s="404">
        <f t="shared" si="1931"/>
        <v>0</v>
      </c>
      <c r="AH250" s="414">
        <f t="shared" si="1932"/>
        <v>0</v>
      </c>
      <c r="AI250" s="414">
        <f t="shared" si="1933"/>
        <v>0</v>
      </c>
      <c r="AJ250" s="406">
        <f t="shared" si="1934"/>
        <v>0</v>
      </c>
      <c r="AK250" s="407">
        <f t="shared" si="1935"/>
        <v>0</v>
      </c>
      <c r="AL250" s="404">
        <f t="shared" si="1936"/>
        <v>0</v>
      </c>
      <c r="AM250" s="414">
        <f t="shared" si="1937"/>
        <v>0</v>
      </c>
      <c r="AN250" s="414">
        <f t="shared" si="1938"/>
        <v>0</v>
      </c>
      <c r="AO250" s="406">
        <f t="shared" si="1939"/>
        <v>0</v>
      </c>
      <c r="AP250" s="407">
        <f t="shared" si="1940"/>
        <v>0</v>
      </c>
      <c r="AQ250" s="404">
        <f t="shared" si="1941"/>
        <v>0</v>
      </c>
      <c r="AR250" s="414">
        <f t="shared" si="1942"/>
        <v>0</v>
      </c>
      <c r="AS250" s="414">
        <f t="shared" si="1943"/>
        <v>0</v>
      </c>
      <c r="AT250" s="406">
        <f t="shared" si="1944"/>
        <v>0</v>
      </c>
      <c r="AU250" s="407">
        <f t="shared" si="1945"/>
        <v>0</v>
      </c>
      <c r="AV250" s="404">
        <f t="shared" si="1946"/>
        <v>0</v>
      </c>
      <c r="AW250" s="414">
        <f t="shared" si="1947"/>
        <v>0</v>
      </c>
      <c r="AX250" s="414">
        <f t="shared" si="1948"/>
        <v>0</v>
      </c>
      <c r="AY250" s="406">
        <f t="shared" si="1949"/>
        <v>0</v>
      </c>
      <c r="AZ250" s="407">
        <f t="shared" si="1950"/>
        <v>0</v>
      </c>
      <c r="BA250" s="404">
        <f t="shared" si="1951"/>
        <v>0</v>
      </c>
      <c r="BB250" s="414">
        <f t="shared" si="1952"/>
        <v>-50</v>
      </c>
      <c r="BC250" s="414">
        <f t="shared" si="1953"/>
        <v>0</v>
      </c>
      <c r="BD250" s="406">
        <f t="shared" si="1954"/>
        <v>0</v>
      </c>
      <c r="BE250" s="407">
        <f t="shared" si="1955"/>
        <v>-50</v>
      </c>
      <c r="BF250" s="404">
        <f t="shared" si="1956"/>
        <v>0</v>
      </c>
      <c r="BG250" s="414">
        <f t="shared" si="1957"/>
        <v>0</v>
      </c>
      <c r="BH250" s="414">
        <f t="shared" si="1958"/>
        <v>0</v>
      </c>
      <c r="BI250" s="406">
        <f t="shared" si="1959"/>
        <v>0</v>
      </c>
      <c r="BJ250" s="407">
        <f t="shared" si="1960"/>
        <v>0</v>
      </c>
      <c r="BK250" s="404">
        <f t="shared" si="1961"/>
        <v>0</v>
      </c>
      <c r="BL250" s="414">
        <f t="shared" si="1962"/>
        <v>0</v>
      </c>
      <c r="BM250" s="414">
        <f t="shared" si="1963"/>
        <v>0</v>
      </c>
      <c r="BN250" s="406">
        <f t="shared" si="1964"/>
        <v>0</v>
      </c>
      <c r="BO250" s="407">
        <f t="shared" si="1965"/>
        <v>0</v>
      </c>
      <c r="BP250" s="449"/>
      <c r="BQ250" s="413">
        <f t="shared" si="1966"/>
        <v>0</v>
      </c>
      <c r="BR250" s="410">
        <f t="shared" si="1967"/>
        <v>0</v>
      </c>
      <c r="BS250" s="416">
        <f t="shared" si="1968"/>
        <v>0</v>
      </c>
      <c r="BT250" s="416">
        <f t="shared" si="1969"/>
        <v>0</v>
      </c>
      <c r="BU250" s="412">
        <f t="shared" si="1970"/>
        <v>0</v>
      </c>
      <c r="BV250" s="413">
        <f t="shared" si="1971"/>
        <v>0</v>
      </c>
      <c r="BW250" s="410">
        <f t="shared" si="1972"/>
        <v>0</v>
      </c>
      <c r="BX250" s="416">
        <f t="shared" si="1973"/>
        <v>0</v>
      </c>
      <c r="BY250" s="416">
        <f t="shared" si="1974"/>
        <v>0</v>
      </c>
      <c r="BZ250" s="412">
        <f t="shared" si="1975"/>
        <v>0</v>
      </c>
      <c r="CA250" s="413">
        <f t="shared" si="1976"/>
        <v>0</v>
      </c>
      <c r="CB250" s="410">
        <f t="shared" si="1977"/>
        <v>0</v>
      </c>
      <c r="CC250" s="416">
        <f t="shared" si="1978"/>
        <v>0</v>
      </c>
      <c r="CD250" s="416">
        <f t="shared" si="1979"/>
        <v>0</v>
      </c>
      <c r="CE250" s="412">
        <f t="shared" si="1980"/>
        <v>0</v>
      </c>
      <c r="CF250" s="413">
        <f t="shared" si="1981"/>
        <v>0</v>
      </c>
      <c r="CG250" s="410">
        <f t="shared" si="1982"/>
        <v>0</v>
      </c>
      <c r="CH250" s="416">
        <f t="shared" si="1983"/>
        <v>0</v>
      </c>
      <c r="CI250" s="416">
        <f t="shared" si="1984"/>
        <v>0</v>
      </c>
      <c r="CJ250" s="412">
        <f t="shared" si="1985"/>
        <v>0</v>
      </c>
      <c r="CK250" s="413">
        <f t="shared" si="1986"/>
        <v>0</v>
      </c>
      <c r="CL250" s="410">
        <f t="shared" si="1987"/>
        <v>0</v>
      </c>
      <c r="CM250" s="416">
        <f t="shared" si="1988"/>
        <v>0</v>
      </c>
      <c r="CN250" s="416">
        <f t="shared" si="1989"/>
        <v>0</v>
      </c>
      <c r="CO250" s="412">
        <f t="shared" si="1990"/>
        <v>0</v>
      </c>
      <c r="CP250" s="413">
        <f t="shared" si="1991"/>
        <v>0</v>
      </c>
      <c r="CQ250" s="410">
        <f t="shared" si="1992"/>
        <v>0</v>
      </c>
      <c r="CR250" s="416">
        <f t="shared" si="1993"/>
        <v>0</v>
      </c>
      <c r="CS250" s="416">
        <f t="shared" si="1994"/>
        <v>0</v>
      </c>
      <c r="CT250" s="412">
        <f t="shared" si="1995"/>
        <v>0</v>
      </c>
      <c r="CU250" s="413">
        <f t="shared" si="1996"/>
        <v>0</v>
      </c>
      <c r="CV250" s="410">
        <f t="shared" si="1997"/>
        <v>0</v>
      </c>
      <c r="CW250" s="416">
        <f t="shared" si="1998"/>
        <v>0</v>
      </c>
      <c r="CX250" s="416">
        <f t="shared" si="1999"/>
        <v>0</v>
      </c>
      <c r="CY250" s="412">
        <f t="shared" si="2000"/>
        <v>0</v>
      </c>
      <c r="CZ250" s="413">
        <f t="shared" si="2001"/>
        <v>0</v>
      </c>
      <c r="DA250" s="410">
        <f t="shared" si="2002"/>
        <v>0</v>
      </c>
      <c r="DB250" s="416">
        <f t="shared" si="2003"/>
        <v>0</v>
      </c>
      <c r="DC250" s="416">
        <f t="shared" si="2004"/>
        <v>0</v>
      </c>
      <c r="DD250" s="412">
        <f t="shared" si="2005"/>
        <v>0</v>
      </c>
      <c r="DE250" s="413">
        <f t="shared" si="2006"/>
        <v>0</v>
      </c>
      <c r="DF250" s="410">
        <f t="shared" si="2007"/>
        <v>0</v>
      </c>
      <c r="DG250" s="416">
        <f t="shared" si="2008"/>
        <v>-0.32625000000000004</v>
      </c>
      <c r="DH250" s="416">
        <f t="shared" si="2009"/>
        <v>-0.32625000000000004</v>
      </c>
      <c r="DI250" s="412">
        <f t="shared" si="2010"/>
        <v>-0.32625000000000004</v>
      </c>
      <c r="DJ250" s="413">
        <f t="shared" si="2011"/>
        <v>-0.97875000000000012</v>
      </c>
      <c r="DK250" s="410">
        <f t="shared" si="2012"/>
        <v>-0.32625000000000004</v>
      </c>
      <c r="DL250" s="416">
        <f t="shared" si="2013"/>
        <v>0</v>
      </c>
      <c r="DM250" s="416">
        <f t="shared" si="2014"/>
        <v>0</v>
      </c>
      <c r="DN250" s="412">
        <f t="shared" si="2015"/>
        <v>0</v>
      </c>
      <c r="DO250" s="413">
        <f t="shared" si="2016"/>
        <v>-0.32625000000000004</v>
      </c>
      <c r="DP250" s="410">
        <f t="shared" si="2017"/>
        <v>0</v>
      </c>
      <c r="DQ250" s="416">
        <f t="shared" si="2018"/>
        <v>0</v>
      </c>
      <c r="DR250" s="416">
        <f t="shared" si="2019"/>
        <v>0</v>
      </c>
      <c r="DS250" s="412">
        <f t="shared" si="2020"/>
        <v>0</v>
      </c>
      <c r="DT250" s="413">
        <f t="shared" si="2021"/>
        <v>0</v>
      </c>
    </row>
    <row r="251" spans="1:124" ht="12.75" customHeight="1">
      <c r="A251" s="491"/>
      <c r="C251" s="1885" t="s">
        <v>1098</v>
      </c>
      <c r="D251" s="1885"/>
      <c r="E251" s="1886">
        <f t="shared" si="2022"/>
        <v>50</v>
      </c>
      <c r="F251" s="1532">
        <v>50</v>
      </c>
      <c r="G251" s="1532">
        <v>50</v>
      </c>
      <c r="H251" s="610">
        <v>2026</v>
      </c>
      <c r="I251" s="1533">
        <v>3.8100000000000002E-2</v>
      </c>
      <c r="J251" s="615">
        <v>4</v>
      </c>
      <c r="K251" s="402"/>
      <c r="L251" s="407">
        <f t="shared" si="1910"/>
        <v>0</v>
      </c>
      <c r="M251" s="404">
        <f t="shared" si="1911"/>
        <v>0</v>
      </c>
      <c r="N251" s="414">
        <f t="shared" si="1912"/>
        <v>0</v>
      </c>
      <c r="O251" s="414">
        <f t="shared" si="1913"/>
        <v>0</v>
      </c>
      <c r="P251" s="406">
        <f t="shared" si="1914"/>
        <v>0</v>
      </c>
      <c r="Q251" s="407">
        <f t="shared" si="1915"/>
        <v>0</v>
      </c>
      <c r="R251" s="404">
        <f t="shared" si="1916"/>
        <v>0</v>
      </c>
      <c r="S251" s="414">
        <f t="shared" si="1917"/>
        <v>0</v>
      </c>
      <c r="T251" s="414">
        <f t="shared" si="1918"/>
        <v>0</v>
      </c>
      <c r="U251" s="406">
        <f t="shared" si="1919"/>
        <v>0</v>
      </c>
      <c r="V251" s="407">
        <f t="shared" si="1920"/>
        <v>0</v>
      </c>
      <c r="W251" s="404">
        <f t="shared" si="1921"/>
        <v>0</v>
      </c>
      <c r="X251" s="414">
        <f t="shared" si="1922"/>
        <v>0</v>
      </c>
      <c r="Y251" s="414">
        <f t="shared" si="1923"/>
        <v>0</v>
      </c>
      <c r="Z251" s="406">
        <f t="shared" si="1924"/>
        <v>0</v>
      </c>
      <c r="AA251" s="407">
        <f t="shared" si="1925"/>
        <v>0</v>
      </c>
      <c r="AB251" s="404">
        <f t="shared" si="1926"/>
        <v>0</v>
      </c>
      <c r="AC251" s="414">
        <f t="shared" si="1927"/>
        <v>0</v>
      </c>
      <c r="AD251" s="414">
        <f t="shared" si="1928"/>
        <v>0</v>
      </c>
      <c r="AE251" s="406">
        <f t="shared" si="1929"/>
        <v>0</v>
      </c>
      <c r="AF251" s="407">
        <f t="shared" si="1930"/>
        <v>0</v>
      </c>
      <c r="AG251" s="404">
        <f t="shared" si="1931"/>
        <v>0</v>
      </c>
      <c r="AH251" s="414">
        <f t="shared" si="1932"/>
        <v>0</v>
      </c>
      <c r="AI251" s="414">
        <f t="shared" si="1933"/>
        <v>0</v>
      </c>
      <c r="AJ251" s="406">
        <f t="shared" si="1934"/>
        <v>0</v>
      </c>
      <c r="AK251" s="407">
        <f t="shared" si="1935"/>
        <v>0</v>
      </c>
      <c r="AL251" s="404">
        <f t="shared" si="1936"/>
        <v>0</v>
      </c>
      <c r="AM251" s="414">
        <f t="shared" si="1937"/>
        <v>0</v>
      </c>
      <c r="AN251" s="414">
        <f t="shared" si="1938"/>
        <v>0</v>
      </c>
      <c r="AO251" s="406">
        <f t="shared" si="1939"/>
        <v>0</v>
      </c>
      <c r="AP251" s="407">
        <f t="shared" si="1940"/>
        <v>0</v>
      </c>
      <c r="AQ251" s="404">
        <f t="shared" si="1941"/>
        <v>0</v>
      </c>
      <c r="AR251" s="414">
        <f t="shared" si="1942"/>
        <v>0</v>
      </c>
      <c r="AS251" s="414">
        <f t="shared" si="1943"/>
        <v>0</v>
      </c>
      <c r="AT251" s="406">
        <f t="shared" si="1944"/>
        <v>0</v>
      </c>
      <c r="AU251" s="407">
        <f t="shared" si="1945"/>
        <v>0</v>
      </c>
      <c r="AV251" s="404">
        <f t="shared" si="1946"/>
        <v>0</v>
      </c>
      <c r="AW251" s="414">
        <f t="shared" si="1947"/>
        <v>0</v>
      </c>
      <c r="AX251" s="414">
        <f t="shared" si="1948"/>
        <v>0</v>
      </c>
      <c r="AY251" s="406">
        <f t="shared" si="1949"/>
        <v>0</v>
      </c>
      <c r="AZ251" s="407">
        <f t="shared" si="1950"/>
        <v>0</v>
      </c>
      <c r="BA251" s="404">
        <f t="shared" si="1951"/>
        <v>0</v>
      </c>
      <c r="BB251" s="414">
        <f t="shared" si="1952"/>
        <v>0</v>
      </c>
      <c r="BC251" s="414">
        <f t="shared" si="1953"/>
        <v>0</v>
      </c>
      <c r="BD251" s="406">
        <f t="shared" si="1954"/>
        <v>0</v>
      </c>
      <c r="BE251" s="407">
        <f t="shared" si="1955"/>
        <v>0</v>
      </c>
      <c r="BF251" s="404">
        <f t="shared" si="1956"/>
        <v>0</v>
      </c>
      <c r="BG251" s="414">
        <f t="shared" si="1957"/>
        <v>0</v>
      </c>
      <c r="BH251" s="414">
        <f t="shared" si="1958"/>
        <v>0</v>
      </c>
      <c r="BI251" s="406">
        <f t="shared" si="1959"/>
        <v>0</v>
      </c>
      <c r="BJ251" s="407">
        <f t="shared" si="1960"/>
        <v>0</v>
      </c>
      <c r="BK251" s="404">
        <f t="shared" si="1961"/>
        <v>0</v>
      </c>
      <c r="BL251" s="414">
        <f t="shared" si="1962"/>
        <v>0</v>
      </c>
      <c r="BM251" s="414">
        <f t="shared" si="1963"/>
        <v>0</v>
      </c>
      <c r="BN251" s="406">
        <f t="shared" si="1964"/>
        <v>0</v>
      </c>
      <c r="BO251" s="407">
        <f t="shared" si="1965"/>
        <v>0</v>
      </c>
      <c r="BP251" s="449"/>
      <c r="BQ251" s="413">
        <f t="shared" si="1966"/>
        <v>0</v>
      </c>
      <c r="BR251" s="410">
        <f t="shared" si="1967"/>
        <v>0</v>
      </c>
      <c r="BS251" s="416">
        <f t="shared" si="1968"/>
        <v>0</v>
      </c>
      <c r="BT251" s="416">
        <f t="shared" si="1969"/>
        <v>0</v>
      </c>
      <c r="BU251" s="412">
        <f t="shared" si="1970"/>
        <v>0</v>
      </c>
      <c r="BV251" s="413">
        <f t="shared" si="1971"/>
        <v>0</v>
      </c>
      <c r="BW251" s="410">
        <f t="shared" si="1972"/>
        <v>0</v>
      </c>
      <c r="BX251" s="416">
        <f t="shared" si="1973"/>
        <v>0</v>
      </c>
      <c r="BY251" s="416">
        <f t="shared" si="1974"/>
        <v>0</v>
      </c>
      <c r="BZ251" s="412">
        <f t="shared" si="1975"/>
        <v>0</v>
      </c>
      <c r="CA251" s="413">
        <f t="shared" si="1976"/>
        <v>0</v>
      </c>
      <c r="CB251" s="410">
        <f t="shared" si="1977"/>
        <v>0</v>
      </c>
      <c r="CC251" s="416">
        <f t="shared" si="1978"/>
        <v>0</v>
      </c>
      <c r="CD251" s="416">
        <f t="shared" si="1979"/>
        <v>0</v>
      </c>
      <c r="CE251" s="412">
        <f t="shared" si="1980"/>
        <v>0</v>
      </c>
      <c r="CF251" s="413">
        <f t="shared" si="1981"/>
        <v>0</v>
      </c>
      <c r="CG251" s="410">
        <f t="shared" si="1982"/>
        <v>0</v>
      </c>
      <c r="CH251" s="416">
        <f t="shared" si="1983"/>
        <v>0</v>
      </c>
      <c r="CI251" s="416">
        <f t="shared" si="1984"/>
        <v>0</v>
      </c>
      <c r="CJ251" s="412">
        <f t="shared" si="1985"/>
        <v>0</v>
      </c>
      <c r="CK251" s="413">
        <f t="shared" si="1986"/>
        <v>0</v>
      </c>
      <c r="CL251" s="410">
        <f t="shared" si="1987"/>
        <v>0</v>
      </c>
      <c r="CM251" s="416">
        <f t="shared" si="1988"/>
        <v>0</v>
      </c>
      <c r="CN251" s="416">
        <f t="shared" si="1989"/>
        <v>0</v>
      </c>
      <c r="CO251" s="412">
        <f t="shared" si="1990"/>
        <v>0</v>
      </c>
      <c r="CP251" s="413">
        <f t="shared" si="1991"/>
        <v>0</v>
      </c>
      <c r="CQ251" s="410">
        <f t="shared" si="1992"/>
        <v>0</v>
      </c>
      <c r="CR251" s="416">
        <f t="shared" si="1993"/>
        <v>0</v>
      </c>
      <c r="CS251" s="416">
        <f t="shared" si="1994"/>
        <v>0</v>
      </c>
      <c r="CT251" s="412">
        <f t="shared" si="1995"/>
        <v>0</v>
      </c>
      <c r="CU251" s="413">
        <f t="shared" si="1996"/>
        <v>0</v>
      </c>
      <c r="CV251" s="410">
        <f t="shared" si="1997"/>
        <v>0</v>
      </c>
      <c r="CW251" s="416">
        <f t="shared" si="1998"/>
        <v>0</v>
      </c>
      <c r="CX251" s="416">
        <f t="shared" si="1999"/>
        <v>0</v>
      </c>
      <c r="CY251" s="412">
        <f t="shared" si="2000"/>
        <v>0</v>
      </c>
      <c r="CZ251" s="413">
        <f t="shared" si="2001"/>
        <v>0</v>
      </c>
      <c r="DA251" s="410">
        <f t="shared" si="2002"/>
        <v>0</v>
      </c>
      <c r="DB251" s="416">
        <f t="shared" si="2003"/>
        <v>0</v>
      </c>
      <c r="DC251" s="416">
        <f t="shared" si="2004"/>
        <v>0</v>
      </c>
      <c r="DD251" s="412">
        <f t="shared" si="2005"/>
        <v>0</v>
      </c>
      <c r="DE251" s="413">
        <f t="shared" si="2006"/>
        <v>0</v>
      </c>
      <c r="DF251" s="410">
        <f t="shared" si="2007"/>
        <v>0</v>
      </c>
      <c r="DG251" s="416">
        <f t="shared" si="2008"/>
        <v>0</v>
      </c>
      <c r="DH251" s="416">
        <f t="shared" si="2009"/>
        <v>0</v>
      </c>
      <c r="DI251" s="412">
        <f t="shared" si="2010"/>
        <v>0</v>
      </c>
      <c r="DJ251" s="413">
        <f t="shared" si="2011"/>
        <v>0</v>
      </c>
      <c r="DK251" s="410">
        <f t="shared" si="2012"/>
        <v>0</v>
      </c>
      <c r="DL251" s="416">
        <f t="shared" si="2013"/>
        <v>0</v>
      </c>
      <c r="DM251" s="416">
        <f t="shared" si="2014"/>
        <v>0</v>
      </c>
      <c r="DN251" s="412">
        <f t="shared" si="2015"/>
        <v>0</v>
      </c>
      <c r="DO251" s="413">
        <f t="shared" si="2016"/>
        <v>0</v>
      </c>
      <c r="DP251" s="410">
        <f t="shared" si="2017"/>
        <v>0</v>
      </c>
      <c r="DQ251" s="416">
        <f t="shared" si="2018"/>
        <v>0</v>
      </c>
      <c r="DR251" s="416">
        <f t="shared" si="2019"/>
        <v>0</v>
      </c>
      <c r="DS251" s="412">
        <f t="shared" si="2020"/>
        <v>0</v>
      </c>
      <c r="DT251" s="413">
        <f t="shared" si="2021"/>
        <v>0</v>
      </c>
    </row>
    <row r="252" spans="1:124" ht="12.75" customHeight="1">
      <c r="A252" s="491"/>
      <c r="C252" s="1885" t="s">
        <v>1099</v>
      </c>
      <c r="D252" s="1885"/>
      <c r="E252" s="1886">
        <f t="shared" si="2022"/>
        <v>100</v>
      </c>
      <c r="F252" s="1532">
        <v>100</v>
      </c>
      <c r="G252" s="1532">
        <v>100</v>
      </c>
      <c r="H252" s="610">
        <v>2044</v>
      </c>
      <c r="I252" s="1533">
        <v>4.6699999999999998E-2</v>
      </c>
      <c r="J252" s="615">
        <v>4</v>
      </c>
      <c r="K252" s="402"/>
      <c r="L252" s="407">
        <f t="shared" si="1910"/>
        <v>0</v>
      </c>
      <c r="M252" s="404">
        <f t="shared" si="1911"/>
        <v>0</v>
      </c>
      <c r="N252" s="414">
        <f t="shared" si="1912"/>
        <v>0</v>
      </c>
      <c r="O252" s="414">
        <f t="shared" si="1913"/>
        <v>0</v>
      </c>
      <c r="P252" s="406">
        <f t="shared" si="1914"/>
        <v>0</v>
      </c>
      <c r="Q252" s="407">
        <f t="shared" si="1915"/>
        <v>0</v>
      </c>
      <c r="R252" s="404">
        <f t="shared" si="1916"/>
        <v>0</v>
      </c>
      <c r="S252" s="414">
        <f t="shared" si="1917"/>
        <v>0</v>
      </c>
      <c r="T252" s="414">
        <f t="shared" si="1918"/>
        <v>0</v>
      </c>
      <c r="U252" s="406">
        <f t="shared" si="1919"/>
        <v>0</v>
      </c>
      <c r="V252" s="407">
        <f t="shared" si="1920"/>
        <v>0</v>
      </c>
      <c r="W252" s="404">
        <f t="shared" si="1921"/>
        <v>0</v>
      </c>
      <c r="X252" s="414">
        <f t="shared" si="1922"/>
        <v>0</v>
      </c>
      <c r="Y252" s="414">
        <f t="shared" si="1923"/>
        <v>0</v>
      </c>
      <c r="Z252" s="406">
        <f t="shared" si="1924"/>
        <v>0</v>
      </c>
      <c r="AA252" s="407">
        <f t="shared" si="1925"/>
        <v>0</v>
      </c>
      <c r="AB252" s="404">
        <f t="shared" si="1926"/>
        <v>0</v>
      </c>
      <c r="AC252" s="414">
        <f t="shared" si="1927"/>
        <v>0</v>
      </c>
      <c r="AD252" s="414">
        <f t="shared" si="1928"/>
        <v>0</v>
      </c>
      <c r="AE252" s="406">
        <f t="shared" si="1929"/>
        <v>0</v>
      </c>
      <c r="AF252" s="407">
        <f t="shared" si="1930"/>
        <v>0</v>
      </c>
      <c r="AG252" s="404">
        <f t="shared" si="1931"/>
        <v>0</v>
      </c>
      <c r="AH252" s="414">
        <f t="shared" si="1932"/>
        <v>0</v>
      </c>
      <c r="AI252" s="414">
        <f t="shared" si="1933"/>
        <v>0</v>
      </c>
      <c r="AJ252" s="406">
        <f t="shared" si="1934"/>
        <v>0</v>
      </c>
      <c r="AK252" s="407">
        <f t="shared" si="1935"/>
        <v>0</v>
      </c>
      <c r="AL252" s="404">
        <f t="shared" si="1936"/>
        <v>0</v>
      </c>
      <c r="AM252" s="414">
        <f t="shared" si="1937"/>
        <v>0</v>
      </c>
      <c r="AN252" s="414">
        <f t="shared" si="1938"/>
        <v>0</v>
      </c>
      <c r="AO252" s="406">
        <f t="shared" si="1939"/>
        <v>0</v>
      </c>
      <c r="AP252" s="407">
        <f t="shared" si="1940"/>
        <v>0</v>
      </c>
      <c r="AQ252" s="404">
        <f t="shared" si="1941"/>
        <v>0</v>
      </c>
      <c r="AR252" s="414">
        <f t="shared" si="1942"/>
        <v>0</v>
      </c>
      <c r="AS252" s="414">
        <f t="shared" si="1943"/>
        <v>0</v>
      </c>
      <c r="AT252" s="406">
        <f t="shared" si="1944"/>
        <v>0</v>
      </c>
      <c r="AU252" s="407">
        <f t="shared" si="1945"/>
        <v>0</v>
      </c>
      <c r="AV252" s="404">
        <f t="shared" si="1946"/>
        <v>0</v>
      </c>
      <c r="AW252" s="414">
        <f t="shared" si="1947"/>
        <v>0</v>
      </c>
      <c r="AX252" s="414">
        <f t="shared" si="1948"/>
        <v>0</v>
      </c>
      <c r="AY252" s="406">
        <f t="shared" si="1949"/>
        <v>0</v>
      </c>
      <c r="AZ252" s="407">
        <f t="shared" si="1950"/>
        <v>0</v>
      </c>
      <c r="BA252" s="404">
        <f t="shared" si="1951"/>
        <v>0</v>
      </c>
      <c r="BB252" s="414">
        <f t="shared" si="1952"/>
        <v>0</v>
      </c>
      <c r="BC252" s="414">
        <f t="shared" si="1953"/>
        <v>0</v>
      </c>
      <c r="BD252" s="406">
        <f t="shared" si="1954"/>
        <v>0</v>
      </c>
      <c r="BE252" s="407">
        <f t="shared" si="1955"/>
        <v>0</v>
      </c>
      <c r="BF252" s="404">
        <f t="shared" si="1956"/>
        <v>0</v>
      </c>
      <c r="BG252" s="414">
        <f t="shared" si="1957"/>
        <v>0</v>
      </c>
      <c r="BH252" s="414">
        <f t="shared" si="1958"/>
        <v>0</v>
      </c>
      <c r="BI252" s="406">
        <f t="shared" si="1959"/>
        <v>0</v>
      </c>
      <c r="BJ252" s="407">
        <f t="shared" si="1960"/>
        <v>0</v>
      </c>
      <c r="BK252" s="404">
        <f t="shared" si="1961"/>
        <v>0</v>
      </c>
      <c r="BL252" s="414">
        <f t="shared" si="1962"/>
        <v>0</v>
      </c>
      <c r="BM252" s="414">
        <f t="shared" si="1963"/>
        <v>0</v>
      </c>
      <c r="BN252" s="406">
        <f t="shared" si="1964"/>
        <v>0</v>
      </c>
      <c r="BO252" s="407">
        <f t="shared" si="1965"/>
        <v>0</v>
      </c>
      <c r="BP252" s="449"/>
      <c r="BQ252" s="413">
        <f t="shared" si="1966"/>
        <v>0</v>
      </c>
      <c r="BR252" s="410">
        <f t="shared" si="1967"/>
        <v>0</v>
      </c>
      <c r="BS252" s="416">
        <f t="shared" si="1968"/>
        <v>0</v>
      </c>
      <c r="BT252" s="416">
        <f t="shared" si="1969"/>
        <v>0</v>
      </c>
      <c r="BU252" s="412">
        <f t="shared" si="1970"/>
        <v>0</v>
      </c>
      <c r="BV252" s="413">
        <f t="shared" si="1971"/>
        <v>0</v>
      </c>
      <c r="BW252" s="410">
        <f t="shared" si="1972"/>
        <v>0</v>
      </c>
      <c r="BX252" s="416">
        <f t="shared" si="1973"/>
        <v>0</v>
      </c>
      <c r="BY252" s="416">
        <f t="shared" si="1974"/>
        <v>0</v>
      </c>
      <c r="BZ252" s="412">
        <f t="shared" si="1975"/>
        <v>0</v>
      </c>
      <c r="CA252" s="413">
        <f t="shared" si="1976"/>
        <v>0</v>
      </c>
      <c r="CB252" s="410">
        <f t="shared" si="1977"/>
        <v>0</v>
      </c>
      <c r="CC252" s="416">
        <f t="shared" si="1978"/>
        <v>0</v>
      </c>
      <c r="CD252" s="416">
        <f t="shared" si="1979"/>
        <v>0</v>
      </c>
      <c r="CE252" s="412">
        <f t="shared" si="1980"/>
        <v>0</v>
      </c>
      <c r="CF252" s="413">
        <f t="shared" si="1981"/>
        <v>0</v>
      </c>
      <c r="CG252" s="410">
        <f t="shared" si="1982"/>
        <v>0</v>
      </c>
      <c r="CH252" s="416">
        <f t="shared" si="1983"/>
        <v>0</v>
      </c>
      <c r="CI252" s="416">
        <f t="shared" si="1984"/>
        <v>0</v>
      </c>
      <c r="CJ252" s="412">
        <f t="shared" si="1985"/>
        <v>0</v>
      </c>
      <c r="CK252" s="413">
        <f t="shared" si="1986"/>
        <v>0</v>
      </c>
      <c r="CL252" s="410">
        <f t="shared" si="1987"/>
        <v>0</v>
      </c>
      <c r="CM252" s="416">
        <f t="shared" si="1988"/>
        <v>0</v>
      </c>
      <c r="CN252" s="416">
        <f t="shared" si="1989"/>
        <v>0</v>
      </c>
      <c r="CO252" s="412">
        <f t="shared" si="1990"/>
        <v>0</v>
      </c>
      <c r="CP252" s="413">
        <f t="shared" si="1991"/>
        <v>0</v>
      </c>
      <c r="CQ252" s="410">
        <f t="shared" si="1992"/>
        <v>0</v>
      </c>
      <c r="CR252" s="416">
        <f t="shared" si="1993"/>
        <v>0</v>
      </c>
      <c r="CS252" s="416">
        <f t="shared" si="1994"/>
        <v>0</v>
      </c>
      <c r="CT252" s="412">
        <f t="shared" si="1995"/>
        <v>0</v>
      </c>
      <c r="CU252" s="413">
        <f t="shared" si="1996"/>
        <v>0</v>
      </c>
      <c r="CV252" s="410">
        <f t="shared" si="1997"/>
        <v>0</v>
      </c>
      <c r="CW252" s="416">
        <f t="shared" si="1998"/>
        <v>0</v>
      </c>
      <c r="CX252" s="416">
        <f t="shared" si="1999"/>
        <v>0</v>
      </c>
      <c r="CY252" s="412">
        <f t="shared" si="2000"/>
        <v>0</v>
      </c>
      <c r="CZ252" s="413">
        <f t="shared" si="2001"/>
        <v>0</v>
      </c>
      <c r="DA252" s="410">
        <f t="shared" si="2002"/>
        <v>0</v>
      </c>
      <c r="DB252" s="416">
        <f t="shared" si="2003"/>
        <v>0</v>
      </c>
      <c r="DC252" s="416">
        <f t="shared" si="2004"/>
        <v>0</v>
      </c>
      <c r="DD252" s="412">
        <f t="shared" si="2005"/>
        <v>0</v>
      </c>
      <c r="DE252" s="413">
        <f t="shared" si="2006"/>
        <v>0</v>
      </c>
      <c r="DF252" s="410">
        <f t="shared" si="2007"/>
        <v>0</v>
      </c>
      <c r="DG252" s="416">
        <f t="shared" si="2008"/>
        <v>0</v>
      </c>
      <c r="DH252" s="416">
        <f t="shared" si="2009"/>
        <v>0</v>
      </c>
      <c r="DI252" s="412">
        <f t="shared" si="2010"/>
        <v>0</v>
      </c>
      <c r="DJ252" s="413">
        <f t="shared" si="2011"/>
        <v>0</v>
      </c>
      <c r="DK252" s="410">
        <f t="shared" si="2012"/>
        <v>0</v>
      </c>
      <c r="DL252" s="416">
        <f t="shared" si="2013"/>
        <v>0</v>
      </c>
      <c r="DM252" s="416">
        <f t="shared" si="2014"/>
        <v>0</v>
      </c>
      <c r="DN252" s="412">
        <f t="shared" si="2015"/>
        <v>0</v>
      </c>
      <c r="DO252" s="413">
        <f t="shared" si="2016"/>
        <v>0</v>
      </c>
      <c r="DP252" s="410">
        <f t="shared" si="2017"/>
        <v>0</v>
      </c>
      <c r="DQ252" s="416">
        <f t="shared" si="2018"/>
        <v>0</v>
      </c>
      <c r="DR252" s="416">
        <f t="shared" si="2019"/>
        <v>0</v>
      </c>
      <c r="DS252" s="412">
        <f t="shared" si="2020"/>
        <v>0</v>
      </c>
      <c r="DT252" s="413">
        <f t="shared" si="2021"/>
        <v>0</v>
      </c>
    </row>
    <row r="253" spans="1:124" ht="12.75" customHeight="1">
      <c r="A253" s="491"/>
      <c r="C253" s="1885" t="s">
        <v>1315</v>
      </c>
      <c r="D253" s="1885"/>
      <c r="E253" s="1886">
        <f>IF(F253=0,G253,F253)</f>
        <v>100</v>
      </c>
      <c r="F253" s="1532">
        <v>100</v>
      </c>
      <c r="G253" s="1532">
        <v>100</v>
      </c>
      <c r="H253" s="610">
        <v>2044</v>
      </c>
      <c r="I253" s="1533">
        <v>4.7699999999999999E-2</v>
      </c>
      <c r="J253" s="615">
        <v>10</v>
      </c>
      <c r="K253" s="402"/>
      <c r="L253" s="407">
        <f t="shared" si="1910"/>
        <v>0</v>
      </c>
      <c r="M253" s="404">
        <f t="shared" si="1911"/>
        <v>0</v>
      </c>
      <c r="N253" s="414">
        <f t="shared" si="1912"/>
        <v>0</v>
      </c>
      <c r="O253" s="414">
        <f t="shared" si="1913"/>
        <v>0</v>
      </c>
      <c r="P253" s="406">
        <f t="shared" si="1914"/>
        <v>0</v>
      </c>
      <c r="Q253" s="407">
        <f t="shared" si="1915"/>
        <v>0</v>
      </c>
      <c r="R253" s="404">
        <f t="shared" si="1916"/>
        <v>0</v>
      </c>
      <c r="S253" s="414">
        <f t="shared" si="1917"/>
        <v>0</v>
      </c>
      <c r="T253" s="414">
        <f t="shared" si="1918"/>
        <v>0</v>
      </c>
      <c r="U253" s="406">
        <f t="shared" si="1919"/>
        <v>0</v>
      </c>
      <c r="V253" s="407">
        <f t="shared" si="1920"/>
        <v>0</v>
      </c>
      <c r="W253" s="404">
        <f t="shared" si="1921"/>
        <v>0</v>
      </c>
      <c r="X253" s="414">
        <f t="shared" si="1922"/>
        <v>0</v>
      </c>
      <c r="Y253" s="414">
        <f t="shared" si="1923"/>
        <v>0</v>
      </c>
      <c r="Z253" s="406">
        <f t="shared" si="1924"/>
        <v>0</v>
      </c>
      <c r="AA253" s="407">
        <f t="shared" si="1925"/>
        <v>0</v>
      </c>
      <c r="AB253" s="404">
        <f t="shared" si="1926"/>
        <v>0</v>
      </c>
      <c r="AC253" s="414">
        <f t="shared" si="1927"/>
        <v>0</v>
      </c>
      <c r="AD253" s="414">
        <f t="shared" si="1928"/>
        <v>0</v>
      </c>
      <c r="AE253" s="406">
        <f t="shared" si="1929"/>
        <v>0</v>
      </c>
      <c r="AF253" s="407">
        <f t="shared" si="1930"/>
        <v>0</v>
      </c>
      <c r="AG253" s="404">
        <f t="shared" si="1931"/>
        <v>0</v>
      </c>
      <c r="AH253" s="414">
        <f t="shared" si="1932"/>
        <v>0</v>
      </c>
      <c r="AI253" s="414">
        <f t="shared" si="1933"/>
        <v>0</v>
      </c>
      <c r="AJ253" s="406">
        <f t="shared" si="1934"/>
        <v>0</v>
      </c>
      <c r="AK253" s="407">
        <f t="shared" si="1935"/>
        <v>0</v>
      </c>
      <c r="AL253" s="404">
        <f t="shared" si="1936"/>
        <v>0</v>
      </c>
      <c r="AM253" s="414">
        <f t="shared" si="1937"/>
        <v>0</v>
      </c>
      <c r="AN253" s="414">
        <f t="shared" si="1938"/>
        <v>0</v>
      </c>
      <c r="AO253" s="406">
        <f t="shared" si="1939"/>
        <v>0</v>
      </c>
      <c r="AP253" s="407">
        <f t="shared" si="1940"/>
        <v>0</v>
      </c>
      <c r="AQ253" s="404">
        <f t="shared" si="1941"/>
        <v>0</v>
      </c>
      <c r="AR253" s="414">
        <f t="shared" si="1942"/>
        <v>0</v>
      </c>
      <c r="AS253" s="414">
        <f t="shared" si="1943"/>
        <v>0</v>
      </c>
      <c r="AT253" s="406">
        <f t="shared" si="1944"/>
        <v>0</v>
      </c>
      <c r="AU253" s="407">
        <f t="shared" si="1945"/>
        <v>0</v>
      </c>
      <c r="AV253" s="404">
        <f t="shared" si="1946"/>
        <v>0</v>
      </c>
      <c r="AW253" s="414">
        <f t="shared" si="1947"/>
        <v>0</v>
      </c>
      <c r="AX253" s="414">
        <f t="shared" si="1948"/>
        <v>0</v>
      </c>
      <c r="AY253" s="406">
        <f t="shared" si="1949"/>
        <v>0</v>
      </c>
      <c r="AZ253" s="407">
        <f t="shared" si="1950"/>
        <v>0</v>
      </c>
      <c r="BA253" s="404">
        <f t="shared" si="1951"/>
        <v>0</v>
      </c>
      <c r="BB253" s="414">
        <f t="shared" si="1952"/>
        <v>0</v>
      </c>
      <c r="BC253" s="414">
        <f t="shared" si="1953"/>
        <v>0</v>
      </c>
      <c r="BD253" s="406">
        <f t="shared" si="1954"/>
        <v>0</v>
      </c>
      <c r="BE253" s="407">
        <f t="shared" si="1955"/>
        <v>0</v>
      </c>
      <c r="BF253" s="404">
        <f t="shared" si="1956"/>
        <v>0</v>
      </c>
      <c r="BG253" s="414">
        <f t="shared" si="1957"/>
        <v>0</v>
      </c>
      <c r="BH253" s="414">
        <f t="shared" si="1958"/>
        <v>0</v>
      </c>
      <c r="BI253" s="406">
        <f t="shared" si="1959"/>
        <v>0</v>
      </c>
      <c r="BJ253" s="407">
        <f t="shared" si="1960"/>
        <v>0</v>
      </c>
      <c r="BK253" s="404">
        <f t="shared" si="1961"/>
        <v>0</v>
      </c>
      <c r="BL253" s="414">
        <f t="shared" si="1962"/>
        <v>0</v>
      </c>
      <c r="BM253" s="414">
        <f t="shared" si="1963"/>
        <v>0</v>
      </c>
      <c r="BN253" s="406">
        <f t="shared" si="1964"/>
        <v>0</v>
      </c>
      <c r="BO253" s="407">
        <f t="shared" si="1965"/>
        <v>0</v>
      </c>
      <c r="BP253" s="449"/>
      <c r="BQ253" s="413">
        <f t="shared" si="1966"/>
        <v>0</v>
      </c>
      <c r="BR253" s="410">
        <f t="shared" si="1967"/>
        <v>0</v>
      </c>
      <c r="BS253" s="416">
        <f t="shared" si="1968"/>
        <v>0</v>
      </c>
      <c r="BT253" s="416">
        <f t="shared" si="1969"/>
        <v>0</v>
      </c>
      <c r="BU253" s="412">
        <f t="shared" si="1970"/>
        <v>0</v>
      </c>
      <c r="BV253" s="413">
        <f t="shared" si="1971"/>
        <v>0</v>
      </c>
      <c r="BW253" s="410">
        <f t="shared" si="1972"/>
        <v>0</v>
      </c>
      <c r="BX253" s="416">
        <f t="shared" si="1973"/>
        <v>0</v>
      </c>
      <c r="BY253" s="416">
        <f t="shared" si="1974"/>
        <v>0</v>
      </c>
      <c r="BZ253" s="412">
        <f t="shared" si="1975"/>
        <v>0</v>
      </c>
      <c r="CA253" s="413">
        <f t="shared" si="1976"/>
        <v>0</v>
      </c>
      <c r="CB253" s="410">
        <f t="shared" si="1977"/>
        <v>0</v>
      </c>
      <c r="CC253" s="416">
        <f t="shared" si="1978"/>
        <v>0</v>
      </c>
      <c r="CD253" s="416">
        <f t="shared" si="1979"/>
        <v>0</v>
      </c>
      <c r="CE253" s="412">
        <f t="shared" si="1980"/>
        <v>0</v>
      </c>
      <c r="CF253" s="413">
        <f t="shared" si="1981"/>
        <v>0</v>
      </c>
      <c r="CG253" s="410">
        <f t="shared" si="1982"/>
        <v>0</v>
      </c>
      <c r="CH253" s="416">
        <f t="shared" si="1983"/>
        <v>0</v>
      </c>
      <c r="CI253" s="416">
        <f t="shared" si="1984"/>
        <v>0</v>
      </c>
      <c r="CJ253" s="412">
        <f t="shared" si="1985"/>
        <v>0</v>
      </c>
      <c r="CK253" s="413">
        <f t="shared" si="1986"/>
        <v>0</v>
      </c>
      <c r="CL253" s="410">
        <f t="shared" si="1987"/>
        <v>0</v>
      </c>
      <c r="CM253" s="416">
        <f t="shared" si="1988"/>
        <v>0</v>
      </c>
      <c r="CN253" s="416">
        <f t="shared" si="1989"/>
        <v>0</v>
      </c>
      <c r="CO253" s="412">
        <f t="shared" si="1990"/>
        <v>0</v>
      </c>
      <c r="CP253" s="413">
        <f t="shared" si="1991"/>
        <v>0</v>
      </c>
      <c r="CQ253" s="410">
        <f t="shared" si="1992"/>
        <v>0</v>
      </c>
      <c r="CR253" s="416">
        <f t="shared" si="1993"/>
        <v>0</v>
      </c>
      <c r="CS253" s="416">
        <f t="shared" si="1994"/>
        <v>0</v>
      </c>
      <c r="CT253" s="412">
        <f t="shared" si="1995"/>
        <v>0</v>
      </c>
      <c r="CU253" s="413">
        <f t="shared" si="1996"/>
        <v>0</v>
      </c>
      <c r="CV253" s="410">
        <f t="shared" si="1997"/>
        <v>0</v>
      </c>
      <c r="CW253" s="416">
        <f t="shared" si="1998"/>
        <v>0</v>
      </c>
      <c r="CX253" s="416">
        <f t="shared" si="1999"/>
        <v>0</v>
      </c>
      <c r="CY253" s="412">
        <f t="shared" si="2000"/>
        <v>0</v>
      </c>
      <c r="CZ253" s="413">
        <f t="shared" si="2001"/>
        <v>0</v>
      </c>
      <c r="DA253" s="410">
        <f t="shared" si="2002"/>
        <v>0</v>
      </c>
      <c r="DB253" s="416">
        <f t="shared" si="2003"/>
        <v>0</v>
      </c>
      <c r="DC253" s="416">
        <f t="shared" si="2004"/>
        <v>0</v>
      </c>
      <c r="DD253" s="412">
        <f t="shared" si="2005"/>
        <v>0</v>
      </c>
      <c r="DE253" s="413">
        <f t="shared" si="2006"/>
        <v>0</v>
      </c>
      <c r="DF253" s="410">
        <f t="shared" si="2007"/>
        <v>0</v>
      </c>
      <c r="DG253" s="416">
        <f t="shared" si="2008"/>
        <v>0</v>
      </c>
      <c r="DH253" s="416">
        <f t="shared" si="2009"/>
        <v>0</v>
      </c>
      <c r="DI253" s="412">
        <f t="shared" si="2010"/>
        <v>0</v>
      </c>
      <c r="DJ253" s="413">
        <f t="shared" si="2011"/>
        <v>0</v>
      </c>
      <c r="DK253" s="410">
        <f t="shared" si="2012"/>
        <v>0</v>
      </c>
      <c r="DL253" s="416">
        <f t="shared" si="2013"/>
        <v>0</v>
      </c>
      <c r="DM253" s="416">
        <f t="shared" si="2014"/>
        <v>0</v>
      </c>
      <c r="DN253" s="412">
        <f t="shared" si="2015"/>
        <v>0</v>
      </c>
      <c r="DO253" s="413">
        <f t="shared" si="2016"/>
        <v>0</v>
      </c>
      <c r="DP253" s="410">
        <f t="shared" si="2017"/>
        <v>0</v>
      </c>
      <c r="DQ253" s="416">
        <f t="shared" si="2018"/>
        <v>0</v>
      </c>
      <c r="DR253" s="416">
        <f t="shared" si="2019"/>
        <v>0</v>
      </c>
      <c r="DS253" s="412">
        <f t="shared" si="2020"/>
        <v>0</v>
      </c>
      <c r="DT253" s="413">
        <f t="shared" si="2021"/>
        <v>0</v>
      </c>
    </row>
    <row r="254" spans="1:124" ht="12.75" customHeight="1">
      <c r="A254" s="491"/>
      <c r="C254" s="1893" t="s">
        <v>1128</v>
      </c>
      <c r="D254" s="1893"/>
      <c r="E254" s="1886">
        <f t="shared" si="2022"/>
        <v>250</v>
      </c>
      <c r="F254" s="1532">
        <v>250</v>
      </c>
      <c r="G254" s="1532">
        <v>250</v>
      </c>
      <c r="H254" s="610">
        <v>2025</v>
      </c>
      <c r="I254" s="1533">
        <v>3.85E-2</v>
      </c>
      <c r="J254" s="615">
        <v>10</v>
      </c>
      <c r="K254" s="402"/>
      <c r="L254" s="407"/>
      <c r="M254" s="404"/>
      <c r="N254" s="414"/>
      <c r="O254" s="414"/>
      <c r="P254" s="406"/>
      <c r="Q254" s="407"/>
      <c r="R254" s="404"/>
      <c r="S254" s="414"/>
      <c r="T254" s="414"/>
      <c r="U254" s="406"/>
      <c r="V254" s="407"/>
      <c r="W254" s="404"/>
      <c r="X254" s="414"/>
      <c r="Y254" s="414"/>
      <c r="Z254" s="406"/>
      <c r="AA254" s="407"/>
      <c r="AB254" s="404"/>
      <c r="AC254" s="414"/>
      <c r="AD254" s="414"/>
      <c r="AE254" s="406"/>
      <c r="AF254" s="407"/>
      <c r="AG254" s="404"/>
      <c r="AH254" s="414"/>
      <c r="AI254" s="414"/>
      <c r="AJ254" s="406"/>
      <c r="AK254" s="407"/>
      <c r="AL254" s="404"/>
      <c r="AM254" s="414"/>
      <c r="AN254" s="414"/>
      <c r="AO254" s="406"/>
      <c r="AP254" s="407"/>
      <c r="AQ254" s="404"/>
      <c r="AR254" s="414"/>
      <c r="AS254" s="414"/>
      <c r="AT254" s="406"/>
      <c r="AU254" s="407"/>
      <c r="AV254" s="404"/>
      <c r="AW254" s="414"/>
      <c r="AX254" s="414"/>
      <c r="AY254" s="406"/>
      <c r="AZ254" s="407"/>
      <c r="BA254" s="404"/>
      <c r="BB254" s="414"/>
      <c r="BC254" s="414"/>
      <c r="BD254" s="406"/>
      <c r="BE254" s="407"/>
      <c r="BF254" s="404"/>
      <c r="BG254" s="414"/>
      <c r="BH254" s="414"/>
      <c r="BI254" s="406"/>
      <c r="BJ254" s="407"/>
      <c r="BK254" s="404"/>
      <c r="BL254" s="414"/>
      <c r="BM254" s="414"/>
      <c r="BN254" s="406"/>
      <c r="BO254" s="407"/>
      <c r="BP254" s="449"/>
      <c r="BQ254" s="413"/>
      <c r="BR254" s="410"/>
      <c r="BS254" s="416"/>
      <c r="BT254" s="416"/>
      <c r="BU254" s="412"/>
      <c r="BV254" s="413"/>
      <c r="BW254" s="410"/>
      <c r="BX254" s="416"/>
      <c r="BY254" s="416"/>
      <c r="BZ254" s="412"/>
      <c r="CA254" s="413"/>
      <c r="CB254" s="410"/>
      <c r="CC254" s="416"/>
      <c r="CD254" s="416"/>
      <c r="CE254" s="412"/>
      <c r="CF254" s="413"/>
      <c r="CG254" s="410"/>
      <c r="CH254" s="416"/>
      <c r="CI254" s="416"/>
      <c r="CJ254" s="412"/>
      <c r="CK254" s="413"/>
      <c r="CL254" s="410"/>
      <c r="CM254" s="416"/>
      <c r="CN254" s="416"/>
      <c r="CO254" s="412"/>
      <c r="CP254" s="413"/>
      <c r="CQ254" s="410"/>
      <c r="CR254" s="416"/>
      <c r="CS254" s="416"/>
      <c r="CT254" s="412"/>
      <c r="CU254" s="413"/>
      <c r="CV254" s="410"/>
      <c r="CW254" s="416"/>
      <c r="CX254" s="416"/>
      <c r="CY254" s="412"/>
      <c r="CZ254" s="413"/>
      <c r="DA254" s="410"/>
      <c r="DB254" s="416"/>
      <c r="DC254" s="416"/>
      <c r="DD254" s="412"/>
      <c r="DE254" s="413"/>
      <c r="DF254" s="410"/>
      <c r="DG254" s="416"/>
      <c r="DH254" s="416"/>
      <c r="DI254" s="412"/>
      <c r="DJ254" s="413"/>
      <c r="DK254" s="410"/>
      <c r="DL254" s="416"/>
      <c r="DM254" s="416"/>
      <c r="DN254" s="412"/>
      <c r="DO254" s="413"/>
      <c r="DP254" s="410"/>
      <c r="DQ254" s="416"/>
      <c r="DR254" s="416"/>
      <c r="DS254" s="412"/>
      <c r="DT254" s="413"/>
    </row>
    <row r="255" spans="1:124" ht="12.75" customHeight="1">
      <c r="A255" s="491"/>
      <c r="C255" s="845"/>
      <c r="D255" s="845"/>
      <c r="E255" s="1531"/>
      <c r="F255" s="1532"/>
      <c r="G255" s="1532"/>
      <c r="H255" s="610"/>
      <c r="I255" s="1533"/>
      <c r="J255" s="615"/>
      <c r="K255" s="402"/>
      <c r="L255" s="407"/>
      <c r="M255" s="404"/>
      <c r="N255" s="414"/>
      <c r="O255" s="414"/>
      <c r="P255" s="406"/>
      <c r="Q255" s="407"/>
      <c r="R255" s="404"/>
      <c r="S255" s="414"/>
      <c r="T255" s="414"/>
      <c r="U255" s="406"/>
      <c r="V255" s="407"/>
      <c r="W255" s="404"/>
      <c r="X255" s="414"/>
      <c r="Y255" s="414"/>
      <c r="Z255" s="406"/>
      <c r="AA255" s="407"/>
      <c r="AB255" s="404"/>
      <c r="AC255" s="414"/>
      <c r="AD255" s="414"/>
      <c r="AE255" s="406"/>
      <c r="AF255" s="407"/>
      <c r="AG255" s="404"/>
      <c r="AH255" s="414"/>
      <c r="AI255" s="414"/>
      <c r="AJ255" s="406"/>
      <c r="AK255" s="407"/>
      <c r="AL255" s="404"/>
      <c r="AM255" s="414"/>
      <c r="AN255" s="414"/>
      <c r="AO255" s="406"/>
      <c r="AP255" s="407"/>
      <c r="AQ255" s="404"/>
      <c r="AR255" s="414"/>
      <c r="AS255" s="414"/>
      <c r="AT255" s="406"/>
      <c r="AU255" s="407"/>
      <c r="AV255" s="404"/>
      <c r="AW255" s="414"/>
      <c r="AX255" s="414"/>
      <c r="AY255" s="406"/>
      <c r="AZ255" s="407"/>
      <c r="BA255" s="404"/>
      <c r="BB255" s="414"/>
      <c r="BC255" s="414"/>
      <c r="BD255" s="406"/>
      <c r="BE255" s="407"/>
      <c r="BF255" s="404"/>
      <c r="BG255" s="414"/>
      <c r="BH255" s="414"/>
      <c r="BI255" s="406"/>
      <c r="BJ255" s="407"/>
      <c r="BK255" s="404"/>
      <c r="BL255" s="414"/>
      <c r="BM255" s="414"/>
      <c r="BN255" s="406"/>
      <c r="BO255" s="407"/>
      <c r="BP255" s="449"/>
      <c r="BQ255" s="413"/>
      <c r="BR255" s="410"/>
      <c r="BS255" s="416"/>
      <c r="BT255" s="416"/>
      <c r="BU255" s="412"/>
      <c r="BV255" s="413"/>
      <c r="BW255" s="410"/>
      <c r="BX255" s="416"/>
      <c r="BY255" s="416"/>
      <c r="BZ255" s="412"/>
      <c r="CA255" s="413"/>
      <c r="CB255" s="410"/>
      <c r="CC255" s="416"/>
      <c r="CD255" s="416"/>
      <c r="CE255" s="412"/>
      <c r="CF255" s="413"/>
      <c r="CG255" s="410"/>
      <c r="CH255" s="416"/>
      <c r="CI255" s="416"/>
      <c r="CJ255" s="412"/>
      <c r="CK255" s="413"/>
      <c r="CL255" s="410"/>
      <c r="CM255" s="416"/>
      <c r="CN255" s="416"/>
      <c r="CO255" s="412"/>
      <c r="CP255" s="413"/>
      <c r="CQ255" s="410"/>
      <c r="CR255" s="416"/>
      <c r="CS255" s="416"/>
      <c r="CT255" s="412"/>
      <c r="CU255" s="413"/>
      <c r="CV255" s="410"/>
      <c r="CW255" s="416"/>
      <c r="CX255" s="416"/>
      <c r="CY255" s="412"/>
      <c r="CZ255" s="413"/>
      <c r="DA255" s="410"/>
      <c r="DB255" s="416"/>
      <c r="DC255" s="416"/>
      <c r="DD255" s="412"/>
      <c r="DE255" s="413"/>
      <c r="DF255" s="410"/>
      <c r="DG255" s="416"/>
      <c r="DH255" s="416"/>
      <c r="DI255" s="412"/>
      <c r="DJ255" s="413"/>
      <c r="DK255" s="410"/>
      <c r="DL255" s="416"/>
      <c r="DM255" s="416"/>
      <c r="DN255" s="412"/>
      <c r="DO255" s="413"/>
      <c r="DP255" s="410"/>
      <c r="DQ255" s="416"/>
      <c r="DR255" s="416"/>
      <c r="DS255" s="412"/>
      <c r="DT255" s="413"/>
    </row>
    <row r="256" spans="1:124" ht="12.75" customHeight="1">
      <c r="A256" s="491"/>
      <c r="C256" s="845"/>
      <c r="D256" s="845"/>
      <c r="E256" s="1531"/>
      <c r="F256" s="1532"/>
      <c r="G256" s="1532"/>
      <c r="H256" s="610"/>
      <c r="I256" s="1533"/>
      <c r="J256" s="615"/>
      <c r="K256" s="402"/>
      <c r="L256" s="407"/>
      <c r="M256" s="404"/>
      <c r="N256" s="414"/>
      <c r="O256" s="414"/>
      <c r="P256" s="406"/>
      <c r="Q256" s="407"/>
      <c r="R256" s="404"/>
      <c r="S256" s="414"/>
      <c r="T256" s="414"/>
      <c r="U256" s="406"/>
      <c r="V256" s="407"/>
      <c r="W256" s="404"/>
      <c r="X256" s="414"/>
      <c r="Y256" s="414"/>
      <c r="Z256" s="406"/>
      <c r="AA256" s="407"/>
      <c r="AB256" s="404"/>
      <c r="AC256" s="414"/>
      <c r="AD256" s="414"/>
      <c r="AE256" s="406"/>
      <c r="AF256" s="407"/>
      <c r="AG256" s="404"/>
      <c r="AH256" s="414"/>
      <c r="AI256" s="414"/>
      <c r="AJ256" s="406"/>
      <c r="AK256" s="407"/>
      <c r="AL256" s="404"/>
      <c r="AM256" s="414"/>
      <c r="AN256" s="414"/>
      <c r="AO256" s="406"/>
      <c r="AP256" s="407"/>
      <c r="AQ256" s="404"/>
      <c r="AR256" s="414"/>
      <c r="AS256" s="414"/>
      <c r="AT256" s="406"/>
      <c r="AU256" s="407"/>
      <c r="AV256" s="404"/>
      <c r="AW256" s="414"/>
      <c r="AX256" s="414"/>
      <c r="AY256" s="406"/>
      <c r="AZ256" s="407"/>
      <c r="BA256" s="404"/>
      <c r="BB256" s="414"/>
      <c r="BC256" s="414"/>
      <c r="BD256" s="406"/>
      <c r="BE256" s="407"/>
      <c r="BF256" s="404"/>
      <c r="BG256" s="414"/>
      <c r="BH256" s="414"/>
      <c r="BI256" s="406"/>
      <c r="BJ256" s="407"/>
      <c r="BK256" s="404"/>
      <c r="BL256" s="414"/>
      <c r="BM256" s="414"/>
      <c r="BN256" s="406"/>
      <c r="BO256" s="407"/>
      <c r="BP256" s="449"/>
      <c r="BQ256" s="413"/>
      <c r="BR256" s="410"/>
      <c r="BS256" s="416"/>
      <c r="BT256" s="416"/>
      <c r="BU256" s="412"/>
      <c r="BV256" s="413"/>
      <c r="BW256" s="410"/>
      <c r="BX256" s="416"/>
      <c r="BY256" s="416"/>
      <c r="BZ256" s="412"/>
      <c r="CA256" s="413"/>
      <c r="CB256" s="410"/>
      <c r="CC256" s="416"/>
      <c r="CD256" s="416"/>
      <c r="CE256" s="412"/>
      <c r="CF256" s="413"/>
      <c r="CG256" s="410"/>
      <c r="CH256" s="416"/>
      <c r="CI256" s="416"/>
      <c r="CJ256" s="412"/>
      <c r="CK256" s="413"/>
      <c r="CL256" s="410"/>
      <c r="CM256" s="416"/>
      <c r="CN256" s="416"/>
      <c r="CO256" s="412"/>
      <c r="CP256" s="413"/>
      <c r="CQ256" s="410"/>
      <c r="CR256" s="416"/>
      <c r="CS256" s="416"/>
      <c r="CT256" s="412"/>
      <c r="CU256" s="413"/>
      <c r="CV256" s="410"/>
      <c r="CW256" s="416"/>
      <c r="CX256" s="416"/>
      <c r="CY256" s="412"/>
      <c r="CZ256" s="413"/>
      <c r="DA256" s="410"/>
      <c r="DB256" s="416"/>
      <c r="DC256" s="416"/>
      <c r="DD256" s="412"/>
      <c r="DE256" s="413"/>
      <c r="DF256" s="410"/>
      <c r="DG256" s="416"/>
      <c r="DH256" s="416"/>
      <c r="DI256" s="412"/>
      <c r="DJ256" s="413"/>
      <c r="DK256" s="410"/>
      <c r="DL256" s="416"/>
      <c r="DM256" s="416"/>
      <c r="DN256" s="412"/>
      <c r="DO256" s="413"/>
      <c r="DP256" s="410"/>
      <c r="DQ256" s="416"/>
      <c r="DR256" s="416"/>
      <c r="DS256" s="412"/>
      <c r="DT256" s="413"/>
    </row>
    <row r="257" spans="1:124" ht="12.75" customHeight="1">
      <c r="A257" s="491"/>
      <c r="C257" s="1884" t="s">
        <v>397</v>
      </c>
      <c r="D257" s="1885"/>
      <c r="E257" s="1886">
        <f t="shared" ref="E257:E261" si="2023">IF(F257=0,G257,F257)</f>
        <v>69.962039000000004</v>
      </c>
      <c r="F257" s="1532">
        <v>69.962039000000004</v>
      </c>
      <c r="G257" s="1532">
        <f>231.168152</f>
        <v>231.16815199999999</v>
      </c>
      <c r="H257" s="610">
        <v>2018</v>
      </c>
      <c r="I257" s="1533">
        <v>5.1700000000000003E-2</v>
      </c>
      <c r="J257" s="615">
        <v>1</v>
      </c>
      <c r="K257" s="402"/>
      <c r="L257" s="407">
        <f t="shared" ref="L257:L261" si="2024">IF(L$5=$H257,-$E257,0)</f>
        <v>0</v>
      </c>
      <c r="M257" s="404">
        <f t="shared" ref="M257:M261" si="2025">IF(Q257=0,0,IF(Q257&lt;0,IF($J257=3,Q257,IF($J257=2,Q257,IF($J257=1,Q257,0)))))</f>
        <v>0</v>
      </c>
      <c r="N257" s="414">
        <f t="shared" ref="N257:N261" si="2026">IF(Q257=0,0,IF(Q257&lt;0,IF($J257=6,Q257,IF($J257=5,Q257,IF($J257=4,Q257,0)))))</f>
        <v>0</v>
      </c>
      <c r="O257" s="414">
        <f t="shared" ref="O257:O261" si="2027">IF(Q257=0,0,IF(Q257&lt;0,IF($J257=9,Q257,IF($J257=8,Q257,IF($J257=7,Q257,0)))))</f>
        <v>0</v>
      </c>
      <c r="P257" s="406">
        <f t="shared" ref="P257:P261" si="2028">IF(Q257=0,0,IF(Q257&lt;0,IF($J257=12,Q257,IF($J257=11,Q257,IF($J257=10,Q257,0)))))</f>
        <v>0</v>
      </c>
      <c r="Q257" s="407">
        <f t="shared" ref="Q257:Q261" si="2029">IF(Q$5=$H257,-$E257,0)</f>
        <v>0</v>
      </c>
      <c r="R257" s="404">
        <f t="shared" ref="R257:R261" si="2030">IF(V257=0,0,IF(V257&lt;0,IF($J257=3,V257,IF($J257=2,V257,IF($J257=1,V257,0)))))</f>
        <v>0</v>
      </c>
      <c r="S257" s="414">
        <f t="shared" ref="S257:S261" si="2031">IF(V257=0,0,IF(V257&lt;0,IF($J257=6,V257,IF($J257=5,V257,IF($J257=4,V257,0)))))</f>
        <v>0</v>
      </c>
      <c r="T257" s="414">
        <f t="shared" ref="T257:T261" si="2032">IF(V257=0,0,IF(V257&lt;0,IF($J257=9,V257,IF($J257=8,V257,IF($J257=7,V257,0)))))</f>
        <v>0</v>
      </c>
      <c r="U257" s="406">
        <f t="shared" ref="U257:U261" si="2033">IF(V257=0,0,IF(V257&lt;0,IF($J257=12,V257,IF($J257=11,V257,IF($J257=10,V257,0)))))</f>
        <v>0</v>
      </c>
      <c r="V257" s="407">
        <f t="shared" ref="V257:V261" si="2034">IF(V$5=$H257,-$E257,0)</f>
        <v>0</v>
      </c>
      <c r="W257" s="404">
        <f t="shared" ref="W257:W261" si="2035">IF(AA257=0,0,IF(AA257&lt;0,IF($J257=3,AA257,IF($J257=2,AA257,IF($J257=1,AA257,0)))))</f>
        <v>0</v>
      </c>
      <c r="X257" s="414">
        <f t="shared" ref="X257:X261" si="2036">IF(AA257=0,0,IF(AA257&lt;0,IF($J257=6,AA257,IF($J257=5,AA257,IF($J257=4,AA257,0)))))</f>
        <v>0</v>
      </c>
      <c r="Y257" s="414">
        <f t="shared" ref="Y257:Y261" si="2037">IF(AA257=0,0,IF(AA257&lt;0,IF($J257=9,AA257,IF($J257=8,AA257,IF($J257=7,AA257,0)))))</f>
        <v>0</v>
      </c>
      <c r="Z257" s="406">
        <f t="shared" ref="Z257:Z261" si="2038">IF(AA257=0,0,IF(AA257&lt;0,IF($J257=12,AA257,IF($J257=11,AA257,IF($J257=10,AA257,0)))))</f>
        <v>0</v>
      </c>
      <c r="AA257" s="407">
        <f t="shared" ref="AA257:AA261" si="2039">IF(AA$5=$H257,-$E257,0)</f>
        <v>0</v>
      </c>
      <c r="AB257" s="404">
        <f t="shared" ref="AB257:AB261" si="2040">IF(AF257=0,0,IF(AF257&lt;0,IF($J257=3,AF257,IF($J257=2,AF257,IF($J257=1,AF257,0)))))</f>
        <v>0</v>
      </c>
      <c r="AC257" s="414">
        <f t="shared" ref="AC257:AC261" si="2041">IF(AF257=0,0,IF(AF257&lt;0,IF($J257=6,AF257,IF($J257=5,AF257,IF($J257=4,AF257,0)))))</f>
        <v>0</v>
      </c>
      <c r="AD257" s="414">
        <f t="shared" ref="AD257:AD261" si="2042">IF(AF257=0,0,IF(AF257&lt;0,IF($J257=9,AF257,IF($J257=8,AF257,IF($J257=7,AF257,0)))))</f>
        <v>0</v>
      </c>
      <c r="AE257" s="406">
        <f t="shared" ref="AE257:AE261" si="2043">IF(AF257=0,0,IF(AF257&lt;0,IF($J257=12,AF257,IF($J257=11,AF257,IF($J257=10,AF257,0)))))</f>
        <v>0</v>
      </c>
      <c r="AF257" s="407">
        <f t="shared" ref="AF257:AF261" si="2044">IF(AF$5=$H257,-$E257,0)</f>
        <v>0</v>
      </c>
      <c r="AG257" s="404">
        <f t="shared" ref="AG257:AG261" si="2045">IF(AK257=0,0,IF(AK257&lt;0,IF($J257=3,AK257,IF($J257=2,AK257,IF($J257=1,AK257,0)))))</f>
        <v>0</v>
      </c>
      <c r="AH257" s="414">
        <f t="shared" ref="AH257:AH261" si="2046">IF(AK257=0,0,IF(AK257&lt;0,IF($J257=6,AK257,IF($J257=5,AK257,IF($J257=4,AK257,0)))))</f>
        <v>0</v>
      </c>
      <c r="AI257" s="414">
        <f t="shared" ref="AI257:AI261" si="2047">IF(AK257=0,0,IF(AK257&lt;0,IF($J257=9,AK257,IF($J257=8,AK257,IF($J257=7,AK257,0)))))</f>
        <v>0</v>
      </c>
      <c r="AJ257" s="406">
        <f t="shared" ref="AJ257:AJ261" si="2048">IF(AK257=0,0,IF(AK257&lt;0,IF($J257=12,AK257,IF($J257=11,AK257,IF($J257=10,AK257,0)))))</f>
        <v>0</v>
      </c>
      <c r="AK257" s="407">
        <f t="shared" ref="AK257:AK261" si="2049">IF(AK$5=$H257,-$E257,0)</f>
        <v>0</v>
      </c>
      <c r="AL257" s="404">
        <f t="shared" ref="AL257:AL261" si="2050">IF(AP257=0,0,IF(AP257&lt;0,IF($J257=3,AP257,IF($J257=2,AP257,IF($J257=1,AP257,0)))))</f>
        <v>0</v>
      </c>
      <c r="AM257" s="414">
        <f t="shared" ref="AM257:AM261" si="2051">IF(AP257=0,0,IF(AP257&lt;0,IF($J257=6,AP257,IF($J257=5,AP257,IF($J257=4,AP257,0)))))</f>
        <v>0</v>
      </c>
      <c r="AN257" s="414">
        <f t="shared" ref="AN257:AN261" si="2052">IF(AP257=0,0,IF(AP257&lt;0,IF($J257=9,AP257,IF($J257=8,AP257,IF($J257=7,AP257,0)))))</f>
        <v>0</v>
      </c>
      <c r="AO257" s="406">
        <f t="shared" ref="AO257:AO261" si="2053">IF(AP257=0,0,IF(AP257&lt;0,IF($J257=12,AP257,IF($J257=11,AP257,IF($J257=10,AP257,0)))))</f>
        <v>0</v>
      </c>
      <c r="AP257" s="407">
        <f t="shared" ref="AP257:AP261" si="2054">IF(AP$5=$H257,-$E257,0)</f>
        <v>0</v>
      </c>
      <c r="AQ257" s="404">
        <f t="shared" ref="AQ257:AQ261" si="2055">IF(AU257=0,0,IF(AU257&lt;0,IF($J257=3,AU257,IF($J257=2,AU257,IF($J257=1,AU257,0)))))</f>
        <v>0</v>
      </c>
      <c r="AR257" s="414">
        <f t="shared" ref="AR257:AR261" si="2056">IF(AU257=0,0,IF(AU257&lt;0,IF($J257=6,AU257,IF($J257=5,AU257,IF($J257=4,AU257,0)))))</f>
        <v>0</v>
      </c>
      <c r="AS257" s="414">
        <f t="shared" ref="AS257:AS261" si="2057">IF(AU257=0,0,IF(AU257&lt;0,IF($J257=9,AU257,IF($J257=8,AU257,IF($J257=7,AU257,0)))))</f>
        <v>0</v>
      </c>
      <c r="AT257" s="406">
        <f t="shared" ref="AT257:AT261" si="2058">IF(AU257=0,0,IF(AU257&lt;0,IF($J257=12,AU257,IF($J257=11,AU257,IF($J257=10,AU257,0)))))</f>
        <v>0</v>
      </c>
      <c r="AU257" s="407">
        <f t="shared" ref="AU257:AU261" si="2059">IF(AU$5=$H257,-$E257,0)</f>
        <v>0</v>
      </c>
      <c r="AV257" s="404">
        <f t="shared" ref="AV257:AV261" si="2060">IF(AZ257=0,0,IF(AZ257&lt;0,IF($J257=3,AZ257,IF($J257=2,AZ257,IF($J257=1,AZ257,0)))))</f>
        <v>-69.962039000000004</v>
      </c>
      <c r="AW257" s="414">
        <f t="shared" ref="AW257:AW261" si="2061">IF(AZ257=0,0,IF(AZ257&lt;0,IF($J257=6,AZ257,IF($J257=5,AZ257,IF($J257=4,AZ257,0)))))</f>
        <v>0</v>
      </c>
      <c r="AX257" s="414">
        <f t="shared" ref="AX257:AX261" si="2062">IF(AZ257=0,0,IF(AZ257&lt;0,IF($J257=9,AZ257,IF($J257=8,AZ257,IF($J257=7,AZ257,0)))))</f>
        <v>0</v>
      </c>
      <c r="AY257" s="406">
        <f t="shared" ref="AY257:AY261" si="2063">IF(AZ257=0,0,IF(AZ257&lt;0,IF($J257=12,AZ257,IF($J257=11,AZ257,IF($J257=10,AZ257,0)))))</f>
        <v>0</v>
      </c>
      <c r="AZ257" s="407">
        <f t="shared" ref="AZ257:AZ261" si="2064">IF(AZ$5=$H257,-$E257,0)</f>
        <v>-69.962039000000004</v>
      </c>
      <c r="BA257" s="404">
        <f t="shared" ref="BA257:BA261" si="2065">IF(BE257=0,0,IF(BE257&lt;0,IF($J257=3,BE257,IF($J257=2,BE257,IF($J257=1,BE257,0)))))</f>
        <v>0</v>
      </c>
      <c r="BB257" s="414">
        <f t="shared" ref="BB257:BB261" si="2066">IF(BE257=0,0,IF(BE257&lt;0,IF($J257=6,BE257,IF($J257=5,BE257,IF($J257=4,BE257,0)))))</f>
        <v>0</v>
      </c>
      <c r="BC257" s="414">
        <f t="shared" ref="BC257:BC261" si="2067">IF(BE257=0,0,IF(BE257&lt;0,IF($J257=9,BE257,IF($J257=8,BE257,IF($J257=7,BE257,0)))))</f>
        <v>0</v>
      </c>
      <c r="BD257" s="406">
        <f t="shared" ref="BD257:BD261" si="2068">IF(BE257=0,0,IF(BE257&lt;0,IF($J257=12,BE257,IF($J257=11,BE257,IF($J257=10,BE257,0)))))</f>
        <v>0</v>
      </c>
      <c r="BE257" s="407">
        <f t="shared" ref="BE257:BE261" si="2069">IF(BE$5=$H257,-$E257,0)</f>
        <v>0</v>
      </c>
      <c r="BF257" s="404">
        <f t="shared" ref="BF257:BF261" si="2070">IF(BJ257=0,0,IF(BJ257&lt;0,IF($J257=3,BJ257,IF($J257=2,BJ257,IF($J257=1,BJ257,0)))))</f>
        <v>0</v>
      </c>
      <c r="BG257" s="414">
        <f t="shared" ref="BG257:BG261" si="2071">IF(BJ257=0,0,IF(BJ257&lt;0,IF($J257=6,BJ257,IF($J257=5,BJ257,IF($J257=4,BJ257,0)))))</f>
        <v>0</v>
      </c>
      <c r="BH257" s="414">
        <f t="shared" ref="BH257:BH261" si="2072">IF(BJ257=0,0,IF(BJ257&lt;0,IF($J257=9,BJ257,IF($J257=8,BJ257,IF($J257=7,BJ257,0)))))</f>
        <v>0</v>
      </c>
      <c r="BI257" s="406">
        <f t="shared" ref="BI257:BI261" si="2073">IF(BJ257=0,0,IF(BJ257&lt;0,IF($J257=12,BJ257,IF($J257=11,BJ257,IF($J257=10,BJ257,0)))))</f>
        <v>0</v>
      </c>
      <c r="BJ257" s="407">
        <f t="shared" ref="BJ257:BJ261" si="2074">IF(BJ$5=$H257,-$E257,0)</f>
        <v>0</v>
      </c>
      <c r="BK257" s="404">
        <f t="shared" ref="BK257:BK261" si="2075">IF(BO257=0,0,IF(BO257&lt;0,IF($J257=3,BO257,IF($J257=2,BO257,IF($J257=1,BO257,0)))))</f>
        <v>0</v>
      </c>
      <c r="BL257" s="414">
        <f t="shared" ref="BL257:BL261" si="2076">IF(BO257=0,0,IF(BO257&lt;0,IF($J257=6,BO257,IF($J257=5,BO257,IF($J257=4,BO257,0)))))</f>
        <v>0</v>
      </c>
      <c r="BM257" s="414">
        <f t="shared" ref="BM257:BM261" si="2077">IF(BO257=0,0,IF(BO257&lt;0,IF($J257=9,BO257,IF($J257=8,BO257,IF($J257=7,BO257,0)))))</f>
        <v>0</v>
      </c>
      <c r="BN257" s="406">
        <f t="shared" ref="BN257:BN261" si="2078">IF(BO257=0,0,IF(BO257&lt;0,IF($J257=12,BO257,IF($J257=11,BO257,IF($J257=10,BO257,0)))))</f>
        <v>0</v>
      </c>
      <c r="BO257" s="407">
        <f t="shared" ref="BO257:BO261" si="2079">IF(BO$5=$H257,-$E257,0)</f>
        <v>0</v>
      </c>
      <c r="BP257" s="449"/>
      <c r="BQ257" s="413">
        <f t="shared" ref="BQ257:BQ261" si="2080">IF(AND(AH257&lt;&gt;0,AH$5=$H257),-$I257*$E257-AH257,IF(BQ$5=$H257,-$I257*$E257*(12-$J257+1)/12,0))</f>
        <v>0</v>
      </c>
      <c r="BR257" s="410">
        <f t="shared" ref="BR257:BR261" si="2081">IF($H257&lt;&gt;BV$5,0,IF(BV257&lt;0,IF($J257=1,-$E257*$I257/12*3,IF($J257=2,-$E257*$I257/12*2,IF($J257=3,-$E257*$I257/12*1,0)))))+IF(BQ$5&lt;&gt;$H257,0,IF(BQ257&lt;0,IF($J257=1,-$E257*$I257/12*0,IF($J257=2,-$E257*$I257/12*1,IF($J257=3,-$E257*$I257/12*2,IF($J257&gt;=4,-$E257*$I257/12*3,0))))))</f>
        <v>0</v>
      </c>
      <c r="BS257" s="416">
        <f t="shared" ref="BS257:BS261" si="2082">IF($H257&lt;&gt;BV$5,0,IF(BV257&lt;0,IF(OR($J257=1,$J257=2,$J257=3,$J257=4),-$E257*$I257/12*3,IF($J257=5,-$E257*$I257/12*2,IF($J257=6,-$E257*$I257/12*1,0)))))+IF(BQ$5&lt;&gt;$H257,0,IF(BQ257&lt;0,IF($J257=4,-$E257*$I257/12*0,IF($J257=5,-$E257*$I257/12*1,IF($J257=6,-$E257*$I257/12*2,IF($J257&gt;=7,-$E257*$I257/12*3,0))))))</f>
        <v>0</v>
      </c>
      <c r="BT257" s="416">
        <f t="shared" ref="BT257:BT261" si="2083">IF($H257&lt;&gt;BV$5,0,IF(BV257&lt;0,IF(OR($J257=1,$J257=2,$J257=3,$J257=4,$J257=5,$J257=6,$J257=7),-$E257*$I257/12*3,IF($J257=8,-$E257*$I257/12*2,IF($J257=9,-$E257*$I257/12*1,0)))))+IF(BQ$5&lt;&gt;$H257,0,IF(BQ257&lt;0,IF($J257=7,-$E257*$I257/12*0,IF($J257=8,-$E257*$I257/12*1,IF($J257=9,-$E257*$I257/12*2,IF($J257&gt;=10,-$E257*$I257/12*3,0))))))</f>
        <v>0</v>
      </c>
      <c r="BU257" s="412">
        <f t="shared" ref="BU257:BU261" si="2084">IF($H257&lt;&gt;BV$5,0,IF(BV257&lt;0,IF(OR($J257=1,$J257=2,$J257=3,$J257=4,$J257=5,$J257=6,$J257=7,$J257=8,$J257=9,$J257=10),-$E257*$I257/12*3,IF($J257=11,-$E257*$I257/12*2,IF($J257=12,-$E257*$I257/12*1,0)))))+IF(BQ$5&lt;&gt;$H257,0,IF(BQ257&lt;0,IF($J257=10,-$E257*$I257/12*0,IF($J257=11,-$E257*$I257/12*1,IF($J257=12,-$E257*$I257/12*2,0)))))</f>
        <v>0</v>
      </c>
      <c r="BV257" s="413">
        <f t="shared" ref="BV257:BV261" si="2085">IF(AND(BQ257&lt;&gt;0,BQ$5=$H257),-$I257*$E257-BQ257,IF(BV$5=$H257,-$I257*$E257*(12-$J257+1)/12,0))</f>
        <v>0</v>
      </c>
      <c r="BW257" s="410">
        <f t="shared" ref="BW257:BW261" si="2086">IF($H257&lt;&gt;CA$5,0,IF(CA257&lt;0,IF($J257=1,-$E257*$I257/12*3,IF($J257=2,-$E257*$I257/12*2,IF($J257=3,-$E257*$I257/12*1,0)))))+IF(BV$5&lt;&gt;$H257,0,IF(BV257&lt;0,IF($J257=1,-$E257*$I257/12*0,IF($J257=2,-$E257*$I257/12*1,IF($J257=3,-$E257*$I257/12*2,IF($J257&gt;=4,-$E257*$I257/12*3,0))))))</f>
        <v>0</v>
      </c>
      <c r="BX257" s="416">
        <f t="shared" ref="BX257:BX261" si="2087">IF($H257&lt;&gt;CA$5,0,IF(CA257&lt;0,IF(OR($J257=1,$J257=2,$J257=3,$J257=4),-$E257*$I257/12*3,IF($J257=5,-$E257*$I257/12*2,IF($J257=6,-$E257*$I257/12*1,0)))))+IF(BV$5&lt;&gt;$H257,0,IF(BV257&lt;0,IF($J257=4,-$E257*$I257/12*0,IF($J257=5,-$E257*$I257/12*1,IF($J257=6,-$E257*$I257/12*2,IF($J257&gt;=7,-$E257*$I257/12*3,0))))))</f>
        <v>0</v>
      </c>
      <c r="BY257" s="416">
        <f t="shared" ref="BY257:BY261" si="2088">IF($H257&lt;&gt;CA$5,0,IF(CA257&lt;0,IF(OR($J257=1,$J257=2,$J257=3,$J257=4,$J257=5,$J257=6,$J257=7),-$E257*$I257/12*3,IF($J257=8,-$E257*$I257/12*2,IF($J257=9,-$E257*$I257/12*1,0)))))+IF(BV$5&lt;&gt;$H257,0,IF(BV257&lt;0,IF($J257=7,-$E257*$I257/12*0,IF($J257=8,-$E257*$I257/12*1,IF($J257=9,-$E257*$I257/12*2,IF($J257&gt;=10,-$E257*$I257/12*3,0))))))</f>
        <v>0</v>
      </c>
      <c r="BZ257" s="412">
        <f t="shared" ref="BZ257:BZ261" si="2089">IF($H257&lt;&gt;CA$5,0,IF(CA257&lt;0,IF(OR($J257=1,$J257=2,$J257=3,$J257=4,$J257=5,$J257=6,$J257=7,$J257=8,$J257=9,$J257=10),-$E257*$I257/12*3,IF($J257=11,-$E257*$I257/12*2,IF($J257=12,-$E257*$I257/12*1,0)))))+IF(BV$5&lt;&gt;$H257,0,IF(BV257&lt;0,IF($J257=10,-$E257*$I257/12*0,IF($J257=11,-$E257*$I257/12*1,IF($J257=12,-$E257*$I257/12*2,0)))))</f>
        <v>0</v>
      </c>
      <c r="CA257" s="413">
        <f t="shared" ref="CA257:CA261" si="2090">IF(AND(BV257&lt;&gt;0,BV$5=$H257),-$I257*$E257-BV257,IF(CA$5=$H257,-$I257*$E257*(12-$J257+1)/12,0))</f>
        <v>0</v>
      </c>
      <c r="CB257" s="410">
        <f t="shared" ref="CB257:CB261" si="2091">IF($H257&lt;&gt;CF$5,0,IF(CF257&lt;0,IF($J257=1,-$E257*$I257/12*3,IF($J257=2,-$E257*$I257/12*2,IF($J257=3,-$E257*$I257/12*1,0)))))+IF(CA$5&lt;&gt;$H257,0,IF(CA257&lt;0,IF($J257=1,-$E257*$I257/12*0,IF($J257=2,-$E257*$I257/12*1,IF($J257=3,-$E257*$I257/12*2,IF($J257&gt;=4,-$E257*$I257/12*3,0))))))</f>
        <v>0</v>
      </c>
      <c r="CC257" s="416">
        <f t="shared" ref="CC257:CC261" si="2092">IF($H257&lt;&gt;CF$5,0,IF(CF257&lt;0,IF(OR($J257=1,$J257=2,$J257=3,$J257=4),-$E257*$I257/12*3,IF($J257=5,-$E257*$I257/12*2,IF($J257=6,-$E257*$I257/12*1,0)))))+IF(CA$5&lt;&gt;$H257,0,IF(CA257&lt;0,IF($J257=4,-$E257*$I257/12*0,IF($J257=5,-$E257*$I257/12*1,IF($J257=6,-$E257*$I257/12*2,IF($J257&gt;=7,-$E257*$I257/12*3,0))))))</f>
        <v>0</v>
      </c>
      <c r="CD257" s="416">
        <f t="shared" ref="CD257:CD261" si="2093">IF($H257&lt;&gt;CF$5,0,IF(CF257&lt;0,IF(OR($J257=1,$J257=2,$J257=3,$J257=4,$J257=5,$J257=6,$J257=7),-$E257*$I257/12*3,IF($J257=8,-$E257*$I257/12*2,IF($J257=9,-$E257*$I257/12*1,0)))))+IF(CA$5&lt;&gt;$H257,0,IF(CA257&lt;0,IF($J257=7,-$E257*$I257/12*0,IF($J257=8,-$E257*$I257/12*1,IF($J257=9,-$E257*$I257/12*2,IF($J257&gt;=10,-$E257*$I257/12*3,0))))))</f>
        <v>0</v>
      </c>
      <c r="CE257" s="412">
        <f t="shared" ref="CE257:CE261" si="2094">IF($H257&lt;&gt;CF$5,0,IF(CF257&lt;0,IF(OR($J257=1,$J257=2,$J257=3,$J257=4,$J257=5,$J257=6,$J257=7,$J257=8,$J257=9,$J257=10),-$E257*$I257/12*3,IF($J257=11,-$E257*$I257/12*2,IF($J257=12,-$E257*$I257/12*1,0)))))+IF(CA$5&lt;&gt;$H257,0,IF(CA257&lt;0,IF($J257=10,-$E257*$I257/12*0,IF($J257=11,-$E257*$I257/12*1,IF($J257=12,-$E257*$I257/12*2,0)))))</f>
        <v>0</v>
      </c>
      <c r="CF257" s="413">
        <f t="shared" ref="CF257:CF261" si="2095">IF(AND(CA257&lt;&gt;0,CA$5=$H257),-$I257*$E257-CA257,IF(CF$5=$H257,-$I257*$E257*(12-$J257+1)/12,0))</f>
        <v>0</v>
      </c>
      <c r="CG257" s="410">
        <f t="shared" ref="CG257:CG261" si="2096">IF($H257&lt;&gt;CK$5,0,IF(CK257&lt;0,IF($J257=1,-$E257*$I257/12*3,IF($J257=2,-$E257*$I257/12*2,IF($J257=3,-$E257*$I257/12*1,0)))))+IF(CF$5&lt;&gt;$H257,0,IF(CF257&lt;0,IF($J257=1,-$E257*$I257/12*0,IF($J257=2,-$E257*$I257/12*1,IF($J257=3,-$E257*$I257/12*2,IF($J257&gt;=4,-$E257*$I257/12*3,0))))))</f>
        <v>0</v>
      </c>
      <c r="CH257" s="416">
        <f t="shared" ref="CH257:CH261" si="2097">IF($H257&lt;&gt;CK$5,0,IF(CK257&lt;0,IF(OR($J257=1,$J257=2,$J257=3,$J257=4),-$E257*$I257/12*3,IF($J257=5,-$E257*$I257/12*2,IF($J257=6,-$E257*$I257/12*1,0)))))+IF(CF$5&lt;&gt;$H257,0,IF(CF257&lt;0,IF($J257=4,-$E257*$I257/12*0,IF($J257=5,-$E257*$I257/12*1,IF($J257=6,-$E257*$I257/12*2,IF($J257&gt;=7,-$E257*$I257/12*3,0))))))</f>
        <v>0</v>
      </c>
      <c r="CI257" s="416">
        <f t="shared" ref="CI257:CI261" si="2098">IF($H257&lt;&gt;CK$5,0,IF(CK257&lt;0,IF(OR($J257=1,$J257=2,$J257=3,$J257=4,$J257=5,$J257=6,$J257=7),-$E257*$I257/12*3,IF($J257=8,-$E257*$I257/12*2,IF($J257=9,-$E257*$I257/12*1,0)))))+IF(CF$5&lt;&gt;$H257,0,IF(CF257&lt;0,IF($J257=7,-$E257*$I257/12*0,IF($J257=8,-$E257*$I257/12*1,IF($J257=9,-$E257*$I257/12*2,IF($J257&gt;=10,-$E257*$I257/12*3,0))))))</f>
        <v>0</v>
      </c>
      <c r="CJ257" s="412">
        <f t="shared" ref="CJ257:CJ261" si="2099">IF($H257&lt;&gt;CK$5,0,IF(CK257&lt;0,IF(OR($J257=1,$J257=2,$J257=3,$J257=4,$J257=5,$J257=6,$J257=7,$J257=8,$J257=9,$J257=10),-$E257*$I257/12*3,IF($J257=11,-$E257*$I257/12*2,IF($J257=12,-$E257*$I257/12*1,0)))))+IF(CF$5&lt;&gt;$H257,0,IF(CF257&lt;0,IF($J257=10,-$E257*$I257/12*0,IF($J257=11,-$E257*$I257/12*1,IF($J257=12,-$E257*$I257/12*2,0)))))</f>
        <v>0</v>
      </c>
      <c r="CK257" s="413">
        <f t="shared" ref="CK257:CK261" si="2100">IF(AND(CF257&lt;&gt;0,CF$5=$H257),-$I257*$E257-CF257,IF(CK$5=$H257,-$I257*$E257*(12-$J257+1)/12,0))</f>
        <v>0</v>
      </c>
      <c r="CL257" s="410">
        <f t="shared" ref="CL257:CL261" si="2101">IF($H257&lt;&gt;CP$5,0,IF(CP257&lt;0,IF($J257=1,-$E257*$I257/12*3,IF($J257=2,-$E257*$I257/12*2,IF($J257=3,-$E257*$I257/12*1,0)))))+IF(CK$5&lt;&gt;$H257,0,IF(CK257&lt;0,IF($J257=1,-$E257*$I257/12*0,IF($J257=2,-$E257*$I257/12*1,IF($J257=3,-$E257*$I257/12*2,IF($J257&gt;=4,-$E257*$I257/12*3,0))))))</f>
        <v>0</v>
      </c>
      <c r="CM257" s="416">
        <f t="shared" ref="CM257:CM261" si="2102">IF($H257&lt;&gt;CP$5,0,IF(CP257&lt;0,IF(OR($J257=1,$J257=2,$J257=3,$J257=4),-$E257*$I257/12*3,IF($J257=5,-$E257*$I257/12*2,IF($J257=6,-$E257*$I257/12*1,0)))))+IF(CK$5&lt;&gt;$H257,0,IF(CK257&lt;0,IF($J257=4,-$E257*$I257/12*0,IF($J257=5,-$E257*$I257/12*1,IF($J257=6,-$E257*$I257/12*2,IF($J257&gt;=7,-$E257*$I257/12*3,0))))))</f>
        <v>0</v>
      </c>
      <c r="CN257" s="416">
        <f t="shared" ref="CN257:CN261" si="2103">IF($H257&lt;&gt;CP$5,0,IF(CP257&lt;0,IF(OR($J257=1,$J257=2,$J257=3,$J257=4,$J257=5,$J257=6,$J257=7),-$E257*$I257/12*3,IF($J257=8,-$E257*$I257/12*2,IF($J257=9,-$E257*$I257/12*1,0)))))+IF(CK$5&lt;&gt;$H257,0,IF(CK257&lt;0,IF($J257=7,-$E257*$I257/12*0,IF($J257=8,-$E257*$I257/12*1,IF($J257=9,-$E257*$I257/12*2,IF($J257&gt;=10,-$E257*$I257/12*3,0))))))</f>
        <v>0</v>
      </c>
      <c r="CO257" s="412">
        <f t="shared" ref="CO257:CO261" si="2104">IF($H257&lt;&gt;CP$5,0,IF(CP257&lt;0,IF(OR($J257=1,$J257=2,$J257=3,$J257=4,$J257=5,$J257=6,$J257=7,$J257=8,$J257=9,$J257=10),-$E257*$I257/12*3,IF($J257=11,-$E257*$I257/12*2,IF($J257=12,-$E257*$I257/12*1,0)))))+IF(CK$5&lt;&gt;$H257,0,IF(CK257&lt;0,IF($J257=10,-$E257*$I257/12*0,IF($J257=11,-$E257*$I257/12*1,IF($J257=12,-$E257*$I257/12*2,0)))))</f>
        <v>0</v>
      </c>
      <c r="CP257" s="413">
        <f t="shared" ref="CP257:CP261" si="2105">IF(AND(CK257&lt;&gt;0,CK$5=$H257),-$I257*$E257-CK257,IF(CP$5=$H257,-$I257*$E257*(12-$J257+1)/12,0))</f>
        <v>0</v>
      </c>
      <c r="CQ257" s="410">
        <f t="shared" ref="CQ257:CQ261" si="2106">IF($H257&lt;&gt;CU$5,0,IF(CU257&lt;0,IF($J257=1,-$E257*$I257/12*3,IF($J257=2,-$E257*$I257/12*2,IF($J257=3,-$E257*$I257/12*1,0)))))+IF(CP$5&lt;&gt;$H257,0,IF(CP257&lt;0,IF($J257=1,-$E257*$I257/12*0,IF($J257=2,-$E257*$I257/12*1,IF($J257=3,-$E257*$I257/12*2,IF($J257&gt;=4,-$E257*$I257/12*3,0))))))</f>
        <v>0</v>
      </c>
      <c r="CR257" s="416">
        <f t="shared" ref="CR257:CR261" si="2107">IF($H257&lt;&gt;CU$5,0,IF(CU257&lt;0,IF(OR($J257=1,$J257=2,$J257=3,$J257=4),-$E257*$I257/12*3,IF($J257=5,-$E257*$I257/12*2,IF($J257=6,-$E257*$I257/12*1,0)))))+IF(CP$5&lt;&gt;$H257,0,IF(CP257&lt;0,IF($J257=4,-$E257*$I257/12*0,IF($J257=5,-$E257*$I257/12*1,IF($J257=6,-$E257*$I257/12*2,IF($J257&gt;=7,-$E257*$I257/12*3,0))))))</f>
        <v>0</v>
      </c>
      <c r="CS257" s="416">
        <f t="shared" ref="CS257:CS261" si="2108">IF($H257&lt;&gt;CU$5,0,IF(CU257&lt;0,IF(OR($J257=1,$J257=2,$J257=3,$J257=4,$J257=5,$J257=6,$J257=7),-$E257*$I257/12*3,IF($J257=8,-$E257*$I257/12*2,IF($J257=9,-$E257*$I257/12*1,0)))))+IF(CP$5&lt;&gt;$H257,0,IF(CP257&lt;0,IF($J257=7,-$E257*$I257/12*0,IF($J257=8,-$E257*$I257/12*1,IF($J257=9,-$E257*$I257/12*2,IF($J257&gt;=10,-$E257*$I257/12*3,0))))))</f>
        <v>0</v>
      </c>
      <c r="CT257" s="412">
        <f t="shared" ref="CT257:CT261" si="2109">IF($H257&lt;&gt;CU$5,0,IF(CU257&lt;0,IF(OR($J257=1,$J257=2,$J257=3,$J257=4,$J257=5,$J257=6,$J257=7,$J257=8,$J257=9,$J257=10),-$E257*$I257/12*3,IF($J257=11,-$E257*$I257/12*2,IF($J257=12,-$E257*$I257/12*1,0)))))+IF(CP$5&lt;&gt;$H257,0,IF(CP257&lt;0,IF($J257=10,-$E257*$I257/12*0,IF($J257=11,-$E257*$I257/12*1,IF($J257=12,-$E257*$I257/12*2,0)))))</f>
        <v>0</v>
      </c>
      <c r="CU257" s="413">
        <f t="shared" ref="CU257:CU261" si="2110">IF(AND(CP257&lt;&gt;0,CP$5=$H257),-$I257*$E257-CP257,IF(CU$5=$H257,-$I257*$E257*(12-$J257+1)/12,0))</f>
        <v>0</v>
      </c>
      <c r="CV257" s="410">
        <f t="shared" ref="CV257:CV261" si="2111">IF($H257&lt;&gt;CZ$5,0,IF(CZ257&lt;0,IF($J257=1,-$E257*$I257/12*3,IF($J257=2,-$E257*$I257/12*2,IF($J257=3,-$E257*$I257/12*1,0)))))+IF(CU$5&lt;&gt;$H257,0,IF(CU257&lt;0,IF($J257=1,-$E257*$I257/12*0,IF($J257=2,-$E257*$I257/12*1,IF($J257=3,-$E257*$I257/12*2,IF($J257&gt;=4,-$E257*$I257/12*3,0))))))</f>
        <v>0</v>
      </c>
      <c r="CW257" s="416">
        <f t="shared" ref="CW257:CW261" si="2112">IF($H257&lt;&gt;CZ$5,0,IF(CZ257&lt;0,IF(OR($J257=1,$J257=2,$J257=3,$J257=4),-$E257*$I257/12*3,IF($J257=5,-$E257*$I257/12*2,IF($J257=6,-$E257*$I257/12*1,0)))))+IF(CU$5&lt;&gt;$H257,0,IF(CU257&lt;0,IF($J257=4,-$E257*$I257/12*0,IF($J257=5,-$E257*$I257/12*1,IF($J257=6,-$E257*$I257/12*2,IF($J257&gt;=7,-$E257*$I257/12*3,0))))))</f>
        <v>0</v>
      </c>
      <c r="CX257" s="416">
        <f t="shared" ref="CX257:CX261" si="2113">IF($H257&lt;&gt;CZ$5,0,IF(CZ257&lt;0,IF(OR($J257=1,$J257=2,$J257=3,$J257=4,$J257=5,$J257=6,$J257=7),-$E257*$I257/12*3,IF($J257=8,-$E257*$I257/12*2,IF($J257=9,-$E257*$I257/12*1,0)))))+IF(CU$5&lt;&gt;$H257,0,IF(CU257&lt;0,IF($J257=7,-$E257*$I257/12*0,IF($J257=8,-$E257*$I257/12*1,IF($J257=9,-$E257*$I257/12*2,IF($J257&gt;=10,-$E257*$I257/12*3,0))))))</f>
        <v>0</v>
      </c>
      <c r="CY257" s="412">
        <f t="shared" ref="CY257:CY261" si="2114">IF($H257&lt;&gt;CZ$5,0,IF(CZ257&lt;0,IF(OR($J257=1,$J257=2,$J257=3,$J257=4,$J257=5,$J257=6,$J257=7,$J257=8,$J257=9,$J257=10),-$E257*$I257/12*3,IF($J257=11,-$E257*$I257/12*2,IF($J257=12,-$E257*$I257/12*1,0)))))+IF(CU$5&lt;&gt;$H257,0,IF(CU257&lt;0,IF($J257=10,-$E257*$I257/12*0,IF($J257=11,-$E257*$I257/12*1,IF($J257=12,-$E257*$I257/12*2,0)))))</f>
        <v>0</v>
      </c>
      <c r="CZ257" s="413">
        <f t="shared" ref="CZ257:CZ261" si="2115">IF(AND(CU257&lt;&gt;0,CU$5=$H257),-$I257*$E257-CU257,IF(CZ$5=$H257,-$I257*$E257*(12-$J257+1)/12,0))</f>
        <v>0</v>
      </c>
      <c r="DA257" s="410">
        <f t="shared" ref="DA257:DA261" si="2116">IF($H257&lt;&gt;DE$5,0,IF(DE257&lt;0,IF($J257=1,-$E257*$I257/12*3,IF($J257=2,-$E257*$I257/12*2,IF($J257=3,-$E257*$I257/12*1,0)))))+IF(CZ$5&lt;&gt;$H257,0,IF(CZ257&lt;0,IF($J257=1,-$E257*$I257/12*0,IF($J257=2,-$E257*$I257/12*1,IF($J257=3,-$E257*$I257/12*2,IF($J257&gt;=4,-$E257*$I257/12*3,0))))))</f>
        <v>-0.90425935407500013</v>
      </c>
      <c r="DB257" s="416">
        <f t="shared" ref="DB257:DB261" si="2117">IF($H257&lt;&gt;DE$5,0,IF(DE257&lt;0,IF(OR($J257=1,$J257=2,$J257=3,$J257=4),-$E257*$I257/12*3,IF($J257=5,-$E257*$I257/12*2,IF($J257=6,-$E257*$I257/12*1,0)))))+IF(CZ$5&lt;&gt;$H257,0,IF(CZ257&lt;0,IF($J257=4,-$E257*$I257/12*0,IF($J257=5,-$E257*$I257/12*1,IF($J257=6,-$E257*$I257/12*2,IF($J257&gt;=7,-$E257*$I257/12*3,0))))))</f>
        <v>-0.90425935407500013</v>
      </c>
      <c r="DC257" s="416">
        <f t="shared" ref="DC257:DC261" si="2118">IF($H257&lt;&gt;DE$5,0,IF(DE257&lt;0,IF(OR($J257=1,$J257=2,$J257=3,$J257=4,$J257=5,$J257=6,$J257=7),-$E257*$I257/12*3,IF($J257=8,-$E257*$I257/12*2,IF($J257=9,-$E257*$I257/12*1,0)))))+IF(CZ$5&lt;&gt;$H257,0,IF(CZ257&lt;0,IF($J257=7,-$E257*$I257/12*0,IF($J257=8,-$E257*$I257/12*1,IF($J257=9,-$E257*$I257/12*2,IF($J257&gt;=10,-$E257*$I257/12*3,0))))))</f>
        <v>-0.90425935407500013</v>
      </c>
      <c r="DD257" s="412">
        <f t="shared" ref="DD257:DD261" si="2119">IF($H257&lt;&gt;DE$5,0,IF(DE257&lt;0,IF(OR($J257=1,$J257=2,$J257=3,$J257=4,$J257=5,$J257=6,$J257=7,$J257=8,$J257=9,$J257=10),-$E257*$I257/12*3,IF($J257=11,-$E257*$I257/12*2,IF($J257=12,-$E257*$I257/12*1,0)))))+IF(CZ$5&lt;&gt;$H257,0,IF(CZ257&lt;0,IF($J257=10,-$E257*$I257/12*0,IF($J257=11,-$E257*$I257/12*1,IF($J257=12,-$E257*$I257/12*2,0)))))</f>
        <v>-0.90425935407500013</v>
      </c>
      <c r="DE257" s="413">
        <f t="shared" ref="DE257:DE261" si="2120">IF(AND(CZ257&lt;&gt;0,CZ$5=$H257),-$I257*$E257-CZ257,IF(DE$5=$H257,-$I257*$E257*(12-$J257+1)/12,0))</f>
        <v>-3.6170374163000005</v>
      </c>
      <c r="DF257" s="410">
        <f t="shared" ref="DF257:DF261" si="2121">IF($H257&lt;&gt;DJ$5,0,IF(DJ257&lt;0,IF($J257=1,-$E257*$I257/12*3,IF($J257=2,-$E257*$I257/12*2,IF($J257=3,-$E257*$I257/12*1,0)))))+IF(DE$5&lt;&gt;$H257,0,IF(DE257&lt;0,IF($J257=1,-$E257*$I257/12*0,IF($J257=2,-$E257*$I257/12*1,IF($J257=3,-$E257*$I257/12*2,IF($J257&gt;=4,-$E257*$I257/12*3,0))))))</f>
        <v>0</v>
      </c>
      <c r="DG257" s="416">
        <f t="shared" ref="DG257:DG261" si="2122">IF($H257&lt;&gt;DJ$5,0,IF(DJ257&lt;0,IF(OR($J257=1,$J257=2,$J257=3,$J257=4),-$E257*$I257/12*3,IF($J257=5,-$E257*$I257/12*2,IF($J257=6,-$E257*$I257/12*1,0)))))+IF(DE$5&lt;&gt;$H257,0,IF(DE257&lt;0,IF($J257=4,-$E257*$I257/12*0,IF($J257=5,-$E257*$I257/12*1,IF($J257=6,-$E257*$I257/12*2,IF($J257&gt;=7,-$E257*$I257/12*3,0))))))</f>
        <v>0</v>
      </c>
      <c r="DH257" s="416">
        <f t="shared" ref="DH257:DH261" si="2123">IF($H257&lt;&gt;DJ$5,0,IF(DJ257&lt;0,IF(OR($J257=1,$J257=2,$J257=3,$J257=4,$J257=5,$J257=6,$J257=7),-$E257*$I257/12*3,IF($J257=8,-$E257*$I257/12*2,IF($J257=9,-$E257*$I257/12*1,0)))))+IF(DE$5&lt;&gt;$H257,0,IF(DE257&lt;0,IF($J257=7,-$E257*$I257/12*0,IF($J257=8,-$E257*$I257/12*1,IF($J257=9,-$E257*$I257/12*2,IF($J257&gt;=10,-$E257*$I257/12*3,0))))))</f>
        <v>0</v>
      </c>
      <c r="DI257" s="412">
        <f t="shared" ref="DI257:DI261" si="2124">IF($H257&lt;&gt;DJ$5,0,IF(DJ257&lt;0,IF(OR($J257=1,$J257=2,$J257=3,$J257=4,$J257=5,$J257=6,$J257=7,$J257=8,$J257=9,$J257=10),-$E257*$I257/12*3,IF($J257=11,-$E257*$I257/12*2,IF($J257=12,-$E257*$I257/12*1,0)))))+IF(DE$5&lt;&gt;$H257,0,IF(DE257&lt;0,IF($J257=10,-$E257*$I257/12*0,IF($J257=11,-$E257*$I257/12*1,IF($J257=12,-$E257*$I257/12*2,0)))))</f>
        <v>0</v>
      </c>
      <c r="DJ257" s="413">
        <f t="shared" ref="DJ257:DJ261" si="2125">IF(AND(DE257&lt;&gt;0,DE$5=$H257),-$I257*$E257-DE257,IF(DJ$5=$H257,-$I257*$E257*(12-$J257+1)/12,0))</f>
        <v>0</v>
      </c>
      <c r="DK257" s="410">
        <f t="shared" ref="DK257:DK261" si="2126">IF($H257&lt;&gt;DO$5,0,IF(DO257&lt;0,IF($J257=1,-$E257*$I257/12*3,IF($J257=2,-$E257*$I257/12*2,IF($J257=3,-$E257*$I257/12*1,0)))))+IF(DJ$5&lt;&gt;$H257,0,IF(DJ257&lt;0,IF($J257=1,-$E257*$I257/12*0,IF($J257=2,-$E257*$I257/12*1,IF($J257=3,-$E257*$I257/12*2,IF($J257&gt;=4,-$E257*$I257/12*3,0))))))</f>
        <v>0</v>
      </c>
      <c r="DL257" s="416">
        <f t="shared" ref="DL257:DL261" si="2127">IF($H257&lt;&gt;DO$5,0,IF(DO257&lt;0,IF(OR($J257=1,$J257=2,$J257=3,$J257=4),-$E257*$I257/12*3,IF($J257=5,-$E257*$I257/12*2,IF($J257=6,-$E257*$I257/12*1,0)))))+IF(DJ$5&lt;&gt;$H257,0,IF(DJ257&lt;0,IF($J257=4,-$E257*$I257/12*0,IF($J257=5,-$E257*$I257/12*1,IF($J257=6,-$E257*$I257/12*2,IF($J257&gt;=7,-$E257*$I257/12*3,0))))))</f>
        <v>0</v>
      </c>
      <c r="DM257" s="416">
        <f t="shared" ref="DM257:DM261" si="2128">IF($H257&lt;&gt;DO$5,0,IF(DO257&lt;0,IF(OR($J257=1,$J257=2,$J257=3,$J257=4,$J257=5,$J257=6,$J257=7),-$E257*$I257/12*3,IF($J257=8,-$E257*$I257/12*2,IF($J257=9,-$E257*$I257/12*1,0)))))+IF(DJ$5&lt;&gt;$H257,0,IF(DJ257&lt;0,IF($J257=7,-$E257*$I257/12*0,IF($J257=8,-$E257*$I257/12*1,IF($J257=9,-$E257*$I257/12*2,IF($J257&gt;=10,-$E257*$I257/12*3,0))))))</f>
        <v>0</v>
      </c>
      <c r="DN257" s="412">
        <f t="shared" ref="DN257:DN261" si="2129">IF($H257&lt;&gt;DO$5,0,IF(DO257&lt;0,IF(OR($J257=1,$J257=2,$J257=3,$J257=4,$J257=5,$J257=6,$J257=7,$J257=8,$J257=9,$J257=10),-$E257*$I257/12*3,IF($J257=11,-$E257*$I257/12*2,IF($J257=12,-$E257*$I257/12*1,0)))))+IF(DJ$5&lt;&gt;$H257,0,IF(DJ257&lt;0,IF($J257=10,-$E257*$I257/12*0,IF($J257=11,-$E257*$I257/12*1,IF($J257=12,-$E257*$I257/12*2,0)))))</f>
        <v>0</v>
      </c>
      <c r="DO257" s="413">
        <f t="shared" ref="DO257:DO261" si="2130">IF(AND(DJ257&lt;&gt;0,DJ$5=$H257),-$I257*$E257-DJ257,IF(DO$5=$H257,-$I257*$E257*(12-$J257+1)/12,0))</f>
        <v>0</v>
      </c>
      <c r="DP257" s="410">
        <f t="shared" ref="DP257:DP261" si="2131">IF($H257&lt;&gt;DT$5,0,IF(DT257&lt;0,IF($J257=1,-$E257*$I257/12*3,IF($J257=2,-$E257*$I257/12*2,IF($J257=3,-$E257*$I257/12*1,0)))))+IF(DO$5&lt;&gt;$H257,0,IF(DO257&lt;0,IF($J257=1,-$E257*$I257/12*0,IF($J257=2,-$E257*$I257/12*1,IF($J257=3,-$E257*$I257/12*2,IF($J257&gt;=4,-$E257*$I257/12*3,0))))))</f>
        <v>0</v>
      </c>
      <c r="DQ257" s="416">
        <f t="shared" ref="DQ257:DQ261" si="2132">IF($H257&lt;&gt;DT$5,0,IF(DT257&lt;0,IF(OR($J257=1,$J257=2,$J257=3,$J257=4),-$E257*$I257/12*3,IF($J257=5,-$E257*$I257/12*2,IF($J257=6,-$E257*$I257/12*1,0)))))+IF(DO$5&lt;&gt;$H257,0,IF(DO257&lt;0,IF($J257=4,-$E257*$I257/12*0,IF($J257=5,-$E257*$I257/12*1,IF($J257=6,-$E257*$I257/12*2,IF($J257&gt;=7,-$E257*$I257/12*3,0))))))</f>
        <v>0</v>
      </c>
      <c r="DR257" s="416">
        <f t="shared" ref="DR257:DR261" si="2133">IF($H257&lt;&gt;DT$5,0,IF(DT257&lt;0,IF(OR($J257=1,$J257=2,$J257=3,$J257=4,$J257=5,$J257=6,$J257=7),-$E257*$I257/12*3,IF($J257=8,-$E257*$I257/12*2,IF($J257=9,-$E257*$I257/12*1,0)))))+IF(DO$5&lt;&gt;$H257,0,IF(DO257&lt;0,IF($J257=7,-$E257*$I257/12*0,IF($J257=8,-$E257*$I257/12*1,IF($J257=9,-$E257*$I257/12*2,IF($J257&gt;=10,-$E257*$I257/12*3,0))))))</f>
        <v>0</v>
      </c>
      <c r="DS257" s="412">
        <f t="shared" ref="DS257:DS261" si="2134">IF($H257&lt;&gt;DT$5,0,IF(DT257&lt;0,IF(OR($J257=1,$J257=2,$J257=3,$J257=4,$J257=5,$J257=6,$J257=7,$J257=8,$J257=9,$J257=10),-$E257*$I257/12*3,IF($J257=11,-$E257*$I257/12*2,IF($J257=12,-$E257*$I257/12*1,0)))))+IF(DO$5&lt;&gt;$H257,0,IF(DO257&lt;0,IF($J257=10,-$E257*$I257/12*0,IF($J257=11,-$E257*$I257/12*1,IF($J257=12,-$E257*$I257/12*2,0)))))</f>
        <v>0</v>
      </c>
      <c r="DT257" s="413">
        <f t="shared" ref="DT257:DT261" si="2135">IF(AND(DO257&lt;&gt;0,DO$5=$H257),-$I257*$E257-DO257,IF(DT$5=$H257,-$I257*$E257*(12-$J257+1)/12,0))</f>
        <v>0</v>
      </c>
    </row>
    <row r="258" spans="1:124" ht="12.75" customHeight="1">
      <c r="A258" s="491"/>
      <c r="C258" s="1885" t="s">
        <v>398</v>
      </c>
      <c r="D258" s="1885"/>
      <c r="E258" s="1886">
        <f t="shared" si="2023"/>
        <v>494.7</v>
      </c>
      <c r="F258" s="1532">
        <v>494.7</v>
      </c>
      <c r="G258" s="1532">
        <v>494.7</v>
      </c>
      <c r="H258" s="610">
        <v>2020</v>
      </c>
      <c r="I258" s="1533">
        <v>5.3060000000000003E-2</v>
      </c>
      <c r="J258" s="615">
        <v>7</v>
      </c>
      <c r="K258" s="402"/>
      <c r="L258" s="407">
        <f t="shared" si="2024"/>
        <v>0</v>
      </c>
      <c r="M258" s="404">
        <f t="shared" si="2025"/>
        <v>0</v>
      </c>
      <c r="N258" s="414">
        <f t="shared" si="2026"/>
        <v>0</v>
      </c>
      <c r="O258" s="414">
        <f t="shared" si="2027"/>
        <v>0</v>
      </c>
      <c r="P258" s="406">
        <f t="shared" si="2028"/>
        <v>0</v>
      </c>
      <c r="Q258" s="407">
        <f t="shared" si="2029"/>
        <v>0</v>
      </c>
      <c r="R258" s="404">
        <f t="shared" si="2030"/>
        <v>0</v>
      </c>
      <c r="S258" s="414">
        <f t="shared" si="2031"/>
        <v>0</v>
      </c>
      <c r="T258" s="414">
        <f t="shared" si="2032"/>
        <v>0</v>
      </c>
      <c r="U258" s="406">
        <f t="shared" si="2033"/>
        <v>0</v>
      </c>
      <c r="V258" s="407">
        <f t="shared" si="2034"/>
        <v>0</v>
      </c>
      <c r="W258" s="404">
        <f t="shared" si="2035"/>
        <v>0</v>
      </c>
      <c r="X258" s="414">
        <f t="shared" si="2036"/>
        <v>0</v>
      </c>
      <c r="Y258" s="414">
        <f t="shared" si="2037"/>
        <v>0</v>
      </c>
      <c r="Z258" s="406">
        <f t="shared" si="2038"/>
        <v>0</v>
      </c>
      <c r="AA258" s="407">
        <f t="shared" si="2039"/>
        <v>0</v>
      </c>
      <c r="AB258" s="404">
        <f t="shared" si="2040"/>
        <v>0</v>
      </c>
      <c r="AC258" s="414">
        <f t="shared" si="2041"/>
        <v>0</v>
      </c>
      <c r="AD258" s="414">
        <f t="shared" si="2042"/>
        <v>0</v>
      </c>
      <c r="AE258" s="406">
        <f t="shared" si="2043"/>
        <v>0</v>
      </c>
      <c r="AF258" s="407">
        <f t="shared" si="2044"/>
        <v>0</v>
      </c>
      <c r="AG258" s="404">
        <f t="shared" si="2045"/>
        <v>0</v>
      </c>
      <c r="AH258" s="414">
        <f t="shared" si="2046"/>
        <v>0</v>
      </c>
      <c r="AI258" s="414">
        <f t="shared" si="2047"/>
        <v>0</v>
      </c>
      <c r="AJ258" s="406">
        <f t="shared" si="2048"/>
        <v>0</v>
      </c>
      <c r="AK258" s="407">
        <f t="shared" si="2049"/>
        <v>0</v>
      </c>
      <c r="AL258" s="404">
        <f t="shared" si="2050"/>
        <v>0</v>
      </c>
      <c r="AM258" s="414">
        <f t="shared" si="2051"/>
        <v>0</v>
      </c>
      <c r="AN258" s="414">
        <f t="shared" si="2052"/>
        <v>0</v>
      </c>
      <c r="AO258" s="406">
        <f t="shared" si="2053"/>
        <v>0</v>
      </c>
      <c r="AP258" s="407">
        <f t="shared" si="2054"/>
        <v>0</v>
      </c>
      <c r="AQ258" s="404">
        <f t="shared" si="2055"/>
        <v>0</v>
      </c>
      <c r="AR258" s="414">
        <f t="shared" si="2056"/>
        <v>0</v>
      </c>
      <c r="AS258" s="414">
        <f t="shared" si="2057"/>
        <v>0</v>
      </c>
      <c r="AT258" s="406">
        <f t="shared" si="2058"/>
        <v>0</v>
      </c>
      <c r="AU258" s="407">
        <f t="shared" si="2059"/>
        <v>0</v>
      </c>
      <c r="AV258" s="404">
        <f t="shared" si="2060"/>
        <v>0</v>
      </c>
      <c r="AW258" s="414">
        <f t="shared" si="2061"/>
        <v>0</v>
      </c>
      <c r="AX258" s="414">
        <f t="shared" si="2062"/>
        <v>0</v>
      </c>
      <c r="AY258" s="406">
        <f t="shared" si="2063"/>
        <v>0</v>
      </c>
      <c r="AZ258" s="407">
        <f t="shared" si="2064"/>
        <v>0</v>
      </c>
      <c r="BA258" s="404">
        <f t="shared" si="2065"/>
        <v>0</v>
      </c>
      <c r="BB258" s="414">
        <f t="shared" si="2066"/>
        <v>0</v>
      </c>
      <c r="BC258" s="414">
        <f t="shared" si="2067"/>
        <v>0</v>
      </c>
      <c r="BD258" s="406">
        <f t="shared" si="2068"/>
        <v>0</v>
      </c>
      <c r="BE258" s="407">
        <f t="shared" si="2069"/>
        <v>0</v>
      </c>
      <c r="BF258" s="404">
        <f t="shared" si="2070"/>
        <v>0</v>
      </c>
      <c r="BG258" s="414">
        <f t="shared" si="2071"/>
        <v>0</v>
      </c>
      <c r="BH258" s="414">
        <f t="shared" si="2072"/>
        <v>-494.7</v>
      </c>
      <c r="BI258" s="406">
        <f t="shared" si="2073"/>
        <v>0</v>
      </c>
      <c r="BJ258" s="407">
        <f t="shared" si="2074"/>
        <v>-494.7</v>
      </c>
      <c r="BK258" s="404">
        <f t="shared" si="2075"/>
        <v>0</v>
      </c>
      <c r="BL258" s="414">
        <f t="shared" si="2076"/>
        <v>0</v>
      </c>
      <c r="BM258" s="414">
        <f t="shared" si="2077"/>
        <v>0</v>
      </c>
      <c r="BN258" s="406">
        <f t="shared" si="2078"/>
        <v>0</v>
      </c>
      <c r="BO258" s="407">
        <f t="shared" si="2079"/>
        <v>0</v>
      </c>
      <c r="BP258" s="449"/>
      <c r="BQ258" s="413">
        <f t="shared" si="2080"/>
        <v>0</v>
      </c>
      <c r="BR258" s="410">
        <f t="shared" si="2081"/>
        <v>0</v>
      </c>
      <c r="BS258" s="416">
        <f t="shared" si="2082"/>
        <v>0</v>
      </c>
      <c r="BT258" s="416">
        <f t="shared" si="2083"/>
        <v>0</v>
      </c>
      <c r="BU258" s="412">
        <f t="shared" si="2084"/>
        <v>0</v>
      </c>
      <c r="BV258" s="413">
        <f t="shared" si="2085"/>
        <v>0</v>
      </c>
      <c r="BW258" s="410">
        <f t="shared" si="2086"/>
        <v>0</v>
      </c>
      <c r="BX258" s="416">
        <f t="shared" si="2087"/>
        <v>0</v>
      </c>
      <c r="BY258" s="416">
        <f t="shared" si="2088"/>
        <v>0</v>
      </c>
      <c r="BZ258" s="412">
        <f t="shared" si="2089"/>
        <v>0</v>
      </c>
      <c r="CA258" s="413">
        <f t="shared" si="2090"/>
        <v>0</v>
      </c>
      <c r="CB258" s="410">
        <f t="shared" si="2091"/>
        <v>0</v>
      </c>
      <c r="CC258" s="416">
        <f t="shared" si="2092"/>
        <v>0</v>
      </c>
      <c r="CD258" s="416">
        <f t="shared" si="2093"/>
        <v>0</v>
      </c>
      <c r="CE258" s="412">
        <f t="shared" si="2094"/>
        <v>0</v>
      </c>
      <c r="CF258" s="413">
        <f t="shared" si="2095"/>
        <v>0</v>
      </c>
      <c r="CG258" s="410">
        <f t="shared" si="2096"/>
        <v>0</v>
      </c>
      <c r="CH258" s="416">
        <f t="shared" si="2097"/>
        <v>0</v>
      </c>
      <c r="CI258" s="416">
        <f t="shared" si="2098"/>
        <v>0</v>
      </c>
      <c r="CJ258" s="412">
        <f t="shared" si="2099"/>
        <v>0</v>
      </c>
      <c r="CK258" s="413">
        <f t="shared" si="2100"/>
        <v>0</v>
      </c>
      <c r="CL258" s="410">
        <f t="shared" si="2101"/>
        <v>0</v>
      </c>
      <c r="CM258" s="416">
        <f t="shared" si="2102"/>
        <v>0</v>
      </c>
      <c r="CN258" s="416">
        <f t="shared" si="2103"/>
        <v>0</v>
      </c>
      <c r="CO258" s="412">
        <f t="shared" si="2104"/>
        <v>0</v>
      </c>
      <c r="CP258" s="413">
        <f t="shared" si="2105"/>
        <v>0</v>
      </c>
      <c r="CQ258" s="410">
        <f t="shared" si="2106"/>
        <v>0</v>
      </c>
      <c r="CR258" s="416">
        <f t="shared" si="2107"/>
        <v>0</v>
      </c>
      <c r="CS258" s="416">
        <f t="shared" si="2108"/>
        <v>0</v>
      </c>
      <c r="CT258" s="412">
        <f t="shared" si="2109"/>
        <v>0</v>
      </c>
      <c r="CU258" s="413">
        <f t="shared" si="2110"/>
        <v>0</v>
      </c>
      <c r="CV258" s="410">
        <f t="shared" si="2111"/>
        <v>0</v>
      </c>
      <c r="CW258" s="416">
        <f t="shared" si="2112"/>
        <v>0</v>
      </c>
      <c r="CX258" s="416">
        <f t="shared" si="2113"/>
        <v>0</v>
      </c>
      <c r="CY258" s="412">
        <f t="shared" si="2114"/>
        <v>0</v>
      </c>
      <c r="CZ258" s="413">
        <f t="shared" si="2115"/>
        <v>0</v>
      </c>
      <c r="DA258" s="410">
        <f t="shared" si="2116"/>
        <v>0</v>
      </c>
      <c r="DB258" s="416">
        <f t="shared" si="2117"/>
        <v>0</v>
      </c>
      <c r="DC258" s="416">
        <f t="shared" si="2118"/>
        <v>0</v>
      </c>
      <c r="DD258" s="412">
        <f t="shared" si="2119"/>
        <v>0</v>
      </c>
      <c r="DE258" s="413">
        <f t="shared" si="2120"/>
        <v>0</v>
      </c>
      <c r="DF258" s="410">
        <f t="shared" si="2121"/>
        <v>0</v>
      </c>
      <c r="DG258" s="416">
        <f t="shared" si="2122"/>
        <v>0</v>
      </c>
      <c r="DH258" s="416">
        <f t="shared" si="2123"/>
        <v>0</v>
      </c>
      <c r="DI258" s="412">
        <f t="shared" si="2124"/>
        <v>0</v>
      </c>
      <c r="DJ258" s="413">
        <f t="shared" si="2125"/>
        <v>0</v>
      </c>
      <c r="DK258" s="410">
        <f t="shared" si="2126"/>
        <v>0</v>
      </c>
      <c r="DL258" s="416">
        <f t="shared" si="2127"/>
        <v>0</v>
      </c>
      <c r="DM258" s="416">
        <f t="shared" si="2128"/>
        <v>-6.5621954999999996</v>
      </c>
      <c r="DN258" s="412">
        <f t="shared" si="2129"/>
        <v>-6.5621954999999996</v>
      </c>
      <c r="DO258" s="413">
        <f t="shared" si="2130"/>
        <v>-13.124391000000001</v>
      </c>
      <c r="DP258" s="410">
        <f t="shared" si="2131"/>
        <v>-6.5621954999999996</v>
      </c>
      <c r="DQ258" s="416">
        <f t="shared" si="2132"/>
        <v>-6.5621954999999996</v>
      </c>
      <c r="DR258" s="416">
        <f t="shared" si="2133"/>
        <v>0</v>
      </c>
      <c r="DS258" s="412">
        <f t="shared" si="2134"/>
        <v>0</v>
      </c>
      <c r="DT258" s="413">
        <f t="shared" si="2135"/>
        <v>-13.124391000000001</v>
      </c>
    </row>
    <row r="259" spans="1:124" ht="12.75" customHeight="1">
      <c r="A259" s="491"/>
      <c r="C259" s="1885" t="s">
        <v>1299</v>
      </c>
      <c r="D259" s="1885"/>
      <c r="E259" s="1886">
        <f t="shared" si="2023"/>
        <v>34.593527000000002</v>
      </c>
      <c r="F259" s="1532">
        <v>0</v>
      </c>
      <c r="G259" s="1532">
        <v>34.593527000000002</v>
      </c>
      <c r="H259" s="610">
        <v>2017</v>
      </c>
      <c r="I259" s="1533">
        <v>8.8000000000000005E-3</v>
      </c>
      <c r="J259" s="615">
        <v>12</v>
      </c>
      <c r="K259" s="402"/>
      <c r="L259" s="407">
        <f t="shared" si="2024"/>
        <v>0</v>
      </c>
      <c r="M259" s="404">
        <f t="shared" si="2025"/>
        <v>0</v>
      </c>
      <c r="N259" s="414">
        <f t="shared" si="2026"/>
        <v>0</v>
      </c>
      <c r="O259" s="414">
        <f t="shared" si="2027"/>
        <v>0</v>
      </c>
      <c r="P259" s="406">
        <f t="shared" si="2028"/>
        <v>0</v>
      </c>
      <c r="Q259" s="407">
        <f t="shared" si="2029"/>
        <v>0</v>
      </c>
      <c r="R259" s="404">
        <f t="shared" si="2030"/>
        <v>0</v>
      </c>
      <c r="S259" s="414">
        <f t="shared" si="2031"/>
        <v>0</v>
      </c>
      <c r="T259" s="414">
        <f t="shared" si="2032"/>
        <v>0</v>
      </c>
      <c r="U259" s="406">
        <f t="shared" si="2033"/>
        <v>0</v>
      </c>
      <c r="V259" s="407">
        <f t="shared" si="2034"/>
        <v>0</v>
      </c>
      <c r="W259" s="404">
        <f t="shared" si="2035"/>
        <v>0</v>
      </c>
      <c r="X259" s="414">
        <f t="shared" si="2036"/>
        <v>0</v>
      </c>
      <c r="Y259" s="414">
        <f t="shared" si="2037"/>
        <v>0</v>
      </c>
      <c r="Z259" s="406">
        <f t="shared" si="2038"/>
        <v>0</v>
      </c>
      <c r="AA259" s="407">
        <f t="shared" si="2039"/>
        <v>0</v>
      </c>
      <c r="AB259" s="404">
        <f t="shared" si="2040"/>
        <v>0</v>
      </c>
      <c r="AC259" s="414">
        <f t="shared" si="2041"/>
        <v>0</v>
      </c>
      <c r="AD259" s="414">
        <f t="shared" si="2042"/>
        <v>0</v>
      </c>
      <c r="AE259" s="406">
        <f t="shared" si="2043"/>
        <v>0</v>
      </c>
      <c r="AF259" s="407">
        <f t="shared" si="2044"/>
        <v>0</v>
      </c>
      <c r="AG259" s="404">
        <f t="shared" si="2045"/>
        <v>0</v>
      </c>
      <c r="AH259" s="414">
        <f t="shared" si="2046"/>
        <v>0</v>
      </c>
      <c r="AI259" s="414">
        <f t="shared" si="2047"/>
        <v>0</v>
      </c>
      <c r="AJ259" s="406">
        <f t="shared" si="2048"/>
        <v>0</v>
      </c>
      <c r="AK259" s="407">
        <f t="shared" si="2049"/>
        <v>0</v>
      </c>
      <c r="AL259" s="404">
        <f t="shared" si="2050"/>
        <v>0</v>
      </c>
      <c r="AM259" s="414">
        <f t="shared" si="2051"/>
        <v>0</v>
      </c>
      <c r="AN259" s="414">
        <f t="shared" si="2052"/>
        <v>0</v>
      </c>
      <c r="AO259" s="406">
        <f t="shared" si="2053"/>
        <v>0</v>
      </c>
      <c r="AP259" s="407">
        <f t="shared" si="2054"/>
        <v>0</v>
      </c>
      <c r="AQ259" s="404">
        <f t="shared" si="2055"/>
        <v>0</v>
      </c>
      <c r="AR259" s="414">
        <f t="shared" si="2056"/>
        <v>0</v>
      </c>
      <c r="AS259" s="414">
        <f t="shared" si="2057"/>
        <v>0</v>
      </c>
      <c r="AT259" s="406">
        <f t="shared" si="2058"/>
        <v>-34.593527000000002</v>
      </c>
      <c r="AU259" s="407">
        <f t="shared" si="2059"/>
        <v>-34.593527000000002</v>
      </c>
      <c r="AV259" s="404">
        <f t="shared" si="2060"/>
        <v>0</v>
      </c>
      <c r="AW259" s="414">
        <f t="shared" si="2061"/>
        <v>0</v>
      </c>
      <c r="AX259" s="414">
        <f t="shared" si="2062"/>
        <v>0</v>
      </c>
      <c r="AY259" s="406">
        <f t="shared" si="2063"/>
        <v>0</v>
      </c>
      <c r="AZ259" s="407">
        <f t="shared" si="2064"/>
        <v>0</v>
      </c>
      <c r="BA259" s="404">
        <f t="shared" si="2065"/>
        <v>0</v>
      </c>
      <c r="BB259" s="414">
        <f t="shared" si="2066"/>
        <v>0</v>
      </c>
      <c r="BC259" s="414">
        <f t="shared" si="2067"/>
        <v>0</v>
      </c>
      <c r="BD259" s="406">
        <f t="shared" si="2068"/>
        <v>0</v>
      </c>
      <c r="BE259" s="407">
        <f t="shared" si="2069"/>
        <v>0</v>
      </c>
      <c r="BF259" s="404">
        <f t="shared" si="2070"/>
        <v>0</v>
      </c>
      <c r="BG259" s="414">
        <f t="shared" si="2071"/>
        <v>0</v>
      </c>
      <c r="BH259" s="414">
        <f t="shared" si="2072"/>
        <v>0</v>
      </c>
      <c r="BI259" s="406">
        <f t="shared" si="2073"/>
        <v>0</v>
      </c>
      <c r="BJ259" s="407">
        <f t="shared" si="2074"/>
        <v>0</v>
      </c>
      <c r="BK259" s="404">
        <f t="shared" si="2075"/>
        <v>0</v>
      </c>
      <c r="BL259" s="414">
        <f t="shared" si="2076"/>
        <v>0</v>
      </c>
      <c r="BM259" s="414">
        <f t="shared" si="2077"/>
        <v>0</v>
      </c>
      <c r="BN259" s="406">
        <f t="shared" si="2078"/>
        <v>0</v>
      </c>
      <c r="BO259" s="407">
        <f t="shared" si="2079"/>
        <v>0</v>
      </c>
      <c r="BP259" s="449"/>
      <c r="BQ259" s="413">
        <f t="shared" si="2080"/>
        <v>0</v>
      </c>
      <c r="BR259" s="410">
        <f t="shared" si="2081"/>
        <v>0</v>
      </c>
      <c r="BS259" s="416">
        <f t="shared" si="2082"/>
        <v>0</v>
      </c>
      <c r="BT259" s="416">
        <f t="shared" si="2083"/>
        <v>0</v>
      </c>
      <c r="BU259" s="412">
        <f t="shared" si="2084"/>
        <v>0</v>
      </c>
      <c r="BV259" s="413">
        <f t="shared" si="2085"/>
        <v>0</v>
      </c>
      <c r="BW259" s="410">
        <f t="shared" si="2086"/>
        <v>0</v>
      </c>
      <c r="BX259" s="416">
        <f t="shared" si="2087"/>
        <v>0</v>
      </c>
      <c r="BY259" s="416">
        <f t="shared" si="2088"/>
        <v>0</v>
      </c>
      <c r="BZ259" s="412">
        <f t="shared" si="2089"/>
        <v>0</v>
      </c>
      <c r="CA259" s="413">
        <f t="shared" si="2090"/>
        <v>0</v>
      </c>
      <c r="CB259" s="410">
        <f t="shared" si="2091"/>
        <v>0</v>
      </c>
      <c r="CC259" s="416">
        <f t="shared" si="2092"/>
        <v>0</v>
      </c>
      <c r="CD259" s="416">
        <f t="shared" si="2093"/>
        <v>0</v>
      </c>
      <c r="CE259" s="412">
        <f t="shared" si="2094"/>
        <v>0</v>
      </c>
      <c r="CF259" s="413">
        <f t="shared" si="2095"/>
        <v>0</v>
      </c>
      <c r="CG259" s="410">
        <f t="shared" si="2096"/>
        <v>0</v>
      </c>
      <c r="CH259" s="416">
        <f t="shared" si="2097"/>
        <v>0</v>
      </c>
      <c r="CI259" s="416">
        <f t="shared" si="2098"/>
        <v>0</v>
      </c>
      <c r="CJ259" s="412">
        <f t="shared" si="2099"/>
        <v>0</v>
      </c>
      <c r="CK259" s="413">
        <f t="shared" si="2100"/>
        <v>0</v>
      </c>
      <c r="CL259" s="410">
        <f t="shared" si="2101"/>
        <v>0</v>
      </c>
      <c r="CM259" s="416">
        <f t="shared" si="2102"/>
        <v>0</v>
      </c>
      <c r="CN259" s="416">
        <f t="shared" si="2103"/>
        <v>0</v>
      </c>
      <c r="CO259" s="412">
        <f t="shared" si="2104"/>
        <v>0</v>
      </c>
      <c r="CP259" s="413">
        <f t="shared" si="2105"/>
        <v>0</v>
      </c>
      <c r="CQ259" s="410">
        <f t="shared" si="2106"/>
        <v>0</v>
      </c>
      <c r="CR259" s="416">
        <f t="shared" si="2107"/>
        <v>0</v>
      </c>
      <c r="CS259" s="416">
        <f t="shared" si="2108"/>
        <v>0</v>
      </c>
      <c r="CT259" s="412">
        <f t="shared" si="2109"/>
        <v>0</v>
      </c>
      <c r="CU259" s="413">
        <f t="shared" si="2110"/>
        <v>0</v>
      </c>
      <c r="CV259" s="410">
        <f t="shared" si="2111"/>
        <v>0</v>
      </c>
      <c r="CW259" s="416">
        <f t="shared" si="2112"/>
        <v>0</v>
      </c>
      <c r="CX259" s="416">
        <f t="shared" si="2113"/>
        <v>0</v>
      </c>
      <c r="CY259" s="412">
        <f t="shared" si="2114"/>
        <v>-2.5368586466666673E-2</v>
      </c>
      <c r="CZ259" s="413">
        <f t="shared" si="2115"/>
        <v>-2.5368586466666673E-2</v>
      </c>
      <c r="DA259" s="410">
        <f t="shared" si="2116"/>
        <v>-7.6105759400000014E-2</v>
      </c>
      <c r="DB259" s="416">
        <f t="shared" si="2117"/>
        <v>-7.6105759400000014E-2</v>
      </c>
      <c r="DC259" s="416">
        <f t="shared" si="2118"/>
        <v>-7.6105759400000014E-2</v>
      </c>
      <c r="DD259" s="412">
        <f t="shared" si="2119"/>
        <v>-5.0737172933333345E-2</v>
      </c>
      <c r="DE259" s="413">
        <f t="shared" si="2120"/>
        <v>-0.27905445113333338</v>
      </c>
      <c r="DF259" s="410">
        <f t="shared" si="2121"/>
        <v>0</v>
      </c>
      <c r="DG259" s="416">
        <f t="shared" si="2122"/>
        <v>0</v>
      </c>
      <c r="DH259" s="416">
        <f t="shared" si="2123"/>
        <v>0</v>
      </c>
      <c r="DI259" s="412">
        <f t="shared" si="2124"/>
        <v>0</v>
      </c>
      <c r="DJ259" s="413">
        <f t="shared" si="2125"/>
        <v>0</v>
      </c>
      <c r="DK259" s="410">
        <f t="shared" si="2126"/>
        <v>0</v>
      </c>
      <c r="DL259" s="416">
        <f t="shared" si="2127"/>
        <v>0</v>
      </c>
      <c r="DM259" s="416">
        <f t="shared" si="2128"/>
        <v>0</v>
      </c>
      <c r="DN259" s="412">
        <f t="shared" si="2129"/>
        <v>0</v>
      </c>
      <c r="DO259" s="413">
        <f t="shared" si="2130"/>
        <v>0</v>
      </c>
      <c r="DP259" s="410">
        <f t="shared" si="2131"/>
        <v>0</v>
      </c>
      <c r="DQ259" s="416">
        <f t="shared" si="2132"/>
        <v>0</v>
      </c>
      <c r="DR259" s="416">
        <f t="shared" si="2133"/>
        <v>0</v>
      </c>
      <c r="DS259" s="412">
        <f t="shared" si="2134"/>
        <v>0</v>
      </c>
      <c r="DT259" s="413">
        <f t="shared" si="2135"/>
        <v>0</v>
      </c>
    </row>
    <row r="260" spans="1:124" ht="12.75" customHeight="1">
      <c r="A260" s="491"/>
      <c r="C260" s="1885" t="s">
        <v>19</v>
      </c>
      <c r="D260" s="1885"/>
      <c r="E260" s="1886">
        <f t="shared" si="2023"/>
        <v>153.82924299999999</v>
      </c>
      <c r="F260" s="1532">
        <v>153.82924299999999</v>
      </c>
      <c r="G260" s="1532">
        <v>180.2</v>
      </c>
      <c r="H260" s="610">
        <v>2020</v>
      </c>
      <c r="I260" s="1533">
        <v>1.976E-2</v>
      </c>
      <c r="J260" s="615">
        <v>6</v>
      </c>
      <c r="K260" s="402"/>
      <c r="L260" s="407">
        <f t="shared" si="2024"/>
        <v>0</v>
      </c>
      <c r="M260" s="404">
        <f t="shared" si="2025"/>
        <v>0</v>
      </c>
      <c r="N260" s="414">
        <f t="shared" si="2026"/>
        <v>0</v>
      </c>
      <c r="O260" s="414">
        <f t="shared" si="2027"/>
        <v>0</v>
      </c>
      <c r="P260" s="406">
        <f t="shared" si="2028"/>
        <v>0</v>
      </c>
      <c r="Q260" s="407">
        <f t="shared" si="2029"/>
        <v>0</v>
      </c>
      <c r="R260" s="404">
        <f t="shared" si="2030"/>
        <v>0</v>
      </c>
      <c r="S260" s="414">
        <f t="shared" si="2031"/>
        <v>0</v>
      </c>
      <c r="T260" s="414">
        <f t="shared" si="2032"/>
        <v>0</v>
      </c>
      <c r="U260" s="406">
        <f t="shared" si="2033"/>
        <v>0</v>
      </c>
      <c r="V260" s="407">
        <f t="shared" si="2034"/>
        <v>0</v>
      </c>
      <c r="W260" s="404">
        <f t="shared" si="2035"/>
        <v>0</v>
      </c>
      <c r="X260" s="414">
        <f t="shared" si="2036"/>
        <v>0</v>
      </c>
      <c r="Y260" s="414">
        <f t="shared" si="2037"/>
        <v>0</v>
      </c>
      <c r="Z260" s="406">
        <f t="shared" si="2038"/>
        <v>0</v>
      </c>
      <c r="AA260" s="407">
        <f t="shared" si="2039"/>
        <v>0</v>
      </c>
      <c r="AB260" s="404">
        <f t="shared" si="2040"/>
        <v>0</v>
      </c>
      <c r="AC260" s="414">
        <f t="shared" si="2041"/>
        <v>0</v>
      </c>
      <c r="AD260" s="414">
        <f t="shared" si="2042"/>
        <v>0</v>
      </c>
      <c r="AE260" s="406">
        <f t="shared" si="2043"/>
        <v>0</v>
      </c>
      <c r="AF260" s="407">
        <f t="shared" si="2044"/>
        <v>0</v>
      </c>
      <c r="AG260" s="404">
        <f t="shared" si="2045"/>
        <v>0</v>
      </c>
      <c r="AH260" s="414">
        <f t="shared" si="2046"/>
        <v>0</v>
      </c>
      <c r="AI260" s="414">
        <f t="shared" si="2047"/>
        <v>0</v>
      </c>
      <c r="AJ260" s="406">
        <f t="shared" si="2048"/>
        <v>0</v>
      </c>
      <c r="AK260" s="407">
        <f t="shared" si="2049"/>
        <v>0</v>
      </c>
      <c r="AL260" s="404">
        <f t="shared" si="2050"/>
        <v>0</v>
      </c>
      <c r="AM260" s="414">
        <f t="shared" si="2051"/>
        <v>0</v>
      </c>
      <c r="AN260" s="414">
        <f t="shared" si="2052"/>
        <v>0</v>
      </c>
      <c r="AO260" s="406">
        <f t="shared" si="2053"/>
        <v>0</v>
      </c>
      <c r="AP260" s="407">
        <f t="shared" si="2054"/>
        <v>0</v>
      </c>
      <c r="AQ260" s="404">
        <f t="shared" si="2055"/>
        <v>0</v>
      </c>
      <c r="AR260" s="414">
        <f t="shared" si="2056"/>
        <v>0</v>
      </c>
      <c r="AS260" s="414">
        <f t="shared" si="2057"/>
        <v>0</v>
      </c>
      <c r="AT260" s="406">
        <f t="shared" si="2058"/>
        <v>0</v>
      </c>
      <c r="AU260" s="407">
        <f t="shared" si="2059"/>
        <v>0</v>
      </c>
      <c r="AV260" s="404">
        <f t="shared" si="2060"/>
        <v>0</v>
      </c>
      <c r="AW260" s="414">
        <f t="shared" si="2061"/>
        <v>0</v>
      </c>
      <c r="AX260" s="414">
        <f t="shared" si="2062"/>
        <v>0</v>
      </c>
      <c r="AY260" s="406">
        <f t="shared" si="2063"/>
        <v>0</v>
      </c>
      <c r="AZ260" s="407">
        <f t="shared" si="2064"/>
        <v>0</v>
      </c>
      <c r="BA260" s="404">
        <f t="shared" si="2065"/>
        <v>0</v>
      </c>
      <c r="BB260" s="414">
        <f t="shared" si="2066"/>
        <v>0</v>
      </c>
      <c r="BC260" s="414">
        <f t="shared" si="2067"/>
        <v>0</v>
      </c>
      <c r="BD260" s="406">
        <f t="shared" si="2068"/>
        <v>0</v>
      </c>
      <c r="BE260" s="407">
        <f t="shared" si="2069"/>
        <v>0</v>
      </c>
      <c r="BF260" s="404">
        <f t="shared" si="2070"/>
        <v>0</v>
      </c>
      <c r="BG260" s="414">
        <f t="shared" si="2071"/>
        <v>-153.82924299999999</v>
      </c>
      <c r="BH260" s="414">
        <f t="shared" si="2072"/>
        <v>0</v>
      </c>
      <c r="BI260" s="406">
        <f t="shared" si="2073"/>
        <v>0</v>
      </c>
      <c r="BJ260" s="407">
        <f t="shared" si="2074"/>
        <v>-153.82924299999999</v>
      </c>
      <c r="BK260" s="404">
        <f t="shared" si="2075"/>
        <v>0</v>
      </c>
      <c r="BL260" s="414">
        <f t="shared" si="2076"/>
        <v>0</v>
      </c>
      <c r="BM260" s="414">
        <f t="shared" si="2077"/>
        <v>0</v>
      </c>
      <c r="BN260" s="406">
        <f t="shared" si="2078"/>
        <v>0</v>
      </c>
      <c r="BO260" s="407">
        <f t="shared" si="2079"/>
        <v>0</v>
      </c>
      <c r="BP260" s="449"/>
      <c r="BQ260" s="413">
        <f t="shared" si="2080"/>
        <v>0</v>
      </c>
      <c r="BR260" s="410">
        <f t="shared" si="2081"/>
        <v>0</v>
      </c>
      <c r="BS260" s="416">
        <f t="shared" si="2082"/>
        <v>0</v>
      </c>
      <c r="BT260" s="416">
        <f t="shared" si="2083"/>
        <v>0</v>
      </c>
      <c r="BU260" s="412">
        <f t="shared" si="2084"/>
        <v>0</v>
      </c>
      <c r="BV260" s="413">
        <f t="shared" si="2085"/>
        <v>0</v>
      </c>
      <c r="BW260" s="410">
        <f t="shared" si="2086"/>
        <v>0</v>
      </c>
      <c r="BX260" s="416">
        <f t="shared" si="2087"/>
        <v>0</v>
      </c>
      <c r="BY260" s="416">
        <f t="shared" si="2088"/>
        <v>0</v>
      </c>
      <c r="BZ260" s="412">
        <f t="shared" si="2089"/>
        <v>0</v>
      </c>
      <c r="CA260" s="413">
        <f t="shared" si="2090"/>
        <v>0</v>
      </c>
      <c r="CB260" s="410">
        <f t="shared" si="2091"/>
        <v>0</v>
      </c>
      <c r="CC260" s="416">
        <f t="shared" si="2092"/>
        <v>0</v>
      </c>
      <c r="CD260" s="416">
        <f t="shared" si="2093"/>
        <v>0</v>
      </c>
      <c r="CE260" s="412">
        <f t="shared" si="2094"/>
        <v>0</v>
      </c>
      <c r="CF260" s="413">
        <f t="shared" si="2095"/>
        <v>0</v>
      </c>
      <c r="CG260" s="410">
        <f t="shared" si="2096"/>
        <v>0</v>
      </c>
      <c r="CH260" s="416">
        <f t="shared" si="2097"/>
        <v>0</v>
      </c>
      <c r="CI260" s="416">
        <f t="shared" si="2098"/>
        <v>0</v>
      </c>
      <c r="CJ260" s="412">
        <f t="shared" si="2099"/>
        <v>0</v>
      </c>
      <c r="CK260" s="413">
        <f t="shared" si="2100"/>
        <v>0</v>
      </c>
      <c r="CL260" s="410">
        <f t="shared" si="2101"/>
        <v>0</v>
      </c>
      <c r="CM260" s="416">
        <f t="shared" si="2102"/>
        <v>0</v>
      </c>
      <c r="CN260" s="416">
        <f t="shared" si="2103"/>
        <v>0</v>
      </c>
      <c r="CO260" s="412">
        <f t="shared" si="2104"/>
        <v>0</v>
      </c>
      <c r="CP260" s="413">
        <f t="shared" si="2105"/>
        <v>0</v>
      </c>
      <c r="CQ260" s="410">
        <f t="shared" si="2106"/>
        <v>0</v>
      </c>
      <c r="CR260" s="416">
        <f t="shared" si="2107"/>
        <v>0</v>
      </c>
      <c r="CS260" s="416">
        <f t="shared" si="2108"/>
        <v>0</v>
      </c>
      <c r="CT260" s="412">
        <f t="shared" si="2109"/>
        <v>0</v>
      </c>
      <c r="CU260" s="413">
        <f t="shared" si="2110"/>
        <v>0</v>
      </c>
      <c r="CV260" s="410">
        <f t="shared" si="2111"/>
        <v>0</v>
      </c>
      <c r="CW260" s="416">
        <f t="shared" si="2112"/>
        <v>0</v>
      </c>
      <c r="CX260" s="416">
        <f t="shared" si="2113"/>
        <v>0</v>
      </c>
      <c r="CY260" s="412">
        <f t="shared" si="2114"/>
        <v>0</v>
      </c>
      <c r="CZ260" s="413">
        <f t="shared" si="2115"/>
        <v>0</v>
      </c>
      <c r="DA260" s="410">
        <f t="shared" si="2116"/>
        <v>0</v>
      </c>
      <c r="DB260" s="416">
        <f t="shared" si="2117"/>
        <v>0</v>
      </c>
      <c r="DC260" s="416">
        <f t="shared" si="2118"/>
        <v>0</v>
      </c>
      <c r="DD260" s="412">
        <f t="shared" si="2119"/>
        <v>0</v>
      </c>
      <c r="DE260" s="413">
        <f t="shared" si="2120"/>
        <v>0</v>
      </c>
      <c r="DF260" s="410">
        <f t="shared" si="2121"/>
        <v>0</v>
      </c>
      <c r="DG260" s="416">
        <f t="shared" si="2122"/>
        <v>0</v>
      </c>
      <c r="DH260" s="416">
        <f t="shared" si="2123"/>
        <v>0</v>
      </c>
      <c r="DI260" s="412">
        <f t="shared" si="2124"/>
        <v>0</v>
      </c>
      <c r="DJ260" s="413">
        <f t="shared" si="2125"/>
        <v>0</v>
      </c>
      <c r="DK260" s="410">
        <f t="shared" si="2126"/>
        <v>0</v>
      </c>
      <c r="DL260" s="416">
        <f t="shared" si="2127"/>
        <v>-0.25330548680666665</v>
      </c>
      <c r="DM260" s="416">
        <f t="shared" si="2128"/>
        <v>-0.75991646041999994</v>
      </c>
      <c r="DN260" s="412">
        <f t="shared" si="2129"/>
        <v>-0.75991646041999994</v>
      </c>
      <c r="DO260" s="413">
        <f t="shared" si="2130"/>
        <v>-1.7731384076466667</v>
      </c>
      <c r="DP260" s="410">
        <f t="shared" si="2131"/>
        <v>-0.75991646041999994</v>
      </c>
      <c r="DQ260" s="416">
        <f t="shared" si="2132"/>
        <v>-0.50661097361333329</v>
      </c>
      <c r="DR260" s="416">
        <f t="shared" si="2133"/>
        <v>0</v>
      </c>
      <c r="DS260" s="412">
        <f t="shared" si="2134"/>
        <v>0</v>
      </c>
      <c r="DT260" s="413">
        <f t="shared" si="2135"/>
        <v>-1.266527434033333</v>
      </c>
    </row>
    <row r="261" spans="1:124" ht="12.75" customHeight="1">
      <c r="A261" s="491"/>
      <c r="C261" s="1885" t="s">
        <v>18</v>
      </c>
      <c r="D261" s="1885"/>
      <c r="E261" s="1886">
        <f t="shared" si="2023"/>
        <v>311.89999999999998</v>
      </c>
      <c r="F261" s="1532">
        <v>311.89999999999998</v>
      </c>
      <c r="G261" s="1532">
        <v>311.89999999999998</v>
      </c>
      <c r="H261" s="610">
        <v>2024</v>
      </c>
      <c r="I261" s="1533">
        <v>2.845E-2</v>
      </c>
      <c r="J261" s="615">
        <v>12</v>
      </c>
      <c r="K261" s="402"/>
      <c r="L261" s="407">
        <f t="shared" si="2024"/>
        <v>0</v>
      </c>
      <c r="M261" s="404">
        <f t="shared" si="2025"/>
        <v>0</v>
      </c>
      <c r="N261" s="414">
        <f t="shared" si="2026"/>
        <v>0</v>
      </c>
      <c r="O261" s="414">
        <f t="shared" si="2027"/>
        <v>0</v>
      </c>
      <c r="P261" s="406">
        <f t="shared" si="2028"/>
        <v>0</v>
      </c>
      <c r="Q261" s="407">
        <f t="shared" si="2029"/>
        <v>0</v>
      </c>
      <c r="R261" s="404">
        <f t="shared" si="2030"/>
        <v>0</v>
      </c>
      <c r="S261" s="414">
        <f t="shared" si="2031"/>
        <v>0</v>
      </c>
      <c r="T261" s="414">
        <f t="shared" si="2032"/>
        <v>0</v>
      </c>
      <c r="U261" s="406">
        <f t="shared" si="2033"/>
        <v>0</v>
      </c>
      <c r="V261" s="407">
        <f t="shared" si="2034"/>
        <v>0</v>
      </c>
      <c r="W261" s="404">
        <f t="shared" si="2035"/>
        <v>0</v>
      </c>
      <c r="X261" s="414">
        <f t="shared" si="2036"/>
        <v>0</v>
      </c>
      <c r="Y261" s="414">
        <f t="shared" si="2037"/>
        <v>0</v>
      </c>
      <c r="Z261" s="406">
        <f t="shared" si="2038"/>
        <v>0</v>
      </c>
      <c r="AA261" s="407">
        <f t="shared" si="2039"/>
        <v>0</v>
      </c>
      <c r="AB261" s="404">
        <f t="shared" si="2040"/>
        <v>0</v>
      </c>
      <c r="AC261" s="414">
        <f t="shared" si="2041"/>
        <v>0</v>
      </c>
      <c r="AD261" s="414">
        <f t="shared" si="2042"/>
        <v>0</v>
      </c>
      <c r="AE261" s="406">
        <f t="shared" si="2043"/>
        <v>0</v>
      </c>
      <c r="AF261" s="407">
        <f t="shared" si="2044"/>
        <v>0</v>
      </c>
      <c r="AG261" s="404">
        <f t="shared" si="2045"/>
        <v>0</v>
      </c>
      <c r="AH261" s="414">
        <f t="shared" si="2046"/>
        <v>0</v>
      </c>
      <c r="AI261" s="414">
        <f t="shared" si="2047"/>
        <v>0</v>
      </c>
      <c r="AJ261" s="406">
        <f t="shared" si="2048"/>
        <v>0</v>
      </c>
      <c r="AK261" s="407">
        <f t="shared" si="2049"/>
        <v>0</v>
      </c>
      <c r="AL261" s="404">
        <f t="shared" si="2050"/>
        <v>0</v>
      </c>
      <c r="AM261" s="414">
        <f t="shared" si="2051"/>
        <v>0</v>
      </c>
      <c r="AN261" s="414">
        <f t="shared" si="2052"/>
        <v>0</v>
      </c>
      <c r="AO261" s="406">
        <f t="shared" si="2053"/>
        <v>0</v>
      </c>
      <c r="AP261" s="407">
        <f t="shared" si="2054"/>
        <v>0</v>
      </c>
      <c r="AQ261" s="404">
        <f t="shared" si="2055"/>
        <v>0</v>
      </c>
      <c r="AR261" s="414">
        <f t="shared" si="2056"/>
        <v>0</v>
      </c>
      <c r="AS261" s="414">
        <f t="shared" si="2057"/>
        <v>0</v>
      </c>
      <c r="AT261" s="406">
        <f t="shared" si="2058"/>
        <v>0</v>
      </c>
      <c r="AU261" s="407">
        <f t="shared" si="2059"/>
        <v>0</v>
      </c>
      <c r="AV261" s="404">
        <f t="shared" si="2060"/>
        <v>0</v>
      </c>
      <c r="AW261" s="414">
        <f t="shared" si="2061"/>
        <v>0</v>
      </c>
      <c r="AX261" s="414">
        <f t="shared" si="2062"/>
        <v>0</v>
      </c>
      <c r="AY261" s="406">
        <f t="shared" si="2063"/>
        <v>0</v>
      </c>
      <c r="AZ261" s="407">
        <f t="shared" si="2064"/>
        <v>0</v>
      </c>
      <c r="BA261" s="404">
        <f t="shared" si="2065"/>
        <v>0</v>
      </c>
      <c r="BB261" s="414">
        <f t="shared" si="2066"/>
        <v>0</v>
      </c>
      <c r="BC261" s="414">
        <f t="shared" si="2067"/>
        <v>0</v>
      </c>
      <c r="BD261" s="406">
        <f t="shared" si="2068"/>
        <v>0</v>
      </c>
      <c r="BE261" s="407">
        <f t="shared" si="2069"/>
        <v>0</v>
      </c>
      <c r="BF261" s="404">
        <f t="shared" si="2070"/>
        <v>0</v>
      </c>
      <c r="BG261" s="414">
        <f t="shared" si="2071"/>
        <v>0</v>
      </c>
      <c r="BH261" s="414">
        <f t="shared" si="2072"/>
        <v>0</v>
      </c>
      <c r="BI261" s="406">
        <f t="shared" si="2073"/>
        <v>0</v>
      </c>
      <c r="BJ261" s="407">
        <f t="shared" si="2074"/>
        <v>0</v>
      </c>
      <c r="BK261" s="404">
        <f t="shared" si="2075"/>
        <v>0</v>
      </c>
      <c r="BL261" s="414">
        <f t="shared" si="2076"/>
        <v>0</v>
      </c>
      <c r="BM261" s="414">
        <f t="shared" si="2077"/>
        <v>0</v>
      </c>
      <c r="BN261" s="406">
        <f t="shared" si="2078"/>
        <v>0</v>
      </c>
      <c r="BO261" s="407">
        <f t="shared" si="2079"/>
        <v>0</v>
      </c>
      <c r="BP261" s="449"/>
      <c r="BQ261" s="413">
        <f t="shared" si="2080"/>
        <v>0</v>
      </c>
      <c r="BR261" s="410">
        <f t="shared" si="2081"/>
        <v>0</v>
      </c>
      <c r="BS261" s="416">
        <f t="shared" si="2082"/>
        <v>0</v>
      </c>
      <c r="BT261" s="416">
        <f t="shared" si="2083"/>
        <v>0</v>
      </c>
      <c r="BU261" s="412">
        <f t="shared" si="2084"/>
        <v>0</v>
      </c>
      <c r="BV261" s="413">
        <f t="shared" si="2085"/>
        <v>0</v>
      </c>
      <c r="BW261" s="410">
        <f t="shared" si="2086"/>
        <v>0</v>
      </c>
      <c r="BX261" s="416">
        <f t="shared" si="2087"/>
        <v>0</v>
      </c>
      <c r="BY261" s="416">
        <f t="shared" si="2088"/>
        <v>0</v>
      </c>
      <c r="BZ261" s="412">
        <f t="shared" si="2089"/>
        <v>0</v>
      </c>
      <c r="CA261" s="413">
        <f t="shared" si="2090"/>
        <v>0</v>
      </c>
      <c r="CB261" s="410">
        <f t="shared" si="2091"/>
        <v>0</v>
      </c>
      <c r="CC261" s="416">
        <f t="shared" si="2092"/>
        <v>0</v>
      </c>
      <c r="CD261" s="416">
        <f t="shared" si="2093"/>
        <v>0</v>
      </c>
      <c r="CE261" s="412">
        <f t="shared" si="2094"/>
        <v>0</v>
      </c>
      <c r="CF261" s="413">
        <f t="shared" si="2095"/>
        <v>0</v>
      </c>
      <c r="CG261" s="410">
        <f t="shared" si="2096"/>
        <v>0</v>
      </c>
      <c r="CH261" s="416">
        <f t="shared" si="2097"/>
        <v>0</v>
      </c>
      <c r="CI261" s="416">
        <f t="shared" si="2098"/>
        <v>0</v>
      </c>
      <c r="CJ261" s="412">
        <f t="shared" si="2099"/>
        <v>0</v>
      </c>
      <c r="CK261" s="413">
        <f t="shared" si="2100"/>
        <v>0</v>
      </c>
      <c r="CL261" s="410">
        <f t="shared" si="2101"/>
        <v>0</v>
      </c>
      <c r="CM261" s="416">
        <f t="shared" si="2102"/>
        <v>0</v>
      </c>
      <c r="CN261" s="416">
        <f t="shared" si="2103"/>
        <v>0</v>
      </c>
      <c r="CO261" s="412">
        <f t="shared" si="2104"/>
        <v>0</v>
      </c>
      <c r="CP261" s="413">
        <f t="shared" si="2105"/>
        <v>0</v>
      </c>
      <c r="CQ261" s="410">
        <f t="shared" si="2106"/>
        <v>0</v>
      </c>
      <c r="CR261" s="416">
        <f t="shared" si="2107"/>
        <v>0</v>
      </c>
      <c r="CS261" s="416">
        <f t="shared" si="2108"/>
        <v>0</v>
      </c>
      <c r="CT261" s="412">
        <f t="shared" si="2109"/>
        <v>0</v>
      </c>
      <c r="CU261" s="413">
        <f t="shared" si="2110"/>
        <v>0</v>
      </c>
      <c r="CV261" s="410">
        <f t="shared" si="2111"/>
        <v>0</v>
      </c>
      <c r="CW261" s="416">
        <f t="shared" si="2112"/>
        <v>0</v>
      </c>
      <c r="CX261" s="416">
        <f t="shared" si="2113"/>
        <v>0</v>
      </c>
      <c r="CY261" s="412">
        <f t="shared" si="2114"/>
        <v>0</v>
      </c>
      <c r="CZ261" s="413">
        <f t="shared" si="2115"/>
        <v>0</v>
      </c>
      <c r="DA261" s="410">
        <f t="shared" si="2116"/>
        <v>0</v>
      </c>
      <c r="DB261" s="416">
        <f t="shared" si="2117"/>
        <v>0</v>
      </c>
      <c r="DC261" s="416">
        <f t="shared" si="2118"/>
        <v>0</v>
      </c>
      <c r="DD261" s="412">
        <f t="shared" si="2119"/>
        <v>0</v>
      </c>
      <c r="DE261" s="413">
        <f t="shared" si="2120"/>
        <v>0</v>
      </c>
      <c r="DF261" s="410">
        <f t="shared" si="2121"/>
        <v>0</v>
      </c>
      <c r="DG261" s="416">
        <f t="shared" si="2122"/>
        <v>0</v>
      </c>
      <c r="DH261" s="416">
        <f t="shared" si="2123"/>
        <v>0</v>
      </c>
      <c r="DI261" s="412">
        <f t="shared" si="2124"/>
        <v>0</v>
      </c>
      <c r="DJ261" s="413">
        <f t="shared" si="2125"/>
        <v>0</v>
      </c>
      <c r="DK261" s="410">
        <f t="shared" si="2126"/>
        <v>0</v>
      </c>
      <c r="DL261" s="416">
        <f t="shared" si="2127"/>
        <v>0</v>
      </c>
      <c r="DM261" s="416">
        <f t="shared" si="2128"/>
        <v>0</v>
      </c>
      <c r="DN261" s="412">
        <f t="shared" si="2129"/>
        <v>0</v>
      </c>
      <c r="DO261" s="413">
        <f t="shared" si="2130"/>
        <v>0</v>
      </c>
      <c r="DP261" s="410">
        <f t="shared" si="2131"/>
        <v>0</v>
      </c>
      <c r="DQ261" s="416">
        <f t="shared" si="2132"/>
        <v>0</v>
      </c>
      <c r="DR261" s="416">
        <f t="shared" si="2133"/>
        <v>0</v>
      </c>
      <c r="DS261" s="412">
        <f t="shared" si="2134"/>
        <v>0</v>
      </c>
      <c r="DT261" s="413">
        <f t="shared" si="2135"/>
        <v>0</v>
      </c>
    </row>
    <row r="262" spans="1:124" ht="12.75" customHeight="1">
      <c r="A262" s="491"/>
      <c r="C262" s="845"/>
      <c r="D262" s="845"/>
      <c r="E262" s="1531"/>
      <c r="F262" s="1532"/>
      <c r="G262" s="1532"/>
      <c r="H262" s="610"/>
      <c r="I262" s="1533"/>
      <c r="J262" s="615"/>
      <c r="K262" s="402"/>
      <c r="L262" s="407"/>
      <c r="M262" s="404"/>
      <c r="N262" s="414"/>
      <c r="O262" s="414"/>
      <c r="P262" s="406"/>
      <c r="Q262" s="407"/>
      <c r="R262" s="404"/>
      <c r="S262" s="414"/>
      <c r="T262" s="414"/>
      <c r="U262" s="406"/>
      <c r="V262" s="407"/>
      <c r="W262" s="404"/>
      <c r="X262" s="414"/>
      <c r="Y262" s="414"/>
      <c r="Z262" s="406"/>
      <c r="AA262" s="407"/>
      <c r="AB262" s="404"/>
      <c r="AC262" s="414"/>
      <c r="AD262" s="414"/>
      <c r="AE262" s="406"/>
      <c r="AF262" s="407"/>
      <c r="AG262" s="404"/>
      <c r="AH262" s="414"/>
      <c r="AI262" s="414"/>
      <c r="AJ262" s="406"/>
      <c r="AK262" s="407"/>
      <c r="AL262" s="404"/>
      <c r="AM262" s="414"/>
      <c r="AN262" s="414"/>
      <c r="AO262" s="406"/>
      <c r="AP262" s="407"/>
      <c r="AQ262" s="404"/>
      <c r="AR262" s="414"/>
      <c r="AS262" s="414"/>
      <c r="AT262" s="406"/>
      <c r="AU262" s="407"/>
      <c r="AV262" s="404"/>
      <c r="AW262" s="414"/>
      <c r="AX262" s="414"/>
      <c r="AY262" s="406"/>
      <c r="AZ262" s="407"/>
      <c r="BA262" s="404"/>
      <c r="BB262" s="414"/>
      <c r="BC262" s="414"/>
      <c r="BD262" s="406"/>
      <c r="BE262" s="407"/>
      <c r="BF262" s="404"/>
      <c r="BG262" s="414"/>
      <c r="BH262" s="414"/>
      <c r="BI262" s="406"/>
      <c r="BJ262" s="407"/>
      <c r="BK262" s="404"/>
      <c r="BL262" s="414"/>
      <c r="BM262" s="414"/>
      <c r="BN262" s="406"/>
      <c r="BO262" s="407"/>
      <c r="BP262" s="449"/>
      <c r="BQ262" s="413"/>
      <c r="BR262" s="410"/>
      <c r="BS262" s="416"/>
      <c r="BT262" s="416"/>
      <c r="BU262" s="412"/>
      <c r="BV262" s="413"/>
      <c r="BW262" s="410"/>
      <c r="BX262" s="416"/>
      <c r="BY262" s="416"/>
      <c r="BZ262" s="412"/>
      <c r="CA262" s="413"/>
      <c r="CB262" s="410"/>
      <c r="CC262" s="416"/>
      <c r="CD262" s="416"/>
      <c r="CE262" s="412"/>
      <c r="CF262" s="413"/>
      <c r="CG262" s="410"/>
      <c r="CH262" s="416"/>
      <c r="CI262" s="416"/>
      <c r="CJ262" s="412"/>
      <c r="CK262" s="413"/>
      <c r="CL262" s="410"/>
      <c r="CM262" s="416"/>
      <c r="CN262" s="416"/>
      <c r="CO262" s="412"/>
      <c r="CP262" s="413"/>
      <c r="CQ262" s="410"/>
      <c r="CR262" s="416"/>
      <c r="CS262" s="416"/>
      <c r="CT262" s="412"/>
      <c r="CU262" s="413"/>
      <c r="CV262" s="410"/>
      <c r="CW262" s="416"/>
      <c r="CX262" s="416"/>
      <c r="CY262" s="412"/>
      <c r="CZ262" s="413"/>
      <c r="DA262" s="410"/>
      <c r="DB262" s="416"/>
      <c r="DC262" s="416"/>
      <c r="DD262" s="412"/>
      <c r="DE262" s="413"/>
      <c r="DF262" s="410"/>
      <c r="DG262" s="416"/>
      <c r="DH262" s="416"/>
      <c r="DI262" s="412"/>
      <c r="DJ262" s="413"/>
      <c r="DK262" s="410"/>
      <c r="DL262" s="416"/>
      <c r="DM262" s="416"/>
      <c r="DN262" s="412"/>
      <c r="DO262" s="413"/>
      <c r="DP262" s="410"/>
      <c r="DQ262" s="416"/>
      <c r="DR262" s="416"/>
      <c r="DS262" s="412"/>
      <c r="DT262" s="413"/>
    </row>
    <row r="263" spans="1:124" ht="12.75" customHeight="1">
      <c r="A263" s="491"/>
      <c r="C263" s="845"/>
      <c r="D263" s="845"/>
      <c r="E263" s="831"/>
      <c r="F263" s="829"/>
      <c r="G263" s="829"/>
      <c r="H263" s="610"/>
      <c r="I263" s="830"/>
      <c r="J263" s="615"/>
      <c r="K263" s="402"/>
      <c r="L263" s="407"/>
      <c r="M263" s="404"/>
      <c r="N263" s="414"/>
      <c r="O263" s="414"/>
      <c r="P263" s="406"/>
      <c r="Q263" s="407"/>
      <c r="R263" s="404"/>
      <c r="S263" s="414"/>
      <c r="T263" s="414"/>
      <c r="U263" s="406"/>
      <c r="V263" s="407"/>
      <c r="W263" s="404"/>
      <c r="X263" s="414"/>
      <c r="Y263" s="414"/>
      <c r="Z263" s="406"/>
      <c r="AA263" s="407"/>
      <c r="AB263" s="404"/>
      <c r="AC263" s="414"/>
      <c r="AD263" s="414"/>
      <c r="AE263" s="406"/>
      <c r="AF263" s="407"/>
      <c r="AG263" s="404"/>
      <c r="AH263" s="414"/>
      <c r="AI263" s="414"/>
      <c r="AJ263" s="406"/>
      <c r="AK263" s="407"/>
      <c r="AL263" s="404"/>
      <c r="AM263" s="414"/>
      <c r="AN263" s="414"/>
      <c r="AO263" s="406"/>
      <c r="AP263" s="407"/>
      <c r="AQ263" s="404"/>
      <c r="AR263" s="414"/>
      <c r="AS263" s="414"/>
      <c r="AT263" s="406"/>
      <c r="AU263" s="407"/>
      <c r="AV263" s="404"/>
      <c r="AW263" s="414"/>
      <c r="AX263" s="414"/>
      <c r="AY263" s="406"/>
      <c r="AZ263" s="407"/>
      <c r="BA263" s="404"/>
      <c r="BB263" s="414"/>
      <c r="BC263" s="414"/>
      <c r="BD263" s="406"/>
      <c r="BE263" s="407"/>
      <c r="BF263" s="404"/>
      <c r="BG263" s="414"/>
      <c r="BH263" s="414"/>
      <c r="BI263" s="406"/>
      <c r="BJ263" s="407"/>
      <c r="BK263" s="404"/>
      <c r="BL263" s="414"/>
      <c r="BM263" s="414"/>
      <c r="BN263" s="406"/>
      <c r="BO263" s="407"/>
      <c r="BP263" s="449"/>
      <c r="BQ263" s="413"/>
      <c r="BR263" s="410"/>
      <c r="BS263" s="416"/>
      <c r="BT263" s="416"/>
      <c r="BU263" s="412"/>
      <c r="BV263" s="413"/>
      <c r="BW263" s="410"/>
      <c r="BX263" s="416"/>
      <c r="BY263" s="416"/>
      <c r="BZ263" s="412"/>
      <c r="CA263" s="413"/>
      <c r="CB263" s="410"/>
      <c r="CC263" s="416"/>
      <c r="CD263" s="416"/>
      <c r="CE263" s="412"/>
      <c r="CF263" s="413"/>
      <c r="CG263" s="410"/>
      <c r="CH263" s="416"/>
      <c r="CI263" s="416"/>
      <c r="CJ263" s="412"/>
      <c r="CK263" s="413"/>
      <c r="CL263" s="410"/>
      <c r="CM263" s="416"/>
      <c r="CN263" s="416"/>
      <c r="CO263" s="412"/>
      <c r="CP263" s="413"/>
      <c r="CQ263" s="410"/>
      <c r="CR263" s="416"/>
      <c r="CS263" s="416"/>
      <c r="CT263" s="412"/>
      <c r="CU263" s="413"/>
      <c r="CV263" s="410"/>
      <c r="CW263" s="416"/>
      <c r="CX263" s="416"/>
      <c r="CY263" s="412"/>
      <c r="CZ263" s="413"/>
      <c r="DA263" s="410"/>
      <c r="DB263" s="416"/>
      <c r="DC263" s="416"/>
      <c r="DD263" s="412"/>
      <c r="DE263" s="413"/>
      <c r="DF263" s="410"/>
      <c r="DG263" s="416"/>
      <c r="DH263" s="416"/>
      <c r="DI263" s="412"/>
      <c r="DJ263" s="413"/>
      <c r="DK263" s="410"/>
      <c r="DL263" s="416"/>
      <c r="DM263" s="416"/>
      <c r="DN263" s="412"/>
      <c r="DO263" s="413"/>
      <c r="DP263" s="410"/>
      <c r="DQ263" s="416"/>
      <c r="DR263" s="416"/>
      <c r="DS263" s="412"/>
      <c r="DT263" s="413"/>
    </row>
    <row r="264" spans="1:124" ht="12.75" customHeight="1">
      <c r="A264" s="491"/>
      <c r="C264" s="14" t="s">
        <v>297</v>
      </c>
      <c r="D264" s="14"/>
      <c r="E264" s="1366"/>
      <c r="F264" s="1227"/>
      <c r="G264" s="1227"/>
      <c r="H264" s="610"/>
      <c r="I264" s="828"/>
      <c r="J264" s="615"/>
      <c r="K264" s="402"/>
      <c r="L264" s="407"/>
      <c r="M264" s="404"/>
      <c r="N264" s="414"/>
      <c r="O264" s="414"/>
      <c r="P264" s="406"/>
      <c r="Q264" s="407"/>
      <c r="R264" s="404"/>
      <c r="S264" s="414"/>
      <c r="T264" s="414"/>
      <c r="U264" s="406"/>
      <c r="V264" s="407"/>
      <c r="W264" s="404"/>
      <c r="X264" s="414"/>
      <c r="Y264" s="414"/>
      <c r="Z264" s="406"/>
      <c r="AA264" s="407"/>
      <c r="AB264" s="404"/>
      <c r="AC264" s="414"/>
      <c r="AD264" s="414"/>
      <c r="AE264" s="406"/>
      <c r="AF264" s="407"/>
      <c r="AG264" s="404"/>
      <c r="AH264" s="414"/>
      <c r="AI264" s="414"/>
      <c r="AJ264" s="406"/>
      <c r="AK264" s="407"/>
      <c r="AL264" s="404"/>
      <c r="AM264" s="414"/>
      <c r="AN264" s="414"/>
      <c r="AO264" s="406"/>
      <c r="AP264" s="407"/>
      <c r="AQ264" s="404"/>
      <c r="AR264" s="414"/>
      <c r="AS264" s="414"/>
      <c r="AT264" s="406"/>
      <c r="AU264" s="407"/>
      <c r="AV264" s="404"/>
      <c r="AW264" s="414"/>
      <c r="AX264" s="414"/>
      <c r="AY264" s="406"/>
      <c r="AZ264" s="407"/>
      <c r="BA264" s="404"/>
      <c r="BB264" s="414"/>
      <c r="BC264" s="414"/>
      <c r="BD264" s="406"/>
      <c r="BE264" s="407"/>
      <c r="BF264" s="404"/>
      <c r="BG264" s="414"/>
      <c r="BH264" s="414"/>
      <c r="BI264" s="406"/>
      <c r="BJ264" s="407"/>
      <c r="BK264" s="404"/>
      <c r="BL264" s="414"/>
      <c r="BM264" s="414"/>
      <c r="BN264" s="406"/>
      <c r="BO264" s="407"/>
      <c r="BP264" s="449"/>
      <c r="BQ264" s="413"/>
      <c r="BR264" s="410"/>
      <c r="BS264" s="416"/>
      <c r="BT264" s="416"/>
      <c r="BU264" s="412"/>
      <c r="BV264" s="413"/>
      <c r="BW264" s="410"/>
      <c r="BX264" s="416"/>
      <c r="BY264" s="416"/>
      <c r="BZ264" s="412"/>
      <c r="CA264" s="413"/>
      <c r="CB264" s="410"/>
      <c r="CC264" s="416"/>
      <c r="CD264" s="416"/>
      <c r="CE264" s="412"/>
      <c r="CF264" s="413"/>
      <c r="CG264" s="410"/>
      <c r="CH264" s="416"/>
      <c r="CI264" s="416"/>
      <c r="CJ264" s="412"/>
      <c r="CK264" s="413"/>
      <c r="CL264" s="410"/>
      <c r="CM264" s="416"/>
      <c r="CN264" s="416"/>
      <c r="CO264" s="412"/>
      <c r="CP264" s="413"/>
      <c r="CQ264" s="410"/>
      <c r="CR264" s="416"/>
      <c r="CS264" s="416"/>
      <c r="CT264" s="412"/>
      <c r="CU264" s="413"/>
      <c r="CV264" s="410"/>
      <c r="CW264" s="416"/>
      <c r="CX264" s="416"/>
      <c r="CY264" s="412"/>
      <c r="CZ264" s="413"/>
      <c r="DA264" s="410"/>
      <c r="DB264" s="416"/>
      <c r="DC264" s="416"/>
      <c r="DD264" s="412"/>
      <c r="DE264" s="413"/>
      <c r="DF264" s="410"/>
      <c r="DG264" s="416"/>
      <c r="DH264" s="416"/>
      <c r="DI264" s="412"/>
      <c r="DJ264" s="413"/>
      <c r="DK264" s="410"/>
      <c r="DL264" s="416"/>
      <c r="DM264" s="416"/>
      <c r="DN264" s="412"/>
      <c r="DO264" s="413"/>
      <c r="DP264" s="410"/>
      <c r="DQ264" s="416"/>
      <c r="DR264" s="416"/>
      <c r="DS264" s="412"/>
      <c r="DT264" s="413"/>
    </row>
    <row r="265" spans="1:124" ht="12.75" customHeight="1">
      <c r="A265" s="491"/>
      <c r="C265" s="14"/>
      <c r="D265" s="14"/>
      <c r="E265" s="1366"/>
      <c r="F265" s="1227"/>
      <c r="G265" s="1227"/>
      <c r="H265" s="610"/>
      <c r="I265" s="828"/>
      <c r="J265" s="615"/>
      <c r="K265" s="402"/>
      <c r="L265" s="407"/>
      <c r="M265" s="404"/>
      <c r="N265" s="414"/>
      <c r="O265" s="414"/>
      <c r="P265" s="406"/>
      <c r="Q265" s="407"/>
      <c r="R265" s="404"/>
      <c r="S265" s="414"/>
      <c r="T265" s="414"/>
      <c r="U265" s="406"/>
      <c r="V265" s="407"/>
      <c r="W265" s="404"/>
      <c r="X265" s="414"/>
      <c r="Y265" s="414"/>
      <c r="Z265" s="406"/>
      <c r="AA265" s="407"/>
      <c r="AB265" s="404"/>
      <c r="AC265" s="414"/>
      <c r="AD265" s="414"/>
      <c r="AE265" s="406"/>
      <c r="AF265" s="407"/>
      <c r="AG265" s="404"/>
      <c r="AH265" s="414"/>
      <c r="AI265" s="414"/>
      <c r="AJ265" s="406"/>
      <c r="AK265" s="407"/>
      <c r="AL265" s="404"/>
      <c r="AM265" s="414"/>
      <c r="AN265" s="414"/>
      <c r="AO265" s="406"/>
      <c r="AP265" s="407"/>
      <c r="AQ265" s="404"/>
      <c r="AR265" s="414"/>
      <c r="AS265" s="414"/>
      <c r="AT265" s="406"/>
      <c r="AU265" s="407"/>
      <c r="AV265" s="404"/>
      <c r="AW265" s="414"/>
      <c r="AX265" s="414"/>
      <c r="AY265" s="406"/>
      <c r="AZ265" s="407"/>
      <c r="BA265" s="404"/>
      <c r="BB265" s="414"/>
      <c r="BC265" s="414"/>
      <c r="BD265" s="406"/>
      <c r="BE265" s="407"/>
      <c r="BF265" s="404"/>
      <c r="BG265" s="414"/>
      <c r="BH265" s="414"/>
      <c r="BI265" s="406"/>
      <c r="BJ265" s="407"/>
      <c r="BK265" s="404"/>
      <c r="BL265" s="414"/>
      <c r="BM265" s="414"/>
      <c r="BN265" s="406"/>
      <c r="BO265" s="407"/>
      <c r="BP265" s="449"/>
      <c r="BQ265" s="413"/>
      <c r="BR265" s="410"/>
      <c r="BS265" s="416"/>
      <c r="BT265" s="416"/>
      <c r="BU265" s="412"/>
      <c r="BV265" s="413"/>
      <c r="BW265" s="410"/>
      <c r="BX265" s="416"/>
      <c r="BY265" s="416"/>
      <c r="BZ265" s="412"/>
      <c r="CA265" s="413"/>
      <c r="CB265" s="410"/>
      <c r="CC265" s="416"/>
      <c r="CD265" s="416"/>
      <c r="CE265" s="412"/>
      <c r="CF265" s="413"/>
      <c r="CG265" s="410"/>
      <c r="CH265" s="416"/>
      <c r="CI265" s="416"/>
      <c r="CJ265" s="412"/>
      <c r="CK265" s="413"/>
      <c r="CL265" s="410"/>
      <c r="CM265" s="416"/>
      <c r="CN265" s="416"/>
      <c r="CO265" s="412"/>
      <c r="CP265" s="413"/>
      <c r="CQ265" s="410"/>
      <c r="CR265" s="416"/>
      <c r="CS265" s="416"/>
      <c r="CT265" s="412"/>
      <c r="CU265" s="413"/>
      <c r="CV265" s="410"/>
      <c r="CW265" s="416"/>
      <c r="CX265" s="416"/>
      <c r="CY265" s="412"/>
      <c r="CZ265" s="413"/>
      <c r="DA265" s="410"/>
      <c r="DB265" s="416"/>
      <c r="DC265" s="416"/>
      <c r="DD265" s="412"/>
      <c r="DE265" s="413"/>
      <c r="DF265" s="410"/>
      <c r="DG265" s="416"/>
      <c r="DH265" s="416"/>
      <c r="DI265" s="412"/>
      <c r="DJ265" s="413"/>
      <c r="DK265" s="410"/>
      <c r="DL265" s="416"/>
      <c r="DM265" s="416"/>
      <c r="DN265" s="412"/>
      <c r="DO265" s="413"/>
      <c r="DP265" s="410"/>
      <c r="DQ265" s="416"/>
      <c r="DR265" s="416"/>
      <c r="DS265" s="412"/>
      <c r="DT265" s="413"/>
    </row>
    <row r="266" spans="1:124" ht="12.75" customHeight="1">
      <c r="A266" s="491"/>
      <c r="C266" s="1891" t="s">
        <v>366</v>
      </c>
      <c r="D266" s="1891"/>
      <c r="E266" s="1887">
        <f t="shared" ref="E266:E273" si="2136">IF(F266=0,G266,F266)</f>
        <v>44.31</v>
      </c>
      <c r="F266" s="829">
        <v>44.31</v>
      </c>
      <c r="G266" s="829">
        <v>44.31</v>
      </c>
      <c r="H266" s="610">
        <v>2020</v>
      </c>
      <c r="I266" s="830">
        <v>4.4499999999999998E-2</v>
      </c>
      <c r="J266" s="615">
        <v>6</v>
      </c>
      <c r="K266" s="402"/>
      <c r="L266" s="407">
        <f t="shared" ref="L266:L275" si="2137">IF(L$5=$H266,-$E266,0)</f>
        <v>0</v>
      </c>
      <c r="M266" s="404">
        <f t="shared" ref="M266:M273" si="2138">IF(Q266=0,0,IF(Q266&lt;0,IF($J266=3,Q266,IF($J266=2,Q266,IF($J266=1,Q266,0)))))</f>
        <v>0</v>
      </c>
      <c r="N266" s="414">
        <f t="shared" ref="N266:N273" si="2139">IF(Q266=0,0,IF(Q266&lt;0,IF($J266=6,Q266,IF($J266=5,Q266,IF($J266=4,Q266,0)))))</f>
        <v>0</v>
      </c>
      <c r="O266" s="414">
        <f t="shared" ref="O266:O273" si="2140">IF(Q266=0,0,IF(Q266&lt;0,IF($J266=9,Q266,IF($J266=8,Q266,IF($J266=7,Q266,0)))))</f>
        <v>0</v>
      </c>
      <c r="P266" s="406">
        <f t="shared" ref="P266:P273" si="2141">IF(Q266=0,0,IF(Q266&lt;0,IF($J266=12,Q266,IF($J266=11,Q266,IF($J266=10,Q266,0)))))</f>
        <v>0</v>
      </c>
      <c r="Q266" s="407">
        <f t="shared" ref="Q266:Q275" si="2142">IF(Q$5=$H266,-$E266,0)</f>
        <v>0</v>
      </c>
      <c r="R266" s="404">
        <f t="shared" ref="R266:R273" si="2143">IF(V266=0,0,IF(V266&lt;0,IF($J266=3,V266,IF($J266=2,V266,IF($J266=1,V266,0)))))</f>
        <v>0</v>
      </c>
      <c r="S266" s="414">
        <f t="shared" ref="S266:S273" si="2144">IF(V266=0,0,IF(V266&lt;0,IF($J266=6,V266,IF($J266=5,V266,IF($J266=4,V266,0)))))</f>
        <v>0</v>
      </c>
      <c r="T266" s="414">
        <f t="shared" ref="T266:T273" si="2145">IF(V266=0,0,IF(V266&lt;0,IF($J266=9,V266,IF($J266=8,V266,IF($J266=7,V266,0)))))</f>
        <v>0</v>
      </c>
      <c r="U266" s="406">
        <f t="shared" ref="U266:U273" si="2146">IF(V266=0,0,IF(V266&lt;0,IF($J266=12,V266,IF($J266=11,V266,IF($J266=10,V266,0)))))</f>
        <v>0</v>
      </c>
      <c r="V266" s="407">
        <f t="shared" ref="V266:V275" si="2147">IF(V$5=$H266,-$E266,0)</f>
        <v>0</v>
      </c>
      <c r="W266" s="404">
        <f t="shared" ref="W266:W273" si="2148">IF(AA266=0,0,IF(AA266&lt;0,IF($J266=3,AA266,IF($J266=2,AA266,IF($J266=1,AA266,0)))))</f>
        <v>0</v>
      </c>
      <c r="X266" s="414">
        <f t="shared" ref="X266:X273" si="2149">IF(AA266=0,0,IF(AA266&lt;0,IF($J266=6,AA266,IF($J266=5,AA266,IF($J266=4,AA266,0)))))</f>
        <v>0</v>
      </c>
      <c r="Y266" s="414">
        <f t="shared" ref="Y266:Y273" si="2150">IF(AA266=0,0,IF(AA266&lt;0,IF($J266=9,AA266,IF($J266=8,AA266,IF($J266=7,AA266,0)))))</f>
        <v>0</v>
      </c>
      <c r="Z266" s="406">
        <f t="shared" ref="Z266:Z273" si="2151">IF(AA266=0,0,IF(AA266&lt;0,IF($J266=12,AA266,IF($J266=11,AA266,IF($J266=10,AA266,0)))))</f>
        <v>0</v>
      </c>
      <c r="AA266" s="407">
        <f t="shared" ref="AA266:AA275" si="2152">IF(AA$5=$H266,-$E266,0)</f>
        <v>0</v>
      </c>
      <c r="AB266" s="404">
        <f t="shared" ref="AB266:AB273" si="2153">IF(AF266=0,0,IF(AF266&lt;0,IF($J266=3,AF266,IF($J266=2,AF266,IF($J266=1,AF266,0)))))</f>
        <v>0</v>
      </c>
      <c r="AC266" s="414">
        <f t="shared" ref="AC266:AC273" si="2154">IF(AF266=0,0,IF(AF266&lt;0,IF($J266=6,AF266,IF($J266=5,AF266,IF($J266=4,AF266,0)))))</f>
        <v>0</v>
      </c>
      <c r="AD266" s="414">
        <f t="shared" ref="AD266:AD273" si="2155">IF(AF266=0,0,IF(AF266&lt;0,IF($J266=9,AF266,IF($J266=8,AF266,IF($J266=7,AF266,0)))))</f>
        <v>0</v>
      </c>
      <c r="AE266" s="406">
        <f t="shared" ref="AE266:AE273" si="2156">IF(AF266=0,0,IF(AF266&lt;0,IF($J266=12,AF266,IF($J266=11,AF266,IF($J266=10,AF266,0)))))</f>
        <v>0</v>
      </c>
      <c r="AF266" s="407">
        <f t="shared" ref="AF266:AF275" si="2157">IF(AF$5=$H266,-$E266,0)</f>
        <v>0</v>
      </c>
      <c r="AG266" s="404">
        <f t="shared" ref="AG266:AG273" si="2158">IF(AK266=0,0,IF(AK266&lt;0,IF($J266=3,AK266,IF($J266=2,AK266,IF($J266=1,AK266,0)))))</f>
        <v>0</v>
      </c>
      <c r="AH266" s="414">
        <f t="shared" ref="AH266:AH273" si="2159">IF(AK266=0,0,IF(AK266&lt;0,IF($J266=6,AK266,IF($J266=5,AK266,IF($J266=4,AK266,0)))))</f>
        <v>0</v>
      </c>
      <c r="AI266" s="414">
        <f t="shared" ref="AI266:AI273" si="2160">IF(AK266=0,0,IF(AK266&lt;0,IF($J266=9,AK266,IF($J266=8,AK266,IF($J266=7,AK266,0)))))</f>
        <v>0</v>
      </c>
      <c r="AJ266" s="406">
        <f t="shared" ref="AJ266:AJ273" si="2161">IF(AK266=0,0,IF(AK266&lt;0,IF($J266=12,AK266,IF($J266=11,AK266,IF($J266=10,AK266,0)))))</f>
        <v>0</v>
      </c>
      <c r="AK266" s="407">
        <f t="shared" ref="AK266:AK275" si="2162">IF(AK$5=$H266,-$E266,0)</f>
        <v>0</v>
      </c>
      <c r="AL266" s="404">
        <f t="shared" ref="AL266:AL273" si="2163">IF(AP266=0,0,IF(AP266&lt;0,IF($J266=3,AP266,IF($J266=2,AP266,IF($J266=1,AP266,0)))))</f>
        <v>0</v>
      </c>
      <c r="AM266" s="414">
        <f t="shared" ref="AM266:AM273" si="2164">IF(AP266=0,0,IF(AP266&lt;0,IF($J266=6,AP266,IF($J266=5,AP266,IF($J266=4,AP266,0)))))</f>
        <v>0</v>
      </c>
      <c r="AN266" s="414">
        <f t="shared" ref="AN266:AN273" si="2165">IF(AP266=0,0,IF(AP266&lt;0,IF($J266=9,AP266,IF($J266=8,AP266,IF($J266=7,AP266,0)))))</f>
        <v>0</v>
      </c>
      <c r="AO266" s="406">
        <f t="shared" ref="AO266:AO273" si="2166">IF(AP266=0,0,IF(AP266&lt;0,IF($J266=12,AP266,IF($J266=11,AP266,IF($J266=10,AP266,0)))))</f>
        <v>0</v>
      </c>
      <c r="AP266" s="407">
        <f t="shared" ref="AP266:AP275" si="2167">IF(AP$5=$H266,-$E266,0)</f>
        <v>0</v>
      </c>
      <c r="AQ266" s="404">
        <f t="shared" ref="AQ266:AQ273" si="2168">IF(AU266=0,0,IF(AU266&lt;0,IF($J266=3,AU266,IF($J266=2,AU266,IF($J266=1,AU266,0)))))</f>
        <v>0</v>
      </c>
      <c r="AR266" s="414">
        <f t="shared" ref="AR266:AR274" si="2169">IF(AU266=0,0,IF(AU266&lt;0,IF($J266=6,AU266,IF($J266=5,AU266,IF($J266=4,AU266,0)))))</f>
        <v>0</v>
      </c>
      <c r="AS266" s="414">
        <f t="shared" ref="AS266:AS273" si="2170">IF(AU266=0,0,IF(AU266&lt;0,IF($J266=9,AU266,IF($J266=8,AU266,IF($J266=7,AU266,0)))))</f>
        <v>0</v>
      </c>
      <c r="AT266" s="406">
        <f t="shared" ref="AT266:AT273" si="2171">IF(AU266=0,0,IF(AU266&lt;0,IF($J266=12,AU266,IF($J266=11,AU266,IF($J266=10,AU266,0)))))</f>
        <v>0</v>
      </c>
      <c r="AU266" s="407">
        <f t="shared" ref="AU266:AU275" si="2172">IF(AU$5=$H266,-$E266,0)</f>
        <v>0</v>
      </c>
      <c r="AV266" s="404">
        <f t="shared" ref="AV266:AV273" si="2173">IF(AZ266=0,0,IF(AZ266&lt;0,IF($J266=3,AZ266,IF($J266=2,AZ266,IF($J266=1,AZ266,0)))))</f>
        <v>0</v>
      </c>
      <c r="AW266" s="414">
        <f t="shared" ref="AW266:AW273" si="2174">IF(AZ266=0,0,IF(AZ266&lt;0,IF($J266=6,AZ266,IF($J266=5,AZ266,IF($J266=4,AZ266,0)))))</f>
        <v>0</v>
      </c>
      <c r="AX266" s="414">
        <f t="shared" ref="AX266:AX273" si="2175">IF(AZ266=0,0,IF(AZ266&lt;0,IF($J266=9,AZ266,IF($J266=8,AZ266,IF($J266=7,AZ266,0)))))</f>
        <v>0</v>
      </c>
      <c r="AY266" s="406">
        <f t="shared" ref="AY266:AY273" si="2176">IF(AZ266=0,0,IF(AZ266&lt;0,IF($J266=12,AZ266,IF($J266=11,AZ266,IF($J266=10,AZ266,0)))))</f>
        <v>0</v>
      </c>
      <c r="AZ266" s="407">
        <f t="shared" ref="AZ266:AZ275" si="2177">IF(AZ$5=$H266,-$E266,0)</f>
        <v>0</v>
      </c>
      <c r="BA266" s="404">
        <f t="shared" ref="BA266:BA273" si="2178">IF(BE266=0,0,IF(BE266&lt;0,IF($J266=3,BE266,IF($J266=2,BE266,IF($J266=1,BE266,0)))))</f>
        <v>0</v>
      </c>
      <c r="BB266" s="414">
        <f t="shared" ref="BB266:BB273" si="2179">IF(BE266=0,0,IF(BE266&lt;0,IF($J266=6,BE266,IF($J266=5,BE266,IF($J266=4,BE266,0)))))</f>
        <v>0</v>
      </c>
      <c r="BC266" s="414">
        <f t="shared" ref="BC266:BC273" si="2180">IF(BE266=0,0,IF(BE266&lt;0,IF($J266=9,BE266,IF($J266=8,BE266,IF($J266=7,BE266,0)))))</f>
        <v>0</v>
      </c>
      <c r="BD266" s="406">
        <f t="shared" ref="BD266:BD273" si="2181">IF(BE266=0,0,IF(BE266&lt;0,IF($J266=12,BE266,IF($J266=11,BE266,IF($J266=10,BE266,0)))))</f>
        <v>0</v>
      </c>
      <c r="BE266" s="407">
        <f t="shared" ref="BE266:BE275" si="2182">IF(BE$5=$H266,-$E266,0)</f>
        <v>0</v>
      </c>
      <c r="BF266" s="404">
        <f t="shared" ref="BF266:BF273" si="2183">IF(BJ266=0,0,IF(BJ266&lt;0,IF($J266=3,BJ266,IF($J266=2,BJ266,IF($J266=1,BJ266,0)))))</f>
        <v>0</v>
      </c>
      <c r="BG266" s="414">
        <f t="shared" ref="BG266:BG273" si="2184">IF(BJ266=0,0,IF(BJ266&lt;0,IF($J266=6,BJ266,IF($J266=5,BJ266,IF($J266=4,BJ266,0)))))</f>
        <v>-44.31</v>
      </c>
      <c r="BH266" s="414">
        <f t="shared" ref="BH266:BH273" si="2185">IF(BJ266=0,0,IF(BJ266&lt;0,IF($J266=9,BJ266,IF($J266=8,BJ266,IF($J266=7,BJ266,0)))))</f>
        <v>0</v>
      </c>
      <c r="BI266" s="406">
        <f t="shared" ref="BI266:BI273" si="2186">IF(BJ266=0,0,IF(BJ266&lt;0,IF($J266=12,BJ266,IF($J266=11,BJ266,IF($J266=10,BJ266,0)))))</f>
        <v>0</v>
      </c>
      <c r="BJ266" s="407">
        <f t="shared" ref="BJ266:BJ275" si="2187">IF(BJ$5=$H266,-$E266,0)</f>
        <v>-44.31</v>
      </c>
      <c r="BK266" s="404">
        <f t="shared" ref="BK266:BK273" si="2188">IF(BO266=0,0,IF(BO266&lt;0,IF($J266=3,BO266,IF($J266=2,BO266,IF($J266=1,BO266,0)))))</f>
        <v>0</v>
      </c>
      <c r="BL266" s="414">
        <f t="shared" ref="BL266:BL273" si="2189">IF(BO266=0,0,IF(BO266&lt;0,IF($J266=6,BO266,IF($J266=5,BO266,IF($J266=4,BO266,0)))))</f>
        <v>0</v>
      </c>
      <c r="BM266" s="414">
        <f t="shared" ref="BM266:BM273" si="2190">IF(BO266=0,0,IF(BO266&lt;0,IF($J266=9,BO266,IF($J266=8,BO266,IF($J266=7,BO266,0)))))</f>
        <v>0</v>
      </c>
      <c r="BN266" s="406">
        <f t="shared" ref="BN266:BN273" si="2191">IF(BO266=0,0,IF(BO266&lt;0,IF($J266=12,BO266,IF($J266=11,BO266,IF($J266=10,BO266,0)))))</f>
        <v>0</v>
      </c>
      <c r="BO266" s="407">
        <f t="shared" ref="BO266:BO275" si="2192">IF(BO$5=$H266,-$E266,0)</f>
        <v>0</v>
      </c>
      <c r="BP266" s="449"/>
      <c r="BQ266" s="413">
        <f t="shared" ref="BQ266:BQ273" si="2193">IF(AND(AH266&lt;&gt;0,AH$5=$H266),-$I266*$E266-AH266,IF(BQ$5=$H266,-$I266*$E266*(12-$J266+1)/12,0))</f>
        <v>0</v>
      </c>
      <c r="BR266" s="410">
        <f t="shared" ref="BR266:BR273" si="2194">IF($H266&lt;&gt;BV$5,0,IF(BV266&lt;0,IF($J266=1,-$E266*$I266/12*3,IF($J266=2,-$E266*$I266/12*2,IF($J266=3,-$E266*$I266/12*1,0)))))+IF(BQ$5&lt;&gt;$H266,0,IF(BQ266&lt;0,IF($J266=1,-$E266*$I266/12*0,IF($J266=2,-$E266*$I266/12*1,IF($J266=3,-$E266*$I266/12*2,IF($J266&gt;=4,-$E266*$I266/12*3,0))))))</f>
        <v>0</v>
      </c>
      <c r="BS266" s="416">
        <f t="shared" ref="BS266:BS273" si="2195">IF($H266&lt;&gt;BV$5,0,IF(BV266&lt;0,IF(OR($J266=1,$J266=2,$J266=3,$J266=4),-$E266*$I266/12*3,IF($J266=5,-$E266*$I266/12*2,IF($J266=6,-$E266*$I266/12*1,0)))))+IF(BQ$5&lt;&gt;$H266,0,IF(BQ266&lt;0,IF($J266=4,-$E266*$I266/12*0,IF($J266=5,-$E266*$I266/12*1,IF($J266=6,-$E266*$I266/12*2,IF($J266&gt;=7,-$E266*$I266/12*3,0))))))</f>
        <v>0</v>
      </c>
      <c r="BT266" s="416">
        <f t="shared" ref="BT266:BT273" si="2196">IF($H266&lt;&gt;BV$5,0,IF(BV266&lt;0,IF(OR($J266=1,$J266=2,$J266=3,$J266=4,$J266=5,$J266=6,$J266=7),-$E266*$I266/12*3,IF($J266=8,-$E266*$I266/12*2,IF($J266=9,-$E266*$I266/12*1,0)))))+IF(BQ$5&lt;&gt;$H266,0,IF(BQ266&lt;0,IF($J266=7,-$E266*$I266/12*0,IF($J266=8,-$E266*$I266/12*1,IF($J266=9,-$E266*$I266/12*2,IF($J266&gt;=10,-$E266*$I266/12*3,0))))))</f>
        <v>0</v>
      </c>
      <c r="BU266" s="412">
        <f t="shared" ref="BU266:BU273" si="2197">IF($H266&lt;&gt;BV$5,0,IF(BV266&lt;0,IF(OR($J266=1,$J266=2,$J266=3,$J266=4,$J266=5,$J266=6,$J266=7,$J266=8,$J266=9,$J266=10),-$E266*$I266/12*3,IF($J266=11,-$E266*$I266/12*2,IF($J266=12,-$E266*$I266/12*1,0)))))+IF(BQ$5&lt;&gt;$H266,0,IF(BQ266&lt;0,IF($J266=10,-$E266*$I266/12*0,IF($J266=11,-$E266*$I266/12*1,IF($J266=12,-$E266*$I266/12*2,0)))))</f>
        <v>0</v>
      </c>
      <c r="BV266" s="413">
        <f t="shared" ref="BV266:BV273" si="2198">IF(AND(BQ266&lt;&gt;0,BQ$5=$H266),-$I266*$E266-BQ266,IF(BV$5=$H266,-$I266*$E266*(12-$J266+1)/12,0))</f>
        <v>0</v>
      </c>
      <c r="BW266" s="410">
        <f t="shared" ref="BW266:BW273" si="2199">IF($H266&lt;&gt;CA$5,0,IF(CA266&lt;0,IF($J266=1,-$E266*$I266/12*3,IF($J266=2,-$E266*$I266/12*2,IF($J266=3,-$E266*$I266/12*1,0)))))+IF(BV$5&lt;&gt;$H266,0,IF(BV266&lt;0,IF($J266=1,-$E266*$I266/12*0,IF($J266=2,-$E266*$I266/12*1,IF($J266=3,-$E266*$I266/12*2,IF($J266&gt;=4,-$E266*$I266/12*3,0))))))</f>
        <v>0</v>
      </c>
      <c r="BX266" s="416">
        <f t="shared" ref="BX266:BX273" si="2200">IF($H266&lt;&gt;CA$5,0,IF(CA266&lt;0,IF(OR($J266=1,$J266=2,$J266=3,$J266=4),-$E266*$I266/12*3,IF($J266=5,-$E266*$I266/12*2,IF($J266=6,-$E266*$I266/12*1,0)))))+IF(BV$5&lt;&gt;$H266,0,IF(BV266&lt;0,IF($J266=4,-$E266*$I266/12*0,IF($J266=5,-$E266*$I266/12*1,IF($J266=6,-$E266*$I266/12*2,IF($J266&gt;=7,-$E266*$I266/12*3,0))))))</f>
        <v>0</v>
      </c>
      <c r="BY266" s="416">
        <f t="shared" ref="BY266:BY273" si="2201">IF($H266&lt;&gt;CA$5,0,IF(CA266&lt;0,IF(OR($J266=1,$J266=2,$J266=3,$J266=4,$J266=5,$J266=6,$J266=7),-$E266*$I266/12*3,IF($J266=8,-$E266*$I266/12*2,IF($J266=9,-$E266*$I266/12*1,0)))))+IF(BV$5&lt;&gt;$H266,0,IF(BV266&lt;0,IF($J266=7,-$E266*$I266/12*0,IF($J266=8,-$E266*$I266/12*1,IF($J266=9,-$E266*$I266/12*2,IF($J266&gt;=10,-$E266*$I266/12*3,0))))))</f>
        <v>0</v>
      </c>
      <c r="BZ266" s="412">
        <f t="shared" ref="BZ266:BZ273" si="2202">IF($H266&lt;&gt;CA$5,0,IF(CA266&lt;0,IF(OR($J266=1,$J266=2,$J266=3,$J266=4,$J266=5,$J266=6,$J266=7,$J266=8,$J266=9,$J266=10),-$E266*$I266/12*3,IF($J266=11,-$E266*$I266/12*2,IF($J266=12,-$E266*$I266/12*1,0)))))+IF(BV$5&lt;&gt;$H266,0,IF(BV266&lt;0,IF($J266=10,-$E266*$I266/12*0,IF($J266=11,-$E266*$I266/12*1,IF($J266=12,-$E266*$I266/12*2,0)))))</f>
        <v>0</v>
      </c>
      <c r="CA266" s="413">
        <f t="shared" ref="CA266:CA273" si="2203">IF(AND(BV266&lt;&gt;0,BV$5=$H266),-$I266*$E266-BV266,IF(CA$5=$H266,-$I266*$E266*(12-$J266+1)/12,0))</f>
        <v>0</v>
      </c>
      <c r="CB266" s="410">
        <f t="shared" ref="CB266:CB273" si="2204">IF($H266&lt;&gt;CF$5,0,IF(CF266&lt;0,IF($J266=1,-$E266*$I266/12*3,IF($J266=2,-$E266*$I266/12*2,IF($J266=3,-$E266*$I266/12*1,0)))))+IF(CA$5&lt;&gt;$H266,0,IF(CA266&lt;0,IF($J266=1,-$E266*$I266/12*0,IF($J266=2,-$E266*$I266/12*1,IF($J266=3,-$E266*$I266/12*2,IF($J266&gt;=4,-$E266*$I266/12*3,0))))))</f>
        <v>0</v>
      </c>
      <c r="CC266" s="416">
        <f t="shared" ref="CC266:CC273" si="2205">IF($H266&lt;&gt;CF$5,0,IF(CF266&lt;0,IF(OR($J266=1,$J266=2,$J266=3,$J266=4),-$E266*$I266/12*3,IF($J266=5,-$E266*$I266/12*2,IF($J266=6,-$E266*$I266/12*1,0)))))+IF(CA$5&lt;&gt;$H266,0,IF(CA266&lt;0,IF($J266=4,-$E266*$I266/12*0,IF($J266=5,-$E266*$I266/12*1,IF($J266=6,-$E266*$I266/12*2,IF($J266&gt;=7,-$E266*$I266/12*3,0))))))</f>
        <v>0</v>
      </c>
      <c r="CD266" s="416">
        <f t="shared" ref="CD266:CD273" si="2206">IF($H266&lt;&gt;CF$5,0,IF(CF266&lt;0,IF(OR($J266=1,$J266=2,$J266=3,$J266=4,$J266=5,$J266=6,$J266=7),-$E266*$I266/12*3,IF($J266=8,-$E266*$I266/12*2,IF($J266=9,-$E266*$I266/12*1,0)))))+IF(CA$5&lt;&gt;$H266,0,IF(CA266&lt;0,IF($J266=7,-$E266*$I266/12*0,IF($J266=8,-$E266*$I266/12*1,IF($J266=9,-$E266*$I266/12*2,IF($J266&gt;=10,-$E266*$I266/12*3,0))))))</f>
        <v>0</v>
      </c>
      <c r="CE266" s="412">
        <f t="shared" ref="CE266:CE273" si="2207">IF($H266&lt;&gt;CF$5,0,IF(CF266&lt;0,IF(OR($J266=1,$J266=2,$J266=3,$J266=4,$J266=5,$J266=6,$J266=7,$J266=8,$J266=9,$J266=10),-$E266*$I266/12*3,IF($J266=11,-$E266*$I266/12*2,IF($J266=12,-$E266*$I266/12*1,0)))))+IF(CA$5&lt;&gt;$H266,0,IF(CA266&lt;0,IF($J266=10,-$E266*$I266/12*0,IF($J266=11,-$E266*$I266/12*1,IF($J266=12,-$E266*$I266/12*2,0)))))</f>
        <v>0</v>
      </c>
      <c r="CF266" s="413">
        <f t="shared" ref="CF266:CF273" si="2208">IF(AND(CA266&lt;&gt;0,CA$5=$H266),-$I266*$E266-CA266,IF(CF$5=$H266,-$I266*$E266*(12-$J266+1)/12,0))</f>
        <v>0</v>
      </c>
      <c r="CG266" s="410">
        <f t="shared" ref="CG266:CG273" si="2209">IF($H266&lt;&gt;CK$5,0,IF(CK266&lt;0,IF($J266=1,-$E266*$I266/12*3,IF($J266=2,-$E266*$I266/12*2,IF($J266=3,-$E266*$I266/12*1,0)))))+IF(CF$5&lt;&gt;$H266,0,IF(CF266&lt;0,IF($J266=1,-$E266*$I266/12*0,IF($J266=2,-$E266*$I266/12*1,IF($J266=3,-$E266*$I266/12*2,IF($J266&gt;=4,-$E266*$I266/12*3,0))))))</f>
        <v>0</v>
      </c>
      <c r="CH266" s="416">
        <f t="shared" ref="CH266:CH273" si="2210">IF($H266&lt;&gt;CK$5,0,IF(CK266&lt;0,IF(OR($J266=1,$J266=2,$J266=3,$J266=4),-$E266*$I266/12*3,IF($J266=5,-$E266*$I266/12*2,IF($J266=6,-$E266*$I266/12*1,0)))))+IF(CF$5&lt;&gt;$H266,0,IF(CF266&lt;0,IF($J266=4,-$E266*$I266/12*0,IF($J266=5,-$E266*$I266/12*1,IF($J266=6,-$E266*$I266/12*2,IF($J266&gt;=7,-$E266*$I266/12*3,0))))))</f>
        <v>0</v>
      </c>
      <c r="CI266" s="416">
        <f t="shared" ref="CI266:CI273" si="2211">IF($H266&lt;&gt;CK$5,0,IF(CK266&lt;0,IF(OR($J266=1,$J266=2,$J266=3,$J266=4,$J266=5,$J266=6,$J266=7),-$E266*$I266/12*3,IF($J266=8,-$E266*$I266/12*2,IF($J266=9,-$E266*$I266/12*1,0)))))+IF(CF$5&lt;&gt;$H266,0,IF(CF266&lt;0,IF($J266=7,-$E266*$I266/12*0,IF($J266=8,-$E266*$I266/12*1,IF($J266=9,-$E266*$I266/12*2,IF($J266&gt;=10,-$E266*$I266/12*3,0))))))</f>
        <v>0</v>
      </c>
      <c r="CJ266" s="412">
        <f t="shared" ref="CJ266:CJ273" si="2212">IF($H266&lt;&gt;CK$5,0,IF(CK266&lt;0,IF(OR($J266=1,$J266=2,$J266=3,$J266=4,$J266=5,$J266=6,$J266=7,$J266=8,$J266=9,$J266=10),-$E266*$I266/12*3,IF($J266=11,-$E266*$I266/12*2,IF($J266=12,-$E266*$I266/12*1,0)))))+IF(CF$5&lt;&gt;$H266,0,IF(CF266&lt;0,IF($J266=10,-$E266*$I266/12*0,IF($J266=11,-$E266*$I266/12*1,IF($J266=12,-$E266*$I266/12*2,0)))))</f>
        <v>0</v>
      </c>
      <c r="CK266" s="413">
        <f t="shared" ref="CK266:CK273" si="2213">IF(AND(CF266&lt;&gt;0,CF$5=$H266),-$I266*$E266-CF266,IF(CK$5=$H266,-$I266*$E266*(12-$J266+1)/12,0))</f>
        <v>0</v>
      </c>
      <c r="CL266" s="410">
        <f t="shared" ref="CL266:CL273" si="2214">IF($H266&lt;&gt;CP$5,0,IF(CP266&lt;0,IF($J266=1,-$E266*$I266/12*3,IF($J266=2,-$E266*$I266/12*2,IF($J266=3,-$E266*$I266/12*1,0)))))+IF(CK$5&lt;&gt;$H266,0,IF(CK266&lt;0,IF($J266=1,-$E266*$I266/12*0,IF($J266=2,-$E266*$I266/12*1,IF($J266=3,-$E266*$I266/12*2,IF($J266&gt;=4,-$E266*$I266/12*3,0))))))</f>
        <v>0</v>
      </c>
      <c r="CM266" s="416">
        <f t="shared" ref="CM266:CM273" si="2215">IF($H266&lt;&gt;CP$5,0,IF(CP266&lt;0,IF(OR($J266=1,$J266=2,$J266=3,$J266=4),-$E266*$I266/12*3,IF($J266=5,-$E266*$I266/12*2,IF($J266=6,-$E266*$I266/12*1,0)))))+IF(CK$5&lt;&gt;$H266,0,IF(CK266&lt;0,IF($J266=4,-$E266*$I266/12*0,IF($J266=5,-$E266*$I266/12*1,IF($J266=6,-$E266*$I266/12*2,IF($J266&gt;=7,-$E266*$I266/12*3,0))))))</f>
        <v>0</v>
      </c>
      <c r="CN266" s="416">
        <f t="shared" ref="CN266:CN273" si="2216">IF($H266&lt;&gt;CP$5,0,IF(CP266&lt;0,IF(OR($J266=1,$J266=2,$J266=3,$J266=4,$J266=5,$J266=6,$J266=7),-$E266*$I266/12*3,IF($J266=8,-$E266*$I266/12*2,IF($J266=9,-$E266*$I266/12*1,0)))))+IF(CK$5&lt;&gt;$H266,0,IF(CK266&lt;0,IF($J266=7,-$E266*$I266/12*0,IF($J266=8,-$E266*$I266/12*1,IF($J266=9,-$E266*$I266/12*2,IF($J266&gt;=10,-$E266*$I266/12*3,0))))))</f>
        <v>0</v>
      </c>
      <c r="CO266" s="412">
        <f t="shared" ref="CO266:CO273" si="2217">IF($H266&lt;&gt;CP$5,0,IF(CP266&lt;0,IF(OR($J266=1,$J266=2,$J266=3,$J266=4,$J266=5,$J266=6,$J266=7,$J266=8,$J266=9,$J266=10),-$E266*$I266/12*3,IF($J266=11,-$E266*$I266/12*2,IF($J266=12,-$E266*$I266/12*1,0)))))+IF(CK$5&lt;&gt;$H266,0,IF(CK266&lt;0,IF($J266=10,-$E266*$I266/12*0,IF($J266=11,-$E266*$I266/12*1,IF($J266=12,-$E266*$I266/12*2,0)))))</f>
        <v>0</v>
      </c>
      <c r="CP266" s="413">
        <f t="shared" ref="CP266:CP273" si="2218">IF(AND(CK266&lt;&gt;0,CK$5=$H266),-$I266*$E266-CK266,IF(CP$5=$H266,-$I266*$E266*(12-$J266+1)/12,0))</f>
        <v>0</v>
      </c>
      <c r="CQ266" s="410">
        <f t="shared" ref="CQ266:CQ273" si="2219">IF($H266&lt;&gt;CU$5,0,IF(CU266&lt;0,IF($J266=1,-$E266*$I266/12*3,IF($J266=2,-$E266*$I266/12*2,IF($J266=3,-$E266*$I266/12*1,0)))))+IF(CP$5&lt;&gt;$H266,0,IF(CP266&lt;0,IF($J266=1,-$E266*$I266/12*0,IF($J266=2,-$E266*$I266/12*1,IF($J266=3,-$E266*$I266/12*2,IF($J266&gt;=4,-$E266*$I266/12*3,0))))))</f>
        <v>0</v>
      </c>
      <c r="CR266" s="416">
        <f t="shared" ref="CR266:CR273" si="2220">IF($H266&lt;&gt;CU$5,0,IF(CU266&lt;0,IF(OR($J266=1,$J266=2,$J266=3,$J266=4),-$E266*$I266/12*3,IF($J266=5,-$E266*$I266/12*2,IF($J266=6,-$E266*$I266/12*1,0)))))+IF(CP$5&lt;&gt;$H266,0,IF(CP266&lt;0,IF($J266=4,-$E266*$I266/12*0,IF($J266=5,-$E266*$I266/12*1,IF($J266=6,-$E266*$I266/12*2,IF($J266&gt;=7,-$E266*$I266/12*3,0))))))</f>
        <v>0</v>
      </c>
      <c r="CS266" s="416">
        <f t="shared" ref="CS266:CS273" si="2221">IF($H266&lt;&gt;CU$5,0,IF(CU266&lt;0,IF(OR($J266=1,$J266=2,$J266=3,$J266=4,$J266=5,$J266=6,$J266=7),-$E266*$I266/12*3,IF($J266=8,-$E266*$I266/12*2,IF($J266=9,-$E266*$I266/12*1,0)))))+IF(CP$5&lt;&gt;$H266,0,IF(CP266&lt;0,IF($J266=7,-$E266*$I266/12*0,IF($J266=8,-$E266*$I266/12*1,IF($J266=9,-$E266*$I266/12*2,IF($J266&gt;=10,-$E266*$I266/12*3,0))))))</f>
        <v>0</v>
      </c>
      <c r="CT266" s="412">
        <f t="shared" ref="CT266:CT273" si="2222">IF($H266&lt;&gt;CU$5,0,IF(CU266&lt;0,IF(OR($J266=1,$J266=2,$J266=3,$J266=4,$J266=5,$J266=6,$J266=7,$J266=8,$J266=9,$J266=10),-$E266*$I266/12*3,IF($J266=11,-$E266*$I266/12*2,IF($J266=12,-$E266*$I266/12*1,0)))))+IF(CP$5&lt;&gt;$H266,0,IF(CP266&lt;0,IF($J266=10,-$E266*$I266/12*0,IF($J266=11,-$E266*$I266/12*1,IF($J266=12,-$E266*$I266/12*2,0)))))</f>
        <v>0</v>
      </c>
      <c r="CU266" s="413">
        <f t="shared" ref="CU266:CU273" si="2223">IF(AND(CP266&lt;&gt;0,CP$5=$H266),-$I266*$E266-CP266,IF(CU$5=$H266,-$I266*$E266*(12-$J266+1)/12,0))</f>
        <v>0</v>
      </c>
      <c r="CV266" s="410">
        <f t="shared" ref="CV266:CV273" si="2224">IF($H266&lt;&gt;CZ$5,0,IF(CZ266&lt;0,IF($J266=1,-$E266*$I266/12*3,IF($J266=2,-$E266*$I266/12*2,IF($J266=3,-$E266*$I266/12*1,0)))))+IF(CU$5&lt;&gt;$H266,0,IF(CU266&lt;0,IF($J266=1,-$E266*$I266/12*0,IF($J266=2,-$E266*$I266/12*1,IF($J266=3,-$E266*$I266/12*2,IF($J266&gt;=4,-$E266*$I266/12*3,0))))))</f>
        <v>0</v>
      </c>
      <c r="CW266" s="416">
        <f t="shared" ref="CW266:CW273" si="2225">IF($H266&lt;&gt;CZ$5,0,IF(CZ266&lt;0,IF(OR($J266=1,$J266=2,$J266=3,$J266=4),-$E266*$I266/12*3,IF($J266=5,-$E266*$I266/12*2,IF($J266=6,-$E266*$I266/12*1,0)))))+IF(CU$5&lt;&gt;$H266,0,IF(CU266&lt;0,IF($J266=4,-$E266*$I266/12*0,IF($J266=5,-$E266*$I266/12*1,IF($J266=6,-$E266*$I266/12*2,IF($J266&gt;=7,-$E266*$I266/12*3,0))))))</f>
        <v>0</v>
      </c>
      <c r="CX266" s="416">
        <f t="shared" ref="CX266:CX273" si="2226">IF($H266&lt;&gt;CZ$5,0,IF(CZ266&lt;0,IF(OR($J266=1,$J266=2,$J266=3,$J266=4,$J266=5,$J266=6,$J266=7),-$E266*$I266/12*3,IF($J266=8,-$E266*$I266/12*2,IF($J266=9,-$E266*$I266/12*1,0)))))+IF(CU$5&lt;&gt;$H266,0,IF(CU266&lt;0,IF($J266=7,-$E266*$I266/12*0,IF($J266=8,-$E266*$I266/12*1,IF($J266=9,-$E266*$I266/12*2,IF($J266&gt;=10,-$E266*$I266/12*3,0))))))</f>
        <v>0</v>
      </c>
      <c r="CY266" s="412">
        <f t="shared" ref="CY266:CY273" si="2227">IF($H266&lt;&gt;CZ$5,0,IF(CZ266&lt;0,IF(OR($J266=1,$J266=2,$J266=3,$J266=4,$J266=5,$J266=6,$J266=7,$J266=8,$J266=9,$J266=10),-$E266*$I266/12*3,IF($J266=11,-$E266*$I266/12*2,IF($J266=12,-$E266*$I266/12*1,0)))))+IF(CU$5&lt;&gt;$H266,0,IF(CU266&lt;0,IF($J266=10,-$E266*$I266/12*0,IF($J266=11,-$E266*$I266/12*1,IF($J266=12,-$E266*$I266/12*2,0)))))</f>
        <v>0</v>
      </c>
      <c r="CZ266" s="413">
        <f t="shared" ref="CZ266:CZ273" si="2228">IF(AND(CU266&lt;&gt;0,CU$5=$H266),-$I266*$E266-CU266,IF(CZ$5=$H266,-$I266*$E266*(12-$J266+1)/12,0))</f>
        <v>0</v>
      </c>
      <c r="DA266" s="410">
        <f t="shared" ref="DA266:DA273" si="2229">IF($H266&lt;&gt;DE$5,0,IF(DE266&lt;0,IF($J266=1,-$E266*$I266/12*3,IF($J266=2,-$E266*$I266/12*2,IF($J266=3,-$E266*$I266/12*1,0)))))+IF(CZ$5&lt;&gt;$H266,0,IF(CZ266&lt;0,IF($J266=1,-$E266*$I266/12*0,IF($J266=2,-$E266*$I266/12*1,IF($J266=3,-$E266*$I266/12*2,IF($J266&gt;=4,-$E266*$I266/12*3,0))))))</f>
        <v>0</v>
      </c>
      <c r="DB266" s="416">
        <f t="shared" ref="DB266:DB273" si="2230">IF($H266&lt;&gt;DE$5,0,IF(DE266&lt;0,IF(OR($J266=1,$J266=2,$J266=3,$J266=4),-$E266*$I266/12*3,IF($J266=5,-$E266*$I266/12*2,IF($J266=6,-$E266*$I266/12*1,0)))))+IF(CZ$5&lt;&gt;$H266,0,IF(CZ266&lt;0,IF($J266=4,-$E266*$I266/12*0,IF($J266=5,-$E266*$I266/12*1,IF($J266=6,-$E266*$I266/12*2,IF($J266&gt;=7,-$E266*$I266/12*3,0))))))</f>
        <v>0</v>
      </c>
      <c r="DC266" s="416">
        <f t="shared" ref="DC266:DC273" si="2231">IF($H266&lt;&gt;DE$5,0,IF(DE266&lt;0,IF(OR($J266=1,$J266=2,$J266=3,$J266=4,$J266=5,$J266=6,$J266=7),-$E266*$I266/12*3,IF($J266=8,-$E266*$I266/12*2,IF($J266=9,-$E266*$I266/12*1,0)))))+IF(CZ$5&lt;&gt;$H266,0,IF(CZ266&lt;0,IF($J266=7,-$E266*$I266/12*0,IF($J266=8,-$E266*$I266/12*1,IF($J266=9,-$E266*$I266/12*2,IF($J266&gt;=10,-$E266*$I266/12*3,0))))))</f>
        <v>0</v>
      </c>
      <c r="DD266" s="412">
        <f t="shared" ref="DD266:DD273" si="2232">IF($H266&lt;&gt;DE$5,0,IF(DE266&lt;0,IF(OR($J266=1,$J266=2,$J266=3,$J266=4,$J266=5,$J266=6,$J266=7,$J266=8,$J266=9,$J266=10),-$E266*$I266/12*3,IF($J266=11,-$E266*$I266/12*2,IF($J266=12,-$E266*$I266/12*1,0)))))+IF(CZ$5&lt;&gt;$H266,0,IF(CZ266&lt;0,IF($J266=10,-$E266*$I266/12*0,IF($J266=11,-$E266*$I266/12*1,IF($J266=12,-$E266*$I266/12*2,0)))))</f>
        <v>0</v>
      </c>
      <c r="DE266" s="413">
        <f t="shared" ref="DE266:DE273" si="2233">IF(AND(CZ266&lt;&gt;0,CZ$5=$H266),-$I266*$E266-CZ266,IF(DE$5=$H266,-$I266*$E266*(12-$J266+1)/12,0))</f>
        <v>0</v>
      </c>
      <c r="DF266" s="410">
        <f t="shared" ref="DF266:DF273" si="2234">IF($H266&lt;&gt;DJ$5,0,IF(DJ266&lt;0,IF($J266=1,-$E266*$I266/12*3,IF($J266=2,-$E266*$I266/12*2,IF($J266=3,-$E266*$I266/12*1,0)))))+IF(DE$5&lt;&gt;$H266,0,IF(DE266&lt;0,IF($J266=1,-$E266*$I266/12*0,IF($J266=2,-$E266*$I266/12*1,IF($J266=3,-$E266*$I266/12*2,IF($J266&gt;=4,-$E266*$I266/12*3,0))))))</f>
        <v>0</v>
      </c>
      <c r="DG266" s="416">
        <f t="shared" ref="DG266:DG273" si="2235">IF($H266&lt;&gt;DJ$5,0,IF(DJ266&lt;0,IF(OR($J266=1,$J266=2,$J266=3,$J266=4),-$E266*$I266/12*3,IF($J266=5,-$E266*$I266/12*2,IF($J266=6,-$E266*$I266/12*1,0)))))+IF(DE$5&lt;&gt;$H266,0,IF(DE266&lt;0,IF($J266=4,-$E266*$I266/12*0,IF($J266=5,-$E266*$I266/12*1,IF($J266=6,-$E266*$I266/12*2,IF($J266&gt;=7,-$E266*$I266/12*3,0))))))</f>
        <v>0</v>
      </c>
      <c r="DH266" s="416">
        <f t="shared" ref="DH266:DH273" si="2236">IF($H266&lt;&gt;DJ$5,0,IF(DJ266&lt;0,IF(OR($J266=1,$J266=2,$J266=3,$J266=4,$J266=5,$J266=6,$J266=7),-$E266*$I266/12*3,IF($J266=8,-$E266*$I266/12*2,IF($J266=9,-$E266*$I266/12*1,0)))))+IF(DE$5&lt;&gt;$H266,0,IF(DE266&lt;0,IF($J266=7,-$E266*$I266/12*0,IF($J266=8,-$E266*$I266/12*1,IF($J266=9,-$E266*$I266/12*2,IF($J266&gt;=10,-$E266*$I266/12*3,0))))))</f>
        <v>0</v>
      </c>
      <c r="DI266" s="412">
        <f t="shared" ref="DI266:DI273" si="2237">IF($H266&lt;&gt;DJ$5,0,IF(DJ266&lt;0,IF(OR($J266=1,$J266=2,$J266=3,$J266=4,$J266=5,$J266=6,$J266=7,$J266=8,$J266=9,$J266=10),-$E266*$I266/12*3,IF($J266=11,-$E266*$I266/12*2,IF($J266=12,-$E266*$I266/12*1,0)))))+IF(DE$5&lt;&gt;$H266,0,IF(DE266&lt;0,IF($J266=10,-$E266*$I266/12*0,IF($J266=11,-$E266*$I266/12*1,IF($J266=12,-$E266*$I266/12*2,0)))))</f>
        <v>0</v>
      </c>
      <c r="DJ266" s="413">
        <f t="shared" ref="DJ266:DJ273" si="2238">IF(AND(DE266&lt;&gt;0,DE$5=$H266),-$I266*$E266-DE266,IF(DJ$5=$H266,-$I266*$E266*(12-$J266+1)/12,0))</f>
        <v>0</v>
      </c>
      <c r="DK266" s="410">
        <f t="shared" ref="DK266:DK273" si="2239">IF($H266&lt;&gt;DO$5,0,IF(DO266&lt;0,IF($J266=1,-$E266*$I266/12*3,IF($J266=2,-$E266*$I266/12*2,IF($J266=3,-$E266*$I266/12*1,0)))))+IF(DJ$5&lt;&gt;$H266,0,IF(DJ266&lt;0,IF($J266=1,-$E266*$I266/12*0,IF($J266=2,-$E266*$I266/12*1,IF($J266=3,-$E266*$I266/12*2,IF($J266&gt;=4,-$E266*$I266/12*3,0))))))</f>
        <v>0</v>
      </c>
      <c r="DL266" s="416">
        <f t="shared" ref="DL266:DL273" si="2240">IF($H266&lt;&gt;DO$5,0,IF(DO266&lt;0,IF(OR($J266=1,$J266=2,$J266=3,$J266=4),-$E266*$I266/12*3,IF($J266=5,-$E266*$I266/12*2,IF($J266=6,-$E266*$I266/12*1,0)))))+IF(DJ$5&lt;&gt;$H266,0,IF(DJ266&lt;0,IF($J266=4,-$E266*$I266/12*0,IF($J266=5,-$E266*$I266/12*1,IF($J266=6,-$E266*$I266/12*2,IF($J266&gt;=7,-$E266*$I266/12*3,0))))))</f>
        <v>-0.16431625</v>
      </c>
      <c r="DM266" s="416">
        <f t="shared" ref="DM266:DM273" si="2241">IF($H266&lt;&gt;DO$5,0,IF(DO266&lt;0,IF(OR($J266=1,$J266=2,$J266=3,$J266=4,$J266=5,$J266=6,$J266=7),-$E266*$I266/12*3,IF($J266=8,-$E266*$I266/12*2,IF($J266=9,-$E266*$I266/12*1,0)))))+IF(DJ$5&lt;&gt;$H266,0,IF(DJ266&lt;0,IF($J266=7,-$E266*$I266/12*0,IF($J266=8,-$E266*$I266/12*1,IF($J266=9,-$E266*$I266/12*2,IF($J266&gt;=10,-$E266*$I266/12*3,0))))))</f>
        <v>-0.49294874999999999</v>
      </c>
      <c r="DN266" s="412">
        <f t="shared" ref="DN266:DN273" si="2242">IF($H266&lt;&gt;DO$5,0,IF(DO266&lt;0,IF(OR($J266=1,$J266=2,$J266=3,$J266=4,$J266=5,$J266=6,$J266=7,$J266=8,$J266=9,$J266=10),-$E266*$I266/12*3,IF($J266=11,-$E266*$I266/12*2,IF($J266=12,-$E266*$I266/12*1,0)))))+IF(DJ$5&lt;&gt;$H266,0,IF(DJ266&lt;0,IF($J266=10,-$E266*$I266/12*0,IF($J266=11,-$E266*$I266/12*1,IF($J266=12,-$E266*$I266/12*2,0)))))</f>
        <v>-0.49294874999999999</v>
      </c>
      <c r="DO266" s="413">
        <f t="shared" ref="DO266:DO273" si="2243">IF(AND(DJ266&lt;&gt;0,DJ$5=$H266),-$I266*$E266-DJ266,IF(DO$5=$H266,-$I266*$E266*(12-$J266+1)/12,0))</f>
        <v>-1.15021375</v>
      </c>
      <c r="DP266" s="410">
        <f t="shared" ref="DP266:DP273" si="2244">IF($H266&lt;&gt;DT$5,0,IF(DT266&lt;0,IF($J266=1,-$E266*$I266/12*3,IF($J266=2,-$E266*$I266/12*2,IF($J266=3,-$E266*$I266/12*1,0)))))+IF(DO$5&lt;&gt;$H266,0,IF(DO266&lt;0,IF($J266=1,-$E266*$I266/12*0,IF($J266=2,-$E266*$I266/12*1,IF($J266=3,-$E266*$I266/12*2,IF($J266&gt;=4,-$E266*$I266/12*3,0))))))</f>
        <v>-0.49294874999999999</v>
      </c>
      <c r="DQ266" s="416">
        <f t="shared" ref="DQ266:DQ273" si="2245">IF($H266&lt;&gt;DT$5,0,IF(DT266&lt;0,IF(OR($J266=1,$J266=2,$J266=3,$J266=4),-$E266*$I266/12*3,IF($J266=5,-$E266*$I266/12*2,IF($J266=6,-$E266*$I266/12*1,0)))))+IF(DO$5&lt;&gt;$H266,0,IF(DO266&lt;0,IF($J266=4,-$E266*$I266/12*0,IF($J266=5,-$E266*$I266/12*1,IF($J266=6,-$E266*$I266/12*2,IF($J266&gt;=7,-$E266*$I266/12*3,0))))))</f>
        <v>-0.32863249999999999</v>
      </c>
      <c r="DR266" s="416">
        <f t="shared" ref="DR266:DR273" si="2246">IF($H266&lt;&gt;DT$5,0,IF(DT266&lt;0,IF(OR($J266=1,$J266=2,$J266=3,$J266=4,$J266=5,$J266=6,$J266=7),-$E266*$I266/12*3,IF($J266=8,-$E266*$I266/12*2,IF($J266=9,-$E266*$I266/12*1,0)))))+IF(DO$5&lt;&gt;$H266,0,IF(DO266&lt;0,IF($J266=7,-$E266*$I266/12*0,IF($J266=8,-$E266*$I266/12*1,IF($J266=9,-$E266*$I266/12*2,IF($J266&gt;=10,-$E266*$I266/12*3,0))))))</f>
        <v>0</v>
      </c>
      <c r="DS266" s="412">
        <f t="shared" ref="DS266:DS273" si="2247">IF($H266&lt;&gt;DT$5,0,IF(DT266&lt;0,IF(OR($J266=1,$J266=2,$J266=3,$J266=4,$J266=5,$J266=6,$J266=7,$J266=8,$J266=9,$J266=10),-$E266*$I266/12*3,IF($J266=11,-$E266*$I266/12*2,IF($J266=12,-$E266*$I266/12*1,0)))))+IF(DO$5&lt;&gt;$H266,0,IF(DO266&lt;0,IF($J266=10,-$E266*$I266/12*0,IF($J266=11,-$E266*$I266/12*1,IF($J266=12,-$E266*$I266/12*2,0)))))</f>
        <v>0</v>
      </c>
      <c r="DT266" s="413">
        <f t="shared" ref="DT266:DT273" si="2248">IF(AND(DO266&lt;&gt;0,DO$5=$H266),-$I266*$E266-DO266,IF(DT$5=$H266,-$I266*$E266*(12-$J266+1)/12,0))</f>
        <v>-0.82158124999999993</v>
      </c>
    </row>
    <row r="267" spans="1:124" ht="12.75" customHeight="1">
      <c r="A267" s="491"/>
      <c r="C267" s="1891" t="s">
        <v>367</v>
      </c>
      <c r="D267" s="1891"/>
      <c r="E267" s="1887">
        <f t="shared" si="2136"/>
        <v>30</v>
      </c>
      <c r="F267" s="829">
        <v>30</v>
      </c>
      <c r="G267" s="829">
        <v>30</v>
      </c>
      <c r="H267" s="610">
        <v>2018</v>
      </c>
      <c r="I267" s="830">
        <v>5.8900000000000001E-2</v>
      </c>
      <c r="J267" s="615">
        <v>4</v>
      </c>
      <c r="K267" s="402"/>
      <c r="L267" s="407">
        <f t="shared" si="2137"/>
        <v>0</v>
      </c>
      <c r="M267" s="404">
        <f t="shared" si="2138"/>
        <v>0</v>
      </c>
      <c r="N267" s="414">
        <f t="shared" si="2139"/>
        <v>0</v>
      </c>
      <c r="O267" s="414">
        <f t="shared" si="2140"/>
        <v>0</v>
      </c>
      <c r="P267" s="406">
        <f t="shared" si="2141"/>
        <v>0</v>
      </c>
      <c r="Q267" s="407">
        <f t="shared" si="2142"/>
        <v>0</v>
      </c>
      <c r="R267" s="404">
        <f t="shared" si="2143"/>
        <v>0</v>
      </c>
      <c r="S267" s="414">
        <f t="shared" si="2144"/>
        <v>0</v>
      </c>
      <c r="T267" s="414">
        <f t="shared" si="2145"/>
        <v>0</v>
      </c>
      <c r="U267" s="406">
        <f t="shared" si="2146"/>
        <v>0</v>
      </c>
      <c r="V267" s="407">
        <f t="shared" si="2147"/>
        <v>0</v>
      </c>
      <c r="W267" s="404">
        <f t="shared" si="2148"/>
        <v>0</v>
      </c>
      <c r="X267" s="414">
        <f t="shared" si="2149"/>
        <v>0</v>
      </c>
      <c r="Y267" s="414">
        <f t="shared" si="2150"/>
        <v>0</v>
      </c>
      <c r="Z267" s="406">
        <f t="shared" si="2151"/>
        <v>0</v>
      </c>
      <c r="AA267" s="407">
        <f t="shared" si="2152"/>
        <v>0</v>
      </c>
      <c r="AB267" s="404">
        <f t="shared" si="2153"/>
        <v>0</v>
      </c>
      <c r="AC267" s="414">
        <f t="shared" si="2154"/>
        <v>0</v>
      </c>
      <c r="AD267" s="414">
        <f t="shared" si="2155"/>
        <v>0</v>
      </c>
      <c r="AE267" s="406">
        <f t="shared" si="2156"/>
        <v>0</v>
      </c>
      <c r="AF267" s="407">
        <f t="shared" si="2157"/>
        <v>0</v>
      </c>
      <c r="AG267" s="404">
        <f t="shared" si="2158"/>
        <v>0</v>
      </c>
      <c r="AH267" s="414">
        <f t="shared" si="2159"/>
        <v>0</v>
      </c>
      <c r="AI267" s="414">
        <f t="shared" si="2160"/>
        <v>0</v>
      </c>
      <c r="AJ267" s="406">
        <f t="shared" si="2161"/>
        <v>0</v>
      </c>
      <c r="AK267" s="407">
        <f t="shared" si="2162"/>
        <v>0</v>
      </c>
      <c r="AL267" s="404">
        <f t="shared" si="2163"/>
        <v>0</v>
      </c>
      <c r="AM267" s="414">
        <f t="shared" si="2164"/>
        <v>0</v>
      </c>
      <c r="AN267" s="414">
        <f t="shared" si="2165"/>
        <v>0</v>
      </c>
      <c r="AO267" s="406">
        <f t="shared" si="2166"/>
        <v>0</v>
      </c>
      <c r="AP267" s="407">
        <f t="shared" si="2167"/>
        <v>0</v>
      </c>
      <c r="AQ267" s="404">
        <f t="shared" si="2168"/>
        <v>0</v>
      </c>
      <c r="AR267" s="414">
        <f t="shared" si="2169"/>
        <v>0</v>
      </c>
      <c r="AS267" s="414">
        <f t="shared" si="2170"/>
        <v>0</v>
      </c>
      <c r="AT267" s="406">
        <f t="shared" si="2171"/>
        <v>0</v>
      </c>
      <c r="AU267" s="407">
        <f t="shared" si="2172"/>
        <v>0</v>
      </c>
      <c r="AV267" s="404">
        <f t="shared" si="2173"/>
        <v>0</v>
      </c>
      <c r="AW267" s="414">
        <f t="shared" si="2174"/>
        <v>-30</v>
      </c>
      <c r="AX267" s="414">
        <f t="shared" si="2175"/>
        <v>0</v>
      </c>
      <c r="AY267" s="406">
        <f t="shared" si="2176"/>
        <v>0</v>
      </c>
      <c r="AZ267" s="407">
        <f t="shared" si="2177"/>
        <v>-30</v>
      </c>
      <c r="BA267" s="404">
        <f t="shared" si="2178"/>
        <v>0</v>
      </c>
      <c r="BB267" s="414">
        <f t="shared" si="2179"/>
        <v>0</v>
      </c>
      <c r="BC267" s="414">
        <f t="shared" si="2180"/>
        <v>0</v>
      </c>
      <c r="BD267" s="406">
        <f t="shared" si="2181"/>
        <v>0</v>
      </c>
      <c r="BE267" s="407">
        <f t="shared" si="2182"/>
        <v>0</v>
      </c>
      <c r="BF267" s="404">
        <f t="shared" si="2183"/>
        <v>0</v>
      </c>
      <c r="BG267" s="414">
        <f t="shared" si="2184"/>
        <v>0</v>
      </c>
      <c r="BH267" s="414">
        <f t="shared" si="2185"/>
        <v>0</v>
      </c>
      <c r="BI267" s="406">
        <f t="shared" si="2186"/>
        <v>0</v>
      </c>
      <c r="BJ267" s="407">
        <f t="shared" si="2187"/>
        <v>0</v>
      </c>
      <c r="BK267" s="404">
        <f t="shared" si="2188"/>
        <v>0</v>
      </c>
      <c r="BL267" s="414">
        <f t="shared" si="2189"/>
        <v>0</v>
      </c>
      <c r="BM267" s="414">
        <f t="shared" si="2190"/>
        <v>0</v>
      </c>
      <c r="BN267" s="406">
        <f t="shared" si="2191"/>
        <v>0</v>
      </c>
      <c r="BO267" s="407">
        <f t="shared" si="2192"/>
        <v>0</v>
      </c>
      <c r="BP267" s="449"/>
      <c r="BQ267" s="413">
        <f t="shared" si="2193"/>
        <v>0</v>
      </c>
      <c r="BR267" s="410">
        <f t="shared" si="2194"/>
        <v>0</v>
      </c>
      <c r="BS267" s="416">
        <f t="shared" si="2195"/>
        <v>0</v>
      </c>
      <c r="BT267" s="416">
        <f t="shared" si="2196"/>
        <v>0</v>
      </c>
      <c r="BU267" s="412">
        <f t="shared" si="2197"/>
        <v>0</v>
      </c>
      <c r="BV267" s="413">
        <f t="shared" si="2198"/>
        <v>0</v>
      </c>
      <c r="BW267" s="410">
        <f t="shared" si="2199"/>
        <v>0</v>
      </c>
      <c r="BX267" s="416">
        <f t="shared" si="2200"/>
        <v>0</v>
      </c>
      <c r="BY267" s="416">
        <f t="shared" si="2201"/>
        <v>0</v>
      </c>
      <c r="BZ267" s="412">
        <f t="shared" si="2202"/>
        <v>0</v>
      </c>
      <c r="CA267" s="413">
        <f t="shared" si="2203"/>
        <v>0</v>
      </c>
      <c r="CB267" s="410">
        <f t="shared" si="2204"/>
        <v>0</v>
      </c>
      <c r="CC267" s="416">
        <f t="shared" si="2205"/>
        <v>0</v>
      </c>
      <c r="CD267" s="416">
        <f t="shared" si="2206"/>
        <v>0</v>
      </c>
      <c r="CE267" s="412">
        <f t="shared" si="2207"/>
        <v>0</v>
      </c>
      <c r="CF267" s="413">
        <f t="shared" si="2208"/>
        <v>0</v>
      </c>
      <c r="CG267" s="410">
        <f t="shared" si="2209"/>
        <v>0</v>
      </c>
      <c r="CH267" s="416">
        <f t="shared" si="2210"/>
        <v>0</v>
      </c>
      <c r="CI267" s="416">
        <f t="shared" si="2211"/>
        <v>0</v>
      </c>
      <c r="CJ267" s="412">
        <f t="shared" si="2212"/>
        <v>0</v>
      </c>
      <c r="CK267" s="413">
        <f t="shared" si="2213"/>
        <v>0</v>
      </c>
      <c r="CL267" s="410">
        <f t="shared" si="2214"/>
        <v>0</v>
      </c>
      <c r="CM267" s="416">
        <f t="shared" si="2215"/>
        <v>0</v>
      </c>
      <c r="CN267" s="416">
        <f t="shared" si="2216"/>
        <v>0</v>
      </c>
      <c r="CO267" s="412">
        <f t="shared" si="2217"/>
        <v>0</v>
      </c>
      <c r="CP267" s="413">
        <f t="shared" si="2218"/>
        <v>0</v>
      </c>
      <c r="CQ267" s="410">
        <f t="shared" si="2219"/>
        <v>0</v>
      </c>
      <c r="CR267" s="416">
        <f t="shared" si="2220"/>
        <v>0</v>
      </c>
      <c r="CS267" s="416">
        <f t="shared" si="2221"/>
        <v>0</v>
      </c>
      <c r="CT267" s="412">
        <f t="shared" si="2222"/>
        <v>0</v>
      </c>
      <c r="CU267" s="413">
        <f t="shared" si="2223"/>
        <v>0</v>
      </c>
      <c r="CV267" s="410">
        <f t="shared" si="2224"/>
        <v>0</v>
      </c>
      <c r="CW267" s="416">
        <f t="shared" si="2225"/>
        <v>0</v>
      </c>
      <c r="CX267" s="416">
        <f t="shared" si="2226"/>
        <v>0</v>
      </c>
      <c r="CY267" s="412">
        <f t="shared" si="2227"/>
        <v>0</v>
      </c>
      <c r="CZ267" s="413">
        <f t="shared" si="2228"/>
        <v>0</v>
      </c>
      <c r="DA267" s="410">
        <f t="shared" si="2229"/>
        <v>0</v>
      </c>
      <c r="DB267" s="416">
        <f t="shared" si="2230"/>
        <v>-0.44175000000000009</v>
      </c>
      <c r="DC267" s="416">
        <f t="shared" si="2231"/>
        <v>-0.44175000000000009</v>
      </c>
      <c r="DD267" s="412">
        <f t="shared" si="2232"/>
        <v>-0.44175000000000009</v>
      </c>
      <c r="DE267" s="413">
        <f t="shared" si="2233"/>
        <v>-1.32525</v>
      </c>
      <c r="DF267" s="410">
        <f t="shared" si="2234"/>
        <v>-0.44175000000000009</v>
      </c>
      <c r="DG267" s="416">
        <f t="shared" si="2235"/>
        <v>0</v>
      </c>
      <c r="DH267" s="416">
        <f t="shared" si="2236"/>
        <v>0</v>
      </c>
      <c r="DI267" s="412">
        <f t="shared" si="2237"/>
        <v>0</v>
      </c>
      <c r="DJ267" s="413">
        <f t="shared" si="2238"/>
        <v>-0.44175000000000009</v>
      </c>
      <c r="DK267" s="410">
        <f t="shared" si="2239"/>
        <v>0</v>
      </c>
      <c r="DL267" s="416">
        <f t="shared" si="2240"/>
        <v>0</v>
      </c>
      <c r="DM267" s="416">
        <f t="shared" si="2241"/>
        <v>0</v>
      </c>
      <c r="DN267" s="412">
        <f t="shared" si="2242"/>
        <v>0</v>
      </c>
      <c r="DO267" s="413">
        <f t="shared" si="2243"/>
        <v>0</v>
      </c>
      <c r="DP267" s="410">
        <f t="shared" si="2244"/>
        <v>0</v>
      </c>
      <c r="DQ267" s="416">
        <f t="shared" si="2245"/>
        <v>0</v>
      </c>
      <c r="DR267" s="416">
        <f t="shared" si="2246"/>
        <v>0</v>
      </c>
      <c r="DS267" s="412">
        <f t="shared" si="2247"/>
        <v>0</v>
      </c>
      <c r="DT267" s="413">
        <f t="shared" si="2248"/>
        <v>0</v>
      </c>
    </row>
    <row r="268" spans="1:124" ht="12.75" customHeight="1">
      <c r="A268" s="491"/>
      <c r="C268" s="1891" t="s">
        <v>368</v>
      </c>
      <c r="D268" s="1891"/>
      <c r="E268" s="1887">
        <f t="shared" si="2136"/>
        <v>70</v>
      </c>
      <c r="F268" s="829">
        <v>70</v>
      </c>
      <c r="G268" s="829">
        <v>70</v>
      </c>
      <c r="H268" s="610">
        <v>2038</v>
      </c>
      <c r="I268" s="830">
        <v>6.7599999999999993E-2</v>
      </c>
      <c r="J268" s="615">
        <v>4</v>
      </c>
      <c r="K268" s="402"/>
      <c r="L268" s="407">
        <f t="shared" si="2137"/>
        <v>0</v>
      </c>
      <c r="M268" s="404">
        <f t="shared" si="2138"/>
        <v>0</v>
      </c>
      <c r="N268" s="414">
        <f t="shared" si="2139"/>
        <v>0</v>
      </c>
      <c r="O268" s="414">
        <f t="shared" si="2140"/>
        <v>0</v>
      </c>
      <c r="P268" s="406">
        <f t="shared" si="2141"/>
        <v>0</v>
      </c>
      <c r="Q268" s="407">
        <f t="shared" si="2142"/>
        <v>0</v>
      </c>
      <c r="R268" s="404">
        <f t="shared" si="2143"/>
        <v>0</v>
      </c>
      <c r="S268" s="414">
        <f t="shared" si="2144"/>
        <v>0</v>
      </c>
      <c r="T268" s="414">
        <f t="shared" si="2145"/>
        <v>0</v>
      </c>
      <c r="U268" s="406">
        <f t="shared" si="2146"/>
        <v>0</v>
      </c>
      <c r="V268" s="407">
        <f t="shared" si="2147"/>
        <v>0</v>
      </c>
      <c r="W268" s="404">
        <f t="shared" si="2148"/>
        <v>0</v>
      </c>
      <c r="X268" s="414">
        <f t="shared" si="2149"/>
        <v>0</v>
      </c>
      <c r="Y268" s="414">
        <f t="shared" si="2150"/>
        <v>0</v>
      </c>
      <c r="Z268" s="406">
        <f t="shared" si="2151"/>
        <v>0</v>
      </c>
      <c r="AA268" s="407">
        <f t="shared" si="2152"/>
        <v>0</v>
      </c>
      <c r="AB268" s="404">
        <f t="shared" si="2153"/>
        <v>0</v>
      </c>
      <c r="AC268" s="414">
        <f t="shared" si="2154"/>
        <v>0</v>
      </c>
      <c r="AD268" s="414">
        <f t="shared" si="2155"/>
        <v>0</v>
      </c>
      <c r="AE268" s="406">
        <f t="shared" si="2156"/>
        <v>0</v>
      </c>
      <c r="AF268" s="407">
        <f t="shared" si="2157"/>
        <v>0</v>
      </c>
      <c r="AG268" s="404">
        <f t="shared" si="2158"/>
        <v>0</v>
      </c>
      <c r="AH268" s="414">
        <f t="shared" si="2159"/>
        <v>0</v>
      </c>
      <c r="AI268" s="414">
        <f t="shared" si="2160"/>
        <v>0</v>
      </c>
      <c r="AJ268" s="406">
        <f t="shared" si="2161"/>
        <v>0</v>
      </c>
      <c r="AK268" s="407">
        <f t="shared" si="2162"/>
        <v>0</v>
      </c>
      <c r="AL268" s="404">
        <f t="shared" si="2163"/>
        <v>0</v>
      </c>
      <c r="AM268" s="414">
        <f t="shared" si="2164"/>
        <v>0</v>
      </c>
      <c r="AN268" s="414">
        <f t="shared" si="2165"/>
        <v>0</v>
      </c>
      <c r="AO268" s="406">
        <f t="shared" si="2166"/>
        <v>0</v>
      </c>
      <c r="AP268" s="407">
        <f t="shared" si="2167"/>
        <v>0</v>
      </c>
      <c r="AQ268" s="404">
        <f t="shared" si="2168"/>
        <v>0</v>
      </c>
      <c r="AR268" s="414">
        <f t="shared" si="2169"/>
        <v>0</v>
      </c>
      <c r="AS268" s="414">
        <f t="shared" si="2170"/>
        <v>0</v>
      </c>
      <c r="AT268" s="406">
        <f t="shared" si="2171"/>
        <v>0</v>
      </c>
      <c r="AU268" s="407">
        <f t="shared" si="2172"/>
        <v>0</v>
      </c>
      <c r="AV268" s="404">
        <f t="shared" si="2173"/>
        <v>0</v>
      </c>
      <c r="AW268" s="414">
        <f t="shared" si="2174"/>
        <v>0</v>
      </c>
      <c r="AX268" s="414">
        <f t="shared" si="2175"/>
        <v>0</v>
      </c>
      <c r="AY268" s="406">
        <f t="shared" si="2176"/>
        <v>0</v>
      </c>
      <c r="AZ268" s="407">
        <f t="shared" si="2177"/>
        <v>0</v>
      </c>
      <c r="BA268" s="404">
        <f t="shared" si="2178"/>
        <v>0</v>
      </c>
      <c r="BB268" s="414">
        <f t="shared" si="2179"/>
        <v>0</v>
      </c>
      <c r="BC268" s="414">
        <f t="shared" si="2180"/>
        <v>0</v>
      </c>
      <c r="BD268" s="406">
        <f t="shared" si="2181"/>
        <v>0</v>
      </c>
      <c r="BE268" s="407">
        <f t="shared" si="2182"/>
        <v>0</v>
      </c>
      <c r="BF268" s="404">
        <f t="shared" si="2183"/>
        <v>0</v>
      </c>
      <c r="BG268" s="414">
        <f t="shared" si="2184"/>
        <v>0</v>
      </c>
      <c r="BH268" s="414">
        <f t="shared" si="2185"/>
        <v>0</v>
      </c>
      <c r="BI268" s="406">
        <f t="shared" si="2186"/>
        <v>0</v>
      </c>
      <c r="BJ268" s="407">
        <f t="shared" si="2187"/>
        <v>0</v>
      </c>
      <c r="BK268" s="404">
        <f t="shared" si="2188"/>
        <v>0</v>
      </c>
      <c r="BL268" s="414">
        <f t="shared" si="2189"/>
        <v>0</v>
      </c>
      <c r="BM268" s="414">
        <f t="shared" si="2190"/>
        <v>0</v>
      </c>
      <c r="BN268" s="406">
        <f t="shared" si="2191"/>
        <v>0</v>
      </c>
      <c r="BO268" s="407">
        <f t="shared" si="2192"/>
        <v>0</v>
      </c>
      <c r="BP268" s="449"/>
      <c r="BQ268" s="413">
        <f t="shared" si="2193"/>
        <v>0</v>
      </c>
      <c r="BR268" s="410">
        <f t="shared" si="2194"/>
        <v>0</v>
      </c>
      <c r="BS268" s="416">
        <f t="shared" si="2195"/>
        <v>0</v>
      </c>
      <c r="BT268" s="416">
        <f t="shared" si="2196"/>
        <v>0</v>
      </c>
      <c r="BU268" s="412">
        <f t="shared" si="2197"/>
        <v>0</v>
      </c>
      <c r="BV268" s="413">
        <f t="shared" si="2198"/>
        <v>0</v>
      </c>
      <c r="BW268" s="410">
        <f t="shared" si="2199"/>
        <v>0</v>
      </c>
      <c r="BX268" s="416">
        <f t="shared" si="2200"/>
        <v>0</v>
      </c>
      <c r="BY268" s="416">
        <f t="shared" si="2201"/>
        <v>0</v>
      </c>
      <c r="BZ268" s="412">
        <f t="shared" si="2202"/>
        <v>0</v>
      </c>
      <c r="CA268" s="413">
        <f t="shared" si="2203"/>
        <v>0</v>
      </c>
      <c r="CB268" s="410">
        <f t="shared" si="2204"/>
        <v>0</v>
      </c>
      <c r="CC268" s="416">
        <f t="shared" si="2205"/>
        <v>0</v>
      </c>
      <c r="CD268" s="416">
        <f t="shared" si="2206"/>
        <v>0</v>
      </c>
      <c r="CE268" s="412">
        <f t="shared" si="2207"/>
        <v>0</v>
      </c>
      <c r="CF268" s="413">
        <f t="shared" si="2208"/>
        <v>0</v>
      </c>
      <c r="CG268" s="410">
        <f t="shared" si="2209"/>
        <v>0</v>
      </c>
      <c r="CH268" s="416">
        <f t="shared" si="2210"/>
        <v>0</v>
      </c>
      <c r="CI268" s="416">
        <f t="shared" si="2211"/>
        <v>0</v>
      </c>
      <c r="CJ268" s="412">
        <f t="shared" si="2212"/>
        <v>0</v>
      </c>
      <c r="CK268" s="413">
        <f t="shared" si="2213"/>
        <v>0</v>
      </c>
      <c r="CL268" s="410">
        <f t="shared" si="2214"/>
        <v>0</v>
      </c>
      <c r="CM268" s="416">
        <f t="shared" si="2215"/>
        <v>0</v>
      </c>
      <c r="CN268" s="416">
        <f t="shared" si="2216"/>
        <v>0</v>
      </c>
      <c r="CO268" s="412">
        <f t="shared" si="2217"/>
        <v>0</v>
      </c>
      <c r="CP268" s="413">
        <f t="shared" si="2218"/>
        <v>0</v>
      </c>
      <c r="CQ268" s="410">
        <f t="shared" si="2219"/>
        <v>0</v>
      </c>
      <c r="CR268" s="416">
        <f t="shared" si="2220"/>
        <v>0</v>
      </c>
      <c r="CS268" s="416">
        <f t="shared" si="2221"/>
        <v>0</v>
      </c>
      <c r="CT268" s="412">
        <f t="shared" si="2222"/>
        <v>0</v>
      </c>
      <c r="CU268" s="413">
        <f t="shared" si="2223"/>
        <v>0</v>
      </c>
      <c r="CV268" s="410">
        <f t="shared" si="2224"/>
        <v>0</v>
      </c>
      <c r="CW268" s="416">
        <f t="shared" si="2225"/>
        <v>0</v>
      </c>
      <c r="CX268" s="416">
        <f t="shared" si="2226"/>
        <v>0</v>
      </c>
      <c r="CY268" s="412">
        <f t="shared" si="2227"/>
        <v>0</v>
      </c>
      <c r="CZ268" s="413">
        <f t="shared" si="2228"/>
        <v>0</v>
      </c>
      <c r="DA268" s="410">
        <f t="shared" si="2229"/>
        <v>0</v>
      </c>
      <c r="DB268" s="416">
        <f t="shared" si="2230"/>
        <v>0</v>
      </c>
      <c r="DC268" s="416">
        <f t="shared" si="2231"/>
        <v>0</v>
      </c>
      <c r="DD268" s="412">
        <f t="shared" si="2232"/>
        <v>0</v>
      </c>
      <c r="DE268" s="413">
        <f t="shared" si="2233"/>
        <v>0</v>
      </c>
      <c r="DF268" s="410">
        <f t="shared" si="2234"/>
        <v>0</v>
      </c>
      <c r="DG268" s="416">
        <f t="shared" si="2235"/>
        <v>0</v>
      </c>
      <c r="DH268" s="416">
        <f t="shared" si="2236"/>
        <v>0</v>
      </c>
      <c r="DI268" s="412">
        <f t="shared" si="2237"/>
        <v>0</v>
      </c>
      <c r="DJ268" s="413">
        <f t="shared" si="2238"/>
        <v>0</v>
      </c>
      <c r="DK268" s="410">
        <f t="shared" si="2239"/>
        <v>0</v>
      </c>
      <c r="DL268" s="416">
        <f t="shared" si="2240"/>
        <v>0</v>
      </c>
      <c r="DM268" s="416">
        <f t="shared" si="2241"/>
        <v>0</v>
      </c>
      <c r="DN268" s="412">
        <f t="shared" si="2242"/>
        <v>0</v>
      </c>
      <c r="DO268" s="413">
        <f t="shared" si="2243"/>
        <v>0</v>
      </c>
      <c r="DP268" s="410">
        <f t="shared" si="2244"/>
        <v>0</v>
      </c>
      <c r="DQ268" s="416">
        <f t="shared" si="2245"/>
        <v>0</v>
      </c>
      <c r="DR268" s="416">
        <f t="shared" si="2246"/>
        <v>0</v>
      </c>
      <c r="DS268" s="412">
        <f t="shared" si="2247"/>
        <v>0</v>
      </c>
      <c r="DT268" s="413">
        <f t="shared" si="2248"/>
        <v>0</v>
      </c>
    </row>
    <row r="269" spans="1:124" ht="12.75" customHeight="1">
      <c r="A269" s="491"/>
      <c r="C269" s="1891" t="s">
        <v>934</v>
      </c>
      <c r="D269" s="1891"/>
      <c r="E269" s="1887">
        <f t="shared" si="2136"/>
        <v>125</v>
      </c>
      <c r="F269" s="829">
        <v>125</v>
      </c>
      <c r="G269" s="829">
        <v>125</v>
      </c>
      <c r="H269" s="610">
        <v>2023</v>
      </c>
      <c r="I269" s="830">
        <v>3.09E-2</v>
      </c>
      <c r="J269" s="615">
        <v>2</v>
      </c>
      <c r="K269" s="402"/>
      <c r="L269" s="407">
        <f t="shared" si="2137"/>
        <v>0</v>
      </c>
      <c r="M269" s="404">
        <f t="shared" si="2138"/>
        <v>0</v>
      </c>
      <c r="N269" s="414">
        <f t="shared" si="2139"/>
        <v>0</v>
      </c>
      <c r="O269" s="414">
        <f t="shared" si="2140"/>
        <v>0</v>
      </c>
      <c r="P269" s="406">
        <f t="shared" si="2141"/>
        <v>0</v>
      </c>
      <c r="Q269" s="407">
        <f t="shared" si="2142"/>
        <v>0</v>
      </c>
      <c r="R269" s="404">
        <f t="shared" si="2143"/>
        <v>0</v>
      </c>
      <c r="S269" s="414">
        <f t="shared" si="2144"/>
        <v>0</v>
      </c>
      <c r="T269" s="414">
        <f t="shared" si="2145"/>
        <v>0</v>
      </c>
      <c r="U269" s="406">
        <f t="shared" si="2146"/>
        <v>0</v>
      </c>
      <c r="V269" s="407">
        <f t="shared" si="2147"/>
        <v>0</v>
      </c>
      <c r="W269" s="404">
        <f t="shared" si="2148"/>
        <v>0</v>
      </c>
      <c r="X269" s="414">
        <f t="shared" si="2149"/>
        <v>0</v>
      </c>
      <c r="Y269" s="414">
        <f t="shared" si="2150"/>
        <v>0</v>
      </c>
      <c r="Z269" s="406">
        <f t="shared" si="2151"/>
        <v>0</v>
      </c>
      <c r="AA269" s="407">
        <f t="shared" si="2152"/>
        <v>0</v>
      </c>
      <c r="AB269" s="404">
        <f t="shared" si="2153"/>
        <v>0</v>
      </c>
      <c r="AC269" s="414">
        <f t="shared" si="2154"/>
        <v>0</v>
      </c>
      <c r="AD269" s="414">
        <f t="shared" si="2155"/>
        <v>0</v>
      </c>
      <c r="AE269" s="406">
        <f t="shared" si="2156"/>
        <v>0</v>
      </c>
      <c r="AF269" s="407">
        <f t="shared" si="2157"/>
        <v>0</v>
      </c>
      <c r="AG269" s="404">
        <f t="shared" si="2158"/>
        <v>0</v>
      </c>
      <c r="AH269" s="414">
        <f t="shared" si="2159"/>
        <v>0</v>
      </c>
      <c r="AI269" s="414">
        <f t="shared" si="2160"/>
        <v>0</v>
      </c>
      <c r="AJ269" s="406">
        <f t="shared" si="2161"/>
        <v>0</v>
      </c>
      <c r="AK269" s="407">
        <f t="shared" si="2162"/>
        <v>0</v>
      </c>
      <c r="AL269" s="404">
        <f t="shared" si="2163"/>
        <v>0</v>
      </c>
      <c r="AM269" s="414">
        <f t="shared" si="2164"/>
        <v>0</v>
      </c>
      <c r="AN269" s="414">
        <f t="shared" si="2165"/>
        <v>0</v>
      </c>
      <c r="AO269" s="406">
        <f t="shared" si="2166"/>
        <v>0</v>
      </c>
      <c r="AP269" s="407">
        <f t="shared" si="2167"/>
        <v>0</v>
      </c>
      <c r="AQ269" s="404">
        <f t="shared" si="2168"/>
        <v>0</v>
      </c>
      <c r="AR269" s="414">
        <f t="shared" si="2169"/>
        <v>0</v>
      </c>
      <c r="AS269" s="414">
        <f t="shared" si="2170"/>
        <v>0</v>
      </c>
      <c r="AT269" s="406">
        <f t="shared" si="2171"/>
        <v>0</v>
      </c>
      <c r="AU269" s="407">
        <f t="shared" si="2172"/>
        <v>0</v>
      </c>
      <c r="AV269" s="404">
        <f t="shared" si="2173"/>
        <v>0</v>
      </c>
      <c r="AW269" s="414">
        <f t="shared" si="2174"/>
        <v>0</v>
      </c>
      <c r="AX269" s="414">
        <f t="shared" si="2175"/>
        <v>0</v>
      </c>
      <c r="AY269" s="406">
        <f t="shared" si="2176"/>
        <v>0</v>
      </c>
      <c r="AZ269" s="407">
        <f t="shared" si="2177"/>
        <v>0</v>
      </c>
      <c r="BA269" s="404">
        <f t="shared" si="2178"/>
        <v>0</v>
      </c>
      <c r="BB269" s="414">
        <f t="shared" si="2179"/>
        <v>0</v>
      </c>
      <c r="BC269" s="414">
        <f t="shared" si="2180"/>
        <v>0</v>
      </c>
      <c r="BD269" s="406">
        <f t="shared" si="2181"/>
        <v>0</v>
      </c>
      <c r="BE269" s="407">
        <f t="shared" si="2182"/>
        <v>0</v>
      </c>
      <c r="BF269" s="404">
        <f t="shared" si="2183"/>
        <v>0</v>
      </c>
      <c r="BG269" s="414">
        <f t="shared" si="2184"/>
        <v>0</v>
      </c>
      <c r="BH269" s="414">
        <f t="shared" si="2185"/>
        <v>0</v>
      </c>
      <c r="BI269" s="406">
        <f t="shared" si="2186"/>
        <v>0</v>
      </c>
      <c r="BJ269" s="407">
        <f t="shared" si="2187"/>
        <v>0</v>
      </c>
      <c r="BK269" s="404">
        <f t="shared" si="2188"/>
        <v>0</v>
      </c>
      <c r="BL269" s="414">
        <f t="shared" si="2189"/>
        <v>0</v>
      </c>
      <c r="BM269" s="414">
        <f t="shared" si="2190"/>
        <v>0</v>
      </c>
      <c r="BN269" s="406">
        <f t="shared" si="2191"/>
        <v>0</v>
      </c>
      <c r="BO269" s="407">
        <f t="shared" si="2192"/>
        <v>0</v>
      </c>
      <c r="BP269" s="449"/>
      <c r="BQ269" s="413">
        <f t="shared" si="2193"/>
        <v>0</v>
      </c>
      <c r="BR269" s="410">
        <f t="shared" si="2194"/>
        <v>0</v>
      </c>
      <c r="BS269" s="416">
        <f t="shared" si="2195"/>
        <v>0</v>
      </c>
      <c r="BT269" s="416">
        <f t="shared" si="2196"/>
        <v>0</v>
      </c>
      <c r="BU269" s="412">
        <f t="shared" si="2197"/>
        <v>0</v>
      </c>
      <c r="BV269" s="413">
        <f t="shared" si="2198"/>
        <v>0</v>
      </c>
      <c r="BW269" s="410">
        <f t="shared" si="2199"/>
        <v>0</v>
      </c>
      <c r="BX269" s="416">
        <f t="shared" si="2200"/>
        <v>0</v>
      </c>
      <c r="BY269" s="416">
        <f t="shared" si="2201"/>
        <v>0</v>
      </c>
      <c r="BZ269" s="412">
        <f t="shared" si="2202"/>
        <v>0</v>
      </c>
      <c r="CA269" s="413">
        <f t="shared" si="2203"/>
        <v>0</v>
      </c>
      <c r="CB269" s="410">
        <f t="shared" si="2204"/>
        <v>0</v>
      </c>
      <c r="CC269" s="416">
        <f t="shared" si="2205"/>
        <v>0</v>
      </c>
      <c r="CD269" s="416">
        <f t="shared" si="2206"/>
        <v>0</v>
      </c>
      <c r="CE269" s="412">
        <f t="shared" si="2207"/>
        <v>0</v>
      </c>
      <c r="CF269" s="413">
        <f t="shared" si="2208"/>
        <v>0</v>
      </c>
      <c r="CG269" s="410">
        <f t="shared" si="2209"/>
        <v>0</v>
      </c>
      <c r="CH269" s="416">
        <f t="shared" si="2210"/>
        <v>0</v>
      </c>
      <c r="CI269" s="416">
        <f t="shared" si="2211"/>
        <v>0</v>
      </c>
      <c r="CJ269" s="412">
        <f t="shared" si="2212"/>
        <v>0</v>
      </c>
      <c r="CK269" s="413">
        <f t="shared" si="2213"/>
        <v>0</v>
      </c>
      <c r="CL269" s="410">
        <f t="shared" si="2214"/>
        <v>0</v>
      </c>
      <c r="CM269" s="416">
        <f t="shared" si="2215"/>
        <v>0</v>
      </c>
      <c r="CN269" s="416">
        <f t="shared" si="2216"/>
        <v>0</v>
      </c>
      <c r="CO269" s="412">
        <f t="shared" si="2217"/>
        <v>0</v>
      </c>
      <c r="CP269" s="413">
        <f t="shared" si="2218"/>
        <v>0</v>
      </c>
      <c r="CQ269" s="410">
        <f t="shared" si="2219"/>
        <v>0</v>
      </c>
      <c r="CR269" s="416">
        <f t="shared" si="2220"/>
        <v>0</v>
      </c>
      <c r="CS269" s="416">
        <f t="shared" si="2221"/>
        <v>0</v>
      </c>
      <c r="CT269" s="412">
        <f t="shared" si="2222"/>
        <v>0</v>
      </c>
      <c r="CU269" s="413">
        <f t="shared" si="2223"/>
        <v>0</v>
      </c>
      <c r="CV269" s="410">
        <f t="shared" si="2224"/>
        <v>0</v>
      </c>
      <c r="CW269" s="416">
        <f t="shared" si="2225"/>
        <v>0</v>
      </c>
      <c r="CX269" s="416">
        <f t="shared" si="2226"/>
        <v>0</v>
      </c>
      <c r="CY269" s="412">
        <f t="shared" si="2227"/>
        <v>0</v>
      </c>
      <c r="CZ269" s="413">
        <f t="shared" si="2228"/>
        <v>0</v>
      </c>
      <c r="DA269" s="410">
        <f t="shared" si="2229"/>
        <v>0</v>
      </c>
      <c r="DB269" s="416">
        <f t="shared" si="2230"/>
        <v>0</v>
      </c>
      <c r="DC269" s="416">
        <f t="shared" si="2231"/>
        <v>0</v>
      </c>
      <c r="DD269" s="412">
        <f t="shared" si="2232"/>
        <v>0</v>
      </c>
      <c r="DE269" s="413">
        <f t="shared" si="2233"/>
        <v>0</v>
      </c>
      <c r="DF269" s="410">
        <f t="shared" si="2234"/>
        <v>0</v>
      </c>
      <c r="DG269" s="416">
        <f t="shared" si="2235"/>
        <v>0</v>
      </c>
      <c r="DH269" s="416">
        <f t="shared" si="2236"/>
        <v>0</v>
      </c>
      <c r="DI269" s="412">
        <f t="shared" si="2237"/>
        <v>0</v>
      </c>
      <c r="DJ269" s="413">
        <f t="shared" si="2238"/>
        <v>0</v>
      </c>
      <c r="DK269" s="410">
        <f t="shared" si="2239"/>
        <v>0</v>
      </c>
      <c r="DL269" s="416">
        <f t="shared" si="2240"/>
        <v>0</v>
      </c>
      <c r="DM269" s="416">
        <f t="shared" si="2241"/>
        <v>0</v>
      </c>
      <c r="DN269" s="412">
        <f t="shared" si="2242"/>
        <v>0</v>
      </c>
      <c r="DO269" s="413">
        <f t="shared" si="2243"/>
        <v>0</v>
      </c>
      <c r="DP269" s="410">
        <f t="shared" si="2244"/>
        <v>0</v>
      </c>
      <c r="DQ269" s="416">
        <f t="shared" si="2245"/>
        <v>0</v>
      </c>
      <c r="DR269" s="416">
        <f t="shared" si="2246"/>
        <v>0</v>
      </c>
      <c r="DS269" s="412">
        <f t="shared" si="2247"/>
        <v>0</v>
      </c>
      <c r="DT269" s="413">
        <f t="shared" si="2248"/>
        <v>0</v>
      </c>
    </row>
    <row r="270" spans="1:124" ht="12.75" customHeight="1">
      <c r="A270" s="491"/>
      <c r="C270" s="1891" t="s">
        <v>935</v>
      </c>
      <c r="D270" s="1891"/>
      <c r="E270" s="1887">
        <f t="shared" si="2136"/>
        <v>75</v>
      </c>
      <c r="F270" s="829">
        <v>75</v>
      </c>
      <c r="G270" s="829">
        <v>75</v>
      </c>
      <c r="H270" s="610">
        <v>2043</v>
      </c>
      <c r="I270" s="830">
        <v>4.48E-2</v>
      </c>
      <c r="J270" s="615">
        <v>2</v>
      </c>
      <c r="K270" s="402"/>
      <c r="L270" s="407">
        <f t="shared" si="2137"/>
        <v>0</v>
      </c>
      <c r="M270" s="404">
        <f t="shared" si="2138"/>
        <v>0</v>
      </c>
      <c r="N270" s="414">
        <f t="shared" si="2139"/>
        <v>0</v>
      </c>
      <c r="O270" s="414">
        <f t="shared" si="2140"/>
        <v>0</v>
      </c>
      <c r="P270" s="406">
        <f t="shared" si="2141"/>
        <v>0</v>
      </c>
      <c r="Q270" s="407">
        <f t="shared" si="2142"/>
        <v>0</v>
      </c>
      <c r="R270" s="404">
        <f t="shared" si="2143"/>
        <v>0</v>
      </c>
      <c r="S270" s="414">
        <f t="shared" si="2144"/>
        <v>0</v>
      </c>
      <c r="T270" s="414">
        <f t="shared" si="2145"/>
        <v>0</v>
      </c>
      <c r="U270" s="406">
        <f t="shared" si="2146"/>
        <v>0</v>
      </c>
      <c r="V270" s="407">
        <f t="shared" si="2147"/>
        <v>0</v>
      </c>
      <c r="W270" s="404">
        <f t="shared" si="2148"/>
        <v>0</v>
      </c>
      <c r="X270" s="414">
        <f t="shared" si="2149"/>
        <v>0</v>
      </c>
      <c r="Y270" s="414">
        <f t="shared" si="2150"/>
        <v>0</v>
      </c>
      <c r="Z270" s="406">
        <f t="shared" si="2151"/>
        <v>0</v>
      </c>
      <c r="AA270" s="407">
        <f t="shared" si="2152"/>
        <v>0</v>
      </c>
      <c r="AB270" s="404">
        <f t="shared" si="2153"/>
        <v>0</v>
      </c>
      <c r="AC270" s="414">
        <f t="shared" si="2154"/>
        <v>0</v>
      </c>
      <c r="AD270" s="414">
        <f t="shared" si="2155"/>
        <v>0</v>
      </c>
      <c r="AE270" s="406">
        <f t="shared" si="2156"/>
        <v>0</v>
      </c>
      <c r="AF270" s="407">
        <f t="shared" si="2157"/>
        <v>0</v>
      </c>
      <c r="AG270" s="404">
        <f t="shared" si="2158"/>
        <v>0</v>
      </c>
      <c r="AH270" s="414">
        <f t="shared" si="2159"/>
        <v>0</v>
      </c>
      <c r="AI270" s="414">
        <f t="shared" si="2160"/>
        <v>0</v>
      </c>
      <c r="AJ270" s="406">
        <f t="shared" si="2161"/>
        <v>0</v>
      </c>
      <c r="AK270" s="407">
        <f t="shared" si="2162"/>
        <v>0</v>
      </c>
      <c r="AL270" s="404">
        <f t="shared" si="2163"/>
        <v>0</v>
      </c>
      <c r="AM270" s="414">
        <f t="shared" si="2164"/>
        <v>0</v>
      </c>
      <c r="AN270" s="414">
        <f t="shared" si="2165"/>
        <v>0</v>
      </c>
      <c r="AO270" s="406">
        <f t="shared" si="2166"/>
        <v>0</v>
      </c>
      <c r="AP270" s="407">
        <f t="shared" si="2167"/>
        <v>0</v>
      </c>
      <c r="AQ270" s="404">
        <f t="shared" si="2168"/>
        <v>0</v>
      </c>
      <c r="AR270" s="414">
        <f t="shared" si="2169"/>
        <v>0</v>
      </c>
      <c r="AS270" s="414">
        <f t="shared" si="2170"/>
        <v>0</v>
      </c>
      <c r="AT270" s="406">
        <f t="shared" si="2171"/>
        <v>0</v>
      </c>
      <c r="AU270" s="407">
        <f t="shared" si="2172"/>
        <v>0</v>
      </c>
      <c r="AV270" s="404">
        <f t="shared" si="2173"/>
        <v>0</v>
      </c>
      <c r="AW270" s="414">
        <f t="shared" si="2174"/>
        <v>0</v>
      </c>
      <c r="AX270" s="414">
        <f t="shared" si="2175"/>
        <v>0</v>
      </c>
      <c r="AY270" s="406">
        <f t="shared" si="2176"/>
        <v>0</v>
      </c>
      <c r="AZ270" s="407">
        <f t="shared" si="2177"/>
        <v>0</v>
      </c>
      <c r="BA270" s="404">
        <f t="shared" si="2178"/>
        <v>0</v>
      </c>
      <c r="BB270" s="414">
        <f t="shared" si="2179"/>
        <v>0</v>
      </c>
      <c r="BC270" s="414">
        <f t="shared" si="2180"/>
        <v>0</v>
      </c>
      <c r="BD270" s="406">
        <f t="shared" si="2181"/>
        <v>0</v>
      </c>
      <c r="BE270" s="407">
        <f t="shared" si="2182"/>
        <v>0</v>
      </c>
      <c r="BF270" s="404">
        <f t="shared" si="2183"/>
        <v>0</v>
      </c>
      <c r="BG270" s="414">
        <f t="shared" si="2184"/>
        <v>0</v>
      </c>
      <c r="BH270" s="414">
        <f t="shared" si="2185"/>
        <v>0</v>
      </c>
      <c r="BI270" s="406">
        <f t="shared" si="2186"/>
        <v>0</v>
      </c>
      <c r="BJ270" s="407">
        <f t="shared" si="2187"/>
        <v>0</v>
      </c>
      <c r="BK270" s="404">
        <f t="shared" si="2188"/>
        <v>0</v>
      </c>
      <c r="BL270" s="414">
        <f t="shared" si="2189"/>
        <v>0</v>
      </c>
      <c r="BM270" s="414">
        <f t="shared" si="2190"/>
        <v>0</v>
      </c>
      <c r="BN270" s="406">
        <f t="shared" si="2191"/>
        <v>0</v>
      </c>
      <c r="BO270" s="407">
        <f t="shared" si="2192"/>
        <v>0</v>
      </c>
      <c r="BP270" s="449"/>
      <c r="BQ270" s="413">
        <f t="shared" si="2193"/>
        <v>0</v>
      </c>
      <c r="BR270" s="410">
        <f t="shared" si="2194"/>
        <v>0</v>
      </c>
      <c r="BS270" s="416">
        <f t="shared" si="2195"/>
        <v>0</v>
      </c>
      <c r="BT270" s="416">
        <f t="shared" si="2196"/>
        <v>0</v>
      </c>
      <c r="BU270" s="412">
        <f t="shared" si="2197"/>
        <v>0</v>
      </c>
      <c r="BV270" s="413">
        <f t="shared" si="2198"/>
        <v>0</v>
      </c>
      <c r="BW270" s="410">
        <f t="shared" si="2199"/>
        <v>0</v>
      </c>
      <c r="BX270" s="416">
        <f t="shared" si="2200"/>
        <v>0</v>
      </c>
      <c r="BY270" s="416">
        <f t="shared" si="2201"/>
        <v>0</v>
      </c>
      <c r="BZ270" s="412">
        <f t="shared" si="2202"/>
        <v>0</v>
      </c>
      <c r="CA270" s="413">
        <f t="shared" si="2203"/>
        <v>0</v>
      </c>
      <c r="CB270" s="410">
        <f t="shared" si="2204"/>
        <v>0</v>
      </c>
      <c r="CC270" s="416">
        <f t="shared" si="2205"/>
        <v>0</v>
      </c>
      <c r="CD270" s="416">
        <f t="shared" si="2206"/>
        <v>0</v>
      </c>
      <c r="CE270" s="412">
        <f t="shared" si="2207"/>
        <v>0</v>
      </c>
      <c r="CF270" s="413">
        <f t="shared" si="2208"/>
        <v>0</v>
      </c>
      <c r="CG270" s="410">
        <f t="shared" si="2209"/>
        <v>0</v>
      </c>
      <c r="CH270" s="416">
        <f t="shared" si="2210"/>
        <v>0</v>
      </c>
      <c r="CI270" s="416">
        <f t="shared" si="2211"/>
        <v>0</v>
      </c>
      <c r="CJ270" s="412">
        <f t="shared" si="2212"/>
        <v>0</v>
      </c>
      <c r="CK270" s="413">
        <f t="shared" si="2213"/>
        <v>0</v>
      </c>
      <c r="CL270" s="410">
        <f t="shared" si="2214"/>
        <v>0</v>
      </c>
      <c r="CM270" s="416">
        <f t="shared" si="2215"/>
        <v>0</v>
      </c>
      <c r="CN270" s="416">
        <f t="shared" si="2216"/>
        <v>0</v>
      </c>
      <c r="CO270" s="412">
        <f t="shared" si="2217"/>
        <v>0</v>
      </c>
      <c r="CP270" s="413">
        <f t="shared" si="2218"/>
        <v>0</v>
      </c>
      <c r="CQ270" s="410">
        <f t="shared" si="2219"/>
        <v>0</v>
      </c>
      <c r="CR270" s="416">
        <f t="shared" si="2220"/>
        <v>0</v>
      </c>
      <c r="CS270" s="416">
        <f t="shared" si="2221"/>
        <v>0</v>
      </c>
      <c r="CT270" s="412">
        <f t="shared" si="2222"/>
        <v>0</v>
      </c>
      <c r="CU270" s="413">
        <f t="shared" si="2223"/>
        <v>0</v>
      </c>
      <c r="CV270" s="410">
        <f t="shared" si="2224"/>
        <v>0</v>
      </c>
      <c r="CW270" s="416">
        <f t="shared" si="2225"/>
        <v>0</v>
      </c>
      <c r="CX270" s="416">
        <f t="shared" si="2226"/>
        <v>0</v>
      </c>
      <c r="CY270" s="412">
        <f t="shared" si="2227"/>
        <v>0</v>
      </c>
      <c r="CZ270" s="413">
        <f t="shared" si="2228"/>
        <v>0</v>
      </c>
      <c r="DA270" s="410">
        <f t="shared" si="2229"/>
        <v>0</v>
      </c>
      <c r="DB270" s="416">
        <f t="shared" si="2230"/>
        <v>0</v>
      </c>
      <c r="DC270" s="416">
        <f t="shared" si="2231"/>
        <v>0</v>
      </c>
      <c r="DD270" s="412">
        <f t="shared" si="2232"/>
        <v>0</v>
      </c>
      <c r="DE270" s="413">
        <f t="shared" si="2233"/>
        <v>0</v>
      </c>
      <c r="DF270" s="410">
        <f t="shared" si="2234"/>
        <v>0</v>
      </c>
      <c r="DG270" s="416">
        <f t="shared" si="2235"/>
        <v>0</v>
      </c>
      <c r="DH270" s="416">
        <f t="shared" si="2236"/>
        <v>0</v>
      </c>
      <c r="DI270" s="412">
        <f t="shared" si="2237"/>
        <v>0</v>
      </c>
      <c r="DJ270" s="413">
        <f t="shared" si="2238"/>
        <v>0</v>
      </c>
      <c r="DK270" s="410">
        <f t="shared" si="2239"/>
        <v>0</v>
      </c>
      <c r="DL270" s="416">
        <f t="shared" si="2240"/>
        <v>0</v>
      </c>
      <c r="DM270" s="416">
        <f t="shared" si="2241"/>
        <v>0</v>
      </c>
      <c r="DN270" s="412">
        <f t="shared" si="2242"/>
        <v>0</v>
      </c>
      <c r="DO270" s="413">
        <f t="shared" si="2243"/>
        <v>0</v>
      </c>
      <c r="DP270" s="410">
        <f t="shared" si="2244"/>
        <v>0</v>
      </c>
      <c r="DQ270" s="416">
        <f t="shared" si="2245"/>
        <v>0</v>
      </c>
      <c r="DR270" s="416">
        <f t="shared" si="2246"/>
        <v>0</v>
      </c>
      <c r="DS270" s="412">
        <f t="shared" si="2247"/>
        <v>0</v>
      </c>
      <c r="DT270" s="413">
        <f t="shared" si="2248"/>
        <v>0</v>
      </c>
    </row>
    <row r="271" spans="1:124" ht="12.75" customHeight="1">
      <c r="A271" s="491"/>
      <c r="C271" s="601" t="s">
        <v>1294</v>
      </c>
      <c r="D271" s="601"/>
      <c r="E271" s="1886">
        <f>IF(F271=0,G271,F271)</f>
        <v>75</v>
      </c>
      <c r="F271" s="1532">
        <v>75</v>
      </c>
      <c r="G271" s="1532">
        <v>75</v>
      </c>
      <c r="H271" s="610">
        <v>2019</v>
      </c>
      <c r="I271" s="828">
        <v>0.04</v>
      </c>
      <c r="J271" s="617">
        <v>9</v>
      </c>
      <c r="K271" s="402"/>
      <c r="L271" s="407">
        <f>IF(L$5=$H271,-$E271,0)</f>
        <v>0</v>
      </c>
      <c r="M271" s="404">
        <f>IF(Q271=0,0,IF(Q271&lt;0,IF($J271=3,Q271,IF($J271=2,Q271,IF($J271=1,Q271,0)))))</f>
        <v>0</v>
      </c>
      <c r="N271" s="414">
        <f>IF(Q271=0,0,IF(Q271&lt;0,IF($J271=6,Q271,IF($J271=5,Q271,IF($J271=4,Q271,0)))))</f>
        <v>0</v>
      </c>
      <c r="O271" s="414">
        <f>IF(Q271=0,0,IF(Q271&lt;0,IF($J271=9,Q271,IF($J271=8,Q271,IF($J271=7,Q271,0)))))</f>
        <v>0</v>
      </c>
      <c r="P271" s="406">
        <f>IF(Q271=0,0,IF(Q271&lt;0,IF($J271=12,Q271,IF($J271=11,Q271,IF($J271=10,Q271,0)))))</f>
        <v>0</v>
      </c>
      <c r="Q271" s="407">
        <f>IF(Q$5=$H271,-$E271,0)</f>
        <v>0</v>
      </c>
      <c r="R271" s="404">
        <f>IF(V271=0,0,IF(V271&lt;0,IF($J271=3,V271,IF($J271=2,V271,IF($J271=1,V271,0)))))</f>
        <v>0</v>
      </c>
      <c r="S271" s="414">
        <f>IF(V271=0,0,IF(V271&lt;0,IF($J271=6,V271,IF($J271=5,V271,IF($J271=4,V271,0)))))</f>
        <v>0</v>
      </c>
      <c r="T271" s="414">
        <f>IF(V271=0,0,IF(V271&lt;0,IF($J271=9,V271,IF($J271=8,V271,IF($J271=7,V271,0)))))</f>
        <v>0</v>
      </c>
      <c r="U271" s="406">
        <f>IF(V271=0,0,IF(V271&lt;0,IF($J271=12,V271,IF($J271=11,V271,IF($J271=10,V271,0)))))</f>
        <v>0</v>
      </c>
      <c r="V271" s="407">
        <f>IF(V$5=$H271,-$E271,0)</f>
        <v>0</v>
      </c>
      <c r="W271" s="404">
        <f>IF(AA271=0,0,IF(AA271&lt;0,IF($J271=3,AA271,IF($J271=2,AA271,IF($J271=1,AA271,0)))))</f>
        <v>0</v>
      </c>
      <c r="X271" s="414">
        <f>IF(AA271=0,0,IF(AA271&lt;0,IF($J271=6,AA271,IF($J271=5,AA271,IF($J271=4,AA271,0)))))</f>
        <v>0</v>
      </c>
      <c r="Y271" s="414">
        <f>IF(AA271=0,0,IF(AA271&lt;0,IF($J271=9,AA271,IF($J271=8,AA271,IF($J271=7,AA271,0)))))</f>
        <v>0</v>
      </c>
      <c r="Z271" s="406">
        <f>IF(AA271=0,0,IF(AA271&lt;0,IF($J271=12,AA271,IF($J271=11,AA271,IF($J271=10,AA271,0)))))</f>
        <v>0</v>
      </c>
      <c r="AA271" s="407">
        <f>IF(AA$5=$H271,-$E271,0)</f>
        <v>0</v>
      </c>
      <c r="AB271" s="404">
        <f>IF(AF271=0,0,IF(AF271&lt;0,IF($J271=3,AF271,IF($J271=2,AF271,IF($J271=1,AF271,0)))))</f>
        <v>0</v>
      </c>
      <c r="AC271" s="414">
        <f>IF(AF271=0,0,IF(AF271&lt;0,IF($J271=6,AF271,IF($J271=5,AF271,IF($J271=4,AF271,0)))))</f>
        <v>0</v>
      </c>
      <c r="AD271" s="414">
        <f>IF(AF271=0,0,IF(AF271&lt;0,IF($J271=9,AF271,IF($J271=8,AF271,IF($J271=7,AF271,0)))))</f>
        <v>0</v>
      </c>
      <c r="AE271" s="406">
        <f>IF(AF271=0,0,IF(AF271&lt;0,IF($J271=12,AF271,IF($J271=11,AF271,IF($J271=10,AF271,0)))))</f>
        <v>0</v>
      </c>
      <c r="AF271" s="407">
        <f>IF(AF$5=$H271,-$E271,0)</f>
        <v>0</v>
      </c>
      <c r="AG271" s="404">
        <f>IF(AK271=0,0,IF(AK271&lt;0,IF($J271=3,AK271,IF($J271=2,AK271,IF($J271=1,AK271,0)))))</f>
        <v>0</v>
      </c>
      <c r="AH271" s="414">
        <f>IF(AK271=0,0,IF(AK271&lt;0,IF($J271=6,AK271,IF($J271=5,AK271,IF($J271=4,AK271,0)))))</f>
        <v>0</v>
      </c>
      <c r="AI271" s="414">
        <f>IF(AK271=0,0,IF(AK271&lt;0,IF($J271=9,AK271,IF($J271=8,AK271,IF($J271=7,AK271,0)))))</f>
        <v>0</v>
      </c>
      <c r="AJ271" s="406">
        <f>IF(AK271=0,0,IF(AK271&lt;0,IF($J271=12,AK271,IF($J271=11,AK271,IF($J271=10,AK271,0)))))</f>
        <v>0</v>
      </c>
      <c r="AK271" s="407">
        <f>IF(AK$5=$H271,-$E271,0)</f>
        <v>0</v>
      </c>
      <c r="AL271" s="404">
        <f>IF(AP271=0,0,IF(AP271&lt;0,IF($J271=3,AP271,IF($J271=2,AP271,IF($J271=1,AP271,0)))))</f>
        <v>0</v>
      </c>
      <c r="AM271" s="414">
        <f>IF(AP271=0,0,IF(AP271&lt;0,IF($J271=6,AP271,IF($J271=5,AP271,IF($J271=4,AP271,0)))))</f>
        <v>0</v>
      </c>
      <c r="AN271" s="414">
        <f>IF(AP271=0,0,IF(AP271&lt;0,IF($J271=9,AP271,IF($J271=8,AP271,IF($J271=7,AP271,0)))))</f>
        <v>0</v>
      </c>
      <c r="AO271" s="406">
        <f>IF(AP271=0,0,IF(AP271&lt;0,IF($J271=12,AP271,IF($J271=11,AP271,IF($J271=10,AP271,0)))))</f>
        <v>0</v>
      </c>
      <c r="AP271" s="407">
        <f>IF(AP$5=$H271,-$E271,0)</f>
        <v>0</v>
      </c>
      <c r="AQ271" s="404">
        <f>IF(AU271=0,0,IF(AU271&lt;0,IF($J271=3,AU271,IF($J271=2,AU271,IF($J271=1,AU271,0)))))</f>
        <v>0</v>
      </c>
      <c r="AR271" s="414">
        <f t="shared" si="2169"/>
        <v>0</v>
      </c>
      <c r="AS271" s="414">
        <f>IF(AU271=0,0,IF(AU271&lt;0,IF($J271=9,AU271,IF($J271=8,AU271,IF($J271=7,AU271,0)))))</f>
        <v>0</v>
      </c>
      <c r="AT271" s="406">
        <f>IF(AU271=0,0,IF(AU271&lt;0,IF($J271=12,AU271,IF($J271=11,AU271,IF($J271=10,AU271,0)))))</f>
        <v>0</v>
      </c>
      <c r="AU271" s="407">
        <f>IF(AU$5=$H271,-$E271,0)</f>
        <v>0</v>
      </c>
      <c r="AV271" s="404">
        <f>IF(AZ271=0,0,IF(AZ271&lt;0,IF($J271=3,AZ271,IF($J271=2,AZ271,IF($J271=1,AZ271,0)))))</f>
        <v>0</v>
      </c>
      <c r="AW271" s="414">
        <f>IF(AZ271=0,0,IF(AZ271&lt;0,IF($J271=6,AZ271,IF($J271=5,AZ271,IF($J271=4,AZ271,0)))))</f>
        <v>0</v>
      </c>
      <c r="AX271" s="414">
        <f>IF(AZ271=0,0,IF(AZ271&lt;0,IF($J271=9,AZ271,IF($J271=8,AZ271,IF($J271=7,AZ271,0)))))</f>
        <v>0</v>
      </c>
      <c r="AY271" s="406">
        <f>IF(AZ271=0,0,IF(AZ271&lt;0,IF($J271=12,AZ271,IF($J271=11,AZ271,IF($J271=10,AZ271,0)))))</f>
        <v>0</v>
      </c>
      <c r="AZ271" s="407">
        <f>IF(AZ$5=$H271,-$E271,0)</f>
        <v>0</v>
      </c>
      <c r="BA271" s="404">
        <f>IF(BE271=0,0,IF(BE271&lt;0,IF($J271=3,BE271,IF($J271=2,BE271,IF($J271=1,BE271,0)))))</f>
        <v>0</v>
      </c>
      <c r="BB271" s="414">
        <f>IF(BE271=0,0,IF(BE271&lt;0,IF($J271=6,BE271,IF($J271=5,BE271,IF($J271=4,BE271,0)))))</f>
        <v>0</v>
      </c>
      <c r="BC271" s="414">
        <f>IF(BE271=0,0,IF(BE271&lt;0,IF($J271=9,BE271,IF($J271=8,BE271,IF($J271=7,BE271,0)))))</f>
        <v>-75</v>
      </c>
      <c r="BD271" s="406">
        <f>IF(BE271=0,0,IF(BE271&lt;0,IF($J271=12,BE271,IF($J271=11,BE271,IF($J271=10,BE271,0)))))</f>
        <v>0</v>
      </c>
      <c r="BE271" s="407">
        <f>IF(BE$5=$H271,-$E271,0)</f>
        <v>-75</v>
      </c>
      <c r="BF271" s="404">
        <f>IF(BJ271=0,0,IF(BJ271&lt;0,IF($J271=3,BJ271,IF($J271=2,BJ271,IF($J271=1,BJ271,0)))))</f>
        <v>0</v>
      </c>
      <c r="BG271" s="414">
        <f>IF(BJ271=0,0,IF(BJ271&lt;0,IF($J271=6,BJ271,IF($J271=5,BJ271,IF($J271=4,BJ271,0)))))</f>
        <v>0</v>
      </c>
      <c r="BH271" s="414">
        <f>IF(BJ271=0,0,IF(BJ271&lt;0,IF($J271=9,BJ271,IF($J271=8,BJ271,IF($J271=7,BJ271,0)))))</f>
        <v>0</v>
      </c>
      <c r="BI271" s="406">
        <f>IF(BJ271=0,0,IF(BJ271&lt;0,IF($J271=12,BJ271,IF($J271=11,BJ271,IF($J271=10,BJ271,0)))))</f>
        <v>0</v>
      </c>
      <c r="BJ271" s="407">
        <f>IF(BJ$5=$H271,-$E271,0)</f>
        <v>0</v>
      </c>
      <c r="BK271" s="404">
        <f>IF(BO271=0,0,IF(BO271&lt;0,IF($J271=3,BO271,IF($J271=2,BO271,IF($J271=1,BO271,0)))))</f>
        <v>0</v>
      </c>
      <c r="BL271" s="414">
        <f>IF(BO271=0,0,IF(BO271&lt;0,IF($J271=6,BO271,IF($J271=5,BO271,IF($J271=4,BO271,0)))))</f>
        <v>0</v>
      </c>
      <c r="BM271" s="414">
        <f>IF(BO271=0,0,IF(BO271&lt;0,IF($J271=9,BO271,IF($J271=8,BO271,IF($J271=7,BO271,0)))))</f>
        <v>0</v>
      </c>
      <c r="BN271" s="406">
        <f>IF(BO271=0,0,IF(BO271&lt;0,IF($J271=12,BO271,IF($J271=11,BO271,IF($J271=10,BO271,0)))))</f>
        <v>0</v>
      </c>
      <c r="BO271" s="407">
        <f>IF(BO$5=$H271,-$E271,0)</f>
        <v>0</v>
      </c>
      <c r="BP271" s="449"/>
      <c r="BQ271" s="413">
        <f>IF(AND(AH271&lt;&gt;0,AH$5=$H271),-$I271*$E271-AH271,IF(BQ$5=$H271,-$I271*$E271*(12-$J271+1)/12,0))</f>
        <v>0</v>
      </c>
      <c r="BR271" s="410">
        <f>IF($H271&lt;&gt;BV$5,0,IF(BV271&lt;0,IF($J271=1,-$E271*$I271/12*3,IF($J271=2,-$E271*$I271/12*2,IF($J271=3,-$E271*$I271/12*1,0)))))+IF(BQ$5&lt;&gt;$H271,0,IF(BQ271&lt;0,IF($J271=1,-$E271*$I271/12*0,IF($J271=2,-$E271*$I271/12*1,IF($J271=3,-$E271*$I271/12*2,IF($J271&gt;=4,-$E271*$I271/12*3,0))))))</f>
        <v>0</v>
      </c>
      <c r="BS271" s="416">
        <f>IF($H271&lt;&gt;BV$5,0,IF(BV271&lt;0,IF(OR($J271=1,$J271=2,$J271=3,$J271=4),-$E271*$I271/12*3,IF($J271=5,-$E271*$I271/12*2,IF($J271=6,-$E271*$I271/12*1,0)))))+IF(BQ$5&lt;&gt;$H271,0,IF(BQ271&lt;0,IF($J271=4,-$E271*$I271/12*0,IF($J271=5,-$E271*$I271/12*1,IF($J271=6,-$E271*$I271/12*2,IF($J271&gt;=7,-$E271*$I271/12*3,0))))))</f>
        <v>0</v>
      </c>
      <c r="BT271" s="416">
        <f>IF($H271&lt;&gt;BV$5,0,IF(BV271&lt;0,IF(OR($J271=1,$J271=2,$J271=3,$J271=4,$J271=5,$J271=6,$J271=7),-$E271*$I271/12*3,IF($J271=8,-$E271*$I271/12*2,IF($J271=9,-$E271*$I271/12*1,0)))))+IF(BQ$5&lt;&gt;$H271,0,IF(BQ271&lt;0,IF($J271=7,-$E271*$I271/12*0,IF($J271=8,-$E271*$I271/12*1,IF($J271=9,-$E271*$I271/12*2,IF($J271&gt;=10,-$E271*$I271/12*3,0))))))</f>
        <v>0</v>
      </c>
      <c r="BU271" s="412">
        <f>IF($H271&lt;&gt;BV$5,0,IF(BV271&lt;0,IF(OR($J271=1,$J271=2,$J271=3,$J271=4,$J271=5,$J271=6,$J271=7,$J271=8,$J271=9,$J271=10),-$E271*$I271/12*3,IF($J271=11,-$E271*$I271/12*2,IF($J271=12,-$E271*$I271/12*1,0)))))+IF(BQ$5&lt;&gt;$H271,0,IF(BQ271&lt;0,IF($J271=10,-$E271*$I271/12*0,IF($J271=11,-$E271*$I271/12*1,IF($J271=12,-$E271*$I271/12*2,0)))))</f>
        <v>0</v>
      </c>
      <c r="BV271" s="413">
        <f>IF(AND(BQ271&lt;&gt;0,BQ$5=$H271),-$I271*$E271-BQ271,IF(BV$5=$H271,-$I271*$E271*(12-$J271+1)/12,0))</f>
        <v>0</v>
      </c>
      <c r="BW271" s="410">
        <f>IF($H271&lt;&gt;CA$5,0,IF(CA271&lt;0,IF($J271=1,-$E271*$I271/12*3,IF($J271=2,-$E271*$I271/12*2,IF($J271=3,-$E271*$I271/12*1,0)))))+IF(BV$5&lt;&gt;$H271,0,IF(BV271&lt;0,IF($J271=1,-$E271*$I271/12*0,IF($J271=2,-$E271*$I271/12*1,IF($J271=3,-$E271*$I271/12*2,IF($J271&gt;=4,-$E271*$I271/12*3,0))))))</f>
        <v>0</v>
      </c>
      <c r="BX271" s="416">
        <f>IF($H271&lt;&gt;CA$5,0,IF(CA271&lt;0,IF(OR($J271=1,$J271=2,$J271=3,$J271=4),-$E271*$I271/12*3,IF($J271=5,-$E271*$I271/12*2,IF($J271=6,-$E271*$I271/12*1,0)))))+IF(BV$5&lt;&gt;$H271,0,IF(BV271&lt;0,IF($J271=4,-$E271*$I271/12*0,IF($J271=5,-$E271*$I271/12*1,IF($J271=6,-$E271*$I271/12*2,IF($J271&gt;=7,-$E271*$I271/12*3,0))))))</f>
        <v>0</v>
      </c>
      <c r="BY271" s="416">
        <f>IF($H271&lt;&gt;CA$5,0,IF(CA271&lt;0,IF(OR($J271=1,$J271=2,$J271=3,$J271=4,$J271=5,$J271=6,$J271=7),-$E271*$I271/12*3,IF($J271=8,-$E271*$I271/12*2,IF($J271=9,-$E271*$I271/12*1,0)))))+IF(BV$5&lt;&gt;$H271,0,IF(BV271&lt;0,IF($J271=7,-$E271*$I271/12*0,IF($J271=8,-$E271*$I271/12*1,IF($J271=9,-$E271*$I271/12*2,IF($J271&gt;=10,-$E271*$I271/12*3,0))))))</f>
        <v>0</v>
      </c>
      <c r="BZ271" s="412">
        <f>IF($H271&lt;&gt;CA$5,0,IF(CA271&lt;0,IF(OR($J271=1,$J271=2,$J271=3,$J271=4,$J271=5,$J271=6,$J271=7,$J271=8,$J271=9,$J271=10),-$E271*$I271/12*3,IF($J271=11,-$E271*$I271/12*2,IF($J271=12,-$E271*$I271/12*1,0)))))+IF(BV$5&lt;&gt;$H271,0,IF(BV271&lt;0,IF($J271=10,-$E271*$I271/12*0,IF($J271=11,-$E271*$I271/12*1,IF($J271=12,-$E271*$I271/12*2,0)))))</f>
        <v>0</v>
      </c>
      <c r="CA271" s="413">
        <f>IF(AND(BV271&lt;&gt;0,BV$5=$H271),-$I271*$E271-BV271,IF(CA$5=$H271,-$I271*$E271*(12-$J271+1)/12,0))</f>
        <v>0</v>
      </c>
      <c r="CB271" s="410">
        <f>IF($H271&lt;&gt;CF$5,0,IF(CF271&lt;0,IF($J271=1,-$E271*$I271/12*3,IF($J271=2,-$E271*$I271/12*2,IF($J271=3,-$E271*$I271/12*1,0)))))+IF(CA$5&lt;&gt;$H271,0,IF(CA271&lt;0,IF($J271=1,-$E271*$I271/12*0,IF($J271=2,-$E271*$I271/12*1,IF($J271=3,-$E271*$I271/12*2,IF($J271&gt;=4,-$E271*$I271/12*3,0))))))</f>
        <v>0</v>
      </c>
      <c r="CC271" s="416">
        <f>IF($H271&lt;&gt;CF$5,0,IF(CF271&lt;0,IF(OR($J271=1,$J271=2,$J271=3,$J271=4),-$E271*$I271/12*3,IF($J271=5,-$E271*$I271/12*2,IF($J271=6,-$E271*$I271/12*1,0)))))+IF(CA$5&lt;&gt;$H271,0,IF(CA271&lt;0,IF($J271=4,-$E271*$I271/12*0,IF($J271=5,-$E271*$I271/12*1,IF($J271=6,-$E271*$I271/12*2,IF($J271&gt;=7,-$E271*$I271/12*3,0))))))</f>
        <v>0</v>
      </c>
      <c r="CD271" s="416">
        <f>IF($H271&lt;&gt;CF$5,0,IF(CF271&lt;0,IF(OR($J271=1,$J271=2,$J271=3,$J271=4,$J271=5,$J271=6,$J271=7),-$E271*$I271/12*3,IF($J271=8,-$E271*$I271/12*2,IF($J271=9,-$E271*$I271/12*1,0)))))+IF(CA$5&lt;&gt;$H271,0,IF(CA271&lt;0,IF($J271=7,-$E271*$I271/12*0,IF($J271=8,-$E271*$I271/12*1,IF($J271=9,-$E271*$I271/12*2,IF($J271&gt;=10,-$E271*$I271/12*3,0))))))</f>
        <v>0</v>
      </c>
      <c r="CE271" s="412">
        <f>IF($H271&lt;&gt;CF$5,0,IF(CF271&lt;0,IF(OR($J271=1,$J271=2,$J271=3,$J271=4,$J271=5,$J271=6,$J271=7,$J271=8,$J271=9,$J271=10),-$E271*$I271/12*3,IF($J271=11,-$E271*$I271/12*2,IF($J271=12,-$E271*$I271/12*1,0)))))+IF(CA$5&lt;&gt;$H271,0,IF(CA271&lt;0,IF($J271=10,-$E271*$I271/12*0,IF($J271=11,-$E271*$I271/12*1,IF($J271=12,-$E271*$I271/12*2,0)))))</f>
        <v>0</v>
      </c>
      <c r="CF271" s="413">
        <f>IF(AND(CA271&lt;&gt;0,CA$5=$H271),-$I271*$E271-CA271,IF(CF$5=$H271,-$I271*$E271*(12-$J271+1)/12,0))</f>
        <v>0</v>
      </c>
      <c r="CG271" s="410">
        <f>IF($H271&lt;&gt;CK$5,0,IF(CK271&lt;0,IF($J271=1,-$E271*$I271/12*3,IF($J271=2,-$E271*$I271/12*2,IF($J271=3,-$E271*$I271/12*1,0)))))+IF(CF$5&lt;&gt;$H271,0,IF(CF271&lt;0,IF($J271=1,-$E271*$I271/12*0,IF($J271=2,-$E271*$I271/12*1,IF($J271=3,-$E271*$I271/12*2,IF($J271&gt;=4,-$E271*$I271/12*3,0))))))</f>
        <v>0</v>
      </c>
      <c r="CH271" s="416">
        <f>IF($H271&lt;&gt;CK$5,0,IF(CK271&lt;0,IF(OR($J271=1,$J271=2,$J271=3,$J271=4),-$E271*$I271/12*3,IF($J271=5,-$E271*$I271/12*2,IF($J271=6,-$E271*$I271/12*1,0)))))+IF(CF$5&lt;&gt;$H271,0,IF(CF271&lt;0,IF($J271=4,-$E271*$I271/12*0,IF($J271=5,-$E271*$I271/12*1,IF($J271=6,-$E271*$I271/12*2,IF($J271&gt;=7,-$E271*$I271/12*3,0))))))</f>
        <v>0</v>
      </c>
      <c r="CI271" s="416">
        <f>IF($H271&lt;&gt;CK$5,0,IF(CK271&lt;0,IF(OR($J271=1,$J271=2,$J271=3,$J271=4,$J271=5,$J271=6,$J271=7),-$E271*$I271/12*3,IF($J271=8,-$E271*$I271/12*2,IF($J271=9,-$E271*$I271/12*1,0)))))+IF(CF$5&lt;&gt;$H271,0,IF(CF271&lt;0,IF($J271=7,-$E271*$I271/12*0,IF($J271=8,-$E271*$I271/12*1,IF($J271=9,-$E271*$I271/12*2,IF($J271&gt;=10,-$E271*$I271/12*3,0))))))</f>
        <v>0</v>
      </c>
      <c r="CJ271" s="412">
        <f>IF($H271&lt;&gt;CK$5,0,IF(CK271&lt;0,IF(OR($J271=1,$J271=2,$J271=3,$J271=4,$J271=5,$J271=6,$J271=7,$J271=8,$J271=9,$J271=10),-$E271*$I271/12*3,IF($J271=11,-$E271*$I271/12*2,IF($J271=12,-$E271*$I271/12*1,0)))))+IF(CF$5&lt;&gt;$H271,0,IF(CF271&lt;0,IF($J271=10,-$E271*$I271/12*0,IF($J271=11,-$E271*$I271/12*1,IF($J271=12,-$E271*$I271/12*2,0)))))</f>
        <v>0</v>
      </c>
      <c r="CK271" s="413">
        <f>IF(AND(CF271&lt;&gt;0,CF$5=$H271),-$I271*$E271-CF271,IF(CK$5=$H271,-$I271*$E271*(12-$J271+1)/12,0))</f>
        <v>0</v>
      </c>
      <c r="CL271" s="410">
        <f>IF($H271&lt;&gt;CP$5,0,IF(CP271&lt;0,IF($J271=1,-$E271*$I271/12*3,IF($J271=2,-$E271*$I271/12*2,IF($J271=3,-$E271*$I271/12*1,0)))))+IF(CK$5&lt;&gt;$H271,0,IF(CK271&lt;0,IF($J271=1,-$E271*$I271/12*0,IF($J271=2,-$E271*$I271/12*1,IF($J271=3,-$E271*$I271/12*2,IF($J271&gt;=4,-$E271*$I271/12*3,0))))))</f>
        <v>0</v>
      </c>
      <c r="CM271" s="416">
        <f>IF($H271&lt;&gt;CP$5,0,IF(CP271&lt;0,IF(OR($J271=1,$J271=2,$J271=3,$J271=4),-$E271*$I271/12*3,IF($J271=5,-$E271*$I271/12*2,IF($J271=6,-$E271*$I271/12*1,0)))))+IF(CK$5&lt;&gt;$H271,0,IF(CK271&lt;0,IF($J271=4,-$E271*$I271/12*0,IF($J271=5,-$E271*$I271/12*1,IF($J271=6,-$E271*$I271/12*2,IF($J271&gt;=7,-$E271*$I271/12*3,0))))))</f>
        <v>0</v>
      </c>
      <c r="CN271" s="416">
        <f>IF($H271&lt;&gt;CP$5,0,IF(CP271&lt;0,IF(OR($J271=1,$J271=2,$J271=3,$J271=4,$J271=5,$J271=6,$J271=7),-$E271*$I271/12*3,IF($J271=8,-$E271*$I271/12*2,IF($J271=9,-$E271*$I271/12*1,0)))))+IF(CK$5&lt;&gt;$H271,0,IF(CK271&lt;0,IF($J271=7,-$E271*$I271/12*0,IF($J271=8,-$E271*$I271/12*1,IF($J271=9,-$E271*$I271/12*2,IF($J271&gt;=10,-$E271*$I271/12*3,0))))))</f>
        <v>0</v>
      </c>
      <c r="CO271" s="412">
        <f>IF($H271&lt;&gt;CP$5,0,IF(CP271&lt;0,IF(OR($J271=1,$J271=2,$J271=3,$J271=4,$J271=5,$J271=6,$J271=7,$J271=8,$J271=9,$J271=10),-$E271*$I271/12*3,IF($J271=11,-$E271*$I271/12*2,IF($J271=12,-$E271*$I271/12*1,0)))))+IF(CK$5&lt;&gt;$H271,0,IF(CK271&lt;0,IF($J271=10,-$E271*$I271/12*0,IF($J271=11,-$E271*$I271/12*1,IF($J271=12,-$E271*$I271/12*2,0)))))</f>
        <v>0</v>
      </c>
      <c r="CP271" s="413">
        <f>IF(AND(CK271&lt;&gt;0,CK$5=$H271),-$I271*$E271-CK271,IF(CP$5=$H271,-$I271*$E271*(12-$J271+1)/12,0))</f>
        <v>0</v>
      </c>
      <c r="CQ271" s="410">
        <f>IF($H271&lt;&gt;CU$5,0,IF(CU271&lt;0,IF($J271=1,-$E271*$I271/12*3,IF($J271=2,-$E271*$I271/12*2,IF($J271=3,-$E271*$I271/12*1,0)))))+IF(CP$5&lt;&gt;$H271,0,IF(CP271&lt;0,IF($J271=1,-$E271*$I271/12*0,IF($J271=2,-$E271*$I271/12*1,IF($J271=3,-$E271*$I271/12*2,IF($J271&gt;=4,-$E271*$I271/12*3,0))))))</f>
        <v>0</v>
      </c>
      <c r="CR271" s="416">
        <f>IF($H271&lt;&gt;CU$5,0,IF(CU271&lt;0,IF(OR($J271=1,$J271=2,$J271=3,$J271=4),-$E271*$I271/12*3,IF($J271=5,-$E271*$I271/12*2,IF($J271=6,-$E271*$I271/12*1,0)))))+IF(CP$5&lt;&gt;$H271,0,IF(CP271&lt;0,IF($J271=4,-$E271*$I271/12*0,IF($J271=5,-$E271*$I271/12*1,IF($J271=6,-$E271*$I271/12*2,IF($J271&gt;=7,-$E271*$I271/12*3,0))))))</f>
        <v>0</v>
      </c>
      <c r="CS271" s="416">
        <f>IF($H271&lt;&gt;CU$5,0,IF(CU271&lt;0,IF(OR($J271=1,$J271=2,$J271=3,$J271=4,$J271=5,$J271=6,$J271=7),-$E271*$I271/12*3,IF($J271=8,-$E271*$I271/12*2,IF($J271=9,-$E271*$I271/12*1,0)))))+IF(CP$5&lt;&gt;$H271,0,IF(CP271&lt;0,IF($J271=7,-$E271*$I271/12*0,IF($J271=8,-$E271*$I271/12*1,IF($J271=9,-$E271*$I271/12*2,IF($J271&gt;=10,-$E271*$I271/12*3,0))))))</f>
        <v>0</v>
      </c>
      <c r="CT271" s="412">
        <f>IF($H271&lt;&gt;CU$5,0,IF(CU271&lt;0,IF(OR($J271=1,$J271=2,$J271=3,$J271=4,$J271=5,$J271=6,$J271=7,$J271=8,$J271=9,$J271=10),-$E271*$I271/12*3,IF($J271=11,-$E271*$I271/12*2,IF($J271=12,-$E271*$I271/12*1,0)))))+IF(CP$5&lt;&gt;$H271,0,IF(CP271&lt;0,IF($J271=10,-$E271*$I271/12*0,IF($J271=11,-$E271*$I271/12*1,IF($J271=12,-$E271*$I271/12*2,0)))))</f>
        <v>0</v>
      </c>
      <c r="CU271" s="413">
        <f>IF(AND(CP271&lt;&gt;0,CP$5=$H271),-$I271*$E271-CP271,IF(CU$5=$H271,-$I271*$E271*(12-$J271+1)/12,0))</f>
        <v>0</v>
      </c>
      <c r="CV271" s="410">
        <f>IF($H271&lt;&gt;CZ$5,0,IF(CZ271&lt;0,IF($J271=1,-$E271*$I271/12*3,IF($J271=2,-$E271*$I271/12*2,IF($J271=3,-$E271*$I271/12*1,0)))))+IF(CU$5&lt;&gt;$H271,0,IF(CU271&lt;0,IF($J271=1,-$E271*$I271/12*0,IF($J271=2,-$E271*$I271/12*1,IF($J271=3,-$E271*$I271/12*2,IF($J271&gt;=4,-$E271*$I271/12*3,0))))))</f>
        <v>0</v>
      </c>
      <c r="CW271" s="416">
        <f>IF($H271&lt;&gt;CZ$5,0,IF(CZ271&lt;0,IF(OR($J271=1,$J271=2,$J271=3,$J271=4),-$E271*$I271/12*3,IF($J271=5,-$E271*$I271/12*2,IF($J271=6,-$E271*$I271/12*1,0)))))+IF(CU$5&lt;&gt;$H271,0,IF(CU271&lt;0,IF($J271=4,-$E271*$I271/12*0,IF($J271=5,-$E271*$I271/12*1,IF($J271=6,-$E271*$I271/12*2,IF($J271&gt;=7,-$E271*$I271/12*3,0))))))</f>
        <v>0</v>
      </c>
      <c r="CX271" s="416">
        <f>IF($H271&lt;&gt;CZ$5,0,IF(CZ271&lt;0,IF(OR($J271=1,$J271=2,$J271=3,$J271=4,$J271=5,$J271=6,$J271=7),-$E271*$I271/12*3,IF($J271=8,-$E271*$I271/12*2,IF($J271=9,-$E271*$I271/12*1,0)))))+IF(CU$5&lt;&gt;$H271,0,IF(CU271&lt;0,IF($J271=7,-$E271*$I271/12*0,IF($J271=8,-$E271*$I271/12*1,IF($J271=9,-$E271*$I271/12*2,IF($J271&gt;=10,-$E271*$I271/12*3,0))))))</f>
        <v>0</v>
      </c>
      <c r="CY271" s="412">
        <f>IF($H271&lt;&gt;CZ$5,0,IF(CZ271&lt;0,IF(OR($J271=1,$J271=2,$J271=3,$J271=4,$J271=5,$J271=6,$J271=7,$J271=8,$J271=9,$J271=10),-$E271*$I271/12*3,IF($J271=11,-$E271*$I271/12*2,IF($J271=12,-$E271*$I271/12*1,0)))))+IF(CU$5&lt;&gt;$H271,0,IF(CU271&lt;0,IF($J271=10,-$E271*$I271/12*0,IF($J271=11,-$E271*$I271/12*1,IF($J271=12,-$E271*$I271/12*2,0)))))</f>
        <v>0</v>
      </c>
      <c r="CZ271" s="413">
        <f>IF(AND(CU271&lt;&gt;0,CU$5=$H271),-$I271*$E271-CU271,IF(CZ$5=$H271,-$I271*$E271*(12-$J271+1)/12,0))</f>
        <v>0</v>
      </c>
      <c r="DA271" s="410">
        <f>IF($H271&lt;&gt;DE$5,0,IF(DE271&lt;0,IF($J271=1,-$E271*$I271/12*3,IF($J271=2,-$E271*$I271/12*2,IF($J271=3,-$E271*$I271/12*1,0)))))+IF(CZ$5&lt;&gt;$H271,0,IF(CZ271&lt;0,IF($J271=1,-$E271*$I271/12*0,IF($J271=2,-$E271*$I271/12*1,IF($J271=3,-$E271*$I271/12*2,IF($J271&gt;=4,-$E271*$I271/12*3,0))))))</f>
        <v>0</v>
      </c>
      <c r="DB271" s="416">
        <f>IF($H271&lt;&gt;DE$5,0,IF(DE271&lt;0,IF(OR($J271=1,$J271=2,$J271=3,$J271=4),-$E271*$I271/12*3,IF($J271=5,-$E271*$I271/12*2,IF($J271=6,-$E271*$I271/12*1,0)))))+IF(CZ$5&lt;&gt;$H271,0,IF(CZ271&lt;0,IF($J271=4,-$E271*$I271/12*0,IF($J271=5,-$E271*$I271/12*1,IF($J271=6,-$E271*$I271/12*2,IF($J271&gt;=7,-$E271*$I271/12*3,0))))))</f>
        <v>0</v>
      </c>
      <c r="DC271" s="416">
        <f>IF($H271&lt;&gt;DE$5,0,IF(DE271&lt;0,IF(OR($J271=1,$J271=2,$J271=3,$J271=4,$J271=5,$J271=6,$J271=7),-$E271*$I271/12*3,IF($J271=8,-$E271*$I271/12*2,IF($J271=9,-$E271*$I271/12*1,0)))))+IF(CZ$5&lt;&gt;$H271,0,IF(CZ271&lt;0,IF($J271=7,-$E271*$I271/12*0,IF($J271=8,-$E271*$I271/12*1,IF($J271=9,-$E271*$I271/12*2,IF($J271&gt;=10,-$E271*$I271/12*3,0))))))</f>
        <v>0</v>
      </c>
      <c r="DD271" s="412">
        <f>IF($H271&lt;&gt;DE$5,0,IF(DE271&lt;0,IF(OR($J271=1,$J271=2,$J271=3,$J271=4,$J271=5,$J271=6,$J271=7,$J271=8,$J271=9,$J271=10),-$E271*$I271/12*3,IF($J271=11,-$E271*$I271/12*2,IF($J271=12,-$E271*$I271/12*1,0)))))+IF(CZ$5&lt;&gt;$H271,0,IF(CZ271&lt;0,IF($J271=10,-$E271*$I271/12*0,IF($J271=11,-$E271*$I271/12*1,IF($J271=12,-$E271*$I271/12*2,0)))))</f>
        <v>0</v>
      </c>
      <c r="DE271" s="413">
        <f>IF(AND(CZ271&lt;&gt;0,CZ$5=$H271),-$I271*$E271-CZ271,IF(DE$5=$H271,-$I271*$E271*(12-$J271+1)/12,0))</f>
        <v>0</v>
      </c>
      <c r="DF271" s="410">
        <f>IF($H271&lt;&gt;DJ$5,0,IF(DJ271&lt;0,IF($J271=1,-$E271*$I271/12*3,IF($J271=2,-$E271*$I271/12*2,IF($J271=3,-$E271*$I271/12*1,0)))))+IF(DE$5&lt;&gt;$H271,0,IF(DE271&lt;0,IF($J271=1,-$E271*$I271/12*0,IF($J271=2,-$E271*$I271/12*1,IF($J271=3,-$E271*$I271/12*2,IF($J271&gt;=4,-$E271*$I271/12*3,0))))))</f>
        <v>0</v>
      </c>
      <c r="DG271" s="416">
        <f>IF($H271&lt;&gt;DJ$5,0,IF(DJ271&lt;0,IF(OR($J271=1,$J271=2,$J271=3,$J271=4),-$E271*$I271/12*3,IF($J271=5,-$E271*$I271/12*2,IF($J271=6,-$E271*$I271/12*1,0)))))+IF(DE$5&lt;&gt;$H271,0,IF(DE271&lt;0,IF($J271=4,-$E271*$I271/12*0,IF($J271=5,-$E271*$I271/12*1,IF($J271=6,-$E271*$I271/12*2,IF($J271&gt;=7,-$E271*$I271/12*3,0))))))</f>
        <v>0</v>
      </c>
      <c r="DH271" s="416">
        <f>IF($H271&lt;&gt;DJ$5,0,IF(DJ271&lt;0,IF(OR($J271=1,$J271=2,$J271=3,$J271=4,$J271=5,$J271=6,$J271=7),-$E271*$I271/12*3,IF($J271=8,-$E271*$I271/12*2,IF($J271=9,-$E271*$I271/12*1,0)))))+IF(DE$5&lt;&gt;$H271,0,IF(DE271&lt;0,IF($J271=7,-$E271*$I271/12*0,IF($J271=8,-$E271*$I271/12*1,IF($J271=9,-$E271*$I271/12*2,IF($J271&gt;=10,-$E271*$I271/12*3,0))))))</f>
        <v>-0.25</v>
      </c>
      <c r="DI271" s="412">
        <f>IF($H271&lt;&gt;DJ$5,0,IF(DJ271&lt;0,IF(OR($J271=1,$J271=2,$J271=3,$J271=4,$J271=5,$J271=6,$J271=7,$J271=8,$J271=9,$J271=10),-$E271*$I271/12*3,IF($J271=11,-$E271*$I271/12*2,IF($J271=12,-$E271*$I271/12*1,0)))))+IF(DE$5&lt;&gt;$H271,0,IF(DE271&lt;0,IF($J271=10,-$E271*$I271/12*0,IF($J271=11,-$E271*$I271/12*1,IF($J271=12,-$E271*$I271/12*2,0)))))</f>
        <v>-0.75</v>
      </c>
      <c r="DJ271" s="413">
        <f>IF(AND(DE271&lt;&gt;0,DE$5=$H271),-$I271*$E271-DE271,IF(DJ$5=$H271,-$I271*$E271*(12-$J271+1)/12,0))</f>
        <v>-1</v>
      </c>
      <c r="DK271" s="410">
        <f>IF($H271&lt;&gt;DO$5,0,IF(DO271&lt;0,IF($J271=1,-$E271*$I271/12*3,IF($J271=2,-$E271*$I271/12*2,IF($J271=3,-$E271*$I271/12*1,0)))))+IF(DJ$5&lt;&gt;$H271,0,IF(DJ271&lt;0,IF($J271=1,-$E271*$I271/12*0,IF($J271=2,-$E271*$I271/12*1,IF($J271=3,-$E271*$I271/12*2,IF($J271&gt;=4,-$E271*$I271/12*3,0))))))</f>
        <v>-0.75</v>
      </c>
      <c r="DL271" s="416">
        <f>IF($H271&lt;&gt;DO$5,0,IF(DO271&lt;0,IF(OR($J271=1,$J271=2,$J271=3,$J271=4),-$E271*$I271/12*3,IF($J271=5,-$E271*$I271/12*2,IF($J271=6,-$E271*$I271/12*1,0)))))+IF(DJ$5&lt;&gt;$H271,0,IF(DJ271&lt;0,IF($J271=4,-$E271*$I271/12*0,IF($J271=5,-$E271*$I271/12*1,IF($J271=6,-$E271*$I271/12*2,IF($J271&gt;=7,-$E271*$I271/12*3,0))))))</f>
        <v>-0.75</v>
      </c>
      <c r="DM271" s="416">
        <f>IF($H271&lt;&gt;DO$5,0,IF(DO271&lt;0,IF(OR($J271=1,$J271=2,$J271=3,$J271=4,$J271=5,$J271=6,$J271=7),-$E271*$I271/12*3,IF($J271=8,-$E271*$I271/12*2,IF($J271=9,-$E271*$I271/12*1,0)))))+IF(DJ$5&lt;&gt;$H271,0,IF(DJ271&lt;0,IF($J271=7,-$E271*$I271/12*0,IF($J271=8,-$E271*$I271/12*1,IF($J271=9,-$E271*$I271/12*2,IF($J271&gt;=10,-$E271*$I271/12*3,0))))))</f>
        <v>-0.5</v>
      </c>
      <c r="DN271" s="412">
        <f>IF($H271&lt;&gt;DO$5,0,IF(DO271&lt;0,IF(OR($J271=1,$J271=2,$J271=3,$J271=4,$J271=5,$J271=6,$J271=7,$J271=8,$J271=9,$J271=10),-$E271*$I271/12*3,IF($J271=11,-$E271*$I271/12*2,IF($J271=12,-$E271*$I271/12*1,0)))))+IF(DJ$5&lt;&gt;$H271,0,IF(DJ271&lt;0,IF($J271=10,-$E271*$I271/12*0,IF($J271=11,-$E271*$I271/12*1,IF($J271=12,-$E271*$I271/12*2,0)))))</f>
        <v>0</v>
      </c>
      <c r="DO271" s="413">
        <f>IF(AND(DJ271&lt;&gt;0,DJ$5=$H271),-$I271*$E271-DJ271,IF(DO$5=$H271,-$I271*$E271*(12-$J271+1)/12,0))</f>
        <v>-2</v>
      </c>
      <c r="DP271" s="410">
        <f>IF($H271&lt;&gt;DT$5,0,IF(DT271&lt;0,IF($J271=1,-$E271*$I271/12*3,IF($J271=2,-$E271*$I271/12*2,IF($J271=3,-$E271*$I271/12*1,0)))))+IF(DO$5&lt;&gt;$H271,0,IF(DO271&lt;0,IF($J271=1,-$E271*$I271/12*0,IF($J271=2,-$E271*$I271/12*1,IF($J271=3,-$E271*$I271/12*2,IF($J271&gt;=4,-$E271*$I271/12*3,0))))))</f>
        <v>0</v>
      </c>
      <c r="DQ271" s="416">
        <f>IF($H271&lt;&gt;DT$5,0,IF(DT271&lt;0,IF(OR($J271=1,$J271=2,$J271=3,$J271=4),-$E271*$I271/12*3,IF($J271=5,-$E271*$I271/12*2,IF($J271=6,-$E271*$I271/12*1,0)))))+IF(DO$5&lt;&gt;$H271,0,IF(DO271&lt;0,IF($J271=4,-$E271*$I271/12*0,IF($J271=5,-$E271*$I271/12*1,IF($J271=6,-$E271*$I271/12*2,IF($J271&gt;=7,-$E271*$I271/12*3,0))))))</f>
        <v>0</v>
      </c>
      <c r="DR271" s="416">
        <f>IF($H271&lt;&gt;DT$5,0,IF(DT271&lt;0,IF(OR($J271=1,$J271=2,$J271=3,$J271=4,$J271=5,$J271=6,$J271=7),-$E271*$I271/12*3,IF($J271=8,-$E271*$I271/12*2,IF($J271=9,-$E271*$I271/12*1,0)))))+IF(DO$5&lt;&gt;$H271,0,IF(DO271&lt;0,IF($J271=7,-$E271*$I271/12*0,IF($J271=8,-$E271*$I271/12*1,IF($J271=9,-$E271*$I271/12*2,IF($J271&gt;=10,-$E271*$I271/12*3,0))))))</f>
        <v>0</v>
      </c>
      <c r="DS271" s="412">
        <f>IF($H271&lt;&gt;DT$5,0,IF(DT271&lt;0,IF(OR($J271=1,$J271=2,$J271=3,$J271=4,$J271=5,$J271=6,$J271=7,$J271=8,$J271=9,$J271=10),-$E271*$I271/12*3,IF($J271=11,-$E271*$I271/12*2,IF($J271=12,-$E271*$I271/12*1,0)))))+IF(DO$5&lt;&gt;$H271,0,IF(DO271&lt;0,IF($J271=10,-$E271*$I271/12*0,IF($J271=11,-$E271*$I271/12*1,IF($J271=12,-$E271*$I271/12*2,0)))))</f>
        <v>0</v>
      </c>
      <c r="DT271" s="413">
        <f>IF(AND(DO271&lt;&gt;0,DO$5=$H271),-$I271*$E271-DO271,IF(DT$5=$H271,-$I271*$E271*(12-$J271+1)/12,0))</f>
        <v>0</v>
      </c>
    </row>
    <row r="272" spans="1:124" ht="12.75" customHeight="1">
      <c r="A272" s="491"/>
      <c r="C272" s="1894" t="s">
        <v>1130</v>
      </c>
      <c r="D272" s="1894"/>
      <c r="E272" s="1886">
        <f>IF(F272=0,G272,F272)</f>
        <v>25</v>
      </c>
      <c r="F272" s="1532">
        <v>25</v>
      </c>
      <c r="G272" s="1532">
        <v>25</v>
      </c>
      <c r="H272" s="610">
        <v>2022</v>
      </c>
      <c r="I272" s="1533">
        <v>3.27E-2</v>
      </c>
      <c r="J272" s="615">
        <v>9</v>
      </c>
      <c r="K272" s="402"/>
      <c r="L272" s="407">
        <f>IF(L$5=$H272,-$E272,0)</f>
        <v>0</v>
      </c>
      <c r="M272" s="404">
        <f>IF(Q272=0,0,IF(Q272&lt;0,IF($J272=3,Q272,IF($J272=2,Q272,IF($J272=1,Q272,0)))))</f>
        <v>0</v>
      </c>
      <c r="N272" s="414">
        <f>IF(Q272=0,0,IF(Q272&lt;0,IF($J272=6,Q272,IF($J272=5,Q272,IF($J272=4,Q272,0)))))</f>
        <v>0</v>
      </c>
      <c r="O272" s="414">
        <f>IF(Q272=0,0,IF(Q272&lt;0,IF($J272=9,Q272,IF($J272=8,Q272,IF($J272=7,Q272,0)))))</f>
        <v>0</v>
      </c>
      <c r="P272" s="406">
        <f>IF(Q272=0,0,IF(Q272&lt;0,IF($J272=12,Q272,IF($J272=11,Q272,IF($J272=10,Q272,0)))))</f>
        <v>0</v>
      </c>
      <c r="Q272" s="407">
        <f>IF(Q$5=$H272,-$E272,0)</f>
        <v>0</v>
      </c>
      <c r="R272" s="404">
        <f>IF(V272=0,0,IF(V272&lt;0,IF($J272=3,V272,IF($J272=2,V272,IF($J272=1,V272,0)))))</f>
        <v>0</v>
      </c>
      <c r="S272" s="414">
        <f>IF(V272=0,0,IF(V272&lt;0,IF($J272=6,V272,IF($J272=5,V272,IF($J272=4,V272,0)))))</f>
        <v>0</v>
      </c>
      <c r="T272" s="414">
        <f>IF(V272=0,0,IF(V272&lt;0,IF($J272=9,V272,IF($J272=8,V272,IF($J272=7,V272,0)))))</f>
        <v>0</v>
      </c>
      <c r="U272" s="406">
        <f>IF(V272=0,0,IF(V272&lt;0,IF($J272=12,V272,IF($J272=11,V272,IF($J272=10,V272,0)))))</f>
        <v>0</v>
      </c>
      <c r="V272" s="407">
        <f>IF(V$5=$H272,-$E272,0)</f>
        <v>0</v>
      </c>
      <c r="W272" s="404">
        <f>IF(AA272=0,0,IF(AA272&lt;0,IF($J272=3,AA272,IF($J272=2,AA272,IF($J272=1,AA272,0)))))</f>
        <v>0</v>
      </c>
      <c r="X272" s="414">
        <f>IF(AA272=0,0,IF(AA272&lt;0,IF($J272=6,AA272,IF($J272=5,AA272,IF($J272=4,AA272,0)))))</f>
        <v>0</v>
      </c>
      <c r="Y272" s="414">
        <f>IF(AA272=0,0,IF(AA272&lt;0,IF($J272=9,AA272,IF($J272=8,AA272,IF($J272=7,AA272,0)))))</f>
        <v>0</v>
      </c>
      <c r="Z272" s="406">
        <f>IF(AA272=0,0,IF(AA272&lt;0,IF($J272=12,AA272,IF($J272=11,AA272,IF($J272=10,AA272,0)))))</f>
        <v>0</v>
      </c>
      <c r="AA272" s="407">
        <f>IF(AA$5=$H272,-$E272,0)</f>
        <v>0</v>
      </c>
      <c r="AB272" s="404">
        <f>IF(AF272=0,0,IF(AF272&lt;0,IF($J272=3,AF272,IF($J272=2,AF272,IF($J272=1,AF272,0)))))</f>
        <v>0</v>
      </c>
      <c r="AC272" s="414">
        <f>IF(AF272=0,0,IF(AF272&lt;0,IF($J272=6,AF272,IF($J272=5,AF272,IF($J272=4,AF272,0)))))</f>
        <v>0</v>
      </c>
      <c r="AD272" s="414">
        <f>IF(AF272=0,0,IF(AF272&lt;0,IF($J272=9,AF272,IF($J272=8,AF272,IF($J272=7,AF272,0)))))</f>
        <v>0</v>
      </c>
      <c r="AE272" s="406">
        <f>IF(AF272=0,0,IF(AF272&lt;0,IF($J272=12,AF272,IF($J272=11,AF272,IF($J272=10,AF272,0)))))</f>
        <v>0</v>
      </c>
      <c r="AF272" s="407">
        <f>IF(AF$5=$H272,-$E272,0)</f>
        <v>0</v>
      </c>
      <c r="AG272" s="404">
        <f>IF(AK272=0,0,IF(AK272&lt;0,IF($J272=3,AK272,IF($J272=2,AK272,IF($J272=1,AK272,0)))))</f>
        <v>0</v>
      </c>
      <c r="AH272" s="414">
        <f>IF(AK272=0,0,IF(AK272&lt;0,IF($J272=6,AK272,IF($J272=5,AK272,IF($J272=4,AK272,0)))))</f>
        <v>0</v>
      </c>
      <c r="AI272" s="414">
        <f>IF(AK272=0,0,IF(AK272&lt;0,IF($J272=9,AK272,IF($J272=8,AK272,IF($J272=7,AK272,0)))))</f>
        <v>0</v>
      </c>
      <c r="AJ272" s="406">
        <f>IF(AK272=0,0,IF(AK272&lt;0,IF($J272=12,AK272,IF($J272=11,AK272,IF($J272=10,AK272,0)))))</f>
        <v>0</v>
      </c>
      <c r="AK272" s="407">
        <f>IF(AK$5=$H272,-$E272,0)</f>
        <v>0</v>
      </c>
      <c r="AL272" s="404">
        <f>IF(AP272=0,0,IF(AP272&lt;0,IF($J272=3,AP272,IF($J272=2,AP272,IF($J272=1,AP272,0)))))</f>
        <v>0</v>
      </c>
      <c r="AM272" s="414">
        <f>IF(AP272=0,0,IF(AP272&lt;0,IF($J272=6,AP272,IF($J272=5,AP272,IF($J272=4,AP272,0)))))</f>
        <v>0</v>
      </c>
      <c r="AN272" s="414">
        <f>IF(AP272=0,0,IF(AP272&lt;0,IF($J272=9,AP272,IF($J272=8,AP272,IF($J272=7,AP272,0)))))</f>
        <v>0</v>
      </c>
      <c r="AO272" s="406">
        <f>IF(AP272=0,0,IF(AP272&lt;0,IF($J272=12,AP272,IF($J272=11,AP272,IF($J272=10,AP272,0)))))</f>
        <v>0</v>
      </c>
      <c r="AP272" s="407">
        <f>IF(AP$5=$H272,-$E272,0)</f>
        <v>0</v>
      </c>
      <c r="AQ272" s="404">
        <f>IF(AU272=0,0,IF(AU272&lt;0,IF($J272=3,AU272,IF($J272=2,AU272,IF($J272=1,AU272,0)))))</f>
        <v>0</v>
      </c>
      <c r="AR272" s="414">
        <f t="shared" si="2169"/>
        <v>0</v>
      </c>
      <c r="AS272" s="414">
        <f>IF(AU272=0,0,IF(AU272&lt;0,IF($J272=9,AU272,IF($J272=8,AU272,IF($J272=7,AU272,0)))))</f>
        <v>0</v>
      </c>
      <c r="AT272" s="406">
        <f>IF(AU272=0,0,IF(AU272&lt;0,IF($J272=12,AU272,IF($J272=11,AU272,IF($J272=10,AU272,0)))))</f>
        <v>0</v>
      </c>
      <c r="AU272" s="407">
        <f>IF(AU$5=$H272,-$E272,0)</f>
        <v>0</v>
      </c>
      <c r="AV272" s="404">
        <f>IF(AZ272=0,0,IF(AZ272&lt;0,IF($J272=3,AZ272,IF($J272=2,AZ272,IF($J272=1,AZ272,0)))))</f>
        <v>0</v>
      </c>
      <c r="AW272" s="414">
        <f>IF(AZ272=0,0,IF(AZ272&lt;0,IF($J272=6,AZ272,IF($J272=5,AZ272,IF($J272=4,AZ272,0)))))</f>
        <v>0</v>
      </c>
      <c r="AX272" s="414">
        <f>IF(AZ272=0,0,IF(AZ272&lt;0,IF($J272=9,AZ272,IF($J272=8,AZ272,IF($J272=7,AZ272,0)))))</f>
        <v>0</v>
      </c>
      <c r="AY272" s="406">
        <f>IF(AZ272=0,0,IF(AZ272&lt;0,IF($J272=12,AZ272,IF($J272=11,AZ272,IF($J272=10,AZ272,0)))))</f>
        <v>0</v>
      </c>
      <c r="AZ272" s="407">
        <f>IF(AZ$5=$H272,-$E272,0)</f>
        <v>0</v>
      </c>
      <c r="BA272" s="404">
        <f>IF(BE272=0,0,IF(BE272&lt;0,IF($J272=3,BE272,IF($J272=2,BE272,IF($J272=1,BE272,0)))))</f>
        <v>0</v>
      </c>
      <c r="BB272" s="414">
        <f>IF(BE272=0,0,IF(BE272&lt;0,IF($J272=6,BE272,IF($J272=5,BE272,IF($J272=4,BE272,0)))))</f>
        <v>0</v>
      </c>
      <c r="BC272" s="414">
        <f>IF(BE272=0,0,IF(BE272&lt;0,IF($J272=9,BE272,IF($J272=8,BE272,IF($J272=7,BE272,0)))))</f>
        <v>0</v>
      </c>
      <c r="BD272" s="406">
        <f>IF(BE272=0,0,IF(BE272&lt;0,IF($J272=12,BE272,IF($J272=11,BE272,IF($J272=10,BE272,0)))))</f>
        <v>0</v>
      </c>
      <c r="BE272" s="407">
        <f>IF(BE$5=$H272,-$E272,0)</f>
        <v>0</v>
      </c>
      <c r="BF272" s="404">
        <f>IF(BJ272=0,0,IF(BJ272&lt;0,IF($J272=3,BJ272,IF($J272=2,BJ272,IF($J272=1,BJ272,0)))))</f>
        <v>0</v>
      </c>
      <c r="BG272" s="414">
        <f>IF(BJ272=0,0,IF(BJ272&lt;0,IF($J272=6,BJ272,IF($J272=5,BJ272,IF($J272=4,BJ272,0)))))</f>
        <v>0</v>
      </c>
      <c r="BH272" s="414">
        <f>IF(BJ272=0,0,IF(BJ272&lt;0,IF($J272=9,BJ272,IF($J272=8,BJ272,IF($J272=7,BJ272,0)))))</f>
        <v>0</v>
      </c>
      <c r="BI272" s="406">
        <f>IF(BJ272=0,0,IF(BJ272&lt;0,IF($J272=12,BJ272,IF($J272=11,BJ272,IF($J272=10,BJ272,0)))))</f>
        <v>0</v>
      </c>
      <c r="BJ272" s="407">
        <f>IF(BJ$5=$H272,-$E272,0)</f>
        <v>0</v>
      </c>
      <c r="BK272" s="404">
        <f>IF(BO272=0,0,IF(BO272&lt;0,IF($J272=3,BO272,IF($J272=2,BO272,IF($J272=1,BO272,0)))))</f>
        <v>0</v>
      </c>
      <c r="BL272" s="414">
        <f>IF(BO272=0,0,IF(BO272&lt;0,IF($J272=6,BO272,IF($J272=5,BO272,IF($J272=4,BO272,0)))))</f>
        <v>0</v>
      </c>
      <c r="BM272" s="414">
        <f>IF(BO272=0,0,IF(BO272&lt;0,IF($J272=9,BO272,IF($J272=8,BO272,IF($J272=7,BO272,0)))))</f>
        <v>0</v>
      </c>
      <c r="BN272" s="406">
        <f>IF(BO272=0,0,IF(BO272&lt;0,IF($J272=12,BO272,IF($J272=11,BO272,IF($J272=10,BO272,0)))))</f>
        <v>0</v>
      </c>
      <c r="BO272" s="407">
        <f>IF(BO$5=$H272,-$E272,0)</f>
        <v>0</v>
      </c>
      <c r="BP272" s="449"/>
      <c r="BQ272" s="413">
        <f>IF(AND(AH272&lt;&gt;0,AH$5=$H272),-$I272*$E272-AH272,IF(BQ$5=$H272,-$I272*$E272*(12-$J272+1)/12,0))</f>
        <v>0</v>
      </c>
      <c r="BR272" s="410">
        <f>IF($H272&lt;&gt;BV$5,0,IF(BV272&lt;0,IF($J272=1,-$E272*$I272/12*3,IF($J272=2,-$E272*$I272/12*2,IF($J272=3,-$E272*$I272/12*1,0)))))+IF(BQ$5&lt;&gt;$H272,0,IF(BQ272&lt;0,IF($J272=1,-$E272*$I272/12*0,IF($J272=2,-$E272*$I272/12*1,IF($J272=3,-$E272*$I272/12*2,IF($J272&gt;=4,-$E272*$I272/12*3,0))))))</f>
        <v>0</v>
      </c>
      <c r="BS272" s="416">
        <f>IF($H272&lt;&gt;BV$5,0,IF(BV272&lt;0,IF(OR($J272=1,$J272=2,$J272=3,$J272=4),-$E272*$I272/12*3,IF($J272=5,-$E272*$I272/12*2,IF($J272=6,-$E272*$I272/12*1,0)))))+IF(BQ$5&lt;&gt;$H272,0,IF(BQ272&lt;0,IF($J272=4,-$E272*$I272/12*0,IF($J272=5,-$E272*$I272/12*1,IF($J272=6,-$E272*$I272/12*2,IF($J272&gt;=7,-$E272*$I272/12*3,0))))))</f>
        <v>0</v>
      </c>
      <c r="BT272" s="416">
        <f>IF($H272&lt;&gt;BV$5,0,IF(BV272&lt;0,IF(OR($J272=1,$J272=2,$J272=3,$J272=4,$J272=5,$J272=6,$J272=7),-$E272*$I272/12*3,IF($J272=8,-$E272*$I272/12*2,IF($J272=9,-$E272*$I272/12*1,0)))))+IF(BQ$5&lt;&gt;$H272,0,IF(BQ272&lt;0,IF($J272=7,-$E272*$I272/12*0,IF($J272=8,-$E272*$I272/12*1,IF($J272=9,-$E272*$I272/12*2,IF($J272&gt;=10,-$E272*$I272/12*3,0))))))</f>
        <v>0</v>
      </c>
      <c r="BU272" s="412">
        <f>IF($H272&lt;&gt;BV$5,0,IF(BV272&lt;0,IF(OR($J272=1,$J272=2,$J272=3,$J272=4,$J272=5,$J272=6,$J272=7,$J272=8,$J272=9,$J272=10),-$E272*$I272/12*3,IF($J272=11,-$E272*$I272/12*2,IF($J272=12,-$E272*$I272/12*1,0)))))+IF(BQ$5&lt;&gt;$H272,0,IF(BQ272&lt;0,IF($J272=10,-$E272*$I272/12*0,IF($J272=11,-$E272*$I272/12*1,IF($J272=12,-$E272*$I272/12*2,0)))))</f>
        <v>0</v>
      </c>
      <c r="BV272" s="413">
        <f>IF(AND(BQ272&lt;&gt;0,BQ$5=$H272),-$I272*$E272-BQ272,IF(BV$5=$H272,-$I272*$E272*(12-$J272+1)/12,0))</f>
        <v>0</v>
      </c>
      <c r="BW272" s="410">
        <f>IF($H272&lt;&gt;CA$5,0,IF(CA272&lt;0,IF($J272=1,-$E272*$I272/12*3,IF($J272=2,-$E272*$I272/12*2,IF($J272=3,-$E272*$I272/12*1,0)))))+IF(BV$5&lt;&gt;$H272,0,IF(BV272&lt;0,IF($J272=1,-$E272*$I272/12*0,IF($J272=2,-$E272*$I272/12*1,IF($J272=3,-$E272*$I272/12*2,IF($J272&gt;=4,-$E272*$I272/12*3,0))))))</f>
        <v>0</v>
      </c>
      <c r="BX272" s="416">
        <f>IF($H272&lt;&gt;CA$5,0,IF(CA272&lt;0,IF(OR($J272=1,$J272=2,$J272=3,$J272=4),-$E272*$I272/12*3,IF($J272=5,-$E272*$I272/12*2,IF($J272=6,-$E272*$I272/12*1,0)))))+IF(BV$5&lt;&gt;$H272,0,IF(BV272&lt;0,IF($J272=4,-$E272*$I272/12*0,IF($J272=5,-$E272*$I272/12*1,IF($J272=6,-$E272*$I272/12*2,IF($J272&gt;=7,-$E272*$I272/12*3,0))))))</f>
        <v>0</v>
      </c>
      <c r="BY272" s="416">
        <f>IF($H272&lt;&gt;CA$5,0,IF(CA272&lt;0,IF(OR($J272=1,$J272=2,$J272=3,$J272=4,$J272=5,$J272=6,$J272=7),-$E272*$I272/12*3,IF($J272=8,-$E272*$I272/12*2,IF($J272=9,-$E272*$I272/12*1,0)))))+IF(BV$5&lt;&gt;$H272,0,IF(BV272&lt;0,IF($J272=7,-$E272*$I272/12*0,IF($J272=8,-$E272*$I272/12*1,IF($J272=9,-$E272*$I272/12*2,IF($J272&gt;=10,-$E272*$I272/12*3,0))))))</f>
        <v>0</v>
      </c>
      <c r="BZ272" s="412">
        <f>IF($H272&lt;&gt;CA$5,0,IF(CA272&lt;0,IF(OR($J272=1,$J272=2,$J272=3,$J272=4,$J272=5,$J272=6,$J272=7,$J272=8,$J272=9,$J272=10),-$E272*$I272/12*3,IF($J272=11,-$E272*$I272/12*2,IF($J272=12,-$E272*$I272/12*1,0)))))+IF(BV$5&lt;&gt;$H272,0,IF(BV272&lt;0,IF($J272=10,-$E272*$I272/12*0,IF($J272=11,-$E272*$I272/12*1,IF($J272=12,-$E272*$I272/12*2,0)))))</f>
        <v>0</v>
      </c>
      <c r="CA272" s="413">
        <f>IF(AND(BV272&lt;&gt;0,BV$5=$H272),-$I272*$E272-BV272,IF(CA$5=$H272,-$I272*$E272*(12-$J272+1)/12,0))</f>
        <v>0</v>
      </c>
      <c r="CB272" s="410">
        <f>IF($H272&lt;&gt;CF$5,0,IF(CF272&lt;0,IF($J272=1,-$E272*$I272/12*3,IF($J272=2,-$E272*$I272/12*2,IF($J272=3,-$E272*$I272/12*1,0)))))+IF(CA$5&lt;&gt;$H272,0,IF(CA272&lt;0,IF($J272=1,-$E272*$I272/12*0,IF($J272=2,-$E272*$I272/12*1,IF($J272=3,-$E272*$I272/12*2,IF($J272&gt;=4,-$E272*$I272/12*3,0))))))</f>
        <v>0</v>
      </c>
      <c r="CC272" s="416">
        <f>IF($H272&lt;&gt;CF$5,0,IF(CF272&lt;0,IF(OR($J272=1,$J272=2,$J272=3,$J272=4),-$E272*$I272/12*3,IF($J272=5,-$E272*$I272/12*2,IF($J272=6,-$E272*$I272/12*1,0)))))+IF(CA$5&lt;&gt;$H272,0,IF(CA272&lt;0,IF($J272=4,-$E272*$I272/12*0,IF($J272=5,-$E272*$I272/12*1,IF($J272=6,-$E272*$I272/12*2,IF($J272&gt;=7,-$E272*$I272/12*3,0))))))</f>
        <v>0</v>
      </c>
      <c r="CD272" s="416">
        <f>IF($H272&lt;&gt;CF$5,0,IF(CF272&lt;0,IF(OR($J272=1,$J272=2,$J272=3,$J272=4,$J272=5,$J272=6,$J272=7),-$E272*$I272/12*3,IF($J272=8,-$E272*$I272/12*2,IF($J272=9,-$E272*$I272/12*1,0)))))+IF(CA$5&lt;&gt;$H272,0,IF(CA272&lt;0,IF($J272=7,-$E272*$I272/12*0,IF($J272=8,-$E272*$I272/12*1,IF($J272=9,-$E272*$I272/12*2,IF($J272&gt;=10,-$E272*$I272/12*3,0))))))</f>
        <v>0</v>
      </c>
      <c r="CE272" s="412">
        <f>IF($H272&lt;&gt;CF$5,0,IF(CF272&lt;0,IF(OR($J272=1,$J272=2,$J272=3,$J272=4,$J272=5,$J272=6,$J272=7,$J272=8,$J272=9,$J272=10),-$E272*$I272/12*3,IF($J272=11,-$E272*$I272/12*2,IF($J272=12,-$E272*$I272/12*1,0)))))+IF(CA$5&lt;&gt;$H272,0,IF(CA272&lt;0,IF($J272=10,-$E272*$I272/12*0,IF($J272=11,-$E272*$I272/12*1,IF($J272=12,-$E272*$I272/12*2,0)))))</f>
        <v>0</v>
      </c>
      <c r="CF272" s="413">
        <f>IF(AND(CA272&lt;&gt;0,CA$5=$H272),-$I272*$E272-CA272,IF(CF$5=$H272,-$I272*$E272*(12-$J272+1)/12,0))</f>
        <v>0</v>
      </c>
      <c r="CG272" s="410">
        <f>IF($H272&lt;&gt;CK$5,0,IF(CK272&lt;0,IF($J272=1,-$E272*$I272/12*3,IF($J272=2,-$E272*$I272/12*2,IF($J272=3,-$E272*$I272/12*1,0)))))+IF(CF$5&lt;&gt;$H272,0,IF(CF272&lt;0,IF($J272=1,-$E272*$I272/12*0,IF($J272=2,-$E272*$I272/12*1,IF($J272=3,-$E272*$I272/12*2,IF($J272&gt;=4,-$E272*$I272/12*3,0))))))</f>
        <v>0</v>
      </c>
      <c r="CH272" s="416">
        <f>IF($H272&lt;&gt;CK$5,0,IF(CK272&lt;0,IF(OR($J272=1,$J272=2,$J272=3,$J272=4),-$E272*$I272/12*3,IF($J272=5,-$E272*$I272/12*2,IF($J272=6,-$E272*$I272/12*1,0)))))+IF(CF$5&lt;&gt;$H272,0,IF(CF272&lt;0,IF($J272=4,-$E272*$I272/12*0,IF($J272=5,-$E272*$I272/12*1,IF($J272=6,-$E272*$I272/12*2,IF($J272&gt;=7,-$E272*$I272/12*3,0))))))</f>
        <v>0</v>
      </c>
      <c r="CI272" s="416">
        <f>IF($H272&lt;&gt;CK$5,0,IF(CK272&lt;0,IF(OR($J272=1,$J272=2,$J272=3,$J272=4,$J272=5,$J272=6,$J272=7),-$E272*$I272/12*3,IF($J272=8,-$E272*$I272/12*2,IF($J272=9,-$E272*$I272/12*1,0)))))+IF(CF$5&lt;&gt;$H272,0,IF(CF272&lt;0,IF($J272=7,-$E272*$I272/12*0,IF($J272=8,-$E272*$I272/12*1,IF($J272=9,-$E272*$I272/12*2,IF($J272&gt;=10,-$E272*$I272/12*3,0))))))</f>
        <v>0</v>
      </c>
      <c r="CJ272" s="412">
        <f>IF($H272&lt;&gt;CK$5,0,IF(CK272&lt;0,IF(OR($J272=1,$J272=2,$J272=3,$J272=4,$J272=5,$J272=6,$J272=7,$J272=8,$J272=9,$J272=10),-$E272*$I272/12*3,IF($J272=11,-$E272*$I272/12*2,IF($J272=12,-$E272*$I272/12*1,0)))))+IF(CF$5&lt;&gt;$H272,0,IF(CF272&lt;0,IF($J272=10,-$E272*$I272/12*0,IF($J272=11,-$E272*$I272/12*1,IF($J272=12,-$E272*$I272/12*2,0)))))</f>
        <v>0</v>
      </c>
      <c r="CK272" s="413">
        <f>IF(AND(CF272&lt;&gt;0,CF$5=$H272),-$I272*$E272-CF272,IF(CK$5=$H272,-$I272*$E272*(12-$J272+1)/12,0))</f>
        <v>0</v>
      </c>
      <c r="CL272" s="410">
        <f>IF($H272&lt;&gt;CP$5,0,IF(CP272&lt;0,IF($J272=1,-$E272*$I272/12*3,IF($J272=2,-$E272*$I272/12*2,IF($J272=3,-$E272*$I272/12*1,0)))))+IF(CK$5&lt;&gt;$H272,0,IF(CK272&lt;0,IF($J272=1,-$E272*$I272/12*0,IF($J272=2,-$E272*$I272/12*1,IF($J272=3,-$E272*$I272/12*2,IF($J272&gt;=4,-$E272*$I272/12*3,0))))))</f>
        <v>0</v>
      </c>
      <c r="CM272" s="416">
        <f>IF($H272&lt;&gt;CP$5,0,IF(CP272&lt;0,IF(OR($J272=1,$J272=2,$J272=3,$J272=4),-$E272*$I272/12*3,IF($J272=5,-$E272*$I272/12*2,IF($J272=6,-$E272*$I272/12*1,0)))))+IF(CK$5&lt;&gt;$H272,0,IF(CK272&lt;0,IF($J272=4,-$E272*$I272/12*0,IF($J272=5,-$E272*$I272/12*1,IF($J272=6,-$E272*$I272/12*2,IF($J272&gt;=7,-$E272*$I272/12*3,0))))))</f>
        <v>0</v>
      </c>
      <c r="CN272" s="416">
        <f>IF($H272&lt;&gt;CP$5,0,IF(CP272&lt;0,IF(OR($J272=1,$J272=2,$J272=3,$J272=4,$J272=5,$J272=6,$J272=7),-$E272*$I272/12*3,IF($J272=8,-$E272*$I272/12*2,IF($J272=9,-$E272*$I272/12*1,0)))))+IF(CK$5&lt;&gt;$H272,0,IF(CK272&lt;0,IF($J272=7,-$E272*$I272/12*0,IF($J272=8,-$E272*$I272/12*1,IF($J272=9,-$E272*$I272/12*2,IF($J272&gt;=10,-$E272*$I272/12*3,0))))))</f>
        <v>0</v>
      </c>
      <c r="CO272" s="412">
        <f>IF($H272&lt;&gt;CP$5,0,IF(CP272&lt;0,IF(OR($J272=1,$J272=2,$J272=3,$J272=4,$J272=5,$J272=6,$J272=7,$J272=8,$J272=9,$J272=10),-$E272*$I272/12*3,IF($J272=11,-$E272*$I272/12*2,IF($J272=12,-$E272*$I272/12*1,0)))))+IF(CK$5&lt;&gt;$H272,0,IF(CK272&lt;0,IF($J272=10,-$E272*$I272/12*0,IF($J272=11,-$E272*$I272/12*1,IF($J272=12,-$E272*$I272/12*2,0)))))</f>
        <v>0</v>
      </c>
      <c r="CP272" s="413">
        <f>IF(AND(CK272&lt;&gt;0,CK$5=$H272),-$I272*$E272-CK272,IF(CP$5=$H272,-$I272*$E272*(12-$J272+1)/12,0))</f>
        <v>0</v>
      </c>
      <c r="CQ272" s="410">
        <f>IF($H272&lt;&gt;CU$5,0,IF(CU272&lt;0,IF($J272=1,-$E272*$I272/12*3,IF($J272=2,-$E272*$I272/12*2,IF($J272=3,-$E272*$I272/12*1,0)))))+IF(CP$5&lt;&gt;$H272,0,IF(CP272&lt;0,IF($J272=1,-$E272*$I272/12*0,IF($J272=2,-$E272*$I272/12*1,IF($J272=3,-$E272*$I272/12*2,IF($J272&gt;=4,-$E272*$I272/12*3,0))))))</f>
        <v>0</v>
      </c>
      <c r="CR272" s="416">
        <f>IF($H272&lt;&gt;CU$5,0,IF(CU272&lt;0,IF(OR($J272=1,$J272=2,$J272=3,$J272=4),-$E272*$I272/12*3,IF($J272=5,-$E272*$I272/12*2,IF($J272=6,-$E272*$I272/12*1,0)))))+IF(CP$5&lt;&gt;$H272,0,IF(CP272&lt;0,IF($J272=4,-$E272*$I272/12*0,IF($J272=5,-$E272*$I272/12*1,IF($J272=6,-$E272*$I272/12*2,IF($J272&gt;=7,-$E272*$I272/12*3,0))))))</f>
        <v>0</v>
      </c>
      <c r="CS272" s="416">
        <f>IF($H272&lt;&gt;CU$5,0,IF(CU272&lt;0,IF(OR($J272=1,$J272=2,$J272=3,$J272=4,$J272=5,$J272=6,$J272=7),-$E272*$I272/12*3,IF($J272=8,-$E272*$I272/12*2,IF($J272=9,-$E272*$I272/12*1,0)))))+IF(CP$5&lt;&gt;$H272,0,IF(CP272&lt;0,IF($J272=7,-$E272*$I272/12*0,IF($J272=8,-$E272*$I272/12*1,IF($J272=9,-$E272*$I272/12*2,IF($J272&gt;=10,-$E272*$I272/12*3,0))))))</f>
        <v>0</v>
      </c>
      <c r="CT272" s="412">
        <f>IF($H272&lt;&gt;CU$5,0,IF(CU272&lt;0,IF(OR($J272=1,$J272=2,$J272=3,$J272=4,$J272=5,$J272=6,$J272=7,$J272=8,$J272=9,$J272=10),-$E272*$I272/12*3,IF($J272=11,-$E272*$I272/12*2,IF($J272=12,-$E272*$I272/12*1,0)))))+IF(CP$5&lt;&gt;$H272,0,IF(CP272&lt;0,IF($J272=10,-$E272*$I272/12*0,IF($J272=11,-$E272*$I272/12*1,IF($J272=12,-$E272*$I272/12*2,0)))))</f>
        <v>0</v>
      </c>
      <c r="CU272" s="413">
        <f>IF(AND(CP272&lt;&gt;0,CP$5=$H272),-$I272*$E272-CP272,IF(CU$5=$H272,-$I272*$E272*(12-$J272+1)/12,0))</f>
        <v>0</v>
      </c>
      <c r="CV272" s="410">
        <f>IF($H272&lt;&gt;CZ$5,0,IF(CZ272&lt;0,IF($J272=1,-$E272*$I272/12*3,IF($J272=2,-$E272*$I272/12*2,IF($J272=3,-$E272*$I272/12*1,0)))))+IF(CU$5&lt;&gt;$H272,0,IF(CU272&lt;0,IF($J272=1,-$E272*$I272/12*0,IF($J272=2,-$E272*$I272/12*1,IF($J272=3,-$E272*$I272/12*2,IF($J272&gt;=4,-$E272*$I272/12*3,0))))))</f>
        <v>0</v>
      </c>
      <c r="CW272" s="416">
        <f>IF($H272&lt;&gt;CZ$5,0,IF(CZ272&lt;0,IF(OR($J272=1,$J272=2,$J272=3,$J272=4),-$E272*$I272/12*3,IF($J272=5,-$E272*$I272/12*2,IF($J272=6,-$E272*$I272/12*1,0)))))+IF(CU$5&lt;&gt;$H272,0,IF(CU272&lt;0,IF($J272=4,-$E272*$I272/12*0,IF($J272=5,-$E272*$I272/12*1,IF($J272=6,-$E272*$I272/12*2,IF($J272&gt;=7,-$E272*$I272/12*3,0))))))</f>
        <v>0</v>
      </c>
      <c r="CX272" s="416">
        <f>IF($H272&lt;&gt;CZ$5,0,IF(CZ272&lt;0,IF(OR($J272=1,$J272=2,$J272=3,$J272=4,$J272=5,$J272=6,$J272=7),-$E272*$I272/12*3,IF($J272=8,-$E272*$I272/12*2,IF($J272=9,-$E272*$I272/12*1,0)))))+IF(CU$5&lt;&gt;$H272,0,IF(CU272&lt;0,IF($J272=7,-$E272*$I272/12*0,IF($J272=8,-$E272*$I272/12*1,IF($J272=9,-$E272*$I272/12*2,IF($J272&gt;=10,-$E272*$I272/12*3,0))))))</f>
        <v>0</v>
      </c>
      <c r="CY272" s="412">
        <f>IF($H272&lt;&gt;CZ$5,0,IF(CZ272&lt;0,IF(OR($J272=1,$J272=2,$J272=3,$J272=4,$J272=5,$J272=6,$J272=7,$J272=8,$J272=9,$J272=10),-$E272*$I272/12*3,IF($J272=11,-$E272*$I272/12*2,IF($J272=12,-$E272*$I272/12*1,0)))))+IF(CU$5&lt;&gt;$H272,0,IF(CU272&lt;0,IF($J272=10,-$E272*$I272/12*0,IF($J272=11,-$E272*$I272/12*1,IF($J272=12,-$E272*$I272/12*2,0)))))</f>
        <v>0</v>
      </c>
      <c r="CZ272" s="413">
        <f>IF(AND(CU272&lt;&gt;0,CU$5=$H272),-$I272*$E272-CU272,IF(CZ$5=$H272,-$I272*$E272*(12-$J272+1)/12,0))</f>
        <v>0</v>
      </c>
      <c r="DA272" s="410">
        <f>IF($H272&lt;&gt;DE$5,0,IF(DE272&lt;0,IF($J272=1,-$E272*$I272/12*3,IF($J272=2,-$E272*$I272/12*2,IF($J272=3,-$E272*$I272/12*1,0)))))+IF(CZ$5&lt;&gt;$H272,0,IF(CZ272&lt;0,IF($J272=1,-$E272*$I272/12*0,IF($J272=2,-$E272*$I272/12*1,IF($J272=3,-$E272*$I272/12*2,IF($J272&gt;=4,-$E272*$I272/12*3,0))))))</f>
        <v>0</v>
      </c>
      <c r="DB272" s="416">
        <f>IF($H272&lt;&gt;DE$5,0,IF(DE272&lt;0,IF(OR($J272=1,$J272=2,$J272=3,$J272=4),-$E272*$I272/12*3,IF($J272=5,-$E272*$I272/12*2,IF($J272=6,-$E272*$I272/12*1,0)))))+IF(CZ$5&lt;&gt;$H272,0,IF(CZ272&lt;0,IF($J272=4,-$E272*$I272/12*0,IF($J272=5,-$E272*$I272/12*1,IF($J272=6,-$E272*$I272/12*2,IF($J272&gt;=7,-$E272*$I272/12*3,0))))))</f>
        <v>0</v>
      </c>
      <c r="DC272" s="416">
        <f>IF($H272&lt;&gt;DE$5,0,IF(DE272&lt;0,IF(OR($J272=1,$J272=2,$J272=3,$J272=4,$J272=5,$J272=6,$J272=7),-$E272*$I272/12*3,IF($J272=8,-$E272*$I272/12*2,IF($J272=9,-$E272*$I272/12*1,0)))))+IF(CZ$5&lt;&gt;$H272,0,IF(CZ272&lt;0,IF($J272=7,-$E272*$I272/12*0,IF($J272=8,-$E272*$I272/12*1,IF($J272=9,-$E272*$I272/12*2,IF($J272&gt;=10,-$E272*$I272/12*3,0))))))</f>
        <v>0</v>
      </c>
      <c r="DD272" s="412">
        <f>IF($H272&lt;&gt;DE$5,0,IF(DE272&lt;0,IF(OR($J272=1,$J272=2,$J272=3,$J272=4,$J272=5,$J272=6,$J272=7,$J272=8,$J272=9,$J272=10),-$E272*$I272/12*3,IF($J272=11,-$E272*$I272/12*2,IF($J272=12,-$E272*$I272/12*1,0)))))+IF(CZ$5&lt;&gt;$H272,0,IF(CZ272&lt;0,IF($J272=10,-$E272*$I272/12*0,IF($J272=11,-$E272*$I272/12*1,IF($J272=12,-$E272*$I272/12*2,0)))))</f>
        <v>0</v>
      </c>
      <c r="DE272" s="413">
        <f>IF(AND(CZ272&lt;&gt;0,CZ$5=$H272),-$I272*$E272-CZ272,IF(DE$5=$H272,-$I272*$E272*(12-$J272+1)/12,0))</f>
        <v>0</v>
      </c>
      <c r="DF272" s="410">
        <f>IF($H272&lt;&gt;DJ$5,0,IF(DJ272&lt;0,IF($J272=1,-$E272*$I272/12*3,IF($J272=2,-$E272*$I272/12*2,IF($J272=3,-$E272*$I272/12*1,0)))))+IF(DE$5&lt;&gt;$H272,0,IF(DE272&lt;0,IF($J272=1,-$E272*$I272/12*0,IF($J272=2,-$E272*$I272/12*1,IF($J272=3,-$E272*$I272/12*2,IF($J272&gt;=4,-$E272*$I272/12*3,0))))))</f>
        <v>0</v>
      </c>
      <c r="DG272" s="416">
        <f>IF($H272&lt;&gt;DJ$5,0,IF(DJ272&lt;0,IF(OR($J272=1,$J272=2,$J272=3,$J272=4),-$E272*$I272/12*3,IF($J272=5,-$E272*$I272/12*2,IF($J272=6,-$E272*$I272/12*1,0)))))+IF(DE$5&lt;&gt;$H272,0,IF(DE272&lt;0,IF($J272=4,-$E272*$I272/12*0,IF($J272=5,-$E272*$I272/12*1,IF($J272=6,-$E272*$I272/12*2,IF($J272&gt;=7,-$E272*$I272/12*3,0))))))</f>
        <v>0</v>
      </c>
      <c r="DH272" s="416">
        <f>IF($H272&lt;&gt;DJ$5,0,IF(DJ272&lt;0,IF(OR($J272=1,$J272=2,$J272=3,$J272=4,$J272=5,$J272=6,$J272=7),-$E272*$I272/12*3,IF($J272=8,-$E272*$I272/12*2,IF($J272=9,-$E272*$I272/12*1,0)))))+IF(DE$5&lt;&gt;$H272,0,IF(DE272&lt;0,IF($J272=7,-$E272*$I272/12*0,IF($J272=8,-$E272*$I272/12*1,IF($J272=9,-$E272*$I272/12*2,IF($J272&gt;=10,-$E272*$I272/12*3,0))))))</f>
        <v>0</v>
      </c>
      <c r="DI272" s="412">
        <f>IF($H272&lt;&gt;DJ$5,0,IF(DJ272&lt;0,IF(OR($J272=1,$J272=2,$J272=3,$J272=4,$J272=5,$J272=6,$J272=7,$J272=8,$J272=9,$J272=10),-$E272*$I272/12*3,IF($J272=11,-$E272*$I272/12*2,IF($J272=12,-$E272*$I272/12*1,0)))))+IF(DE$5&lt;&gt;$H272,0,IF(DE272&lt;0,IF($J272=10,-$E272*$I272/12*0,IF($J272=11,-$E272*$I272/12*1,IF($J272=12,-$E272*$I272/12*2,0)))))</f>
        <v>0</v>
      </c>
      <c r="DJ272" s="413">
        <f>IF(AND(DE272&lt;&gt;0,DE$5=$H272),-$I272*$E272-DE272,IF(DJ$5=$H272,-$I272*$E272*(12-$J272+1)/12,0))</f>
        <v>0</v>
      </c>
      <c r="DK272" s="410">
        <f>IF($H272&lt;&gt;DO$5,0,IF(DO272&lt;0,IF($J272=1,-$E272*$I272/12*3,IF($J272=2,-$E272*$I272/12*2,IF($J272=3,-$E272*$I272/12*1,0)))))+IF(DJ$5&lt;&gt;$H272,0,IF(DJ272&lt;0,IF($J272=1,-$E272*$I272/12*0,IF($J272=2,-$E272*$I272/12*1,IF($J272=3,-$E272*$I272/12*2,IF($J272&gt;=4,-$E272*$I272/12*3,0))))))</f>
        <v>0</v>
      </c>
      <c r="DL272" s="416">
        <f>IF($H272&lt;&gt;DO$5,0,IF(DO272&lt;0,IF(OR($J272=1,$J272=2,$J272=3,$J272=4),-$E272*$I272/12*3,IF($J272=5,-$E272*$I272/12*2,IF($J272=6,-$E272*$I272/12*1,0)))))+IF(DJ$5&lt;&gt;$H272,0,IF(DJ272&lt;0,IF($J272=4,-$E272*$I272/12*0,IF($J272=5,-$E272*$I272/12*1,IF($J272=6,-$E272*$I272/12*2,IF($J272&gt;=7,-$E272*$I272/12*3,0))))))</f>
        <v>0</v>
      </c>
      <c r="DM272" s="416">
        <f>IF($H272&lt;&gt;DO$5,0,IF(DO272&lt;0,IF(OR($J272=1,$J272=2,$J272=3,$J272=4,$J272=5,$J272=6,$J272=7),-$E272*$I272/12*3,IF($J272=8,-$E272*$I272/12*2,IF($J272=9,-$E272*$I272/12*1,0)))))+IF(DJ$5&lt;&gt;$H272,0,IF(DJ272&lt;0,IF($J272=7,-$E272*$I272/12*0,IF($J272=8,-$E272*$I272/12*1,IF($J272=9,-$E272*$I272/12*2,IF($J272&gt;=10,-$E272*$I272/12*3,0))))))</f>
        <v>0</v>
      </c>
      <c r="DN272" s="412">
        <f>IF($H272&lt;&gt;DO$5,0,IF(DO272&lt;0,IF(OR($J272=1,$J272=2,$J272=3,$J272=4,$J272=5,$J272=6,$J272=7,$J272=8,$J272=9,$J272=10),-$E272*$I272/12*3,IF($J272=11,-$E272*$I272/12*2,IF($J272=12,-$E272*$I272/12*1,0)))))+IF(DJ$5&lt;&gt;$H272,0,IF(DJ272&lt;0,IF($J272=10,-$E272*$I272/12*0,IF($J272=11,-$E272*$I272/12*1,IF($J272=12,-$E272*$I272/12*2,0)))))</f>
        <v>0</v>
      </c>
      <c r="DO272" s="413">
        <f>IF(AND(DJ272&lt;&gt;0,DJ$5=$H272),-$I272*$E272-DJ272,IF(DO$5=$H272,-$I272*$E272*(12-$J272+1)/12,0))</f>
        <v>0</v>
      </c>
      <c r="DP272" s="410">
        <f>IF($H272&lt;&gt;DT$5,0,IF(DT272&lt;0,IF($J272=1,-$E272*$I272/12*3,IF($J272=2,-$E272*$I272/12*2,IF($J272=3,-$E272*$I272/12*1,0)))))+IF(DO$5&lt;&gt;$H272,0,IF(DO272&lt;0,IF($J272=1,-$E272*$I272/12*0,IF($J272=2,-$E272*$I272/12*1,IF($J272=3,-$E272*$I272/12*2,IF($J272&gt;=4,-$E272*$I272/12*3,0))))))</f>
        <v>0</v>
      </c>
      <c r="DQ272" s="416">
        <f>IF($H272&lt;&gt;DT$5,0,IF(DT272&lt;0,IF(OR($J272=1,$J272=2,$J272=3,$J272=4),-$E272*$I272/12*3,IF($J272=5,-$E272*$I272/12*2,IF($J272=6,-$E272*$I272/12*1,0)))))+IF(DO$5&lt;&gt;$H272,0,IF(DO272&lt;0,IF($J272=4,-$E272*$I272/12*0,IF($J272=5,-$E272*$I272/12*1,IF($J272=6,-$E272*$I272/12*2,IF($J272&gt;=7,-$E272*$I272/12*3,0))))))</f>
        <v>0</v>
      </c>
      <c r="DR272" s="416">
        <f>IF($H272&lt;&gt;DT$5,0,IF(DT272&lt;0,IF(OR($J272=1,$J272=2,$J272=3,$J272=4,$J272=5,$J272=6,$J272=7),-$E272*$I272/12*3,IF($J272=8,-$E272*$I272/12*2,IF($J272=9,-$E272*$I272/12*1,0)))))+IF(DO$5&lt;&gt;$H272,0,IF(DO272&lt;0,IF($J272=7,-$E272*$I272/12*0,IF($J272=8,-$E272*$I272/12*1,IF($J272=9,-$E272*$I272/12*2,IF($J272&gt;=10,-$E272*$I272/12*3,0))))))</f>
        <v>0</v>
      </c>
      <c r="DS272" s="412">
        <f>IF($H272&lt;&gt;DT$5,0,IF(DT272&lt;0,IF(OR($J272=1,$J272=2,$J272=3,$J272=4,$J272=5,$J272=6,$J272=7,$J272=8,$J272=9,$J272=10),-$E272*$I272/12*3,IF($J272=11,-$E272*$I272/12*2,IF($J272=12,-$E272*$I272/12*1,0)))))+IF(DO$5&lt;&gt;$H272,0,IF(DO272&lt;0,IF($J272=10,-$E272*$I272/12*0,IF($J272=11,-$E272*$I272/12*1,IF($J272=12,-$E272*$I272/12*2,0)))))</f>
        <v>0</v>
      </c>
      <c r="DT272" s="413">
        <f>IF(AND(DO272&lt;&gt;0,DO$5=$H272),-$I272*$E272-DO272,IF(DT$5=$H272,-$I272*$E272*(12-$J272+1)/12,0))</f>
        <v>0</v>
      </c>
    </row>
    <row r="273" spans="1:124" ht="12.75" customHeight="1">
      <c r="A273" s="491"/>
      <c r="C273" s="1894" t="s">
        <v>1129</v>
      </c>
      <c r="D273" s="1894"/>
      <c r="E273" s="1886">
        <f t="shared" si="2136"/>
        <v>50</v>
      </c>
      <c r="F273" s="1532">
        <v>50</v>
      </c>
      <c r="G273" s="1532">
        <v>50</v>
      </c>
      <c r="H273" s="610">
        <v>2025</v>
      </c>
      <c r="I273" s="1533">
        <v>3.7499999999999999E-2</v>
      </c>
      <c r="J273" s="615">
        <v>9</v>
      </c>
      <c r="K273" s="402"/>
      <c r="L273" s="407">
        <f t="shared" si="2137"/>
        <v>0</v>
      </c>
      <c r="M273" s="404">
        <f t="shared" si="2138"/>
        <v>0</v>
      </c>
      <c r="N273" s="414">
        <f t="shared" si="2139"/>
        <v>0</v>
      </c>
      <c r="O273" s="414">
        <f t="shared" si="2140"/>
        <v>0</v>
      </c>
      <c r="P273" s="406">
        <f t="shared" si="2141"/>
        <v>0</v>
      </c>
      <c r="Q273" s="407">
        <f t="shared" si="2142"/>
        <v>0</v>
      </c>
      <c r="R273" s="404">
        <f t="shared" si="2143"/>
        <v>0</v>
      </c>
      <c r="S273" s="414">
        <f t="shared" si="2144"/>
        <v>0</v>
      </c>
      <c r="T273" s="414">
        <f t="shared" si="2145"/>
        <v>0</v>
      </c>
      <c r="U273" s="406">
        <f t="shared" si="2146"/>
        <v>0</v>
      </c>
      <c r="V273" s="407">
        <f t="shared" si="2147"/>
        <v>0</v>
      </c>
      <c r="W273" s="404">
        <f t="shared" si="2148"/>
        <v>0</v>
      </c>
      <c r="X273" s="414">
        <f t="shared" si="2149"/>
        <v>0</v>
      </c>
      <c r="Y273" s="414">
        <f t="shared" si="2150"/>
        <v>0</v>
      </c>
      <c r="Z273" s="406">
        <f t="shared" si="2151"/>
        <v>0</v>
      </c>
      <c r="AA273" s="407">
        <f t="shared" si="2152"/>
        <v>0</v>
      </c>
      <c r="AB273" s="404">
        <f t="shared" si="2153"/>
        <v>0</v>
      </c>
      <c r="AC273" s="414">
        <f t="shared" si="2154"/>
        <v>0</v>
      </c>
      <c r="AD273" s="414">
        <f t="shared" si="2155"/>
        <v>0</v>
      </c>
      <c r="AE273" s="406">
        <f t="shared" si="2156"/>
        <v>0</v>
      </c>
      <c r="AF273" s="407">
        <f t="shared" si="2157"/>
        <v>0</v>
      </c>
      <c r="AG273" s="404">
        <f t="shared" si="2158"/>
        <v>0</v>
      </c>
      <c r="AH273" s="414">
        <f t="shared" si="2159"/>
        <v>0</v>
      </c>
      <c r="AI273" s="414">
        <f t="shared" si="2160"/>
        <v>0</v>
      </c>
      <c r="AJ273" s="406">
        <f t="shared" si="2161"/>
        <v>0</v>
      </c>
      <c r="AK273" s="407">
        <f t="shared" si="2162"/>
        <v>0</v>
      </c>
      <c r="AL273" s="404">
        <f t="shared" si="2163"/>
        <v>0</v>
      </c>
      <c r="AM273" s="414">
        <f t="shared" si="2164"/>
        <v>0</v>
      </c>
      <c r="AN273" s="414">
        <f t="shared" si="2165"/>
        <v>0</v>
      </c>
      <c r="AO273" s="406">
        <f t="shared" si="2166"/>
        <v>0</v>
      </c>
      <c r="AP273" s="407">
        <f t="shared" si="2167"/>
        <v>0</v>
      </c>
      <c r="AQ273" s="404">
        <f t="shared" si="2168"/>
        <v>0</v>
      </c>
      <c r="AR273" s="414">
        <f t="shared" si="2169"/>
        <v>0</v>
      </c>
      <c r="AS273" s="414">
        <f t="shared" si="2170"/>
        <v>0</v>
      </c>
      <c r="AT273" s="406">
        <f t="shared" si="2171"/>
        <v>0</v>
      </c>
      <c r="AU273" s="407">
        <f t="shared" si="2172"/>
        <v>0</v>
      </c>
      <c r="AV273" s="404">
        <f t="shared" si="2173"/>
        <v>0</v>
      </c>
      <c r="AW273" s="414">
        <f t="shared" si="2174"/>
        <v>0</v>
      </c>
      <c r="AX273" s="414">
        <f t="shared" si="2175"/>
        <v>0</v>
      </c>
      <c r="AY273" s="406">
        <f t="shared" si="2176"/>
        <v>0</v>
      </c>
      <c r="AZ273" s="407">
        <f t="shared" si="2177"/>
        <v>0</v>
      </c>
      <c r="BA273" s="404">
        <f t="shared" si="2178"/>
        <v>0</v>
      </c>
      <c r="BB273" s="414">
        <f t="shared" si="2179"/>
        <v>0</v>
      </c>
      <c r="BC273" s="414">
        <f t="shared" si="2180"/>
        <v>0</v>
      </c>
      <c r="BD273" s="406">
        <f t="shared" si="2181"/>
        <v>0</v>
      </c>
      <c r="BE273" s="407">
        <f t="shared" si="2182"/>
        <v>0</v>
      </c>
      <c r="BF273" s="404">
        <f t="shared" si="2183"/>
        <v>0</v>
      </c>
      <c r="BG273" s="414">
        <f t="shared" si="2184"/>
        <v>0</v>
      </c>
      <c r="BH273" s="414">
        <f t="shared" si="2185"/>
        <v>0</v>
      </c>
      <c r="BI273" s="406">
        <f t="shared" si="2186"/>
        <v>0</v>
      </c>
      <c r="BJ273" s="407">
        <f t="shared" si="2187"/>
        <v>0</v>
      </c>
      <c r="BK273" s="404">
        <f t="shared" si="2188"/>
        <v>0</v>
      </c>
      <c r="BL273" s="414">
        <f t="shared" si="2189"/>
        <v>0</v>
      </c>
      <c r="BM273" s="414">
        <f t="shared" si="2190"/>
        <v>0</v>
      </c>
      <c r="BN273" s="406">
        <f t="shared" si="2191"/>
        <v>0</v>
      </c>
      <c r="BO273" s="407">
        <f t="shared" si="2192"/>
        <v>0</v>
      </c>
      <c r="BP273" s="449"/>
      <c r="BQ273" s="413">
        <f t="shared" si="2193"/>
        <v>0</v>
      </c>
      <c r="BR273" s="410">
        <f t="shared" si="2194"/>
        <v>0</v>
      </c>
      <c r="BS273" s="416">
        <f t="shared" si="2195"/>
        <v>0</v>
      </c>
      <c r="BT273" s="416">
        <f t="shared" si="2196"/>
        <v>0</v>
      </c>
      <c r="BU273" s="412">
        <f t="shared" si="2197"/>
        <v>0</v>
      </c>
      <c r="BV273" s="413">
        <f t="shared" si="2198"/>
        <v>0</v>
      </c>
      <c r="BW273" s="410">
        <f t="shared" si="2199"/>
        <v>0</v>
      </c>
      <c r="BX273" s="416">
        <f t="shared" si="2200"/>
        <v>0</v>
      </c>
      <c r="BY273" s="416">
        <f t="shared" si="2201"/>
        <v>0</v>
      </c>
      <c r="BZ273" s="412">
        <f t="shared" si="2202"/>
        <v>0</v>
      </c>
      <c r="CA273" s="413">
        <f t="shared" si="2203"/>
        <v>0</v>
      </c>
      <c r="CB273" s="410">
        <f t="shared" si="2204"/>
        <v>0</v>
      </c>
      <c r="CC273" s="416">
        <f t="shared" si="2205"/>
        <v>0</v>
      </c>
      <c r="CD273" s="416">
        <f t="shared" si="2206"/>
        <v>0</v>
      </c>
      <c r="CE273" s="412">
        <f t="shared" si="2207"/>
        <v>0</v>
      </c>
      <c r="CF273" s="413">
        <f t="shared" si="2208"/>
        <v>0</v>
      </c>
      <c r="CG273" s="410">
        <f t="shared" si="2209"/>
        <v>0</v>
      </c>
      <c r="CH273" s="416">
        <f t="shared" si="2210"/>
        <v>0</v>
      </c>
      <c r="CI273" s="416">
        <f t="shared" si="2211"/>
        <v>0</v>
      </c>
      <c r="CJ273" s="412">
        <f t="shared" si="2212"/>
        <v>0</v>
      </c>
      <c r="CK273" s="413">
        <f t="shared" si="2213"/>
        <v>0</v>
      </c>
      <c r="CL273" s="410">
        <f t="shared" si="2214"/>
        <v>0</v>
      </c>
      <c r="CM273" s="416">
        <f t="shared" si="2215"/>
        <v>0</v>
      </c>
      <c r="CN273" s="416">
        <f t="shared" si="2216"/>
        <v>0</v>
      </c>
      <c r="CO273" s="412">
        <f t="shared" si="2217"/>
        <v>0</v>
      </c>
      <c r="CP273" s="413">
        <f t="shared" si="2218"/>
        <v>0</v>
      </c>
      <c r="CQ273" s="410">
        <f t="shared" si="2219"/>
        <v>0</v>
      </c>
      <c r="CR273" s="416">
        <f t="shared" si="2220"/>
        <v>0</v>
      </c>
      <c r="CS273" s="416">
        <f t="shared" si="2221"/>
        <v>0</v>
      </c>
      <c r="CT273" s="412">
        <f t="shared" si="2222"/>
        <v>0</v>
      </c>
      <c r="CU273" s="413">
        <f t="shared" si="2223"/>
        <v>0</v>
      </c>
      <c r="CV273" s="410">
        <f t="shared" si="2224"/>
        <v>0</v>
      </c>
      <c r="CW273" s="416">
        <f t="shared" si="2225"/>
        <v>0</v>
      </c>
      <c r="CX273" s="416">
        <f t="shared" si="2226"/>
        <v>0</v>
      </c>
      <c r="CY273" s="412">
        <f t="shared" si="2227"/>
        <v>0</v>
      </c>
      <c r="CZ273" s="413">
        <f t="shared" si="2228"/>
        <v>0</v>
      </c>
      <c r="DA273" s="410">
        <f t="shared" si="2229"/>
        <v>0</v>
      </c>
      <c r="DB273" s="416">
        <f t="shared" si="2230"/>
        <v>0</v>
      </c>
      <c r="DC273" s="416">
        <f t="shared" si="2231"/>
        <v>0</v>
      </c>
      <c r="DD273" s="412">
        <f t="shared" si="2232"/>
        <v>0</v>
      </c>
      <c r="DE273" s="413">
        <f t="shared" si="2233"/>
        <v>0</v>
      </c>
      <c r="DF273" s="410">
        <f t="shared" si="2234"/>
        <v>0</v>
      </c>
      <c r="DG273" s="416">
        <f t="shared" si="2235"/>
        <v>0</v>
      </c>
      <c r="DH273" s="416">
        <f t="shared" si="2236"/>
        <v>0</v>
      </c>
      <c r="DI273" s="412">
        <f t="shared" si="2237"/>
        <v>0</v>
      </c>
      <c r="DJ273" s="413">
        <f t="shared" si="2238"/>
        <v>0</v>
      </c>
      <c r="DK273" s="410">
        <f t="shared" si="2239"/>
        <v>0</v>
      </c>
      <c r="DL273" s="416">
        <f t="shared" si="2240"/>
        <v>0</v>
      </c>
      <c r="DM273" s="416">
        <f t="shared" si="2241"/>
        <v>0</v>
      </c>
      <c r="DN273" s="412">
        <f t="shared" si="2242"/>
        <v>0</v>
      </c>
      <c r="DO273" s="413">
        <f t="shared" si="2243"/>
        <v>0</v>
      </c>
      <c r="DP273" s="410">
        <f t="shared" si="2244"/>
        <v>0</v>
      </c>
      <c r="DQ273" s="416">
        <f t="shared" si="2245"/>
        <v>0</v>
      </c>
      <c r="DR273" s="416">
        <f t="shared" si="2246"/>
        <v>0</v>
      </c>
      <c r="DS273" s="412">
        <f t="shared" si="2247"/>
        <v>0</v>
      </c>
      <c r="DT273" s="413">
        <f t="shared" si="2248"/>
        <v>0</v>
      </c>
    </row>
    <row r="274" spans="1:124" ht="12.75" customHeight="1">
      <c r="A274" s="491"/>
      <c r="C274" s="1894" t="s">
        <v>1300</v>
      </c>
      <c r="D274" s="1894"/>
      <c r="E274" s="1886">
        <f>IF(F274=0,G274,F274)</f>
        <v>50</v>
      </c>
      <c r="F274" s="1532">
        <v>50</v>
      </c>
      <c r="G274" s="1532">
        <v>50</v>
      </c>
      <c r="H274" s="610">
        <v>2035</v>
      </c>
      <c r="I274" s="1533">
        <v>4.7100000000000003E-2</v>
      </c>
      <c r="J274" s="615">
        <v>12</v>
      </c>
      <c r="K274" s="402"/>
      <c r="L274" s="407">
        <f t="shared" si="2137"/>
        <v>0</v>
      </c>
      <c r="M274" s="404">
        <f>IF(Q274=0,0,IF(Q274&lt;0,IF($J274=3,Q274,IF($J274=2,Q274,IF($J274=1,Q274,0)))))</f>
        <v>0</v>
      </c>
      <c r="N274" s="414">
        <f>IF(Q274=0,0,IF(Q274&lt;0,IF($J274=6,Q274,IF($J274=5,Q274,IF($J274=4,Q274,0)))))</f>
        <v>0</v>
      </c>
      <c r="O274" s="414">
        <f>IF(Q274=0,0,IF(Q274&lt;0,IF($J274=9,Q274,IF($J274=8,Q274,IF($J274=7,Q274,0)))))</f>
        <v>0</v>
      </c>
      <c r="P274" s="406">
        <f>IF(Q274=0,0,IF(Q274&lt;0,IF($J274=12,Q274,IF($J274=11,Q274,IF($J274=10,Q274,0)))))</f>
        <v>0</v>
      </c>
      <c r="Q274" s="407">
        <f t="shared" si="2142"/>
        <v>0</v>
      </c>
      <c r="R274" s="404">
        <f>IF(V274=0,0,IF(V274&lt;0,IF($J274=3,V274,IF($J274=2,V274,IF($J274=1,V274,0)))))</f>
        <v>0</v>
      </c>
      <c r="S274" s="414">
        <f>IF(V274=0,0,IF(V274&lt;0,IF($J274=6,V274,IF($J274=5,V274,IF($J274=4,V274,0)))))</f>
        <v>0</v>
      </c>
      <c r="T274" s="414">
        <f>IF(V274=0,0,IF(V274&lt;0,IF($J274=9,V274,IF($J274=8,V274,IF($J274=7,V274,0)))))</f>
        <v>0</v>
      </c>
      <c r="U274" s="406">
        <f>IF(V274=0,0,IF(V274&lt;0,IF($J274=12,V274,IF($J274=11,V274,IF($J274=10,V274,0)))))</f>
        <v>0</v>
      </c>
      <c r="V274" s="407">
        <f t="shared" si="2147"/>
        <v>0</v>
      </c>
      <c r="W274" s="404">
        <f>IF(AA274=0,0,IF(AA274&lt;0,IF($J274=3,AA274,IF($J274=2,AA274,IF($J274=1,AA274,0)))))</f>
        <v>0</v>
      </c>
      <c r="X274" s="414">
        <f>IF(AA274=0,0,IF(AA274&lt;0,IF($J274=6,AA274,IF($J274=5,AA274,IF($J274=4,AA274,0)))))</f>
        <v>0</v>
      </c>
      <c r="Y274" s="414">
        <f>IF(AA274=0,0,IF(AA274&lt;0,IF($J274=9,AA274,IF($J274=8,AA274,IF($J274=7,AA274,0)))))</f>
        <v>0</v>
      </c>
      <c r="Z274" s="406">
        <f>IF(AA274=0,0,IF(AA274&lt;0,IF($J274=12,AA274,IF($J274=11,AA274,IF($J274=10,AA274,0)))))</f>
        <v>0</v>
      </c>
      <c r="AA274" s="407">
        <f t="shared" si="2152"/>
        <v>0</v>
      </c>
      <c r="AB274" s="404">
        <f>IF(AF274=0,0,IF(AF274&lt;0,IF($J274=3,AF274,IF($J274=2,AF274,IF($J274=1,AF274,0)))))</f>
        <v>0</v>
      </c>
      <c r="AC274" s="414">
        <f>IF(AF274=0,0,IF(AF274&lt;0,IF($J274=6,AF274,IF($J274=5,AF274,IF($J274=4,AF274,0)))))</f>
        <v>0</v>
      </c>
      <c r="AD274" s="414">
        <f>IF(AF274=0,0,IF(AF274&lt;0,IF($J274=9,AF274,IF($J274=8,AF274,IF($J274=7,AF274,0)))))</f>
        <v>0</v>
      </c>
      <c r="AE274" s="406">
        <f>IF(AF274=0,0,IF(AF274&lt;0,IF($J274=12,AF274,IF($J274=11,AF274,IF($J274=10,AF274,0)))))</f>
        <v>0</v>
      </c>
      <c r="AF274" s="407">
        <f t="shared" si="2157"/>
        <v>0</v>
      </c>
      <c r="AG274" s="404">
        <f>IF(AK274=0,0,IF(AK274&lt;0,IF($J274=3,AK274,IF($J274=2,AK274,IF($J274=1,AK274,0)))))</f>
        <v>0</v>
      </c>
      <c r="AH274" s="414">
        <f>IF(AK274=0,0,IF(AK274&lt;0,IF($J274=6,AK274,IF($J274=5,AK274,IF($J274=4,AK274,0)))))</f>
        <v>0</v>
      </c>
      <c r="AI274" s="414">
        <f>IF(AK274=0,0,IF(AK274&lt;0,IF($J274=9,AK274,IF($J274=8,AK274,IF($J274=7,AK274,0)))))</f>
        <v>0</v>
      </c>
      <c r="AJ274" s="406">
        <f>IF(AK274=0,0,IF(AK274&lt;0,IF($J274=12,AK274,IF($J274=11,AK274,IF($J274=10,AK274,0)))))</f>
        <v>0</v>
      </c>
      <c r="AK274" s="407">
        <f t="shared" si="2162"/>
        <v>0</v>
      </c>
      <c r="AL274" s="404">
        <f>IF(AP274=0,0,IF(AP274&lt;0,IF($J274=3,AP274,IF($J274=2,AP274,IF($J274=1,AP274,0)))))</f>
        <v>0</v>
      </c>
      <c r="AM274" s="414">
        <f>IF(AP274=0,0,IF(AP274&lt;0,IF($J274=6,AP274,IF($J274=5,AP274,IF($J274=4,AP274,0)))))</f>
        <v>0</v>
      </c>
      <c r="AN274" s="414">
        <f>IF(AP274=0,0,IF(AP274&lt;0,IF($J274=9,AP274,IF($J274=8,AP274,IF($J274=7,AP274,0)))))</f>
        <v>0</v>
      </c>
      <c r="AO274" s="406">
        <f>IF(AP274=0,0,IF(AP274&lt;0,IF($J274=12,AP274,IF($J274=11,AP274,IF($J274=10,AP274,0)))))</f>
        <v>0</v>
      </c>
      <c r="AP274" s="407">
        <f t="shared" si="2167"/>
        <v>0</v>
      </c>
      <c r="AQ274" s="404">
        <f>IF(AU274=0,0,IF(AU274&lt;0,IF($J274=3,AU274,IF($J274=2,AU274,IF($J274=1,AU274,0)))))</f>
        <v>0</v>
      </c>
      <c r="AR274" s="414">
        <f t="shared" si="2169"/>
        <v>0</v>
      </c>
      <c r="AS274" s="414">
        <f>IF(AU274=0,0,IF(AU274&lt;0,IF($J274=9,AU274,IF($J274=8,AU274,IF($J274=7,AU274,0)))))</f>
        <v>0</v>
      </c>
      <c r="AT274" s="406">
        <f>IF(AU274=0,0,IF(AU274&lt;0,IF($J274=12,AU274,IF($J274=11,AU274,IF($J274=10,AU274,0)))))</f>
        <v>0</v>
      </c>
      <c r="AU274" s="407">
        <f t="shared" si="2172"/>
        <v>0</v>
      </c>
      <c r="AV274" s="404">
        <f>IF(AZ274=0,0,IF(AZ274&lt;0,IF($J274=3,AZ274,IF($J274=2,AZ274,IF($J274=1,AZ274,0)))))</f>
        <v>0</v>
      </c>
      <c r="AW274" s="414">
        <f>IF(AZ274=0,0,IF(AZ274&lt;0,IF($J274=6,AZ274,IF($J274=5,AZ274,IF($J274=4,AZ274,0)))))</f>
        <v>0</v>
      </c>
      <c r="AX274" s="414">
        <f>IF(AZ274=0,0,IF(AZ274&lt;0,IF($J274=9,AZ274,IF($J274=8,AZ274,IF($J274=7,AZ274,0)))))</f>
        <v>0</v>
      </c>
      <c r="AY274" s="406">
        <f>IF(AZ274=0,0,IF(AZ274&lt;0,IF($J274=12,AZ274,IF($J274=11,AZ274,IF($J274=10,AZ274,0)))))</f>
        <v>0</v>
      </c>
      <c r="AZ274" s="407">
        <f t="shared" si="2177"/>
        <v>0</v>
      </c>
      <c r="BA274" s="404">
        <f>IF(BE274=0,0,IF(BE274&lt;0,IF($J274=3,BE274,IF($J274=2,BE274,IF($J274=1,BE274,0)))))</f>
        <v>0</v>
      </c>
      <c r="BB274" s="414">
        <f>IF(BE274=0,0,IF(BE274&lt;0,IF($J274=6,BE274,IF($J274=5,BE274,IF($J274=4,BE274,0)))))</f>
        <v>0</v>
      </c>
      <c r="BC274" s="414">
        <f>IF(BE274=0,0,IF(BE274&lt;0,IF($J274=9,BE274,IF($J274=8,BE274,IF($J274=7,BE274,0)))))</f>
        <v>0</v>
      </c>
      <c r="BD274" s="406">
        <f>IF(BE274=0,0,IF(BE274&lt;0,IF($J274=12,BE274,IF($J274=11,BE274,IF($J274=10,BE274,0)))))</f>
        <v>0</v>
      </c>
      <c r="BE274" s="407">
        <f t="shared" si="2182"/>
        <v>0</v>
      </c>
      <c r="BF274" s="404">
        <f>IF(BJ274=0,0,IF(BJ274&lt;0,IF($J274=3,BJ274,IF($J274=2,BJ274,IF($J274=1,BJ274,0)))))</f>
        <v>0</v>
      </c>
      <c r="BG274" s="414">
        <f>IF(BJ274=0,0,IF(BJ274&lt;0,IF($J274=6,BJ274,IF($J274=5,BJ274,IF($J274=4,BJ274,0)))))</f>
        <v>0</v>
      </c>
      <c r="BH274" s="414">
        <f>IF(BJ274=0,0,IF(BJ274&lt;0,IF($J274=9,BJ274,IF($J274=8,BJ274,IF($J274=7,BJ274,0)))))</f>
        <v>0</v>
      </c>
      <c r="BI274" s="406">
        <f>IF(BJ274=0,0,IF(BJ274&lt;0,IF($J274=12,BJ274,IF($J274=11,BJ274,IF($J274=10,BJ274,0)))))</f>
        <v>0</v>
      </c>
      <c r="BJ274" s="407">
        <f t="shared" si="2187"/>
        <v>0</v>
      </c>
      <c r="BK274" s="404">
        <f>IF(BO274=0,0,IF(BO274&lt;0,IF($J274=3,BO274,IF($J274=2,BO274,IF($J274=1,BO274,0)))))</f>
        <v>0</v>
      </c>
      <c r="BL274" s="414">
        <f>IF(BO274=0,0,IF(BO274&lt;0,IF($J274=6,BO274,IF($J274=5,BO274,IF($J274=4,BO274,0)))))</f>
        <v>0</v>
      </c>
      <c r="BM274" s="414">
        <f>IF(BO274=0,0,IF(BO274&lt;0,IF($J274=9,BO274,IF($J274=8,BO274,IF($J274=7,BO274,0)))))</f>
        <v>0</v>
      </c>
      <c r="BN274" s="406">
        <f>IF(BO274=0,0,IF(BO274&lt;0,IF($J274=12,BO274,IF($J274=11,BO274,IF($J274=10,BO274,0)))))</f>
        <v>0</v>
      </c>
      <c r="BO274" s="407">
        <f t="shared" si="2192"/>
        <v>0</v>
      </c>
      <c r="BP274" s="449"/>
      <c r="BQ274" s="413">
        <f>IF(AND(AH274&lt;&gt;0,AH$5=$H274),-$I274*$E274-AH274,IF(BQ$5=$H274,-$I274*$E274*(12-$J274+1)/12,0))</f>
        <v>0</v>
      </c>
      <c r="BR274" s="410">
        <f>IF($H274&lt;&gt;BV$5,0,IF(BV274&lt;0,IF($J274=1,-$E274*$I274/12*3,IF($J274=2,-$E274*$I274/12*2,IF($J274=3,-$E274*$I274/12*1,0)))))+IF(BQ$5&lt;&gt;$H274,0,IF(BQ274&lt;0,IF($J274=1,-$E274*$I274/12*0,IF($J274=2,-$E274*$I274/12*1,IF($J274=3,-$E274*$I274/12*2,IF($J274&gt;=4,-$E274*$I274/12*3,0))))))</f>
        <v>0</v>
      </c>
      <c r="BS274" s="416">
        <f>IF($H274&lt;&gt;BV$5,0,IF(BV274&lt;0,IF(OR($J274=1,$J274=2,$J274=3,$J274=4),-$E274*$I274/12*3,IF($J274=5,-$E274*$I274/12*2,IF($J274=6,-$E274*$I274/12*1,0)))))+IF(BQ$5&lt;&gt;$H274,0,IF(BQ274&lt;0,IF($J274=4,-$E274*$I274/12*0,IF($J274=5,-$E274*$I274/12*1,IF($J274=6,-$E274*$I274/12*2,IF($J274&gt;=7,-$E274*$I274/12*3,0))))))</f>
        <v>0</v>
      </c>
      <c r="BT274" s="416">
        <f>IF($H274&lt;&gt;BV$5,0,IF(BV274&lt;0,IF(OR($J274=1,$J274=2,$J274=3,$J274=4,$J274=5,$J274=6,$J274=7),-$E274*$I274/12*3,IF($J274=8,-$E274*$I274/12*2,IF($J274=9,-$E274*$I274/12*1,0)))))+IF(BQ$5&lt;&gt;$H274,0,IF(BQ274&lt;0,IF($J274=7,-$E274*$I274/12*0,IF($J274=8,-$E274*$I274/12*1,IF($J274=9,-$E274*$I274/12*2,IF($J274&gt;=10,-$E274*$I274/12*3,0))))))</f>
        <v>0</v>
      </c>
      <c r="BU274" s="412">
        <f>IF($H274&lt;&gt;BV$5,0,IF(BV274&lt;0,IF(OR($J274=1,$J274=2,$J274=3,$J274=4,$J274=5,$J274=6,$J274=7,$J274=8,$J274=9,$J274=10),-$E274*$I274/12*3,IF($J274=11,-$E274*$I274/12*2,IF($J274=12,-$E274*$I274/12*1,0)))))+IF(BQ$5&lt;&gt;$H274,0,IF(BQ274&lt;0,IF($J274=10,-$E274*$I274/12*0,IF($J274=11,-$E274*$I274/12*1,IF($J274=12,-$E274*$I274/12*2,0)))))</f>
        <v>0</v>
      </c>
      <c r="BV274" s="413">
        <f>IF(AND(BQ274&lt;&gt;0,BQ$5=$H274),-$I274*$E274-BQ274,IF(BV$5=$H274,-$I274*$E274*(12-$J274+1)/12,0))</f>
        <v>0</v>
      </c>
      <c r="BW274" s="410">
        <f>IF($H274&lt;&gt;CA$5,0,IF(CA274&lt;0,IF($J274=1,-$E274*$I274/12*3,IF($J274=2,-$E274*$I274/12*2,IF($J274=3,-$E274*$I274/12*1,0)))))+IF(BV$5&lt;&gt;$H274,0,IF(BV274&lt;0,IF($J274=1,-$E274*$I274/12*0,IF($J274=2,-$E274*$I274/12*1,IF($J274=3,-$E274*$I274/12*2,IF($J274&gt;=4,-$E274*$I274/12*3,0))))))</f>
        <v>0</v>
      </c>
      <c r="BX274" s="416">
        <f>IF($H274&lt;&gt;CA$5,0,IF(CA274&lt;0,IF(OR($J274=1,$J274=2,$J274=3,$J274=4),-$E274*$I274/12*3,IF($J274=5,-$E274*$I274/12*2,IF($J274=6,-$E274*$I274/12*1,0)))))+IF(BV$5&lt;&gt;$H274,0,IF(BV274&lt;0,IF($J274=4,-$E274*$I274/12*0,IF($J274=5,-$E274*$I274/12*1,IF($J274=6,-$E274*$I274/12*2,IF($J274&gt;=7,-$E274*$I274/12*3,0))))))</f>
        <v>0</v>
      </c>
      <c r="BY274" s="416">
        <f>IF($H274&lt;&gt;CA$5,0,IF(CA274&lt;0,IF(OR($J274=1,$J274=2,$J274=3,$J274=4,$J274=5,$J274=6,$J274=7),-$E274*$I274/12*3,IF($J274=8,-$E274*$I274/12*2,IF($J274=9,-$E274*$I274/12*1,0)))))+IF(BV$5&lt;&gt;$H274,0,IF(BV274&lt;0,IF($J274=7,-$E274*$I274/12*0,IF($J274=8,-$E274*$I274/12*1,IF($J274=9,-$E274*$I274/12*2,IF($J274&gt;=10,-$E274*$I274/12*3,0))))))</f>
        <v>0</v>
      </c>
      <c r="BZ274" s="412">
        <f>IF($H274&lt;&gt;CA$5,0,IF(CA274&lt;0,IF(OR($J274=1,$J274=2,$J274=3,$J274=4,$J274=5,$J274=6,$J274=7,$J274=8,$J274=9,$J274=10),-$E274*$I274/12*3,IF($J274=11,-$E274*$I274/12*2,IF($J274=12,-$E274*$I274/12*1,0)))))+IF(BV$5&lt;&gt;$H274,0,IF(BV274&lt;0,IF($J274=10,-$E274*$I274/12*0,IF($J274=11,-$E274*$I274/12*1,IF($J274=12,-$E274*$I274/12*2,0)))))</f>
        <v>0</v>
      </c>
      <c r="CA274" s="413">
        <f>IF(AND(BV274&lt;&gt;0,BV$5=$H274),-$I274*$E274-BV274,IF(CA$5=$H274,-$I274*$E274*(12-$J274+1)/12,0))</f>
        <v>0</v>
      </c>
      <c r="CB274" s="410">
        <f>IF($H274&lt;&gt;CF$5,0,IF(CF274&lt;0,IF($J274=1,-$E274*$I274/12*3,IF($J274=2,-$E274*$I274/12*2,IF($J274=3,-$E274*$I274/12*1,0)))))+IF(CA$5&lt;&gt;$H274,0,IF(CA274&lt;0,IF($J274=1,-$E274*$I274/12*0,IF($J274=2,-$E274*$I274/12*1,IF($J274=3,-$E274*$I274/12*2,IF($J274&gt;=4,-$E274*$I274/12*3,0))))))</f>
        <v>0</v>
      </c>
      <c r="CC274" s="416">
        <f>IF($H274&lt;&gt;CF$5,0,IF(CF274&lt;0,IF(OR($J274=1,$J274=2,$J274=3,$J274=4),-$E274*$I274/12*3,IF($J274=5,-$E274*$I274/12*2,IF($J274=6,-$E274*$I274/12*1,0)))))+IF(CA$5&lt;&gt;$H274,0,IF(CA274&lt;0,IF($J274=4,-$E274*$I274/12*0,IF($J274=5,-$E274*$I274/12*1,IF($J274=6,-$E274*$I274/12*2,IF($J274&gt;=7,-$E274*$I274/12*3,0))))))</f>
        <v>0</v>
      </c>
      <c r="CD274" s="416">
        <f>IF($H274&lt;&gt;CF$5,0,IF(CF274&lt;0,IF(OR($J274=1,$J274=2,$J274=3,$J274=4,$J274=5,$J274=6,$J274=7),-$E274*$I274/12*3,IF($J274=8,-$E274*$I274/12*2,IF($J274=9,-$E274*$I274/12*1,0)))))+IF(CA$5&lt;&gt;$H274,0,IF(CA274&lt;0,IF($J274=7,-$E274*$I274/12*0,IF($J274=8,-$E274*$I274/12*1,IF($J274=9,-$E274*$I274/12*2,IF($J274&gt;=10,-$E274*$I274/12*3,0))))))</f>
        <v>0</v>
      </c>
      <c r="CE274" s="412">
        <f>IF($H274&lt;&gt;CF$5,0,IF(CF274&lt;0,IF(OR($J274=1,$J274=2,$J274=3,$J274=4,$J274=5,$J274=6,$J274=7,$J274=8,$J274=9,$J274=10),-$E274*$I274/12*3,IF($J274=11,-$E274*$I274/12*2,IF($J274=12,-$E274*$I274/12*1,0)))))+IF(CA$5&lt;&gt;$H274,0,IF(CA274&lt;0,IF($J274=10,-$E274*$I274/12*0,IF($J274=11,-$E274*$I274/12*1,IF($J274=12,-$E274*$I274/12*2,0)))))</f>
        <v>0</v>
      </c>
      <c r="CF274" s="413">
        <f>IF(AND(CA274&lt;&gt;0,CA$5=$H274),-$I274*$E274-CA274,IF(CF$5=$H274,-$I274*$E274*(12-$J274+1)/12,0))</f>
        <v>0</v>
      </c>
      <c r="CG274" s="410">
        <f>IF($H274&lt;&gt;CK$5,0,IF(CK274&lt;0,IF($J274=1,-$E274*$I274/12*3,IF($J274=2,-$E274*$I274/12*2,IF($J274=3,-$E274*$I274/12*1,0)))))+IF(CF$5&lt;&gt;$H274,0,IF(CF274&lt;0,IF($J274=1,-$E274*$I274/12*0,IF($J274=2,-$E274*$I274/12*1,IF($J274=3,-$E274*$I274/12*2,IF($J274&gt;=4,-$E274*$I274/12*3,0))))))</f>
        <v>0</v>
      </c>
      <c r="CH274" s="416">
        <f>IF($H274&lt;&gt;CK$5,0,IF(CK274&lt;0,IF(OR($J274=1,$J274=2,$J274=3,$J274=4),-$E274*$I274/12*3,IF($J274=5,-$E274*$I274/12*2,IF($J274=6,-$E274*$I274/12*1,0)))))+IF(CF$5&lt;&gt;$H274,0,IF(CF274&lt;0,IF($J274=4,-$E274*$I274/12*0,IF($J274=5,-$E274*$I274/12*1,IF($J274=6,-$E274*$I274/12*2,IF($J274&gt;=7,-$E274*$I274/12*3,0))))))</f>
        <v>0</v>
      </c>
      <c r="CI274" s="416">
        <f>IF($H274&lt;&gt;CK$5,0,IF(CK274&lt;0,IF(OR($J274=1,$J274=2,$J274=3,$J274=4,$J274=5,$J274=6,$J274=7),-$E274*$I274/12*3,IF($J274=8,-$E274*$I274/12*2,IF($J274=9,-$E274*$I274/12*1,0)))))+IF(CF$5&lt;&gt;$H274,0,IF(CF274&lt;0,IF($J274=7,-$E274*$I274/12*0,IF($J274=8,-$E274*$I274/12*1,IF($J274=9,-$E274*$I274/12*2,IF($J274&gt;=10,-$E274*$I274/12*3,0))))))</f>
        <v>0</v>
      </c>
      <c r="CJ274" s="412">
        <f>IF($H274&lt;&gt;CK$5,0,IF(CK274&lt;0,IF(OR($J274=1,$J274=2,$J274=3,$J274=4,$J274=5,$J274=6,$J274=7,$J274=8,$J274=9,$J274=10),-$E274*$I274/12*3,IF($J274=11,-$E274*$I274/12*2,IF($J274=12,-$E274*$I274/12*1,0)))))+IF(CF$5&lt;&gt;$H274,0,IF(CF274&lt;0,IF($J274=10,-$E274*$I274/12*0,IF($J274=11,-$E274*$I274/12*1,IF($J274=12,-$E274*$I274/12*2,0)))))</f>
        <v>0</v>
      </c>
      <c r="CK274" s="413">
        <f>IF(AND(CF274&lt;&gt;0,CF$5=$H274),-$I274*$E274-CF274,IF(CK$5=$H274,-$I274*$E274*(12-$J274+1)/12,0))</f>
        <v>0</v>
      </c>
      <c r="CL274" s="410">
        <f>IF($H274&lt;&gt;CP$5,0,IF(CP274&lt;0,IF($J274=1,-$E274*$I274/12*3,IF($J274=2,-$E274*$I274/12*2,IF($J274=3,-$E274*$I274/12*1,0)))))+IF(CK$5&lt;&gt;$H274,0,IF(CK274&lt;0,IF($J274=1,-$E274*$I274/12*0,IF($J274=2,-$E274*$I274/12*1,IF($J274=3,-$E274*$I274/12*2,IF($J274&gt;=4,-$E274*$I274/12*3,0))))))</f>
        <v>0</v>
      </c>
      <c r="CM274" s="416">
        <f>IF($H274&lt;&gt;CP$5,0,IF(CP274&lt;0,IF(OR($J274=1,$J274=2,$J274=3,$J274=4),-$E274*$I274/12*3,IF($J274=5,-$E274*$I274/12*2,IF($J274=6,-$E274*$I274/12*1,0)))))+IF(CK$5&lt;&gt;$H274,0,IF(CK274&lt;0,IF($J274=4,-$E274*$I274/12*0,IF($J274=5,-$E274*$I274/12*1,IF($J274=6,-$E274*$I274/12*2,IF($J274&gt;=7,-$E274*$I274/12*3,0))))))</f>
        <v>0</v>
      </c>
      <c r="CN274" s="416">
        <f>IF($H274&lt;&gt;CP$5,0,IF(CP274&lt;0,IF(OR($J274=1,$J274=2,$J274=3,$J274=4,$J274=5,$J274=6,$J274=7),-$E274*$I274/12*3,IF($J274=8,-$E274*$I274/12*2,IF($J274=9,-$E274*$I274/12*1,0)))))+IF(CK$5&lt;&gt;$H274,0,IF(CK274&lt;0,IF($J274=7,-$E274*$I274/12*0,IF($J274=8,-$E274*$I274/12*1,IF($J274=9,-$E274*$I274/12*2,IF($J274&gt;=10,-$E274*$I274/12*3,0))))))</f>
        <v>0</v>
      </c>
      <c r="CO274" s="412">
        <f>IF($H274&lt;&gt;CP$5,0,IF(CP274&lt;0,IF(OR($J274=1,$J274=2,$J274=3,$J274=4,$J274=5,$J274=6,$J274=7,$J274=8,$J274=9,$J274=10),-$E274*$I274/12*3,IF($J274=11,-$E274*$I274/12*2,IF($J274=12,-$E274*$I274/12*1,0)))))+IF(CK$5&lt;&gt;$H274,0,IF(CK274&lt;0,IF($J274=10,-$E274*$I274/12*0,IF($J274=11,-$E274*$I274/12*1,IF($J274=12,-$E274*$I274/12*2,0)))))</f>
        <v>0</v>
      </c>
      <c r="CP274" s="413">
        <f>IF(AND(CK274&lt;&gt;0,CK$5=$H274),-$I274*$E274-CK274,IF(CP$5=$H274,-$I274*$E274*(12-$J274+1)/12,0))</f>
        <v>0</v>
      </c>
      <c r="CQ274" s="410">
        <f>IF($H274&lt;&gt;CU$5,0,IF(CU274&lt;0,IF($J274=1,-$E274*$I274/12*3,IF($J274=2,-$E274*$I274/12*2,IF($J274=3,-$E274*$I274/12*1,0)))))+IF(CP$5&lt;&gt;$H274,0,IF(CP274&lt;0,IF($J274=1,-$E274*$I274/12*0,IF($J274=2,-$E274*$I274/12*1,IF($J274=3,-$E274*$I274/12*2,IF($J274&gt;=4,-$E274*$I274/12*3,0))))))</f>
        <v>0</v>
      </c>
      <c r="CR274" s="416">
        <f>IF($H274&lt;&gt;CU$5,0,IF(CU274&lt;0,IF(OR($J274=1,$J274=2,$J274=3,$J274=4),-$E274*$I274/12*3,IF($J274=5,-$E274*$I274/12*2,IF($J274=6,-$E274*$I274/12*1,0)))))+IF(CP$5&lt;&gt;$H274,0,IF(CP274&lt;0,IF($J274=4,-$E274*$I274/12*0,IF($J274=5,-$E274*$I274/12*1,IF($J274=6,-$E274*$I274/12*2,IF($J274&gt;=7,-$E274*$I274/12*3,0))))))</f>
        <v>0</v>
      </c>
      <c r="CS274" s="416">
        <f>IF($H274&lt;&gt;CU$5,0,IF(CU274&lt;0,IF(OR($J274=1,$J274=2,$J274=3,$J274=4,$J274=5,$J274=6,$J274=7),-$E274*$I274/12*3,IF($J274=8,-$E274*$I274/12*2,IF($J274=9,-$E274*$I274/12*1,0)))))+IF(CP$5&lt;&gt;$H274,0,IF(CP274&lt;0,IF($J274=7,-$E274*$I274/12*0,IF($J274=8,-$E274*$I274/12*1,IF($J274=9,-$E274*$I274/12*2,IF($J274&gt;=10,-$E274*$I274/12*3,0))))))</f>
        <v>0</v>
      </c>
      <c r="CT274" s="412">
        <f>IF($H274&lt;&gt;CU$5,0,IF(CU274&lt;0,IF(OR($J274=1,$J274=2,$J274=3,$J274=4,$J274=5,$J274=6,$J274=7,$J274=8,$J274=9,$J274=10),-$E274*$I274/12*3,IF($J274=11,-$E274*$I274/12*2,IF($J274=12,-$E274*$I274/12*1,0)))))+IF(CP$5&lt;&gt;$H274,0,IF(CP274&lt;0,IF($J274=10,-$E274*$I274/12*0,IF($J274=11,-$E274*$I274/12*1,IF($J274=12,-$E274*$I274/12*2,0)))))</f>
        <v>0</v>
      </c>
      <c r="CU274" s="413">
        <f>IF(AND(CP274&lt;&gt;0,CP$5=$H274),-$I274*$E274-CP274,IF(CU$5=$H274,-$I274*$E274*(12-$J274+1)/12,0))</f>
        <v>0</v>
      </c>
      <c r="CV274" s="410">
        <f>IF($H274&lt;&gt;CZ$5,0,IF(CZ274&lt;0,IF($J274=1,-$E274*$I274/12*3,IF($J274=2,-$E274*$I274/12*2,IF($J274=3,-$E274*$I274/12*1,0)))))+IF(CU$5&lt;&gt;$H274,0,IF(CU274&lt;0,IF($J274=1,-$E274*$I274/12*0,IF($J274=2,-$E274*$I274/12*1,IF($J274=3,-$E274*$I274/12*2,IF($J274&gt;=4,-$E274*$I274/12*3,0))))))</f>
        <v>0</v>
      </c>
      <c r="CW274" s="416">
        <f>IF($H274&lt;&gt;CZ$5,0,IF(CZ274&lt;0,IF(OR($J274=1,$J274=2,$J274=3,$J274=4),-$E274*$I274/12*3,IF($J274=5,-$E274*$I274/12*2,IF($J274=6,-$E274*$I274/12*1,0)))))+IF(CU$5&lt;&gt;$H274,0,IF(CU274&lt;0,IF($J274=4,-$E274*$I274/12*0,IF($J274=5,-$E274*$I274/12*1,IF($J274=6,-$E274*$I274/12*2,IF($J274&gt;=7,-$E274*$I274/12*3,0))))))</f>
        <v>0</v>
      </c>
      <c r="CX274" s="416">
        <f>IF($H274&lt;&gt;CZ$5,0,IF(CZ274&lt;0,IF(OR($J274=1,$J274=2,$J274=3,$J274=4,$J274=5,$J274=6,$J274=7),-$E274*$I274/12*3,IF($J274=8,-$E274*$I274/12*2,IF($J274=9,-$E274*$I274/12*1,0)))))+IF(CU$5&lt;&gt;$H274,0,IF(CU274&lt;0,IF($J274=7,-$E274*$I274/12*0,IF($J274=8,-$E274*$I274/12*1,IF($J274=9,-$E274*$I274/12*2,IF($J274&gt;=10,-$E274*$I274/12*3,0))))))</f>
        <v>0</v>
      </c>
      <c r="CY274" s="412">
        <f>IF($H274&lt;&gt;CZ$5,0,IF(CZ274&lt;0,IF(OR($J274=1,$J274=2,$J274=3,$J274=4,$J274=5,$J274=6,$J274=7,$J274=8,$J274=9,$J274=10),-$E274*$I274/12*3,IF($J274=11,-$E274*$I274/12*2,IF($J274=12,-$E274*$I274/12*1,0)))))+IF(CU$5&lt;&gt;$H274,0,IF(CU274&lt;0,IF($J274=10,-$E274*$I274/12*0,IF($J274=11,-$E274*$I274/12*1,IF($J274=12,-$E274*$I274/12*2,0)))))</f>
        <v>0</v>
      </c>
      <c r="CZ274" s="413">
        <f>IF(AND(CU274&lt;&gt;0,CU$5=$H274),-$I274*$E274-CU274,IF(CZ$5=$H274,-$I274*$E274*(12-$J274+1)/12,0))</f>
        <v>0</v>
      </c>
      <c r="DA274" s="410">
        <f>IF($H274&lt;&gt;DE$5,0,IF(DE274&lt;0,IF($J274=1,-$E274*$I274/12*3,IF($J274=2,-$E274*$I274/12*2,IF($J274=3,-$E274*$I274/12*1,0)))))+IF(CZ$5&lt;&gt;$H274,0,IF(CZ274&lt;0,IF($J274=1,-$E274*$I274/12*0,IF($J274=2,-$E274*$I274/12*1,IF($J274=3,-$E274*$I274/12*2,IF($J274&gt;=4,-$E274*$I274/12*3,0))))))</f>
        <v>0</v>
      </c>
      <c r="DB274" s="416">
        <f>IF($H274&lt;&gt;DE$5,0,IF(DE274&lt;0,IF(OR($J274=1,$J274=2,$J274=3,$J274=4),-$E274*$I274/12*3,IF($J274=5,-$E274*$I274/12*2,IF($J274=6,-$E274*$I274/12*1,0)))))+IF(CZ$5&lt;&gt;$H274,0,IF(CZ274&lt;0,IF($J274=4,-$E274*$I274/12*0,IF($J274=5,-$E274*$I274/12*1,IF($J274=6,-$E274*$I274/12*2,IF($J274&gt;=7,-$E274*$I274/12*3,0))))))</f>
        <v>0</v>
      </c>
      <c r="DC274" s="416">
        <f>IF($H274&lt;&gt;DE$5,0,IF(DE274&lt;0,IF(OR($J274=1,$J274=2,$J274=3,$J274=4,$J274=5,$J274=6,$J274=7),-$E274*$I274/12*3,IF($J274=8,-$E274*$I274/12*2,IF($J274=9,-$E274*$I274/12*1,0)))))+IF(CZ$5&lt;&gt;$H274,0,IF(CZ274&lt;0,IF($J274=7,-$E274*$I274/12*0,IF($J274=8,-$E274*$I274/12*1,IF($J274=9,-$E274*$I274/12*2,IF($J274&gt;=10,-$E274*$I274/12*3,0))))))</f>
        <v>0</v>
      </c>
      <c r="DD274" s="412">
        <f>IF($H274&lt;&gt;DE$5,0,IF(DE274&lt;0,IF(OR($J274=1,$J274=2,$J274=3,$J274=4,$J274=5,$J274=6,$J274=7,$J274=8,$J274=9,$J274=10),-$E274*$I274/12*3,IF($J274=11,-$E274*$I274/12*2,IF($J274=12,-$E274*$I274/12*1,0)))))+IF(CZ$5&lt;&gt;$H274,0,IF(CZ274&lt;0,IF($J274=10,-$E274*$I274/12*0,IF($J274=11,-$E274*$I274/12*1,IF($J274=12,-$E274*$I274/12*2,0)))))</f>
        <v>0</v>
      </c>
      <c r="DE274" s="413">
        <f>IF(AND(CZ274&lt;&gt;0,CZ$5=$H274),-$I274*$E274-CZ274,IF(DE$5=$H274,-$I274*$E274*(12-$J274+1)/12,0))</f>
        <v>0</v>
      </c>
      <c r="DF274" s="410">
        <f>IF($H274&lt;&gt;DJ$5,0,IF(DJ274&lt;0,IF($J274=1,-$E274*$I274/12*3,IF($J274=2,-$E274*$I274/12*2,IF($J274=3,-$E274*$I274/12*1,0)))))+IF(DE$5&lt;&gt;$H274,0,IF(DE274&lt;0,IF($J274=1,-$E274*$I274/12*0,IF($J274=2,-$E274*$I274/12*1,IF($J274=3,-$E274*$I274/12*2,IF($J274&gt;=4,-$E274*$I274/12*3,0))))))</f>
        <v>0</v>
      </c>
      <c r="DG274" s="416">
        <f>IF($H274&lt;&gt;DJ$5,0,IF(DJ274&lt;0,IF(OR($J274=1,$J274=2,$J274=3,$J274=4),-$E274*$I274/12*3,IF($J274=5,-$E274*$I274/12*2,IF($J274=6,-$E274*$I274/12*1,0)))))+IF(DE$5&lt;&gt;$H274,0,IF(DE274&lt;0,IF($J274=4,-$E274*$I274/12*0,IF($J274=5,-$E274*$I274/12*1,IF($J274=6,-$E274*$I274/12*2,IF($J274&gt;=7,-$E274*$I274/12*3,0))))))</f>
        <v>0</v>
      </c>
      <c r="DH274" s="416">
        <f>IF($H274&lt;&gt;DJ$5,0,IF(DJ274&lt;0,IF(OR($J274=1,$J274=2,$J274=3,$J274=4,$J274=5,$J274=6,$J274=7),-$E274*$I274/12*3,IF($J274=8,-$E274*$I274/12*2,IF($J274=9,-$E274*$I274/12*1,0)))))+IF(DE$5&lt;&gt;$H274,0,IF(DE274&lt;0,IF($J274=7,-$E274*$I274/12*0,IF($J274=8,-$E274*$I274/12*1,IF($J274=9,-$E274*$I274/12*2,IF($J274&gt;=10,-$E274*$I274/12*3,0))))))</f>
        <v>0</v>
      </c>
      <c r="DI274" s="412">
        <f>IF($H274&lt;&gt;DJ$5,0,IF(DJ274&lt;0,IF(OR($J274=1,$J274=2,$J274=3,$J274=4,$J274=5,$J274=6,$J274=7,$J274=8,$J274=9,$J274=10),-$E274*$I274/12*3,IF($J274=11,-$E274*$I274/12*2,IF($J274=12,-$E274*$I274/12*1,0)))))+IF(DE$5&lt;&gt;$H274,0,IF(DE274&lt;0,IF($J274=10,-$E274*$I274/12*0,IF($J274=11,-$E274*$I274/12*1,IF($J274=12,-$E274*$I274/12*2,0)))))</f>
        <v>0</v>
      </c>
      <c r="DJ274" s="413">
        <f>IF(AND(DE274&lt;&gt;0,DE$5=$H274),-$I274*$E274-DE274,IF(DJ$5=$H274,-$I274*$E274*(12-$J274+1)/12,0))</f>
        <v>0</v>
      </c>
      <c r="DK274" s="410">
        <f>IF($H274&lt;&gt;DO$5,0,IF(DO274&lt;0,IF($J274=1,-$E274*$I274/12*3,IF($J274=2,-$E274*$I274/12*2,IF($J274=3,-$E274*$I274/12*1,0)))))+IF(DJ$5&lt;&gt;$H274,0,IF(DJ274&lt;0,IF($J274=1,-$E274*$I274/12*0,IF($J274=2,-$E274*$I274/12*1,IF($J274=3,-$E274*$I274/12*2,IF($J274&gt;=4,-$E274*$I274/12*3,0))))))</f>
        <v>0</v>
      </c>
      <c r="DL274" s="416">
        <f>IF($H274&lt;&gt;DO$5,0,IF(DO274&lt;0,IF(OR($J274=1,$J274=2,$J274=3,$J274=4),-$E274*$I274/12*3,IF($J274=5,-$E274*$I274/12*2,IF($J274=6,-$E274*$I274/12*1,0)))))+IF(DJ$5&lt;&gt;$H274,0,IF(DJ274&lt;0,IF($J274=4,-$E274*$I274/12*0,IF($J274=5,-$E274*$I274/12*1,IF($J274=6,-$E274*$I274/12*2,IF($J274&gt;=7,-$E274*$I274/12*3,0))))))</f>
        <v>0</v>
      </c>
      <c r="DM274" s="416">
        <f>IF($H274&lt;&gt;DO$5,0,IF(DO274&lt;0,IF(OR($J274=1,$J274=2,$J274=3,$J274=4,$J274=5,$J274=6,$J274=7),-$E274*$I274/12*3,IF($J274=8,-$E274*$I274/12*2,IF($J274=9,-$E274*$I274/12*1,0)))))+IF(DJ$5&lt;&gt;$H274,0,IF(DJ274&lt;0,IF($J274=7,-$E274*$I274/12*0,IF($J274=8,-$E274*$I274/12*1,IF($J274=9,-$E274*$I274/12*2,IF($J274&gt;=10,-$E274*$I274/12*3,0))))))</f>
        <v>0</v>
      </c>
      <c r="DN274" s="412">
        <f>IF($H274&lt;&gt;DO$5,0,IF(DO274&lt;0,IF(OR($J274=1,$J274=2,$J274=3,$J274=4,$J274=5,$J274=6,$J274=7,$J274=8,$J274=9,$J274=10),-$E274*$I274/12*3,IF($J274=11,-$E274*$I274/12*2,IF($J274=12,-$E274*$I274/12*1,0)))))+IF(DJ$5&lt;&gt;$H274,0,IF(DJ274&lt;0,IF($J274=10,-$E274*$I274/12*0,IF($J274=11,-$E274*$I274/12*1,IF($J274=12,-$E274*$I274/12*2,0)))))</f>
        <v>0</v>
      </c>
      <c r="DO274" s="413">
        <f>IF(AND(DJ274&lt;&gt;0,DJ$5=$H274),-$I274*$E274-DJ274,IF(DO$5=$H274,-$I274*$E274*(12-$J274+1)/12,0))</f>
        <v>0</v>
      </c>
      <c r="DP274" s="410">
        <f>IF($H274&lt;&gt;DT$5,0,IF(DT274&lt;0,IF($J274=1,-$E274*$I274/12*3,IF($J274=2,-$E274*$I274/12*2,IF($J274=3,-$E274*$I274/12*1,0)))))+IF(DO$5&lt;&gt;$H274,0,IF(DO274&lt;0,IF($J274=1,-$E274*$I274/12*0,IF($J274=2,-$E274*$I274/12*1,IF($J274=3,-$E274*$I274/12*2,IF($J274&gt;=4,-$E274*$I274/12*3,0))))))</f>
        <v>0</v>
      </c>
      <c r="DQ274" s="416">
        <f>IF($H274&lt;&gt;DT$5,0,IF(DT274&lt;0,IF(OR($J274=1,$J274=2,$J274=3,$J274=4),-$E274*$I274/12*3,IF($J274=5,-$E274*$I274/12*2,IF($J274=6,-$E274*$I274/12*1,0)))))+IF(DO$5&lt;&gt;$H274,0,IF(DO274&lt;0,IF($J274=4,-$E274*$I274/12*0,IF($J274=5,-$E274*$I274/12*1,IF($J274=6,-$E274*$I274/12*2,IF($J274&gt;=7,-$E274*$I274/12*3,0))))))</f>
        <v>0</v>
      </c>
      <c r="DR274" s="416">
        <f>IF($H274&lt;&gt;DT$5,0,IF(DT274&lt;0,IF(OR($J274=1,$J274=2,$J274=3,$J274=4,$J274=5,$J274=6,$J274=7),-$E274*$I274/12*3,IF($J274=8,-$E274*$I274/12*2,IF($J274=9,-$E274*$I274/12*1,0)))))+IF(DO$5&lt;&gt;$H274,0,IF(DO274&lt;0,IF($J274=7,-$E274*$I274/12*0,IF($J274=8,-$E274*$I274/12*1,IF($J274=9,-$E274*$I274/12*2,IF($J274&gt;=10,-$E274*$I274/12*3,0))))))</f>
        <v>0</v>
      </c>
      <c r="DS274" s="412">
        <f>IF($H274&lt;&gt;DT$5,0,IF(DT274&lt;0,IF(OR($J274=1,$J274=2,$J274=3,$J274=4,$J274=5,$J274=6,$J274=7,$J274=8,$J274=9,$J274=10),-$E274*$I274/12*3,IF($J274=11,-$E274*$I274/12*2,IF($J274=12,-$E274*$I274/12*1,0)))))+IF(DO$5&lt;&gt;$H274,0,IF(DO274&lt;0,IF($J274=10,-$E274*$I274/12*0,IF($J274=11,-$E274*$I274/12*1,IF($J274=12,-$E274*$I274/12*2,0)))))</f>
        <v>0</v>
      </c>
      <c r="DT274" s="413">
        <f>IF(AND(DO274&lt;&gt;0,DO$5=$H274),-$I274*$E274-DO274,IF(DT$5=$H274,-$I274*$E274*(12-$J274+1)/12,0))</f>
        <v>0</v>
      </c>
    </row>
    <row r="275" spans="1:124" s="1884" customFormat="1" ht="12.75" customHeight="1">
      <c r="A275" s="491"/>
      <c r="C275" s="1894" t="s">
        <v>1334</v>
      </c>
      <c r="D275" s="601"/>
      <c r="E275" s="1886">
        <f>IF(F275=0,G275,F275)</f>
        <v>400</v>
      </c>
      <c r="F275" s="1532">
        <v>400</v>
      </c>
      <c r="G275" s="1532">
        <v>0</v>
      </c>
      <c r="H275" s="610">
        <v>2022</v>
      </c>
      <c r="I275" s="1533">
        <v>2.4E-2</v>
      </c>
      <c r="J275" s="615">
        <v>9</v>
      </c>
      <c r="K275" s="402"/>
      <c r="L275" s="407">
        <f t="shared" si="2137"/>
        <v>0</v>
      </c>
      <c r="M275" s="404">
        <f>IF(Q275=0,0,IF(Q275&lt;0,IF($J275=3,Q275,IF($J275=2,Q275,IF($J275=1,Q275,0)))))</f>
        <v>0</v>
      </c>
      <c r="N275" s="414">
        <f>IF(Q275=0,0,IF(Q275&lt;0,IF($J275=6,Q275,IF($J275=5,Q275,IF($J275=4,Q275,0)))))</f>
        <v>0</v>
      </c>
      <c r="O275" s="414">
        <f>IF(Q275=0,0,IF(Q275&lt;0,IF($J275=9,Q275,IF($J275=8,Q275,IF($J275=7,Q275,0)))))</f>
        <v>0</v>
      </c>
      <c r="P275" s="406">
        <f>IF(Q275=0,0,IF(Q275&lt;0,IF($J275=12,Q275,IF($J275=11,Q275,IF($J275=10,Q275,0)))))</f>
        <v>0</v>
      </c>
      <c r="Q275" s="407">
        <f t="shared" si="2142"/>
        <v>0</v>
      </c>
      <c r="R275" s="404">
        <f>IF(V275=0,0,IF(V275&lt;0,IF($J275=3,V275,IF($J275=2,V275,IF($J275=1,V275,0)))))</f>
        <v>0</v>
      </c>
      <c r="S275" s="414">
        <f>IF(V275=0,0,IF(V275&lt;0,IF($J275=6,V275,IF($J275=5,V275,IF($J275=4,V275,0)))))</f>
        <v>0</v>
      </c>
      <c r="T275" s="414">
        <f>IF(V275=0,0,IF(V275&lt;0,IF($J275=9,V275,IF($J275=8,V275,IF($J275=7,V275,0)))))</f>
        <v>0</v>
      </c>
      <c r="U275" s="406">
        <f>IF(V275=0,0,IF(V275&lt;0,IF($J275=12,V275,IF($J275=11,V275,IF($J275=10,V275,0)))))</f>
        <v>0</v>
      </c>
      <c r="V275" s="407">
        <f t="shared" si="2147"/>
        <v>0</v>
      </c>
      <c r="W275" s="404">
        <f>IF(AA275=0,0,IF(AA275&lt;0,IF($J275=3,AA275,IF($J275=2,AA275,IF($J275=1,AA275,0)))))</f>
        <v>0</v>
      </c>
      <c r="X275" s="414">
        <f>IF(AA275=0,0,IF(AA275&lt;0,IF($J275=6,AA275,IF($J275=5,AA275,IF($J275=4,AA275,0)))))</f>
        <v>0</v>
      </c>
      <c r="Y275" s="414">
        <f>IF(AA275=0,0,IF(AA275&lt;0,IF($J275=9,AA275,IF($J275=8,AA275,IF($J275=7,AA275,0)))))</f>
        <v>0</v>
      </c>
      <c r="Z275" s="406">
        <f>IF(AA275=0,0,IF(AA275&lt;0,IF($J275=12,AA275,IF($J275=11,AA275,IF($J275=10,AA275,0)))))</f>
        <v>0</v>
      </c>
      <c r="AA275" s="407">
        <f t="shared" si="2152"/>
        <v>0</v>
      </c>
      <c r="AB275" s="404">
        <f>IF(AF275=0,0,IF(AF275&lt;0,IF($J275=3,AF275,IF($J275=2,AF275,IF($J275=1,AF275,0)))))</f>
        <v>0</v>
      </c>
      <c r="AC275" s="414">
        <f>IF(AF275=0,0,IF(AF275&lt;0,IF($J275=6,AF275,IF($J275=5,AF275,IF($J275=4,AF275,0)))))</f>
        <v>0</v>
      </c>
      <c r="AD275" s="414">
        <f>IF(AF275=0,0,IF(AF275&lt;0,IF($J275=9,AF275,IF($J275=8,AF275,IF($J275=7,AF275,0)))))</f>
        <v>0</v>
      </c>
      <c r="AE275" s="406">
        <f>IF(AF275=0,0,IF(AF275&lt;0,IF($J275=12,AF275,IF($J275=11,AF275,IF($J275=10,AF275,0)))))</f>
        <v>0</v>
      </c>
      <c r="AF275" s="407">
        <f t="shared" si="2157"/>
        <v>0</v>
      </c>
      <c r="AG275" s="404">
        <f>IF(AK275=0,0,IF(AK275&lt;0,IF($J275=3,AK275,IF($J275=2,AK275,IF($J275=1,AK275,0)))))</f>
        <v>0</v>
      </c>
      <c r="AH275" s="414">
        <f>IF(AK275=0,0,IF(AK275&lt;0,IF($J275=6,AK275,IF($J275=5,AK275,IF($J275=4,AK275,0)))))</f>
        <v>0</v>
      </c>
      <c r="AI275" s="414">
        <f>IF(AK275=0,0,IF(AK275&lt;0,IF($J275=9,AK275,IF($J275=8,AK275,IF($J275=7,AK275,0)))))</f>
        <v>0</v>
      </c>
      <c r="AJ275" s="406">
        <f>IF(AK275=0,0,IF(AK275&lt;0,IF($J275=12,AK275,IF($J275=11,AK275,IF($J275=10,AK275,0)))))</f>
        <v>0</v>
      </c>
      <c r="AK275" s="407">
        <f t="shared" si="2162"/>
        <v>0</v>
      </c>
      <c r="AL275" s="404">
        <f>IF(AP275=0,0,IF(AP275&lt;0,IF($J275=3,AP275,IF($J275=2,AP275,IF($J275=1,AP275,0)))))</f>
        <v>0</v>
      </c>
      <c r="AM275" s="414">
        <f>IF(AP275=0,0,IF(AP275&lt;0,IF($J275=6,AP275,IF($J275=5,AP275,IF($J275=4,AP275,0)))))</f>
        <v>0</v>
      </c>
      <c r="AN275" s="414">
        <f>IF(AP275=0,0,IF(AP275&lt;0,IF($J275=9,AP275,IF($J275=8,AP275,IF($J275=7,AP275,0)))))</f>
        <v>0</v>
      </c>
      <c r="AO275" s="406">
        <f>IF(AP275=0,0,IF(AP275&lt;0,IF($J275=12,AP275,IF($J275=11,AP275,IF($J275=10,AP275,0)))))</f>
        <v>0</v>
      </c>
      <c r="AP275" s="407">
        <f t="shared" si="2167"/>
        <v>0</v>
      </c>
      <c r="AQ275" s="404">
        <f>IF(AU275=0,0,IF(AU275&lt;0,IF($J275=3,AU275,IF($J275=2,AU275,IF($J275=1,AU275,0)))))</f>
        <v>0</v>
      </c>
      <c r="AR275" s="414">
        <f t="shared" ref="AR275" si="2249">IF(AU275=0,0,IF(AU275&lt;0,IF($J275=6,AU275,IF($J275=5,AU275,IF($J275=4,AU275,0)))))</f>
        <v>0</v>
      </c>
      <c r="AS275" s="414">
        <f>IF(AU275=0,0,IF(AU275&lt;0,IF($J275=9,AU275,IF($J275=8,AU275,IF($J275=7,AU275,0)))))</f>
        <v>0</v>
      </c>
      <c r="AT275" s="406">
        <f>IF(AU275=0,0,IF(AU275&lt;0,IF($J275=12,AU275,IF($J275=11,AU275,IF($J275=10,AU275,0)))))</f>
        <v>0</v>
      </c>
      <c r="AU275" s="407">
        <f t="shared" si="2172"/>
        <v>0</v>
      </c>
      <c r="AV275" s="404">
        <f>IF(AZ275=0,0,IF(AZ275&lt;0,IF($J275=3,AZ275,IF($J275=2,AZ275,IF($J275=1,AZ275,0)))))</f>
        <v>0</v>
      </c>
      <c r="AW275" s="414">
        <f>IF(AZ275=0,0,IF(AZ275&lt;0,IF($J275=6,AZ275,IF($J275=5,AZ275,IF($J275=4,AZ275,0)))))</f>
        <v>0</v>
      </c>
      <c r="AX275" s="414">
        <f>IF(AZ275=0,0,IF(AZ275&lt;0,IF($J275=9,AZ275,IF($J275=8,AZ275,IF($J275=7,AZ275,0)))))</f>
        <v>0</v>
      </c>
      <c r="AY275" s="406">
        <f>IF(AZ275=0,0,IF(AZ275&lt;0,IF($J275=12,AZ275,IF($J275=11,AZ275,IF($J275=10,AZ275,0)))))</f>
        <v>0</v>
      </c>
      <c r="AZ275" s="407">
        <f t="shared" si="2177"/>
        <v>0</v>
      </c>
      <c r="BA275" s="404">
        <f>IF(BE275=0,0,IF(BE275&lt;0,IF($J275=3,BE275,IF($J275=2,BE275,IF($J275=1,BE275,0)))))</f>
        <v>0</v>
      </c>
      <c r="BB275" s="414">
        <f>IF(BE275=0,0,IF(BE275&lt;0,IF($J275=6,BE275,IF($J275=5,BE275,IF($J275=4,BE275,0)))))</f>
        <v>0</v>
      </c>
      <c r="BC275" s="414">
        <f>IF(BE275=0,0,IF(BE275&lt;0,IF($J275=9,BE275,IF($J275=8,BE275,IF($J275=7,BE275,0)))))</f>
        <v>0</v>
      </c>
      <c r="BD275" s="406">
        <f>IF(BE275=0,0,IF(BE275&lt;0,IF($J275=12,BE275,IF($J275=11,BE275,IF($J275=10,BE275,0)))))</f>
        <v>0</v>
      </c>
      <c r="BE275" s="407">
        <f t="shared" si="2182"/>
        <v>0</v>
      </c>
      <c r="BF275" s="404">
        <f>IF(BJ275=0,0,IF(BJ275&lt;0,IF($J275=3,BJ275,IF($J275=2,BJ275,IF($J275=1,BJ275,0)))))</f>
        <v>0</v>
      </c>
      <c r="BG275" s="414">
        <f>IF(BJ275=0,0,IF(BJ275&lt;0,IF($J275=6,BJ275,IF($J275=5,BJ275,IF($J275=4,BJ275,0)))))</f>
        <v>0</v>
      </c>
      <c r="BH275" s="414">
        <f>IF(BJ275=0,0,IF(BJ275&lt;0,IF($J275=9,BJ275,IF($J275=8,BJ275,IF($J275=7,BJ275,0)))))</f>
        <v>0</v>
      </c>
      <c r="BI275" s="406">
        <f>IF(BJ275=0,0,IF(BJ275&lt;0,IF($J275=12,BJ275,IF($J275=11,BJ275,IF($J275=10,BJ275,0)))))</f>
        <v>0</v>
      </c>
      <c r="BJ275" s="407">
        <f t="shared" si="2187"/>
        <v>0</v>
      </c>
      <c r="BK275" s="404">
        <f>IF(BO275=0,0,IF(BO275&lt;0,IF($J275=3,BO275,IF($J275=2,BO275,IF($J275=1,BO275,0)))))</f>
        <v>0</v>
      </c>
      <c r="BL275" s="414">
        <f>IF(BO275=0,0,IF(BO275&lt;0,IF($J275=6,BO275,IF($J275=5,BO275,IF($J275=4,BO275,0)))))</f>
        <v>0</v>
      </c>
      <c r="BM275" s="414">
        <f>IF(BO275=0,0,IF(BO275&lt;0,IF($J275=9,BO275,IF($J275=8,BO275,IF($J275=7,BO275,0)))))</f>
        <v>0</v>
      </c>
      <c r="BN275" s="406">
        <f>IF(BO275=0,0,IF(BO275&lt;0,IF($J275=12,BO275,IF($J275=11,BO275,IF($J275=10,BO275,0)))))</f>
        <v>0</v>
      </c>
      <c r="BO275" s="407">
        <f t="shared" si="2192"/>
        <v>0</v>
      </c>
      <c r="BP275" s="449"/>
      <c r="BQ275" s="413">
        <f>IF(AND(AH275&lt;&gt;0,AH$5=$H275),-$I275*$E275-AH275,IF(BQ$5=$H275,-$I275*$E275*(12-$J275+1)/12,0))</f>
        <v>0</v>
      </c>
      <c r="BR275" s="410">
        <f>IF($H275&lt;&gt;BV$5,0,IF(BV275&lt;0,IF($J275=1,-$E275*$I275/12*3,IF($J275=2,-$E275*$I275/12*2,IF($J275=3,-$E275*$I275/12*1,0)))))+IF(BQ$5&lt;&gt;$H275,0,IF(BQ275&lt;0,IF($J275=1,-$E275*$I275/12*0,IF($J275=2,-$E275*$I275/12*1,IF($J275=3,-$E275*$I275/12*2,IF($J275&gt;=4,-$E275*$I275/12*3,0))))))</f>
        <v>0</v>
      </c>
      <c r="BS275" s="416">
        <f>IF($H275&lt;&gt;BV$5,0,IF(BV275&lt;0,IF(OR($J275=1,$J275=2,$J275=3,$J275=4),-$E275*$I275/12*3,IF($J275=5,-$E275*$I275/12*2,IF($J275=6,-$E275*$I275/12*1,0)))))+IF(BQ$5&lt;&gt;$H275,0,IF(BQ275&lt;0,IF($J275=4,-$E275*$I275/12*0,IF($J275=5,-$E275*$I275/12*1,IF($J275=6,-$E275*$I275/12*2,IF($J275&gt;=7,-$E275*$I275/12*3,0))))))</f>
        <v>0</v>
      </c>
      <c r="BT275" s="416">
        <f>IF($H275&lt;&gt;BV$5,0,IF(BV275&lt;0,IF(OR($J275=1,$J275=2,$J275=3,$J275=4,$J275=5,$J275=6,$J275=7),-$E275*$I275/12*3,IF($J275=8,-$E275*$I275/12*2,IF($J275=9,-$E275*$I275/12*1,0)))))+IF(BQ$5&lt;&gt;$H275,0,IF(BQ275&lt;0,IF($J275=7,-$E275*$I275/12*0,IF($J275=8,-$E275*$I275/12*1,IF($J275=9,-$E275*$I275/12*2,IF($J275&gt;=10,-$E275*$I275/12*3,0))))))</f>
        <v>0</v>
      </c>
      <c r="BU275" s="412">
        <f>IF($H275&lt;&gt;BV$5,0,IF(BV275&lt;0,IF(OR($J275=1,$J275=2,$J275=3,$J275=4,$J275=5,$J275=6,$J275=7,$J275=8,$J275=9,$J275=10),-$E275*$I275/12*3,IF($J275=11,-$E275*$I275/12*2,IF($J275=12,-$E275*$I275/12*1,0)))))+IF(BQ$5&lt;&gt;$H275,0,IF(BQ275&lt;0,IF($J275=10,-$E275*$I275/12*0,IF($J275=11,-$E275*$I275/12*1,IF($J275=12,-$E275*$I275/12*2,0)))))</f>
        <v>0</v>
      </c>
      <c r="BV275" s="413">
        <f>IF(AND(BQ275&lt;&gt;0,BQ$5=$H275),-$I275*$E275-BQ275,IF(BV$5=$H275,-$I275*$E275*(12-$J275+1)/12,0))</f>
        <v>0</v>
      </c>
      <c r="BW275" s="410">
        <f>IF($H275&lt;&gt;CA$5,0,IF(CA275&lt;0,IF($J275=1,-$E275*$I275/12*3,IF($J275=2,-$E275*$I275/12*2,IF($J275=3,-$E275*$I275/12*1,0)))))+IF(BV$5&lt;&gt;$H275,0,IF(BV275&lt;0,IF($J275=1,-$E275*$I275/12*0,IF($J275=2,-$E275*$I275/12*1,IF($J275=3,-$E275*$I275/12*2,IF($J275&gt;=4,-$E275*$I275/12*3,0))))))</f>
        <v>0</v>
      </c>
      <c r="BX275" s="416">
        <f>IF($H275&lt;&gt;CA$5,0,IF(CA275&lt;0,IF(OR($J275=1,$J275=2,$J275=3,$J275=4),-$E275*$I275/12*3,IF($J275=5,-$E275*$I275/12*2,IF($J275=6,-$E275*$I275/12*1,0)))))+IF(BV$5&lt;&gt;$H275,0,IF(BV275&lt;0,IF($J275=4,-$E275*$I275/12*0,IF($J275=5,-$E275*$I275/12*1,IF($J275=6,-$E275*$I275/12*2,IF($J275&gt;=7,-$E275*$I275/12*3,0))))))</f>
        <v>0</v>
      </c>
      <c r="BY275" s="416">
        <f>IF($H275&lt;&gt;CA$5,0,IF(CA275&lt;0,IF(OR($J275=1,$J275=2,$J275=3,$J275=4,$J275=5,$J275=6,$J275=7),-$E275*$I275/12*3,IF($J275=8,-$E275*$I275/12*2,IF($J275=9,-$E275*$I275/12*1,0)))))+IF(BV$5&lt;&gt;$H275,0,IF(BV275&lt;0,IF($J275=7,-$E275*$I275/12*0,IF($J275=8,-$E275*$I275/12*1,IF($J275=9,-$E275*$I275/12*2,IF($J275&gt;=10,-$E275*$I275/12*3,0))))))</f>
        <v>0</v>
      </c>
      <c r="BZ275" s="412">
        <f>IF($H275&lt;&gt;CA$5,0,IF(CA275&lt;0,IF(OR($J275=1,$J275=2,$J275=3,$J275=4,$J275=5,$J275=6,$J275=7,$J275=8,$J275=9,$J275=10),-$E275*$I275/12*3,IF($J275=11,-$E275*$I275/12*2,IF($J275=12,-$E275*$I275/12*1,0)))))+IF(BV$5&lt;&gt;$H275,0,IF(BV275&lt;0,IF($J275=10,-$E275*$I275/12*0,IF($J275=11,-$E275*$I275/12*1,IF($J275=12,-$E275*$I275/12*2,0)))))</f>
        <v>0</v>
      </c>
      <c r="CA275" s="413">
        <f>IF(AND(BV275&lt;&gt;0,BV$5=$H275),-$I275*$E275-BV275,IF(CA$5=$H275,-$I275*$E275*(12-$J275+1)/12,0))</f>
        <v>0</v>
      </c>
      <c r="CB275" s="410">
        <f>IF($H275&lt;&gt;CF$5,0,IF(CF275&lt;0,IF($J275=1,-$E275*$I275/12*3,IF($J275=2,-$E275*$I275/12*2,IF($J275=3,-$E275*$I275/12*1,0)))))+IF(CA$5&lt;&gt;$H275,0,IF(CA275&lt;0,IF($J275=1,-$E275*$I275/12*0,IF($J275=2,-$E275*$I275/12*1,IF($J275=3,-$E275*$I275/12*2,IF($J275&gt;=4,-$E275*$I275/12*3,0))))))</f>
        <v>0</v>
      </c>
      <c r="CC275" s="416">
        <f>IF($H275&lt;&gt;CF$5,0,IF(CF275&lt;0,IF(OR($J275=1,$J275=2,$J275=3,$J275=4),-$E275*$I275/12*3,IF($J275=5,-$E275*$I275/12*2,IF($J275=6,-$E275*$I275/12*1,0)))))+IF(CA$5&lt;&gt;$H275,0,IF(CA275&lt;0,IF($J275=4,-$E275*$I275/12*0,IF($J275=5,-$E275*$I275/12*1,IF($J275=6,-$E275*$I275/12*2,IF($J275&gt;=7,-$E275*$I275/12*3,0))))))</f>
        <v>0</v>
      </c>
      <c r="CD275" s="416">
        <f>IF($H275&lt;&gt;CF$5,0,IF(CF275&lt;0,IF(OR($J275=1,$J275=2,$J275=3,$J275=4,$J275=5,$J275=6,$J275=7),-$E275*$I275/12*3,IF($J275=8,-$E275*$I275/12*2,IF($J275=9,-$E275*$I275/12*1,0)))))+IF(CA$5&lt;&gt;$H275,0,IF(CA275&lt;0,IF($J275=7,-$E275*$I275/12*0,IF($J275=8,-$E275*$I275/12*1,IF($J275=9,-$E275*$I275/12*2,IF($J275&gt;=10,-$E275*$I275/12*3,0))))))</f>
        <v>0</v>
      </c>
      <c r="CE275" s="412">
        <f>IF($H275&lt;&gt;CF$5,0,IF(CF275&lt;0,IF(OR($J275=1,$J275=2,$J275=3,$J275=4,$J275=5,$J275=6,$J275=7,$J275=8,$J275=9,$J275=10),-$E275*$I275/12*3,IF($J275=11,-$E275*$I275/12*2,IF($J275=12,-$E275*$I275/12*1,0)))))+IF(CA$5&lt;&gt;$H275,0,IF(CA275&lt;0,IF($J275=10,-$E275*$I275/12*0,IF($J275=11,-$E275*$I275/12*1,IF($J275=12,-$E275*$I275/12*2,0)))))</f>
        <v>0</v>
      </c>
      <c r="CF275" s="413">
        <f>IF(AND(CA275&lt;&gt;0,CA$5=$H275),-$I275*$E275-CA275,IF(CF$5=$H275,-$I275*$E275*(12-$J275+1)/12,0))</f>
        <v>0</v>
      </c>
      <c r="CG275" s="410">
        <f>IF($H275&lt;&gt;CK$5,0,IF(CK275&lt;0,IF($J275=1,-$E275*$I275/12*3,IF($J275=2,-$E275*$I275/12*2,IF($J275=3,-$E275*$I275/12*1,0)))))+IF(CF$5&lt;&gt;$H275,0,IF(CF275&lt;0,IF($J275=1,-$E275*$I275/12*0,IF($J275=2,-$E275*$I275/12*1,IF($J275=3,-$E275*$I275/12*2,IF($J275&gt;=4,-$E275*$I275/12*3,0))))))</f>
        <v>0</v>
      </c>
      <c r="CH275" s="416">
        <f>IF($H275&lt;&gt;CK$5,0,IF(CK275&lt;0,IF(OR($J275=1,$J275=2,$J275=3,$J275=4),-$E275*$I275/12*3,IF($J275=5,-$E275*$I275/12*2,IF($J275=6,-$E275*$I275/12*1,0)))))+IF(CF$5&lt;&gt;$H275,0,IF(CF275&lt;0,IF($J275=4,-$E275*$I275/12*0,IF($J275=5,-$E275*$I275/12*1,IF($J275=6,-$E275*$I275/12*2,IF($J275&gt;=7,-$E275*$I275/12*3,0))))))</f>
        <v>0</v>
      </c>
      <c r="CI275" s="416">
        <f>IF($H275&lt;&gt;CK$5,0,IF(CK275&lt;0,IF(OR($J275=1,$J275=2,$J275=3,$J275=4,$J275=5,$J275=6,$J275=7),-$E275*$I275/12*3,IF($J275=8,-$E275*$I275/12*2,IF($J275=9,-$E275*$I275/12*1,0)))))+IF(CF$5&lt;&gt;$H275,0,IF(CF275&lt;0,IF($J275=7,-$E275*$I275/12*0,IF($J275=8,-$E275*$I275/12*1,IF($J275=9,-$E275*$I275/12*2,IF($J275&gt;=10,-$E275*$I275/12*3,0))))))</f>
        <v>0</v>
      </c>
      <c r="CJ275" s="412">
        <f>IF($H275&lt;&gt;CK$5,0,IF(CK275&lt;0,IF(OR($J275=1,$J275=2,$J275=3,$J275=4,$J275=5,$J275=6,$J275=7,$J275=8,$J275=9,$J275=10),-$E275*$I275/12*3,IF($J275=11,-$E275*$I275/12*2,IF($J275=12,-$E275*$I275/12*1,0)))))+IF(CF$5&lt;&gt;$H275,0,IF(CF275&lt;0,IF($J275=10,-$E275*$I275/12*0,IF($J275=11,-$E275*$I275/12*1,IF($J275=12,-$E275*$I275/12*2,0)))))</f>
        <v>0</v>
      </c>
      <c r="CK275" s="413">
        <f>IF(AND(CF275&lt;&gt;0,CF$5=$H275),-$I275*$E275-CF275,IF(CK$5=$H275,-$I275*$E275*(12-$J275+1)/12,0))</f>
        <v>0</v>
      </c>
      <c r="CL275" s="410">
        <f>IF($H275&lt;&gt;CP$5,0,IF(CP275&lt;0,IF($J275=1,-$E275*$I275/12*3,IF($J275=2,-$E275*$I275/12*2,IF($J275=3,-$E275*$I275/12*1,0)))))+IF(CK$5&lt;&gt;$H275,0,IF(CK275&lt;0,IF($J275=1,-$E275*$I275/12*0,IF($J275=2,-$E275*$I275/12*1,IF($J275=3,-$E275*$I275/12*2,IF($J275&gt;=4,-$E275*$I275/12*3,0))))))</f>
        <v>0</v>
      </c>
      <c r="CM275" s="416">
        <f>IF($H275&lt;&gt;CP$5,0,IF(CP275&lt;0,IF(OR($J275=1,$J275=2,$J275=3,$J275=4),-$E275*$I275/12*3,IF($J275=5,-$E275*$I275/12*2,IF($J275=6,-$E275*$I275/12*1,0)))))+IF(CK$5&lt;&gt;$H275,0,IF(CK275&lt;0,IF($J275=4,-$E275*$I275/12*0,IF($J275=5,-$E275*$I275/12*1,IF($J275=6,-$E275*$I275/12*2,IF($J275&gt;=7,-$E275*$I275/12*3,0))))))</f>
        <v>0</v>
      </c>
      <c r="CN275" s="416">
        <f>IF($H275&lt;&gt;CP$5,0,IF(CP275&lt;0,IF(OR($J275=1,$J275=2,$J275=3,$J275=4,$J275=5,$J275=6,$J275=7),-$E275*$I275/12*3,IF($J275=8,-$E275*$I275/12*2,IF($J275=9,-$E275*$I275/12*1,0)))))+IF(CK$5&lt;&gt;$H275,0,IF(CK275&lt;0,IF($J275=7,-$E275*$I275/12*0,IF($J275=8,-$E275*$I275/12*1,IF($J275=9,-$E275*$I275/12*2,IF($J275&gt;=10,-$E275*$I275/12*3,0))))))</f>
        <v>0</v>
      </c>
      <c r="CO275" s="412">
        <f>IF($H275&lt;&gt;CP$5,0,IF(CP275&lt;0,IF(OR($J275=1,$J275=2,$J275=3,$J275=4,$J275=5,$J275=6,$J275=7,$J275=8,$J275=9,$J275=10),-$E275*$I275/12*3,IF($J275=11,-$E275*$I275/12*2,IF($J275=12,-$E275*$I275/12*1,0)))))+IF(CK$5&lt;&gt;$H275,0,IF(CK275&lt;0,IF($J275=10,-$E275*$I275/12*0,IF($J275=11,-$E275*$I275/12*1,IF($J275=12,-$E275*$I275/12*2,0)))))</f>
        <v>0</v>
      </c>
      <c r="CP275" s="413">
        <f>IF(AND(CK275&lt;&gt;0,CK$5=$H275),-$I275*$E275-CK275,IF(CP$5=$H275,-$I275*$E275*(12-$J275+1)/12,0))</f>
        <v>0</v>
      </c>
      <c r="CQ275" s="410">
        <f>IF($H275&lt;&gt;CU$5,0,IF(CU275&lt;0,IF($J275=1,-$E275*$I275/12*3,IF($J275=2,-$E275*$I275/12*2,IF($J275=3,-$E275*$I275/12*1,0)))))+IF(CP$5&lt;&gt;$H275,0,IF(CP275&lt;0,IF($J275=1,-$E275*$I275/12*0,IF($J275=2,-$E275*$I275/12*1,IF($J275=3,-$E275*$I275/12*2,IF($J275&gt;=4,-$E275*$I275/12*3,0))))))</f>
        <v>0</v>
      </c>
      <c r="CR275" s="416">
        <f>IF($H275&lt;&gt;CU$5,0,IF(CU275&lt;0,IF(OR($J275=1,$J275=2,$J275=3,$J275=4),-$E275*$I275/12*3,IF($J275=5,-$E275*$I275/12*2,IF($J275=6,-$E275*$I275/12*1,0)))))+IF(CP$5&lt;&gt;$H275,0,IF(CP275&lt;0,IF($J275=4,-$E275*$I275/12*0,IF($J275=5,-$E275*$I275/12*1,IF($J275=6,-$E275*$I275/12*2,IF($J275&gt;=7,-$E275*$I275/12*3,0))))))</f>
        <v>0</v>
      </c>
      <c r="CS275" s="416">
        <f>IF($H275&lt;&gt;CU$5,0,IF(CU275&lt;0,IF(OR($J275=1,$J275=2,$J275=3,$J275=4,$J275=5,$J275=6,$J275=7),-$E275*$I275/12*3,IF($J275=8,-$E275*$I275/12*2,IF($J275=9,-$E275*$I275/12*1,0)))))+IF(CP$5&lt;&gt;$H275,0,IF(CP275&lt;0,IF($J275=7,-$E275*$I275/12*0,IF($J275=8,-$E275*$I275/12*1,IF($J275=9,-$E275*$I275/12*2,IF($J275&gt;=10,-$E275*$I275/12*3,0))))))</f>
        <v>0</v>
      </c>
      <c r="CT275" s="412">
        <f>IF($H275&lt;&gt;CU$5,0,IF(CU275&lt;0,IF(OR($J275=1,$J275=2,$J275=3,$J275=4,$J275=5,$J275=6,$J275=7,$J275=8,$J275=9,$J275=10),-$E275*$I275/12*3,IF($J275=11,-$E275*$I275/12*2,IF($J275=12,-$E275*$I275/12*1,0)))))+IF(CP$5&lt;&gt;$H275,0,IF(CP275&lt;0,IF($J275=10,-$E275*$I275/12*0,IF($J275=11,-$E275*$I275/12*1,IF($J275=12,-$E275*$I275/12*2,0)))))</f>
        <v>0</v>
      </c>
      <c r="CU275" s="413">
        <f>IF(AND(CP275&lt;&gt;0,CP$5=$H275),-$I275*$E275-CP275,IF(CU$5=$H275,-$I275*$E275*(12-$J275+1)/12,0))</f>
        <v>0</v>
      </c>
      <c r="CV275" s="410">
        <f>IF($H275&lt;&gt;CZ$5,0,IF(CZ275&lt;0,IF($J275=1,-$E275*$I275/12*3,IF($J275=2,-$E275*$I275/12*2,IF($J275=3,-$E275*$I275/12*1,0)))))+IF(CU$5&lt;&gt;$H275,0,IF(CU275&lt;0,IF($J275=1,-$E275*$I275/12*0,IF($J275=2,-$E275*$I275/12*1,IF($J275=3,-$E275*$I275/12*2,IF($J275&gt;=4,-$E275*$I275/12*3,0))))))</f>
        <v>0</v>
      </c>
      <c r="CW275" s="416">
        <f>IF($H275&lt;&gt;CZ$5,0,IF(CZ275&lt;0,IF(OR($J275=1,$J275=2,$J275=3,$J275=4),-$E275*$I275/12*3,IF($J275=5,-$E275*$I275/12*2,IF($J275=6,-$E275*$I275/12*1,0)))))+IF(CU$5&lt;&gt;$H275,0,IF(CU275&lt;0,IF($J275=4,-$E275*$I275/12*0,IF($J275=5,-$E275*$I275/12*1,IF($J275=6,-$E275*$I275/12*2,IF($J275&gt;=7,-$E275*$I275/12*3,0))))))</f>
        <v>0</v>
      </c>
      <c r="CX275" s="416">
        <f>IF($H275&lt;&gt;CZ$5,0,IF(CZ275&lt;0,IF(OR($J275=1,$J275=2,$J275=3,$J275=4,$J275=5,$J275=6,$J275=7),-$E275*$I275/12*3,IF($J275=8,-$E275*$I275/12*2,IF($J275=9,-$E275*$I275/12*1,0)))))+IF(CU$5&lt;&gt;$H275,0,IF(CU275&lt;0,IF($J275=7,-$E275*$I275/12*0,IF($J275=8,-$E275*$I275/12*1,IF($J275=9,-$E275*$I275/12*2,IF($J275&gt;=10,-$E275*$I275/12*3,0))))))</f>
        <v>0</v>
      </c>
      <c r="CY275" s="412">
        <f>IF($H275&lt;&gt;CZ$5,0,IF(CZ275&lt;0,IF(OR($J275=1,$J275=2,$J275=3,$J275=4,$J275=5,$J275=6,$J275=7,$J275=8,$J275=9,$J275=10),-$E275*$I275/12*3,IF($J275=11,-$E275*$I275/12*2,IF($J275=12,-$E275*$I275/12*1,0)))))+IF(CU$5&lt;&gt;$H275,0,IF(CU275&lt;0,IF($J275=10,-$E275*$I275/12*0,IF($J275=11,-$E275*$I275/12*1,IF($J275=12,-$E275*$I275/12*2,0)))))</f>
        <v>0</v>
      </c>
      <c r="CZ275" s="413">
        <f>IF(AND(CU275&lt;&gt;0,CU$5=$H275),-$I275*$E275-CU275,IF(CZ$5=$H275,-$I275*$E275*(12-$J275+1)/12,0))</f>
        <v>0</v>
      </c>
      <c r="DA275" s="410">
        <f>IF($H275&lt;&gt;DE$5,0,IF(DE275&lt;0,IF($J275=1,-$E275*$I275/12*3,IF($J275=2,-$E275*$I275/12*2,IF($J275=3,-$E275*$I275/12*1,0)))))+IF(CZ$5&lt;&gt;$H275,0,IF(CZ275&lt;0,IF($J275=1,-$E275*$I275/12*0,IF($J275=2,-$E275*$I275/12*1,IF($J275=3,-$E275*$I275/12*2,IF($J275&gt;=4,-$E275*$I275/12*3,0))))))</f>
        <v>0</v>
      </c>
      <c r="DB275" s="416">
        <f>IF($H275&lt;&gt;DE$5,0,IF(DE275&lt;0,IF(OR($J275=1,$J275=2,$J275=3,$J275=4),-$E275*$I275/12*3,IF($J275=5,-$E275*$I275/12*2,IF($J275=6,-$E275*$I275/12*1,0)))))+IF(CZ$5&lt;&gt;$H275,0,IF(CZ275&lt;0,IF($J275=4,-$E275*$I275/12*0,IF($J275=5,-$E275*$I275/12*1,IF($J275=6,-$E275*$I275/12*2,IF($J275&gt;=7,-$E275*$I275/12*3,0))))))</f>
        <v>0</v>
      </c>
      <c r="DC275" s="416">
        <f>IF($H275&lt;&gt;DE$5,0,IF(DE275&lt;0,IF(OR($J275=1,$J275=2,$J275=3,$J275=4,$J275=5,$J275=6,$J275=7),-$E275*$I275/12*3,IF($J275=8,-$E275*$I275/12*2,IF($J275=9,-$E275*$I275/12*1,0)))))+IF(CZ$5&lt;&gt;$H275,0,IF(CZ275&lt;0,IF($J275=7,-$E275*$I275/12*0,IF($J275=8,-$E275*$I275/12*1,IF($J275=9,-$E275*$I275/12*2,IF($J275&gt;=10,-$E275*$I275/12*3,0))))))</f>
        <v>0</v>
      </c>
      <c r="DD275" s="412">
        <f>IF($H275&lt;&gt;DE$5,0,IF(DE275&lt;0,IF(OR($J275=1,$J275=2,$J275=3,$J275=4,$J275=5,$J275=6,$J275=7,$J275=8,$J275=9,$J275=10),-$E275*$I275/12*3,IF($J275=11,-$E275*$I275/12*2,IF($J275=12,-$E275*$I275/12*1,0)))))+IF(CZ$5&lt;&gt;$H275,0,IF(CZ275&lt;0,IF($J275=10,-$E275*$I275/12*0,IF($J275=11,-$E275*$I275/12*1,IF($J275=12,-$E275*$I275/12*2,0)))))</f>
        <v>0</v>
      </c>
      <c r="DE275" s="413">
        <f>IF(AND(CZ275&lt;&gt;0,CZ$5=$H275),-$I275*$E275-CZ275,IF(DE$5=$H275,-$I275*$E275*(12-$J275+1)/12,0))</f>
        <v>0</v>
      </c>
      <c r="DF275" s="410">
        <f>IF($H275&lt;&gt;DJ$5,0,IF(DJ275&lt;0,IF($J275=1,-$E275*$I275/12*3,IF($J275=2,-$E275*$I275/12*2,IF($J275=3,-$E275*$I275/12*1,0)))))+IF(DE$5&lt;&gt;$H275,0,IF(DE275&lt;0,IF($J275=1,-$E275*$I275/12*0,IF($J275=2,-$E275*$I275/12*1,IF($J275=3,-$E275*$I275/12*2,IF($J275&gt;=4,-$E275*$I275/12*3,0))))))</f>
        <v>0</v>
      </c>
      <c r="DG275" s="416">
        <f>IF($H275&lt;&gt;DJ$5,0,IF(DJ275&lt;0,IF(OR($J275=1,$J275=2,$J275=3,$J275=4),-$E275*$I275/12*3,IF($J275=5,-$E275*$I275/12*2,IF($J275=6,-$E275*$I275/12*1,0)))))+IF(DE$5&lt;&gt;$H275,0,IF(DE275&lt;0,IF($J275=4,-$E275*$I275/12*0,IF($J275=5,-$E275*$I275/12*1,IF($J275=6,-$E275*$I275/12*2,IF($J275&gt;=7,-$E275*$I275/12*3,0))))))</f>
        <v>0</v>
      </c>
      <c r="DH275" s="416">
        <f>IF($H275&lt;&gt;DJ$5,0,IF(DJ275&lt;0,IF(OR($J275=1,$J275=2,$J275=3,$J275=4,$J275=5,$J275=6,$J275=7),-$E275*$I275/12*3,IF($J275=8,-$E275*$I275/12*2,IF($J275=9,-$E275*$I275/12*1,0)))))+IF(DE$5&lt;&gt;$H275,0,IF(DE275&lt;0,IF($J275=7,-$E275*$I275/12*0,IF($J275=8,-$E275*$I275/12*1,IF($J275=9,-$E275*$I275/12*2,IF($J275&gt;=10,-$E275*$I275/12*3,0))))))</f>
        <v>0</v>
      </c>
      <c r="DI275" s="412">
        <f>IF($H275&lt;&gt;DJ$5,0,IF(DJ275&lt;0,IF(OR($J275=1,$J275=2,$J275=3,$J275=4,$J275=5,$J275=6,$J275=7,$J275=8,$J275=9,$J275=10),-$E275*$I275/12*3,IF($J275=11,-$E275*$I275/12*2,IF($J275=12,-$E275*$I275/12*1,0)))))+IF(DE$5&lt;&gt;$H275,0,IF(DE275&lt;0,IF($J275=10,-$E275*$I275/12*0,IF($J275=11,-$E275*$I275/12*1,IF($J275=12,-$E275*$I275/12*2,0)))))</f>
        <v>0</v>
      </c>
      <c r="DJ275" s="413">
        <f>IF(AND(DE275&lt;&gt;0,DE$5=$H275),-$I275*$E275-DE275,IF(DJ$5=$H275,-$I275*$E275*(12-$J275+1)/12,0))</f>
        <v>0</v>
      </c>
      <c r="DK275" s="410">
        <f>IF($H275&lt;&gt;DO$5,0,IF(DO275&lt;0,IF($J275=1,-$E275*$I275/12*3,IF($J275=2,-$E275*$I275/12*2,IF($J275=3,-$E275*$I275/12*1,0)))))+IF(DJ$5&lt;&gt;$H275,0,IF(DJ275&lt;0,IF($J275=1,-$E275*$I275/12*0,IF($J275=2,-$E275*$I275/12*1,IF($J275=3,-$E275*$I275/12*2,IF($J275&gt;=4,-$E275*$I275/12*3,0))))))</f>
        <v>0</v>
      </c>
      <c r="DL275" s="416">
        <f>IF($H275&lt;&gt;DO$5,0,IF(DO275&lt;0,IF(OR($J275=1,$J275=2,$J275=3,$J275=4),-$E275*$I275/12*3,IF($J275=5,-$E275*$I275/12*2,IF($J275=6,-$E275*$I275/12*1,0)))))+IF(DJ$5&lt;&gt;$H275,0,IF(DJ275&lt;0,IF($J275=4,-$E275*$I275/12*0,IF($J275=5,-$E275*$I275/12*1,IF($J275=6,-$E275*$I275/12*2,IF($J275&gt;=7,-$E275*$I275/12*3,0))))))</f>
        <v>0</v>
      </c>
      <c r="DM275" s="416">
        <f>IF($H275&lt;&gt;DO$5,0,IF(DO275&lt;0,IF(OR($J275=1,$J275=2,$J275=3,$J275=4,$J275=5,$J275=6,$J275=7),-$E275*$I275/12*3,IF($J275=8,-$E275*$I275/12*2,IF($J275=9,-$E275*$I275/12*1,0)))))+IF(DJ$5&lt;&gt;$H275,0,IF(DJ275&lt;0,IF($J275=7,-$E275*$I275/12*0,IF($J275=8,-$E275*$I275/12*1,IF($J275=9,-$E275*$I275/12*2,IF($J275&gt;=10,-$E275*$I275/12*3,0))))))</f>
        <v>0</v>
      </c>
      <c r="DN275" s="412">
        <f>IF($H275&lt;&gt;DO$5,0,IF(DO275&lt;0,IF(OR($J275=1,$J275=2,$J275=3,$J275=4,$J275=5,$J275=6,$J275=7,$J275=8,$J275=9,$J275=10),-$E275*$I275/12*3,IF($J275=11,-$E275*$I275/12*2,IF($J275=12,-$E275*$I275/12*1,0)))))+IF(DJ$5&lt;&gt;$H275,0,IF(DJ275&lt;0,IF($J275=10,-$E275*$I275/12*0,IF($J275=11,-$E275*$I275/12*1,IF($J275=12,-$E275*$I275/12*2,0)))))</f>
        <v>0</v>
      </c>
      <c r="DO275" s="413">
        <f>IF(AND(DJ275&lt;&gt;0,DJ$5=$H275),-$I275*$E275-DJ275,IF(DO$5=$H275,-$I275*$E275*(12-$J275+1)/12,0))</f>
        <v>0</v>
      </c>
      <c r="DP275" s="410">
        <f>IF($H275&lt;&gt;DT$5,0,IF(DT275&lt;0,IF($J275=1,-$E275*$I275/12*3,IF($J275=2,-$E275*$I275/12*2,IF($J275=3,-$E275*$I275/12*1,0)))))+IF(DO$5&lt;&gt;$H275,0,IF(DO275&lt;0,IF($J275=1,-$E275*$I275/12*0,IF($J275=2,-$E275*$I275/12*1,IF($J275=3,-$E275*$I275/12*2,IF($J275&gt;=4,-$E275*$I275/12*3,0))))))</f>
        <v>0</v>
      </c>
      <c r="DQ275" s="416">
        <f>IF($H275&lt;&gt;DT$5,0,IF(DT275&lt;0,IF(OR($J275=1,$J275=2,$J275=3,$J275=4),-$E275*$I275/12*3,IF($J275=5,-$E275*$I275/12*2,IF($J275=6,-$E275*$I275/12*1,0)))))+IF(DO$5&lt;&gt;$H275,0,IF(DO275&lt;0,IF($J275=4,-$E275*$I275/12*0,IF($J275=5,-$E275*$I275/12*1,IF($J275=6,-$E275*$I275/12*2,IF($J275&gt;=7,-$E275*$I275/12*3,0))))))</f>
        <v>0</v>
      </c>
      <c r="DR275" s="416">
        <f>IF($H275&lt;&gt;DT$5,0,IF(DT275&lt;0,IF(OR($J275=1,$J275=2,$J275=3,$J275=4,$J275=5,$J275=6,$J275=7),-$E275*$I275/12*3,IF($J275=8,-$E275*$I275/12*2,IF($J275=9,-$E275*$I275/12*1,0)))))+IF(DO$5&lt;&gt;$H275,0,IF(DO275&lt;0,IF($J275=7,-$E275*$I275/12*0,IF($J275=8,-$E275*$I275/12*1,IF($J275=9,-$E275*$I275/12*2,IF($J275&gt;=10,-$E275*$I275/12*3,0))))))</f>
        <v>0</v>
      </c>
      <c r="DS275" s="412">
        <f>IF($H275&lt;&gt;DT$5,0,IF(DT275&lt;0,IF(OR($J275=1,$J275=2,$J275=3,$J275=4,$J275=5,$J275=6,$J275=7,$J275=8,$J275=9,$J275=10),-$E275*$I275/12*3,IF($J275=11,-$E275*$I275/12*2,IF($J275=12,-$E275*$I275/12*1,0)))))+IF(DO$5&lt;&gt;$H275,0,IF(DO275&lt;0,IF($J275=10,-$E275*$I275/12*0,IF($J275=11,-$E275*$I275/12*1,IF($J275=12,-$E275*$I275/12*2,0)))))</f>
        <v>0</v>
      </c>
      <c r="DT275" s="413">
        <f>IF(AND(DO275&lt;&gt;0,DO$5=$H275),-$I275*$E275-DO275,IF(DT$5=$H275,-$I275*$E275*(12-$J275+1)/12,0))</f>
        <v>0</v>
      </c>
    </row>
    <row r="276" spans="1:124" ht="12.75" customHeight="1">
      <c r="A276" s="491"/>
      <c r="C276" s="1894" t="s">
        <v>1335</v>
      </c>
      <c r="D276" s="601"/>
      <c r="E276" s="1886">
        <f>IF(F276=0,G276,F276)</f>
        <v>300</v>
      </c>
      <c r="F276" s="1532">
        <v>300</v>
      </c>
      <c r="G276" s="1532">
        <v>0</v>
      </c>
      <c r="H276" s="610">
        <v>2047</v>
      </c>
      <c r="I276" s="1533">
        <v>3.7999999999999999E-2</v>
      </c>
      <c r="J276" s="615">
        <v>9</v>
      </c>
      <c r="K276" s="402"/>
      <c r="L276" s="407">
        <f>IF(L$5=$H276,-$E276,0)</f>
        <v>0</v>
      </c>
      <c r="M276" s="404">
        <f>IF(Q276=0,0,IF(Q276&lt;0,IF($J276=3,Q276,IF($J276=2,Q276,IF($J276=1,Q276,0)))))</f>
        <v>0</v>
      </c>
      <c r="N276" s="414">
        <f>IF(Q276=0,0,IF(Q276&lt;0,IF($J276=6,Q276,IF($J276=5,Q276,IF($J276=4,Q276,0)))))</f>
        <v>0</v>
      </c>
      <c r="O276" s="414">
        <f>IF(Q276=0,0,IF(Q276&lt;0,IF($J276=9,Q276,IF($J276=8,Q276,IF($J276=7,Q276,0)))))</f>
        <v>0</v>
      </c>
      <c r="P276" s="406">
        <f>IF(Q276=0,0,IF(Q276&lt;0,IF($J276=12,Q276,IF($J276=11,Q276,IF($J276=10,Q276,0)))))</f>
        <v>0</v>
      </c>
      <c r="Q276" s="407">
        <f>IF(Q$5=$H276,-$E276,0)</f>
        <v>0</v>
      </c>
      <c r="R276" s="404">
        <f>IF(V276=0,0,IF(V276&lt;0,IF($J276=3,V276,IF($J276=2,V276,IF($J276=1,V276,0)))))</f>
        <v>0</v>
      </c>
      <c r="S276" s="414">
        <f>IF(V276=0,0,IF(V276&lt;0,IF($J276=6,V276,IF($J276=5,V276,IF($J276=4,V276,0)))))</f>
        <v>0</v>
      </c>
      <c r="T276" s="414">
        <f>IF(V276=0,0,IF(V276&lt;0,IF($J276=9,V276,IF($J276=8,V276,IF($J276=7,V276,0)))))</f>
        <v>0</v>
      </c>
      <c r="U276" s="406">
        <f>IF(V276=0,0,IF(V276&lt;0,IF($J276=12,V276,IF($J276=11,V276,IF($J276=10,V276,0)))))</f>
        <v>0</v>
      </c>
      <c r="V276" s="407">
        <f>IF(V$5=$H276,-$E276,0)</f>
        <v>0</v>
      </c>
      <c r="W276" s="404">
        <f>IF(AA276=0,0,IF(AA276&lt;0,IF($J276=3,AA276,IF($J276=2,AA276,IF($J276=1,AA276,0)))))</f>
        <v>0</v>
      </c>
      <c r="X276" s="414">
        <f>IF(AA276=0,0,IF(AA276&lt;0,IF($J276=6,AA276,IF($J276=5,AA276,IF($J276=4,AA276,0)))))</f>
        <v>0</v>
      </c>
      <c r="Y276" s="414">
        <f>IF(AA276=0,0,IF(AA276&lt;0,IF($J276=9,AA276,IF($J276=8,AA276,IF($J276=7,AA276,0)))))</f>
        <v>0</v>
      </c>
      <c r="Z276" s="406">
        <f>IF(AA276=0,0,IF(AA276&lt;0,IF($J276=12,AA276,IF($J276=11,AA276,IF($J276=10,AA276,0)))))</f>
        <v>0</v>
      </c>
      <c r="AA276" s="407">
        <f>IF(AA$5=$H276,-$E276,0)</f>
        <v>0</v>
      </c>
      <c r="AB276" s="404">
        <f>IF(AF276=0,0,IF(AF276&lt;0,IF($J276=3,AF276,IF($J276=2,AF276,IF($J276=1,AF276,0)))))</f>
        <v>0</v>
      </c>
      <c r="AC276" s="414">
        <f>IF(AF276=0,0,IF(AF276&lt;0,IF($J276=6,AF276,IF($J276=5,AF276,IF($J276=4,AF276,0)))))</f>
        <v>0</v>
      </c>
      <c r="AD276" s="414">
        <f>IF(AF276=0,0,IF(AF276&lt;0,IF($J276=9,AF276,IF($J276=8,AF276,IF($J276=7,AF276,0)))))</f>
        <v>0</v>
      </c>
      <c r="AE276" s="406">
        <f>IF(AF276=0,0,IF(AF276&lt;0,IF($J276=12,AF276,IF($J276=11,AF276,IF($J276=10,AF276,0)))))</f>
        <v>0</v>
      </c>
      <c r="AF276" s="407">
        <f>IF(AF$5=$H276,-$E276,0)</f>
        <v>0</v>
      </c>
      <c r="AG276" s="404">
        <f>IF(AK276=0,0,IF(AK276&lt;0,IF($J276=3,AK276,IF($J276=2,AK276,IF($J276=1,AK276,0)))))</f>
        <v>0</v>
      </c>
      <c r="AH276" s="414">
        <f>IF(AK276=0,0,IF(AK276&lt;0,IF($J276=6,AK276,IF($J276=5,AK276,IF($J276=4,AK276,0)))))</f>
        <v>0</v>
      </c>
      <c r="AI276" s="414">
        <f>IF(AK276=0,0,IF(AK276&lt;0,IF($J276=9,AK276,IF($J276=8,AK276,IF($J276=7,AK276,0)))))</f>
        <v>0</v>
      </c>
      <c r="AJ276" s="406">
        <f>IF(AK276=0,0,IF(AK276&lt;0,IF($J276=12,AK276,IF($J276=11,AK276,IF($J276=10,AK276,0)))))</f>
        <v>0</v>
      </c>
      <c r="AK276" s="407">
        <f>IF(AK$5=$H276,-$E276,0)</f>
        <v>0</v>
      </c>
      <c r="AL276" s="404">
        <f>IF(AP276=0,0,IF(AP276&lt;0,IF($J276=3,AP276,IF($J276=2,AP276,IF($J276=1,AP276,0)))))</f>
        <v>0</v>
      </c>
      <c r="AM276" s="414">
        <f>IF(AP276=0,0,IF(AP276&lt;0,IF($J276=6,AP276,IF($J276=5,AP276,IF($J276=4,AP276,0)))))</f>
        <v>0</v>
      </c>
      <c r="AN276" s="414">
        <f>IF(AP276=0,0,IF(AP276&lt;0,IF($J276=9,AP276,IF($J276=8,AP276,IF($J276=7,AP276,0)))))</f>
        <v>0</v>
      </c>
      <c r="AO276" s="406">
        <f>IF(AP276=0,0,IF(AP276&lt;0,IF($J276=12,AP276,IF($J276=11,AP276,IF($J276=10,AP276,0)))))</f>
        <v>0</v>
      </c>
      <c r="AP276" s="407">
        <f>IF(AP$5=$H276,-$E276,0)</f>
        <v>0</v>
      </c>
      <c r="AQ276" s="404">
        <f>IF(AU276=0,0,IF(AU276&lt;0,IF($J276=3,AU276,IF($J276=2,AU276,IF($J276=1,AU276,0)))))</f>
        <v>0</v>
      </c>
      <c r="AR276" s="414">
        <f>IF(AU276=0,0,IF(AU276&lt;0,IF($J276=6,AU276,IF($J276=5,AU276,IF($J276=4,AU276,0)))))</f>
        <v>0</v>
      </c>
      <c r="AS276" s="414">
        <f>IF(AU276=0,0,IF(AU276&lt;0,IF($J276=9,AU276,IF($J276=8,AU276,IF($J276=7,AU276,0)))))</f>
        <v>0</v>
      </c>
      <c r="AT276" s="406">
        <f>IF(AU276=0,0,IF(AU276&lt;0,IF($J276=12,AU276,IF($J276=11,AU276,IF($J276=10,AU276,0)))))</f>
        <v>0</v>
      </c>
      <c r="AU276" s="407">
        <f>IF(AU$5=$H276,-$E276,0)</f>
        <v>0</v>
      </c>
      <c r="AV276" s="404">
        <f>IF(AZ276=0,0,IF(AZ276&lt;0,IF($J276=3,AZ276,IF($J276=2,AZ276,IF($J276=1,AZ276,0)))))</f>
        <v>0</v>
      </c>
      <c r="AW276" s="414">
        <f>IF(AZ276=0,0,IF(AZ276&lt;0,IF($J276=6,AZ276,IF($J276=5,AZ276,IF($J276=4,AZ276,0)))))</f>
        <v>0</v>
      </c>
      <c r="AX276" s="414">
        <f>IF(AZ276=0,0,IF(AZ276&lt;0,IF($J276=9,AZ276,IF($J276=8,AZ276,IF($J276=7,AZ276,0)))))</f>
        <v>0</v>
      </c>
      <c r="AY276" s="406">
        <f>IF(AZ276=0,0,IF(AZ276&lt;0,IF($J276=12,AZ276,IF($J276=11,AZ276,IF($J276=10,AZ276,0)))))</f>
        <v>0</v>
      </c>
      <c r="AZ276" s="407">
        <f>IF(AZ$5=$H276,-$E276,0)</f>
        <v>0</v>
      </c>
      <c r="BA276" s="404">
        <f>IF(BE276=0,0,IF(BE276&lt;0,IF($J276=3,BE276,IF($J276=2,BE276,IF($J276=1,BE276,0)))))</f>
        <v>0</v>
      </c>
      <c r="BB276" s="414">
        <f>IF(BE276=0,0,IF(BE276&lt;0,IF($J276=6,BE276,IF($J276=5,BE276,IF($J276=4,BE276,0)))))</f>
        <v>0</v>
      </c>
      <c r="BC276" s="414">
        <f>IF(BE276=0,0,IF(BE276&lt;0,IF($J276=9,BE276,IF($J276=8,BE276,IF($J276=7,BE276,0)))))</f>
        <v>0</v>
      </c>
      <c r="BD276" s="406">
        <f>IF(BE276=0,0,IF(BE276&lt;0,IF($J276=12,BE276,IF($J276=11,BE276,IF($J276=10,BE276,0)))))</f>
        <v>0</v>
      </c>
      <c r="BE276" s="407">
        <f>IF(BE$5=$H276,-$E276,0)</f>
        <v>0</v>
      </c>
      <c r="BF276" s="404">
        <f>IF(BJ276=0,0,IF(BJ276&lt;0,IF($J276=3,BJ276,IF($J276=2,BJ276,IF($J276=1,BJ276,0)))))</f>
        <v>0</v>
      </c>
      <c r="BG276" s="414">
        <f>IF(BJ276=0,0,IF(BJ276&lt;0,IF($J276=6,BJ276,IF($J276=5,BJ276,IF($J276=4,BJ276,0)))))</f>
        <v>0</v>
      </c>
      <c r="BH276" s="414">
        <f>IF(BJ276=0,0,IF(BJ276&lt;0,IF($J276=9,BJ276,IF($J276=8,BJ276,IF($J276=7,BJ276,0)))))</f>
        <v>0</v>
      </c>
      <c r="BI276" s="406">
        <f>IF(BJ276=0,0,IF(BJ276&lt;0,IF($J276=12,BJ276,IF($J276=11,BJ276,IF($J276=10,BJ276,0)))))</f>
        <v>0</v>
      </c>
      <c r="BJ276" s="407">
        <f>IF(BJ$5=$H276,-$E276,0)</f>
        <v>0</v>
      </c>
      <c r="BK276" s="404">
        <f>IF(BO276=0,0,IF(BO276&lt;0,IF($J276=3,BO276,IF($J276=2,BO276,IF($J276=1,BO276,0)))))</f>
        <v>0</v>
      </c>
      <c r="BL276" s="414">
        <f>IF(BO276=0,0,IF(BO276&lt;0,IF($J276=6,BO276,IF($J276=5,BO276,IF($J276=4,BO276,0)))))</f>
        <v>0</v>
      </c>
      <c r="BM276" s="414">
        <f>IF(BO276=0,0,IF(BO276&lt;0,IF($J276=9,BO276,IF($J276=8,BO276,IF($J276=7,BO276,0)))))</f>
        <v>0</v>
      </c>
      <c r="BN276" s="406">
        <f>IF(BO276=0,0,IF(BO276&lt;0,IF($J276=12,BO276,IF($J276=11,BO276,IF($J276=10,BO276,0)))))</f>
        <v>0</v>
      </c>
      <c r="BO276" s="407">
        <f>IF(BO$5=$H276,-$E276,0)</f>
        <v>0</v>
      </c>
      <c r="BP276" s="449"/>
      <c r="BQ276" s="413">
        <f>IF(AND(AH276&lt;&gt;0,AH$5=$H276),-$I276*$E276-AH276,IF(BQ$5=$H276,-$I276*$E276*(12-$J276+1)/12,0))</f>
        <v>0</v>
      </c>
      <c r="BR276" s="410">
        <f>IF($H276&lt;&gt;BV$5,0,IF(BV276&lt;0,IF($J276=1,-$E276*$I276/12*3,IF($J276=2,-$E276*$I276/12*2,IF($J276=3,-$E276*$I276/12*1,0)))))+IF(BQ$5&lt;&gt;$H276,0,IF(BQ276&lt;0,IF($J276=1,-$E276*$I276/12*0,IF($J276=2,-$E276*$I276/12*1,IF($J276=3,-$E276*$I276/12*2,IF($J276&gt;=4,-$E276*$I276/12*3,0))))))</f>
        <v>0</v>
      </c>
      <c r="BS276" s="416">
        <f>IF($H276&lt;&gt;BV$5,0,IF(BV276&lt;0,IF(OR($J276=1,$J276=2,$J276=3,$J276=4),-$E276*$I276/12*3,IF($J276=5,-$E276*$I276/12*2,IF($J276=6,-$E276*$I276/12*1,0)))))+IF(BQ$5&lt;&gt;$H276,0,IF(BQ276&lt;0,IF($J276=4,-$E276*$I276/12*0,IF($J276=5,-$E276*$I276/12*1,IF($J276=6,-$E276*$I276/12*2,IF($J276&gt;=7,-$E276*$I276/12*3,0))))))</f>
        <v>0</v>
      </c>
      <c r="BT276" s="416">
        <f>IF($H276&lt;&gt;BV$5,0,IF(BV276&lt;0,IF(OR($J276=1,$J276=2,$J276=3,$J276=4,$J276=5,$J276=6,$J276=7),-$E276*$I276/12*3,IF($J276=8,-$E276*$I276/12*2,IF($J276=9,-$E276*$I276/12*1,0)))))+IF(BQ$5&lt;&gt;$H276,0,IF(BQ276&lt;0,IF($J276=7,-$E276*$I276/12*0,IF($J276=8,-$E276*$I276/12*1,IF($J276=9,-$E276*$I276/12*2,IF($J276&gt;=10,-$E276*$I276/12*3,0))))))</f>
        <v>0</v>
      </c>
      <c r="BU276" s="412">
        <f>IF($H276&lt;&gt;BV$5,0,IF(BV276&lt;0,IF(OR($J276=1,$J276=2,$J276=3,$J276=4,$J276=5,$J276=6,$J276=7,$J276=8,$J276=9,$J276=10),-$E276*$I276/12*3,IF($J276=11,-$E276*$I276/12*2,IF($J276=12,-$E276*$I276/12*1,0)))))+IF(BQ$5&lt;&gt;$H276,0,IF(BQ276&lt;0,IF($J276=10,-$E276*$I276/12*0,IF($J276=11,-$E276*$I276/12*1,IF($J276=12,-$E276*$I276/12*2,0)))))</f>
        <v>0</v>
      </c>
      <c r="BV276" s="413">
        <f>IF(AND(BQ276&lt;&gt;0,BQ$5=$H276),-$I276*$E276-BQ276,IF(BV$5=$H276,-$I276*$E276*(12-$J276+1)/12,0))</f>
        <v>0</v>
      </c>
      <c r="BW276" s="410">
        <f>IF($H276&lt;&gt;CA$5,0,IF(CA276&lt;0,IF($J276=1,-$E276*$I276/12*3,IF($J276=2,-$E276*$I276/12*2,IF($J276=3,-$E276*$I276/12*1,0)))))+IF(BV$5&lt;&gt;$H276,0,IF(BV276&lt;0,IF($J276=1,-$E276*$I276/12*0,IF($J276=2,-$E276*$I276/12*1,IF($J276=3,-$E276*$I276/12*2,IF($J276&gt;=4,-$E276*$I276/12*3,0))))))</f>
        <v>0</v>
      </c>
      <c r="BX276" s="416">
        <f>IF($H276&lt;&gt;CA$5,0,IF(CA276&lt;0,IF(OR($J276=1,$J276=2,$J276=3,$J276=4),-$E276*$I276/12*3,IF($J276=5,-$E276*$I276/12*2,IF($J276=6,-$E276*$I276/12*1,0)))))+IF(BV$5&lt;&gt;$H276,0,IF(BV276&lt;0,IF($J276=4,-$E276*$I276/12*0,IF($J276=5,-$E276*$I276/12*1,IF($J276=6,-$E276*$I276/12*2,IF($J276&gt;=7,-$E276*$I276/12*3,0))))))</f>
        <v>0</v>
      </c>
      <c r="BY276" s="416">
        <f>IF($H276&lt;&gt;CA$5,0,IF(CA276&lt;0,IF(OR($J276=1,$J276=2,$J276=3,$J276=4,$J276=5,$J276=6,$J276=7),-$E276*$I276/12*3,IF($J276=8,-$E276*$I276/12*2,IF($J276=9,-$E276*$I276/12*1,0)))))+IF(BV$5&lt;&gt;$H276,0,IF(BV276&lt;0,IF($J276=7,-$E276*$I276/12*0,IF($J276=8,-$E276*$I276/12*1,IF($J276=9,-$E276*$I276/12*2,IF($J276&gt;=10,-$E276*$I276/12*3,0))))))</f>
        <v>0</v>
      </c>
      <c r="BZ276" s="412">
        <f>IF($H276&lt;&gt;CA$5,0,IF(CA276&lt;0,IF(OR($J276=1,$J276=2,$J276=3,$J276=4,$J276=5,$J276=6,$J276=7,$J276=8,$J276=9,$J276=10),-$E276*$I276/12*3,IF($J276=11,-$E276*$I276/12*2,IF($J276=12,-$E276*$I276/12*1,0)))))+IF(BV$5&lt;&gt;$H276,0,IF(BV276&lt;0,IF($J276=10,-$E276*$I276/12*0,IF($J276=11,-$E276*$I276/12*1,IF($J276=12,-$E276*$I276/12*2,0)))))</f>
        <v>0</v>
      </c>
      <c r="CA276" s="413">
        <f>IF(AND(BV276&lt;&gt;0,BV$5=$H276),-$I276*$E276-BV276,IF(CA$5=$H276,-$I276*$E276*(12-$J276+1)/12,0))</f>
        <v>0</v>
      </c>
      <c r="CB276" s="410">
        <f>IF($H276&lt;&gt;CF$5,0,IF(CF276&lt;0,IF($J276=1,-$E276*$I276/12*3,IF($J276=2,-$E276*$I276/12*2,IF($J276=3,-$E276*$I276/12*1,0)))))+IF(CA$5&lt;&gt;$H276,0,IF(CA276&lt;0,IF($J276=1,-$E276*$I276/12*0,IF($J276=2,-$E276*$I276/12*1,IF($J276=3,-$E276*$I276/12*2,IF($J276&gt;=4,-$E276*$I276/12*3,0))))))</f>
        <v>0</v>
      </c>
      <c r="CC276" s="416">
        <f>IF($H276&lt;&gt;CF$5,0,IF(CF276&lt;0,IF(OR($J276=1,$J276=2,$J276=3,$J276=4),-$E276*$I276/12*3,IF($J276=5,-$E276*$I276/12*2,IF($J276=6,-$E276*$I276/12*1,0)))))+IF(CA$5&lt;&gt;$H276,0,IF(CA276&lt;0,IF($J276=4,-$E276*$I276/12*0,IF($J276=5,-$E276*$I276/12*1,IF($J276=6,-$E276*$I276/12*2,IF($J276&gt;=7,-$E276*$I276/12*3,0))))))</f>
        <v>0</v>
      </c>
      <c r="CD276" s="416">
        <f>IF($H276&lt;&gt;CF$5,0,IF(CF276&lt;0,IF(OR($J276=1,$J276=2,$J276=3,$J276=4,$J276=5,$J276=6,$J276=7),-$E276*$I276/12*3,IF($J276=8,-$E276*$I276/12*2,IF($J276=9,-$E276*$I276/12*1,0)))))+IF(CA$5&lt;&gt;$H276,0,IF(CA276&lt;0,IF($J276=7,-$E276*$I276/12*0,IF($J276=8,-$E276*$I276/12*1,IF($J276=9,-$E276*$I276/12*2,IF($J276&gt;=10,-$E276*$I276/12*3,0))))))</f>
        <v>0</v>
      </c>
      <c r="CE276" s="412">
        <f>IF($H276&lt;&gt;CF$5,0,IF(CF276&lt;0,IF(OR($J276=1,$J276=2,$J276=3,$J276=4,$J276=5,$J276=6,$J276=7,$J276=8,$J276=9,$J276=10),-$E276*$I276/12*3,IF($J276=11,-$E276*$I276/12*2,IF($J276=12,-$E276*$I276/12*1,0)))))+IF(CA$5&lt;&gt;$H276,0,IF(CA276&lt;0,IF($J276=10,-$E276*$I276/12*0,IF($J276=11,-$E276*$I276/12*1,IF($J276=12,-$E276*$I276/12*2,0)))))</f>
        <v>0</v>
      </c>
      <c r="CF276" s="413">
        <f>IF(AND(CA276&lt;&gt;0,CA$5=$H276),-$I276*$E276-CA276,IF(CF$5=$H276,-$I276*$E276*(12-$J276+1)/12,0))</f>
        <v>0</v>
      </c>
      <c r="CG276" s="410">
        <f>IF($H276&lt;&gt;CK$5,0,IF(CK276&lt;0,IF($J276=1,-$E276*$I276/12*3,IF($J276=2,-$E276*$I276/12*2,IF($J276=3,-$E276*$I276/12*1,0)))))+IF(CF$5&lt;&gt;$H276,0,IF(CF276&lt;0,IF($J276=1,-$E276*$I276/12*0,IF($J276=2,-$E276*$I276/12*1,IF($J276=3,-$E276*$I276/12*2,IF($J276&gt;=4,-$E276*$I276/12*3,0))))))</f>
        <v>0</v>
      </c>
      <c r="CH276" s="416">
        <f>IF($H276&lt;&gt;CK$5,0,IF(CK276&lt;0,IF(OR($J276=1,$J276=2,$J276=3,$J276=4),-$E276*$I276/12*3,IF($J276=5,-$E276*$I276/12*2,IF($J276=6,-$E276*$I276/12*1,0)))))+IF(CF$5&lt;&gt;$H276,0,IF(CF276&lt;0,IF($J276=4,-$E276*$I276/12*0,IF($J276=5,-$E276*$I276/12*1,IF($J276=6,-$E276*$I276/12*2,IF($J276&gt;=7,-$E276*$I276/12*3,0))))))</f>
        <v>0</v>
      </c>
      <c r="CI276" s="416">
        <f>IF($H276&lt;&gt;CK$5,0,IF(CK276&lt;0,IF(OR($J276=1,$J276=2,$J276=3,$J276=4,$J276=5,$J276=6,$J276=7),-$E276*$I276/12*3,IF($J276=8,-$E276*$I276/12*2,IF($J276=9,-$E276*$I276/12*1,0)))))+IF(CF$5&lt;&gt;$H276,0,IF(CF276&lt;0,IF($J276=7,-$E276*$I276/12*0,IF($J276=8,-$E276*$I276/12*1,IF($J276=9,-$E276*$I276/12*2,IF($J276&gt;=10,-$E276*$I276/12*3,0))))))</f>
        <v>0</v>
      </c>
      <c r="CJ276" s="412">
        <f>IF($H276&lt;&gt;CK$5,0,IF(CK276&lt;0,IF(OR($J276=1,$J276=2,$J276=3,$J276=4,$J276=5,$J276=6,$J276=7,$J276=8,$J276=9,$J276=10),-$E276*$I276/12*3,IF($J276=11,-$E276*$I276/12*2,IF($J276=12,-$E276*$I276/12*1,0)))))+IF(CF$5&lt;&gt;$H276,0,IF(CF276&lt;0,IF($J276=10,-$E276*$I276/12*0,IF($J276=11,-$E276*$I276/12*1,IF($J276=12,-$E276*$I276/12*2,0)))))</f>
        <v>0</v>
      </c>
      <c r="CK276" s="413">
        <f>IF(AND(CF276&lt;&gt;0,CF$5=$H276),-$I276*$E276-CF276,IF(CK$5=$H276,-$I276*$E276*(12-$J276+1)/12,0))</f>
        <v>0</v>
      </c>
      <c r="CL276" s="410">
        <f>IF($H276&lt;&gt;CP$5,0,IF(CP276&lt;0,IF($J276=1,-$E276*$I276/12*3,IF($J276=2,-$E276*$I276/12*2,IF($J276=3,-$E276*$I276/12*1,0)))))+IF(CK$5&lt;&gt;$H276,0,IF(CK276&lt;0,IF($J276=1,-$E276*$I276/12*0,IF($J276=2,-$E276*$I276/12*1,IF($J276=3,-$E276*$I276/12*2,IF($J276&gt;=4,-$E276*$I276/12*3,0))))))</f>
        <v>0</v>
      </c>
      <c r="CM276" s="416">
        <f>IF($H276&lt;&gt;CP$5,0,IF(CP276&lt;0,IF(OR($J276=1,$J276=2,$J276=3,$J276=4),-$E276*$I276/12*3,IF($J276=5,-$E276*$I276/12*2,IF($J276=6,-$E276*$I276/12*1,0)))))+IF(CK$5&lt;&gt;$H276,0,IF(CK276&lt;0,IF($J276=4,-$E276*$I276/12*0,IF($J276=5,-$E276*$I276/12*1,IF($J276=6,-$E276*$I276/12*2,IF($J276&gt;=7,-$E276*$I276/12*3,0))))))</f>
        <v>0</v>
      </c>
      <c r="CN276" s="416">
        <f>IF($H276&lt;&gt;CP$5,0,IF(CP276&lt;0,IF(OR($J276=1,$J276=2,$J276=3,$J276=4,$J276=5,$J276=6,$J276=7),-$E276*$I276/12*3,IF($J276=8,-$E276*$I276/12*2,IF($J276=9,-$E276*$I276/12*1,0)))))+IF(CK$5&lt;&gt;$H276,0,IF(CK276&lt;0,IF($J276=7,-$E276*$I276/12*0,IF($J276=8,-$E276*$I276/12*1,IF($J276=9,-$E276*$I276/12*2,IF($J276&gt;=10,-$E276*$I276/12*3,0))))))</f>
        <v>0</v>
      </c>
      <c r="CO276" s="412">
        <f>IF($H276&lt;&gt;CP$5,0,IF(CP276&lt;0,IF(OR($J276=1,$J276=2,$J276=3,$J276=4,$J276=5,$J276=6,$J276=7,$J276=8,$J276=9,$J276=10),-$E276*$I276/12*3,IF($J276=11,-$E276*$I276/12*2,IF($J276=12,-$E276*$I276/12*1,0)))))+IF(CK$5&lt;&gt;$H276,0,IF(CK276&lt;0,IF($J276=10,-$E276*$I276/12*0,IF($J276=11,-$E276*$I276/12*1,IF($J276=12,-$E276*$I276/12*2,0)))))</f>
        <v>0</v>
      </c>
      <c r="CP276" s="413">
        <f>IF(AND(CK276&lt;&gt;0,CK$5=$H276),-$I276*$E276-CK276,IF(CP$5=$H276,-$I276*$E276*(12-$J276+1)/12,0))</f>
        <v>0</v>
      </c>
      <c r="CQ276" s="410">
        <f>IF($H276&lt;&gt;CU$5,0,IF(CU276&lt;0,IF($J276=1,-$E276*$I276/12*3,IF($J276=2,-$E276*$I276/12*2,IF($J276=3,-$E276*$I276/12*1,0)))))+IF(CP$5&lt;&gt;$H276,0,IF(CP276&lt;0,IF($J276=1,-$E276*$I276/12*0,IF($J276=2,-$E276*$I276/12*1,IF($J276=3,-$E276*$I276/12*2,IF($J276&gt;=4,-$E276*$I276/12*3,0))))))</f>
        <v>0</v>
      </c>
      <c r="CR276" s="416">
        <f>IF($H276&lt;&gt;CU$5,0,IF(CU276&lt;0,IF(OR($J276=1,$J276=2,$J276=3,$J276=4),-$E276*$I276/12*3,IF($J276=5,-$E276*$I276/12*2,IF($J276=6,-$E276*$I276/12*1,0)))))+IF(CP$5&lt;&gt;$H276,0,IF(CP276&lt;0,IF($J276=4,-$E276*$I276/12*0,IF($J276=5,-$E276*$I276/12*1,IF($J276=6,-$E276*$I276/12*2,IF($J276&gt;=7,-$E276*$I276/12*3,0))))))</f>
        <v>0</v>
      </c>
      <c r="CS276" s="416">
        <f>IF($H276&lt;&gt;CU$5,0,IF(CU276&lt;0,IF(OR($J276=1,$J276=2,$J276=3,$J276=4,$J276=5,$J276=6,$J276=7),-$E276*$I276/12*3,IF($J276=8,-$E276*$I276/12*2,IF($J276=9,-$E276*$I276/12*1,0)))))+IF(CP$5&lt;&gt;$H276,0,IF(CP276&lt;0,IF($J276=7,-$E276*$I276/12*0,IF($J276=8,-$E276*$I276/12*1,IF($J276=9,-$E276*$I276/12*2,IF($J276&gt;=10,-$E276*$I276/12*3,0))))))</f>
        <v>0</v>
      </c>
      <c r="CT276" s="412">
        <f>IF($H276&lt;&gt;CU$5,0,IF(CU276&lt;0,IF(OR($J276=1,$J276=2,$J276=3,$J276=4,$J276=5,$J276=6,$J276=7,$J276=8,$J276=9,$J276=10),-$E276*$I276/12*3,IF($J276=11,-$E276*$I276/12*2,IF($J276=12,-$E276*$I276/12*1,0)))))+IF(CP$5&lt;&gt;$H276,0,IF(CP276&lt;0,IF($J276=10,-$E276*$I276/12*0,IF($J276=11,-$E276*$I276/12*1,IF($J276=12,-$E276*$I276/12*2,0)))))</f>
        <v>0</v>
      </c>
      <c r="CU276" s="413">
        <f>IF(AND(CP276&lt;&gt;0,CP$5=$H276),-$I276*$E276-CP276,IF(CU$5=$H276,-$I276*$E276*(12-$J276+1)/12,0))</f>
        <v>0</v>
      </c>
      <c r="CV276" s="410">
        <f>IF($H276&lt;&gt;CZ$5,0,IF(CZ276&lt;0,IF($J276=1,-$E276*$I276/12*3,IF($J276=2,-$E276*$I276/12*2,IF($J276=3,-$E276*$I276/12*1,0)))))+IF(CU$5&lt;&gt;$H276,0,IF(CU276&lt;0,IF($J276=1,-$E276*$I276/12*0,IF($J276=2,-$E276*$I276/12*1,IF($J276=3,-$E276*$I276/12*2,IF($J276&gt;=4,-$E276*$I276/12*3,0))))))</f>
        <v>0</v>
      </c>
      <c r="CW276" s="416">
        <f>IF($H276&lt;&gt;CZ$5,0,IF(CZ276&lt;0,IF(OR($J276=1,$J276=2,$J276=3,$J276=4),-$E276*$I276/12*3,IF($J276=5,-$E276*$I276/12*2,IF($J276=6,-$E276*$I276/12*1,0)))))+IF(CU$5&lt;&gt;$H276,0,IF(CU276&lt;0,IF($J276=4,-$E276*$I276/12*0,IF($J276=5,-$E276*$I276/12*1,IF($J276=6,-$E276*$I276/12*2,IF($J276&gt;=7,-$E276*$I276/12*3,0))))))</f>
        <v>0</v>
      </c>
      <c r="CX276" s="416">
        <f>IF($H276&lt;&gt;CZ$5,0,IF(CZ276&lt;0,IF(OR($J276=1,$J276=2,$J276=3,$J276=4,$J276=5,$J276=6,$J276=7),-$E276*$I276/12*3,IF($J276=8,-$E276*$I276/12*2,IF($J276=9,-$E276*$I276/12*1,0)))))+IF(CU$5&lt;&gt;$H276,0,IF(CU276&lt;0,IF($J276=7,-$E276*$I276/12*0,IF($J276=8,-$E276*$I276/12*1,IF($J276=9,-$E276*$I276/12*2,IF($J276&gt;=10,-$E276*$I276/12*3,0))))))</f>
        <v>0</v>
      </c>
      <c r="CY276" s="412">
        <f>IF($H276&lt;&gt;CZ$5,0,IF(CZ276&lt;0,IF(OR($J276=1,$J276=2,$J276=3,$J276=4,$J276=5,$J276=6,$J276=7,$J276=8,$J276=9,$J276=10),-$E276*$I276/12*3,IF($J276=11,-$E276*$I276/12*2,IF($J276=12,-$E276*$I276/12*1,0)))))+IF(CU$5&lt;&gt;$H276,0,IF(CU276&lt;0,IF($J276=10,-$E276*$I276/12*0,IF($J276=11,-$E276*$I276/12*1,IF($J276=12,-$E276*$I276/12*2,0)))))</f>
        <v>0</v>
      </c>
      <c r="CZ276" s="413">
        <f>IF(AND(CU276&lt;&gt;0,CU$5=$H276),-$I276*$E276-CU276,IF(CZ$5=$H276,-$I276*$E276*(12-$J276+1)/12,0))</f>
        <v>0</v>
      </c>
      <c r="DA276" s="410">
        <f>IF($H276&lt;&gt;DE$5,0,IF(DE276&lt;0,IF($J276=1,-$E276*$I276/12*3,IF($J276=2,-$E276*$I276/12*2,IF($J276=3,-$E276*$I276/12*1,0)))))+IF(CZ$5&lt;&gt;$H276,0,IF(CZ276&lt;0,IF($J276=1,-$E276*$I276/12*0,IF($J276=2,-$E276*$I276/12*1,IF($J276=3,-$E276*$I276/12*2,IF($J276&gt;=4,-$E276*$I276/12*3,0))))))</f>
        <v>0</v>
      </c>
      <c r="DB276" s="416">
        <f>IF($H276&lt;&gt;DE$5,0,IF(DE276&lt;0,IF(OR($J276=1,$J276=2,$J276=3,$J276=4),-$E276*$I276/12*3,IF($J276=5,-$E276*$I276/12*2,IF($J276=6,-$E276*$I276/12*1,0)))))+IF(CZ$5&lt;&gt;$H276,0,IF(CZ276&lt;0,IF($J276=4,-$E276*$I276/12*0,IF($J276=5,-$E276*$I276/12*1,IF($J276=6,-$E276*$I276/12*2,IF($J276&gt;=7,-$E276*$I276/12*3,0))))))</f>
        <v>0</v>
      </c>
      <c r="DC276" s="416">
        <f>IF($H276&lt;&gt;DE$5,0,IF(DE276&lt;0,IF(OR($J276=1,$J276=2,$J276=3,$J276=4,$J276=5,$J276=6,$J276=7),-$E276*$I276/12*3,IF($J276=8,-$E276*$I276/12*2,IF($J276=9,-$E276*$I276/12*1,0)))))+IF(CZ$5&lt;&gt;$H276,0,IF(CZ276&lt;0,IF($J276=7,-$E276*$I276/12*0,IF($J276=8,-$E276*$I276/12*1,IF($J276=9,-$E276*$I276/12*2,IF($J276&gt;=10,-$E276*$I276/12*3,0))))))</f>
        <v>0</v>
      </c>
      <c r="DD276" s="412">
        <f>IF($H276&lt;&gt;DE$5,0,IF(DE276&lt;0,IF(OR($J276=1,$J276=2,$J276=3,$J276=4,$J276=5,$J276=6,$J276=7,$J276=8,$J276=9,$J276=10),-$E276*$I276/12*3,IF($J276=11,-$E276*$I276/12*2,IF($J276=12,-$E276*$I276/12*1,0)))))+IF(CZ$5&lt;&gt;$H276,0,IF(CZ276&lt;0,IF($J276=10,-$E276*$I276/12*0,IF($J276=11,-$E276*$I276/12*1,IF($J276=12,-$E276*$I276/12*2,0)))))</f>
        <v>0</v>
      </c>
      <c r="DE276" s="413">
        <f>IF(AND(CZ276&lt;&gt;0,CZ$5=$H276),-$I276*$E276-CZ276,IF(DE$5=$H276,-$I276*$E276*(12-$J276+1)/12,0))</f>
        <v>0</v>
      </c>
      <c r="DF276" s="410">
        <f>IF($H276&lt;&gt;DJ$5,0,IF(DJ276&lt;0,IF($J276=1,-$E276*$I276/12*3,IF($J276=2,-$E276*$I276/12*2,IF($J276=3,-$E276*$I276/12*1,0)))))+IF(DE$5&lt;&gt;$H276,0,IF(DE276&lt;0,IF($J276=1,-$E276*$I276/12*0,IF($J276=2,-$E276*$I276/12*1,IF($J276=3,-$E276*$I276/12*2,IF($J276&gt;=4,-$E276*$I276/12*3,0))))))</f>
        <v>0</v>
      </c>
      <c r="DG276" s="416">
        <f>IF($H276&lt;&gt;DJ$5,0,IF(DJ276&lt;0,IF(OR($J276=1,$J276=2,$J276=3,$J276=4),-$E276*$I276/12*3,IF($J276=5,-$E276*$I276/12*2,IF($J276=6,-$E276*$I276/12*1,0)))))+IF(DE$5&lt;&gt;$H276,0,IF(DE276&lt;0,IF($J276=4,-$E276*$I276/12*0,IF($J276=5,-$E276*$I276/12*1,IF($J276=6,-$E276*$I276/12*2,IF($J276&gt;=7,-$E276*$I276/12*3,0))))))</f>
        <v>0</v>
      </c>
      <c r="DH276" s="416">
        <f>IF($H276&lt;&gt;DJ$5,0,IF(DJ276&lt;0,IF(OR($J276=1,$J276=2,$J276=3,$J276=4,$J276=5,$J276=6,$J276=7),-$E276*$I276/12*3,IF($J276=8,-$E276*$I276/12*2,IF($J276=9,-$E276*$I276/12*1,0)))))+IF(DE$5&lt;&gt;$H276,0,IF(DE276&lt;0,IF($J276=7,-$E276*$I276/12*0,IF($J276=8,-$E276*$I276/12*1,IF($J276=9,-$E276*$I276/12*2,IF($J276&gt;=10,-$E276*$I276/12*3,0))))))</f>
        <v>0</v>
      </c>
      <c r="DI276" s="412">
        <f>IF($H276&lt;&gt;DJ$5,0,IF(DJ276&lt;0,IF(OR($J276=1,$J276=2,$J276=3,$J276=4,$J276=5,$J276=6,$J276=7,$J276=8,$J276=9,$J276=10),-$E276*$I276/12*3,IF($J276=11,-$E276*$I276/12*2,IF($J276=12,-$E276*$I276/12*1,0)))))+IF(DE$5&lt;&gt;$H276,0,IF(DE276&lt;0,IF($J276=10,-$E276*$I276/12*0,IF($J276=11,-$E276*$I276/12*1,IF($J276=12,-$E276*$I276/12*2,0)))))</f>
        <v>0</v>
      </c>
      <c r="DJ276" s="413">
        <f>IF(AND(DE276&lt;&gt;0,DE$5=$H276),-$I276*$E276-DE276,IF(DJ$5=$H276,-$I276*$E276*(12-$J276+1)/12,0))</f>
        <v>0</v>
      </c>
      <c r="DK276" s="410">
        <f>IF($H276&lt;&gt;DO$5,0,IF(DO276&lt;0,IF($J276=1,-$E276*$I276/12*3,IF($J276=2,-$E276*$I276/12*2,IF($J276=3,-$E276*$I276/12*1,0)))))+IF(DJ$5&lt;&gt;$H276,0,IF(DJ276&lt;0,IF($J276=1,-$E276*$I276/12*0,IF($J276=2,-$E276*$I276/12*1,IF($J276=3,-$E276*$I276/12*2,IF($J276&gt;=4,-$E276*$I276/12*3,0))))))</f>
        <v>0</v>
      </c>
      <c r="DL276" s="416">
        <f>IF($H276&lt;&gt;DO$5,0,IF(DO276&lt;0,IF(OR($J276=1,$J276=2,$J276=3,$J276=4),-$E276*$I276/12*3,IF($J276=5,-$E276*$I276/12*2,IF($J276=6,-$E276*$I276/12*1,0)))))+IF(DJ$5&lt;&gt;$H276,0,IF(DJ276&lt;0,IF($J276=4,-$E276*$I276/12*0,IF($J276=5,-$E276*$I276/12*1,IF($J276=6,-$E276*$I276/12*2,IF($J276&gt;=7,-$E276*$I276/12*3,0))))))</f>
        <v>0</v>
      </c>
      <c r="DM276" s="416">
        <f>IF($H276&lt;&gt;DO$5,0,IF(DO276&lt;0,IF(OR($J276=1,$J276=2,$J276=3,$J276=4,$J276=5,$J276=6,$J276=7),-$E276*$I276/12*3,IF($J276=8,-$E276*$I276/12*2,IF($J276=9,-$E276*$I276/12*1,0)))))+IF(DJ$5&lt;&gt;$H276,0,IF(DJ276&lt;0,IF($J276=7,-$E276*$I276/12*0,IF($J276=8,-$E276*$I276/12*1,IF($J276=9,-$E276*$I276/12*2,IF($J276&gt;=10,-$E276*$I276/12*3,0))))))</f>
        <v>0</v>
      </c>
      <c r="DN276" s="412">
        <f>IF($H276&lt;&gt;DO$5,0,IF(DO276&lt;0,IF(OR($J276=1,$J276=2,$J276=3,$J276=4,$J276=5,$J276=6,$J276=7,$J276=8,$J276=9,$J276=10),-$E276*$I276/12*3,IF($J276=11,-$E276*$I276/12*2,IF($J276=12,-$E276*$I276/12*1,0)))))+IF(DJ$5&lt;&gt;$H276,0,IF(DJ276&lt;0,IF($J276=10,-$E276*$I276/12*0,IF($J276=11,-$E276*$I276/12*1,IF($J276=12,-$E276*$I276/12*2,0)))))</f>
        <v>0</v>
      </c>
      <c r="DO276" s="413">
        <f>IF(AND(DJ276&lt;&gt;0,DJ$5=$H276),-$I276*$E276-DJ276,IF(DO$5=$H276,-$I276*$E276*(12-$J276+1)/12,0))</f>
        <v>0</v>
      </c>
      <c r="DP276" s="410">
        <f>IF($H276&lt;&gt;DT$5,0,IF(DT276&lt;0,IF($J276=1,-$E276*$I276/12*3,IF($J276=2,-$E276*$I276/12*2,IF($J276=3,-$E276*$I276/12*1,0)))))+IF(DO$5&lt;&gt;$H276,0,IF(DO276&lt;0,IF($J276=1,-$E276*$I276/12*0,IF($J276=2,-$E276*$I276/12*1,IF($J276=3,-$E276*$I276/12*2,IF($J276&gt;=4,-$E276*$I276/12*3,0))))))</f>
        <v>0</v>
      </c>
      <c r="DQ276" s="416">
        <f>IF($H276&lt;&gt;DT$5,0,IF(DT276&lt;0,IF(OR($J276=1,$J276=2,$J276=3,$J276=4),-$E276*$I276/12*3,IF($J276=5,-$E276*$I276/12*2,IF($J276=6,-$E276*$I276/12*1,0)))))+IF(DO$5&lt;&gt;$H276,0,IF(DO276&lt;0,IF($J276=4,-$E276*$I276/12*0,IF($J276=5,-$E276*$I276/12*1,IF($J276=6,-$E276*$I276/12*2,IF($J276&gt;=7,-$E276*$I276/12*3,0))))))</f>
        <v>0</v>
      </c>
      <c r="DR276" s="416">
        <f>IF($H276&lt;&gt;DT$5,0,IF(DT276&lt;0,IF(OR($J276=1,$J276=2,$J276=3,$J276=4,$J276=5,$J276=6,$J276=7),-$E276*$I276/12*3,IF($J276=8,-$E276*$I276/12*2,IF($J276=9,-$E276*$I276/12*1,0)))))+IF(DO$5&lt;&gt;$H276,0,IF(DO276&lt;0,IF($J276=7,-$E276*$I276/12*0,IF($J276=8,-$E276*$I276/12*1,IF($J276=9,-$E276*$I276/12*2,IF($J276&gt;=10,-$E276*$I276/12*3,0))))))</f>
        <v>0</v>
      </c>
      <c r="DS276" s="412">
        <f>IF($H276&lt;&gt;DT$5,0,IF(DT276&lt;0,IF(OR($J276=1,$J276=2,$J276=3,$J276=4,$J276=5,$J276=6,$J276=7,$J276=8,$J276=9,$J276=10),-$E276*$I276/12*3,IF($J276=11,-$E276*$I276/12*2,IF($J276=12,-$E276*$I276/12*1,0)))))+IF(DO$5&lt;&gt;$H276,0,IF(DO276&lt;0,IF($J276=10,-$E276*$I276/12*0,IF($J276=11,-$E276*$I276/12*1,IF($J276=12,-$E276*$I276/12*2,0)))))</f>
        <v>0</v>
      </c>
      <c r="DT276" s="413">
        <f>IF(AND(DO276&lt;&gt;0,DO$5=$H276),-$I276*$E276-DO276,IF(DT$5=$H276,-$I276*$E276*(12-$J276+1)/12,0))</f>
        <v>0</v>
      </c>
    </row>
    <row r="277" spans="1:124" ht="12.75" customHeight="1">
      <c r="C277" s="450"/>
      <c r="D277" s="450"/>
      <c r="E277" s="5"/>
      <c r="F277" s="1228"/>
      <c r="G277" s="1228"/>
      <c r="H277" s="19"/>
      <c r="I277" s="1327"/>
      <c r="J277" s="632"/>
      <c r="K277" s="418"/>
      <c r="L277" s="419"/>
      <c r="M277" s="420"/>
      <c r="N277" s="421"/>
      <c r="O277" s="421"/>
      <c r="P277" s="422"/>
      <c r="Q277" s="419"/>
      <c r="R277" s="420"/>
      <c r="S277" s="421"/>
      <c r="T277" s="421"/>
      <c r="U277" s="422"/>
      <c r="V277" s="419"/>
      <c r="W277" s="420"/>
      <c r="X277" s="421"/>
      <c r="Y277" s="421"/>
      <c r="Z277" s="422"/>
      <c r="AA277" s="419"/>
      <c r="AB277" s="420"/>
      <c r="AC277" s="421"/>
      <c r="AD277" s="421"/>
      <c r="AE277" s="422"/>
      <c r="AF277" s="419"/>
      <c r="AG277" s="420"/>
      <c r="AH277" s="421"/>
      <c r="AI277" s="421"/>
      <c r="AJ277" s="422"/>
      <c r="AK277" s="419"/>
      <c r="AL277" s="420"/>
      <c r="AM277" s="421"/>
      <c r="AN277" s="421"/>
      <c r="AO277" s="422"/>
      <c r="AP277" s="419"/>
      <c r="AQ277" s="420"/>
      <c r="AR277" s="421"/>
      <c r="AS277" s="421"/>
      <c r="AT277" s="422"/>
      <c r="AU277" s="419"/>
      <c r="AV277" s="420"/>
      <c r="AW277" s="421"/>
      <c r="AX277" s="421"/>
      <c r="AY277" s="422"/>
      <c r="AZ277" s="419"/>
      <c r="BA277" s="420"/>
      <c r="BB277" s="421"/>
      <c r="BC277" s="421"/>
      <c r="BD277" s="422"/>
      <c r="BE277" s="419"/>
      <c r="BF277" s="420"/>
      <c r="BG277" s="421"/>
      <c r="BH277" s="421"/>
      <c r="BI277" s="422"/>
      <c r="BJ277" s="419"/>
      <c r="BK277" s="420"/>
      <c r="BL277" s="421"/>
      <c r="BM277" s="421"/>
      <c r="BN277" s="422"/>
      <c r="BO277" s="419"/>
      <c r="BP277" s="452"/>
      <c r="BQ277" s="424"/>
      <c r="BR277" s="425"/>
      <c r="BS277" s="426"/>
      <c r="BT277" s="426"/>
      <c r="BU277" s="427"/>
      <c r="BV277" s="424"/>
      <c r="BW277" s="425"/>
      <c r="BX277" s="426"/>
      <c r="BY277" s="426"/>
      <c r="BZ277" s="427"/>
      <c r="CA277" s="424"/>
      <c r="CB277" s="425"/>
      <c r="CC277" s="426"/>
      <c r="CD277" s="426"/>
      <c r="CE277" s="427"/>
      <c r="CF277" s="424"/>
      <c r="CG277" s="425"/>
      <c r="CH277" s="426"/>
      <c r="CI277" s="426"/>
      <c r="CJ277" s="427"/>
      <c r="CK277" s="424"/>
      <c r="CL277" s="425"/>
      <c r="CM277" s="426"/>
      <c r="CN277" s="426"/>
      <c r="CO277" s="427"/>
      <c r="CP277" s="424"/>
      <c r="CQ277" s="425"/>
      <c r="CR277" s="426"/>
      <c r="CS277" s="426"/>
      <c r="CT277" s="427"/>
      <c r="CU277" s="424"/>
      <c r="CV277" s="425"/>
      <c r="CW277" s="426"/>
      <c r="CX277" s="426"/>
      <c r="CY277" s="427"/>
      <c r="CZ277" s="424"/>
      <c r="DA277" s="425"/>
      <c r="DB277" s="426"/>
      <c r="DC277" s="426"/>
      <c r="DD277" s="427"/>
      <c r="DE277" s="424"/>
      <c r="DF277" s="425"/>
      <c r="DG277" s="426"/>
      <c r="DH277" s="426"/>
      <c r="DI277" s="427"/>
      <c r="DJ277" s="424"/>
      <c r="DK277" s="425"/>
      <c r="DL277" s="426"/>
      <c r="DM277" s="426"/>
      <c r="DN277" s="427"/>
      <c r="DO277" s="424"/>
      <c r="DP277" s="425"/>
      <c r="DQ277" s="426"/>
      <c r="DR277" s="426"/>
      <c r="DS277" s="427"/>
      <c r="DT277" s="424"/>
    </row>
    <row r="278" spans="1:124" ht="12.75" customHeight="1">
      <c r="A278" s="56"/>
      <c r="B278" s="56"/>
      <c r="C278" s="164" t="s">
        <v>48</v>
      </c>
      <c r="D278" s="164"/>
      <c r="E278" s="8">
        <f>SUM(E222:E277)</f>
        <v>5574.9107130000002</v>
      </c>
      <c r="F278" s="1229">
        <f>SUM(F222:F277)</f>
        <v>5441.644593</v>
      </c>
      <c r="G278" s="1229">
        <f>SUM(G222:G277)</f>
        <v>4885.1172719999995</v>
      </c>
      <c r="H278" s="21"/>
      <c r="I278" s="10"/>
      <c r="J278" s="619"/>
      <c r="K278" s="453"/>
      <c r="L278" s="429">
        <f t="shared" ref="L278:AQ278" si="2250">SUM(L222:L277)</f>
        <v>0</v>
      </c>
      <c r="M278" s="430">
        <f t="shared" si="2250"/>
        <v>0</v>
      </c>
      <c r="N278" s="431">
        <f t="shared" si="2250"/>
        <v>0</v>
      </c>
      <c r="O278" s="431">
        <f t="shared" si="2250"/>
        <v>0</v>
      </c>
      <c r="P278" s="432">
        <f t="shared" si="2250"/>
        <v>0</v>
      </c>
      <c r="Q278" s="429">
        <f t="shared" si="2250"/>
        <v>0</v>
      </c>
      <c r="R278" s="430">
        <f t="shared" si="2250"/>
        <v>0</v>
      </c>
      <c r="S278" s="431">
        <f t="shared" si="2250"/>
        <v>0</v>
      </c>
      <c r="T278" s="431">
        <f t="shared" si="2250"/>
        <v>0</v>
      </c>
      <c r="U278" s="432">
        <f t="shared" si="2250"/>
        <v>0</v>
      </c>
      <c r="V278" s="429">
        <f t="shared" si="2250"/>
        <v>0</v>
      </c>
      <c r="W278" s="430">
        <f t="shared" si="2250"/>
        <v>0</v>
      </c>
      <c r="X278" s="431">
        <f t="shared" si="2250"/>
        <v>0</v>
      </c>
      <c r="Y278" s="431">
        <f t="shared" si="2250"/>
        <v>0</v>
      </c>
      <c r="Z278" s="432">
        <f t="shared" si="2250"/>
        <v>0</v>
      </c>
      <c r="AA278" s="429">
        <f t="shared" si="2250"/>
        <v>0</v>
      </c>
      <c r="AB278" s="430">
        <f t="shared" si="2250"/>
        <v>0</v>
      </c>
      <c r="AC278" s="431">
        <f t="shared" si="2250"/>
        <v>0</v>
      </c>
      <c r="AD278" s="431">
        <f t="shared" si="2250"/>
        <v>0</v>
      </c>
      <c r="AE278" s="432">
        <f t="shared" si="2250"/>
        <v>0</v>
      </c>
      <c r="AF278" s="429">
        <f t="shared" si="2250"/>
        <v>0</v>
      </c>
      <c r="AG278" s="430">
        <f t="shared" si="2250"/>
        <v>0</v>
      </c>
      <c r="AH278" s="431">
        <f t="shared" si="2250"/>
        <v>0</v>
      </c>
      <c r="AI278" s="431">
        <f t="shared" si="2250"/>
        <v>0</v>
      </c>
      <c r="AJ278" s="432">
        <f t="shared" si="2250"/>
        <v>0</v>
      </c>
      <c r="AK278" s="429">
        <f t="shared" si="2250"/>
        <v>0</v>
      </c>
      <c r="AL278" s="430">
        <f t="shared" si="2250"/>
        <v>0</v>
      </c>
      <c r="AM278" s="431">
        <f t="shared" si="2250"/>
        <v>-60</v>
      </c>
      <c r="AN278" s="431">
        <f t="shared" si="2250"/>
        <v>0</v>
      </c>
      <c r="AO278" s="432">
        <f t="shared" si="2250"/>
        <v>0</v>
      </c>
      <c r="AP278" s="429">
        <f t="shared" si="2250"/>
        <v>-60</v>
      </c>
      <c r="AQ278" s="430">
        <f t="shared" si="2250"/>
        <v>-22.4</v>
      </c>
      <c r="AR278" s="431">
        <f t="shared" ref="AR278:BO278" si="2251">SUM(AR222:AR277)</f>
        <v>0</v>
      </c>
      <c r="AS278" s="431">
        <f t="shared" si="2251"/>
        <v>-16.272593000000001</v>
      </c>
      <c r="AT278" s="432">
        <f t="shared" si="2251"/>
        <v>-75.483527000000009</v>
      </c>
      <c r="AU278" s="429">
        <f t="shared" si="2251"/>
        <v>-114.15611999999999</v>
      </c>
      <c r="AV278" s="430">
        <f t="shared" si="2251"/>
        <v>-69.962039000000004</v>
      </c>
      <c r="AW278" s="431">
        <f t="shared" si="2251"/>
        <v>-380</v>
      </c>
      <c r="AX278" s="431">
        <f t="shared" si="2251"/>
        <v>0</v>
      </c>
      <c r="AY278" s="432">
        <f t="shared" si="2251"/>
        <v>0</v>
      </c>
      <c r="AZ278" s="429">
        <f t="shared" si="2251"/>
        <v>-449.962039</v>
      </c>
      <c r="BA278" s="430">
        <f t="shared" si="2251"/>
        <v>0</v>
      </c>
      <c r="BB278" s="431">
        <f t="shared" si="2251"/>
        <v>-50</v>
      </c>
      <c r="BC278" s="431">
        <f t="shared" si="2251"/>
        <v>-294.878311</v>
      </c>
      <c r="BD278" s="432">
        <f t="shared" si="2251"/>
        <v>0</v>
      </c>
      <c r="BE278" s="429">
        <f t="shared" si="2251"/>
        <v>-344.878311</v>
      </c>
      <c r="BF278" s="430">
        <f t="shared" si="2251"/>
        <v>0</v>
      </c>
      <c r="BG278" s="431">
        <f t="shared" si="2251"/>
        <v>-204.46924300000001</v>
      </c>
      <c r="BH278" s="431">
        <f t="shared" si="2251"/>
        <v>-494.7</v>
      </c>
      <c r="BI278" s="432">
        <f t="shared" si="2251"/>
        <v>0</v>
      </c>
      <c r="BJ278" s="429">
        <f t="shared" si="2251"/>
        <v>-699.16924300000005</v>
      </c>
      <c r="BK278" s="430">
        <f t="shared" si="2251"/>
        <v>0</v>
      </c>
      <c r="BL278" s="431">
        <f t="shared" si="2251"/>
        <v>0</v>
      </c>
      <c r="BM278" s="431">
        <f t="shared" si="2251"/>
        <v>0</v>
      </c>
      <c r="BN278" s="432">
        <f t="shared" si="2251"/>
        <v>-500</v>
      </c>
      <c r="BO278" s="429">
        <f t="shared" si="2251"/>
        <v>-500</v>
      </c>
      <c r="BP278" s="454"/>
      <c r="BQ278" s="434">
        <f t="shared" ref="BQ278:CV278" si="2252">SUM(BQ222:BQ277)</f>
        <v>0</v>
      </c>
      <c r="BR278" s="435">
        <f t="shared" si="2252"/>
        <v>0</v>
      </c>
      <c r="BS278" s="436">
        <f t="shared" si="2252"/>
        <v>0</v>
      </c>
      <c r="BT278" s="436">
        <f t="shared" si="2252"/>
        <v>0</v>
      </c>
      <c r="BU278" s="437">
        <f t="shared" si="2252"/>
        <v>0</v>
      </c>
      <c r="BV278" s="434">
        <f t="shared" si="2252"/>
        <v>0</v>
      </c>
      <c r="BW278" s="435">
        <f t="shared" si="2252"/>
        <v>0</v>
      </c>
      <c r="BX278" s="436">
        <f t="shared" si="2252"/>
        <v>0</v>
      </c>
      <c r="BY278" s="436">
        <f t="shared" si="2252"/>
        <v>0</v>
      </c>
      <c r="BZ278" s="437">
        <f t="shared" si="2252"/>
        <v>0</v>
      </c>
      <c r="CA278" s="434">
        <f t="shared" si="2252"/>
        <v>0</v>
      </c>
      <c r="CB278" s="435">
        <f t="shared" si="2252"/>
        <v>0</v>
      </c>
      <c r="CC278" s="436">
        <f t="shared" si="2252"/>
        <v>0</v>
      </c>
      <c r="CD278" s="436">
        <f t="shared" si="2252"/>
        <v>0</v>
      </c>
      <c r="CE278" s="437">
        <f t="shared" si="2252"/>
        <v>0</v>
      </c>
      <c r="CF278" s="434">
        <f t="shared" si="2252"/>
        <v>0</v>
      </c>
      <c r="CG278" s="435">
        <f t="shared" si="2252"/>
        <v>0</v>
      </c>
      <c r="CH278" s="436">
        <f t="shared" si="2252"/>
        <v>0</v>
      </c>
      <c r="CI278" s="436">
        <f t="shared" si="2252"/>
        <v>0</v>
      </c>
      <c r="CJ278" s="437">
        <f t="shared" si="2252"/>
        <v>0</v>
      </c>
      <c r="CK278" s="434">
        <f t="shared" si="2252"/>
        <v>0</v>
      </c>
      <c r="CL278" s="435">
        <f t="shared" si="2252"/>
        <v>0</v>
      </c>
      <c r="CM278" s="436">
        <f t="shared" si="2252"/>
        <v>0</v>
      </c>
      <c r="CN278" s="436">
        <f t="shared" si="2252"/>
        <v>0</v>
      </c>
      <c r="CO278" s="437">
        <f t="shared" si="2252"/>
        <v>0</v>
      </c>
      <c r="CP278" s="434">
        <f t="shared" si="2252"/>
        <v>0</v>
      </c>
      <c r="CQ278" s="435">
        <f t="shared" si="2252"/>
        <v>0</v>
      </c>
      <c r="CR278" s="436">
        <f t="shared" si="2252"/>
        <v>-0.51999999999999991</v>
      </c>
      <c r="CS278" s="436">
        <f t="shared" si="2252"/>
        <v>-0.7799999999999998</v>
      </c>
      <c r="CT278" s="437">
        <f t="shared" si="2252"/>
        <v>-0.7799999999999998</v>
      </c>
      <c r="CU278" s="434">
        <f t="shared" si="2252"/>
        <v>-2.0799999999999996</v>
      </c>
      <c r="CV278" s="435">
        <f t="shared" si="2252"/>
        <v>-0.81576533333333312</v>
      </c>
      <c r="CW278" s="436">
        <f t="shared" ref="CW278:DT278" si="2253">SUM(CW222:CW277)</f>
        <v>-0.31364799999999993</v>
      </c>
      <c r="CX278" s="436">
        <f t="shared" si="2253"/>
        <v>-9.2620860234999991E-2</v>
      </c>
      <c r="CY278" s="437">
        <f t="shared" si="2253"/>
        <v>-0.6930050717016667</v>
      </c>
      <c r="CZ278" s="434">
        <f t="shared" si="2253"/>
        <v>-1.9150392652699999</v>
      </c>
      <c r="DA278" s="435">
        <f t="shared" si="2253"/>
        <v>-1.6122362653766669</v>
      </c>
      <c r="DB278" s="436">
        <f t="shared" si="2253"/>
        <v>-5.5652702653766664</v>
      </c>
      <c r="DC278" s="436">
        <f t="shared" si="2253"/>
        <v>-7.2908807384749998</v>
      </c>
      <c r="DD278" s="437">
        <f t="shared" si="2253"/>
        <v>-6.6904965270083334</v>
      </c>
      <c r="DE278" s="434">
        <f t="shared" si="2253"/>
        <v>-21.158883796236669</v>
      </c>
      <c r="DF278" s="435">
        <f t="shared" si="2253"/>
        <v>-5.7355</v>
      </c>
      <c r="DG278" s="436">
        <f t="shared" si="2253"/>
        <v>-2.0908333333333333</v>
      </c>
      <c r="DH278" s="436">
        <f t="shared" si="2253"/>
        <v>-2.4685141480974999</v>
      </c>
      <c r="DI278" s="437">
        <f t="shared" si="2253"/>
        <v>-2.9685141480974999</v>
      </c>
      <c r="DJ278" s="434">
        <f t="shared" si="2253"/>
        <v>-13.263361629528333</v>
      </c>
      <c r="DK278" s="435">
        <f t="shared" si="2253"/>
        <v>-2.9685141480974999</v>
      </c>
      <c r="DL278" s="436">
        <f t="shared" si="2253"/>
        <v>-3.0833596349041668</v>
      </c>
      <c r="DM278" s="436">
        <f t="shared" si="2253"/>
        <v>-8.3854819604199999</v>
      </c>
      <c r="DN278" s="437">
        <f t="shared" si="2253"/>
        <v>-7.8854819604199999</v>
      </c>
      <c r="DO278" s="434">
        <f t="shared" si="2253"/>
        <v>-22.322837703841667</v>
      </c>
      <c r="DP278" s="435">
        <f t="shared" si="2253"/>
        <v>-7.8854819604199999</v>
      </c>
      <c r="DQ278" s="436">
        <f t="shared" si="2253"/>
        <v>-7.4443864736133332</v>
      </c>
      <c r="DR278" s="436">
        <f t="shared" si="2253"/>
        <v>0</v>
      </c>
      <c r="DS278" s="437">
        <f t="shared" si="2253"/>
        <v>-6.71875</v>
      </c>
      <c r="DT278" s="434">
        <f t="shared" si="2253"/>
        <v>-22.048618434033333</v>
      </c>
    </row>
    <row r="279" spans="1:124" ht="12.75" customHeight="1">
      <c r="C279" s="361"/>
      <c r="D279" s="361"/>
      <c r="E279" s="831"/>
      <c r="F279" s="1226"/>
      <c r="G279" s="1226"/>
      <c r="H279" s="610"/>
      <c r="I279" s="13"/>
      <c r="J279" s="620" t="s">
        <v>255</v>
      </c>
      <c r="K279" s="402"/>
      <c r="L279" s="403"/>
      <c r="M279" s="404"/>
      <c r="N279" s="405"/>
      <c r="O279" s="405"/>
      <c r="P279" s="406"/>
      <c r="Q279" s="407"/>
      <c r="R279" s="404"/>
      <c r="S279" s="405"/>
      <c r="T279" s="405"/>
      <c r="U279" s="406"/>
      <c r="V279" s="407"/>
      <c r="W279" s="404"/>
      <c r="X279" s="405"/>
      <c r="Y279" s="405"/>
      <c r="Z279" s="406"/>
      <c r="AA279" s="407"/>
      <c r="AB279" s="404"/>
      <c r="AC279" s="405"/>
      <c r="AD279" s="405"/>
      <c r="AE279" s="406"/>
      <c r="AF279" s="407"/>
      <c r="AG279" s="404"/>
      <c r="AH279" s="405"/>
      <c r="AI279" s="405"/>
      <c r="AJ279" s="406"/>
      <c r="AK279" s="407"/>
      <c r="AL279" s="404"/>
      <c r="AM279" s="405"/>
      <c r="AN279" s="405"/>
      <c r="AO279" s="406"/>
      <c r="AP279" s="407"/>
      <c r="AQ279" s="404"/>
      <c r="AR279" s="405"/>
      <c r="AS279" s="405"/>
      <c r="AT279" s="406"/>
      <c r="AU279" s="407"/>
      <c r="AV279" s="404"/>
      <c r="AW279" s="405"/>
      <c r="AX279" s="405"/>
      <c r="AY279" s="406"/>
      <c r="AZ279" s="407"/>
      <c r="BA279" s="404"/>
      <c r="BB279" s="405"/>
      <c r="BC279" s="405"/>
      <c r="BD279" s="406"/>
      <c r="BE279" s="407"/>
      <c r="BF279" s="404"/>
      <c r="BG279" s="405"/>
      <c r="BH279" s="405"/>
      <c r="BI279" s="406"/>
      <c r="BJ279" s="407"/>
      <c r="BK279" s="404"/>
      <c r="BL279" s="405"/>
      <c r="BM279" s="405"/>
      <c r="BN279" s="406"/>
      <c r="BO279" s="407"/>
      <c r="BP279" s="449"/>
      <c r="BQ279" s="409"/>
      <c r="BR279" s="410"/>
      <c r="BS279" s="411"/>
      <c r="BT279" s="411"/>
      <c r="BU279" s="412"/>
      <c r="BV279" s="413"/>
      <c r="BW279" s="410"/>
      <c r="BX279" s="411"/>
      <c r="BY279" s="411"/>
      <c r="BZ279" s="412"/>
      <c r="CA279" s="413"/>
      <c r="CB279" s="410"/>
      <c r="CC279" s="411"/>
      <c r="CD279" s="411"/>
      <c r="CE279" s="412"/>
      <c r="CF279" s="413"/>
      <c r="CG279" s="410"/>
      <c r="CH279" s="411"/>
      <c r="CI279" s="411"/>
      <c r="CJ279" s="412"/>
      <c r="CK279" s="413"/>
      <c r="CL279" s="410"/>
      <c r="CM279" s="411"/>
      <c r="CN279" s="411"/>
      <c r="CO279" s="412"/>
      <c r="CP279" s="413"/>
      <c r="CQ279" s="410"/>
      <c r="CR279" s="411"/>
      <c r="CS279" s="411"/>
      <c r="CT279" s="412"/>
      <c r="CU279" s="413"/>
      <c r="CV279" s="410"/>
      <c r="CW279" s="411"/>
      <c r="CX279" s="411"/>
      <c r="CY279" s="412"/>
      <c r="CZ279" s="413"/>
      <c r="DA279" s="410"/>
      <c r="DB279" s="411"/>
      <c r="DC279" s="411"/>
      <c r="DD279" s="412"/>
      <c r="DE279" s="413"/>
      <c r="DF279" s="410"/>
      <c r="DG279" s="411"/>
      <c r="DH279" s="411"/>
      <c r="DI279" s="412"/>
      <c r="DJ279" s="413"/>
      <c r="DK279" s="410"/>
      <c r="DL279" s="411"/>
      <c r="DM279" s="411"/>
      <c r="DN279" s="412"/>
      <c r="DO279" s="413"/>
      <c r="DP279" s="410"/>
      <c r="DQ279" s="411"/>
      <c r="DR279" s="411"/>
      <c r="DS279" s="412"/>
      <c r="DT279" s="413"/>
    </row>
    <row r="280" spans="1:124" ht="12.75" customHeight="1">
      <c r="C280" s="455" t="s">
        <v>279</v>
      </c>
      <c r="D280" s="455"/>
      <c r="E280" s="831"/>
      <c r="F280" s="1226"/>
      <c r="G280" s="1226"/>
      <c r="H280" s="30"/>
      <c r="I280" s="614"/>
      <c r="J280" s="616"/>
      <c r="K280" s="402"/>
      <c r="L280" s="403"/>
      <c r="M280" s="404"/>
      <c r="N280" s="405"/>
      <c r="O280" s="405"/>
      <c r="P280" s="406"/>
      <c r="Q280" s="407"/>
      <c r="R280" s="404"/>
      <c r="S280" s="405"/>
      <c r="T280" s="405"/>
      <c r="U280" s="406"/>
      <c r="V280" s="407"/>
      <c r="W280" s="404"/>
      <c r="X280" s="405"/>
      <c r="Y280" s="405"/>
      <c r="Z280" s="406"/>
      <c r="AA280" s="407"/>
      <c r="AB280" s="404"/>
      <c r="AC280" s="405"/>
      <c r="AD280" s="405"/>
      <c r="AE280" s="406"/>
      <c r="AF280" s="407"/>
      <c r="AG280" s="404"/>
      <c r="AH280" s="405"/>
      <c r="AI280" s="405"/>
      <c r="AJ280" s="406"/>
      <c r="AK280" s="407"/>
      <c r="AL280" s="404"/>
      <c r="AM280" s="405"/>
      <c r="AN280" s="405"/>
      <c r="AO280" s="406"/>
      <c r="AP280" s="407"/>
      <c r="AQ280" s="404"/>
      <c r="AR280" s="405"/>
      <c r="AS280" s="405"/>
      <c r="AT280" s="406"/>
      <c r="AU280" s="407"/>
      <c r="AV280" s="404"/>
      <c r="AW280" s="405"/>
      <c r="AX280" s="405"/>
      <c r="AY280" s="406"/>
      <c r="AZ280" s="407"/>
      <c r="BA280" s="404"/>
      <c r="BB280" s="405"/>
      <c r="BC280" s="405"/>
      <c r="BD280" s="406"/>
      <c r="BE280" s="407"/>
      <c r="BF280" s="404"/>
      <c r="BG280" s="405"/>
      <c r="BH280" s="405"/>
      <c r="BI280" s="406"/>
      <c r="BJ280" s="407"/>
      <c r="BK280" s="404"/>
      <c r="BL280" s="405"/>
      <c r="BM280" s="405"/>
      <c r="BN280" s="406"/>
      <c r="BO280" s="407"/>
      <c r="BP280" s="447"/>
      <c r="BQ280" s="409"/>
      <c r="BR280" s="410"/>
      <c r="BS280" s="411"/>
      <c r="BT280" s="411"/>
      <c r="BU280" s="412"/>
      <c r="BV280" s="413"/>
      <c r="BW280" s="410"/>
      <c r="BX280" s="411"/>
      <c r="BY280" s="411"/>
      <c r="BZ280" s="412"/>
      <c r="CA280" s="413"/>
      <c r="CB280" s="410"/>
      <c r="CC280" s="411"/>
      <c r="CD280" s="411"/>
      <c r="CE280" s="412"/>
      <c r="CF280" s="413"/>
      <c r="CG280" s="410"/>
      <c r="CH280" s="411"/>
      <c r="CI280" s="411"/>
      <c r="CJ280" s="412"/>
      <c r="CK280" s="413"/>
      <c r="CL280" s="410"/>
      <c r="CM280" s="411"/>
      <c r="CN280" s="411"/>
      <c r="CO280" s="412"/>
      <c r="CP280" s="413"/>
      <c r="CQ280" s="410"/>
      <c r="CR280" s="411"/>
      <c r="CS280" s="411"/>
      <c r="CT280" s="412"/>
      <c r="CU280" s="413"/>
      <c r="CV280" s="410"/>
      <c r="CW280" s="411"/>
      <c r="CX280" s="411"/>
      <c r="CY280" s="412"/>
      <c r="CZ280" s="413"/>
      <c r="DA280" s="410"/>
      <c r="DB280" s="411"/>
      <c r="DC280" s="411"/>
      <c r="DD280" s="412"/>
      <c r="DE280" s="413"/>
      <c r="DF280" s="410"/>
      <c r="DG280" s="411"/>
      <c r="DH280" s="411"/>
      <c r="DI280" s="412"/>
      <c r="DJ280" s="413"/>
      <c r="DK280" s="410"/>
      <c r="DL280" s="411"/>
      <c r="DM280" s="411"/>
      <c r="DN280" s="412"/>
      <c r="DO280" s="413"/>
      <c r="DP280" s="410"/>
      <c r="DQ280" s="411"/>
      <c r="DR280" s="411"/>
      <c r="DS280" s="412"/>
      <c r="DT280" s="413"/>
    </row>
    <row r="281" spans="1:124" ht="12.75" customHeight="1">
      <c r="A281" s="491"/>
      <c r="C281" s="1891" t="s">
        <v>1333</v>
      </c>
      <c r="D281" s="601"/>
      <c r="E281" s="1897">
        <v>60</v>
      </c>
      <c r="F281" s="1532"/>
      <c r="G281" s="1532"/>
      <c r="H281" s="610">
        <v>2017</v>
      </c>
      <c r="I281" s="1533">
        <v>1.7500000000000002E-2</v>
      </c>
      <c r="J281" s="615">
        <v>10</v>
      </c>
      <c r="K281" s="402"/>
      <c r="L281" s="407">
        <f t="shared" ref="L281:L287" si="2254">IF(L$5=$H281,$E281,0)</f>
        <v>0</v>
      </c>
      <c r="M281" s="404">
        <f>IF(Q281=0,0,IF(Q281&gt;0,IF($J281=3,Q281,IF($J281=2,Q281,IF($J281=1,Q281,0)))))</f>
        <v>0</v>
      </c>
      <c r="N281" s="414">
        <f>IF(Q281=0,0,IF(Q281&gt;0,IF($J281=6,Q281,IF($J281=5,Q281,IF($J281=4,Q281,0)))))</f>
        <v>0</v>
      </c>
      <c r="O281" s="414">
        <f>IF(Q281=0,0,IF(Q281&gt;0,IF($J281=9,Q281,IF($J281=8,Q281,IF($J281=7,Q281,0)))))</f>
        <v>0</v>
      </c>
      <c r="P281" s="406">
        <f>IF(Q281=0,0,IF(Q281&gt;0,IF($J281=12,Q281,IF($J281=11,Q281,IF($J281=10,Q281,0)))))</f>
        <v>0</v>
      </c>
      <c r="Q281" s="407">
        <f t="shared" ref="Q281:Q287" si="2255">IF(Q$5=$H281,$E281,0)</f>
        <v>0</v>
      </c>
      <c r="R281" s="404">
        <f>IF(V281=0,0,IF(V281&gt;0,IF($J281=3,V281,IF($J281=2,V281,IF($J281=1,V281,0)))))</f>
        <v>0</v>
      </c>
      <c r="S281" s="414">
        <f>IF(V281=0,0,IF(V281&gt;0,IF($J281=6,V281,IF($J281=5,V281,IF($J281=4,V281,0)))))</f>
        <v>0</v>
      </c>
      <c r="T281" s="414">
        <f>IF(V281=0,0,IF(V281&gt;0,IF($J281=9,V281,IF($J281=8,V281,IF($J281=7,V281,0)))))</f>
        <v>0</v>
      </c>
      <c r="U281" s="406">
        <f>IF(V281=0,0,IF(V281&gt;0,IF($J281=12,V281,IF($J281=11,V281,IF($J281=10,V281,0)))))</f>
        <v>0</v>
      </c>
      <c r="V281" s="407">
        <f t="shared" ref="V281:V287" si="2256">IF(V$5=$H281,$E281,0)</f>
        <v>0</v>
      </c>
      <c r="W281" s="404">
        <f>IF(AA281=0,0,IF(AA281&gt;0,IF($J281=3,AA281,IF($J281=2,AA281,IF($J281=1,AA281,0)))))</f>
        <v>0</v>
      </c>
      <c r="X281" s="414">
        <f>IF(AA281=0,0,IF(AA281&gt;0,IF($J281=6,AA281,IF($J281=5,AA281,IF($J281=4,AA281,0)))))</f>
        <v>0</v>
      </c>
      <c r="Y281" s="414">
        <f>IF(AA281=0,0,IF(AA281&gt;0,IF($J281=9,AA281,IF($J281=8,AA281,IF($J281=7,AA281,0)))))</f>
        <v>0</v>
      </c>
      <c r="Z281" s="406">
        <f>IF(AA281=0,0,IF(AA281&gt;0,IF($J281=12,AA281,IF($J281=11,AA281,IF($J281=10,AA281,0)))))</f>
        <v>0</v>
      </c>
      <c r="AA281" s="407">
        <f t="shared" ref="AA281:AA287" si="2257">IF(AA$5=$H281,$E281,0)</f>
        <v>0</v>
      </c>
      <c r="AB281" s="404">
        <f>IF(AF281=0,0,IF(AF281&gt;0,IF($J281=3,AF281,IF($J281=2,AF281,IF($J281=1,AF281,0)))))</f>
        <v>0</v>
      </c>
      <c r="AC281" s="414">
        <f>IF(AF281=0,0,IF(AF281&gt;0,IF($J281=6,AF281,IF($J281=5,AF281,IF($J281=4,AF281,0)))))</f>
        <v>0</v>
      </c>
      <c r="AD281" s="414">
        <f>IF(AF281=0,0,IF(AF281&gt;0,IF($J281=9,AF281,IF($J281=8,AF281,IF($J281=7,AF281,0)))))</f>
        <v>0</v>
      </c>
      <c r="AE281" s="406">
        <f>IF(AF281=0,0,IF(AF281&gt;0,IF($J281=12,AF281,IF($J281=11,AF281,IF($J281=10,AF281,0)))))</f>
        <v>0</v>
      </c>
      <c r="AF281" s="407">
        <f t="shared" ref="AF281:AF287" si="2258">IF(AF$5=$H281,$E281,0)</f>
        <v>0</v>
      </c>
      <c r="AG281" s="404">
        <f>IF(AK281=0,0,IF(AK281&gt;0,IF($J281=3,AK281,IF($J281=2,AK281,IF($J281=1,AK281,0)))))</f>
        <v>0</v>
      </c>
      <c r="AH281" s="414">
        <f>IF(AK281=0,0,IF(AK281&gt;0,IF($J281=6,AK281,IF($J281=5,AK281,IF($J281=4,AK281,0)))))</f>
        <v>0</v>
      </c>
      <c r="AI281" s="414">
        <f>IF(AK281=0,0,IF(AK281&gt;0,IF($J281=9,AK281,IF($J281=8,AK281,IF($J281=7,AK281,0)))))</f>
        <v>0</v>
      </c>
      <c r="AJ281" s="406">
        <f>IF(AK281=0,0,IF(AK281&gt;0,IF($J281=12,AK281,IF($J281=11,AK281,IF($J281=10,AK281,0)))))</f>
        <v>0</v>
      </c>
      <c r="AK281" s="407">
        <f t="shared" ref="AK281:AK287" si="2259">IF(AK$5=$H281,$E281,0)</f>
        <v>0</v>
      </c>
      <c r="AL281" s="404">
        <f>IF(AP281=0,0,IF(AP281&gt;0,IF($J281=3,AP281,IF($J281=2,AP281,IF($J281=1,AP281,0)))))</f>
        <v>0</v>
      </c>
      <c r="AM281" s="414">
        <f>IF(AP281=0,0,IF(AP281&gt;0,IF($J281=6,AP281,IF($J281=5,AP281,IF($J281=4,AP281,0)))))</f>
        <v>0</v>
      </c>
      <c r="AN281" s="414">
        <f>IF(AP281=0,0,IF(AP281&gt;0,IF($J281=9,AP281,IF($J281=8,AP281,IF($J281=7,AP281,0)))))</f>
        <v>0</v>
      </c>
      <c r="AO281" s="406">
        <f>IF(AP281=0,0,IF(AP281&gt;0,IF($J281=12,AP281,IF($J281=11,AP281,IF($J281=10,AP281,0)))))</f>
        <v>0</v>
      </c>
      <c r="AP281" s="407">
        <f t="shared" ref="AP281:AP287" si="2260">IF(AP$5=$H281,$E281,0)</f>
        <v>0</v>
      </c>
      <c r="AQ281" s="404">
        <f>IF(AU281=0,0,IF(AU281&gt;0,IF($J281=3,AU281,IF($J281=2,AU281,IF($J281=1,AU281,0)))))</f>
        <v>0</v>
      </c>
      <c r="AR281" s="414">
        <f>IF(AU281=0,0,IF(AU281&gt;0,IF($J281=6,AU281,IF($J281=5,AU281,IF($J281=4,AU281,0)))))</f>
        <v>0</v>
      </c>
      <c r="AS281" s="414">
        <f>IF(AU281=0,0,IF(AU281&gt;0,IF($J281=9,AU281,IF($J281=8,AU281,IF($J281=7,AU281,0)))))</f>
        <v>0</v>
      </c>
      <c r="AT281" s="406">
        <f>IF(AU281=0,0,IF(AU281&gt;0,IF($J281=12,AU281,IF($J281=11,AU281,IF($J281=10,AU281,0)))))</f>
        <v>60</v>
      </c>
      <c r="AU281" s="407">
        <f t="shared" ref="AU281:AU287" si="2261">IF(AU$5=$H281,$E281,0)</f>
        <v>60</v>
      </c>
      <c r="AV281" s="404">
        <f>IF(AZ281=0,0,IF(AZ281&gt;0,IF($J281=3,AZ281,IF($J281=2,AZ281,IF($J281=1,AZ281,0)))))</f>
        <v>0</v>
      </c>
      <c r="AW281" s="414">
        <f>IF(AZ281=0,0,IF(AZ281&gt;0,IF($J281=6,AZ281,IF($J281=5,AZ281,IF($J281=4,AZ281,0)))))</f>
        <v>0</v>
      </c>
      <c r="AX281" s="414">
        <f>IF(AZ281=0,0,IF(AZ281&gt;0,IF($J281=9,AZ281,IF($J281=8,AZ281,IF($J281=7,AZ281,0)))))</f>
        <v>0</v>
      </c>
      <c r="AY281" s="406">
        <f>IF(AZ281=0,0,IF(AZ281&gt;0,IF($J281=12,AZ281,IF($J281=11,AZ281,IF($J281=10,AZ281,0)))))</f>
        <v>0</v>
      </c>
      <c r="AZ281" s="407">
        <f t="shared" ref="AZ281:AZ287" si="2262">IF(AZ$5=$H281,$E281,0)</f>
        <v>0</v>
      </c>
      <c r="BA281" s="404">
        <f>IF(BE281=0,0,IF(BE281&gt;0,IF($J281=3,BE281,IF($J281=2,BE281,IF($J281=1,BE281,0)))))</f>
        <v>0</v>
      </c>
      <c r="BB281" s="414">
        <f>IF(BE281=0,0,IF(BE281&gt;0,IF($J281=6,BE281,IF($J281=5,BE281,IF($J281=4,BE281,0)))))</f>
        <v>0</v>
      </c>
      <c r="BC281" s="414">
        <f>IF(BE281=0,0,IF(BE281&gt;0,IF($J281=9,BE281,IF($J281=8,BE281,IF($J281=7,BE281,0)))))</f>
        <v>0</v>
      </c>
      <c r="BD281" s="406">
        <f>IF(BE281=0,0,IF(BE281&gt;0,IF($J281=12,BE281,IF($J281=11,BE281,IF($J281=10,BE281,0)))))</f>
        <v>0</v>
      </c>
      <c r="BE281" s="407">
        <f t="shared" ref="BE281:BE287" si="2263">IF(BE$5=$H281,$E281,0)</f>
        <v>0</v>
      </c>
      <c r="BF281" s="404">
        <f>IF(BJ281=0,0,IF(BJ281&gt;0,IF($J281=3,BJ281,IF($J281=2,BJ281,IF($J281=1,BJ281,0)))))</f>
        <v>0</v>
      </c>
      <c r="BG281" s="414">
        <f>IF(BJ281=0,0,IF(BJ281&gt;0,IF($J281=6,BJ281,IF($J281=5,BJ281,IF($J281=4,BJ281,0)))))</f>
        <v>0</v>
      </c>
      <c r="BH281" s="414">
        <f>IF(BJ281=0,0,IF(BJ281&gt;0,IF($J281=9,BJ281,IF($J281=8,BJ281,IF($J281=7,BJ281,0)))))</f>
        <v>0</v>
      </c>
      <c r="BI281" s="406">
        <f>IF(BJ281=0,0,IF(BJ281&gt;0,IF($J281=12,BJ281,IF($J281=11,BJ281,IF($J281=10,BJ281,0)))))</f>
        <v>0</v>
      </c>
      <c r="BJ281" s="407">
        <f t="shared" ref="BJ281:BJ287" si="2264">IF(BJ$5=$H281,$E281,0)</f>
        <v>0</v>
      </c>
      <c r="BK281" s="404">
        <f>IF(BO281=0,0,IF(BO281&gt;0,IF($J281=3,BO281,IF($J281=2,BO281,IF($J281=1,BO281,0)))))</f>
        <v>0</v>
      </c>
      <c r="BL281" s="414">
        <f>IF(BO281=0,0,IF(BO281&gt;0,IF($J281=6,BO281,IF($J281=5,BO281,IF($J281=4,BO281,0)))))</f>
        <v>0</v>
      </c>
      <c r="BM281" s="414">
        <f>IF(BO281=0,0,IF(BO281&gt;0,IF($J281=9,BO281,IF($J281=8,BO281,IF($J281=7,BO281,0)))))</f>
        <v>0</v>
      </c>
      <c r="BN281" s="406">
        <f>IF(BO281=0,0,IF(BO281&gt;0,IF($J281=12,BO281,IF($J281=11,BO281,IF($J281=10,BO281,0)))))</f>
        <v>0</v>
      </c>
      <c r="BO281" s="407">
        <f t="shared" ref="BO281:BO287" si="2265">IF(BO$5=$H281,$E281,0)</f>
        <v>0</v>
      </c>
      <c r="BP281" s="447"/>
      <c r="BQ281" s="413">
        <f>IF(AND(AH281&lt;&gt;0,AH$5=$H281),$I281*$E281-AH281,IF(BQ$5=$H281,$I281*$E281*(12-$J281+1)/12,0))</f>
        <v>0</v>
      </c>
      <c r="BR281" s="410">
        <f>IF($H281&lt;&gt;BV$5,0,IF(BV281&gt;0,IF($J281=1,$E281*$I281/12*3,IF($J281=2,$E281*$I281/12*2,IF($J281=3,$E281*$I281/12*1,0)))))+IF(BQ$5&lt;&gt;$H281,0,IF(BQ281&gt;0,IF($J281=1,$E281*$I281/12*0,IF($J281=2,$E281*$I281/12*1,IF($J281=3,$E281*$I281/12*2,IF($J281&gt;=4,$E281*$I281/12*3,0))))))</f>
        <v>0</v>
      </c>
      <c r="BS281" s="416">
        <f>IF($H281&lt;&gt;BV$5,0,IF(BV281&gt;0,IF(OR($J281=1,$J281=2,$J281=3,$J281=4),$E281*$I281/12*3,IF($J281=5,$E281*$I281/12*2,IF($J281=6,$E281*$I281/12*1,0)))))+IF(BQ$5&lt;&gt;$H281,0,IF(BQ281&gt;0,IF($J281=4,$E281*$I281/12*0,IF($J281=5,$E281*$I281/12*1,IF($J281=6,$E281*$I281/12*2,IF($J281&gt;=7,$E281*$I281/12*3,0))))))</f>
        <v>0</v>
      </c>
      <c r="BT281" s="416">
        <f>IF($H281&lt;&gt;BV$5,0,IF(BV281&gt;0,IF(OR($J281=1,$J281=2,$J281=3,$J281=4,$J281=5,$J281=6,$J281=7),$E281*$I281/12*3,IF($J281=8,$E281*$I281/12*2,IF($J281=9,$E281*$I281/12*1,0)))))+IF(BQ$5&lt;&gt;$H281,0,IF(BQ281&gt;0,IF($J281=7,$E281*$I281/12*0,IF($J281=8,$E281*$I281/12*1,IF($J281=9,$E281*$I281/12*2,IF($J281&gt;=10,$E281*$I281/12*3,0))))))</f>
        <v>0</v>
      </c>
      <c r="BU281" s="412">
        <f>IF($H281&lt;&gt;BV$5,0,IF(BV281&gt;0,IF(OR($J281=1,$J281=2,$J281=3,$J281=4,$J281=5,$J281=6,$J281=7,$J281=8,$J281=9,$J281=10),$E281*$I281/12*3,IF($J281=11,$E281*$I281/12*2,IF($J281=12,$E281*$I281/12*1,0)))))+IF(BQ$5&lt;&gt;$H281,0,IF(BQ281&gt;0,IF($J281=10,$E281*$I281/12*0,IF($J281=11,$E281*$I281/12*1,IF($J281=12,$E281*$I281/12*2,0)))))</f>
        <v>0</v>
      </c>
      <c r="BV281" s="413">
        <f>IF(AND(BQ281&lt;&gt;0,BQ$5=$H281),$I281*$E281-BQ281,IF(BV$5=$H281,$I281*$E281*(12-$J281+1)/12,0))</f>
        <v>0</v>
      </c>
      <c r="BW281" s="410">
        <f>IF($H281&lt;&gt;CA$5,0,IF(CA281&gt;0,IF($J281=1,$E281*$I281/12*3,IF($J281=2,$E281*$I281/12*2,IF($J281=3,$E281*$I281/12*1,0)))))+IF(BV$5&lt;&gt;$H281,0,IF(BV281&gt;0,IF($J281=1,$E281*$I281/12*0,IF($J281=2,$E281*$I281/12*1,IF($J281=3,$E281*$I281/12*2,IF($J281&gt;=4,$E281*$I281/12*3,0))))))</f>
        <v>0</v>
      </c>
      <c r="BX281" s="416">
        <f>IF($H281&lt;&gt;CA$5,0,IF(CA281&gt;0,IF(OR($J281=1,$J281=2,$J281=3,$J281=4),$E281*$I281/12*3,IF($J281=5,$E281*$I281/12*2,IF($J281=6,$E281*$I281/12*1,0)))))+IF(BV$5&lt;&gt;$H281,0,IF(BV281&gt;0,IF($J281=4,$E281*$I281/12*0,IF($J281=5,$E281*$I281/12*1,IF($J281=6,$E281*$I281/12*2,IF($J281&gt;=7,$E281*$I281/12*3,0))))))</f>
        <v>0</v>
      </c>
      <c r="BY281" s="416">
        <f>IF($H281&lt;&gt;CA$5,0,IF(CA281&gt;0,IF(OR($J281=1,$J281=2,$J281=3,$J281=4,$J281=5,$J281=6,$J281=7),$E281*$I281/12*3,IF($J281=8,$E281*$I281/12*2,IF($J281=9,$E281*$I281/12*1,0)))))+IF(BV$5&lt;&gt;$H281,0,IF(BV281&gt;0,IF($J281=7,$E281*$I281/12*0,IF($J281=8,$E281*$I281/12*1,IF($J281=9,$E281*$I281/12*2,IF($J281&gt;=10,$E281*$I281/12*3,0))))))</f>
        <v>0</v>
      </c>
      <c r="BZ281" s="412">
        <f>IF($H281&lt;&gt;CA$5,0,IF(CA281&gt;0,IF(OR($J281=1,$J281=2,$J281=3,$J281=4,$J281=5,$J281=6,$J281=7,$J281=8,$J281=9,$J281=10),$E281*$I281/12*3,IF($J281=11,$E281*$I281/12*2,IF($J281=12,$E281*$I281/12*1,0)))))+IF(BV$5&lt;&gt;$H281,0,IF(BV281&gt;0,IF($J281=10,$E281*$I281/12*0,IF($J281=11,$E281*$I281/12*1,IF($J281=12,$E281*$I281/12*2,0)))))</f>
        <v>0</v>
      </c>
      <c r="CA281" s="413">
        <f>IF(AND(BV281&lt;&gt;0,BV$5=$H281),$I281*$E281-BV281,IF(CA$5=$H281,$I281*$E281*(12-$J281+1)/12,0))</f>
        <v>0</v>
      </c>
      <c r="CB281" s="410">
        <f>IF($H281&lt;&gt;CF$5,0,IF(CF281&gt;0,IF($J281=1,$E281*$I281/12*3,IF($J281=2,$E281*$I281/12*2,IF($J281=3,$E281*$I281/12*1,0)))))+IF(CA$5&lt;&gt;$H281,0,IF(CA281&gt;0,IF($J281=1,$E281*$I281/12*0,IF($J281=2,$E281*$I281/12*1,IF($J281=3,$E281*$I281/12*2,IF($J281&gt;=4,$E281*$I281/12*3,0))))))</f>
        <v>0</v>
      </c>
      <c r="CC281" s="416">
        <f>IF($H281&lt;&gt;CF$5,0,IF(CF281&gt;0,IF(OR($J281=1,$J281=2,$J281=3,$J281=4),$E281*$I281/12*3,IF($J281=5,$E281*$I281/12*2,IF($J281=6,$E281*$I281/12*1,0)))))+IF(CA$5&lt;&gt;$H281,0,IF(CA281&gt;0,IF($J281=4,$E281*$I281/12*0,IF($J281=5,$E281*$I281/12*1,IF($J281=6,$E281*$I281/12*2,IF($J281&gt;=7,$E281*$I281/12*3,0))))))</f>
        <v>0</v>
      </c>
      <c r="CD281" s="416">
        <f>IF($H281&lt;&gt;CF$5,0,IF(CF281&gt;0,IF(OR($J281=1,$J281=2,$J281=3,$J281=4,$J281=5,$J281=6,$J281=7),$E281*$I281/12*3,IF($J281=8,$E281*$I281/12*2,IF($J281=9,$E281*$I281/12*1,0)))))+IF(CA$5&lt;&gt;$H281,0,IF(CA281&gt;0,IF($J281=7,$E281*$I281/12*0,IF($J281=8,$E281*$I281/12*1,IF($J281=9,$E281*$I281/12*2,IF($J281&gt;=10,$E281*$I281/12*3,0))))))</f>
        <v>0</v>
      </c>
      <c r="CE281" s="412">
        <f>IF($H281&lt;&gt;CF$5,0,IF(CF281&gt;0,IF(OR($J281=1,$J281=2,$J281=3,$J281=4,$J281=5,$J281=6,$J281=7,$J281=8,$J281=9,$J281=10),$E281*$I281/12*3,IF($J281=11,$E281*$I281/12*2,IF($J281=12,$E281*$I281/12*1,0)))))+IF(CA$5&lt;&gt;$H281,0,IF(CA281&gt;0,IF($J281=10,$E281*$I281/12*0,IF($J281=11,$E281*$I281/12*1,IF($J281=12,$E281*$I281/12*2,0)))))</f>
        <v>0</v>
      </c>
      <c r="CF281" s="413">
        <f>IF(AND(CA281&lt;&gt;0,CA$5=$H281),$I281*$E281-CA281,IF(CF$5=$H281,$I281*$E281*(12-$J281+1)/12,0))</f>
        <v>0</v>
      </c>
      <c r="CG281" s="410">
        <f>IF($H281&lt;&gt;CK$5,0,IF(CK281&gt;0,IF($J281=1,$E281*$I281/12*3,IF($J281=2,$E281*$I281/12*2,IF($J281=3,$E281*$I281/12*1,0)))))+IF(CF$5&lt;&gt;$H281,0,IF(CF281&gt;0,IF($J281=1,$E281*$I281/12*0,IF($J281=2,$E281*$I281/12*1,IF($J281=3,$E281*$I281/12*2,IF($J281&gt;=4,$E281*$I281/12*3,0))))))</f>
        <v>0</v>
      </c>
      <c r="CH281" s="416">
        <f>IF($H281&lt;&gt;CK$5,0,IF(CK281&gt;0,IF(OR($J281=1,$J281=2,$J281=3,$J281=4),$E281*$I281/12*3,IF($J281=5,$E281*$I281/12*2,IF($J281=6,$E281*$I281/12*1,0)))))+IF(CF$5&lt;&gt;$H281,0,IF(CF281&gt;0,IF($J281=4,$E281*$I281/12*0,IF($J281=5,$E281*$I281/12*1,IF($J281=6,$E281*$I281/12*2,IF($J281&gt;=7,$E281*$I281/12*3,0))))))</f>
        <v>0</v>
      </c>
      <c r="CI281" s="416">
        <f>IF($H281&lt;&gt;CK$5,0,IF(CK281&gt;0,IF(OR($J281=1,$J281=2,$J281=3,$J281=4,$J281=5,$J281=6,$J281=7),$E281*$I281/12*3,IF($J281=8,$E281*$I281/12*2,IF($J281=9,$E281*$I281/12*1,0)))))+IF(CF$5&lt;&gt;$H281,0,IF(CF281&gt;0,IF($J281=7,$E281*$I281/12*0,IF($J281=8,$E281*$I281/12*1,IF($J281=9,$E281*$I281/12*2,IF($J281&gt;=10,$E281*$I281/12*3,0))))))</f>
        <v>0</v>
      </c>
      <c r="CJ281" s="412">
        <f>IF($H281&lt;&gt;CK$5,0,IF(CK281&gt;0,IF(OR($J281=1,$J281=2,$J281=3,$J281=4,$J281=5,$J281=6,$J281=7,$J281=8,$J281=9,$J281=10),$E281*$I281/12*3,IF($J281=11,$E281*$I281/12*2,IF($J281=12,$E281*$I281/12*1,0)))))+IF(CF$5&lt;&gt;$H281,0,IF(CF281&gt;0,IF($J281=10,$E281*$I281/12*0,IF($J281=11,$E281*$I281/12*1,IF($J281=12,$E281*$I281/12*2,0)))))</f>
        <v>0</v>
      </c>
      <c r="CK281" s="413">
        <f>IF(AND(CF281&lt;&gt;0,CF$5=$H281),$I281*$E281-CF281,IF(CK$5=$H281,$I281*$E281*(12-$J281+1)/12,0))</f>
        <v>0</v>
      </c>
      <c r="CL281" s="410">
        <f>IF($H281&lt;&gt;CP$5,0,IF(CP281&gt;0,IF($J281=1,$E281*$I281/12*3,IF($J281=2,$E281*$I281/12*2,IF($J281=3,$E281*$I281/12*1,0)))))+IF(CK$5&lt;&gt;$H281,0,IF(CK281&gt;0,IF($J281=1,$E281*$I281/12*0,IF($J281=2,$E281*$I281/12*1,IF($J281=3,$E281*$I281/12*2,IF($J281&gt;=4,$E281*$I281/12*3,0))))))</f>
        <v>0</v>
      </c>
      <c r="CM281" s="416">
        <f>IF($H281&lt;&gt;CP$5,0,IF(CP281&gt;0,IF(OR($J281=1,$J281=2,$J281=3,$J281=4),$E281*$I281/12*3,IF($J281=5,$E281*$I281/12*2,IF($J281=6,$E281*$I281/12*1,0)))))+IF(CK$5&lt;&gt;$H281,0,IF(CK281&gt;0,IF($J281=4,$E281*$I281/12*0,IF($J281=5,$E281*$I281/12*1,IF($J281=6,$E281*$I281/12*2,IF($J281&gt;=7,$E281*$I281/12*3,0))))))</f>
        <v>0</v>
      </c>
      <c r="CN281" s="416">
        <f>IF($H281&lt;&gt;CP$5,0,IF(CP281&gt;0,IF(OR($J281=1,$J281=2,$J281=3,$J281=4,$J281=5,$J281=6,$J281=7),$E281*$I281/12*3,IF($J281=8,$E281*$I281/12*2,IF($J281=9,$E281*$I281/12*1,0)))))+IF(CK$5&lt;&gt;$H281,0,IF(CK281&gt;0,IF($J281=7,$E281*$I281/12*0,IF($J281=8,$E281*$I281/12*1,IF($J281=9,$E281*$I281/12*2,IF($J281&gt;=10,$E281*$I281/12*3,0))))))</f>
        <v>0</v>
      </c>
      <c r="CO281" s="412">
        <f>IF($H281&lt;&gt;CP$5,0,IF(CP281&gt;0,IF(OR($J281=1,$J281=2,$J281=3,$J281=4,$J281=5,$J281=6,$J281=7,$J281=8,$J281=9,$J281=10),$E281*$I281/12*3,IF($J281=11,$E281*$I281/12*2,IF($J281=12,$E281*$I281/12*1,0)))))+IF(CK$5&lt;&gt;$H281,0,IF(CK281&gt;0,IF($J281=10,$E281*$I281/12*0,IF($J281=11,$E281*$I281/12*1,IF($J281=12,$E281*$I281/12*2,0)))))</f>
        <v>0</v>
      </c>
      <c r="CP281" s="413">
        <f>IF(AND(CK281&lt;&gt;0,CK$5=$H281),$I281*$E281-CK281,IF(CP$5=$H281,$I281*$E281*(12-$J281+1)/12,0))</f>
        <v>0</v>
      </c>
      <c r="CQ281" s="410">
        <f>IF($H281&lt;&gt;CU$5,0,IF(CU281&gt;0,IF($J281=1,$E281*$I281/12*3,IF($J281=2,$E281*$I281/12*2,IF($J281=3,$E281*$I281/12*1,0)))))+IF(CP$5&lt;&gt;$H281,0,IF(CP281&gt;0,IF($J281=1,$E281*$I281/12*0,IF($J281=2,$E281*$I281/12*1,IF($J281=3,$E281*$I281/12*2,IF($J281&gt;=4,$E281*$I281/12*3,0))))))</f>
        <v>0</v>
      </c>
      <c r="CR281" s="416">
        <f>IF($H281&lt;&gt;CU$5,0,IF(CU281&gt;0,IF(OR($J281=1,$J281=2,$J281=3,$J281=4),$E281*$I281/12*3,IF($J281=5,$E281*$I281/12*2,IF($J281=6,$E281*$I281/12*1,0)))))+IF(CP$5&lt;&gt;$H281,0,IF(CP281&gt;0,IF($J281=4,$E281*$I281/12*0,IF($J281=5,$E281*$I281/12*1,IF($J281=6,$E281*$I281/12*2,IF($J281&gt;=7,$E281*$I281/12*3,0))))))</f>
        <v>0</v>
      </c>
      <c r="CS281" s="416">
        <f>IF($H281&lt;&gt;CU$5,0,IF(CU281&gt;0,IF(OR($J281=1,$J281=2,$J281=3,$J281=4,$J281=5,$J281=6,$J281=7),$E281*$I281/12*3,IF($J281=8,$E281*$I281/12*2,IF($J281=9,$E281*$I281/12*1,0)))))+IF(CP$5&lt;&gt;$H281,0,IF(CP281&gt;0,IF($J281=7,$E281*$I281/12*0,IF($J281=8,$E281*$I281/12*1,IF($J281=9,$E281*$I281/12*2,IF($J281&gt;=10,$E281*$I281/12*3,0))))))</f>
        <v>0</v>
      </c>
      <c r="CT281" s="412">
        <f>IF($H281&lt;&gt;CU$5,0,IF(CU281&gt;0,IF(OR($J281=1,$J281=2,$J281=3,$J281=4,$J281=5,$J281=6,$J281=7,$J281=8,$J281=9,$J281=10),$E281*$I281/12*3,IF($J281=11,$E281*$I281/12*2,IF($J281=12,$E281*$I281/12*1,0)))))+IF(CP$5&lt;&gt;$H281,0,IF(CP281&gt;0,IF($J281=10,$E281*$I281/12*0,IF($J281=11,$E281*$I281/12*1,IF($J281=12,$E281*$I281/12*2,0)))))</f>
        <v>0</v>
      </c>
      <c r="CU281" s="413">
        <f>IF(AND(CP281&lt;&gt;0,CP$5=$H281),$I281*$E281-CP281,IF(CU$5=$H281,$I281*$E281*(12-$J281+1)/12,0))</f>
        <v>0</v>
      </c>
      <c r="CV281" s="410">
        <f>IF($H281&lt;&gt;CZ$5,0,IF(CZ281&gt;0,IF($J281=1,$E281*$I281/12*3,IF($J281=2,$E281*$I281/12*2,IF($J281=3,$E281*$I281/12*1,0)))))+IF(CU$5&lt;&gt;$H281,0,IF(CU281&gt;0,IF($J281=1,$E281*$I281/12*0,IF($J281=2,$E281*$I281/12*1,IF($J281=3,$E281*$I281/12*2,IF($J281&gt;=4,$E281*$I281/12*3,0))))))</f>
        <v>0</v>
      </c>
      <c r="CW281" s="416">
        <f>IF($H281&lt;&gt;CZ$5,0,IF(CZ281&gt;0,IF(OR($J281=1,$J281=2,$J281=3,$J281=4),$E281*$I281/12*3,IF($J281=5,$E281*$I281/12*2,IF($J281=6,$E281*$I281/12*1,0)))))+IF(CU$5&lt;&gt;$H281,0,IF(CU281&gt;0,IF($J281=4,$E281*$I281/12*0,IF($J281=5,$E281*$I281/12*1,IF($J281=6,$E281*$I281/12*2,IF($J281&gt;=7,$E281*$I281/12*3,0))))))</f>
        <v>0</v>
      </c>
      <c r="CX281" s="416">
        <f>IF($H281&lt;&gt;CZ$5,0,IF(CZ281&gt;0,IF(OR($J281=1,$J281=2,$J281=3,$J281=4,$J281=5,$J281=6,$J281=7),$E281*$I281/12*3,IF($J281=8,$E281*$I281/12*2,IF($J281=9,$E281*$I281/12*1,0)))))+IF(CU$5&lt;&gt;$H281,0,IF(CU281&gt;0,IF($J281=7,$E281*$I281/12*0,IF($J281=8,$E281*$I281/12*1,IF($J281=9,$E281*$I281/12*2,IF($J281&gt;=10,$E281*$I281/12*3,0))))))</f>
        <v>0</v>
      </c>
      <c r="CY281" s="412">
        <f>IF($H281&lt;&gt;CZ$5,0,IF(CZ281&gt;0,IF(OR($J281=1,$J281=2,$J281=3,$J281=4,$J281=5,$J281=6,$J281=7,$J281=8,$J281=9,$J281=10),$E281*$I281/12*3,IF($J281=11,$E281*$I281/12*2,IF($J281=12,$E281*$I281/12*1,0)))))+IF(CU$5&lt;&gt;$H281,0,IF(CU281&gt;0,IF($J281=10,$E281*$I281/12*0,IF($J281=11,$E281*$I281/12*1,IF($J281=12,$E281*$I281/12*2,0)))))</f>
        <v>0.26250000000000001</v>
      </c>
      <c r="CZ281" s="413">
        <f>IF(AND(CU281&lt;&gt;0,CU$5=$H281),$I281*$E281-CU281,IF(CZ$5=$H281,$I281*$E281*(12-$J281+1)/12,0))</f>
        <v>0.26250000000000001</v>
      </c>
      <c r="DA281" s="410">
        <f>IF($H281&lt;&gt;DE$5,0,IF(DE281&gt;0,IF($J281=1,$E281*$I281/12*3,IF($J281=2,$E281*$I281/12*2,IF($J281=3,$E281*$I281/12*1,0)))))+IF(CZ$5&lt;&gt;$H281,0,IF(CZ281&gt;0,IF($J281=1,$E281*$I281/12*0,IF($J281=2,$E281*$I281/12*1,IF($J281=3,$E281*$I281/12*2,IF($J281&gt;=4,$E281*$I281/12*3,0))))))</f>
        <v>0.26250000000000001</v>
      </c>
      <c r="DB281" s="416">
        <f>IF($H281&lt;&gt;DE$5,0,IF(DE281&gt;0,IF(OR($J281=1,$J281=2,$J281=3,$J281=4),$E281*$I281/12*3,IF($J281=5,$E281*$I281/12*2,IF($J281=6,$E281*$I281/12*1,0)))))+IF(CZ$5&lt;&gt;$H281,0,IF(CZ281&gt;0,IF($J281=4,$E281*$I281/12*0,IF($J281=5,$E281*$I281/12*1,IF($J281=6,$E281*$I281/12*2,IF($J281&gt;=7,$E281*$I281/12*3,0))))))</f>
        <v>0.26250000000000001</v>
      </c>
      <c r="DC281" s="416">
        <f>IF($H281&lt;&gt;DE$5,0,IF(DE281&gt;0,IF(OR($J281=1,$J281=2,$J281=3,$J281=4,$J281=5,$J281=6,$J281=7),$E281*$I281/12*3,IF($J281=8,$E281*$I281/12*2,IF($J281=9,$E281*$I281/12*1,0)))))+IF(CZ$5&lt;&gt;$H281,0,IF(CZ281&gt;0,IF($J281=7,$E281*$I281/12*0,IF($J281=8,$E281*$I281/12*1,IF($J281=9,$E281*$I281/12*2,IF($J281&gt;=10,$E281*$I281/12*3,0))))))</f>
        <v>0.26250000000000001</v>
      </c>
      <c r="DD281" s="412">
        <f>IF($H281&lt;&gt;DE$5,0,IF(DE281&gt;0,IF(OR($J281=1,$J281=2,$J281=3,$J281=4,$J281=5,$J281=6,$J281=7,$J281=8,$J281=9,$J281=10),$E281*$I281/12*3,IF($J281=11,$E281*$I281/12*2,IF($J281=12,$E281*$I281/12*1,0)))))+IF(CZ$5&lt;&gt;$H281,0,IF(CZ281&gt;0,IF($J281=10,$E281*$I281/12*0,IF($J281=11,$E281*$I281/12*1,IF($J281=12,$E281*$I281/12*2,0)))))</f>
        <v>0</v>
      </c>
      <c r="DE281" s="413">
        <f>IF(AND(CZ281&lt;&gt;0,CZ$5=$H281),$I281*$E281-CZ281,IF(DE$5=$H281,$I281*$E281*(12-$J281+1)/12,0))</f>
        <v>0.78750000000000009</v>
      </c>
      <c r="DF281" s="410">
        <f>IF($H281&lt;&gt;DJ$5,0,IF(DJ281&gt;0,IF($J281=1,$E281*$I281/12*3,IF($J281=2,$E281*$I281/12*2,IF($J281=3,$E281*$I281/12*1,0)))))+IF(DE$5&lt;&gt;$H281,0,IF(DE281&gt;0,IF($J281=1,$E281*$I281/12*0,IF($J281=2,$E281*$I281/12*1,IF($J281=3,$E281*$I281/12*2,IF($J281&gt;=4,$E281*$I281/12*3,0))))))</f>
        <v>0</v>
      </c>
      <c r="DG281" s="416">
        <f>IF($H281&lt;&gt;DJ$5,0,IF(DJ281&gt;0,IF(OR($J281=1,$J281=2,$J281=3,$J281=4),$E281*$I281/12*3,IF($J281=5,$E281*$I281/12*2,IF($J281=6,$E281*$I281/12*1,0)))))+IF(DE$5&lt;&gt;$H281,0,IF(DE281&gt;0,IF($J281=4,$E281*$I281/12*0,IF($J281=5,$E281*$I281/12*1,IF($J281=6,$E281*$I281/12*2,IF($J281&gt;=7,$E281*$I281/12*3,0))))))</f>
        <v>0</v>
      </c>
      <c r="DH281" s="416">
        <f>IF($H281&lt;&gt;DJ$5,0,IF(DJ281&gt;0,IF(OR($J281=1,$J281=2,$J281=3,$J281=4,$J281=5,$J281=6,$J281=7),$E281*$I281/12*3,IF($J281=8,$E281*$I281/12*2,IF($J281=9,$E281*$I281/12*1,0)))))+IF(DE$5&lt;&gt;$H281,0,IF(DE281&gt;0,IF($J281=7,$E281*$I281/12*0,IF($J281=8,$E281*$I281/12*1,IF($J281=9,$E281*$I281/12*2,IF($J281&gt;=10,$E281*$I281/12*3,0))))))</f>
        <v>0</v>
      </c>
      <c r="DI281" s="412">
        <f>IF($H281&lt;&gt;DJ$5,0,IF(DJ281&gt;0,IF(OR($J281=1,$J281=2,$J281=3,$J281=4,$J281=5,$J281=6,$J281=7,$J281=8,$J281=9,$J281=10),$E281*$I281/12*3,IF($J281=11,$E281*$I281/12*2,IF($J281=12,$E281*$I281/12*1,0)))))+IF(DE$5&lt;&gt;$H281,0,IF(DE281&gt;0,IF($J281=10,$E281*$I281/12*0,IF($J281=11,$E281*$I281/12*1,IF($J281=12,$E281*$I281/12*2,0)))))</f>
        <v>0</v>
      </c>
      <c r="DJ281" s="413">
        <f>IF(AND(DE281&lt;&gt;0,DE$5=$H281),$I281*$E281-DE281,IF(DJ$5=$H281,$I281*$E281*(12-$J281+1)/12,0))</f>
        <v>0</v>
      </c>
      <c r="DK281" s="410">
        <f>IF($H281&lt;&gt;DO$5,0,IF(DO281&gt;0,IF($J281=1,$E281*$I281/12*3,IF($J281=2,$E281*$I281/12*2,IF($J281=3,$E281*$I281/12*1,0)))))+IF(DJ$5&lt;&gt;$H281,0,IF(DJ281&gt;0,IF($J281=1,$E281*$I281/12*0,IF($J281=2,$E281*$I281/12*1,IF($J281=3,$E281*$I281/12*2,IF($J281&gt;=4,$E281*$I281/12*3,0))))))</f>
        <v>0</v>
      </c>
      <c r="DL281" s="416">
        <f>IF($H281&lt;&gt;DO$5,0,IF(DO281&gt;0,IF(OR($J281=1,$J281=2,$J281=3,$J281=4),$E281*$I281/12*3,IF($J281=5,$E281*$I281/12*2,IF($J281=6,$E281*$I281/12*1,0)))))+IF(DJ$5&lt;&gt;$H281,0,IF(DJ281&gt;0,IF($J281=4,$E281*$I281/12*0,IF($J281=5,$E281*$I281/12*1,IF($J281=6,$E281*$I281/12*2,IF($J281&gt;=7,$E281*$I281/12*3,0))))))</f>
        <v>0</v>
      </c>
      <c r="DM281" s="416">
        <f>IF($H281&lt;&gt;DO$5,0,IF(DO281&gt;0,IF(OR($J281=1,$J281=2,$J281=3,$J281=4,$J281=5,$J281=6,$J281=7),$E281*$I281/12*3,IF($J281=8,$E281*$I281/12*2,IF($J281=9,$E281*$I281/12*1,0)))))+IF(DJ$5&lt;&gt;$H281,0,IF(DJ281&gt;0,IF($J281=7,$E281*$I281/12*0,IF($J281=8,$E281*$I281/12*1,IF($J281=9,$E281*$I281/12*2,IF($J281&gt;=10,$E281*$I281/12*3,0))))))</f>
        <v>0</v>
      </c>
      <c r="DN281" s="412">
        <f>IF($H281&lt;&gt;DO$5,0,IF(DO281&gt;0,IF(OR($J281=1,$J281=2,$J281=3,$J281=4,$J281=5,$J281=6,$J281=7,$J281=8,$J281=9,$J281=10),$E281*$I281/12*3,IF($J281=11,$E281*$I281/12*2,IF($J281=12,$E281*$I281/12*1,0)))))+IF(DJ$5&lt;&gt;$H281,0,IF(DJ281&gt;0,IF($J281=10,$E281*$I281/12*0,IF($J281=11,$E281*$I281/12*1,IF($J281=12,$E281*$I281/12*2,0)))))</f>
        <v>0</v>
      </c>
      <c r="DO281" s="413">
        <f>IF(AND(DJ281&lt;&gt;0,DJ$5=$H281),$I281*$E281-DJ281,IF(DO$5=$H281,$I281*$E281*(12-$J281+1)/12,0))</f>
        <v>0</v>
      </c>
      <c r="DP281" s="410">
        <f>IF($H281&lt;&gt;DT$5,0,IF(DT281&gt;0,IF($J281=1,$E281*$I281/12*3,IF($J281=2,$E281*$I281/12*2,IF($J281=3,$E281*$I281/12*1,0)))))+IF(DO$5&lt;&gt;$H281,0,IF(DO281&gt;0,IF($J281=1,$E281*$I281/12*0,IF($J281=2,$E281*$I281/12*1,IF($J281=3,$E281*$I281/12*2,IF($J281&gt;=4,$E281*$I281/12*3,0))))))</f>
        <v>0</v>
      </c>
      <c r="DQ281" s="416">
        <f>IF($H281&lt;&gt;DT$5,0,IF(DT281&gt;0,IF(OR($J281=1,$J281=2,$J281=3,$J281=4),$E281*$I281/12*3,IF($J281=5,$E281*$I281/12*2,IF($J281=6,$E281*$I281/12*1,0)))))+IF(DO$5&lt;&gt;$H281,0,IF(DO281&gt;0,IF($J281=4,$E281*$I281/12*0,IF($J281=5,$E281*$I281/12*1,IF($J281=6,$E281*$I281/12*2,IF($J281&gt;=7,$E281*$I281/12*3,0))))))</f>
        <v>0</v>
      </c>
      <c r="DR281" s="416">
        <f>IF($H281&lt;&gt;DT$5,0,IF(DT281&gt;0,IF(OR($J281=1,$J281=2,$J281=3,$J281=4,$J281=5,$J281=6,$J281=7),$E281*$I281/12*3,IF($J281=8,$E281*$I281/12*2,IF($J281=9,$E281*$I281/12*1,0)))))+IF(DO$5&lt;&gt;$H281,0,IF(DO281&gt;0,IF($J281=7,$E281*$I281/12*0,IF($J281=8,$E281*$I281/12*1,IF($J281=9,$E281*$I281/12*2,IF($J281&gt;=10,$E281*$I281/12*3,0))))))</f>
        <v>0</v>
      </c>
      <c r="DS281" s="412">
        <f>IF($H281&lt;&gt;DT$5,0,IF(DT281&gt;0,IF(OR($J281=1,$J281=2,$J281=3,$J281=4,$J281=5,$J281=6,$J281=7,$J281=8,$J281=9,$J281=10),$E281*$I281/12*3,IF($J281=11,$E281*$I281/12*2,IF($J281=12,$E281*$I281/12*1,0)))))+IF(DO$5&lt;&gt;$H281,0,IF(DO281&gt;0,IF($J281=10,$E281*$I281/12*0,IF($J281=11,$E281*$I281/12*1,IF($J281=12,$E281*$I281/12*2,0)))))</f>
        <v>0</v>
      </c>
      <c r="DT281" s="413">
        <f>IF(AND(DO281&lt;&gt;0,DO$5=$H281),$I281*$E281-DO281,IF(DT$5=$H281,$I281*$E281*(12-$J281+1)/12,0))</f>
        <v>0</v>
      </c>
    </row>
    <row r="282" spans="1:124" ht="12.75" customHeight="1">
      <c r="A282" s="491"/>
      <c r="C282" s="1894" t="s">
        <v>1334</v>
      </c>
      <c r="D282" s="601"/>
      <c r="E282" s="1897">
        <v>400</v>
      </c>
      <c r="F282" s="1532"/>
      <c r="G282" s="1532"/>
      <c r="H282" s="610">
        <v>2017</v>
      </c>
      <c r="I282" s="1533">
        <v>2.4E-2</v>
      </c>
      <c r="J282" s="615">
        <v>9</v>
      </c>
      <c r="K282" s="402"/>
      <c r="L282" s="407">
        <f t="shared" si="2254"/>
        <v>0</v>
      </c>
      <c r="M282" s="404">
        <f>IF(Q282=0,0,IF(Q282&gt;0,IF($J282=3,Q282,IF($J282=2,Q282,IF($J282=1,Q282,0)))))</f>
        <v>0</v>
      </c>
      <c r="N282" s="414">
        <f>IF(Q282=0,0,IF(Q282&gt;0,IF($J282=6,Q282,IF($J282=5,Q282,IF($J282=4,Q282,0)))))</f>
        <v>0</v>
      </c>
      <c r="O282" s="414">
        <f>IF(Q282=0,0,IF(Q282&gt;0,IF($J282=9,Q282,IF($J282=8,Q282,IF($J282=7,Q282,0)))))</f>
        <v>0</v>
      </c>
      <c r="P282" s="406">
        <f>IF(Q282=0,0,IF(Q282&gt;0,IF($J282=12,Q282,IF($J282=11,Q282,IF($J282=10,Q282,0)))))</f>
        <v>0</v>
      </c>
      <c r="Q282" s="407">
        <f t="shared" si="2255"/>
        <v>0</v>
      </c>
      <c r="R282" s="404">
        <f>IF(V282=0,0,IF(V282&gt;0,IF($J282=3,V282,IF($J282=2,V282,IF($J282=1,V282,0)))))</f>
        <v>0</v>
      </c>
      <c r="S282" s="414">
        <f>IF(V282=0,0,IF(V282&gt;0,IF($J282=6,V282,IF($J282=5,V282,IF($J282=4,V282,0)))))</f>
        <v>0</v>
      </c>
      <c r="T282" s="414">
        <f>IF(V282=0,0,IF(V282&gt;0,IF($J282=9,V282,IF($J282=8,V282,IF($J282=7,V282,0)))))</f>
        <v>0</v>
      </c>
      <c r="U282" s="406">
        <f>IF(V282=0,0,IF(V282&gt;0,IF($J282=12,V282,IF($J282=11,V282,IF($J282=10,V282,0)))))</f>
        <v>0</v>
      </c>
      <c r="V282" s="407">
        <f t="shared" si="2256"/>
        <v>0</v>
      </c>
      <c r="W282" s="404">
        <f>IF(AA282=0,0,IF(AA282&gt;0,IF($J282=3,AA282,IF($J282=2,AA282,IF($J282=1,AA282,0)))))</f>
        <v>0</v>
      </c>
      <c r="X282" s="414">
        <f>IF(AA282=0,0,IF(AA282&gt;0,IF($J282=6,AA282,IF($J282=5,AA282,IF($J282=4,AA282,0)))))</f>
        <v>0</v>
      </c>
      <c r="Y282" s="414">
        <f>IF(AA282=0,0,IF(AA282&gt;0,IF($J282=9,AA282,IF($J282=8,AA282,IF($J282=7,AA282,0)))))</f>
        <v>0</v>
      </c>
      <c r="Z282" s="406">
        <f>IF(AA282=0,0,IF(AA282&gt;0,IF($J282=12,AA282,IF($J282=11,AA282,IF($J282=10,AA282,0)))))</f>
        <v>0</v>
      </c>
      <c r="AA282" s="407">
        <f t="shared" si="2257"/>
        <v>0</v>
      </c>
      <c r="AB282" s="404">
        <f>IF(AF282=0,0,IF(AF282&gt;0,IF($J282=3,AF282,IF($J282=2,AF282,IF($J282=1,AF282,0)))))</f>
        <v>0</v>
      </c>
      <c r="AC282" s="414">
        <f>IF(AF282=0,0,IF(AF282&gt;0,IF($J282=6,AF282,IF($J282=5,AF282,IF($J282=4,AF282,0)))))</f>
        <v>0</v>
      </c>
      <c r="AD282" s="414">
        <f>IF(AF282=0,0,IF(AF282&gt;0,IF($J282=9,AF282,IF($J282=8,AF282,IF($J282=7,AF282,0)))))</f>
        <v>0</v>
      </c>
      <c r="AE282" s="406">
        <f>IF(AF282=0,0,IF(AF282&gt;0,IF($J282=12,AF282,IF($J282=11,AF282,IF($J282=10,AF282,0)))))</f>
        <v>0</v>
      </c>
      <c r="AF282" s="407">
        <f t="shared" si="2258"/>
        <v>0</v>
      </c>
      <c r="AG282" s="404">
        <f>IF(AK282=0,0,IF(AK282&gt;0,IF($J282=3,AK282,IF($J282=2,AK282,IF($J282=1,AK282,0)))))</f>
        <v>0</v>
      </c>
      <c r="AH282" s="414">
        <f>IF(AK282=0,0,IF(AK282&gt;0,IF($J282=6,AK282,IF($J282=5,AK282,IF($J282=4,AK282,0)))))</f>
        <v>0</v>
      </c>
      <c r="AI282" s="414">
        <f>IF(AK282=0,0,IF(AK282&gt;0,IF($J282=9,AK282,IF($J282=8,AK282,IF($J282=7,AK282,0)))))</f>
        <v>0</v>
      </c>
      <c r="AJ282" s="406">
        <f>IF(AK282=0,0,IF(AK282&gt;0,IF($J282=12,AK282,IF($J282=11,AK282,IF($J282=10,AK282,0)))))</f>
        <v>0</v>
      </c>
      <c r="AK282" s="407">
        <f t="shared" si="2259"/>
        <v>0</v>
      </c>
      <c r="AL282" s="404">
        <f>IF(AP282=0,0,IF(AP282&gt;0,IF($J282=3,AP282,IF($J282=2,AP282,IF($J282=1,AP282,0)))))</f>
        <v>0</v>
      </c>
      <c r="AM282" s="414">
        <f>IF(AP282=0,0,IF(AP282&gt;0,IF($J282=6,AP282,IF($J282=5,AP282,IF($J282=4,AP282,0)))))</f>
        <v>0</v>
      </c>
      <c r="AN282" s="414">
        <f>IF(AP282=0,0,IF(AP282&gt;0,IF($J282=9,AP282,IF($J282=8,AP282,IF($J282=7,AP282,0)))))</f>
        <v>0</v>
      </c>
      <c r="AO282" s="406">
        <f>IF(AP282=0,0,IF(AP282&gt;0,IF($J282=12,AP282,IF($J282=11,AP282,IF($J282=10,AP282,0)))))</f>
        <v>0</v>
      </c>
      <c r="AP282" s="407">
        <f t="shared" si="2260"/>
        <v>0</v>
      </c>
      <c r="AQ282" s="404">
        <f>IF(AU282=0,0,IF(AU282&gt;0,IF($J282=3,AU282,IF($J282=2,AU282,IF($J282=1,AU282,0)))))</f>
        <v>0</v>
      </c>
      <c r="AR282" s="414">
        <f>IF(AU282=0,0,IF(AU282&gt;0,IF($J282=6,AU282,IF($J282=5,AU282,IF($J282=4,AU282,0)))))</f>
        <v>0</v>
      </c>
      <c r="AS282" s="414">
        <f>IF(AU282=0,0,IF(AU282&gt;0,IF($J282=9,AU282,IF($J282=8,AU282,IF($J282=7,AU282,0)))))</f>
        <v>400</v>
      </c>
      <c r="AT282" s="406">
        <f>IF(AU282=0,0,IF(AU282&gt;0,IF($J282=12,AU282,IF($J282=11,AU282,IF($J282=10,AU282,0)))))</f>
        <v>0</v>
      </c>
      <c r="AU282" s="407">
        <f t="shared" si="2261"/>
        <v>400</v>
      </c>
      <c r="AV282" s="404">
        <f>IF(AZ282=0,0,IF(AZ282&gt;0,IF($J282=3,AZ282,IF($J282=2,AZ282,IF($J282=1,AZ282,0)))))</f>
        <v>0</v>
      </c>
      <c r="AW282" s="414">
        <f>IF(AZ282=0,0,IF(AZ282&gt;0,IF($J282=6,AZ282,IF($J282=5,AZ282,IF($J282=4,AZ282,0)))))</f>
        <v>0</v>
      </c>
      <c r="AX282" s="414">
        <f>IF(AZ282=0,0,IF(AZ282&gt;0,IF($J282=9,AZ282,IF($J282=8,AZ282,IF($J282=7,AZ282,0)))))</f>
        <v>0</v>
      </c>
      <c r="AY282" s="406">
        <f>IF(AZ282=0,0,IF(AZ282&gt;0,IF($J282=12,AZ282,IF($J282=11,AZ282,IF($J282=10,AZ282,0)))))</f>
        <v>0</v>
      </c>
      <c r="AZ282" s="407">
        <f t="shared" si="2262"/>
        <v>0</v>
      </c>
      <c r="BA282" s="404">
        <f>IF(BE282=0,0,IF(BE282&gt;0,IF($J282=3,BE282,IF($J282=2,BE282,IF($J282=1,BE282,0)))))</f>
        <v>0</v>
      </c>
      <c r="BB282" s="414">
        <f>IF(BE282=0,0,IF(BE282&gt;0,IF($J282=6,BE282,IF($J282=5,BE282,IF($J282=4,BE282,0)))))</f>
        <v>0</v>
      </c>
      <c r="BC282" s="414">
        <f>IF(BE282=0,0,IF(BE282&gt;0,IF($J282=9,BE282,IF($J282=8,BE282,IF($J282=7,BE282,0)))))</f>
        <v>0</v>
      </c>
      <c r="BD282" s="406">
        <f>IF(BE282=0,0,IF(BE282&gt;0,IF($J282=12,BE282,IF($J282=11,BE282,IF($J282=10,BE282,0)))))</f>
        <v>0</v>
      </c>
      <c r="BE282" s="407">
        <f t="shared" si="2263"/>
        <v>0</v>
      </c>
      <c r="BF282" s="404">
        <f>IF(BJ282=0,0,IF(BJ282&gt;0,IF($J282=3,BJ282,IF($J282=2,BJ282,IF($J282=1,BJ282,0)))))</f>
        <v>0</v>
      </c>
      <c r="BG282" s="414">
        <f>IF(BJ282=0,0,IF(BJ282&gt;0,IF($J282=6,BJ282,IF($J282=5,BJ282,IF($J282=4,BJ282,0)))))</f>
        <v>0</v>
      </c>
      <c r="BH282" s="414">
        <f>IF(BJ282=0,0,IF(BJ282&gt;0,IF($J282=9,BJ282,IF($J282=8,BJ282,IF($J282=7,BJ282,0)))))</f>
        <v>0</v>
      </c>
      <c r="BI282" s="406">
        <f>IF(BJ282=0,0,IF(BJ282&gt;0,IF($J282=12,BJ282,IF($J282=11,BJ282,IF($J282=10,BJ282,0)))))</f>
        <v>0</v>
      </c>
      <c r="BJ282" s="407">
        <f t="shared" si="2264"/>
        <v>0</v>
      </c>
      <c r="BK282" s="404">
        <f>IF(BO282=0,0,IF(BO282&gt;0,IF($J282=3,BO282,IF($J282=2,BO282,IF($J282=1,BO282,0)))))</f>
        <v>0</v>
      </c>
      <c r="BL282" s="414">
        <f>IF(BO282=0,0,IF(BO282&gt;0,IF($J282=6,BO282,IF($J282=5,BO282,IF($J282=4,BO282,0)))))</f>
        <v>0</v>
      </c>
      <c r="BM282" s="414">
        <f>IF(BO282=0,0,IF(BO282&gt;0,IF($J282=9,BO282,IF($J282=8,BO282,IF($J282=7,BO282,0)))))</f>
        <v>0</v>
      </c>
      <c r="BN282" s="406">
        <f>IF(BO282=0,0,IF(BO282&gt;0,IF($J282=12,BO282,IF($J282=11,BO282,IF($J282=10,BO282,0)))))</f>
        <v>0</v>
      </c>
      <c r="BO282" s="407">
        <f t="shared" si="2265"/>
        <v>0</v>
      </c>
      <c r="BP282" s="447"/>
      <c r="BQ282" s="413">
        <f>IF(AND(AH282&lt;&gt;0,AH$5=$H282),$I282*$E282-AH282,IF(BQ$5=$H282,$I282*$E282*(12-$J282+1)/12,0))</f>
        <v>0</v>
      </c>
      <c r="BR282" s="410">
        <f>IF($H282&lt;&gt;BV$5,0,IF(BV282&gt;0,IF($J282=1,$E282*$I282/12*3,IF($J282=2,$E282*$I282/12*2,IF($J282=3,$E282*$I282/12*1,0)))))+IF(BQ$5&lt;&gt;$H282,0,IF(BQ282&gt;0,IF($J282=1,$E282*$I282/12*0,IF($J282=2,$E282*$I282/12*1,IF($J282=3,$E282*$I282/12*2,IF($J282&gt;=4,$E282*$I282/12*3,0))))))</f>
        <v>0</v>
      </c>
      <c r="BS282" s="416">
        <f>IF($H282&lt;&gt;BV$5,0,IF(BV282&gt;0,IF(OR($J282=1,$J282=2,$J282=3,$J282=4),$E282*$I282/12*3,IF($J282=5,$E282*$I282/12*2,IF($J282=6,$E282*$I282/12*1,0)))))+IF(BQ$5&lt;&gt;$H282,0,IF(BQ282&gt;0,IF($J282=4,$E282*$I282/12*0,IF($J282=5,$E282*$I282/12*1,IF($J282=6,$E282*$I282/12*2,IF($J282&gt;=7,$E282*$I282/12*3,0))))))</f>
        <v>0</v>
      </c>
      <c r="BT282" s="416">
        <f>IF($H282&lt;&gt;BV$5,0,IF(BV282&gt;0,IF(OR($J282=1,$J282=2,$J282=3,$J282=4,$J282=5,$J282=6,$J282=7),$E282*$I282/12*3,IF($J282=8,$E282*$I282/12*2,IF($J282=9,$E282*$I282/12*1,0)))))+IF(BQ$5&lt;&gt;$H282,0,IF(BQ282&gt;0,IF($J282=7,$E282*$I282/12*0,IF($J282=8,$E282*$I282/12*1,IF($J282=9,$E282*$I282/12*2,IF($J282&gt;=10,$E282*$I282/12*3,0))))))</f>
        <v>0</v>
      </c>
      <c r="BU282" s="412">
        <f>IF($H282&lt;&gt;BV$5,0,IF(BV282&gt;0,IF(OR($J282=1,$J282=2,$J282=3,$J282=4,$J282=5,$J282=6,$J282=7,$J282=8,$J282=9,$J282=10),$E282*$I282/12*3,IF($J282=11,$E282*$I282/12*2,IF($J282=12,$E282*$I282/12*1,0)))))+IF(BQ$5&lt;&gt;$H282,0,IF(BQ282&gt;0,IF($J282=10,$E282*$I282/12*0,IF($J282=11,$E282*$I282/12*1,IF($J282=12,$E282*$I282/12*2,0)))))</f>
        <v>0</v>
      </c>
      <c r="BV282" s="413">
        <f>IF(AND(BQ282&lt;&gt;0,BQ$5=$H282),$I282*$E282-BQ282,IF(BV$5=$H282,$I282*$E282*(12-$J282+1)/12,0))</f>
        <v>0</v>
      </c>
      <c r="BW282" s="410">
        <f>IF($H282&lt;&gt;CA$5,0,IF(CA282&gt;0,IF($J282=1,$E282*$I282/12*3,IF($J282=2,$E282*$I282/12*2,IF($J282=3,$E282*$I282/12*1,0)))))+IF(BV$5&lt;&gt;$H282,0,IF(BV282&gt;0,IF($J282=1,$E282*$I282/12*0,IF($J282=2,$E282*$I282/12*1,IF($J282=3,$E282*$I282/12*2,IF($J282&gt;=4,$E282*$I282/12*3,0))))))</f>
        <v>0</v>
      </c>
      <c r="BX282" s="416">
        <f>IF($H282&lt;&gt;CA$5,0,IF(CA282&gt;0,IF(OR($J282=1,$J282=2,$J282=3,$J282=4),$E282*$I282/12*3,IF($J282=5,$E282*$I282/12*2,IF($J282=6,$E282*$I282/12*1,0)))))+IF(BV$5&lt;&gt;$H282,0,IF(BV282&gt;0,IF($J282=4,$E282*$I282/12*0,IF($J282=5,$E282*$I282/12*1,IF($J282=6,$E282*$I282/12*2,IF($J282&gt;=7,$E282*$I282/12*3,0))))))</f>
        <v>0</v>
      </c>
      <c r="BY282" s="416">
        <f>IF($H282&lt;&gt;CA$5,0,IF(CA282&gt;0,IF(OR($J282=1,$J282=2,$J282=3,$J282=4,$J282=5,$J282=6,$J282=7),$E282*$I282/12*3,IF($J282=8,$E282*$I282/12*2,IF($J282=9,$E282*$I282/12*1,0)))))+IF(BV$5&lt;&gt;$H282,0,IF(BV282&gt;0,IF($J282=7,$E282*$I282/12*0,IF($J282=8,$E282*$I282/12*1,IF($J282=9,$E282*$I282/12*2,IF($J282&gt;=10,$E282*$I282/12*3,0))))))</f>
        <v>0</v>
      </c>
      <c r="BZ282" s="412">
        <f>IF($H282&lt;&gt;CA$5,0,IF(CA282&gt;0,IF(OR($J282=1,$J282=2,$J282=3,$J282=4,$J282=5,$J282=6,$J282=7,$J282=8,$J282=9,$J282=10),$E282*$I282/12*3,IF($J282=11,$E282*$I282/12*2,IF($J282=12,$E282*$I282/12*1,0)))))+IF(BV$5&lt;&gt;$H282,0,IF(BV282&gt;0,IF($J282=10,$E282*$I282/12*0,IF($J282=11,$E282*$I282/12*1,IF($J282=12,$E282*$I282/12*2,0)))))</f>
        <v>0</v>
      </c>
      <c r="CA282" s="413">
        <f>IF(AND(BV282&lt;&gt;0,BV$5=$H282),$I282*$E282-BV282,IF(CA$5=$H282,$I282*$E282*(12-$J282+1)/12,0))</f>
        <v>0</v>
      </c>
      <c r="CB282" s="410">
        <f>IF($H282&lt;&gt;CF$5,0,IF(CF282&gt;0,IF($J282=1,$E282*$I282/12*3,IF($J282=2,$E282*$I282/12*2,IF($J282=3,$E282*$I282/12*1,0)))))+IF(CA$5&lt;&gt;$H282,0,IF(CA282&gt;0,IF($J282=1,$E282*$I282/12*0,IF($J282=2,$E282*$I282/12*1,IF($J282=3,$E282*$I282/12*2,IF($J282&gt;=4,$E282*$I282/12*3,0))))))</f>
        <v>0</v>
      </c>
      <c r="CC282" s="416">
        <f>IF($H282&lt;&gt;CF$5,0,IF(CF282&gt;0,IF(OR($J282=1,$J282=2,$J282=3,$J282=4),$E282*$I282/12*3,IF($J282=5,$E282*$I282/12*2,IF($J282=6,$E282*$I282/12*1,0)))))+IF(CA$5&lt;&gt;$H282,0,IF(CA282&gt;0,IF($J282=4,$E282*$I282/12*0,IF($J282=5,$E282*$I282/12*1,IF($J282=6,$E282*$I282/12*2,IF($J282&gt;=7,$E282*$I282/12*3,0))))))</f>
        <v>0</v>
      </c>
      <c r="CD282" s="416">
        <f>IF($H282&lt;&gt;CF$5,0,IF(CF282&gt;0,IF(OR($J282=1,$J282=2,$J282=3,$J282=4,$J282=5,$J282=6,$J282=7),$E282*$I282/12*3,IF($J282=8,$E282*$I282/12*2,IF($J282=9,$E282*$I282/12*1,0)))))+IF(CA$5&lt;&gt;$H282,0,IF(CA282&gt;0,IF($J282=7,$E282*$I282/12*0,IF($J282=8,$E282*$I282/12*1,IF($J282=9,$E282*$I282/12*2,IF($J282&gt;=10,$E282*$I282/12*3,0))))))</f>
        <v>0</v>
      </c>
      <c r="CE282" s="412">
        <f>IF($H282&lt;&gt;CF$5,0,IF(CF282&gt;0,IF(OR($J282=1,$J282=2,$J282=3,$J282=4,$J282=5,$J282=6,$J282=7,$J282=8,$J282=9,$J282=10),$E282*$I282/12*3,IF($J282=11,$E282*$I282/12*2,IF($J282=12,$E282*$I282/12*1,0)))))+IF(CA$5&lt;&gt;$H282,0,IF(CA282&gt;0,IF($J282=10,$E282*$I282/12*0,IF($J282=11,$E282*$I282/12*1,IF($J282=12,$E282*$I282/12*2,0)))))</f>
        <v>0</v>
      </c>
      <c r="CF282" s="413">
        <f>IF(AND(CA282&lt;&gt;0,CA$5=$H282),$I282*$E282-CA282,IF(CF$5=$H282,$I282*$E282*(12-$J282+1)/12,0))</f>
        <v>0</v>
      </c>
      <c r="CG282" s="410">
        <f>IF($H282&lt;&gt;CK$5,0,IF(CK282&gt;0,IF($J282=1,$E282*$I282/12*3,IF($J282=2,$E282*$I282/12*2,IF($J282=3,$E282*$I282/12*1,0)))))+IF(CF$5&lt;&gt;$H282,0,IF(CF282&gt;0,IF($J282=1,$E282*$I282/12*0,IF($J282=2,$E282*$I282/12*1,IF($J282=3,$E282*$I282/12*2,IF($J282&gt;=4,$E282*$I282/12*3,0))))))</f>
        <v>0</v>
      </c>
      <c r="CH282" s="416">
        <f>IF($H282&lt;&gt;CK$5,0,IF(CK282&gt;0,IF(OR($J282=1,$J282=2,$J282=3,$J282=4),$E282*$I282/12*3,IF($J282=5,$E282*$I282/12*2,IF($J282=6,$E282*$I282/12*1,0)))))+IF(CF$5&lt;&gt;$H282,0,IF(CF282&gt;0,IF($J282=4,$E282*$I282/12*0,IF($J282=5,$E282*$I282/12*1,IF($J282=6,$E282*$I282/12*2,IF($J282&gt;=7,$E282*$I282/12*3,0))))))</f>
        <v>0</v>
      </c>
      <c r="CI282" s="416">
        <f>IF($H282&lt;&gt;CK$5,0,IF(CK282&gt;0,IF(OR($J282=1,$J282=2,$J282=3,$J282=4,$J282=5,$J282=6,$J282=7),$E282*$I282/12*3,IF($J282=8,$E282*$I282/12*2,IF($J282=9,$E282*$I282/12*1,0)))))+IF(CF$5&lt;&gt;$H282,0,IF(CF282&gt;0,IF($J282=7,$E282*$I282/12*0,IF($J282=8,$E282*$I282/12*1,IF($J282=9,$E282*$I282/12*2,IF($J282&gt;=10,$E282*$I282/12*3,0))))))</f>
        <v>0</v>
      </c>
      <c r="CJ282" s="412">
        <f>IF($H282&lt;&gt;CK$5,0,IF(CK282&gt;0,IF(OR($J282=1,$J282=2,$J282=3,$J282=4,$J282=5,$J282=6,$J282=7,$J282=8,$J282=9,$J282=10),$E282*$I282/12*3,IF($J282=11,$E282*$I282/12*2,IF($J282=12,$E282*$I282/12*1,0)))))+IF(CF$5&lt;&gt;$H282,0,IF(CF282&gt;0,IF($J282=10,$E282*$I282/12*0,IF($J282=11,$E282*$I282/12*1,IF($J282=12,$E282*$I282/12*2,0)))))</f>
        <v>0</v>
      </c>
      <c r="CK282" s="413">
        <f>IF(AND(CF282&lt;&gt;0,CF$5=$H282),$I282*$E282-CF282,IF(CK$5=$H282,$I282*$E282*(12-$J282+1)/12,0))</f>
        <v>0</v>
      </c>
      <c r="CL282" s="410">
        <f>IF($H282&lt;&gt;CP$5,0,IF(CP282&gt;0,IF($J282=1,$E282*$I282/12*3,IF($J282=2,$E282*$I282/12*2,IF($J282=3,$E282*$I282/12*1,0)))))+IF(CK$5&lt;&gt;$H282,0,IF(CK282&gt;0,IF($J282=1,$E282*$I282/12*0,IF($J282=2,$E282*$I282/12*1,IF($J282=3,$E282*$I282/12*2,IF($J282&gt;=4,$E282*$I282/12*3,0))))))</f>
        <v>0</v>
      </c>
      <c r="CM282" s="416">
        <f>IF($H282&lt;&gt;CP$5,0,IF(CP282&gt;0,IF(OR($J282=1,$J282=2,$J282=3,$J282=4),$E282*$I282/12*3,IF($J282=5,$E282*$I282/12*2,IF($J282=6,$E282*$I282/12*1,0)))))+IF(CK$5&lt;&gt;$H282,0,IF(CK282&gt;0,IF($J282=4,$E282*$I282/12*0,IF($J282=5,$E282*$I282/12*1,IF($J282=6,$E282*$I282/12*2,IF($J282&gt;=7,$E282*$I282/12*3,0))))))</f>
        <v>0</v>
      </c>
      <c r="CN282" s="416">
        <f>IF($H282&lt;&gt;CP$5,0,IF(CP282&gt;0,IF(OR($J282=1,$J282=2,$J282=3,$J282=4,$J282=5,$J282=6,$J282=7),$E282*$I282/12*3,IF($J282=8,$E282*$I282/12*2,IF($J282=9,$E282*$I282/12*1,0)))))+IF(CK$5&lt;&gt;$H282,0,IF(CK282&gt;0,IF($J282=7,$E282*$I282/12*0,IF($J282=8,$E282*$I282/12*1,IF($J282=9,$E282*$I282/12*2,IF($J282&gt;=10,$E282*$I282/12*3,0))))))</f>
        <v>0</v>
      </c>
      <c r="CO282" s="412">
        <f>IF($H282&lt;&gt;CP$5,0,IF(CP282&gt;0,IF(OR($J282=1,$J282=2,$J282=3,$J282=4,$J282=5,$J282=6,$J282=7,$J282=8,$J282=9,$J282=10),$E282*$I282/12*3,IF($J282=11,$E282*$I282/12*2,IF($J282=12,$E282*$I282/12*1,0)))))+IF(CK$5&lt;&gt;$H282,0,IF(CK282&gt;0,IF($J282=10,$E282*$I282/12*0,IF($J282=11,$E282*$I282/12*1,IF($J282=12,$E282*$I282/12*2,0)))))</f>
        <v>0</v>
      </c>
      <c r="CP282" s="413">
        <f>IF(AND(CK282&lt;&gt;0,CK$5=$H282),$I282*$E282-CK282,IF(CP$5=$H282,$I282*$E282*(12-$J282+1)/12,0))</f>
        <v>0</v>
      </c>
      <c r="CQ282" s="410">
        <f>IF($H282&lt;&gt;CU$5,0,IF(CU282&gt;0,IF($J282=1,$E282*$I282/12*3,IF($J282=2,$E282*$I282/12*2,IF($J282=3,$E282*$I282/12*1,0)))))+IF(CP$5&lt;&gt;$H282,0,IF(CP282&gt;0,IF($J282=1,$E282*$I282/12*0,IF($J282=2,$E282*$I282/12*1,IF($J282=3,$E282*$I282/12*2,IF($J282&gt;=4,$E282*$I282/12*3,0))))))</f>
        <v>0</v>
      </c>
      <c r="CR282" s="416">
        <f>IF($H282&lt;&gt;CU$5,0,IF(CU282&gt;0,IF(OR($J282=1,$J282=2,$J282=3,$J282=4),$E282*$I282/12*3,IF($J282=5,$E282*$I282/12*2,IF($J282=6,$E282*$I282/12*1,0)))))+IF(CP$5&lt;&gt;$H282,0,IF(CP282&gt;0,IF($J282=4,$E282*$I282/12*0,IF($J282=5,$E282*$I282/12*1,IF($J282=6,$E282*$I282/12*2,IF($J282&gt;=7,$E282*$I282/12*3,0))))))</f>
        <v>0</v>
      </c>
      <c r="CS282" s="416">
        <f>IF($H282&lt;&gt;CU$5,0,IF(CU282&gt;0,IF(OR($J282=1,$J282=2,$J282=3,$J282=4,$J282=5,$J282=6,$J282=7),$E282*$I282/12*3,IF($J282=8,$E282*$I282/12*2,IF($J282=9,$E282*$I282/12*1,0)))))+IF(CP$5&lt;&gt;$H282,0,IF(CP282&gt;0,IF($J282=7,$E282*$I282/12*0,IF($J282=8,$E282*$I282/12*1,IF($J282=9,$E282*$I282/12*2,IF($J282&gt;=10,$E282*$I282/12*3,0))))))</f>
        <v>0</v>
      </c>
      <c r="CT282" s="412">
        <f>IF($H282&lt;&gt;CU$5,0,IF(CU282&gt;0,IF(OR($J282=1,$J282=2,$J282=3,$J282=4,$J282=5,$J282=6,$J282=7,$J282=8,$J282=9,$J282=10),$E282*$I282/12*3,IF($J282=11,$E282*$I282/12*2,IF($J282=12,$E282*$I282/12*1,0)))))+IF(CP$5&lt;&gt;$H282,0,IF(CP282&gt;0,IF($J282=10,$E282*$I282/12*0,IF($J282=11,$E282*$I282/12*1,IF($J282=12,$E282*$I282/12*2,0)))))</f>
        <v>0</v>
      </c>
      <c r="CU282" s="413">
        <f>IF(AND(CP282&lt;&gt;0,CP$5=$H282),$I282*$E282-CP282,IF(CU$5=$H282,$I282*$E282*(12-$J282+1)/12,0))</f>
        <v>0</v>
      </c>
      <c r="CV282" s="410">
        <f>IF($H282&lt;&gt;CZ$5,0,IF(CZ282&gt;0,IF($J282=1,$E282*$I282/12*3,IF($J282=2,$E282*$I282/12*2,IF($J282=3,$E282*$I282/12*1,0)))))+IF(CU$5&lt;&gt;$H282,0,IF(CU282&gt;0,IF($J282=1,$E282*$I282/12*0,IF($J282=2,$E282*$I282/12*1,IF($J282=3,$E282*$I282/12*2,IF($J282&gt;=4,$E282*$I282/12*3,0))))))</f>
        <v>0</v>
      </c>
      <c r="CW282" s="416">
        <f>IF($H282&lt;&gt;CZ$5,0,IF(CZ282&gt;0,IF(OR($J282=1,$J282=2,$J282=3,$J282=4),$E282*$I282/12*3,IF($J282=5,$E282*$I282/12*2,IF($J282=6,$E282*$I282/12*1,0)))))+IF(CU$5&lt;&gt;$H282,0,IF(CU282&gt;0,IF($J282=4,$E282*$I282/12*0,IF($J282=5,$E282*$I282/12*1,IF($J282=6,$E282*$I282/12*2,IF($J282&gt;=7,$E282*$I282/12*3,0))))))</f>
        <v>0</v>
      </c>
      <c r="CX282" s="416">
        <f>IF($H282&lt;&gt;CZ$5,0,IF(CZ282&gt;0,IF(OR($J282=1,$J282=2,$J282=3,$J282=4,$J282=5,$J282=6,$J282=7),$E282*$I282/12*3,IF($J282=8,$E282*$I282/12*2,IF($J282=9,$E282*$I282/12*1,0)))))+IF(CU$5&lt;&gt;$H282,0,IF(CU282&gt;0,IF($J282=7,$E282*$I282/12*0,IF($J282=8,$E282*$I282/12*1,IF($J282=9,$E282*$I282/12*2,IF($J282&gt;=10,$E282*$I282/12*3,0))))))</f>
        <v>0.79999999999999993</v>
      </c>
      <c r="CY282" s="412">
        <f>IF($H282&lt;&gt;CZ$5,0,IF(CZ282&gt;0,IF(OR($J282=1,$J282=2,$J282=3,$J282=4,$J282=5,$J282=6,$J282=7,$J282=8,$J282=9,$J282=10),$E282*$I282/12*3,IF($J282=11,$E282*$I282/12*2,IF($J282=12,$E282*$I282/12*1,0)))))+IF(CU$5&lt;&gt;$H282,0,IF(CU282&gt;0,IF($J282=10,$E282*$I282/12*0,IF($J282=11,$E282*$I282/12*1,IF($J282=12,$E282*$I282/12*2,0)))))</f>
        <v>2.4</v>
      </c>
      <c r="CZ282" s="413">
        <f>IF(AND(CU282&lt;&gt;0,CU$5=$H282),$I282*$E282-CU282,IF(CZ$5=$H282,$I282*$E282*(12-$J282+1)/12,0))</f>
        <v>3.1999999999999997</v>
      </c>
      <c r="DA282" s="410">
        <f>IF($H282&lt;&gt;DE$5,0,IF(DE282&gt;0,IF($J282=1,$E282*$I282/12*3,IF($J282=2,$E282*$I282/12*2,IF($J282=3,$E282*$I282/12*1,0)))))+IF(CZ$5&lt;&gt;$H282,0,IF(CZ282&gt;0,IF($J282=1,$E282*$I282/12*0,IF($J282=2,$E282*$I282/12*1,IF($J282=3,$E282*$I282/12*2,IF($J282&gt;=4,$E282*$I282/12*3,0))))))</f>
        <v>2.4</v>
      </c>
      <c r="DB282" s="416">
        <f>IF($H282&lt;&gt;DE$5,0,IF(DE282&gt;0,IF(OR($J282=1,$J282=2,$J282=3,$J282=4),$E282*$I282/12*3,IF($J282=5,$E282*$I282/12*2,IF($J282=6,$E282*$I282/12*1,0)))))+IF(CZ$5&lt;&gt;$H282,0,IF(CZ282&gt;0,IF($J282=4,$E282*$I282/12*0,IF($J282=5,$E282*$I282/12*1,IF($J282=6,$E282*$I282/12*2,IF($J282&gt;=7,$E282*$I282/12*3,0))))))</f>
        <v>2.4</v>
      </c>
      <c r="DC282" s="416">
        <f>IF($H282&lt;&gt;DE$5,0,IF(DE282&gt;0,IF(OR($J282=1,$J282=2,$J282=3,$J282=4,$J282=5,$J282=6,$J282=7),$E282*$I282/12*3,IF($J282=8,$E282*$I282/12*2,IF($J282=9,$E282*$I282/12*1,0)))))+IF(CZ$5&lt;&gt;$H282,0,IF(CZ282&gt;0,IF($J282=7,$E282*$I282/12*0,IF($J282=8,$E282*$I282/12*1,IF($J282=9,$E282*$I282/12*2,IF($J282&gt;=10,$E282*$I282/12*3,0))))))</f>
        <v>1.5999999999999999</v>
      </c>
      <c r="DD282" s="412">
        <f>IF($H282&lt;&gt;DE$5,0,IF(DE282&gt;0,IF(OR($J282=1,$J282=2,$J282=3,$J282=4,$J282=5,$J282=6,$J282=7,$J282=8,$J282=9,$J282=10),$E282*$I282/12*3,IF($J282=11,$E282*$I282/12*2,IF($J282=12,$E282*$I282/12*1,0)))))+IF(CZ$5&lt;&gt;$H282,0,IF(CZ282&gt;0,IF($J282=10,$E282*$I282/12*0,IF($J282=11,$E282*$I282/12*1,IF($J282=12,$E282*$I282/12*2,0)))))</f>
        <v>0</v>
      </c>
      <c r="DE282" s="413">
        <f>IF(AND(CZ282&lt;&gt;0,CZ$5=$H282),$I282*$E282-CZ282,IF(DE$5=$H282,$I282*$E282*(12-$J282+1)/12,0))</f>
        <v>6.4</v>
      </c>
      <c r="DF282" s="410">
        <f>IF($H282&lt;&gt;DJ$5,0,IF(DJ282&gt;0,IF($J282=1,$E282*$I282/12*3,IF($J282=2,$E282*$I282/12*2,IF($J282=3,$E282*$I282/12*1,0)))))+IF(DE$5&lt;&gt;$H282,0,IF(DE282&gt;0,IF($J282=1,$E282*$I282/12*0,IF($J282=2,$E282*$I282/12*1,IF($J282=3,$E282*$I282/12*2,IF($J282&gt;=4,$E282*$I282/12*3,0))))))</f>
        <v>0</v>
      </c>
      <c r="DG282" s="416">
        <f>IF($H282&lt;&gt;DJ$5,0,IF(DJ282&gt;0,IF(OR($J282=1,$J282=2,$J282=3,$J282=4),$E282*$I282/12*3,IF($J282=5,$E282*$I282/12*2,IF($J282=6,$E282*$I282/12*1,0)))))+IF(DE$5&lt;&gt;$H282,0,IF(DE282&gt;0,IF($J282=4,$E282*$I282/12*0,IF($J282=5,$E282*$I282/12*1,IF($J282=6,$E282*$I282/12*2,IF($J282&gt;=7,$E282*$I282/12*3,0))))))</f>
        <v>0</v>
      </c>
      <c r="DH282" s="416">
        <f>IF($H282&lt;&gt;DJ$5,0,IF(DJ282&gt;0,IF(OR($J282=1,$J282=2,$J282=3,$J282=4,$J282=5,$J282=6,$J282=7),$E282*$I282/12*3,IF($J282=8,$E282*$I282/12*2,IF($J282=9,$E282*$I282/12*1,0)))))+IF(DE$5&lt;&gt;$H282,0,IF(DE282&gt;0,IF($J282=7,$E282*$I282/12*0,IF($J282=8,$E282*$I282/12*1,IF($J282=9,$E282*$I282/12*2,IF($J282&gt;=10,$E282*$I282/12*3,0))))))</f>
        <v>0</v>
      </c>
      <c r="DI282" s="412">
        <f>IF($H282&lt;&gt;DJ$5,0,IF(DJ282&gt;0,IF(OR($J282=1,$J282=2,$J282=3,$J282=4,$J282=5,$J282=6,$J282=7,$J282=8,$J282=9,$J282=10),$E282*$I282/12*3,IF($J282=11,$E282*$I282/12*2,IF($J282=12,$E282*$I282/12*1,0)))))+IF(DE$5&lt;&gt;$H282,0,IF(DE282&gt;0,IF($J282=10,$E282*$I282/12*0,IF($J282=11,$E282*$I282/12*1,IF($J282=12,$E282*$I282/12*2,0)))))</f>
        <v>0</v>
      </c>
      <c r="DJ282" s="413">
        <f>IF(AND(DE282&lt;&gt;0,DE$5=$H282),$I282*$E282-DE282,IF(DJ$5=$H282,$I282*$E282*(12-$J282+1)/12,0))</f>
        <v>0</v>
      </c>
      <c r="DK282" s="410">
        <f>IF($H282&lt;&gt;DO$5,0,IF(DO282&gt;0,IF($J282=1,$E282*$I282/12*3,IF($J282=2,$E282*$I282/12*2,IF($J282=3,$E282*$I282/12*1,0)))))+IF(DJ$5&lt;&gt;$H282,0,IF(DJ282&gt;0,IF($J282=1,$E282*$I282/12*0,IF($J282=2,$E282*$I282/12*1,IF($J282=3,$E282*$I282/12*2,IF($J282&gt;=4,$E282*$I282/12*3,0))))))</f>
        <v>0</v>
      </c>
      <c r="DL282" s="416">
        <f>IF($H282&lt;&gt;DO$5,0,IF(DO282&gt;0,IF(OR($J282=1,$J282=2,$J282=3,$J282=4),$E282*$I282/12*3,IF($J282=5,$E282*$I282/12*2,IF($J282=6,$E282*$I282/12*1,0)))))+IF(DJ$5&lt;&gt;$H282,0,IF(DJ282&gt;0,IF($J282=4,$E282*$I282/12*0,IF($J282=5,$E282*$I282/12*1,IF($J282=6,$E282*$I282/12*2,IF($J282&gt;=7,$E282*$I282/12*3,0))))))</f>
        <v>0</v>
      </c>
      <c r="DM282" s="416">
        <f>IF($H282&lt;&gt;DO$5,0,IF(DO282&gt;0,IF(OR($J282=1,$J282=2,$J282=3,$J282=4,$J282=5,$J282=6,$J282=7),$E282*$I282/12*3,IF($J282=8,$E282*$I282/12*2,IF($J282=9,$E282*$I282/12*1,0)))))+IF(DJ$5&lt;&gt;$H282,0,IF(DJ282&gt;0,IF($J282=7,$E282*$I282/12*0,IF($J282=8,$E282*$I282/12*1,IF($J282=9,$E282*$I282/12*2,IF($J282&gt;=10,$E282*$I282/12*3,0))))))</f>
        <v>0</v>
      </c>
      <c r="DN282" s="412">
        <f>IF($H282&lt;&gt;DO$5,0,IF(DO282&gt;0,IF(OR($J282=1,$J282=2,$J282=3,$J282=4,$J282=5,$J282=6,$J282=7,$J282=8,$J282=9,$J282=10),$E282*$I282/12*3,IF($J282=11,$E282*$I282/12*2,IF($J282=12,$E282*$I282/12*1,0)))))+IF(DJ$5&lt;&gt;$H282,0,IF(DJ282&gt;0,IF($J282=10,$E282*$I282/12*0,IF($J282=11,$E282*$I282/12*1,IF($J282=12,$E282*$I282/12*2,0)))))</f>
        <v>0</v>
      </c>
      <c r="DO282" s="413">
        <f>IF(AND(DJ282&lt;&gt;0,DJ$5=$H282),$I282*$E282-DJ282,IF(DO$5=$H282,$I282*$E282*(12-$J282+1)/12,0))</f>
        <v>0</v>
      </c>
      <c r="DP282" s="410">
        <f>IF($H282&lt;&gt;DT$5,0,IF(DT282&gt;0,IF($J282=1,$E282*$I282/12*3,IF($J282=2,$E282*$I282/12*2,IF($J282=3,$E282*$I282/12*1,0)))))+IF(DO$5&lt;&gt;$H282,0,IF(DO282&gt;0,IF($J282=1,$E282*$I282/12*0,IF($J282=2,$E282*$I282/12*1,IF($J282=3,$E282*$I282/12*2,IF($J282&gt;=4,$E282*$I282/12*3,0))))))</f>
        <v>0</v>
      </c>
      <c r="DQ282" s="416">
        <f>IF($H282&lt;&gt;DT$5,0,IF(DT282&gt;0,IF(OR($J282=1,$J282=2,$J282=3,$J282=4),$E282*$I282/12*3,IF($J282=5,$E282*$I282/12*2,IF($J282=6,$E282*$I282/12*1,0)))))+IF(DO$5&lt;&gt;$H282,0,IF(DO282&gt;0,IF($J282=4,$E282*$I282/12*0,IF($J282=5,$E282*$I282/12*1,IF($J282=6,$E282*$I282/12*2,IF($J282&gt;=7,$E282*$I282/12*3,0))))))</f>
        <v>0</v>
      </c>
      <c r="DR282" s="416">
        <f>IF($H282&lt;&gt;DT$5,0,IF(DT282&gt;0,IF(OR($J282=1,$J282=2,$J282=3,$J282=4,$J282=5,$J282=6,$J282=7),$E282*$I282/12*3,IF($J282=8,$E282*$I282/12*2,IF($J282=9,$E282*$I282/12*1,0)))))+IF(DO$5&lt;&gt;$H282,0,IF(DO282&gt;0,IF($J282=7,$E282*$I282/12*0,IF($J282=8,$E282*$I282/12*1,IF($J282=9,$E282*$I282/12*2,IF($J282&gt;=10,$E282*$I282/12*3,0))))))</f>
        <v>0</v>
      </c>
      <c r="DS282" s="412">
        <f>IF($H282&lt;&gt;DT$5,0,IF(DT282&gt;0,IF(OR($J282=1,$J282=2,$J282=3,$J282=4,$J282=5,$J282=6,$J282=7,$J282=8,$J282=9,$J282=10),$E282*$I282/12*3,IF($J282=11,$E282*$I282/12*2,IF($J282=12,$E282*$I282/12*1,0)))))+IF(DO$5&lt;&gt;$H282,0,IF(DO282&gt;0,IF($J282=10,$E282*$I282/12*0,IF($J282=11,$E282*$I282/12*1,IF($J282=12,$E282*$I282/12*2,0)))))</f>
        <v>0</v>
      </c>
      <c r="DT282" s="413">
        <f>IF(AND(DO282&lt;&gt;0,DO$5=$H282),$I282*$E282-DO282,IF(DT$5=$H282,$I282*$E282*(12-$J282+1)/12,0))</f>
        <v>0</v>
      </c>
    </row>
    <row r="283" spans="1:124" ht="12.75" customHeight="1">
      <c r="A283" s="491"/>
      <c r="C283" s="1894" t="s">
        <v>1335</v>
      </c>
      <c r="D283" s="601"/>
      <c r="E283" s="1897">
        <v>300</v>
      </c>
      <c r="F283" s="1532"/>
      <c r="G283" s="1532"/>
      <c r="H283" s="610">
        <v>2017</v>
      </c>
      <c r="I283" s="1533">
        <v>3.7999999999999999E-2</v>
      </c>
      <c r="J283" s="615">
        <v>9</v>
      </c>
      <c r="K283" s="402"/>
      <c r="L283" s="407">
        <f t="shared" si="2254"/>
        <v>0</v>
      </c>
      <c r="M283" s="404">
        <f>IF(Q283=0,0,IF(Q283&gt;0,IF($J283=3,Q283,IF($J283=2,Q283,IF($J283=1,Q283,0)))))</f>
        <v>0</v>
      </c>
      <c r="N283" s="414">
        <f>IF(Q283=0,0,IF(Q283&gt;0,IF($J283=6,Q283,IF($J283=5,Q283,IF($J283=4,Q283,0)))))</f>
        <v>0</v>
      </c>
      <c r="O283" s="414">
        <f>IF(Q283=0,0,IF(Q283&gt;0,IF($J283=9,Q283,IF($J283=8,Q283,IF($J283=7,Q283,0)))))</f>
        <v>0</v>
      </c>
      <c r="P283" s="406">
        <f>IF(Q283=0,0,IF(Q283&gt;0,IF($J283=12,Q283,IF($J283=11,Q283,IF($J283=10,Q283,0)))))</f>
        <v>0</v>
      </c>
      <c r="Q283" s="407">
        <f t="shared" si="2255"/>
        <v>0</v>
      </c>
      <c r="R283" s="404">
        <f>IF(V283=0,0,IF(V283&gt;0,IF($J283=3,V283,IF($J283=2,V283,IF($J283=1,V283,0)))))</f>
        <v>0</v>
      </c>
      <c r="S283" s="414">
        <f>IF(V283=0,0,IF(V283&gt;0,IF($J283=6,V283,IF($J283=5,V283,IF($J283=4,V283,0)))))</f>
        <v>0</v>
      </c>
      <c r="T283" s="414">
        <f>IF(V283=0,0,IF(V283&gt;0,IF($J283=9,V283,IF($J283=8,V283,IF($J283=7,V283,0)))))</f>
        <v>0</v>
      </c>
      <c r="U283" s="406">
        <f>IF(V283=0,0,IF(V283&gt;0,IF($J283=12,V283,IF($J283=11,V283,IF($J283=10,V283,0)))))</f>
        <v>0</v>
      </c>
      <c r="V283" s="407">
        <f t="shared" si="2256"/>
        <v>0</v>
      </c>
      <c r="W283" s="404">
        <f>IF(AA283=0,0,IF(AA283&gt;0,IF($J283=3,AA283,IF($J283=2,AA283,IF($J283=1,AA283,0)))))</f>
        <v>0</v>
      </c>
      <c r="X283" s="414">
        <f>IF(AA283=0,0,IF(AA283&gt;0,IF($J283=6,AA283,IF($J283=5,AA283,IF($J283=4,AA283,0)))))</f>
        <v>0</v>
      </c>
      <c r="Y283" s="414">
        <f>IF(AA283=0,0,IF(AA283&gt;0,IF($J283=9,AA283,IF($J283=8,AA283,IF($J283=7,AA283,0)))))</f>
        <v>0</v>
      </c>
      <c r="Z283" s="406">
        <f>IF(AA283=0,0,IF(AA283&gt;0,IF($J283=12,AA283,IF($J283=11,AA283,IF($J283=10,AA283,0)))))</f>
        <v>0</v>
      </c>
      <c r="AA283" s="407">
        <f t="shared" si="2257"/>
        <v>0</v>
      </c>
      <c r="AB283" s="404">
        <f>IF(AF283=0,0,IF(AF283&gt;0,IF($J283=3,AF283,IF($J283=2,AF283,IF($J283=1,AF283,0)))))</f>
        <v>0</v>
      </c>
      <c r="AC283" s="414">
        <f>IF(AF283=0,0,IF(AF283&gt;0,IF($J283=6,AF283,IF($J283=5,AF283,IF($J283=4,AF283,0)))))</f>
        <v>0</v>
      </c>
      <c r="AD283" s="414">
        <f>IF(AF283=0,0,IF(AF283&gt;0,IF($J283=9,AF283,IF($J283=8,AF283,IF($J283=7,AF283,0)))))</f>
        <v>0</v>
      </c>
      <c r="AE283" s="406">
        <f>IF(AF283=0,0,IF(AF283&gt;0,IF($J283=12,AF283,IF($J283=11,AF283,IF($J283=10,AF283,0)))))</f>
        <v>0</v>
      </c>
      <c r="AF283" s="407">
        <f t="shared" si="2258"/>
        <v>0</v>
      </c>
      <c r="AG283" s="404">
        <f>IF(AK283=0,0,IF(AK283&gt;0,IF($J283=3,AK283,IF($J283=2,AK283,IF($J283=1,AK283,0)))))</f>
        <v>0</v>
      </c>
      <c r="AH283" s="414">
        <f>IF(AK283=0,0,IF(AK283&gt;0,IF($J283=6,AK283,IF($J283=5,AK283,IF($J283=4,AK283,0)))))</f>
        <v>0</v>
      </c>
      <c r="AI283" s="414">
        <f>IF(AK283=0,0,IF(AK283&gt;0,IF($J283=9,AK283,IF($J283=8,AK283,IF($J283=7,AK283,0)))))</f>
        <v>0</v>
      </c>
      <c r="AJ283" s="406">
        <f>IF(AK283=0,0,IF(AK283&gt;0,IF($J283=12,AK283,IF($J283=11,AK283,IF($J283=10,AK283,0)))))</f>
        <v>0</v>
      </c>
      <c r="AK283" s="407">
        <f t="shared" si="2259"/>
        <v>0</v>
      </c>
      <c r="AL283" s="404">
        <f>IF(AP283=0,0,IF(AP283&gt;0,IF($J283=3,AP283,IF($J283=2,AP283,IF($J283=1,AP283,0)))))</f>
        <v>0</v>
      </c>
      <c r="AM283" s="414">
        <f>IF(AP283=0,0,IF(AP283&gt;0,IF($J283=6,AP283,IF($J283=5,AP283,IF($J283=4,AP283,0)))))</f>
        <v>0</v>
      </c>
      <c r="AN283" s="414">
        <f>IF(AP283=0,0,IF(AP283&gt;0,IF($J283=9,AP283,IF($J283=8,AP283,IF($J283=7,AP283,0)))))</f>
        <v>0</v>
      </c>
      <c r="AO283" s="406">
        <f>IF(AP283=0,0,IF(AP283&gt;0,IF($J283=12,AP283,IF($J283=11,AP283,IF($J283=10,AP283,0)))))</f>
        <v>0</v>
      </c>
      <c r="AP283" s="407">
        <f t="shared" si="2260"/>
        <v>0</v>
      </c>
      <c r="AQ283" s="404">
        <f>IF(AU283=0,0,IF(AU283&gt;0,IF($J283=3,AU283,IF($J283=2,AU283,IF($J283=1,AU283,0)))))</f>
        <v>0</v>
      </c>
      <c r="AR283" s="414">
        <f>IF(AU283=0,0,IF(AU283&gt;0,IF($J283=6,AU283,IF($J283=5,AU283,IF($J283=4,AU283,0)))))</f>
        <v>0</v>
      </c>
      <c r="AS283" s="414">
        <f>IF(AU283=0,0,IF(AU283&gt;0,IF($J283=9,AU283,IF($J283=8,AU283,IF($J283=7,AU283,0)))))</f>
        <v>300</v>
      </c>
      <c r="AT283" s="406">
        <f>IF(AU283=0,0,IF(AU283&gt;0,IF($J283=12,AU283,IF($J283=11,AU283,IF($J283=10,AU283,0)))))</f>
        <v>0</v>
      </c>
      <c r="AU283" s="407">
        <f t="shared" si="2261"/>
        <v>300</v>
      </c>
      <c r="AV283" s="404">
        <f>IF(AZ283=0,0,IF(AZ283&gt;0,IF($J283=3,AZ283,IF($J283=2,AZ283,IF($J283=1,AZ283,0)))))</f>
        <v>0</v>
      </c>
      <c r="AW283" s="414">
        <f>IF(AZ283=0,0,IF(AZ283&gt;0,IF($J283=6,AZ283,IF($J283=5,AZ283,IF($J283=4,AZ283,0)))))</f>
        <v>0</v>
      </c>
      <c r="AX283" s="414">
        <f>IF(AZ283=0,0,IF(AZ283&gt;0,IF($J283=9,AZ283,IF($J283=8,AZ283,IF($J283=7,AZ283,0)))))</f>
        <v>0</v>
      </c>
      <c r="AY283" s="406">
        <f>IF(AZ283=0,0,IF(AZ283&gt;0,IF($J283=12,AZ283,IF($J283=11,AZ283,IF($J283=10,AZ283,0)))))</f>
        <v>0</v>
      </c>
      <c r="AZ283" s="407">
        <f t="shared" si="2262"/>
        <v>0</v>
      </c>
      <c r="BA283" s="404">
        <f>IF(BE283=0,0,IF(BE283&gt;0,IF($J283=3,BE283,IF($J283=2,BE283,IF($J283=1,BE283,0)))))</f>
        <v>0</v>
      </c>
      <c r="BB283" s="414">
        <f>IF(BE283=0,0,IF(BE283&gt;0,IF($J283=6,BE283,IF($J283=5,BE283,IF($J283=4,BE283,0)))))</f>
        <v>0</v>
      </c>
      <c r="BC283" s="414">
        <f>IF(BE283=0,0,IF(BE283&gt;0,IF($J283=9,BE283,IF($J283=8,BE283,IF($J283=7,BE283,0)))))</f>
        <v>0</v>
      </c>
      <c r="BD283" s="406">
        <f>IF(BE283=0,0,IF(BE283&gt;0,IF($J283=12,BE283,IF($J283=11,BE283,IF($J283=10,BE283,0)))))</f>
        <v>0</v>
      </c>
      <c r="BE283" s="407">
        <f t="shared" si="2263"/>
        <v>0</v>
      </c>
      <c r="BF283" s="404">
        <f>IF(BJ283=0,0,IF(BJ283&gt;0,IF($J283=3,BJ283,IF($J283=2,BJ283,IF($J283=1,BJ283,0)))))</f>
        <v>0</v>
      </c>
      <c r="BG283" s="414">
        <f>IF(BJ283=0,0,IF(BJ283&gt;0,IF($J283=6,BJ283,IF($J283=5,BJ283,IF($J283=4,BJ283,0)))))</f>
        <v>0</v>
      </c>
      <c r="BH283" s="414">
        <f>IF(BJ283=0,0,IF(BJ283&gt;0,IF($J283=9,BJ283,IF($J283=8,BJ283,IF($J283=7,BJ283,0)))))</f>
        <v>0</v>
      </c>
      <c r="BI283" s="406">
        <f>IF(BJ283=0,0,IF(BJ283&gt;0,IF($J283=12,BJ283,IF($J283=11,BJ283,IF($J283=10,BJ283,0)))))</f>
        <v>0</v>
      </c>
      <c r="BJ283" s="407">
        <f t="shared" si="2264"/>
        <v>0</v>
      </c>
      <c r="BK283" s="404">
        <f>IF(BO283=0,0,IF(BO283&gt;0,IF($J283=3,BO283,IF($J283=2,BO283,IF($J283=1,BO283,0)))))</f>
        <v>0</v>
      </c>
      <c r="BL283" s="414">
        <f>IF(BO283=0,0,IF(BO283&gt;0,IF($J283=6,BO283,IF($J283=5,BO283,IF($J283=4,BO283,0)))))</f>
        <v>0</v>
      </c>
      <c r="BM283" s="414">
        <f>IF(BO283=0,0,IF(BO283&gt;0,IF($J283=9,BO283,IF($J283=8,BO283,IF($J283=7,BO283,0)))))</f>
        <v>0</v>
      </c>
      <c r="BN283" s="406">
        <f>IF(BO283=0,0,IF(BO283&gt;0,IF($J283=12,BO283,IF($J283=11,BO283,IF($J283=10,BO283,0)))))</f>
        <v>0</v>
      </c>
      <c r="BO283" s="407">
        <f t="shared" si="2265"/>
        <v>0</v>
      </c>
      <c r="BP283" s="447"/>
      <c r="BQ283" s="413">
        <f>IF(AND(AH283&lt;&gt;0,AH$5=$H283),$I283*$E283-AH283,IF(BQ$5=$H283,$I283*$E283*(12-$J283+1)/12,0))</f>
        <v>0</v>
      </c>
      <c r="BR283" s="410">
        <f>IF($H283&lt;&gt;BV$5,0,IF(BV283&gt;0,IF($J283=1,$E283*$I283/12*3,IF($J283=2,$E283*$I283/12*2,IF($J283=3,$E283*$I283/12*1,0)))))+IF(BQ$5&lt;&gt;$H283,0,IF(BQ283&gt;0,IF($J283=1,$E283*$I283/12*0,IF($J283=2,$E283*$I283/12*1,IF($J283=3,$E283*$I283/12*2,IF($J283&gt;=4,$E283*$I283/12*3,0))))))</f>
        <v>0</v>
      </c>
      <c r="BS283" s="416">
        <f>IF($H283&lt;&gt;BV$5,0,IF(BV283&gt;0,IF(OR($J283=1,$J283=2,$J283=3,$J283=4),$E283*$I283/12*3,IF($J283=5,$E283*$I283/12*2,IF($J283=6,$E283*$I283/12*1,0)))))+IF(BQ$5&lt;&gt;$H283,0,IF(BQ283&gt;0,IF($J283=4,$E283*$I283/12*0,IF($J283=5,$E283*$I283/12*1,IF($J283=6,$E283*$I283/12*2,IF($J283&gt;=7,$E283*$I283/12*3,0))))))</f>
        <v>0</v>
      </c>
      <c r="BT283" s="416">
        <f>IF($H283&lt;&gt;BV$5,0,IF(BV283&gt;0,IF(OR($J283=1,$J283=2,$J283=3,$J283=4,$J283=5,$J283=6,$J283=7),$E283*$I283/12*3,IF($J283=8,$E283*$I283/12*2,IF($J283=9,$E283*$I283/12*1,0)))))+IF(BQ$5&lt;&gt;$H283,0,IF(BQ283&gt;0,IF($J283=7,$E283*$I283/12*0,IF($J283=8,$E283*$I283/12*1,IF($J283=9,$E283*$I283/12*2,IF($J283&gt;=10,$E283*$I283/12*3,0))))))</f>
        <v>0</v>
      </c>
      <c r="BU283" s="412">
        <f>IF($H283&lt;&gt;BV$5,0,IF(BV283&gt;0,IF(OR($J283=1,$J283=2,$J283=3,$J283=4,$J283=5,$J283=6,$J283=7,$J283=8,$J283=9,$J283=10),$E283*$I283/12*3,IF($J283=11,$E283*$I283/12*2,IF($J283=12,$E283*$I283/12*1,0)))))+IF(BQ$5&lt;&gt;$H283,0,IF(BQ283&gt;0,IF($J283=10,$E283*$I283/12*0,IF($J283=11,$E283*$I283/12*1,IF($J283=12,$E283*$I283/12*2,0)))))</f>
        <v>0</v>
      </c>
      <c r="BV283" s="413">
        <f>IF(AND(BQ283&lt;&gt;0,BQ$5=$H283),$I283*$E283-BQ283,IF(BV$5=$H283,$I283*$E283*(12-$J283+1)/12,0))</f>
        <v>0</v>
      </c>
      <c r="BW283" s="410">
        <f>IF($H283&lt;&gt;CA$5,0,IF(CA283&gt;0,IF($J283=1,$E283*$I283/12*3,IF($J283=2,$E283*$I283/12*2,IF($J283=3,$E283*$I283/12*1,0)))))+IF(BV$5&lt;&gt;$H283,0,IF(BV283&gt;0,IF($J283=1,$E283*$I283/12*0,IF($J283=2,$E283*$I283/12*1,IF($J283=3,$E283*$I283/12*2,IF($J283&gt;=4,$E283*$I283/12*3,0))))))</f>
        <v>0</v>
      </c>
      <c r="BX283" s="416">
        <f>IF($H283&lt;&gt;CA$5,0,IF(CA283&gt;0,IF(OR($J283=1,$J283=2,$J283=3,$J283=4),$E283*$I283/12*3,IF($J283=5,$E283*$I283/12*2,IF($J283=6,$E283*$I283/12*1,0)))))+IF(BV$5&lt;&gt;$H283,0,IF(BV283&gt;0,IF($J283=4,$E283*$I283/12*0,IF($J283=5,$E283*$I283/12*1,IF($J283=6,$E283*$I283/12*2,IF($J283&gt;=7,$E283*$I283/12*3,0))))))</f>
        <v>0</v>
      </c>
      <c r="BY283" s="416">
        <f>IF($H283&lt;&gt;CA$5,0,IF(CA283&gt;0,IF(OR($J283=1,$J283=2,$J283=3,$J283=4,$J283=5,$J283=6,$J283=7),$E283*$I283/12*3,IF($J283=8,$E283*$I283/12*2,IF($J283=9,$E283*$I283/12*1,0)))))+IF(BV$5&lt;&gt;$H283,0,IF(BV283&gt;0,IF($J283=7,$E283*$I283/12*0,IF($J283=8,$E283*$I283/12*1,IF($J283=9,$E283*$I283/12*2,IF($J283&gt;=10,$E283*$I283/12*3,0))))))</f>
        <v>0</v>
      </c>
      <c r="BZ283" s="412">
        <f>IF($H283&lt;&gt;CA$5,0,IF(CA283&gt;0,IF(OR($J283=1,$J283=2,$J283=3,$J283=4,$J283=5,$J283=6,$J283=7,$J283=8,$J283=9,$J283=10),$E283*$I283/12*3,IF($J283=11,$E283*$I283/12*2,IF($J283=12,$E283*$I283/12*1,0)))))+IF(BV$5&lt;&gt;$H283,0,IF(BV283&gt;0,IF($J283=10,$E283*$I283/12*0,IF($J283=11,$E283*$I283/12*1,IF($J283=12,$E283*$I283/12*2,0)))))</f>
        <v>0</v>
      </c>
      <c r="CA283" s="413">
        <f>IF(AND(BV283&lt;&gt;0,BV$5=$H283),$I283*$E283-BV283,IF(CA$5=$H283,$I283*$E283*(12-$J283+1)/12,0))</f>
        <v>0</v>
      </c>
      <c r="CB283" s="410">
        <f>IF($H283&lt;&gt;CF$5,0,IF(CF283&gt;0,IF($J283=1,$E283*$I283/12*3,IF($J283=2,$E283*$I283/12*2,IF($J283=3,$E283*$I283/12*1,0)))))+IF(CA$5&lt;&gt;$H283,0,IF(CA283&gt;0,IF($J283=1,$E283*$I283/12*0,IF($J283=2,$E283*$I283/12*1,IF($J283=3,$E283*$I283/12*2,IF($J283&gt;=4,$E283*$I283/12*3,0))))))</f>
        <v>0</v>
      </c>
      <c r="CC283" s="416">
        <f>IF($H283&lt;&gt;CF$5,0,IF(CF283&gt;0,IF(OR($J283=1,$J283=2,$J283=3,$J283=4),$E283*$I283/12*3,IF($J283=5,$E283*$I283/12*2,IF($J283=6,$E283*$I283/12*1,0)))))+IF(CA$5&lt;&gt;$H283,0,IF(CA283&gt;0,IF($J283=4,$E283*$I283/12*0,IF($J283=5,$E283*$I283/12*1,IF($J283=6,$E283*$I283/12*2,IF($J283&gt;=7,$E283*$I283/12*3,0))))))</f>
        <v>0</v>
      </c>
      <c r="CD283" s="416">
        <f>IF($H283&lt;&gt;CF$5,0,IF(CF283&gt;0,IF(OR($J283=1,$J283=2,$J283=3,$J283=4,$J283=5,$J283=6,$J283=7),$E283*$I283/12*3,IF($J283=8,$E283*$I283/12*2,IF($J283=9,$E283*$I283/12*1,0)))))+IF(CA$5&lt;&gt;$H283,0,IF(CA283&gt;0,IF($J283=7,$E283*$I283/12*0,IF($J283=8,$E283*$I283/12*1,IF($J283=9,$E283*$I283/12*2,IF($J283&gt;=10,$E283*$I283/12*3,0))))))</f>
        <v>0</v>
      </c>
      <c r="CE283" s="412">
        <f>IF($H283&lt;&gt;CF$5,0,IF(CF283&gt;0,IF(OR($J283=1,$J283=2,$J283=3,$J283=4,$J283=5,$J283=6,$J283=7,$J283=8,$J283=9,$J283=10),$E283*$I283/12*3,IF($J283=11,$E283*$I283/12*2,IF($J283=12,$E283*$I283/12*1,0)))))+IF(CA$5&lt;&gt;$H283,0,IF(CA283&gt;0,IF($J283=10,$E283*$I283/12*0,IF($J283=11,$E283*$I283/12*1,IF($J283=12,$E283*$I283/12*2,0)))))</f>
        <v>0</v>
      </c>
      <c r="CF283" s="413">
        <f>IF(AND(CA283&lt;&gt;0,CA$5=$H283),$I283*$E283-CA283,IF(CF$5=$H283,$I283*$E283*(12-$J283+1)/12,0))</f>
        <v>0</v>
      </c>
      <c r="CG283" s="410">
        <f>IF($H283&lt;&gt;CK$5,0,IF(CK283&gt;0,IF($J283=1,$E283*$I283/12*3,IF($J283=2,$E283*$I283/12*2,IF($J283=3,$E283*$I283/12*1,0)))))+IF(CF$5&lt;&gt;$H283,0,IF(CF283&gt;0,IF($J283=1,$E283*$I283/12*0,IF($J283=2,$E283*$I283/12*1,IF($J283=3,$E283*$I283/12*2,IF($J283&gt;=4,$E283*$I283/12*3,0))))))</f>
        <v>0</v>
      </c>
      <c r="CH283" s="416">
        <f>IF($H283&lt;&gt;CK$5,0,IF(CK283&gt;0,IF(OR($J283=1,$J283=2,$J283=3,$J283=4),$E283*$I283/12*3,IF($J283=5,$E283*$I283/12*2,IF($J283=6,$E283*$I283/12*1,0)))))+IF(CF$5&lt;&gt;$H283,0,IF(CF283&gt;0,IF($J283=4,$E283*$I283/12*0,IF($J283=5,$E283*$I283/12*1,IF($J283=6,$E283*$I283/12*2,IF($J283&gt;=7,$E283*$I283/12*3,0))))))</f>
        <v>0</v>
      </c>
      <c r="CI283" s="416">
        <f>IF($H283&lt;&gt;CK$5,0,IF(CK283&gt;0,IF(OR($J283=1,$J283=2,$J283=3,$J283=4,$J283=5,$J283=6,$J283=7),$E283*$I283/12*3,IF($J283=8,$E283*$I283/12*2,IF($J283=9,$E283*$I283/12*1,0)))))+IF(CF$5&lt;&gt;$H283,0,IF(CF283&gt;0,IF($J283=7,$E283*$I283/12*0,IF($J283=8,$E283*$I283/12*1,IF($J283=9,$E283*$I283/12*2,IF($J283&gt;=10,$E283*$I283/12*3,0))))))</f>
        <v>0</v>
      </c>
      <c r="CJ283" s="412">
        <f>IF($H283&lt;&gt;CK$5,0,IF(CK283&gt;0,IF(OR($J283=1,$J283=2,$J283=3,$J283=4,$J283=5,$J283=6,$J283=7,$J283=8,$J283=9,$J283=10),$E283*$I283/12*3,IF($J283=11,$E283*$I283/12*2,IF($J283=12,$E283*$I283/12*1,0)))))+IF(CF$5&lt;&gt;$H283,0,IF(CF283&gt;0,IF($J283=10,$E283*$I283/12*0,IF($J283=11,$E283*$I283/12*1,IF($J283=12,$E283*$I283/12*2,0)))))</f>
        <v>0</v>
      </c>
      <c r="CK283" s="413">
        <f>IF(AND(CF283&lt;&gt;0,CF$5=$H283),$I283*$E283-CF283,IF(CK$5=$H283,$I283*$E283*(12-$J283+1)/12,0))</f>
        <v>0</v>
      </c>
      <c r="CL283" s="410">
        <f>IF($H283&lt;&gt;CP$5,0,IF(CP283&gt;0,IF($J283=1,$E283*$I283/12*3,IF($J283=2,$E283*$I283/12*2,IF($J283=3,$E283*$I283/12*1,0)))))+IF(CK$5&lt;&gt;$H283,0,IF(CK283&gt;0,IF($J283=1,$E283*$I283/12*0,IF($J283=2,$E283*$I283/12*1,IF($J283=3,$E283*$I283/12*2,IF($J283&gt;=4,$E283*$I283/12*3,0))))))</f>
        <v>0</v>
      </c>
      <c r="CM283" s="416">
        <f>IF($H283&lt;&gt;CP$5,0,IF(CP283&gt;0,IF(OR($J283=1,$J283=2,$J283=3,$J283=4),$E283*$I283/12*3,IF($J283=5,$E283*$I283/12*2,IF($J283=6,$E283*$I283/12*1,0)))))+IF(CK$5&lt;&gt;$H283,0,IF(CK283&gt;0,IF($J283=4,$E283*$I283/12*0,IF($J283=5,$E283*$I283/12*1,IF($J283=6,$E283*$I283/12*2,IF($J283&gt;=7,$E283*$I283/12*3,0))))))</f>
        <v>0</v>
      </c>
      <c r="CN283" s="416">
        <f>IF($H283&lt;&gt;CP$5,0,IF(CP283&gt;0,IF(OR($J283=1,$J283=2,$J283=3,$J283=4,$J283=5,$J283=6,$J283=7),$E283*$I283/12*3,IF($J283=8,$E283*$I283/12*2,IF($J283=9,$E283*$I283/12*1,0)))))+IF(CK$5&lt;&gt;$H283,0,IF(CK283&gt;0,IF($J283=7,$E283*$I283/12*0,IF($J283=8,$E283*$I283/12*1,IF($J283=9,$E283*$I283/12*2,IF($J283&gt;=10,$E283*$I283/12*3,0))))))</f>
        <v>0</v>
      </c>
      <c r="CO283" s="412">
        <f>IF($H283&lt;&gt;CP$5,0,IF(CP283&gt;0,IF(OR($J283=1,$J283=2,$J283=3,$J283=4,$J283=5,$J283=6,$J283=7,$J283=8,$J283=9,$J283=10),$E283*$I283/12*3,IF($J283=11,$E283*$I283/12*2,IF($J283=12,$E283*$I283/12*1,0)))))+IF(CK$5&lt;&gt;$H283,0,IF(CK283&gt;0,IF($J283=10,$E283*$I283/12*0,IF($J283=11,$E283*$I283/12*1,IF($J283=12,$E283*$I283/12*2,0)))))</f>
        <v>0</v>
      </c>
      <c r="CP283" s="413">
        <f>IF(AND(CK283&lt;&gt;0,CK$5=$H283),$I283*$E283-CK283,IF(CP$5=$H283,$I283*$E283*(12-$J283+1)/12,0))</f>
        <v>0</v>
      </c>
      <c r="CQ283" s="410">
        <f>IF($H283&lt;&gt;CU$5,0,IF(CU283&gt;0,IF($J283=1,$E283*$I283/12*3,IF($J283=2,$E283*$I283/12*2,IF($J283=3,$E283*$I283/12*1,0)))))+IF(CP$5&lt;&gt;$H283,0,IF(CP283&gt;0,IF($J283=1,$E283*$I283/12*0,IF($J283=2,$E283*$I283/12*1,IF($J283=3,$E283*$I283/12*2,IF($J283&gt;=4,$E283*$I283/12*3,0))))))</f>
        <v>0</v>
      </c>
      <c r="CR283" s="416">
        <f>IF($H283&lt;&gt;CU$5,0,IF(CU283&gt;0,IF(OR($J283=1,$J283=2,$J283=3,$J283=4),$E283*$I283/12*3,IF($J283=5,$E283*$I283/12*2,IF($J283=6,$E283*$I283/12*1,0)))))+IF(CP$5&lt;&gt;$H283,0,IF(CP283&gt;0,IF($J283=4,$E283*$I283/12*0,IF($J283=5,$E283*$I283/12*1,IF($J283=6,$E283*$I283/12*2,IF($J283&gt;=7,$E283*$I283/12*3,0))))))</f>
        <v>0</v>
      </c>
      <c r="CS283" s="416">
        <f>IF($H283&lt;&gt;CU$5,0,IF(CU283&gt;0,IF(OR($J283=1,$J283=2,$J283=3,$J283=4,$J283=5,$J283=6,$J283=7),$E283*$I283/12*3,IF($J283=8,$E283*$I283/12*2,IF($J283=9,$E283*$I283/12*1,0)))))+IF(CP$5&lt;&gt;$H283,0,IF(CP283&gt;0,IF($J283=7,$E283*$I283/12*0,IF($J283=8,$E283*$I283/12*1,IF($J283=9,$E283*$I283/12*2,IF($J283&gt;=10,$E283*$I283/12*3,0))))))</f>
        <v>0</v>
      </c>
      <c r="CT283" s="412">
        <f>IF($H283&lt;&gt;CU$5,0,IF(CU283&gt;0,IF(OR($J283=1,$J283=2,$J283=3,$J283=4,$J283=5,$J283=6,$J283=7,$J283=8,$J283=9,$J283=10),$E283*$I283/12*3,IF($J283=11,$E283*$I283/12*2,IF($J283=12,$E283*$I283/12*1,0)))))+IF(CP$5&lt;&gt;$H283,0,IF(CP283&gt;0,IF($J283=10,$E283*$I283/12*0,IF($J283=11,$E283*$I283/12*1,IF($J283=12,$E283*$I283/12*2,0)))))</f>
        <v>0</v>
      </c>
      <c r="CU283" s="413">
        <f>IF(AND(CP283&lt;&gt;0,CP$5=$H283),$I283*$E283-CP283,IF(CU$5=$H283,$I283*$E283*(12-$J283+1)/12,0))</f>
        <v>0</v>
      </c>
      <c r="CV283" s="410">
        <f>IF($H283&lt;&gt;CZ$5,0,IF(CZ283&gt;0,IF($J283=1,$E283*$I283/12*3,IF($J283=2,$E283*$I283/12*2,IF($J283=3,$E283*$I283/12*1,0)))))+IF(CU$5&lt;&gt;$H283,0,IF(CU283&gt;0,IF($J283=1,$E283*$I283/12*0,IF($J283=2,$E283*$I283/12*1,IF($J283=3,$E283*$I283/12*2,IF($J283&gt;=4,$E283*$I283/12*3,0))))))</f>
        <v>0</v>
      </c>
      <c r="CW283" s="416">
        <f>IF($H283&lt;&gt;CZ$5,0,IF(CZ283&gt;0,IF(OR($J283=1,$J283=2,$J283=3,$J283=4),$E283*$I283/12*3,IF($J283=5,$E283*$I283/12*2,IF($J283=6,$E283*$I283/12*1,0)))))+IF(CU$5&lt;&gt;$H283,0,IF(CU283&gt;0,IF($J283=4,$E283*$I283/12*0,IF($J283=5,$E283*$I283/12*1,IF($J283=6,$E283*$I283/12*2,IF($J283&gt;=7,$E283*$I283/12*3,0))))))</f>
        <v>0</v>
      </c>
      <c r="CX283" s="416">
        <f>IF($H283&lt;&gt;CZ$5,0,IF(CZ283&gt;0,IF(OR($J283=1,$J283=2,$J283=3,$J283=4,$J283=5,$J283=6,$J283=7),$E283*$I283/12*3,IF($J283=8,$E283*$I283/12*2,IF($J283=9,$E283*$I283/12*1,0)))))+IF(CU$5&lt;&gt;$H283,0,IF(CU283&gt;0,IF($J283=7,$E283*$I283/12*0,IF($J283=8,$E283*$I283/12*1,IF($J283=9,$E283*$I283/12*2,IF($J283&gt;=10,$E283*$I283/12*3,0))))))</f>
        <v>0.95000000000000007</v>
      </c>
      <c r="CY283" s="412">
        <f>IF($H283&lt;&gt;CZ$5,0,IF(CZ283&gt;0,IF(OR($J283=1,$J283=2,$J283=3,$J283=4,$J283=5,$J283=6,$J283=7,$J283=8,$J283=9,$J283=10),$E283*$I283/12*3,IF($J283=11,$E283*$I283/12*2,IF($J283=12,$E283*$I283/12*1,0)))))+IF(CU$5&lt;&gt;$H283,0,IF(CU283&gt;0,IF($J283=10,$E283*$I283/12*0,IF($J283=11,$E283*$I283/12*1,IF($J283=12,$E283*$I283/12*2,0)))))</f>
        <v>2.85</v>
      </c>
      <c r="CZ283" s="413">
        <f>IF(AND(CU283&lt;&gt;0,CU$5=$H283),$I283*$E283-CU283,IF(CZ$5=$H283,$I283*$E283*(12-$J283+1)/12,0))</f>
        <v>3.8000000000000003</v>
      </c>
      <c r="DA283" s="410">
        <f>IF($H283&lt;&gt;DE$5,0,IF(DE283&gt;0,IF($J283=1,$E283*$I283/12*3,IF($J283=2,$E283*$I283/12*2,IF($J283=3,$E283*$I283/12*1,0)))))+IF(CZ$5&lt;&gt;$H283,0,IF(CZ283&gt;0,IF($J283=1,$E283*$I283/12*0,IF($J283=2,$E283*$I283/12*1,IF($J283=3,$E283*$I283/12*2,IF($J283&gt;=4,$E283*$I283/12*3,0))))))</f>
        <v>2.85</v>
      </c>
      <c r="DB283" s="416">
        <f>IF($H283&lt;&gt;DE$5,0,IF(DE283&gt;0,IF(OR($J283=1,$J283=2,$J283=3,$J283=4),$E283*$I283/12*3,IF($J283=5,$E283*$I283/12*2,IF($J283=6,$E283*$I283/12*1,0)))))+IF(CZ$5&lt;&gt;$H283,0,IF(CZ283&gt;0,IF($J283=4,$E283*$I283/12*0,IF($J283=5,$E283*$I283/12*1,IF($J283=6,$E283*$I283/12*2,IF($J283&gt;=7,$E283*$I283/12*3,0))))))</f>
        <v>2.85</v>
      </c>
      <c r="DC283" s="416">
        <f>IF($H283&lt;&gt;DE$5,0,IF(DE283&gt;0,IF(OR($J283=1,$J283=2,$J283=3,$J283=4,$J283=5,$J283=6,$J283=7),$E283*$I283/12*3,IF($J283=8,$E283*$I283/12*2,IF($J283=9,$E283*$I283/12*1,0)))))+IF(CZ$5&lt;&gt;$H283,0,IF(CZ283&gt;0,IF($J283=7,$E283*$I283/12*0,IF($J283=8,$E283*$I283/12*1,IF($J283=9,$E283*$I283/12*2,IF($J283&gt;=10,$E283*$I283/12*3,0))))))</f>
        <v>1.9000000000000001</v>
      </c>
      <c r="DD283" s="412">
        <f>IF($H283&lt;&gt;DE$5,0,IF(DE283&gt;0,IF(OR($J283=1,$J283=2,$J283=3,$J283=4,$J283=5,$J283=6,$J283=7,$J283=8,$J283=9,$J283=10),$E283*$I283/12*3,IF($J283=11,$E283*$I283/12*2,IF($J283=12,$E283*$I283/12*1,0)))))+IF(CZ$5&lt;&gt;$H283,0,IF(CZ283&gt;0,IF($J283=10,$E283*$I283/12*0,IF($J283=11,$E283*$I283/12*1,IF($J283=12,$E283*$I283/12*2,0)))))</f>
        <v>0</v>
      </c>
      <c r="DE283" s="413">
        <f>IF(AND(CZ283&lt;&gt;0,CZ$5=$H283),$I283*$E283-CZ283,IF(DE$5=$H283,$I283*$E283*(12-$J283+1)/12,0))</f>
        <v>7.6</v>
      </c>
      <c r="DF283" s="410">
        <f>IF($H283&lt;&gt;DJ$5,0,IF(DJ283&gt;0,IF($J283=1,$E283*$I283/12*3,IF($J283=2,$E283*$I283/12*2,IF($J283=3,$E283*$I283/12*1,0)))))+IF(DE$5&lt;&gt;$H283,0,IF(DE283&gt;0,IF($J283=1,$E283*$I283/12*0,IF($J283=2,$E283*$I283/12*1,IF($J283=3,$E283*$I283/12*2,IF($J283&gt;=4,$E283*$I283/12*3,0))))))</f>
        <v>0</v>
      </c>
      <c r="DG283" s="416">
        <f>IF($H283&lt;&gt;DJ$5,0,IF(DJ283&gt;0,IF(OR($J283=1,$J283=2,$J283=3,$J283=4),$E283*$I283/12*3,IF($J283=5,$E283*$I283/12*2,IF($J283=6,$E283*$I283/12*1,0)))))+IF(DE$5&lt;&gt;$H283,0,IF(DE283&gt;0,IF($J283=4,$E283*$I283/12*0,IF($J283=5,$E283*$I283/12*1,IF($J283=6,$E283*$I283/12*2,IF($J283&gt;=7,$E283*$I283/12*3,0))))))</f>
        <v>0</v>
      </c>
      <c r="DH283" s="416">
        <f>IF($H283&lt;&gt;DJ$5,0,IF(DJ283&gt;0,IF(OR($J283=1,$J283=2,$J283=3,$J283=4,$J283=5,$J283=6,$J283=7),$E283*$I283/12*3,IF($J283=8,$E283*$I283/12*2,IF($J283=9,$E283*$I283/12*1,0)))))+IF(DE$5&lt;&gt;$H283,0,IF(DE283&gt;0,IF($J283=7,$E283*$I283/12*0,IF($J283=8,$E283*$I283/12*1,IF($J283=9,$E283*$I283/12*2,IF($J283&gt;=10,$E283*$I283/12*3,0))))))</f>
        <v>0</v>
      </c>
      <c r="DI283" s="412">
        <f>IF($H283&lt;&gt;DJ$5,0,IF(DJ283&gt;0,IF(OR($J283=1,$J283=2,$J283=3,$J283=4,$J283=5,$J283=6,$J283=7,$J283=8,$J283=9,$J283=10),$E283*$I283/12*3,IF($J283=11,$E283*$I283/12*2,IF($J283=12,$E283*$I283/12*1,0)))))+IF(DE$5&lt;&gt;$H283,0,IF(DE283&gt;0,IF($J283=10,$E283*$I283/12*0,IF($J283=11,$E283*$I283/12*1,IF($J283=12,$E283*$I283/12*2,0)))))</f>
        <v>0</v>
      </c>
      <c r="DJ283" s="413">
        <f>IF(AND(DE283&lt;&gt;0,DE$5=$H283),$I283*$E283-DE283,IF(DJ$5=$H283,$I283*$E283*(12-$J283+1)/12,0))</f>
        <v>0</v>
      </c>
      <c r="DK283" s="410">
        <f>IF($H283&lt;&gt;DO$5,0,IF(DO283&gt;0,IF($J283=1,$E283*$I283/12*3,IF($J283=2,$E283*$I283/12*2,IF($J283=3,$E283*$I283/12*1,0)))))+IF(DJ$5&lt;&gt;$H283,0,IF(DJ283&gt;0,IF($J283=1,$E283*$I283/12*0,IF($J283=2,$E283*$I283/12*1,IF($J283=3,$E283*$I283/12*2,IF($J283&gt;=4,$E283*$I283/12*3,0))))))</f>
        <v>0</v>
      </c>
      <c r="DL283" s="416">
        <f>IF($H283&lt;&gt;DO$5,0,IF(DO283&gt;0,IF(OR($J283=1,$J283=2,$J283=3,$J283=4),$E283*$I283/12*3,IF($J283=5,$E283*$I283/12*2,IF($J283=6,$E283*$I283/12*1,0)))))+IF(DJ$5&lt;&gt;$H283,0,IF(DJ283&gt;0,IF($J283=4,$E283*$I283/12*0,IF($J283=5,$E283*$I283/12*1,IF($J283=6,$E283*$I283/12*2,IF($J283&gt;=7,$E283*$I283/12*3,0))))))</f>
        <v>0</v>
      </c>
      <c r="DM283" s="416">
        <f>IF($H283&lt;&gt;DO$5,0,IF(DO283&gt;0,IF(OR($J283=1,$J283=2,$J283=3,$J283=4,$J283=5,$J283=6,$J283=7),$E283*$I283/12*3,IF($J283=8,$E283*$I283/12*2,IF($J283=9,$E283*$I283/12*1,0)))))+IF(DJ$5&lt;&gt;$H283,0,IF(DJ283&gt;0,IF($J283=7,$E283*$I283/12*0,IF($J283=8,$E283*$I283/12*1,IF($J283=9,$E283*$I283/12*2,IF($J283&gt;=10,$E283*$I283/12*3,0))))))</f>
        <v>0</v>
      </c>
      <c r="DN283" s="412">
        <f>IF($H283&lt;&gt;DO$5,0,IF(DO283&gt;0,IF(OR($J283=1,$J283=2,$J283=3,$J283=4,$J283=5,$J283=6,$J283=7,$J283=8,$J283=9,$J283=10),$E283*$I283/12*3,IF($J283=11,$E283*$I283/12*2,IF($J283=12,$E283*$I283/12*1,0)))))+IF(DJ$5&lt;&gt;$H283,0,IF(DJ283&gt;0,IF($J283=10,$E283*$I283/12*0,IF($J283=11,$E283*$I283/12*1,IF($J283=12,$E283*$I283/12*2,0)))))</f>
        <v>0</v>
      </c>
      <c r="DO283" s="413">
        <f>IF(AND(DJ283&lt;&gt;0,DJ$5=$H283),$I283*$E283-DJ283,IF(DO$5=$H283,$I283*$E283*(12-$J283+1)/12,0))</f>
        <v>0</v>
      </c>
      <c r="DP283" s="410">
        <f>IF($H283&lt;&gt;DT$5,0,IF(DT283&gt;0,IF($J283=1,$E283*$I283/12*3,IF($J283=2,$E283*$I283/12*2,IF($J283=3,$E283*$I283/12*1,0)))))+IF(DO$5&lt;&gt;$H283,0,IF(DO283&gt;0,IF($J283=1,$E283*$I283/12*0,IF($J283=2,$E283*$I283/12*1,IF($J283=3,$E283*$I283/12*2,IF($J283&gt;=4,$E283*$I283/12*3,0))))))</f>
        <v>0</v>
      </c>
      <c r="DQ283" s="416">
        <f>IF($H283&lt;&gt;DT$5,0,IF(DT283&gt;0,IF(OR($J283=1,$J283=2,$J283=3,$J283=4),$E283*$I283/12*3,IF($J283=5,$E283*$I283/12*2,IF($J283=6,$E283*$I283/12*1,0)))))+IF(DO$5&lt;&gt;$H283,0,IF(DO283&gt;0,IF($J283=4,$E283*$I283/12*0,IF($J283=5,$E283*$I283/12*1,IF($J283=6,$E283*$I283/12*2,IF($J283&gt;=7,$E283*$I283/12*3,0))))))</f>
        <v>0</v>
      </c>
      <c r="DR283" s="416">
        <f>IF($H283&lt;&gt;DT$5,0,IF(DT283&gt;0,IF(OR($J283=1,$J283=2,$J283=3,$J283=4,$J283=5,$J283=6,$J283=7),$E283*$I283/12*3,IF($J283=8,$E283*$I283/12*2,IF($J283=9,$E283*$I283/12*1,0)))))+IF(DO$5&lt;&gt;$H283,0,IF(DO283&gt;0,IF($J283=7,$E283*$I283/12*0,IF($J283=8,$E283*$I283/12*1,IF($J283=9,$E283*$I283/12*2,IF($J283&gt;=10,$E283*$I283/12*3,0))))))</f>
        <v>0</v>
      </c>
      <c r="DS283" s="412">
        <f>IF($H283&lt;&gt;DT$5,0,IF(DT283&gt;0,IF(OR($J283=1,$J283=2,$J283=3,$J283=4,$J283=5,$J283=6,$J283=7,$J283=8,$J283=9,$J283=10),$E283*$I283/12*3,IF($J283=11,$E283*$I283/12*2,IF($J283=12,$E283*$I283/12*1,0)))))+IF(DO$5&lt;&gt;$H283,0,IF(DO283&gt;0,IF($J283=10,$E283*$I283/12*0,IF($J283=11,$E283*$I283/12*1,IF($J283=12,$E283*$I283/12*2,0)))))</f>
        <v>0</v>
      </c>
      <c r="DT283" s="413">
        <f>IF(AND(DO283&lt;&gt;0,DO$5=$H283),$I283*$E283-DO283,IF(DT$5=$H283,$I283*$E283*(12-$J283+1)/12,0))</f>
        <v>0</v>
      </c>
    </row>
    <row r="284" spans="1:124" ht="12.75" customHeight="1">
      <c r="C284" s="1891" t="s">
        <v>74</v>
      </c>
      <c r="D284" s="1891"/>
      <c r="E284" s="1887">
        <f>'T&amp;D Utilities'!BB142</f>
        <v>825</v>
      </c>
      <c r="F284" s="1895"/>
      <c r="G284" s="1895"/>
      <c r="H284" s="16">
        <v>2018</v>
      </c>
      <c r="I284" s="1889">
        <f>+'Utility Detail'!$AW$13</f>
        <v>0.05</v>
      </c>
      <c r="J284" s="617">
        <v>10</v>
      </c>
      <c r="K284" s="402"/>
      <c r="L284" s="407">
        <f t="shared" si="2254"/>
        <v>0</v>
      </c>
      <c r="M284" s="404">
        <f t="shared" ref="M284:M287" si="2266">IF(Q284=0,0,IF(Q284&gt;0,IF($J284=3,Q284,IF($J284=2,Q284,IF($J284=1,Q284,0)))))</f>
        <v>0</v>
      </c>
      <c r="N284" s="414">
        <f t="shared" ref="N284:N287" si="2267">IF(Q284=0,0,IF(Q284&gt;0,IF($J284=6,Q284,IF($J284=5,Q284,IF($J284=4,Q284,0)))))</f>
        <v>0</v>
      </c>
      <c r="O284" s="414">
        <f t="shared" ref="O284:O287" si="2268">IF(Q284=0,0,IF(Q284&gt;0,IF($J284=9,Q284,IF($J284=8,Q284,IF($J284=7,Q284,0)))))</f>
        <v>0</v>
      </c>
      <c r="P284" s="406">
        <f t="shared" ref="P284:P287" si="2269">IF(Q284=0,0,IF(Q284&gt;0,IF($J284=12,Q284,IF($J284=11,Q284,IF($J284=10,Q284,0)))))</f>
        <v>0</v>
      </c>
      <c r="Q284" s="407">
        <f t="shared" si="2255"/>
        <v>0</v>
      </c>
      <c r="R284" s="404">
        <f t="shared" ref="R284:R287" si="2270">IF(V284=0,0,IF(V284&gt;0,IF($J284=3,V284,IF($J284=2,V284,IF($J284=1,V284,0)))))</f>
        <v>0</v>
      </c>
      <c r="S284" s="414">
        <f t="shared" ref="S284:S287" si="2271">IF(V284=0,0,IF(V284&gt;0,IF($J284=6,V284,IF($J284=5,V284,IF($J284=4,V284,0)))))</f>
        <v>0</v>
      </c>
      <c r="T284" s="414">
        <f t="shared" ref="T284:T287" si="2272">IF(V284=0,0,IF(V284&gt;0,IF($J284=9,V284,IF($J284=8,V284,IF($J284=7,V284,0)))))</f>
        <v>0</v>
      </c>
      <c r="U284" s="406">
        <f t="shared" ref="U284:U287" si="2273">IF(V284=0,0,IF(V284&gt;0,IF($J284=12,V284,IF($J284=11,V284,IF($J284=10,V284,0)))))</f>
        <v>0</v>
      </c>
      <c r="V284" s="407">
        <f t="shared" si="2256"/>
        <v>0</v>
      </c>
      <c r="W284" s="404">
        <f t="shared" ref="W284:W287" si="2274">IF(AA284=0,0,IF(AA284&gt;0,IF($J284=3,AA284,IF($J284=2,AA284,IF($J284=1,AA284,0)))))</f>
        <v>0</v>
      </c>
      <c r="X284" s="414">
        <f t="shared" ref="X284:X287" si="2275">IF(AA284=0,0,IF(AA284&gt;0,IF($J284=6,AA284,IF($J284=5,AA284,IF($J284=4,AA284,0)))))</f>
        <v>0</v>
      </c>
      <c r="Y284" s="414">
        <f t="shared" ref="Y284:Y287" si="2276">IF(AA284=0,0,IF(AA284&gt;0,IF($J284=9,AA284,IF($J284=8,AA284,IF($J284=7,AA284,0)))))</f>
        <v>0</v>
      </c>
      <c r="Z284" s="406">
        <f t="shared" ref="Z284:Z287" si="2277">IF(AA284=0,0,IF(AA284&gt;0,IF($J284=12,AA284,IF($J284=11,AA284,IF($J284=10,AA284,0)))))</f>
        <v>0</v>
      </c>
      <c r="AA284" s="407">
        <f t="shared" si="2257"/>
        <v>0</v>
      </c>
      <c r="AB284" s="404">
        <f t="shared" ref="AB284:AB287" si="2278">IF(AF284=0,0,IF(AF284&gt;0,IF($J284=3,AF284,IF($J284=2,AF284,IF($J284=1,AF284,0)))))</f>
        <v>0</v>
      </c>
      <c r="AC284" s="414">
        <f t="shared" ref="AC284:AC287" si="2279">IF(AF284=0,0,IF(AF284&gt;0,IF($J284=6,AF284,IF($J284=5,AF284,IF($J284=4,AF284,0)))))</f>
        <v>0</v>
      </c>
      <c r="AD284" s="414">
        <f t="shared" ref="AD284:AD287" si="2280">IF(AF284=0,0,IF(AF284&gt;0,IF($J284=9,AF284,IF($J284=8,AF284,IF($J284=7,AF284,0)))))</f>
        <v>0</v>
      </c>
      <c r="AE284" s="406">
        <f t="shared" ref="AE284:AE287" si="2281">IF(AF284=0,0,IF(AF284&gt;0,IF($J284=12,AF284,IF($J284=11,AF284,IF($J284=10,AF284,0)))))</f>
        <v>0</v>
      </c>
      <c r="AF284" s="407">
        <f t="shared" si="2258"/>
        <v>0</v>
      </c>
      <c r="AG284" s="404">
        <f t="shared" ref="AG284:AG287" si="2282">IF(AK284=0,0,IF(AK284&gt;0,IF($J284=3,AK284,IF($J284=2,AK284,IF($J284=1,AK284,0)))))</f>
        <v>0</v>
      </c>
      <c r="AH284" s="414">
        <f t="shared" ref="AH284:AH287" si="2283">IF(AK284=0,0,IF(AK284&gt;0,IF($J284=6,AK284,IF($J284=5,AK284,IF($J284=4,AK284,0)))))</f>
        <v>0</v>
      </c>
      <c r="AI284" s="414">
        <f t="shared" ref="AI284:AI287" si="2284">IF(AK284=0,0,IF(AK284&gt;0,IF($J284=9,AK284,IF($J284=8,AK284,IF($J284=7,AK284,0)))))</f>
        <v>0</v>
      </c>
      <c r="AJ284" s="406">
        <f t="shared" ref="AJ284:AJ287" si="2285">IF(AK284=0,0,IF(AK284&gt;0,IF($J284=12,AK284,IF($J284=11,AK284,IF($J284=10,AK284,0)))))</f>
        <v>0</v>
      </c>
      <c r="AK284" s="407">
        <f t="shared" si="2259"/>
        <v>0</v>
      </c>
      <c r="AL284" s="404">
        <f t="shared" ref="AL284:AL287" si="2286">IF(AP284=0,0,IF(AP284&gt;0,IF($J284=3,AP284,IF($J284=2,AP284,IF($J284=1,AP284,0)))))</f>
        <v>0</v>
      </c>
      <c r="AM284" s="414">
        <f t="shared" ref="AM284:AM287" si="2287">IF(AP284=0,0,IF(AP284&gt;0,IF($J284=6,AP284,IF($J284=5,AP284,IF($J284=4,AP284,0)))))</f>
        <v>0</v>
      </c>
      <c r="AN284" s="414">
        <f t="shared" ref="AN284:AN287" si="2288">IF(AP284=0,0,IF(AP284&gt;0,IF($J284=9,AP284,IF($J284=8,AP284,IF($J284=7,AP284,0)))))</f>
        <v>0</v>
      </c>
      <c r="AO284" s="406">
        <f t="shared" ref="AO284:AO287" si="2289">IF(AP284=0,0,IF(AP284&gt;0,IF($J284=12,AP284,IF($J284=11,AP284,IF($J284=10,AP284,0)))))</f>
        <v>0</v>
      </c>
      <c r="AP284" s="407">
        <f t="shared" si="2260"/>
        <v>0</v>
      </c>
      <c r="AQ284" s="404">
        <f t="shared" ref="AQ284:AQ287" si="2290">IF(AU284=0,0,IF(AU284&gt;0,IF($J284=3,AU284,IF($J284=2,AU284,IF($J284=1,AU284,0)))))</f>
        <v>0</v>
      </c>
      <c r="AR284" s="414">
        <f t="shared" ref="AR284:AR287" si="2291">IF(AU284=0,0,IF(AU284&gt;0,IF($J284=6,AU284,IF($J284=5,AU284,IF($J284=4,AU284,0)))))</f>
        <v>0</v>
      </c>
      <c r="AS284" s="414">
        <f t="shared" ref="AS284:AS287" si="2292">IF(AU284=0,0,IF(AU284&gt;0,IF($J284=9,AU284,IF($J284=8,AU284,IF($J284=7,AU284,0)))))</f>
        <v>0</v>
      </c>
      <c r="AT284" s="406">
        <f t="shared" ref="AT284:AT287" si="2293">IF(AU284=0,0,IF(AU284&gt;0,IF($J284=12,AU284,IF($J284=11,AU284,IF($J284=10,AU284,0)))))</f>
        <v>0</v>
      </c>
      <c r="AU284" s="407">
        <f t="shared" si="2261"/>
        <v>0</v>
      </c>
      <c r="AV284" s="404">
        <f t="shared" ref="AV284:AV287" si="2294">IF(AZ284=0,0,IF(AZ284&gt;0,IF($J284=3,AZ284,IF($J284=2,AZ284,IF($J284=1,AZ284,0)))))</f>
        <v>0</v>
      </c>
      <c r="AW284" s="414">
        <f t="shared" ref="AW284:AW287" si="2295">IF(AZ284=0,0,IF(AZ284&gt;0,IF($J284=6,AZ284,IF($J284=5,AZ284,IF($J284=4,AZ284,0)))))</f>
        <v>0</v>
      </c>
      <c r="AX284" s="414">
        <f t="shared" ref="AX284:AX287" si="2296">IF(AZ284=0,0,IF(AZ284&gt;0,IF($J284=9,AZ284,IF($J284=8,AZ284,IF($J284=7,AZ284,0)))))</f>
        <v>0</v>
      </c>
      <c r="AY284" s="406">
        <f t="shared" ref="AY284:AY287" si="2297">IF(AZ284=0,0,IF(AZ284&gt;0,IF($J284=12,AZ284,IF($J284=11,AZ284,IF($J284=10,AZ284,0)))))</f>
        <v>825</v>
      </c>
      <c r="AZ284" s="407">
        <f t="shared" si="2262"/>
        <v>825</v>
      </c>
      <c r="BA284" s="404">
        <f t="shared" ref="BA284:BA287" si="2298">IF(BE284=0,0,IF(BE284&gt;0,IF($J284=3,BE284,IF($J284=2,BE284,IF($J284=1,BE284,0)))))</f>
        <v>0</v>
      </c>
      <c r="BB284" s="414">
        <f t="shared" ref="BB284:BB287" si="2299">IF(BE284=0,0,IF(BE284&gt;0,IF($J284=6,BE284,IF($J284=5,BE284,IF($J284=4,BE284,0)))))</f>
        <v>0</v>
      </c>
      <c r="BC284" s="414">
        <f t="shared" ref="BC284:BC287" si="2300">IF(BE284=0,0,IF(BE284&gt;0,IF($J284=9,BE284,IF($J284=8,BE284,IF($J284=7,BE284,0)))))</f>
        <v>0</v>
      </c>
      <c r="BD284" s="406">
        <f t="shared" ref="BD284:BD287" si="2301">IF(BE284=0,0,IF(BE284&gt;0,IF($J284=12,BE284,IF($J284=11,BE284,IF($J284=10,BE284,0)))))</f>
        <v>0</v>
      </c>
      <c r="BE284" s="407">
        <f t="shared" si="2263"/>
        <v>0</v>
      </c>
      <c r="BF284" s="404">
        <f t="shared" ref="BF284:BF287" si="2302">IF(BJ284=0,0,IF(BJ284&gt;0,IF($J284=3,BJ284,IF($J284=2,BJ284,IF($J284=1,BJ284,0)))))</f>
        <v>0</v>
      </c>
      <c r="BG284" s="414">
        <f t="shared" ref="BG284:BG287" si="2303">IF(BJ284=0,0,IF(BJ284&gt;0,IF($J284=6,BJ284,IF($J284=5,BJ284,IF($J284=4,BJ284,0)))))</f>
        <v>0</v>
      </c>
      <c r="BH284" s="414">
        <f t="shared" ref="BH284:BH287" si="2304">IF(BJ284=0,0,IF(BJ284&gt;0,IF($J284=9,BJ284,IF($J284=8,BJ284,IF($J284=7,BJ284,0)))))</f>
        <v>0</v>
      </c>
      <c r="BI284" s="406">
        <f t="shared" ref="BI284:BI287" si="2305">IF(BJ284=0,0,IF(BJ284&gt;0,IF($J284=12,BJ284,IF($J284=11,BJ284,IF($J284=10,BJ284,0)))))</f>
        <v>0</v>
      </c>
      <c r="BJ284" s="407">
        <f t="shared" si="2264"/>
        <v>0</v>
      </c>
      <c r="BK284" s="404">
        <f t="shared" ref="BK284:BK287" si="2306">IF(BO284=0,0,IF(BO284&gt;0,IF($J284=3,BO284,IF($J284=2,BO284,IF($J284=1,BO284,0)))))</f>
        <v>0</v>
      </c>
      <c r="BL284" s="414">
        <f t="shared" ref="BL284:BL287" si="2307">IF(BO284=0,0,IF(BO284&gt;0,IF($J284=6,BO284,IF($J284=5,BO284,IF($J284=4,BO284,0)))))</f>
        <v>0</v>
      </c>
      <c r="BM284" s="414">
        <f t="shared" ref="BM284:BM287" si="2308">IF(BO284=0,0,IF(BO284&gt;0,IF($J284=9,BO284,IF($J284=8,BO284,IF($J284=7,BO284,0)))))</f>
        <v>0</v>
      </c>
      <c r="BN284" s="406">
        <f t="shared" ref="BN284:BN287" si="2309">IF(BO284=0,0,IF(BO284&gt;0,IF($J284=12,BO284,IF($J284=11,BO284,IF($J284=10,BO284,0)))))</f>
        <v>0</v>
      </c>
      <c r="BO284" s="407">
        <f t="shared" si="2265"/>
        <v>0</v>
      </c>
      <c r="BP284" s="447"/>
      <c r="BQ284" s="413">
        <f t="shared" ref="BQ284:BQ287" si="2310">IF(AND(AH284&lt;&gt;0,AH$5=$H284),$I284*$E284-AH284,IF(BQ$5=$H284,$I284*$E284*(12-$J284+1)/12,0))</f>
        <v>0</v>
      </c>
      <c r="BR284" s="410">
        <f t="shared" ref="BR284:BR287" si="2311">IF($H284&lt;&gt;BV$5,0,IF(BV284&gt;0,IF($J284=1,$E284*$I284/12*3,IF($J284=2,$E284*$I284/12*2,IF($J284=3,$E284*$I284/12*1,0)))))+IF(BQ$5&lt;&gt;$H284,0,IF(BQ284&gt;0,IF($J284=1,$E284*$I284/12*0,IF($J284=2,$E284*$I284/12*1,IF($J284=3,$E284*$I284/12*2,IF($J284&gt;=4,$E284*$I284/12*3,0))))))</f>
        <v>0</v>
      </c>
      <c r="BS284" s="416">
        <f t="shared" ref="BS284:BS287" si="2312">IF($H284&lt;&gt;BV$5,0,IF(BV284&gt;0,IF(OR($J284=1,$J284=2,$J284=3,$J284=4),$E284*$I284/12*3,IF($J284=5,$E284*$I284/12*2,IF($J284=6,$E284*$I284/12*1,0)))))+IF(BQ$5&lt;&gt;$H284,0,IF(BQ284&gt;0,IF($J284=4,$E284*$I284/12*0,IF($J284=5,$E284*$I284/12*1,IF($J284=6,$E284*$I284/12*2,IF($J284&gt;=7,$E284*$I284/12*3,0))))))</f>
        <v>0</v>
      </c>
      <c r="BT284" s="416">
        <f t="shared" ref="BT284:BT287" si="2313">IF($H284&lt;&gt;BV$5,0,IF(BV284&gt;0,IF(OR($J284=1,$J284=2,$J284=3,$J284=4,$J284=5,$J284=6,$J284=7),$E284*$I284/12*3,IF($J284=8,$E284*$I284/12*2,IF($J284=9,$E284*$I284/12*1,0)))))+IF(BQ$5&lt;&gt;$H284,0,IF(BQ284&gt;0,IF($J284=7,$E284*$I284/12*0,IF($J284=8,$E284*$I284/12*1,IF($J284=9,$E284*$I284/12*2,IF($J284&gt;=10,$E284*$I284/12*3,0))))))</f>
        <v>0</v>
      </c>
      <c r="BU284" s="412">
        <f t="shared" ref="BU284:BU287" si="2314">IF($H284&lt;&gt;BV$5,0,IF(BV284&gt;0,IF(OR($J284=1,$J284=2,$J284=3,$J284=4,$J284=5,$J284=6,$J284=7,$J284=8,$J284=9,$J284=10),$E284*$I284/12*3,IF($J284=11,$E284*$I284/12*2,IF($J284=12,$E284*$I284/12*1,0)))))+IF(BQ$5&lt;&gt;$H284,0,IF(BQ284&gt;0,IF($J284=10,$E284*$I284/12*0,IF($J284=11,$E284*$I284/12*1,IF($J284=12,$E284*$I284/12*2,0)))))</f>
        <v>0</v>
      </c>
      <c r="BV284" s="413">
        <f t="shared" ref="BV284:BV287" si="2315">IF(AND(BQ284&lt;&gt;0,BQ$5=$H284),$I284*$E284-BQ284,IF(BV$5=$H284,$I284*$E284*(12-$J284+1)/12,0))</f>
        <v>0</v>
      </c>
      <c r="BW284" s="410">
        <f t="shared" ref="BW284:BW287" si="2316">IF($H284&lt;&gt;CA$5,0,IF(CA284&gt;0,IF($J284=1,$E284*$I284/12*3,IF($J284=2,$E284*$I284/12*2,IF($J284=3,$E284*$I284/12*1,0)))))+IF(BV$5&lt;&gt;$H284,0,IF(BV284&gt;0,IF($J284=1,$E284*$I284/12*0,IF($J284=2,$E284*$I284/12*1,IF($J284=3,$E284*$I284/12*2,IF($J284&gt;=4,$E284*$I284/12*3,0))))))</f>
        <v>0</v>
      </c>
      <c r="BX284" s="416">
        <f t="shared" ref="BX284:BX287" si="2317">IF($H284&lt;&gt;CA$5,0,IF(CA284&gt;0,IF(OR($J284=1,$J284=2,$J284=3,$J284=4),$E284*$I284/12*3,IF($J284=5,$E284*$I284/12*2,IF($J284=6,$E284*$I284/12*1,0)))))+IF(BV$5&lt;&gt;$H284,0,IF(BV284&gt;0,IF($J284=4,$E284*$I284/12*0,IF($J284=5,$E284*$I284/12*1,IF($J284=6,$E284*$I284/12*2,IF($J284&gt;=7,$E284*$I284/12*3,0))))))</f>
        <v>0</v>
      </c>
      <c r="BY284" s="416">
        <f t="shared" ref="BY284:BY287" si="2318">IF($H284&lt;&gt;CA$5,0,IF(CA284&gt;0,IF(OR($J284=1,$J284=2,$J284=3,$J284=4,$J284=5,$J284=6,$J284=7),$E284*$I284/12*3,IF($J284=8,$E284*$I284/12*2,IF($J284=9,$E284*$I284/12*1,0)))))+IF(BV$5&lt;&gt;$H284,0,IF(BV284&gt;0,IF($J284=7,$E284*$I284/12*0,IF($J284=8,$E284*$I284/12*1,IF($J284=9,$E284*$I284/12*2,IF($J284&gt;=10,$E284*$I284/12*3,0))))))</f>
        <v>0</v>
      </c>
      <c r="BZ284" s="412">
        <f t="shared" ref="BZ284:BZ287" si="2319">IF($H284&lt;&gt;CA$5,0,IF(CA284&gt;0,IF(OR($J284=1,$J284=2,$J284=3,$J284=4,$J284=5,$J284=6,$J284=7,$J284=8,$J284=9,$J284=10),$E284*$I284/12*3,IF($J284=11,$E284*$I284/12*2,IF($J284=12,$E284*$I284/12*1,0)))))+IF(BV$5&lt;&gt;$H284,0,IF(BV284&gt;0,IF($J284=10,$E284*$I284/12*0,IF($J284=11,$E284*$I284/12*1,IF($J284=12,$E284*$I284/12*2,0)))))</f>
        <v>0</v>
      </c>
      <c r="CA284" s="413">
        <f t="shared" ref="CA284:CA287" si="2320">IF(AND(BV284&lt;&gt;0,BV$5=$H284),$I284*$E284-BV284,IF(CA$5=$H284,$I284*$E284*(12-$J284+1)/12,0))</f>
        <v>0</v>
      </c>
      <c r="CB284" s="410">
        <f t="shared" ref="CB284:CB287" si="2321">IF($H284&lt;&gt;CF$5,0,IF(CF284&gt;0,IF($J284=1,$E284*$I284/12*3,IF($J284=2,$E284*$I284/12*2,IF($J284=3,$E284*$I284/12*1,0)))))+IF(CA$5&lt;&gt;$H284,0,IF(CA284&gt;0,IF($J284=1,$E284*$I284/12*0,IF($J284=2,$E284*$I284/12*1,IF($J284=3,$E284*$I284/12*2,IF($J284&gt;=4,$E284*$I284/12*3,0))))))</f>
        <v>0</v>
      </c>
      <c r="CC284" s="416">
        <f t="shared" ref="CC284:CC287" si="2322">IF($H284&lt;&gt;CF$5,0,IF(CF284&gt;0,IF(OR($J284=1,$J284=2,$J284=3,$J284=4),$E284*$I284/12*3,IF($J284=5,$E284*$I284/12*2,IF($J284=6,$E284*$I284/12*1,0)))))+IF(CA$5&lt;&gt;$H284,0,IF(CA284&gt;0,IF($J284=4,$E284*$I284/12*0,IF($J284=5,$E284*$I284/12*1,IF($J284=6,$E284*$I284/12*2,IF($J284&gt;=7,$E284*$I284/12*3,0))))))</f>
        <v>0</v>
      </c>
      <c r="CD284" s="416">
        <f t="shared" ref="CD284:CD287" si="2323">IF($H284&lt;&gt;CF$5,0,IF(CF284&gt;0,IF(OR($J284=1,$J284=2,$J284=3,$J284=4,$J284=5,$J284=6,$J284=7),$E284*$I284/12*3,IF($J284=8,$E284*$I284/12*2,IF($J284=9,$E284*$I284/12*1,0)))))+IF(CA$5&lt;&gt;$H284,0,IF(CA284&gt;0,IF($J284=7,$E284*$I284/12*0,IF($J284=8,$E284*$I284/12*1,IF($J284=9,$E284*$I284/12*2,IF($J284&gt;=10,$E284*$I284/12*3,0))))))</f>
        <v>0</v>
      </c>
      <c r="CE284" s="412">
        <f t="shared" ref="CE284:CE287" si="2324">IF($H284&lt;&gt;CF$5,0,IF(CF284&gt;0,IF(OR($J284=1,$J284=2,$J284=3,$J284=4,$J284=5,$J284=6,$J284=7,$J284=8,$J284=9,$J284=10),$E284*$I284/12*3,IF($J284=11,$E284*$I284/12*2,IF($J284=12,$E284*$I284/12*1,0)))))+IF(CA$5&lt;&gt;$H284,0,IF(CA284&gt;0,IF($J284=10,$E284*$I284/12*0,IF($J284=11,$E284*$I284/12*1,IF($J284=12,$E284*$I284/12*2,0)))))</f>
        <v>0</v>
      </c>
      <c r="CF284" s="413">
        <f t="shared" ref="CF284:CF287" si="2325">IF(AND(CA284&lt;&gt;0,CA$5=$H284),$I284*$E284-CA284,IF(CF$5=$H284,$I284*$E284*(12-$J284+1)/12,0))</f>
        <v>0</v>
      </c>
      <c r="CG284" s="410">
        <f t="shared" ref="CG284:CG287" si="2326">IF($H284&lt;&gt;CK$5,0,IF(CK284&gt;0,IF($J284=1,$E284*$I284/12*3,IF($J284=2,$E284*$I284/12*2,IF($J284=3,$E284*$I284/12*1,0)))))+IF(CF$5&lt;&gt;$H284,0,IF(CF284&gt;0,IF($J284=1,$E284*$I284/12*0,IF($J284=2,$E284*$I284/12*1,IF($J284=3,$E284*$I284/12*2,IF($J284&gt;=4,$E284*$I284/12*3,0))))))</f>
        <v>0</v>
      </c>
      <c r="CH284" s="416">
        <f t="shared" ref="CH284:CH287" si="2327">IF($H284&lt;&gt;CK$5,0,IF(CK284&gt;0,IF(OR($J284=1,$J284=2,$J284=3,$J284=4),$E284*$I284/12*3,IF($J284=5,$E284*$I284/12*2,IF($J284=6,$E284*$I284/12*1,0)))))+IF(CF$5&lt;&gt;$H284,0,IF(CF284&gt;0,IF($J284=4,$E284*$I284/12*0,IF($J284=5,$E284*$I284/12*1,IF($J284=6,$E284*$I284/12*2,IF($J284&gt;=7,$E284*$I284/12*3,0))))))</f>
        <v>0</v>
      </c>
      <c r="CI284" s="416">
        <f t="shared" ref="CI284:CI287" si="2328">IF($H284&lt;&gt;CK$5,0,IF(CK284&gt;0,IF(OR($J284=1,$J284=2,$J284=3,$J284=4,$J284=5,$J284=6,$J284=7),$E284*$I284/12*3,IF($J284=8,$E284*$I284/12*2,IF($J284=9,$E284*$I284/12*1,0)))))+IF(CF$5&lt;&gt;$H284,0,IF(CF284&gt;0,IF($J284=7,$E284*$I284/12*0,IF($J284=8,$E284*$I284/12*1,IF($J284=9,$E284*$I284/12*2,IF($J284&gt;=10,$E284*$I284/12*3,0))))))</f>
        <v>0</v>
      </c>
      <c r="CJ284" s="412">
        <f t="shared" ref="CJ284:CJ287" si="2329">IF($H284&lt;&gt;CK$5,0,IF(CK284&gt;0,IF(OR($J284=1,$J284=2,$J284=3,$J284=4,$J284=5,$J284=6,$J284=7,$J284=8,$J284=9,$J284=10),$E284*$I284/12*3,IF($J284=11,$E284*$I284/12*2,IF($J284=12,$E284*$I284/12*1,0)))))+IF(CF$5&lt;&gt;$H284,0,IF(CF284&gt;0,IF($J284=10,$E284*$I284/12*0,IF($J284=11,$E284*$I284/12*1,IF($J284=12,$E284*$I284/12*2,0)))))</f>
        <v>0</v>
      </c>
      <c r="CK284" s="413">
        <f t="shared" ref="CK284:CK287" si="2330">IF(AND(CF284&lt;&gt;0,CF$5=$H284),$I284*$E284-CF284,IF(CK$5=$H284,$I284*$E284*(12-$J284+1)/12,0))</f>
        <v>0</v>
      </c>
      <c r="CL284" s="410">
        <f t="shared" ref="CL284:CL287" si="2331">IF($H284&lt;&gt;CP$5,0,IF(CP284&gt;0,IF($J284=1,$E284*$I284/12*3,IF($J284=2,$E284*$I284/12*2,IF($J284=3,$E284*$I284/12*1,0)))))+IF(CK$5&lt;&gt;$H284,0,IF(CK284&gt;0,IF($J284=1,$E284*$I284/12*0,IF($J284=2,$E284*$I284/12*1,IF($J284=3,$E284*$I284/12*2,IF($J284&gt;=4,$E284*$I284/12*3,0))))))</f>
        <v>0</v>
      </c>
      <c r="CM284" s="416">
        <f t="shared" ref="CM284:CM287" si="2332">IF($H284&lt;&gt;CP$5,0,IF(CP284&gt;0,IF(OR($J284=1,$J284=2,$J284=3,$J284=4),$E284*$I284/12*3,IF($J284=5,$E284*$I284/12*2,IF($J284=6,$E284*$I284/12*1,0)))))+IF(CK$5&lt;&gt;$H284,0,IF(CK284&gt;0,IF($J284=4,$E284*$I284/12*0,IF($J284=5,$E284*$I284/12*1,IF($J284=6,$E284*$I284/12*2,IF($J284&gt;=7,$E284*$I284/12*3,0))))))</f>
        <v>0</v>
      </c>
      <c r="CN284" s="416">
        <f t="shared" ref="CN284:CN287" si="2333">IF($H284&lt;&gt;CP$5,0,IF(CP284&gt;0,IF(OR($J284=1,$J284=2,$J284=3,$J284=4,$J284=5,$J284=6,$J284=7),$E284*$I284/12*3,IF($J284=8,$E284*$I284/12*2,IF($J284=9,$E284*$I284/12*1,0)))))+IF(CK$5&lt;&gt;$H284,0,IF(CK284&gt;0,IF($J284=7,$E284*$I284/12*0,IF($J284=8,$E284*$I284/12*1,IF($J284=9,$E284*$I284/12*2,IF($J284&gt;=10,$E284*$I284/12*3,0))))))</f>
        <v>0</v>
      </c>
      <c r="CO284" s="412">
        <f t="shared" ref="CO284:CO287" si="2334">IF($H284&lt;&gt;CP$5,0,IF(CP284&gt;0,IF(OR($J284=1,$J284=2,$J284=3,$J284=4,$J284=5,$J284=6,$J284=7,$J284=8,$J284=9,$J284=10),$E284*$I284/12*3,IF($J284=11,$E284*$I284/12*2,IF($J284=12,$E284*$I284/12*1,0)))))+IF(CK$5&lt;&gt;$H284,0,IF(CK284&gt;0,IF($J284=10,$E284*$I284/12*0,IF($J284=11,$E284*$I284/12*1,IF($J284=12,$E284*$I284/12*2,0)))))</f>
        <v>0</v>
      </c>
      <c r="CP284" s="413">
        <f t="shared" ref="CP284:CP287" si="2335">IF(AND(CK284&lt;&gt;0,CK$5=$H284),$I284*$E284-CK284,IF(CP$5=$H284,$I284*$E284*(12-$J284+1)/12,0))</f>
        <v>0</v>
      </c>
      <c r="CQ284" s="410">
        <f t="shared" ref="CQ284:CQ287" si="2336">IF($H284&lt;&gt;CU$5,0,IF(CU284&gt;0,IF($J284=1,$E284*$I284/12*3,IF($J284=2,$E284*$I284/12*2,IF($J284=3,$E284*$I284/12*1,0)))))+IF(CP$5&lt;&gt;$H284,0,IF(CP284&gt;0,IF($J284=1,$E284*$I284/12*0,IF($J284=2,$E284*$I284/12*1,IF($J284=3,$E284*$I284/12*2,IF($J284&gt;=4,$E284*$I284/12*3,0))))))</f>
        <v>0</v>
      </c>
      <c r="CR284" s="416">
        <f t="shared" ref="CR284:CR287" si="2337">IF($H284&lt;&gt;CU$5,0,IF(CU284&gt;0,IF(OR($J284=1,$J284=2,$J284=3,$J284=4),$E284*$I284/12*3,IF($J284=5,$E284*$I284/12*2,IF($J284=6,$E284*$I284/12*1,0)))))+IF(CP$5&lt;&gt;$H284,0,IF(CP284&gt;0,IF($J284=4,$E284*$I284/12*0,IF($J284=5,$E284*$I284/12*1,IF($J284=6,$E284*$I284/12*2,IF($J284&gt;=7,$E284*$I284/12*3,0))))))</f>
        <v>0</v>
      </c>
      <c r="CS284" s="416">
        <f t="shared" ref="CS284:CS287" si="2338">IF($H284&lt;&gt;CU$5,0,IF(CU284&gt;0,IF(OR($J284=1,$J284=2,$J284=3,$J284=4,$J284=5,$J284=6,$J284=7),$E284*$I284/12*3,IF($J284=8,$E284*$I284/12*2,IF($J284=9,$E284*$I284/12*1,0)))))+IF(CP$5&lt;&gt;$H284,0,IF(CP284&gt;0,IF($J284=7,$E284*$I284/12*0,IF($J284=8,$E284*$I284/12*1,IF($J284=9,$E284*$I284/12*2,IF($J284&gt;=10,$E284*$I284/12*3,0))))))</f>
        <v>0</v>
      </c>
      <c r="CT284" s="412">
        <f t="shared" ref="CT284:CT287" si="2339">IF($H284&lt;&gt;CU$5,0,IF(CU284&gt;0,IF(OR($J284=1,$J284=2,$J284=3,$J284=4,$J284=5,$J284=6,$J284=7,$J284=8,$J284=9,$J284=10),$E284*$I284/12*3,IF($J284=11,$E284*$I284/12*2,IF($J284=12,$E284*$I284/12*1,0)))))+IF(CP$5&lt;&gt;$H284,0,IF(CP284&gt;0,IF($J284=10,$E284*$I284/12*0,IF($J284=11,$E284*$I284/12*1,IF($J284=12,$E284*$I284/12*2,0)))))</f>
        <v>0</v>
      </c>
      <c r="CU284" s="413">
        <f t="shared" ref="CU284:CU287" si="2340">IF(AND(CP284&lt;&gt;0,CP$5=$H284),$I284*$E284-CP284,IF(CU$5=$H284,$I284*$E284*(12-$J284+1)/12,0))</f>
        <v>0</v>
      </c>
      <c r="CV284" s="410">
        <f t="shared" ref="CV284:CV287" si="2341">IF($H284&lt;&gt;CZ$5,0,IF(CZ284&gt;0,IF($J284=1,$E284*$I284/12*3,IF($J284=2,$E284*$I284/12*2,IF($J284=3,$E284*$I284/12*1,0)))))+IF(CU$5&lt;&gt;$H284,0,IF(CU284&gt;0,IF($J284=1,$E284*$I284/12*0,IF($J284=2,$E284*$I284/12*1,IF($J284=3,$E284*$I284/12*2,IF($J284&gt;=4,$E284*$I284/12*3,0))))))</f>
        <v>0</v>
      </c>
      <c r="CW284" s="416">
        <f t="shared" ref="CW284:CW287" si="2342">IF($H284&lt;&gt;CZ$5,0,IF(CZ284&gt;0,IF(OR($J284=1,$J284=2,$J284=3,$J284=4),$E284*$I284/12*3,IF($J284=5,$E284*$I284/12*2,IF($J284=6,$E284*$I284/12*1,0)))))+IF(CU$5&lt;&gt;$H284,0,IF(CU284&gt;0,IF($J284=4,$E284*$I284/12*0,IF($J284=5,$E284*$I284/12*1,IF($J284=6,$E284*$I284/12*2,IF($J284&gt;=7,$E284*$I284/12*3,0))))))</f>
        <v>0</v>
      </c>
      <c r="CX284" s="416">
        <f t="shared" ref="CX284:CX287" si="2343">IF($H284&lt;&gt;CZ$5,0,IF(CZ284&gt;0,IF(OR($J284=1,$J284=2,$J284=3,$J284=4,$J284=5,$J284=6,$J284=7),$E284*$I284/12*3,IF($J284=8,$E284*$I284/12*2,IF($J284=9,$E284*$I284/12*1,0)))))+IF(CU$5&lt;&gt;$H284,0,IF(CU284&gt;0,IF($J284=7,$E284*$I284/12*0,IF($J284=8,$E284*$I284/12*1,IF($J284=9,$E284*$I284/12*2,IF($J284&gt;=10,$E284*$I284/12*3,0))))))</f>
        <v>0</v>
      </c>
      <c r="CY284" s="412">
        <f t="shared" ref="CY284:CY287" si="2344">IF($H284&lt;&gt;CZ$5,0,IF(CZ284&gt;0,IF(OR($J284=1,$J284=2,$J284=3,$J284=4,$J284=5,$J284=6,$J284=7,$J284=8,$J284=9,$J284=10),$E284*$I284/12*3,IF($J284=11,$E284*$I284/12*2,IF($J284=12,$E284*$I284/12*1,0)))))+IF(CU$5&lt;&gt;$H284,0,IF(CU284&gt;0,IF($J284=10,$E284*$I284/12*0,IF($J284=11,$E284*$I284/12*1,IF($J284=12,$E284*$I284/12*2,0)))))</f>
        <v>0</v>
      </c>
      <c r="CZ284" s="413">
        <f t="shared" ref="CZ284:CZ287" si="2345">IF(AND(CU284&lt;&gt;0,CU$5=$H284),$I284*$E284-CU284,IF(CZ$5=$H284,$I284*$E284*(12-$J284+1)/12,0))</f>
        <v>0</v>
      </c>
      <c r="DA284" s="410">
        <f t="shared" ref="DA284:DA287" si="2346">IF($H284&lt;&gt;DE$5,0,IF(DE284&gt;0,IF($J284=1,$E284*$I284/12*3,IF($J284=2,$E284*$I284/12*2,IF($J284=3,$E284*$I284/12*1,0)))))+IF(CZ$5&lt;&gt;$H284,0,IF(CZ284&gt;0,IF($J284=1,$E284*$I284/12*0,IF($J284=2,$E284*$I284/12*1,IF($J284=3,$E284*$I284/12*2,IF($J284&gt;=4,$E284*$I284/12*3,0))))))</f>
        <v>0</v>
      </c>
      <c r="DB284" s="416">
        <f t="shared" ref="DB284:DB287" si="2347">IF($H284&lt;&gt;DE$5,0,IF(DE284&gt;0,IF(OR($J284=1,$J284=2,$J284=3,$J284=4),$E284*$I284/12*3,IF($J284=5,$E284*$I284/12*2,IF($J284=6,$E284*$I284/12*1,0)))))+IF(CZ$5&lt;&gt;$H284,0,IF(CZ284&gt;0,IF($J284=4,$E284*$I284/12*0,IF($J284=5,$E284*$I284/12*1,IF($J284=6,$E284*$I284/12*2,IF($J284&gt;=7,$E284*$I284/12*3,0))))))</f>
        <v>0</v>
      </c>
      <c r="DC284" s="416">
        <f t="shared" ref="DC284:DC287" si="2348">IF($H284&lt;&gt;DE$5,0,IF(DE284&gt;0,IF(OR($J284=1,$J284=2,$J284=3,$J284=4,$J284=5,$J284=6,$J284=7),$E284*$I284/12*3,IF($J284=8,$E284*$I284/12*2,IF($J284=9,$E284*$I284/12*1,0)))))+IF(CZ$5&lt;&gt;$H284,0,IF(CZ284&gt;0,IF($J284=7,$E284*$I284/12*0,IF($J284=8,$E284*$I284/12*1,IF($J284=9,$E284*$I284/12*2,IF($J284&gt;=10,$E284*$I284/12*3,0))))))</f>
        <v>0</v>
      </c>
      <c r="DD284" s="412">
        <f t="shared" ref="DD284:DD287" si="2349">IF($H284&lt;&gt;DE$5,0,IF(DE284&gt;0,IF(OR($J284=1,$J284=2,$J284=3,$J284=4,$J284=5,$J284=6,$J284=7,$J284=8,$J284=9,$J284=10),$E284*$I284/12*3,IF($J284=11,$E284*$I284/12*2,IF($J284=12,$E284*$I284/12*1,0)))))+IF(CZ$5&lt;&gt;$H284,0,IF(CZ284&gt;0,IF($J284=10,$E284*$I284/12*0,IF($J284=11,$E284*$I284/12*1,IF($J284=12,$E284*$I284/12*2,0)))))</f>
        <v>10.3125</v>
      </c>
      <c r="DE284" s="413">
        <f t="shared" ref="DE284:DE287" si="2350">IF(AND(CZ284&lt;&gt;0,CZ$5=$H284),$I284*$E284-CZ284,IF(DE$5=$H284,$I284*$E284*(12-$J284+1)/12,0))</f>
        <v>10.3125</v>
      </c>
      <c r="DF284" s="410">
        <f t="shared" ref="DF284:DF287" si="2351">IF($H284&lt;&gt;DJ$5,0,IF(DJ284&gt;0,IF($J284=1,$E284*$I284/12*3,IF($J284=2,$E284*$I284/12*2,IF($J284=3,$E284*$I284/12*1,0)))))+IF(DE$5&lt;&gt;$H284,0,IF(DE284&gt;0,IF($J284=1,$E284*$I284/12*0,IF($J284=2,$E284*$I284/12*1,IF($J284=3,$E284*$I284/12*2,IF($J284&gt;=4,$E284*$I284/12*3,0))))))</f>
        <v>10.3125</v>
      </c>
      <c r="DG284" s="416">
        <f t="shared" ref="DG284:DG287" si="2352">IF($H284&lt;&gt;DJ$5,0,IF(DJ284&gt;0,IF(OR($J284=1,$J284=2,$J284=3,$J284=4),$E284*$I284/12*3,IF($J284=5,$E284*$I284/12*2,IF($J284=6,$E284*$I284/12*1,0)))))+IF(DE$5&lt;&gt;$H284,0,IF(DE284&gt;0,IF($J284=4,$E284*$I284/12*0,IF($J284=5,$E284*$I284/12*1,IF($J284=6,$E284*$I284/12*2,IF($J284&gt;=7,$E284*$I284/12*3,0))))))</f>
        <v>10.3125</v>
      </c>
      <c r="DH284" s="416">
        <f t="shared" ref="DH284:DH287" si="2353">IF($H284&lt;&gt;DJ$5,0,IF(DJ284&gt;0,IF(OR($J284=1,$J284=2,$J284=3,$J284=4,$J284=5,$J284=6,$J284=7),$E284*$I284/12*3,IF($J284=8,$E284*$I284/12*2,IF($J284=9,$E284*$I284/12*1,0)))))+IF(DE$5&lt;&gt;$H284,0,IF(DE284&gt;0,IF($J284=7,$E284*$I284/12*0,IF($J284=8,$E284*$I284/12*1,IF($J284=9,$E284*$I284/12*2,IF($J284&gt;=10,$E284*$I284/12*3,0))))))</f>
        <v>10.3125</v>
      </c>
      <c r="DI284" s="412">
        <f t="shared" ref="DI284:DI287" si="2354">IF($H284&lt;&gt;DJ$5,0,IF(DJ284&gt;0,IF(OR($J284=1,$J284=2,$J284=3,$J284=4,$J284=5,$J284=6,$J284=7,$J284=8,$J284=9,$J284=10),$E284*$I284/12*3,IF($J284=11,$E284*$I284/12*2,IF($J284=12,$E284*$I284/12*1,0)))))+IF(DE$5&lt;&gt;$H284,0,IF(DE284&gt;0,IF($J284=10,$E284*$I284/12*0,IF($J284=11,$E284*$I284/12*1,IF($J284=12,$E284*$I284/12*2,0)))))</f>
        <v>0</v>
      </c>
      <c r="DJ284" s="413">
        <f t="shared" ref="DJ284:DJ287" si="2355">IF(AND(DE284&lt;&gt;0,DE$5=$H284),$I284*$E284-DE284,IF(DJ$5=$H284,$I284*$E284*(12-$J284+1)/12,0))</f>
        <v>30.9375</v>
      </c>
      <c r="DK284" s="410">
        <f t="shared" ref="DK284:DK287" si="2356">IF($H284&lt;&gt;DO$5,0,IF(DO284&gt;0,IF($J284=1,$E284*$I284/12*3,IF($J284=2,$E284*$I284/12*2,IF($J284=3,$E284*$I284/12*1,0)))))+IF(DJ$5&lt;&gt;$H284,0,IF(DJ284&gt;0,IF($J284=1,$E284*$I284/12*0,IF($J284=2,$E284*$I284/12*1,IF($J284=3,$E284*$I284/12*2,IF($J284&gt;=4,$E284*$I284/12*3,0))))))</f>
        <v>0</v>
      </c>
      <c r="DL284" s="416">
        <f t="shared" ref="DL284:DL287" si="2357">IF($H284&lt;&gt;DO$5,0,IF(DO284&gt;0,IF(OR($J284=1,$J284=2,$J284=3,$J284=4),$E284*$I284/12*3,IF($J284=5,$E284*$I284/12*2,IF($J284=6,$E284*$I284/12*1,0)))))+IF(DJ$5&lt;&gt;$H284,0,IF(DJ284&gt;0,IF($J284=4,$E284*$I284/12*0,IF($J284=5,$E284*$I284/12*1,IF($J284=6,$E284*$I284/12*2,IF($J284&gt;=7,$E284*$I284/12*3,0))))))</f>
        <v>0</v>
      </c>
      <c r="DM284" s="416">
        <f t="shared" ref="DM284:DM287" si="2358">IF($H284&lt;&gt;DO$5,0,IF(DO284&gt;0,IF(OR($J284=1,$J284=2,$J284=3,$J284=4,$J284=5,$J284=6,$J284=7),$E284*$I284/12*3,IF($J284=8,$E284*$I284/12*2,IF($J284=9,$E284*$I284/12*1,0)))))+IF(DJ$5&lt;&gt;$H284,0,IF(DJ284&gt;0,IF($J284=7,$E284*$I284/12*0,IF($J284=8,$E284*$I284/12*1,IF($J284=9,$E284*$I284/12*2,IF($J284&gt;=10,$E284*$I284/12*3,0))))))</f>
        <v>0</v>
      </c>
      <c r="DN284" s="412">
        <f t="shared" ref="DN284:DN287" si="2359">IF($H284&lt;&gt;DO$5,0,IF(DO284&gt;0,IF(OR($J284=1,$J284=2,$J284=3,$J284=4,$J284=5,$J284=6,$J284=7,$J284=8,$J284=9,$J284=10),$E284*$I284/12*3,IF($J284=11,$E284*$I284/12*2,IF($J284=12,$E284*$I284/12*1,0)))))+IF(DJ$5&lt;&gt;$H284,0,IF(DJ284&gt;0,IF($J284=10,$E284*$I284/12*0,IF($J284=11,$E284*$I284/12*1,IF($J284=12,$E284*$I284/12*2,0)))))</f>
        <v>0</v>
      </c>
      <c r="DO284" s="413">
        <f t="shared" ref="DO284:DO287" si="2360">IF(AND(DJ284&lt;&gt;0,DJ$5=$H284),$I284*$E284-DJ284,IF(DO$5=$H284,$I284*$E284*(12-$J284+1)/12,0))</f>
        <v>0</v>
      </c>
      <c r="DP284" s="410">
        <f t="shared" ref="DP284:DP287" si="2361">IF($H284&lt;&gt;DT$5,0,IF(DT284&gt;0,IF($J284=1,$E284*$I284/12*3,IF($J284=2,$E284*$I284/12*2,IF($J284=3,$E284*$I284/12*1,0)))))+IF(DO$5&lt;&gt;$H284,0,IF(DO284&gt;0,IF($J284=1,$E284*$I284/12*0,IF($J284=2,$E284*$I284/12*1,IF($J284=3,$E284*$I284/12*2,IF($J284&gt;=4,$E284*$I284/12*3,0))))))</f>
        <v>0</v>
      </c>
      <c r="DQ284" s="416">
        <f t="shared" ref="DQ284:DQ287" si="2362">IF($H284&lt;&gt;DT$5,0,IF(DT284&gt;0,IF(OR($J284=1,$J284=2,$J284=3,$J284=4),$E284*$I284/12*3,IF($J284=5,$E284*$I284/12*2,IF($J284=6,$E284*$I284/12*1,0)))))+IF(DO$5&lt;&gt;$H284,0,IF(DO284&gt;0,IF($J284=4,$E284*$I284/12*0,IF($J284=5,$E284*$I284/12*1,IF($J284=6,$E284*$I284/12*2,IF($J284&gt;=7,$E284*$I284/12*3,0))))))</f>
        <v>0</v>
      </c>
      <c r="DR284" s="416">
        <f t="shared" ref="DR284:DR287" si="2363">IF($H284&lt;&gt;DT$5,0,IF(DT284&gt;0,IF(OR($J284=1,$J284=2,$J284=3,$J284=4,$J284=5,$J284=6,$J284=7),$E284*$I284/12*3,IF($J284=8,$E284*$I284/12*2,IF($J284=9,$E284*$I284/12*1,0)))))+IF(DO$5&lt;&gt;$H284,0,IF(DO284&gt;0,IF($J284=7,$E284*$I284/12*0,IF($J284=8,$E284*$I284/12*1,IF($J284=9,$E284*$I284/12*2,IF($J284&gt;=10,$E284*$I284/12*3,0))))))</f>
        <v>0</v>
      </c>
      <c r="DS284" s="412">
        <f t="shared" ref="DS284:DS287" si="2364">IF($H284&lt;&gt;DT$5,0,IF(DT284&gt;0,IF(OR($J284=1,$J284=2,$J284=3,$J284=4,$J284=5,$J284=6,$J284=7,$J284=8,$J284=9,$J284=10),$E284*$I284/12*3,IF($J284=11,$E284*$I284/12*2,IF($J284=12,$E284*$I284/12*1,0)))))+IF(DO$5&lt;&gt;$H284,0,IF(DO284&gt;0,IF($J284=10,$E284*$I284/12*0,IF($J284=11,$E284*$I284/12*1,IF($J284=12,$E284*$I284/12*2,0)))))</f>
        <v>0</v>
      </c>
      <c r="DT284" s="413">
        <f t="shared" ref="DT284:DT287" si="2365">IF(AND(DO284&lt;&gt;0,DO$5=$H284),$I284*$E284-DO284,IF(DT$5=$H284,$I284*$E284*(12-$J284+1)/12,0))</f>
        <v>0</v>
      </c>
    </row>
    <row r="285" spans="1:124" ht="12.75" customHeight="1">
      <c r="C285" s="1891" t="s">
        <v>1083</v>
      </c>
      <c r="D285" s="1891"/>
      <c r="E285" s="1887">
        <f>'T&amp;D Utilities'!$BG$142</f>
        <v>900</v>
      </c>
      <c r="F285" s="1895"/>
      <c r="G285" s="1895"/>
      <c r="H285" s="16">
        <v>2019</v>
      </c>
      <c r="I285" s="1889">
        <f>+'Utility Detail'!$AW$13</f>
        <v>0.05</v>
      </c>
      <c r="J285" s="617">
        <v>7</v>
      </c>
      <c r="K285" s="402"/>
      <c r="L285" s="407">
        <f t="shared" si="2254"/>
        <v>0</v>
      </c>
      <c r="M285" s="404">
        <f t="shared" si="2266"/>
        <v>0</v>
      </c>
      <c r="N285" s="414">
        <f t="shared" si="2267"/>
        <v>0</v>
      </c>
      <c r="O285" s="414">
        <f t="shared" si="2268"/>
        <v>0</v>
      </c>
      <c r="P285" s="406">
        <f t="shared" si="2269"/>
        <v>0</v>
      </c>
      <c r="Q285" s="407">
        <f t="shared" si="2255"/>
        <v>0</v>
      </c>
      <c r="R285" s="404">
        <f t="shared" si="2270"/>
        <v>0</v>
      </c>
      <c r="S285" s="414">
        <f t="shared" si="2271"/>
        <v>0</v>
      </c>
      <c r="T285" s="414">
        <f t="shared" si="2272"/>
        <v>0</v>
      </c>
      <c r="U285" s="406">
        <f t="shared" si="2273"/>
        <v>0</v>
      </c>
      <c r="V285" s="407">
        <f t="shared" si="2256"/>
        <v>0</v>
      </c>
      <c r="W285" s="404">
        <f t="shared" si="2274"/>
        <v>0</v>
      </c>
      <c r="X285" s="414">
        <f t="shared" si="2275"/>
        <v>0</v>
      </c>
      <c r="Y285" s="414">
        <f t="shared" si="2276"/>
        <v>0</v>
      </c>
      <c r="Z285" s="406">
        <f t="shared" si="2277"/>
        <v>0</v>
      </c>
      <c r="AA285" s="407">
        <f t="shared" si="2257"/>
        <v>0</v>
      </c>
      <c r="AB285" s="404">
        <f t="shared" si="2278"/>
        <v>0</v>
      </c>
      <c r="AC285" s="414">
        <f t="shared" si="2279"/>
        <v>0</v>
      </c>
      <c r="AD285" s="414">
        <f t="shared" si="2280"/>
        <v>0</v>
      </c>
      <c r="AE285" s="406">
        <f t="shared" si="2281"/>
        <v>0</v>
      </c>
      <c r="AF285" s="407">
        <f t="shared" si="2258"/>
        <v>0</v>
      </c>
      <c r="AG285" s="404">
        <f t="shared" si="2282"/>
        <v>0</v>
      </c>
      <c r="AH285" s="414">
        <f t="shared" si="2283"/>
        <v>0</v>
      </c>
      <c r="AI285" s="414">
        <f t="shared" si="2284"/>
        <v>0</v>
      </c>
      <c r="AJ285" s="406">
        <f t="shared" si="2285"/>
        <v>0</v>
      </c>
      <c r="AK285" s="407">
        <f t="shared" si="2259"/>
        <v>0</v>
      </c>
      <c r="AL285" s="404">
        <f t="shared" si="2286"/>
        <v>0</v>
      </c>
      <c r="AM285" s="414">
        <f t="shared" si="2287"/>
        <v>0</v>
      </c>
      <c r="AN285" s="414">
        <f t="shared" si="2288"/>
        <v>0</v>
      </c>
      <c r="AO285" s="406">
        <f t="shared" si="2289"/>
        <v>0</v>
      </c>
      <c r="AP285" s="407">
        <f t="shared" si="2260"/>
        <v>0</v>
      </c>
      <c r="AQ285" s="404">
        <f t="shared" si="2290"/>
        <v>0</v>
      </c>
      <c r="AR285" s="414">
        <f t="shared" si="2291"/>
        <v>0</v>
      </c>
      <c r="AS285" s="414">
        <f t="shared" si="2292"/>
        <v>0</v>
      </c>
      <c r="AT285" s="406">
        <f t="shared" si="2293"/>
        <v>0</v>
      </c>
      <c r="AU285" s="407">
        <f t="shared" si="2261"/>
        <v>0</v>
      </c>
      <c r="AV285" s="404">
        <f t="shared" si="2294"/>
        <v>0</v>
      </c>
      <c r="AW285" s="414">
        <f t="shared" si="2295"/>
        <v>0</v>
      </c>
      <c r="AX285" s="414">
        <f t="shared" si="2296"/>
        <v>0</v>
      </c>
      <c r="AY285" s="406">
        <f t="shared" si="2297"/>
        <v>0</v>
      </c>
      <c r="AZ285" s="407">
        <f t="shared" si="2262"/>
        <v>0</v>
      </c>
      <c r="BA285" s="404">
        <f t="shared" si="2298"/>
        <v>0</v>
      </c>
      <c r="BB285" s="414">
        <f t="shared" si="2299"/>
        <v>0</v>
      </c>
      <c r="BC285" s="414">
        <f t="shared" si="2300"/>
        <v>900</v>
      </c>
      <c r="BD285" s="406">
        <f t="shared" si="2301"/>
        <v>0</v>
      </c>
      <c r="BE285" s="407">
        <f t="shared" si="2263"/>
        <v>900</v>
      </c>
      <c r="BF285" s="404">
        <f t="shared" si="2302"/>
        <v>0</v>
      </c>
      <c r="BG285" s="414">
        <f t="shared" si="2303"/>
        <v>0</v>
      </c>
      <c r="BH285" s="414">
        <f t="shared" si="2304"/>
        <v>0</v>
      </c>
      <c r="BI285" s="406">
        <f t="shared" si="2305"/>
        <v>0</v>
      </c>
      <c r="BJ285" s="407">
        <f t="shared" si="2264"/>
        <v>0</v>
      </c>
      <c r="BK285" s="404">
        <f t="shared" si="2306"/>
        <v>0</v>
      </c>
      <c r="BL285" s="414">
        <f t="shared" si="2307"/>
        <v>0</v>
      </c>
      <c r="BM285" s="414">
        <f t="shared" si="2308"/>
        <v>0</v>
      </c>
      <c r="BN285" s="406">
        <f t="shared" si="2309"/>
        <v>0</v>
      </c>
      <c r="BO285" s="407">
        <f t="shared" si="2265"/>
        <v>0</v>
      </c>
      <c r="BP285" s="447"/>
      <c r="BQ285" s="413">
        <f t="shared" si="2310"/>
        <v>0</v>
      </c>
      <c r="BR285" s="410">
        <f t="shared" si="2311"/>
        <v>0</v>
      </c>
      <c r="BS285" s="416">
        <f t="shared" si="2312"/>
        <v>0</v>
      </c>
      <c r="BT285" s="416">
        <f t="shared" si="2313"/>
        <v>0</v>
      </c>
      <c r="BU285" s="412">
        <f t="shared" si="2314"/>
        <v>0</v>
      </c>
      <c r="BV285" s="413">
        <f t="shared" si="2315"/>
        <v>0</v>
      </c>
      <c r="BW285" s="410">
        <f t="shared" si="2316"/>
        <v>0</v>
      </c>
      <c r="BX285" s="416">
        <f t="shared" si="2317"/>
        <v>0</v>
      </c>
      <c r="BY285" s="416">
        <f t="shared" si="2318"/>
        <v>0</v>
      </c>
      <c r="BZ285" s="412">
        <f t="shared" si="2319"/>
        <v>0</v>
      </c>
      <c r="CA285" s="413">
        <f t="shared" si="2320"/>
        <v>0</v>
      </c>
      <c r="CB285" s="410">
        <f t="shared" si="2321"/>
        <v>0</v>
      </c>
      <c r="CC285" s="416">
        <f t="shared" si="2322"/>
        <v>0</v>
      </c>
      <c r="CD285" s="416">
        <f t="shared" si="2323"/>
        <v>0</v>
      </c>
      <c r="CE285" s="412">
        <f t="shared" si="2324"/>
        <v>0</v>
      </c>
      <c r="CF285" s="413">
        <f t="shared" si="2325"/>
        <v>0</v>
      </c>
      <c r="CG285" s="410">
        <f t="shared" si="2326"/>
        <v>0</v>
      </c>
      <c r="CH285" s="416">
        <f t="shared" si="2327"/>
        <v>0</v>
      </c>
      <c r="CI285" s="416">
        <f t="shared" si="2328"/>
        <v>0</v>
      </c>
      <c r="CJ285" s="412">
        <f t="shared" si="2329"/>
        <v>0</v>
      </c>
      <c r="CK285" s="413">
        <f t="shared" si="2330"/>
        <v>0</v>
      </c>
      <c r="CL285" s="410">
        <f t="shared" si="2331"/>
        <v>0</v>
      </c>
      <c r="CM285" s="416">
        <f t="shared" si="2332"/>
        <v>0</v>
      </c>
      <c r="CN285" s="416">
        <f t="shared" si="2333"/>
        <v>0</v>
      </c>
      <c r="CO285" s="412">
        <f t="shared" si="2334"/>
        <v>0</v>
      </c>
      <c r="CP285" s="413">
        <f t="shared" si="2335"/>
        <v>0</v>
      </c>
      <c r="CQ285" s="410">
        <f t="shared" si="2336"/>
        <v>0</v>
      </c>
      <c r="CR285" s="416">
        <f t="shared" si="2337"/>
        <v>0</v>
      </c>
      <c r="CS285" s="416">
        <f t="shared" si="2338"/>
        <v>0</v>
      </c>
      <c r="CT285" s="412">
        <f t="shared" si="2339"/>
        <v>0</v>
      </c>
      <c r="CU285" s="413">
        <f t="shared" si="2340"/>
        <v>0</v>
      </c>
      <c r="CV285" s="410">
        <f t="shared" si="2341"/>
        <v>0</v>
      </c>
      <c r="CW285" s="416">
        <f t="shared" si="2342"/>
        <v>0</v>
      </c>
      <c r="CX285" s="416">
        <f t="shared" si="2343"/>
        <v>0</v>
      </c>
      <c r="CY285" s="412">
        <f t="shared" si="2344"/>
        <v>0</v>
      </c>
      <c r="CZ285" s="413">
        <f t="shared" si="2345"/>
        <v>0</v>
      </c>
      <c r="DA285" s="410">
        <f t="shared" si="2346"/>
        <v>0</v>
      </c>
      <c r="DB285" s="416">
        <f t="shared" si="2347"/>
        <v>0</v>
      </c>
      <c r="DC285" s="416">
        <f t="shared" si="2348"/>
        <v>0</v>
      </c>
      <c r="DD285" s="412">
        <f t="shared" si="2349"/>
        <v>0</v>
      </c>
      <c r="DE285" s="413">
        <f t="shared" si="2350"/>
        <v>0</v>
      </c>
      <c r="DF285" s="410">
        <f t="shared" si="2351"/>
        <v>0</v>
      </c>
      <c r="DG285" s="416">
        <f t="shared" si="2352"/>
        <v>0</v>
      </c>
      <c r="DH285" s="416">
        <f t="shared" si="2353"/>
        <v>11.25</v>
      </c>
      <c r="DI285" s="412">
        <f t="shared" si="2354"/>
        <v>11.25</v>
      </c>
      <c r="DJ285" s="413">
        <f t="shared" si="2355"/>
        <v>22.5</v>
      </c>
      <c r="DK285" s="410">
        <f t="shared" si="2356"/>
        <v>11.25</v>
      </c>
      <c r="DL285" s="416">
        <f t="shared" si="2357"/>
        <v>11.25</v>
      </c>
      <c r="DM285" s="416">
        <f t="shared" si="2358"/>
        <v>0</v>
      </c>
      <c r="DN285" s="412">
        <f t="shared" si="2359"/>
        <v>0</v>
      </c>
      <c r="DO285" s="413">
        <f t="shared" si="2360"/>
        <v>22.5</v>
      </c>
      <c r="DP285" s="410">
        <f t="shared" si="2361"/>
        <v>0</v>
      </c>
      <c r="DQ285" s="416">
        <f t="shared" si="2362"/>
        <v>0</v>
      </c>
      <c r="DR285" s="416">
        <f t="shared" si="2363"/>
        <v>0</v>
      </c>
      <c r="DS285" s="412">
        <f t="shared" si="2364"/>
        <v>0</v>
      </c>
      <c r="DT285" s="413">
        <f t="shared" si="2365"/>
        <v>0</v>
      </c>
    </row>
    <row r="286" spans="1:124" ht="12.75" customHeight="1">
      <c r="C286" s="1891" t="s">
        <v>1084</v>
      </c>
      <c r="D286" s="1891"/>
      <c r="E286" s="1887">
        <f>'T&amp;D Utilities'!$BL$142</f>
        <v>900</v>
      </c>
      <c r="F286" s="1895"/>
      <c r="G286" s="1895"/>
      <c r="H286" s="16">
        <v>2020</v>
      </c>
      <c r="I286" s="1889">
        <f>+'Utility Detail'!$AW$13</f>
        <v>0.05</v>
      </c>
      <c r="J286" s="617">
        <v>7</v>
      </c>
      <c r="K286" s="402"/>
      <c r="L286" s="407">
        <f t="shared" si="2254"/>
        <v>0</v>
      </c>
      <c r="M286" s="404">
        <f t="shared" si="2266"/>
        <v>0</v>
      </c>
      <c r="N286" s="414">
        <f t="shared" si="2267"/>
        <v>0</v>
      </c>
      <c r="O286" s="414">
        <f t="shared" si="2268"/>
        <v>0</v>
      </c>
      <c r="P286" s="406">
        <f t="shared" si="2269"/>
        <v>0</v>
      </c>
      <c r="Q286" s="407">
        <f t="shared" si="2255"/>
        <v>0</v>
      </c>
      <c r="R286" s="404">
        <f t="shared" si="2270"/>
        <v>0</v>
      </c>
      <c r="S286" s="414">
        <f t="shared" si="2271"/>
        <v>0</v>
      </c>
      <c r="T286" s="414">
        <f t="shared" si="2272"/>
        <v>0</v>
      </c>
      <c r="U286" s="406">
        <f t="shared" si="2273"/>
        <v>0</v>
      </c>
      <c r="V286" s="407">
        <f t="shared" si="2256"/>
        <v>0</v>
      </c>
      <c r="W286" s="404">
        <f t="shared" si="2274"/>
        <v>0</v>
      </c>
      <c r="X286" s="414">
        <f t="shared" si="2275"/>
        <v>0</v>
      </c>
      <c r="Y286" s="414">
        <f t="shared" si="2276"/>
        <v>0</v>
      </c>
      <c r="Z286" s="406">
        <f t="shared" si="2277"/>
        <v>0</v>
      </c>
      <c r="AA286" s="407">
        <f t="shared" si="2257"/>
        <v>0</v>
      </c>
      <c r="AB286" s="404">
        <f t="shared" si="2278"/>
        <v>0</v>
      </c>
      <c r="AC286" s="414">
        <f t="shared" si="2279"/>
        <v>0</v>
      </c>
      <c r="AD286" s="414">
        <f t="shared" si="2280"/>
        <v>0</v>
      </c>
      <c r="AE286" s="406">
        <f t="shared" si="2281"/>
        <v>0</v>
      </c>
      <c r="AF286" s="407">
        <f t="shared" si="2258"/>
        <v>0</v>
      </c>
      <c r="AG286" s="404">
        <f t="shared" si="2282"/>
        <v>0</v>
      </c>
      <c r="AH286" s="414">
        <f t="shared" si="2283"/>
        <v>0</v>
      </c>
      <c r="AI286" s="414">
        <f t="shared" si="2284"/>
        <v>0</v>
      </c>
      <c r="AJ286" s="406">
        <f t="shared" si="2285"/>
        <v>0</v>
      </c>
      <c r="AK286" s="407">
        <f t="shared" si="2259"/>
        <v>0</v>
      </c>
      <c r="AL286" s="404">
        <f t="shared" si="2286"/>
        <v>0</v>
      </c>
      <c r="AM286" s="414">
        <f t="shared" si="2287"/>
        <v>0</v>
      </c>
      <c r="AN286" s="414">
        <f t="shared" si="2288"/>
        <v>0</v>
      </c>
      <c r="AO286" s="406">
        <f t="shared" si="2289"/>
        <v>0</v>
      </c>
      <c r="AP286" s="407">
        <f t="shared" si="2260"/>
        <v>0</v>
      </c>
      <c r="AQ286" s="404">
        <f t="shared" si="2290"/>
        <v>0</v>
      </c>
      <c r="AR286" s="414">
        <f t="shared" si="2291"/>
        <v>0</v>
      </c>
      <c r="AS286" s="414">
        <f t="shared" si="2292"/>
        <v>0</v>
      </c>
      <c r="AT286" s="406">
        <f t="shared" si="2293"/>
        <v>0</v>
      </c>
      <c r="AU286" s="407">
        <f t="shared" si="2261"/>
        <v>0</v>
      </c>
      <c r="AV286" s="404">
        <f t="shared" si="2294"/>
        <v>0</v>
      </c>
      <c r="AW286" s="414">
        <f t="shared" si="2295"/>
        <v>0</v>
      </c>
      <c r="AX286" s="414">
        <f t="shared" si="2296"/>
        <v>0</v>
      </c>
      <c r="AY286" s="406">
        <f t="shared" si="2297"/>
        <v>0</v>
      </c>
      <c r="AZ286" s="407">
        <f t="shared" si="2262"/>
        <v>0</v>
      </c>
      <c r="BA286" s="404">
        <f t="shared" si="2298"/>
        <v>0</v>
      </c>
      <c r="BB286" s="414">
        <f t="shared" si="2299"/>
        <v>0</v>
      </c>
      <c r="BC286" s="414">
        <f t="shared" si="2300"/>
        <v>0</v>
      </c>
      <c r="BD286" s="406">
        <f t="shared" si="2301"/>
        <v>0</v>
      </c>
      <c r="BE286" s="407">
        <f t="shared" si="2263"/>
        <v>0</v>
      </c>
      <c r="BF286" s="404">
        <f t="shared" si="2302"/>
        <v>0</v>
      </c>
      <c r="BG286" s="414">
        <f t="shared" si="2303"/>
        <v>0</v>
      </c>
      <c r="BH286" s="414">
        <f t="shared" si="2304"/>
        <v>900</v>
      </c>
      <c r="BI286" s="406">
        <f t="shared" si="2305"/>
        <v>0</v>
      </c>
      <c r="BJ286" s="407">
        <f t="shared" si="2264"/>
        <v>900</v>
      </c>
      <c r="BK286" s="404">
        <f t="shared" si="2306"/>
        <v>0</v>
      </c>
      <c r="BL286" s="414">
        <f t="shared" si="2307"/>
        <v>0</v>
      </c>
      <c r="BM286" s="414">
        <f t="shared" si="2308"/>
        <v>0</v>
      </c>
      <c r="BN286" s="406">
        <f t="shared" si="2309"/>
        <v>0</v>
      </c>
      <c r="BO286" s="407">
        <f t="shared" si="2265"/>
        <v>0</v>
      </c>
      <c r="BP286" s="447"/>
      <c r="BQ286" s="413">
        <f t="shared" si="2310"/>
        <v>0</v>
      </c>
      <c r="BR286" s="410">
        <f t="shared" si="2311"/>
        <v>0</v>
      </c>
      <c r="BS286" s="416">
        <f t="shared" si="2312"/>
        <v>0</v>
      </c>
      <c r="BT286" s="416">
        <f t="shared" si="2313"/>
        <v>0</v>
      </c>
      <c r="BU286" s="412">
        <f t="shared" si="2314"/>
        <v>0</v>
      </c>
      <c r="BV286" s="413">
        <f t="shared" si="2315"/>
        <v>0</v>
      </c>
      <c r="BW286" s="410">
        <f t="shared" si="2316"/>
        <v>0</v>
      </c>
      <c r="BX286" s="416">
        <f t="shared" si="2317"/>
        <v>0</v>
      </c>
      <c r="BY286" s="416">
        <f t="shared" si="2318"/>
        <v>0</v>
      </c>
      <c r="BZ286" s="412">
        <f t="shared" si="2319"/>
        <v>0</v>
      </c>
      <c r="CA286" s="413">
        <f t="shared" si="2320"/>
        <v>0</v>
      </c>
      <c r="CB286" s="410">
        <f t="shared" si="2321"/>
        <v>0</v>
      </c>
      <c r="CC286" s="416">
        <f t="shared" si="2322"/>
        <v>0</v>
      </c>
      <c r="CD286" s="416">
        <f t="shared" si="2323"/>
        <v>0</v>
      </c>
      <c r="CE286" s="412">
        <f t="shared" si="2324"/>
        <v>0</v>
      </c>
      <c r="CF286" s="413">
        <f t="shared" si="2325"/>
        <v>0</v>
      </c>
      <c r="CG286" s="410">
        <f t="shared" si="2326"/>
        <v>0</v>
      </c>
      <c r="CH286" s="416">
        <f t="shared" si="2327"/>
        <v>0</v>
      </c>
      <c r="CI286" s="416">
        <f t="shared" si="2328"/>
        <v>0</v>
      </c>
      <c r="CJ286" s="412">
        <f t="shared" si="2329"/>
        <v>0</v>
      </c>
      <c r="CK286" s="413">
        <f t="shared" si="2330"/>
        <v>0</v>
      </c>
      <c r="CL286" s="410">
        <f t="shared" si="2331"/>
        <v>0</v>
      </c>
      <c r="CM286" s="416">
        <f t="shared" si="2332"/>
        <v>0</v>
      </c>
      <c r="CN286" s="416">
        <f t="shared" si="2333"/>
        <v>0</v>
      </c>
      <c r="CO286" s="412">
        <f t="shared" si="2334"/>
        <v>0</v>
      </c>
      <c r="CP286" s="413">
        <f t="shared" si="2335"/>
        <v>0</v>
      </c>
      <c r="CQ286" s="410">
        <f t="shared" si="2336"/>
        <v>0</v>
      </c>
      <c r="CR286" s="416">
        <f t="shared" si="2337"/>
        <v>0</v>
      </c>
      <c r="CS286" s="416">
        <f t="shared" si="2338"/>
        <v>0</v>
      </c>
      <c r="CT286" s="412">
        <f t="shared" si="2339"/>
        <v>0</v>
      </c>
      <c r="CU286" s="413">
        <f t="shared" si="2340"/>
        <v>0</v>
      </c>
      <c r="CV286" s="410">
        <f t="shared" si="2341"/>
        <v>0</v>
      </c>
      <c r="CW286" s="416">
        <f t="shared" si="2342"/>
        <v>0</v>
      </c>
      <c r="CX286" s="416">
        <f t="shared" si="2343"/>
        <v>0</v>
      </c>
      <c r="CY286" s="412">
        <f t="shared" si="2344"/>
        <v>0</v>
      </c>
      <c r="CZ286" s="413">
        <f t="shared" si="2345"/>
        <v>0</v>
      </c>
      <c r="DA286" s="410">
        <f t="shared" si="2346"/>
        <v>0</v>
      </c>
      <c r="DB286" s="416">
        <f t="shared" si="2347"/>
        <v>0</v>
      </c>
      <c r="DC286" s="416">
        <f t="shared" si="2348"/>
        <v>0</v>
      </c>
      <c r="DD286" s="412">
        <f t="shared" si="2349"/>
        <v>0</v>
      </c>
      <c r="DE286" s="413">
        <f t="shared" si="2350"/>
        <v>0</v>
      </c>
      <c r="DF286" s="410">
        <f t="shared" si="2351"/>
        <v>0</v>
      </c>
      <c r="DG286" s="416">
        <f t="shared" si="2352"/>
        <v>0</v>
      </c>
      <c r="DH286" s="416">
        <f t="shared" si="2353"/>
        <v>0</v>
      </c>
      <c r="DI286" s="412">
        <f t="shared" si="2354"/>
        <v>0</v>
      </c>
      <c r="DJ286" s="413">
        <f t="shared" si="2355"/>
        <v>0</v>
      </c>
      <c r="DK286" s="410">
        <f t="shared" si="2356"/>
        <v>0</v>
      </c>
      <c r="DL286" s="416">
        <f t="shared" si="2357"/>
        <v>0</v>
      </c>
      <c r="DM286" s="416">
        <f t="shared" si="2358"/>
        <v>11.25</v>
      </c>
      <c r="DN286" s="412">
        <f t="shared" si="2359"/>
        <v>11.25</v>
      </c>
      <c r="DO286" s="413">
        <f t="shared" si="2360"/>
        <v>22.5</v>
      </c>
      <c r="DP286" s="410">
        <f t="shared" si="2361"/>
        <v>11.25</v>
      </c>
      <c r="DQ286" s="416">
        <f t="shared" si="2362"/>
        <v>11.25</v>
      </c>
      <c r="DR286" s="416">
        <f t="shared" si="2363"/>
        <v>0</v>
      </c>
      <c r="DS286" s="412">
        <f t="shared" si="2364"/>
        <v>0</v>
      </c>
      <c r="DT286" s="413">
        <f t="shared" si="2365"/>
        <v>22.5</v>
      </c>
    </row>
    <row r="287" spans="1:124" ht="12.75" customHeight="1">
      <c r="C287" s="1891" t="s">
        <v>1288</v>
      </c>
      <c r="D287" s="1891"/>
      <c r="E287" s="1887">
        <f>'T&amp;D Utilities'!$BQ$142</f>
        <v>800</v>
      </c>
      <c r="F287" s="1895"/>
      <c r="G287" s="1895"/>
      <c r="H287" s="16">
        <v>2021</v>
      </c>
      <c r="I287" s="1889">
        <f>+'Utility Detail'!$AW$13</f>
        <v>0.05</v>
      </c>
      <c r="J287" s="617">
        <v>7</v>
      </c>
      <c r="K287" s="402"/>
      <c r="L287" s="407">
        <f t="shared" si="2254"/>
        <v>0</v>
      </c>
      <c r="M287" s="404">
        <f t="shared" si="2266"/>
        <v>0</v>
      </c>
      <c r="N287" s="414">
        <f t="shared" si="2267"/>
        <v>0</v>
      </c>
      <c r="O287" s="414">
        <f t="shared" si="2268"/>
        <v>0</v>
      </c>
      <c r="P287" s="406">
        <f t="shared" si="2269"/>
        <v>0</v>
      </c>
      <c r="Q287" s="407">
        <f t="shared" si="2255"/>
        <v>0</v>
      </c>
      <c r="R287" s="404">
        <f t="shared" si="2270"/>
        <v>0</v>
      </c>
      <c r="S287" s="414">
        <f t="shared" si="2271"/>
        <v>0</v>
      </c>
      <c r="T287" s="414">
        <f t="shared" si="2272"/>
        <v>0</v>
      </c>
      <c r="U287" s="406">
        <f t="shared" si="2273"/>
        <v>0</v>
      </c>
      <c r="V287" s="407">
        <f t="shared" si="2256"/>
        <v>0</v>
      </c>
      <c r="W287" s="404">
        <f t="shared" si="2274"/>
        <v>0</v>
      </c>
      <c r="X287" s="414">
        <f t="shared" si="2275"/>
        <v>0</v>
      </c>
      <c r="Y287" s="414">
        <f t="shared" si="2276"/>
        <v>0</v>
      </c>
      <c r="Z287" s="406">
        <f t="shared" si="2277"/>
        <v>0</v>
      </c>
      <c r="AA287" s="407">
        <f t="shared" si="2257"/>
        <v>0</v>
      </c>
      <c r="AB287" s="404">
        <f t="shared" si="2278"/>
        <v>0</v>
      </c>
      <c r="AC287" s="414">
        <f t="shared" si="2279"/>
        <v>0</v>
      </c>
      <c r="AD287" s="414">
        <f t="shared" si="2280"/>
        <v>0</v>
      </c>
      <c r="AE287" s="406">
        <f t="shared" si="2281"/>
        <v>0</v>
      </c>
      <c r="AF287" s="407">
        <f t="shared" si="2258"/>
        <v>0</v>
      </c>
      <c r="AG287" s="404">
        <f t="shared" si="2282"/>
        <v>0</v>
      </c>
      <c r="AH287" s="414">
        <f t="shared" si="2283"/>
        <v>0</v>
      </c>
      <c r="AI287" s="414">
        <f t="shared" si="2284"/>
        <v>0</v>
      </c>
      <c r="AJ287" s="406">
        <f t="shared" si="2285"/>
        <v>0</v>
      </c>
      <c r="AK287" s="407">
        <f t="shared" si="2259"/>
        <v>0</v>
      </c>
      <c r="AL287" s="404">
        <f t="shared" si="2286"/>
        <v>0</v>
      </c>
      <c r="AM287" s="414">
        <f t="shared" si="2287"/>
        <v>0</v>
      </c>
      <c r="AN287" s="414">
        <f t="shared" si="2288"/>
        <v>0</v>
      </c>
      <c r="AO287" s="406">
        <f t="shared" si="2289"/>
        <v>0</v>
      </c>
      <c r="AP287" s="407">
        <f t="shared" si="2260"/>
        <v>0</v>
      </c>
      <c r="AQ287" s="404">
        <f t="shared" si="2290"/>
        <v>0</v>
      </c>
      <c r="AR287" s="414">
        <f t="shared" si="2291"/>
        <v>0</v>
      </c>
      <c r="AS287" s="414">
        <f t="shared" si="2292"/>
        <v>0</v>
      </c>
      <c r="AT287" s="406">
        <f t="shared" si="2293"/>
        <v>0</v>
      </c>
      <c r="AU287" s="407">
        <f t="shared" si="2261"/>
        <v>0</v>
      </c>
      <c r="AV287" s="404">
        <f t="shared" si="2294"/>
        <v>0</v>
      </c>
      <c r="AW287" s="414">
        <f t="shared" si="2295"/>
        <v>0</v>
      </c>
      <c r="AX287" s="414">
        <f t="shared" si="2296"/>
        <v>0</v>
      </c>
      <c r="AY287" s="406">
        <f t="shared" si="2297"/>
        <v>0</v>
      </c>
      <c r="AZ287" s="407">
        <f t="shared" si="2262"/>
        <v>0</v>
      </c>
      <c r="BA287" s="404">
        <f t="shared" si="2298"/>
        <v>0</v>
      </c>
      <c r="BB287" s="414">
        <f t="shared" si="2299"/>
        <v>0</v>
      </c>
      <c r="BC287" s="414">
        <f t="shared" si="2300"/>
        <v>0</v>
      </c>
      <c r="BD287" s="406">
        <f t="shared" si="2301"/>
        <v>0</v>
      </c>
      <c r="BE287" s="407">
        <f t="shared" si="2263"/>
        <v>0</v>
      </c>
      <c r="BF287" s="404">
        <f t="shared" si="2302"/>
        <v>0</v>
      </c>
      <c r="BG287" s="414">
        <f t="shared" si="2303"/>
        <v>0</v>
      </c>
      <c r="BH287" s="414">
        <f t="shared" si="2304"/>
        <v>0</v>
      </c>
      <c r="BI287" s="406">
        <f t="shared" si="2305"/>
        <v>0</v>
      </c>
      <c r="BJ287" s="407">
        <f t="shared" si="2264"/>
        <v>0</v>
      </c>
      <c r="BK287" s="404">
        <f t="shared" si="2306"/>
        <v>0</v>
      </c>
      <c r="BL287" s="414">
        <f t="shared" si="2307"/>
        <v>0</v>
      </c>
      <c r="BM287" s="414">
        <f t="shared" si="2308"/>
        <v>800</v>
      </c>
      <c r="BN287" s="406">
        <f t="shared" si="2309"/>
        <v>0</v>
      </c>
      <c r="BO287" s="407">
        <f t="shared" si="2265"/>
        <v>800</v>
      </c>
      <c r="BP287" s="447"/>
      <c r="BQ287" s="413">
        <f t="shared" si="2310"/>
        <v>0</v>
      </c>
      <c r="BR287" s="410">
        <f t="shared" si="2311"/>
        <v>0</v>
      </c>
      <c r="BS287" s="416">
        <f t="shared" si="2312"/>
        <v>0</v>
      </c>
      <c r="BT287" s="416">
        <f t="shared" si="2313"/>
        <v>0</v>
      </c>
      <c r="BU287" s="412">
        <f t="shared" si="2314"/>
        <v>0</v>
      </c>
      <c r="BV287" s="413">
        <f t="shared" si="2315"/>
        <v>0</v>
      </c>
      <c r="BW287" s="410">
        <f t="shared" si="2316"/>
        <v>0</v>
      </c>
      <c r="BX287" s="416">
        <f t="shared" si="2317"/>
        <v>0</v>
      </c>
      <c r="BY287" s="416">
        <f t="shared" si="2318"/>
        <v>0</v>
      </c>
      <c r="BZ287" s="412">
        <f t="shared" si="2319"/>
        <v>0</v>
      </c>
      <c r="CA287" s="413">
        <f t="shared" si="2320"/>
        <v>0</v>
      </c>
      <c r="CB287" s="410">
        <f t="shared" si="2321"/>
        <v>0</v>
      </c>
      <c r="CC287" s="416">
        <f t="shared" si="2322"/>
        <v>0</v>
      </c>
      <c r="CD287" s="416">
        <f t="shared" si="2323"/>
        <v>0</v>
      </c>
      <c r="CE287" s="412">
        <f t="shared" si="2324"/>
        <v>0</v>
      </c>
      <c r="CF287" s="413">
        <f t="shared" si="2325"/>
        <v>0</v>
      </c>
      <c r="CG287" s="410">
        <f t="shared" si="2326"/>
        <v>0</v>
      </c>
      <c r="CH287" s="416">
        <f t="shared" si="2327"/>
        <v>0</v>
      </c>
      <c r="CI287" s="416">
        <f t="shared" si="2328"/>
        <v>0</v>
      </c>
      <c r="CJ287" s="412">
        <f t="shared" si="2329"/>
        <v>0</v>
      </c>
      <c r="CK287" s="413">
        <f t="shared" si="2330"/>
        <v>0</v>
      </c>
      <c r="CL287" s="410">
        <f t="shared" si="2331"/>
        <v>0</v>
      </c>
      <c r="CM287" s="416">
        <f t="shared" si="2332"/>
        <v>0</v>
      </c>
      <c r="CN287" s="416">
        <f t="shared" si="2333"/>
        <v>0</v>
      </c>
      <c r="CO287" s="412">
        <f t="shared" si="2334"/>
        <v>0</v>
      </c>
      <c r="CP287" s="413">
        <f t="shared" si="2335"/>
        <v>0</v>
      </c>
      <c r="CQ287" s="410">
        <f t="shared" si="2336"/>
        <v>0</v>
      </c>
      <c r="CR287" s="416">
        <f t="shared" si="2337"/>
        <v>0</v>
      </c>
      <c r="CS287" s="416">
        <f t="shared" si="2338"/>
        <v>0</v>
      </c>
      <c r="CT287" s="412">
        <f t="shared" si="2339"/>
        <v>0</v>
      </c>
      <c r="CU287" s="413">
        <f t="shared" si="2340"/>
        <v>0</v>
      </c>
      <c r="CV287" s="410">
        <f t="shared" si="2341"/>
        <v>0</v>
      </c>
      <c r="CW287" s="416">
        <f t="shared" si="2342"/>
        <v>0</v>
      </c>
      <c r="CX287" s="416">
        <f t="shared" si="2343"/>
        <v>0</v>
      </c>
      <c r="CY287" s="412">
        <f t="shared" si="2344"/>
        <v>0</v>
      </c>
      <c r="CZ287" s="413">
        <f t="shared" si="2345"/>
        <v>0</v>
      </c>
      <c r="DA287" s="410">
        <f t="shared" si="2346"/>
        <v>0</v>
      </c>
      <c r="DB287" s="416">
        <f t="shared" si="2347"/>
        <v>0</v>
      </c>
      <c r="DC287" s="416">
        <f t="shared" si="2348"/>
        <v>0</v>
      </c>
      <c r="DD287" s="412">
        <f t="shared" si="2349"/>
        <v>0</v>
      </c>
      <c r="DE287" s="413">
        <f t="shared" si="2350"/>
        <v>0</v>
      </c>
      <c r="DF287" s="410">
        <f t="shared" si="2351"/>
        <v>0</v>
      </c>
      <c r="DG287" s="416">
        <f t="shared" si="2352"/>
        <v>0</v>
      </c>
      <c r="DH287" s="416">
        <f t="shared" si="2353"/>
        <v>0</v>
      </c>
      <c r="DI287" s="412">
        <f t="shared" si="2354"/>
        <v>0</v>
      </c>
      <c r="DJ287" s="413">
        <f t="shared" si="2355"/>
        <v>0</v>
      </c>
      <c r="DK287" s="410">
        <f t="shared" si="2356"/>
        <v>0</v>
      </c>
      <c r="DL287" s="416">
        <f t="shared" si="2357"/>
        <v>0</v>
      </c>
      <c r="DM287" s="416">
        <f t="shared" si="2358"/>
        <v>0</v>
      </c>
      <c r="DN287" s="412">
        <f t="shared" si="2359"/>
        <v>0</v>
      </c>
      <c r="DO287" s="413">
        <f t="shared" si="2360"/>
        <v>0</v>
      </c>
      <c r="DP287" s="410">
        <f t="shared" si="2361"/>
        <v>0</v>
      </c>
      <c r="DQ287" s="416">
        <f t="shared" si="2362"/>
        <v>0</v>
      </c>
      <c r="DR287" s="416">
        <f t="shared" si="2363"/>
        <v>10</v>
      </c>
      <c r="DS287" s="412">
        <f t="shared" si="2364"/>
        <v>10</v>
      </c>
      <c r="DT287" s="413">
        <f t="shared" si="2365"/>
        <v>20</v>
      </c>
    </row>
    <row r="288" spans="1:124" ht="12.75" customHeight="1">
      <c r="C288" s="456"/>
      <c r="D288" s="456"/>
      <c r="E288" s="5"/>
      <c r="F288" s="1228"/>
      <c r="G288" s="1228"/>
      <c r="H288" s="1328"/>
      <c r="I288" s="1329"/>
      <c r="J288" s="628"/>
      <c r="K288" s="457"/>
      <c r="L288" s="458"/>
      <c r="M288" s="459"/>
      <c r="N288" s="460"/>
      <c r="O288" s="460"/>
      <c r="P288" s="461"/>
      <c r="Q288" s="458"/>
      <c r="R288" s="459"/>
      <c r="S288" s="460"/>
      <c r="T288" s="460"/>
      <c r="U288" s="461"/>
      <c r="V288" s="458"/>
      <c r="W288" s="459"/>
      <c r="X288" s="460"/>
      <c r="Y288" s="460"/>
      <c r="Z288" s="461"/>
      <c r="AA288" s="458"/>
      <c r="AB288" s="459"/>
      <c r="AC288" s="460"/>
      <c r="AD288" s="460"/>
      <c r="AE288" s="461"/>
      <c r="AF288" s="458"/>
      <c r="AG288" s="459"/>
      <c r="AH288" s="460"/>
      <c r="AI288" s="460"/>
      <c r="AJ288" s="461"/>
      <c r="AK288" s="458"/>
      <c r="AL288" s="459"/>
      <c r="AM288" s="460"/>
      <c r="AN288" s="460"/>
      <c r="AO288" s="461"/>
      <c r="AP288" s="458"/>
      <c r="AQ288" s="459"/>
      <c r="AR288" s="460"/>
      <c r="AS288" s="460"/>
      <c r="AT288" s="461"/>
      <c r="AU288" s="458"/>
      <c r="AV288" s="459"/>
      <c r="AW288" s="460"/>
      <c r="AX288" s="460"/>
      <c r="AY288" s="461"/>
      <c r="AZ288" s="458"/>
      <c r="BA288" s="459"/>
      <c r="BB288" s="460"/>
      <c r="BC288" s="460"/>
      <c r="BD288" s="461"/>
      <c r="BE288" s="458"/>
      <c r="BF288" s="459"/>
      <c r="BG288" s="460"/>
      <c r="BH288" s="460"/>
      <c r="BI288" s="461"/>
      <c r="BJ288" s="458"/>
      <c r="BK288" s="459"/>
      <c r="BL288" s="460"/>
      <c r="BM288" s="460"/>
      <c r="BN288" s="461"/>
      <c r="BO288" s="458"/>
      <c r="BP288" s="462"/>
      <c r="BQ288" s="424"/>
      <c r="BR288" s="425"/>
      <c r="BS288" s="426"/>
      <c r="BT288" s="426"/>
      <c r="BU288" s="427"/>
      <c r="BV288" s="424"/>
      <c r="BW288" s="425"/>
      <c r="BX288" s="426"/>
      <c r="BY288" s="426"/>
      <c r="BZ288" s="427"/>
      <c r="CA288" s="424"/>
      <c r="CB288" s="425"/>
      <c r="CC288" s="426"/>
      <c r="CD288" s="426"/>
      <c r="CE288" s="427"/>
      <c r="CF288" s="424"/>
      <c r="CG288" s="425"/>
      <c r="CH288" s="426"/>
      <c r="CI288" s="426"/>
      <c r="CJ288" s="427"/>
      <c r="CK288" s="424"/>
      <c r="CL288" s="425"/>
      <c r="CM288" s="426"/>
      <c r="CN288" s="426"/>
      <c r="CO288" s="427"/>
      <c r="CP288" s="424"/>
      <c r="CQ288" s="425"/>
      <c r="CR288" s="426"/>
      <c r="CS288" s="426"/>
      <c r="CT288" s="427"/>
      <c r="CU288" s="424"/>
      <c r="CV288" s="425"/>
      <c r="CW288" s="426"/>
      <c r="CX288" s="426"/>
      <c r="CY288" s="427"/>
      <c r="CZ288" s="424"/>
      <c r="DA288" s="425"/>
      <c r="DB288" s="426"/>
      <c r="DC288" s="426"/>
      <c r="DD288" s="427"/>
      <c r="DE288" s="424"/>
      <c r="DF288" s="425"/>
      <c r="DG288" s="426"/>
      <c r="DH288" s="426"/>
      <c r="DI288" s="427"/>
      <c r="DJ288" s="424"/>
      <c r="DK288" s="425"/>
      <c r="DL288" s="426"/>
      <c r="DM288" s="426"/>
      <c r="DN288" s="427"/>
      <c r="DO288" s="424"/>
      <c r="DP288" s="425"/>
      <c r="DQ288" s="426"/>
      <c r="DR288" s="426"/>
      <c r="DS288" s="427"/>
      <c r="DT288" s="424"/>
    </row>
    <row r="289" spans="1:124" ht="12.75" customHeight="1">
      <c r="A289" s="56"/>
      <c r="B289" s="56"/>
      <c r="C289" s="164" t="s">
        <v>48</v>
      </c>
      <c r="D289" s="164"/>
      <c r="E289" s="8">
        <f>SUM(E281:E288)</f>
        <v>4185</v>
      </c>
      <c r="F289" s="1230"/>
      <c r="G289" s="1230"/>
      <c r="H289" s="1320"/>
      <c r="I289" s="1313"/>
      <c r="J289" s="621"/>
      <c r="K289" s="453"/>
      <c r="L289" s="429">
        <f t="shared" ref="L289:AQ289" si="2366">SUM(L281:L288)</f>
        <v>0</v>
      </c>
      <c r="M289" s="430">
        <f t="shared" si="2366"/>
        <v>0</v>
      </c>
      <c r="N289" s="431">
        <f t="shared" si="2366"/>
        <v>0</v>
      </c>
      <c r="O289" s="431">
        <f t="shared" si="2366"/>
        <v>0</v>
      </c>
      <c r="P289" s="432">
        <f t="shared" si="2366"/>
        <v>0</v>
      </c>
      <c r="Q289" s="429">
        <f t="shared" si="2366"/>
        <v>0</v>
      </c>
      <c r="R289" s="430">
        <f t="shared" si="2366"/>
        <v>0</v>
      </c>
      <c r="S289" s="431">
        <f t="shared" si="2366"/>
        <v>0</v>
      </c>
      <c r="T289" s="431">
        <f t="shared" si="2366"/>
        <v>0</v>
      </c>
      <c r="U289" s="432">
        <f t="shared" si="2366"/>
        <v>0</v>
      </c>
      <c r="V289" s="429">
        <f t="shared" si="2366"/>
        <v>0</v>
      </c>
      <c r="W289" s="430">
        <f t="shared" si="2366"/>
        <v>0</v>
      </c>
      <c r="X289" s="431">
        <f t="shared" si="2366"/>
        <v>0</v>
      </c>
      <c r="Y289" s="431">
        <f t="shared" si="2366"/>
        <v>0</v>
      </c>
      <c r="Z289" s="432">
        <f t="shared" si="2366"/>
        <v>0</v>
      </c>
      <c r="AA289" s="429">
        <f t="shared" si="2366"/>
        <v>0</v>
      </c>
      <c r="AB289" s="430">
        <f t="shared" si="2366"/>
        <v>0</v>
      </c>
      <c r="AC289" s="431">
        <f t="shared" si="2366"/>
        <v>0</v>
      </c>
      <c r="AD289" s="431">
        <f t="shared" si="2366"/>
        <v>0</v>
      </c>
      <c r="AE289" s="432">
        <f t="shared" si="2366"/>
        <v>0</v>
      </c>
      <c r="AF289" s="429">
        <f t="shared" si="2366"/>
        <v>0</v>
      </c>
      <c r="AG289" s="430">
        <f t="shared" si="2366"/>
        <v>0</v>
      </c>
      <c r="AH289" s="431">
        <f t="shared" si="2366"/>
        <v>0</v>
      </c>
      <c r="AI289" s="431">
        <f t="shared" si="2366"/>
        <v>0</v>
      </c>
      <c r="AJ289" s="432">
        <f t="shared" si="2366"/>
        <v>0</v>
      </c>
      <c r="AK289" s="429">
        <f t="shared" si="2366"/>
        <v>0</v>
      </c>
      <c r="AL289" s="430">
        <f t="shared" si="2366"/>
        <v>0</v>
      </c>
      <c r="AM289" s="431">
        <f t="shared" si="2366"/>
        <v>0</v>
      </c>
      <c r="AN289" s="431">
        <f t="shared" si="2366"/>
        <v>0</v>
      </c>
      <c r="AO289" s="432">
        <f t="shared" si="2366"/>
        <v>0</v>
      </c>
      <c r="AP289" s="429">
        <f t="shared" si="2366"/>
        <v>0</v>
      </c>
      <c r="AQ289" s="430">
        <f t="shared" si="2366"/>
        <v>0</v>
      </c>
      <c r="AR289" s="431">
        <f t="shared" ref="AR289:BO289" si="2367">SUM(AR281:AR288)</f>
        <v>0</v>
      </c>
      <c r="AS289" s="431">
        <f t="shared" si="2367"/>
        <v>700</v>
      </c>
      <c r="AT289" s="432">
        <f t="shared" si="2367"/>
        <v>60</v>
      </c>
      <c r="AU289" s="429">
        <f t="shared" si="2367"/>
        <v>760</v>
      </c>
      <c r="AV289" s="430">
        <f t="shared" si="2367"/>
        <v>0</v>
      </c>
      <c r="AW289" s="431">
        <f t="shared" si="2367"/>
        <v>0</v>
      </c>
      <c r="AX289" s="431">
        <f t="shared" si="2367"/>
        <v>0</v>
      </c>
      <c r="AY289" s="432">
        <f t="shared" si="2367"/>
        <v>825</v>
      </c>
      <c r="AZ289" s="429">
        <f t="shared" si="2367"/>
        <v>825</v>
      </c>
      <c r="BA289" s="430">
        <f t="shared" si="2367"/>
        <v>0</v>
      </c>
      <c r="BB289" s="431">
        <f t="shared" si="2367"/>
        <v>0</v>
      </c>
      <c r="BC289" s="431">
        <f t="shared" si="2367"/>
        <v>900</v>
      </c>
      <c r="BD289" s="432">
        <f t="shared" si="2367"/>
        <v>0</v>
      </c>
      <c r="BE289" s="429">
        <f t="shared" si="2367"/>
        <v>900</v>
      </c>
      <c r="BF289" s="430">
        <f t="shared" si="2367"/>
        <v>0</v>
      </c>
      <c r="BG289" s="431">
        <f t="shared" si="2367"/>
        <v>0</v>
      </c>
      <c r="BH289" s="431">
        <f t="shared" si="2367"/>
        <v>900</v>
      </c>
      <c r="BI289" s="432">
        <f t="shared" si="2367"/>
        <v>0</v>
      </c>
      <c r="BJ289" s="429">
        <f t="shared" si="2367"/>
        <v>900</v>
      </c>
      <c r="BK289" s="430">
        <f t="shared" si="2367"/>
        <v>0</v>
      </c>
      <c r="BL289" s="431">
        <f t="shared" si="2367"/>
        <v>0</v>
      </c>
      <c r="BM289" s="431">
        <f t="shared" si="2367"/>
        <v>800</v>
      </c>
      <c r="BN289" s="432">
        <f t="shared" si="2367"/>
        <v>0</v>
      </c>
      <c r="BO289" s="429">
        <f t="shared" si="2367"/>
        <v>800</v>
      </c>
      <c r="BP289" s="463"/>
      <c r="BQ289" s="434">
        <f t="shared" ref="BQ289:CV289" si="2368">SUM(BQ281:BQ288)</f>
        <v>0</v>
      </c>
      <c r="BR289" s="435">
        <f t="shared" si="2368"/>
        <v>0</v>
      </c>
      <c r="BS289" s="436">
        <f t="shared" si="2368"/>
        <v>0</v>
      </c>
      <c r="BT289" s="436">
        <f t="shared" si="2368"/>
        <v>0</v>
      </c>
      <c r="BU289" s="437">
        <f t="shared" si="2368"/>
        <v>0</v>
      </c>
      <c r="BV289" s="434">
        <f t="shared" si="2368"/>
        <v>0</v>
      </c>
      <c r="BW289" s="435">
        <f t="shared" si="2368"/>
        <v>0</v>
      </c>
      <c r="BX289" s="436">
        <f t="shared" si="2368"/>
        <v>0</v>
      </c>
      <c r="BY289" s="436">
        <f t="shared" si="2368"/>
        <v>0</v>
      </c>
      <c r="BZ289" s="437">
        <f t="shared" si="2368"/>
        <v>0</v>
      </c>
      <c r="CA289" s="434">
        <f t="shared" si="2368"/>
        <v>0</v>
      </c>
      <c r="CB289" s="435">
        <f t="shared" si="2368"/>
        <v>0</v>
      </c>
      <c r="CC289" s="436">
        <f t="shared" si="2368"/>
        <v>0</v>
      </c>
      <c r="CD289" s="436">
        <f t="shared" si="2368"/>
        <v>0</v>
      </c>
      <c r="CE289" s="437">
        <f t="shared" si="2368"/>
        <v>0</v>
      </c>
      <c r="CF289" s="434">
        <f t="shared" si="2368"/>
        <v>0</v>
      </c>
      <c r="CG289" s="435">
        <f t="shared" si="2368"/>
        <v>0</v>
      </c>
      <c r="CH289" s="436">
        <f t="shared" si="2368"/>
        <v>0</v>
      </c>
      <c r="CI289" s="436">
        <f t="shared" si="2368"/>
        <v>0</v>
      </c>
      <c r="CJ289" s="437">
        <f t="shared" si="2368"/>
        <v>0</v>
      </c>
      <c r="CK289" s="434">
        <f t="shared" si="2368"/>
        <v>0</v>
      </c>
      <c r="CL289" s="435">
        <f t="shared" si="2368"/>
        <v>0</v>
      </c>
      <c r="CM289" s="436">
        <f t="shared" si="2368"/>
        <v>0</v>
      </c>
      <c r="CN289" s="436">
        <f t="shared" si="2368"/>
        <v>0</v>
      </c>
      <c r="CO289" s="437">
        <f t="shared" si="2368"/>
        <v>0</v>
      </c>
      <c r="CP289" s="434">
        <f t="shared" si="2368"/>
        <v>0</v>
      </c>
      <c r="CQ289" s="435">
        <f t="shared" si="2368"/>
        <v>0</v>
      </c>
      <c r="CR289" s="436">
        <f t="shared" si="2368"/>
        <v>0</v>
      </c>
      <c r="CS289" s="436">
        <f t="shared" si="2368"/>
        <v>0</v>
      </c>
      <c r="CT289" s="437">
        <f t="shared" si="2368"/>
        <v>0</v>
      </c>
      <c r="CU289" s="434">
        <f t="shared" si="2368"/>
        <v>0</v>
      </c>
      <c r="CV289" s="435">
        <f t="shared" si="2368"/>
        <v>0</v>
      </c>
      <c r="CW289" s="436">
        <f t="shared" ref="CW289:DT289" si="2369">SUM(CW281:CW288)</f>
        <v>0</v>
      </c>
      <c r="CX289" s="436">
        <f t="shared" si="2369"/>
        <v>1.75</v>
      </c>
      <c r="CY289" s="437">
        <f t="shared" si="2369"/>
        <v>5.5125000000000002</v>
      </c>
      <c r="CZ289" s="434">
        <f t="shared" si="2369"/>
        <v>7.2625000000000002</v>
      </c>
      <c r="DA289" s="435">
        <f t="shared" si="2369"/>
        <v>5.5125000000000002</v>
      </c>
      <c r="DB289" s="436">
        <f t="shared" si="2369"/>
        <v>5.5125000000000002</v>
      </c>
      <c r="DC289" s="436">
        <f t="shared" si="2369"/>
        <v>3.7625000000000002</v>
      </c>
      <c r="DD289" s="437">
        <f t="shared" si="2369"/>
        <v>10.3125</v>
      </c>
      <c r="DE289" s="434">
        <f t="shared" si="2369"/>
        <v>25.1</v>
      </c>
      <c r="DF289" s="435">
        <f t="shared" si="2369"/>
        <v>10.3125</v>
      </c>
      <c r="DG289" s="436">
        <f t="shared" si="2369"/>
        <v>10.3125</v>
      </c>
      <c r="DH289" s="436">
        <f t="shared" si="2369"/>
        <v>21.5625</v>
      </c>
      <c r="DI289" s="437">
        <f t="shared" si="2369"/>
        <v>11.25</v>
      </c>
      <c r="DJ289" s="434">
        <f t="shared" si="2369"/>
        <v>53.4375</v>
      </c>
      <c r="DK289" s="435">
        <f t="shared" si="2369"/>
        <v>11.25</v>
      </c>
      <c r="DL289" s="436">
        <f t="shared" si="2369"/>
        <v>11.25</v>
      </c>
      <c r="DM289" s="436">
        <f t="shared" si="2369"/>
        <v>11.25</v>
      </c>
      <c r="DN289" s="437">
        <f t="shared" si="2369"/>
        <v>11.25</v>
      </c>
      <c r="DO289" s="434">
        <f t="shared" si="2369"/>
        <v>45</v>
      </c>
      <c r="DP289" s="435">
        <f t="shared" si="2369"/>
        <v>11.25</v>
      </c>
      <c r="DQ289" s="436">
        <f t="shared" si="2369"/>
        <v>11.25</v>
      </c>
      <c r="DR289" s="436">
        <f t="shared" si="2369"/>
        <v>10</v>
      </c>
      <c r="DS289" s="437">
        <f t="shared" si="2369"/>
        <v>10</v>
      </c>
      <c r="DT289" s="434">
        <f t="shared" si="2369"/>
        <v>42.5</v>
      </c>
    </row>
    <row r="290" spans="1:124" ht="12.75" customHeight="1">
      <c r="C290" s="50"/>
      <c r="D290" s="50"/>
      <c r="E290" s="831"/>
      <c r="F290" s="1226"/>
      <c r="G290" s="1226"/>
      <c r="H290" s="30"/>
      <c r="I290" s="614"/>
      <c r="J290" s="616"/>
      <c r="K290" s="402"/>
      <c r="L290" s="403"/>
      <c r="M290" s="404"/>
      <c r="N290" s="405"/>
      <c r="O290" s="405"/>
      <c r="P290" s="406"/>
      <c r="Q290" s="407"/>
      <c r="R290" s="404"/>
      <c r="S290" s="405"/>
      <c r="T290" s="405"/>
      <c r="U290" s="406"/>
      <c r="V290" s="407"/>
      <c r="W290" s="404"/>
      <c r="X290" s="405"/>
      <c r="Y290" s="405"/>
      <c r="Z290" s="406"/>
      <c r="AA290" s="407"/>
      <c r="AB290" s="404"/>
      <c r="AC290" s="405"/>
      <c r="AD290" s="405"/>
      <c r="AE290" s="406"/>
      <c r="AF290" s="407"/>
      <c r="AG290" s="404"/>
      <c r="AH290" s="405"/>
      <c r="AI290" s="405"/>
      <c r="AJ290" s="406"/>
      <c r="AK290" s="407"/>
      <c r="AL290" s="404"/>
      <c r="AM290" s="405"/>
      <c r="AN290" s="405"/>
      <c r="AO290" s="406"/>
      <c r="AP290" s="407"/>
      <c r="AQ290" s="404"/>
      <c r="AR290" s="405"/>
      <c r="AS290" s="405"/>
      <c r="AT290" s="406"/>
      <c r="AU290" s="407"/>
      <c r="AV290" s="404"/>
      <c r="AW290" s="405"/>
      <c r="AX290" s="405"/>
      <c r="AY290" s="406"/>
      <c r="AZ290" s="407"/>
      <c r="BA290" s="404"/>
      <c r="BB290" s="405"/>
      <c r="BC290" s="405"/>
      <c r="BD290" s="406"/>
      <c r="BE290" s="407"/>
      <c r="BF290" s="404"/>
      <c r="BG290" s="405"/>
      <c r="BH290" s="405"/>
      <c r="BI290" s="406"/>
      <c r="BJ290" s="407"/>
      <c r="BK290" s="404"/>
      <c r="BL290" s="405"/>
      <c r="BM290" s="405"/>
      <c r="BN290" s="406"/>
      <c r="BO290" s="407"/>
      <c r="BP290" s="447"/>
      <c r="BQ290" s="409"/>
      <c r="BR290" s="410"/>
      <c r="BS290" s="411"/>
      <c r="BT290" s="411"/>
      <c r="BU290" s="412"/>
      <c r="BV290" s="413"/>
      <c r="BW290" s="410"/>
      <c r="BX290" s="411"/>
      <c r="BY290" s="411"/>
      <c r="BZ290" s="412"/>
      <c r="CA290" s="413"/>
      <c r="CB290" s="410"/>
      <c r="CC290" s="411"/>
      <c r="CD290" s="411"/>
      <c r="CE290" s="412"/>
      <c r="CF290" s="413"/>
      <c r="CG290" s="410"/>
      <c r="CH290" s="411"/>
      <c r="CI290" s="411"/>
      <c r="CJ290" s="412"/>
      <c r="CK290" s="413"/>
      <c r="CL290" s="410"/>
      <c r="CM290" s="411"/>
      <c r="CN290" s="411"/>
      <c r="CO290" s="412"/>
      <c r="CP290" s="413"/>
      <c r="CQ290" s="410"/>
      <c r="CR290" s="411"/>
      <c r="CS290" s="411"/>
      <c r="CT290" s="412"/>
      <c r="CU290" s="413"/>
      <c r="CV290" s="410"/>
      <c r="CW290" s="411"/>
      <c r="CX290" s="411"/>
      <c r="CY290" s="412"/>
      <c r="CZ290" s="413"/>
      <c r="DA290" s="410"/>
      <c r="DB290" s="411"/>
      <c r="DC290" s="411"/>
      <c r="DD290" s="412"/>
      <c r="DE290" s="413"/>
      <c r="DF290" s="410"/>
      <c r="DG290" s="411"/>
      <c r="DH290" s="411"/>
      <c r="DI290" s="412"/>
      <c r="DJ290" s="413"/>
      <c r="DK290" s="410"/>
      <c r="DL290" s="411"/>
      <c r="DM290" s="411"/>
      <c r="DN290" s="412"/>
      <c r="DO290" s="413"/>
      <c r="DP290" s="410"/>
      <c r="DQ290" s="411"/>
      <c r="DR290" s="411"/>
      <c r="DS290" s="412"/>
      <c r="DT290" s="413"/>
    </row>
    <row r="291" spans="1:124" ht="12.75" customHeight="1">
      <c r="C291" s="56" t="s">
        <v>283</v>
      </c>
      <c r="D291" s="56"/>
      <c r="E291" s="8"/>
      <c r="F291" s="1230"/>
      <c r="G291" s="1230"/>
      <c r="H291" s="1320"/>
      <c r="I291" s="1314"/>
      <c r="J291" s="621"/>
      <c r="K291" s="453"/>
      <c r="L291" s="429">
        <f t="shared" ref="L291:AQ291" si="2370">+L278+L289</f>
        <v>0</v>
      </c>
      <c r="M291" s="430">
        <f t="shared" si="2370"/>
        <v>0</v>
      </c>
      <c r="N291" s="431">
        <f t="shared" si="2370"/>
        <v>0</v>
      </c>
      <c r="O291" s="431">
        <f t="shared" si="2370"/>
        <v>0</v>
      </c>
      <c r="P291" s="432">
        <f t="shared" si="2370"/>
        <v>0</v>
      </c>
      <c r="Q291" s="429">
        <f t="shared" si="2370"/>
        <v>0</v>
      </c>
      <c r="R291" s="430">
        <f t="shared" si="2370"/>
        <v>0</v>
      </c>
      <c r="S291" s="431">
        <f t="shared" si="2370"/>
        <v>0</v>
      </c>
      <c r="T291" s="431">
        <f t="shared" si="2370"/>
        <v>0</v>
      </c>
      <c r="U291" s="432">
        <f t="shared" si="2370"/>
        <v>0</v>
      </c>
      <c r="V291" s="429">
        <f t="shared" si="2370"/>
        <v>0</v>
      </c>
      <c r="W291" s="430">
        <f t="shared" si="2370"/>
        <v>0</v>
      </c>
      <c r="X291" s="431">
        <f t="shared" si="2370"/>
        <v>0</v>
      </c>
      <c r="Y291" s="431">
        <f t="shared" si="2370"/>
        <v>0</v>
      </c>
      <c r="Z291" s="432">
        <f t="shared" si="2370"/>
        <v>0</v>
      </c>
      <c r="AA291" s="429">
        <f t="shared" si="2370"/>
        <v>0</v>
      </c>
      <c r="AB291" s="430">
        <f t="shared" si="2370"/>
        <v>0</v>
      </c>
      <c r="AC291" s="431">
        <f t="shared" si="2370"/>
        <v>0</v>
      </c>
      <c r="AD291" s="431">
        <f t="shared" si="2370"/>
        <v>0</v>
      </c>
      <c r="AE291" s="432">
        <f t="shared" si="2370"/>
        <v>0</v>
      </c>
      <c r="AF291" s="429">
        <f t="shared" si="2370"/>
        <v>0</v>
      </c>
      <c r="AG291" s="430">
        <f t="shared" si="2370"/>
        <v>0</v>
      </c>
      <c r="AH291" s="431">
        <f t="shared" si="2370"/>
        <v>0</v>
      </c>
      <c r="AI291" s="431">
        <f t="shared" si="2370"/>
        <v>0</v>
      </c>
      <c r="AJ291" s="432">
        <f t="shared" si="2370"/>
        <v>0</v>
      </c>
      <c r="AK291" s="429">
        <f t="shared" si="2370"/>
        <v>0</v>
      </c>
      <c r="AL291" s="430">
        <f t="shared" si="2370"/>
        <v>0</v>
      </c>
      <c r="AM291" s="431">
        <f t="shared" si="2370"/>
        <v>-60</v>
      </c>
      <c r="AN291" s="431">
        <f t="shared" si="2370"/>
        <v>0</v>
      </c>
      <c r="AO291" s="432">
        <f t="shared" si="2370"/>
        <v>0</v>
      </c>
      <c r="AP291" s="429">
        <f t="shared" si="2370"/>
        <v>-60</v>
      </c>
      <c r="AQ291" s="430">
        <f t="shared" si="2370"/>
        <v>-22.4</v>
      </c>
      <c r="AR291" s="431">
        <f t="shared" ref="AR291:BO291" si="2371">+AR278+AR289</f>
        <v>0</v>
      </c>
      <c r="AS291" s="431">
        <f t="shared" si="2371"/>
        <v>683.72740699999997</v>
      </c>
      <c r="AT291" s="432">
        <f t="shared" si="2371"/>
        <v>-15.483527000000009</v>
      </c>
      <c r="AU291" s="429">
        <f t="shared" si="2371"/>
        <v>645.84388000000001</v>
      </c>
      <c r="AV291" s="430">
        <f t="shared" si="2371"/>
        <v>-69.962039000000004</v>
      </c>
      <c r="AW291" s="431">
        <f t="shared" si="2371"/>
        <v>-380</v>
      </c>
      <c r="AX291" s="431">
        <f t="shared" si="2371"/>
        <v>0</v>
      </c>
      <c r="AY291" s="432">
        <f t="shared" si="2371"/>
        <v>825</v>
      </c>
      <c r="AZ291" s="429">
        <f t="shared" si="2371"/>
        <v>375.037961</v>
      </c>
      <c r="BA291" s="430">
        <f t="shared" si="2371"/>
        <v>0</v>
      </c>
      <c r="BB291" s="431">
        <f t="shared" si="2371"/>
        <v>-50</v>
      </c>
      <c r="BC291" s="431">
        <f t="shared" si="2371"/>
        <v>605.12168900000006</v>
      </c>
      <c r="BD291" s="432">
        <f t="shared" si="2371"/>
        <v>0</v>
      </c>
      <c r="BE291" s="429">
        <f t="shared" si="2371"/>
        <v>555.12168900000006</v>
      </c>
      <c r="BF291" s="430">
        <f t="shared" si="2371"/>
        <v>0</v>
      </c>
      <c r="BG291" s="431">
        <f t="shared" si="2371"/>
        <v>-204.46924300000001</v>
      </c>
      <c r="BH291" s="431">
        <f t="shared" si="2371"/>
        <v>405.3</v>
      </c>
      <c r="BI291" s="432">
        <f t="shared" si="2371"/>
        <v>0</v>
      </c>
      <c r="BJ291" s="429">
        <f t="shared" si="2371"/>
        <v>200.83075699999995</v>
      </c>
      <c r="BK291" s="430">
        <f t="shared" si="2371"/>
        <v>0</v>
      </c>
      <c r="BL291" s="431">
        <f t="shared" si="2371"/>
        <v>0</v>
      </c>
      <c r="BM291" s="431">
        <f t="shared" si="2371"/>
        <v>800</v>
      </c>
      <c r="BN291" s="432">
        <f t="shared" si="2371"/>
        <v>-500</v>
      </c>
      <c r="BO291" s="429">
        <f t="shared" si="2371"/>
        <v>300</v>
      </c>
      <c r="BP291" s="463"/>
      <c r="BQ291" s="434">
        <f t="shared" ref="BQ291:CV291" si="2372">+BQ278+BQ289</f>
        <v>0</v>
      </c>
      <c r="BR291" s="435">
        <f t="shared" si="2372"/>
        <v>0</v>
      </c>
      <c r="BS291" s="436">
        <f t="shared" si="2372"/>
        <v>0</v>
      </c>
      <c r="BT291" s="436">
        <f t="shared" si="2372"/>
        <v>0</v>
      </c>
      <c r="BU291" s="437">
        <f t="shared" si="2372"/>
        <v>0</v>
      </c>
      <c r="BV291" s="434">
        <f t="shared" si="2372"/>
        <v>0</v>
      </c>
      <c r="BW291" s="435">
        <f t="shared" si="2372"/>
        <v>0</v>
      </c>
      <c r="BX291" s="436">
        <f t="shared" si="2372"/>
        <v>0</v>
      </c>
      <c r="BY291" s="436">
        <f t="shared" si="2372"/>
        <v>0</v>
      </c>
      <c r="BZ291" s="437">
        <f t="shared" si="2372"/>
        <v>0</v>
      </c>
      <c r="CA291" s="434">
        <f t="shared" si="2372"/>
        <v>0</v>
      </c>
      <c r="CB291" s="435">
        <f t="shared" si="2372"/>
        <v>0</v>
      </c>
      <c r="CC291" s="436">
        <f t="shared" si="2372"/>
        <v>0</v>
      </c>
      <c r="CD291" s="436">
        <f t="shared" si="2372"/>
        <v>0</v>
      </c>
      <c r="CE291" s="437">
        <f t="shared" si="2372"/>
        <v>0</v>
      </c>
      <c r="CF291" s="434">
        <f t="shared" si="2372"/>
        <v>0</v>
      </c>
      <c r="CG291" s="435">
        <f t="shared" si="2372"/>
        <v>0</v>
      </c>
      <c r="CH291" s="436">
        <f t="shared" si="2372"/>
        <v>0</v>
      </c>
      <c r="CI291" s="436">
        <f t="shared" si="2372"/>
        <v>0</v>
      </c>
      <c r="CJ291" s="437">
        <f t="shared" si="2372"/>
        <v>0</v>
      </c>
      <c r="CK291" s="434">
        <f t="shared" si="2372"/>
        <v>0</v>
      </c>
      <c r="CL291" s="435">
        <f t="shared" si="2372"/>
        <v>0</v>
      </c>
      <c r="CM291" s="436">
        <f t="shared" si="2372"/>
        <v>0</v>
      </c>
      <c r="CN291" s="436">
        <f t="shared" si="2372"/>
        <v>0</v>
      </c>
      <c r="CO291" s="437">
        <f t="shared" si="2372"/>
        <v>0</v>
      </c>
      <c r="CP291" s="434">
        <f t="shared" si="2372"/>
        <v>0</v>
      </c>
      <c r="CQ291" s="435">
        <f t="shared" si="2372"/>
        <v>0</v>
      </c>
      <c r="CR291" s="436">
        <f t="shared" si="2372"/>
        <v>-0.51999999999999991</v>
      </c>
      <c r="CS291" s="436">
        <f t="shared" si="2372"/>
        <v>-0.7799999999999998</v>
      </c>
      <c r="CT291" s="437">
        <f t="shared" si="2372"/>
        <v>-0.7799999999999998</v>
      </c>
      <c r="CU291" s="434">
        <f t="shared" si="2372"/>
        <v>-2.0799999999999996</v>
      </c>
      <c r="CV291" s="435">
        <f t="shared" si="2372"/>
        <v>-0.81576533333333312</v>
      </c>
      <c r="CW291" s="436">
        <f t="shared" ref="CW291:DT291" si="2373">+CW278+CW289</f>
        <v>-0.31364799999999993</v>
      </c>
      <c r="CX291" s="436">
        <f t="shared" si="2373"/>
        <v>1.657379139765</v>
      </c>
      <c r="CY291" s="437">
        <f t="shared" si="2373"/>
        <v>4.819494928298333</v>
      </c>
      <c r="CZ291" s="434">
        <f t="shared" si="2373"/>
        <v>5.3474607347300003</v>
      </c>
      <c r="DA291" s="435">
        <f t="shared" si="2373"/>
        <v>3.9002637346233335</v>
      </c>
      <c r="DB291" s="436">
        <f t="shared" si="2373"/>
        <v>-5.2770265376666181E-2</v>
      </c>
      <c r="DC291" s="436">
        <f t="shared" si="2373"/>
        <v>-3.5283807384749997</v>
      </c>
      <c r="DD291" s="437">
        <f t="shared" si="2373"/>
        <v>3.6220034729916666</v>
      </c>
      <c r="DE291" s="434">
        <f t="shared" si="2373"/>
        <v>3.9411162037633325</v>
      </c>
      <c r="DF291" s="435">
        <f t="shared" si="2373"/>
        <v>4.577</v>
      </c>
      <c r="DG291" s="436">
        <f t="shared" si="2373"/>
        <v>8.2216666666666676</v>
      </c>
      <c r="DH291" s="436">
        <f t="shared" si="2373"/>
        <v>19.093985851902499</v>
      </c>
      <c r="DI291" s="437">
        <f t="shared" si="2373"/>
        <v>8.2814858519025005</v>
      </c>
      <c r="DJ291" s="434">
        <f t="shared" si="2373"/>
        <v>40.174138370471667</v>
      </c>
      <c r="DK291" s="435">
        <f t="shared" si="2373"/>
        <v>8.2814858519025005</v>
      </c>
      <c r="DL291" s="436">
        <f t="shared" si="2373"/>
        <v>8.1666403650958337</v>
      </c>
      <c r="DM291" s="436">
        <f t="shared" si="2373"/>
        <v>2.8645180395800001</v>
      </c>
      <c r="DN291" s="437">
        <f t="shared" si="2373"/>
        <v>3.3645180395800001</v>
      </c>
      <c r="DO291" s="434">
        <f t="shared" si="2373"/>
        <v>22.677162296158333</v>
      </c>
      <c r="DP291" s="435">
        <f t="shared" si="2373"/>
        <v>3.3645180395800001</v>
      </c>
      <c r="DQ291" s="436">
        <f t="shared" si="2373"/>
        <v>3.8056135263866668</v>
      </c>
      <c r="DR291" s="436">
        <f t="shared" si="2373"/>
        <v>10</v>
      </c>
      <c r="DS291" s="437">
        <f t="shared" si="2373"/>
        <v>3.28125</v>
      </c>
      <c r="DT291" s="434">
        <f t="shared" si="2373"/>
        <v>20.451381565966667</v>
      </c>
    </row>
    <row r="292" spans="1:124" ht="12.75" customHeight="1" thickBot="1">
      <c r="B292" s="387"/>
      <c r="C292" s="441"/>
      <c r="D292" s="441"/>
      <c r="E292" s="1315"/>
      <c r="F292" s="1231"/>
      <c r="G292" s="1231"/>
      <c r="H292" s="1321"/>
      <c r="I292" s="1317"/>
      <c r="J292" s="622"/>
      <c r="K292" s="465"/>
      <c r="L292" s="444"/>
      <c r="M292" s="466"/>
      <c r="N292" s="467"/>
      <c r="O292" s="467"/>
      <c r="P292" s="468"/>
      <c r="Q292" s="444"/>
      <c r="R292" s="466"/>
      <c r="S292" s="467"/>
      <c r="T292" s="467"/>
      <c r="U292" s="468"/>
      <c r="V292" s="444"/>
      <c r="W292" s="466"/>
      <c r="X292" s="467"/>
      <c r="Y292" s="467"/>
      <c r="Z292" s="468"/>
      <c r="AA292" s="444"/>
      <c r="AB292" s="466"/>
      <c r="AC292" s="467"/>
      <c r="AD292" s="467"/>
      <c r="AE292" s="468"/>
      <c r="AF292" s="444"/>
      <c r="AG292" s="466"/>
      <c r="AH292" s="467"/>
      <c r="AI292" s="467"/>
      <c r="AJ292" s="468"/>
      <c r="AK292" s="444"/>
      <c r="AL292" s="466"/>
      <c r="AM292" s="467"/>
      <c r="AN292" s="467"/>
      <c r="AO292" s="468"/>
      <c r="AP292" s="444"/>
      <c r="AQ292" s="466"/>
      <c r="AR292" s="467"/>
      <c r="AS292" s="467"/>
      <c r="AT292" s="468"/>
      <c r="AU292" s="444"/>
      <c r="AV292" s="466"/>
      <c r="AW292" s="467"/>
      <c r="AX292" s="467"/>
      <c r="AY292" s="468"/>
      <c r="AZ292" s="444"/>
      <c r="BA292" s="466"/>
      <c r="BB292" s="467"/>
      <c r="BC292" s="467"/>
      <c r="BD292" s="468"/>
      <c r="BE292" s="444"/>
      <c r="BF292" s="466"/>
      <c r="BG292" s="467"/>
      <c r="BH292" s="467"/>
      <c r="BI292" s="468"/>
      <c r="BJ292" s="444"/>
      <c r="BK292" s="466"/>
      <c r="BL292" s="467"/>
      <c r="BM292" s="467"/>
      <c r="BN292" s="468"/>
      <c r="BO292" s="444"/>
      <c r="BP292" s="469"/>
      <c r="BQ292" s="446"/>
      <c r="BR292" s="470"/>
      <c r="BS292" s="471"/>
      <c r="BT292" s="471"/>
      <c r="BU292" s="472"/>
      <c r="BV292" s="446"/>
      <c r="BW292" s="470"/>
      <c r="BX292" s="471"/>
      <c r="BY292" s="471"/>
      <c r="BZ292" s="472"/>
      <c r="CA292" s="446"/>
      <c r="CB292" s="470"/>
      <c r="CC292" s="471"/>
      <c r="CD292" s="471"/>
      <c r="CE292" s="472"/>
      <c r="CF292" s="446"/>
      <c r="CG292" s="470"/>
      <c r="CH292" s="471"/>
      <c r="CI292" s="471"/>
      <c r="CJ292" s="472"/>
      <c r="CK292" s="446"/>
      <c r="CL292" s="470"/>
      <c r="CM292" s="471"/>
      <c r="CN292" s="471"/>
      <c r="CO292" s="472"/>
      <c r="CP292" s="446"/>
      <c r="CQ292" s="470"/>
      <c r="CR292" s="471"/>
      <c r="CS292" s="471"/>
      <c r="CT292" s="472"/>
      <c r="CU292" s="446"/>
      <c r="CV292" s="470"/>
      <c r="CW292" s="471"/>
      <c r="CX292" s="471"/>
      <c r="CY292" s="472"/>
      <c r="CZ292" s="446"/>
      <c r="DA292" s="470"/>
      <c r="DB292" s="471"/>
      <c r="DC292" s="471"/>
      <c r="DD292" s="472"/>
      <c r="DE292" s="446"/>
      <c r="DF292" s="470"/>
      <c r="DG292" s="471"/>
      <c r="DH292" s="471"/>
      <c r="DI292" s="472"/>
      <c r="DJ292" s="446"/>
      <c r="DK292" s="470"/>
      <c r="DL292" s="471"/>
      <c r="DM292" s="471"/>
      <c r="DN292" s="472"/>
      <c r="DO292" s="446"/>
      <c r="DP292" s="470"/>
      <c r="DQ292" s="471"/>
      <c r="DR292" s="471"/>
      <c r="DS292" s="472"/>
      <c r="DT292" s="446"/>
    </row>
    <row r="293" spans="1:124" ht="12.75" customHeight="1" thickBot="1">
      <c r="B293" s="387"/>
      <c r="C293" s="387"/>
      <c r="D293" s="387"/>
      <c r="E293" s="1315"/>
      <c r="F293" s="1231"/>
      <c r="G293" s="1231"/>
      <c r="H293" s="1321"/>
      <c r="I293" s="1317"/>
      <c r="J293" s="622"/>
      <c r="K293" s="465"/>
      <c r="L293" s="444"/>
      <c r="M293" s="466"/>
      <c r="N293" s="467"/>
      <c r="O293" s="467"/>
      <c r="P293" s="468"/>
      <c r="Q293" s="444"/>
      <c r="R293" s="466"/>
      <c r="S293" s="467"/>
      <c r="T293" s="467"/>
      <c r="U293" s="468"/>
      <c r="V293" s="444"/>
      <c r="W293" s="466"/>
      <c r="X293" s="467"/>
      <c r="Y293" s="467"/>
      <c r="Z293" s="468"/>
      <c r="AA293" s="444"/>
      <c r="AB293" s="466"/>
      <c r="AC293" s="467"/>
      <c r="AD293" s="467"/>
      <c r="AE293" s="468"/>
      <c r="AF293" s="444"/>
      <c r="AG293" s="466"/>
      <c r="AH293" s="467"/>
      <c r="AI293" s="467"/>
      <c r="AJ293" s="468"/>
      <c r="AK293" s="444"/>
      <c r="AL293" s="466"/>
      <c r="AM293" s="467"/>
      <c r="AN293" s="467"/>
      <c r="AO293" s="468"/>
      <c r="AP293" s="444"/>
      <c r="AQ293" s="466"/>
      <c r="AR293" s="467"/>
      <c r="AS293" s="467"/>
      <c r="AT293" s="468"/>
      <c r="AU293" s="444"/>
      <c r="AV293" s="466"/>
      <c r="AW293" s="467"/>
      <c r="AX293" s="467"/>
      <c r="AY293" s="468"/>
      <c r="AZ293" s="444"/>
      <c r="BA293" s="466"/>
      <c r="BB293" s="467"/>
      <c r="BC293" s="467"/>
      <c r="BD293" s="468"/>
      <c r="BE293" s="444"/>
      <c r="BF293" s="466"/>
      <c r="BG293" s="467"/>
      <c r="BH293" s="467"/>
      <c r="BI293" s="468"/>
      <c r="BJ293" s="444"/>
      <c r="BK293" s="466"/>
      <c r="BL293" s="467"/>
      <c r="BM293" s="467"/>
      <c r="BN293" s="468"/>
      <c r="BO293" s="444"/>
      <c r="BP293" s="469"/>
      <c r="BQ293" s="446"/>
      <c r="BR293" s="470"/>
      <c r="BS293" s="471"/>
      <c r="BT293" s="471"/>
      <c r="BU293" s="472"/>
      <c r="BV293" s="446"/>
      <c r="BW293" s="470"/>
      <c r="BX293" s="471"/>
      <c r="BY293" s="471"/>
      <c r="BZ293" s="472"/>
      <c r="CA293" s="446"/>
      <c r="CB293" s="470"/>
      <c r="CC293" s="471"/>
      <c r="CD293" s="471"/>
      <c r="CE293" s="472"/>
      <c r="CF293" s="446"/>
      <c r="CG293" s="470"/>
      <c r="CH293" s="471"/>
      <c r="CI293" s="471"/>
      <c r="CJ293" s="472"/>
      <c r="CK293" s="446"/>
      <c r="CL293" s="470"/>
      <c r="CM293" s="471"/>
      <c r="CN293" s="471"/>
      <c r="CO293" s="472"/>
      <c r="CP293" s="446"/>
      <c r="CQ293" s="470"/>
      <c r="CR293" s="471"/>
      <c r="CS293" s="471"/>
      <c r="CT293" s="472"/>
      <c r="CU293" s="446"/>
      <c r="CV293" s="470"/>
      <c r="CW293" s="471"/>
      <c r="CX293" s="471"/>
      <c r="CY293" s="472"/>
      <c r="CZ293" s="446"/>
      <c r="DA293" s="470"/>
      <c r="DB293" s="471"/>
      <c r="DC293" s="471"/>
      <c r="DD293" s="472"/>
      <c r="DE293" s="446"/>
      <c r="DF293" s="470"/>
      <c r="DG293" s="471"/>
      <c r="DH293" s="471"/>
      <c r="DI293" s="472"/>
      <c r="DJ293" s="446"/>
      <c r="DK293" s="470"/>
      <c r="DL293" s="471"/>
      <c r="DM293" s="471"/>
      <c r="DN293" s="472"/>
      <c r="DO293" s="446"/>
      <c r="DP293" s="470"/>
      <c r="DQ293" s="471"/>
      <c r="DR293" s="471"/>
      <c r="DS293" s="472"/>
      <c r="DT293" s="446"/>
    </row>
    <row r="294" spans="1:124" ht="12.75" customHeight="1">
      <c r="B294" s="46" t="s">
        <v>124</v>
      </c>
      <c r="C294" s="46"/>
      <c r="D294" s="46"/>
      <c r="E294" s="831"/>
      <c r="F294" s="1226"/>
      <c r="G294" s="1226"/>
      <c r="H294" s="1330"/>
      <c r="I294" s="1323"/>
      <c r="J294" s="1319"/>
      <c r="K294" s="402"/>
      <c r="L294" s="403"/>
      <c r="M294" s="404"/>
      <c r="N294" s="405"/>
      <c r="O294" s="405"/>
      <c r="P294" s="406"/>
      <c r="Q294" s="407"/>
      <c r="R294" s="404"/>
      <c r="S294" s="405"/>
      <c r="T294" s="405"/>
      <c r="U294" s="406"/>
      <c r="V294" s="407"/>
      <c r="W294" s="404"/>
      <c r="X294" s="405"/>
      <c r="Y294" s="405"/>
      <c r="Z294" s="406"/>
      <c r="AA294" s="407"/>
      <c r="AB294" s="404"/>
      <c r="AC294" s="405"/>
      <c r="AD294" s="405"/>
      <c r="AE294" s="406"/>
      <c r="AF294" s="407"/>
      <c r="AG294" s="404"/>
      <c r="AH294" s="405"/>
      <c r="AI294" s="405"/>
      <c r="AJ294" s="406"/>
      <c r="AK294" s="407"/>
      <c r="AL294" s="404"/>
      <c r="AM294" s="405"/>
      <c r="AN294" s="405"/>
      <c r="AO294" s="406"/>
      <c r="AP294" s="407"/>
      <c r="AQ294" s="404"/>
      <c r="AR294" s="405"/>
      <c r="AS294" s="405"/>
      <c r="AT294" s="406"/>
      <c r="AU294" s="407"/>
      <c r="AV294" s="404"/>
      <c r="AW294" s="405"/>
      <c r="AX294" s="405"/>
      <c r="AY294" s="406"/>
      <c r="AZ294" s="407"/>
      <c r="BA294" s="404"/>
      <c r="BB294" s="405"/>
      <c r="BC294" s="405"/>
      <c r="BD294" s="406"/>
      <c r="BE294" s="407"/>
      <c r="BF294" s="404"/>
      <c r="BG294" s="405"/>
      <c r="BH294" s="405"/>
      <c r="BI294" s="406"/>
      <c r="BJ294" s="407"/>
      <c r="BK294" s="404"/>
      <c r="BL294" s="405"/>
      <c r="BM294" s="405"/>
      <c r="BN294" s="406"/>
      <c r="BO294" s="407"/>
      <c r="BP294" s="447"/>
      <c r="BQ294" s="409"/>
      <c r="BR294" s="410"/>
      <c r="BS294" s="411"/>
      <c r="BT294" s="411"/>
      <c r="BU294" s="412"/>
      <c r="BV294" s="413"/>
      <c r="BW294" s="410"/>
      <c r="BX294" s="411"/>
      <c r="BY294" s="411"/>
      <c r="BZ294" s="412"/>
      <c r="CA294" s="413"/>
      <c r="CB294" s="410"/>
      <c r="CC294" s="411"/>
      <c r="CD294" s="411"/>
      <c r="CE294" s="412"/>
      <c r="CF294" s="413"/>
      <c r="CG294" s="410"/>
      <c r="CH294" s="411"/>
      <c r="CI294" s="411"/>
      <c r="CJ294" s="412"/>
      <c r="CK294" s="413"/>
      <c r="CL294" s="410"/>
      <c r="CM294" s="411"/>
      <c r="CN294" s="411"/>
      <c r="CO294" s="412"/>
      <c r="CP294" s="413"/>
      <c r="CQ294" s="410"/>
      <c r="CR294" s="411"/>
      <c r="CS294" s="411"/>
      <c r="CT294" s="412"/>
      <c r="CU294" s="413"/>
      <c r="CV294" s="410"/>
      <c r="CW294" s="411"/>
      <c r="CX294" s="411"/>
      <c r="CY294" s="412"/>
      <c r="CZ294" s="413"/>
      <c r="DA294" s="410"/>
      <c r="DB294" s="411"/>
      <c r="DC294" s="411"/>
      <c r="DD294" s="412"/>
      <c r="DE294" s="413"/>
      <c r="DF294" s="410"/>
      <c r="DG294" s="411"/>
      <c r="DH294" s="411"/>
      <c r="DI294" s="412"/>
      <c r="DJ294" s="413"/>
      <c r="DK294" s="410"/>
      <c r="DL294" s="411"/>
      <c r="DM294" s="411"/>
      <c r="DN294" s="412"/>
      <c r="DO294" s="413"/>
      <c r="DP294" s="410"/>
      <c r="DQ294" s="411"/>
      <c r="DR294" s="411"/>
      <c r="DS294" s="412"/>
      <c r="DT294" s="413"/>
    </row>
    <row r="295" spans="1:124" ht="12.75" customHeight="1">
      <c r="C295" s="56"/>
      <c r="D295" s="56"/>
      <c r="E295" s="831"/>
      <c r="F295" s="1226"/>
      <c r="G295" s="1226"/>
      <c r="H295" s="30"/>
      <c r="I295" s="614"/>
      <c r="J295" s="616"/>
      <c r="K295" s="402"/>
      <c r="L295" s="403"/>
      <c r="M295" s="404"/>
      <c r="N295" s="405"/>
      <c r="O295" s="405"/>
      <c r="P295" s="406"/>
      <c r="Q295" s="407"/>
      <c r="R295" s="404"/>
      <c r="S295" s="405"/>
      <c r="T295" s="405"/>
      <c r="U295" s="406"/>
      <c r="V295" s="407"/>
      <c r="W295" s="404"/>
      <c r="X295" s="405"/>
      <c r="Y295" s="405"/>
      <c r="Z295" s="406"/>
      <c r="AA295" s="407"/>
      <c r="AB295" s="404"/>
      <c r="AC295" s="405"/>
      <c r="AD295" s="405"/>
      <c r="AE295" s="406"/>
      <c r="AF295" s="407"/>
      <c r="AG295" s="404"/>
      <c r="AH295" s="405"/>
      <c r="AI295" s="405"/>
      <c r="AJ295" s="406"/>
      <c r="AK295" s="407"/>
      <c r="AL295" s="404"/>
      <c r="AM295" s="405"/>
      <c r="AN295" s="405"/>
      <c r="AO295" s="406"/>
      <c r="AP295" s="407"/>
      <c r="AQ295" s="404"/>
      <c r="AR295" s="405"/>
      <c r="AS295" s="405"/>
      <c r="AT295" s="406"/>
      <c r="AU295" s="407"/>
      <c r="AV295" s="404"/>
      <c r="AW295" s="405"/>
      <c r="AX295" s="405"/>
      <c r="AY295" s="406"/>
      <c r="AZ295" s="407"/>
      <c r="BA295" s="404"/>
      <c r="BB295" s="405"/>
      <c r="BC295" s="405"/>
      <c r="BD295" s="406"/>
      <c r="BE295" s="407"/>
      <c r="BF295" s="404"/>
      <c r="BG295" s="405"/>
      <c r="BH295" s="405"/>
      <c r="BI295" s="406"/>
      <c r="BJ295" s="407"/>
      <c r="BK295" s="404"/>
      <c r="BL295" s="405"/>
      <c r="BM295" s="405"/>
      <c r="BN295" s="406"/>
      <c r="BO295" s="407"/>
      <c r="BP295" s="447"/>
      <c r="BQ295" s="409"/>
      <c r="BR295" s="410"/>
      <c r="BS295" s="411"/>
      <c r="BT295" s="411"/>
      <c r="BU295" s="412"/>
      <c r="BV295" s="413"/>
      <c r="BW295" s="410"/>
      <c r="BX295" s="411"/>
      <c r="BY295" s="411"/>
      <c r="BZ295" s="412"/>
      <c r="CA295" s="413"/>
      <c r="CB295" s="410"/>
      <c r="CC295" s="411"/>
      <c r="CD295" s="411"/>
      <c r="CE295" s="412"/>
      <c r="CF295" s="413"/>
      <c r="CG295" s="410"/>
      <c r="CH295" s="411"/>
      <c r="CI295" s="411"/>
      <c r="CJ295" s="412"/>
      <c r="CK295" s="413"/>
      <c r="CL295" s="410"/>
      <c r="CM295" s="411"/>
      <c r="CN295" s="411"/>
      <c r="CO295" s="412"/>
      <c r="CP295" s="413"/>
      <c r="CQ295" s="410"/>
      <c r="CR295" s="411"/>
      <c r="CS295" s="411"/>
      <c r="CT295" s="412"/>
      <c r="CU295" s="413"/>
      <c r="CV295" s="410"/>
      <c r="CW295" s="411"/>
      <c r="CX295" s="411"/>
      <c r="CY295" s="412"/>
      <c r="CZ295" s="413"/>
      <c r="DA295" s="410"/>
      <c r="DB295" s="411"/>
      <c r="DC295" s="411"/>
      <c r="DD295" s="412"/>
      <c r="DE295" s="413"/>
      <c r="DF295" s="410"/>
      <c r="DG295" s="411"/>
      <c r="DH295" s="411"/>
      <c r="DI295" s="412"/>
      <c r="DJ295" s="413"/>
      <c r="DK295" s="410"/>
      <c r="DL295" s="411"/>
      <c r="DM295" s="411"/>
      <c r="DN295" s="412"/>
      <c r="DO295" s="413"/>
      <c r="DP295" s="410"/>
      <c r="DQ295" s="411"/>
      <c r="DR295" s="411"/>
      <c r="DS295" s="412"/>
      <c r="DT295" s="413"/>
    </row>
    <row r="296" spans="1:124" ht="12.75" customHeight="1">
      <c r="C296" s="261" t="s">
        <v>282</v>
      </c>
      <c r="D296" s="261"/>
      <c r="E296" s="831"/>
      <c r="F296" s="1226"/>
      <c r="G296" s="1226"/>
      <c r="H296" s="610"/>
      <c r="I296" s="614"/>
      <c r="J296" s="616"/>
      <c r="K296" s="448"/>
      <c r="L296" s="407"/>
      <c r="M296" s="404"/>
      <c r="N296" s="414"/>
      <c r="O296" s="414"/>
      <c r="P296" s="406"/>
      <c r="Q296" s="407"/>
      <c r="R296" s="404"/>
      <c r="S296" s="414"/>
      <c r="T296" s="414"/>
      <c r="U296" s="406"/>
      <c r="V296" s="407"/>
      <c r="W296" s="404"/>
      <c r="X296" s="414"/>
      <c r="Y296" s="414"/>
      <c r="Z296" s="406"/>
      <c r="AA296" s="407"/>
      <c r="AB296" s="404"/>
      <c r="AC296" s="414"/>
      <c r="AD296" s="414"/>
      <c r="AE296" s="406"/>
      <c r="AF296" s="407"/>
      <c r="AG296" s="404"/>
      <c r="AH296" s="414"/>
      <c r="AI296" s="414"/>
      <c r="AJ296" s="406"/>
      <c r="AK296" s="407"/>
      <c r="AL296" s="404"/>
      <c r="AM296" s="414"/>
      <c r="AN296" s="414"/>
      <c r="AO296" s="406"/>
      <c r="AP296" s="407"/>
      <c r="AQ296" s="404"/>
      <c r="AR296" s="414"/>
      <c r="AS296" s="414"/>
      <c r="AT296" s="406"/>
      <c r="AU296" s="407"/>
      <c r="AV296" s="404"/>
      <c r="AW296" s="414"/>
      <c r="AX296" s="414"/>
      <c r="AY296" s="406"/>
      <c r="AZ296" s="407"/>
      <c r="BA296" s="404"/>
      <c r="BB296" s="414"/>
      <c r="BC296" s="414"/>
      <c r="BD296" s="406"/>
      <c r="BE296" s="407"/>
      <c r="BF296" s="404"/>
      <c r="BG296" s="414"/>
      <c r="BH296" s="414"/>
      <c r="BI296" s="406"/>
      <c r="BJ296" s="407"/>
      <c r="BK296" s="404"/>
      <c r="BL296" s="414"/>
      <c r="BM296" s="414"/>
      <c r="BN296" s="406"/>
      <c r="BO296" s="407"/>
      <c r="BP296" s="447"/>
      <c r="BQ296" s="413"/>
      <c r="BR296" s="410"/>
      <c r="BS296" s="416"/>
      <c r="BT296" s="416"/>
      <c r="BU296" s="412"/>
      <c r="BV296" s="413"/>
      <c r="BW296" s="410"/>
      <c r="BX296" s="416"/>
      <c r="BY296" s="416"/>
      <c r="BZ296" s="412"/>
      <c r="CA296" s="413"/>
      <c r="CB296" s="410"/>
      <c r="CC296" s="416"/>
      <c r="CD296" s="416"/>
      <c r="CE296" s="412"/>
      <c r="CF296" s="413"/>
      <c r="CG296" s="410"/>
      <c r="CH296" s="416"/>
      <c r="CI296" s="416"/>
      <c r="CJ296" s="412"/>
      <c r="CK296" s="413"/>
      <c r="CL296" s="410"/>
      <c r="CM296" s="416"/>
      <c r="CN296" s="416"/>
      <c r="CO296" s="412"/>
      <c r="CP296" s="413"/>
      <c r="CQ296" s="410"/>
      <c r="CR296" s="416"/>
      <c r="CS296" s="416"/>
      <c r="CT296" s="412"/>
      <c r="CU296" s="413"/>
      <c r="CV296" s="410"/>
      <c r="CW296" s="416"/>
      <c r="CX296" s="416"/>
      <c r="CY296" s="412"/>
      <c r="CZ296" s="413"/>
      <c r="DA296" s="410"/>
      <c r="DB296" s="416"/>
      <c r="DC296" s="416"/>
      <c r="DD296" s="412"/>
      <c r="DE296" s="413"/>
      <c r="DF296" s="410"/>
      <c r="DG296" s="416"/>
      <c r="DH296" s="416"/>
      <c r="DI296" s="412"/>
      <c r="DJ296" s="413"/>
      <c r="DK296" s="410"/>
      <c r="DL296" s="416"/>
      <c r="DM296" s="416"/>
      <c r="DN296" s="412"/>
      <c r="DO296" s="413"/>
      <c r="DP296" s="410"/>
      <c r="DQ296" s="416"/>
      <c r="DR296" s="416"/>
      <c r="DS296" s="412"/>
      <c r="DT296" s="413"/>
    </row>
    <row r="297" spans="1:124" ht="12.75" customHeight="1">
      <c r="A297" s="491"/>
      <c r="C297" s="1891" t="s">
        <v>569</v>
      </c>
      <c r="D297" s="1891"/>
      <c r="E297" s="1887">
        <f>IF(F297=0,G297,F297)</f>
        <v>22.5</v>
      </c>
      <c r="F297" s="829">
        <v>22.5</v>
      </c>
      <c r="G297" s="829">
        <v>22.5</v>
      </c>
      <c r="H297" s="610">
        <v>2025</v>
      </c>
      <c r="I297" s="828">
        <v>4.4999999999999998E-2</v>
      </c>
      <c r="J297" s="615">
        <v>7</v>
      </c>
      <c r="K297" s="402"/>
      <c r="L297" s="407">
        <f>IF(L$5=$H297,-$E297,0)</f>
        <v>0</v>
      </c>
      <c r="M297" s="404">
        <f>IF(Q297=0,0,IF(Q297&lt;0,IF($J297=3,Q297,IF($J297=2,Q297,IF($J297=1,Q297,0)))))</f>
        <v>0</v>
      </c>
      <c r="N297" s="414">
        <f>IF(Q297=0,0,IF(Q297&lt;0,IF($J297=6,Q297,IF($J297=5,Q297,IF($J297=4,Q297,0)))))</f>
        <v>0</v>
      </c>
      <c r="O297" s="414">
        <f>IF(Q297=0,0,IF(Q297&lt;0,IF($J297=9,Q297,IF($J297=8,Q297,IF($J297=7,Q297,0)))))</f>
        <v>0</v>
      </c>
      <c r="P297" s="406">
        <f>IF(Q297=0,0,IF(Q297&lt;0,IF($J297=12,Q297,IF($J297=11,Q297,IF($J297=10,Q297,0)))))</f>
        <v>0</v>
      </c>
      <c r="Q297" s="407">
        <f>IF(Q$5=$H297,-$E297,0)</f>
        <v>0</v>
      </c>
      <c r="R297" s="404">
        <f>IF(V297=0,0,IF(V297&lt;0,IF($J297=3,V297,IF($J297=2,V297,IF($J297=1,V297,0)))))</f>
        <v>0</v>
      </c>
      <c r="S297" s="414">
        <f>IF(V297=0,0,IF(V297&lt;0,IF($J297=6,V297,IF($J297=5,V297,IF($J297=4,V297,0)))))</f>
        <v>0</v>
      </c>
      <c r="T297" s="414">
        <f>IF(V297=0,0,IF(V297&lt;0,IF($J297=9,V297,IF($J297=8,V297,IF($J297=7,V297,0)))))</f>
        <v>0</v>
      </c>
      <c r="U297" s="406">
        <f>IF(V297=0,0,IF(V297&lt;0,IF($J297=12,V297,IF($J297=11,V297,IF($J297=10,V297,0)))))</f>
        <v>0</v>
      </c>
      <c r="V297" s="407">
        <f>IF(V$5=$H297,-$E297,0)</f>
        <v>0</v>
      </c>
      <c r="W297" s="404">
        <f>IF(AA297=0,0,IF(AA297&lt;0,IF($J297=3,AA297,IF($J297=2,AA297,IF($J297=1,AA297,0)))))</f>
        <v>0</v>
      </c>
      <c r="X297" s="414">
        <f>IF(AA297=0,0,IF(AA297&lt;0,IF($J297=6,AA297,IF($J297=5,AA297,IF($J297=4,AA297,0)))))</f>
        <v>0</v>
      </c>
      <c r="Y297" s="414">
        <f>IF(AA297=0,0,IF(AA297&lt;0,IF($J297=9,AA297,IF($J297=8,AA297,IF($J297=7,AA297,0)))))</f>
        <v>0</v>
      </c>
      <c r="Z297" s="406">
        <f>IF(AA297=0,0,IF(AA297&lt;0,IF($J297=12,AA297,IF($J297=11,AA297,IF($J297=10,AA297,0)))))</f>
        <v>0</v>
      </c>
      <c r="AA297" s="407">
        <f>IF(AA$5=$H297,-$E297,0)</f>
        <v>0</v>
      </c>
      <c r="AB297" s="404">
        <f>IF(AF297=0,0,IF(AF297&lt;0,IF($J297=3,AF297,IF($J297=2,AF297,IF($J297=1,AF297,0)))))</f>
        <v>0</v>
      </c>
      <c r="AC297" s="414">
        <f>IF(AF297=0,0,IF(AF297&lt;0,IF($J297=6,AF297,IF($J297=5,AF297,IF($J297=4,AF297,0)))))</f>
        <v>0</v>
      </c>
      <c r="AD297" s="414">
        <f>IF(AF297=0,0,IF(AF297&lt;0,IF($J297=9,AF297,IF($J297=8,AF297,IF($J297=7,AF297,0)))))</f>
        <v>0</v>
      </c>
      <c r="AE297" s="406">
        <f>IF(AF297=0,0,IF(AF297&lt;0,IF($J297=12,AF297,IF($J297=11,AF297,IF($J297=10,AF297,0)))))</f>
        <v>0</v>
      </c>
      <c r="AF297" s="407">
        <f>IF(AF$5=$H297,-$E297,0)</f>
        <v>0</v>
      </c>
      <c r="AG297" s="404">
        <f>IF(AK297=0,0,IF(AK297&lt;0,IF($J297=3,AK297,IF($J297=2,AK297,IF($J297=1,AK297,0)))))</f>
        <v>0</v>
      </c>
      <c r="AH297" s="414">
        <f>IF(AK297=0,0,IF(AK297&lt;0,IF($J297=6,AK297,IF($J297=5,AK297,IF($J297=4,AK297,0)))))</f>
        <v>0</v>
      </c>
      <c r="AI297" s="414">
        <f>IF(AK297=0,0,IF(AK297&lt;0,IF($J297=9,AK297,IF($J297=8,AK297,IF($J297=7,AK297,0)))))</f>
        <v>0</v>
      </c>
      <c r="AJ297" s="406">
        <f>IF(AK297=0,0,IF(AK297&lt;0,IF($J297=12,AK297,IF($J297=11,AK297,IF($J297=10,AK297,0)))))</f>
        <v>0</v>
      </c>
      <c r="AK297" s="407">
        <f>IF(AK$5=$H297,-$E297,0)</f>
        <v>0</v>
      </c>
      <c r="AL297" s="404">
        <f>IF(AP297=0,0,IF(AP297&lt;0,IF($J297=3,AP297,IF($J297=2,AP297,IF($J297=1,AP297,0)))))</f>
        <v>0</v>
      </c>
      <c r="AM297" s="414">
        <f>IF(AP297=0,0,IF(AP297&lt;0,IF($J297=6,AP297,IF($J297=5,AP297,IF($J297=4,AP297,0)))))</f>
        <v>0</v>
      </c>
      <c r="AN297" s="414">
        <f>IF(AP297=0,0,IF(AP297&lt;0,IF($J297=9,AP297,IF($J297=8,AP297,IF($J297=7,AP297,0)))))</f>
        <v>0</v>
      </c>
      <c r="AO297" s="406">
        <f>IF(AP297=0,0,IF(AP297&lt;0,IF($J297=12,AP297,IF($J297=11,AP297,IF($J297=10,AP297,0)))))</f>
        <v>0</v>
      </c>
      <c r="AP297" s="407">
        <f>IF(AP$5=$H297,-$E297,0)</f>
        <v>0</v>
      </c>
      <c r="AQ297" s="404">
        <f>IF(AU297=0,0,IF(AU297&lt;0,IF($J297=3,AU297,IF($J297=2,AU297,IF($J297=1,AU297,0)))))</f>
        <v>0</v>
      </c>
      <c r="AR297" s="414">
        <f>IF(AU297=0,0,IF(AU297&lt;0,IF($J297=6,AU297,IF($J297=5,AU297,IF($J297=4,AU297,0)))))</f>
        <v>0</v>
      </c>
      <c r="AS297" s="414">
        <f>IF(AU297=0,0,IF(AU297&lt;0,IF($J297=9,AU297,IF($J297=8,AU297,IF($J297=7,AU297,0)))))</f>
        <v>0</v>
      </c>
      <c r="AT297" s="406">
        <f>IF(AU297=0,0,IF(AU297&lt;0,IF($J297=12,AU297,IF($J297=11,AU297,IF($J297=10,AU297,0)))))</f>
        <v>0</v>
      </c>
      <c r="AU297" s="407">
        <f>IF(AU$5=$H297,-$E297,0)</f>
        <v>0</v>
      </c>
      <c r="AV297" s="404">
        <f>IF(AZ297=0,0,IF(AZ297&lt;0,IF($J297=3,AZ297,IF($J297=2,AZ297,IF($J297=1,AZ297,0)))))</f>
        <v>0</v>
      </c>
      <c r="AW297" s="414">
        <f>IF(AZ297=0,0,IF(AZ297&lt;0,IF($J297=6,AZ297,IF($J297=5,AZ297,IF($J297=4,AZ297,0)))))</f>
        <v>0</v>
      </c>
      <c r="AX297" s="414">
        <f>IF(AZ297=0,0,IF(AZ297&lt;0,IF($J297=9,AZ297,IF($J297=8,AZ297,IF($J297=7,AZ297,0)))))</f>
        <v>0</v>
      </c>
      <c r="AY297" s="406">
        <f>IF(AZ297=0,0,IF(AZ297&lt;0,IF($J297=12,AZ297,IF($J297=11,AZ297,IF($J297=10,AZ297,0)))))</f>
        <v>0</v>
      </c>
      <c r="AZ297" s="407">
        <f>IF(AZ$5=$H297,-$E297,0)</f>
        <v>0</v>
      </c>
      <c r="BA297" s="404">
        <f>IF(BE297=0,0,IF(BE297&lt;0,IF($J297=3,BE297,IF($J297=2,BE297,IF($J297=1,BE297,0)))))</f>
        <v>0</v>
      </c>
      <c r="BB297" s="414">
        <f>IF(BE297=0,0,IF(BE297&lt;0,IF($J297=6,BE297,IF($J297=5,BE297,IF($J297=4,BE297,0)))))</f>
        <v>0</v>
      </c>
      <c r="BC297" s="414">
        <f>IF(BE297=0,0,IF(BE297&lt;0,IF($J297=9,BE297,IF($J297=8,BE297,IF($J297=7,BE297,0)))))</f>
        <v>0</v>
      </c>
      <c r="BD297" s="406">
        <f>IF(BE297=0,0,IF(BE297&lt;0,IF($J297=12,BE297,IF($J297=11,BE297,IF($J297=10,BE297,0)))))</f>
        <v>0</v>
      </c>
      <c r="BE297" s="407">
        <f>IF(BE$5=$H297,-$E297,0)</f>
        <v>0</v>
      </c>
      <c r="BF297" s="404">
        <f>IF(BJ297=0,0,IF(BJ297&lt;0,IF($J297=3,BJ297,IF($J297=2,BJ297,IF($J297=1,BJ297,0)))))</f>
        <v>0</v>
      </c>
      <c r="BG297" s="414">
        <f>IF(BJ297=0,0,IF(BJ297&lt;0,IF($J297=6,BJ297,IF($J297=5,BJ297,IF($J297=4,BJ297,0)))))</f>
        <v>0</v>
      </c>
      <c r="BH297" s="414">
        <f>IF(BJ297=0,0,IF(BJ297&lt;0,IF($J297=9,BJ297,IF($J297=8,BJ297,IF($J297=7,BJ297,0)))))</f>
        <v>0</v>
      </c>
      <c r="BI297" s="406">
        <f>IF(BJ297=0,0,IF(BJ297&lt;0,IF($J297=12,BJ297,IF($J297=11,BJ297,IF($J297=10,BJ297,0)))))</f>
        <v>0</v>
      </c>
      <c r="BJ297" s="407">
        <f>IF(BJ$5=$H297,-$E297,0)</f>
        <v>0</v>
      </c>
      <c r="BK297" s="404">
        <f>IF(BO297=0,0,IF(BO297&lt;0,IF($J297=3,BO297,IF($J297=2,BO297,IF($J297=1,BO297,0)))))</f>
        <v>0</v>
      </c>
      <c r="BL297" s="414">
        <f>IF(BO297=0,0,IF(BO297&lt;0,IF($J297=6,BO297,IF($J297=5,BO297,IF($J297=4,BO297,0)))))</f>
        <v>0</v>
      </c>
      <c r="BM297" s="414">
        <f>IF(BO297=0,0,IF(BO297&lt;0,IF($J297=9,BO297,IF($J297=8,BO297,IF($J297=7,BO297,0)))))</f>
        <v>0</v>
      </c>
      <c r="BN297" s="406">
        <f>IF(BO297=0,0,IF(BO297&lt;0,IF($J297=12,BO297,IF($J297=11,BO297,IF($J297=10,BO297,0)))))</f>
        <v>0</v>
      </c>
      <c r="BO297" s="407">
        <f>IF(BO$5=$H297,-$E297,0)</f>
        <v>0</v>
      </c>
      <c r="BP297" s="449"/>
      <c r="BQ297" s="413">
        <f>IF(AND(AH297&lt;&gt;0,AH$5=$H297),-$I297*$E297-AH297,IF(BQ$5=$H297,-$I297*$E297*(12-$J297+1)/12,0))</f>
        <v>0</v>
      </c>
      <c r="BR297" s="410">
        <f>IF($H297&lt;&gt;BV$5,0,IF(BV297&lt;0,IF($J297=1,-$E297*$I297/12*3,IF($J297=2,-$E297*$I297/12*2,IF($J297=3,-$E297*$I297/12*1,0)))))+IF(BQ$5&lt;&gt;$H297,0,IF(BQ297&lt;0,IF($J297=1,-$E297*$I297/12*0,IF($J297=2,-$E297*$I297/12*1,IF($J297=3,-$E297*$I297/12*2,IF($J297&gt;=4,-$E297*$I297/12*3,0))))))</f>
        <v>0</v>
      </c>
      <c r="BS297" s="416">
        <f>IF($H297&lt;&gt;BV$5,0,IF(BV297&lt;0,IF(OR($J297=1,$J297=2,$J297=3,$J297=4),-$E297*$I297/12*3,IF($J297=5,-$E297*$I297/12*2,IF($J297=6,-$E297*$I297/12*1,0)))))+IF(BQ$5&lt;&gt;$H297,0,IF(BQ297&lt;0,IF($J297=4,-$E297*$I297/12*0,IF($J297=5,-$E297*$I297/12*1,IF($J297=6,-$E297*$I297/12*2,IF($J297&gt;=7,-$E297*$I297/12*3,0))))))</f>
        <v>0</v>
      </c>
      <c r="BT297" s="416">
        <f>IF($H297&lt;&gt;BV$5,0,IF(BV297&lt;0,IF(OR($J297=1,$J297=2,$J297=3,$J297=4,$J297=5,$J297=6,$J297=7),-$E297*$I297/12*3,IF($J297=8,-$E297*$I297/12*2,IF($J297=9,-$E297*$I297/12*1,0)))))+IF(BQ$5&lt;&gt;$H297,0,IF(BQ297&lt;0,IF($J297=7,-$E297*$I297/12*0,IF($J297=8,-$E297*$I297/12*1,IF($J297=9,-$E297*$I297/12*2,IF($J297&gt;=10,-$E297*$I297/12*3,0))))))</f>
        <v>0</v>
      </c>
      <c r="BU297" s="412">
        <f>IF($H297&lt;&gt;BV$5,0,IF(BV297&lt;0,IF(OR($J297=1,$J297=2,$J297=3,$J297=4,$J297=5,$J297=6,$J297=7,$J297=8,$J297=9,$J297=10),-$E297*$I297/12*3,IF($J297=11,-$E297*$I297/12*2,IF($J297=12,-$E297*$I297/12*1,0)))))+IF(BQ$5&lt;&gt;$H297,0,IF(BQ297&lt;0,IF($J297=10,-$E297*$I297/12*0,IF($J297=11,-$E297*$I297/12*1,IF($J297=12,-$E297*$I297/12*2,0)))))</f>
        <v>0</v>
      </c>
      <c r="BV297" s="413">
        <f>IF(AND(BQ297&lt;&gt;0,BQ$5=$H297),-$I297*$E297-BQ297,IF(BV$5=$H297,-$I297*$E297*(12-$J297+1)/12,0))</f>
        <v>0</v>
      </c>
      <c r="BW297" s="410">
        <f>IF($H297&lt;&gt;CA$5,0,IF(CA297&lt;0,IF($J297=1,-$E297*$I297/12*3,IF($J297=2,-$E297*$I297/12*2,IF($J297=3,-$E297*$I297/12*1,0)))))+IF(BV$5&lt;&gt;$H297,0,IF(BV297&lt;0,IF($J297=1,-$E297*$I297/12*0,IF($J297=2,-$E297*$I297/12*1,IF($J297=3,-$E297*$I297/12*2,IF($J297&gt;=4,-$E297*$I297/12*3,0))))))</f>
        <v>0</v>
      </c>
      <c r="BX297" s="416">
        <f>IF($H297&lt;&gt;CA$5,0,IF(CA297&lt;0,IF(OR($J297=1,$J297=2,$J297=3,$J297=4),-$E297*$I297/12*3,IF($J297=5,-$E297*$I297/12*2,IF($J297=6,-$E297*$I297/12*1,0)))))+IF(BV$5&lt;&gt;$H297,0,IF(BV297&lt;0,IF($J297=4,-$E297*$I297/12*0,IF($J297=5,-$E297*$I297/12*1,IF($J297=6,-$E297*$I297/12*2,IF($J297&gt;=7,-$E297*$I297/12*3,0))))))</f>
        <v>0</v>
      </c>
      <c r="BY297" s="416">
        <f>IF($H297&lt;&gt;CA$5,0,IF(CA297&lt;0,IF(OR($J297=1,$J297=2,$J297=3,$J297=4,$J297=5,$J297=6,$J297=7),-$E297*$I297/12*3,IF($J297=8,-$E297*$I297/12*2,IF($J297=9,-$E297*$I297/12*1,0)))))+IF(BV$5&lt;&gt;$H297,0,IF(BV297&lt;0,IF($J297=7,-$E297*$I297/12*0,IF($J297=8,-$E297*$I297/12*1,IF($J297=9,-$E297*$I297/12*2,IF($J297&gt;=10,-$E297*$I297/12*3,0))))))</f>
        <v>0</v>
      </c>
      <c r="BZ297" s="412">
        <f>IF($H297&lt;&gt;CA$5,0,IF(CA297&lt;0,IF(OR($J297=1,$J297=2,$J297=3,$J297=4,$J297=5,$J297=6,$J297=7,$J297=8,$J297=9,$J297=10),-$E297*$I297/12*3,IF($J297=11,-$E297*$I297/12*2,IF($J297=12,-$E297*$I297/12*1,0)))))+IF(BV$5&lt;&gt;$H297,0,IF(BV297&lt;0,IF($J297=10,-$E297*$I297/12*0,IF($J297=11,-$E297*$I297/12*1,IF($J297=12,-$E297*$I297/12*2,0)))))</f>
        <v>0</v>
      </c>
      <c r="CA297" s="413">
        <f>IF(AND(BV297&lt;&gt;0,BV$5=$H297),-$I297*$E297-BV297,IF(CA$5=$H297,-$I297*$E297*(12-$J297+1)/12,0))</f>
        <v>0</v>
      </c>
      <c r="CB297" s="410">
        <f>IF($H297&lt;&gt;CF$5,0,IF(CF297&lt;0,IF($J297=1,-$E297*$I297/12*3,IF($J297=2,-$E297*$I297/12*2,IF($J297=3,-$E297*$I297/12*1,0)))))+IF(CA$5&lt;&gt;$H297,0,IF(CA297&lt;0,IF($J297=1,-$E297*$I297/12*0,IF($J297=2,-$E297*$I297/12*1,IF($J297=3,-$E297*$I297/12*2,IF($J297&gt;=4,-$E297*$I297/12*3,0))))))</f>
        <v>0</v>
      </c>
      <c r="CC297" s="416">
        <f>IF($H297&lt;&gt;CF$5,0,IF(CF297&lt;0,IF(OR($J297=1,$J297=2,$J297=3,$J297=4),-$E297*$I297/12*3,IF($J297=5,-$E297*$I297/12*2,IF($J297=6,-$E297*$I297/12*1,0)))))+IF(CA$5&lt;&gt;$H297,0,IF(CA297&lt;0,IF($J297=4,-$E297*$I297/12*0,IF($J297=5,-$E297*$I297/12*1,IF($J297=6,-$E297*$I297/12*2,IF($J297&gt;=7,-$E297*$I297/12*3,0))))))</f>
        <v>0</v>
      </c>
      <c r="CD297" s="416">
        <f>IF($H297&lt;&gt;CF$5,0,IF(CF297&lt;0,IF(OR($J297=1,$J297=2,$J297=3,$J297=4,$J297=5,$J297=6,$J297=7),-$E297*$I297/12*3,IF($J297=8,-$E297*$I297/12*2,IF($J297=9,-$E297*$I297/12*1,0)))))+IF(CA$5&lt;&gt;$H297,0,IF(CA297&lt;0,IF($J297=7,-$E297*$I297/12*0,IF($J297=8,-$E297*$I297/12*1,IF($J297=9,-$E297*$I297/12*2,IF($J297&gt;=10,-$E297*$I297/12*3,0))))))</f>
        <v>0</v>
      </c>
      <c r="CE297" s="412">
        <f>IF($H297&lt;&gt;CF$5,0,IF(CF297&lt;0,IF(OR($J297=1,$J297=2,$J297=3,$J297=4,$J297=5,$J297=6,$J297=7,$J297=8,$J297=9,$J297=10),-$E297*$I297/12*3,IF($J297=11,-$E297*$I297/12*2,IF($J297=12,-$E297*$I297/12*1,0)))))+IF(CA$5&lt;&gt;$H297,0,IF(CA297&lt;0,IF($J297=10,-$E297*$I297/12*0,IF($J297=11,-$E297*$I297/12*1,IF($J297=12,-$E297*$I297/12*2,0)))))</f>
        <v>0</v>
      </c>
      <c r="CF297" s="413">
        <f>IF(AND(CA297&lt;&gt;0,CA$5=$H297),-$I297*$E297-CA297,IF(CF$5=$H297,-$I297*$E297*(12-$J297+1)/12,0))</f>
        <v>0</v>
      </c>
      <c r="CG297" s="410">
        <f>IF($H297&lt;&gt;CK$5,0,IF(CK297&lt;0,IF($J297=1,-$E297*$I297/12*3,IF($J297=2,-$E297*$I297/12*2,IF($J297=3,-$E297*$I297/12*1,0)))))+IF(CF$5&lt;&gt;$H297,0,IF(CF297&lt;0,IF($J297=1,-$E297*$I297/12*0,IF($J297=2,-$E297*$I297/12*1,IF($J297=3,-$E297*$I297/12*2,IF($J297&gt;=4,-$E297*$I297/12*3,0))))))</f>
        <v>0</v>
      </c>
      <c r="CH297" s="416">
        <f>IF($H297&lt;&gt;CK$5,0,IF(CK297&lt;0,IF(OR($J297=1,$J297=2,$J297=3,$J297=4),-$E297*$I297/12*3,IF($J297=5,-$E297*$I297/12*2,IF($J297=6,-$E297*$I297/12*1,0)))))+IF(CF$5&lt;&gt;$H297,0,IF(CF297&lt;0,IF($J297=4,-$E297*$I297/12*0,IF($J297=5,-$E297*$I297/12*1,IF($J297=6,-$E297*$I297/12*2,IF($J297&gt;=7,-$E297*$I297/12*3,0))))))</f>
        <v>0</v>
      </c>
      <c r="CI297" s="416">
        <f>IF($H297&lt;&gt;CK$5,0,IF(CK297&lt;0,IF(OR($J297=1,$J297=2,$J297=3,$J297=4,$J297=5,$J297=6,$J297=7),-$E297*$I297/12*3,IF($J297=8,-$E297*$I297/12*2,IF($J297=9,-$E297*$I297/12*1,0)))))+IF(CF$5&lt;&gt;$H297,0,IF(CF297&lt;0,IF($J297=7,-$E297*$I297/12*0,IF($J297=8,-$E297*$I297/12*1,IF($J297=9,-$E297*$I297/12*2,IF($J297&gt;=10,-$E297*$I297/12*3,0))))))</f>
        <v>0</v>
      </c>
      <c r="CJ297" s="412">
        <f>IF($H297&lt;&gt;CK$5,0,IF(CK297&lt;0,IF(OR($J297=1,$J297=2,$J297=3,$J297=4,$J297=5,$J297=6,$J297=7,$J297=8,$J297=9,$J297=10),-$E297*$I297/12*3,IF($J297=11,-$E297*$I297/12*2,IF($J297=12,-$E297*$I297/12*1,0)))))+IF(CF$5&lt;&gt;$H297,0,IF(CF297&lt;0,IF($J297=10,-$E297*$I297/12*0,IF($J297=11,-$E297*$I297/12*1,IF($J297=12,-$E297*$I297/12*2,0)))))</f>
        <v>0</v>
      </c>
      <c r="CK297" s="413">
        <f>IF(AND(CF297&lt;&gt;0,CF$5=$H297),-$I297*$E297-CF297,IF(CK$5=$H297,-$I297*$E297*(12-$J297+1)/12,0))</f>
        <v>0</v>
      </c>
      <c r="CL297" s="410">
        <f>IF($H297&lt;&gt;CP$5,0,IF(CP297&lt;0,IF($J297=1,-$E297*$I297/12*3,IF($J297=2,-$E297*$I297/12*2,IF($J297=3,-$E297*$I297/12*1,0)))))+IF(CK$5&lt;&gt;$H297,0,IF(CK297&lt;0,IF($J297=1,-$E297*$I297/12*0,IF($J297=2,-$E297*$I297/12*1,IF($J297=3,-$E297*$I297/12*2,IF($J297&gt;=4,-$E297*$I297/12*3,0))))))</f>
        <v>0</v>
      </c>
      <c r="CM297" s="416">
        <f>IF($H297&lt;&gt;CP$5,0,IF(CP297&lt;0,IF(OR($J297=1,$J297=2,$J297=3,$J297=4),-$E297*$I297/12*3,IF($J297=5,-$E297*$I297/12*2,IF($J297=6,-$E297*$I297/12*1,0)))))+IF(CK$5&lt;&gt;$H297,0,IF(CK297&lt;0,IF($J297=4,-$E297*$I297/12*0,IF($J297=5,-$E297*$I297/12*1,IF($J297=6,-$E297*$I297/12*2,IF($J297&gt;=7,-$E297*$I297/12*3,0))))))</f>
        <v>0</v>
      </c>
      <c r="CN297" s="416">
        <f>IF($H297&lt;&gt;CP$5,0,IF(CP297&lt;0,IF(OR($J297=1,$J297=2,$J297=3,$J297=4,$J297=5,$J297=6,$J297=7),-$E297*$I297/12*3,IF($J297=8,-$E297*$I297/12*2,IF($J297=9,-$E297*$I297/12*1,0)))))+IF(CK$5&lt;&gt;$H297,0,IF(CK297&lt;0,IF($J297=7,-$E297*$I297/12*0,IF($J297=8,-$E297*$I297/12*1,IF($J297=9,-$E297*$I297/12*2,IF($J297&gt;=10,-$E297*$I297/12*3,0))))))</f>
        <v>0</v>
      </c>
      <c r="CO297" s="412">
        <f>IF($H297&lt;&gt;CP$5,0,IF(CP297&lt;0,IF(OR($J297=1,$J297=2,$J297=3,$J297=4,$J297=5,$J297=6,$J297=7,$J297=8,$J297=9,$J297=10),-$E297*$I297/12*3,IF($J297=11,-$E297*$I297/12*2,IF($J297=12,-$E297*$I297/12*1,0)))))+IF(CK$5&lt;&gt;$H297,0,IF(CK297&lt;0,IF($J297=10,-$E297*$I297/12*0,IF($J297=11,-$E297*$I297/12*1,IF($J297=12,-$E297*$I297/12*2,0)))))</f>
        <v>0</v>
      </c>
      <c r="CP297" s="413">
        <f>IF(AND(CK297&lt;&gt;0,CK$5=$H297),-$I297*$E297-CK297,IF(CP$5=$H297,-$I297*$E297*(12-$J297+1)/12,0))</f>
        <v>0</v>
      </c>
      <c r="CQ297" s="410">
        <f>IF($H297&lt;&gt;CU$5,0,IF(CU297&lt;0,IF($J297=1,-$E297*$I297/12*3,IF($J297=2,-$E297*$I297/12*2,IF($J297=3,-$E297*$I297/12*1,0)))))+IF(CP$5&lt;&gt;$H297,0,IF(CP297&lt;0,IF($J297=1,-$E297*$I297/12*0,IF($J297=2,-$E297*$I297/12*1,IF($J297=3,-$E297*$I297/12*2,IF($J297&gt;=4,-$E297*$I297/12*3,0))))))</f>
        <v>0</v>
      </c>
      <c r="CR297" s="416">
        <f>IF($H297&lt;&gt;CU$5,0,IF(CU297&lt;0,IF(OR($J297=1,$J297=2,$J297=3,$J297=4),-$E297*$I297/12*3,IF($J297=5,-$E297*$I297/12*2,IF($J297=6,-$E297*$I297/12*1,0)))))+IF(CP$5&lt;&gt;$H297,0,IF(CP297&lt;0,IF($J297=4,-$E297*$I297/12*0,IF($J297=5,-$E297*$I297/12*1,IF($J297=6,-$E297*$I297/12*2,IF($J297&gt;=7,-$E297*$I297/12*3,0))))))</f>
        <v>0</v>
      </c>
      <c r="CS297" s="416">
        <f>IF($H297&lt;&gt;CU$5,0,IF(CU297&lt;0,IF(OR($J297=1,$J297=2,$J297=3,$J297=4,$J297=5,$J297=6,$J297=7),-$E297*$I297/12*3,IF($J297=8,-$E297*$I297/12*2,IF($J297=9,-$E297*$I297/12*1,0)))))+IF(CP$5&lt;&gt;$H297,0,IF(CP297&lt;0,IF($J297=7,-$E297*$I297/12*0,IF($J297=8,-$E297*$I297/12*1,IF($J297=9,-$E297*$I297/12*2,IF($J297&gt;=10,-$E297*$I297/12*3,0))))))</f>
        <v>0</v>
      </c>
      <c r="CT297" s="412">
        <f>IF($H297&lt;&gt;CU$5,0,IF(CU297&lt;0,IF(OR($J297=1,$J297=2,$J297=3,$J297=4,$J297=5,$J297=6,$J297=7,$J297=8,$J297=9,$J297=10),-$E297*$I297/12*3,IF($J297=11,-$E297*$I297/12*2,IF($J297=12,-$E297*$I297/12*1,0)))))+IF(CP$5&lt;&gt;$H297,0,IF(CP297&lt;0,IF($J297=10,-$E297*$I297/12*0,IF($J297=11,-$E297*$I297/12*1,IF($J297=12,-$E297*$I297/12*2,0)))))</f>
        <v>0</v>
      </c>
      <c r="CU297" s="413">
        <f>IF(AND(CP297&lt;&gt;0,CP$5=$H297),-$I297*$E297-CP297,IF(CU$5=$H297,-$I297*$E297*(12-$J297+1)/12,0))</f>
        <v>0</v>
      </c>
      <c r="CV297" s="410">
        <f>IF($H297&lt;&gt;CZ$5,0,IF(CZ297&lt;0,IF($J297=1,-$E297*$I297/12*3,IF($J297=2,-$E297*$I297/12*2,IF($J297=3,-$E297*$I297/12*1,0)))))+IF(CU$5&lt;&gt;$H297,0,IF(CU297&lt;0,IF($J297=1,-$E297*$I297/12*0,IF($J297=2,-$E297*$I297/12*1,IF($J297=3,-$E297*$I297/12*2,IF($J297&gt;=4,-$E297*$I297/12*3,0))))))</f>
        <v>0</v>
      </c>
      <c r="CW297" s="416">
        <f>IF($H297&lt;&gt;CZ$5,0,IF(CZ297&lt;0,IF(OR($J297=1,$J297=2,$J297=3,$J297=4),-$E297*$I297/12*3,IF($J297=5,-$E297*$I297/12*2,IF($J297=6,-$E297*$I297/12*1,0)))))+IF(CU$5&lt;&gt;$H297,0,IF(CU297&lt;0,IF($J297=4,-$E297*$I297/12*0,IF($J297=5,-$E297*$I297/12*1,IF($J297=6,-$E297*$I297/12*2,IF($J297&gt;=7,-$E297*$I297/12*3,0))))))</f>
        <v>0</v>
      </c>
      <c r="CX297" s="416">
        <f>IF($H297&lt;&gt;CZ$5,0,IF(CZ297&lt;0,IF(OR($J297=1,$J297=2,$J297=3,$J297=4,$J297=5,$J297=6,$J297=7),-$E297*$I297/12*3,IF($J297=8,-$E297*$I297/12*2,IF($J297=9,-$E297*$I297/12*1,0)))))+IF(CU$5&lt;&gt;$H297,0,IF(CU297&lt;0,IF($J297=7,-$E297*$I297/12*0,IF($J297=8,-$E297*$I297/12*1,IF($J297=9,-$E297*$I297/12*2,IF($J297&gt;=10,-$E297*$I297/12*3,0))))))</f>
        <v>0</v>
      </c>
      <c r="CY297" s="412">
        <f>IF($H297&lt;&gt;CZ$5,0,IF(CZ297&lt;0,IF(OR($J297=1,$J297=2,$J297=3,$J297=4,$J297=5,$J297=6,$J297=7,$J297=8,$J297=9,$J297=10),-$E297*$I297/12*3,IF($J297=11,-$E297*$I297/12*2,IF($J297=12,-$E297*$I297/12*1,0)))))+IF(CU$5&lt;&gt;$H297,0,IF(CU297&lt;0,IF($J297=10,-$E297*$I297/12*0,IF($J297=11,-$E297*$I297/12*1,IF($J297=12,-$E297*$I297/12*2,0)))))</f>
        <v>0</v>
      </c>
      <c r="CZ297" s="413">
        <f>IF(AND(CU297&lt;&gt;0,CU$5=$H297),-$I297*$E297-CU297,IF(CZ$5=$H297,-$I297*$E297*(12-$J297+1)/12,0))</f>
        <v>0</v>
      </c>
      <c r="DA297" s="410">
        <f>IF($H297&lt;&gt;DE$5,0,IF(DE297&lt;0,IF($J297=1,-$E297*$I297/12*3,IF($J297=2,-$E297*$I297/12*2,IF($J297=3,-$E297*$I297/12*1,0)))))+IF(CZ$5&lt;&gt;$H297,0,IF(CZ297&lt;0,IF($J297=1,-$E297*$I297/12*0,IF($J297=2,-$E297*$I297/12*1,IF($J297=3,-$E297*$I297/12*2,IF($J297&gt;=4,-$E297*$I297/12*3,0))))))</f>
        <v>0</v>
      </c>
      <c r="DB297" s="416">
        <f>IF($H297&lt;&gt;DE$5,0,IF(DE297&lt;0,IF(OR($J297=1,$J297=2,$J297=3,$J297=4),-$E297*$I297/12*3,IF($J297=5,-$E297*$I297/12*2,IF($J297=6,-$E297*$I297/12*1,0)))))+IF(CZ$5&lt;&gt;$H297,0,IF(CZ297&lt;0,IF($J297=4,-$E297*$I297/12*0,IF($J297=5,-$E297*$I297/12*1,IF($J297=6,-$E297*$I297/12*2,IF($J297&gt;=7,-$E297*$I297/12*3,0))))))</f>
        <v>0</v>
      </c>
      <c r="DC297" s="416">
        <f>IF($H297&lt;&gt;DE$5,0,IF(DE297&lt;0,IF(OR($J297=1,$J297=2,$J297=3,$J297=4,$J297=5,$J297=6,$J297=7),-$E297*$I297/12*3,IF($J297=8,-$E297*$I297/12*2,IF($J297=9,-$E297*$I297/12*1,0)))))+IF(CZ$5&lt;&gt;$H297,0,IF(CZ297&lt;0,IF($J297=7,-$E297*$I297/12*0,IF($J297=8,-$E297*$I297/12*1,IF($J297=9,-$E297*$I297/12*2,IF($J297&gt;=10,-$E297*$I297/12*3,0))))))</f>
        <v>0</v>
      </c>
      <c r="DD297" s="412">
        <f>IF($H297&lt;&gt;DE$5,0,IF(DE297&lt;0,IF(OR($J297=1,$J297=2,$J297=3,$J297=4,$J297=5,$J297=6,$J297=7,$J297=8,$J297=9,$J297=10),-$E297*$I297/12*3,IF($J297=11,-$E297*$I297/12*2,IF($J297=12,-$E297*$I297/12*1,0)))))+IF(CZ$5&lt;&gt;$H297,0,IF(CZ297&lt;0,IF($J297=10,-$E297*$I297/12*0,IF($J297=11,-$E297*$I297/12*1,IF($J297=12,-$E297*$I297/12*2,0)))))</f>
        <v>0</v>
      </c>
      <c r="DE297" s="413">
        <f>IF(AND(CZ297&lt;&gt;0,CZ$5=$H297),-$I297*$E297-CZ297,IF(DE$5=$H297,-$I297*$E297*(12-$J297+1)/12,0))</f>
        <v>0</v>
      </c>
      <c r="DF297" s="410">
        <f>IF($H297&lt;&gt;DJ$5,0,IF(DJ297&lt;0,IF($J297=1,-$E297*$I297/12*3,IF($J297=2,-$E297*$I297/12*2,IF($J297=3,-$E297*$I297/12*1,0)))))+IF(DE$5&lt;&gt;$H297,0,IF(DE297&lt;0,IF($J297=1,-$E297*$I297/12*0,IF($J297=2,-$E297*$I297/12*1,IF($J297=3,-$E297*$I297/12*2,IF($J297&gt;=4,-$E297*$I297/12*3,0))))))</f>
        <v>0</v>
      </c>
      <c r="DG297" s="416">
        <f>IF($H297&lt;&gt;DJ$5,0,IF(DJ297&lt;0,IF(OR($J297=1,$J297=2,$J297=3,$J297=4),-$E297*$I297/12*3,IF($J297=5,-$E297*$I297/12*2,IF($J297=6,-$E297*$I297/12*1,0)))))+IF(DE$5&lt;&gt;$H297,0,IF(DE297&lt;0,IF($J297=4,-$E297*$I297/12*0,IF($J297=5,-$E297*$I297/12*1,IF($J297=6,-$E297*$I297/12*2,IF($J297&gt;=7,-$E297*$I297/12*3,0))))))</f>
        <v>0</v>
      </c>
      <c r="DH297" s="416">
        <f>IF($H297&lt;&gt;DJ$5,0,IF(DJ297&lt;0,IF(OR($J297=1,$J297=2,$J297=3,$J297=4,$J297=5,$J297=6,$J297=7),-$E297*$I297/12*3,IF($J297=8,-$E297*$I297/12*2,IF($J297=9,-$E297*$I297/12*1,0)))))+IF(DE$5&lt;&gt;$H297,0,IF(DE297&lt;0,IF($J297=7,-$E297*$I297/12*0,IF($J297=8,-$E297*$I297/12*1,IF($J297=9,-$E297*$I297/12*2,IF($J297&gt;=10,-$E297*$I297/12*3,0))))))</f>
        <v>0</v>
      </c>
      <c r="DI297" s="412">
        <f>IF($H297&lt;&gt;DJ$5,0,IF(DJ297&lt;0,IF(OR($J297=1,$J297=2,$J297=3,$J297=4,$J297=5,$J297=6,$J297=7,$J297=8,$J297=9,$J297=10),-$E297*$I297/12*3,IF($J297=11,-$E297*$I297/12*2,IF($J297=12,-$E297*$I297/12*1,0)))))+IF(DE$5&lt;&gt;$H297,0,IF(DE297&lt;0,IF($J297=10,-$E297*$I297/12*0,IF($J297=11,-$E297*$I297/12*1,IF($J297=12,-$E297*$I297/12*2,0)))))</f>
        <v>0</v>
      </c>
      <c r="DJ297" s="413">
        <f>IF(AND(DE297&lt;&gt;0,DE$5=$H297),-$I297*$E297-DE297,IF(DJ$5=$H297,-$I297*$E297*(12-$J297+1)/12,0))</f>
        <v>0</v>
      </c>
      <c r="DK297" s="410">
        <f>IF($H297&lt;&gt;DO$5,0,IF(DO297&lt;0,IF($J297=1,-$E297*$I297/12*3,IF($J297=2,-$E297*$I297/12*2,IF($J297=3,-$E297*$I297/12*1,0)))))+IF(DJ$5&lt;&gt;$H297,0,IF(DJ297&lt;0,IF($J297=1,-$E297*$I297/12*0,IF($J297=2,-$E297*$I297/12*1,IF($J297=3,-$E297*$I297/12*2,IF($J297&gt;=4,-$E297*$I297/12*3,0))))))</f>
        <v>0</v>
      </c>
      <c r="DL297" s="416">
        <f>IF($H297&lt;&gt;DO$5,0,IF(DO297&lt;0,IF(OR($J297=1,$J297=2,$J297=3,$J297=4),-$E297*$I297/12*3,IF($J297=5,-$E297*$I297/12*2,IF($J297=6,-$E297*$I297/12*1,0)))))+IF(DJ$5&lt;&gt;$H297,0,IF(DJ297&lt;0,IF($J297=4,-$E297*$I297/12*0,IF($J297=5,-$E297*$I297/12*1,IF($J297=6,-$E297*$I297/12*2,IF($J297&gt;=7,-$E297*$I297/12*3,0))))))</f>
        <v>0</v>
      </c>
      <c r="DM297" s="416">
        <f>IF($H297&lt;&gt;DO$5,0,IF(DO297&lt;0,IF(OR($J297=1,$J297=2,$J297=3,$J297=4,$J297=5,$J297=6,$J297=7),-$E297*$I297/12*3,IF($J297=8,-$E297*$I297/12*2,IF($J297=9,-$E297*$I297/12*1,0)))))+IF(DJ$5&lt;&gt;$H297,0,IF(DJ297&lt;0,IF($J297=7,-$E297*$I297/12*0,IF($J297=8,-$E297*$I297/12*1,IF($J297=9,-$E297*$I297/12*2,IF($J297&gt;=10,-$E297*$I297/12*3,0))))))</f>
        <v>0</v>
      </c>
      <c r="DN297" s="412">
        <f>IF($H297&lt;&gt;DO$5,0,IF(DO297&lt;0,IF(OR($J297=1,$J297=2,$J297=3,$J297=4,$J297=5,$J297=6,$J297=7,$J297=8,$J297=9,$J297=10),-$E297*$I297/12*3,IF($J297=11,-$E297*$I297/12*2,IF($J297=12,-$E297*$I297/12*1,0)))))+IF(DJ$5&lt;&gt;$H297,0,IF(DJ297&lt;0,IF($J297=10,-$E297*$I297/12*0,IF($J297=11,-$E297*$I297/12*1,IF($J297=12,-$E297*$I297/12*2,0)))))</f>
        <v>0</v>
      </c>
      <c r="DO297" s="413">
        <f>IF(AND(DJ297&lt;&gt;0,DJ$5=$H297),-$I297*$E297-DJ297,IF(DO$5=$H297,-$I297*$E297*(12-$J297+1)/12,0))</f>
        <v>0</v>
      </c>
      <c r="DP297" s="410">
        <f>IF($H297&lt;&gt;DT$5,0,IF(DT297&lt;0,IF($J297=1,-$E297*$I297/12*3,IF($J297=2,-$E297*$I297/12*2,IF($J297=3,-$E297*$I297/12*1,0)))))+IF(DO$5&lt;&gt;$H297,0,IF(DO297&lt;0,IF($J297=1,-$E297*$I297/12*0,IF($J297=2,-$E297*$I297/12*1,IF($J297=3,-$E297*$I297/12*2,IF($J297&gt;=4,-$E297*$I297/12*3,0))))))</f>
        <v>0</v>
      </c>
      <c r="DQ297" s="416">
        <f>IF($H297&lt;&gt;DT$5,0,IF(DT297&lt;0,IF(OR($J297=1,$J297=2,$J297=3,$J297=4),-$E297*$I297/12*3,IF($J297=5,-$E297*$I297/12*2,IF($J297=6,-$E297*$I297/12*1,0)))))+IF(DO$5&lt;&gt;$H297,0,IF(DO297&lt;0,IF($J297=4,-$E297*$I297/12*0,IF($J297=5,-$E297*$I297/12*1,IF($J297=6,-$E297*$I297/12*2,IF($J297&gt;=7,-$E297*$I297/12*3,0))))))</f>
        <v>0</v>
      </c>
      <c r="DR297" s="416">
        <f>IF($H297&lt;&gt;DT$5,0,IF(DT297&lt;0,IF(OR($J297=1,$J297=2,$J297=3,$J297=4,$J297=5,$J297=6,$J297=7),-$E297*$I297/12*3,IF($J297=8,-$E297*$I297/12*2,IF($J297=9,-$E297*$I297/12*1,0)))))+IF(DO$5&lt;&gt;$H297,0,IF(DO297&lt;0,IF($J297=7,-$E297*$I297/12*0,IF($J297=8,-$E297*$I297/12*1,IF($J297=9,-$E297*$I297/12*2,IF($J297&gt;=10,-$E297*$I297/12*3,0))))))</f>
        <v>0</v>
      </c>
      <c r="DS297" s="412">
        <f>IF($H297&lt;&gt;DT$5,0,IF(DT297&lt;0,IF(OR($J297=1,$J297=2,$J297=3,$J297=4,$J297=5,$J297=6,$J297=7,$J297=8,$J297=9,$J297=10),-$E297*$I297/12*3,IF($J297=11,-$E297*$I297/12*2,IF($J297=12,-$E297*$I297/12*1,0)))))+IF(DO$5&lt;&gt;$H297,0,IF(DO297&lt;0,IF($J297=10,-$E297*$I297/12*0,IF($J297=11,-$E297*$I297/12*1,IF($J297=12,-$E297*$I297/12*2,0)))))</f>
        <v>0</v>
      </c>
      <c r="DT297" s="413">
        <f>IF(AND(DO297&lt;&gt;0,DO$5=$H297),-$I297*$E297-DO297,IF(DT$5=$H297,-$I297*$E297*(12-$J297+1)/12,0))</f>
        <v>0</v>
      </c>
    </row>
    <row r="298" spans="1:124" ht="12.75" customHeight="1">
      <c r="A298" s="491"/>
      <c r="C298" s="1891" t="s">
        <v>569</v>
      </c>
      <c r="D298" s="1891"/>
      <c r="E298" s="1887">
        <f>IF(F298=0,G298,F298)</f>
        <v>22.5</v>
      </c>
      <c r="F298" s="829">
        <v>22.5</v>
      </c>
      <c r="G298" s="829">
        <v>22.5</v>
      </c>
      <c r="H298" s="610">
        <v>2025</v>
      </c>
      <c r="I298" s="828">
        <v>4.4999999999999998E-2</v>
      </c>
      <c r="J298" s="615">
        <v>7</v>
      </c>
      <c r="K298" s="402"/>
      <c r="L298" s="407">
        <f>IF(L$5=$H298,-$E298,0)</f>
        <v>0</v>
      </c>
      <c r="M298" s="404">
        <f>IF(Q298=0,0,IF(Q298&lt;0,IF($J298=3,Q298,IF($J298=2,Q298,IF($J298=1,Q298,0)))))</f>
        <v>0</v>
      </c>
      <c r="N298" s="414">
        <f>IF(Q298=0,0,IF(Q298&lt;0,IF($J298=6,Q298,IF($J298=5,Q298,IF($J298=4,Q298,0)))))</f>
        <v>0</v>
      </c>
      <c r="O298" s="414">
        <f>IF(Q298=0,0,IF(Q298&lt;0,IF($J298=9,Q298,IF($J298=8,Q298,IF($J298=7,Q298,0)))))</f>
        <v>0</v>
      </c>
      <c r="P298" s="406">
        <f>IF(Q298=0,0,IF(Q298&lt;0,IF($J298=12,Q298,IF($J298=11,Q298,IF($J298=10,Q298,0)))))</f>
        <v>0</v>
      </c>
      <c r="Q298" s="407">
        <f>IF(Q$5=$H298,-$E298,0)</f>
        <v>0</v>
      </c>
      <c r="R298" s="404">
        <f>IF(V298=0,0,IF(V298&lt;0,IF($J298=3,V298,IF($J298=2,V298,IF($J298=1,V298,0)))))</f>
        <v>0</v>
      </c>
      <c r="S298" s="414">
        <f>IF(V298=0,0,IF(V298&lt;0,IF($J298=6,V298,IF($J298=5,V298,IF($J298=4,V298,0)))))</f>
        <v>0</v>
      </c>
      <c r="T298" s="414">
        <f>IF(V298=0,0,IF(V298&lt;0,IF($J298=9,V298,IF($J298=8,V298,IF($J298=7,V298,0)))))</f>
        <v>0</v>
      </c>
      <c r="U298" s="406">
        <f>IF(V298=0,0,IF(V298&lt;0,IF($J298=12,V298,IF($J298=11,V298,IF($J298=10,V298,0)))))</f>
        <v>0</v>
      </c>
      <c r="V298" s="407">
        <f>IF(V$5=$H298,-$E298,0)</f>
        <v>0</v>
      </c>
      <c r="W298" s="404">
        <f>IF(AA298=0,0,IF(AA298&lt;0,IF($J298=3,AA298,IF($J298=2,AA298,IF($J298=1,AA298,0)))))</f>
        <v>0</v>
      </c>
      <c r="X298" s="414">
        <f>IF(AA298=0,0,IF(AA298&lt;0,IF($J298=6,AA298,IF($J298=5,AA298,IF($J298=4,AA298,0)))))</f>
        <v>0</v>
      </c>
      <c r="Y298" s="414">
        <f>IF(AA298=0,0,IF(AA298&lt;0,IF($J298=9,AA298,IF($J298=8,AA298,IF($J298=7,AA298,0)))))</f>
        <v>0</v>
      </c>
      <c r="Z298" s="406">
        <f>IF(AA298=0,0,IF(AA298&lt;0,IF($J298=12,AA298,IF($J298=11,AA298,IF($J298=10,AA298,0)))))</f>
        <v>0</v>
      </c>
      <c r="AA298" s="407">
        <f>IF(AA$5=$H298,-$E298,0)</f>
        <v>0</v>
      </c>
      <c r="AB298" s="404">
        <f>IF(AF298=0,0,IF(AF298&lt;0,IF($J298=3,AF298,IF($J298=2,AF298,IF($J298=1,AF298,0)))))</f>
        <v>0</v>
      </c>
      <c r="AC298" s="414">
        <f>IF(AF298=0,0,IF(AF298&lt;0,IF($J298=6,AF298,IF($J298=5,AF298,IF($J298=4,AF298,0)))))</f>
        <v>0</v>
      </c>
      <c r="AD298" s="414">
        <f>IF(AF298=0,0,IF(AF298&lt;0,IF($J298=9,AF298,IF($J298=8,AF298,IF($J298=7,AF298,0)))))</f>
        <v>0</v>
      </c>
      <c r="AE298" s="406">
        <f>IF(AF298=0,0,IF(AF298&lt;0,IF($J298=12,AF298,IF($J298=11,AF298,IF($J298=10,AF298,0)))))</f>
        <v>0</v>
      </c>
      <c r="AF298" s="407">
        <f>IF(AF$5=$H298,-$E298,0)</f>
        <v>0</v>
      </c>
      <c r="AG298" s="404">
        <f>IF(AK298=0,0,IF(AK298&lt;0,IF($J298=3,AK298,IF($J298=2,AK298,IF($J298=1,AK298,0)))))</f>
        <v>0</v>
      </c>
      <c r="AH298" s="414">
        <f>IF(AK298=0,0,IF(AK298&lt;0,IF($J298=6,AK298,IF($J298=5,AK298,IF($J298=4,AK298,0)))))</f>
        <v>0</v>
      </c>
      <c r="AI298" s="414">
        <f>IF(AK298=0,0,IF(AK298&lt;0,IF($J298=9,AK298,IF($J298=8,AK298,IF($J298=7,AK298,0)))))</f>
        <v>0</v>
      </c>
      <c r="AJ298" s="406">
        <f>IF(AK298=0,0,IF(AK298&lt;0,IF($J298=12,AK298,IF($J298=11,AK298,IF($J298=10,AK298,0)))))</f>
        <v>0</v>
      </c>
      <c r="AK298" s="407">
        <f>IF(AK$5=$H298,-$E298,0)</f>
        <v>0</v>
      </c>
      <c r="AL298" s="404">
        <f>IF(AP298=0,0,IF(AP298&lt;0,IF($J298=3,AP298,IF($J298=2,AP298,IF($J298=1,AP298,0)))))</f>
        <v>0</v>
      </c>
      <c r="AM298" s="414">
        <f>IF(AP298=0,0,IF(AP298&lt;0,IF($J298=6,AP298,IF($J298=5,AP298,IF($J298=4,AP298,0)))))</f>
        <v>0</v>
      </c>
      <c r="AN298" s="414">
        <f>IF(AP298=0,0,IF(AP298&lt;0,IF($J298=9,AP298,IF($J298=8,AP298,IF($J298=7,AP298,0)))))</f>
        <v>0</v>
      </c>
      <c r="AO298" s="406">
        <f>IF(AP298=0,0,IF(AP298&lt;0,IF($J298=12,AP298,IF($J298=11,AP298,IF($J298=10,AP298,0)))))</f>
        <v>0</v>
      </c>
      <c r="AP298" s="407">
        <f>IF(AP$5=$H298,-$E298,0)</f>
        <v>0</v>
      </c>
      <c r="AQ298" s="404">
        <f>IF(AU298=0,0,IF(AU298&lt;0,IF($J298=3,AU298,IF($J298=2,AU298,IF($J298=1,AU298,0)))))</f>
        <v>0</v>
      </c>
      <c r="AR298" s="414">
        <f>IF(AU298=0,0,IF(AU298&lt;0,IF($J298=6,AU298,IF($J298=5,AU298,IF($J298=4,AU298,0)))))</f>
        <v>0</v>
      </c>
      <c r="AS298" s="414">
        <f>IF(AU298=0,0,IF(AU298&lt;0,IF($J298=9,AU298,IF($J298=8,AU298,IF($J298=7,AU298,0)))))</f>
        <v>0</v>
      </c>
      <c r="AT298" s="406">
        <f>IF(AU298=0,0,IF(AU298&lt;0,IF($J298=12,AU298,IF($J298=11,AU298,IF($J298=10,AU298,0)))))</f>
        <v>0</v>
      </c>
      <c r="AU298" s="407">
        <f>IF(AU$5=$H298,-$E298,0)</f>
        <v>0</v>
      </c>
      <c r="AV298" s="404">
        <f>IF(AZ298=0,0,IF(AZ298&lt;0,IF($J298=3,AZ298,IF($J298=2,AZ298,IF($J298=1,AZ298,0)))))</f>
        <v>0</v>
      </c>
      <c r="AW298" s="414">
        <f>IF(AZ298=0,0,IF(AZ298&lt;0,IF($J298=6,AZ298,IF($J298=5,AZ298,IF($J298=4,AZ298,0)))))</f>
        <v>0</v>
      </c>
      <c r="AX298" s="414">
        <f>IF(AZ298=0,0,IF(AZ298&lt;0,IF($J298=9,AZ298,IF($J298=8,AZ298,IF($J298=7,AZ298,0)))))</f>
        <v>0</v>
      </c>
      <c r="AY298" s="406">
        <f>IF(AZ298=0,0,IF(AZ298&lt;0,IF($J298=12,AZ298,IF($J298=11,AZ298,IF($J298=10,AZ298,0)))))</f>
        <v>0</v>
      </c>
      <c r="AZ298" s="407">
        <f>IF(AZ$5=$H298,-$E298,0)</f>
        <v>0</v>
      </c>
      <c r="BA298" s="404">
        <f>IF(BE298=0,0,IF(BE298&lt;0,IF($J298=3,BE298,IF($J298=2,BE298,IF($J298=1,BE298,0)))))</f>
        <v>0</v>
      </c>
      <c r="BB298" s="414">
        <f>IF(BE298=0,0,IF(BE298&lt;0,IF($J298=6,BE298,IF($J298=5,BE298,IF($J298=4,BE298,0)))))</f>
        <v>0</v>
      </c>
      <c r="BC298" s="414">
        <f>IF(BE298=0,0,IF(BE298&lt;0,IF($J298=9,BE298,IF($J298=8,BE298,IF($J298=7,BE298,0)))))</f>
        <v>0</v>
      </c>
      <c r="BD298" s="406">
        <f>IF(BE298=0,0,IF(BE298&lt;0,IF($J298=12,BE298,IF($J298=11,BE298,IF($J298=10,BE298,0)))))</f>
        <v>0</v>
      </c>
      <c r="BE298" s="407">
        <f>IF(BE$5=$H298,-$E298,0)</f>
        <v>0</v>
      </c>
      <c r="BF298" s="404">
        <f>IF(BJ298=0,0,IF(BJ298&lt;0,IF($J298=3,BJ298,IF($J298=2,BJ298,IF($J298=1,BJ298,0)))))</f>
        <v>0</v>
      </c>
      <c r="BG298" s="414">
        <f>IF(BJ298=0,0,IF(BJ298&lt;0,IF($J298=6,BJ298,IF($J298=5,BJ298,IF($J298=4,BJ298,0)))))</f>
        <v>0</v>
      </c>
      <c r="BH298" s="414">
        <f>IF(BJ298=0,0,IF(BJ298&lt;0,IF($J298=9,BJ298,IF($J298=8,BJ298,IF($J298=7,BJ298,0)))))</f>
        <v>0</v>
      </c>
      <c r="BI298" s="406">
        <f>IF(BJ298=0,0,IF(BJ298&lt;0,IF($J298=12,BJ298,IF($J298=11,BJ298,IF($J298=10,BJ298,0)))))</f>
        <v>0</v>
      </c>
      <c r="BJ298" s="407">
        <f>IF(BJ$5=$H298,-$E298,0)</f>
        <v>0</v>
      </c>
      <c r="BK298" s="404">
        <f>IF(BO298=0,0,IF(BO298&lt;0,IF($J298=3,BO298,IF($J298=2,BO298,IF($J298=1,BO298,0)))))</f>
        <v>0</v>
      </c>
      <c r="BL298" s="414">
        <f>IF(BO298=0,0,IF(BO298&lt;0,IF($J298=6,BO298,IF($J298=5,BO298,IF($J298=4,BO298,0)))))</f>
        <v>0</v>
      </c>
      <c r="BM298" s="414">
        <f>IF(BO298=0,0,IF(BO298&lt;0,IF($J298=9,BO298,IF($J298=8,BO298,IF($J298=7,BO298,0)))))</f>
        <v>0</v>
      </c>
      <c r="BN298" s="406">
        <f>IF(BO298=0,0,IF(BO298&lt;0,IF($J298=12,BO298,IF($J298=11,BO298,IF($J298=10,BO298,0)))))</f>
        <v>0</v>
      </c>
      <c r="BO298" s="407">
        <f>IF(BO$5=$H298,-$E298,0)</f>
        <v>0</v>
      </c>
      <c r="BP298" s="449"/>
      <c r="BQ298" s="413">
        <f>IF(AND(AH298&lt;&gt;0,AH$5=$H298),-$I298*$E298-AH298,IF(BQ$5=$H298,-$I298*$E298*(12-$J298+1)/12,0))</f>
        <v>0</v>
      </c>
      <c r="BR298" s="410">
        <f>IF($H298&lt;&gt;BV$5,0,IF(BV298&lt;0,IF($J298=1,-$E298*$I298/12*3,IF($J298=2,-$E298*$I298/12*2,IF($J298=3,-$E298*$I298/12*1,0)))))+IF(BQ$5&lt;&gt;$H298,0,IF(BQ298&lt;0,IF($J298=1,-$E298*$I298/12*0,IF($J298=2,-$E298*$I298/12*1,IF($J298=3,-$E298*$I298/12*2,IF($J298&gt;=4,-$E298*$I298/12*3,0))))))</f>
        <v>0</v>
      </c>
      <c r="BS298" s="416">
        <f>IF($H298&lt;&gt;BV$5,0,IF(BV298&lt;0,IF(OR($J298=1,$J298=2,$J298=3,$J298=4),-$E298*$I298/12*3,IF($J298=5,-$E298*$I298/12*2,IF($J298=6,-$E298*$I298/12*1,0)))))+IF(BQ$5&lt;&gt;$H298,0,IF(BQ298&lt;0,IF($J298=4,-$E298*$I298/12*0,IF($J298=5,-$E298*$I298/12*1,IF($J298=6,-$E298*$I298/12*2,IF($J298&gt;=7,-$E298*$I298/12*3,0))))))</f>
        <v>0</v>
      </c>
      <c r="BT298" s="416">
        <f>IF($H298&lt;&gt;BV$5,0,IF(BV298&lt;0,IF(OR($J298=1,$J298=2,$J298=3,$J298=4,$J298=5,$J298=6,$J298=7),-$E298*$I298/12*3,IF($J298=8,-$E298*$I298/12*2,IF($J298=9,-$E298*$I298/12*1,0)))))+IF(BQ$5&lt;&gt;$H298,0,IF(BQ298&lt;0,IF($J298=7,-$E298*$I298/12*0,IF($J298=8,-$E298*$I298/12*1,IF($J298=9,-$E298*$I298/12*2,IF($J298&gt;=10,-$E298*$I298/12*3,0))))))</f>
        <v>0</v>
      </c>
      <c r="BU298" s="412">
        <f>IF($H298&lt;&gt;BV$5,0,IF(BV298&lt;0,IF(OR($J298=1,$J298=2,$J298=3,$J298=4,$J298=5,$J298=6,$J298=7,$J298=8,$J298=9,$J298=10),-$E298*$I298/12*3,IF($J298=11,-$E298*$I298/12*2,IF($J298=12,-$E298*$I298/12*1,0)))))+IF(BQ$5&lt;&gt;$H298,0,IF(BQ298&lt;0,IF($J298=10,-$E298*$I298/12*0,IF($J298=11,-$E298*$I298/12*1,IF($J298=12,-$E298*$I298/12*2,0)))))</f>
        <v>0</v>
      </c>
      <c r="BV298" s="413">
        <f>IF(AND(BQ298&lt;&gt;0,BQ$5=$H298),-$I298*$E298-BQ298,IF(BV$5=$H298,-$I298*$E298*(12-$J298+1)/12,0))</f>
        <v>0</v>
      </c>
      <c r="BW298" s="410">
        <f>IF($H298&lt;&gt;CA$5,0,IF(CA298&lt;0,IF($J298=1,-$E298*$I298/12*3,IF($J298=2,-$E298*$I298/12*2,IF($J298=3,-$E298*$I298/12*1,0)))))+IF(BV$5&lt;&gt;$H298,0,IF(BV298&lt;0,IF($J298=1,-$E298*$I298/12*0,IF($J298=2,-$E298*$I298/12*1,IF($J298=3,-$E298*$I298/12*2,IF($J298&gt;=4,-$E298*$I298/12*3,0))))))</f>
        <v>0</v>
      </c>
      <c r="BX298" s="416">
        <f>IF($H298&lt;&gt;CA$5,0,IF(CA298&lt;0,IF(OR($J298=1,$J298=2,$J298=3,$J298=4),-$E298*$I298/12*3,IF($J298=5,-$E298*$I298/12*2,IF($J298=6,-$E298*$I298/12*1,0)))))+IF(BV$5&lt;&gt;$H298,0,IF(BV298&lt;0,IF($J298=4,-$E298*$I298/12*0,IF($J298=5,-$E298*$I298/12*1,IF($J298=6,-$E298*$I298/12*2,IF($J298&gt;=7,-$E298*$I298/12*3,0))))))</f>
        <v>0</v>
      </c>
      <c r="BY298" s="416">
        <f>IF($H298&lt;&gt;CA$5,0,IF(CA298&lt;0,IF(OR($J298=1,$J298=2,$J298=3,$J298=4,$J298=5,$J298=6,$J298=7),-$E298*$I298/12*3,IF($J298=8,-$E298*$I298/12*2,IF($J298=9,-$E298*$I298/12*1,0)))))+IF(BV$5&lt;&gt;$H298,0,IF(BV298&lt;0,IF($J298=7,-$E298*$I298/12*0,IF($J298=8,-$E298*$I298/12*1,IF($J298=9,-$E298*$I298/12*2,IF($J298&gt;=10,-$E298*$I298/12*3,0))))))</f>
        <v>0</v>
      </c>
      <c r="BZ298" s="412">
        <f>IF($H298&lt;&gt;CA$5,0,IF(CA298&lt;0,IF(OR($J298=1,$J298=2,$J298=3,$J298=4,$J298=5,$J298=6,$J298=7,$J298=8,$J298=9,$J298=10),-$E298*$I298/12*3,IF($J298=11,-$E298*$I298/12*2,IF($J298=12,-$E298*$I298/12*1,0)))))+IF(BV$5&lt;&gt;$H298,0,IF(BV298&lt;0,IF($J298=10,-$E298*$I298/12*0,IF($J298=11,-$E298*$I298/12*1,IF($J298=12,-$E298*$I298/12*2,0)))))</f>
        <v>0</v>
      </c>
      <c r="CA298" s="413">
        <f>IF(AND(BV298&lt;&gt;0,BV$5=$H298),-$I298*$E298-BV298,IF(CA$5=$H298,-$I298*$E298*(12-$J298+1)/12,0))</f>
        <v>0</v>
      </c>
      <c r="CB298" s="410">
        <f>IF($H298&lt;&gt;CF$5,0,IF(CF298&lt;0,IF($J298=1,-$E298*$I298/12*3,IF($J298=2,-$E298*$I298/12*2,IF($J298=3,-$E298*$I298/12*1,0)))))+IF(CA$5&lt;&gt;$H298,0,IF(CA298&lt;0,IF($J298=1,-$E298*$I298/12*0,IF($J298=2,-$E298*$I298/12*1,IF($J298=3,-$E298*$I298/12*2,IF($J298&gt;=4,-$E298*$I298/12*3,0))))))</f>
        <v>0</v>
      </c>
      <c r="CC298" s="416">
        <f>IF($H298&lt;&gt;CF$5,0,IF(CF298&lt;0,IF(OR($J298=1,$J298=2,$J298=3,$J298=4),-$E298*$I298/12*3,IF($J298=5,-$E298*$I298/12*2,IF($J298=6,-$E298*$I298/12*1,0)))))+IF(CA$5&lt;&gt;$H298,0,IF(CA298&lt;0,IF($J298=4,-$E298*$I298/12*0,IF($J298=5,-$E298*$I298/12*1,IF($J298=6,-$E298*$I298/12*2,IF($J298&gt;=7,-$E298*$I298/12*3,0))))))</f>
        <v>0</v>
      </c>
      <c r="CD298" s="416">
        <f>IF($H298&lt;&gt;CF$5,0,IF(CF298&lt;0,IF(OR($J298=1,$J298=2,$J298=3,$J298=4,$J298=5,$J298=6,$J298=7),-$E298*$I298/12*3,IF($J298=8,-$E298*$I298/12*2,IF($J298=9,-$E298*$I298/12*1,0)))))+IF(CA$5&lt;&gt;$H298,0,IF(CA298&lt;0,IF($J298=7,-$E298*$I298/12*0,IF($J298=8,-$E298*$I298/12*1,IF($J298=9,-$E298*$I298/12*2,IF($J298&gt;=10,-$E298*$I298/12*3,0))))))</f>
        <v>0</v>
      </c>
      <c r="CE298" s="412">
        <f>IF($H298&lt;&gt;CF$5,0,IF(CF298&lt;0,IF(OR($J298=1,$J298=2,$J298=3,$J298=4,$J298=5,$J298=6,$J298=7,$J298=8,$J298=9,$J298=10),-$E298*$I298/12*3,IF($J298=11,-$E298*$I298/12*2,IF($J298=12,-$E298*$I298/12*1,0)))))+IF(CA$5&lt;&gt;$H298,0,IF(CA298&lt;0,IF($J298=10,-$E298*$I298/12*0,IF($J298=11,-$E298*$I298/12*1,IF($J298=12,-$E298*$I298/12*2,0)))))</f>
        <v>0</v>
      </c>
      <c r="CF298" s="413">
        <f>IF(AND(CA298&lt;&gt;0,CA$5=$H298),-$I298*$E298-CA298,IF(CF$5=$H298,-$I298*$E298*(12-$J298+1)/12,0))</f>
        <v>0</v>
      </c>
      <c r="CG298" s="410">
        <f>IF($H298&lt;&gt;CK$5,0,IF(CK298&lt;0,IF($J298=1,-$E298*$I298/12*3,IF($J298=2,-$E298*$I298/12*2,IF($J298=3,-$E298*$I298/12*1,0)))))+IF(CF$5&lt;&gt;$H298,0,IF(CF298&lt;0,IF($J298=1,-$E298*$I298/12*0,IF($J298=2,-$E298*$I298/12*1,IF($J298=3,-$E298*$I298/12*2,IF($J298&gt;=4,-$E298*$I298/12*3,0))))))</f>
        <v>0</v>
      </c>
      <c r="CH298" s="416">
        <f>IF($H298&lt;&gt;CK$5,0,IF(CK298&lt;0,IF(OR($J298=1,$J298=2,$J298=3,$J298=4),-$E298*$I298/12*3,IF($J298=5,-$E298*$I298/12*2,IF($J298=6,-$E298*$I298/12*1,0)))))+IF(CF$5&lt;&gt;$H298,0,IF(CF298&lt;0,IF($J298=4,-$E298*$I298/12*0,IF($J298=5,-$E298*$I298/12*1,IF($J298=6,-$E298*$I298/12*2,IF($J298&gt;=7,-$E298*$I298/12*3,0))))))</f>
        <v>0</v>
      </c>
      <c r="CI298" s="416">
        <f>IF($H298&lt;&gt;CK$5,0,IF(CK298&lt;0,IF(OR($J298=1,$J298=2,$J298=3,$J298=4,$J298=5,$J298=6,$J298=7),-$E298*$I298/12*3,IF($J298=8,-$E298*$I298/12*2,IF($J298=9,-$E298*$I298/12*1,0)))))+IF(CF$5&lt;&gt;$H298,0,IF(CF298&lt;0,IF($J298=7,-$E298*$I298/12*0,IF($J298=8,-$E298*$I298/12*1,IF($J298=9,-$E298*$I298/12*2,IF($J298&gt;=10,-$E298*$I298/12*3,0))))))</f>
        <v>0</v>
      </c>
      <c r="CJ298" s="412">
        <f>IF($H298&lt;&gt;CK$5,0,IF(CK298&lt;0,IF(OR($J298=1,$J298=2,$J298=3,$J298=4,$J298=5,$J298=6,$J298=7,$J298=8,$J298=9,$J298=10),-$E298*$I298/12*3,IF($J298=11,-$E298*$I298/12*2,IF($J298=12,-$E298*$I298/12*1,0)))))+IF(CF$5&lt;&gt;$H298,0,IF(CF298&lt;0,IF($J298=10,-$E298*$I298/12*0,IF($J298=11,-$E298*$I298/12*1,IF($J298=12,-$E298*$I298/12*2,0)))))</f>
        <v>0</v>
      </c>
      <c r="CK298" s="413">
        <f>IF(AND(CF298&lt;&gt;0,CF$5=$H298),-$I298*$E298-CF298,IF(CK$5=$H298,-$I298*$E298*(12-$J298+1)/12,0))</f>
        <v>0</v>
      </c>
      <c r="CL298" s="410">
        <f>IF($H298&lt;&gt;CP$5,0,IF(CP298&lt;0,IF($J298=1,-$E298*$I298/12*3,IF($J298=2,-$E298*$I298/12*2,IF($J298=3,-$E298*$I298/12*1,0)))))+IF(CK$5&lt;&gt;$H298,0,IF(CK298&lt;0,IF($J298=1,-$E298*$I298/12*0,IF($J298=2,-$E298*$I298/12*1,IF($J298=3,-$E298*$I298/12*2,IF($J298&gt;=4,-$E298*$I298/12*3,0))))))</f>
        <v>0</v>
      </c>
      <c r="CM298" s="416">
        <f>IF($H298&lt;&gt;CP$5,0,IF(CP298&lt;0,IF(OR($J298=1,$J298=2,$J298=3,$J298=4),-$E298*$I298/12*3,IF($J298=5,-$E298*$I298/12*2,IF($J298=6,-$E298*$I298/12*1,0)))))+IF(CK$5&lt;&gt;$H298,0,IF(CK298&lt;0,IF($J298=4,-$E298*$I298/12*0,IF($J298=5,-$E298*$I298/12*1,IF($J298=6,-$E298*$I298/12*2,IF($J298&gt;=7,-$E298*$I298/12*3,0))))))</f>
        <v>0</v>
      </c>
      <c r="CN298" s="416">
        <f>IF($H298&lt;&gt;CP$5,0,IF(CP298&lt;0,IF(OR($J298=1,$J298=2,$J298=3,$J298=4,$J298=5,$J298=6,$J298=7),-$E298*$I298/12*3,IF($J298=8,-$E298*$I298/12*2,IF($J298=9,-$E298*$I298/12*1,0)))))+IF(CK$5&lt;&gt;$H298,0,IF(CK298&lt;0,IF($J298=7,-$E298*$I298/12*0,IF($J298=8,-$E298*$I298/12*1,IF($J298=9,-$E298*$I298/12*2,IF($J298&gt;=10,-$E298*$I298/12*3,0))))))</f>
        <v>0</v>
      </c>
      <c r="CO298" s="412">
        <f>IF($H298&lt;&gt;CP$5,0,IF(CP298&lt;0,IF(OR($J298=1,$J298=2,$J298=3,$J298=4,$J298=5,$J298=6,$J298=7,$J298=8,$J298=9,$J298=10),-$E298*$I298/12*3,IF($J298=11,-$E298*$I298/12*2,IF($J298=12,-$E298*$I298/12*1,0)))))+IF(CK$5&lt;&gt;$H298,0,IF(CK298&lt;0,IF($J298=10,-$E298*$I298/12*0,IF($J298=11,-$E298*$I298/12*1,IF($J298=12,-$E298*$I298/12*2,0)))))</f>
        <v>0</v>
      </c>
      <c r="CP298" s="413">
        <f>IF(AND(CK298&lt;&gt;0,CK$5=$H298),-$I298*$E298-CK298,IF(CP$5=$H298,-$I298*$E298*(12-$J298+1)/12,0))</f>
        <v>0</v>
      </c>
      <c r="CQ298" s="410">
        <f>IF($H298&lt;&gt;CU$5,0,IF(CU298&lt;0,IF($J298=1,-$E298*$I298/12*3,IF($J298=2,-$E298*$I298/12*2,IF($J298=3,-$E298*$I298/12*1,0)))))+IF(CP$5&lt;&gt;$H298,0,IF(CP298&lt;0,IF($J298=1,-$E298*$I298/12*0,IF($J298=2,-$E298*$I298/12*1,IF($J298=3,-$E298*$I298/12*2,IF($J298&gt;=4,-$E298*$I298/12*3,0))))))</f>
        <v>0</v>
      </c>
      <c r="CR298" s="416">
        <f>IF($H298&lt;&gt;CU$5,0,IF(CU298&lt;0,IF(OR($J298=1,$J298=2,$J298=3,$J298=4),-$E298*$I298/12*3,IF($J298=5,-$E298*$I298/12*2,IF($J298=6,-$E298*$I298/12*1,0)))))+IF(CP$5&lt;&gt;$H298,0,IF(CP298&lt;0,IF($J298=4,-$E298*$I298/12*0,IF($J298=5,-$E298*$I298/12*1,IF($J298=6,-$E298*$I298/12*2,IF($J298&gt;=7,-$E298*$I298/12*3,0))))))</f>
        <v>0</v>
      </c>
      <c r="CS298" s="416">
        <f>IF($H298&lt;&gt;CU$5,0,IF(CU298&lt;0,IF(OR($J298=1,$J298=2,$J298=3,$J298=4,$J298=5,$J298=6,$J298=7),-$E298*$I298/12*3,IF($J298=8,-$E298*$I298/12*2,IF($J298=9,-$E298*$I298/12*1,0)))))+IF(CP$5&lt;&gt;$H298,0,IF(CP298&lt;0,IF($J298=7,-$E298*$I298/12*0,IF($J298=8,-$E298*$I298/12*1,IF($J298=9,-$E298*$I298/12*2,IF($J298&gt;=10,-$E298*$I298/12*3,0))))))</f>
        <v>0</v>
      </c>
      <c r="CT298" s="412">
        <f>IF($H298&lt;&gt;CU$5,0,IF(CU298&lt;0,IF(OR($J298=1,$J298=2,$J298=3,$J298=4,$J298=5,$J298=6,$J298=7,$J298=8,$J298=9,$J298=10),-$E298*$I298/12*3,IF($J298=11,-$E298*$I298/12*2,IF($J298=12,-$E298*$I298/12*1,0)))))+IF(CP$5&lt;&gt;$H298,0,IF(CP298&lt;0,IF($J298=10,-$E298*$I298/12*0,IF($J298=11,-$E298*$I298/12*1,IF($J298=12,-$E298*$I298/12*2,0)))))</f>
        <v>0</v>
      </c>
      <c r="CU298" s="413">
        <f>IF(AND(CP298&lt;&gt;0,CP$5=$H298),-$I298*$E298-CP298,IF(CU$5=$H298,-$I298*$E298*(12-$J298+1)/12,0))</f>
        <v>0</v>
      </c>
      <c r="CV298" s="410">
        <f>IF($H298&lt;&gt;CZ$5,0,IF(CZ298&lt;0,IF($J298=1,-$E298*$I298/12*3,IF($J298=2,-$E298*$I298/12*2,IF($J298=3,-$E298*$I298/12*1,0)))))+IF(CU$5&lt;&gt;$H298,0,IF(CU298&lt;0,IF($J298=1,-$E298*$I298/12*0,IF($J298=2,-$E298*$I298/12*1,IF($J298=3,-$E298*$I298/12*2,IF($J298&gt;=4,-$E298*$I298/12*3,0))))))</f>
        <v>0</v>
      </c>
      <c r="CW298" s="416">
        <f>IF($H298&lt;&gt;CZ$5,0,IF(CZ298&lt;0,IF(OR($J298=1,$J298=2,$J298=3,$J298=4),-$E298*$I298/12*3,IF($J298=5,-$E298*$I298/12*2,IF($J298=6,-$E298*$I298/12*1,0)))))+IF(CU$5&lt;&gt;$H298,0,IF(CU298&lt;0,IF($J298=4,-$E298*$I298/12*0,IF($J298=5,-$E298*$I298/12*1,IF($J298=6,-$E298*$I298/12*2,IF($J298&gt;=7,-$E298*$I298/12*3,0))))))</f>
        <v>0</v>
      </c>
      <c r="CX298" s="416">
        <f>IF($H298&lt;&gt;CZ$5,0,IF(CZ298&lt;0,IF(OR($J298=1,$J298=2,$J298=3,$J298=4,$J298=5,$J298=6,$J298=7),-$E298*$I298/12*3,IF($J298=8,-$E298*$I298/12*2,IF($J298=9,-$E298*$I298/12*1,0)))))+IF(CU$5&lt;&gt;$H298,0,IF(CU298&lt;0,IF($J298=7,-$E298*$I298/12*0,IF($J298=8,-$E298*$I298/12*1,IF($J298=9,-$E298*$I298/12*2,IF($J298&gt;=10,-$E298*$I298/12*3,0))))))</f>
        <v>0</v>
      </c>
      <c r="CY298" s="412">
        <f>IF($H298&lt;&gt;CZ$5,0,IF(CZ298&lt;0,IF(OR($J298=1,$J298=2,$J298=3,$J298=4,$J298=5,$J298=6,$J298=7,$J298=8,$J298=9,$J298=10),-$E298*$I298/12*3,IF($J298=11,-$E298*$I298/12*2,IF($J298=12,-$E298*$I298/12*1,0)))))+IF(CU$5&lt;&gt;$H298,0,IF(CU298&lt;0,IF($J298=10,-$E298*$I298/12*0,IF($J298=11,-$E298*$I298/12*1,IF($J298=12,-$E298*$I298/12*2,0)))))</f>
        <v>0</v>
      </c>
      <c r="CZ298" s="413">
        <f>IF(AND(CU298&lt;&gt;0,CU$5=$H298),-$I298*$E298-CU298,IF(CZ$5=$H298,-$I298*$E298*(12-$J298+1)/12,0))</f>
        <v>0</v>
      </c>
      <c r="DA298" s="410">
        <f>IF($H298&lt;&gt;DE$5,0,IF(DE298&lt;0,IF($J298=1,-$E298*$I298/12*3,IF($J298=2,-$E298*$I298/12*2,IF($J298=3,-$E298*$I298/12*1,0)))))+IF(CZ$5&lt;&gt;$H298,0,IF(CZ298&lt;0,IF($J298=1,-$E298*$I298/12*0,IF($J298=2,-$E298*$I298/12*1,IF($J298=3,-$E298*$I298/12*2,IF($J298&gt;=4,-$E298*$I298/12*3,0))))))</f>
        <v>0</v>
      </c>
      <c r="DB298" s="416">
        <f>IF($H298&lt;&gt;DE$5,0,IF(DE298&lt;0,IF(OR($J298=1,$J298=2,$J298=3,$J298=4),-$E298*$I298/12*3,IF($J298=5,-$E298*$I298/12*2,IF($J298=6,-$E298*$I298/12*1,0)))))+IF(CZ$5&lt;&gt;$H298,0,IF(CZ298&lt;0,IF($J298=4,-$E298*$I298/12*0,IF($J298=5,-$E298*$I298/12*1,IF($J298=6,-$E298*$I298/12*2,IF($J298&gt;=7,-$E298*$I298/12*3,0))))))</f>
        <v>0</v>
      </c>
      <c r="DC298" s="416">
        <f>IF($H298&lt;&gt;DE$5,0,IF(DE298&lt;0,IF(OR($J298=1,$J298=2,$J298=3,$J298=4,$J298=5,$J298=6,$J298=7),-$E298*$I298/12*3,IF($J298=8,-$E298*$I298/12*2,IF($J298=9,-$E298*$I298/12*1,0)))))+IF(CZ$5&lt;&gt;$H298,0,IF(CZ298&lt;0,IF($J298=7,-$E298*$I298/12*0,IF($J298=8,-$E298*$I298/12*1,IF($J298=9,-$E298*$I298/12*2,IF($J298&gt;=10,-$E298*$I298/12*3,0))))))</f>
        <v>0</v>
      </c>
      <c r="DD298" s="412">
        <f>IF($H298&lt;&gt;DE$5,0,IF(DE298&lt;0,IF(OR($J298=1,$J298=2,$J298=3,$J298=4,$J298=5,$J298=6,$J298=7,$J298=8,$J298=9,$J298=10),-$E298*$I298/12*3,IF($J298=11,-$E298*$I298/12*2,IF($J298=12,-$E298*$I298/12*1,0)))))+IF(CZ$5&lt;&gt;$H298,0,IF(CZ298&lt;0,IF($J298=10,-$E298*$I298/12*0,IF($J298=11,-$E298*$I298/12*1,IF($J298=12,-$E298*$I298/12*2,0)))))</f>
        <v>0</v>
      </c>
      <c r="DE298" s="413">
        <f>IF(AND(CZ298&lt;&gt;0,CZ$5=$H298),-$I298*$E298-CZ298,IF(DE$5=$H298,-$I298*$E298*(12-$J298+1)/12,0))</f>
        <v>0</v>
      </c>
      <c r="DF298" s="410">
        <f>IF($H298&lt;&gt;DJ$5,0,IF(DJ298&lt;0,IF($J298=1,-$E298*$I298/12*3,IF($J298=2,-$E298*$I298/12*2,IF($J298=3,-$E298*$I298/12*1,0)))))+IF(DE$5&lt;&gt;$H298,0,IF(DE298&lt;0,IF($J298=1,-$E298*$I298/12*0,IF($J298=2,-$E298*$I298/12*1,IF($J298=3,-$E298*$I298/12*2,IF($J298&gt;=4,-$E298*$I298/12*3,0))))))</f>
        <v>0</v>
      </c>
      <c r="DG298" s="416">
        <f>IF($H298&lt;&gt;DJ$5,0,IF(DJ298&lt;0,IF(OR($J298=1,$J298=2,$J298=3,$J298=4),-$E298*$I298/12*3,IF($J298=5,-$E298*$I298/12*2,IF($J298=6,-$E298*$I298/12*1,0)))))+IF(DE$5&lt;&gt;$H298,0,IF(DE298&lt;0,IF($J298=4,-$E298*$I298/12*0,IF($J298=5,-$E298*$I298/12*1,IF($J298=6,-$E298*$I298/12*2,IF($J298&gt;=7,-$E298*$I298/12*3,0))))))</f>
        <v>0</v>
      </c>
      <c r="DH298" s="416">
        <f>IF($H298&lt;&gt;DJ$5,0,IF(DJ298&lt;0,IF(OR($J298=1,$J298=2,$J298=3,$J298=4,$J298=5,$J298=6,$J298=7),-$E298*$I298/12*3,IF($J298=8,-$E298*$I298/12*2,IF($J298=9,-$E298*$I298/12*1,0)))))+IF(DE$5&lt;&gt;$H298,0,IF(DE298&lt;0,IF($J298=7,-$E298*$I298/12*0,IF($J298=8,-$E298*$I298/12*1,IF($J298=9,-$E298*$I298/12*2,IF($J298&gt;=10,-$E298*$I298/12*3,0))))))</f>
        <v>0</v>
      </c>
      <c r="DI298" s="412">
        <f>IF($H298&lt;&gt;DJ$5,0,IF(DJ298&lt;0,IF(OR($J298=1,$J298=2,$J298=3,$J298=4,$J298=5,$J298=6,$J298=7,$J298=8,$J298=9,$J298=10),-$E298*$I298/12*3,IF($J298=11,-$E298*$I298/12*2,IF($J298=12,-$E298*$I298/12*1,0)))))+IF(DE$5&lt;&gt;$H298,0,IF(DE298&lt;0,IF($J298=10,-$E298*$I298/12*0,IF($J298=11,-$E298*$I298/12*1,IF($J298=12,-$E298*$I298/12*2,0)))))</f>
        <v>0</v>
      </c>
      <c r="DJ298" s="413">
        <f>IF(AND(DE298&lt;&gt;0,DE$5=$H298),-$I298*$E298-DE298,IF(DJ$5=$H298,-$I298*$E298*(12-$J298+1)/12,0))</f>
        <v>0</v>
      </c>
      <c r="DK298" s="410">
        <f>IF($H298&lt;&gt;DO$5,0,IF(DO298&lt;0,IF($J298=1,-$E298*$I298/12*3,IF($J298=2,-$E298*$I298/12*2,IF($J298=3,-$E298*$I298/12*1,0)))))+IF(DJ$5&lt;&gt;$H298,0,IF(DJ298&lt;0,IF($J298=1,-$E298*$I298/12*0,IF($J298=2,-$E298*$I298/12*1,IF($J298=3,-$E298*$I298/12*2,IF($J298&gt;=4,-$E298*$I298/12*3,0))))))</f>
        <v>0</v>
      </c>
      <c r="DL298" s="416">
        <f>IF($H298&lt;&gt;DO$5,0,IF(DO298&lt;0,IF(OR($J298=1,$J298=2,$J298=3,$J298=4),-$E298*$I298/12*3,IF($J298=5,-$E298*$I298/12*2,IF($J298=6,-$E298*$I298/12*1,0)))))+IF(DJ$5&lt;&gt;$H298,0,IF(DJ298&lt;0,IF($J298=4,-$E298*$I298/12*0,IF($J298=5,-$E298*$I298/12*1,IF($J298=6,-$E298*$I298/12*2,IF($J298&gt;=7,-$E298*$I298/12*3,0))))))</f>
        <v>0</v>
      </c>
      <c r="DM298" s="416">
        <f>IF($H298&lt;&gt;DO$5,0,IF(DO298&lt;0,IF(OR($J298=1,$J298=2,$J298=3,$J298=4,$J298=5,$J298=6,$J298=7),-$E298*$I298/12*3,IF($J298=8,-$E298*$I298/12*2,IF($J298=9,-$E298*$I298/12*1,0)))))+IF(DJ$5&lt;&gt;$H298,0,IF(DJ298&lt;0,IF($J298=7,-$E298*$I298/12*0,IF($J298=8,-$E298*$I298/12*1,IF($J298=9,-$E298*$I298/12*2,IF($J298&gt;=10,-$E298*$I298/12*3,0))))))</f>
        <v>0</v>
      </c>
      <c r="DN298" s="412">
        <f>IF($H298&lt;&gt;DO$5,0,IF(DO298&lt;0,IF(OR($J298=1,$J298=2,$J298=3,$J298=4,$J298=5,$J298=6,$J298=7,$J298=8,$J298=9,$J298=10),-$E298*$I298/12*3,IF($J298=11,-$E298*$I298/12*2,IF($J298=12,-$E298*$I298/12*1,0)))))+IF(DJ$5&lt;&gt;$H298,0,IF(DJ298&lt;0,IF($J298=10,-$E298*$I298/12*0,IF($J298=11,-$E298*$I298/12*1,IF($J298=12,-$E298*$I298/12*2,0)))))</f>
        <v>0</v>
      </c>
      <c r="DO298" s="413">
        <f>IF(AND(DJ298&lt;&gt;0,DJ$5=$H298),-$I298*$E298-DJ298,IF(DO$5=$H298,-$I298*$E298*(12-$J298+1)/12,0))</f>
        <v>0</v>
      </c>
      <c r="DP298" s="410">
        <f>IF($H298&lt;&gt;DT$5,0,IF(DT298&lt;0,IF($J298=1,-$E298*$I298/12*3,IF($J298=2,-$E298*$I298/12*2,IF($J298=3,-$E298*$I298/12*1,0)))))+IF(DO$5&lt;&gt;$H298,0,IF(DO298&lt;0,IF($J298=1,-$E298*$I298/12*0,IF($J298=2,-$E298*$I298/12*1,IF($J298=3,-$E298*$I298/12*2,IF($J298&gt;=4,-$E298*$I298/12*3,0))))))</f>
        <v>0</v>
      </c>
      <c r="DQ298" s="416">
        <f>IF($H298&lt;&gt;DT$5,0,IF(DT298&lt;0,IF(OR($J298=1,$J298=2,$J298=3,$J298=4),-$E298*$I298/12*3,IF($J298=5,-$E298*$I298/12*2,IF($J298=6,-$E298*$I298/12*1,0)))))+IF(DO$5&lt;&gt;$H298,0,IF(DO298&lt;0,IF($J298=4,-$E298*$I298/12*0,IF($J298=5,-$E298*$I298/12*1,IF($J298=6,-$E298*$I298/12*2,IF($J298&gt;=7,-$E298*$I298/12*3,0))))))</f>
        <v>0</v>
      </c>
      <c r="DR298" s="416">
        <f>IF($H298&lt;&gt;DT$5,0,IF(DT298&lt;0,IF(OR($J298=1,$J298=2,$J298=3,$J298=4,$J298=5,$J298=6,$J298=7),-$E298*$I298/12*3,IF($J298=8,-$E298*$I298/12*2,IF($J298=9,-$E298*$I298/12*1,0)))))+IF(DO$5&lt;&gt;$H298,0,IF(DO298&lt;0,IF($J298=7,-$E298*$I298/12*0,IF($J298=8,-$E298*$I298/12*1,IF($J298=9,-$E298*$I298/12*2,IF($J298&gt;=10,-$E298*$I298/12*3,0))))))</f>
        <v>0</v>
      </c>
      <c r="DS298" s="412">
        <f>IF($H298&lt;&gt;DT$5,0,IF(DT298&lt;0,IF(OR($J298=1,$J298=2,$J298=3,$J298=4,$J298=5,$J298=6,$J298=7,$J298=8,$J298=9,$J298=10),-$E298*$I298/12*3,IF($J298=11,-$E298*$I298/12*2,IF($J298=12,-$E298*$I298/12*1,0)))))+IF(DO$5&lt;&gt;$H298,0,IF(DO298&lt;0,IF($J298=10,-$E298*$I298/12*0,IF($J298=11,-$E298*$I298/12*1,IF($J298=12,-$E298*$I298/12*2,0)))))</f>
        <v>0</v>
      </c>
      <c r="DT298" s="413">
        <f>IF(AND(DO298&lt;&gt;0,DO$5=$H298),-$I298*$E298-DO298,IF(DT$5=$H298,-$I298*$E298*(12-$J298+1)/12,0))</f>
        <v>0</v>
      </c>
    </row>
    <row r="299" spans="1:124" ht="12.75" customHeight="1">
      <c r="A299" s="491"/>
      <c r="C299" s="1884" t="s">
        <v>129</v>
      </c>
      <c r="D299" s="1885"/>
      <c r="E299" s="1886">
        <f>IF(F299=0,G299,F299)</f>
        <v>500</v>
      </c>
      <c r="F299" s="1532">
        <v>0</v>
      </c>
      <c r="G299" s="1532">
        <v>500</v>
      </c>
      <c r="H299" s="610">
        <v>2017</v>
      </c>
      <c r="I299" s="1534">
        <v>4.4999999999999998E-2</v>
      </c>
      <c r="J299" s="617">
        <v>1</v>
      </c>
      <c r="K299" s="402"/>
      <c r="L299" s="407">
        <f>IF(L$5=$H299,-$E299,0)</f>
        <v>0</v>
      </c>
      <c r="M299" s="404">
        <f>IF(Q299=0,0,IF(Q299&lt;0,IF($J299=3,Q299,IF($J299=2,Q299,IF($J299=1,Q299,0)))))</f>
        <v>0</v>
      </c>
      <c r="N299" s="414">
        <f>IF(Q299=0,0,IF(Q299&lt;0,IF($J299=6,Q299,IF($J299=5,Q299,IF($J299=4,Q299,0)))))</f>
        <v>0</v>
      </c>
      <c r="O299" s="414">
        <f>IF(Q299=0,0,IF(Q299&lt;0,IF($J299=9,Q299,IF($J299=8,Q299,IF($J299=7,Q299,0)))))</f>
        <v>0</v>
      </c>
      <c r="P299" s="406">
        <f>IF(Q299=0,0,IF(Q299&lt;0,IF($J299=12,Q299,IF($J299=11,Q299,IF($J299=10,Q299,0)))))</f>
        <v>0</v>
      </c>
      <c r="Q299" s="407">
        <f>IF(Q$5=$H299,-$E299,0)</f>
        <v>0</v>
      </c>
      <c r="R299" s="404">
        <f>IF(V299=0,0,IF(V299&lt;0,IF($J299=3,V299,IF($J299=2,V299,IF($J299=1,V299,0)))))</f>
        <v>0</v>
      </c>
      <c r="S299" s="414">
        <f>IF(V299=0,0,IF(V299&lt;0,IF($J299=6,V299,IF($J299=5,V299,IF($J299=4,V299,0)))))</f>
        <v>0</v>
      </c>
      <c r="T299" s="414">
        <f>IF(V299=0,0,IF(V299&lt;0,IF($J299=9,V299,IF($J299=8,V299,IF($J299=7,V299,0)))))</f>
        <v>0</v>
      </c>
      <c r="U299" s="406">
        <f>IF(V299=0,0,IF(V299&lt;0,IF($J299=12,V299,IF($J299=11,V299,IF($J299=10,V299,0)))))</f>
        <v>0</v>
      </c>
      <c r="V299" s="407">
        <f>IF(V$5=$H299,-$E299,0)</f>
        <v>0</v>
      </c>
      <c r="W299" s="404">
        <f>IF(AA299=0,0,IF(AA299&lt;0,IF($J299=3,AA299,IF($J299=2,AA299,IF($J299=1,AA299,0)))))</f>
        <v>0</v>
      </c>
      <c r="X299" s="414">
        <f>IF(AA299=0,0,IF(AA299&lt;0,IF($J299=6,AA299,IF($J299=5,AA299,IF($J299=4,AA299,0)))))</f>
        <v>0</v>
      </c>
      <c r="Y299" s="414">
        <f>IF(AA299=0,0,IF(AA299&lt;0,IF($J299=9,AA299,IF($J299=8,AA299,IF($J299=7,AA299,0)))))</f>
        <v>0</v>
      </c>
      <c r="Z299" s="406">
        <f>IF(AA299=0,0,IF(AA299&lt;0,IF($J299=12,AA299,IF($J299=11,AA299,IF($J299=10,AA299,0)))))</f>
        <v>0</v>
      </c>
      <c r="AA299" s="407">
        <f>IF(AA$5=$H299,-$E299,0)</f>
        <v>0</v>
      </c>
      <c r="AB299" s="404">
        <f>IF(AF299=0,0,IF(AF299&lt;0,IF($J299=3,AF299,IF($J299=2,AF299,IF($J299=1,AF299,0)))))</f>
        <v>0</v>
      </c>
      <c r="AC299" s="414">
        <f>IF(AF299=0,0,IF(AF299&lt;0,IF($J299=6,AF299,IF($J299=5,AF299,IF($J299=4,AF299,0)))))</f>
        <v>0</v>
      </c>
      <c r="AD299" s="414">
        <f>IF(AF299=0,0,IF(AF299&lt;0,IF($J299=9,AF299,IF($J299=8,AF299,IF($J299=7,AF299,0)))))</f>
        <v>0</v>
      </c>
      <c r="AE299" s="406">
        <f>IF(AF299=0,0,IF(AF299&lt;0,IF($J299=12,AF299,IF($J299=11,AF299,IF($J299=10,AF299,0)))))</f>
        <v>0</v>
      </c>
      <c r="AF299" s="407">
        <f>IF(AF$5=$H299,-$E299,0)</f>
        <v>0</v>
      </c>
      <c r="AG299" s="404">
        <f>IF(AK299=0,0,IF(AK299&lt;0,IF($J299=3,AK299,IF($J299=2,AK299,IF($J299=1,AK299,0)))))</f>
        <v>0</v>
      </c>
      <c r="AH299" s="414">
        <f>IF(AK299=0,0,IF(AK299&lt;0,IF($J299=6,AK299,IF($J299=5,AK299,IF($J299=4,AK299,0)))))</f>
        <v>0</v>
      </c>
      <c r="AI299" s="414">
        <f>IF(AK299=0,0,IF(AK299&lt;0,IF($J299=9,AK299,IF($J299=8,AK299,IF($J299=7,AK299,0)))))</f>
        <v>0</v>
      </c>
      <c r="AJ299" s="406">
        <f>IF(AK299=0,0,IF(AK299&lt;0,IF($J299=12,AK299,IF($J299=11,AK299,IF($J299=10,AK299,0)))))</f>
        <v>0</v>
      </c>
      <c r="AK299" s="407">
        <f>IF(AK$5=$H299,-$E299,0)</f>
        <v>0</v>
      </c>
      <c r="AL299" s="404">
        <f>IF(AP299=0,0,IF(AP299&lt;0,IF($J299=3,AP299,IF($J299=2,AP299,IF($J299=1,AP299,0)))))</f>
        <v>0</v>
      </c>
      <c r="AM299" s="414">
        <f>IF(AP299=0,0,IF(AP299&lt;0,IF($J299=6,AP299,IF($J299=5,AP299,IF($J299=4,AP299,0)))))</f>
        <v>0</v>
      </c>
      <c r="AN299" s="414">
        <f>IF(AP299=0,0,IF(AP299&lt;0,IF($J299=9,AP299,IF($J299=8,AP299,IF($J299=7,AP299,0)))))</f>
        <v>0</v>
      </c>
      <c r="AO299" s="406">
        <f>IF(AP299=0,0,IF(AP299&lt;0,IF($J299=12,AP299,IF($J299=11,AP299,IF($J299=10,AP299,0)))))</f>
        <v>0</v>
      </c>
      <c r="AP299" s="407">
        <f>IF(AP$5=$H299,-$E299,0)</f>
        <v>0</v>
      </c>
      <c r="AQ299" s="404">
        <f>IF(AU299=0,0,IF(AU299&lt;0,IF($J299=3,AU299,IF($J299=2,AU299,IF($J299=1,AU299,0)))))</f>
        <v>-500</v>
      </c>
      <c r="AR299" s="414">
        <f>IF(AU299=0,0,IF(AU299&lt;0,IF($J299=6,AU299,IF($J299=5,AU299,IF($J299=4,AU299,0)))))</f>
        <v>0</v>
      </c>
      <c r="AS299" s="414">
        <f>IF(AU299=0,0,IF(AU299&lt;0,IF($J299=9,AU299,IF($J299=8,AU299,IF($J299=7,AU299,0)))))</f>
        <v>0</v>
      </c>
      <c r="AT299" s="406">
        <f>IF(AU299=0,0,IF(AU299&lt;0,IF($J299=12,AU299,IF($J299=11,AU299,IF($J299=10,AU299,0)))))</f>
        <v>0</v>
      </c>
      <c r="AU299" s="407">
        <f>IF(AU$5=$H299,-$E299,0)</f>
        <v>-500</v>
      </c>
      <c r="AV299" s="404">
        <f>IF(AZ299=0,0,IF(AZ299&lt;0,IF($J299=3,AZ299,IF($J299=2,AZ299,IF($J299=1,AZ299,0)))))</f>
        <v>0</v>
      </c>
      <c r="AW299" s="414">
        <f>IF(AZ299=0,0,IF(AZ299&lt;0,IF($J299=6,AZ299,IF($J299=5,AZ299,IF($J299=4,AZ299,0)))))</f>
        <v>0</v>
      </c>
      <c r="AX299" s="414">
        <f>IF(AZ299=0,0,IF(AZ299&lt;0,IF($J299=9,AZ299,IF($J299=8,AZ299,IF($J299=7,AZ299,0)))))</f>
        <v>0</v>
      </c>
      <c r="AY299" s="406">
        <f>IF(AZ299=0,0,IF(AZ299&lt;0,IF($J299=12,AZ299,IF($J299=11,AZ299,IF($J299=10,AZ299,0)))))</f>
        <v>0</v>
      </c>
      <c r="AZ299" s="407">
        <f>IF(AZ$5=$H299,-$E299,0)</f>
        <v>0</v>
      </c>
      <c r="BA299" s="404">
        <f>IF(BE299=0,0,IF(BE299&lt;0,IF($J299=3,BE299,IF($J299=2,BE299,IF($J299=1,BE299,0)))))</f>
        <v>0</v>
      </c>
      <c r="BB299" s="414">
        <f>IF(BE299=0,0,IF(BE299&lt;0,IF($J299=6,BE299,IF($J299=5,BE299,IF($J299=4,BE299,0)))))</f>
        <v>0</v>
      </c>
      <c r="BC299" s="414">
        <f>IF(BE299=0,0,IF(BE299&lt;0,IF($J299=9,BE299,IF($J299=8,BE299,IF($J299=7,BE299,0)))))</f>
        <v>0</v>
      </c>
      <c r="BD299" s="406">
        <f>IF(BE299=0,0,IF(BE299&lt;0,IF($J299=12,BE299,IF($J299=11,BE299,IF($J299=10,BE299,0)))))</f>
        <v>0</v>
      </c>
      <c r="BE299" s="407">
        <f>IF(BE$5=$H299,-$E299,0)</f>
        <v>0</v>
      </c>
      <c r="BF299" s="404">
        <f>IF(BJ299=0,0,IF(BJ299&lt;0,IF($J299=3,BJ299,IF($J299=2,BJ299,IF($J299=1,BJ299,0)))))</f>
        <v>0</v>
      </c>
      <c r="BG299" s="414">
        <f>IF(BJ299=0,0,IF(BJ299&lt;0,IF($J299=6,BJ299,IF($J299=5,BJ299,IF($J299=4,BJ299,0)))))</f>
        <v>0</v>
      </c>
      <c r="BH299" s="414">
        <f>IF(BJ299=0,0,IF(BJ299&lt;0,IF($J299=9,BJ299,IF($J299=8,BJ299,IF($J299=7,BJ299,0)))))</f>
        <v>0</v>
      </c>
      <c r="BI299" s="406">
        <f>IF(BJ299=0,0,IF(BJ299&lt;0,IF($J299=12,BJ299,IF($J299=11,BJ299,IF($J299=10,BJ299,0)))))</f>
        <v>0</v>
      </c>
      <c r="BJ299" s="407">
        <f>IF(BJ$5=$H299,-$E299,0)</f>
        <v>0</v>
      </c>
      <c r="BK299" s="404">
        <f>IF(BO299=0,0,IF(BO299&lt;0,IF($J299=3,BO299,IF($J299=2,BO299,IF($J299=1,BO299,0)))))</f>
        <v>0</v>
      </c>
      <c r="BL299" s="414">
        <f>IF(BO299=0,0,IF(BO299&lt;0,IF($J299=6,BO299,IF($J299=5,BO299,IF($J299=4,BO299,0)))))</f>
        <v>0</v>
      </c>
      <c r="BM299" s="414">
        <f>IF(BO299=0,0,IF(BO299&lt;0,IF($J299=9,BO299,IF($J299=8,BO299,IF($J299=7,BO299,0)))))</f>
        <v>0</v>
      </c>
      <c r="BN299" s="406">
        <f>IF(BO299=0,0,IF(BO299&lt;0,IF($J299=12,BO299,IF($J299=11,BO299,IF($J299=10,BO299,0)))))</f>
        <v>0</v>
      </c>
      <c r="BO299" s="407">
        <f>IF(BO$5=$H299,-$E299,0)</f>
        <v>0</v>
      </c>
      <c r="BP299" s="449"/>
      <c r="BQ299" s="413">
        <f>IF(AND(AH299&lt;&gt;0,AH$5=$H299),-$I299*$E299-AH299,IF(BQ$5=$H299,-$I299*$E299*(12-$J299+1)/12,0))</f>
        <v>0</v>
      </c>
      <c r="BR299" s="410">
        <f>IF($H299&lt;&gt;BV$5,0,IF(BV299&lt;0,IF($J299=1,-$E299*$I299/12*3,IF($J299=2,-$E299*$I299/12*2,IF($J299=3,-$E299*$I299/12*1,0)))))+IF(BQ$5&lt;&gt;$H299,0,IF(BQ299&lt;0,IF($J299=1,-$E299*$I299/12*0,IF($J299=2,-$E299*$I299/12*1,IF($J299=3,-$E299*$I299/12*2,IF($J299&gt;=4,-$E299*$I299/12*3,0))))))</f>
        <v>0</v>
      </c>
      <c r="BS299" s="416">
        <f>IF($H299&lt;&gt;BV$5,0,IF(BV299&lt;0,IF(OR($J299=1,$J299=2,$J299=3,$J299=4),-$E299*$I299/12*3,IF($J299=5,-$E299*$I299/12*2,IF($J299=6,-$E299*$I299/12*1,0)))))+IF(BQ$5&lt;&gt;$H299,0,IF(BQ299&lt;0,IF($J299=4,-$E299*$I299/12*0,IF($J299=5,-$E299*$I299/12*1,IF($J299=6,-$E299*$I299/12*2,IF($J299&gt;=7,-$E299*$I299/12*3,0))))))</f>
        <v>0</v>
      </c>
      <c r="BT299" s="416">
        <f>IF($H299&lt;&gt;BV$5,0,IF(BV299&lt;0,IF(OR($J299=1,$J299=2,$J299=3,$J299=4,$J299=5,$J299=6,$J299=7),-$E299*$I299/12*3,IF($J299=8,-$E299*$I299/12*2,IF($J299=9,-$E299*$I299/12*1,0)))))+IF(BQ$5&lt;&gt;$H299,0,IF(BQ299&lt;0,IF($J299=7,-$E299*$I299/12*0,IF($J299=8,-$E299*$I299/12*1,IF($J299=9,-$E299*$I299/12*2,IF($J299&gt;=10,-$E299*$I299/12*3,0))))))</f>
        <v>0</v>
      </c>
      <c r="BU299" s="412">
        <f>IF($H299&lt;&gt;BV$5,0,IF(BV299&lt;0,IF(OR($J299=1,$J299=2,$J299=3,$J299=4,$J299=5,$J299=6,$J299=7,$J299=8,$J299=9,$J299=10),-$E299*$I299/12*3,IF($J299=11,-$E299*$I299/12*2,IF($J299=12,-$E299*$I299/12*1,0)))))+IF(BQ$5&lt;&gt;$H299,0,IF(BQ299&lt;0,IF($J299=10,-$E299*$I299/12*0,IF($J299=11,-$E299*$I299/12*1,IF($J299=12,-$E299*$I299/12*2,0)))))</f>
        <v>0</v>
      </c>
      <c r="BV299" s="413">
        <f>IF(AND(BQ299&lt;&gt;0,BQ$5=$H299),-$I299*$E299-BQ299,IF(BV$5=$H299,-$I299*$E299*(12-$J299+1)/12,0))</f>
        <v>0</v>
      </c>
      <c r="BW299" s="410">
        <f>IF($H299&lt;&gt;CA$5,0,IF(CA299&lt;0,IF($J299=1,-$E299*$I299/12*3,IF($J299=2,-$E299*$I299/12*2,IF($J299=3,-$E299*$I299/12*1,0)))))+IF(BV$5&lt;&gt;$H299,0,IF(BV299&lt;0,IF($J299=1,-$E299*$I299/12*0,IF($J299=2,-$E299*$I299/12*1,IF($J299=3,-$E299*$I299/12*2,IF($J299&gt;=4,-$E299*$I299/12*3,0))))))</f>
        <v>0</v>
      </c>
      <c r="BX299" s="416">
        <f>IF($H299&lt;&gt;CA$5,0,IF(CA299&lt;0,IF(OR($J299=1,$J299=2,$J299=3,$J299=4),-$E299*$I299/12*3,IF($J299=5,-$E299*$I299/12*2,IF($J299=6,-$E299*$I299/12*1,0)))))+IF(BV$5&lt;&gt;$H299,0,IF(BV299&lt;0,IF($J299=4,-$E299*$I299/12*0,IF($J299=5,-$E299*$I299/12*1,IF($J299=6,-$E299*$I299/12*2,IF($J299&gt;=7,-$E299*$I299/12*3,0))))))</f>
        <v>0</v>
      </c>
      <c r="BY299" s="416">
        <f>IF($H299&lt;&gt;CA$5,0,IF(CA299&lt;0,IF(OR($J299=1,$J299=2,$J299=3,$J299=4,$J299=5,$J299=6,$J299=7),-$E299*$I299/12*3,IF($J299=8,-$E299*$I299/12*2,IF($J299=9,-$E299*$I299/12*1,0)))))+IF(BV$5&lt;&gt;$H299,0,IF(BV299&lt;0,IF($J299=7,-$E299*$I299/12*0,IF($J299=8,-$E299*$I299/12*1,IF($J299=9,-$E299*$I299/12*2,IF($J299&gt;=10,-$E299*$I299/12*3,0))))))</f>
        <v>0</v>
      </c>
      <c r="BZ299" s="412">
        <f>IF($H299&lt;&gt;CA$5,0,IF(CA299&lt;0,IF(OR($J299=1,$J299=2,$J299=3,$J299=4,$J299=5,$J299=6,$J299=7,$J299=8,$J299=9,$J299=10),-$E299*$I299/12*3,IF($J299=11,-$E299*$I299/12*2,IF($J299=12,-$E299*$I299/12*1,0)))))+IF(BV$5&lt;&gt;$H299,0,IF(BV299&lt;0,IF($J299=10,-$E299*$I299/12*0,IF($J299=11,-$E299*$I299/12*1,IF($J299=12,-$E299*$I299/12*2,0)))))</f>
        <v>0</v>
      </c>
      <c r="CA299" s="413">
        <f>IF(AND(BV299&lt;&gt;0,BV$5=$H299),-$I299*$E299-BV299,IF(CA$5=$H299,-$I299*$E299*(12-$J299+1)/12,0))</f>
        <v>0</v>
      </c>
      <c r="CB299" s="410">
        <f>IF($H299&lt;&gt;CF$5,0,IF(CF299&lt;0,IF($J299=1,-$E299*$I299/12*3,IF($J299=2,-$E299*$I299/12*2,IF($J299=3,-$E299*$I299/12*1,0)))))+IF(CA$5&lt;&gt;$H299,0,IF(CA299&lt;0,IF($J299=1,-$E299*$I299/12*0,IF($J299=2,-$E299*$I299/12*1,IF($J299=3,-$E299*$I299/12*2,IF($J299&gt;=4,-$E299*$I299/12*3,0))))))</f>
        <v>0</v>
      </c>
      <c r="CC299" s="416">
        <f>IF($H299&lt;&gt;CF$5,0,IF(CF299&lt;0,IF(OR($J299=1,$J299=2,$J299=3,$J299=4),-$E299*$I299/12*3,IF($J299=5,-$E299*$I299/12*2,IF($J299=6,-$E299*$I299/12*1,0)))))+IF(CA$5&lt;&gt;$H299,0,IF(CA299&lt;0,IF($J299=4,-$E299*$I299/12*0,IF($J299=5,-$E299*$I299/12*1,IF($J299=6,-$E299*$I299/12*2,IF($J299&gt;=7,-$E299*$I299/12*3,0))))))</f>
        <v>0</v>
      </c>
      <c r="CD299" s="416">
        <f>IF($H299&lt;&gt;CF$5,0,IF(CF299&lt;0,IF(OR($J299=1,$J299=2,$J299=3,$J299=4,$J299=5,$J299=6,$J299=7),-$E299*$I299/12*3,IF($J299=8,-$E299*$I299/12*2,IF($J299=9,-$E299*$I299/12*1,0)))))+IF(CA$5&lt;&gt;$H299,0,IF(CA299&lt;0,IF($J299=7,-$E299*$I299/12*0,IF($J299=8,-$E299*$I299/12*1,IF($J299=9,-$E299*$I299/12*2,IF($J299&gt;=10,-$E299*$I299/12*3,0))))))</f>
        <v>0</v>
      </c>
      <c r="CE299" s="412">
        <f>IF($H299&lt;&gt;CF$5,0,IF(CF299&lt;0,IF(OR($J299=1,$J299=2,$J299=3,$J299=4,$J299=5,$J299=6,$J299=7,$J299=8,$J299=9,$J299=10),-$E299*$I299/12*3,IF($J299=11,-$E299*$I299/12*2,IF($J299=12,-$E299*$I299/12*1,0)))))+IF(CA$5&lt;&gt;$H299,0,IF(CA299&lt;0,IF($J299=10,-$E299*$I299/12*0,IF($J299=11,-$E299*$I299/12*1,IF($J299=12,-$E299*$I299/12*2,0)))))</f>
        <v>0</v>
      </c>
      <c r="CF299" s="413">
        <f>IF(AND(CA299&lt;&gt;0,CA$5=$H299),-$I299*$E299-CA299,IF(CF$5=$H299,-$I299*$E299*(12-$J299+1)/12,0))</f>
        <v>0</v>
      </c>
      <c r="CG299" s="410">
        <f>IF($H299&lt;&gt;CK$5,0,IF(CK299&lt;0,IF($J299=1,-$E299*$I299/12*3,IF($J299=2,-$E299*$I299/12*2,IF($J299=3,-$E299*$I299/12*1,0)))))+IF(CF$5&lt;&gt;$H299,0,IF(CF299&lt;0,IF($J299=1,-$E299*$I299/12*0,IF($J299=2,-$E299*$I299/12*1,IF($J299=3,-$E299*$I299/12*2,IF($J299&gt;=4,-$E299*$I299/12*3,0))))))</f>
        <v>0</v>
      </c>
      <c r="CH299" s="416">
        <f>IF($H299&lt;&gt;CK$5,0,IF(CK299&lt;0,IF(OR($J299=1,$J299=2,$J299=3,$J299=4),-$E299*$I299/12*3,IF($J299=5,-$E299*$I299/12*2,IF($J299=6,-$E299*$I299/12*1,0)))))+IF(CF$5&lt;&gt;$H299,0,IF(CF299&lt;0,IF($J299=4,-$E299*$I299/12*0,IF($J299=5,-$E299*$I299/12*1,IF($J299=6,-$E299*$I299/12*2,IF($J299&gt;=7,-$E299*$I299/12*3,0))))))</f>
        <v>0</v>
      </c>
      <c r="CI299" s="416">
        <f>IF($H299&lt;&gt;CK$5,0,IF(CK299&lt;0,IF(OR($J299=1,$J299=2,$J299=3,$J299=4,$J299=5,$J299=6,$J299=7),-$E299*$I299/12*3,IF($J299=8,-$E299*$I299/12*2,IF($J299=9,-$E299*$I299/12*1,0)))))+IF(CF$5&lt;&gt;$H299,0,IF(CF299&lt;0,IF($J299=7,-$E299*$I299/12*0,IF($J299=8,-$E299*$I299/12*1,IF($J299=9,-$E299*$I299/12*2,IF($J299&gt;=10,-$E299*$I299/12*3,0))))))</f>
        <v>0</v>
      </c>
      <c r="CJ299" s="412">
        <f>IF($H299&lt;&gt;CK$5,0,IF(CK299&lt;0,IF(OR($J299=1,$J299=2,$J299=3,$J299=4,$J299=5,$J299=6,$J299=7,$J299=8,$J299=9,$J299=10),-$E299*$I299/12*3,IF($J299=11,-$E299*$I299/12*2,IF($J299=12,-$E299*$I299/12*1,0)))))+IF(CF$5&lt;&gt;$H299,0,IF(CF299&lt;0,IF($J299=10,-$E299*$I299/12*0,IF($J299=11,-$E299*$I299/12*1,IF($J299=12,-$E299*$I299/12*2,0)))))</f>
        <v>0</v>
      </c>
      <c r="CK299" s="413">
        <f>IF(AND(CF299&lt;&gt;0,CF$5=$H299),-$I299*$E299-CF299,IF(CK$5=$H299,-$I299*$E299*(12-$J299+1)/12,0))</f>
        <v>0</v>
      </c>
      <c r="CL299" s="410">
        <f>IF($H299&lt;&gt;CP$5,0,IF(CP299&lt;0,IF($J299=1,-$E299*$I299/12*3,IF($J299=2,-$E299*$I299/12*2,IF($J299=3,-$E299*$I299/12*1,0)))))+IF(CK$5&lt;&gt;$H299,0,IF(CK299&lt;0,IF($J299=1,-$E299*$I299/12*0,IF($J299=2,-$E299*$I299/12*1,IF($J299=3,-$E299*$I299/12*2,IF($J299&gt;=4,-$E299*$I299/12*3,0))))))</f>
        <v>0</v>
      </c>
      <c r="CM299" s="416">
        <f>IF($H299&lt;&gt;CP$5,0,IF(CP299&lt;0,IF(OR($J299=1,$J299=2,$J299=3,$J299=4),-$E299*$I299/12*3,IF($J299=5,-$E299*$I299/12*2,IF($J299=6,-$E299*$I299/12*1,0)))))+IF(CK$5&lt;&gt;$H299,0,IF(CK299&lt;0,IF($J299=4,-$E299*$I299/12*0,IF($J299=5,-$E299*$I299/12*1,IF($J299=6,-$E299*$I299/12*2,IF($J299&gt;=7,-$E299*$I299/12*3,0))))))</f>
        <v>0</v>
      </c>
      <c r="CN299" s="416">
        <f>IF($H299&lt;&gt;CP$5,0,IF(CP299&lt;0,IF(OR($J299=1,$J299=2,$J299=3,$J299=4,$J299=5,$J299=6,$J299=7),-$E299*$I299/12*3,IF($J299=8,-$E299*$I299/12*2,IF($J299=9,-$E299*$I299/12*1,0)))))+IF(CK$5&lt;&gt;$H299,0,IF(CK299&lt;0,IF($J299=7,-$E299*$I299/12*0,IF($J299=8,-$E299*$I299/12*1,IF($J299=9,-$E299*$I299/12*2,IF($J299&gt;=10,-$E299*$I299/12*3,0))))))</f>
        <v>0</v>
      </c>
      <c r="CO299" s="412">
        <f>IF($H299&lt;&gt;CP$5,0,IF(CP299&lt;0,IF(OR($J299=1,$J299=2,$J299=3,$J299=4,$J299=5,$J299=6,$J299=7,$J299=8,$J299=9,$J299=10),-$E299*$I299/12*3,IF($J299=11,-$E299*$I299/12*2,IF($J299=12,-$E299*$I299/12*1,0)))))+IF(CK$5&lt;&gt;$H299,0,IF(CK299&lt;0,IF($J299=10,-$E299*$I299/12*0,IF($J299=11,-$E299*$I299/12*1,IF($J299=12,-$E299*$I299/12*2,0)))))</f>
        <v>0</v>
      </c>
      <c r="CP299" s="413">
        <f>IF(AND(CK299&lt;&gt;0,CK$5=$H299),-$I299*$E299-CK299,IF(CP$5=$H299,-$I299*$E299*(12-$J299+1)/12,0))</f>
        <v>0</v>
      </c>
      <c r="CQ299" s="410">
        <f>IF($H299&lt;&gt;CU$5,0,IF(CU299&lt;0,IF($J299=1,-$E299*$I299/12*3,IF($J299=2,-$E299*$I299/12*2,IF($J299=3,-$E299*$I299/12*1,0)))))+IF(CP$5&lt;&gt;$H299,0,IF(CP299&lt;0,IF($J299=1,-$E299*$I299/12*0,IF($J299=2,-$E299*$I299/12*1,IF($J299=3,-$E299*$I299/12*2,IF($J299&gt;=4,-$E299*$I299/12*3,0))))))</f>
        <v>0</v>
      </c>
      <c r="CR299" s="416">
        <f>IF($H299&lt;&gt;CU$5,0,IF(CU299&lt;0,IF(OR($J299=1,$J299=2,$J299=3,$J299=4),-$E299*$I299/12*3,IF($J299=5,-$E299*$I299/12*2,IF($J299=6,-$E299*$I299/12*1,0)))))+IF(CP$5&lt;&gt;$H299,0,IF(CP299&lt;0,IF($J299=4,-$E299*$I299/12*0,IF($J299=5,-$E299*$I299/12*1,IF($J299=6,-$E299*$I299/12*2,IF($J299&gt;=7,-$E299*$I299/12*3,0))))))</f>
        <v>0</v>
      </c>
      <c r="CS299" s="416">
        <f>IF($H299&lt;&gt;CU$5,0,IF(CU299&lt;0,IF(OR($J299=1,$J299=2,$J299=3,$J299=4,$J299=5,$J299=6,$J299=7),-$E299*$I299/12*3,IF($J299=8,-$E299*$I299/12*2,IF($J299=9,-$E299*$I299/12*1,0)))))+IF(CP$5&lt;&gt;$H299,0,IF(CP299&lt;0,IF($J299=7,-$E299*$I299/12*0,IF($J299=8,-$E299*$I299/12*1,IF($J299=9,-$E299*$I299/12*2,IF($J299&gt;=10,-$E299*$I299/12*3,0))))))</f>
        <v>0</v>
      </c>
      <c r="CT299" s="412">
        <f>IF($H299&lt;&gt;CU$5,0,IF(CU299&lt;0,IF(OR($J299=1,$J299=2,$J299=3,$J299=4,$J299=5,$J299=6,$J299=7,$J299=8,$J299=9,$J299=10),-$E299*$I299/12*3,IF($J299=11,-$E299*$I299/12*2,IF($J299=12,-$E299*$I299/12*1,0)))))+IF(CP$5&lt;&gt;$H299,0,IF(CP299&lt;0,IF($J299=10,-$E299*$I299/12*0,IF($J299=11,-$E299*$I299/12*1,IF($J299=12,-$E299*$I299/12*2,0)))))</f>
        <v>0</v>
      </c>
      <c r="CU299" s="413">
        <f>IF(AND(CP299&lt;&gt;0,CP$5=$H299),-$I299*$E299-CP299,IF(CU$5=$H299,-$I299*$E299*(12-$J299+1)/12,0))</f>
        <v>0</v>
      </c>
      <c r="CV299" s="410">
        <f>IF($H299&lt;&gt;CZ$5,0,IF(CZ299&lt;0,IF($J299=1,-$E299*$I299/12*3,IF($J299=2,-$E299*$I299/12*2,IF($J299=3,-$E299*$I299/12*1,0)))))+IF(CU$5&lt;&gt;$H299,0,IF(CU299&lt;0,IF($J299=1,-$E299*$I299/12*0,IF($J299=2,-$E299*$I299/12*1,IF($J299=3,-$E299*$I299/12*2,IF($J299&gt;=4,-$E299*$I299/12*3,0))))))</f>
        <v>-5.625</v>
      </c>
      <c r="CW299" s="416">
        <f>IF($H299&lt;&gt;CZ$5,0,IF(CZ299&lt;0,IF(OR($J299=1,$J299=2,$J299=3,$J299=4),-$E299*$I299/12*3,IF($J299=5,-$E299*$I299/12*2,IF($J299=6,-$E299*$I299/12*1,0)))))+IF(CU$5&lt;&gt;$H299,0,IF(CU299&lt;0,IF($J299=4,-$E299*$I299/12*0,IF($J299=5,-$E299*$I299/12*1,IF($J299=6,-$E299*$I299/12*2,IF($J299&gt;=7,-$E299*$I299/12*3,0))))))</f>
        <v>-5.625</v>
      </c>
      <c r="CX299" s="416">
        <f>IF($H299&lt;&gt;CZ$5,0,IF(CZ299&lt;0,IF(OR($J299=1,$J299=2,$J299=3,$J299=4,$J299=5,$J299=6,$J299=7),-$E299*$I299/12*3,IF($J299=8,-$E299*$I299/12*2,IF($J299=9,-$E299*$I299/12*1,0)))))+IF(CU$5&lt;&gt;$H299,0,IF(CU299&lt;0,IF($J299=7,-$E299*$I299/12*0,IF($J299=8,-$E299*$I299/12*1,IF($J299=9,-$E299*$I299/12*2,IF($J299&gt;=10,-$E299*$I299/12*3,0))))))</f>
        <v>-5.625</v>
      </c>
      <c r="CY299" s="412">
        <f>IF($H299&lt;&gt;CZ$5,0,IF(CZ299&lt;0,IF(OR($J299=1,$J299=2,$J299=3,$J299=4,$J299=5,$J299=6,$J299=7,$J299=8,$J299=9,$J299=10),-$E299*$I299/12*3,IF($J299=11,-$E299*$I299/12*2,IF($J299=12,-$E299*$I299/12*1,0)))))+IF(CU$5&lt;&gt;$H299,0,IF(CU299&lt;0,IF($J299=10,-$E299*$I299/12*0,IF($J299=11,-$E299*$I299/12*1,IF($J299=12,-$E299*$I299/12*2,0)))))</f>
        <v>-5.625</v>
      </c>
      <c r="CZ299" s="413">
        <f>IF(AND(CU299&lt;&gt;0,CU$5=$H299),-$I299*$E299-CU299,IF(CZ$5=$H299,-$I299*$E299*(12-$J299+1)/12,0))</f>
        <v>-22.5</v>
      </c>
      <c r="DA299" s="410">
        <f>IF($H299&lt;&gt;DE$5,0,IF(DE299&lt;0,IF($J299=1,-$E299*$I299/12*3,IF($J299=2,-$E299*$I299/12*2,IF($J299=3,-$E299*$I299/12*1,0)))))+IF(CZ$5&lt;&gt;$H299,0,IF(CZ299&lt;0,IF($J299=1,-$E299*$I299/12*0,IF($J299=2,-$E299*$I299/12*1,IF($J299=3,-$E299*$I299/12*2,IF($J299&gt;=4,-$E299*$I299/12*3,0))))))</f>
        <v>0</v>
      </c>
      <c r="DB299" s="416">
        <f>IF($H299&lt;&gt;DE$5,0,IF(DE299&lt;0,IF(OR($J299=1,$J299=2,$J299=3,$J299=4),-$E299*$I299/12*3,IF($J299=5,-$E299*$I299/12*2,IF($J299=6,-$E299*$I299/12*1,0)))))+IF(CZ$5&lt;&gt;$H299,0,IF(CZ299&lt;0,IF($J299=4,-$E299*$I299/12*0,IF($J299=5,-$E299*$I299/12*1,IF($J299=6,-$E299*$I299/12*2,IF($J299&gt;=7,-$E299*$I299/12*3,0))))))</f>
        <v>0</v>
      </c>
      <c r="DC299" s="416">
        <f>IF($H299&lt;&gt;DE$5,0,IF(DE299&lt;0,IF(OR($J299=1,$J299=2,$J299=3,$J299=4,$J299=5,$J299=6,$J299=7),-$E299*$I299/12*3,IF($J299=8,-$E299*$I299/12*2,IF($J299=9,-$E299*$I299/12*1,0)))))+IF(CZ$5&lt;&gt;$H299,0,IF(CZ299&lt;0,IF($J299=7,-$E299*$I299/12*0,IF($J299=8,-$E299*$I299/12*1,IF($J299=9,-$E299*$I299/12*2,IF($J299&gt;=10,-$E299*$I299/12*3,0))))))</f>
        <v>0</v>
      </c>
      <c r="DD299" s="412">
        <f>IF($H299&lt;&gt;DE$5,0,IF(DE299&lt;0,IF(OR($J299=1,$J299=2,$J299=3,$J299=4,$J299=5,$J299=6,$J299=7,$J299=8,$J299=9,$J299=10),-$E299*$I299/12*3,IF($J299=11,-$E299*$I299/12*2,IF($J299=12,-$E299*$I299/12*1,0)))))+IF(CZ$5&lt;&gt;$H299,0,IF(CZ299&lt;0,IF($J299=10,-$E299*$I299/12*0,IF($J299=11,-$E299*$I299/12*1,IF($J299=12,-$E299*$I299/12*2,0)))))</f>
        <v>0</v>
      </c>
      <c r="DE299" s="413">
        <f>IF(AND(CZ299&lt;&gt;0,CZ$5=$H299),-$I299*$E299-CZ299,IF(DE$5=$H299,-$I299*$E299*(12-$J299+1)/12,0))</f>
        <v>0</v>
      </c>
      <c r="DF299" s="410">
        <f>IF($H299&lt;&gt;DJ$5,0,IF(DJ299&lt;0,IF($J299=1,-$E299*$I299/12*3,IF($J299=2,-$E299*$I299/12*2,IF($J299=3,-$E299*$I299/12*1,0)))))+IF(DE$5&lt;&gt;$H299,0,IF(DE299&lt;0,IF($J299=1,-$E299*$I299/12*0,IF($J299=2,-$E299*$I299/12*1,IF($J299=3,-$E299*$I299/12*2,IF($J299&gt;=4,-$E299*$I299/12*3,0))))))</f>
        <v>0</v>
      </c>
      <c r="DG299" s="416">
        <f>IF($H299&lt;&gt;DJ$5,0,IF(DJ299&lt;0,IF(OR($J299=1,$J299=2,$J299=3,$J299=4),-$E299*$I299/12*3,IF($J299=5,-$E299*$I299/12*2,IF($J299=6,-$E299*$I299/12*1,0)))))+IF(DE$5&lt;&gt;$H299,0,IF(DE299&lt;0,IF($J299=4,-$E299*$I299/12*0,IF($J299=5,-$E299*$I299/12*1,IF($J299=6,-$E299*$I299/12*2,IF($J299&gt;=7,-$E299*$I299/12*3,0))))))</f>
        <v>0</v>
      </c>
      <c r="DH299" s="416">
        <f>IF($H299&lt;&gt;DJ$5,0,IF(DJ299&lt;0,IF(OR($J299=1,$J299=2,$J299=3,$J299=4,$J299=5,$J299=6,$J299=7),-$E299*$I299/12*3,IF($J299=8,-$E299*$I299/12*2,IF($J299=9,-$E299*$I299/12*1,0)))))+IF(DE$5&lt;&gt;$H299,0,IF(DE299&lt;0,IF($J299=7,-$E299*$I299/12*0,IF($J299=8,-$E299*$I299/12*1,IF($J299=9,-$E299*$I299/12*2,IF($J299&gt;=10,-$E299*$I299/12*3,0))))))</f>
        <v>0</v>
      </c>
      <c r="DI299" s="412">
        <f>IF($H299&lt;&gt;DJ$5,0,IF(DJ299&lt;0,IF(OR($J299=1,$J299=2,$J299=3,$J299=4,$J299=5,$J299=6,$J299=7,$J299=8,$J299=9,$J299=10),-$E299*$I299/12*3,IF($J299=11,-$E299*$I299/12*2,IF($J299=12,-$E299*$I299/12*1,0)))))+IF(DE$5&lt;&gt;$H299,0,IF(DE299&lt;0,IF($J299=10,-$E299*$I299/12*0,IF($J299=11,-$E299*$I299/12*1,IF($J299=12,-$E299*$I299/12*2,0)))))</f>
        <v>0</v>
      </c>
      <c r="DJ299" s="413">
        <f>IF(AND(DE299&lt;&gt;0,DE$5=$H299),-$I299*$E299-DE299,IF(DJ$5=$H299,-$I299*$E299*(12-$J299+1)/12,0))</f>
        <v>0</v>
      </c>
      <c r="DK299" s="410">
        <f>IF($H299&lt;&gt;DO$5,0,IF(DO299&lt;0,IF($J299=1,-$E299*$I299/12*3,IF($J299=2,-$E299*$I299/12*2,IF($J299=3,-$E299*$I299/12*1,0)))))+IF(DJ$5&lt;&gt;$H299,0,IF(DJ299&lt;0,IF($J299=1,-$E299*$I299/12*0,IF($J299=2,-$E299*$I299/12*1,IF($J299=3,-$E299*$I299/12*2,IF($J299&gt;=4,-$E299*$I299/12*3,0))))))</f>
        <v>0</v>
      </c>
      <c r="DL299" s="416">
        <f>IF($H299&lt;&gt;DO$5,0,IF(DO299&lt;0,IF(OR($J299=1,$J299=2,$J299=3,$J299=4),-$E299*$I299/12*3,IF($J299=5,-$E299*$I299/12*2,IF($J299=6,-$E299*$I299/12*1,0)))))+IF(DJ$5&lt;&gt;$H299,0,IF(DJ299&lt;0,IF($J299=4,-$E299*$I299/12*0,IF($J299=5,-$E299*$I299/12*1,IF($J299=6,-$E299*$I299/12*2,IF($J299&gt;=7,-$E299*$I299/12*3,0))))))</f>
        <v>0</v>
      </c>
      <c r="DM299" s="416">
        <f>IF($H299&lt;&gt;DO$5,0,IF(DO299&lt;0,IF(OR($J299=1,$J299=2,$J299=3,$J299=4,$J299=5,$J299=6,$J299=7),-$E299*$I299/12*3,IF($J299=8,-$E299*$I299/12*2,IF($J299=9,-$E299*$I299/12*1,0)))))+IF(DJ$5&lt;&gt;$H299,0,IF(DJ299&lt;0,IF($J299=7,-$E299*$I299/12*0,IF($J299=8,-$E299*$I299/12*1,IF($J299=9,-$E299*$I299/12*2,IF($J299&gt;=10,-$E299*$I299/12*3,0))))))</f>
        <v>0</v>
      </c>
      <c r="DN299" s="412">
        <f>IF($H299&lt;&gt;DO$5,0,IF(DO299&lt;0,IF(OR($J299=1,$J299=2,$J299=3,$J299=4,$J299=5,$J299=6,$J299=7,$J299=8,$J299=9,$J299=10),-$E299*$I299/12*3,IF($J299=11,-$E299*$I299/12*2,IF($J299=12,-$E299*$I299/12*1,0)))))+IF(DJ$5&lt;&gt;$H299,0,IF(DJ299&lt;0,IF($J299=10,-$E299*$I299/12*0,IF($J299=11,-$E299*$I299/12*1,IF($J299=12,-$E299*$I299/12*2,0)))))</f>
        <v>0</v>
      </c>
      <c r="DO299" s="413">
        <f>IF(AND(DJ299&lt;&gt;0,DJ$5=$H299),-$I299*$E299-DJ299,IF(DO$5=$H299,-$I299*$E299*(12-$J299+1)/12,0))</f>
        <v>0</v>
      </c>
      <c r="DP299" s="410">
        <f>IF($H299&lt;&gt;DT$5,0,IF(DT299&lt;0,IF($J299=1,-$E299*$I299/12*3,IF($J299=2,-$E299*$I299/12*2,IF($J299=3,-$E299*$I299/12*1,0)))))+IF(DO$5&lt;&gt;$H299,0,IF(DO299&lt;0,IF($J299=1,-$E299*$I299/12*0,IF($J299=2,-$E299*$I299/12*1,IF($J299=3,-$E299*$I299/12*2,IF($J299&gt;=4,-$E299*$I299/12*3,0))))))</f>
        <v>0</v>
      </c>
      <c r="DQ299" s="416">
        <f>IF($H299&lt;&gt;DT$5,0,IF(DT299&lt;0,IF(OR($J299=1,$J299=2,$J299=3,$J299=4),-$E299*$I299/12*3,IF($J299=5,-$E299*$I299/12*2,IF($J299=6,-$E299*$I299/12*1,0)))))+IF(DO$5&lt;&gt;$H299,0,IF(DO299&lt;0,IF($J299=4,-$E299*$I299/12*0,IF($J299=5,-$E299*$I299/12*1,IF($J299=6,-$E299*$I299/12*2,IF($J299&gt;=7,-$E299*$I299/12*3,0))))))</f>
        <v>0</v>
      </c>
      <c r="DR299" s="416">
        <f>IF($H299&lt;&gt;DT$5,0,IF(DT299&lt;0,IF(OR($J299=1,$J299=2,$J299=3,$J299=4,$J299=5,$J299=6,$J299=7),-$E299*$I299/12*3,IF($J299=8,-$E299*$I299/12*2,IF($J299=9,-$E299*$I299/12*1,0)))))+IF(DO$5&lt;&gt;$H299,0,IF(DO299&lt;0,IF($J299=7,-$E299*$I299/12*0,IF($J299=8,-$E299*$I299/12*1,IF($J299=9,-$E299*$I299/12*2,IF($J299&gt;=10,-$E299*$I299/12*3,0))))))</f>
        <v>0</v>
      </c>
      <c r="DS299" s="412">
        <f>IF($H299&lt;&gt;DT$5,0,IF(DT299&lt;0,IF(OR($J299=1,$J299=2,$J299=3,$J299=4,$J299=5,$J299=6,$J299=7,$J299=8,$J299=9,$J299=10),-$E299*$I299/12*3,IF($J299=11,-$E299*$I299/12*2,IF($J299=12,-$E299*$I299/12*1,0)))))+IF(DO$5&lt;&gt;$H299,0,IF(DO299&lt;0,IF($J299=10,-$E299*$I299/12*0,IF($J299=11,-$E299*$I299/12*1,IF($J299=12,-$E299*$I299/12*2,0)))))</f>
        <v>0</v>
      </c>
      <c r="DT299" s="413">
        <f>IF(AND(DO299&lt;&gt;0,DO$5=$H299),-$I299*$E299-DO299,IF(DT$5=$H299,-$I299*$E299*(12-$J299+1)/12,0))</f>
        <v>0</v>
      </c>
    </row>
    <row r="300" spans="1:124" ht="12.75" customHeight="1">
      <c r="A300" s="491"/>
      <c r="C300" s="1885" t="s">
        <v>1301</v>
      </c>
      <c r="D300" s="1885"/>
      <c r="E300" s="1887">
        <f>IF(F300=0,G300,F300)</f>
        <v>125</v>
      </c>
      <c r="F300" s="1532">
        <v>125</v>
      </c>
      <c r="G300" s="1532">
        <v>125</v>
      </c>
      <c r="H300" s="610">
        <v>2018</v>
      </c>
      <c r="I300" s="1534">
        <v>4.4999999999999998E-2</v>
      </c>
      <c r="J300" s="615">
        <v>12</v>
      </c>
      <c r="K300" s="402"/>
      <c r="L300" s="407">
        <f>IF(L$5=$H300,-$E300,0)</f>
        <v>0</v>
      </c>
      <c r="M300" s="404">
        <f>IF(Q300=0,0,IF(Q300&lt;0,IF($J300=3,Q300,IF($J300=2,Q300,IF($J300=1,Q300,0)))))</f>
        <v>0</v>
      </c>
      <c r="N300" s="414">
        <f>IF(Q300=0,0,IF(Q300&lt;0,IF($J300=6,Q300,IF($J300=5,Q300,IF($J300=4,Q300,0)))))</f>
        <v>0</v>
      </c>
      <c r="O300" s="414">
        <f>IF(Q300=0,0,IF(Q300&lt;0,IF($J300=9,Q300,IF($J300=8,Q300,IF($J300=7,Q300,0)))))</f>
        <v>0</v>
      </c>
      <c r="P300" s="406">
        <f>IF(Q300=0,0,IF(Q300&lt;0,IF($J300=12,Q300,IF($J300=11,Q300,IF($J300=10,Q300,0)))))</f>
        <v>0</v>
      </c>
      <c r="Q300" s="407">
        <f>IF(Q$5=$H300,-$E300,0)</f>
        <v>0</v>
      </c>
      <c r="R300" s="404">
        <f>IF(V300=0,0,IF(V300&lt;0,IF($J300=3,V300,IF($J300=2,V300,IF($J300=1,V300,0)))))</f>
        <v>0</v>
      </c>
      <c r="S300" s="414">
        <f>IF(V300=0,0,IF(V300&lt;0,IF($J300=6,V300,IF($J300=5,V300,IF($J300=4,V300,0)))))</f>
        <v>0</v>
      </c>
      <c r="T300" s="414">
        <f>IF(V300=0,0,IF(V300&lt;0,IF($J300=9,V300,IF($J300=8,V300,IF($J300=7,V300,0)))))</f>
        <v>0</v>
      </c>
      <c r="U300" s="406">
        <f>IF(V300=0,0,IF(V300&lt;0,IF($J300=12,V300,IF($J300=11,V300,IF($J300=10,V300,0)))))</f>
        <v>0</v>
      </c>
      <c r="V300" s="407">
        <f>IF(V$5=$H300,-$E300,0)</f>
        <v>0</v>
      </c>
      <c r="W300" s="404">
        <f>IF(AA300=0,0,IF(AA300&lt;0,IF($J300=3,AA300,IF($J300=2,AA300,IF($J300=1,AA300,0)))))</f>
        <v>0</v>
      </c>
      <c r="X300" s="414">
        <f>IF(AA300=0,0,IF(AA300&lt;0,IF($J300=6,AA300,IF($J300=5,AA300,IF($J300=4,AA300,0)))))</f>
        <v>0</v>
      </c>
      <c r="Y300" s="414">
        <f>IF(AA300=0,0,IF(AA300&lt;0,IF($J300=9,AA300,IF($J300=8,AA300,IF($J300=7,AA300,0)))))</f>
        <v>0</v>
      </c>
      <c r="Z300" s="406">
        <f>IF(AA300=0,0,IF(AA300&lt;0,IF($J300=12,AA300,IF($J300=11,AA300,IF($J300=10,AA300,0)))))</f>
        <v>0</v>
      </c>
      <c r="AA300" s="407">
        <f>IF(AA$5=$H300,-$E300,0)</f>
        <v>0</v>
      </c>
      <c r="AB300" s="404">
        <f>IF(AF300=0,0,IF(AF300&lt;0,IF($J300=3,AF300,IF($J300=2,AF300,IF($J300=1,AF300,0)))))</f>
        <v>0</v>
      </c>
      <c r="AC300" s="414">
        <f>IF(AF300=0,0,IF(AF300&lt;0,IF($J300=6,AF300,IF($J300=5,AF300,IF($J300=4,AF300,0)))))</f>
        <v>0</v>
      </c>
      <c r="AD300" s="414">
        <f>IF(AF300=0,0,IF(AF300&lt;0,IF($J300=9,AF300,IF($J300=8,AF300,IF($J300=7,AF300,0)))))</f>
        <v>0</v>
      </c>
      <c r="AE300" s="406">
        <f>IF(AF300=0,0,IF(AF300&lt;0,IF($J300=12,AF300,IF($J300=11,AF300,IF($J300=10,AF300,0)))))</f>
        <v>0</v>
      </c>
      <c r="AF300" s="407">
        <f>IF(AF$5=$H300,-$E300,0)</f>
        <v>0</v>
      </c>
      <c r="AG300" s="404">
        <f>IF(AK300=0,0,IF(AK300&lt;0,IF($J300=3,AK300,IF($J300=2,AK300,IF($J300=1,AK300,0)))))</f>
        <v>0</v>
      </c>
      <c r="AH300" s="414">
        <f>IF(AK300=0,0,IF(AK300&lt;0,IF($J300=6,AK300,IF($J300=5,AK300,IF($J300=4,AK300,0)))))</f>
        <v>0</v>
      </c>
      <c r="AI300" s="414">
        <f>IF(AK300=0,0,IF(AK300&lt;0,IF($J300=9,AK300,IF($J300=8,AK300,IF($J300=7,AK300,0)))))</f>
        <v>0</v>
      </c>
      <c r="AJ300" s="406">
        <f>IF(AK300=0,0,IF(AK300&lt;0,IF($J300=12,AK300,IF($J300=11,AK300,IF($J300=10,AK300,0)))))</f>
        <v>0</v>
      </c>
      <c r="AK300" s="407">
        <f>IF(AK$5=$H300,-$E300,0)</f>
        <v>0</v>
      </c>
      <c r="AL300" s="404">
        <f>IF(AP300=0,0,IF(AP300&lt;0,IF($J300=3,AP300,IF($J300=2,AP300,IF($J300=1,AP300,0)))))</f>
        <v>0</v>
      </c>
      <c r="AM300" s="414">
        <f>IF(AP300=0,0,IF(AP300&lt;0,IF($J300=6,AP300,IF($J300=5,AP300,IF($J300=4,AP300,0)))))</f>
        <v>0</v>
      </c>
      <c r="AN300" s="414">
        <f>IF(AP300=0,0,IF(AP300&lt;0,IF($J300=9,AP300,IF($J300=8,AP300,IF($J300=7,AP300,0)))))</f>
        <v>0</v>
      </c>
      <c r="AO300" s="406">
        <f>IF(AP300=0,0,IF(AP300&lt;0,IF($J300=12,AP300,IF($J300=11,AP300,IF($J300=10,AP300,0)))))</f>
        <v>0</v>
      </c>
      <c r="AP300" s="407">
        <f>IF(AP$5=$H300,-$E300,0)</f>
        <v>0</v>
      </c>
      <c r="AQ300" s="404">
        <f>IF(AU300=0,0,IF(AU300&lt;0,IF($J300=3,AU300,IF($J300=2,AU300,IF($J300=1,AU300,0)))))</f>
        <v>0</v>
      </c>
      <c r="AR300" s="414">
        <f>IF(AU300=0,0,IF(AU300&lt;0,IF($J300=6,AU300,IF($J300=5,AU300,IF($J300=4,AU300,0)))))</f>
        <v>0</v>
      </c>
      <c r="AS300" s="414">
        <f>IF(AU300=0,0,IF(AU300&lt;0,IF($J300=9,AU300,IF($J300=8,AU300,IF($J300=7,AU300,0)))))</f>
        <v>0</v>
      </c>
      <c r="AT300" s="406">
        <f>IF(AU300=0,0,IF(AU300&lt;0,IF($J300=12,AU300,IF($J300=11,AU300,IF($J300=10,AU300,0)))))</f>
        <v>0</v>
      </c>
      <c r="AU300" s="407">
        <f>IF(AU$5=$H300,-$E300,0)</f>
        <v>0</v>
      </c>
      <c r="AV300" s="404">
        <f>IF(AZ300=0,0,IF(AZ300&lt;0,IF($J300=3,AZ300,IF($J300=2,AZ300,IF($J300=1,AZ300,0)))))</f>
        <v>0</v>
      </c>
      <c r="AW300" s="414">
        <f>IF(AZ300=0,0,IF(AZ300&lt;0,IF($J300=6,AZ300,IF($J300=5,AZ300,IF($J300=4,AZ300,0)))))</f>
        <v>0</v>
      </c>
      <c r="AX300" s="414">
        <f>IF(AZ300=0,0,IF(AZ300&lt;0,IF($J300=9,AZ300,IF($J300=8,AZ300,IF($J300=7,AZ300,0)))))</f>
        <v>0</v>
      </c>
      <c r="AY300" s="406">
        <f>IF(AZ300=0,0,IF(AZ300&lt;0,IF($J300=12,AZ300,IF($J300=11,AZ300,IF($J300=10,AZ300,0)))))</f>
        <v>-125</v>
      </c>
      <c r="AZ300" s="407">
        <f>IF(AZ$5=$H300,-$E300,0)</f>
        <v>-125</v>
      </c>
      <c r="BA300" s="404">
        <f>IF(BE300=0,0,IF(BE300&lt;0,IF($J300=3,BE300,IF($J300=2,BE300,IF($J300=1,BE300,0)))))</f>
        <v>0</v>
      </c>
      <c r="BB300" s="414">
        <f>IF(BE300=0,0,IF(BE300&lt;0,IF($J300=6,BE300,IF($J300=5,BE300,IF($J300=4,BE300,0)))))</f>
        <v>0</v>
      </c>
      <c r="BC300" s="414">
        <f>IF(BE300=0,0,IF(BE300&lt;0,IF($J300=9,BE300,IF($J300=8,BE300,IF($J300=7,BE300,0)))))</f>
        <v>0</v>
      </c>
      <c r="BD300" s="406">
        <f>IF(BE300=0,0,IF(BE300&lt;0,IF($J300=12,BE300,IF($J300=11,BE300,IF($J300=10,BE300,0)))))</f>
        <v>0</v>
      </c>
      <c r="BE300" s="407">
        <f>IF(BE$5=$H300,-$E300,0)</f>
        <v>0</v>
      </c>
      <c r="BF300" s="404">
        <f>IF(BJ300=0,0,IF(BJ300&lt;0,IF($J300=3,BJ300,IF($J300=2,BJ300,IF($J300=1,BJ300,0)))))</f>
        <v>0</v>
      </c>
      <c r="BG300" s="414">
        <f>IF(BJ300=0,0,IF(BJ300&lt;0,IF($J300=6,BJ300,IF($J300=5,BJ300,IF($J300=4,BJ300,0)))))</f>
        <v>0</v>
      </c>
      <c r="BH300" s="414">
        <f>IF(BJ300=0,0,IF(BJ300&lt;0,IF($J300=9,BJ300,IF($J300=8,BJ300,IF($J300=7,BJ300,0)))))</f>
        <v>0</v>
      </c>
      <c r="BI300" s="406">
        <f>IF(BJ300=0,0,IF(BJ300&lt;0,IF($J300=12,BJ300,IF($J300=11,BJ300,IF($J300=10,BJ300,0)))))</f>
        <v>0</v>
      </c>
      <c r="BJ300" s="407">
        <f>IF(BJ$5=$H300,-$E300,0)</f>
        <v>0</v>
      </c>
      <c r="BK300" s="404">
        <f>IF(BO300=0,0,IF(BO300&lt;0,IF($J300=3,BO300,IF($J300=2,BO300,IF($J300=1,BO300,0)))))</f>
        <v>0</v>
      </c>
      <c r="BL300" s="414">
        <f>IF(BO300=0,0,IF(BO300&lt;0,IF($J300=6,BO300,IF($J300=5,BO300,IF($J300=4,BO300,0)))))</f>
        <v>0</v>
      </c>
      <c r="BM300" s="414">
        <f>IF(BO300=0,0,IF(BO300&lt;0,IF($J300=9,BO300,IF($J300=8,BO300,IF($J300=7,BO300,0)))))</f>
        <v>0</v>
      </c>
      <c r="BN300" s="406">
        <f>IF(BO300=0,0,IF(BO300&lt;0,IF($J300=12,BO300,IF($J300=11,BO300,IF($J300=10,BO300,0)))))</f>
        <v>0</v>
      </c>
      <c r="BO300" s="407">
        <f>IF(BO$5=$H300,-$E300,0)</f>
        <v>0</v>
      </c>
      <c r="BP300" s="449"/>
      <c r="BQ300" s="413">
        <f>IF(AND(AH300&lt;&gt;0,AH$5=$H300),-$I300*$E300-AH300,IF(BQ$5=$H300,-$I300*$E300*(12-$J300+1)/12,0))</f>
        <v>0</v>
      </c>
      <c r="BR300" s="410">
        <f>IF($H300&lt;&gt;BV$5,0,IF(BV300&lt;0,IF($J300=1,-$E300*$I300/12*3,IF($J300=2,-$E300*$I300/12*2,IF($J300=3,-$E300*$I300/12*1,0)))))+IF(BQ$5&lt;&gt;$H300,0,IF(BQ300&lt;0,IF($J300=1,-$E300*$I300/12*0,IF($J300=2,-$E300*$I300/12*1,IF($J300=3,-$E300*$I300/12*2,IF($J300&gt;=4,-$E300*$I300/12*3,0))))))</f>
        <v>0</v>
      </c>
      <c r="BS300" s="416">
        <f>IF($H300&lt;&gt;BV$5,0,IF(BV300&lt;0,IF(OR($J300=1,$J300=2,$J300=3,$J300=4),-$E300*$I300/12*3,IF($J300=5,-$E300*$I300/12*2,IF($J300=6,-$E300*$I300/12*1,0)))))+IF(BQ$5&lt;&gt;$H300,0,IF(BQ300&lt;0,IF($J300=4,-$E300*$I300/12*0,IF($J300=5,-$E300*$I300/12*1,IF($J300=6,-$E300*$I300/12*2,IF($J300&gt;=7,-$E300*$I300/12*3,0))))))</f>
        <v>0</v>
      </c>
      <c r="BT300" s="416">
        <f>IF($H300&lt;&gt;BV$5,0,IF(BV300&lt;0,IF(OR($J300=1,$J300=2,$J300=3,$J300=4,$J300=5,$J300=6,$J300=7),-$E300*$I300/12*3,IF($J300=8,-$E300*$I300/12*2,IF($J300=9,-$E300*$I300/12*1,0)))))+IF(BQ$5&lt;&gt;$H300,0,IF(BQ300&lt;0,IF($J300=7,-$E300*$I300/12*0,IF($J300=8,-$E300*$I300/12*1,IF($J300=9,-$E300*$I300/12*2,IF($J300&gt;=10,-$E300*$I300/12*3,0))))))</f>
        <v>0</v>
      </c>
      <c r="BU300" s="412">
        <f>IF($H300&lt;&gt;BV$5,0,IF(BV300&lt;0,IF(OR($J300=1,$J300=2,$J300=3,$J300=4,$J300=5,$J300=6,$J300=7,$J300=8,$J300=9,$J300=10),-$E300*$I300/12*3,IF($J300=11,-$E300*$I300/12*2,IF($J300=12,-$E300*$I300/12*1,0)))))+IF(BQ$5&lt;&gt;$H300,0,IF(BQ300&lt;0,IF($J300=10,-$E300*$I300/12*0,IF($J300=11,-$E300*$I300/12*1,IF($J300=12,-$E300*$I300/12*2,0)))))</f>
        <v>0</v>
      </c>
      <c r="BV300" s="413">
        <f>IF(AND(BQ300&lt;&gt;0,BQ$5=$H300),-$I300*$E300-BQ300,IF(BV$5=$H300,-$I300*$E300*(12-$J300+1)/12,0))</f>
        <v>0</v>
      </c>
      <c r="BW300" s="410">
        <f>IF($H300&lt;&gt;CA$5,0,IF(CA300&lt;0,IF($J300=1,-$E300*$I300/12*3,IF($J300=2,-$E300*$I300/12*2,IF($J300=3,-$E300*$I300/12*1,0)))))+IF(BV$5&lt;&gt;$H300,0,IF(BV300&lt;0,IF($J300=1,-$E300*$I300/12*0,IF($J300=2,-$E300*$I300/12*1,IF($J300=3,-$E300*$I300/12*2,IF($J300&gt;=4,-$E300*$I300/12*3,0))))))</f>
        <v>0</v>
      </c>
      <c r="BX300" s="416">
        <f>IF($H300&lt;&gt;CA$5,0,IF(CA300&lt;0,IF(OR($J300=1,$J300=2,$J300=3,$J300=4),-$E300*$I300/12*3,IF($J300=5,-$E300*$I300/12*2,IF($J300=6,-$E300*$I300/12*1,0)))))+IF(BV$5&lt;&gt;$H300,0,IF(BV300&lt;0,IF($J300=4,-$E300*$I300/12*0,IF($J300=5,-$E300*$I300/12*1,IF($J300=6,-$E300*$I300/12*2,IF($J300&gt;=7,-$E300*$I300/12*3,0))))))</f>
        <v>0</v>
      </c>
      <c r="BY300" s="416">
        <f>IF($H300&lt;&gt;CA$5,0,IF(CA300&lt;0,IF(OR($J300=1,$J300=2,$J300=3,$J300=4,$J300=5,$J300=6,$J300=7),-$E300*$I300/12*3,IF($J300=8,-$E300*$I300/12*2,IF($J300=9,-$E300*$I300/12*1,0)))))+IF(BV$5&lt;&gt;$H300,0,IF(BV300&lt;0,IF($J300=7,-$E300*$I300/12*0,IF($J300=8,-$E300*$I300/12*1,IF($J300=9,-$E300*$I300/12*2,IF($J300&gt;=10,-$E300*$I300/12*3,0))))))</f>
        <v>0</v>
      </c>
      <c r="BZ300" s="412">
        <f>IF($H300&lt;&gt;CA$5,0,IF(CA300&lt;0,IF(OR($J300=1,$J300=2,$J300=3,$J300=4,$J300=5,$J300=6,$J300=7,$J300=8,$J300=9,$J300=10),-$E300*$I300/12*3,IF($J300=11,-$E300*$I300/12*2,IF($J300=12,-$E300*$I300/12*1,0)))))+IF(BV$5&lt;&gt;$H300,0,IF(BV300&lt;0,IF($J300=10,-$E300*$I300/12*0,IF($J300=11,-$E300*$I300/12*1,IF($J300=12,-$E300*$I300/12*2,0)))))</f>
        <v>0</v>
      </c>
      <c r="CA300" s="413">
        <f>IF(AND(BV300&lt;&gt;0,BV$5=$H300),-$I300*$E300-BV300,IF(CA$5=$H300,-$I300*$E300*(12-$J300+1)/12,0))</f>
        <v>0</v>
      </c>
      <c r="CB300" s="410">
        <f>IF($H300&lt;&gt;CF$5,0,IF(CF300&lt;0,IF($J300=1,-$E300*$I300/12*3,IF($J300=2,-$E300*$I300/12*2,IF($J300=3,-$E300*$I300/12*1,0)))))+IF(CA$5&lt;&gt;$H300,0,IF(CA300&lt;0,IF($J300=1,-$E300*$I300/12*0,IF($J300=2,-$E300*$I300/12*1,IF($J300=3,-$E300*$I300/12*2,IF($J300&gt;=4,-$E300*$I300/12*3,0))))))</f>
        <v>0</v>
      </c>
      <c r="CC300" s="416">
        <f>IF($H300&lt;&gt;CF$5,0,IF(CF300&lt;0,IF(OR($J300=1,$J300=2,$J300=3,$J300=4),-$E300*$I300/12*3,IF($J300=5,-$E300*$I300/12*2,IF($J300=6,-$E300*$I300/12*1,0)))))+IF(CA$5&lt;&gt;$H300,0,IF(CA300&lt;0,IF($J300=4,-$E300*$I300/12*0,IF($J300=5,-$E300*$I300/12*1,IF($J300=6,-$E300*$I300/12*2,IF($J300&gt;=7,-$E300*$I300/12*3,0))))))</f>
        <v>0</v>
      </c>
      <c r="CD300" s="416">
        <f>IF($H300&lt;&gt;CF$5,0,IF(CF300&lt;0,IF(OR($J300=1,$J300=2,$J300=3,$J300=4,$J300=5,$J300=6,$J300=7),-$E300*$I300/12*3,IF($J300=8,-$E300*$I300/12*2,IF($J300=9,-$E300*$I300/12*1,0)))))+IF(CA$5&lt;&gt;$H300,0,IF(CA300&lt;0,IF($J300=7,-$E300*$I300/12*0,IF($J300=8,-$E300*$I300/12*1,IF($J300=9,-$E300*$I300/12*2,IF($J300&gt;=10,-$E300*$I300/12*3,0))))))</f>
        <v>0</v>
      </c>
      <c r="CE300" s="412">
        <f>IF($H300&lt;&gt;CF$5,0,IF(CF300&lt;0,IF(OR($J300=1,$J300=2,$J300=3,$J300=4,$J300=5,$J300=6,$J300=7,$J300=8,$J300=9,$J300=10),-$E300*$I300/12*3,IF($J300=11,-$E300*$I300/12*2,IF($J300=12,-$E300*$I300/12*1,0)))))+IF(CA$5&lt;&gt;$H300,0,IF(CA300&lt;0,IF($J300=10,-$E300*$I300/12*0,IF($J300=11,-$E300*$I300/12*1,IF($J300=12,-$E300*$I300/12*2,0)))))</f>
        <v>0</v>
      </c>
      <c r="CF300" s="413">
        <f>IF(AND(CA300&lt;&gt;0,CA$5=$H300),-$I300*$E300-CA300,IF(CF$5=$H300,-$I300*$E300*(12-$J300+1)/12,0))</f>
        <v>0</v>
      </c>
      <c r="CG300" s="410">
        <f>IF($H300&lt;&gt;CK$5,0,IF(CK300&lt;0,IF($J300=1,-$E300*$I300/12*3,IF($J300=2,-$E300*$I300/12*2,IF($J300=3,-$E300*$I300/12*1,0)))))+IF(CF$5&lt;&gt;$H300,0,IF(CF300&lt;0,IF($J300=1,-$E300*$I300/12*0,IF($J300=2,-$E300*$I300/12*1,IF($J300=3,-$E300*$I300/12*2,IF($J300&gt;=4,-$E300*$I300/12*3,0))))))</f>
        <v>0</v>
      </c>
      <c r="CH300" s="416">
        <f>IF($H300&lt;&gt;CK$5,0,IF(CK300&lt;0,IF(OR($J300=1,$J300=2,$J300=3,$J300=4),-$E300*$I300/12*3,IF($J300=5,-$E300*$I300/12*2,IF($J300=6,-$E300*$I300/12*1,0)))))+IF(CF$5&lt;&gt;$H300,0,IF(CF300&lt;0,IF($J300=4,-$E300*$I300/12*0,IF($J300=5,-$E300*$I300/12*1,IF($J300=6,-$E300*$I300/12*2,IF($J300&gt;=7,-$E300*$I300/12*3,0))))))</f>
        <v>0</v>
      </c>
      <c r="CI300" s="416">
        <f>IF($H300&lt;&gt;CK$5,0,IF(CK300&lt;0,IF(OR($J300=1,$J300=2,$J300=3,$J300=4,$J300=5,$J300=6,$J300=7),-$E300*$I300/12*3,IF($J300=8,-$E300*$I300/12*2,IF($J300=9,-$E300*$I300/12*1,0)))))+IF(CF$5&lt;&gt;$H300,0,IF(CF300&lt;0,IF($J300=7,-$E300*$I300/12*0,IF($J300=8,-$E300*$I300/12*1,IF($J300=9,-$E300*$I300/12*2,IF($J300&gt;=10,-$E300*$I300/12*3,0))))))</f>
        <v>0</v>
      </c>
      <c r="CJ300" s="412">
        <f>IF($H300&lt;&gt;CK$5,0,IF(CK300&lt;0,IF(OR($J300=1,$J300=2,$J300=3,$J300=4,$J300=5,$J300=6,$J300=7,$J300=8,$J300=9,$J300=10),-$E300*$I300/12*3,IF($J300=11,-$E300*$I300/12*2,IF($J300=12,-$E300*$I300/12*1,0)))))+IF(CF$5&lt;&gt;$H300,0,IF(CF300&lt;0,IF($J300=10,-$E300*$I300/12*0,IF($J300=11,-$E300*$I300/12*1,IF($J300=12,-$E300*$I300/12*2,0)))))</f>
        <v>0</v>
      </c>
      <c r="CK300" s="413">
        <f>IF(AND(CF300&lt;&gt;0,CF$5=$H300),-$I300*$E300-CF300,IF(CK$5=$H300,-$I300*$E300*(12-$J300+1)/12,0))</f>
        <v>0</v>
      </c>
      <c r="CL300" s="410">
        <f>IF($H300&lt;&gt;CP$5,0,IF(CP300&lt;0,IF($J300=1,-$E300*$I300/12*3,IF($J300=2,-$E300*$I300/12*2,IF($J300=3,-$E300*$I300/12*1,0)))))+IF(CK$5&lt;&gt;$H300,0,IF(CK300&lt;0,IF($J300=1,-$E300*$I300/12*0,IF($J300=2,-$E300*$I300/12*1,IF($J300=3,-$E300*$I300/12*2,IF($J300&gt;=4,-$E300*$I300/12*3,0))))))</f>
        <v>0</v>
      </c>
      <c r="CM300" s="416">
        <f>IF($H300&lt;&gt;CP$5,0,IF(CP300&lt;0,IF(OR($J300=1,$J300=2,$J300=3,$J300=4),-$E300*$I300/12*3,IF($J300=5,-$E300*$I300/12*2,IF($J300=6,-$E300*$I300/12*1,0)))))+IF(CK$5&lt;&gt;$H300,0,IF(CK300&lt;0,IF($J300=4,-$E300*$I300/12*0,IF($J300=5,-$E300*$I300/12*1,IF($J300=6,-$E300*$I300/12*2,IF($J300&gt;=7,-$E300*$I300/12*3,0))))))</f>
        <v>0</v>
      </c>
      <c r="CN300" s="416">
        <f>IF($H300&lt;&gt;CP$5,0,IF(CP300&lt;0,IF(OR($J300=1,$J300=2,$J300=3,$J300=4,$J300=5,$J300=6,$J300=7),-$E300*$I300/12*3,IF($J300=8,-$E300*$I300/12*2,IF($J300=9,-$E300*$I300/12*1,0)))))+IF(CK$5&lt;&gt;$H300,0,IF(CK300&lt;0,IF($J300=7,-$E300*$I300/12*0,IF($J300=8,-$E300*$I300/12*1,IF($J300=9,-$E300*$I300/12*2,IF($J300&gt;=10,-$E300*$I300/12*3,0))))))</f>
        <v>0</v>
      </c>
      <c r="CO300" s="412">
        <f>IF($H300&lt;&gt;CP$5,0,IF(CP300&lt;0,IF(OR($J300=1,$J300=2,$J300=3,$J300=4,$J300=5,$J300=6,$J300=7,$J300=8,$J300=9,$J300=10),-$E300*$I300/12*3,IF($J300=11,-$E300*$I300/12*2,IF($J300=12,-$E300*$I300/12*1,0)))))+IF(CK$5&lt;&gt;$H300,0,IF(CK300&lt;0,IF($J300=10,-$E300*$I300/12*0,IF($J300=11,-$E300*$I300/12*1,IF($J300=12,-$E300*$I300/12*2,0)))))</f>
        <v>0</v>
      </c>
      <c r="CP300" s="413">
        <f>IF(AND(CK300&lt;&gt;0,CK$5=$H300),-$I300*$E300-CK300,IF(CP$5=$H300,-$I300*$E300*(12-$J300+1)/12,0))</f>
        <v>0</v>
      </c>
      <c r="CQ300" s="410">
        <f>IF($H300&lt;&gt;CU$5,0,IF(CU300&lt;0,IF($J300=1,-$E300*$I300/12*3,IF($J300=2,-$E300*$I300/12*2,IF($J300=3,-$E300*$I300/12*1,0)))))+IF(CP$5&lt;&gt;$H300,0,IF(CP300&lt;0,IF($J300=1,-$E300*$I300/12*0,IF($J300=2,-$E300*$I300/12*1,IF($J300=3,-$E300*$I300/12*2,IF($J300&gt;=4,-$E300*$I300/12*3,0))))))</f>
        <v>0</v>
      </c>
      <c r="CR300" s="416">
        <f>IF($H300&lt;&gt;CU$5,0,IF(CU300&lt;0,IF(OR($J300=1,$J300=2,$J300=3,$J300=4),-$E300*$I300/12*3,IF($J300=5,-$E300*$I300/12*2,IF($J300=6,-$E300*$I300/12*1,0)))))+IF(CP$5&lt;&gt;$H300,0,IF(CP300&lt;0,IF($J300=4,-$E300*$I300/12*0,IF($J300=5,-$E300*$I300/12*1,IF($J300=6,-$E300*$I300/12*2,IF($J300&gt;=7,-$E300*$I300/12*3,0))))))</f>
        <v>0</v>
      </c>
      <c r="CS300" s="416">
        <f>IF($H300&lt;&gt;CU$5,0,IF(CU300&lt;0,IF(OR($J300=1,$J300=2,$J300=3,$J300=4,$J300=5,$J300=6,$J300=7),-$E300*$I300/12*3,IF($J300=8,-$E300*$I300/12*2,IF($J300=9,-$E300*$I300/12*1,0)))))+IF(CP$5&lt;&gt;$H300,0,IF(CP300&lt;0,IF($J300=7,-$E300*$I300/12*0,IF($J300=8,-$E300*$I300/12*1,IF($J300=9,-$E300*$I300/12*2,IF($J300&gt;=10,-$E300*$I300/12*3,0))))))</f>
        <v>0</v>
      </c>
      <c r="CT300" s="412">
        <f>IF($H300&lt;&gt;CU$5,0,IF(CU300&lt;0,IF(OR($J300=1,$J300=2,$J300=3,$J300=4,$J300=5,$J300=6,$J300=7,$J300=8,$J300=9,$J300=10),-$E300*$I300/12*3,IF($J300=11,-$E300*$I300/12*2,IF($J300=12,-$E300*$I300/12*1,0)))))+IF(CP$5&lt;&gt;$H300,0,IF(CP300&lt;0,IF($J300=10,-$E300*$I300/12*0,IF($J300=11,-$E300*$I300/12*1,IF($J300=12,-$E300*$I300/12*2,0)))))</f>
        <v>0</v>
      </c>
      <c r="CU300" s="413">
        <f>IF(AND(CP300&lt;&gt;0,CP$5=$H300),-$I300*$E300-CP300,IF(CU$5=$H300,-$I300*$E300*(12-$J300+1)/12,0))</f>
        <v>0</v>
      </c>
      <c r="CV300" s="410">
        <f>IF($H300&lt;&gt;CZ$5,0,IF(CZ300&lt;0,IF($J300=1,-$E300*$I300/12*3,IF($J300=2,-$E300*$I300/12*2,IF($J300=3,-$E300*$I300/12*1,0)))))+IF(CU$5&lt;&gt;$H300,0,IF(CU300&lt;0,IF($J300=1,-$E300*$I300/12*0,IF($J300=2,-$E300*$I300/12*1,IF($J300=3,-$E300*$I300/12*2,IF($J300&gt;=4,-$E300*$I300/12*3,0))))))</f>
        <v>0</v>
      </c>
      <c r="CW300" s="416">
        <f>IF($H300&lt;&gt;CZ$5,0,IF(CZ300&lt;0,IF(OR($J300=1,$J300=2,$J300=3,$J300=4),-$E300*$I300/12*3,IF($J300=5,-$E300*$I300/12*2,IF($J300=6,-$E300*$I300/12*1,0)))))+IF(CU$5&lt;&gt;$H300,0,IF(CU300&lt;0,IF($J300=4,-$E300*$I300/12*0,IF($J300=5,-$E300*$I300/12*1,IF($J300=6,-$E300*$I300/12*2,IF($J300&gt;=7,-$E300*$I300/12*3,0))))))</f>
        <v>0</v>
      </c>
      <c r="CX300" s="416">
        <f>IF($H300&lt;&gt;CZ$5,0,IF(CZ300&lt;0,IF(OR($J300=1,$J300=2,$J300=3,$J300=4,$J300=5,$J300=6,$J300=7),-$E300*$I300/12*3,IF($J300=8,-$E300*$I300/12*2,IF($J300=9,-$E300*$I300/12*1,0)))))+IF(CU$5&lt;&gt;$H300,0,IF(CU300&lt;0,IF($J300=7,-$E300*$I300/12*0,IF($J300=8,-$E300*$I300/12*1,IF($J300=9,-$E300*$I300/12*2,IF($J300&gt;=10,-$E300*$I300/12*3,0))))))</f>
        <v>0</v>
      </c>
      <c r="CY300" s="412">
        <f>IF($H300&lt;&gt;CZ$5,0,IF(CZ300&lt;0,IF(OR($J300=1,$J300=2,$J300=3,$J300=4,$J300=5,$J300=6,$J300=7,$J300=8,$J300=9,$J300=10),-$E300*$I300/12*3,IF($J300=11,-$E300*$I300/12*2,IF($J300=12,-$E300*$I300/12*1,0)))))+IF(CU$5&lt;&gt;$H300,0,IF(CU300&lt;0,IF($J300=10,-$E300*$I300/12*0,IF($J300=11,-$E300*$I300/12*1,IF($J300=12,-$E300*$I300/12*2,0)))))</f>
        <v>0</v>
      </c>
      <c r="CZ300" s="413">
        <f>IF(AND(CU300&lt;&gt;0,CU$5=$H300),-$I300*$E300-CU300,IF(CZ$5=$H300,-$I300*$E300*(12-$J300+1)/12,0))</f>
        <v>0</v>
      </c>
      <c r="DA300" s="410">
        <f>IF($H300&lt;&gt;DE$5,0,IF(DE300&lt;0,IF($J300=1,-$E300*$I300/12*3,IF($J300=2,-$E300*$I300/12*2,IF($J300=3,-$E300*$I300/12*1,0)))))+IF(CZ$5&lt;&gt;$H300,0,IF(CZ300&lt;0,IF($J300=1,-$E300*$I300/12*0,IF($J300=2,-$E300*$I300/12*1,IF($J300=3,-$E300*$I300/12*2,IF($J300&gt;=4,-$E300*$I300/12*3,0))))))</f>
        <v>0</v>
      </c>
      <c r="DB300" s="416">
        <f>IF($H300&lt;&gt;DE$5,0,IF(DE300&lt;0,IF(OR($J300=1,$J300=2,$J300=3,$J300=4),-$E300*$I300/12*3,IF($J300=5,-$E300*$I300/12*2,IF($J300=6,-$E300*$I300/12*1,0)))))+IF(CZ$5&lt;&gt;$H300,0,IF(CZ300&lt;0,IF($J300=4,-$E300*$I300/12*0,IF($J300=5,-$E300*$I300/12*1,IF($J300=6,-$E300*$I300/12*2,IF($J300&gt;=7,-$E300*$I300/12*3,0))))))</f>
        <v>0</v>
      </c>
      <c r="DC300" s="416">
        <f>IF($H300&lt;&gt;DE$5,0,IF(DE300&lt;0,IF(OR($J300=1,$J300=2,$J300=3,$J300=4,$J300=5,$J300=6,$J300=7),-$E300*$I300/12*3,IF($J300=8,-$E300*$I300/12*2,IF($J300=9,-$E300*$I300/12*1,0)))))+IF(CZ$5&lt;&gt;$H300,0,IF(CZ300&lt;0,IF($J300=7,-$E300*$I300/12*0,IF($J300=8,-$E300*$I300/12*1,IF($J300=9,-$E300*$I300/12*2,IF($J300&gt;=10,-$E300*$I300/12*3,0))))))</f>
        <v>0</v>
      </c>
      <c r="DD300" s="412">
        <f>IF($H300&lt;&gt;DE$5,0,IF(DE300&lt;0,IF(OR($J300=1,$J300=2,$J300=3,$J300=4,$J300=5,$J300=6,$J300=7,$J300=8,$J300=9,$J300=10),-$E300*$I300/12*3,IF($J300=11,-$E300*$I300/12*2,IF($J300=12,-$E300*$I300/12*1,0)))))+IF(CZ$5&lt;&gt;$H300,0,IF(CZ300&lt;0,IF($J300=10,-$E300*$I300/12*0,IF($J300=11,-$E300*$I300/12*1,IF($J300=12,-$E300*$I300/12*2,0)))))</f>
        <v>-0.46875</v>
      </c>
      <c r="DE300" s="413">
        <f>IF(AND(CZ300&lt;&gt;0,CZ$5=$H300),-$I300*$E300-CZ300,IF(DE$5=$H300,-$I300*$E300*(12-$J300+1)/12,0))</f>
        <v>-0.46875</v>
      </c>
      <c r="DF300" s="410">
        <f>IF($H300&lt;&gt;DJ$5,0,IF(DJ300&lt;0,IF($J300=1,-$E300*$I300/12*3,IF($J300=2,-$E300*$I300/12*2,IF($J300=3,-$E300*$I300/12*1,0)))))+IF(DE$5&lt;&gt;$H300,0,IF(DE300&lt;0,IF($J300=1,-$E300*$I300/12*0,IF($J300=2,-$E300*$I300/12*1,IF($J300=3,-$E300*$I300/12*2,IF($J300&gt;=4,-$E300*$I300/12*3,0))))))</f>
        <v>-1.40625</v>
      </c>
      <c r="DG300" s="416">
        <f>IF($H300&lt;&gt;DJ$5,0,IF(DJ300&lt;0,IF(OR($J300=1,$J300=2,$J300=3,$J300=4),-$E300*$I300/12*3,IF($J300=5,-$E300*$I300/12*2,IF($J300=6,-$E300*$I300/12*1,0)))))+IF(DE$5&lt;&gt;$H300,0,IF(DE300&lt;0,IF($J300=4,-$E300*$I300/12*0,IF($J300=5,-$E300*$I300/12*1,IF($J300=6,-$E300*$I300/12*2,IF($J300&gt;=7,-$E300*$I300/12*3,0))))))</f>
        <v>-1.40625</v>
      </c>
      <c r="DH300" s="416">
        <f>IF($H300&lt;&gt;DJ$5,0,IF(DJ300&lt;0,IF(OR($J300=1,$J300=2,$J300=3,$J300=4,$J300=5,$J300=6,$J300=7),-$E300*$I300/12*3,IF($J300=8,-$E300*$I300/12*2,IF($J300=9,-$E300*$I300/12*1,0)))))+IF(DE$5&lt;&gt;$H300,0,IF(DE300&lt;0,IF($J300=7,-$E300*$I300/12*0,IF($J300=8,-$E300*$I300/12*1,IF($J300=9,-$E300*$I300/12*2,IF($J300&gt;=10,-$E300*$I300/12*3,0))))))</f>
        <v>-1.40625</v>
      </c>
      <c r="DI300" s="412">
        <f>IF($H300&lt;&gt;DJ$5,0,IF(DJ300&lt;0,IF(OR($J300=1,$J300=2,$J300=3,$J300=4,$J300=5,$J300=6,$J300=7,$J300=8,$J300=9,$J300=10),-$E300*$I300/12*3,IF($J300=11,-$E300*$I300/12*2,IF($J300=12,-$E300*$I300/12*1,0)))))+IF(DE$5&lt;&gt;$H300,0,IF(DE300&lt;0,IF($J300=10,-$E300*$I300/12*0,IF($J300=11,-$E300*$I300/12*1,IF($J300=12,-$E300*$I300/12*2,0)))))</f>
        <v>-0.9375</v>
      </c>
      <c r="DJ300" s="413">
        <f>IF(AND(DE300&lt;&gt;0,DE$5=$H300),-$I300*$E300-DE300,IF(DJ$5=$H300,-$I300*$E300*(12-$J300+1)/12,0))</f>
        <v>-5.15625</v>
      </c>
      <c r="DK300" s="410">
        <f>IF($H300&lt;&gt;DO$5,0,IF(DO300&lt;0,IF($J300=1,-$E300*$I300/12*3,IF($J300=2,-$E300*$I300/12*2,IF($J300=3,-$E300*$I300/12*1,0)))))+IF(DJ$5&lt;&gt;$H300,0,IF(DJ300&lt;0,IF($J300=1,-$E300*$I300/12*0,IF($J300=2,-$E300*$I300/12*1,IF($J300=3,-$E300*$I300/12*2,IF($J300&gt;=4,-$E300*$I300/12*3,0))))))</f>
        <v>0</v>
      </c>
      <c r="DL300" s="416">
        <f>IF($H300&lt;&gt;DO$5,0,IF(DO300&lt;0,IF(OR($J300=1,$J300=2,$J300=3,$J300=4),-$E300*$I300/12*3,IF($J300=5,-$E300*$I300/12*2,IF($J300=6,-$E300*$I300/12*1,0)))))+IF(DJ$5&lt;&gt;$H300,0,IF(DJ300&lt;0,IF($J300=4,-$E300*$I300/12*0,IF($J300=5,-$E300*$I300/12*1,IF($J300=6,-$E300*$I300/12*2,IF($J300&gt;=7,-$E300*$I300/12*3,0))))))</f>
        <v>0</v>
      </c>
      <c r="DM300" s="416">
        <f>IF($H300&lt;&gt;DO$5,0,IF(DO300&lt;0,IF(OR($J300=1,$J300=2,$J300=3,$J300=4,$J300=5,$J300=6,$J300=7),-$E300*$I300/12*3,IF($J300=8,-$E300*$I300/12*2,IF($J300=9,-$E300*$I300/12*1,0)))))+IF(DJ$5&lt;&gt;$H300,0,IF(DJ300&lt;0,IF($J300=7,-$E300*$I300/12*0,IF($J300=8,-$E300*$I300/12*1,IF($J300=9,-$E300*$I300/12*2,IF($J300&gt;=10,-$E300*$I300/12*3,0))))))</f>
        <v>0</v>
      </c>
      <c r="DN300" s="412">
        <f>IF($H300&lt;&gt;DO$5,0,IF(DO300&lt;0,IF(OR($J300=1,$J300=2,$J300=3,$J300=4,$J300=5,$J300=6,$J300=7,$J300=8,$J300=9,$J300=10),-$E300*$I300/12*3,IF($J300=11,-$E300*$I300/12*2,IF($J300=12,-$E300*$I300/12*1,0)))))+IF(DJ$5&lt;&gt;$H300,0,IF(DJ300&lt;0,IF($J300=10,-$E300*$I300/12*0,IF($J300=11,-$E300*$I300/12*1,IF($J300=12,-$E300*$I300/12*2,0)))))</f>
        <v>0</v>
      </c>
      <c r="DO300" s="413">
        <f>IF(AND(DJ300&lt;&gt;0,DJ$5=$H300),-$I300*$E300-DJ300,IF(DO$5=$H300,-$I300*$E300*(12-$J300+1)/12,0))</f>
        <v>0</v>
      </c>
      <c r="DP300" s="410">
        <f>IF($H300&lt;&gt;DT$5,0,IF(DT300&lt;0,IF($J300=1,-$E300*$I300/12*3,IF($J300=2,-$E300*$I300/12*2,IF($J300=3,-$E300*$I300/12*1,0)))))+IF(DO$5&lt;&gt;$H300,0,IF(DO300&lt;0,IF($J300=1,-$E300*$I300/12*0,IF($J300=2,-$E300*$I300/12*1,IF($J300=3,-$E300*$I300/12*2,IF($J300&gt;=4,-$E300*$I300/12*3,0))))))</f>
        <v>0</v>
      </c>
      <c r="DQ300" s="416">
        <f>IF($H300&lt;&gt;DT$5,0,IF(DT300&lt;0,IF(OR($J300=1,$J300=2,$J300=3,$J300=4),-$E300*$I300/12*3,IF($J300=5,-$E300*$I300/12*2,IF($J300=6,-$E300*$I300/12*1,0)))))+IF(DO$5&lt;&gt;$H300,0,IF(DO300&lt;0,IF($J300=4,-$E300*$I300/12*0,IF($J300=5,-$E300*$I300/12*1,IF($J300=6,-$E300*$I300/12*2,IF($J300&gt;=7,-$E300*$I300/12*3,0))))))</f>
        <v>0</v>
      </c>
      <c r="DR300" s="416">
        <f>IF($H300&lt;&gt;DT$5,0,IF(DT300&lt;0,IF(OR($J300=1,$J300=2,$J300=3,$J300=4,$J300=5,$J300=6,$J300=7),-$E300*$I300/12*3,IF($J300=8,-$E300*$I300/12*2,IF($J300=9,-$E300*$I300/12*1,0)))))+IF(DO$5&lt;&gt;$H300,0,IF(DO300&lt;0,IF($J300=7,-$E300*$I300/12*0,IF($J300=8,-$E300*$I300/12*1,IF($J300=9,-$E300*$I300/12*2,IF($J300&gt;=10,-$E300*$I300/12*3,0))))))</f>
        <v>0</v>
      </c>
      <c r="DS300" s="412">
        <f>IF($H300&lt;&gt;DT$5,0,IF(DT300&lt;0,IF(OR($J300=1,$J300=2,$J300=3,$J300=4,$J300=5,$J300=6,$J300=7,$J300=8,$J300=9,$J300=10),-$E300*$I300/12*3,IF($J300=11,-$E300*$I300/12*2,IF($J300=12,-$E300*$I300/12*1,0)))))+IF(DO$5&lt;&gt;$H300,0,IF(DO300&lt;0,IF($J300=10,-$E300*$I300/12*0,IF($J300=11,-$E300*$I300/12*1,IF($J300=12,-$E300*$I300/12*2,0)))))</f>
        <v>0</v>
      </c>
      <c r="DT300" s="413">
        <f>IF(AND(DO300&lt;&gt;0,DO$5=$H300),-$I300*$E300-DO300,IF(DT$5=$H300,-$I300*$E300*(12-$J300+1)/12,0))</f>
        <v>0</v>
      </c>
    </row>
    <row r="301" spans="1:124" ht="12.75" customHeight="1">
      <c r="A301" s="491"/>
      <c r="C301" s="1884" t="s">
        <v>399</v>
      </c>
      <c r="D301" s="1885"/>
      <c r="E301" s="1887">
        <f>IF(F301=0,G301,F301)</f>
        <v>152.72732999999999</v>
      </c>
      <c r="F301" s="1532">
        <v>0</v>
      </c>
      <c r="G301" s="1532">
        <v>152.72732999999999</v>
      </c>
      <c r="H301" s="610">
        <v>2017</v>
      </c>
      <c r="I301" s="830">
        <v>6.3299999999999995E-2</v>
      </c>
      <c r="J301" s="615">
        <v>2</v>
      </c>
      <c r="K301" s="402"/>
      <c r="L301" s="407">
        <f>IF(L$5=$H301,-$E301,0)</f>
        <v>0</v>
      </c>
      <c r="M301" s="404">
        <f>IF(Q301=0,0,IF(Q301&lt;0,IF($J301=3,Q301,IF($J301=2,Q301,IF($J301=1,Q301,0)))))</f>
        <v>0</v>
      </c>
      <c r="N301" s="414">
        <f>IF(Q301=0,0,IF(Q301&lt;0,IF($J301=6,Q301,IF($J301=5,Q301,IF($J301=4,Q301,0)))))</f>
        <v>0</v>
      </c>
      <c r="O301" s="414">
        <f>IF(Q301=0,0,IF(Q301&lt;0,IF($J301=9,Q301,IF($J301=8,Q301,IF($J301=7,Q301,0)))))</f>
        <v>0</v>
      </c>
      <c r="P301" s="406">
        <f>IF(Q301=0,0,IF(Q301&lt;0,IF($J301=12,Q301,IF($J301=11,Q301,IF($J301=10,Q301,0)))))</f>
        <v>0</v>
      </c>
      <c r="Q301" s="407">
        <f>IF(Q$5=$H301,-$E301,0)</f>
        <v>0</v>
      </c>
      <c r="R301" s="404">
        <f>IF(V301=0,0,IF(V301&lt;0,IF($J301=3,V301,IF($J301=2,V301,IF($J301=1,V301,0)))))</f>
        <v>0</v>
      </c>
      <c r="S301" s="414">
        <f>IF(V301=0,0,IF(V301&lt;0,IF($J301=6,V301,IF($J301=5,V301,IF($J301=4,V301,0)))))</f>
        <v>0</v>
      </c>
      <c r="T301" s="414">
        <f>IF(V301=0,0,IF(V301&lt;0,IF($J301=9,V301,IF($J301=8,V301,IF($J301=7,V301,0)))))</f>
        <v>0</v>
      </c>
      <c r="U301" s="406">
        <f>IF(V301=0,0,IF(V301&lt;0,IF($J301=12,V301,IF($J301=11,V301,IF($J301=10,V301,0)))))</f>
        <v>0</v>
      </c>
      <c r="V301" s="407">
        <f>IF(V$5=$H301,-$E301,0)</f>
        <v>0</v>
      </c>
      <c r="W301" s="404">
        <f>IF(AA301=0,0,IF(AA301&lt;0,IF($J301=3,AA301,IF($J301=2,AA301,IF($J301=1,AA301,0)))))</f>
        <v>0</v>
      </c>
      <c r="X301" s="414">
        <f>IF(AA301=0,0,IF(AA301&lt;0,IF($J301=6,AA301,IF($J301=5,AA301,IF($J301=4,AA301,0)))))</f>
        <v>0</v>
      </c>
      <c r="Y301" s="414">
        <f>IF(AA301=0,0,IF(AA301&lt;0,IF($J301=9,AA301,IF($J301=8,AA301,IF($J301=7,AA301,0)))))</f>
        <v>0</v>
      </c>
      <c r="Z301" s="406">
        <f>IF(AA301=0,0,IF(AA301&lt;0,IF($J301=12,AA301,IF($J301=11,AA301,IF($J301=10,AA301,0)))))</f>
        <v>0</v>
      </c>
      <c r="AA301" s="407">
        <f>IF(AA$5=$H301,-$E301,0)</f>
        <v>0</v>
      </c>
      <c r="AB301" s="404">
        <f>IF(AF301=0,0,IF(AF301&lt;0,IF($J301=3,AF301,IF($J301=2,AF301,IF($J301=1,AF301,0)))))</f>
        <v>0</v>
      </c>
      <c r="AC301" s="414">
        <f>IF(AF301=0,0,IF(AF301&lt;0,IF($J301=6,AF301,IF($J301=5,AF301,IF($J301=4,AF301,0)))))</f>
        <v>0</v>
      </c>
      <c r="AD301" s="414">
        <f>IF(AF301=0,0,IF(AF301&lt;0,IF($J301=9,AF301,IF($J301=8,AF301,IF($J301=7,AF301,0)))))</f>
        <v>0</v>
      </c>
      <c r="AE301" s="406">
        <f>IF(AF301=0,0,IF(AF301&lt;0,IF($J301=12,AF301,IF($J301=11,AF301,IF($J301=10,AF301,0)))))</f>
        <v>0</v>
      </c>
      <c r="AF301" s="407">
        <f>IF(AF$5=$H301,-$E301,0)</f>
        <v>0</v>
      </c>
      <c r="AG301" s="404">
        <f>IF(AK301=0,0,IF(AK301&lt;0,IF($J301=3,AK301,IF($J301=2,AK301,IF($J301=1,AK301,0)))))</f>
        <v>0</v>
      </c>
      <c r="AH301" s="414">
        <f>IF(AK301=0,0,IF(AK301&lt;0,IF($J301=6,AK301,IF($J301=5,AK301,IF($J301=4,AK301,0)))))</f>
        <v>0</v>
      </c>
      <c r="AI301" s="414">
        <f>IF(AK301=0,0,IF(AK301&lt;0,IF($J301=9,AK301,IF($J301=8,AK301,IF($J301=7,AK301,0)))))</f>
        <v>0</v>
      </c>
      <c r="AJ301" s="406">
        <f>IF(AK301=0,0,IF(AK301&lt;0,IF($J301=12,AK301,IF($J301=11,AK301,IF($J301=10,AK301,0)))))</f>
        <v>0</v>
      </c>
      <c r="AK301" s="407">
        <f>IF(AK$5=$H301,-$E301,0)</f>
        <v>0</v>
      </c>
      <c r="AL301" s="404">
        <f>IF(AP301=0,0,IF(AP301&lt;0,IF($J301=3,AP301,IF($J301=2,AP301,IF($J301=1,AP301,0)))))</f>
        <v>0</v>
      </c>
      <c r="AM301" s="414">
        <f>IF(AP301=0,0,IF(AP301&lt;0,IF($J301=6,AP301,IF($J301=5,AP301,IF($J301=4,AP301,0)))))</f>
        <v>0</v>
      </c>
      <c r="AN301" s="414">
        <f>IF(AP301=0,0,IF(AP301&lt;0,IF($J301=9,AP301,IF($J301=8,AP301,IF($J301=7,AP301,0)))))</f>
        <v>0</v>
      </c>
      <c r="AO301" s="406">
        <f>IF(AP301=0,0,IF(AP301&lt;0,IF($J301=12,AP301,IF($J301=11,AP301,IF($J301=10,AP301,0)))))</f>
        <v>0</v>
      </c>
      <c r="AP301" s="407">
        <f>IF(AP$5=$H301,-$E301,0)</f>
        <v>0</v>
      </c>
      <c r="AQ301" s="404">
        <f>IF(AU301=0,0,IF(AU301&lt;0,IF($J301=3,AU301,IF($J301=2,AU301,IF($J301=1,AU301,0)))))</f>
        <v>-152.72732999999999</v>
      </c>
      <c r="AR301" s="414">
        <f>IF(AU301=0,0,IF(AU301&lt;0,IF($J301=6,AU301,IF($J301=5,AU301,IF($J301=4,AU301,0)))))</f>
        <v>0</v>
      </c>
      <c r="AS301" s="414">
        <f>IF(AU301=0,0,IF(AU301&lt;0,IF($J301=9,AU301,IF($J301=8,AU301,IF($J301=7,AU301,0)))))</f>
        <v>0</v>
      </c>
      <c r="AT301" s="406">
        <f>IF(AU301=0,0,IF(AU301&lt;0,IF($J301=12,AU301,IF($J301=11,AU301,IF($J301=10,AU301,0)))))</f>
        <v>0</v>
      </c>
      <c r="AU301" s="407">
        <f>IF(AU$5=$H301,-$E301,0)</f>
        <v>-152.72732999999999</v>
      </c>
      <c r="AV301" s="404">
        <f>IF(AZ301=0,0,IF(AZ301&lt;0,IF($J301=3,AZ301,IF($J301=2,AZ301,IF($J301=1,AZ301,0)))))</f>
        <v>0</v>
      </c>
      <c r="AW301" s="414">
        <f>IF(AZ301=0,0,IF(AZ301&lt;0,IF($J301=6,AZ301,IF($J301=5,AZ301,IF($J301=4,AZ301,0)))))</f>
        <v>0</v>
      </c>
      <c r="AX301" s="414">
        <f>IF(AZ301=0,0,IF(AZ301&lt;0,IF($J301=9,AZ301,IF($J301=8,AZ301,IF($J301=7,AZ301,0)))))</f>
        <v>0</v>
      </c>
      <c r="AY301" s="406">
        <f>IF(AZ301=0,0,IF(AZ301&lt;0,IF($J301=12,AZ301,IF($J301=11,AZ301,IF($J301=10,AZ301,0)))))</f>
        <v>0</v>
      </c>
      <c r="AZ301" s="407">
        <f>IF(AZ$5=$H301,-$E301,0)</f>
        <v>0</v>
      </c>
      <c r="BA301" s="404">
        <f>IF(BE301=0,0,IF(BE301&lt;0,IF($J301=3,BE301,IF($J301=2,BE301,IF($J301=1,BE301,0)))))</f>
        <v>0</v>
      </c>
      <c r="BB301" s="414">
        <f>IF(BE301=0,0,IF(BE301&lt;0,IF($J301=6,BE301,IF($J301=5,BE301,IF($J301=4,BE301,0)))))</f>
        <v>0</v>
      </c>
      <c r="BC301" s="414">
        <f>IF(BE301=0,0,IF(BE301&lt;0,IF($J301=9,BE301,IF($J301=8,BE301,IF($J301=7,BE301,0)))))</f>
        <v>0</v>
      </c>
      <c r="BD301" s="406">
        <f>IF(BE301=0,0,IF(BE301&lt;0,IF($J301=12,BE301,IF($J301=11,BE301,IF($J301=10,BE301,0)))))</f>
        <v>0</v>
      </c>
      <c r="BE301" s="407">
        <f>IF(BE$5=$H301,-$E301,0)</f>
        <v>0</v>
      </c>
      <c r="BF301" s="404">
        <f>IF(BJ301=0,0,IF(BJ301&lt;0,IF($J301=3,BJ301,IF($J301=2,BJ301,IF($J301=1,BJ301,0)))))</f>
        <v>0</v>
      </c>
      <c r="BG301" s="414">
        <f>IF(BJ301=0,0,IF(BJ301&lt;0,IF($J301=6,BJ301,IF($J301=5,BJ301,IF($J301=4,BJ301,0)))))</f>
        <v>0</v>
      </c>
      <c r="BH301" s="414">
        <f>IF(BJ301=0,0,IF(BJ301&lt;0,IF($J301=9,BJ301,IF($J301=8,BJ301,IF($J301=7,BJ301,0)))))</f>
        <v>0</v>
      </c>
      <c r="BI301" s="406">
        <f>IF(BJ301=0,0,IF(BJ301&lt;0,IF($J301=12,BJ301,IF($J301=11,BJ301,IF($J301=10,BJ301,0)))))</f>
        <v>0</v>
      </c>
      <c r="BJ301" s="407">
        <f>IF(BJ$5=$H301,-$E301,0)</f>
        <v>0</v>
      </c>
      <c r="BK301" s="404">
        <f>IF(BO301=0,0,IF(BO301&lt;0,IF($J301=3,BO301,IF($J301=2,BO301,IF($J301=1,BO301,0)))))</f>
        <v>0</v>
      </c>
      <c r="BL301" s="414">
        <f>IF(BO301=0,0,IF(BO301&lt;0,IF($J301=6,BO301,IF($J301=5,BO301,IF($J301=4,BO301,0)))))</f>
        <v>0</v>
      </c>
      <c r="BM301" s="414">
        <f>IF(BO301=0,0,IF(BO301&lt;0,IF($J301=9,BO301,IF($J301=8,BO301,IF($J301=7,BO301,0)))))</f>
        <v>0</v>
      </c>
      <c r="BN301" s="406">
        <f>IF(BO301=0,0,IF(BO301&lt;0,IF($J301=12,BO301,IF($J301=11,BO301,IF($J301=10,BO301,0)))))</f>
        <v>0</v>
      </c>
      <c r="BO301" s="407">
        <f>IF(BO$5=$H301,-$E301,0)</f>
        <v>0</v>
      </c>
      <c r="BP301" s="449"/>
      <c r="BQ301" s="413">
        <f>IF(AND(AH301&lt;&gt;0,AH$5=$H301),-$I301*$E301-AH301,IF(BQ$5=$H301,-$I301*$E301*(12-$J301+1)/12,0))</f>
        <v>0</v>
      </c>
      <c r="BR301" s="410">
        <f>IF($H301&lt;&gt;BV$5,0,IF(BV301&lt;0,IF($J301=1,-$E301*$I301/12*3,IF($J301=2,-$E301*$I301/12*2,IF($J301=3,-$E301*$I301/12*1,0)))))+IF(BQ$5&lt;&gt;$H301,0,IF(BQ301&lt;0,IF($J301=1,-$E301*$I301/12*0,IF($J301=2,-$E301*$I301/12*1,IF($J301=3,-$E301*$I301/12*2,IF($J301&gt;=4,-$E301*$I301/12*3,0))))))</f>
        <v>0</v>
      </c>
      <c r="BS301" s="416">
        <f>IF($H301&lt;&gt;BV$5,0,IF(BV301&lt;0,IF(OR($J301=1,$J301=2,$J301=3,$J301=4),-$E301*$I301/12*3,IF($J301=5,-$E301*$I301/12*2,IF($J301=6,-$E301*$I301/12*1,0)))))+IF(BQ$5&lt;&gt;$H301,0,IF(BQ301&lt;0,IF($J301=4,-$E301*$I301/12*0,IF($J301=5,-$E301*$I301/12*1,IF($J301=6,-$E301*$I301/12*2,IF($J301&gt;=7,-$E301*$I301/12*3,0))))))</f>
        <v>0</v>
      </c>
      <c r="BT301" s="416">
        <f>IF($H301&lt;&gt;BV$5,0,IF(BV301&lt;0,IF(OR($J301=1,$J301=2,$J301=3,$J301=4,$J301=5,$J301=6,$J301=7),-$E301*$I301/12*3,IF($J301=8,-$E301*$I301/12*2,IF($J301=9,-$E301*$I301/12*1,0)))))+IF(BQ$5&lt;&gt;$H301,0,IF(BQ301&lt;0,IF($J301=7,-$E301*$I301/12*0,IF($J301=8,-$E301*$I301/12*1,IF($J301=9,-$E301*$I301/12*2,IF($J301&gt;=10,-$E301*$I301/12*3,0))))))</f>
        <v>0</v>
      </c>
      <c r="BU301" s="412">
        <f>IF($H301&lt;&gt;BV$5,0,IF(BV301&lt;0,IF(OR($J301=1,$J301=2,$J301=3,$J301=4,$J301=5,$J301=6,$J301=7,$J301=8,$J301=9,$J301=10),-$E301*$I301/12*3,IF($J301=11,-$E301*$I301/12*2,IF($J301=12,-$E301*$I301/12*1,0)))))+IF(BQ$5&lt;&gt;$H301,0,IF(BQ301&lt;0,IF($J301=10,-$E301*$I301/12*0,IF($J301=11,-$E301*$I301/12*1,IF($J301=12,-$E301*$I301/12*2,0)))))</f>
        <v>0</v>
      </c>
      <c r="BV301" s="413">
        <f>IF(AND(BQ301&lt;&gt;0,BQ$5=$H301),-$I301*$E301-BQ301,IF(BV$5=$H301,-$I301*$E301*(12-$J301+1)/12,0))</f>
        <v>0</v>
      </c>
      <c r="BW301" s="410">
        <f>IF($H301&lt;&gt;CA$5,0,IF(CA301&lt;0,IF($J301=1,-$E301*$I301/12*3,IF($J301=2,-$E301*$I301/12*2,IF($J301=3,-$E301*$I301/12*1,0)))))+IF(BV$5&lt;&gt;$H301,0,IF(BV301&lt;0,IF($J301=1,-$E301*$I301/12*0,IF($J301=2,-$E301*$I301/12*1,IF($J301=3,-$E301*$I301/12*2,IF($J301&gt;=4,-$E301*$I301/12*3,0))))))</f>
        <v>0</v>
      </c>
      <c r="BX301" s="416">
        <f>IF($H301&lt;&gt;CA$5,0,IF(CA301&lt;0,IF(OR($J301=1,$J301=2,$J301=3,$J301=4),-$E301*$I301/12*3,IF($J301=5,-$E301*$I301/12*2,IF($J301=6,-$E301*$I301/12*1,0)))))+IF(BV$5&lt;&gt;$H301,0,IF(BV301&lt;0,IF($J301=4,-$E301*$I301/12*0,IF($J301=5,-$E301*$I301/12*1,IF($J301=6,-$E301*$I301/12*2,IF($J301&gt;=7,-$E301*$I301/12*3,0))))))</f>
        <v>0</v>
      </c>
      <c r="BY301" s="416">
        <f>IF($H301&lt;&gt;CA$5,0,IF(CA301&lt;0,IF(OR($J301=1,$J301=2,$J301=3,$J301=4,$J301=5,$J301=6,$J301=7),-$E301*$I301/12*3,IF($J301=8,-$E301*$I301/12*2,IF($J301=9,-$E301*$I301/12*1,0)))))+IF(BV$5&lt;&gt;$H301,0,IF(BV301&lt;0,IF($J301=7,-$E301*$I301/12*0,IF($J301=8,-$E301*$I301/12*1,IF($J301=9,-$E301*$I301/12*2,IF($J301&gt;=10,-$E301*$I301/12*3,0))))))</f>
        <v>0</v>
      </c>
      <c r="BZ301" s="412">
        <f>IF($H301&lt;&gt;CA$5,0,IF(CA301&lt;0,IF(OR($J301=1,$J301=2,$J301=3,$J301=4,$J301=5,$J301=6,$J301=7,$J301=8,$J301=9,$J301=10),-$E301*$I301/12*3,IF($J301=11,-$E301*$I301/12*2,IF($J301=12,-$E301*$I301/12*1,0)))))+IF(BV$5&lt;&gt;$H301,0,IF(BV301&lt;0,IF($J301=10,-$E301*$I301/12*0,IF($J301=11,-$E301*$I301/12*1,IF($J301=12,-$E301*$I301/12*2,0)))))</f>
        <v>0</v>
      </c>
      <c r="CA301" s="413">
        <f>IF(AND(BV301&lt;&gt;0,BV$5=$H301),-$I301*$E301-BV301,IF(CA$5=$H301,-$I301*$E301*(12-$J301+1)/12,0))</f>
        <v>0</v>
      </c>
      <c r="CB301" s="410">
        <f>IF($H301&lt;&gt;CF$5,0,IF(CF301&lt;0,IF($J301=1,-$E301*$I301/12*3,IF($J301=2,-$E301*$I301/12*2,IF($J301=3,-$E301*$I301/12*1,0)))))+IF(CA$5&lt;&gt;$H301,0,IF(CA301&lt;0,IF($J301=1,-$E301*$I301/12*0,IF($J301=2,-$E301*$I301/12*1,IF($J301=3,-$E301*$I301/12*2,IF($J301&gt;=4,-$E301*$I301/12*3,0))))))</f>
        <v>0</v>
      </c>
      <c r="CC301" s="416">
        <f>IF($H301&lt;&gt;CF$5,0,IF(CF301&lt;0,IF(OR($J301=1,$J301=2,$J301=3,$J301=4),-$E301*$I301/12*3,IF($J301=5,-$E301*$I301/12*2,IF($J301=6,-$E301*$I301/12*1,0)))))+IF(CA$5&lt;&gt;$H301,0,IF(CA301&lt;0,IF($J301=4,-$E301*$I301/12*0,IF($J301=5,-$E301*$I301/12*1,IF($J301=6,-$E301*$I301/12*2,IF($J301&gt;=7,-$E301*$I301/12*3,0))))))</f>
        <v>0</v>
      </c>
      <c r="CD301" s="416">
        <f>IF($H301&lt;&gt;CF$5,0,IF(CF301&lt;0,IF(OR($J301=1,$J301=2,$J301=3,$J301=4,$J301=5,$J301=6,$J301=7),-$E301*$I301/12*3,IF($J301=8,-$E301*$I301/12*2,IF($J301=9,-$E301*$I301/12*1,0)))))+IF(CA$5&lt;&gt;$H301,0,IF(CA301&lt;0,IF($J301=7,-$E301*$I301/12*0,IF($J301=8,-$E301*$I301/12*1,IF($J301=9,-$E301*$I301/12*2,IF($J301&gt;=10,-$E301*$I301/12*3,0))))))</f>
        <v>0</v>
      </c>
      <c r="CE301" s="412">
        <f>IF($H301&lt;&gt;CF$5,0,IF(CF301&lt;0,IF(OR($J301=1,$J301=2,$J301=3,$J301=4,$J301=5,$J301=6,$J301=7,$J301=8,$J301=9,$J301=10),-$E301*$I301/12*3,IF($J301=11,-$E301*$I301/12*2,IF($J301=12,-$E301*$I301/12*1,0)))))+IF(CA$5&lt;&gt;$H301,0,IF(CA301&lt;0,IF($J301=10,-$E301*$I301/12*0,IF($J301=11,-$E301*$I301/12*1,IF($J301=12,-$E301*$I301/12*2,0)))))</f>
        <v>0</v>
      </c>
      <c r="CF301" s="413">
        <f>IF(AND(CA301&lt;&gt;0,CA$5=$H301),-$I301*$E301-CA301,IF(CF$5=$H301,-$I301*$E301*(12-$J301+1)/12,0))</f>
        <v>0</v>
      </c>
      <c r="CG301" s="410">
        <f>IF($H301&lt;&gt;CK$5,0,IF(CK301&lt;0,IF($J301=1,-$E301*$I301/12*3,IF($J301=2,-$E301*$I301/12*2,IF($J301=3,-$E301*$I301/12*1,0)))))+IF(CF$5&lt;&gt;$H301,0,IF(CF301&lt;0,IF($J301=1,-$E301*$I301/12*0,IF($J301=2,-$E301*$I301/12*1,IF($J301=3,-$E301*$I301/12*2,IF($J301&gt;=4,-$E301*$I301/12*3,0))))))</f>
        <v>0</v>
      </c>
      <c r="CH301" s="416">
        <f>IF($H301&lt;&gt;CK$5,0,IF(CK301&lt;0,IF(OR($J301=1,$J301=2,$J301=3,$J301=4),-$E301*$I301/12*3,IF($J301=5,-$E301*$I301/12*2,IF($J301=6,-$E301*$I301/12*1,0)))))+IF(CF$5&lt;&gt;$H301,0,IF(CF301&lt;0,IF($J301=4,-$E301*$I301/12*0,IF($J301=5,-$E301*$I301/12*1,IF($J301=6,-$E301*$I301/12*2,IF($J301&gt;=7,-$E301*$I301/12*3,0))))))</f>
        <v>0</v>
      </c>
      <c r="CI301" s="416">
        <f>IF($H301&lt;&gt;CK$5,0,IF(CK301&lt;0,IF(OR($J301=1,$J301=2,$J301=3,$J301=4,$J301=5,$J301=6,$J301=7),-$E301*$I301/12*3,IF($J301=8,-$E301*$I301/12*2,IF($J301=9,-$E301*$I301/12*1,0)))))+IF(CF$5&lt;&gt;$H301,0,IF(CF301&lt;0,IF($J301=7,-$E301*$I301/12*0,IF($J301=8,-$E301*$I301/12*1,IF($J301=9,-$E301*$I301/12*2,IF($J301&gt;=10,-$E301*$I301/12*3,0))))))</f>
        <v>0</v>
      </c>
      <c r="CJ301" s="412">
        <f>IF($H301&lt;&gt;CK$5,0,IF(CK301&lt;0,IF(OR($J301=1,$J301=2,$J301=3,$J301=4,$J301=5,$J301=6,$J301=7,$J301=8,$J301=9,$J301=10),-$E301*$I301/12*3,IF($J301=11,-$E301*$I301/12*2,IF($J301=12,-$E301*$I301/12*1,0)))))+IF(CF$5&lt;&gt;$H301,0,IF(CF301&lt;0,IF($J301=10,-$E301*$I301/12*0,IF($J301=11,-$E301*$I301/12*1,IF($J301=12,-$E301*$I301/12*2,0)))))</f>
        <v>0</v>
      </c>
      <c r="CK301" s="413">
        <f>IF(AND(CF301&lt;&gt;0,CF$5=$H301),-$I301*$E301-CF301,IF(CK$5=$H301,-$I301*$E301*(12-$J301+1)/12,0))</f>
        <v>0</v>
      </c>
      <c r="CL301" s="410">
        <f>IF($H301&lt;&gt;CP$5,0,IF(CP301&lt;0,IF($J301=1,-$E301*$I301/12*3,IF($J301=2,-$E301*$I301/12*2,IF($J301=3,-$E301*$I301/12*1,0)))))+IF(CK$5&lt;&gt;$H301,0,IF(CK301&lt;0,IF($J301=1,-$E301*$I301/12*0,IF($J301=2,-$E301*$I301/12*1,IF($J301=3,-$E301*$I301/12*2,IF($J301&gt;=4,-$E301*$I301/12*3,0))))))</f>
        <v>0</v>
      </c>
      <c r="CM301" s="416">
        <f>IF($H301&lt;&gt;CP$5,0,IF(CP301&lt;0,IF(OR($J301=1,$J301=2,$J301=3,$J301=4),-$E301*$I301/12*3,IF($J301=5,-$E301*$I301/12*2,IF($J301=6,-$E301*$I301/12*1,0)))))+IF(CK$5&lt;&gt;$H301,0,IF(CK301&lt;0,IF($J301=4,-$E301*$I301/12*0,IF($J301=5,-$E301*$I301/12*1,IF($J301=6,-$E301*$I301/12*2,IF($J301&gt;=7,-$E301*$I301/12*3,0))))))</f>
        <v>0</v>
      </c>
      <c r="CN301" s="416">
        <f>IF($H301&lt;&gt;CP$5,0,IF(CP301&lt;0,IF(OR($J301=1,$J301=2,$J301=3,$J301=4,$J301=5,$J301=6,$J301=7),-$E301*$I301/12*3,IF($J301=8,-$E301*$I301/12*2,IF($J301=9,-$E301*$I301/12*1,0)))))+IF(CK$5&lt;&gt;$H301,0,IF(CK301&lt;0,IF($J301=7,-$E301*$I301/12*0,IF($J301=8,-$E301*$I301/12*1,IF($J301=9,-$E301*$I301/12*2,IF($J301&gt;=10,-$E301*$I301/12*3,0))))))</f>
        <v>0</v>
      </c>
      <c r="CO301" s="412">
        <f>IF($H301&lt;&gt;CP$5,0,IF(CP301&lt;0,IF(OR($J301=1,$J301=2,$J301=3,$J301=4,$J301=5,$J301=6,$J301=7,$J301=8,$J301=9,$J301=10),-$E301*$I301/12*3,IF($J301=11,-$E301*$I301/12*2,IF($J301=12,-$E301*$I301/12*1,0)))))+IF(CK$5&lt;&gt;$H301,0,IF(CK301&lt;0,IF($J301=10,-$E301*$I301/12*0,IF($J301=11,-$E301*$I301/12*1,IF($J301=12,-$E301*$I301/12*2,0)))))</f>
        <v>0</v>
      </c>
      <c r="CP301" s="413">
        <f>IF(AND(CK301&lt;&gt;0,CK$5=$H301),-$I301*$E301-CK301,IF(CP$5=$H301,-$I301*$E301*(12-$J301+1)/12,0))</f>
        <v>0</v>
      </c>
      <c r="CQ301" s="410">
        <f>IF($H301&lt;&gt;CU$5,0,IF(CU301&lt;0,IF($J301=1,-$E301*$I301/12*3,IF($J301=2,-$E301*$I301/12*2,IF($J301=3,-$E301*$I301/12*1,0)))))+IF(CP$5&lt;&gt;$H301,0,IF(CP301&lt;0,IF($J301=1,-$E301*$I301/12*0,IF($J301=2,-$E301*$I301/12*1,IF($J301=3,-$E301*$I301/12*2,IF($J301&gt;=4,-$E301*$I301/12*3,0))))))</f>
        <v>0</v>
      </c>
      <c r="CR301" s="416">
        <f>IF($H301&lt;&gt;CU$5,0,IF(CU301&lt;0,IF(OR($J301=1,$J301=2,$J301=3,$J301=4),-$E301*$I301/12*3,IF($J301=5,-$E301*$I301/12*2,IF($J301=6,-$E301*$I301/12*1,0)))))+IF(CP$5&lt;&gt;$H301,0,IF(CP301&lt;0,IF($J301=4,-$E301*$I301/12*0,IF($J301=5,-$E301*$I301/12*1,IF($J301=6,-$E301*$I301/12*2,IF($J301&gt;=7,-$E301*$I301/12*3,0))))))</f>
        <v>0</v>
      </c>
      <c r="CS301" s="416">
        <f>IF($H301&lt;&gt;CU$5,0,IF(CU301&lt;0,IF(OR($J301=1,$J301=2,$J301=3,$J301=4,$J301=5,$J301=6,$J301=7),-$E301*$I301/12*3,IF($J301=8,-$E301*$I301/12*2,IF($J301=9,-$E301*$I301/12*1,0)))))+IF(CP$5&lt;&gt;$H301,0,IF(CP301&lt;0,IF($J301=7,-$E301*$I301/12*0,IF($J301=8,-$E301*$I301/12*1,IF($J301=9,-$E301*$I301/12*2,IF($J301&gt;=10,-$E301*$I301/12*3,0))))))</f>
        <v>0</v>
      </c>
      <c r="CT301" s="412">
        <f>IF($H301&lt;&gt;CU$5,0,IF(CU301&lt;0,IF(OR($J301=1,$J301=2,$J301=3,$J301=4,$J301=5,$J301=6,$J301=7,$J301=8,$J301=9,$J301=10),-$E301*$I301/12*3,IF($J301=11,-$E301*$I301/12*2,IF($J301=12,-$E301*$I301/12*1,0)))))+IF(CP$5&lt;&gt;$H301,0,IF(CP301&lt;0,IF($J301=10,-$E301*$I301/12*0,IF($J301=11,-$E301*$I301/12*1,IF($J301=12,-$E301*$I301/12*2,0)))))</f>
        <v>0</v>
      </c>
      <c r="CU301" s="413">
        <f>IF(AND(CP301&lt;&gt;0,CP$5=$H301),-$I301*$E301-CP301,IF(CU$5=$H301,-$I301*$E301*(12-$J301+1)/12,0))</f>
        <v>0</v>
      </c>
      <c r="CV301" s="410">
        <f>IF($H301&lt;&gt;CZ$5,0,IF(CZ301&lt;0,IF($J301=1,-$E301*$I301/12*3,IF($J301=2,-$E301*$I301/12*2,IF($J301=3,-$E301*$I301/12*1,0)))))+IF(CU$5&lt;&gt;$H301,0,IF(CU301&lt;0,IF($J301=1,-$E301*$I301/12*0,IF($J301=2,-$E301*$I301/12*1,IF($J301=3,-$E301*$I301/12*2,IF($J301&gt;=4,-$E301*$I301/12*3,0))))))</f>
        <v>-1.6112733314999999</v>
      </c>
      <c r="CW301" s="416">
        <f>IF($H301&lt;&gt;CZ$5,0,IF(CZ301&lt;0,IF(OR($J301=1,$J301=2,$J301=3,$J301=4),-$E301*$I301/12*3,IF($J301=5,-$E301*$I301/12*2,IF($J301=6,-$E301*$I301/12*1,0)))))+IF(CU$5&lt;&gt;$H301,0,IF(CU301&lt;0,IF($J301=4,-$E301*$I301/12*0,IF($J301=5,-$E301*$I301/12*1,IF($J301=6,-$E301*$I301/12*2,IF($J301&gt;=7,-$E301*$I301/12*3,0))))))</f>
        <v>-2.4169099972499999</v>
      </c>
      <c r="CX301" s="416">
        <f>IF($H301&lt;&gt;CZ$5,0,IF(CZ301&lt;0,IF(OR($J301=1,$J301=2,$J301=3,$J301=4,$J301=5,$J301=6,$J301=7),-$E301*$I301/12*3,IF($J301=8,-$E301*$I301/12*2,IF($J301=9,-$E301*$I301/12*1,0)))))+IF(CU$5&lt;&gt;$H301,0,IF(CU301&lt;0,IF($J301=7,-$E301*$I301/12*0,IF($J301=8,-$E301*$I301/12*1,IF($J301=9,-$E301*$I301/12*2,IF($J301&gt;=10,-$E301*$I301/12*3,0))))))</f>
        <v>-2.4169099972499999</v>
      </c>
      <c r="CY301" s="412">
        <f>IF($H301&lt;&gt;CZ$5,0,IF(CZ301&lt;0,IF(OR($J301=1,$J301=2,$J301=3,$J301=4,$J301=5,$J301=6,$J301=7,$J301=8,$J301=9,$J301=10),-$E301*$I301/12*3,IF($J301=11,-$E301*$I301/12*2,IF($J301=12,-$E301*$I301/12*1,0)))))+IF(CU$5&lt;&gt;$H301,0,IF(CU301&lt;0,IF($J301=10,-$E301*$I301/12*0,IF($J301=11,-$E301*$I301/12*1,IF($J301=12,-$E301*$I301/12*2,0)))))</f>
        <v>-2.4169099972499999</v>
      </c>
      <c r="CZ301" s="413">
        <f>IF(AND(CU301&lt;&gt;0,CU$5=$H301),-$I301*$E301-CU301,IF(CZ$5=$H301,-$I301*$E301*(12-$J301+1)/12,0))</f>
        <v>-8.8620033232499988</v>
      </c>
      <c r="DA301" s="410">
        <f>IF($H301&lt;&gt;DE$5,0,IF(DE301&lt;0,IF($J301=1,-$E301*$I301/12*3,IF($J301=2,-$E301*$I301/12*2,IF($J301=3,-$E301*$I301/12*1,0)))))+IF(CZ$5&lt;&gt;$H301,0,IF(CZ301&lt;0,IF($J301=1,-$E301*$I301/12*0,IF($J301=2,-$E301*$I301/12*1,IF($J301=3,-$E301*$I301/12*2,IF($J301&gt;=4,-$E301*$I301/12*3,0))))))</f>
        <v>-0.80563666574999993</v>
      </c>
      <c r="DB301" s="416">
        <f>IF($H301&lt;&gt;DE$5,0,IF(DE301&lt;0,IF(OR($J301=1,$J301=2,$J301=3,$J301=4),-$E301*$I301/12*3,IF($J301=5,-$E301*$I301/12*2,IF($J301=6,-$E301*$I301/12*1,0)))))+IF(CZ$5&lt;&gt;$H301,0,IF(CZ301&lt;0,IF($J301=4,-$E301*$I301/12*0,IF($J301=5,-$E301*$I301/12*1,IF($J301=6,-$E301*$I301/12*2,IF($J301&gt;=7,-$E301*$I301/12*3,0))))))</f>
        <v>0</v>
      </c>
      <c r="DC301" s="416">
        <f>IF($H301&lt;&gt;DE$5,0,IF(DE301&lt;0,IF(OR($J301=1,$J301=2,$J301=3,$J301=4,$J301=5,$J301=6,$J301=7),-$E301*$I301/12*3,IF($J301=8,-$E301*$I301/12*2,IF($J301=9,-$E301*$I301/12*1,0)))))+IF(CZ$5&lt;&gt;$H301,0,IF(CZ301&lt;0,IF($J301=7,-$E301*$I301/12*0,IF($J301=8,-$E301*$I301/12*1,IF($J301=9,-$E301*$I301/12*2,IF($J301&gt;=10,-$E301*$I301/12*3,0))))))</f>
        <v>0</v>
      </c>
      <c r="DD301" s="412">
        <f>IF($H301&lt;&gt;DE$5,0,IF(DE301&lt;0,IF(OR($J301=1,$J301=2,$J301=3,$J301=4,$J301=5,$J301=6,$J301=7,$J301=8,$J301=9,$J301=10),-$E301*$I301/12*3,IF($J301=11,-$E301*$I301/12*2,IF($J301=12,-$E301*$I301/12*1,0)))))+IF(CZ$5&lt;&gt;$H301,0,IF(CZ301&lt;0,IF($J301=10,-$E301*$I301/12*0,IF($J301=11,-$E301*$I301/12*1,IF($J301=12,-$E301*$I301/12*2,0)))))</f>
        <v>0</v>
      </c>
      <c r="DE301" s="413">
        <f>IF(AND(CZ301&lt;&gt;0,CZ$5=$H301),-$I301*$E301-CZ301,IF(DE$5=$H301,-$I301*$E301*(12-$J301+1)/12,0))</f>
        <v>-0.8056366657500007</v>
      </c>
      <c r="DF301" s="410">
        <f>IF($H301&lt;&gt;DJ$5,0,IF(DJ301&lt;0,IF($J301=1,-$E301*$I301/12*3,IF($J301=2,-$E301*$I301/12*2,IF($J301=3,-$E301*$I301/12*1,0)))))+IF(DE$5&lt;&gt;$H301,0,IF(DE301&lt;0,IF($J301=1,-$E301*$I301/12*0,IF($J301=2,-$E301*$I301/12*1,IF($J301=3,-$E301*$I301/12*2,IF($J301&gt;=4,-$E301*$I301/12*3,0))))))</f>
        <v>0</v>
      </c>
      <c r="DG301" s="416">
        <f>IF($H301&lt;&gt;DJ$5,0,IF(DJ301&lt;0,IF(OR($J301=1,$J301=2,$J301=3,$J301=4),-$E301*$I301/12*3,IF($J301=5,-$E301*$I301/12*2,IF($J301=6,-$E301*$I301/12*1,0)))))+IF(DE$5&lt;&gt;$H301,0,IF(DE301&lt;0,IF($J301=4,-$E301*$I301/12*0,IF($J301=5,-$E301*$I301/12*1,IF($J301=6,-$E301*$I301/12*2,IF($J301&gt;=7,-$E301*$I301/12*3,0))))))</f>
        <v>0</v>
      </c>
      <c r="DH301" s="416">
        <f>IF($H301&lt;&gt;DJ$5,0,IF(DJ301&lt;0,IF(OR($J301=1,$J301=2,$J301=3,$J301=4,$J301=5,$J301=6,$J301=7),-$E301*$I301/12*3,IF($J301=8,-$E301*$I301/12*2,IF($J301=9,-$E301*$I301/12*1,0)))))+IF(DE$5&lt;&gt;$H301,0,IF(DE301&lt;0,IF($J301=7,-$E301*$I301/12*0,IF($J301=8,-$E301*$I301/12*1,IF($J301=9,-$E301*$I301/12*2,IF($J301&gt;=10,-$E301*$I301/12*3,0))))))</f>
        <v>0</v>
      </c>
      <c r="DI301" s="412">
        <f>IF($H301&lt;&gt;DJ$5,0,IF(DJ301&lt;0,IF(OR($J301=1,$J301=2,$J301=3,$J301=4,$J301=5,$J301=6,$J301=7,$J301=8,$J301=9,$J301=10),-$E301*$I301/12*3,IF($J301=11,-$E301*$I301/12*2,IF($J301=12,-$E301*$I301/12*1,0)))))+IF(DE$5&lt;&gt;$H301,0,IF(DE301&lt;0,IF($J301=10,-$E301*$I301/12*0,IF($J301=11,-$E301*$I301/12*1,IF($J301=12,-$E301*$I301/12*2,0)))))</f>
        <v>0</v>
      </c>
      <c r="DJ301" s="413">
        <f>IF(AND(DE301&lt;&gt;0,DE$5=$H301),-$I301*$E301-DE301,IF(DJ$5=$H301,-$I301*$E301*(12-$J301+1)/12,0))</f>
        <v>0</v>
      </c>
      <c r="DK301" s="410">
        <f>IF($H301&lt;&gt;DO$5,0,IF(DO301&lt;0,IF($J301=1,-$E301*$I301/12*3,IF($J301=2,-$E301*$I301/12*2,IF($J301=3,-$E301*$I301/12*1,0)))))+IF(DJ$5&lt;&gt;$H301,0,IF(DJ301&lt;0,IF($J301=1,-$E301*$I301/12*0,IF($J301=2,-$E301*$I301/12*1,IF($J301=3,-$E301*$I301/12*2,IF($J301&gt;=4,-$E301*$I301/12*3,0))))))</f>
        <v>0</v>
      </c>
      <c r="DL301" s="416">
        <f>IF($H301&lt;&gt;DO$5,0,IF(DO301&lt;0,IF(OR($J301=1,$J301=2,$J301=3,$J301=4),-$E301*$I301/12*3,IF($J301=5,-$E301*$I301/12*2,IF($J301=6,-$E301*$I301/12*1,0)))))+IF(DJ$5&lt;&gt;$H301,0,IF(DJ301&lt;0,IF($J301=4,-$E301*$I301/12*0,IF($J301=5,-$E301*$I301/12*1,IF($J301=6,-$E301*$I301/12*2,IF($J301&gt;=7,-$E301*$I301/12*3,0))))))</f>
        <v>0</v>
      </c>
      <c r="DM301" s="416">
        <f>IF($H301&lt;&gt;DO$5,0,IF(DO301&lt;0,IF(OR($J301=1,$J301=2,$J301=3,$J301=4,$J301=5,$J301=6,$J301=7),-$E301*$I301/12*3,IF($J301=8,-$E301*$I301/12*2,IF($J301=9,-$E301*$I301/12*1,0)))))+IF(DJ$5&lt;&gt;$H301,0,IF(DJ301&lt;0,IF($J301=7,-$E301*$I301/12*0,IF($J301=8,-$E301*$I301/12*1,IF($J301=9,-$E301*$I301/12*2,IF($J301&gt;=10,-$E301*$I301/12*3,0))))))</f>
        <v>0</v>
      </c>
      <c r="DN301" s="412">
        <f>IF($H301&lt;&gt;DO$5,0,IF(DO301&lt;0,IF(OR($J301=1,$J301=2,$J301=3,$J301=4,$J301=5,$J301=6,$J301=7,$J301=8,$J301=9,$J301=10),-$E301*$I301/12*3,IF($J301=11,-$E301*$I301/12*2,IF($J301=12,-$E301*$I301/12*1,0)))))+IF(DJ$5&lt;&gt;$H301,0,IF(DJ301&lt;0,IF($J301=10,-$E301*$I301/12*0,IF($J301=11,-$E301*$I301/12*1,IF($J301=12,-$E301*$I301/12*2,0)))))</f>
        <v>0</v>
      </c>
      <c r="DO301" s="413">
        <f>IF(AND(DJ301&lt;&gt;0,DJ$5=$H301),-$I301*$E301-DJ301,IF(DO$5=$H301,-$I301*$E301*(12-$J301+1)/12,0))</f>
        <v>0</v>
      </c>
      <c r="DP301" s="410">
        <f>IF($H301&lt;&gt;DT$5,0,IF(DT301&lt;0,IF($J301=1,-$E301*$I301/12*3,IF($J301=2,-$E301*$I301/12*2,IF($J301=3,-$E301*$I301/12*1,0)))))+IF(DO$5&lt;&gt;$H301,0,IF(DO301&lt;0,IF($J301=1,-$E301*$I301/12*0,IF($J301=2,-$E301*$I301/12*1,IF($J301=3,-$E301*$I301/12*2,IF($J301&gt;=4,-$E301*$I301/12*3,0))))))</f>
        <v>0</v>
      </c>
      <c r="DQ301" s="416">
        <f>IF($H301&lt;&gt;DT$5,0,IF(DT301&lt;0,IF(OR($J301=1,$J301=2,$J301=3,$J301=4),-$E301*$I301/12*3,IF($J301=5,-$E301*$I301/12*2,IF($J301=6,-$E301*$I301/12*1,0)))))+IF(DO$5&lt;&gt;$H301,0,IF(DO301&lt;0,IF($J301=4,-$E301*$I301/12*0,IF($J301=5,-$E301*$I301/12*1,IF($J301=6,-$E301*$I301/12*2,IF($J301&gt;=7,-$E301*$I301/12*3,0))))))</f>
        <v>0</v>
      </c>
      <c r="DR301" s="416">
        <f>IF($H301&lt;&gt;DT$5,0,IF(DT301&lt;0,IF(OR($J301=1,$J301=2,$J301=3,$J301=4,$J301=5,$J301=6,$J301=7),-$E301*$I301/12*3,IF($J301=8,-$E301*$I301/12*2,IF($J301=9,-$E301*$I301/12*1,0)))))+IF(DO$5&lt;&gt;$H301,0,IF(DO301&lt;0,IF($J301=7,-$E301*$I301/12*0,IF($J301=8,-$E301*$I301/12*1,IF($J301=9,-$E301*$I301/12*2,IF($J301&gt;=10,-$E301*$I301/12*3,0))))))</f>
        <v>0</v>
      </c>
      <c r="DS301" s="412">
        <f>IF($H301&lt;&gt;DT$5,0,IF(DT301&lt;0,IF(OR($J301=1,$J301=2,$J301=3,$J301=4,$J301=5,$J301=6,$J301=7,$J301=8,$J301=9,$J301=10),-$E301*$I301/12*3,IF($J301=11,-$E301*$I301/12*2,IF($J301=12,-$E301*$I301/12*1,0)))))+IF(DO$5&lt;&gt;$H301,0,IF(DO301&lt;0,IF($J301=10,-$E301*$I301/12*0,IF($J301=11,-$E301*$I301/12*1,IF($J301=12,-$E301*$I301/12*2,0)))))</f>
        <v>0</v>
      </c>
      <c r="DT301" s="413">
        <f>IF(AND(DO301&lt;&gt;0,DO$5=$H301),-$I301*$E301-DO301,IF(DT$5=$H301,-$I301*$E301*(12-$J301+1)/12,0))</f>
        <v>0</v>
      </c>
    </row>
    <row r="302" spans="1:124" ht="12.75" customHeight="1">
      <c r="A302" s="491"/>
      <c r="C302" s="845"/>
      <c r="D302" s="845"/>
      <c r="E302" s="831"/>
      <c r="F302" s="1226"/>
      <c r="G302" s="1226"/>
      <c r="H302" s="610"/>
      <c r="I302" s="830"/>
      <c r="J302" s="615"/>
      <c r="K302" s="402"/>
      <c r="L302" s="407"/>
      <c r="M302" s="404"/>
      <c r="N302" s="414"/>
      <c r="O302" s="414"/>
      <c r="P302" s="406"/>
      <c r="Q302" s="407"/>
      <c r="R302" s="404"/>
      <c r="S302" s="414"/>
      <c r="T302" s="414"/>
      <c r="U302" s="406"/>
      <c r="V302" s="407"/>
      <c r="W302" s="404"/>
      <c r="X302" s="414"/>
      <c r="Y302" s="414"/>
      <c r="Z302" s="406"/>
      <c r="AA302" s="407"/>
      <c r="AB302" s="404"/>
      <c r="AC302" s="414"/>
      <c r="AD302" s="414"/>
      <c r="AE302" s="406"/>
      <c r="AF302" s="407"/>
      <c r="AG302" s="404"/>
      <c r="AH302" s="414"/>
      <c r="AI302" s="414"/>
      <c r="AJ302" s="406"/>
      <c r="AK302" s="407"/>
      <c r="AL302" s="404"/>
      <c r="AM302" s="414"/>
      <c r="AN302" s="414"/>
      <c r="AO302" s="406"/>
      <c r="AP302" s="407"/>
      <c r="AQ302" s="404"/>
      <c r="AR302" s="414"/>
      <c r="AS302" s="414"/>
      <c r="AT302" s="406"/>
      <c r="AU302" s="407"/>
      <c r="AV302" s="404"/>
      <c r="AW302" s="414"/>
      <c r="AX302" s="414"/>
      <c r="AY302" s="406"/>
      <c r="AZ302" s="407"/>
      <c r="BA302" s="404"/>
      <c r="BB302" s="414"/>
      <c r="BC302" s="414"/>
      <c r="BD302" s="406"/>
      <c r="BE302" s="407"/>
      <c r="BF302" s="404"/>
      <c r="BG302" s="414"/>
      <c r="BH302" s="414"/>
      <c r="BI302" s="406"/>
      <c r="BJ302" s="407"/>
      <c r="BK302" s="404"/>
      <c r="BL302" s="414"/>
      <c r="BM302" s="414"/>
      <c r="BN302" s="406"/>
      <c r="BO302" s="407"/>
      <c r="BP302" s="449"/>
      <c r="BQ302" s="413"/>
      <c r="BR302" s="410"/>
      <c r="BS302" s="416"/>
      <c r="BT302" s="416"/>
      <c r="BU302" s="412"/>
      <c r="BV302" s="413"/>
      <c r="BW302" s="410"/>
      <c r="BX302" s="416"/>
      <c r="BY302" s="416"/>
      <c r="BZ302" s="412"/>
      <c r="CA302" s="413"/>
      <c r="CB302" s="410"/>
      <c r="CC302" s="416"/>
      <c r="CD302" s="416"/>
      <c r="CE302" s="412"/>
      <c r="CF302" s="413"/>
      <c r="CG302" s="410"/>
      <c r="CH302" s="416"/>
      <c r="CI302" s="416"/>
      <c r="CJ302" s="412"/>
      <c r="CK302" s="413"/>
      <c r="CL302" s="410"/>
      <c r="CM302" s="416"/>
      <c r="CN302" s="416"/>
      <c r="CO302" s="412"/>
      <c r="CP302" s="413"/>
      <c r="CQ302" s="410"/>
      <c r="CR302" s="416"/>
      <c r="CS302" s="416"/>
      <c r="CT302" s="412"/>
      <c r="CU302" s="413"/>
      <c r="CV302" s="410"/>
      <c r="CW302" s="416"/>
      <c r="CX302" s="416"/>
      <c r="CY302" s="412"/>
      <c r="CZ302" s="413"/>
      <c r="DA302" s="410"/>
      <c r="DB302" s="416"/>
      <c r="DC302" s="416"/>
      <c r="DD302" s="412"/>
      <c r="DE302" s="413"/>
      <c r="DF302" s="410"/>
      <c r="DG302" s="416"/>
      <c r="DH302" s="416"/>
      <c r="DI302" s="412"/>
      <c r="DJ302" s="413"/>
      <c r="DK302" s="410"/>
      <c r="DL302" s="416"/>
      <c r="DM302" s="416"/>
      <c r="DN302" s="412"/>
      <c r="DO302" s="413"/>
      <c r="DP302" s="410"/>
      <c r="DQ302" s="416"/>
      <c r="DR302" s="416"/>
      <c r="DS302" s="412"/>
      <c r="DT302" s="413"/>
    </row>
    <row r="303" spans="1:124" s="293" customFormat="1" ht="12.75" customHeight="1">
      <c r="A303"/>
      <c r="B303"/>
      <c r="C303" s="27" t="s">
        <v>48</v>
      </c>
      <c r="D303" s="27"/>
      <c r="E303" s="31">
        <f>SUM(E297:E302)</f>
        <v>822.72732999999994</v>
      </c>
      <c r="F303" s="1234">
        <f>SUM(F297:F302)</f>
        <v>170</v>
      </c>
      <c r="G303" s="1234">
        <f>SUM(G297:G302)</f>
        <v>822.72732999999994</v>
      </c>
      <c r="H303" s="28"/>
      <c r="I303" s="29"/>
      <c r="J303" s="633"/>
      <c r="K303" s="531"/>
      <c r="L303" s="532">
        <f t="shared" ref="L303:AQ303" si="2374">SUM(L297:L302)</f>
        <v>0</v>
      </c>
      <c r="M303" s="533">
        <f t="shared" si="2374"/>
        <v>0</v>
      </c>
      <c r="N303" s="534">
        <f t="shared" si="2374"/>
        <v>0</v>
      </c>
      <c r="O303" s="534">
        <f t="shared" si="2374"/>
        <v>0</v>
      </c>
      <c r="P303" s="535">
        <f t="shared" si="2374"/>
        <v>0</v>
      </c>
      <c r="Q303" s="532">
        <f t="shared" si="2374"/>
        <v>0</v>
      </c>
      <c r="R303" s="533">
        <f t="shared" si="2374"/>
        <v>0</v>
      </c>
      <c r="S303" s="534">
        <f t="shared" si="2374"/>
        <v>0</v>
      </c>
      <c r="T303" s="534">
        <f t="shared" si="2374"/>
        <v>0</v>
      </c>
      <c r="U303" s="535">
        <f t="shared" si="2374"/>
        <v>0</v>
      </c>
      <c r="V303" s="532">
        <f t="shared" si="2374"/>
        <v>0</v>
      </c>
      <c r="W303" s="533">
        <f t="shared" si="2374"/>
        <v>0</v>
      </c>
      <c r="X303" s="534">
        <f t="shared" si="2374"/>
        <v>0</v>
      </c>
      <c r="Y303" s="534">
        <f t="shared" si="2374"/>
        <v>0</v>
      </c>
      <c r="Z303" s="535">
        <f t="shared" si="2374"/>
        <v>0</v>
      </c>
      <c r="AA303" s="532">
        <f t="shared" si="2374"/>
        <v>0</v>
      </c>
      <c r="AB303" s="533">
        <f t="shared" si="2374"/>
        <v>0</v>
      </c>
      <c r="AC303" s="534">
        <f t="shared" si="2374"/>
        <v>0</v>
      </c>
      <c r="AD303" s="534">
        <f t="shared" si="2374"/>
        <v>0</v>
      </c>
      <c r="AE303" s="535">
        <f t="shared" si="2374"/>
        <v>0</v>
      </c>
      <c r="AF303" s="532">
        <f t="shared" si="2374"/>
        <v>0</v>
      </c>
      <c r="AG303" s="533">
        <f t="shared" si="2374"/>
        <v>0</v>
      </c>
      <c r="AH303" s="534">
        <f t="shared" si="2374"/>
        <v>0</v>
      </c>
      <c r="AI303" s="534">
        <f t="shared" si="2374"/>
        <v>0</v>
      </c>
      <c r="AJ303" s="535">
        <f t="shared" si="2374"/>
        <v>0</v>
      </c>
      <c r="AK303" s="532">
        <f t="shared" si="2374"/>
        <v>0</v>
      </c>
      <c r="AL303" s="533">
        <f t="shared" si="2374"/>
        <v>0</v>
      </c>
      <c r="AM303" s="534">
        <f t="shared" si="2374"/>
        <v>0</v>
      </c>
      <c r="AN303" s="534">
        <f t="shared" si="2374"/>
        <v>0</v>
      </c>
      <c r="AO303" s="535">
        <f t="shared" si="2374"/>
        <v>0</v>
      </c>
      <c r="AP303" s="532">
        <f t="shared" si="2374"/>
        <v>0</v>
      </c>
      <c r="AQ303" s="533">
        <f t="shared" si="2374"/>
        <v>-652.72732999999994</v>
      </c>
      <c r="AR303" s="534">
        <f t="shared" ref="AR303:BO303" si="2375">SUM(AR297:AR302)</f>
        <v>0</v>
      </c>
      <c r="AS303" s="534">
        <f t="shared" si="2375"/>
        <v>0</v>
      </c>
      <c r="AT303" s="535">
        <f t="shared" si="2375"/>
        <v>0</v>
      </c>
      <c r="AU303" s="532">
        <f t="shared" si="2375"/>
        <v>-652.72732999999994</v>
      </c>
      <c r="AV303" s="533">
        <f t="shared" si="2375"/>
        <v>0</v>
      </c>
      <c r="AW303" s="534">
        <f t="shared" si="2375"/>
        <v>0</v>
      </c>
      <c r="AX303" s="534">
        <f t="shared" si="2375"/>
        <v>0</v>
      </c>
      <c r="AY303" s="535">
        <f t="shared" si="2375"/>
        <v>-125</v>
      </c>
      <c r="AZ303" s="532">
        <f t="shared" si="2375"/>
        <v>-125</v>
      </c>
      <c r="BA303" s="533">
        <f t="shared" si="2375"/>
        <v>0</v>
      </c>
      <c r="BB303" s="534">
        <f t="shared" si="2375"/>
        <v>0</v>
      </c>
      <c r="BC303" s="534">
        <f t="shared" si="2375"/>
        <v>0</v>
      </c>
      <c r="BD303" s="535">
        <f t="shared" si="2375"/>
        <v>0</v>
      </c>
      <c r="BE303" s="532">
        <f t="shared" si="2375"/>
        <v>0</v>
      </c>
      <c r="BF303" s="533">
        <f t="shared" si="2375"/>
        <v>0</v>
      </c>
      <c r="BG303" s="534">
        <f t="shared" si="2375"/>
        <v>0</v>
      </c>
      <c r="BH303" s="534">
        <f t="shared" si="2375"/>
        <v>0</v>
      </c>
      <c r="BI303" s="535">
        <f t="shared" si="2375"/>
        <v>0</v>
      </c>
      <c r="BJ303" s="532">
        <f t="shared" si="2375"/>
        <v>0</v>
      </c>
      <c r="BK303" s="533">
        <f t="shared" si="2375"/>
        <v>0</v>
      </c>
      <c r="BL303" s="534">
        <f t="shared" si="2375"/>
        <v>0</v>
      </c>
      <c r="BM303" s="534">
        <f t="shared" si="2375"/>
        <v>0</v>
      </c>
      <c r="BN303" s="535">
        <f t="shared" si="2375"/>
        <v>0</v>
      </c>
      <c r="BO303" s="532">
        <f t="shared" si="2375"/>
        <v>0</v>
      </c>
      <c r="BP303" s="536"/>
      <c r="BQ303" s="537">
        <f t="shared" ref="BQ303:CV303" si="2376">SUM(BQ297:BQ302)</f>
        <v>0</v>
      </c>
      <c r="BR303" s="538">
        <f t="shared" si="2376"/>
        <v>0</v>
      </c>
      <c r="BS303" s="539">
        <f t="shared" si="2376"/>
        <v>0</v>
      </c>
      <c r="BT303" s="539">
        <f t="shared" si="2376"/>
        <v>0</v>
      </c>
      <c r="BU303" s="540">
        <f t="shared" si="2376"/>
        <v>0</v>
      </c>
      <c r="BV303" s="537">
        <f t="shared" si="2376"/>
        <v>0</v>
      </c>
      <c r="BW303" s="538">
        <f t="shared" si="2376"/>
        <v>0</v>
      </c>
      <c r="BX303" s="539">
        <f t="shared" si="2376"/>
        <v>0</v>
      </c>
      <c r="BY303" s="539">
        <f t="shared" si="2376"/>
        <v>0</v>
      </c>
      <c r="BZ303" s="540">
        <f t="shared" si="2376"/>
        <v>0</v>
      </c>
      <c r="CA303" s="537">
        <f t="shared" si="2376"/>
        <v>0</v>
      </c>
      <c r="CB303" s="538">
        <f t="shared" si="2376"/>
        <v>0</v>
      </c>
      <c r="CC303" s="539">
        <f t="shared" si="2376"/>
        <v>0</v>
      </c>
      <c r="CD303" s="539">
        <f t="shared" si="2376"/>
        <v>0</v>
      </c>
      <c r="CE303" s="540">
        <f t="shared" si="2376"/>
        <v>0</v>
      </c>
      <c r="CF303" s="537">
        <f t="shared" si="2376"/>
        <v>0</v>
      </c>
      <c r="CG303" s="538">
        <f t="shared" si="2376"/>
        <v>0</v>
      </c>
      <c r="CH303" s="539">
        <f t="shared" si="2376"/>
        <v>0</v>
      </c>
      <c r="CI303" s="539">
        <f t="shared" si="2376"/>
        <v>0</v>
      </c>
      <c r="CJ303" s="540">
        <f t="shared" si="2376"/>
        <v>0</v>
      </c>
      <c r="CK303" s="537">
        <f t="shared" si="2376"/>
        <v>0</v>
      </c>
      <c r="CL303" s="538">
        <f t="shared" si="2376"/>
        <v>0</v>
      </c>
      <c r="CM303" s="539">
        <f t="shared" si="2376"/>
        <v>0</v>
      </c>
      <c r="CN303" s="539">
        <f t="shared" si="2376"/>
        <v>0</v>
      </c>
      <c r="CO303" s="540">
        <f t="shared" si="2376"/>
        <v>0</v>
      </c>
      <c r="CP303" s="537">
        <f t="shared" si="2376"/>
        <v>0</v>
      </c>
      <c r="CQ303" s="538">
        <f t="shared" si="2376"/>
        <v>0</v>
      </c>
      <c r="CR303" s="539">
        <f t="shared" si="2376"/>
        <v>0</v>
      </c>
      <c r="CS303" s="539">
        <f t="shared" si="2376"/>
        <v>0</v>
      </c>
      <c r="CT303" s="540">
        <f t="shared" si="2376"/>
        <v>0</v>
      </c>
      <c r="CU303" s="537">
        <f t="shared" si="2376"/>
        <v>0</v>
      </c>
      <c r="CV303" s="538">
        <f t="shared" si="2376"/>
        <v>-7.2362733314999996</v>
      </c>
      <c r="CW303" s="539">
        <f t="shared" ref="CW303:DT303" si="2377">SUM(CW297:CW302)</f>
        <v>-8.0419099972500003</v>
      </c>
      <c r="CX303" s="539">
        <f t="shared" si="2377"/>
        <v>-8.0419099972500003</v>
      </c>
      <c r="CY303" s="540">
        <f t="shared" si="2377"/>
        <v>-8.0419099972500003</v>
      </c>
      <c r="CZ303" s="537">
        <f t="shared" si="2377"/>
        <v>-31.362003323250001</v>
      </c>
      <c r="DA303" s="538">
        <f t="shared" si="2377"/>
        <v>-0.80563666574999993</v>
      </c>
      <c r="DB303" s="539">
        <f t="shared" si="2377"/>
        <v>0</v>
      </c>
      <c r="DC303" s="539">
        <f t="shared" si="2377"/>
        <v>0</v>
      </c>
      <c r="DD303" s="540">
        <f t="shared" si="2377"/>
        <v>-0.46875</v>
      </c>
      <c r="DE303" s="537">
        <f t="shared" si="2377"/>
        <v>-1.2743866657500007</v>
      </c>
      <c r="DF303" s="538">
        <f t="shared" si="2377"/>
        <v>-1.40625</v>
      </c>
      <c r="DG303" s="539">
        <f t="shared" si="2377"/>
        <v>-1.40625</v>
      </c>
      <c r="DH303" s="539">
        <f t="shared" si="2377"/>
        <v>-1.40625</v>
      </c>
      <c r="DI303" s="540">
        <f t="shared" si="2377"/>
        <v>-0.9375</v>
      </c>
      <c r="DJ303" s="537">
        <f t="shared" si="2377"/>
        <v>-5.15625</v>
      </c>
      <c r="DK303" s="538">
        <f t="shared" si="2377"/>
        <v>0</v>
      </c>
      <c r="DL303" s="539">
        <f t="shared" si="2377"/>
        <v>0</v>
      </c>
      <c r="DM303" s="539">
        <f t="shared" si="2377"/>
        <v>0</v>
      </c>
      <c r="DN303" s="540">
        <f t="shared" si="2377"/>
        <v>0</v>
      </c>
      <c r="DO303" s="537">
        <f t="shared" si="2377"/>
        <v>0</v>
      </c>
      <c r="DP303" s="538">
        <f t="shared" si="2377"/>
        <v>0</v>
      </c>
      <c r="DQ303" s="539">
        <f t="shared" si="2377"/>
        <v>0</v>
      </c>
      <c r="DR303" s="539">
        <f t="shared" si="2377"/>
        <v>0</v>
      </c>
      <c r="DS303" s="540">
        <f t="shared" si="2377"/>
        <v>0</v>
      </c>
      <c r="DT303" s="537">
        <f t="shared" si="2377"/>
        <v>0</v>
      </c>
    </row>
    <row r="304" spans="1:124" ht="12.75" customHeight="1">
      <c r="C304" s="11"/>
      <c r="D304" s="11"/>
      <c r="E304" s="831"/>
      <c r="F304" s="1226"/>
      <c r="G304" s="1226"/>
      <c r="H304" s="1226"/>
      <c r="I304" s="1226"/>
      <c r="J304" s="620" t="s">
        <v>255</v>
      </c>
      <c r="K304" s="402"/>
      <c r="L304" s="403"/>
      <c r="M304" s="404"/>
      <c r="N304" s="405"/>
      <c r="O304" s="405"/>
      <c r="P304" s="406"/>
      <c r="Q304" s="407"/>
      <c r="R304" s="404"/>
      <c r="S304" s="405"/>
      <c r="T304" s="405"/>
      <c r="U304" s="406"/>
      <c r="V304" s="407"/>
      <c r="W304" s="404"/>
      <c r="X304" s="405"/>
      <c r="Y304" s="405"/>
      <c r="Z304" s="406"/>
      <c r="AA304" s="407"/>
      <c r="AB304" s="404"/>
      <c r="AC304" s="405"/>
      <c r="AD304" s="405"/>
      <c r="AE304" s="406"/>
      <c r="AF304" s="407"/>
      <c r="AG304" s="404"/>
      <c r="AH304" s="405"/>
      <c r="AI304" s="405"/>
      <c r="AJ304" s="406"/>
      <c r="AK304" s="407"/>
      <c r="AL304" s="404"/>
      <c r="AM304" s="405"/>
      <c r="AN304" s="405"/>
      <c r="AO304" s="406"/>
      <c r="AP304" s="407"/>
      <c r="AQ304" s="404"/>
      <c r="AR304" s="405"/>
      <c r="AS304" s="405"/>
      <c r="AT304" s="406"/>
      <c r="AU304" s="407"/>
      <c r="AV304" s="404"/>
      <c r="AW304" s="405"/>
      <c r="AX304" s="405"/>
      <c r="AY304" s="406"/>
      <c r="AZ304" s="407"/>
      <c r="BA304" s="404"/>
      <c r="BB304" s="405"/>
      <c r="BC304" s="405"/>
      <c r="BD304" s="406"/>
      <c r="BE304" s="407"/>
      <c r="BF304" s="404"/>
      <c r="BG304" s="405"/>
      <c r="BH304" s="405"/>
      <c r="BI304" s="406"/>
      <c r="BJ304" s="407"/>
      <c r="BK304" s="404"/>
      <c r="BL304" s="405"/>
      <c r="BM304" s="405"/>
      <c r="BN304" s="406"/>
      <c r="BO304" s="407"/>
      <c r="BP304" s="449"/>
      <c r="BQ304" s="409"/>
      <c r="BR304" s="410"/>
      <c r="BS304" s="411"/>
      <c r="BT304" s="411"/>
      <c r="BU304" s="412"/>
      <c r="BV304" s="413"/>
      <c r="BW304" s="410"/>
      <c r="BX304" s="411"/>
      <c r="BY304" s="411"/>
      <c r="BZ304" s="412"/>
      <c r="CA304" s="413"/>
      <c r="CB304" s="410"/>
      <c r="CC304" s="411"/>
      <c r="CD304" s="411"/>
      <c r="CE304" s="412"/>
      <c r="CF304" s="413"/>
      <c r="CG304" s="410"/>
      <c r="CH304" s="411"/>
      <c r="CI304" s="411"/>
      <c r="CJ304" s="412"/>
      <c r="CK304" s="413"/>
      <c r="CL304" s="410"/>
      <c r="CM304" s="411"/>
      <c r="CN304" s="411"/>
      <c r="CO304" s="412"/>
      <c r="CP304" s="413"/>
      <c r="CQ304" s="410"/>
      <c r="CR304" s="411"/>
      <c r="CS304" s="411"/>
      <c r="CT304" s="412"/>
      <c r="CU304" s="413"/>
      <c r="CV304" s="410"/>
      <c r="CW304" s="411"/>
      <c r="CX304" s="411"/>
      <c r="CY304" s="412"/>
      <c r="CZ304" s="413"/>
      <c r="DA304" s="410"/>
      <c r="DB304" s="411"/>
      <c r="DC304" s="411"/>
      <c r="DD304" s="412"/>
      <c r="DE304" s="413"/>
      <c r="DF304" s="410"/>
      <c r="DG304" s="411"/>
      <c r="DH304" s="411"/>
      <c r="DI304" s="412"/>
      <c r="DJ304" s="413"/>
      <c r="DK304" s="410"/>
      <c r="DL304" s="411"/>
      <c r="DM304" s="411"/>
      <c r="DN304" s="412"/>
      <c r="DO304" s="413"/>
      <c r="DP304" s="410"/>
      <c r="DQ304" s="411"/>
      <c r="DR304" s="411"/>
      <c r="DS304" s="412"/>
      <c r="DT304" s="413"/>
    </row>
    <row r="305" spans="1:124" ht="12.75" customHeight="1">
      <c r="C305" s="14" t="s">
        <v>279</v>
      </c>
      <c r="D305" s="14"/>
      <c r="E305" s="831"/>
      <c r="F305" s="1226"/>
      <c r="G305" s="1226"/>
      <c r="H305" s="30"/>
      <c r="I305" s="614"/>
      <c r="J305" s="616"/>
      <c r="K305" s="402"/>
      <c r="L305" s="403"/>
      <c r="M305" s="404"/>
      <c r="N305" s="405"/>
      <c r="O305" s="405"/>
      <c r="P305" s="406"/>
      <c r="Q305" s="407"/>
      <c r="R305" s="404"/>
      <c r="S305" s="405"/>
      <c r="T305" s="405"/>
      <c r="U305" s="406"/>
      <c r="V305" s="407"/>
      <c r="W305" s="404"/>
      <c r="X305" s="405"/>
      <c r="Y305" s="405"/>
      <c r="Z305" s="406"/>
      <c r="AA305" s="407"/>
      <c r="AB305" s="404"/>
      <c r="AC305" s="405"/>
      <c r="AD305" s="405"/>
      <c r="AE305" s="406"/>
      <c r="AF305" s="407"/>
      <c r="AG305" s="404"/>
      <c r="AH305" s="405"/>
      <c r="AI305" s="405"/>
      <c r="AJ305" s="406"/>
      <c r="AK305" s="407"/>
      <c r="AL305" s="404"/>
      <c r="AM305" s="405"/>
      <c r="AN305" s="405"/>
      <c r="AO305" s="406"/>
      <c r="AP305" s="407"/>
      <c r="AQ305" s="404"/>
      <c r="AR305" s="405"/>
      <c r="AS305" s="405"/>
      <c r="AT305" s="406"/>
      <c r="AU305" s="407"/>
      <c r="AV305" s="404"/>
      <c r="AW305" s="405"/>
      <c r="AX305" s="405"/>
      <c r="AY305" s="406"/>
      <c r="AZ305" s="407"/>
      <c r="BA305" s="404"/>
      <c r="BB305" s="405"/>
      <c r="BC305" s="405"/>
      <c r="BD305" s="406"/>
      <c r="BE305" s="407"/>
      <c r="BF305" s="404"/>
      <c r="BG305" s="405"/>
      <c r="BH305" s="405"/>
      <c r="BI305" s="406"/>
      <c r="BJ305" s="407"/>
      <c r="BK305" s="404"/>
      <c r="BL305" s="405"/>
      <c r="BM305" s="405"/>
      <c r="BN305" s="406"/>
      <c r="BO305" s="407"/>
      <c r="BP305" s="447"/>
      <c r="BQ305" s="409"/>
      <c r="BR305" s="410"/>
      <c r="BS305" s="411"/>
      <c r="BT305" s="411"/>
      <c r="BU305" s="412"/>
      <c r="BV305" s="413"/>
      <c r="BW305" s="410"/>
      <c r="BX305" s="411"/>
      <c r="BY305" s="411"/>
      <c r="BZ305" s="412"/>
      <c r="CA305" s="413"/>
      <c r="CB305" s="410"/>
      <c r="CC305" s="411"/>
      <c r="CD305" s="411"/>
      <c r="CE305" s="412"/>
      <c r="CF305" s="413"/>
      <c r="CG305" s="410"/>
      <c r="CH305" s="411"/>
      <c r="CI305" s="411"/>
      <c r="CJ305" s="412"/>
      <c r="CK305" s="413"/>
      <c r="CL305" s="410"/>
      <c r="CM305" s="411"/>
      <c r="CN305" s="411"/>
      <c r="CO305" s="412"/>
      <c r="CP305" s="413"/>
      <c r="CQ305" s="410"/>
      <c r="CR305" s="411"/>
      <c r="CS305" s="411"/>
      <c r="CT305" s="412"/>
      <c r="CU305" s="413"/>
      <c r="CV305" s="410"/>
      <c r="CW305" s="411"/>
      <c r="CX305" s="411"/>
      <c r="CY305" s="412"/>
      <c r="CZ305" s="413"/>
      <c r="DA305" s="410"/>
      <c r="DB305" s="411"/>
      <c r="DC305" s="411"/>
      <c r="DD305" s="412"/>
      <c r="DE305" s="413"/>
      <c r="DF305" s="410"/>
      <c r="DG305" s="411"/>
      <c r="DH305" s="411"/>
      <c r="DI305" s="412"/>
      <c r="DJ305" s="413"/>
      <c r="DK305" s="410"/>
      <c r="DL305" s="411"/>
      <c r="DM305" s="411"/>
      <c r="DN305" s="412"/>
      <c r="DO305" s="413"/>
      <c r="DP305" s="410"/>
      <c r="DQ305" s="411"/>
      <c r="DR305" s="411"/>
      <c r="DS305" s="412"/>
      <c r="DT305" s="413"/>
    </row>
    <row r="306" spans="1:124" ht="12.75" customHeight="1">
      <c r="C306" s="1891" t="s">
        <v>74</v>
      </c>
      <c r="D306" s="1891"/>
      <c r="E306" s="1887">
        <f>'Generation &amp; Marketing'!$BB$328</f>
        <v>150</v>
      </c>
      <c r="F306" s="1895"/>
      <c r="G306" s="1895"/>
      <c r="H306" s="16">
        <v>2018</v>
      </c>
      <c r="I306" s="1889">
        <f>+'Utility Detail'!BB13</f>
        <v>0.05</v>
      </c>
      <c r="J306" s="617">
        <v>7</v>
      </c>
      <c r="K306" s="402"/>
      <c r="L306" s="407">
        <f>IF(L$5=$H306,$E306,0)</f>
        <v>0</v>
      </c>
      <c r="M306" s="404">
        <f>IF(Q306=0,0,IF(Q306&gt;0,IF($J306=3,Q306,IF($J306=2,Q306,IF($J306=1,Q306,0)))))</f>
        <v>0</v>
      </c>
      <c r="N306" s="414">
        <f>IF(Q306=0,0,IF(Q306&gt;0,IF($J306=6,Q306,IF($J306=5,Q306,IF($J306=4,Q306,0)))))</f>
        <v>0</v>
      </c>
      <c r="O306" s="414">
        <f>IF(Q306=0,0,IF(Q306&gt;0,IF($J306=9,Q306,IF($J306=8,Q306,IF($J306=7,Q306,0)))))</f>
        <v>0</v>
      </c>
      <c r="P306" s="406">
        <f>IF(Q306=0,0,IF(Q306&gt;0,IF($J306=12,Q306,IF($J306=11,Q306,IF($J306=10,Q306,0)))))</f>
        <v>0</v>
      </c>
      <c r="Q306" s="407">
        <f>IF(Q$5=$H306,$E306,0)</f>
        <v>0</v>
      </c>
      <c r="R306" s="404">
        <f>IF(V306=0,0,IF(V306&gt;0,IF($J306=3,V306,IF($J306=2,V306,IF($J306=1,V306,0)))))</f>
        <v>0</v>
      </c>
      <c r="S306" s="414">
        <f>IF(V306=0,0,IF(V306&gt;0,IF($J306=6,V306,IF($J306=5,V306,IF($J306=4,V306,0)))))</f>
        <v>0</v>
      </c>
      <c r="T306" s="414">
        <f>IF(V306=0,0,IF(V306&gt;0,IF($J306=9,V306,IF($J306=8,V306,IF($J306=7,V306,0)))))</f>
        <v>0</v>
      </c>
      <c r="U306" s="406">
        <f>IF(V306=0,0,IF(V306&gt;0,IF($J306=12,V306,IF($J306=11,V306,IF($J306=10,V306,0)))))</f>
        <v>0</v>
      </c>
      <c r="V306" s="407">
        <f>IF(V$5=$H306,$E306,0)</f>
        <v>0</v>
      </c>
      <c r="W306" s="404">
        <f>IF(AA306=0,0,IF(AA306&gt;0,IF($J306=3,AA306,IF($J306=2,AA306,IF($J306=1,AA306,0)))))</f>
        <v>0</v>
      </c>
      <c r="X306" s="414">
        <f>IF(AA306=0,0,IF(AA306&gt;0,IF($J306=6,AA306,IF($J306=5,AA306,IF($J306=4,AA306,0)))))</f>
        <v>0</v>
      </c>
      <c r="Y306" s="414">
        <f>IF(AA306=0,0,IF(AA306&gt;0,IF($J306=9,AA306,IF($J306=8,AA306,IF($J306=7,AA306,0)))))</f>
        <v>0</v>
      </c>
      <c r="Z306" s="406">
        <f>IF(AA306=0,0,IF(AA306&gt;0,IF($J306=12,AA306,IF($J306=11,AA306,IF($J306=10,AA306,0)))))</f>
        <v>0</v>
      </c>
      <c r="AA306" s="407">
        <f>IF(AA$5=$H306,$E306,0)</f>
        <v>0</v>
      </c>
      <c r="AB306" s="404">
        <f>IF(AF306=0,0,IF(AF306&gt;0,IF($J306=3,AF306,IF($J306=2,AF306,IF($J306=1,AF306,0)))))</f>
        <v>0</v>
      </c>
      <c r="AC306" s="414">
        <f>IF(AF306=0,0,IF(AF306&gt;0,IF($J306=6,AF306,IF($J306=5,AF306,IF($J306=4,AF306,0)))))</f>
        <v>0</v>
      </c>
      <c r="AD306" s="414">
        <f>IF(AF306=0,0,IF(AF306&gt;0,IF($J306=9,AF306,IF($J306=8,AF306,IF($J306=7,AF306,0)))))</f>
        <v>0</v>
      </c>
      <c r="AE306" s="406">
        <f>IF(AF306=0,0,IF(AF306&gt;0,IF($J306=12,AF306,IF($J306=11,AF306,IF($J306=10,AF306,0)))))</f>
        <v>0</v>
      </c>
      <c r="AF306" s="407">
        <f>IF(AF$5=$H306,$E306,0)</f>
        <v>0</v>
      </c>
      <c r="AG306" s="404">
        <f>IF(AK306=0,0,IF(AK306&gt;0,IF($J306=3,AK306,IF($J306=2,AK306,IF($J306=1,AK306,0)))))</f>
        <v>0</v>
      </c>
      <c r="AH306" s="414">
        <f>IF(AK306=0,0,IF(AK306&gt;0,IF($J306=6,AK306,IF($J306=5,AK306,IF($J306=4,AK306,0)))))</f>
        <v>0</v>
      </c>
      <c r="AI306" s="414">
        <f>IF(AK306=0,0,IF(AK306&gt;0,IF($J306=9,AK306,IF($J306=8,AK306,IF($J306=7,AK306,0)))))</f>
        <v>0</v>
      </c>
      <c r="AJ306" s="406">
        <f>IF(AK306=0,0,IF(AK306&gt;0,IF($J306=12,AK306,IF($J306=11,AK306,IF($J306=10,AK306,0)))))</f>
        <v>0</v>
      </c>
      <c r="AK306" s="407">
        <f>IF(AK$5=$H306,$E306,0)</f>
        <v>0</v>
      </c>
      <c r="AL306" s="404">
        <f>IF(AP306=0,0,IF(AP306&gt;0,IF($J306=3,AP306,IF($J306=2,AP306,IF($J306=1,AP306,0)))))</f>
        <v>0</v>
      </c>
      <c r="AM306" s="414">
        <f>IF(AP306=0,0,IF(AP306&gt;0,IF($J306=6,AP306,IF($J306=5,AP306,IF($J306=4,AP306,0)))))</f>
        <v>0</v>
      </c>
      <c r="AN306" s="414">
        <f>IF(AP306=0,0,IF(AP306&gt;0,IF($J306=9,AP306,IF($J306=8,AP306,IF($J306=7,AP306,0)))))</f>
        <v>0</v>
      </c>
      <c r="AO306" s="406">
        <f>IF(AP306=0,0,IF(AP306&gt;0,IF($J306=12,AP306,IF($J306=11,AP306,IF($J306=10,AP306,0)))))</f>
        <v>0</v>
      </c>
      <c r="AP306" s="407">
        <f>IF(AP$5=$H306,$E306,0)</f>
        <v>0</v>
      </c>
      <c r="AQ306" s="404">
        <f>IF(AU306=0,0,IF(AU306&gt;0,IF($J306=3,AU306,IF($J306=2,AU306,IF($J306=1,AU306,0)))))</f>
        <v>0</v>
      </c>
      <c r="AR306" s="414">
        <f>IF(AU306=0,0,IF(AU306&gt;0,IF($J306=6,AU306,IF($J306=5,AU306,IF($J306=4,AU306,0)))))</f>
        <v>0</v>
      </c>
      <c r="AS306" s="414">
        <f>IF(AU306=0,0,IF(AU306&gt;0,IF($J306=9,AU306,IF($J306=8,AU306,IF($J306=7,AU306,0)))))</f>
        <v>0</v>
      </c>
      <c r="AT306" s="406">
        <f>IF(AU306=0,0,IF(AU306&gt;0,IF($J306=12,AU306,IF($J306=11,AU306,IF($J306=10,AU306,0)))))</f>
        <v>0</v>
      </c>
      <c r="AU306" s="407">
        <f>IF(AU$5=$H306,$E306,0)</f>
        <v>0</v>
      </c>
      <c r="AV306" s="404">
        <f>IF(AZ306=0,0,IF(AZ306&gt;0,IF($J306=3,AZ306,IF($J306=2,AZ306,IF($J306=1,AZ306,0)))))</f>
        <v>0</v>
      </c>
      <c r="AW306" s="414">
        <f>IF(AZ306=0,0,IF(AZ306&gt;0,IF($J306=6,AZ306,IF($J306=5,AZ306,IF($J306=4,AZ306,0)))))</f>
        <v>0</v>
      </c>
      <c r="AX306" s="414">
        <f>IF(AZ306=0,0,IF(AZ306&gt;0,IF($J306=9,AZ306,IF($J306=8,AZ306,IF($J306=7,AZ306,0)))))</f>
        <v>150</v>
      </c>
      <c r="AY306" s="406">
        <f>IF(AZ306=0,0,IF(AZ306&gt;0,IF($J306=12,AZ306,IF($J306=11,AZ306,IF($J306=10,AZ306,0)))))</f>
        <v>0</v>
      </c>
      <c r="AZ306" s="407">
        <f>IF(AZ$5=$H306,$E306,0)</f>
        <v>150</v>
      </c>
      <c r="BA306" s="404">
        <f>IF(BE306=0,0,IF(BE306&gt;0,IF($J306=3,BE306,IF($J306=2,BE306,IF($J306=1,BE306,0)))))</f>
        <v>0</v>
      </c>
      <c r="BB306" s="414">
        <f>IF(BE306=0,0,IF(BE306&gt;0,IF($J306=6,BE306,IF($J306=5,BE306,IF($J306=4,BE306,0)))))</f>
        <v>0</v>
      </c>
      <c r="BC306" s="414">
        <f>IF(BE306=0,0,IF(BE306&gt;0,IF($J306=9,BE306,IF($J306=8,BE306,IF($J306=7,BE306,0)))))</f>
        <v>0</v>
      </c>
      <c r="BD306" s="406">
        <f>IF(BE306=0,0,IF(BE306&gt;0,IF($J306=12,BE306,IF($J306=11,BE306,IF($J306=10,BE306,0)))))</f>
        <v>0</v>
      </c>
      <c r="BE306" s="407">
        <f>IF(BE$5=$H306,$E306,0)</f>
        <v>0</v>
      </c>
      <c r="BF306" s="404">
        <f>IF(BJ306=0,0,IF(BJ306&gt;0,IF($J306=3,BJ306,IF($J306=2,BJ306,IF($J306=1,BJ306,0)))))</f>
        <v>0</v>
      </c>
      <c r="BG306" s="414">
        <f>IF(BJ306=0,0,IF(BJ306&gt;0,IF($J306=6,BJ306,IF($J306=5,BJ306,IF($J306=4,BJ306,0)))))</f>
        <v>0</v>
      </c>
      <c r="BH306" s="414">
        <f>IF(BJ306=0,0,IF(BJ306&gt;0,IF($J306=9,BJ306,IF($J306=8,BJ306,IF($J306=7,BJ306,0)))))</f>
        <v>0</v>
      </c>
      <c r="BI306" s="406">
        <f>IF(BJ306=0,0,IF(BJ306&gt;0,IF($J306=12,BJ306,IF($J306=11,BJ306,IF($J306=10,BJ306,0)))))</f>
        <v>0</v>
      </c>
      <c r="BJ306" s="407">
        <f>IF(BJ$5=$H306,$E306,0)</f>
        <v>0</v>
      </c>
      <c r="BK306" s="404">
        <f>IF(BO306=0,0,IF(BO306&gt;0,IF($J306=3,BO306,IF($J306=2,BO306,IF($J306=1,BO306,0)))))</f>
        <v>0</v>
      </c>
      <c r="BL306" s="414">
        <f>IF(BO306=0,0,IF(BO306&gt;0,IF($J306=6,BO306,IF($J306=5,BO306,IF($J306=4,BO306,0)))))</f>
        <v>0</v>
      </c>
      <c r="BM306" s="414">
        <f>IF(BO306=0,0,IF(BO306&gt;0,IF($J306=9,BO306,IF($J306=8,BO306,IF($J306=7,BO306,0)))))</f>
        <v>0</v>
      </c>
      <c r="BN306" s="406">
        <f>IF(BO306=0,0,IF(BO306&gt;0,IF($J306=12,BO306,IF($J306=11,BO306,IF($J306=10,BO306,0)))))</f>
        <v>0</v>
      </c>
      <c r="BO306" s="407">
        <f>IF(BO$5=$H306,$E306,0)</f>
        <v>0</v>
      </c>
      <c r="BP306" s="447"/>
      <c r="BQ306" s="413">
        <f>IF(AND(AH306&lt;&gt;0,AH$5=$H306),$I306*$E306-AH306,IF(BQ$5=$H306,$I306*$E306*(12-$J306+1)/12,0))</f>
        <v>0</v>
      </c>
      <c r="BR306" s="410">
        <f>IF($H306&lt;&gt;BV$5,0,IF(BV306&gt;0,IF($J306=1,$E306*$I306/12*3,IF($J306=2,$E306*$I306/12*2,IF($J306=3,$E306*$I306/12*1,0)))))+IF(BQ$5&lt;&gt;$H306,0,IF(BQ306&gt;0,IF($J306=1,$E306*$I306/12*0,IF($J306=2,$E306*$I306/12*1,IF($J306=3,$E306*$I306/12*2,IF($J306&gt;=4,$E306*$I306/12*3,0))))))</f>
        <v>0</v>
      </c>
      <c r="BS306" s="416">
        <f>IF($H306&lt;&gt;BV$5,0,IF(BV306&gt;0,IF(OR($J306=1,$J306=2,$J306=3,$J306=4),$E306*$I306/12*3,IF($J306=5,$E306*$I306/12*2,IF($J306=6,$E306*$I306/12*1,0)))))+IF(BQ$5&lt;&gt;$H306,0,IF(BQ306&gt;0,IF($J306=4,$E306*$I306/12*0,IF($J306=5,$E306*$I306/12*1,IF($J306=6,$E306*$I306/12*2,IF($J306&gt;=7,$E306*$I306/12*3,0))))))</f>
        <v>0</v>
      </c>
      <c r="BT306" s="416">
        <f>IF($H306&lt;&gt;BV$5,0,IF(BV306&gt;0,IF(OR($J306=1,$J306=2,$J306=3,$J306=4,$J306=5,$J306=6,$J306=7),$E306*$I306/12*3,IF($J306=8,$E306*$I306/12*2,IF($J306=9,$E306*$I306/12*1,0)))))+IF(BQ$5&lt;&gt;$H306,0,IF(BQ306&gt;0,IF($J306=7,$E306*$I306/12*0,IF($J306=8,$E306*$I306/12*1,IF($J306=9,$E306*$I306/12*2,IF($J306&gt;=10,$E306*$I306/12*3,0))))))</f>
        <v>0</v>
      </c>
      <c r="BU306" s="412">
        <f>IF($H306&lt;&gt;BV$5,0,IF(BV306&gt;0,IF(OR($J306=1,$J306=2,$J306=3,$J306=4,$J306=5,$J306=6,$J306=7,$J306=8,$J306=9,$J306=10),$E306*$I306/12*3,IF($J306=11,$E306*$I306/12*2,IF($J306=12,$E306*$I306/12*1,0)))))+IF(BQ$5&lt;&gt;$H306,0,IF(BQ306&gt;0,IF($J306=10,$E306*$I306/12*0,IF($J306=11,$E306*$I306/12*1,IF($J306=12,$E306*$I306/12*2,0)))))</f>
        <v>0</v>
      </c>
      <c r="BV306" s="413">
        <f>IF(AND(BQ306&lt;&gt;0,BQ$5=$H306),$I306*$E306-BQ306,IF(BV$5=$H306,$I306*$E306*(12-$J306+1)/12,0))</f>
        <v>0</v>
      </c>
      <c r="BW306" s="410">
        <f>IF($H306&lt;&gt;CA$5,0,IF(CA306&gt;0,IF($J306=1,$E306*$I306/12*3,IF($J306=2,$E306*$I306/12*2,IF($J306=3,$E306*$I306/12*1,0)))))+IF(BV$5&lt;&gt;$H306,0,IF(BV306&gt;0,IF($J306=1,$E306*$I306/12*0,IF($J306=2,$E306*$I306/12*1,IF($J306=3,$E306*$I306/12*2,IF($J306&gt;=4,$E306*$I306/12*3,0))))))</f>
        <v>0</v>
      </c>
      <c r="BX306" s="416">
        <f>IF($H306&lt;&gt;CA$5,0,IF(CA306&gt;0,IF(OR($J306=1,$J306=2,$J306=3,$J306=4),$E306*$I306/12*3,IF($J306=5,$E306*$I306/12*2,IF($J306=6,$E306*$I306/12*1,0)))))+IF(BV$5&lt;&gt;$H306,0,IF(BV306&gt;0,IF($J306=4,$E306*$I306/12*0,IF($J306=5,$E306*$I306/12*1,IF($J306=6,$E306*$I306/12*2,IF($J306&gt;=7,$E306*$I306/12*3,0))))))</f>
        <v>0</v>
      </c>
      <c r="BY306" s="416">
        <f>IF($H306&lt;&gt;CA$5,0,IF(CA306&gt;0,IF(OR($J306=1,$J306=2,$J306=3,$J306=4,$J306=5,$J306=6,$J306=7),$E306*$I306/12*3,IF($J306=8,$E306*$I306/12*2,IF($J306=9,$E306*$I306/12*1,0)))))+IF(BV$5&lt;&gt;$H306,0,IF(BV306&gt;0,IF($J306=7,$E306*$I306/12*0,IF($J306=8,$E306*$I306/12*1,IF($J306=9,$E306*$I306/12*2,IF($J306&gt;=10,$E306*$I306/12*3,0))))))</f>
        <v>0</v>
      </c>
      <c r="BZ306" s="412">
        <f>IF($H306&lt;&gt;CA$5,0,IF(CA306&gt;0,IF(OR($J306=1,$J306=2,$J306=3,$J306=4,$J306=5,$J306=6,$J306=7,$J306=8,$J306=9,$J306=10),$E306*$I306/12*3,IF($J306=11,$E306*$I306/12*2,IF($J306=12,$E306*$I306/12*1,0)))))+IF(BV$5&lt;&gt;$H306,0,IF(BV306&gt;0,IF($J306=10,$E306*$I306/12*0,IF($J306=11,$E306*$I306/12*1,IF($J306=12,$E306*$I306/12*2,0)))))</f>
        <v>0</v>
      </c>
      <c r="CA306" s="413">
        <f>IF(AND(BV306&lt;&gt;0,BV$5=$H306),$I306*$E306-BV306,IF(CA$5=$H306,$I306*$E306*(12-$J306+1)/12,0))</f>
        <v>0</v>
      </c>
      <c r="CB306" s="410">
        <f>IF($H306&lt;&gt;CF$5,0,IF(CF306&gt;0,IF($J306=1,$E306*$I306/12*3,IF($J306=2,$E306*$I306/12*2,IF($J306=3,$E306*$I306/12*1,0)))))+IF(CA$5&lt;&gt;$H306,0,IF(CA306&gt;0,IF($J306=1,$E306*$I306/12*0,IF($J306=2,$E306*$I306/12*1,IF($J306=3,$E306*$I306/12*2,IF($J306&gt;=4,$E306*$I306/12*3,0))))))</f>
        <v>0</v>
      </c>
      <c r="CC306" s="416">
        <f>IF($H306&lt;&gt;CF$5,0,IF(CF306&gt;0,IF(OR($J306=1,$J306=2,$J306=3,$J306=4),$E306*$I306/12*3,IF($J306=5,$E306*$I306/12*2,IF($J306=6,$E306*$I306/12*1,0)))))+IF(CA$5&lt;&gt;$H306,0,IF(CA306&gt;0,IF($J306=4,$E306*$I306/12*0,IF($J306=5,$E306*$I306/12*1,IF($J306=6,$E306*$I306/12*2,IF($J306&gt;=7,$E306*$I306/12*3,0))))))</f>
        <v>0</v>
      </c>
      <c r="CD306" s="416">
        <f>IF($H306&lt;&gt;CF$5,0,IF(CF306&gt;0,IF(OR($J306=1,$J306=2,$J306=3,$J306=4,$J306=5,$J306=6,$J306=7),$E306*$I306/12*3,IF($J306=8,$E306*$I306/12*2,IF($J306=9,$E306*$I306/12*1,0)))))+IF(CA$5&lt;&gt;$H306,0,IF(CA306&gt;0,IF($J306=7,$E306*$I306/12*0,IF($J306=8,$E306*$I306/12*1,IF($J306=9,$E306*$I306/12*2,IF($J306&gt;=10,$E306*$I306/12*3,0))))))</f>
        <v>0</v>
      </c>
      <c r="CE306" s="412">
        <f>IF($H306&lt;&gt;CF$5,0,IF(CF306&gt;0,IF(OR($J306=1,$J306=2,$J306=3,$J306=4,$J306=5,$J306=6,$J306=7,$J306=8,$J306=9,$J306=10),$E306*$I306/12*3,IF($J306=11,$E306*$I306/12*2,IF($J306=12,$E306*$I306/12*1,0)))))+IF(CA$5&lt;&gt;$H306,0,IF(CA306&gt;0,IF($J306=10,$E306*$I306/12*0,IF($J306=11,$E306*$I306/12*1,IF($J306=12,$E306*$I306/12*2,0)))))</f>
        <v>0</v>
      </c>
      <c r="CF306" s="413">
        <f>IF(AND(CA306&lt;&gt;0,CA$5=$H306),$I306*$E306-CA306,IF(CF$5=$H306,$I306*$E306*(12-$J306+1)/12,0))</f>
        <v>0</v>
      </c>
      <c r="CG306" s="410">
        <f>IF($H306&lt;&gt;CK$5,0,IF(CK306&gt;0,IF($J306=1,$E306*$I306/12*3,IF($J306=2,$E306*$I306/12*2,IF($J306=3,$E306*$I306/12*1,0)))))+IF(CF$5&lt;&gt;$H306,0,IF(CF306&gt;0,IF($J306=1,$E306*$I306/12*0,IF($J306=2,$E306*$I306/12*1,IF($J306=3,$E306*$I306/12*2,IF($J306&gt;=4,$E306*$I306/12*3,0))))))</f>
        <v>0</v>
      </c>
      <c r="CH306" s="416">
        <f>IF($H306&lt;&gt;CK$5,0,IF(CK306&gt;0,IF(OR($J306=1,$J306=2,$J306=3,$J306=4),$E306*$I306/12*3,IF($J306=5,$E306*$I306/12*2,IF($J306=6,$E306*$I306/12*1,0)))))+IF(CF$5&lt;&gt;$H306,0,IF(CF306&gt;0,IF($J306=4,$E306*$I306/12*0,IF($J306=5,$E306*$I306/12*1,IF($J306=6,$E306*$I306/12*2,IF($J306&gt;=7,$E306*$I306/12*3,0))))))</f>
        <v>0</v>
      </c>
      <c r="CI306" s="416">
        <f>IF($H306&lt;&gt;CK$5,0,IF(CK306&gt;0,IF(OR($J306=1,$J306=2,$J306=3,$J306=4,$J306=5,$J306=6,$J306=7),$E306*$I306/12*3,IF($J306=8,$E306*$I306/12*2,IF($J306=9,$E306*$I306/12*1,0)))))+IF(CF$5&lt;&gt;$H306,0,IF(CF306&gt;0,IF($J306=7,$E306*$I306/12*0,IF($J306=8,$E306*$I306/12*1,IF($J306=9,$E306*$I306/12*2,IF($J306&gt;=10,$E306*$I306/12*3,0))))))</f>
        <v>0</v>
      </c>
      <c r="CJ306" s="412">
        <f>IF($H306&lt;&gt;CK$5,0,IF(CK306&gt;0,IF(OR($J306=1,$J306=2,$J306=3,$J306=4,$J306=5,$J306=6,$J306=7,$J306=8,$J306=9,$J306=10),$E306*$I306/12*3,IF($J306=11,$E306*$I306/12*2,IF($J306=12,$E306*$I306/12*1,0)))))+IF(CF$5&lt;&gt;$H306,0,IF(CF306&gt;0,IF($J306=10,$E306*$I306/12*0,IF($J306=11,$E306*$I306/12*1,IF($J306=12,$E306*$I306/12*2,0)))))</f>
        <v>0</v>
      </c>
      <c r="CK306" s="413">
        <f>IF(AND(CF306&lt;&gt;0,CF$5=$H306),$I306*$E306-CF306,IF(CK$5=$H306,$I306*$E306*(12-$J306+1)/12,0))</f>
        <v>0</v>
      </c>
      <c r="CL306" s="410">
        <f>IF($H306&lt;&gt;CP$5,0,IF(CP306&gt;0,IF($J306=1,$E306*$I306/12*3,IF($J306=2,$E306*$I306/12*2,IF($J306=3,$E306*$I306/12*1,0)))))+IF(CK$5&lt;&gt;$H306,0,IF(CK306&gt;0,IF($J306=1,$E306*$I306/12*0,IF($J306=2,$E306*$I306/12*1,IF($J306=3,$E306*$I306/12*2,IF($J306&gt;=4,$E306*$I306/12*3,0))))))</f>
        <v>0</v>
      </c>
      <c r="CM306" s="416">
        <f>IF($H306&lt;&gt;CP$5,0,IF(CP306&gt;0,IF(OR($J306=1,$J306=2,$J306=3,$J306=4),$E306*$I306/12*3,IF($J306=5,$E306*$I306/12*2,IF($J306=6,$E306*$I306/12*1,0)))))+IF(CK$5&lt;&gt;$H306,0,IF(CK306&gt;0,IF($J306=4,$E306*$I306/12*0,IF($J306=5,$E306*$I306/12*1,IF($J306=6,$E306*$I306/12*2,IF($J306&gt;=7,$E306*$I306/12*3,0))))))</f>
        <v>0</v>
      </c>
      <c r="CN306" s="416">
        <f>IF($H306&lt;&gt;CP$5,0,IF(CP306&gt;0,IF(OR($J306=1,$J306=2,$J306=3,$J306=4,$J306=5,$J306=6,$J306=7),$E306*$I306/12*3,IF($J306=8,$E306*$I306/12*2,IF($J306=9,$E306*$I306/12*1,0)))))+IF(CK$5&lt;&gt;$H306,0,IF(CK306&gt;0,IF($J306=7,$E306*$I306/12*0,IF($J306=8,$E306*$I306/12*1,IF($J306=9,$E306*$I306/12*2,IF($J306&gt;=10,$E306*$I306/12*3,0))))))</f>
        <v>0</v>
      </c>
      <c r="CO306" s="412">
        <f>IF($H306&lt;&gt;CP$5,0,IF(CP306&gt;0,IF(OR($J306=1,$J306=2,$J306=3,$J306=4,$J306=5,$J306=6,$J306=7,$J306=8,$J306=9,$J306=10),$E306*$I306/12*3,IF($J306=11,$E306*$I306/12*2,IF($J306=12,$E306*$I306/12*1,0)))))+IF(CK$5&lt;&gt;$H306,0,IF(CK306&gt;0,IF($J306=10,$E306*$I306/12*0,IF($J306=11,$E306*$I306/12*1,IF($J306=12,$E306*$I306/12*2,0)))))</f>
        <v>0</v>
      </c>
      <c r="CP306" s="413">
        <f>IF(AND(CK306&lt;&gt;0,CK$5=$H306),$I306*$E306-CK306,IF(CP$5=$H306,$I306*$E306*(12-$J306+1)/12,0))</f>
        <v>0</v>
      </c>
      <c r="CQ306" s="410">
        <f>IF($H306&lt;&gt;CU$5,0,IF(CU306&gt;0,IF($J306=1,$E306*$I306/12*3,IF($J306=2,$E306*$I306/12*2,IF($J306=3,$E306*$I306/12*1,0)))))+IF(CP$5&lt;&gt;$H306,0,IF(CP306&gt;0,IF($J306=1,$E306*$I306/12*0,IF($J306=2,$E306*$I306/12*1,IF($J306=3,$E306*$I306/12*2,IF($J306&gt;=4,$E306*$I306/12*3,0))))))</f>
        <v>0</v>
      </c>
      <c r="CR306" s="416">
        <f>IF($H306&lt;&gt;CU$5,0,IF(CU306&gt;0,IF(OR($J306=1,$J306=2,$J306=3,$J306=4),$E306*$I306/12*3,IF($J306=5,$E306*$I306/12*2,IF($J306=6,$E306*$I306/12*1,0)))))+IF(CP$5&lt;&gt;$H306,0,IF(CP306&gt;0,IF($J306=4,$E306*$I306/12*0,IF($J306=5,$E306*$I306/12*1,IF($J306=6,$E306*$I306/12*2,IF($J306&gt;=7,$E306*$I306/12*3,0))))))</f>
        <v>0</v>
      </c>
      <c r="CS306" s="416">
        <f>IF($H306&lt;&gt;CU$5,0,IF(CU306&gt;0,IF(OR($J306=1,$J306=2,$J306=3,$J306=4,$J306=5,$J306=6,$J306=7),$E306*$I306/12*3,IF($J306=8,$E306*$I306/12*2,IF($J306=9,$E306*$I306/12*1,0)))))+IF(CP$5&lt;&gt;$H306,0,IF(CP306&gt;0,IF($J306=7,$E306*$I306/12*0,IF($J306=8,$E306*$I306/12*1,IF($J306=9,$E306*$I306/12*2,IF($J306&gt;=10,$E306*$I306/12*3,0))))))</f>
        <v>0</v>
      </c>
      <c r="CT306" s="412">
        <f>IF($H306&lt;&gt;CU$5,0,IF(CU306&gt;0,IF(OR($J306=1,$J306=2,$J306=3,$J306=4,$J306=5,$J306=6,$J306=7,$J306=8,$J306=9,$J306=10),$E306*$I306/12*3,IF($J306=11,$E306*$I306/12*2,IF($J306=12,$E306*$I306/12*1,0)))))+IF(CP$5&lt;&gt;$H306,0,IF(CP306&gt;0,IF($J306=10,$E306*$I306/12*0,IF($J306=11,$E306*$I306/12*1,IF($J306=12,$E306*$I306/12*2,0)))))</f>
        <v>0</v>
      </c>
      <c r="CU306" s="413">
        <f>IF(AND(CP306&lt;&gt;0,CP$5=$H306),$I306*$E306-CP306,IF(CU$5=$H306,$I306*$E306*(12-$J306+1)/12,0))</f>
        <v>0</v>
      </c>
      <c r="CV306" s="410">
        <f>IF($H306&lt;&gt;CZ$5,0,IF(CZ306&gt;0,IF($J306=1,$E306*$I306/12*3,IF($J306=2,$E306*$I306/12*2,IF($J306=3,$E306*$I306/12*1,0)))))+IF(CU$5&lt;&gt;$H306,0,IF(CU306&gt;0,IF($J306=1,$E306*$I306/12*0,IF($J306=2,$E306*$I306/12*1,IF($J306=3,$E306*$I306/12*2,IF($J306&gt;=4,$E306*$I306/12*3,0))))))</f>
        <v>0</v>
      </c>
      <c r="CW306" s="416">
        <f>IF($H306&lt;&gt;CZ$5,0,IF(CZ306&gt;0,IF(OR($J306=1,$J306=2,$J306=3,$J306=4),$E306*$I306/12*3,IF($J306=5,$E306*$I306/12*2,IF($J306=6,$E306*$I306/12*1,0)))))+IF(CU$5&lt;&gt;$H306,0,IF(CU306&gt;0,IF($J306=4,$E306*$I306/12*0,IF($J306=5,$E306*$I306/12*1,IF($J306=6,$E306*$I306/12*2,IF($J306&gt;=7,$E306*$I306/12*3,0))))))</f>
        <v>0</v>
      </c>
      <c r="CX306" s="416">
        <f>IF($H306&lt;&gt;CZ$5,0,IF(CZ306&gt;0,IF(OR($J306=1,$J306=2,$J306=3,$J306=4,$J306=5,$J306=6,$J306=7),$E306*$I306/12*3,IF($J306=8,$E306*$I306/12*2,IF($J306=9,$E306*$I306/12*1,0)))))+IF(CU$5&lt;&gt;$H306,0,IF(CU306&gt;0,IF($J306=7,$E306*$I306/12*0,IF($J306=8,$E306*$I306/12*1,IF($J306=9,$E306*$I306/12*2,IF($J306&gt;=10,$E306*$I306/12*3,0))))))</f>
        <v>0</v>
      </c>
      <c r="CY306" s="412">
        <f>IF($H306&lt;&gt;CZ$5,0,IF(CZ306&gt;0,IF(OR($J306=1,$J306=2,$J306=3,$J306=4,$J306=5,$J306=6,$J306=7,$J306=8,$J306=9,$J306=10),$E306*$I306/12*3,IF($J306=11,$E306*$I306/12*2,IF($J306=12,$E306*$I306/12*1,0)))))+IF(CU$5&lt;&gt;$H306,0,IF(CU306&gt;0,IF($J306=10,$E306*$I306/12*0,IF($J306=11,$E306*$I306/12*1,IF($J306=12,$E306*$I306/12*2,0)))))</f>
        <v>0</v>
      </c>
      <c r="CZ306" s="413">
        <f>IF(AND(CU306&lt;&gt;0,CU$5=$H306),$I306*$E306-CU306,IF(CZ$5=$H306,$I306*$E306*(12-$J306+1)/12,0))</f>
        <v>0</v>
      </c>
      <c r="DA306" s="410">
        <f>IF($H306&lt;&gt;DE$5,0,IF(DE306&gt;0,IF($J306=1,$E306*$I306/12*3,IF($J306=2,$E306*$I306/12*2,IF($J306=3,$E306*$I306/12*1,0)))))+IF(CZ$5&lt;&gt;$H306,0,IF(CZ306&gt;0,IF($J306=1,$E306*$I306/12*0,IF($J306=2,$E306*$I306/12*1,IF($J306=3,$E306*$I306/12*2,IF($J306&gt;=4,$E306*$I306/12*3,0))))))</f>
        <v>0</v>
      </c>
      <c r="DB306" s="416">
        <f>IF($H306&lt;&gt;DE$5,0,IF(DE306&gt;0,IF(OR($J306=1,$J306=2,$J306=3,$J306=4),$E306*$I306/12*3,IF($J306=5,$E306*$I306/12*2,IF($J306=6,$E306*$I306/12*1,0)))))+IF(CZ$5&lt;&gt;$H306,0,IF(CZ306&gt;0,IF($J306=4,$E306*$I306/12*0,IF($J306=5,$E306*$I306/12*1,IF($J306=6,$E306*$I306/12*2,IF($J306&gt;=7,$E306*$I306/12*3,0))))))</f>
        <v>0</v>
      </c>
      <c r="DC306" s="416">
        <f>IF($H306&lt;&gt;DE$5,0,IF(DE306&gt;0,IF(OR($J306=1,$J306=2,$J306=3,$J306=4,$J306=5,$J306=6,$J306=7),$E306*$I306/12*3,IF($J306=8,$E306*$I306/12*2,IF($J306=9,$E306*$I306/12*1,0)))))+IF(CZ$5&lt;&gt;$H306,0,IF(CZ306&gt;0,IF($J306=7,$E306*$I306/12*0,IF($J306=8,$E306*$I306/12*1,IF($J306=9,$E306*$I306/12*2,IF($J306&gt;=10,$E306*$I306/12*3,0))))))</f>
        <v>1.875</v>
      </c>
      <c r="DD306" s="412">
        <f>IF($H306&lt;&gt;DE$5,0,IF(DE306&gt;0,IF(OR($J306=1,$J306=2,$J306=3,$J306=4,$J306=5,$J306=6,$J306=7,$J306=8,$J306=9,$J306=10),$E306*$I306/12*3,IF($J306=11,$E306*$I306/12*2,IF($J306=12,$E306*$I306/12*1,0)))))+IF(CZ$5&lt;&gt;$H306,0,IF(CZ306&gt;0,IF($J306=10,$E306*$I306/12*0,IF($J306=11,$E306*$I306/12*1,IF($J306=12,$E306*$I306/12*2,0)))))</f>
        <v>1.875</v>
      </c>
      <c r="DE306" s="413">
        <f>IF(AND(CZ306&lt;&gt;0,CZ$5=$H306),$I306*$E306-CZ306,IF(DE$5=$H306,$I306*$E306*(12-$J306+1)/12,0))</f>
        <v>3.75</v>
      </c>
      <c r="DF306" s="410">
        <f>IF($H306&lt;&gt;DJ$5,0,IF(DJ306&gt;0,IF($J306=1,$E306*$I306/12*3,IF($J306=2,$E306*$I306/12*2,IF($J306=3,$E306*$I306/12*1,0)))))+IF(DE$5&lt;&gt;$H306,0,IF(DE306&gt;0,IF($J306=1,$E306*$I306/12*0,IF($J306=2,$E306*$I306/12*1,IF($J306=3,$E306*$I306/12*2,IF($J306&gt;=4,$E306*$I306/12*3,0))))))</f>
        <v>1.875</v>
      </c>
      <c r="DG306" s="416">
        <f>IF($H306&lt;&gt;DJ$5,0,IF(DJ306&gt;0,IF(OR($J306=1,$J306=2,$J306=3,$J306=4),$E306*$I306/12*3,IF($J306=5,$E306*$I306/12*2,IF($J306=6,$E306*$I306/12*1,0)))))+IF(DE$5&lt;&gt;$H306,0,IF(DE306&gt;0,IF($J306=4,$E306*$I306/12*0,IF($J306=5,$E306*$I306/12*1,IF($J306=6,$E306*$I306/12*2,IF($J306&gt;=7,$E306*$I306/12*3,0))))))</f>
        <v>1.875</v>
      </c>
      <c r="DH306" s="416">
        <f>IF($H306&lt;&gt;DJ$5,0,IF(DJ306&gt;0,IF(OR($J306=1,$J306=2,$J306=3,$J306=4,$J306=5,$J306=6,$J306=7),$E306*$I306/12*3,IF($J306=8,$E306*$I306/12*2,IF($J306=9,$E306*$I306/12*1,0)))))+IF(DE$5&lt;&gt;$H306,0,IF(DE306&gt;0,IF($J306=7,$E306*$I306/12*0,IF($J306=8,$E306*$I306/12*1,IF($J306=9,$E306*$I306/12*2,IF($J306&gt;=10,$E306*$I306/12*3,0))))))</f>
        <v>0</v>
      </c>
      <c r="DI306" s="412">
        <f>IF($H306&lt;&gt;DJ$5,0,IF(DJ306&gt;0,IF(OR($J306=1,$J306=2,$J306=3,$J306=4,$J306=5,$J306=6,$J306=7,$J306=8,$J306=9,$J306=10),$E306*$I306/12*3,IF($J306=11,$E306*$I306/12*2,IF($J306=12,$E306*$I306/12*1,0)))))+IF(DE$5&lt;&gt;$H306,0,IF(DE306&gt;0,IF($J306=10,$E306*$I306/12*0,IF($J306=11,$E306*$I306/12*1,IF($J306=12,$E306*$I306/12*2,0)))))</f>
        <v>0</v>
      </c>
      <c r="DJ306" s="413">
        <f>IF(AND(DE306&lt;&gt;0,DE$5=$H306),$I306*$E306-DE306,IF(DJ$5=$H306,$I306*$E306*(12-$J306+1)/12,0))</f>
        <v>3.75</v>
      </c>
      <c r="DK306" s="410">
        <f>IF($H306&lt;&gt;DO$5,0,IF(DO306&gt;0,IF($J306=1,$E306*$I306/12*3,IF($J306=2,$E306*$I306/12*2,IF($J306=3,$E306*$I306/12*1,0)))))+IF(DJ$5&lt;&gt;$H306,0,IF(DJ306&gt;0,IF($J306=1,$E306*$I306/12*0,IF($J306=2,$E306*$I306/12*1,IF($J306=3,$E306*$I306/12*2,IF($J306&gt;=4,$E306*$I306/12*3,0))))))</f>
        <v>0</v>
      </c>
      <c r="DL306" s="416">
        <f>IF($H306&lt;&gt;DO$5,0,IF(DO306&gt;0,IF(OR($J306=1,$J306=2,$J306=3,$J306=4),$E306*$I306/12*3,IF($J306=5,$E306*$I306/12*2,IF($J306=6,$E306*$I306/12*1,0)))))+IF(DJ$5&lt;&gt;$H306,0,IF(DJ306&gt;0,IF($J306=4,$E306*$I306/12*0,IF($J306=5,$E306*$I306/12*1,IF($J306=6,$E306*$I306/12*2,IF($J306&gt;=7,$E306*$I306/12*3,0))))))</f>
        <v>0</v>
      </c>
      <c r="DM306" s="416">
        <f>IF($H306&lt;&gt;DO$5,0,IF(DO306&gt;0,IF(OR($J306=1,$J306=2,$J306=3,$J306=4,$J306=5,$J306=6,$J306=7),$E306*$I306/12*3,IF($J306=8,$E306*$I306/12*2,IF($J306=9,$E306*$I306/12*1,0)))))+IF(DJ$5&lt;&gt;$H306,0,IF(DJ306&gt;0,IF($J306=7,$E306*$I306/12*0,IF($J306=8,$E306*$I306/12*1,IF($J306=9,$E306*$I306/12*2,IF($J306&gt;=10,$E306*$I306/12*3,0))))))</f>
        <v>0</v>
      </c>
      <c r="DN306" s="412">
        <f>IF($H306&lt;&gt;DO$5,0,IF(DO306&gt;0,IF(OR($J306=1,$J306=2,$J306=3,$J306=4,$J306=5,$J306=6,$J306=7,$J306=8,$J306=9,$J306=10),$E306*$I306/12*3,IF($J306=11,$E306*$I306/12*2,IF($J306=12,$E306*$I306/12*1,0)))))+IF(DJ$5&lt;&gt;$H306,0,IF(DJ306&gt;0,IF($J306=10,$E306*$I306/12*0,IF($J306=11,$E306*$I306/12*1,IF($J306=12,$E306*$I306/12*2,0)))))</f>
        <v>0</v>
      </c>
      <c r="DO306" s="413">
        <f>IF(AND(DJ306&lt;&gt;0,DJ$5=$H306),$I306*$E306-DJ306,IF(DO$5=$H306,$I306*$E306*(12-$J306+1)/12,0))</f>
        <v>0</v>
      </c>
      <c r="DP306" s="410">
        <f>IF($H306&lt;&gt;DT$5,0,IF(DT306&gt;0,IF($J306=1,$E306*$I306/12*3,IF($J306=2,$E306*$I306/12*2,IF($J306=3,$E306*$I306/12*1,0)))))+IF(DO$5&lt;&gt;$H306,0,IF(DO306&gt;0,IF($J306=1,$E306*$I306/12*0,IF($J306=2,$E306*$I306/12*1,IF($J306=3,$E306*$I306/12*2,IF($J306&gt;=4,$E306*$I306/12*3,0))))))</f>
        <v>0</v>
      </c>
      <c r="DQ306" s="416">
        <f>IF($H306&lt;&gt;DT$5,0,IF(DT306&gt;0,IF(OR($J306=1,$J306=2,$J306=3,$J306=4),$E306*$I306/12*3,IF($J306=5,$E306*$I306/12*2,IF($J306=6,$E306*$I306/12*1,0)))))+IF(DO$5&lt;&gt;$H306,0,IF(DO306&gt;0,IF($J306=4,$E306*$I306/12*0,IF($J306=5,$E306*$I306/12*1,IF($J306=6,$E306*$I306/12*2,IF($J306&gt;=7,$E306*$I306/12*3,0))))))</f>
        <v>0</v>
      </c>
      <c r="DR306" s="416">
        <f>IF($H306&lt;&gt;DT$5,0,IF(DT306&gt;0,IF(OR($J306=1,$J306=2,$J306=3,$J306=4,$J306=5,$J306=6,$J306=7),$E306*$I306/12*3,IF($J306=8,$E306*$I306/12*2,IF($J306=9,$E306*$I306/12*1,0)))))+IF(DO$5&lt;&gt;$H306,0,IF(DO306&gt;0,IF($J306=7,$E306*$I306/12*0,IF($J306=8,$E306*$I306/12*1,IF($J306=9,$E306*$I306/12*2,IF($J306&gt;=10,$E306*$I306/12*3,0))))))</f>
        <v>0</v>
      </c>
      <c r="DS306" s="412">
        <f>IF($H306&lt;&gt;DT$5,0,IF(DT306&gt;0,IF(OR($J306=1,$J306=2,$J306=3,$J306=4,$J306=5,$J306=6,$J306=7,$J306=8,$J306=9,$J306=10),$E306*$I306/12*3,IF($J306=11,$E306*$I306/12*2,IF($J306=12,$E306*$I306/12*1,0)))))+IF(DO$5&lt;&gt;$H306,0,IF(DO306&gt;0,IF($J306=10,$E306*$I306/12*0,IF($J306=11,$E306*$I306/12*1,IF($J306=12,$E306*$I306/12*2,0)))))</f>
        <v>0</v>
      </c>
      <c r="DT306" s="413">
        <f>IF(AND(DO306&lt;&gt;0,DO$5=$H306),$I306*$E306-DO306,IF(DT$5=$H306,$I306*$E306*(12-$J306+1)/12,0))</f>
        <v>0</v>
      </c>
    </row>
    <row r="307" spans="1:124" ht="12.75" customHeight="1">
      <c r="C307" s="1891" t="s">
        <v>1083</v>
      </c>
      <c r="D307" s="1891"/>
      <c r="E307" s="1887">
        <f>'Generation &amp; Marketing'!BG328</f>
        <v>175</v>
      </c>
      <c r="F307" s="1895"/>
      <c r="G307" s="1895"/>
      <c r="H307" s="16">
        <v>2019</v>
      </c>
      <c r="I307" s="1889">
        <f>+'Utility Detail'!BG13</f>
        <v>0.05</v>
      </c>
      <c r="J307" s="617">
        <v>7</v>
      </c>
      <c r="K307" s="402"/>
      <c r="L307" s="407">
        <f>IF(L$5=$H307,$E307,0)</f>
        <v>0</v>
      </c>
      <c r="M307" s="404">
        <f>IF(Q307=0,0,IF(Q307&gt;0,IF($J307=3,Q307,IF($J307=2,Q307,IF($J307=1,Q307,0)))))</f>
        <v>0</v>
      </c>
      <c r="N307" s="414">
        <f>IF(Q307=0,0,IF(Q307&gt;0,IF($J307=6,Q307,IF($J307=5,Q307,IF($J307=4,Q307,0)))))</f>
        <v>0</v>
      </c>
      <c r="O307" s="414">
        <f>IF(Q307=0,0,IF(Q307&gt;0,IF($J307=9,Q307,IF($J307=8,Q307,IF($J307=7,Q307,0)))))</f>
        <v>0</v>
      </c>
      <c r="P307" s="406">
        <f>IF(Q307=0,0,IF(Q307&gt;0,IF($J307=12,Q307,IF($J307=11,Q307,IF($J307=10,Q307,0)))))</f>
        <v>0</v>
      </c>
      <c r="Q307" s="407">
        <f>IF(Q$5=$H307,$E307,0)</f>
        <v>0</v>
      </c>
      <c r="R307" s="404">
        <f>IF(V307=0,0,IF(V307&gt;0,IF($J307=3,V307,IF($J307=2,V307,IF($J307=1,V307,0)))))</f>
        <v>0</v>
      </c>
      <c r="S307" s="414">
        <f>IF(V307=0,0,IF(V307&gt;0,IF($J307=6,V307,IF($J307=5,V307,IF($J307=4,V307,0)))))</f>
        <v>0</v>
      </c>
      <c r="T307" s="414">
        <f>IF(V307=0,0,IF(V307&gt;0,IF($J307=9,V307,IF($J307=8,V307,IF($J307=7,V307,0)))))</f>
        <v>0</v>
      </c>
      <c r="U307" s="406">
        <f>IF(V307=0,0,IF(V307&gt;0,IF($J307=12,V307,IF($J307=11,V307,IF($J307=10,V307,0)))))</f>
        <v>0</v>
      </c>
      <c r="V307" s="407">
        <f>IF(V$5=$H307,$E307,0)</f>
        <v>0</v>
      </c>
      <c r="W307" s="404">
        <f>IF(AA307=0,0,IF(AA307&gt;0,IF($J307=3,AA307,IF($J307=2,AA307,IF($J307=1,AA307,0)))))</f>
        <v>0</v>
      </c>
      <c r="X307" s="414">
        <f>IF(AA307=0,0,IF(AA307&gt;0,IF($J307=6,AA307,IF($J307=5,AA307,IF($J307=4,AA307,0)))))</f>
        <v>0</v>
      </c>
      <c r="Y307" s="414">
        <f>IF(AA307=0,0,IF(AA307&gt;0,IF($J307=9,AA307,IF($J307=8,AA307,IF($J307=7,AA307,0)))))</f>
        <v>0</v>
      </c>
      <c r="Z307" s="406">
        <f>IF(AA307=0,0,IF(AA307&gt;0,IF($J307=12,AA307,IF($J307=11,AA307,IF($J307=10,AA307,0)))))</f>
        <v>0</v>
      </c>
      <c r="AA307" s="407">
        <f>IF(AA$5=$H307,$E307,0)</f>
        <v>0</v>
      </c>
      <c r="AB307" s="404">
        <f>IF(AF307=0,0,IF(AF307&gt;0,IF($J307=3,AF307,IF($J307=2,AF307,IF($J307=1,AF307,0)))))</f>
        <v>0</v>
      </c>
      <c r="AC307" s="414">
        <f>IF(AF307=0,0,IF(AF307&gt;0,IF($J307=6,AF307,IF($J307=5,AF307,IF($J307=4,AF307,0)))))</f>
        <v>0</v>
      </c>
      <c r="AD307" s="414">
        <f>IF(AF307=0,0,IF(AF307&gt;0,IF($J307=9,AF307,IF($J307=8,AF307,IF($J307=7,AF307,0)))))</f>
        <v>0</v>
      </c>
      <c r="AE307" s="406">
        <f>IF(AF307=0,0,IF(AF307&gt;0,IF($J307=12,AF307,IF($J307=11,AF307,IF($J307=10,AF307,0)))))</f>
        <v>0</v>
      </c>
      <c r="AF307" s="407">
        <f>IF(AF$5=$H307,$E307,0)</f>
        <v>0</v>
      </c>
      <c r="AG307" s="404">
        <f>IF(AK307=0,0,IF(AK307&gt;0,IF($J307=3,AK307,IF($J307=2,AK307,IF($J307=1,AK307,0)))))</f>
        <v>0</v>
      </c>
      <c r="AH307" s="414">
        <f>IF(AK307=0,0,IF(AK307&gt;0,IF($J307=6,AK307,IF($J307=5,AK307,IF($J307=4,AK307,0)))))</f>
        <v>0</v>
      </c>
      <c r="AI307" s="414">
        <f>IF(AK307=0,0,IF(AK307&gt;0,IF($J307=9,AK307,IF($J307=8,AK307,IF($J307=7,AK307,0)))))</f>
        <v>0</v>
      </c>
      <c r="AJ307" s="406">
        <f>IF(AK307=0,0,IF(AK307&gt;0,IF($J307=12,AK307,IF($J307=11,AK307,IF($J307=10,AK307,0)))))</f>
        <v>0</v>
      </c>
      <c r="AK307" s="407">
        <f>IF(AK$5=$H307,$E307,0)</f>
        <v>0</v>
      </c>
      <c r="AL307" s="404">
        <f>IF(AP307=0,0,IF(AP307&gt;0,IF($J307=3,AP307,IF($J307=2,AP307,IF($J307=1,AP307,0)))))</f>
        <v>0</v>
      </c>
      <c r="AM307" s="414">
        <f>IF(AP307=0,0,IF(AP307&gt;0,IF($J307=6,AP307,IF($J307=5,AP307,IF($J307=4,AP307,0)))))</f>
        <v>0</v>
      </c>
      <c r="AN307" s="414">
        <f>IF(AP307=0,0,IF(AP307&gt;0,IF($J307=9,AP307,IF($J307=8,AP307,IF($J307=7,AP307,0)))))</f>
        <v>0</v>
      </c>
      <c r="AO307" s="406">
        <f>IF(AP307=0,0,IF(AP307&gt;0,IF($J307=12,AP307,IF($J307=11,AP307,IF($J307=10,AP307,0)))))</f>
        <v>0</v>
      </c>
      <c r="AP307" s="407">
        <f>IF(AP$5=$H307,$E307,0)</f>
        <v>0</v>
      </c>
      <c r="AQ307" s="404">
        <f>IF(AU307=0,0,IF(AU307&gt;0,IF($J307=3,AU307,IF($J307=2,AU307,IF($J307=1,AU307,0)))))</f>
        <v>0</v>
      </c>
      <c r="AR307" s="414">
        <f>IF(AU307=0,0,IF(AU307&gt;0,IF($J307=6,AU307,IF($J307=5,AU307,IF($J307=4,AU307,0)))))</f>
        <v>0</v>
      </c>
      <c r="AS307" s="414">
        <f>IF(AU307=0,0,IF(AU307&gt;0,IF($J307=9,AU307,IF($J307=8,AU307,IF($J307=7,AU307,0)))))</f>
        <v>0</v>
      </c>
      <c r="AT307" s="406">
        <f>IF(AU307=0,0,IF(AU307&gt;0,IF($J307=12,AU307,IF($J307=11,AU307,IF($J307=10,AU307,0)))))</f>
        <v>0</v>
      </c>
      <c r="AU307" s="407">
        <f>IF(AU$5=$H307,$E307,0)</f>
        <v>0</v>
      </c>
      <c r="AV307" s="404">
        <f>IF(AZ307=0,0,IF(AZ307&gt;0,IF($J307=3,AZ307,IF($J307=2,AZ307,IF($J307=1,AZ307,0)))))</f>
        <v>0</v>
      </c>
      <c r="AW307" s="414">
        <f>IF(AZ307=0,0,IF(AZ307&gt;0,IF($J307=6,AZ307,IF($J307=5,AZ307,IF($J307=4,AZ307,0)))))</f>
        <v>0</v>
      </c>
      <c r="AX307" s="414">
        <f>IF(AZ307=0,0,IF(AZ307&gt;0,IF($J307=9,AZ307,IF($J307=8,AZ307,IF($J307=7,AZ307,0)))))</f>
        <v>0</v>
      </c>
      <c r="AY307" s="406">
        <f>IF(AZ307=0,0,IF(AZ307&gt;0,IF($J307=12,AZ307,IF($J307=11,AZ307,IF($J307=10,AZ307,0)))))</f>
        <v>0</v>
      </c>
      <c r="AZ307" s="407">
        <f>IF(AZ$5=$H307,$E307,0)</f>
        <v>0</v>
      </c>
      <c r="BA307" s="404">
        <f>IF(BE307=0,0,IF(BE307&gt;0,IF($J307=3,BE307,IF($J307=2,BE307,IF($J307=1,BE307,0)))))</f>
        <v>0</v>
      </c>
      <c r="BB307" s="414">
        <f>IF(BE307=0,0,IF(BE307&gt;0,IF($J307=6,BE307,IF($J307=5,BE307,IF($J307=4,BE307,0)))))</f>
        <v>0</v>
      </c>
      <c r="BC307" s="414">
        <f>IF(BE307=0,0,IF(BE307&gt;0,IF($J307=9,BE307,IF($J307=8,BE307,IF($J307=7,BE307,0)))))</f>
        <v>175</v>
      </c>
      <c r="BD307" s="406">
        <f>IF(BE307=0,0,IF(BE307&gt;0,IF($J307=12,BE307,IF($J307=11,BE307,IF($J307=10,BE307,0)))))</f>
        <v>0</v>
      </c>
      <c r="BE307" s="407">
        <f>IF(BE$5=$H307,$E307,0)</f>
        <v>175</v>
      </c>
      <c r="BF307" s="404">
        <f>IF(BJ307=0,0,IF(BJ307&gt;0,IF($J307=3,BJ307,IF($J307=2,BJ307,IF($J307=1,BJ307,0)))))</f>
        <v>0</v>
      </c>
      <c r="BG307" s="414">
        <f>IF(BJ307=0,0,IF(BJ307&gt;0,IF($J307=6,BJ307,IF($J307=5,BJ307,IF($J307=4,BJ307,0)))))</f>
        <v>0</v>
      </c>
      <c r="BH307" s="414">
        <f>IF(BJ307=0,0,IF(BJ307&gt;0,IF($J307=9,BJ307,IF($J307=8,BJ307,IF($J307=7,BJ307,0)))))</f>
        <v>0</v>
      </c>
      <c r="BI307" s="406">
        <f>IF(BJ307=0,0,IF(BJ307&gt;0,IF($J307=12,BJ307,IF($J307=11,BJ307,IF($J307=10,BJ307,0)))))</f>
        <v>0</v>
      </c>
      <c r="BJ307" s="407">
        <f>IF(BJ$5=$H307,$E307,0)</f>
        <v>0</v>
      </c>
      <c r="BK307" s="404">
        <f>IF(BO307=0,0,IF(BO307&gt;0,IF($J307=3,BO307,IF($J307=2,BO307,IF($J307=1,BO307,0)))))</f>
        <v>0</v>
      </c>
      <c r="BL307" s="414">
        <f>IF(BO307=0,0,IF(BO307&gt;0,IF($J307=6,BO307,IF($J307=5,BO307,IF($J307=4,BO307,0)))))</f>
        <v>0</v>
      </c>
      <c r="BM307" s="414">
        <f>IF(BO307=0,0,IF(BO307&gt;0,IF($J307=9,BO307,IF($J307=8,BO307,IF($J307=7,BO307,0)))))</f>
        <v>0</v>
      </c>
      <c r="BN307" s="406">
        <f>IF(BO307=0,0,IF(BO307&gt;0,IF($J307=12,BO307,IF($J307=11,BO307,IF($J307=10,BO307,0)))))</f>
        <v>0</v>
      </c>
      <c r="BO307" s="407">
        <f>IF(BO$5=$H307,$E307,0)</f>
        <v>0</v>
      </c>
      <c r="BP307" s="447"/>
      <c r="BQ307" s="413">
        <f>IF(AND(AH307&lt;&gt;0,AH$5=$H307),$I307*$E307-AH307,IF(BQ$5=$H307,$I307*$E307*(12-$J307+1)/12,0))</f>
        <v>0</v>
      </c>
      <c r="BR307" s="410">
        <f>IF($H307&lt;&gt;BV$5,0,IF(BV307&gt;0,IF($J307=1,$E307*$I307/12*3,IF($J307=2,$E307*$I307/12*2,IF($J307=3,$E307*$I307/12*1,0)))))+IF(BQ$5&lt;&gt;$H307,0,IF(BQ307&gt;0,IF($J307=1,$E307*$I307/12*0,IF($J307=2,$E307*$I307/12*1,IF($J307=3,$E307*$I307/12*2,IF($J307&gt;=4,$E307*$I307/12*3,0))))))</f>
        <v>0</v>
      </c>
      <c r="BS307" s="416">
        <f>IF($H307&lt;&gt;BV$5,0,IF(BV307&gt;0,IF(OR($J307=1,$J307=2,$J307=3,$J307=4),$E307*$I307/12*3,IF($J307=5,$E307*$I307/12*2,IF($J307=6,$E307*$I307/12*1,0)))))+IF(BQ$5&lt;&gt;$H307,0,IF(BQ307&gt;0,IF($J307=4,$E307*$I307/12*0,IF($J307=5,$E307*$I307/12*1,IF($J307=6,$E307*$I307/12*2,IF($J307&gt;=7,$E307*$I307/12*3,0))))))</f>
        <v>0</v>
      </c>
      <c r="BT307" s="416">
        <f>IF($H307&lt;&gt;BV$5,0,IF(BV307&gt;0,IF(OR($J307=1,$J307=2,$J307=3,$J307=4,$J307=5,$J307=6,$J307=7),$E307*$I307/12*3,IF($J307=8,$E307*$I307/12*2,IF($J307=9,$E307*$I307/12*1,0)))))+IF(BQ$5&lt;&gt;$H307,0,IF(BQ307&gt;0,IF($J307=7,$E307*$I307/12*0,IF($J307=8,$E307*$I307/12*1,IF($J307=9,$E307*$I307/12*2,IF($J307&gt;=10,$E307*$I307/12*3,0))))))</f>
        <v>0</v>
      </c>
      <c r="BU307" s="412">
        <f>IF($H307&lt;&gt;BV$5,0,IF(BV307&gt;0,IF(OR($J307=1,$J307=2,$J307=3,$J307=4,$J307=5,$J307=6,$J307=7,$J307=8,$J307=9,$J307=10),$E307*$I307/12*3,IF($J307=11,$E307*$I307/12*2,IF($J307=12,$E307*$I307/12*1,0)))))+IF(BQ$5&lt;&gt;$H307,0,IF(BQ307&gt;0,IF($J307=10,$E307*$I307/12*0,IF($J307=11,$E307*$I307/12*1,IF($J307=12,$E307*$I307/12*2,0)))))</f>
        <v>0</v>
      </c>
      <c r="BV307" s="413">
        <f>IF(AND(BQ307&lt;&gt;0,BQ$5=$H307),$I307*$E307-BQ307,IF(BV$5=$H307,$I307*$E307*(12-$J307+1)/12,0))</f>
        <v>0</v>
      </c>
      <c r="BW307" s="410">
        <f>IF($H307&lt;&gt;CA$5,0,IF(CA307&gt;0,IF($J307=1,$E307*$I307/12*3,IF($J307=2,$E307*$I307/12*2,IF($J307=3,$E307*$I307/12*1,0)))))+IF(BV$5&lt;&gt;$H307,0,IF(BV307&gt;0,IF($J307=1,$E307*$I307/12*0,IF($J307=2,$E307*$I307/12*1,IF($J307=3,$E307*$I307/12*2,IF($J307&gt;=4,$E307*$I307/12*3,0))))))</f>
        <v>0</v>
      </c>
      <c r="BX307" s="416">
        <f>IF($H307&lt;&gt;CA$5,0,IF(CA307&gt;0,IF(OR($J307=1,$J307=2,$J307=3,$J307=4),$E307*$I307/12*3,IF($J307=5,$E307*$I307/12*2,IF($J307=6,$E307*$I307/12*1,0)))))+IF(BV$5&lt;&gt;$H307,0,IF(BV307&gt;0,IF($J307=4,$E307*$I307/12*0,IF($J307=5,$E307*$I307/12*1,IF($J307=6,$E307*$I307/12*2,IF($J307&gt;=7,$E307*$I307/12*3,0))))))</f>
        <v>0</v>
      </c>
      <c r="BY307" s="416">
        <f>IF($H307&lt;&gt;CA$5,0,IF(CA307&gt;0,IF(OR($J307=1,$J307=2,$J307=3,$J307=4,$J307=5,$J307=6,$J307=7),$E307*$I307/12*3,IF($J307=8,$E307*$I307/12*2,IF($J307=9,$E307*$I307/12*1,0)))))+IF(BV$5&lt;&gt;$H307,0,IF(BV307&gt;0,IF($J307=7,$E307*$I307/12*0,IF($J307=8,$E307*$I307/12*1,IF($J307=9,$E307*$I307/12*2,IF($J307&gt;=10,$E307*$I307/12*3,0))))))</f>
        <v>0</v>
      </c>
      <c r="BZ307" s="412">
        <f>IF($H307&lt;&gt;CA$5,0,IF(CA307&gt;0,IF(OR($J307=1,$J307=2,$J307=3,$J307=4,$J307=5,$J307=6,$J307=7,$J307=8,$J307=9,$J307=10),$E307*$I307/12*3,IF($J307=11,$E307*$I307/12*2,IF($J307=12,$E307*$I307/12*1,0)))))+IF(BV$5&lt;&gt;$H307,0,IF(BV307&gt;0,IF($J307=10,$E307*$I307/12*0,IF($J307=11,$E307*$I307/12*1,IF($J307=12,$E307*$I307/12*2,0)))))</f>
        <v>0</v>
      </c>
      <c r="CA307" s="413">
        <f>IF(AND(BV307&lt;&gt;0,BV$5=$H307),$I307*$E307-BV307,IF(CA$5=$H307,$I307*$E307*(12-$J307+1)/12,0))</f>
        <v>0</v>
      </c>
      <c r="CB307" s="410">
        <f>IF($H307&lt;&gt;CF$5,0,IF(CF307&gt;0,IF($J307=1,$E307*$I307/12*3,IF($J307=2,$E307*$I307/12*2,IF($J307=3,$E307*$I307/12*1,0)))))+IF(CA$5&lt;&gt;$H307,0,IF(CA307&gt;0,IF($J307=1,$E307*$I307/12*0,IF($J307=2,$E307*$I307/12*1,IF($J307=3,$E307*$I307/12*2,IF($J307&gt;=4,$E307*$I307/12*3,0))))))</f>
        <v>0</v>
      </c>
      <c r="CC307" s="416">
        <f>IF($H307&lt;&gt;CF$5,0,IF(CF307&gt;0,IF(OR($J307=1,$J307=2,$J307=3,$J307=4),$E307*$I307/12*3,IF($J307=5,$E307*$I307/12*2,IF($J307=6,$E307*$I307/12*1,0)))))+IF(CA$5&lt;&gt;$H307,0,IF(CA307&gt;0,IF($J307=4,$E307*$I307/12*0,IF($J307=5,$E307*$I307/12*1,IF($J307=6,$E307*$I307/12*2,IF($J307&gt;=7,$E307*$I307/12*3,0))))))</f>
        <v>0</v>
      </c>
      <c r="CD307" s="416">
        <f>IF($H307&lt;&gt;CF$5,0,IF(CF307&gt;0,IF(OR($J307=1,$J307=2,$J307=3,$J307=4,$J307=5,$J307=6,$J307=7),$E307*$I307/12*3,IF($J307=8,$E307*$I307/12*2,IF($J307=9,$E307*$I307/12*1,0)))))+IF(CA$5&lt;&gt;$H307,0,IF(CA307&gt;0,IF($J307=7,$E307*$I307/12*0,IF($J307=8,$E307*$I307/12*1,IF($J307=9,$E307*$I307/12*2,IF($J307&gt;=10,$E307*$I307/12*3,0))))))</f>
        <v>0</v>
      </c>
      <c r="CE307" s="412">
        <f>IF($H307&lt;&gt;CF$5,0,IF(CF307&gt;0,IF(OR($J307=1,$J307=2,$J307=3,$J307=4,$J307=5,$J307=6,$J307=7,$J307=8,$J307=9,$J307=10),$E307*$I307/12*3,IF($J307=11,$E307*$I307/12*2,IF($J307=12,$E307*$I307/12*1,0)))))+IF(CA$5&lt;&gt;$H307,0,IF(CA307&gt;0,IF($J307=10,$E307*$I307/12*0,IF($J307=11,$E307*$I307/12*1,IF($J307=12,$E307*$I307/12*2,0)))))</f>
        <v>0</v>
      </c>
      <c r="CF307" s="413">
        <f>IF(AND(CA307&lt;&gt;0,CA$5=$H307),$I307*$E307-CA307,IF(CF$5=$H307,$I307*$E307*(12-$J307+1)/12,0))</f>
        <v>0</v>
      </c>
      <c r="CG307" s="410">
        <f>IF($H307&lt;&gt;CK$5,0,IF(CK307&gt;0,IF($J307=1,$E307*$I307/12*3,IF($J307=2,$E307*$I307/12*2,IF($J307=3,$E307*$I307/12*1,0)))))+IF(CF$5&lt;&gt;$H307,0,IF(CF307&gt;0,IF($J307=1,$E307*$I307/12*0,IF($J307=2,$E307*$I307/12*1,IF($J307=3,$E307*$I307/12*2,IF($J307&gt;=4,$E307*$I307/12*3,0))))))</f>
        <v>0</v>
      </c>
      <c r="CH307" s="416">
        <f>IF($H307&lt;&gt;CK$5,0,IF(CK307&gt;0,IF(OR($J307=1,$J307=2,$J307=3,$J307=4),$E307*$I307/12*3,IF($J307=5,$E307*$I307/12*2,IF($J307=6,$E307*$I307/12*1,0)))))+IF(CF$5&lt;&gt;$H307,0,IF(CF307&gt;0,IF($J307=4,$E307*$I307/12*0,IF($J307=5,$E307*$I307/12*1,IF($J307=6,$E307*$I307/12*2,IF($J307&gt;=7,$E307*$I307/12*3,0))))))</f>
        <v>0</v>
      </c>
      <c r="CI307" s="416">
        <f>IF($H307&lt;&gt;CK$5,0,IF(CK307&gt;0,IF(OR($J307=1,$J307=2,$J307=3,$J307=4,$J307=5,$J307=6,$J307=7),$E307*$I307/12*3,IF($J307=8,$E307*$I307/12*2,IF($J307=9,$E307*$I307/12*1,0)))))+IF(CF$5&lt;&gt;$H307,0,IF(CF307&gt;0,IF($J307=7,$E307*$I307/12*0,IF($J307=8,$E307*$I307/12*1,IF($J307=9,$E307*$I307/12*2,IF($J307&gt;=10,$E307*$I307/12*3,0))))))</f>
        <v>0</v>
      </c>
      <c r="CJ307" s="412">
        <f>IF($H307&lt;&gt;CK$5,0,IF(CK307&gt;0,IF(OR($J307=1,$J307=2,$J307=3,$J307=4,$J307=5,$J307=6,$J307=7,$J307=8,$J307=9,$J307=10),$E307*$I307/12*3,IF($J307=11,$E307*$I307/12*2,IF($J307=12,$E307*$I307/12*1,0)))))+IF(CF$5&lt;&gt;$H307,0,IF(CF307&gt;0,IF($J307=10,$E307*$I307/12*0,IF($J307=11,$E307*$I307/12*1,IF($J307=12,$E307*$I307/12*2,0)))))</f>
        <v>0</v>
      </c>
      <c r="CK307" s="413">
        <f>IF(AND(CF307&lt;&gt;0,CF$5=$H307),$I307*$E307-CF307,IF(CK$5=$H307,$I307*$E307*(12-$J307+1)/12,0))</f>
        <v>0</v>
      </c>
      <c r="CL307" s="410">
        <f>IF($H307&lt;&gt;CP$5,0,IF(CP307&gt;0,IF($J307=1,$E307*$I307/12*3,IF($J307=2,$E307*$I307/12*2,IF($J307=3,$E307*$I307/12*1,0)))))+IF(CK$5&lt;&gt;$H307,0,IF(CK307&gt;0,IF($J307=1,$E307*$I307/12*0,IF($J307=2,$E307*$I307/12*1,IF($J307=3,$E307*$I307/12*2,IF($J307&gt;=4,$E307*$I307/12*3,0))))))</f>
        <v>0</v>
      </c>
      <c r="CM307" s="416">
        <f>IF($H307&lt;&gt;CP$5,0,IF(CP307&gt;0,IF(OR($J307=1,$J307=2,$J307=3,$J307=4),$E307*$I307/12*3,IF($J307=5,$E307*$I307/12*2,IF($J307=6,$E307*$I307/12*1,0)))))+IF(CK$5&lt;&gt;$H307,0,IF(CK307&gt;0,IF($J307=4,$E307*$I307/12*0,IF($J307=5,$E307*$I307/12*1,IF($J307=6,$E307*$I307/12*2,IF($J307&gt;=7,$E307*$I307/12*3,0))))))</f>
        <v>0</v>
      </c>
      <c r="CN307" s="416">
        <f>IF($H307&lt;&gt;CP$5,0,IF(CP307&gt;0,IF(OR($J307=1,$J307=2,$J307=3,$J307=4,$J307=5,$J307=6,$J307=7),$E307*$I307/12*3,IF($J307=8,$E307*$I307/12*2,IF($J307=9,$E307*$I307/12*1,0)))))+IF(CK$5&lt;&gt;$H307,0,IF(CK307&gt;0,IF($J307=7,$E307*$I307/12*0,IF($J307=8,$E307*$I307/12*1,IF($J307=9,$E307*$I307/12*2,IF($J307&gt;=10,$E307*$I307/12*3,0))))))</f>
        <v>0</v>
      </c>
      <c r="CO307" s="412">
        <f>IF($H307&lt;&gt;CP$5,0,IF(CP307&gt;0,IF(OR($J307=1,$J307=2,$J307=3,$J307=4,$J307=5,$J307=6,$J307=7,$J307=8,$J307=9,$J307=10),$E307*$I307/12*3,IF($J307=11,$E307*$I307/12*2,IF($J307=12,$E307*$I307/12*1,0)))))+IF(CK$5&lt;&gt;$H307,0,IF(CK307&gt;0,IF($J307=10,$E307*$I307/12*0,IF($J307=11,$E307*$I307/12*1,IF($J307=12,$E307*$I307/12*2,0)))))</f>
        <v>0</v>
      </c>
      <c r="CP307" s="413">
        <f>IF(AND(CK307&lt;&gt;0,CK$5=$H307),$I307*$E307-CK307,IF(CP$5=$H307,$I307*$E307*(12-$J307+1)/12,0))</f>
        <v>0</v>
      </c>
      <c r="CQ307" s="410">
        <f>IF($H307&lt;&gt;CU$5,0,IF(CU307&gt;0,IF($J307=1,$E307*$I307/12*3,IF($J307=2,$E307*$I307/12*2,IF($J307=3,$E307*$I307/12*1,0)))))+IF(CP$5&lt;&gt;$H307,0,IF(CP307&gt;0,IF($J307=1,$E307*$I307/12*0,IF($J307=2,$E307*$I307/12*1,IF($J307=3,$E307*$I307/12*2,IF($J307&gt;=4,$E307*$I307/12*3,0))))))</f>
        <v>0</v>
      </c>
      <c r="CR307" s="416">
        <f>IF($H307&lt;&gt;CU$5,0,IF(CU307&gt;0,IF(OR($J307=1,$J307=2,$J307=3,$J307=4),$E307*$I307/12*3,IF($J307=5,$E307*$I307/12*2,IF($J307=6,$E307*$I307/12*1,0)))))+IF(CP$5&lt;&gt;$H307,0,IF(CP307&gt;0,IF($J307=4,$E307*$I307/12*0,IF($J307=5,$E307*$I307/12*1,IF($J307=6,$E307*$I307/12*2,IF($J307&gt;=7,$E307*$I307/12*3,0))))))</f>
        <v>0</v>
      </c>
      <c r="CS307" s="416">
        <f>IF($H307&lt;&gt;CU$5,0,IF(CU307&gt;0,IF(OR($J307=1,$J307=2,$J307=3,$J307=4,$J307=5,$J307=6,$J307=7),$E307*$I307/12*3,IF($J307=8,$E307*$I307/12*2,IF($J307=9,$E307*$I307/12*1,0)))))+IF(CP$5&lt;&gt;$H307,0,IF(CP307&gt;0,IF($J307=7,$E307*$I307/12*0,IF($J307=8,$E307*$I307/12*1,IF($J307=9,$E307*$I307/12*2,IF($J307&gt;=10,$E307*$I307/12*3,0))))))</f>
        <v>0</v>
      </c>
      <c r="CT307" s="412">
        <f>IF($H307&lt;&gt;CU$5,0,IF(CU307&gt;0,IF(OR($J307=1,$J307=2,$J307=3,$J307=4,$J307=5,$J307=6,$J307=7,$J307=8,$J307=9,$J307=10),$E307*$I307/12*3,IF($J307=11,$E307*$I307/12*2,IF($J307=12,$E307*$I307/12*1,0)))))+IF(CP$5&lt;&gt;$H307,0,IF(CP307&gt;0,IF($J307=10,$E307*$I307/12*0,IF($J307=11,$E307*$I307/12*1,IF($J307=12,$E307*$I307/12*2,0)))))</f>
        <v>0</v>
      </c>
      <c r="CU307" s="413">
        <f>IF(AND(CP307&lt;&gt;0,CP$5=$H307),$I307*$E307-CP307,IF(CU$5=$H307,$I307*$E307*(12-$J307+1)/12,0))</f>
        <v>0</v>
      </c>
      <c r="CV307" s="410">
        <f>IF($H307&lt;&gt;CZ$5,0,IF(CZ307&gt;0,IF($J307=1,$E307*$I307/12*3,IF($J307=2,$E307*$I307/12*2,IF($J307=3,$E307*$I307/12*1,0)))))+IF(CU$5&lt;&gt;$H307,0,IF(CU307&gt;0,IF($J307=1,$E307*$I307/12*0,IF($J307=2,$E307*$I307/12*1,IF($J307=3,$E307*$I307/12*2,IF($J307&gt;=4,$E307*$I307/12*3,0))))))</f>
        <v>0</v>
      </c>
      <c r="CW307" s="416">
        <f>IF($H307&lt;&gt;CZ$5,0,IF(CZ307&gt;0,IF(OR($J307=1,$J307=2,$J307=3,$J307=4),$E307*$I307/12*3,IF($J307=5,$E307*$I307/12*2,IF($J307=6,$E307*$I307/12*1,0)))))+IF(CU$5&lt;&gt;$H307,0,IF(CU307&gt;0,IF($J307=4,$E307*$I307/12*0,IF($J307=5,$E307*$I307/12*1,IF($J307=6,$E307*$I307/12*2,IF($J307&gt;=7,$E307*$I307/12*3,0))))))</f>
        <v>0</v>
      </c>
      <c r="CX307" s="416">
        <f>IF($H307&lt;&gt;CZ$5,0,IF(CZ307&gt;0,IF(OR($J307=1,$J307=2,$J307=3,$J307=4,$J307=5,$J307=6,$J307=7),$E307*$I307/12*3,IF($J307=8,$E307*$I307/12*2,IF($J307=9,$E307*$I307/12*1,0)))))+IF(CU$5&lt;&gt;$H307,0,IF(CU307&gt;0,IF($J307=7,$E307*$I307/12*0,IF($J307=8,$E307*$I307/12*1,IF($J307=9,$E307*$I307/12*2,IF($J307&gt;=10,$E307*$I307/12*3,0))))))</f>
        <v>0</v>
      </c>
      <c r="CY307" s="412">
        <f>IF($H307&lt;&gt;CZ$5,0,IF(CZ307&gt;0,IF(OR($J307=1,$J307=2,$J307=3,$J307=4,$J307=5,$J307=6,$J307=7,$J307=8,$J307=9,$J307=10),$E307*$I307/12*3,IF($J307=11,$E307*$I307/12*2,IF($J307=12,$E307*$I307/12*1,0)))))+IF(CU$5&lt;&gt;$H307,0,IF(CU307&gt;0,IF($J307=10,$E307*$I307/12*0,IF($J307=11,$E307*$I307/12*1,IF($J307=12,$E307*$I307/12*2,0)))))</f>
        <v>0</v>
      </c>
      <c r="CZ307" s="413">
        <f>IF(AND(CU307&lt;&gt;0,CU$5=$H307),$I307*$E307-CU307,IF(CZ$5=$H307,$I307*$E307*(12-$J307+1)/12,0))</f>
        <v>0</v>
      </c>
      <c r="DA307" s="410">
        <f>IF($H307&lt;&gt;DE$5,0,IF(DE307&gt;0,IF($J307=1,$E307*$I307/12*3,IF($J307=2,$E307*$I307/12*2,IF($J307=3,$E307*$I307/12*1,0)))))+IF(CZ$5&lt;&gt;$H307,0,IF(CZ307&gt;0,IF($J307=1,$E307*$I307/12*0,IF($J307=2,$E307*$I307/12*1,IF($J307=3,$E307*$I307/12*2,IF($J307&gt;=4,$E307*$I307/12*3,0))))))</f>
        <v>0</v>
      </c>
      <c r="DB307" s="416">
        <f>IF($H307&lt;&gt;DE$5,0,IF(DE307&gt;0,IF(OR($J307=1,$J307=2,$J307=3,$J307=4),$E307*$I307/12*3,IF($J307=5,$E307*$I307/12*2,IF($J307=6,$E307*$I307/12*1,0)))))+IF(CZ$5&lt;&gt;$H307,0,IF(CZ307&gt;0,IF($J307=4,$E307*$I307/12*0,IF($J307=5,$E307*$I307/12*1,IF($J307=6,$E307*$I307/12*2,IF($J307&gt;=7,$E307*$I307/12*3,0))))))</f>
        <v>0</v>
      </c>
      <c r="DC307" s="416">
        <f>IF($H307&lt;&gt;DE$5,0,IF(DE307&gt;0,IF(OR($J307=1,$J307=2,$J307=3,$J307=4,$J307=5,$J307=6,$J307=7),$E307*$I307/12*3,IF($J307=8,$E307*$I307/12*2,IF($J307=9,$E307*$I307/12*1,0)))))+IF(CZ$5&lt;&gt;$H307,0,IF(CZ307&gt;0,IF($J307=7,$E307*$I307/12*0,IF($J307=8,$E307*$I307/12*1,IF($J307=9,$E307*$I307/12*2,IF($J307&gt;=10,$E307*$I307/12*3,0))))))</f>
        <v>0</v>
      </c>
      <c r="DD307" s="412">
        <f>IF($H307&lt;&gt;DE$5,0,IF(DE307&gt;0,IF(OR($J307=1,$J307=2,$J307=3,$J307=4,$J307=5,$J307=6,$J307=7,$J307=8,$J307=9,$J307=10),$E307*$I307/12*3,IF($J307=11,$E307*$I307/12*2,IF($J307=12,$E307*$I307/12*1,0)))))+IF(CZ$5&lt;&gt;$H307,0,IF(CZ307&gt;0,IF($J307=10,$E307*$I307/12*0,IF($J307=11,$E307*$I307/12*1,IF($J307=12,$E307*$I307/12*2,0)))))</f>
        <v>0</v>
      </c>
      <c r="DE307" s="413">
        <f>IF(AND(CZ307&lt;&gt;0,CZ$5=$H307),$I307*$E307-CZ307,IF(DE$5=$H307,$I307*$E307*(12-$J307+1)/12,0))</f>
        <v>0</v>
      </c>
      <c r="DF307" s="410">
        <f>IF($H307&lt;&gt;DJ$5,0,IF(DJ307&gt;0,IF($J307=1,$E307*$I307/12*3,IF($J307=2,$E307*$I307/12*2,IF($J307=3,$E307*$I307/12*1,0)))))+IF(DE$5&lt;&gt;$H307,0,IF(DE307&gt;0,IF($J307=1,$E307*$I307/12*0,IF($J307=2,$E307*$I307/12*1,IF($J307=3,$E307*$I307/12*2,IF($J307&gt;=4,$E307*$I307/12*3,0))))))</f>
        <v>0</v>
      </c>
      <c r="DG307" s="416">
        <f>IF($H307&lt;&gt;DJ$5,0,IF(DJ307&gt;0,IF(OR($J307=1,$J307=2,$J307=3,$J307=4),$E307*$I307/12*3,IF($J307=5,$E307*$I307/12*2,IF($J307=6,$E307*$I307/12*1,0)))))+IF(DE$5&lt;&gt;$H307,0,IF(DE307&gt;0,IF($J307=4,$E307*$I307/12*0,IF($J307=5,$E307*$I307/12*1,IF($J307=6,$E307*$I307/12*2,IF($J307&gt;=7,$E307*$I307/12*3,0))))))</f>
        <v>0</v>
      </c>
      <c r="DH307" s="416">
        <f>IF($H307&lt;&gt;DJ$5,0,IF(DJ307&gt;0,IF(OR($J307=1,$J307=2,$J307=3,$J307=4,$J307=5,$J307=6,$J307=7),$E307*$I307/12*3,IF($J307=8,$E307*$I307/12*2,IF($J307=9,$E307*$I307/12*1,0)))))+IF(DE$5&lt;&gt;$H307,0,IF(DE307&gt;0,IF($J307=7,$E307*$I307/12*0,IF($J307=8,$E307*$I307/12*1,IF($J307=9,$E307*$I307/12*2,IF($J307&gt;=10,$E307*$I307/12*3,0))))))</f>
        <v>2.1875</v>
      </c>
      <c r="DI307" s="412">
        <f>IF($H307&lt;&gt;DJ$5,0,IF(DJ307&gt;0,IF(OR($J307=1,$J307=2,$J307=3,$J307=4,$J307=5,$J307=6,$J307=7,$J307=8,$J307=9,$J307=10),$E307*$I307/12*3,IF($J307=11,$E307*$I307/12*2,IF($J307=12,$E307*$I307/12*1,0)))))+IF(DE$5&lt;&gt;$H307,0,IF(DE307&gt;0,IF($J307=10,$E307*$I307/12*0,IF($J307=11,$E307*$I307/12*1,IF($J307=12,$E307*$I307/12*2,0)))))</f>
        <v>2.1875</v>
      </c>
      <c r="DJ307" s="413">
        <f>IF(AND(DE307&lt;&gt;0,DE$5=$H307),$I307*$E307-DE307,IF(DJ$5=$H307,$I307*$E307*(12-$J307+1)/12,0))</f>
        <v>4.375</v>
      </c>
      <c r="DK307" s="410">
        <f>IF($H307&lt;&gt;DO$5,0,IF(DO307&gt;0,IF($J307=1,$E307*$I307/12*3,IF($J307=2,$E307*$I307/12*2,IF($J307=3,$E307*$I307/12*1,0)))))+IF(DJ$5&lt;&gt;$H307,0,IF(DJ307&gt;0,IF($J307=1,$E307*$I307/12*0,IF($J307=2,$E307*$I307/12*1,IF($J307=3,$E307*$I307/12*2,IF($J307&gt;=4,$E307*$I307/12*3,0))))))</f>
        <v>2.1875</v>
      </c>
      <c r="DL307" s="416">
        <f>IF($H307&lt;&gt;DO$5,0,IF(DO307&gt;0,IF(OR($J307=1,$J307=2,$J307=3,$J307=4),$E307*$I307/12*3,IF($J307=5,$E307*$I307/12*2,IF($J307=6,$E307*$I307/12*1,0)))))+IF(DJ$5&lt;&gt;$H307,0,IF(DJ307&gt;0,IF($J307=4,$E307*$I307/12*0,IF($J307=5,$E307*$I307/12*1,IF($J307=6,$E307*$I307/12*2,IF($J307&gt;=7,$E307*$I307/12*3,0))))))</f>
        <v>2.1875</v>
      </c>
      <c r="DM307" s="416">
        <f>IF($H307&lt;&gt;DO$5,0,IF(DO307&gt;0,IF(OR($J307=1,$J307=2,$J307=3,$J307=4,$J307=5,$J307=6,$J307=7),$E307*$I307/12*3,IF($J307=8,$E307*$I307/12*2,IF($J307=9,$E307*$I307/12*1,0)))))+IF(DJ$5&lt;&gt;$H307,0,IF(DJ307&gt;0,IF($J307=7,$E307*$I307/12*0,IF($J307=8,$E307*$I307/12*1,IF($J307=9,$E307*$I307/12*2,IF($J307&gt;=10,$E307*$I307/12*3,0))))))</f>
        <v>0</v>
      </c>
      <c r="DN307" s="412">
        <f>IF($H307&lt;&gt;DO$5,0,IF(DO307&gt;0,IF(OR($J307=1,$J307=2,$J307=3,$J307=4,$J307=5,$J307=6,$J307=7,$J307=8,$J307=9,$J307=10),$E307*$I307/12*3,IF($J307=11,$E307*$I307/12*2,IF($J307=12,$E307*$I307/12*1,0)))))+IF(DJ$5&lt;&gt;$H307,0,IF(DJ307&gt;0,IF($J307=10,$E307*$I307/12*0,IF($J307=11,$E307*$I307/12*1,IF($J307=12,$E307*$I307/12*2,0)))))</f>
        <v>0</v>
      </c>
      <c r="DO307" s="413">
        <f>IF(AND(DJ307&lt;&gt;0,DJ$5=$H307),$I307*$E307-DJ307,IF(DO$5=$H307,$I307*$E307*(12-$J307+1)/12,0))</f>
        <v>4.375</v>
      </c>
      <c r="DP307" s="410">
        <f>IF($H307&lt;&gt;DT$5,0,IF(DT307&gt;0,IF($J307=1,$E307*$I307/12*3,IF($J307=2,$E307*$I307/12*2,IF($J307=3,$E307*$I307/12*1,0)))))+IF(DO$5&lt;&gt;$H307,0,IF(DO307&gt;0,IF($J307=1,$E307*$I307/12*0,IF($J307=2,$E307*$I307/12*1,IF($J307=3,$E307*$I307/12*2,IF($J307&gt;=4,$E307*$I307/12*3,0))))))</f>
        <v>0</v>
      </c>
      <c r="DQ307" s="416">
        <f>IF($H307&lt;&gt;DT$5,0,IF(DT307&gt;0,IF(OR($J307=1,$J307=2,$J307=3,$J307=4),$E307*$I307/12*3,IF($J307=5,$E307*$I307/12*2,IF($J307=6,$E307*$I307/12*1,0)))))+IF(DO$5&lt;&gt;$H307,0,IF(DO307&gt;0,IF($J307=4,$E307*$I307/12*0,IF($J307=5,$E307*$I307/12*1,IF($J307=6,$E307*$I307/12*2,IF($J307&gt;=7,$E307*$I307/12*3,0))))))</f>
        <v>0</v>
      </c>
      <c r="DR307" s="416">
        <f>IF($H307&lt;&gt;DT$5,0,IF(DT307&gt;0,IF(OR($J307=1,$J307=2,$J307=3,$J307=4,$J307=5,$J307=6,$J307=7),$E307*$I307/12*3,IF($J307=8,$E307*$I307/12*2,IF($J307=9,$E307*$I307/12*1,0)))))+IF(DO$5&lt;&gt;$H307,0,IF(DO307&gt;0,IF($J307=7,$E307*$I307/12*0,IF($J307=8,$E307*$I307/12*1,IF($J307=9,$E307*$I307/12*2,IF($J307&gt;=10,$E307*$I307/12*3,0))))))</f>
        <v>0</v>
      </c>
      <c r="DS307" s="412">
        <f>IF($H307&lt;&gt;DT$5,0,IF(DT307&gt;0,IF(OR($J307=1,$J307=2,$J307=3,$J307=4,$J307=5,$J307=6,$J307=7,$J307=8,$J307=9,$J307=10),$E307*$I307/12*3,IF($J307=11,$E307*$I307/12*2,IF($J307=12,$E307*$I307/12*1,0)))))+IF(DO$5&lt;&gt;$H307,0,IF(DO307&gt;0,IF($J307=10,$E307*$I307/12*0,IF($J307=11,$E307*$I307/12*1,IF($J307=12,$E307*$I307/12*2,0)))))</f>
        <v>0</v>
      </c>
      <c r="DT307" s="413">
        <f>IF(AND(DO307&lt;&gt;0,DO$5=$H307),$I307*$E307-DO307,IF(DT$5=$H307,$I307*$E307*(12-$J307+1)/12,0))</f>
        <v>0</v>
      </c>
    </row>
    <row r="308" spans="1:124" ht="12.75" customHeight="1">
      <c r="C308" s="1891" t="s">
        <v>1084</v>
      </c>
      <c r="D308" s="1891"/>
      <c r="E308" s="1887">
        <f>+'Generation &amp; Marketing'!BL328</f>
        <v>175</v>
      </c>
      <c r="F308" s="1895"/>
      <c r="G308" s="1895"/>
      <c r="H308" s="16">
        <v>2020</v>
      </c>
      <c r="I308" s="1889">
        <f>+'Utility Detail'!BL13</f>
        <v>0.05</v>
      </c>
      <c r="J308" s="617">
        <v>7</v>
      </c>
      <c r="K308" s="402"/>
      <c r="L308" s="407">
        <f>IF(L$5=$H308,$E308,0)</f>
        <v>0</v>
      </c>
      <c r="M308" s="404">
        <f>IF(Q308=0,0,IF(Q308&gt;0,IF($J308=3,Q308,IF($J308=2,Q308,IF($J308=1,Q308,0)))))</f>
        <v>0</v>
      </c>
      <c r="N308" s="414">
        <f>IF(Q308=0,0,IF(Q308&gt;0,IF($J308=6,Q308,IF($J308=5,Q308,IF($J308=4,Q308,0)))))</f>
        <v>0</v>
      </c>
      <c r="O308" s="414">
        <f>IF(Q308=0,0,IF(Q308&gt;0,IF($J308=9,Q308,IF($J308=8,Q308,IF($J308=7,Q308,0)))))</f>
        <v>0</v>
      </c>
      <c r="P308" s="406">
        <f>IF(Q308=0,0,IF(Q308&gt;0,IF($J308=12,Q308,IF($J308=11,Q308,IF($J308=10,Q308,0)))))</f>
        <v>0</v>
      </c>
      <c r="Q308" s="407">
        <f>IF(Q$5=$H308,$E308,0)</f>
        <v>0</v>
      </c>
      <c r="R308" s="404">
        <f>IF(V308=0,0,IF(V308&gt;0,IF($J308=3,V308,IF($J308=2,V308,IF($J308=1,V308,0)))))</f>
        <v>0</v>
      </c>
      <c r="S308" s="414">
        <f>IF(V308=0,0,IF(V308&gt;0,IF($J308=6,V308,IF($J308=5,V308,IF($J308=4,V308,0)))))</f>
        <v>0</v>
      </c>
      <c r="T308" s="414">
        <f>IF(V308=0,0,IF(V308&gt;0,IF($J308=9,V308,IF($J308=8,V308,IF($J308=7,V308,0)))))</f>
        <v>0</v>
      </c>
      <c r="U308" s="406">
        <f>IF(V308=0,0,IF(V308&gt;0,IF($J308=12,V308,IF($J308=11,V308,IF($J308=10,V308,0)))))</f>
        <v>0</v>
      </c>
      <c r="V308" s="407">
        <f>IF(V$5=$H308,$E308,0)</f>
        <v>0</v>
      </c>
      <c r="W308" s="404">
        <f>IF(AA308=0,0,IF(AA308&gt;0,IF($J308=3,AA308,IF($J308=2,AA308,IF($J308=1,AA308,0)))))</f>
        <v>0</v>
      </c>
      <c r="X308" s="414">
        <f>IF(AA308=0,0,IF(AA308&gt;0,IF($J308=6,AA308,IF($J308=5,AA308,IF($J308=4,AA308,0)))))</f>
        <v>0</v>
      </c>
      <c r="Y308" s="414">
        <f>IF(AA308=0,0,IF(AA308&gt;0,IF($J308=9,AA308,IF($J308=8,AA308,IF($J308=7,AA308,0)))))</f>
        <v>0</v>
      </c>
      <c r="Z308" s="406">
        <f>IF(AA308=0,0,IF(AA308&gt;0,IF($J308=12,AA308,IF($J308=11,AA308,IF($J308=10,AA308,0)))))</f>
        <v>0</v>
      </c>
      <c r="AA308" s="407">
        <f>IF(AA$5=$H308,$E308,0)</f>
        <v>0</v>
      </c>
      <c r="AB308" s="404">
        <f>IF(AF308=0,0,IF(AF308&gt;0,IF($J308=3,AF308,IF($J308=2,AF308,IF($J308=1,AF308,0)))))</f>
        <v>0</v>
      </c>
      <c r="AC308" s="414">
        <f>IF(AF308=0,0,IF(AF308&gt;0,IF($J308=6,AF308,IF($J308=5,AF308,IF($J308=4,AF308,0)))))</f>
        <v>0</v>
      </c>
      <c r="AD308" s="414">
        <f>IF(AF308=0,0,IF(AF308&gt;0,IF($J308=9,AF308,IF($J308=8,AF308,IF($J308=7,AF308,0)))))</f>
        <v>0</v>
      </c>
      <c r="AE308" s="406">
        <f>IF(AF308=0,0,IF(AF308&gt;0,IF($J308=12,AF308,IF($J308=11,AF308,IF($J308=10,AF308,0)))))</f>
        <v>0</v>
      </c>
      <c r="AF308" s="407">
        <f>IF(AF$5=$H308,$E308,0)</f>
        <v>0</v>
      </c>
      <c r="AG308" s="404">
        <f>IF(AK308=0,0,IF(AK308&gt;0,IF($J308=3,AK308,IF($J308=2,AK308,IF($J308=1,AK308,0)))))</f>
        <v>0</v>
      </c>
      <c r="AH308" s="414">
        <f>IF(AK308=0,0,IF(AK308&gt;0,IF($J308=6,AK308,IF($J308=5,AK308,IF($J308=4,AK308,0)))))</f>
        <v>0</v>
      </c>
      <c r="AI308" s="414">
        <f>IF(AK308=0,0,IF(AK308&gt;0,IF($J308=9,AK308,IF($J308=8,AK308,IF($J308=7,AK308,0)))))</f>
        <v>0</v>
      </c>
      <c r="AJ308" s="406">
        <f>IF(AK308=0,0,IF(AK308&gt;0,IF($J308=12,AK308,IF($J308=11,AK308,IF($J308=10,AK308,0)))))</f>
        <v>0</v>
      </c>
      <c r="AK308" s="407">
        <f>IF(AK$5=$H308,$E308,0)</f>
        <v>0</v>
      </c>
      <c r="AL308" s="404">
        <f>IF(AP308=0,0,IF(AP308&gt;0,IF($J308=3,AP308,IF($J308=2,AP308,IF($J308=1,AP308,0)))))</f>
        <v>0</v>
      </c>
      <c r="AM308" s="414">
        <f>IF(AP308=0,0,IF(AP308&gt;0,IF($J308=6,AP308,IF($J308=5,AP308,IF($J308=4,AP308,0)))))</f>
        <v>0</v>
      </c>
      <c r="AN308" s="414">
        <f>IF(AP308=0,0,IF(AP308&gt;0,IF($J308=9,AP308,IF($J308=8,AP308,IF($J308=7,AP308,0)))))</f>
        <v>0</v>
      </c>
      <c r="AO308" s="406">
        <f>IF(AP308=0,0,IF(AP308&gt;0,IF($J308=12,AP308,IF($J308=11,AP308,IF($J308=10,AP308,0)))))</f>
        <v>0</v>
      </c>
      <c r="AP308" s="407">
        <f>IF(AP$5=$H308,$E308,0)</f>
        <v>0</v>
      </c>
      <c r="AQ308" s="404">
        <f>IF(AU308=0,0,IF(AU308&gt;0,IF($J308=3,AU308,IF($J308=2,AU308,IF($J308=1,AU308,0)))))</f>
        <v>0</v>
      </c>
      <c r="AR308" s="414">
        <f>IF(AU308=0,0,IF(AU308&gt;0,IF($J308=6,AU308,IF($J308=5,AU308,IF($J308=4,AU308,0)))))</f>
        <v>0</v>
      </c>
      <c r="AS308" s="414">
        <f>IF(AU308=0,0,IF(AU308&gt;0,IF($J308=9,AU308,IF($J308=8,AU308,IF($J308=7,AU308,0)))))</f>
        <v>0</v>
      </c>
      <c r="AT308" s="406">
        <f>IF(AU308=0,0,IF(AU308&gt;0,IF($J308=12,AU308,IF($J308=11,AU308,IF($J308=10,AU308,0)))))</f>
        <v>0</v>
      </c>
      <c r="AU308" s="407">
        <f>IF(AU$5=$H308,$E308,0)</f>
        <v>0</v>
      </c>
      <c r="AV308" s="404">
        <f>IF(AZ308=0,0,IF(AZ308&gt;0,IF($J308=3,AZ308,IF($J308=2,AZ308,IF($J308=1,AZ308,0)))))</f>
        <v>0</v>
      </c>
      <c r="AW308" s="414">
        <f>IF(AZ308=0,0,IF(AZ308&gt;0,IF($J308=6,AZ308,IF($J308=5,AZ308,IF($J308=4,AZ308,0)))))</f>
        <v>0</v>
      </c>
      <c r="AX308" s="414">
        <f>IF(AZ308=0,0,IF(AZ308&gt;0,IF($J308=9,AZ308,IF($J308=8,AZ308,IF($J308=7,AZ308,0)))))</f>
        <v>0</v>
      </c>
      <c r="AY308" s="406">
        <f>IF(AZ308=0,0,IF(AZ308&gt;0,IF($J308=12,AZ308,IF($J308=11,AZ308,IF($J308=10,AZ308,0)))))</f>
        <v>0</v>
      </c>
      <c r="AZ308" s="407">
        <f>IF(AZ$5=$H308,$E308,0)</f>
        <v>0</v>
      </c>
      <c r="BA308" s="404">
        <f>IF(BE308=0,0,IF(BE308&gt;0,IF($J308=3,BE308,IF($J308=2,BE308,IF($J308=1,BE308,0)))))</f>
        <v>0</v>
      </c>
      <c r="BB308" s="414">
        <f>IF(BE308=0,0,IF(BE308&gt;0,IF($J308=6,BE308,IF($J308=5,BE308,IF($J308=4,BE308,0)))))</f>
        <v>0</v>
      </c>
      <c r="BC308" s="414">
        <f>IF(BE308=0,0,IF(BE308&gt;0,IF($J308=9,BE308,IF($J308=8,BE308,IF($J308=7,BE308,0)))))</f>
        <v>0</v>
      </c>
      <c r="BD308" s="406">
        <f>IF(BE308=0,0,IF(BE308&gt;0,IF($J308=12,BE308,IF($J308=11,BE308,IF($J308=10,BE308,0)))))</f>
        <v>0</v>
      </c>
      <c r="BE308" s="407">
        <f>IF(BE$5=$H308,$E308,0)</f>
        <v>0</v>
      </c>
      <c r="BF308" s="404">
        <f>IF(BJ308=0,0,IF(BJ308&gt;0,IF($J308=3,BJ308,IF($J308=2,BJ308,IF($J308=1,BJ308,0)))))</f>
        <v>0</v>
      </c>
      <c r="BG308" s="414">
        <f>IF(BJ308=0,0,IF(BJ308&gt;0,IF($J308=6,BJ308,IF($J308=5,BJ308,IF($J308=4,BJ308,0)))))</f>
        <v>0</v>
      </c>
      <c r="BH308" s="414">
        <f>IF(BJ308=0,0,IF(BJ308&gt;0,IF($J308=9,BJ308,IF($J308=8,BJ308,IF($J308=7,BJ308,0)))))</f>
        <v>175</v>
      </c>
      <c r="BI308" s="406">
        <f>IF(BJ308=0,0,IF(BJ308&gt;0,IF($J308=12,BJ308,IF($J308=11,BJ308,IF($J308=10,BJ308,0)))))</f>
        <v>0</v>
      </c>
      <c r="BJ308" s="407">
        <f>IF(BJ$5=$H308,$E308,0)</f>
        <v>175</v>
      </c>
      <c r="BK308" s="404">
        <f>IF(BO308=0,0,IF(BO308&gt;0,IF($J308=3,BO308,IF($J308=2,BO308,IF($J308=1,BO308,0)))))</f>
        <v>0</v>
      </c>
      <c r="BL308" s="414">
        <f>IF(BO308=0,0,IF(BO308&gt;0,IF($J308=6,BO308,IF($J308=5,BO308,IF($J308=4,BO308,0)))))</f>
        <v>0</v>
      </c>
      <c r="BM308" s="414">
        <f>IF(BO308=0,0,IF(BO308&gt;0,IF($J308=9,BO308,IF($J308=8,BO308,IF($J308=7,BO308,0)))))</f>
        <v>0</v>
      </c>
      <c r="BN308" s="406">
        <f>IF(BO308=0,0,IF(BO308&gt;0,IF($J308=12,BO308,IF($J308=11,BO308,IF($J308=10,BO308,0)))))</f>
        <v>0</v>
      </c>
      <c r="BO308" s="407">
        <f>IF(BO$5=$H308,$E308,0)</f>
        <v>0</v>
      </c>
      <c r="BP308" s="447"/>
      <c r="BQ308" s="413">
        <f>IF(AND(AH308&lt;&gt;0,AH$5=$H308),$I308*$E308-AH308,IF(BQ$5=$H308,$I308*$E308*(12-$J308+1)/12,0))</f>
        <v>0</v>
      </c>
      <c r="BR308" s="410">
        <f>IF($H308&lt;&gt;BV$5,0,IF(BV308&gt;0,IF($J308=1,$E308*$I308/12*3,IF($J308=2,$E308*$I308/12*2,IF($J308=3,$E308*$I308/12*1,0)))))+IF(BQ$5&lt;&gt;$H308,0,IF(BQ308&gt;0,IF($J308=1,$E308*$I308/12*0,IF($J308=2,$E308*$I308/12*1,IF($J308=3,$E308*$I308/12*2,IF($J308&gt;=4,$E308*$I308/12*3,0))))))</f>
        <v>0</v>
      </c>
      <c r="BS308" s="416">
        <f>IF($H308&lt;&gt;BV$5,0,IF(BV308&gt;0,IF(OR($J308=1,$J308=2,$J308=3,$J308=4),$E308*$I308/12*3,IF($J308=5,$E308*$I308/12*2,IF($J308=6,$E308*$I308/12*1,0)))))+IF(BQ$5&lt;&gt;$H308,0,IF(BQ308&gt;0,IF($J308=4,$E308*$I308/12*0,IF($J308=5,$E308*$I308/12*1,IF($J308=6,$E308*$I308/12*2,IF($J308&gt;=7,$E308*$I308/12*3,0))))))</f>
        <v>0</v>
      </c>
      <c r="BT308" s="416">
        <f>IF($H308&lt;&gt;BV$5,0,IF(BV308&gt;0,IF(OR($J308=1,$J308=2,$J308=3,$J308=4,$J308=5,$J308=6,$J308=7),$E308*$I308/12*3,IF($J308=8,$E308*$I308/12*2,IF($J308=9,$E308*$I308/12*1,0)))))+IF(BQ$5&lt;&gt;$H308,0,IF(BQ308&gt;0,IF($J308=7,$E308*$I308/12*0,IF($J308=8,$E308*$I308/12*1,IF($J308=9,$E308*$I308/12*2,IF($J308&gt;=10,$E308*$I308/12*3,0))))))</f>
        <v>0</v>
      </c>
      <c r="BU308" s="412">
        <f>IF($H308&lt;&gt;BV$5,0,IF(BV308&gt;0,IF(OR($J308=1,$J308=2,$J308=3,$J308=4,$J308=5,$J308=6,$J308=7,$J308=8,$J308=9,$J308=10),$E308*$I308/12*3,IF($J308=11,$E308*$I308/12*2,IF($J308=12,$E308*$I308/12*1,0)))))+IF(BQ$5&lt;&gt;$H308,0,IF(BQ308&gt;0,IF($J308=10,$E308*$I308/12*0,IF($J308=11,$E308*$I308/12*1,IF($J308=12,$E308*$I308/12*2,0)))))</f>
        <v>0</v>
      </c>
      <c r="BV308" s="413">
        <f>IF(AND(BQ308&lt;&gt;0,BQ$5=$H308),$I308*$E308-BQ308,IF(BV$5=$H308,$I308*$E308*(12-$J308+1)/12,0))</f>
        <v>0</v>
      </c>
      <c r="BW308" s="410">
        <f>IF($H308&lt;&gt;CA$5,0,IF(CA308&gt;0,IF($J308=1,$E308*$I308/12*3,IF($J308=2,$E308*$I308/12*2,IF($J308=3,$E308*$I308/12*1,0)))))+IF(BV$5&lt;&gt;$H308,0,IF(BV308&gt;0,IF($J308=1,$E308*$I308/12*0,IF($J308=2,$E308*$I308/12*1,IF($J308=3,$E308*$I308/12*2,IF($J308&gt;=4,$E308*$I308/12*3,0))))))</f>
        <v>0</v>
      </c>
      <c r="BX308" s="416">
        <f>IF($H308&lt;&gt;CA$5,0,IF(CA308&gt;0,IF(OR($J308=1,$J308=2,$J308=3,$J308=4),$E308*$I308/12*3,IF($J308=5,$E308*$I308/12*2,IF($J308=6,$E308*$I308/12*1,0)))))+IF(BV$5&lt;&gt;$H308,0,IF(BV308&gt;0,IF($J308=4,$E308*$I308/12*0,IF($J308=5,$E308*$I308/12*1,IF($J308=6,$E308*$I308/12*2,IF($J308&gt;=7,$E308*$I308/12*3,0))))))</f>
        <v>0</v>
      </c>
      <c r="BY308" s="416">
        <f>IF($H308&lt;&gt;CA$5,0,IF(CA308&gt;0,IF(OR($J308=1,$J308=2,$J308=3,$J308=4,$J308=5,$J308=6,$J308=7),$E308*$I308/12*3,IF($J308=8,$E308*$I308/12*2,IF($J308=9,$E308*$I308/12*1,0)))))+IF(BV$5&lt;&gt;$H308,0,IF(BV308&gt;0,IF($J308=7,$E308*$I308/12*0,IF($J308=8,$E308*$I308/12*1,IF($J308=9,$E308*$I308/12*2,IF($J308&gt;=10,$E308*$I308/12*3,0))))))</f>
        <v>0</v>
      </c>
      <c r="BZ308" s="412">
        <f>IF($H308&lt;&gt;CA$5,0,IF(CA308&gt;0,IF(OR($J308=1,$J308=2,$J308=3,$J308=4,$J308=5,$J308=6,$J308=7,$J308=8,$J308=9,$J308=10),$E308*$I308/12*3,IF($J308=11,$E308*$I308/12*2,IF($J308=12,$E308*$I308/12*1,0)))))+IF(BV$5&lt;&gt;$H308,0,IF(BV308&gt;0,IF($J308=10,$E308*$I308/12*0,IF($J308=11,$E308*$I308/12*1,IF($J308=12,$E308*$I308/12*2,0)))))</f>
        <v>0</v>
      </c>
      <c r="CA308" s="413">
        <f>IF(AND(BV308&lt;&gt;0,BV$5=$H308),$I308*$E308-BV308,IF(CA$5=$H308,$I308*$E308*(12-$J308+1)/12,0))</f>
        <v>0</v>
      </c>
      <c r="CB308" s="410">
        <f>IF($H308&lt;&gt;CF$5,0,IF(CF308&gt;0,IF($J308=1,$E308*$I308/12*3,IF($J308=2,$E308*$I308/12*2,IF($J308=3,$E308*$I308/12*1,0)))))+IF(CA$5&lt;&gt;$H308,0,IF(CA308&gt;0,IF($J308=1,$E308*$I308/12*0,IF($J308=2,$E308*$I308/12*1,IF($J308=3,$E308*$I308/12*2,IF($J308&gt;=4,$E308*$I308/12*3,0))))))</f>
        <v>0</v>
      </c>
      <c r="CC308" s="416">
        <f>IF($H308&lt;&gt;CF$5,0,IF(CF308&gt;0,IF(OR($J308=1,$J308=2,$J308=3,$J308=4),$E308*$I308/12*3,IF($J308=5,$E308*$I308/12*2,IF($J308=6,$E308*$I308/12*1,0)))))+IF(CA$5&lt;&gt;$H308,0,IF(CA308&gt;0,IF($J308=4,$E308*$I308/12*0,IF($J308=5,$E308*$I308/12*1,IF($J308=6,$E308*$I308/12*2,IF($J308&gt;=7,$E308*$I308/12*3,0))))))</f>
        <v>0</v>
      </c>
      <c r="CD308" s="416">
        <f>IF($H308&lt;&gt;CF$5,0,IF(CF308&gt;0,IF(OR($J308=1,$J308=2,$J308=3,$J308=4,$J308=5,$J308=6,$J308=7),$E308*$I308/12*3,IF($J308=8,$E308*$I308/12*2,IF($J308=9,$E308*$I308/12*1,0)))))+IF(CA$5&lt;&gt;$H308,0,IF(CA308&gt;0,IF($J308=7,$E308*$I308/12*0,IF($J308=8,$E308*$I308/12*1,IF($J308=9,$E308*$I308/12*2,IF($J308&gt;=10,$E308*$I308/12*3,0))))))</f>
        <v>0</v>
      </c>
      <c r="CE308" s="412">
        <f>IF($H308&lt;&gt;CF$5,0,IF(CF308&gt;0,IF(OR($J308=1,$J308=2,$J308=3,$J308=4,$J308=5,$J308=6,$J308=7,$J308=8,$J308=9,$J308=10),$E308*$I308/12*3,IF($J308=11,$E308*$I308/12*2,IF($J308=12,$E308*$I308/12*1,0)))))+IF(CA$5&lt;&gt;$H308,0,IF(CA308&gt;0,IF($J308=10,$E308*$I308/12*0,IF($J308=11,$E308*$I308/12*1,IF($J308=12,$E308*$I308/12*2,0)))))</f>
        <v>0</v>
      </c>
      <c r="CF308" s="413">
        <f>IF(AND(CA308&lt;&gt;0,CA$5=$H308),$I308*$E308-CA308,IF(CF$5=$H308,$I308*$E308*(12-$J308+1)/12,0))</f>
        <v>0</v>
      </c>
      <c r="CG308" s="410">
        <f>IF($H308&lt;&gt;CK$5,0,IF(CK308&gt;0,IF($J308=1,$E308*$I308/12*3,IF($J308=2,$E308*$I308/12*2,IF($J308=3,$E308*$I308/12*1,0)))))+IF(CF$5&lt;&gt;$H308,0,IF(CF308&gt;0,IF($J308=1,$E308*$I308/12*0,IF($J308=2,$E308*$I308/12*1,IF($J308=3,$E308*$I308/12*2,IF($J308&gt;=4,$E308*$I308/12*3,0))))))</f>
        <v>0</v>
      </c>
      <c r="CH308" s="416">
        <f>IF($H308&lt;&gt;CK$5,0,IF(CK308&gt;0,IF(OR($J308=1,$J308=2,$J308=3,$J308=4),$E308*$I308/12*3,IF($J308=5,$E308*$I308/12*2,IF($J308=6,$E308*$I308/12*1,0)))))+IF(CF$5&lt;&gt;$H308,0,IF(CF308&gt;0,IF($J308=4,$E308*$I308/12*0,IF($J308=5,$E308*$I308/12*1,IF($J308=6,$E308*$I308/12*2,IF($J308&gt;=7,$E308*$I308/12*3,0))))))</f>
        <v>0</v>
      </c>
      <c r="CI308" s="416">
        <f>IF($H308&lt;&gt;CK$5,0,IF(CK308&gt;0,IF(OR($J308=1,$J308=2,$J308=3,$J308=4,$J308=5,$J308=6,$J308=7),$E308*$I308/12*3,IF($J308=8,$E308*$I308/12*2,IF($J308=9,$E308*$I308/12*1,0)))))+IF(CF$5&lt;&gt;$H308,0,IF(CF308&gt;0,IF($J308=7,$E308*$I308/12*0,IF($J308=8,$E308*$I308/12*1,IF($J308=9,$E308*$I308/12*2,IF($J308&gt;=10,$E308*$I308/12*3,0))))))</f>
        <v>0</v>
      </c>
      <c r="CJ308" s="412">
        <f>IF($H308&lt;&gt;CK$5,0,IF(CK308&gt;0,IF(OR($J308=1,$J308=2,$J308=3,$J308=4,$J308=5,$J308=6,$J308=7,$J308=8,$J308=9,$J308=10),$E308*$I308/12*3,IF($J308=11,$E308*$I308/12*2,IF($J308=12,$E308*$I308/12*1,0)))))+IF(CF$5&lt;&gt;$H308,0,IF(CF308&gt;0,IF($J308=10,$E308*$I308/12*0,IF($J308=11,$E308*$I308/12*1,IF($J308=12,$E308*$I308/12*2,0)))))</f>
        <v>0</v>
      </c>
      <c r="CK308" s="413">
        <f>IF(AND(CF308&lt;&gt;0,CF$5=$H308),$I308*$E308-CF308,IF(CK$5=$H308,$I308*$E308*(12-$J308+1)/12,0))</f>
        <v>0</v>
      </c>
      <c r="CL308" s="410">
        <f>IF($H308&lt;&gt;CP$5,0,IF(CP308&gt;0,IF($J308=1,$E308*$I308/12*3,IF($J308=2,$E308*$I308/12*2,IF($J308=3,$E308*$I308/12*1,0)))))+IF(CK$5&lt;&gt;$H308,0,IF(CK308&gt;0,IF($J308=1,$E308*$I308/12*0,IF($J308=2,$E308*$I308/12*1,IF($J308=3,$E308*$I308/12*2,IF($J308&gt;=4,$E308*$I308/12*3,0))))))</f>
        <v>0</v>
      </c>
      <c r="CM308" s="416">
        <f>IF($H308&lt;&gt;CP$5,0,IF(CP308&gt;0,IF(OR($J308=1,$J308=2,$J308=3,$J308=4),$E308*$I308/12*3,IF($J308=5,$E308*$I308/12*2,IF($J308=6,$E308*$I308/12*1,0)))))+IF(CK$5&lt;&gt;$H308,0,IF(CK308&gt;0,IF($J308=4,$E308*$I308/12*0,IF($J308=5,$E308*$I308/12*1,IF($J308=6,$E308*$I308/12*2,IF($J308&gt;=7,$E308*$I308/12*3,0))))))</f>
        <v>0</v>
      </c>
      <c r="CN308" s="416">
        <f>IF($H308&lt;&gt;CP$5,0,IF(CP308&gt;0,IF(OR($J308=1,$J308=2,$J308=3,$J308=4,$J308=5,$J308=6,$J308=7),$E308*$I308/12*3,IF($J308=8,$E308*$I308/12*2,IF($J308=9,$E308*$I308/12*1,0)))))+IF(CK$5&lt;&gt;$H308,0,IF(CK308&gt;0,IF($J308=7,$E308*$I308/12*0,IF($J308=8,$E308*$I308/12*1,IF($J308=9,$E308*$I308/12*2,IF($J308&gt;=10,$E308*$I308/12*3,0))))))</f>
        <v>0</v>
      </c>
      <c r="CO308" s="412">
        <f>IF($H308&lt;&gt;CP$5,0,IF(CP308&gt;0,IF(OR($J308=1,$J308=2,$J308=3,$J308=4,$J308=5,$J308=6,$J308=7,$J308=8,$J308=9,$J308=10),$E308*$I308/12*3,IF($J308=11,$E308*$I308/12*2,IF($J308=12,$E308*$I308/12*1,0)))))+IF(CK$5&lt;&gt;$H308,0,IF(CK308&gt;0,IF($J308=10,$E308*$I308/12*0,IF($J308=11,$E308*$I308/12*1,IF($J308=12,$E308*$I308/12*2,0)))))</f>
        <v>0</v>
      </c>
      <c r="CP308" s="413">
        <f>IF(AND(CK308&lt;&gt;0,CK$5=$H308),$I308*$E308-CK308,IF(CP$5=$H308,$I308*$E308*(12-$J308+1)/12,0))</f>
        <v>0</v>
      </c>
      <c r="CQ308" s="410">
        <f>IF($H308&lt;&gt;CU$5,0,IF(CU308&gt;0,IF($J308=1,$E308*$I308/12*3,IF($J308=2,$E308*$I308/12*2,IF($J308=3,$E308*$I308/12*1,0)))))+IF(CP$5&lt;&gt;$H308,0,IF(CP308&gt;0,IF($J308=1,$E308*$I308/12*0,IF($J308=2,$E308*$I308/12*1,IF($J308=3,$E308*$I308/12*2,IF($J308&gt;=4,$E308*$I308/12*3,0))))))</f>
        <v>0</v>
      </c>
      <c r="CR308" s="416">
        <f>IF($H308&lt;&gt;CU$5,0,IF(CU308&gt;0,IF(OR($J308=1,$J308=2,$J308=3,$J308=4),$E308*$I308/12*3,IF($J308=5,$E308*$I308/12*2,IF($J308=6,$E308*$I308/12*1,0)))))+IF(CP$5&lt;&gt;$H308,0,IF(CP308&gt;0,IF($J308=4,$E308*$I308/12*0,IF($J308=5,$E308*$I308/12*1,IF($J308=6,$E308*$I308/12*2,IF($J308&gt;=7,$E308*$I308/12*3,0))))))</f>
        <v>0</v>
      </c>
      <c r="CS308" s="416">
        <f>IF($H308&lt;&gt;CU$5,0,IF(CU308&gt;0,IF(OR($J308=1,$J308=2,$J308=3,$J308=4,$J308=5,$J308=6,$J308=7),$E308*$I308/12*3,IF($J308=8,$E308*$I308/12*2,IF($J308=9,$E308*$I308/12*1,0)))))+IF(CP$5&lt;&gt;$H308,0,IF(CP308&gt;0,IF($J308=7,$E308*$I308/12*0,IF($J308=8,$E308*$I308/12*1,IF($J308=9,$E308*$I308/12*2,IF($J308&gt;=10,$E308*$I308/12*3,0))))))</f>
        <v>0</v>
      </c>
      <c r="CT308" s="412">
        <f>IF($H308&lt;&gt;CU$5,0,IF(CU308&gt;0,IF(OR($J308=1,$J308=2,$J308=3,$J308=4,$J308=5,$J308=6,$J308=7,$J308=8,$J308=9,$J308=10),$E308*$I308/12*3,IF($J308=11,$E308*$I308/12*2,IF($J308=12,$E308*$I308/12*1,0)))))+IF(CP$5&lt;&gt;$H308,0,IF(CP308&gt;0,IF($J308=10,$E308*$I308/12*0,IF($J308=11,$E308*$I308/12*1,IF($J308=12,$E308*$I308/12*2,0)))))</f>
        <v>0</v>
      </c>
      <c r="CU308" s="413">
        <f>IF(AND(CP308&lt;&gt;0,CP$5=$H308),$I308*$E308-CP308,IF(CU$5=$H308,$I308*$E308*(12-$J308+1)/12,0))</f>
        <v>0</v>
      </c>
      <c r="CV308" s="410">
        <f>IF($H308&lt;&gt;CZ$5,0,IF(CZ308&gt;0,IF($J308=1,$E308*$I308/12*3,IF($J308=2,$E308*$I308/12*2,IF($J308=3,$E308*$I308/12*1,0)))))+IF(CU$5&lt;&gt;$H308,0,IF(CU308&gt;0,IF($J308=1,$E308*$I308/12*0,IF($J308=2,$E308*$I308/12*1,IF($J308=3,$E308*$I308/12*2,IF($J308&gt;=4,$E308*$I308/12*3,0))))))</f>
        <v>0</v>
      </c>
      <c r="CW308" s="416">
        <f>IF($H308&lt;&gt;CZ$5,0,IF(CZ308&gt;0,IF(OR($J308=1,$J308=2,$J308=3,$J308=4),$E308*$I308/12*3,IF($J308=5,$E308*$I308/12*2,IF($J308=6,$E308*$I308/12*1,0)))))+IF(CU$5&lt;&gt;$H308,0,IF(CU308&gt;0,IF($J308=4,$E308*$I308/12*0,IF($J308=5,$E308*$I308/12*1,IF($J308=6,$E308*$I308/12*2,IF($J308&gt;=7,$E308*$I308/12*3,0))))))</f>
        <v>0</v>
      </c>
      <c r="CX308" s="416">
        <f>IF($H308&lt;&gt;CZ$5,0,IF(CZ308&gt;0,IF(OR($J308=1,$J308=2,$J308=3,$J308=4,$J308=5,$J308=6,$J308=7),$E308*$I308/12*3,IF($J308=8,$E308*$I308/12*2,IF($J308=9,$E308*$I308/12*1,0)))))+IF(CU$5&lt;&gt;$H308,0,IF(CU308&gt;0,IF($J308=7,$E308*$I308/12*0,IF($J308=8,$E308*$I308/12*1,IF($J308=9,$E308*$I308/12*2,IF($J308&gt;=10,$E308*$I308/12*3,0))))))</f>
        <v>0</v>
      </c>
      <c r="CY308" s="412">
        <f>IF($H308&lt;&gt;CZ$5,0,IF(CZ308&gt;0,IF(OR($J308=1,$J308=2,$J308=3,$J308=4,$J308=5,$J308=6,$J308=7,$J308=8,$J308=9,$J308=10),$E308*$I308/12*3,IF($J308=11,$E308*$I308/12*2,IF($J308=12,$E308*$I308/12*1,0)))))+IF(CU$5&lt;&gt;$H308,0,IF(CU308&gt;0,IF($J308=10,$E308*$I308/12*0,IF($J308=11,$E308*$I308/12*1,IF($J308=12,$E308*$I308/12*2,0)))))</f>
        <v>0</v>
      </c>
      <c r="CZ308" s="413">
        <f>IF(AND(CU308&lt;&gt;0,CU$5=$H308),$I308*$E308-CU308,IF(CZ$5=$H308,$I308*$E308*(12-$J308+1)/12,0))</f>
        <v>0</v>
      </c>
      <c r="DA308" s="410">
        <f>IF($H308&lt;&gt;DE$5,0,IF(DE308&gt;0,IF($J308=1,$E308*$I308/12*3,IF($J308=2,$E308*$I308/12*2,IF($J308=3,$E308*$I308/12*1,0)))))+IF(CZ$5&lt;&gt;$H308,0,IF(CZ308&gt;0,IF($J308=1,$E308*$I308/12*0,IF($J308=2,$E308*$I308/12*1,IF($J308=3,$E308*$I308/12*2,IF($J308&gt;=4,$E308*$I308/12*3,0))))))</f>
        <v>0</v>
      </c>
      <c r="DB308" s="416">
        <f>IF($H308&lt;&gt;DE$5,0,IF(DE308&gt;0,IF(OR($J308=1,$J308=2,$J308=3,$J308=4),$E308*$I308/12*3,IF($J308=5,$E308*$I308/12*2,IF($J308=6,$E308*$I308/12*1,0)))))+IF(CZ$5&lt;&gt;$H308,0,IF(CZ308&gt;0,IF($J308=4,$E308*$I308/12*0,IF($J308=5,$E308*$I308/12*1,IF($J308=6,$E308*$I308/12*2,IF($J308&gt;=7,$E308*$I308/12*3,0))))))</f>
        <v>0</v>
      </c>
      <c r="DC308" s="416">
        <f>IF($H308&lt;&gt;DE$5,0,IF(DE308&gt;0,IF(OR($J308=1,$J308=2,$J308=3,$J308=4,$J308=5,$J308=6,$J308=7),$E308*$I308/12*3,IF($J308=8,$E308*$I308/12*2,IF($J308=9,$E308*$I308/12*1,0)))))+IF(CZ$5&lt;&gt;$H308,0,IF(CZ308&gt;0,IF($J308=7,$E308*$I308/12*0,IF($J308=8,$E308*$I308/12*1,IF($J308=9,$E308*$I308/12*2,IF($J308&gt;=10,$E308*$I308/12*3,0))))))</f>
        <v>0</v>
      </c>
      <c r="DD308" s="412">
        <f>IF($H308&lt;&gt;DE$5,0,IF(DE308&gt;0,IF(OR($J308=1,$J308=2,$J308=3,$J308=4,$J308=5,$J308=6,$J308=7,$J308=8,$J308=9,$J308=10),$E308*$I308/12*3,IF($J308=11,$E308*$I308/12*2,IF($J308=12,$E308*$I308/12*1,0)))))+IF(CZ$5&lt;&gt;$H308,0,IF(CZ308&gt;0,IF($J308=10,$E308*$I308/12*0,IF($J308=11,$E308*$I308/12*1,IF($J308=12,$E308*$I308/12*2,0)))))</f>
        <v>0</v>
      </c>
      <c r="DE308" s="413">
        <f>IF(AND(CZ308&lt;&gt;0,CZ$5=$H308),$I308*$E308-CZ308,IF(DE$5=$H308,$I308*$E308*(12-$J308+1)/12,0))</f>
        <v>0</v>
      </c>
      <c r="DF308" s="410">
        <f>IF($H308&lt;&gt;DJ$5,0,IF(DJ308&gt;0,IF($J308=1,$E308*$I308/12*3,IF($J308=2,$E308*$I308/12*2,IF($J308=3,$E308*$I308/12*1,0)))))+IF(DE$5&lt;&gt;$H308,0,IF(DE308&gt;0,IF($J308=1,$E308*$I308/12*0,IF($J308=2,$E308*$I308/12*1,IF($J308=3,$E308*$I308/12*2,IF($J308&gt;=4,$E308*$I308/12*3,0))))))</f>
        <v>0</v>
      </c>
      <c r="DG308" s="416">
        <f>IF($H308&lt;&gt;DJ$5,0,IF(DJ308&gt;0,IF(OR($J308=1,$J308=2,$J308=3,$J308=4),$E308*$I308/12*3,IF($J308=5,$E308*$I308/12*2,IF($J308=6,$E308*$I308/12*1,0)))))+IF(DE$5&lt;&gt;$H308,0,IF(DE308&gt;0,IF($J308=4,$E308*$I308/12*0,IF($J308=5,$E308*$I308/12*1,IF($J308=6,$E308*$I308/12*2,IF($J308&gt;=7,$E308*$I308/12*3,0))))))</f>
        <v>0</v>
      </c>
      <c r="DH308" s="416">
        <f>IF($H308&lt;&gt;DJ$5,0,IF(DJ308&gt;0,IF(OR($J308=1,$J308=2,$J308=3,$J308=4,$J308=5,$J308=6,$J308=7),$E308*$I308/12*3,IF($J308=8,$E308*$I308/12*2,IF($J308=9,$E308*$I308/12*1,0)))))+IF(DE$5&lt;&gt;$H308,0,IF(DE308&gt;0,IF($J308=7,$E308*$I308/12*0,IF($J308=8,$E308*$I308/12*1,IF($J308=9,$E308*$I308/12*2,IF($J308&gt;=10,$E308*$I308/12*3,0))))))</f>
        <v>0</v>
      </c>
      <c r="DI308" s="412">
        <f>IF($H308&lt;&gt;DJ$5,0,IF(DJ308&gt;0,IF(OR($J308=1,$J308=2,$J308=3,$J308=4,$J308=5,$J308=6,$J308=7,$J308=8,$J308=9,$J308=10),$E308*$I308/12*3,IF($J308=11,$E308*$I308/12*2,IF($J308=12,$E308*$I308/12*1,0)))))+IF(DE$5&lt;&gt;$H308,0,IF(DE308&gt;0,IF($J308=10,$E308*$I308/12*0,IF($J308=11,$E308*$I308/12*1,IF($J308=12,$E308*$I308/12*2,0)))))</f>
        <v>0</v>
      </c>
      <c r="DJ308" s="413">
        <f>IF(AND(DE308&lt;&gt;0,DE$5=$H308),$I308*$E308-DE308,IF(DJ$5=$H308,$I308*$E308*(12-$J308+1)/12,0))</f>
        <v>0</v>
      </c>
      <c r="DK308" s="410">
        <f>IF($H308&lt;&gt;DO$5,0,IF(DO308&gt;0,IF($J308=1,$E308*$I308/12*3,IF($J308=2,$E308*$I308/12*2,IF($J308=3,$E308*$I308/12*1,0)))))+IF(DJ$5&lt;&gt;$H308,0,IF(DJ308&gt;0,IF($J308=1,$E308*$I308/12*0,IF($J308=2,$E308*$I308/12*1,IF($J308=3,$E308*$I308/12*2,IF($J308&gt;=4,$E308*$I308/12*3,0))))))</f>
        <v>0</v>
      </c>
      <c r="DL308" s="416">
        <f>IF($H308&lt;&gt;DO$5,0,IF(DO308&gt;0,IF(OR($J308=1,$J308=2,$J308=3,$J308=4),$E308*$I308/12*3,IF($J308=5,$E308*$I308/12*2,IF($J308=6,$E308*$I308/12*1,0)))))+IF(DJ$5&lt;&gt;$H308,0,IF(DJ308&gt;0,IF($J308=4,$E308*$I308/12*0,IF($J308=5,$E308*$I308/12*1,IF($J308=6,$E308*$I308/12*2,IF($J308&gt;=7,$E308*$I308/12*3,0))))))</f>
        <v>0</v>
      </c>
      <c r="DM308" s="416">
        <f>IF($H308&lt;&gt;DO$5,0,IF(DO308&gt;0,IF(OR($J308=1,$J308=2,$J308=3,$J308=4,$J308=5,$J308=6,$J308=7),$E308*$I308/12*3,IF($J308=8,$E308*$I308/12*2,IF($J308=9,$E308*$I308/12*1,0)))))+IF(DJ$5&lt;&gt;$H308,0,IF(DJ308&gt;0,IF($J308=7,$E308*$I308/12*0,IF($J308=8,$E308*$I308/12*1,IF($J308=9,$E308*$I308/12*2,IF($J308&gt;=10,$E308*$I308/12*3,0))))))</f>
        <v>2.1875</v>
      </c>
      <c r="DN308" s="412">
        <f>IF($H308&lt;&gt;DO$5,0,IF(DO308&gt;0,IF(OR($J308=1,$J308=2,$J308=3,$J308=4,$J308=5,$J308=6,$J308=7,$J308=8,$J308=9,$J308=10),$E308*$I308/12*3,IF($J308=11,$E308*$I308/12*2,IF($J308=12,$E308*$I308/12*1,0)))))+IF(DJ$5&lt;&gt;$H308,0,IF(DJ308&gt;0,IF($J308=10,$E308*$I308/12*0,IF($J308=11,$E308*$I308/12*1,IF($J308=12,$E308*$I308/12*2,0)))))</f>
        <v>2.1875</v>
      </c>
      <c r="DO308" s="413">
        <f>IF(AND(DJ308&lt;&gt;0,DJ$5=$H308),$I308*$E308-DJ308,IF(DO$5=$H308,$I308*$E308*(12-$J308+1)/12,0))</f>
        <v>4.375</v>
      </c>
      <c r="DP308" s="410">
        <f>IF($H308&lt;&gt;DT$5,0,IF(DT308&gt;0,IF($J308=1,$E308*$I308/12*3,IF($J308=2,$E308*$I308/12*2,IF($J308=3,$E308*$I308/12*1,0)))))+IF(DO$5&lt;&gt;$H308,0,IF(DO308&gt;0,IF($J308=1,$E308*$I308/12*0,IF($J308=2,$E308*$I308/12*1,IF($J308=3,$E308*$I308/12*2,IF($J308&gt;=4,$E308*$I308/12*3,0))))))</f>
        <v>2.1875</v>
      </c>
      <c r="DQ308" s="416">
        <f>IF($H308&lt;&gt;DT$5,0,IF(DT308&gt;0,IF(OR($J308=1,$J308=2,$J308=3,$J308=4),$E308*$I308/12*3,IF($J308=5,$E308*$I308/12*2,IF($J308=6,$E308*$I308/12*1,0)))))+IF(DO$5&lt;&gt;$H308,0,IF(DO308&gt;0,IF($J308=4,$E308*$I308/12*0,IF($J308=5,$E308*$I308/12*1,IF($J308=6,$E308*$I308/12*2,IF($J308&gt;=7,$E308*$I308/12*3,0))))))</f>
        <v>2.1875</v>
      </c>
      <c r="DR308" s="416">
        <f>IF($H308&lt;&gt;DT$5,0,IF(DT308&gt;0,IF(OR($J308=1,$J308=2,$J308=3,$J308=4,$J308=5,$J308=6,$J308=7),$E308*$I308/12*3,IF($J308=8,$E308*$I308/12*2,IF($J308=9,$E308*$I308/12*1,0)))))+IF(DO$5&lt;&gt;$H308,0,IF(DO308&gt;0,IF($J308=7,$E308*$I308/12*0,IF($J308=8,$E308*$I308/12*1,IF($J308=9,$E308*$I308/12*2,IF($J308&gt;=10,$E308*$I308/12*3,0))))))</f>
        <v>0</v>
      </c>
      <c r="DS308" s="412">
        <f>IF($H308&lt;&gt;DT$5,0,IF(DT308&gt;0,IF(OR($J308=1,$J308=2,$J308=3,$J308=4,$J308=5,$J308=6,$J308=7,$J308=8,$J308=9,$J308=10),$E308*$I308/12*3,IF($J308=11,$E308*$I308/12*2,IF($J308=12,$E308*$I308/12*1,0)))))+IF(DO$5&lt;&gt;$H308,0,IF(DO308&gt;0,IF($J308=10,$E308*$I308/12*0,IF($J308=11,$E308*$I308/12*1,IF($J308=12,$E308*$I308/12*2,0)))))</f>
        <v>0</v>
      </c>
      <c r="DT308" s="413">
        <f>IF(AND(DO308&lt;&gt;0,DO$5=$H308),$I308*$E308-DO308,IF(DT$5=$H308,$I308*$E308*(12-$J308+1)/12,0))</f>
        <v>4.375</v>
      </c>
    </row>
    <row r="309" spans="1:124" ht="12.75" customHeight="1">
      <c r="C309" s="1891" t="s">
        <v>1288</v>
      </c>
      <c r="D309" s="1891"/>
      <c r="E309" s="1887">
        <f>+'Generation &amp; Marketing'!BQ328</f>
        <v>175</v>
      </c>
      <c r="F309" s="1895"/>
      <c r="G309" s="1895"/>
      <c r="H309" s="16">
        <v>2021</v>
      </c>
      <c r="I309" s="1889">
        <f>+'Utility Detail'!BQ13</f>
        <v>0.05</v>
      </c>
      <c r="J309" s="617">
        <v>7</v>
      </c>
      <c r="K309" s="402"/>
      <c r="L309" s="407">
        <f>IF(L$5=$H309,$E309,0)</f>
        <v>0</v>
      </c>
      <c r="M309" s="404">
        <f>IF(Q309=0,0,IF(Q309&gt;0,IF($J309=3,Q309,IF($J309=2,Q309,IF($J309=1,Q309,0)))))</f>
        <v>0</v>
      </c>
      <c r="N309" s="414">
        <f>IF(Q309=0,0,IF(Q309&gt;0,IF($J309=6,Q309,IF($J309=5,Q309,IF($J309=4,Q309,0)))))</f>
        <v>0</v>
      </c>
      <c r="O309" s="414">
        <f>IF(Q309=0,0,IF(Q309&gt;0,IF($J309=9,Q309,IF($J309=8,Q309,IF($J309=7,Q309,0)))))</f>
        <v>0</v>
      </c>
      <c r="P309" s="406">
        <f>IF(Q309=0,0,IF(Q309&gt;0,IF($J309=12,Q309,IF($J309=11,Q309,IF($J309=10,Q309,0)))))</f>
        <v>0</v>
      </c>
      <c r="Q309" s="407">
        <f>IF(Q$5=$H309,$E309,0)</f>
        <v>0</v>
      </c>
      <c r="R309" s="404">
        <f>IF(V309=0,0,IF(V309&gt;0,IF($J309=3,V309,IF($J309=2,V309,IF($J309=1,V309,0)))))</f>
        <v>0</v>
      </c>
      <c r="S309" s="414">
        <f>IF(V309=0,0,IF(V309&gt;0,IF($J309=6,V309,IF($J309=5,V309,IF($J309=4,V309,0)))))</f>
        <v>0</v>
      </c>
      <c r="T309" s="414">
        <f>IF(V309=0,0,IF(V309&gt;0,IF($J309=9,V309,IF($J309=8,V309,IF($J309=7,V309,0)))))</f>
        <v>0</v>
      </c>
      <c r="U309" s="406">
        <f>IF(V309=0,0,IF(V309&gt;0,IF($J309=12,V309,IF($J309=11,V309,IF($J309=10,V309,0)))))</f>
        <v>0</v>
      </c>
      <c r="V309" s="407">
        <f>IF(V$5=$H309,$E309,0)</f>
        <v>0</v>
      </c>
      <c r="W309" s="404">
        <f>IF(AA309=0,0,IF(AA309&gt;0,IF($J309=3,AA309,IF($J309=2,AA309,IF($J309=1,AA309,0)))))</f>
        <v>0</v>
      </c>
      <c r="X309" s="414">
        <f>IF(AA309=0,0,IF(AA309&gt;0,IF($J309=6,AA309,IF($J309=5,AA309,IF($J309=4,AA309,0)))))</f>
        <v>0</v>
      </c>
      <c r="Y309" s="414">
        <f>IF(AA309=0,0,IF(AA309&gt;0,IF($J309=9,AA309,IF($J309=8,AA309,IF($J309=7,AA309,0)))))</f>
        <v>0</v>
      </c>
      <c r="Z309" s="406">
        <f>IF(AA309=0,0,IF(AA309&gt;0,IF($J309=12,AA309,IF($J309=11,AA309,IF($J309=10,AA309,0)))))</f>
        <v>0</v>
      </c>
      <c r="AA309" s="407">
        <f>IF(AA$5=$H309,$E309,0)</f>
        <v>0</v>
      </c>
      <c r="AB309" s="404">
        <f>IF(AF309=0,0,IF(AF309&gt;0,IF($J309=3,AF309,IF($J309=2,AF309,IF($J309=1,AF309,0)))))</f>
        <v>0</v>
      </c>
      <c r="AC309" s="414">
        <f>IF(AF309=0,0,IF(AF309&gt;0,IF($J309=6,AF309,IF($J309=5,AF309,IF($J309=4,AF309,0)))))</f>
        <v>0</v>
      </c>
      <c r="AD309" s="414">
        <f>IF(AF309=0,0,IF(AF309&gt;0,IF($J309=9,AF309,IF($J309=8,AF309,IF($J309=7,AF309,0)))))</f>
        <v>0</v>
      </c>
      <c r="AE309" s="406">
        <f>IF(AF309=0,0,IF(AF309&gt;0,IF($J309=12,AF309,IF($J309=11,AF309,IF($J309=10,AF309,0)))))</f>
        <v>0</v>
      </c>
      <c r="AF309" s="407">
        <f>IF(AF$5=$H309,$E309,0)</f>
        <v>0</v>
      </c>
      <c r="AG309" s="404">
        <f>IF(AK309=0,0,IF(AK309&gt;0,IF($J309=3,AK309,IF($J309=2,AK309,IF($J309=1,AK309,0)))))</f>
        <v>0</v>
      </c>
      <c r="AH309" s="414">
        <f>IF(AK309=0,0,IF(AK309&gt;0,IF($J309=6,AK309,IF($J309=5,AK309,IF($J309=4,AK309,0)))))</f>
        <v>0</v>
      </c>
      <c r="AI309" s="414">
        <f>IF(AK309=0,0,IF(AK309&gt;0,IF($J309=9,AK309,IF($J309=8,AK309,IF($J309=7,AK309,0)))))</f>
        <v>0</v>
      </c>
      <c r="AJ309" s="406">
        <f>IF(AK309=0,0,IF(AK309&gt;0,IF($J309=12,AK309,IF($J309=11,AK309,IF($J309=10,AK309,0)))))</f>
        <v>0</v>
      </c>
      <c r="AK309" s="407">
        <f>IF(AK$5=$H309,$E309,0)</f>
        <v>0</v>
      </c>
      <c r="AL309" s="404">
        <f>IF(AP309=0,0,IF(AP309&gt;0,IF($J309=3,AP309,IF($J309=2,AP309,IF($J309=1,AP309,0)))))</f>
        <v>0</v>
      </c>
      <c r="AM309" s="414">
        <f>IF(AP309=0,0,IF(AP309&gt;0,IF($J309=6,AP309,IF($J309=5,AP309,IF($J309=4,AP309,0)))))</f>
        <v>0</v>
      </c>
      <c r="AN309" s="414">
        <f>IF(AP309=0,0,IF(AP309&gt;0,IF($J309=9,AP309,IF($J309=8,AP309,IF($J309=7,AP309,0)))))</f>
        <v>0</v>
      </c>
      <c r="AO309" s="406">
        <f>IF(AP309=0,0,IF(AP309&gt;0,IF($J309=12,AP309,IF($J309=11,AP309,IF($J309=10,AP309,0)))))</f>
        <v>0</v>
      </c>
      <c r="AP309" s="407">
        <f>IF(AP$5=$H309,$E309,0)</f>
        <v>0</v>
      </c>
      <c r="AQ309" s="404">
        <f>IF(AU309=0,0,IF(AU309&gt;0,IF($J309=3,AU309,IF($J309=2,AU309,IF($J309=1,AU309,0)))))</f>
        <v>0</v>
      </c>
      <c r="AR309" s="414">
        <f>IF(AU309=0,0,IF(AU309&gt;0,IF($J309=6,AU309,IF($J309=5,AU309,IF($J309=4,AU309,0)))))</f>
        <v>0</v>
      </c>
      <c r="AS309" s="414">
        <f>IF(AU309=0,0,IF(AU309&gt;0,IF($J309=9,AU309,IF($J309=8,AU309,IF($J309=7,AU309,0)))))</f>
        <v>0</v>
      </c>
      <c r="AT309" s="406">
        <f>IF(AU309=0,0,IF(AU309&gt;0,IF($J309=12,AU309,IF($J309=11,AU309,IF($J309=10,AU309,0)))))</f>
        <v>0</v>
      </c>
      <c r="AU309" s="407">
        <f>IF(AU$5=$H309,$E309,0)</f>
        <v>0</v>
      </c>
      <c r="AV309" s="404">
        <f>IF(AZ309=0,0,IF(AZ309&gt;0,IF($J309=3,AZ309,IF($J309=2,AZ309,IF($J309=1,AZ309,0)))))</f>
        <v>0</v>
      </c>
      <c r="AW309" s="414">
        <f>IF(AZ309=0,0,IF(AZ309&gt;0,IF($J309=6,AZ309,IF($J309=5,AZ309,IF($J309=4,AZ309,0)))))</f>
        <v>0</v>
      </c>
      <c r="AX309" s="414">
        <f>IF(AZ309=0,0,IF(AZ309&gt;0,IF($J309=9,AZ309,IF($J309=8,AZ309,IF($J309=7,AZ309,0)))))</f>
        <v>0</v>
      </c>
      <c r="AY309" s="406">
        <f>IF(AZ309=0,0,IF(AZ309&gt;0,IF($J309=12,AZ309,IF($J309=11,AZ309,IF($J309=10,AZ309,0)))))</f>
        <v>0</v>
      </c>
      <c r="AZ309" s="407">
        <f>IF(AZ$5=$H309,$E309,0)</f>
        <v>0</v>
      </c>
      <c r="BA309" s="404">
        <f>IF(BE309=0,0,IF(BE309&gt;0,IF($J309=3,BE309,IF($J309=2,BE309,IF($J309=1,BE309,0)))))</f>
        <v>0</v>
      </c>
      <c r="BB309" s="414">
        <f>IF(BE309=0,0,IF(BE309&gt;0,IF($J309=6,BE309,IF($J309=5,BE309,IF($J309=4,BE309,0)))))</f>
        <v>0</v>
      </c>
      <c r="BC309" s="414">
        <f>IF(BE309=0,0,IF(BE309&gt;0,IF($J309=9,BE309,IF($J309=8,BE309,IF($J309=7,BE309,0)))))</f>
        <v>0</v>
      </c>
      <c r="BD309" s="406">
        <f>IF(BE309=0,0,IF(BE309&gt;0,IF($J309=12,BE309,IF($J309=11,BE309,IF($J309=10,BE309,0)))))</f>
        <v>0</v>
      </c>
      <c r="BE309" s="407">
        <f>IF(BE$5=$H309,$E309,0)</f>
        <v>0</v>
      </c>
      <c r="BF309" s="404">
        <f>IF(BJ309=0,0,IF(BJ309&gt;0,IF($J309=3,BJ309,IF($J309=2,BJ309,IF($J309=1,BJ309,0)))))</f>
        <v>0</v>
      </c>
      <c r="BG309" s="414">
        <f>IF(BJ309=0,0,IF(BJ309&gt;0,IF($J309=6,BJ309,IF($J309=5,BJ309,IF($J309=4,BJ309,0)))))</f>
        <v>0</v>
      </c>
      <c r="BH309" s="414">
        <f>IF(BJ309=0,0,IF(BJ309&gt;0,IF($J309=9,BJ309,IF($J309=8,BJ309,IF($J309=7,BJ309,0)))))</f>
        <v>0</v>
      </c>
      <c r="BI309" s="406">
        <f>IF(BJ309=0,0,IF(BJ309&gt;0,IF($J309=12,BJ309,IF($J309=11,BJ309,IF($J309=10,BJ309,0)))))</f>
        <v>0</v>
      </c>
      <c r="BJ309" s="407">
        <f>IF(BJ$5=$H309,$E309,0)</f>
        <v>0</v>
      </c>
      <c r="BK309" s="404">
        <f>IF(BO309=0,0,IF(BO309&gt;0,IF($J309=3,BO309,IF($J309=2,BO309,IF($J309=1,BO309,0)))))</f>
        <v>0</v>
      </c>
      <c r="BL309" s="414">
        <f>IF(BO309=0,0,IF(BO309&gt;0,IF($J309=6,BO309,IF($J309=5,BO309,IF($J309=4,BO309,0)))))</f>
        <v>0</v>
      </c>
      <c r="BM309" s="414">
        <f>IF(BO309=0,0,IF(BO309&gt;0,IF($J309=9,BO309,IF($J309=8,BO309,IF($J309=7,BO309,0)))))</f>
        <v>175</v>
      </c>
      <c r="BN309" s="406">
        <f>IF(BO309=0,0,IF(BO309&gt;0,IF($J309=12,BO309,IF($J309=11,BO309,IF($J309=10,BO309,0)))))</f>
        <v>0</v>
      </c>
      <c r="BO309" s="407">
        <f>IF(BO$5=$H309,$E309,0)</f>
        <v>175</v>
      </c>
      <c r="BP309" s="447"/>
      <c r="BQ309" s="413">
        <f>IF(AND(AH309&lt;&gt;0,AH$5=$H309),$I309*$E309-AH309,IF(BQ$5=$H309,$I309*$E309*(12-$J309+1)/12,0))</f>
        <v>0</v>
      </c>
      <c r="BR309" s="410">
        <f>IF($H309&lt;&gt;BV$5,0,IF(BV309&gt;0,IF($J309=1,$E309*$I309/12*3,IF($J309=2,$E309*$I309/12*2,IF($J309=3,$E309*$I309/12*1,0)))))+IF(BQ$5&lt;&gt;$H309,0,IF(BQ309&gt;0,IF($J309=1,$E309*$I309/12*0,IF($J309=2,$E309*$I309/12*1,IF($J309=3,$E309*$I309/12*2,IF($J309&gt;=4,$E309*$I309/12*3,0))))))</f>
        <v>0</v>
      </c>
      <c r="BS309" s="416">
        <f>IF($H309&lt;&gt;BV$5,0,IF(BV309&gt;0,IF(OR($J309=1,$J309=2,$J309=3,$J309=4),$E309*$I309/12*3,IF($J309=5,$E309*$I309/12*2,IF($J309=6,$E309*$I309/12*1,0)))))+IF(BQ$5&lt;&gt;$H309,0,IF(BQ309&gt;0,IF($J309=4,$E309*$I309/12*0,IF($J309=5,$E309*$I309/12*1,IF($J309=6,$E309*$I309/12*2,IF($J309&gt;=7,$E309*$I309/12*3,0))))))</f>
        <v>0</v>
      </c>
      <c r="BT309" s="416">
        <f>IF($H309&lt;&gt;BV$5,0,IF(BV309&gt;0,IF(OR($J309=1,$J309=2,$J309=3,$J309=4,$J309=5,$J309=6,$J309=7),$E309*$I309/12*3,IF($J309=8,$E309*$I309/12*2,IF($J309=9,$E309*$I309/12*1,0)))))+IF(BQ$5&lt;&gt;$H309,0,IF(BQ309&gt;0,IF($J309=7,$E309*$I309/12*0,IF($J309=8,$E309*$I309/12*1,IF($J309=9,$E309*$I309/12*2,IF($J309&gt;=10,$E309*$I309/12*3,0))))))</f>
        <v>0</v>
      </c>
      <c r="BU309" s="412">
        <f>IF($H309&lt;&gt;BV$5,0,IF(BV309&gt;0,IF(OR($J309=1,$J309=2,$J309=3,$J309=4,$J309=5,$J309=6,$J309=7,$J309=8,$J309=9,$J309=10),$E309*$I309/12*3,IF($J309=11,$E309*$I309/12*2,IF($J309=12,$E309*$I309/12*1,0)))))+IF(BQ$5&lt;&gt;$H309,0,IF(BQ309&gt;0,IF($J309=10,$E309*$I309/12*0,IF($J309=11,$E309*$I309/12*1,IF($J309=12,$E309*$I309/12*2,0)))))</f>
        <v>0</v>
      </c>
      <c r="BV309" s="413">
        <f>IF(AND(BQ309&lt;&gt;0,BQ$5=$H309),$I309*$E309-BQ309,IF(BV$5=$H309,$I309*$E309*(12-$J309+1)/12,0))</f>
        <v>0</v>
      </c>
      <c r="BW309" s="410">
        <f>IF($H309&lt;&gt;CA$5,0,IF(CA309&gt;0,IF($J309=1,$E309*$I309/12*3,IF($J309=2,$E309*$I309/12*2,IF($J309=3,$E309*$I309/12*1,0)))))+IF(BV$5&lt;&gt;$H309,0,IF(BV309&gt;0,IF($J309=1,$E309*$I309/12*0,IF($J309=2,$E309*$I309/12*1,IF($J309=3,$E309*$I309/12*2,IF($J309&gt;=4,$E309*$I309/12*3,0))))))</f>
        <v>0</v>
      </c>
      <c r="BX309" s="416">
        <f>IF($H309&lt;&gt;CA$5,0,IF(CA309&gt;0,IF(OR($J309=1,$J309=2,$J309=3,$J309=4),$E309*$I309/12*3,IF($J309=5,$E309*$I309/12*2,IF($J309=6,$E309*$I309/12*1,0)))))+IF(BV$5&lt;&gt;$H309,0,IF(BV309&gt;0,IF($J309=4,$E309*$I309/12*0,IF($J309=5,$E309*$I309/12*1,IF($J309=6,$E309*$I309/12*2,IF($J309&gt;=7,$E309*$I309/12*3,0))))))</f>
        <v>0</v>
      </c>
      <c r="BY309" s="416">
        <f>IF($H309&lt;&gt;CA$5,0,IF(CA309&gt;0,IF(OR($J309=1,$J309=2,$J309=3,$J309=4,$J309=5,$J309=6,$J309=7),$E309*$I309/12*3,IF($J309=8,$E309*$I309/12*2,IF($J309=9,$E309*$I309/12*1,0)))))+IF(BV$5&lt;&gt;$H309,0,IF(BV309&gt;0,IF($J309=7,$E309*$I309/12*0,IF($J309=8,$E309*$I309/12*1,IF($J309=9,$E309*$I309/12*2,IF($J309&gt;=10,$E309*$I309/12*3,0))))))</f>
        <v>0</v>
      </c>
      <c r="BZ309" s="412">
        <f>IF($H309&lt;&gt;CA$5,0,IF(CA309&gt;0,IF(OR($J309=1,$J309=2,$J309=3,$J309=4,$J309=5,$J309=6,$J309=7,$J309=8,$J309=9,$J309=10),$E309*$I309/12*3,IF($J309=11,$E309*$I309/12*2,IF($J309=12,$E309*$I309/12*1,0)))))+IF(BV$5&lt;&gt;$H309,0,IF(BV309&gt;0,IF($J309=10,$E309*$I309/12*0,IF($J309=11,$E309*$I309/12*1,IF($J309=12,$E309*$I309/12*2,0)))))</f>
        <v>0</v>
      </c>
      <c r="CA309" s="413">
        <f>IF(AND(BV309&lt;&gt;0,BV$5=$H309),$I309*$E309-BV309,IF(CA$5=$H309,$I309*$E309*(12-$J309+1)/12,0))</f>
        <v>0</v>
      </c>
      <c r="CB309" s="410">
        <f>IF($H309&lt;&gt;CF$5,0,IF(CF309&gt;0,IF($J309=1,$E309*$I309/12*3,IF($J309=2,$E309*$I309/12*2,IF($J309=3,$E309*$I309/12*1,0)))))+IF(CA$5&lt;&gt;$H309,0,IF(CA309&gt;0,IF($J309=1,$E309*$I309/12*0,IF($J309=2,$E309*$I309/12*1,IF($J309=3,$E309*$I309/12*2,IF($J309&gt;=4,$E309*$I309/12*3,0))))))</f>
        <v>0</v>
      </c>
      <c r="CC309" s="416">
        <f>IF($H309&lt;&gt;CF$5,0,IF(CF309&gt;0,IF(OR($J309=1,$J309=2,$J309=3,$J309=4),$E309*$I309/12*3,IF($J309=5,$E309*$I309/12*2,IF($J309=6,$E309*$I309/12*1,0)))))+IF(CA$5&lt;&gt;$H309,0,IF(CA309&gt;0,IF($J309=4,$E309*$I309/12*0,IF($J309=5,$E309*$I309/12*1,IF($J309=6,$E309*$I309/12*2,IF($J309&gt;=7,$E309*$I309/12*3,0))))))</f>
        <v>0</v>
      </c>
      <c r="CD309" s="416">
        <f>IF($H309&lt;&gt;CF$5,0,IF(CF309&gt;0,IF(OR($J309=1,$J309=2,$J309=3,$J309=4,$J309=5,$J309=6,$J309=7),$E309*$I309/12*3,IF($J309=8,$E309*$I309/12*2,IF($J309=9,$E309*$I309/12*1,0)))))+IF(CA$5&lt;&gt;$H309,0,IF(CA309&gt;0,IF($J309=7,$E309*$I309/12*0,IF($J309=8,$E309*$I309/12*1,IF($J309=9,$E309*$I309/12*2,IF($J309&gt;=10,$E309*$I309/12*3,0))))))</f>
        <v>0</v>
      </c>
      <c r="CE309" s="412">
        <f>IF($H309&lt;&gt;CF$5,0,IF(CF309&gt;0,IF(OR($J309=1,$J309=2,$J309=3,$J309=4,$J309=5,$J309=6,$J309=7,$J309=8,$J309=9,$J309=10),$E309*$I309/12*3,IF($J309=11,$E309*$I309/12*2,IF($J309=12,$E309*$I309/12*1,0)))))+IF(CA$5&lt;&gt;$H309,0,IF(CA309&gt;0,IF($J309=10,$E309*$I309/12*0,IF($J309=11,$E309*$I309/12*1,IF($J309=12,$E309*$I309/12*2,0)))))</f>
        <v>0</v>
      </c>
      <c r="CF309" s="413">
        <f>IF(AND(CA309&lt;&gt;0,CA$5=$H309),$I309*$E309-CA309,IF(CF$5=$H309,$I309*$E309*(12-$J309+1)/12,0))</f>
        <v>0</v>
      </c>
      <c r="CG309" s="410">
        <f>IF($H309&lt;&gt;CK$5,0,IF(CK309&gt;0,IF($J309=1,$E309*$I309/12*3,IF($J309=2,$E309*$I309/12*2,IF($J309=3,$E309*$I309/12*1,0)))))+IF(CF$5&lt;&gt;$H309,0,IF(CF309&gt;0,IF($J309=1,$E309*$I309/12*0,IF($J309=2,$E309*$I309/12*1,IF($J309=3,$E309*$I309/12*2,IF($J309&gt;=4,$E309*$I309/12*3,0))))))</f>
        <v>0</v>
      </c>
      <c r="CH309" s="416">
        <f>IF($H309&lt;&gt;CK$5,0,IF(CK309&gt;0,IF(OR($J309=1,$J309=2,$J309=3,$J309=4),$E309*$I309/12*3,IF($J309=5,$E309*$I309/12*2,IF($J309=6,$E309*$I309/12*1,0)))))+IF(CF$5&lt;&gt;$H309,0,IF(CF309&gt;0,IF($J309=4,$E309*$I309/12*0,IF($J309=5,$E309*$I309/12*1,IF($J309=6,$E309*$I309/12*2,IF($J309&gt;=7,$E309*$I309/12*3,0))))))</f>
        <v>0</v>
      </c>
      <c r="CI309" s="416">
        <f>IF($H309&lt;&gt;CK$5,0,IF(CK309&gt;0,IF(OR($J309=1,$J309=2,$J309=3,$J309=4,$J309=5,$J309=6,$J309=7),$E309*$I309/12*3,IF($J309=8,$E309*$I309/12*2,IF($J309=9,$E309*$I309/12*1,0)))))+IF(CF$5&lt;&gt;$H309,0,IF(CF309&gt;0,IF($J309=7,$E309*$I309/12*0,IF($J309=8,$E309*$I309/12*1,IF($J309=9,$E309*$I309/12*2,IF($J309&gt;=10,$E309*$I309/12*3,0))))))</f>
        <v>0</v>
      </c>
      <c r="CJ309" s="412">
        <f>IF($H309&lt;&gt;CK$5,0,IF(CK309&gt;0,IF(OR($J309=1,$J309=2,$J309=3,$J309=4,$J309=5,$J309=6,$J309=7,$J309=8,$J309=9,$J309=10),$E309*$I309/12*3,IF($J309=11,$E309*$I309/12*2,IF($J309=12,$E309*$I309/12*1,0)))))+IF(CF$5&lt;&gt;$H309,0,IF(CF309&gt;0,IF($J309=10,$E309*$I309/12*0,IF($J309=11,$E309*$I309/12*1,IF($J309=12,$E309*$I309/12*2,0)))))</f>
        <v>0</v>
      </c>
      <c r="CK309" s="413">
        <f>IF(AND(CF309&lt;&gt;0,CF$5=$H309),$I309*$E309-CF309,IF(CK$5=$H309,$I309*$E309*(12-$J309+1)/12,0))</f>
        <v>0</v>
      </c>
      <c r="CL309" s="410">
        <f>IF($H309&lt;&gt;CP$5,0,IF(CP309&gt;0,IF($J309=1,$E309*$I309/12*3,IF($J309=2,$E309*$I309/12*2,IF($J309=3,$E309*$I309/12*1,0)))))+IF(CK$5&lt;&gt;$H309,0,IF(CK309&gt;0,IF($J309=1,$E309*$I309/12*0,IF($J309=2,$E309*$I309/12*1,IF($J309=3,$E309*$I309/12*2,IF($J309&gt;=4,$E309*$I309/12*3,0))))))</f>
        <v>0</v>
      </c>
      <c r="CM309" s="416">
        <f>IF($H309&lt;&gt;CP$5,0,IF(CP309&gt;0,IF(OR($J309=1,$J309=2,$J309=3,$J309=4),$E309*$I309/12*3,IF($J309=5,$E309*$I309/12*2,IF($J309=6,$E309*$I309/12*1,0)))))+IF(CK$5&lt;&gt;$H309,0,IF(CK309&gt;0,IF($J309=4,$E309*$I309/12*0,IF($J309=5,$E309*$I309/12*1,IF($J309=6,$E309*$I309/12*2,IF($J309&gt;=7,$E309*$I309/12*3,0))))))</f>
        <v>0</v>
      </c>
      <c r="CN309" s="416">
        <f>IF($H309&lt;&gt;CP$5,0,IF(CP309&gt;0,IF(OR($J309=1,$J309=2,$J309=3,$J309=4,$J309=5,$J309=6,$J309=7),$E309*$I309/12*3,IF($J309=8,$E309*$I309/12*2,IF($J309=9,$E309*$I309/12*1,0)))))+IF(CK$5&lt;&gt;$H309,0,IF(CK309&gt;0,IF($J309=7,$E309*$I309/12*0,IF($J309=8,$E309*$I309/12*1,IF($J309=9,$E309*$I309/12*2,IF($J309&gt;=10,$E309*$I309/12*3,0))))))</f>
        <v>0</v>
      </c>
      <c r="CO309" s="412">
        <f>IF($H309&lt;&gt;CP$5,0,IF(CP309&gt;0,IF(OR($J309=1,$J309=2,$J309=3,$J309=4,$J309=5,$J309=6,$J309=7,$J309=8,$J309=9,$J309=10),$E309*$I309/12*3,IF($J309=11,$E309*$I309/12*2,IF($J309=12,$E309*$I309/12*1,0)))))+IF(CK$5&lt;&gt;$H309,0,IF(CK309&gt;0,IF($J309=10,$E309*$I309/12*0,IF($J309=11,$E309*$I309/12*1,IF($J309=12,$E309*$I309/12*2,0)))))</f>
        <v>0</v>
      </c>
      <c r="CP309" s="413">
        <f>IF(AND(CK309&lt;&gt;0,CK$5=$H309),$I309*$E309-CK309,IF(CP$5=$H309,$I309*$E309*(12-$J309+1)/12,0))</f>
        <v>0</v>
      </c>
      <c r="CQ309" s="410">
        <f>IF($H309&lt;&gt;CU$5,0,IF(CU309&gt;0,IF($J309=1,$E309*$I309/12*3,IF($J309=2,$E309*$I309/12*2,IF($J309=3,$E309*$I309/12*1,0)))))+IF(CP$5&lt;&gt;$H309,0,IF(CP309&gt;0,IF($J309=1,$E309*$I309/12*0,IF($J309=2,$E309*$I309/12*1,IF($J309=3,$E309*$I309/12*2,IF($J309&gt;=4,$E309*$I309/12*3,0))))))</f>
        <v>0</v>
      </c>
      <c r="CR309" s="416">
        <f>IF($H309&lt;&gt;CU$5,0,IF(CU309&gt;0,IF(OR($J309=1,$J309=2,$J309=3,$J309=4),$E309*$I309/12*3,IF($J309=5,$E309*$I309/12*2,IF($J309=6,$E309*$I309/12*1,0)))))+IF(CP$5&lt;&gt;$H309,0,IF(CP309&gt;0,IF($J309=4,$E309*$I309/12*0,IF($J309=5,$E309*$I309/12*1,IF($J309=6,$E309*$I309/12*2,IF($J309&gt;=7,$E309*$I309/12*3,0))))))</f>
        <v>0</v>
      </c>
      <c r="CS309" s="416">
        <f>IF($H309&lt;&gt;CU$5,0,IF(CU309&gt;0,IF(OR($J309=1,$J309=2,$J309=3,$J309=4,$J309=5,$J309=6,$J309=7),$E309*$I309/12*3,IF($J309=8,$E309*$I309/12*2,IF($J309=9,$E309*$I309/12*1,0)))))+IF(CP$5&lt;&gt;$H309,0,IF(CP309&gt;0,IF($J309=7,$E309*$I309/12*0,IF($J309=8,$E309*$I309/12*1,IF($J309=9,$E309*$I309/12*2,IF($J309&gt;=10,$E309*$I309/12*3,0))))))</f>
        <v>0</v>
      </c>
      <c r="CT309" s="412">
        <f>IF($H309&lt;&gt;CU$5,0,IF(CU309&gt;0,IF(OR($J309=1,$J309=2,$J309=3,$J309=4,$J309=5,$J309=6,$J309=7,$J309=8,$J309=9,$J309=10),$E309*$I309/12*3,IF($J309=11,$E309*$I309/12*2,IF($J309=12,$E309*$I309/12*1,0)))))+IF(CP$5&lt;&gt;$H309,0,IF(CP309&gt;0,IF($J309=10,$E309*$I309/12*0,IF($J309=11,$E309*$I309/12*1,IF($J309=12,$E309*$I309/12*2,0)))))</f>
        <v>0</v>
      </c>
      <c r="CU309" s="413">
        <f>IF(AND(CP309&lt;&gt;0,CP$5=$H309),$I309*$E309-CP309,IF(CU$5=$H309,$I309*$E309*(12-$J309+1)/12,0))</f>
        <v>0</v>
      </c>
      <c r="CV309" s="410">
        <f>IF($H309&lt;&gt;CZ$5,0,IF(CZ309&gt;0,IF($J309=1,$E309*$I309/12*3,IF($J309=2,$E309*$I309/12*2,IF($J309=3,$E309*$I309/12*1,0)))))+IF(CU$5&lt;&gt;$H309,0,IF(CU309&gt;0,IF($J309=1,$E309*$I309/12*0,IF($J309=2,$E309*$I309/12*1,IF($J309=3,$E309*$I309/12*2,IF($J309&gt;=4,$E309*$I309/12*3,0))))))</f>
        <v>0</v>
      </c>
      <c r="CW309" s="416">
        <f>IF($H309&lt;&gt;CZ$5,0,IF(CZ309&gt;0,IF(OR($J309=1,$J309=2,$J309=3,$J309=4),$E309*$I309/12*3,IF($J309=5,$E309*$I309/12*2,IF($J309=6,$E309*$I309/12*1,0)))))+IF(CU$5&lt;&gt;$H309,0,IF(CU309&gt;0,IF($J309=4,$E309*$I309/12*0,IF($J309=5,$E309*$I309/12*1,IF($J309=6,$E309*$I309/12*2,IF($J309&gt;=7,$E309*$I309/12*3,0))))))</f>
        <v>0</v>
      </c>
      <c r="CX309" s="416">
        <f>IF($H309&lt;&gt;CZ$5,0,IF(CZ309&gt;0,IF(OR($J309=1,$J309=2,$J309=3,$J309=4,$J309=5,$J309=6,$J309=7),$E309*$I309/12*3,IF($J309=8,$E309*$I309/12*2,IF($J309=9,$E309*$I309/12*1,0)))))+IF(CU$5&lt;&gt;$H309,0,IF(CU309&gt;0,IF($J309=7,$E309*$I309/12*0,IF($J309=8,$E309*$I309/12*1,IF($J309=9,$E309*$I309/12*2,IF($J309&gt;=10,$E309*$I309/12*3,0))))))</f>
        <v>0</v>
      </c>
      <c r="CY309" s="412">
        <f>IF($H309&lt;&gt;CZ$5,0,IF(CZ309&gt;0,IF(OR($J309=1,$J309=2,$J309=3,$J309=4,$J309=5,$J309=6,$J309=7,$J309=8,$J309=9,$J309=10),$E309*$I309/12*3,IF($J309=11,$E309*$I309/12*2,IF($J309=12,$E309*$I309/12*1,0)))))+IF(CU$5&lt;&gt;$H309,0,IF(CU309&gt;0,IF($J309=10,$E309*$I309/12*0,IF($J309=11,$E309*$I309/12*1,IF($J309=12,$E309*$I309/12*2,0)))))</f>
        <v>0</v>
      </c>
      <c r="CZ309" s="413">
        <f>IF(AND(CU309&lt;&gt;0,CU$5=$H309),$I309*$E309-CU309,IF(CZ$5=$H309,$I309*$E309*(12-$J309+1)/12,0))</f>
        <v>0</v>
      </c>
      <c r="DA309" s="410">
        <f>IF($H309&lt;&gt;DE$5,0,IF(DE309&gt;0,IF($J309=1,$E309*$I309/12*3,IF($J309=2,$E309*$I309/12*2,IF($J309=3,$E309*$I309/12*1,0)))))+IF(CZ$5&lt;&gt;$H309,0,IF(CZ309&gt;0,IF($J309=1,$E309*$I309/12*0,IF($J309=2,$E309*$I309/12*1,IF($J309=3,$E309*$I309/12*2,IF($J309&gt;=4,$E309*$I309/12*3,0))))))</f>
        <v>0</v>
      </c>
      <c r="DB309" s="416">
        <f>IF($H309&lt;&gt;DE$5,0,IF(DE309&gt;0,IF(OR($J309=1,$J309=2,$J309=3,$J309=4),$E309*$I309/12*3,IF($J309=5,$E309*$I309/12*2,IF($J309=6,$E309*$I309/12*1,0)))))+IF(CZ$5&lt;&gt;$H309,0,IF(CZ309&gt;0,IF($J309=4,$E309*$I309/12*0,IF($J309=5,$E309*$I309/12*1,IF($J309=6,$E309*$I309/12*2,IF($J309&gt;=7,$E309*$I309/12*3,0))))))</f>
        <v>0</v>
      </c>
      <c r="DC309" s="416">
        <f>IF($H309&lt;&gt;DE$5,0,IF(DE309&gt;0,IF(OR($J309=1,$J309=2,$J309=3,$J309=4,$J309=5,$J309=6,$J309=7),$E309*$I309/12*3,IF($J309=8,$E309*$I309/12*2,IF($J309=9,$E309*$I309/12*1,0)))))+IF(CZ$5&lt;&gt;$H309,0,IF(CZ309&gt;0,IF($J309=7,$E309*$I309/12*0,IF($J309=8,$E309*$I309/12*1,IF($J309=9,$E309*$I309/12*2,IF($J309&gt;=10,$E309*$I309/12*3,0))))))</f>
        <v>0</v>
      </c>
      <c r="DD309" s="412">
        <f>IF($H309&lt;&gt;DE$5,0,IF(DE309&gt;0,IF(OR($J309=1,$J309=2,$J309=3,$J309=4,$J309=5,$J309=6,$J309=7,$J309=8,$J309=9,$J309=10),$E309*$I309/12*3,IF($J309=11,$E309*$I309/12*2,IF($J309=12,$E309*$I309/12*1,0)))))+IF(CZ$5&lt;&gt;$H309,0,IF(CZ309&gt;0,IF($J309=10,$E309*$I309/12*0,IF($J309=11,$E309*$I309/12*1,IF($J309=12,$E309*$I309/12*2,0)))))</f>
        <v>0</v>
      </c>
      <c r="DE309" s="413">
        <f>IF(AND(CZ309&lt;&gt;0,CZ$5=$H309),$I309*$E309-CZ309,IF(DE$5=$H309,$I309*$E309*(12-$J309+1)/12,0))</f>
        <v>0</v>
      </c>
      <c r="DF309" s="410">
        <f>IF($H309&lt;&gt;DJ$5,0,IF(DJ309&gt;0,IF($J309=1,$E309*$I309/12*3,IF($J309=2,$E309*$I309/12*2,IF($J309=3,$E309*$I309/12*1,0)))))+IF(DE$5&lt;&gt;$H309,0,IF(DE309&gt;0,IF($J309=1,$E309*$I309/12*0,IF($J309=2,$E309*$I309/12*1,IF($J309=3,$E309*$I309/12*2,IF($J309&gt;=4,$E309*$I309/12*3,0))))))</f>
        <v>0</v>
      </c>
      <c r="DG309" s="416">
        <f>IF($H309&lt;&gt;DJ$5,0,IF(DJ309&gt;0,IF(OR($J309=1,$J309=2,$J309=3,$J309=4),$E309*$I309/12*3,IF($J309=5,$E309*$I309/12*2,IF($J309=6,$E309*$I309/12*1,0)))))+IF(DE$5&lt;&gt;$H309,0,IF(DE309&gt;0,IF($J309=4,$E309*$I309/12*0,IF($J309=5,$E309*$I309/12*1,IF($J309=6,$E309*$I309/12*2,IF($J309&gt;=7,$E309*$I309/12*3,0))))))</f>
        <v>0</v>
      </c>
      <c r="DH309" s="416">
        <f>IF($H309&lt;&gt;DJ$5,0,IF(DJ309&gt;0,IF(OR($J309=1,$J309=2,$J309=3,$J309=4,$J309=5,$J309=6,$J309=7),$E309*$I309/12*3,IF($J309=8,$E309*$I309/12*2,IF($J309=9,$E309*$I309/12*1,0)))))+IF(DE$5&lt;&gt;$H309,0,IF(DE309&gt;0,IF($J309=7,$E309*$I309/12*0,IF($J309=8,$E309*$I309/12*1,IF($J309=9,$E309*$I309/12*2,IF($J309&gt;=10,$E309*$I309/12*3,0))))))</f>
        <v>0</v>
      </c>
      <c r="DI309" s="412">
        <f>IF($H309&lt;&gt;DJ$5,0,IF(DJ309&gt;0,IF(OR($J309=1,$J309=2,$J309=3,$J309=4,$J309=5,$J309=6,$J309=7,$J309=8,$J309=9,$J309=10),$E309*$I309/12*3,IF($J309=11,$E309*$I309/12*2,IF($J309=12,$E309*$I309/12*1,0)))))+IF(DE$5&lt;&gt;$H309,0,IF(DE309&gt;0,IF($J309=10,$E309*$I309/12*0,IF($J309=11,$E309*$I309/12*1,IF($J309=12,$E309*$I309/12*2,0)))))</f>
        <v>0</v>
      </c>
      <c r="DJ309" s="413">
        <f>IF(AND(DE309&lt;&gt;0,DE$5=$H309),$I309*$E309-DE309,IF(DJ$5=$H309,$I309*$E309*(12-$J309+1)/12,0))</f>
        <v>0</v>
      </c>
      <c r="DK309" s="410">
        <f>IF($H309&lt;&gt;DO$5,0,IF(DO309&gt;0,IF($J309=1,$E309*$I309/12*3,IF($J309=2,$E309*$I309/12*2,IF($J309=3,$E309*$I309/12*1,0)))))+IF(DJ$5&lt;&gt;$H309,0,IF(DJ309&gt;0,IF($J309=1,$E309*$I309/12*0,IF($J309=2,$E309*$I309/12*1,IF($J309=3,$E309*$I309/12*2,IF($J309&gt;=4,$E309*$I309/12*3,0))))))</f>
        <v>0</v>
      </c>
      <c r="DL309" s="416">
        <f>IF($H309&lt;&gt;DO$5,0,IF(DO309&gt;0,IF(OR($J309=1,$J309=2,$J309=3,$J309=4),$E309*$I309/12*3,IF($J309=5,$E309*$I309/12*2,IF($J309=6,$E309*$I309/12*1,0)))))+IF(DJ$5&lt;&gt;$H309,0,IF(DJ309&gt;0,IF($J309=4,$E309*$I309/12*0,IF($J309=5,$E309*$I309/12*1,IF($J309=6,$E309*$I309/12*2,IF($J309&gt;=7,$E309*$I309/12*3,0))))))</f>
        <v>0</v>
      </c>
      <c r="DM309" s="416">
        <f>IF($H309&lt;&gt;DO$5,0,IF(DO309&gt;0,IF(OR($J309=1,$J309=2,$J309=3,$J309=4,$J309=5,$J309=6,$J309=7),$E309*$I309/12*3,IF($J309=8,$E309*$I309/12*2,IF($J309=9,$E309*$I309/12*1,0)))))+IF(DJ$5&lt;&gt;$H309,0,IF(DJ309&gt;0,IF($J309=7,$E309*$I309/12*0,IF($J309=8,$E309*$I309/12*1,IF($J309=9,$E309*$I309/12*2,IF($J309&gt;=10,$E309*$I309/12*3,0))))))</f>
        <v>0</v>
      </c>
      <c r="DN309" s="412">
        <f>IF($H309&lt;&gt;DO$5,0,IF(DO309&gt;0,IF(OR($J309=1,$J309=2,$J309=3,$J309=4,$J309=5,$J309=6,$J309=7,$J309=8,$J309=9,$J309=10),$E309*$I309/12*3,IF($J309=11,$E309*$I309/12*2,IF($J309=12,$E309*$I309/12*1,0)))))+IF(DJ$5&lt;&gt;$H309,0,IF(DJ309&gt;0,IF($J309=10,$E309*$I309/12*0,IF($J309=11,$E309*$I309/12*1,IF($J309=12,$E309*$I309/12*2,0)))))</f>
        <v>0</v>
      </c>
      <c r="DO309" s="413">
        <f>IF(AND(DJ309&lt;&gt;0,DJ$5=$H309),$I309*$E309-DJ309,IF(DO$5=$H309,$I309*$E309*(12-$J309+1)/12,0))</f>
        <v>0</v>
      </c>
      <c r="DP309" s="410">
        <f>IF($H309&lt;&gt;DT$5,0,IF(DT309&gt;0,IF($J309=1,$E309*$I309/12*3,IF($J309=2,$E309*$I309/12*2,IF($J309=3,$E309*$I309/12*1,0)))))+IF(DO$5&lt;&gt;$H309,0,IF(DO309&gt;0,IF($J309=1,$E309*$I309/12*0,IF($J309=2,$E309*$I309/12*1,IF($J309=3,$E309*$I309/12*2,IF($J309&gt;=4,$E309*$I309/12*3,0))))))</f>
        <v>0</v>
      </c>
      <c r="DQ309" s="416">
        <f>IF($H309&lt;&gt;DT$5,0,IF(DT309&gt;0,IF(OR($J309=1,$J309=2,$J309=3,$J309=4),$E309*$I309/12*3,IF($J309=5,$E309*$I309/12*2,IF($J309=6,$E309*$I309/12*1,0)))))+IF(DO$5&lt;&gt;$H309,0,IF(DO309&gt;0,IF($J309=4,$E309*$I309/12*0,IF($J309=5,$E309*$I309/12*1,IF($J309=6,$E309*$I309/12*2,IF($J309&gt;=7,$E309*$I309/12*3,0))))))</f>
        <v>0</v>
      </c>
      <c r="DR309" s="416">
        <f>IF($H309&lt;&gt;DT$5,0,IF(DT309&gt;0,IF(OR($J309=1,$J309=2,$J309=3,$J309=4,$J309=5,$J309=6,$J309=7),$E309*$I309/12*3,IF($J309=8,$E309*$I309/12*2,IF($J309=9,$E309*$I309/12*1,0)))))+IF(DO$5&lt;&gt;$H309,0,IF(DO309&gt;0,IF($J309=7,$E309*$I309/12*0,IF($J309=8,$E309*$I309/12*1,IF($J309=9,$E309*$I309/12*2,IF($J309&gt;=10,$E309*$I309/12*3,0))))))</f>
        <v>2.1875</v>
      </c>
      <c r="DS309" s="412">
        <f>IF($H309&lt;&gt;DT$5,0,IF(DT309&gt;0,IF(OR($J309=1,$J309=2,$J309=3,$J309=4,$J309=5,$J309=6,$J309=7,$J309=8,$J309=9,$J309=10),$E309*$I309/12*3,IF($J309=11,$E309*$I309/12*2,IF($J309=12,$E309*$I309/12*1,0)))))+IF(DO$5&lt;&gt;$H309,0,IF(DO309&gt;0,IF($J309=10,$E309*$I309/12*0,IF($J309=11,$E309*$I309/12*1,IF($J309=12,$E309*$I309/12*2,0)))))</f>
        <v>2.1875</v>
      </c>
      <c r="DT309" s="413">
        <f>IF(AND(DO309&lt;&gt;0,DO$5=$H309),$I309*$E309-DO309,IF(DT$5=$H309,$I309*$E309*(12-$J309+1)/12,0))</f>
        <v>4.375</v>
      </c>
    </row>
    <row r="310" spans="1:124" ht="12.75" customHeight="1">
      <c r="C310" s="456"/>
      <c r="D310" s="456"/>
      <c r="E310" s="5"/>
      <c r="F310" s="1228"/>
      <c r="G310" s="1228"/>
      <c r="H310" s="610"/>
      <c r="I310" s="828"/>
      <c r="J310" s="617"/>
      <c r="K310" s="402"/>
      <c r="L310" s="407"/>
      <c r="M310" s="404"/>
      <c r="N310" s="414"/>
      <c r="O310" s="414"/>
      <c r="P310" s="406"/>
      <c r="Q310" s="407"/>
      <c r="R310" s="404"/>
      <c r="S310" s="414"/>
      <c r="T310" s="414"/>
      <c r="U310" s="406"/>
      <c r="V310" s="407"/>
      <c r="W310" s="404"/>
      <c r="X310" s="414"/>
      <c r="Y310" s="414"/>
      <c r="Z310" s="406"/>
      <c r="AA310" s="407"/>
      <c r="AB310" s="404"/>
      <c r="AC310" s="414"/>
      <c r="AD310" s="414"/>
      <c r="AE310" s="406"/>
      <c r="AF310" s="407"/>
      <c r="AG310" s="404"/>
      <c r="AH310" s="414"/>
      <c r="AI310" s="414"/>
      <c r="AJ310" s="406"/>
      <c r="AK310" s="407"/>
      <c r="AL310" s="404"/>
      <c r="AM310" s="414"/>
      <c r="AN310" s="414"/>
      <c r="AO310" s="406"/>
      <c r="AP310" s="407"/>
      <c r="AQ310" s="404"/>
      <c r="AR310" s="414"/>
      <c r="AS310" s="414"/>
      <c r="AT310" s="406"/>
      <c r="AU310" s="407"/>
      <c r="AV310" s="404"/>
      <c r="AW310" s="414"/>
      <c r="AX310" s="414"/>
      <c r="AY310" s="406"/>
      <c r="AZ310" s="407"/>
      <c r="BA310" s="404"/>
      <c r="BB310" s="414"/>
      <c r="BC310" s="414"/>
      <c r="BD310" s="406"/>
      <c r="BE310" s="407"/>
      <c r="BF310" s="404"/>
      <c r="BG310" s="414"/>
      <c r="BH310" s="414"/>
      <c r="BI310" s="406"/>
      <c r="BJ310" s="407"/>
      <c r="BK310" s="404"/>
      <c r="BL310" s="414"/>
      <c r="BM310" s="414"/>
      <c r="BN310" s="406"/>
      <c r="BO310" s="407"/>
      <c r="BP310" s="447"/>
      <c r="BQ310" s="413"/>
      <c r="BR310" s="410"/>
      <c r="BS310" s="416"/>
      <c r="BT310" s="416"/>
      <c r="BU310" s="412"/>
      <c r="BV310" s="413"/>
      <c r="BW310" s="410"/>
      <c r="BX310" s="416"/>
      <c r="BY310" s="416"/>
      <c r="BZ310" s="412"/>
      <c r="CA310" s="413"/>
      <c r="CB310" s="410"/>
      <c r="CC310" s="416"/>
      <c r="CD310" s="416"/>
      <c r="CE310" s="412"/>
      <c r="CF310" s="413"/>
      <c r="CG310" s="410"/>
      <c r="CH310" s="416"/>
      <c r="CI310" s="416"/>
      <c r="CJ310" s="412"/>
      <c r="CK310" s="413"/>
      <c r="CL310" s="410"/>
      <c r="CM310" s="416"/>
      <c r="CN310" s="416"/>
      <c r="CO310" s="412"/>
      <c r="CP310" s="413"/>
      <c r="CQ310" s="410"/>
      <c r="CR310" s="416"/>
      <c r="CS310" s="416"/>
      <c r="CT310" s="412"/>
      <c r="CU310" s="413"/>
      <c r="CV310" s="410"/>
      <c r="CW310" s="416"/>
      <c r="CX310" s="416"/>
      <c r="CY310" s="412"/>
      <c r="CZ310" s="413"/>
      <c r="DA310" s="410"/>
      <c r="DB310" s="416"/>
      <c r="DC310" s="416"/>
      <c r="DD310" s="412"/>
      <c r="DE310" s="413"/>
      <c r="DF310" s="410"/>
      <c r="DG310" s="416"/>
      <c r="DH310" s="416"/>
      <c r="DI310" s="412"/>
      <c r="DJ310" s="413"/>
      <c r="DK310" s="410"/>
      <c r="DL310" s="416"/>
      <c r="DM310" s="416"/>
      <c r="DN310" s="412"/>
      <c r="DO310" s="413"/>
      <c r="DP310" s="410"/>
      <c r="DQ310" s="416"/>
      <c r="DR310" s="416"/>
      <c r="DS310" s="412"/>
      <c r="DT310" s="413"/>
    </row>
    <row r="311" spans="1:124" s="293" customFormat="1" ht="12.75" customHeight="1">
      <c r="A311"/>
      <c r="B311"/>
      <c r="C311" s="530" t="s">
        <v>48</v>
      </c>
      <c r="D311" s="530"/>
      <c r="E311" s="31">
        <f>SUM(E306:E310)</f>
        <v>675</v>
      </c>
      <c r="F311" s="1234"/>
      <c r="G311" s="1234"/>
      <c r="H311" s="28"/>
      <c r="I311" s="29"/>
      <c r="J311" s="633"/>
      <c r="K311" s="531"/>
      <c r="L311" s="532">
        <f t="shared" ref="L311:AQ311" si="2378">SUM(L306:L310)</f>
        <v>0</v>
      </c>
      <c r="M311" s="533">
        <f t="shared" si="2378"/>
        <v>0</v>
      </c>
      <c r="N311" s="534">
        <f t="shared" si="2378"/>
        <v>0</v>
      </c>
      <c r="O311" s="534">
        <f t="shared" si="2378"/>
        <v>0</v>
      </c>
      <c r="P311" s="535">
        <f t="shared" si="2378"/>
        <v>0</v>
      </c>
      <c r="Q311" s="532">
        <f t="shared" si="2378"/>
        <v>0</v>
      </c>
      <c r="R311" s="533">
        <f t="shared" si="2378"/>
        <v>0</v>
      </c>
      <c r="S311" s="534">
        <f t="shared" si="2378"/>
        <v>0</v>
      </c>
      <c r="T311" s="534">
        <f t="shared" si="2378"/>
        <v>0</v>
      </c>
      <c r="U311" s="535">
        <f t="shared" si="2378"/>
        <v>0</v>
      </c>
      <c r="V311" s="532">
        <f t="shared" si="2378"/>
        <v>0</v>
      </c>
      <c r="W311" s="533">
        <f t="shared" si="2378"/>
        <v>0</v>
      </c>
      <c r="X311" s="534">
        <f t="shared" si="2378"/>
        <v>0</v>
      </c>
      <c r="Y311" s="534">
        <f t="shared" si="2378"/>
        <v>0</v>
      </c>
      <c r="Z311" s="535">
        <f t="shared" si="2378"/>
        <v>0</v>
      </c>
      <c r="AA311" s="532">
        <f t="shared" si="2378"/>
        <v>0</v>
      </c>
      <c r="AB311" s="533">
        <f t="shared" si="2378"/>
        <v>0</v>
      </c>
      <c r="AC311" s="534">
        <f t="shared" si="2378"/>
        <v>0</v>
      </c>
      <c r="AD311" s="534">
        <f t="shared" si="2378"/>
        <v>0</v>
      </c>
      <c r="AE311" s="535">
        <f t="shared" si="2378"/>
        <v>0</v>
      </c>
      <c r="AF311" s="532">
        <f t="shared" si="2378"/>
        <v>0</v>
      </c>
      <c r="AG311" s="533">
        <f t="shared" si="2378"/>
        <v>0</v>
      </c>
      <c r="AH311" s="534">
        <f t="shared" si="2378"/>
        <v>0</v>
      </c>
      <c r="AI311" s="534">
        <f t="shared" si="2378"/>
        <v>0</v>
      </c>
      <c r="AJ311" s="535">
        <f t="shared" si="2378"/>
        <v>0</v>
      </c>
      <c r="AK311" s="532">
        <f t="shared" si="2378"/>
        <v>0</v>
      </c>
      <c r="AL311" s="533">
        <f t="shared" si="2378"/>
        <v>0</v>
      </c>
      <c r="AM311" s="534">
        <f t="shared" si="2378"/>
        <v>0</v>
      </c>
      <c r="AN311" s="534">
        <f t="shared" si="2378"/>
        <v>0</v>
      </c>
      <c r="AO311" s="535">
        <f t="shared" si="2378"/>
        <v>0</v>
      </c>
      <c r="AP311" s="532">
        <f t="shared" si="2378"/>
        <v>0</v>
      </c>
      <c r="AQ311" s="533">
        <f t="shared" si="2378"/>
        <v>0</v>
      </c>
      <c r="AR311" s="534">
        <f t="shared" ref="AR311:BO311" si="2379">SUM(AR306:AR310)</f>
        <v>0</v>
      </c>
      <c r="AS311" s="534">
        <f t="shared" si="2379"/>
        <v>0</v>
      </c>
      <c r="AT311" s="535">
        <f t="shared" si="2379"/>
        <v>0</v>
      </c>
      <c r="AU311" s="532">
        <f t="shared" si="2379"/>
        <v>0</v>
      </c>
      <c r="AV311" s="533">
        <f t="shared" si="2379"/>
        <v>0</v>
      </c>
      <c r="AW311" s="534">
        <f t="shared" si="2379"/>
        <v>0</v>
      </c>
      <c r="AX311" s="534">
        <f t="shared" si="2379"/>
        <v>150</v>
      </c>
      <c r="AY311" s="535">
        <f t="shared" si="2379"/>
        <v>0</v>
      </c>
      <c r="AZ311" s="532">
        <f t="shared" si="2379"/>
        <v>150</v>
      </c>
      <c r="BA311" s="533">
        <f t="shared" si="2379"/>
        <v>0</v>
      </c>
      <c r="BB311" s="534">
        <f t="shared" si="2379"/>
        <v>0</v>
      </c>
      <c r="BC311" s="534">
        <f t="shared" si="2379"/>
        <v>175</v>
      </c>
      <c r="BD311" s="535">
        <f t="shared" si="2379"/>
        <v>0</v>
      </c>
      <c r="BE311" s="532">
        <f t="shared" si="2379"/>
        <v>175</v>
      </c>
      <c r="BF311" s="533">
        <f t="shared" si="2379"/>
        <v>0</v>
      </c>
      <c r="BG311" s="534">
        <f t="shared" si="2379"/>
        <v>0</v>
      </c>
      <c r="BH311" s="534">
        <f t="shared" si="2379"/>
        <v>175</v>
      </c>
      <c r="BI311" s="535">
        <f t="shared" si="2379"/>
        <v>0</v>
      </c>
      <c r="BJ311" s="532">
        <f t="shared" si="2379"/>
        <v>175</v>
      </c>
      <c r="BK311" s="533">
        <f t="shared" si="2379"/>
        <v>0</v>
      </c>
      <c r="BL311" s="534">
        <f t="shared" si="2379"/>
        <v>0</v>
      </c>
      <c r="BM311" s="534">
        <f t="shared" si="2379"/>
        <v>175</v>
      </c>
      <c r="BN311" s="535">
        <f t="shared" si="2379"/>
        <v>0</v>
      </c>
      <c r="BO311" s="532">
        <f t="shared" si="2379"/>
        <v>175</v>
      </c>
      <c r="BP311" s="536"/>
      <c r="BQ311" s="537">
        <f t="shared" ref="BQ311:CV311" si="2380">SUM(BQ306:BQ310)</f>
        <v>0</v>
      </c>
      <c r="BR311" s="538">
        <f t="shared" si="2380"/>
        <v>0</v>
      </c>
      <c r="BS311" s="539">
        <f t="shared" si="2380"/>
        <v>0</v>
      </c>
      <c r="BT311" s="539">
        <f t="shared" si="2380"/>
        <v>0</v>
      </c>
      <c r="BU311" s="540">
        <f t="shared" si="2380"/>
        <v>0</v>
      </c>
      <c r="BV311" s="537">
        <f t="shared" si="2380"/>
        <v>0</v>
      </c>
      <c r="BW311" s="538">
        <f t="shared" si="2380"/>
        <v>0</v>
      </c>
      <c r="BX311" s="539">
        <f t="shared" si="2380"/>
        <v>0</v>
      </c>
      <c r="BY311" s="539">
        <f t="shared" si="2380"/>
        <v>0</v>
      </c>
      <c r="BZ311" s="540">
        <f t="shared" si="2380"/>
        <v>0</v>
      </c>
      <c r="CA311" s="537">
        <f t="shared" si="2380"/>
        <v>0</v>
      </c>
      <c r="CB311" s="538">
        <f t="shared" si="2380"/>
        <v>0</v>
      </c>
      <c r="CC311" s="539">
        <f t="shared" si="2380"/>
        <v>0</v>
      </c>
      <c r="CD311" s="539">
        <f t="shared" si="2380"/>
        <v>0</v>
      </c>
      <c r="CE311" s="540">
        <f t="shared" si="2380"/>
        <v>0</v>
      </c>
      <c r="CF311" s="537">
        <f t="shared" si="2380"/>
        <v>0</v>
      </c>
      <c r="CG311" s="538">
        <f t="shared" si="2380"/>
        <v>0</v>
      </c>
      <c r="CH311" s="539">
        <f t="shared" si="2380"/>
        <v>0</v>
      </c>
      <c r="CI311" s="539">
        <f t="shared" si="2380"/>
        <v>0</v>
      </c>
      <c r="CJ311" s="540">
        <f t="shared" si="2380"/>
        <v>0</v>
      </c>
      <c r="CK311" s="537">
        <f t="shared" si="2380"/>
        <v>0</v>
      </c>
      <c r="CL311" s="538">
        <f t="shared" si="2380"/>
        <v>0</v>
      </c>
      <c r="CM311" s="539">
        <f t="shared" si="2380"/>
        <v>0</v>
      </c>
      <c r="CN311" s="539">
        <f t="shared" si="2380"/>
        <v>0</v>
      </c>
      <c r="CO311" s="540">
        <f t="shared" si="2380"/>
        <v>0</v>
      </c>
      <c r="CP311" s="537">
        <f t="shared" si="2380"/>
        <v>0</v>
      </c>
      <c r="CQ311" s="538">
        <f t="shared" si="2380"/>
        <v>0</v>
      </c>
      <c r="CR311" s="539">
        <f t="shared" si="2380"/>
        <v>0</v>
      </c>
      <c r="CS311" s="539">
        <f t="shared" si="2380"/>
        <v>0</v>
      </c>
      <c r="CT311" s="540">
        <f t="shared" si="2380"/>
        <v>0</v>
      </c>
      <c r="CU311" s="537">
        <f t="shared" si="2380"/>
        <v>0</v>
      </c>
      <c r="CV311" s="538">
        <f t="shared" si="2380"/>
        <v>0</v>
      </c>
      <c r="CW311" s="539">
        <f t="shared" ref="CW311:DT311" si="2381">SUM(CW306:CW310)</f>
        <v>0</v>
      </c>
      <c r="CX311" s="539">
        <f t="shared" si="2381"/>
        <v>0</v>
      </c>
      <c r="CY311" s="540">
        <f t="shared" si="2381"/>
        <v>0</v>
      </c>
      <c r="CZ311" s="537">
        <f t="shared" si="2381"/>
        <v>0</v>
      </c>
      <c r="DA311" s="538">
        <f t="shared" si="2381"/>
        <v>0</v>
      </c>
      <c r="DB311" s="539">
        <f t="shared" si="2381"/>
        <v>0</v>
      </c>
      <c r="DC311" s="539">
        <f t="shared" si="2381"/>
        <v>1.875</v>
      </c>
      <c r="DD311" s="540">
        <f t="shared" si="2381"/>
        <v>1.875</v>
      </c>
      <c r="DE311" s="537">
        <f t="shared" si="2381"/>
        <v>3.75</v>
      </c>
      <c r="DF311" s="538">
        <f t="shared" si="2381"/>
        <v>1.875</v>
      </c>
      <c r="DG311" s="539">
        <f t="shared" si="2381"/>
        <v>1.875</v>
      </c>
      <c r="DH311" s="539">
        <f t="shared" si="2381"/>
        <v>2.1875</v>
      </c>
      <c r="DI311" s="540">
        <f t="shared" si="2381"/>
        <v>2.1875</v>
      </c>
      <c r="DJ311" s="537">
        <f t="shared" si="2381"/>
        <v>8.125</v>
      </c>
      <c r="DK311" s="538">
        <f t="shared" si="2381"/>
        <v>2.1875</v>
      </c>
      <c r="DL311" s="539">
        <f t="shared" si="2381"/>
        <v>2.1875</v>
      </c>
      <c r="DM311" s="539">
        <f t="shared" si="2381"/>
        <v>2.1875</v>
      </c>
      <c r="DN311" s="540">
        <f t="shared" si="2381"/>
        <v>2.1875</v>
      </c>
      <c r="DO311" s="537">
        <f t="shared" si="2381"/>
        <v>8.75</v>
      </c>
      <c r="DP311" s="538">
        <f t="shared" si="2381"/>
        <v>2.1875</v>
      </c>
      <c r="DQ311" s="539">
        <f t="shared" si="2381"/>
        <v>2.1875</v>
      </c>
      <c r="DR311" s="539">
        <f t="shared" si="2381"/>
        <v>2.1875</v>
      </c>
      <c r="DS311" s="540">
        <f t="shared" si="2381"/>
        <v>2.1875</v>
      </c>
      <c r="DT311" s="537">
        <f t="shared" si="2381"/>
        <v>8.75</v>
      </c>
    </row>
    <row r="312" spans="1:124" ht="12.75" customHeight="1">
      <c r="C312" s="56"/>
      <c r="D312" s="56"/>
      <c r="E312" s="831"/>
      <c r="F312" s="1226"/>
      <c r="G312" s="1226"/>
      <c r="H312" s="30"/>
      <c r="I312" s="614"/>
      <c r="J312" s="616"/>
      <c r="K312" s="402"/>
      <c r="L312" s="403"/>
      <c r="M312" s="404"/>
      <c r="N312" s="405"/>
      <c r="O312" s="405"/>
      <c r="P312" s="406"/>
      <c r="Q312" s="407"/>
      <c r="R312" s="404"/>
      <c r="S312" s="405"/>
      <c r="T312" s="405"/>
      <c r="U312" s="406"/>
      <c r="V312" s="407"/>
      <c r="W312" s="404"/>
      <c r="X312" s="405"/>
      <c r="Y312" s="405"/>
      <c r="Z312" s="406"/>
      <c r="AA312" s="407"/>
      <c r="AB312" s="404"/>
      <c r="AC312" s="405"/>
      <c r="AD312" s="405"/>
      <c r="AE312" s="406"/>
      <c r="AF312" s="407"/>
      <c r="AG312" s="404"/>
      <c r="AH312" s="405"/>
      <c r="AI312" s="405"/>
      <c r="AJ312" s="406"/>
      <c r="AK312" s="407"/>
      <c r="AL312" s="404"/>
      <c r="AM312" s="405"/>
      <c r="AN312" s="405"/>
      <c r="AO312" s="406"/>
      <c r="AP312" s="407"/>
      <c r="AQ312" s="404"/>
      <c r="AR312" s="405"/>
      <c r="AS312" s="405"/>
      <c r="AT312" s="406"/>
      <c r="AU312" s="407"/>
      <c r="AV312" s="404"/>
      <c r="AW312" s="405"/>
      <c r="AX312" s="405"/>
      <c r="AY312" s="406"/>
      <c r="AZ312" s="407"/>
      <c r="BA312" s="404"/>
      <c r="BB312" s="405"/>
      <c r="BC312" s="405"/>
      <c r="BD312" s="406"/>
      <c r="BE312" s="407"/>
      <c r="BF312" s="404"/>
      <c r="BG312" s="405"/>
      <c r="BH312" s="405"/>
      <c r="BI312" s="406"/>
      <c r="BJ312" s="407"/>
      <c r="BK312" s="404"/>
      <c r="BL312" s="405"/>
      <c r="BM312" s="405"/>
      <c r="BN312" s="406"/>
      <c r="BO312" s="407"/>
      <c r="BP312" s="449"/>
      <c r="BQ312" s="409"/>
      <c r="BR312" s="410"/>
      <c r="BS312" s="411"/>
      <c r="BT312" s="411"/>
      <c r="BU312" s="412"/>
      <c r="BV312" s="413"/>
      <c r="BW312" s="410"/>
      <c r="BX312" s="411"/>
      <c r="BY312" s="411"/>
      <c r="BZ312" s="412"/>
      <c r="CA312" s="413"/>
      <c r="CB312" s="410"/>
      <c r="CC312" s="411"/>
      <c r="CD312" s="411"/>
      <c r="CE312" s="412"/>
      <c r="CF312" s="413"/>
      <c r="CG312" s="410"/>
      <c r="CH312" s="411"/>
      <c r="CI312" s="411"/>
      <c r="CJ312" s="412"/>
      <c r="CK312" s="413"/>
      <c r="CL312" s="410"/>
      <c r="CM312" s="411"/>
      <c r="CN312" s="411"/>
      <c r="CO312" s="412"/>
      <c r="CP312" s="413"/>
      <c r="CQ312" s="410"/>
      <c r="CR312" s="411"/>
      <c r="CS312" s="411"/>
      <c r="CT312" s="412"/>
      <c r="CU312" s="413"/>
      <c r="CV312" s="410"/>
      <c r="CW312" s="411"/>
      <c r="CX312" s="411"/>
      <c r="CY312" s="412"/>
      <c r="CZ312" s="413"/>
      <c r="DA312" s="410"/>
      <c r="DB312" s="411"/>
      <c r="DC312" s="411"/>
      <c r="DD312" s="412"/>
      <c r="DE312" s="413"/>
      <c r="DF312" s="410"/>
      <c r="DG312" s="411"/>
      <c r="DH312" s="411"/>
      <c r="DI312" s="412"/>
      <c r="DJ312" s="413"/>
      <c r="DK312" s="410"/>
      <c r="DL312" s="411"/>
      <c r="DM312" s="411"/>
      <c r="DN312" s="412"/>
      <c r="DO312" s="413"/>
      <c r="DP312" s="410"/>
      <c r="DQ312" s="411"/>
      <c r="DR312" s="411"/>
      <c r="DS312" s="412"/>
      <c r="DT312" s="413"/>
    </row>
    <row r="313" spans="1:124" ht="12.75" customHeight="1">
      <c r="A313" s="56"/>
      <c r="B313" s="56"/>
      <c r="C313" s="56" t="s">
        <v>283</v>
      </c>
      <c r="D313" s="56"/>
      <c r="E313" s="8"/>
      <c r="F313" s="1230"/>
      <c r="G313" s="1230"/>
      <c r="H313" s="1331"/>
      <c r="I313" s="1332"/>
      <c r="J313" s="1333"/>
      <c r="K313" s="453"/>
      <c r="L313" s="429">
        <f t="shared" ref="L313:AQ313" si="2382">+L311+L303</f>
        <v>0</v>
      </c>
      <c r="M313" s="430">
        <f t="shared" si="2382"/>
        <v>0</v>
      </c>
      <c r="N313" s="431">
        <f t="shared" si="2382"/>
        <v>0</v>
      </c>
      <c r="O313" s="431">
        <f t="shared" si="2382"/>
        <v>0</v>
      </c>
      <c r="P313" s="432">
        <f t="shared" si="2382"/>
        <v>0</v>
      </c>
      <c r="Q313" s="429">
        <f t="shared" si="2382"/>
        <v>0</v>
      </c>
      <c r="R313" s="430">
        <f t="shared" si="2382"/>
        <v>0</v>
      </c>
      <c r="S313" s="431">
        <f t="shared" si="2382"/>
        <v>0</v>
      </c>
      <c r="T313" s="431">
        <f t="shared" si="2382"/>
        <v>0</v>
      </c>
      <c r="U313" s="432">
        <f t="shared" si="2382"/>
        <v>0</v>
      </c>
      <c r="V313" s="429">
        <f t="shared" si="2382"/>
        <v>0</v>
      </c>
      <c r="W313" s="430">
        <f t="shared" si="2382"/>
        <v>0</v>
      </c>
      <c r="X313" s="431">
        <f t="shared" si="2382"/>
        <v>0</v>
      </c>
      <c r="Y313" s="431">
        <f t="shared" si="2382"/>
        <v>0</v>
      </c>
      <c r="Z313" s="432">
        <f t="shared" si="2382"/>
        <v>0</v>
      </c>
      <c r="AA313" s="429">
        <f t="shared" si="2382"/>
        <v>0</v>
      </c>
      <c r="AB313" s="430">
        <f t="shared" si="2382"/>
        <v>0</v>
      </c>
      <c r="AC313" s="431">
        <f t="shared" si="2382"/>
        <v>0</v>
      </c>
      <c r="AD313" s="431">
        <f t="shared" si="2382"/>
        <v>0</v>
      </c>
      <c r="AE313" s="432">
        <f t="shared" si="2382"/>
        <v>0</v>
      </c>
      <c r="AF313" s="429">
        <f t="shared" si="2382"/>
        <v>0</v>
      </c>
      <c r="AG313" s="430">
        <f t="shared" si="2382"/>
        <v>0</v>
      </c>
      <c r="AH313" s="431">
        <f t="shared" si="2382"/>
        <v>0</v>
      </c>
      <c r="AI313" s="431">
        <f t="shared" si="2382"/>
        <v>0</v>
      </c>
      <c r="AJ313" s="432">
        <f t="shared" si="2382"/>
        <v>0</v>
      </c>
      <c r="AK313" s="429">
        <f t="shared" si="2382"/>
        <v>0</v>
      </c>
      <c r="AL313" s="430">
        <f t="shared" si="2382"/>
        <v>0</v>
      </c>
      <c r="AM313" s="431">
        <f t="shared" si="2382"/>
        <v>0</v>
      </c>
      <c r="AN313" s="431">
        <f t="shared" si="2382"/>
        <v>0</v>
      </c>
      <c r="AO313" s="432">
        <f t="shared" si="2382"/>
        <v>0</v>
      </c>
      <c r="AP313" s="429">
        <f t="shared" si="2382"/>
        <v>0</v>
      </c>
      <c r="AQ313" s="430">
        <f t="shared" si="2382"/>
        <v>-652.72732999999994</v>
      </c>
      <c r="AR313" s="431">
        <f t="shared" ref="AR313:BO313" si="2383">+AR311+AR303</f>
        <v>0</v>
      </c>
      <c r="AS313" s="431">
        <f t="shared" si="2383"/>
        <v>0</v>
      </c>
      <c r="AT313" s="432">
        <f t="shared" si="2383"/>
        <v>0</v>
      </c>
      <c r="AU313" s="429">
        <f t="shared" si="2383"/>
        <v>-652.72732999999994</v>
      </c>
      <c r="AV313" s="430">
        <f t="shared" si="2383"/>
        <v>0</v>
      </c>
      <c r="AW313" s="431">
        <f t="shared" si="2383"/>
        <v>0</v>
      </c>
      <c r="AX313" s="431">
        <f t="shared" si="2383"/>
        <v>150</v>
      </c>
      <c r="AY313" s="432">
        <f t="shared" si="2383"/>
        <v>-125</v>
      </c>
      <c r="AZ313" s="429">
        <f t="shared" si="2383"/>
        <v>25</v>
      </c>
      <c r="BA313" s="430">
        <f t="shared" si="2383"/>
        <v>0</v>
      </c>
      <c r="BB313" s="431">
        <f t="shared" si="2383"/>
        <v>0</v>
      </c>
      <c r="BC313" s="431">
        <f t="shared" si="2383"/>
        <v>175</v>
      </c>
      <c r="BD313" s="432">
        <f t="shared" si="2383"/>
        <v>0</v>
      </c>
      <c r="BE313" s="429">
        <f t="shared" si="2383"/>
        <v>175</v>
      </c>
      <c r="BF313" s="430">
        <f t="shared" si="2383"/>
        <v>0</v>
      </c>
      <c r="BG313" s="431">
        <f t="shared" si="2383"/>
        <v>0</v>
      </c>
      <c r="BH313" s="431">
        <f t="shared" si="2383"/>
        <v>175</v>
      </c>
      <c r="BI313" s="432">
        <f t="shared" si="2383"/>
        <v>0</v>
      </c>
      <c r="BJ313" s="429">
        <f t="shared" si="2383"/>
        <v>175</v>
      </c>
      <c r="BK313" s="430">
        <f t="shared" si="2383"/>
        <v>0</v>
      </c>
      <c r="BL313" s="431">
        <f t="shared" si="2383"/>
        <v>0</v>
      </c>
      <c r="BM313" s="431">
        <f t="shared" si="2383"/>
        <v>175</v>
      </c>
      <c r="BN313" s="432">
        <f t="shared" si="2383"/>
        <v>0</v>
      </c>
      <c r="BO313" s="429">
        <f t="shared" si="2383"/>
        <v>175</v>
      </c>
      <c r="BP313" s="463"/>
      <c r="BQ313" s="434">
        <f t="shared" ref="BQ313:CV313" si="2384">+BQ311+BQ303</f>
        <v>0</v>
      </c>
      <c r="BR313" s="435">
        <f t="shared" si="2384"/>
        <v>0</v>
      </c>
      <c r="BS313" s="436">
        <f t="shared" si="2384"/>
        <v>0</v>
      </c>
      <c r="BT313" s="436">
        <f t="shared" si="2384"/>
        <v>0</v>
      </c>
      <c r="BU313" s="437">
        <f t="shared" si="2384"/>
        <v>0</v>
      </c>
      <c r="BV313" s="434">
        <f t="shared" si="2384"/>
        <v>0</v>
      </c>
      <c r="BW313" s="435">
        <f t="shared" si="2384"/>
        <v>0</v>
      </c>
      <c r="BX313" s="436">
        <f t="shared" si="2384"/>
        <v>0</v>
      </c>
      <c r="BY313" s="436">
        <f t="shared" si="2384"/>
        <v>0</v>
      </c>
      <c r="BZ313" s="437">
        <f t="shared" si="2384"/>
        <v>0</v>
      </c>
      <c r="CA313" s="434">
        <f t="shared" si="2384"/>
        <v>0</v>
      </c>
      <c r="CB313" s="435">
        <f t="shared" si="2384"/>
        <v>0</v>
      </c>
      <c r="CC313" s="436">
        <f t="shared" si="2384"/>
        <v>0</v>
      </c>
      <c r="CD313" s="436">
        <f t="shared" si="2384"/>
        <v>0</v>
      </c>
      <c r="CE313" s="437">
        <f t="shared" si="2384"/>
        <v>0</v>
      </c>
      <c r="CF313" s="434">
        <f t="shared" si="2384"/>
        <v>0</v>
      </c>
      <c r="CG313" s="435">
        <f t="shared" si="2384"/>
        <v>0</v>
      </c>
      <c r="CH313" s="436">
        <f t="shared" si="2384"/>
        <v>0</v>
      </c>
      <c r="CI313" s="436">
        <f t="shared" si="2384"/>
        <v>0</v>
      </c>
      <c r="CJ313" s="437">
        <f t="shared" si="2384"/>
        <v>0</v>
      </c>
      <c r="CK313" s="434">
        <f t="shared" si="2384"/>
        <v>0</v>
      </c>
      <c r="CL313" s="435">
        <f t="shared" si="2384"/>
        <v>0</v>
      </c>
      <c r="CM313" s="436">
        <f t="shared" si="2384"/>
        <v>0</v>
      </c>
      <c r="CN313" s="436">
        <f t="shared" si="2384"/>
        <v>0</v>
      </c>
      <c r="CO313" s="437">
        <f t="shared" si="2384"/>
        <v>0</v>
      </c>
      <c r="CP313" s="434">
        <f t="shared" si="2384"/>
        <v>0</v>
      </c>
      <c r="CQ313" s="435">
        <f t="shared" si="2384"/>
        <v>0</v>
      </c>
      <c r="CR313" s="436">
        <f t="shared" si="2384"/>
        <v>0</v>
      </c>
      <c r="CS313" s="436">
        <f t="shared" si="2384"/>
        <v>0</v>
      </c>
      <c r="CT313" s="437">
        <f t="shared" si="2384"/>
        <v>0</v>
      </c>
      <c r="CU313" s="434">
        <f t="shared" si="2384"/>
        <v>0</v>
      </c>
      <c r="CV313" s="435">
        <f t="shared" si="2384"/>
        <v>-7.2362733314999996</v>
      </c>
      <c r="CW313" s="436">
        <f t="shared" ref="CW313:DT313" si="2385">+CW311+CW303</f>
        <v>-8.0419099972500003</v>
      </c>
      <c r="CX313" s="436">
        <f t="shared" si="2385"/>
        <v>-8.0419099972500003</v>
      </c>
      <c r="CY313" s="437">
        <f t="shared" si="2385"/>
        <v>-8.0419099972500003</v>
      </c>
      <c r="CZ313" s="434">
        <f t="shared" si="2385"/>
        <v>-31.362003323250001</v>
      </c>
      <c r="DA313" s="435">
        <f t="shared" si="2385"/>
        <v>-0.80563666574999993</v>
      </c>
      <c r="DB313" s="436">
        <f t="shared" si="2385"/>
        <v>0</v>
      </c>
      <c r="DC313" s="436">
        <f t="shared" si="2385"/>
        <v>1.875</v>
      </c>
      <c r="DD313" s="437">
        <f t="shared" si="2385"/>
        <v>1.40625</v>
      </c>
      <c r="DE313" s="434">
        <f t="shared" si="2385"/>
        <v>2.4756133342499993</v>
      </c>
      <c r="DF313" s="435">
        <f t="shared" si="2385"/>
        <v>0.46875</v>
      </c>
      <c r="DG313" s="436">
        <f t="shared" si="2385"/>
        <v>0.46875</v>
      </c>
      <c r="DH313" s="436">
        <f t="shared" si="2385"/>
        <v>0.78125</v>
      </c>
      <c r="DI313" s="437">
        <f t="shared" si="2385"/>
        <v>1.25</v>
      </c>
      <c r="DJ313" s="434">
        <f t="shared" si="2385"/>
        <v>2.96875</v>
      </c>
      <c r="DK313" s="435">
        <f t="shared" si="2385"/>
        <v>2.1875</v>
      </c>
      <c r="DL313" s="436">
        <f t="shared" si="2385"/>
        <v>2.1875</v>
      </c>
      <c r="DM313" s="436">
        <f t="shared" si="2385"/>
        <v>2.1875</v>
      </c>
      <c r="DN313" s="437">
        <f t="shared" si="2385"/>
        <v>2.1875</v>
      </c>
      <c r="DO313" s="434">
        <f t="shared" si="2385"/>
        <v>8.75</v>
      </c>
      <c r="DP313" s="435">
        <f t="shared" si="2385"/>
        <v>2.1875</v>
      </c>
      <c r="DQ313" s="436">
        <f t="shared" si="2385"/>
        <v>2.1875</v>
      </c>
      <c r="DR313" s="436">
        <f t="shared" si="2385"/>
        <v>2.1875</v>
      </c>
      <c r="DS313" s="437">
        <f t="shared" si="2385"/>
        <v>2.1875</v>
      </c>
      <c r="DT313" s="434">
        <f t="shared" si="2385"/>
        <v>8.75</v>
      </c>
    </row>
    <row r="314" spans="1:124" ht="12.75" customHeight="1">
      <c r="A314" s="56"/>
      <c r="B314" s="56"/>
      <c r="C314" s="56"/>
      <c r="D314" s="56"/>
      <c r="E314" s="8"/>
      <c r="F314" s="1230"/>
      <c r="G314" s="1230"/>
      <c r="H314" s="1331"/>
      <c r="I314" s="1332"/>
      <c r="J314" s="1333"/>
      <c r="K314" s="453"/>
      <c r="L314" s="429"/>
      <c r="M314" s="430"/>
      <c r="N314" s="431"/>
      <c r="O314" s="431"/>
      <c r="P314" s="432"/>
      <c r="Q314" s="429"/>
      <c r="R314" s="430"/>
      <c r="S314" s="431"/>
      <c r="T314" s="431"/>
      <c r="U314" s="432"/>
      <c r="V314" s="429"/>
      <c r="W314" s="430"/>
      <c r="X314" s="431"/>
      <c r="Y314" s="431"/>
      <c r="Z314" s="432"/>
      <c r="AA314" s="429"/>
      <c r="AB314" s="430"/>
      <c r="AC314" s="431"/>
      <c r="AD314" s="431"/>
      <c r="AE314" s="432"/>
      <c r="AF314" s="429"/>
      <c r="AG314" s="430"/>
      <c r="AH314" s="431"/>
      <c r="AI314" s="431"/>
      <c r="AJ314" s="432"/>
      <c r="AK314" s="429"/>
      <c r="AL314" s="430"/>
      <c r="AM314" s="431"/>
      <c r="AN314" s="431"/>
      <c r="AO314" s="432"/>
      <c r="AP314" s="429"/>
      <c r="AQ314" s="430"/>
      <c r="AR314" s="431"/>
      <c r="AS314" s="431"/>
      <c r="AT314" s="432"/>
      <c r="AU314" s="429"/>
      <c r="AV314" s="430"/>
      <c r="AW314" s="431"/>
      <c r="AX314" s="431"/>
      <c r="AY314" s="432"/>
      <c r="AZ314" s="429"/>
      <c r="BA314" s="430"/>
      <c r="BB314" s="431"/>
      <c r="BC314" s="431"/>
      <c r="BD314" s="432"/>
      <c r="BE314" s="429"/>
      <c r="BF314" s="430"/>
      <c r="BG314" s="431"/>
      <c r="BH314" s="431"/>
      <c r="BI314" s="432"/>
      <c r="BJ314" s="429"/>
      <c r="BK314" s="430"/>
      <c r="BL314" s="431"/>
      <c r="BM314" s="431"/>
      <c r="BN314" s="432"/>
      <c r="BO314" s="429"/>
      <c r="BP314" s="463"/>
      <c r="BQ314" s="434"/>
      <c r="BR314" s="435"/>
      <c r="BS314" s="436"/>
      <c r="BT314" s="436"/>
      <c r="BU314" s="437"/>
      <c r="BV314" s="434"/>
      <c r="BW314" s="435"/>
      <c r="BX314" s="436"/>
      <c r="BY314" s="436"/>
      <c r="BZ314" s="437"/>
      <c r="CA314" s="434"/>
      <c r="CB314" s="435"/>
      <c r="CC314" s="436"/>
      <c r="CD314" s="436"/>
      <c r="CE314" s="437"/>
      <c r="CF314" s="434"/>
      <c r="CG314" s="435"/>
      <c r="CH314" s="436"/>
      <c r="CI314" s="436"/>
      <c r="CJ314" s="437"/>
      <c r="CK314" s="434"/>
      <c r="CL314" s="435"/>
      <c r="CM314" s="436"/>
      <c r="CN314" s="436"/>
      <c r="CO314" s="437"/>
      <c r="CP314" s="434"/>
      <c r="CQ314" s="435"/>
      <c r="CR314" s="436"/>
      <c r="CS314" s="436"/>
      <c r="CT314" s="437"/>
      <c r="CU314" s="434"/>
      <c r="CV314" s="435"/>
      <c r="CW314" s="436"/>
      <c r="CX314" s="436"/>
      <c r="CY314" s="437"/>
      <c r="CZ314" s="434"/>
      <c r="DA314" s="435"/>
      <c r="DB314" s="436"/>
      <c r="DC314" s="436"/>
      <c r="DD314" s="437"/>
      <c r="DE314" s="434"/>
      <c r="DF314" s="435"/>
      <c r="DG314" s="436"/>
      <c r="DH314" s="436"/>
      <c r="DI314" s="437"/>
      <c r="DJ314" s="434"/>
      <c r="DK314" s="435"/>
      <c r="DL314" s="436"/>
      <c r="DM314" s="436"/>
      <c r="DN314" s="437"/>
      <c r="DO314" s="434"/>
      <c r="DP314" s="435"/>
      <c r="DQ314" s="436"/>
      <c r="DR314" s="436"/>
      <c r="DS314" s="437"/>
      <c r="DT314" s="434"/>
    </row>
    <row r="315" spans="1:124" ht="12.75" customHeight="1" thickBot="1">
      <c r="B315" s="387"/>
      <c r="C315" s="441"/>
      <c r="D315" s="441"/>
      <c r="E315" s="1315"/>
      <c r="F315" s="1231"/>
      <c r="G315" s="1231"/>
      <c r="H315" s="1321"/>
      <c r="I315" s="1317"/>
      <c r="J315" s="622"/>
      <c r="K315" s="465"/>
      <c r="L315" s="444"/>
      <c r="M315" s="466"/>
      <c r="N315" s="467"/>
      <c r="O315" s="467"/>
      <c r="P315" s="468"/>
      <c r="Q315" s="444"/>
      <c r="R315" s="466"/>
      <c r="S315" s="467"/>
      <c r="T315" s="467"/>
      <c r="U315" s="468"/>
      <c r="V315" s="444"/>
      <c r="W315" s="466"/>
      <c r="X315" s="467"/>
      <c r="Y315" s="467"/>
      <c r="Z315" s="468"/>
      <c r="AA315" s="444"/>
      <c r="AB315" s="466"/>
      <c r="AC315" s="467"/>
      <c r="AD315" s="467"/>
      <c r="AE315" s="468"/>
      <c r="AF315" s="444"/>
      <c r="AG315" s="466"/>
      <c r="AH315" s="467"/>
      <c r="AI315" s="467"/>
      <c r="AJ315" s="468"/>
      <c r="AK315" s="444"/>
      <c r="AL315" s="466"/>
      <c r="AM315" s="467"/>
      <c r="AN315" s="467"/>
      <c r="AO315" s="468"/>
      <c r="AP315" s="444"/>
      <c r="AQ315" s="466"/>
      <c r="AR315" s="467"/>
      <c r="AS315" s="467"/>
      <c r="AT315" s="468"/>
      <c r="AU315" s="444"/>
      <c r="AV315" s="466"/>
      <c r="AW315" s="467"/>
      <c r="AX315" s="467"/>
      <c r="AY315" s="468"/>
      <c r="AZ315" s="444"/>
      <c r="BA315" s="466"/>
      <c r="BB315" s="467"/>
      <c r="BC315" s="467"/>
      <c r="BD315" s="468"/>
      <c r="BE315" s="444"/>
      <c r="BF315" s="466"/>
      <c r="BG315" s="467"/>
      <c r="BH315" s="467"/>
      <c r="BI315" s="468"/>
      <c r="BJ315" s="444"/>
      <c r="BK315" s="466"/>
      <c r="BL315" s="467"/>
      <c r="BM315" s="467"/>
      <c r="BN315" s="468"/>
      <c r="BO315" s="444"/>
      <c r="BP315" s="469"/>
      <c r="BQ315" s="446"/>
      <c r="BR315" s="470"/>
      <c r="BS315" s="471"/>
      <c r="BT315" s="471"/>
      <c r="BU315" s="472"/>
      <c r="BV315" s="446"/>
      <c r="BW315" s="470"/>
      <c r="BX315" s="471"/>
      <c r="BY315" s="471"/>
      <c r="BZ315" s="472"/>
      <c r="CA315" s="446"/>
      <c r="CB315" s="470"/>
      <c r="CC315" s="471"/>
      <c r="CD315" s="471"/>
      <c r="CE315" s="472"/>
      <c r="CF315" s="446"/>
      <c r="CG315" s="470"/>
      <c r="CH315" s="471"/>
      <c r="CI315" s="471"/>
      <c r="CJ315" s="472"/>
      <c r="CK315" s="446"/>
      <c r="CL315" s="470"/>
      <c r="CM315" s="471"/>
      <c r="CN315" s="471"/>
      <c r="CO315" s="472"/>
      <c r="CP315" s="446"/>
      <c r="CQ315" s="470"/>
      <c r="CR315" s="471"/>
      <c r="CS315" s="471"/>
      <c r="CT315" s="472"/>
      <c r="CU315" s="446"/>
      <c r="CV315" s="470"/>
      <c r="CW315" s="471"/>
      <c r="CX315" s="471"/>
      <c r="CY315" s="472"/>
      <c r="CZ315" s="446"/>
      <c r="DA315" s="470"/>
      <c r="DB315" s="471"/>
      <c r="DC315" s="471"/>
      <c r="DD315" s="472"/>
      <c r="DE315" s="446"/>
      <c r="DF315" s="470"/>
      <c r="DG315" s="471"/>
      <c r="DH315" s="471"/>
      <c r="DI315" s="472"/>
      <c r="DJ315" s="446"/>
      <c r="DK315" s="470"/>
      <c r="DL315" s="471"/>
      <c r="DM315" s="471"/>
      <c r="DN315" s="472"/>
      <c r="DO315" s="446"/>
      <c r="DP315" s="470"/>
      <c r="DQ315" s="471"/>
      <c r="DR315" s="471"/>
      <c r="DS315" s="472"/>
      <c r="DT315" s="446"/>
    </row>
    <row r="316" spans="1:124" s="1260" customFormat="1" ht="12.75" customHeight="1">
      <c r="B316" s="863"/>
      <c r="C316" s="863"/>
      <c r="D316" s="863"/>
      <c r="E316" s="831"/>
      <c r="F316" s="1226"/>
      <c r="G316" s="1226"/>
      <c r="H316" s="1334"/>
      <c r="I316" s="1335"/>
      <c r="J316" s="1261"/>
      <c r="K316" s="402"/>
      <c r="L316" s="403"/>
      <c r="M316" s="404"/>
      <c r="N316" s="405"/>
      <c r="O316" s="405"/>
      <c r="P316" s="406"/>
      <c r="Q316" s="403"/>
      <c r="R316" s="404"/>
      <c r="S316" s="405"/>
      <c r="T316" s="405"/>
      <c r="U316" s="406"/>
      <c r="V316" s="403"/>
      <c r="W316" s="404"/>
      <c r="X316" s="405"/>
      <c r="Y316" s="405"/>
      <c r="Z316" s="406"/>
      <c r="AA316" s="403"/>
      <c r="AB316" s="404"/>
      <c r="AC316" s="405"/>
      <c r="AD316" s="405"/>
      <c r="AE316" s="406"/>
      <c r="AF316" s="403"/>
      <c r="AG316" s="404"/>
      <c r="AH316" s="405"/>
      <c r="AI316" s="405"/>
      <c r="AJ316" s="406"/>
      <c r="AK316" s="403"/>
      <c r="AL316" s="404"/>
      <c r="AM316" s="405"/>
      <c r="AN316" s="405"/>
      <c r="AO316" s="406"/>
      <c r="AP316" s="403"/>
      <c r="AQ316" s="404"/>
      <c r="AR316" s="405"/>
      <c r="AS316" s="405"/>
      <c r="AT316" s="406"/>
      <c r="AU316" s="403"/>
      <c r="AV316" s="404"/>
      <c r="AW316" s="405"/>
      <c r="AX316" s="405"/>
      <c r="AY316" s="406"/>
      <c r="AZ316" s="403"/>
      <c r="BA316" s="404"/>
      <c r="BB316" s="405"/>
      <c r="BC316" s="405"/>
      <c r="BD316" s="406"/>
      <c r="BE316" s="403"/>
      <c r="BF316" s="404"/>
      <c r="BG316" s="405"/>
      <c r="BH316" s="405"/>
      <c r="BI316" s="406"/>
      <c r="BJ316" s="403"/>
      <c r="BK316" s="404"/>
      <c r="BL316" s="405"/>
      <c r="BM316" s="405"/>
      <c r="BN316" s="406"/>
      <c r="BO316" s="403"/>
      <c r="BP316" s="447"/>
      <c r="BQ316" s="409"/>
      <c r="BR316" s="410"/>
      <c r="BS316" s="411"/>
      <c r="BT316" s="411"/>
      <c r="BU316" s="412"/>
      <c r="BV316" s="409"/>
      <c r="BW316" s="410"/>
      <c r="BX316" s="411"/>
      <c r="BY316" s="411"/>
      <c r="BZ316" s="412"/>
      <c r="CA316" s="409"/>
      <c r="CB316" s="410"/>
      <c r="CC316" s="411"/>
      <c r="CD316" s="411"/>
      <c r="CE316" s="412"/>
      <c r="CF316" s="409"/>
      <c r="CG316" s="410"/>
      <c r="CH316" s="411"/>
      <c r="CI316" s="411"/>
      <c r="CJ316" s="412"/>
      <c r="CK316" s="409"/>
      <c r="CL316" s="410"/>
      <c r="CM316" s="411"/>
      <c r="CN316" s="411"/>
      <c r="CO316" s="412"/>
      <c r="CP316" s="409"/>
      <c r="CQ316" s="410"/>
      <c r="CR316" s="411"/>
      <c r="CS316" s="411"/>
      <c r="CT316" s="412"/>
      <c r="CU316" s="409"/>
      <c r="CV316" s="410"/>
      <c r="CW316" s="411"/>
      <c r="CX316" s="411"/>
      <c r="CY316" s="412"/>
      <c r="CZ316" s="409"/>
      <c r="DA316" s="410"/>
      <c r="DB316" s="411"/>
      <c r="DC316" s="411"/>
      <c r="DD316" s="412"/>
      <c r="DE316" s="409"/>
      <c r="DF316" s="410"/>
      <c r="DG316" s="411"/>
      <c r="DH316" s="411"/>
      <c r="DI316" s="412"/>
      <c r="DJ316" s="409"/>
      <c r="DK316" s="410"/>
      <c r="DL316" s="411"/>
      <c r="DM316" s="411"/>
      <c r="DN316" s="412"/>
      <c r="DO316" s="409"/>
      <c r="DP316" s="410"/>
      <c r="DQ316" s="411"/>
      <c r="DR316" s="411"/>
      <c r="DS316" s="412"/>
      <c r="DT316" s="409"/>
    </row>
    <row r="317" spans="1:124" ht="12.75" customHeight="1">
      <c r="B317" s="1509" t="s">
        <v>1113</v>
      </c>
      <c r="C317" s="46"/>
      <c r="D317" s="46"/>
      <c r="E317" s="831"/>
      <c r="F317" s="1226"/>
      <c r="G317" s="1226"/>
      <c r="H317" s="1330"/>
      <c r="I317" s="1323"/>
      <c r="J317" s="1319"/>
      <c r="K317" s="402"/>
      <c r="L317" s="403"/>
      <c r="M317" s="404"/>
      <c r="N317" s="405"/>
      <c r="O317" s="405"/>
      <c r="P317" s="406"/>
      <c r="Q317" s="407"/>
      <c r="R317" s="404"/>
      <c r="S317" s="405"/>
      <c r="T317" s="405"/>
      <c r="U317" s="406"/>
      <c r="V317" s="407"/>
      <c r="W317" s="404"/>
      <c r="X317" s="405"/>
      <c r="Y317" s="405"/>
      <c r="Z317" s="406"/>
      <c r="AA317" s="407"/>
      <c r="AB317" s="404"/>
      <c r="AC317" s="405"/>
      <c r="AD317" s="405"/>
      <c r="AE317" s="406"/>
      <c r="AF317" s="407"/>
      <c r="AG317" s="404"/>
      <c r="AH317" s="405"/>
      <c r="AI317" s="405"/>
      <c r="AJ317" s="406"/>
      <c r="AK317" s="407"/>
      <c r="AL317" s="404"/>
      <c r="AM317" s="405"/>
      <c r="AN317" s="405"/>
      <c r="AO317" s="406"/>
      <c r="AP317" s="407"/>
      <c r="AQ317" s="404"/>
      <c r="AR317" s="405"/>
      <c r="AS317" s="405"/>
      <c r="AT317" s="406"/>
      <c r="AU317" s="407"/>
      <c r="AV317" s="404"/>
      <c r="AW317" s="405"/>
      <c r="AX317" s="405"/>
      <c r="AY317" s="406"/>
      <c r="AZ317" s="407"/>
      <c r="BA317" s="404"/>
      <c r="BB317" s="405"/>
      <c r="BC317" s="405"/>
      <c r="BD317" s="406"/>
      <c r="BE317" s="407"/>
      <c r="BF317" s="404"/>
      <c r="BG317" s="405"/>
      <c r="BH317" s="405"/>
      <c r="BI317" s="406"/>
      <c r="BJ317" s="407"/>
      <c r="BK317" s="404"/>
      <c r="BL317" s="405"/>
      <c r="BM317" s="405"/>
      <c r="BN317" s="406"/>
      <c r="BO317" s="407"/>
      <c r="BP317" s="447"/>
      <c r="BQ317" s="409"/>
      <c r="BR317" s="410"/>
      <c r="BS317" s="411"/>
      <c r="BT317" s="411"/>
      <c r="BU317" s="412"/>
      <c r="BV317" s="413"/>
      <c r="BW317" s="410"/>
      <c r="BX317" s="411"/>
      <c r="BY317" s="411"/>
      <c r="BZ317" s="412"/>
      <c r="CA317" s="413"/>
      <c r="CB317" s="410"/>
      <c r="CC317" s="411"/>
      <c r="CD317" s="411"/>
      <c r="CE317" s="412"/>
      <c r="CF317" s="413"/>
      <c r="CG317" s="410"/>
      <c r="CH317" s="411"/>
      <c r="CI317" s="411"/>
      <c r="CJ317" s="412"/>
      <c r="CK317" s="413"/>
      <c r="CL317" s="410"/>
      <c r="CM317" s="411"/>
      <c r="CN317" s="411"/>
      <c r="CO317" s="412"/>
      <c r="CP317" s="413"/>
      <c r="CQ317" s="410"/>
      <c r="CR317" s="411"/>
      <c r="CS317" s="411"/>
      <c r="CT317" s="412"/>
      <c r="CU317" s="413"/>
      <c r="CV317" s="410"/>
      <c r="CW317" s="411"/>
      <c r="CX317" s="411"/>
      <c r="CY317" s="412"/>
      <c r="CZ317" s="413"/>
      <c r="DA317" s="410"/>
      <c r="DB317" s="411"/>
      <c r="DC317" s="411"/>
      <c r="DD317" s="412"/>
      <c r="DE317" s="413"/>
      <c r="DF317" s="410"/>
      <c r="DG317" s="411"/>
      <c r="DH317" s="411"/>
      <c r="DI317" s="412"/>
      <c r="DJ317" s="413"/>
      <c r="DK317" s="410"/>
      <c r="DL317" s="411"/>
      <c r="DM317" s="411"/>
      <c r="DN317" s="412"/>
      <c r="DO317" s="413"/>
      <c r="DP317" s="410"/>
      <c r="DQ317" s="411"/>
      <c r="DR317" s="411"/>
      <c r="DS317" s="412"/>
      <c r="DT317" s="413"/>
    </row>
    <row r="318" spans="1:124" ht="12.75" customHeight="1">
      <c r="C318" s="56"/>
      <c r="D318" s="56"/>
      <c r="E318" s="831"/>
      <c r="F318" s="1226"/>
      <c r="G318" s="1226"/>
      <c r="H318" s="30"/>
      <c r="I318" s="614"/>
      <c r="J318" s="616"/>
      <c r="K318" s="402"/>
      <c r="L318" s="403"/>
      <c r="M318" s="404"/>
      <c r="N318" s="405"/>
      <c r="O318" s="405"/>
      <c r="P318" s="406"/>
      <c r="Q318" s="407"/>
      <c r="R318" s="404"/>
      <c r="S318" s="405"/>
      <c r="T318" s="405"/>
      <c r="U318" s="406"/>
      <c r="V318" s="407"/>
      <c r="W318" s="404"/>
      <c r="X318" s="405"/>
      <c r="Y318" s="405"/>
      <c r="Z318" s="406"/>
      <c r="AA318" s="407"/>
      <c r="AB318" s="404"/>
      <c r="AC318" s="405"/>
      <c r="AD318" s="405"/>
      <c r="AE318" s="406"/>
      <c r="AF318" s="407"/>
      <c r="AG318" s="404"/>
      <c r="AH318" s="405"/>
      <c r="AI318" s="405"/>
      <c r="AJ318" s="406"/>
      <c r="AK318" s="407"/>
      <c r="AL318" s="404"/>
      <c r="AM318" s="405"/>
      <c r="AN318" s="405"/>
      <c r="AO318" s="406"/>
      <c r="AP318" s="407"/>
      <c r="AQ318" s="404"/>
      <c r="AR318" s="405"/>
      <c r="AS318" s="405"/>
      <c r="AT318" s="406"/>
      <c r="AU318" s="407"/>
      <c r="AV318" s="404"/>
      <c r="AW318" s="405"/>
      <c r="AX318" s="405"/>
      <c r="AY318" s="406"/>
      <c r="AZ318" s="407"/>
      <c r="BA318" s="404"/>
      <c r="BB318" s="405"/>
      <c r="BC318" s="405"/>
      <c r="BD318" s="406"/>
      <c r="BE318" s="407"/>
      <c r="BF318" s="404"/>
      <c r="BG318" s="405"/>
      <c r="BH318" s="405"/>
      <c r="BI318" s="406"/>
      <c r="BJ318" s="407"/>
      <c r="BK318" s="404"/>
      <c r="BL318" s="405"/>
      <c r="BM318" s="405"/>
      <c r="BN318" s="406"/>
      <c r="BO318" s="407"/>
      <c r="BP318" s="447"/>
      <c r="BQ318" s="409"/>
      <c r="BR318" s="410"/>
      <c r="BS318" s="411"/>
      <c r="BT318" s="411"/>
      <c r="BU318" s="412"/>
      <c r="BV318" s="413"/>
      <c r="BW318" s="410"/>
      <c r="BX318" s="411"/>
      <c r="BY318" s="411"/>
      <c r="BZ318" s="412"/>
      <c r="CA318" s="413"/>
      <c r="CB318" s="410"/>
      <c r="CC318" s="411"/>
      <c r="CD318" s="411"/>
      <c r="CE318" s="412"/>
      <c r="CF318" s="413"/>
      <c r="CG318" s="410"/>
      <c r="CH318" s="411"/>
      <c r="CI318" s="411"/>
      <c r="CJ318" s="412"/>
      <c r="CK318" s="413"/>
      <c r="CL318" s="410"/>
      <c r="CM318" s="411"/>
      <c r="CN318" s="411"/>
      <c r="CO318" s="412"/>
      <c r="CP318" s="413"/>
      <c r="CQ318" s="410"/>
      <c r="CR318" s="411"/>
      <c r="CS318" s="411"/>
      <c r="CT318" s="412"/>
      <c r="CU318" s="413"/>
      <c r="CV318" s="410"/>
      <c r="CW318" s="411"/>
      <c r="CX318" s="411"/>
      <c r="CY318" s="412"/>
      <c r="CZ318" s="413"/>
      <c r="DA318" s="410"/>
      <c r="DB318" s="411"/>
      <c r="DC318" s="411"/>
      <c r="DD318" s="412"/>
      <c r="DE318" s="413"/>
      <c r="DF318" s="410"/>
      <c r="DG318" s="411"/>
      <c r="DH318" s="411"/>
      <c r="DI318" s="412"/>
      <c r="DJ318" s="413"/>
      <c r="DK318" s="410"/>
      <c r="DL318" s="411"/>
      <c r="DM318" s="411"/>
      <c r="DN318" s="412"/>
      <c r="DO318" s="413"/>
      <c r="DP318" s="410"/>
      <c r="DQ318" s="411"/>
      <c r="DR318" s="411"/>
      <c r="DS318" s="412"/>
      <c r="DT318" s="413"/>
    </row>
    <row r="319" spans="1:124" ht="12.75" customHeight="1">
      <c r="C319" s="261" t="s">
        <v>282</v>
      </c>
      <c r="D319" s="261"/>
      <c r="E319" s="831"/>
      <c r="F319" s="1226"/>
      <c r="G319" s="1226"/>
      <c r="H319" s="610"/>
      <c r="I319" s="614"/>
      <c r="J319" s="616"/>
      <c r="K319" s="448"/>
      <c r="L319" s="407"/>
      <c r="M319" s="404"/>
      <c r="N319" s="414"/>
      <c r="O319" s="414"/>
      <c r="P319" s="406"/>
      <c r="Q319" s="407"/>
      <c r="R319" s="404"/>
      <c r="S319" s="414"/>
      <c r="T319" s="414"/>
      <c r="U319" s="406"/>
      <c r="V319" s="407"/>
      <c r="W319" s="404"/>
      <c r="X319" s="414"/>
      <c r="Y319" s="414"/>
      <c r="Z319" s="406"/>
      <c r="AA319" s="407"/>
      <c r="AB319" s="404"/>
      <c r="AC319" s="414"/>
      <c r="AD319" s="414"/>
      <c r="AE319" s="406"/>
      <c r="AF319" s="407"/>
      <c r="AG319" s="404"/>
      <c r="AH319" s="414"/>
      <c r="AI319" s="414"/>
      <c r="AJ319" s="406"/>
      <c r="AK319" s="407"/>
      <c r="AL319" s="404"/>
      <c r="AM319" s="414"/>
      <c r="AN319" s="414"/>
      <c r="AO319" s="406"/>
      <c r="AP319" s="407"/>
      <c r="AQ319" s="404"/>
      <c r="AR319" s="414"/>
      <c r="AS319" s="414"/>
      <c r="AT319" s="406"/>
      <c r="AU319" s="407"/>
      <c r="AV319" s="404"/>
      <c r="AW319" s="414"/>
      <c r="AX319" s="414"/>
      <c r="AY319" s="406"/>
      <c r="AZ319" s="407"/>
      <c r="BA319" s="404"/>
      <c r="BB319" s="414"/>
      <c r="BC319" s="414"/>
      <c r="BD319" s="406"/>
      <c r="BE319" s="407"/>
      <c r="BF319" s="404"/>
      <c r="BG319" s="414"/>
      <c r="BH319" s="414"/>
      <c r="BI319" s="406"/>
      <c r="BJ319" s="407"/>
      <c r="BK319" s="404"/>
      <c r="BL319" s="414"/>
      <c r="BM319" s="414"/>
      <c r="BN319" s="406"/>
      <c r="BO319" s="407"/>
      <c r="BP319" s="447"/>
      <c r="BQ319" s="413"/>
      <c r="BR319" s="410"/>
      <c r="BS319" s="416"/>
      <c r="BT319" s="416"/>
      <c r="BU319" s="412"/>
      <c r="BV319" s="413"/>
      <c r="BW319" s="410"/>
      <c r="BX319" s="416"/>
      <c r="BY319" s="416"/>
      <c r="BZ319" s="412"/>
      <c r="CA319" s="413"/>
      <c r="CB319" s="410"/>
      <c r="CC319" s="416"/>
      <c r="CD319" s="416"/>
      <c r="CE319" s="412"/>
      <c r="CF319" s="413"/>
      <c r="CG319" s="410"/>
      <c r="CH319" s="416"/>
      <c r="CI319" s="416"/>
      <c r="CJ319" s="412"/>
      <c r="CK319" s="413"/>
      <c r="CL319" s="410"/>
      <c r="CM319" s="416"/>
      <c r="CN319" s="416"/>
      <c r="CO319" s="412"/>
      <c r="CP319" s="413"/>
      <c r="CQ319" s="410"/>
      <c r="CR319" s="416"/>
      <c r="CS319" s="416"/>
      <c r="CT319" s="412"/>
      <c r="CU319" s="413"/>
      <c r="CV319" s="410"/>
      <c r="CW319" s="416"/>
      <c r="CX319" s="416"/>
      <c r="CY319" s="412"/>
      <c r="CZ319" s="413"/>
      <c r="DA319" s="410"/>
      <c r="DB319" s="416"/>
      <c r="DC319" s="416"/>
      <c r="DD319" s="412"/>
      <c r="DE319" s="413"/>
      <c r="DF319" s="410"/>
      <c r="DG319" s="416"/>
      <c r="DH319" s="416"/>
      <c r="DI319" s="412"/>
      <c r="DJ319" s="413"/>
      <c r="DK319" s="410"/>
      <c r="DL319" s="416"/>
      <c r="DM319" s="416"/>
      <c r="DN319" s="412"/>
      <c r="DO319" s="413"/>
      <c r="DP319" s="410"/>
      <c r="DQ319" s="416"/>
      <c r="DR319" s="416"/>
      <c r="DS319" s="412"/>
      <c r="DT319" s="413"/>
    </row>
    <row r="320" spans="1:124" ht="12.75" customHeight="1">
      <c r="A320" s="491"/>
      <c r="C320" s="845"/>
      <c r="D320" s="845"/>
      <c r="E320" s="1869"/>
      <c r="F320" s="829"/>
      <c r="G320" s="829"/>
      <c r="H320" s="610"/>
      <c r="I320" s="828"/>
      <c r="J320" s="617"/>
      <c r="K320" s="402"/>
      <c r="L320" s="407"/>
      <c r="M320" s="404"/>
      <c r="N320" s="414"/>
      <c r="O320" s="414"/>
      <c r="P320" s="406"/>
      <c r="Q320" s="407"/>
      <c r="R320" s="404"/>
      <c r="S320" s="414"/>
      <c r="T320" s="414"/>
      <c r="U320" s="406"/>
      <c r="V320" s="407"/>
      <c r="W320" s="404"/>
      <c r="X320" s="414"/>
      <c r="Y320" s="414"/>
      <c r="Z320" s="406"/>
      <c r="AA320" s="407"/>
      <c r="AB320" s="404"/>
      <c r="AC320" s="414"/>
      <c r="AD320" s="414"/>
      <c r="AE320" s="406"/>
      <c r="AF320" s="407"/>
      <c r="AG320" s="404"/>
      <c r="AH320" s="414"/>
      <c r="AI320" s="414"/>
      <c r="AJ320" s="406"/>
      <c r="AK320" s="407"/>
      <c r="AL320" s="404"/>
      <c r="AM320" s="414"/>
      <c r="AN320" s="414"/>
      <c r="AO320" s="406"/>
      <c r="AP320" s="407"/>
      <c r="AQ320" s="404"/>
      <c r="AR320" s="414"/>
      <c r="AS320" s="414"/>
      <c r="AT320" s="406"/>
      <c r="AU320" s="407"/>
      <c r="AV320" s="404"/>
      <c r="AW320" s="414"/>
      <c r="AX320" s="414"/>
      <c r="AY320" s="406"/>
      <c r="AZ320" s="407"/>
      <c r="BA320" s="404"/>
      <c r="BB320" s="414"/>
      <c r="BC320" s="414"/>
      <c r="BD320" s="406"/>
      <c r="BE320" s="407"/>
      <c r="BF320" s="404"/>
      <c r="BG320" s="414"/>
      <c r="BH320" s="414"/>
      <c r="BI320" s="406"/>
      <c r="BJ320" s="407"/>
      <c r="BK320" s="404"/>
      <c r="BL320" s="414"/>
      <c r="BM320" s="414"/>
      <c r="BN320" s="406"/>
      <c r="BO320" s="407"/>
      <c r="BP320" s="449"/>
      <c r="BQ320" s="413"/>
      <c r="BR320" s="410"/>
      <c r="BS320" s="416"/>
      <c r="BT320" s="416"/>
      <c r="BU320" s="412"/>
      <c r="BV320" s="413"/>
      <c r="BW320" s="410"/>
      <c r="BX320" s="416"/>
      <c r="BY320" s="416"/>
      <c r="BZ320" s="412"/>
      <c r="CA320" s="413"/>
      <c r="CB320" s="410"/>
      <c r="CC320" s="416"/>
      <c r="CD320" s="416"/>
      <c r="CE320" s="412"/>
      <c r="CF320" s="413"/>
      <c r="CG320" s="410"/>
      <c r="CH320" s="416"/>
      <c r="CI320" s="416"/>
      <c r="CJ320" s="412"/>
      <c r="CK320" s="413"/>
      <c r="CL320" s="410"/>
      <c r="CM320" s="416"/>
      <c r="CN320" s="416"/>
      <c r="CO320" s="412"/>
      <c r="CP320" s="413"/>
      <c r="CQ320" s="410"/>
      <c r="CR320" s="416"/>
      <c r="CS320" s="416"/>
      <c r="CT320" s="412"/>
      <c r="CU320" s="413"/>
      <c r="CV320" s="410"/>
      <c r="CW320" s="416"/>
      <c r="CX320" s="416"/>
      <c r="CY320" s="412"/>
      <c r="CZ320" s="413"/>
      <c r="DA320" s="410"/>
      <c r="DB320" s="416"/>
      <c r="DC320" s="416"/>
      <c r="DD320" s="412"/>
      <c r="DE320" s="413"/>
      <c r="DF320" s="410"/>
      <c r="DG320" s="416"/>
      <c r="DH320" s="416"/>
      <c r="DI320" s="412"/>
      <c r="DJ320" s="413"/>
      <c r="DK320" s="410"/>
      <c r="DL320" s="416"/>
      <c r="DM320" s="416"/>
      <c r="DN320" s="412"/>
      <c r="DO320" s="413"/>
      <c r="DP320" s="410"/>
      <c r="DQ320" s="416"/>
      <c r="DR320" s="416"/>
      <c r="DS320" s="412"/>
      <c r="DT320" s="413"/>
    </row>
    <row r="321" spans="1:124" ht="12.75" customHeight="1">
      <c r="A321" s="491"/>
      <c r="C321" s="845"/>
      <c r="D321" s="845"/>
      <c r="E321" s="831"/>
      <c r="F321" s="1226"/>
      <c r="G321" s="1226"/>
      <c r="H321" s="610"/>
      <c r="I321" s="830"/>
      <c r="J321" s="615"/>
      <c r="K321" s="402"/>
      <c r="L321" s="407"/>
      <c r="M321" s="404"/>
      <c r="N321" s="414"/>
      <c r="O321" s="414"/>
      <c r="P321" s="406"/>
      <c r="Q321" s="407"/>
      <c r="R321" s="404"/>
      <c r="S321" s="414"/>
      <c r="T321" s="414"/>
      <c r="U321" s="406"/>
      <c r="V321" s="407"/>
      <c r="W321" s="404"/>
      <c r="X321" s="414"/>
      <c r="Y321" s="414"/>
      <c r="Z321" s="406"/>
      <c r="AA321" s="407"/>
      <c r="AB321" s="404"/>
      <c r="AC321" s="414"/>
      <c r="AD321" s="414"/>
      <c r="AE321" s="406"/>
      <c r="AF321" s="407"/>
      <c r="AG321" s="404"/>
      <c r="AH321" s="414"/>
      <c r="AI321" s="414"/>
      <c r="AJ321" s="406"/>
      <c r="AK321" s="407"/>
      <c r="AL321" s="404"/>
      <c r="AM321" s="414"/>
      <c r="AN321" s="414"/>
      <c r="AO321" s="406"/>
      <c r="AP321" s="407"/>
      <c r="AQ321" s="404"/>
      <c r="AR321" s="414"/>
      <c r="AS321" s="414"/>
      <c r="AT321" s="406"/>
      <c r="AU321" s="407"/>
      <c r="AV321" s="404"/>
      <c r="AW321" s="414"/>
      <c r="AX321" s="414"/>
      <c r="AY321" s="406"/>
      <c r="AZ321" s="407"/>
      <c r="BA321" s="404"/>
      <c r="BB321" s="414"/>
      <c r="BC321" s="414"/>
      <c r="BD321" s="406"/>
      <c r="BE321" s="407"/>
      <c r="BF321" s="404"/>
      <c r="BG321" s="414"/>
      <c r="BH321" s="414"/>
      <c r="BI321" s="406"/>
      <c r="BJ321" s="407"/>
      <c r="BK321" s="404"/>
      <c r="BL321" s="414"/>
      <c r="BM321" s="414"/>
      <c r="BN321" s="406"/>
      <c r="BO321" s="407"/>
      <c r="BP321" s="449"/>
      <c r="BQ321" s="413"/>
      <c r="BR321" s="410"/>
      <c r="BS321" s="416"/>
      <c r="BT321" s="416"/>
      <c r="BU321" s="412"/>
      <c r="BV321" s="413"/>
      <c r="BW321" s="410"/>
      <c r="BX321" s="416"/>
      <c r="BY321" s="416"/>
      <c r="BZ321" s="412"/>
      <c r="CA321" s="413"/>
      <c r="CB321" s="410"/>
      <c r="CC321" s="416"/>
      <c r="CD321" s="416"/>
      <c r="CE321" s="412"/>
      <c r="CF321" s="413"/>
      <c r="CG321" s="410"/>
      <c r="CH321" s="416"/>
      <c r="CI321" s="416"/>
      <c r="CJ321" s="412"/>
      <c r="CK321" s="413"/>
      <c r="CL321" s="410"/>
      <c r="CM321" s="416"/>
      <c r="CN321" s="416"/>
      <c r="CO321" s="412"/>
      <c r="CP321" s="413"/>
      <c r="CQ321" s="410"/>
      <c r="CR321" s="416"/>
      <c r="CS321" s="416"/>
      <c r="CT321" s="412"/>
      <c r="CU321" s="413"/>
      <c r="CV321" s="410"/>
      <c r="CW321" s="416"/>
      <c r="CX321" s="416"/>
      <c r="CY321" s="412"/>
      <c r="CZ321" s="413"/>
      <c r="DA321" s="410"/>
      <c r="DB321" s="416"/>
      <c r="DC321" s="416"/>
      <c r="DD321" s="412"/>
      <c r="DE321" s="413"/>
      <c r="DF321" s="410"/>
      <c r="DG321" s="416"/>
      <c r="DH321" s="416"/>
      <c r="DI321" s="412"/>
      <c r="DJ321" s="413"/>
      <c r="DK321" s="410"/>
      <c r="DL321" s="416"/>
      <c r="DM321" s="416"/>
      <c r="DN321" s="412"/>
      <c r="DO321" s="413"/>
      <c r="DP321" s="410"/>
      <c r="DQ321" s="416"/>
      <c r="DR321" s="416"/>
      <c r="DS321" s="412"/>
      <c r="DT321" s="413"/>
    </row>
    <row r="322" spans="1:124" s="293" customFormat="1" ht="12.75" customHeight="1">
      <c r="A322"/>
      <c r="B322"/>
      <c r="C322" s="27" t="s">
        <v>48</v>
      </c>
      <c r="D322" s="27"/>
      <c r="E322" s="31">
        <f>SUM(E320)</f>
        <v>0</v>
      </c>
      <c r="F322" s="1234">
        <f>SUM(F320)</f>
        <v>0</v>
      </c>
      <c r="G322" s="1234">
        <f>SUM(G320)</f>
        <v>0</v>
      </c>
      <c r="H322" s="28"/>
      <c r="I322" s="29"/>
      <c r="J322" s="633"/>
      <c r="K322" s="531"/>
      <c r="L322" s="532">
        <f t="shared" ref="L322:W322" si="2386">SUM(L320)</f>
        <v>0</v>
      </c>
      <c r="M322" s="533">
        <f t="shared" si="2386"/>
        <v>0</v>
      </c>
      <c r="N322" s="534">
        <f t="shared" si="2386"/>
        <v>0</v>
      </c>
      <c r="O322" s="534">
        <f t="shared" si="2386"/>
        <v>0</v>
      </c>
      <c r="P322" s="535">
        <f t="shared" si="2386"/>
        <v>0</v>
      </c>
      <c r="Q322" s="532">
        <f t="shared" si="2386"/>
        <v>0</v>
      </c>
      <c r="R322" s="533">
        <f t="shared" si="2386"/>
        <v>0</v>
      </c>
      <c r="S322" s="534">
        <f t="shared" si="2386"/>
        <v>0</v>
      </c>
      <c r="T322" s="534">
        <f t="shared" si="2386"/>
        <v>0</v>
      </c>
      <c r="U322" s="535">
        <f t="shared" si="2386"/>
        <v>0</v>
      </c>
      <c r="V322" s="532">
        <f t="shared" si="2386"/>
        <v>0</v>
      </c>
      <c r="W322" s="533">
        <f t="shared" si="2386"/>
        <v>0</v>
      </c>
      <c r="X322" s="534">
        <f t="shared" ref="X322:AZ322" si="2387">SUM(X320)</f>
        <v>0</v>
      </c>
      <c r="Y322" s="534">
        <f t="shared" si="2387"/>
        <v>0</v>
      </c>
      <c r="Z322" s="535">
        <f t="shared" si="2387"/>
        <v>0</v>
      </c>
      <c r="AA322" s="532">
        <f t="shared" si="2387"/>
        <v>0</v>
      </c>
      <c r="AB322" s="533">
        <f t="shared" si="2387"/>
        <v>0</v>
      </c>
      <c r="AC322" s="534">
        <f t="shared" si="2387"/>
        <v>0</v>
      </c>
      <c r="AD322" s="534">
        <f t="shared" si="2387"/>
        <v>0</v>
      </c>
      <c r="AE322" s="535">
        <f t="shared" si="2387"/>
        <v>0</v>
      </c>
      <c r="AF322" s="532">
        <f t="shared" si="2387"/>
        <v>0</v>
      </c>
      <c r="AG322" s="533">
        <f t="shared" si="2387"/>
        <v>0</v>
      </c>
      <c r="AH322" s="534">
        <f t="shared" si="2387"/>
        <v>0</v>
      </c>
      <c r="AI322" s="534">
        <f t="shared" si="2387"/>
        <v>0</v>
      </c>
      <c r="AJ322" s="535">
        <f t="shared" si="2387"/>
        <v>0</v>
      </c>
      <c r="AK322" s="532">
        <f t="shared" si="2387"/>
        <v>0</v>
      </c>
      <c r="AL322" s="533">
        <f t="shared" si="2387"/>
        <v>0</v>
      </c>
      <c r="AM322" s="534">
        <f t="shared" si="2387"/>
        <v>0</v>
      </c>
      <c r="AN322" s="534">
        <f t="shared" si="2387"/>
        <v>0</v>
      </c>
      <c r="AO322" s="535">
        <f t="shared" si="2387"/>
        <v>0</v>
      </c>
      <c r="AP322" s="532">
        <f t="shared" si="2387"/>
        <v>0</v>
      </c>
      <c r="AQ322" s="533">
        <f t="shared" si="2387"/>
        <v>0</v>
      </c>
      <c r="AR322" s="534">
        <f t="shared" si="2387"/>
        <v>0</v>
      </c>
      <c r="AS322" s="534">
        <f t="shared" si="2387"/>
        <v>0</v>
      </c>
      <c r="AT322" s="535">
        <f t="shared" si="2387"/>
        <v>0</v>
      </c>
      <c r="AU322" s="532">
        <f t="shared" si="2387"/>
        <v>0</v>
      </c>
      <c r="AV322" s="533">
        <f t="shared" si="2387"/>
        <v>0</v>
      </c>
      <c r="AW322" s="534">
        <f t="shared" si="2387"/>
        <v>0</v>
      </c>
      <c r="AX322" s="534">
        <f t="shared" si="2387"/>
        <v>0</v>
      </c>
      <c r="AY322" s="535">
        <f t="shared" si="2387"/>
        <v>0</v>
      </c>
      <c r="AZ322" s="532">
        <f t="shared" si="2387"/>
        <v>0</v>
      </c>
      <c r="BA322" s="533">
        <f t="shared" ref="BA322:BJ322" si="2388">SUM(BA320)</f>
        <v>0</v>
      </c>
      <c r="BB322" s="534">
        <f t="shared" si="2388"/>
        <v>0</v>
      </c>
      <c r="BC322" s="534">
        <f t="shared" si="2388"/>
        <v>0</v>
      </c>
      <c r="BD322" s="535">
        <f t="shared" si="2388"/>
        <v>0</v>
      </c>
      <c r="BE322" s="532">
        <f t="shared" si="2388"/>
        <v>0</v>
      </c>
      <c r="BF322" s="533">
        <f t="shared" si="2388"/>
        <v>0</v>
      </c>
      <c r="BG322" s="534">
        <f t="shared" si="2388"/>
        <v>0</v>
      </c>
      <c r="BH322" s="534">
        <f t="shared" si="2388"/>
        <v>0</v>
      </c>
      <c r="BI322" s="535">
        <f t="shared" si="2388"/>
        <v>0</v>
      </c>
      <c r="BJ322" s="532">
        <f t="shared" si="2388"/>
        <v>0</v>
      </c>
      <c r="BK322" s="533">
        <f>SUM(BK320)</f>
        <v>0</v>
      </c>
      <c r="BL322" s="534">
        <f>SUM(BL320)</f>
        <v>0</v>
      </c>
      <c r="BM322" s="534">
        <f>SUM(BM320)</f>
        <v>0</v>
      </c>
      <c r="BN322" s="535">
        <f>SUM(BN320)</f>
        <v>0</v>
      </c>
      <c r="BO322" s="532">
        <f>SUM(BO320)</f>
        <v>0</v>
      </c>
      <c r="BP322" s="536"/>
      <c r="BQ322" s="537">
        <f t="shared" ref="BQ322:DE322" si="2389">SUM(BQ320)</f>
        <v>0</v>
      </c>
      <c r="BR322" s="538">
        <f t="shared" si="2389"/>
        <v>0</v>
      </c>
      <c r="BS322" s="539">
        <f t="shared" si="2389"/>
        <v>0</v>
      </c>
      <c r="BT322" s="539">
        <f t="shared" si="2389"/>
        <v>0</v>
      </c>
      <c r="BU322" s="540">
        <f t="shared" si="2389"/>
        <v>0</v>
      </c>
      <c r="BV322" s="537">
        <f t="shared" si="2389"/>
        <v>0</v>
      </c>
      <c r="BW322" s="538">
        <f t="shared" si="2389"/>
        <v>0</v>
      </c>
      <c r="BX322" s="539">
        <f t="shared" si="2389"/>
        <v>0</v>
      </c>
      <c r="BY322" s="539">
        <f t="shared" si="2389"/>
        <v>0</v>
      </c>
      <c r="BZ322" s="540">
        <f t="shared" si="2389"/>
        <v>0</v>
      </c>
      <c r="CA322" s="537">
        <f t="shared" si="2389"/>
        <v>0</v>
      </c>
      <c r="CB322" s="538">
        <f t="shared" si="2389"/>
        <v>0</v>
      </c>
      <c r="CC322" s="539">
        <f t="shared" si="2389"/>
        <v>0</v>
      </c>
      <c r="CD322" s="539">
        <f t="shared" si="2389"/>
        <v>0</v>
      </c>
      <c r="CE322" s="540">
        <f t="shared" si="2389"/>
        <v>0</v>
      </c>
      <c r="CF322" s="537">
        <f t="shared" si="2389"/>
        <v>0</v>
      </c>
      <c r="CG322" s="538">
        <f t="shared" si="2389"/>
        <v>0</v>
      </c>
      <c r="CH322" s="539">
        <f t="shared" si="2389"/>
        <v>0</v>
      </c>
      <c r="CI322" s="539">
        <f t="shared" si="2389"/>
        <v>0</v>
      </c>
      <c r="CJ322" s="540">
        <f t="shared" si="2389"/>
        <v>0</v>
      </c>
      <c r="CK322" s="537">
        <f t="shared" si="2389"/>
        <v>0</v>
      </c>
      <c r="CL322" s="538">
        <f t="shared" si="2389"/>
        <v>0</v>
      </c>
      <c r="CM322" s="539">
        <f t="shared" si="2389"/>
        <v>0</v>
      </c>
      <c r="CN322" s="539">
        <f t="shared" si="2389"/>
        <v>0</v>
      </c>
      <c r="CO322" s="540">
        <f t="shared" si="2389"/>
        <v>0</v>
      </c>
      <c r="CP322" s="537">
        <f t="shared" si="2389"/>
        <v>0</v>
      </c>
      <c r="CQ322" s="538">
        <f t="shared" si="2389"/>
        <v>0</v>
      </c>
      <c r="CR322" s="539">
        <f t="shared" si="2389"/>
        <v>0</v>
      </c>
      <c r="CS322" s="539">
        <f t="shared" si="2389"/>
        <v>0</v>
      </c>
      <c r="CT322" s="540">
        <f t="shared" si="2389"/>
        <v>0</v>
      </c>
      <c r="CU322" s="537">
        <f t="shared" si="2389"/>
        <v>0</v>
      </c>
      <c r="CV322" s="538">
        <f t="shared" si="2389"/>
        <v>0</v>
      </c>
      <c r="CW322" s="539">
        <f t="shared" si="2389"/>
        <v>0</v>
      </c>
      <c r="CX322" s="539">
        <f t="shared" si="2389"/>
        <v>0</v>
      </c>
      <c r="CY322" s="540">
        <f t="shared" si="2389"/>
        <v>0</v>
      </c>
      <c r="CZ322" s="537">
        <f t="shared" si="2389"/>
        <v>0</v>
      </c>
      <c r="DA322" s="538">
        <f t="shared" si="2389"/>
        <v>0</v>
      </c>
      <c r="DB322" s="539">
        <f t="shared" si="2389"/>
        <v>0</v>
      </c>
      <c r="DC322" s="539">
        <f t="shared" si="2389"/>
        <v>0</v>
      </c>
      <c r="DD322" s="540">
        <f t="shared" si="2389"/>
        <v>0</v>
      </c>
      <c r="DE322" s="537">
        <f t="shared" si="2389"/>
        <v>0</v>
      </c>
      <c r="DF322" s="538">
        <f t="shared" ref="DF322:DO322" si="2390">SUM(DF320)</f>
        <v>0</v>
      </c>
      <c r="DG322" s="539">
        <f t="shared" si="2390"/>
        <v>0</v>
      </c>
      <c r="DH322" s="539">
        <f t="shared" si="2390"/>
        <v>0</v>
      </c>
      <c r="DI322" s="540">
        <f t="shared" si="2390"/>
        <v>0</v>
      </c>
      <c r="DJ322" s="537">
        <f t="shared" si="2390"/>
        <v>0</v>
      </c>
      <c r="DK322" s="538">
        <f t="shared" si="2390"/>
        <v>0</v>
      </c>
      <c r="DL322" s="539">
        <f t="shared" si="2390"/>
        <v>0</v>
      </c>
      <c r="DM322" s="539">
        <f t="shared" si="2390"/>
        <v>0</v>
      </c>
      <c r="DN322" s="540">
        <f t="shared" si="2390"/>
        <v>0</v>
      </c>
      <c r="DO322" s="537">
        <f t="shared" si="2390"/>
        <v>0</v>
      </c>
      <c r="DP322" s="538">
        <f>SUM(DP320)</f>
        <v>0</v>
      </c>
      <c r="DQ322" s="539">
        <f>SUM(DQ320)</f>
        <v>0</v>
      </c>
      <c r="DR322" s="539">
        <f>SUM(DR320)</f>
        <v>0</v>
      </c>
      <c r="DS322" s="540">
        <f>SUM(DS320)</f>
        <v>0</v>
      </c>
      <c r="DT322" s="537">
        <f>SUM(DT320)</f>
        <v>0</v>
      </c>
    </row>
    <row r="323" spans="1:124" ht="12.75" customHeight="1">
      <c r="C323" s="11"/>
      <c r="D323" s="11"/>
      <c r="E323" s="831"/>
      <c r="F323" s="1226"/>
      <c r="G323" s="1226"/>
      <c r="H323" s="610"/>
      <c r="I323" s="13"/>
      <c r="J323" s="620" t="s">
        <v>255</v>
      </c>
      <c r="K323" s="402"/>
      <c r="L323" s="403"/>
      <c r="M323" s="404"/>
      <c r="N323" s="405"/>
      <c r="O323" s="405"/>
      <c r="P323" s="406"/>
      <c r="Q323" s="407"/>
      <c r="R323" s="404"/>
      <c r="S323" s="405"/>
      <c r="T323" s="405"/>
      <c r="U323" s="406"/>
      <c r="V323" s="407"/>
      <c r="W323" s="404"/>
      <c r="X323" s="405"/>
      <c r="Y323" s="405"/>
      <c r="Z323" s="406"/>
      <c r="AA323" s="407"/>
      <c r="AB323" s="404"/>
      <c r="AC323" s="405"/>
      <c r="AD323" s="405"/>
      <c r="AE323" s="406"/>
      <c r="AF323" s="407"/>
      <c r="AG323" s="404"/>
      <c r="AH323" s="405"/>
      <c r="AI323" s="405"/>
      <c r="AJ323" s="406"/>
      <c r="AK323" s="407"/>
      <c r="AL323" s="404"/>
      <c r="AM323" s="405"/>
      <c r="AN323" s="405"/>
      <c r="AO323" s="406"/>
      <c r="AP323" s="407"/>
      <c r="AQ323" s="404"/>
      <c r="AR323" s="405"/>
      <c r="AS323" s="405"/>
      <c r="AT323" s="406"/>
      <c r="AU323" s="407"/>
      <c r="AV323" s="404"/>
      <c r="AW323" s="405"/>
      <c r="AX323" s="405"/>
      <c r="AY323" s="406"/>
      <c r="AZ323" s="407"/>
      <c r="BA323" s="404"/>
      <c r="BB323" s="405"/>
      <c r="BC323" s="405"/>
      <c r="BD323" s="406"/>
      <c r="BE323" s="407"/>
      <c r="BF323" s="404"/>
      <c r="BG323" s="405"/>
      <c r="BH323" s="405"/>
      <c r="BI323" s="406"/>
      <c r="BJ323" s="407"/>
      <c r="BK323" s="404"/>
      <c r="BL323" s="405"/>
      <c r="BM323" s="405"/>
      <c r="BN323" s="406"/>
      <c r="BO323" s="407"/>
      <c r="BP323" s="449"/>
      <c r="BQ323" s="409"/>
      <c r="BR323" s="410"/>
      <c r="BS323" s="411"/>
      <c r="BT323" s="411"/>
      <c r="BU323" s="412"/>
      <c r="BV323" s="413"/>
      <c r="BW323" s="410"/>
      <c r="BX323" s="411"/>
      <c r="BY323" s="411"/>
      <c r="BZ323" s="412"/>
      <c r="CA323" s="413"/>
      <c r="CB323" s="410"/>
      <c r="CC323" s="411"/>
      <c r="CD323" s="411"/>
      <c r="CE323" s="412"/>
      <c r="CF323" s="413"/>
      <c r="CG323" s="410"/>
      <c r="CH323" s="411"/>
      <c r="CI323" s="411"/>
      <c r="CJ323" s="412"/>
      <c r="CK323" s="413"/>
      <c r="CL323" s="410"/>
      <c r="CM323" s="411"/>
      <c r="CN323" s="411"/>
      <c r="CO323" s="412"/>
      <c r="CP323" s="413"/>
      <c r="CQ323" s="410"/>
      <c r="CR323" s="411"/>
      <c r="CS323" s="411"/>
      <c r="CT323" s="412"/>
      <c r="CU323" s="413"/>
      <c r="CV323" s="410"/>
      <c r="CW323" s="411"/>
      <c r="CX323" s="411"/>
      <c r="CY323" s="412"/>
      <c r="CZ323" s="413"/>
      <c r="DA323" s="410"/>
      <c r="DB323" s="411"/>
      <c r="DC323" s="411"/>
      <c r="DD323" s="412"/>
      <c r="DE323" s="413"/>
      <c r="DF323" s="410"/>
      <c r="DG323" s="411"/>
      <c r="DH323" s="411"/>
      <c r="DI323" s="412"/>
      <c r="DJ323" s="413"/>
      <c r="DK323" s="410"/>
      <c r="DL323" s="411"/>
      <c r="DM323" s="411"/>
      <c r="DN323" s="412"/>
      <c r="DO323" s="413"/>
      <c r="DP323" s="410"/>
      <c r="DQ323" s="411"/>
      <c r="DR323" s="411"/>
      <c r="DS323" s="412"/>
      <c r="DT323" s="413"/>
    </row>
    <row r="324" spans="1:124" ht="12.75" customHeight="1">
      <c r="C324" s="14" t="s">
        <v>279</v>
      </c>
      <c r="D324" s="14"/>
      <c r="E324" s="831"/>
      <c r="F324" s="1226"/>
      <c r="G324" s="1226"/>
      <c r="H324" s="610"/>
      <c r="I324" s="13"/>
      <c r="J324" s="620" t="s">
        <v>255</v>
      </c>
      <c r="K324" s="402"/>
      <c r="L324" s="403"/>
      <c r="M324" s="404"/>
      <c r="N324" s="405"/>
      <c r="O324" s="405"/>
      <c r="P324" s="406"/>
      <c r="Q324" s="407"/>
      <c r="R324" s="404"/>
      <c r="S324" s="405"/>
      <c r="T324" s="405"/>
      <c r="U324" s="406"/>
      <c r="V324" s="407"/>
      <c r="W324" s="404"/>
      <c r="X324" s="405"/>
      <c r="Y324" s="405"/>
      <c r="Z324" s="406"/>
      <c r="AA324" s="407"/>
      <c r="AB324" s="404"/>
      <c r="AC324" s="405"/>
      <c r="AD324" s="405"/>
      <c r="AE324" s="406"/>
      <c r="AF324" s="407"/>
      <c r="AG324" s="404"/>
      <c r="AH324" s="405"/>
      <c r="AI324" s="405"/>
      <c r="AJ324" s="406"/>
      <c r="AK324" s="407"/>
      <c r="AL324" s="404"/>
      <c r="AM324" s="405"/>
      <c r="AN324" s="405"/>
      <c r="AO324" s="406"/>
      <c r="AP324" s="407"/>
      <c r="AQ324" s="404"/>
      <c r="AR324" s="405"/>
      <c r="AS324" s="405"/>
      <c r="AT324" s="406"/>
      <c r="AU324" s="407"/>
      <c r="AV324" s="404"/>
      <c r="AW324" s="405"/>
      <c r="AX324" s="405"/>
      <c r="AY324" s="406"/>
      <c r="AZ324" s="407"/>
      <c r="BA324" s="404"/>
      <c r="BB324" s="405"/>
      <c r="BC324" s="405"/>
      <c r="BD324" s="406"/>
      <c r="BE324" s="407"/>
      <c r="BF324" s="404"/>
      <c r="BG324" s="405"/>
      <c r="BH324" s="405"/>
      <c r="BI324" s="406"/>
      <c r="BJ324" s="407"/>
      <c r="BK324" s="404"/>
      <c r="BL324" s="405"/>
      <c r="BM324" s="405"/>
      <c r="BN324" s="406"/>
      <c r="BO324" s="407"/>
      <c r="BP324" s="449"/>
      <c r="BQ324" s="409"/>
      <c r="BR324" s="410"/>
      <c r="BS324" s="411"/>
      <c r="BT324" s="411"/>
      <c r="BU324" s="412"/>
      <c r="BV324" s="413"/>
      <c r="BW324" s="410"/>
      <c r="BX324" s="411"/>
      <c r="BY324" s="411"/>
      <c r="BZ324" s="412"/>
      <c r="CA324" s="413"/>
      <c r="CB324" s="410"/>
      <c r="CC324" s="411"/>
      <c r="CD324" s="411"/>
      <c r="CE324" s="412"/>
      <c r="CF324" s="413"/>
      <c r="CG324" s="410"/>
      <c r="CH324" s="411"/>
      <c r="CI324" s="411"/>
      <c r="CJ324" s="412"/>
      <c r="CK324" s="413"/>
      <c r="CL324" s="410"/>
      <c r="CM324" s="411"/>
      <c r="CN324" s="411"/>
      <c r="CO324" s="412"/>
      <c r="CP324" s="413"/>
      <c r="CQ324" s="410"/>
      <c r="CR324" s="411"/>
      <c r="CS324" s="411"/>
      <c r="CT324" s="412"/>
      <c r="CU324" s="413"/>
      <c r="CV324" s="410"/>
      <c r="CW324" s="411"/>
      <c r="CX324" s="411"/>
      <c r="CY324" s="412"/>
      <c r="CZ324" s="413"/>
      <c r="DA324" s="410"/>
      <c r="DB324" s="411"/>
      <c r="DC324" s="411"/>
      <c r="DD324" s="412"/>
      <c r="DE324" s="413"/>
      <c r="DF324" s="410"/>
      <c r="DG324" s="411"/>
      <c r="DH324" s="411"/>
      <c r="DI324" s="412"/>
      <c r="DJ324" s="413"/>
      <c r="DK324" s="410"/>
      <c r="DL324" s="411"/>
      <c r="DM324" s="411"/>
      <c r="DN324" s="412"/>
      <c r="DO324" s="413"/>
      <c r="DP324" s="410"/>
      <c r="DQ324" s="411"/>
      <c r="DR324" s="411"/>
      <c r="DS324" s="412"/>
      <c r="DT324" s="413"/>
    </row>
    <row r="325" spans="1:124" ht="12.75" customHeight="1">
      <c r="C325" s="1891" t="s">
        <v>74</v>
      </c>
      <c r="D325" s="1891"/>
      <c r="E325" s="1887">
        <f>'AEP River'!$BB$76</f>
        <v>0</v>
      </c>
      <c r="F325" s="1895"/>
      <c r="G325" s="1895"/>
      <c r="H325" s="16">
        <v>2018</v>
      </c>
      <c r="I325" s="1889">
        <f>+'Utility Detail'!$AW$13</f>
        <v>0.05</v>
      </c>
      <c r="J325" s="617">
        <v>7</v>
      </c>
      <c r="K325" s="402"/>
      <c r="L325" s="407">
        <f>IF(L$5=$H325,$E325,0)</f>
        <v>0</v>
      </c>
      <c r="M325" s="404">
        <f>IF(Q325=0,0,IF(Q325&gt;0,IF($J325=3,Q325,IF($J325=2,Q325,IF($J325=1,Q325,0)))))</f>
        <v>0</v>
      </c>
      <c r="N325" s="414">
        <f>IF(Q325=0,0,IF(Q325&gt;0,IF($J325=6,Q325,IF($J325=5,Q325,IF($J325=4,Q325,0)))))</f>
        <v>0</v>
      </c>
      <c r="O325" s="414">
        <f>IF(Q325=0,0,IF(Q325&gt;0,IF($J325=9,Q325,IF($J325=8,Q325,IF($J325=7,Q325,0)))))</f>
        <v>0</v>
      </c>
      <c r="P325" s="406">
        <f>IF(Q325=0,0,IF(Q325&gt;0,IF($J325=12,Q325,IF($J325=11,Q325,IF($J325=10,Q325,0)))))</f>
        <v>0</v>
      </c>
      <c r="Q325" s="407">
        <f>IF(Q$5=$H325,$E325,0)</f>
        <v>0</v>
      </c>
      <c r="R325" s="404">
        <f>IF(V325=0,0,IF(V325&gt;0,IF($J325=3,V325,IF($J325=2,V325,IF($J325=1,V325,0)))))</f>
        <v>0</v>
      </c>
      <c r="S325" s="414">
        <f>IF(V325=0,0,IF(V325&gt;0,IF($J325=6,V325,IF($J325=5,V325,IF($J325=4,V325,0)))))</f>
        <v>0</v>
      </c>
      <c r="T325" s="414">
        <f>IF(V325=0,0,IF(V325&gt;0,IF($J325=9,V325,IF($J325=8,V325,IF($J325=7,V325,0)))))</f>
        <v>0</v>
      </c>
      <c r="U325" s="406">
        <f>IF(V325=0,0,IF(V325&gt;0,IF($J325=12,V325,IF($J325=11,V325,IF($J325=10,V325,0)))))</f>
        <v>0</v>
      </c>
      <c r="V325" s="407">
        <f>IF(V$5=$H325,$E325,0)</f>
        <v>0</v>
      </c>
      <c r="W325" s="404">
        <f>IF(AA325=0,0,IF(AA325&gt;0,IF($J325=3,AA325,IF($J325=2,AA325,IF($J325=1,AA325,0)))))</f>
        <v>0</v>
      </c>
      <c r="X325" s="414">
        <f>IF(AA325=0,0,IF(AA325&gt;0,IF($J325=6,AA325,IF($J325=5,AA325,IF($J325=4,AA325,0)))))</f>
        <v>0</v>
      </c>
      <c r="Y325" s="414">
        <f>IF(AA325=0,0,IF(AA325&gt;0,IF($J325=9,AA325,IF($J325=8,AA325,IF($J325=7,AA325,0)))))</f>
        <v>0</v>
      </c>
      <c r="Z325" s="406">
        <f>IF(AA325=0,0,IF(AA325&gt;0,IF($J325=12,AA325,IF($J325=11,AA325,IF($J325=10,AA325,0)))))</f>
        <v>0</v>
      </c>
      <c r="AA325" s="407">
        <f>IF(AA$5=$H325,$E325,0)</f>
        <v>0</v>
      </c>
      <c r="AB325" s="404">
        <f>IF(AF325=0,0,IF(AF325&gt;0,IF($J325=3,AF325,IF($J325=2,AF325,IF($J325=1,AF325,0)))))</f>
        <v>0</v>
      </c>
      <c r="AC325" s="414">
        <f>IF(AF325=0,0,IF(AF325&gt;0,IF($J325=6,AF325,IF($J325=5,AF325,IF($J325=4,AF325,0)))))</f>
        <v>0</v>
      </c>
      <c r="AD325" s="414">
        <f>IF(AF325=0,0,IF(AF325&gt;0,IF($J325=9,AF325,IF($J325=8,AF325,IF($J325=7,AF325,0)))))</f>
        <v>0</v>
      </c>
      <c r="AE325" s="406">
        <f>IF(AF325=0,0,IF(AF325&gt;0,IF($J325=12,AF325,IF($J325=11,AF325,IF($J325=10,AF325,0)))))</f>
        <v>0</v>
      </c>
      <c r="AF325" s="407">
        <f>IF(AF$5=$H325,$E325,0)</f>
        <v>0</v>
      </c>
      <c r="AG325" s="404">
        <f>IF(AK325=0,0,IF(AK325&gt;0,IF($J325=3,AK325,IF($J325=2,AK325,IF($J325=1,AK325,0)))))</f>
        <v>0</v>
      </c>
      <c r="AH325" s="414">
        <f>IF(AK325=0,0,IF(AK325&gt;0,IF($J325=6,AK325,IF($J325=5,AK325,IF($J325=4,AK325,0)))))</f>
        <v>0</v>
      </c>
      <c r="AI325" s="414">
        <f>IF(AK325=0,0,IF(AK325&gt;0,IF($J325=9,AK325,IF($J325=8,AK325,IF($J325=7,AK325,0)))))</f>
        <v>0</v>
      </c>
      <c r="AJ325" s="406">
        <f>IF(AK325=0,0,IF(AK325&gt;0,IF($J325=12,AK325,IF($J325=11,AK325,IF($J325=10,AK325,0)))))</f>
        <v>0</v>
      </c>
      <c r="AK325" s="407">
        <f>IF(AK$5=$H325,$E325,0)</f>
        <v>0</v>
      </c>
      <c r="AL325" s="404">
        <f>IF(AP325=0,0,IF(AP325&gt;0,IF($J325=3,AP325,IF($J325=2,AP325,IF($J325=1,AP325,0)))))</f>
        <v>0</v>
      </c>
      <c r="AM325" s="414">
        <f>IF(AP325=0,0,IF(AP325&gt;0,IF($J325=6,AP325,IF($J325=5,AP325,IF($J325=4,AP325,0)))))</f>
        <v>0</v>
      </c>
      <c r="AN325" s="414">
        <f>IF(AP325=0,0,IF(AP325&gt;0,IF($J325=9,AP325,IF($J325=8,AP325,IF($J325=7,AP325,0)))))</f>
        <v>0</v>
      </c>
      <c r="AO325" s="406">
        <f>IF(AP325=0,0,IF(AP325&gt;0,IF($J325=12,AP325,IF($J325=11,AP325,IF($J325=10,AP325,0)))))</f>
        <v>0</v>
      </c>
      <c r="AP325" s="407">
        <f>IF(AP$5=$H325,$E325,0)</f>
        <v>0</v>
      </c>
      <c r="AQ325" s="404">
        <f>IF(AU325=0,0,IF(AU325&gt;0,IF($J325=3,AU325,IF($J325=2,AU325,IF($J325=1,AU325,0)))))</f>
        <v>0</v>
      </c>
      <c r="AR325" s="414">
        <f>IF(AU325=0,0,IF(AU325&gt;0,IF($J325=6,AU325,IF($J325=5,AU325,IF($J325=4,AU325,0)))))</f>
        <v>0</v>
      </c>
      <c r="AS325" s="414">
        <f>IF(AU325=0,0,IF(AU325&gt;0,IF($J325=9,AU325,IF($J325=8,AU325,IF($J325=7,AU325,0)))))</f>
        <v>0</v>
      </c>
      <c r="AT325" s="406">
        <f>IF(AU325=0,0,IF(AU325&gt;0,IF($J325=12,AU325,IF($J325=11,AU325,IF($J325=10,AU325,0)))))</f>
        <v>0</v>
      </c>
      <c r="AU325" s="407">
        <f>IF(AU$5=$H325,$E325,0)</f>
        <v>0</v>
      </c>
      <c r="AV325" s="404">
        <f>IF(AZ325=0,0,IF(AZ325&gt;0,IF($J325=3,AZ325,IF($J325=2,AZ325,IF($J325=1,AZ325,0)))))</f>
        <v>0</v>
      </c>
      <c r="AW325" s="414">
        <f>IF(AZ325=0,0,IF(AZ325&gt;0,IF($J325=6,AZ325,IF($J325=5,AZ325,IF($J325=4,AZ325,0)))))</f>
        <v>0</v>
      </c>
      <c r="AX325" s="414">
        <f>IF(AZ325=0,0,IF(AZ325&gt;0,IF($J325=9,AZ325,IF($J325=8,AZ325,IF($J325=7,AZ325,0)))))</f>
        <v>0</v>
      </c>
      <c r="AY325" s="406">
        <f>IF(AZ325=0,0,IF(AZ325&gt;0,IF($J325=12,AZ325,IF($J325=11,AZ325,IF($J325=10,AZ325,0)))))</f>
        <v>0</v>
      </c>
      <c r="AZ325" s="407">
        <f>IF(AZ$5=$H325,$E325,0)</f>
        <v>0</v>
      </c>
      <c r="BA325" s="404">
        <f>IF(BE325=0,0,IF(BE325&gt;0,IF($J325=3,BE325,IF($J325=2,BE325,IF($J325=1,BE325,0)))))</f>
        <v>0</v>
      </c>
      <c r="BB325" s="414">
        <f>IF(BE325=0,0,IF(BE325&gt;0,IF($J325=6,BE325,IF($J325=5,BE325,IF($J325=4,BE325,0)))))</f>
        <v>0</v>
      </c>
      <c r="BC325" s="414">
        <f>IF(BE325=0,0,IF(BE325&gt;0,IF($J325=9,BE325,IF($J325=8,BE325,IF($J325=7,BE325,0)))))</f>
        <v>0</v>
      </c>
      <c r="BD325" s="406">
        <f>IF(BE325=0,0,IF(BE325&gt;0,IF($J325=12,BE325,IF($J325=11,BE325,IF($J325=10,BE325,0)))))</f>
        <v>0</v>
      </c>
      <c r="BE325" s="407">
        <f>IF(BE$5=$H325,$E325,0)</f>
        <v>0</v>
      </c>
      <c r="BF325" s="404">
        <f>IF(BJ325=0,0,IF(BJ325&gt;0,IF($J325=3,BJ325,IF($J325=2,BJ325,IF($J325=1,BJ325,0)))))</f>
        <v>0</v>
      </c>
      <c r="BG325" s="414">
        <f>IF(BJ325=0,0,IF(BJ325&gt;0,IF($J325=6,BJ325,IF($J325=5,BJ325,IF($J325=4,BJ325,0)))))</f>
        <v>0</v>
      </c>
      <c r="BH325" s="414">
        <f>IF(BJ325=0,0,IF(BJ325&gt;0,IF($J325=9,BJ325,IF($J325=8,BJ325,IF($J325=7,BJ325,0)))))</f>
        <v>0</v>
      </c>
      <c r="BI325" s="406">
        <f>IF(BJ325=0,0,IF(BJ325&gt;0,IF($J325=12,BJ325,IF($J325=11,BJ325,IF($J325=10,BJ325,0)))))</f>
        <v>0</v>
      </c>
      <c r="BJ325" s="407">
        <f>IF(BJ$5=$H325,$E325,0)</f>
        <v>0</v>
      </c>
      <c r="BK325" s="404">
        <f>IF(BO325=0,0,IF(BO325&gt;0,IF($J325=3,BO325,IF($J325=2,BO325,IF($J325=1,BO325,0)))))</f>
        <v>0</v>
      </c>
      <c r="BL325" s="414">
        <f>IF(BO325=0,0,IF(BO325&gt;0,IF($J325=6,BO325,IF($J325=5,BO325,IF($J325=4,BO325,0)))))</f>
        <v>0</v>
      </c>
      <c r="BM325" s="414">
        <f>IF(BO325=0,0,IF(BO325&gt;0,IF($J325=9,BO325,IF($J325=8,BO325,IF($J325=7,BO325,0)))))</f>
        <v>0</v>
      </c>
      <c r="BN325" s="406">
        <f>IF(BO325=0,0,IF(BO325&gt;0,IF($J325=12,BO325,IF($J325=11,BO325,IF($J325=10,BO325,0)))))</f>
        <v>0</v>
      </c>
      <c r="BO325" s="407">
        <f>IF(BO$5=$H325,$E325,0)</f>
        <v>0</v>
      </c>
      <c r="BP325" s="447"/>
      <c r="BQ325" s="413">
        <f>IF(AND(AH325&lt;&gt;0,AH$5=$H325),$I325*$E325-AH325,IF(BQ$5=$H325,$I325*$E325*(12-$J325+1)/12,0))</f>
        <v>0</v>
      </c>
      <c r="BR325" s="410">
        <f>IF($H325&lt;&gt;BV$5,0,IF(BV325&gt;0,IF($J325=1,$E325*$I325/12*3,IF($J325=2,$E325*$I325/12*2,IF($J325=3,$E325*$I325/12*1,0)))))+IF(BQ$5&lt;&gt;$H325,0,IF(BQ325&gt;0,IF($J325=1,$E325*$I325/12*0,IF($J325=2,$E325*$I325/12*1,IF($J325=3,$E325*$I325/12*2,IF($J325&gt;=4,$E325*$I325/12*3,0))))))</f>
        <v>0</v>
      </c>
      <c r="BS325" s="416">
        <f>IF($H325&lt;&gt;BV$5,0,IF(BV325&gt;0,IF(OR($J325=1,$J325=2,$J325=3,$J325=4),$E325*$I325/12*3,IF($J325=5,$E325*$I325/12*2,IF($J325=6,$E325*$I325/12*1,0)))))+IF(BQ$5&lt;&gt;$H325,0,IF(BQ325&gt;0,IF($J325=4,$E325*$I325/12*0,IF($J325=5,$E325*$I325/12*1,IF($J325=6,$E325*$I325/12*2,IF($J325&gt;=7,$E325*$I325/12*3,0))))))</f>
        <v>0</v>
      </c>
      <c r="BT325" s="416">
        <f>IF($H325&lt;&gt;BV$5,0,IF(BV325&gt;0,IF(OR($J325=1,$J325=2,$J325=3,$J325=4,$J325=5,$J325=6,$J325=7),$E325*$I325/12*3,IF($J325=8,$E325*$I325/12*2,IF($J325=9,$E325*$I325/12*1,0)))))+IF(BQ$5&lt;&gt;$H325,0,IF(BQ325&gt;0,IF($J325=7,$E325*$I325/12*0,IF($J325=8,$E325*$I325/12*1,IF($J325=9,$E325*$I325/12*2,IF($J325&gt;=10,$E325*$I325/12*3,0))))))</f>
        <v>0</v>
      </c>
      <c r="BU325" s="412">
        <f>IF($H325&lt;&gt;BV$5,0,IF(BV325&gt;0,IF(OR($J325=1,$J325=2,$J325=3,$J325=4,$J325=5,$J325=6,$J325=7,$J325=8,$J325=9,$J325=10),$E325*$I325/12*3,IF($J325=11,$E325*$I325/12*2,IF($J325=12,$E325*$I325/12*1,0)))))+IF(BQ$5&lt;&gt;$H325,0,IF(BQ325&gt;0,IF($J325=10,$E325*$I325/12*0,IF($J325=11,$E325*$I325/12*1,IF($J325=12,$E325*$I325/12*2,0)))))</f>
        <v>0</v>
      </c>
      <c r="BV325" s="413">
        <f>IF(AND(BQ325&lt;&gt;0,BQ$5=$H325),$I325*$E325-BQ325,IF(BV$5=$H325,$I325*$E325*(12-$J325+1)/12,0))</f>
        <v>0</v>
      </c>
      <c r="BW325" s="410">
        <f>IF($H325&lt;&gt;CA$5,0,IF(CA325&gt;0,IF($J325=1,$E325*$I325/12*3,IF($J325=2,$E325*$I325/12*2,IF($J325=3,$E325*$I325/12*1,0)))))+IF(BV$5&lt;&gt;$H325,0,IF(BV325&gt;0,IF($J325=1,$E325*$I325/12*0,IF($J325=2,$E325*$I325/12*1,IF($J325=3,$E325*$I325/12*2,IF($J325&gt;=4,$E325*$I325/12*3,0))))))</f>
        <v>0</v>
      </c>
      <c r="BX325" s="416">
        <f>IF($H325&lt;&gt;CA$5,0,IF(CA325&gt;0,IF(OR($J325=1,$J325=2,$J325=3,$J325=4),$E325*$I325/12*3,IF($J325=5,$E325*$I325/12*2,IF($J325=6,$E325*$I325/12*1,0)))))+IF(BV$5&lt;&gt;$H325,0,IF(BV325&gt;0,IF($J325=4,$E325*$I325/12*0,IF($J325=5,$E325*$I325/12*1,IF($J325=6,$E325*$I325/12*2,IF($J325&gt;=7,$E325*$I325/12*3,0))))))</f>
        <v>0</v>
      </c>
      <c r="BY325" s="416">
        <f>IF($H325&lt;&gt;CA$5,0,IF(CA325&gt;0,IF(OR($J325=1,$J325=2,$J325=3,$J325=4,$J325=5,$J325=6,$J325=7),$E325*$I325/12*3,IF($J325=8,$E325*$I325/12*2,IF($J325=9,$E325*$I325/12*1,0)))))+IF(BV$5&lt;&gt;$H325,0,IF(BV325&gt;0,IF($J325=7,$E325*$I325/12*0,IF($J325=8,$E325*$I325/12*1,IF($J325=9,$E325*$I325/12*2,IF($J325&gt;=10,$E325*$I325/12*3,0))))))</f>
        <v>0</v>
      </c>
      <c r="BZ325" s="412">
        <f>IF($H325&lt;&gt;CA$5,0,IF(CA325&gt;0,IF(OR($J325=1,$J325=2,$J325=3,$J325=4,$J325=5,$J325=6,$J325=7,$J325=8,$J325=9,$J325=10),$E325*$I325/12*3,IF($J325=11,$E325*$I325/12*2,IF($J325=12,$E325*$I325/12*1,0)))))+IF(BV$5&lt;&gt;$H325,0,IF(BV325&gt;0,IF($J325=10,$E325*$I325/12*0,IF($J325=11,$E325*$I325/12*1,IF($J325=12,$E325*$I325/12*2,0)))))</f>
        <v>0</v>
      </c>
      <c r="CA325" s="413">
        <f>IF(AND(BV325&lt;&gt;0,BV$5=$H325),$I325*$E325-BV325,IF(CA$5=$H325,$I325*$E325*(12-$J325+1)/12,0))</f>
        <v>0</v>
      </c>
      <c r="CB325" s="410">
        <f>IF($H325&lt;&gt;CF$5,0,IF(CF325&gt;0,IF($J325=1,$E325*$I325/12*3,IF($J325=2,$E325*$I325/12*2,IF($J325=3,$E325*$I325/12*1,0)))))+IF(CA$5&lt;&gt;$H325,0,IF(CA325&gt;0,IF($J325=1,$E325*$I325/12*0,IF($J325=2,$E325*$I325/12*1,IF($J325=3,$E325*$I325/12*2,IF($J325&gt;=4,$E325*$I325/12*3,0))))))</f>
        <v>0</v>
      </c>
      <c r="CC325" s="416">
        <f>IF($H325&lt;&gt;CF$5,0,IF(CF325&gt;0,IF(OR($J325=1,$J325=2,$J325=3,$J325=4),$E325*$I325/12*3,IF($J325=5,$E325*$I325/12*2,IF($J325=6,$E325*$I325/12*1,0)))))+IF(CA$5&lt;&gt;$H325,0,IF(CA325&gt;0,IF($J325=4,$E325*$I325/12*0,IF($J325=5,$E325*$I325/12*1,IF($J325=6,$E325*$I325/12*2,IF($J325&gt;=7,$E325*$I325/12*3,0))))))</f>
        <v>0</v>
      </c>
      <c r="CD325" s="416">
        <f>IF($H325&lt;&gt;CF$5,0,IF(CF325&gt;0,IF(OR($J325=1,$J325=2,$J325=3,$J325=4,$J325=5,$J325=6,$J325=7),$E325*$I325/12*3,IF($J325=8,$E325*$I325/12*2,IF($J325=9,$E325*$I325/12*1,0)))))+IF(CA$5&lt;&gt;$H325,0,IF(CA325&gt;0,IF($J325=7,$E325*$I325/12*0,IF($J325=8,$E325*$I325/12*1,IF($J325=9,$E325*$I325/12*2,IF($J325&gt;=10,$E325*$I325/12*3,0))))))</f>
        <v>0</v>
      </c>
      <c r="CE325" s="412">
        <f>IF($H325&lt;&gt;CF$5,0,IF(CF325&gt;0,IF(OR($J325=1,$J325=2,$J325=3,$J325=4,$J325=5,$J325=6,$J325=7,$J325=8,$J325=9,$J325=10),$E325*$I325/12*3,IF($J325=11,$E325*$I325/12*2,IF($J325=12,$E325*$I325/12*1,0)))))+IF(CA$5&lt;&gt;$H325,0,IF(CA325&gt;0,IF($J325=10,$E325*$I325/12*0,IF($J325=11,$E325*$I325/12*1,IF($J325=12,$E325*$I325/12*2,0)))))</f>
        <v>0</v>
      </c>
      <c r="CF325" s="413">
        <f>IF(AND(CA325&lt;&gt;0,CA$5=$H325),$I325*$E325-CA325,IF(CF$5=$H325,$I325*$E325*(12-$J325+1)/12,0))</f>
        <v>0</v>
      </c>
      <c r="CG325" s="410">
        <f>IF($H325&lt;&gt;CK$5,0,IF(CK325&gt;0,IF($J325=1,$E325*$I325/12*3,IF($J325=2,$E325*$I325/12*2,IF($J325=3,$E325*$I325/12*1,0)))))+IF(CF$5&lt;&gt;$H325,0,IF(CF325&gt;0,IF($J325=1,$E325*$I325/12*0,IF($J325=2,$E325*$I325/12*1,IF($J325=3,$E325*$I325/12*2,IF($J325&gt;=4,$E325*$I325/12*3,0))))))</f>
        <v>0</v>
      </c>
      <c r="CH325" s="416">
        <f>IF($H325&lt;&gt;CK$5,0,IF(CK325&gt;0,IF(OR($J325=1,$J325=2,$J325=3,$J325=4),$E325*$I325/12*3,IF($J325=5,$E325*$I325/12*2,IF($J325=6,$E325*$I325/12*1,0)))))+IF(CF$5&lt;&gt;$H325,0,IF(CF325&gt;0,IF($J325=4,$E325*$I325/12*0,IF($J325=5,$E325*$I325/12*1,IF($J325=6,$E325*$I325/12*2,IF($J325&gt;=7,$E325*$I325/12*3,0))))))</f>
        <v>0</v>
      </c>
      <c r="CI325" s="416">
        <f>IF($H325&lt;&gt;CK$5,0,IF(CK325&gt;0,IF(OR($J325=1,$J325=2,$J325=3,$J325=4,$J325=5,$J325=6,$J325=7),$E325*$I325/12*3,IF($J325=8,$E325*$I325/12*2,IF($J325=9,$E325*$I325/12*1,0)))))+IF(CF$5&lt;&gt;$H325,0,IF(CF325&gt;0,IF($J325=7,$E325*$I325/12*0,IF($J325=8,$E325*$I325/12*1,IF($J325=9,$E325*$I325/12*2,IF($J325&gt;=10,$E325*$I325/12*3,0))))))</f>
        <v>0</v>
      </c>
      <c r="CJ325" s="412">
        <f>IF($H325&lt;&gt;CK$5,0,IF(CK325&gt;0,IF(OR($J325=1,$J325=2,$J325=3,$J325=4,$J325=5,$J325=6,$J325=7,$J325=8,$J325=9,$J325=10),$E325*$I325/12*3,IF($J325=11,$E325*$I325/12*2,IF($J325=12,$E325*$I325/12*1,0)))))+IF(CF$5&lt;&gt;$H325,0,IF(CF325&gt;0,IF($J325=10,$E325*$I325/12*0,IF($J325=11,$E325*$I325/12*1,IF($J325=12,$E325*$I325/12*2,0)))))</f>
        <v>0</v>
      </c>
      <c r="CK325" s="413">
        <f>IF(AND(CF325&lt;&gt;0,CF$5=$H325),$I325*$E325-CF325,IF(CK$5=$H325,$I325*$E325*(12-$J325+1)/12,0))</f>
        <v>0</v>
      </c>
      <c r="CL325" s="410">
        <f>IF($H325&lt;&gt;CP$5,0,IF(CP325&gt;0,IF($J325=1,$E325*$I325/12*3,IF($J325=2,$E325*$I325/12*2,IF($J325=3,$E325*$I325/12*1,0)))))+IF(CK$5&lt;&gt;$H325,0,IF(CK325&gt;0,IF($J325=1,$E325*$I325/12*0,IF($J325=2,$E325*$I325/12*1,IF($J325=3,$E325*$I325/12*2,IF($J325&gt;=4,$E325*$I325/12*3,0))))))</f>
        <v>0</v>
      </c>
      <c r="CM325" s="416">
        <f>IF($H325&lt;&gt;CP$5,0,IF(CP325&gt;0,IF(OR($J325=1,$J325=2,$J325=3,$J325=4),$E325*$I325/12*3,IF($J325=5,$E325*$I325/12*2,IF($J325=6,$E325*$I325/12*1,0)))))+IF(CK$5&lt;&gt;$H325,0,IF(CK325&gt;0,IF($J325=4,$E325*$I325/12*0,IF($J325=5,$E325*$I325/12*1,IF($J325=6,$E325*$I325/12*2,IF($J325&gt;=7,$E325*$I325/12*3,0))))))</f>
        <v>0</v>
      </c>
      <c r="CN325" s="416">
        <f>IF($H325&lt;&gt;CP$5,0,IF(CP325&gt;0,IF(OR($J325=1,$J325=2,$J325=3,$J325=4,$J325=5,$J325=6,$J325=7),$E325*$I325/12*3,IF($J325=8,$E325*$I325/12*2,IF($J325=9,$E325*$I325/12*1,0)))))+IF(CK$5&lt;&gt;$H325,0,IF(CK325&gt;0,IF($J325=7,$E325*$I325/12*0,IF($J325=8,$E325*$I325/12*1,IF($J325=9,$E325*$I325/12*2,IF($J325&gt;=10,$E325*$I325/12*3,0))))))</f>
        <v>0</v>
      </c>
      <c r="CO325" s="412">
        <f>IF($H325&lt;&gt;CP$5,0,IF(CP325&gt;0,IF(OR($J325=1,$J325=2,$J325=3,$J325=4,$J325=5,$J325=6,$J325=7,$J325=8,$J325=9,$J325=10),$E325*$I325/12*3,IF($J325=11,$E325*$I325/12*2,IF($J325=12,$E325*$I325/12*1,0)))))+IF(CK$5&lt;&gt;$H325,0,IF(CK325&gt;0,IF($J325=10,$E325*$I325/12*0,IF($J325=11,$E325*$I325/12*1,IF($J325=12,$E325*$I325/12*2,0)))))</f>
        <v>0</v>
      </c>
      <c r="CP325" s="413">
        <f>IF(AND(CK325&lt;&gt;0,CK$5=$H325),$I325*$E325-CK325,IF(CP$5=$H325,$I325*$E325*(12-$J325+1)/12,0))</f>
        <v>0</v>
      </c>
      <c r="CQ325" s="410">
        <f>IF($H325&lt;&gt;CU$5,0,IF(CU325&gt;0,IF($J325=1,$E325*$I325/12*3,IF($J325=2,$E325*$I325/12*2,IF($J325=3,$E325*$I325/12*1,0)))))+IF(CP$5&lt;&gt;$H325,0,IF(CP325&gt;0,IF($J325=1,$E325*$I325/12*0,IF($J325=2,$E325*$I325/12*1,IF($J325=3,$E325*$I325/12*2,IF($J325&gt;=4,$E325*$I325/12*3,0))))))</f>
        <v>0</v>
      </c>
      <c r="CR325" s="416">
        <f>IF($H325&lt;&gt;CU$5,0,IF(CU325&gt;0,IF(OR($J325=1,$J325=2,$J325=3,$J325=4),$E325*$I325/12*3,IF($J325=5,$E325*$I325/12*2,IF($J325=6,$E325*$I325/12*1,0)))))+IF(CP$5&lt;&gt;$H325,0,IF(CP325&gt;0,IF($J325=4,$E325*$I325/12*0,IF($J325=5,$E325*$I325/12*1,IF($J325=6,$E325*$I325/12*2,IF($J325&gt;=7,$E325*$I325/12*3,0))))))</f>
        <v>0</v>
      </c>
      <c r="CS325" s="416">
        <f>IF($H325&lt;&gt;CU$5,0,IF(CU325&gt;0,IF(OR($J325=1,$J325=2,$J325=3,$J325=4,$J325=5,$J325=6,$J325=7),$E325*$I325/12*3,IF($J325=8,$E325*$I325/12*2,IF($J325=9,$E325*$I325/12*1,0)))))+IF(CP$5&lt;&gt;$H325,0,IF(CP325&gt;0,IF($J325=7,$E325*$I325/12*0,IF($J325=8,$E325*$I325/12*1,IF($J325=9,$E325*$I325/12*2,IF($J325&gt;=10,$E325*$I325/12*3,0))))))</f>
        <v>0</v>
      </c>
      <c r="CT325" s="412">
        <f>IF($H325&lt;&gt;CU$5,0,IF(CU325&gt;0,IF(OR($J325=1,$J325=2,$J325=3,$J325=4,$J325=5,$J325=6,$J325=7,$J325=8,$J325=9,$J325=10),$E325*$I325/12*3,IF($J325=11,$E325*$I325/12*2,IF($J325=12,$E325*$I325/12*1,0)))))+IF(CP$5&lt;&gt;$H325,0,IF(CP325&gt;0,IF($J325=10,$E325*$I325/12*0,IF($J325=11,$E325*$I325/12*1,IF($J325=12,$E325*$I325/12*2,0)))))</f>
        <v>0</v>
      </c>
      <c r="CU325" s="413">
        <f>IF(AND(CP325&lt;&gt;0,CP$5=$H325),$I325*$E325-CP325,IF(CU$5=$H325,$I325*$E325*(12-$J325+1)/12,0))</f>
        <v>0</v>
      </c>
      <c r="CV325" s="410">
        <f>IF($H325&lt;&gt;CZ$5,0,IF(CZ325&gt;0,IF($J325=1,$E325*$I325/12*3,IF($J325=2,$E325*$I325/12*2,IF($J325=3,$E325*$I325/12*1,0)))))+IF(CU$5&lt;&gt;$H325,0,IF(CU325&gt;0,IF($J325=1,$E325*$I325/12*0,IF($J325=2,$E325*$I325/12*1,IF($J325=3,$E325*$I325/12*2,IF($J325&gt;=4,$E325*$I325/12*3,0))))))</f>
        <v>0</v>
      </c>
      <c r="CW325" s="416">
        <f>IF($H325&lt;&gt;CZ$5,0,IF(CZ325&gt;0,IF(OR($J325=1,$J325=2,$J325=3,$J325=4),$E325*$I325/12*3,IF($J325=5,$E325*$I325/12*2,IF($J325=6,$E325*$I325/12*1,0)))))+IF(CU$5&lt;&gt;$H325,0,IF(CU325&gt;0,IF($J325=4,$E325*$I325/12*0,IF($J325=5,$E325*$I325/12*1,IF($J325=6,$E325*$I325/12*2,IF($J325&gt;=7,$E325*$I325/12*3,0))))))</f>
        <v>0</v>
      </c>
      <c r="CX325" s="416">
        <f>IF($H325&lt;&gt;CZ$5,0,IF(CZ325&gt;0,IF(OR($J325=1,$J325=2,$J325=3,$J325=4,$J325=5,$J325=6,$J325=7),$E325*$I325/12*3,IF($J325=8,$E325*$I325/12*2,IF($J325=9,$E325*$I325/12*1,0)))))+IF(CU$5&lt;&gt;$H325,0,IF(CU325&gt;0,IF($J325=7,$E325*$I325/12*0,IF($J325=8,$E325*$I325/12*1,IF($J325=9,$E325*$I325/12*2,IF($J325&gt;=10,$E325*$I325/12*3,0))))))</f>
        <v>0</v>
      </c>
      <c r="CY325" s="412">
        <f>IF($H325&lt;&gt;CZ$5,0,IF(CZ325&gt;0,IF(OR($J325=1,$J325=2,$J325=3,$J325=4,$J325=5,$J325=6,$J325=7,$J325=8,$J325=9,$J325=10),$E325*$I325/12*3,IF($J325=11,$E325*$I325/12*2,IF($J325=12,$E325*$I325/12*1,0)))))+IF(CU$5&lt;&gt;$H325,0,IF(CU325&gt;0,IF($J325=10,$E325*$I325/12*0,IF($J325=11,$E325*$I325/12*1,IF($J325=12,$E325*$I325/12*2,0)))))</f>
        <v>0</v>
      </c>
      <c r="CZ325" s="413">
        <f>IF(AND(CU325&lt;&gt;0,CU$5=$H325),$I325*$E325-CU325,IF(CZ$5=$H325,$I325*$E325*(12-$J325+1)/12,0))</f>
        <v>0</v>
      </c>
      <c r="DA325" s="410">
        <f>IF($H325&lt;&gt;DE$5,0,IF(DE325&gt;0,IF($J325=1,$E325*$I325/12*3,IF($J325=2,$E325*$I325/12*2,IF($J325=3,$E325*$I325/12*1,0)))))+IF(CZ$5&lt;&gt;$H325,0,IF(CZ325&gt;0,IF($J325=1,$E325*$I325/12*0,IF($J325=2,$E325*$I325/12*1,IF($J325=3,$E325*$I325/12*2,IF($J325&gt;=4,$E325*$I325/12*3,0))))))</f>
        <v>0</v>
      </c>
      <c r="DB325" s="416">
        <f>IF($H325&lt;&gt;DE$5,0,IF(DE325&gt;0,IF(OR($J325=1,$J325=2,$J325=3,$J325=4),$E325*$I325/12*3,IF($J325=5,$E325*$I325/12*2,IF($J325=6,$E325*$I325/12*1,0)))))+IF(CZ$5&lt;&gt;$H325,0,IF(CZ325&gt;0,IF($J325=4,$E325*$I325/12*0,IF($J325=5,$E325*$I325/12*1,IF($J325=6,$E325*$I325/12*2,IF($J325&gt;=7,$E325*$I325/12*3,0))))))</f>
        <v>0</v>
      </c>
      <c r="DC325" s="416">
        <f>IF($H325&lt;&gt;DE$5,0,IF(DE325&gt;0,IF(OR($J325=1,$J325=2,$J325=3,$J325=4,$J325=5,$J325=6,$J325=7),$E325*$I325/12*3,IF($J325=8,$E325*$I325/12*2,IF($J325=9,$E325*$I325/12*1,0)))))+IF(CZ$5&lt;&gt;$H325,0,IF(CZ325&gt;0,IF($J325=7,$E325*$I325/12*0,IF($J325=8,$E325*$I325/12*1,IF($J325=9,$E325*$I325/12*2,IF($J325&gt;=10,$E325*$I325/12*3,0))))))</f>
        <v>0</v>
      </c>
      <c r="DD325" s="412">
        <f>IF($H325&lt;&gt;DE$5,0,IF(DE325&gt;0,IF(OR($J325=1,$J325=2,$J325=3,$J325=4,$J325=5,$J325=6,$J325=7,$J325=8,$J325=9,$J325=10),$E325*$I325/12*3,IF($J325=11,$E325*$I325/12*2,IF($J325=12,$E325*$I325/12*1,0)))))+IF(CZ$5&lt;&gt;$H325,0,IF(CZ325&gt;0,IF($J325=10,$E325*$I325/12*0,IF($J325=11,$E325*$I325/12*1,IF($J325=12,$E325*$I325/12*2,0)))))</f>
        <v>0</v>
      </c>
      <c r="DE325" s="413">
        <f>IF(AND(CZ325&lt;&gt;0,CZ$5=$H325),$I325*$E325-CZ325,IF(DE$5=$H325,$I325*$E325*(12-$J325+1)/12,0))</f>
        <v>0</v>
      </c>
      <c r="DF325" s="410">
        <f>IF($H325&lt;&gt;DJ$5,0,IF(DJ325&gt;0,IF($J325=1,$E325*$I325/12*3,IF($J325=2,$E325*$I325/12*2,IF($J325=3,$E325*$I325/12*1,0)))))+IF(DE$5&lt;&gt;$H325,0,IF(DE325&gt;0,IF($J325=1,$E325*$I325/12*0,IF($J325=2,$E325*$I325/12*1,IF($J325=3,$E325*$I325/12*2,IF($J325&gt;=4,$E325*$I325/12*3,0))))))</f>
        <v>0</v>
      </c>
      <c r="DG325" s="416">
        <f>IF($H325&lt;&gt;DJ$5,0,IF(DJ325&gt;0,IF(OR($J325=1,$J325=2,$J325=3,$J325=4),$E325*$I325/12*3,IF($J325=5,$E325*$I325/12*2,IF($J325=6,$E325*$I325/12*1,0)))))+IF(DE$5&lt;&gt;$H325,0,IF(DE325&gt;0,IF($J325=4,$E325*$I325/12*0,IF($J325=5,$E325*$I325/12*1,IF($J325=6,$E325*$I325/12*2,IF($J325&gt;=7,$E325*$I325/12*3,0))))))</f>
        <v>0</v>
      </c>
      <c r="DH325" s="416">
        <f>IF($H325&lt;&gt;DJ$5,0,IF(DJ325&gt;0,IF(OR($J325=1,$J325=2,$J325=3,$J325=4,$J325=5,$J325=6,$J325=7),$E325*$I325/12*3,IF($J325=8,$E325*$I325/12*2,IF($J325=9,$E325*$I325/12*1,0)))))+IF(DE$5&lt;&gt;$H325,0,IF(DE325&gt;0,IF($J325=7,$E325*$I325/12*0,IF($J325=8,$E325*$I325/12*1,IF($J325=9,$E325*$I325/12*2,IF($J325&gt;=10,$E325*$I325/12*3,0))))))</f>
        <v>0</v>
      </c>
      <c r="DI325" s="412">
        <f>IF($H325&lt;&gt;DJ$5,0,IF(DJ325&gt;0,IF(OR($J325=1,$J325=2,$J325=3,$J325=4,$J325=5,$J325=6,$J325=7,$J325=8,$J325=9,$J325=10),$E325*$I325/12*3,IF($J325=11,$E325*$I325/12*2,IF($J325=12,$E325*$I325/12*1,0)))))+IF(DE$5&lt;&gt;$H325,0,IF(DE325&gt;0,IF($J325=10,$E325*$I325/12*0,IF($J325=11,$E325*$I325/12*1,IF($J325=12,$E325*$I325/12*2,0)))))</f>
        <v>0</v>
      </c>
      <c r="DJ325" s="413">
        <f>IF(AND(DE325&lt;&gt;0,DE$5=$H325),$I325*$E325-DE325,IF(DJ$5=$H325,$I325*$E325*(12-$J325+1)/12,0))</f>
        <v>0</v>
      </c>
      <c r="DK325" s="410">
        <f>IF($H325&lt;&gt;DO$5,0,IF(DO325&gt;0,IF($J325=1,$E325*$I325/12*3,IF($J325=2,$E325*$I325/12*2,IF($J325=3,$E325*$I325/12*1,0)))))+IF(DJ$5&lt;&gt;$H325,0,IF(DJ325&gt;0,IF($J325=1,$E325*$I325/12*0,IF($J325=2,$E325*$I325/12*1,IF($J325=3,$E325*$I325/12*2,IF($J325&gt;=4,$E325*$I325/12*3,0))))))</f>
        <v>0</v>
      </c>
      <c r="DL325" s="416">
        <f>IF($H325&lt;&gt;DO$5,0,IF(DO325&gt;0,IF(OR($J325=1,$J325=2,$J325=3,$J325=4),$E325*$I325/12*3,IF($J325=5,$E325*$I325/12*2,IF($J325=6,$E325*$I325/12*1,0)))))+IF(DJ$5&lt;&gt;$H325,0,IF(DJ325&gt;0,IF($J325=4,$E325*$I325/12*0,IF($J325=5,$E325*$I325/12*1,IF($J325=6,$E325*$I325/12*2,IF($J325&gt;=7,$E325*$I325/12*3,0))))))</f>
        <v>0</v>
      </c>
      <c r="DM325" s="416">
        <f>IF($H325&lt;&gt;DO$5,0,IF(DO325&gt;0,IF(OR($J325=1,$J325=2,$J325=3,$J325=4,$J325=5,$J325=6,$J325=7),$E325*$I325/12*3,IF($J325=8,$E325*$I325/12*2,IF($J325=9,$E325*$I325/12*1,0)))))+IF(DJ$5&lt;&gt;$H325,0,IF(DJ325&gt;0,IF($J325=7,$E325*$I325/12*0,IF($J325=8,$E325*$I325/12*1,IF($J325=9,$E325*$I325/12*2,IF($J325&gt;=10,$E325*$I325/12*3,0))))))</f>
        <v>0</v>
      </c>
      <c r="DN325" s="412">
        <f>IF($H325&lt;&gt;DO$5,0,IF(DO325&gt;0,IF(OR($J325=1,$J325=2,$J325=3,$J325=4,$J325=5,$J325=6,$J325=7,$J325=8,$J325=9,$J325=10),$E325*$I325/12*3,IF($J325=11,$E325*$I325/12*2,IF($J325=12,$E325*$I325/12*1,0)))))+IF(DJ$5&lt;&gt;$H325,0,IF(DJ325&gt;0,IF($J325=10,$E325*$I325/12*0,IF($J325=11,$E325*$I325/12*1,IF($J325=12,$E325*$I325/12*2,0)))))</f>
        <v>0</v>
      </c>
      <c r="DO325" s="413">
        <f>IF(AND(DJ325&lt;&gt;0,DJ$5=$H325),$I325*$E325-DJ325,IF(DO$5=$H325,$I325*$E325*(12-$J325+1)/12,0))</f>
        <v>0</v>
      </c>
      <c r="DP325" s="410">
        <f>IF($H325&lt;&gt;DT$5,0,IF(DT325&gt;0,IF($J325=1,$E325*$I325/12*3,IF($J325=2,$E325*$I325/12*2,IF($J325=3,$E325*$I325/12*1,0)))))+IF(DO$5&lt;&gt;$H325,0,IF(DO325&gt;0,IF($J325=1,$E325*$I325/12*0,IF($J325=2,$E325*$I325/12*1,IF($J325=3,$E325*$I325/12*2,IF($J325&gt;=4,$E325*$I325/12*3,0))))))</f>
        <v>0</v>
      </c>
      <c r="DQ325" s="416">
        <f>IF($H325&lt;&gt;DT$5,0,IF(DT325&gt;0,IF(OR($J325=1,$J325=2,$J325=3,$J325=4),$E325*$I325/12*3,IF($J325=5,$E325*$I325/12*2,IF($J325=6,$E325*$I325/12*1,0)))))+IF(DO$5&lt;&gt;$H325,0,IF(DO325&gt;0,IF($J325=4,$E325*$I325/12*0,IF($J325=5,$E325*$I325/12*1,IF($J325=6,$E325*$I325/12*2,IF($J325&gt;=7,$E325*$I325/12*3,0))))))</f>
        <v>0</v>
      </c>
      <c r="DR325" s="416">
        <f>IF($H325&lt;&gt;DT$5,0,IF(DT325&gt;0,IF(OR($J325=1,$J325=2,$J325=3,$J325=4,$J325=5,$J325=6,$J325=7),$E325*$I325/12*3,IF($J325=8,$E325*$I325/12*2,IF($J325=9,$E325*$I325/12*1,0)))))+IF(DO$5&lt;&gt;$H325,0,IF(DO325&gt;0,IF($J325=7,$E325*$I325/12*0,IF($J325=8,$E325*$I325/12*1,IF($J325=9,$E325*$I325/12*2,IF($J325&gt;=10,$E325*$I325/12*3,0))))))</f>
        <v>0</v>
      </c>
      <c r="DS325" s="412">
        <f>IF($H325&lt;&gt;DT$5,0,IF(DT325&gt;0,IF(OR($J325=1,$J325=2,$J325=3,$J325=4,$J325=5,$J325=6,$J325=7,$J325=8,$J325=9,$J325=10),$E325*$I325/12*3,IF($J325=11,$E325*$I325/12*2,IF($J325=12,$E325*$I325/12*1,0)))))+IF(DO$5&lt;&gt;$H325,0,IF(DO325&gt;0,IF($J325=10,$E325*$I325/12*0,IF($J325=11,$E325*$I325/12*1,IF($J325=12,$E325*$I325/12*2,0)))))</f>
        <v>0</v>
      </c>
      <c r="DT325" s="413">
        <f>IF(AND(DO325&lt;&gt;0,DO$5=$H325),$I325*$E325-DO325,IF(DT$5=$H325,$I325*$E325*(12-$J325+1)/12,0))</f>
        <v>0</v>
      </c>
    </row>
    <row r="326" spans="1:124" ht="12.75" customHeight="1">
      <c r="A326" s="491"/>
      <c r="C326" s="845"/>
      <c r="D326" s="845"/>
      <c r="E326" s="1869"/>
      <c r="F326" s="829"/>
      <c r="G326" s="829"/>
      <c r="H326" s="610"/>
      <c r="I326" s="828"/>
      <c r="J326" s="617"/>
      <c r="K326" s="402"/>
      <c r="L326" s="407">
        <f>IF(L$5=$H326,$E326,0)</f>
        <v>0</v>
      </c>
      <c r="M326" s="404">
        <f>IF(Q326=0,0,IF(Q326&gt;0,IF($J326=3,Q326,IF($J326=2,Q326,IF($J326=1,Q326,0)))))</f>
        <v>0</v>
      </c>
      <c r="N326" s="414">
        <f>IF(Q326=0,0,IF(Q326&gt;0,IF($J326=6,Q326,IF($J326=5,Q326,IF($J326=4,Q326,0)))))</f>
        <v>0</v>
      </c>
      <c r="O326" s="414">
        <f>IF(Q326=0,0,IF(Q326&gt;0,IF($J326=9,Q326,IF($J326=8,Q326,IF($J326=7,Q326,0)))))</f>
        <v>0</v>
      </c>
      <c r="P326" s="406">
        <f>IF(Q326=0,0,IF(Q326&gt;0,IF($J326=12,Q326,IF($J326=11,Q326,IF($J326=10,Q326,0)))))</f>
        <v>0</v>
      </c>
      <c r="Q326" s="407">
        <f>IF(Q$5=$H326,$E326,0)</f>
        <v>0</v>
      </c>
      <c r="R326" s="404">
        <f>IF(V326=0,0,IF(V326&gt;0,IF($J326=3,V326,IF($J326=2,V326,IF($J326=1,V326,0)))))</f>
        <v>0</v>
      </c>
      <c r="S326" s="414">
        <f>IF(V326=0,0,IF(V326&gt;0,IF($J326=6,V326,IF($J326=5,V326,IF($J326=4,V326,0)))))</f>
        <v>0</v>
      </c>
      <c r="T326" s="414">
        <f>IF(V326=0,0,IF(V326&gt;0,IF($J326=9,V326,IF($J326=8,V326,IF($J326=7,V326,0)))))</f>
        <v>0</v>
      </c>
      <c r="U326" s="406">
        <f>IF(V326=0,0,IF(V326&gt;0,IF($J326=12,V326,IF($J326=11,V326,IF($J326=10,V326,0)))))</f>
        <v>0</v>
      </c>
      <c r="V326" s="407">
        <f>IF(V$5=$H326,$E326,0)</f>
        <v>0</v>
      </c>
      <c r="W326" s="404">
        <f>IF(AA326=0,0,IF(AA326&gt;0,IF($J326=3,AA326,IF($J326=2,AA326,IF($J326=1,AA326,0)))))</f>
        <v>0</v>
      </c>
      <c r="X326" s="414">
        <f>IF(AA326=0,0,IF(AA326&gt;0,IF($J326=6,AA326,IF($J326=5,AA326,IF($J326=4,AA326,0)))))</f>
        <v>0</v>
      </c>
      <c r="Y326" s="414">
        <f>IF(AA326=0,0,IF(AA326&gt;0,IF($J326=9,AA326,IF($J326=8,AA326,IF($J326=7,AA326,0)))))</f>
        <v>0</v>
      </c>
      <c r="Z326" s="406">
        <f>IF(AA326=0,0,IF(AA326&gt;0,IF($J326=12,AA326,IF($J326=11,AA326,IF($J326=10,AA326,0)))))</f>
        <v>0</v>
      </c>
      <c r="AA326" s="407">
        <f>IF(AA$5=$H326,$E326,0)</f>
        <v>0</v>
      </c>
      <c r="AB326" s="404">
        <f>IF(AF326=0,0,IF(AF326&gt;0,IF($J326=3,AF326,IF($J326=2,AF326,IF($J326=1,AF326,0)))))</f>
        <v>0</v>
      </c>
      <c r="AC326" s="414">
        <f>IF(AF326=0,0,IF(AF326&gt;0,IF($J326=6,AF326,IF($J326=5,AF326,IF($J326=4,AF326,0)))))</f>
        <v>0</v>
      </c>
      <c r="AD326" s="414">
        <f>IF(AF326=0,0,IF(AF326&gt;0,IF($J326=9,AF326,IF($J326=8,AF326,IF($J326=7,AF326,0)))))</f>
        <v>0</v>
      </c>
      <c r="AE326" s="406">
        <f>IF(AF326=0,0,IF(AF326&gt;0,IF($J326=12,AF326,IF($J326=11,AF326,IF($J326=10,AF326,0)))))</f>
        <v>0</v>
      </c>
      <c r="AF326" s="407">
        <f>IF(AF$5=$H326,$E326,0)</f>
        <v>0</v>
      </c>
      <c r="AG326" s="404">
        <f>IF(AK326=0,0,IF(AK326&gt;0,IF($J326=3,AK326,IF($J326=2,AK326,IF($J326=1,AK326,0)))))</f>
        <v>0</v>
      </c>
      <c r="AH326" s="414">
        <f>IF(AK326=0,0,IF(AK326&gt;0,IF($J326=6,AK326,IF($J326=5,AK326,IF($J326=4,AK326,0)))))</f>
        <v>0</v>
      </c>
      <c r="AI326" s="414">
        <f>IF(AK326=0,0,IF(AK326&gt;0,IF($J326=9,AK326,IF($J326=8,AK326,IF($J326=7,AK326,0)))))</f>
        <v>0</v>
      </c>
      <c r="AJ326" s="406">
        <f>IF(AK326=0,0,IF(AK326&gt;0,IF($J326=12,AK326,IF($J326=11,AK326,IF($J326=10,AK326,0)))))</f>
        <v>0</v>
      </c>
      <c r="AK326" s="407">
        <f>IF(AK$5=$H326,$E326,0)</f>
        <v>0</v>
      </c>
      <c r="AL326" s="404">
        <f>IF(AP326=0,0,IF(AP326&gt;0,IF($J326=3,AP326,IF($J326=2,AP326,IF($J326=1,AP326,0)))))</f>
        <v>0</v>
      </c>
      <c r="AM326" s="414">
        <f>IF(AP326=0,0,IF(AP326&gt;0,IF($J326=6,AP326,IF($J326=5,AP326,IF($J326=4,AP326,0)))))</f>
        <v>0</v>
      </c>
      <c r="AN326" s="414">
        <f>IF(AP326=0,0,IF(AP326&gt;0,IF($J326=9,AP326,IF($J326=8,AP326,IF($J326=7,AP326,0)))))</f>
        <v>0</v>
      </c>
      <c r="AO326" s="406">
        <f>IF(AP326=0,0,IF(AP326&gt;0,IF($J326=12,AP326,IF($J326=11,AP326,IF($J326=10,AP326,0)))))</f>
        <v>0</v>
      </c>
      <c r="AP326" s="407">
        <f>IF(AP$5=$H326,$E326,0)</f>
        <v>0</v>
      </c>
      <c r="AQ326" s="404">
        <f>IF(AU326=0,0,IF(AU326&gt;0,IF($J326=3,AU326,IF($J326=2,AU326,IF($J326=1,AU326,0)))))</f>
        <v>0</v>
      </c>
      <c r="AR326" s="414">
        <f>IF(AU326=0,0,IF(AU326&gt;0,IF($J326=6,AU326,IF($J326=5,AU326,IF($J326=4,AU326,0)))))</f>
        <v>0</v>
      </c>
      <c r="AS326" s="414">
        <f>IF(AU326=0,0,IF(AU326&gt;0,IF($J326=9,AU326,IF($J326=8,AU326,IF($J326=7,AU326,0)))))</f>
        <v>0</v>
      </c>
      <c r="AT326" s="406">
        <f>IF(AU326=0,0,IF(AU326&gt;0,IF($J326=12,AU326,IF($J326=11,AU326,IF($J326=10,AU326,0)))))</f>
        <v>0</v>
      </c>
      <c r="AU326" s="407">
        <f>IF(AU$5=$H326,$E326,0)</f>
        <v>0</v>
      </c>
      <c r="AV326" s="404">
        <f>IF(AZ326=0,0,IF(AZ326&gt;0,IF($J326=3,AZ326,IF($J326=2,AZ326,IF($J326=1,AZ326,0)))))</f>
        <v>0</v>
      </c>
      <c r="AW326" s="414">
        <f>IF(AZ326=0,0,IF(AZ326&gt;0,IF($J326=6,AZ326,IF($J326=5,AZ326,IF($J326=4,AZ326,0)))))</f>
        <v>0</v>
      </c>
      <c r="AX326" s="414">
        <f>IF(AZ326=0,0,IF(AZ326&gt;0,IF($J326=9,AZ326,IF($J326=8,AZ326,IF($J326=7,AZ326,0)))))</f>
        <v>0</v>
      </c>
      <c r="AY326" s="406">
        <f>IF(AZ326=0,0,IF(AZ326&gt;0,IF($J326=12,AZ326,IF($J326=11,AZ326,IF($J326=10,AZ326,0)))))</f>
        <v>0</v>
      </c>
      <c r="AZ326" s="407">
        <f>IF(AZ$5=$H326,$E326,0)</f>
        <v>0</v>
      </c>
      <c r="BA326" s="404">
        <f>IF(BE326=0,0,IF(BE326&gt;0,IF($J326=3,BE326,IF($J326=2,BE326,IF($J326=1,BE326,0)))))</f>
        <v>0</v>
      </c>
      <c r="BB326" s="414">
        <f>IF(BE326=0,0,IF(BE326&gt;0,IF($J326=6,BE326,IF($J326=5,BE326,IF($J326=4,BE326,0)))))</f>
        <v>0</v>
      </c>
      <c r="BC326" s="414">
        <f>IF(BE326=0,0,IF(BE326&gt;0,IF($J326=9,BE326,IF($J326=8,BE326,IF($J326=7,BE326,0)))))</f>
        <v>0</v>
      </c>
      <c r="BD326" s="406">
        <f>IF(BE326=0,0,IF(BE326&gt;0,IF($J326=12,BE326,IF($J326=11,BE326,IF($J326=10,BE326,0)))))</f>
        <v>0</v>
      </c>
      <c r="BE326" s="407">
        <f>IF(BE$5=$H326,$E326,0)</f>
        <v>0</v>
      </c>
      <c r="BF326" s="404">
        <f>IF(BJ326=0,0,IF(BJ326&gt;0,IF($J326=3,BJ326,IF($J326=2,BJ326,IF($J326=1,BJ326,0)))))</f>
        <v>0</v>
      </c>
      <c r="BG326" s="414">
        <f>IF(BJ326=0,0,IF(BJ326&gt;0,IF($J326=6,BJ326,IF($J326=5,BJ326,IF($J326=4,BJ326,0)))))</f>
        <v>0</v>
      </c>
      <c r="BH326" s="414">
        <f>IF(BJ326=0,0,IF(BJ326&gt;0,IF($J326=9,BJ326,IF($J326=8,BJ326,IF($J326=7,BJ326,0)))))</f>
        <v>0</v>
      </c>
      <c r="BI326" s="406">
        <f>IF(BJ326=0,0,IF(BJ326&gt;0,IF($J326=12,BJ326,IF($J326=11,BJ326,IF($J326=10,BJ326,0)))))</f>
        <v>0</v>
      </c>
      <c r="BJ326" s="407">
        <f>IF(BJ$5=$H326,$E326,0)</f>
        <v>0</v>
      </c>
      <c r="BK326" s="404">
        <f>IF(BO326=0,0,IF(BO326&gt;0,IF($J326=3,BO326,IF($J326=2,BO326,IF($J326=1,BO326,0)))))</f>
        <v>0</v>
      </c>
      <c r="BL326" s="414">
        <f>IF(BO326=0,0,IF(BO326&gt;0,IF($J326=6,BO326,IF($J326=5,BO326,IF($J326=4,BO326,0)))))</f>
        <v>0</v>
      </c>
      <c r="BM326" s="414">
        <f>IF(BO326=0,0,IF(BO326&gt;0,IF($J326=9,BO326,IF($J326=8,BO326,IF($J326=7,BO326,0)))))</f>
        <v>0</v>
      </c>
      <c r="BN326" s="406">
        <f>IF(BO326=0,0,IF(BO326&gt;0,IF($J326=12,BO326,IF($J326=11,BO326,IF($J326=10,BO326,0)))))</f>
        <v>0</v>
      </c>
      <c r="BO326" s="407">
        <f>IF(BO$5=$H326,$E326,0)</f>
        <v>0</v>
      </c>
      <c r="BP326" s="447"/>
      <c r="BQ326" s="413">
        <f>IF(AND(AH326&lt;&gt;0,AH$5=$H326),$I326*$E326-AH326,IF(BQ$5=$H326,$I326*$E326*(12-$J326+1)/12,0))</f>
        <v>0</v>
      </c>
      <c r="BR326" s="410">
        <f>IF($H326&lt;&gt;BV$5,0,IF(BV326&gt;0,IF($J326=1,$E326*$I326/12*3,IF($J326=2,$E326*$I326/12*2,IF($J326=3,$E326*$I326/12*1,0)))))+IF(BQ$5&lt;&gt;$H326,0,IF(BQ326&gt;0,IF($J326=1,$E326*$I326/12*0,IF($J326=2,$E326*$I326/12*1,IF($J326=3,$E326*$I326/12*2,IF($J326&gt;=4,$E326*$I326/12*3,0))))))</f>
        <v>0</v>
      </c>
      <c r="BS326" s="416">
        <f>IF($H326&lt;&gt;BV$5,0,IF(BV326&gt;0,IF(OR($J326=1,$J326=2,$J326=3,$J326=4),$E326*$I326/12*3,IF($J326=5,$E326*$I326/12*2,IF($J326=6,$E326*$I326/12*1,0)))))+IF(BQ$5&lt;&gt;$H326,0,IF(BQ326&gt;0,IF($J326=4,$E326*$I326/12*0,IF($J326=5,$E326*$I326/12*1,IF($J326=6,$E326*$I326/12*2,IF($J326&gt;=7,$E326*$I326/12*3,0))))))</f>
        <v>0</v>
      </c>
      <c r="BT326" s="416">
        <f>IF($H326&lt;&gt;BV$5,0,IF(BV326&gt;0,IF(OR($J326=1,$J326=2,$J326=3,$J326=4,$J326=5,$J326=6,$J326=7),$E326*$I326/12*3,IF($J326=8,$E326*$I326/12*2,IF($J326=9,$E326*$I326/12*1,0)))))+IF(BQ$5&lt;&gt;$H326,0,IF(BQ326&gt;0,IF($J326=7,$E326*$I326/12*0,IF($J326=8,$E326*$I326/12*1,IF($J326=9,$E326*$I326/12*2,IF($J326&gt;=10,$E326*$I326/12*3,0))))))</f>
        <v>0</v>
      </c>
      <c r="BU326" s="412">
        <f>IF($H326&lt;&gt;BV$5,0,IF(BV326&gt;0,IF(OR($J326=1,$J326=2,$J326=3,$J326=4,$J326=5,$J326=6,$J326=7,$J326=8,$J326=9,$J326=10),$E326*$I326/12*3,IF($J326=11,$E326*$I326/12*2,IF($J326=12,$E326*$I326/12*1,0)))))+IF(BQ$5&lt;&gt;$H326,0,IF(BQ326&gt;0,IF($J326=10,$E326*$I326/12*0,IF($J326=11,$E326*$I326/12*1,IF($J326=12,$E326*$I326/12*2,0)))))</f>
        <v>0</v>
      </c>
      <c r="BV326" s="413">
        <f>IF(AND(BQ326&lt;&gt;0,BQ$5=$H326),$I326*$E326-BQ326,IF(BV$5=$H326,$I326*$E326*(12-$J326+1)/12,0))</f>
        <v>0</v>
      </c>
      <c r="BW326" s="410">
        <f>IF($H326&lt;&gt;CA$5,0,IF(CA326&gt;0,IF($J326=1,$E326*$I326/12*3,IF($J326=2,$E326*$I326/12*2,IF($J326=3,$E326*$I326/12*1,0)))))+IF(BV$5&lt;&gt;$H326,0,IF(BV326&gt;0,IF($J326=1,$E326*$I326/12*0,IF($J326=2,$E326*$I326/12*1,IF($J326=3,$E326*$I326/12*2,IF($J326&gt;=4,$E326*$I326/12*3,0))))))</f>
        <v>0</v>
      </c>
      <c r="BX326" s="416">
        <f>IF($H326&lt;&gt;CA$5,0,IF(CA326&gt;0,IF(OR($J326=1,$J326=2,$J326=3,$J326=4),$E326*$I326/12*3,IF($J326=5,$E326*$I326/12*2,IF($J326=6,$E326*$I326/12*1,0)))))+IF(BV$5&lt;&gt;$H326,0,IF(BV326&gt;0,IF($J326=4,$E326*$I326/12*0,IF($J326=5,$E326*$I326/12*1,IF($J326=6,$E326*$I326/12*2,IF($J326&gt;=7,$E326*$I326/12*3,0))))))</f>
        <v>0</v>
      </c>
      <c r="BY326" s="416">
        <f>IF($H326&lt;&gt;CA$5,0,IF(CA326&gt;0,IF(OR($J326=1,$J326=2,$J326=3,$J326=4,$J326=5,$J326=6,$J326=7),$E326*$I326/12*3,IF($J326=8,$E326*$I326/12*2,IF($J326=9,$E326*$I326/12*1,0)))))+IF(BV$5&lt;&gt;$H326,0,IF(BV326&gt;0,IF($J326=7,$E326*$I326/12*0,IF($J326=8,$E326*$I326/12*1,IF($J326=9,$E326*$I326/12*2,IF($J326&gt;=10,$E326*$I326/12*3,0))))))</f>
        <v>0</v>
      </c>
      <c r="BZ326" s="412">
        <f>IF($H326&lt;&gt;CA$5,0,IF(CA326&gt;0,IF(OR($J326=1,$J326=2,$J326=3,$J326=4,$J326=5,$J326=6,$J326=7,$J326=8,$J326=9,$J326=10),$E326*$I326/12*3,IF($J326=11,$E326*$I326/12*2,IF($J326=12,$E326*$I326/12*1,0)))))+IF(BV$5&lt;&gt;$H326,0,IF(BV326&gt;0,IF($J326=10,$E326*$I326/12*0,IF($J326=11,$E326*$I326/12*1,IF($J326=12,$E326*$I326/12*2,0)))))</f>
        <v>0</v>
      </c>
      <c r="CA326" s="413">
        <f>IF(AND(BV326&lt;&gt;0,BV$5=$H326),$I326*$E326-BV326,IF(CA$5=$H326,$I326*$E326*(12-$J326+1)/12,0))</f>
        <v>0</v>
      </c>
      <c r="CB326" s="410">
        <f>IF($H326&lt;&gt;CF$5,0,IF(CF326&gt;0,IF($J326=1,$E326*$I326/12*3,IF($J326=2,$E326*$I326/12*2,IF($J326=3,$E326*$I326/12*1,0)))))+IF(CA$5&lt;&gt;$H326,0,IF(CA326&gt;0,IF($J326=1,$E326*$I326/12*0,IF($J326=2,$E326*$I326/12*1,IF($J326=3,$E326*$I326/12*2,IF($J326&gt;=4,$E326*$I326/12*3,0))))))</f>
        <v>0</v>
      </c>
      <c r="CC326" s="416">
        <f>IF($H326&lt;&gt;CF$5,0,IF(CF326&gt;0,IF(OR($J326=1,$J326=2,$J326=3,$J326=4),$E326*$I326/12*3,IF($J326=5,$E326*$I326/12*2,IF($J326=6,$E326*$I326/12*1,0)))))+IF(CA$5&lt;&gt;$H326,0,IF(CA326&gt;0,IF($J326=4,$E326*$I326/12*0,IF($J326=5,$E326*$I326/12*1,IF($J326=6,$E326*$I326/12*2,IF($J326&gt;=7,$E326*$I326/12*3,0))))))</f>
        <v>0</v>
      </c>
      <c r="CD326" s="416">
        <f>IF($H326&lt;&gt;CF$5,0,IF(CF326&gt;0,IF(OR($J326=1,$J326=2,$J326=3,$J326=4,$J326=5,$J326=6,$J326=7),$E326*$I326/12*3,IF($J326=8,$E326*$I326/12*2,IF($J326=9,$E326*$I326/12*1,0)))))+IF(CA$5&lt;&gt;$H326,0,IF(CA326&gt;0,IF($J326=7,$E326*$I326/12*0,IF($J326=8,$E326*$I326/12*1,IF($J326=9,$E326*$I326/12*2,IF($J326&gt;=10,$E326*$I326/12*3,0))))))</f>
        <v>0</v>
      </c>
      <c r="CE326" s="412">
        <f>IF($H326&lt;&gt;CF$5,0,IF(CF326&gt;0,IF(OR($J326=1,$J326=2,$J326=3,$J326=4,$J326=5,$J326=6,$J326=7,$J326=8,$J326=9,$J326=10),$E326*$I326/12*3,IF($J326=11,$E326*$I326/12*2,IF($J326=12,$E326*$I326/12*1,0)))))+IF(CA$5&lt;&gt;$H326,0,IF(CA326&gt;0,IF($J326=10,$E326*$I326/12*0,IF($J326=11,$E326*$I326/12*1,IF($J326=12,$E326*$I326/12*2,0)))))</f>
        <v>0</v>
      </c>
      <c r="CF326" s="413">
        <f>IF(AND(CA326&lt;&gt;0,CA$5=$H326),$I326*$E326-CA326,IF(CF$5=$H326,$I326*$E326*(12-$J326+1)/12,0))</f>
        <v>0</v>
      </c>
      <c r="CG326" s="410">
        <f>IF($H326&lt;&gt;CK$5,0,IF(CK326&gt;0,IF($J326=1,$E326*$I326/12*3,IF($J326=2,$E326*$I326/12*2,IF($J326=3,$E326*$I326/12*1,0)))))+IF(CF$5&lt;&gt;$H326,0,IF(CF326&gt;0,IF($J326=1,$E326*$I326/12*0,IF($J326=2,$E326*$I326/12*1,IF($J326=3,$E326*$I326/12*2,IF($J326&gt;=4,$E326*$I326/12*3,0))))))</f>
        <v>0</v>
      </c>
      <c r="CH326" s="416">
        <f>IF($H326&lt;&gt;CK$5,0,IF(CK326&gt;0,IF(OR($J326=1,$J326=2,$J326=3,$J326=4),$E326*$I326/12*3,IF($J326=5,$E326*$I326/12*2,IF($J326=6,$E326*$I326/12*1,0)))))+IF(CF$5&lt;&gt;$H326,0,IF(CF326&gt;0,IF($J326=4,$E326*$I326/12*0,IF($J326=5,$E326*$I326/12*1,IF($J326=6,$E326*$I326/12*2,IF($J326&gt;=7,$E326*$I326/12*3,0))))))</f>
        <v>0</v>
      </c>
      <c r="CI326" s="416">
        <f>IF($H326&lt;&gt;CK$5,0,IF(CK326&gt;0,IF(OR($J326=1,$J326=2,$J326=3,$J326=4,$J326=5,$J326=6,$J326=7),$E326*$I326/12*3,IF($J326=8,$E326*$I326/12*2,IF($J326=9,$E326*$I326/12*1,0)))))+IF(CF$5&lt;&gt;$H326,0,IF(CF326&gt;0,IF($J326=7,$E326*$I326/12*0,IF($J326=8,$E326*$I326/12*1,IF($J326=9,$E326*$I326/12*2,IF($J326&gt;=10,$E326*$I326/12*3,0))))))</f>
        <v>0</v>
      </c>
      <c r="CJ326" s="412">
        <f>IF($H326&lt;&gt;CK$5,0,IF(CK326&gt;0,IF(OR($J326=1,$J326=2,$J326=3,$J326=4,$J326=5,$J326=6,$J326=7,$J326=8,$J326=9,$J326=10),$E326*$I326/12*3,IF($J326=11,$E326*$I326/12*2,IF($J326=12,$E326*$I326/12*1,0)))))+IF(CF$5&lt;&gt;$H326,0,IF(CF326&gt;0,IF($J326=10,$E326*$I326/12*0,IF($J326=11,$E326*$I326/12*1,IF($J326=12,$E326*$I326/12*2,0)))))</f>
        <v>0</v>
      </c>
      <c r="CK326" s="413">
        <f>IF(AND(CF326&lt;&gt;0,CF$5=$H326),$I326*$E326-CF326,IF(CK$5=$H326,$I326*$E326*(12-$J326+1)/12,0))</f>
        <v>0</v>
      </c>
      <c r="CL326" s="410">
        <f>IF($H326&lt;&gt;CP$5,0,IF(CP326&gt;0,IF($J326=1,$E326*$I326/12*3,IF($J326=2,$E326*$I326/12*2,IF($J326=3,$E326*$I326/12*1,0)))))+IF(CK$5&lt;&gt;$H326,0,IF(CK326&gt;0,IF($J326=1,$E326*$I326/12*0,IF($J326=2,$E326*$I326/12*1,IF($J326=3,$E326*$I326/12*2,IF($J326&gt;=4,$E326*$I326/12*3,0))))))</f>
        <v>0</v>
      </c>
      <c r="CM326" s="416">
        <f>IF($H326&lt;&gt;CP$5,0,IF(CP326&gt;0,IF(OR($J326=1,$J326=2,$J326=3,$J326=4),$E326*$I326/12*3,IF($J326=5,$E326*$I326/12*2,IF($J326=6,$E326*$I326/12*1,0)))))+IF(CK$5&lt;&gt;$H326,0,IF(CK326&gt;0,IF($J326=4,$E326*$I326/12*0,IF($J326=5,$E326*$I326/12*1,IF($J326=6,$E326*$I326/12*2,IF($J326&gt;=7,$E326*$I326/12*3,0))))))</f>
        <v>0</v>
      </c>
      <c r="CN326" s="416">
        <f>IF($H326&lt;&gt;CP$5,0,IF(CP326&gt;0,IF(OR($J326=1,$J326=2,$J326=3,$J326=4,$J326=5,$J326=6,$J326=7),$E326*$I326/12*3,IF($J326=8,$E326*$I326/12*2,IF($J326=9,$E326*$I326/12*1,0)))))+IF(CK$5&lt;&gt;$H326,0,IF(CK326&gt;0,IF($J326=7,$E326*$I326/12*0,IF($J326=8,$E326*$I326/12*1,IF($J326=9,$E326*$I326/12*2,IF($J326&gt;=10,$E326*$I326/12*3,0))))))</f>
        <v>0</v>
      </c>
      <c r="CO326" s="412">
        <f>IF($H326&lt;&gt;CP$5,0,IF(CP326&gt;0,IF(OR($J326=1,$J326=2,$J326=3,$J326=4,$J326=5,$J326=6,$J326=7,$J326=8,$J326=9,$J326=10),$E326*$I326/12*3,IF($J326=11,$E326*$I326/12*2,IF($J326=12,$E326*$I326/12*1,0)))))+IF(CK$5&lt;&gt;$H326,0,IF(CK326&gt;0,IF($J326=10,$E326*$I326/12*0,IF($J326=11,$E326*$I326/12*1,IF($J326=12,$E326*$I326/12*2,0)))))</f>
        <v>0</v>
      </c>
      <c r="CP326" s="413">
        <f>IF(AND(CK326&lt;&gt;0,CK$5=$H326),$I326*$E326-CK326,IF(CP$5=$H326,$I326*$E326*(12-$J326+1)/12,0))</f>
        <v>0</v>
      </c>
      <c r="CQ326" s="410">
        <f>IF($H326&lt;&gt;CU$5,0,IF(CU326&gt;0,IF($J326=1,$E326*$I326/12*3,IF($J326=2,$E326*$I326/12*2,IF($J326=3,$E326*$I326/12*1,0)))))+IF(CP$5&lt;&gt;$H326,0,IF(CP326&gt;0,IF($J326=1,$E326*$I326/12*0,IF($J326=2,$E326*$I326/12*1,IF($J326=3,$E326*$I326/12*2,IF($J326&gt;=4,$E326*$I326/12*3,0))))))</f>
        <v>0</v>
      </c>
      <c r="CR326" s="416">
        <f>IF($H326&lt;&gt;CU$5,0,IF(CU326&gt;0,IF(OR($J326=1,$J326=2,$J326=3,$J326=4),$E326*$I326/12*3,IF($J326=5,$E326*$I326/12*2,IF($J326=6,$E326*$I326/12*1,0)))))+IF(CP$5&lt;&gt;$H326,0,IF(CP326&gt;0,IF($J326=4,$E326*$I326/12*0,IF($J326=5,$E326*$I326/12*1,IF($J326=6,$E326*$I326/12*2,IF($J326&gt;=7,$E326*$I326/12*3,0))))))</f>
        <v>0</v>
      </c>
      <c r="CS326" s="416">
        <f>IF($H326&lt;&gt;CU$5,0,IF(CU326&gt;0,IF(OR($J326=1,$J326=2,$J326=3,$J326=4,$J326=5,$J326=6,$J326=7),$E326*$I326/12*3,IF($J326=8,$E326*$I326/12*2,IF($J326=9,$E326*$I326/12*1,0)))))+IF(CP$5&lt;&gt;$H326,0,IF(CP326&gt;0,IF($J326=7,$E326*$I326/12*0,IF($J326=8,$E326*$I326/12*1,IF($J326=9,$E326*$I326/12*2,IF($J326&gt;=10,$E326*$I326/12*3,0))))))</f>
        <v>0</v>
      </c>
      <c r="CT326" s="412">
        <f>IF($H326&lt;&gt;CU$5,0,IF(CU326&gt;0,IF(OR($J326=1,$J326=2,$J326=3,$J326=4,$J326=5,$J326=6,$J326=7,$J326=8,$J326=9,$J326=10),$E326*$I326/12*3,IF($J326=11,$E326*$I326/12*2,IF($J326=12,$E326*$I326/12*1,0)))))+IF(CP$5&lt;&gt;$H326,0,IF(CP326&gt;0,IF($J326=10,$E326*$I326/12*0,IF($J326=11,$E326*$I326/12*1,IF($J326=12,$E326*$I326/12*2,0)))))</f>
        <v>0</v>
      </c>
      <c r="CU326" s="413">
        <f>IF(AND(CP326&lt;&gt;0,CP$5=$H326),$I326*$E326-CP326,IF(CU$5=$H326,$I326*$E326*(12-$J326+1)/12,0))</f>
        <v>0</v>
      </c>
      <c r="CV326" s="410">
        <f>IF($H326&lt;&gt;CZ$5,0,IF(CZ326&gt;0,IF($J326=1,$E326*$I326/12*3,IF($J326=2,$E326*$I326/12*2,IF($J326=3,$E326*$I326/12*1,0)))))+IF(CU$5&lt;&gt;$H326,0,IF(CU326&gt;0,IF($J326=1,$E326*$I326/12*0,IF($J326=2,$E326*$I326/12*1,IF($J326=3,$E326*$I326/12*2,IF($J326&gt;=4,$E326*$I326/12*3,0))))))</f>
        <v>0</v>
      </c>
      <c r="CW326" s="416">
        <f>IF($H326&lt;&gt;CZ$5,0,IF(CZ326&gt;0,IF(OR($J326=1,$J326=2,$J326=3,$J326=4),$E326*$I326/12*3,IF($J326=5,$E326*$I326/12*2,IF($J326=6,$E326*$I326/12*1,0)))))+IF(CU$5&lt;&gt;$H326,0,IF(CU326&gt;0,IF($J326=4,$E326*$I326/12*0,IF($J326=5,$E326*$I326/12*1,IF($J326=6,$E326*$I326/12*2,IF($J326&gt;=7,$E326*$I326/12*3,0))))))</f>
        <v>0</v>
      </c>
      <c r="CX326" s="416">
        <f>IF($H326&lt;&gt;CZ$5,0,IF(CZ326&gt;0,IF(OR($J326=1,$J326=2,$J326=3,$J326=4,$J326=5,$J326=6,$J326=7),$E326*$I326/12*3,IF($J326=8,$E326*$I326/12*2,IF($J326=9,$E326*$I326/12*1,0)))))+IF(CU$5&lt;&gt;$H326,0,IF(CU326&gt;0,IF($J326=7,$E326*$I326/12*0,IF($J326=8,$E326*$I326/12*1,IF($J326=9,$E326*$I326/12*2,IF($J326&gt;=10,$E326*$I326/12*3,0))))))</f>
        <v>0</v>
      </c>
      <c r="CY326" s="412">
        <f>IF($H326&lt;&gt;CZ$5,0,IF(CZ326&gt;0,IF(OR($J326=1,$J326=2,$J326=3,$J326=4,$J326=5,$J326=6,$J326=7,$J326=8,$J326=9,$J326=10),$E326*$I326/12*3,IF($J326=11,$E326*$I326/12*2,IF($J326=12,$E326*$I326/12*1,0)))))+IF(CU$5&lt;&gt;$H326,0,IF(CU326&gt;0,IF($J326=10,$E326*$I326/12*0,IF($J326=11,$E326*$I326/12*1,IF($J326=12,$E326*$I326/12*2,0)))))</f>
        <v>0</v>
      </c>
      <c r="CZ326" s="413">
        <f>IF(AND(CU326&lt;&gt;0,CU$5=$H326),$I326*$E326-CU326,IF(CZ$5=$H326,$I326*$E326*(12-$J326+1)/12,0))</f>
        <v>0</v>
      </c>
      <c r="DA326" s="410">
        <f>IF($H326&lt;&gt;DE$5,0,IF(DE326&gt;0,IF($J326=1,$E326*$I326/12*3,IF($J326=2,$E326*$I326/12*2,IF($J326=3,$E326*$I326/12*1,0)))))+IF(CZ$5&lt;&gt;$H326,0,IF(CZ326&gt;0,IF($J326=1,$E326*$I326/12*0,IF($J326=2,$E326*$I326/12*1,IF($J326=3,$E326*$I326/12*2,IF($J326&gt;=4,$E326*$I326/12*3,0))))))</f>
        <v>0</v>
      </c>
      <c r="DB326" s="416">
        <f>IF($H326&lt;&gt;DE$5,0,IF(DE326&gt;0,IF(OR($J326=1,$J326=2,$J326=3,$J326=4),$E326*$I326/12*3,IF($J326=5,$E326*$I326/12*2,IF($J326=6,$E326*$I326/12*1,0)))))+IF(CZ$5&lt;&gt;$H326,0,IF(CZ326&gt;0,IF($J326=4,$E326*$I326/12*0,IF($J326=5,$E326*$I326/12*1,IF($J326=6,$E326*$I326/12*2,IF($J326&gt;=7,$E326*$I326/12*3,0))))))</f>
        <v>0</v>
      </c>
      <c r="DC326" s="416">
        <f>IF($H326&lt;&gt;DE$5,0,IF(DE326&gt;0,IF(OR($J326=1,$J326=2,$J326=3,$J326=4,$J326=5,$J326=6,$J326=7),$E326*$I326/12*3,IF($J326=8,$E326*$I326/12*2,IF($J326=9,$E326*$I326/12*1,0)))))+IF(CZ$5&lt;&gt;$H326,0,IF(CZ326&gt;0,IF($J326=7,$E326*$I326/12*0,IF($J326=8,$E326*$I326/12*1,IF($J326=9,$E326*$I326/12*2,IF($J326&gt;=10,$E326*$I326/12*3,0))))))</f>
        <v>0</v>
      </c>
      <c r="DD326" s="412">
        <f>IF($H326&lt;&gt;DE$5,0,IF(DE326&gt;0,IF(OR($J326=1,$J326=2,$J326=3,$J326=4,$J326=5,$J326=6,$J326=7,$J326=8,$J326=9,$J326=10),$E326*$I326/12*3,IF($J326=11,$E326*$I326/12*2,IF($J326=12,$E326*$I326/12*1,0)))))+IF(CZ$5&lt;&gt;$H326,0,IF(CZ326&gt;0,IF($J326=10,$E326*$I326/12*0,IF($J326=11,$E326*$I326/12*1,IF($J326=12,$E326*$I326/12*2,0)))))</f>
        <v>0</v>
      </c>
      <c r="DE326" s="413">
        <f>IF(AND(CZ326&lt;&gt;0,CZ$5=$H326),$I326*$E326-CZ326,IF(DE$5=$H326,$I326*$E326*(12-$J326+1)/12,0))</f>
        <v>0</v>
      </c>
      <c r="DF326" s="410">
        <f>IF($H326&lt;&gt;DJ$5,0,IF(DJ326&gt;0,IF($J326=1,$E326*$I326/12*3,IF($J326=2,$E326*$I326/12*2,IF($J326=3,$E326*$I326/12*1,0)))))+IF(DE$5&lt;&gt;$H326,0,IF(DE326&gt;0,IF($J326=1,$E326*$I326/12*0,IF($J326=2,$E326*$I326/12*1,IF($J326=3,$E326*$I326/12*2,IF($J326&gt;=4,$E326*$I326/12*3,0))))))</f>
        <v>0</v>
      </c>
      <c r="DG326" s="416">
        <f>IF($H326&lt;&gt;DJ$5,0,IF(DJ326&gt;0,IF(OR($J326=1,$J326=2,$J326=3,$J326=4),$E326*$I326/12*3,IF($J326=5,$E326*$I326/12*2,IF($J326=6,$E326*$I326/12*1,0)))))+IF(DE$5&lt;&gt;$H326,0,IF(DE326&gt;0,IF($J326=4,$E326*$I326/12*0,IF($J326=5,$E326*$I326/12*1,IF($J326=6,$E326*$I326/12*2,IF($J326&gt;=7,$E326*$I326/12*3,0))))))</f>
        <v>0</v>
      </c>
      <c r="DH326" s="416">
        <f>IF($H326&lt;&gt;DJ$5,0,IF(DJ326&gt;0,IF(OR($J326=1,$J326=2,$J326=3,$J326=4,$J326=5,$J326=6,$J326=7),$E326*$I326/12*3,IF($J326=8,$E326*$I326/12*2,IF($J326=9,$E326*$I326/12*1,0)))))+IF(DE$5&lt;&gt;$H326,0,IF(DE326&gt;0,IF($J326=7,$E326*$I326/12*0,IF($J326=8,$E326*$I326/12*1,IF($J326=9,$E326*$I326/12*2,IF($J326&gt;=10,$E326*$I326/12*3,0))))))</f>
        <v>0</v>
      </c>
      <c r="DI326" s="412">
        <f>IF($H326&lt;&gt;DJ$5,0,IF(DJ326&gt;0,IF(OR($J326=1,$J326=2,$J326=3,$J326=4,$J326=5,$J326=6,$J326=7,$J326=8,$J326=9,$J326=10),$E326*$I326/12*3,IF($J326=11,$E326*$I326/12*2,IF($J326=12,$E326*$I326/12*1,0)))))+IF(DE$5&lt;&gt;$H326,0,IF(DE326&gt;0,IF($J326=10,$E326*$I326/12*0,IF($J326=11,$E326*$I326/12*1,IF($J326=12,$E326*$I326/12*2,0)))))</f>
        <v>0</v>
      </c>
      <c r="DJ326" s="413">
        <f>IF(AND(DE326&lt;&gt;0,DE$5=$H326),$I326*$E326-DE326,IF(DJ$5=$H326,$I326*$E326*(12-$J326+1)/12,0))</f>
        <v>0</v>
      </c>
      <c r="DK326" s="410">
        <f>IF($H326&lt;&gt;DO$5,0,IF(DO326&gt;0,IF($J326=1,$E326*$I326/12*3,IF($J326=2,$E326*$I326/12*2,IF($J326=3,$E326*$I326/12*1,0)))))+IF(DJ$5&lt;&gt;$H326,0,IF(DJ326&gt;0,IF($J326=1,$E326*$I326/12*0,IF($J326=2,$E326*$I326/12*1,IF($J326=3,$E326*$I326/12*2,IF($J326&gt;=4,$E326*$I326/12*3,0))))))</f>
        <v>0</v>
      </c>
      <c r="DL326" s="416">
        <f>IF($H326&lt;&gt;DO$5,0,IF(DO326&gt;0,IF(OR($J326=1,$J326=2,$J326=3,$J326=4),$E326*$I326/12*3,IF($J326=5,$E326*$I326/12*2,IF($J326=6,$E326*$I326/12*1,0)))))+IF(DJ$5&lt;&gt;$H326,0,IF(DJ326&gt;0,IF($J326=4,$E326*$I326/12*0,IF($J326=5,$E326*$I326/12*1,IF($J326=6,$E326*$I326/12*2,IF($J326&gt;=7,$E326*$I326/12*3,0))))))</f>
        <v>0</v>
      </c>
      <c r="DM326" s="416">
        <f>IF($H326&lt;&gt;DO$5,0,IF(DO326&gt;0,IF(OR($J326=1,$J326=2,$J326=3,$J326=4,$J326=5,$J326=6,$J326=7),$E326*$I326/12*3,IF($J326=8,$E326*$I326/12*2,IF($J326=9,$E326*$I326/12*1,0)))))+IF(DJ$5&lt;&gt;$H326,0,IF(DJ326&gt;0,IF($J326=7,$E326*$I326/12*0,IF($J326=8,$E326*$I326/12*1,IF($J326=9,$E326*$I326/12*2,IF($J326&gt;=10,$E326*$I326/12*3,0))))))</f>
        <v>0</v>
      </c>
      <c r="DN326" s="412">
        <f>IF($H326&lt;&gt;DO$5,0,IF(DO326&gt;0,IF(OR($J326=1,$J326=2,$J326=3,$J326=4,$J326=5,$J326=6,$J326=7,$J326=8,$J326=9,$J326=10),$E326*$I326/12*3,IF($J326=11,$E326*$I326/12*2,IF($J326=12,$E326*$I326/12*1,0)))))+IF(DJ$5&lt;&gt;$H326,0,IF(DJ326&gt;0,IF($J326=10,$E326*$I326/12*0,IF($J326=11,$E326*$I326/12*1,IF($J326=12,$E326*$I326/12*2,0)))))</f>
        <v>0</v>
      </c>
      <c r="DO326" s="413">
        <f>IF(AND(DJ326&lt;&gt;0,DJ$5=$H326),$I326*$E326-DJ326,IF(DO$5=$H326,$I326*$E326*(12-$J326+1)/12,0))</f>
        <v>0</v>
      </c>
      <c r="DP326" s="410">
        <f>IF($H326&lt;&gt;DT$5,0,IF(DT326&gt;0,IF($J326=1,$E326*$I326/12*3,IF($J326=2,$E326*$I326/12*2,IF($J326=3,$E326*$I326/12*1,0)))))+IF(DO$5&lt;&gt;$H326,0,IF(DO326&gt;0,IF($J326=1,$E326*$I326/12*0,IF($J326=2,$E326*$I326/12*1,IF($J326=3,$E326*$I326/12*2,IF($J326&gt;=4,$E326*$I326/12*3,0))))))</f>
        <v>0</v>
      </c>
      <c r="DQ326" s="416">
        <f>IF($H326&lt;&gt;DT$5,0,IF(DT326&gt;0,IF(OR($J326=1,$J326=2,$J326=3,$J326=4),$E326*$I326/12*3,IF($J326=5,$E326*$I326/12*2,IF($J326=6,$E326*$I326/12*1,0)))))+IF(DO$5&lt;&gt;$H326,0,IF(DO326&gt;0,IF($J326=4,$E326*$I326/12*0,IF($J326=5,$E326*$I326/12*1,IF($J326=6,$E326*$I326/12*2,IF($J326&gt;=7,$E326*$I326/12*3,0))))))</f>
        <v>0</v>
      </c>
      <c r="DR326" s="416">
        <f>IF($H326&lt;&gt;DT$5,0,IF(DT326&gt;0,IF(OR($J326=1,$J326=2,$J326=3,$J326=4,$J326=5,$J326=6,$J326=7),$E326*$I326/12*3,IF($J326=8,$E326*$I326/12*2,IF($J326=9,$E326*$I326/12*1,0)))))+IF(DO$5&lt;&gt;$H326,0,IF(DO326&gt;0,IF($J326=7,$E326*$I326/12*0,IF($J326=8,$E326*$I326/12*1,IF($J326=9,$E326*$I326/12*2,IF($J326&gt;=10,$E326*$I326/12*3,0))))))</f>
        <v>0</v>
      </c>
      <c r="DS326" s="412">
        <f>IF($H326&lt;&gt;DT$5,0,IF(DT326&gt;0,IF(OR($J326=1,$J326=2,$J326=3,$J326=4,$J326=5,$J326=6,$J326=7,$J326=8,$J326=9,$J326=10),$E326*$I326/12*3,IF($J326=11,$E326*$I326/12*2,IF($J326=12,$E326*$I326/12*1,0)))))+IF(DO$5&lt;&gt;$H326,0,IF(DO326&gt;0,IF($J326=10,$E326*$I326/12*0,IF($J326=11,$E326*$I326/12*1,IF($J326=12,$E326*$I326/12*2,0)))))</f>
        <v>0</v>
      </c>
      <c r="DT326" s="413">
        <f>IF(AND(DO326&lt;&gt;0,DO$5=$H326),$I326*$E326-DO326,IF(DT$5=$H326,$I326*$E326*(12-$J326+1)/12,0))</f>
        <v>0</v>
      </c>
    </row>
    <row r="327" spans="1:124" ht="12.75" customHeight="1">
      <c r="A327" s="491"/>
      <c r="C327" s="845"/>
      <c r="D327" s="845"/>
      <c r="E327" s="831"/>
      <c r="F327" s="1226"/>
      <c r="G327" s="1226"/>
      <c r="H327" s="610"/>
      <c r="I327" s="830"/>
      <c r="J327" s="615"/>
      <c r="K327" s="402"/>
      <c r="L327" s="407"/>
      <c r="M327" s="404"/>
      <c r="N327" s="414"/>
      <c r="O327" s="414"/>
      <c r="P327" s="406"/>
      <c r="Q327" s="407"/>
      <c r="R327" s="404"/>
      <c r="S327" s="414"/>
      <c r="T327" s="414"/>
      <c r="U327" s="406"/>
      <c r="V327" s="407"/>
      <c r="W327" s="404"/>
      <c r="X327" s="414"/>
      <c r="Y327" s="414"/>
      <c r="Z327" s="406"/>
      <c r="AA327" s="407"/>
      <c r="AB327" s="404"/>
      <c r="AC327" s="414"/>
      <c r="AD327" s="414"/>
      <c r="AE327" s="406"/>
      <c r="AF327" s="407"/>
      <c r="AG327" s="404"/>
      <c r="AH327" s="414"/>
      <c r="AI327" s="414"/>
      <c r="AJ327" s="406"/>
      <c r="AK327" s="407"/>
      <c r="AL327" s="404"/>
      <c r="AM327" s="414"/>
      <c r="AN327" s="414"/>
      <c r="AO327" s="406"/>
      <c r="AP327" s="407"/>
      <c r="AQ327" s="404"/>
      <c r="AR327" s="414"/>
      <c r="AS327" s="414"/>
      <c r="AT327" s="406"/>
      <c r="AU327" s="407"/>
      <c r="AV327" s="404"/>
      <c r="AW327" s="414"/>
      <c r="AX327" s="414"/>
      <c r="AY327" s="406"/>
      <c r="AZ327" s="407"/>
      <c r="BA327" s="404"/>
      <c r="BB327" s="414"/>
      <c r="BC327" s="414"/>
      <c r="BD327" s="406"/>
      <c r="BE327" s="407"/>
      <c r="BF327" s="404"/>
      <c r="BG327" s="414"/>
      <c r="BH327" s="414"/>
      <c r="BI327" s="406"/>
      <c r="BJ327" s="407"/>
      <c r="BK327" s="404"/>
      <c r="BL327" s="414"/>
      <c r="BM327" s="414"/>
      <c r="BN327" s="406"/>
      <c r="BO327" s="407"/>
      <c r="BP327" s="449"/>
      <c r="BQ327" s="413"/>
      <c r="BR327" s="410"/>
      <c r="BS327" s="416"/>
      <c r="BT327" s="416"/>
      <c r="BU327" s="412"/>
      <c r="BV327" s="413"/>
      <c r="BW327" s="410"/>
      <c r="BX327" s="416"/>
      <c r="BY327" s="416"/>
      <c r="BZ327" s="412"/>
      <c r="CA327" s="413"/>
      <c r="CB327" s="410"/>
      <c r="CC327" s="416"/>
      <c r="CD327" s="416"/>
      <c r="CE327" s="412"/>
      <c r="CF327" s="413"/>
      <c r="CG327" s="410"/>
      <c r="CH327" s="416"/>
      <c r="CI327" s="416"/>
      <c r="CJ327" s="412"/>
      <c r="CK327" s="413"/>
      <c r="CL327" s="410"/>
      <c r="CM327" s="416"/>
      <c r="CN327" s="416"/>
      <c r="CO327" s="412"/>
      <c r="CP327" s="413"/>
      <c r="CQ327" s="410"/>
      <c r="CR327" s="416"/>
      <c r="CS327" s="416"/>
      <c r="CT327" s="412"/>
      <c r="CU327" s="413"/>
      <c r="CV327" s="410"/>
      <c r="CW327" s="416"/>
      <c r="CX327" s="416"/>
      <c r="CY327" s="412"/>
      <c r="CZ327" s="413"/>
      <c r="DA327" s="410"/>
      <c r="DB327" s="416"/>
      <c r="DC327" s="416"/>
      <c r="DD327" s="412"/>
      <c r="DE327" s="413"/>
      <c r="DF327" s="410"/>
      <c r="DG327" s="416"/>
      <c r="DH327" s="416"/>
      <c r="DI327" s="412"/>
      <c r="DJ327" s="413"/>
      <c r="DK327" s="410"/>
      <c r="DL327" s="416"/>
      <c r="DM327" s="416"/>
      <c r="DN327" s="412"/>
      <c r="DO327" s="413"/>
      <c r="DP327" s="410"/>
      <c r="DQ327" s="416"/>
      <c r="DR327" s="416"/>
      <c r="DS327" s="412"/>
      <c r="DT327" s="413"/>
    </row>
    <row r="328" spans="1:124" s="293" customFormat="1" ht="12.75" customHeight="1">
      <c r="A328"/>
      <c r="B328"/>
      <c r="C328" s="530" t="s">
        <v>48</v>
      </c>
      <c r="D328" s="530"/>
      <c r="E328" s="31">
        <f>SUM(E325:E327)</f>
        <v>0</v>
      </c>
      <c r="F328" s="1234"/>
      <c r="G328" s="1234"/>
      <c r="H328" s="28"/>
      <c r="I328" s="29"/>
      <c r="J328" s="633"/>
      <c r="K328" s="531"/>
      <c r="L328" s="532">
        <f t="shared" ref="L328:AQ328" si="2391">SUM(L325:L327)</f>
        <v>0</v>
      </c>
      <c r="M328" s="533">
        <f t="shared" si="2391"/>
        <v>0</v>
      </c>
      <c r="N328" s="534">
        <f t="shared" si="2391"/>
        <v>0</v>
      </c>
      <c r="O328" s="534">
        <f t="shared" si="2391"/>
        <v>0</v>
      </c>
      <c r="P328" s="535">
        <f t="shared" si="2391"/>
        <v>0</v>
      </c>
      <c r="Q328" s="532">
        <f t="shared" si="2391"/>
        <v>0</v>
      </c>
      <c r="R328" s="533">
        <f t="shared" si="2391"/>
        <v>0</v>
      </c>
      <c r="S328" s="534">
        <f t="shared" si="2391"/>
        <v>0</v>
      </c>
      <c r="T328" s="534">
        <f t="shared" si="2391"/>
        <v>0</v>
      </c>
      <c r="U328" s="535">
        <f t="shared" si="2391"/>
        <v>0</v>
      </c>
      <c r="V328" s="532">
        <f t="shared" si="2391"/>
        <v>0</v>
      </c>
      <c r="W328" s="533">
        <f t="shared" si="2391"/>
        <v>0</v>
      </c>
      <c r="X328" s="534">
        <f t="shared" si="2391"/>
        <v>0</v>
      </c>
      <c r="Y328" s="534">
        <f t="shared" si="2391"/>
        <v>0</v>
      </c>
      <c r="Z328" s="535">
        <f t="shared" si="2391"/>
        <v>0</v>
      </c>
      <c r="AA328" s="532">
        <f t="shared" si="2391"/>
        <v>0</v>
      </c>
      <c r="AB328" s="533">
        <f t="shared" si="2391"/>
        <v>0</v>
      </c>
      <c r="AC328" s="534">
        <f t="shared" si="2391"/>
        <v>0</v>
      </c>
      <c r="AD328" s="534">
        <f t="shared" si="2391"/>
        <v>0</v>
      </c>
      <c r="AE328" s="535">
        <f t="shared" si="2391"/>
        <v>0</v>
      </c>
      <c r="AF328" s="532">
        <f t="shared" si="2391"/>
        <v>0</v>
      </c>
      <c r="AG328" s="533">
        <f t="shared" si="2391"/>
        <v>0</v>
      </c>
      <c r="AH328" s="534">
        <f t="shared" si="2391"/>
        <v>0</v>
      </c>
      <c r="AI328" s="534">
        <f t="shared" si="2391"/>
        <v>0</v>
      </c>
      <c r="AJ328" s="535">
        <f t="shared" si="2391"/>
        <v>0</v>
      </c>
      <c r="AK328" s="532">
        <f t="shared" si="2391"/>
        <v>0</v>
      </c>
      <c r="AL328" s="533">
        <f t="shared" si="2391"/>
        <v>0</v>
      </c>
      <c r="AM328" s="534">
        <f t="shared" si="2391"/>
        <v>0</v>
      </c>
      <c r="AN328" s="534">
        <f t="shared" si="2391"/>
        <v>0</v>
      </c>
      <c r="AO328" s="535">
        <f t="shared" si="2391"/>
        <v>0</v>
      </c>
      <c r="AP328" s="532">
        <f t="shared" si="2391"/>
        <v>0</v>
      </c>
      <c r="AQ328" s="533">
        <f t="shared" si="2391"/>
        <v>0</v>
      </c>
      <c r="AR328" s="534">
        <f t="shared" ref="AR328:BO328" si="2392">SUM(AR325:AR327)</f>
        <v>0</v>
      </c>
      <c r="AS328" s="534">
        <f t="shared" si="2392"/>
        <v>0</v>
      </c>
      <c r="AT328" s="535">
        <f t="shared" si="2392"/>
        <v>0</v>
      </c>
      <c r="AU328" s="532">
        <f t="shared" si="2392"/>
        <v>0</v>
      </c>
      <c r="AV328" s="533">
        <f t="shared" si="2392"/>
        <v>0</v>
      </c>
      <c r="AW328" s="534">
        <f t="shared" si="2392"/>
        <v>0</v>
      </c>
      <c r="AX328" s="534">
        <f t="shared" si="2392"/>
        <v>0</v>
      </c>
      <c r="AY328" s="535">
        <f t="shared" si="2392"/>
        <v>0</v>
      </c>
      <c r="AZ328" s="532">
        <f t="shared" si="2392"/>
        <v>0</v>
      </c>
      <c r="BA328" s="533">
        <f t="shared" si="2392"/>
        <v>0</v>
      </c>
      <c r="BB328" s="534">
        <f t="shared" si="2392"/>
        <v>0</v>
      </c>
      <c r="BC328" s="534">
        <f t="shared" si="2392"/>
        <v>0</v>
      </c>
      <c r="BD328" s="535">
        <f t="shared" si="2392"/>
        <v>0</v>
      </c>
      <c r="BE328" s="532">
        <f t="shared" si="2392"/>
        <v>0</v>
      </c>
      <c r="BF328" s="533">
        <f t="shared" si="2392"/>
        <v>0</v>
      </c>
      <c r="BG328" s="534">
        <f t="shared" si="2392"/>
        <v>0</v>
      </c>
      <c r="BH328" s="534">
        <f t="shared" si="2392"/>
        <v>0</v>
      </c>
      <c r="BI328" s="535">
        <f t="shared" si="2392"/>
        <v>0</v>
      </c>
      <c r="BJ328" s="532">
        <f t="shared" si="2392"/>
        <v>0</v>
      </c>
      <c r="BK328" s="533">
        <f t="shared" si="2392"/>
        <v>0</v>
      </c>
      <c r="BL328" s="534">
        <f t="shared" si="2392"/>
        <v>0</v>
      </c>
      <c r="BM328" s="534">
        <f t="shared" si="2392"/>
        <v>0</v>
      </c>
      <c r="BN328" s="535">
        <f t="shared" si="2392"/>
        <v>0</v>
      </c>
      <c r="BO328" s="532">
        <f t="shared" si="2392"/>
        <v>0</v>
      </c>
      <c r="BP328" s="536"/>
      <c r="BQ328" s="537">
        <f t="shared" ref="BQ328:CV328" si="2393">SUM(BQ325:BQ327)</f>
        <v>0</v>
      </c>
      <c r="BR328" s="538">
        <f t="shared" si="2393"/>
        <v>0</v>
      </c>
      <c r="BS328" s="539">
        <f t="shared" si="2393"/>
        <v>0</v>
      </c>
      <c r="BT328" s="539">
        <f t="shared" si="2393"/>
        <v>0</v>
      </c>
      <c r="BU328" s="540">
        <f t="shared" si="2393"/>
        <v>0</v>
      </c>
      <c r="BV328" s="537">
        <f t="shared" si="2393"/>
        <v>0</v>
      </c>
      <c r="BW328" s="538">
        <f t="shared" si="2393"/>
        <v>0</v>
      </c>
      <c r="BX328" s="539">
        <f t="shared" si="2393"/>
        <v>0</v>
      </c>
      <c r="BY328" s="539">
        <f t="shared" si="2393"/>
        <v>0</v>
      </c>
      <c r="BZ328" s="540">
        <f t="shared" si="2393"/>
        <v>0</v>
      </c>
      <c r="CA328" s="537">
        <f t="shared" si="2393"/>
        <v>0</v>
      </c>
      <c r="CB328" s="538">
        <f t="shared" si="2393"/>
        <v>0</v>
      </c>
      <c r="CC328" s="539">
        <f t="shared" si="2393"/>
        <v>0</v>
      </c>
      <c r="CD328" s="539">
        <f t="shared" si="2393"/>
        <v>0</v>
      </c>
      <c r="CE328" s="540">
        <f t="shared" si="2393"/>
        <v>0</v>
      </c>
      <c r="CF328" s="537">
        <f t="shared" si="2393"/>
        <v>0</v>
      </c>
      <c r="CG328" s="538">
        <f t="shared" si="2393"/>
        <v>0</v>
      </c>
      <c r="CH328" s="539">
        <f t="shared" si="2393"/>
        <v>0</v>
      </c>
      <c r="CI328" s="539">
        <f t="shared" si="2393"/>
        <v>0</v>
      </c>
      <c r="CJ328" s="540">
        <f t="shared" si="2393"/>
        <v>0</v>
      </c>
      <c r="CK328" s="537">
        <f t="shared" si="2393"/>
        <v>0</v>
      </c>
      <c r="CL328" s="538">
        <f t="shared" si="2393"/>
        <v>0</v>
      </c>
      <c r="CM328" s="539">
        <f t="shared" si="2393"/>
        <v>0</v>
      </c>
      <c r="CN328" s="539">
        <f t="shared" si="2393"/>
        <v>0</v>
      </c>
      <c r="CO328" s="540">
        <f t="shared" si="2393"/>
        <v>0</v>
      </c>
      <c r="CP328" s="537">
        <f t="shared" si="2393"/>
        <v>0</v>
      </c>
      <c r="CQ328" s="538">
        <f t="shared" si="2393"/>
        <v>0</v>
      </c>
      <c r="CR328" s="539">
        <f t="shared" si="2393"/>
        <v>0</v>
      </c>
      <c r="CS328" s="539">
        <f t="shared" si="2393"/>
        <v>0</v>
      </c>
      <c r="CT328" s="540">
        <f t="shared" si="2393"/>
        <v>0</v>
      </c>
      <c r="CU328" s="537">
        <f t="shared" si="2393"/>
        <v>0</v>
      </c>
      <c r="CV328" s="538">
        <f t="shared" si="2393"/>
        <v>0</v>
      </c>
      <c r="CW328" s="539">
        <f t="shared" ref="CW328:DT328" si="2394">SUM(CW325:CW327)</f>
        <v>0</v>
      </c>
      <c r="CX328" s="539">
        <f t="shared" si="2394"/>
        <v>0</v>
      </c>
      <c r="CY328" s="540">
        <f t="shared" si="2394"/>
        <v>0</v>
      </c>
      <c r="CZ328" s="537">
        <f t="shared" si="2394"/>
        <v>0</v>
      </c>
      <c r="DA328" s="538">
        <f t="shared" si="2394"/>
        <v>0</v>
      </c>
      <c r="DB328" s="539">
        <f t="shared" si="2394"/>
        <v>0</v>
      </c>
      <c r="DC328" s="539">
        <f t="shared" si="2394"/>
        <v>0</v>
      </c>
      <c r="DD328" s="540">
        <f t="shared" si="2394"/>
        <v>0</v>
      </c>
      <c r="DE328" s="537">
        <f t="shared" si="2394"/>
        <v>0</v>
      </c>
      <c r="DF328" s="538">
        <f t="shared" si="2394"/>
        <v>0</v>
      </c>
      <c r="DG328" s="539">
        <f t="shared" si="2394"/>
        <v>0</v>
      </c>
      <c r="DH328" s="539">
        <f t="shared" si="2394"/>
        <v>0</v>
      </c>
      <c r="DI328" s="540">
        <f t="shared" si="2394"/>
        <v>0</v>
      </c>
      <c r="DJ328" s="537">
        <f t="shared" si="2394"/>
        <v>0</v>
      </c>
      <c r="DK328" s="538">
        <f t="shared" si="2394"/>
        <v>0</v>
      </c>
      <c r="DL328" s="539">
        <f t="shared" si="2394"/>
        <v>0</v>
      </c>
      <c r="DM328" s="539">
        <f t="shared" si="2394"/>
        <v>0</v>
      </c>
      <c r="DN328" s="540">
        <f t="shared" si="2394"/>
        <v>0</v>
      </c>
      <c r="DO328" s="537">
        <f t="shared" si="2394"/>
        <v>0</v>
      </c>
      <c r="DP328" s="538">
        <f t="shared" si="2394"/>
        <v>0</v>
      </c>
      <c r="DQ328" s="539">
        <f t="shared" si="2394"/>
        <v>0</v>
      </c>
      <c r="DR328" s="539">
        <f t="shared" si="2394"/>
        <v>0</v>
      </c>
      <c r="DS328" s="540">
        <f t="shared" si="2394"/>
        <v>0</v>
      </c>
      <c r="DT328" s="537">
        <f t="shared" si="2394"/>
        <v>0</v>
      </c>
    </row>
    <row r="329" spans="1:124" s="600" customFormat="1" ht="12.75" customHeight="1">
      <c r="A329"/>
      <c r="B329"/>
      <c r="C329" s="1262"/>
      <c r="D329" s="1262"/>
      <c r="E329" s="8"/>
      <c r="F329" s="1230"/>
      <c r="G329" s="1230"/>
      <c r="H329" s="1336"/>
      <c r="I329" s="1337"/>
      <c r="J329" s="1338"/>
      <c r="K329" s="453"/>
      <c r="L329" s="464"/>
      <c r="M329" s="430"/>
      <c r="N329" s="438"/>
      <c r="O329" s="438"/>
      <c r="P329" s="432"/>
      <c r="Q329" s="464"/>
      <c r="R329" s="430"/>
      <c r="S329" s="438"/>
      <c r="T329" s="438"/>
      <c r="U329" s="432"/>
      <c r="V329" s="464"/>
      <c r="W329" s="430"/>
      <c r="X329" s="438"/>
      <c r="Y329" s="438"/>
      <c r="Z329" s="432"/>
      <c r="AA329" s="464"/>
      <c r="AB329" s="430"/>
      <c r="AC329" s="438"/>
      <c r="AD329" s="438"/>
      <c r="AE329" s="432"/>
      <c r="AF329" s="464"/>
      <c r="AG329" s="430"/>
      <c r="AH329" s="438"/>
      <c r="AI329" s="438"/>
      <c r="AJ329" s="432"/>
      <c r="AK329" s="464"/>
      <c r="AL329" s="430"/>
      <c r="AM329" s="438"/>
      <c r="AN329" s="438"/>
      <c r="AO329" s="432"/>
      <c r="AP329" s="464"/>
      <c r="AQ329" s="430"/>
      <c r="AR329" s="438"/>
      <c r="AS329" s="438"/>
      <c r="AT329" s="432"/>
      <c r="AU329" s="464"/>
      <c r="AV329" s="430"/>
      <c r="AW329" s="438"/>
      <c r="AX329" s="438"/>
      <c r="AY329" s="432"/>
      <c r="AZ329" s="464"/>
      <c r="BA329" s="430"/>
      <c r="BB329" s="438"/>
      <c r="BC329" s="438"/>
      <c r="BD329" s="432"/>
      <c r="BE329" s="464"/>
      <c r="BF329" s="430"/>
      <c r="BG329" s="438"/>
      <c r="BH329" s="438"/>
      <c r="BI329" s="432"/>
      <c r="BJ329" s="464"/>
      <c r="BK329" s="430"/>
      <c r="BL329" s="438"/>
      <c r="BM329" s="438"/>
      <c r="BN329" s="432"/>
      <c r="BO329" s="464"/>
      <c r="BP329" s="454"/>
      <c r="BQ329" s="439"/>
      <c r="BR329" s="435"/>
      <c r="BS329" s="440"/>
      <c r="BT329" s="440"/>
      <c r="BU329" s="437"/>
      <c r="BV329" s="439"/>
      <c r="BW329" s="435"/>
      <c r="BX329" s="440"/>
      <c r="BY329" s="440"/>
      <c r="BZ329" s="437"/>
      <c r="CA329" s="439"/>
      <c r="CB329" s="435"/>
      <c r="CC329" s="440"/>
      <c r="CD329" s="440"/>
      <c r="CE329" s="437"/>
      <c r="CF329" s="439"/>
      <c r="CG329" s="435"/>
      <c r="CH329" s="440"/>
      <c r="CI329" s="440"/>
      <c r="CJ329" s="437"/>
      <c r="CK329" s="439"/>
      <c r="CL329" s="435"/>
      <c r="CM329" s="440"/>
      <c r="CN329" s="440"/>
      <c r="CO329" s="437"/>
      <c r="CP329" s="439"/>
      <c r="CQ329" s="435"/>
      <c r="CR329" s="440"/>
      <c r="CS329" s="440"/>
      <c r="CT329" s="437"/>
      <c r="CU329" s="439"/>
      <c r="CV329" s="435"/>
      <c r="CW329" s="440"/>
      <c r="CX329" s="440"/>
      <c r="CY329" s="437"/>
      <c r="CZ329" s="439"/>
      <c r="DA329" s="435"/>
      <c r="DB329" s="440"/>
      <c r="DC329" s="440"/>
      <c r="DD329" s="437"/>
      <c r="DE329" s="439"/>
      <c r="DF329" s="435"/>
      <c r="DG329" s="440"/>
      <c r="DH329" s="440"/>
      <c r="DI329" s="437"/>
      <c r="DJ329" s="439"/>
      <c r="DK329" s="435"/>
      <c r="DL329" s="440"/>
      <c r="DM329" s="440"/>
      <c r="DN329" s="437"/>
      <c r="DO329" s="439"/>
      <c r="DP329" s="435"/>
      <c r="DQ329" s="440"/>
      <c r="DR329" s="440"/>
      <c r="DS329" s="437"/>
      <c r="DT329" s="439"/>
    </row>
    <row r="330" spans="1:124" ht="12.75" customHeight="1">
      <c r="A330" s="491"/>
      <c r="C330" s="56" t="s">
        <v>283</v>
      </c>
      <c r="D330" s="56"/>
      <c r="E330" s="8"/>
      <c r="F330" s="1230"/>
      <c r="G330" s="1230"/>
      <c r="H330" s="1320"/>
      <c r="I330" s="1314"/>
      <c r="J330" s="621"/>
      <c r="K330" s="453"/>
      <c r="L330" s="429">
        <f t="shared" ref="L330:AQ330" si="2395">+L322+L328</f>
        <v>0</v>
      </c>
      <c r="M330" s="430">
        <f t="shared" si="2395"/>
        <v>0</v>
      </c>
      <c r="N330" s="431">
        <f t="shared" si="2395"/>
        <v>0</v>
      </c>
      <c r="O330" s="431">
        <f t="shared" si="2395"/>
        <v>0</v>
      </c>
      <c r="P330" s="432">
        <f t="shared" si="2395"/>
        <v>0</v>
      </c>
      <c r="Q330" s="429">
        <f t="shared" si="2395"/>
        <v>0</v>
      </c>
      <c r="R330" s="430">
        <f t="shared" si="2395"/>
        <v>0</v>
      </c>
      <c r="S330" s="431">
        <f t="shared" si="2395"/>
        <v>0</v>
      </c>
      <c r="T330" s="431">
        <f t="shared" si="2395"/>
        <v>0</v>
      </c>
      <c r="U330" s="432">
        <f t="shared" si="2395"/>
        <v>0</v>
      </c>
      <c r="V330" s="429">
        <f t="shared" si="2395"/>
        <v>0</v>
      </c>
      <c r="W330" s="430">
        <f t="shared" si="2395"/>
        <v>0</v>
      </c>
      <c r="X330" s="431">
        <f t="shared" si="2395"/>
        <v>0</v>
      </c>
      <c r="Y330" s="431">
        <f t="shared" si="2395"/>
        <v>0</v>
      </c>
      <c r="Z330" s="432">
        <f t="shared" si="2395"/>
        <v>0</v>
      </c>
      <c r="AA330" s="429">
        <f t="shared" si="2395"/>
        <v>0</v>
      </c>
      <c r="AB330" s="430">
        <f t="shared" si="2395"/>
        <v>0</v>
      </c>
      <c r="AC330" s="431">
        <f t="shared" si="2395"/>
        <v>0</v>
      </c>
      <c r="AD330" s="431">
        <f t="shared" si="2395"/>
        <v>0</v>
      </c>
      <c r="AE330" s="432">
        <f t="shared" si="2395"/>
        <v>0</v>
      </c>
      <c r="AF330" s="429">
        <f t="shared" si="2395"/>
        <v>0</v>
      </c>
      <c r="AG330" s="430">
        <f t="shared" si="2395"/>
        <v>0</v>
      </c>
      <c r="AH330" s="431">
        <f t="shared" si="2395"/>
        <v>0</v>
      </c>
      <c r="AI330" s="431">
        <f t="shared" si="2395"/>
        <v>0</v>
      </c>
      <c r="AJ330" s="432">
        <f t="shared" si="2395"/>
        <v>0</v>
      </c>
      <c r="AK330" s="429">
        <f t="shared" si="2395"/>
        <v>0</v>
      </c>
      <c r="AL330" s="430">
        <f t="shared" si="2395"/>
        <v>0</v>
      </c>
      <c r="AM330" s="431">
        <f t="shared" si="2395"/>
        <v>0</v>
      </c>
      <c r="AN330" s="431">
        <f t="shared" si="2395"/>
        <v>0</v>
      </c>
      <c r="AO330" s="432">
        <f t="shared" si="2395"/>
        <v>0</v>
      </c>
      <c r="AP330" s="429">
        <f t="shared" si="2395"/>
        <v>0</v>
      </c>
      <c r="AQ330" s="430">
        <f t="shared" si="2395"/>
        <v>0</v>
      </c>
      <c r="AR330" s="431">
        <f t="shared" ref="AR330:BO330" si="2396">+AR322+AR328</f>
        <v>0</v>
      </c>
      <c r="AS330" s="431">
        <f t="shared" si="2396"/>
        <v>0</v>
      </c>
      <c r="AT330" s="432">
        <f t="shared" si="2396"/>
        <v>0</v>
      </c>
      <c r="AU330" s="429">
        <f t="shared" si="2396"/>
        <v>0</v>
      </c>
      <c r="AV330" s="430">
        <f t="shared" si="2396"/>
        <v>0</v>
      </c>
      <c r="AW330" s="431">
        <f t="shared" si="2396"/>
        <v>0</v>
      </c>
      <c r="AX330" s="431">
        <f t="shared" si="2396"/>
        <v>0</v>
      </c>
      <c r="AY330" s="432">
        <f t="shared" si="2396"/>
        <v>0</v>
      </c>
      <c r="AZ330" s="429">
        <f t="shared" si="2396"/>
        <v>0</v>
      </c>
      <c r="BA330" s="430">
        <f t="shared" si="2396"/>
        <v>0</v>
      </c>
      <c r="BB330" s="431">
        <f t="shared" si="2396"/>
        <v>0</v>
      </c>
      <c r="BC330" s="431">
        <f t="shared" si="2396"/>
        <v>0</v>
      </c>
      <c r="BD330" s="432">
        <f t="shared" si="2396"/>
        <v>0</v>
      </c>
      <c r="BE330" s="429">
        <f t="shared" si="2396"/>
        <v>0</v>
      </c>
      <c r="BF330" s="430">
        <f t="shared" si="2396"/>
        <v>0</v>
      </c>
      <c r="BG330" s="431">
        <f t="shared" si="2396"/>
        <v>0</v>
      </c>
      <c r="BH330" s="431">
        <f t="shared" si="2396"/>
        <v>0</v>
      </c>
      <c r="BI330" s="432">
        <f t="shared" si="2396"/>
        <v>0</v>
      </c>
      <c r="BJ330" s="429">
        <f t="shared" si="2396"/>
        <v>0</v>
      </c>
      <c r="BK330" s="430">
        <f t="shared" si="2396"/>
        <v>0</v>
      </c>
      <c r="BL330" s="431">
        <f t="shared" si="2396"/>
        <v>0</v>
      </c>
      <c r="BM330" s="431">
        <f t="shared" si="2396"/>
        <v>0</v>
      </c>
      <c r="BN330" s="432">
        <f t="shared" si="2396"/>
        <v>0</v>
      </c>
      <c r="BO330" s="429">
        <f t="shared" si="2396"/>
        <v>0</v>
      </c>
      <c r="BP330" s="463"/>
      <c r="BQ330" s="434">
        <f t="shared" ref="BQ330:CV330" si="2397">+BQ322+BQ328</f>
        <v>0</v>
      </c>
      <c r="BR330" s="435">
        <f t="shared" si="2397"/>
        <v>0</v>
      </c>
      <c r="BS330" s="436">
        <f t="shared" si="2397"/>
        <v>0</v>
      </c>
      <c r="BT330" s="436">
        <f t="shared" si="2397"/>
        <v>0</v>
      </c>
      <c r="BU330" s="437">
        <f t="shared" si="2397"/>
        <v>0</v>
      </c>
      <c r="BV330" s="434">
        <f t="shared" si="2397"/>
        <v>0</v>
      </c>
      <c r="BW330" s="435">
        <f t="shared" si="2397"/>
        <v>0</v>
      </c>
      <c r="BX330" s="436">
        <f t="shared" si="2397"/>
        <v>0</v>
      </c>
      <c r="BY330" s="436">
        <f t="shared" si="2397"/>
        <v>0</v>
      </c>
      <c r="BZ330" s="437">
        <f t="shared" si="2397"/>
        <v>0</v>
      </c>
      <c r="CA330" s="434">
        <f t="shared" si="2397"/>
        <v>0</v>
      </c>
      <c r="CB330" s="435">
        <f t="shared" si="2397"/>
        <v>0</v>
      </c>
      <c r="CC330" s="436">
        <f t="shared" si="2397"/>
        <v>0</v>
      </c>
      <c r="CD330" s="436">
        <f t="shared" si="2397"/>
        <v>0</v>
      </c>
      <c r="CE330" s="437">
        <f t="shared" si="2397"/>
        <v>0</v>
      </c>
      <c r="CF330" s="434">
        <f t="shared" si="2397"/>
        <v>0</v>
      </c>
      <c r="CG330" s="435">
        <f t="shared" si="2397"/>
        <v>0</v>
      </c>
      <c r="CH330" s="436">
        <f t="shared" si="2397"/>
        <v>0</v>
      </c>
      <c r="CI330" s="436">
        <f t="shared" si="2397"/>
        <v>0</v>
      </c>
      <c r="CJ330" s="437">
        <f t="shared" si="2397"/>
        <v>0</v>
      </c>
      <c r="CK330" s="434">
        <f t="shared" si="2397"/>
        <v>0</v>
      </c>
      <c r="CL330" s="435">
        <f t="shared" si="2397"/>
        <v>0</v>
      </c>
      <c r="CM330" s="436">
        <f t="shared" si="2397"/>
        <v>0</v>
      </c>
      <c r="CN330" s="436">
        <f t="shared" si="2397"/>
        <v>0</v>
      </c>
      <c r="CO330" s="437">
        <f t="shared" si="2397"/>
        <v>0</v>
      </c>
      <c r="CP330" s="434">
        <f t="shared" si="2397"/>
        <v>0</v>
      </c>
      <c r="CQ330" s="435">
        <f t="shared" si="2397"/>
        <v>0</v>
      </c>
      <c r="CR330" s="436">
        <f t="shared" si="2397"/>
        <v>0</v>
      </c>
      <c r="CS330" s="436">
        <f t="shared" si="2397"/>
        <v>0</v>
      </c>
      <c r="CT330" s="437">
        <f t="shared" si="2397"/>
        <v>0</v>
      </c>
      <c r="CU330" s="434">
        <f t="shared" si="2397"/>
        <v>0</v>
      </c>
      <c r="CV330" s="435">
        <f t="shared" si="2397"/>
        <v>0</v>
      </c>
      <c r="CW330" s="436">
        <f t="shared" ref="CW330:DT330" si="2398">+CW322+CW328</f>
        <v>0</v>
      </c>
      <c r="CX330" s="436">
        <f t="shared" si="2398"/>
        <v>0</v>
      </c>
      <c r="CY330" s="437">
        <f t="shared" si="2398"/>
        <v>0</v>
      </c>
      <c r="CZ330" s="434">
        <f t="shared" si="2398"/>
        <v>0</v>
      </c>
      <c r="DA330" s="435">
        <f t="shared" si="2398"/>
        <v>0</v>
      </c>
      <c r="DB330" s="436">
        <f t="shared" si="2398"/>
        <v>0</v>
      </c>
      <c r="DC330" s="436">
        <f t="shared" si="2398"/>
        <v>0</v>
      </c>
      <c r="DD330" s="437">
        <f t="shared" si="2398"/>
        <v>0</v>
      </c>
      <c r="DE330" s="434">
        <f t="shared" si="2398"/>
        <v>0</v>
      </c>
      <c r="DF330" s="435">
        <f t="shared" si="2398"/>
        <v>0</v>
      </c>
      <c r="DG330" s="436">
        <f t="shared" si="2398"/>
        <v>0</v>
      </c>
      <c r="DH330" s="436">
        <f t="shared" si="2398"/>
        <v>0</v>
      </c>
      <c r="DI330" s="437">
        <f t="shared" si="2398"/>
        <v>0</v>
      </c>
      <c r="DJ330" s="434">
        <f t="shared" si="2398"/>
        <v>0</v>
      </c>
      <c r="DK330" s="435">
        <f t="shared" si="2398"/>
        <v>0</v>
      </c>
      <c r="DL330" s="436">
        <f t="shared" si="2398"/>
        <v>0</v>
      </c>
      <c r="DM330" s="436">
        <f t="shared" si="2398"/>
        <v>0</v>
      </c>
      <c r="DN330" s="437">
        <f t="shared" si="2398"/>
        <v>0</v>
      </c>
      <c r="DO330" s="434">
        <f t="shared" si="2398"/>
        <v>0</v>
      </c>
      <c r="DP330" s="435">
        <f t="shared" si="2398"/>
        <v>0</v>
      </c>
      <c r="DQ330" s="436">
        <f t="shared" si="2398"/>
        <v>0</v>
      </c>
      <c r="DR330" s="436">
        <f t="shared" si="2398"/>
        <v>0</v>
      </c>
      <c r="DS330" s="437">
        <f t="shared" si="2398"/>
        <v>0</v>
      </c>
      <c r="DT330" s="434">
        <f t="shared" si="2398"/>
        <v>0</v>
      </c>
    </row>
    <row r="331" spans="1:124" ht="12.75" customHeight="1">
      <c r="C331" s="81"/>
      <c r="D331" s="81"/>
      <c r="E331" s="831"/>
      <c r="F331" s="1226"/>
      <c r="G331" s="1226"/>
      <c r="H331" s="610"/>
      <c r="I331" s="13"/>
      <c r="J331" s="620"/>
      <c r="K331" s="402"/>
      <c r="L331" s="407"/>
      <c r="M331" s="404"/>
      <c r="N331" s="414"/>
      <c r="O331" s="414"/>
      <c r="P331" s="406"/>
      <c r="Q331" s="407"/>
      <c r="R331" s="404"/>
      <c r="S331" s="414"/>
      <c r="T331" s="414"/>
      <c r="U331" s="406"/>
      <c r="V331" s="407"/>
      <c r="W331" s="404"/>
      <c r="X331" s="414"/>
      <c r="Y331" s="414"/>
      <c r="Z331" s="406"/>
      <c r="AA331" s="407"/>
      <c r="AB331" s="404"/>
      <c r="AC331" s="414"/>
      <c r="AD331" s="414"/>
      <c r="AE331" s="406"/>
      <c r="AF331" s="407"/>
      <c r="AG331" s="404"/>
      <c r="AH331" s="414"/>
      <c r="AI331" s="414"/>
      <c r="AJ331" s="406"/>
      <c r="AK331" s="407"/>
      <c r="AL331" s="404"/>
      <c r="AM331" s="414"/>
      <c r="AN331" s="414"/>
      <c r="AO331" s="406"/>
      <c r="AP331" s="407"/>
      <c r="AQ331" s="404"/>
      <c r="AR331" s="414"/>
      <c r="AS331" s="414"/>
      <c r="AT331" s="406"/>
      <c r="AU331" s="407"/>
      <c r="AV331" s="404"/>
      <c r="AW331" s="414"/>
      <c r="AX331" s="414"/>
      <c r="AY331" s="406"/>
      <c r="AZ331" s="407"/>
      <c r="BA331" s="404"/>
      <c r="BB331" s="414"/>
      <c r="BC331" s="414"/>
      <c r="BD331" s="406"/>
      <c r="BE331" s="407"/>
      <c r="BF331" s="404"/>
      <c r="BG331" s="414"/>
      <c r="BH331" s="414"/>
      <c r="BI331" s="406"/>
      <c r="BJ331" s="407"/>
      <c r="BK331" s="404"/>
      <c r="BL331" s="414"/>
      <c r="BM331" s="414"/>
      <c r="BN331" s="406"/>
      <c r="BO331" s="407"/>
      <c r="BP331" s="447"/>
      <c r="BQ331" s="413"/>
      <c r="BR331" s="410"/>
      <c r="BS331" s="416"/>
      <c r="BT331" s="416"/>
      <c r="BU331" s="412"/>
      <c r="BV331" s="413"/>
      <c r="BW331" s="410"/>
      <c r="BX331" s="416"/>
      <c r="BY331" s="416"/>
      <c r="BZ331" s="412"/>
      <c r="CA331" s="413"/>
      <c r="CB331" s="410"/>
      <c r="CC331" s="416"/>
      <c r="CD331" s="416"/>
      <c r="CE331" s="412"/>
      <c r="CF331" s="413"/>
      <c r="CG331" s="410"/>
      <c r="CH331" s="416"/>
      <c r="CI331" s="416"/>
      <c r="CJ331" s="412"/>
      <c r="CK331" s="413"/>
      <c r="CL331" s="410"/>
      <c r="CM331" s="416"/>
      <c r="CN331" s="416"/>
      <c r="CO331" s="412"/>
      <c r="CP331" s="413"/>
      <c r="CQ331" s="410"/>
      <c r="CR331" s="416"/>
      <c r="CS331" s="416"/>
      <c r="CT331" s="412"/>
      <c r="CU331" s="413"/>
      <c r="CV331" s="410"/>
      <c r="CW331" s="416"/>
      <c r="CX331" s="416"/>
      <c r="CY331" s="412"/>
      <c r="CZ331" s="413"/>
      <c r="DA331" s="410"/>
      <c r="DB331" s="416"/>
      <c r="DC331" s="416"/>
      <c r="DD331" s="412"/>
      <c r="DE331" s="413"/>
      <c r="DF331" s="410"/>
      <c r="DG331" s="416"/>
      <c r="DH331" s="416"/>
      <c r="DI331" s="412"/>
      <c r="DJ331" s="413"/>
      <c r="DK331" s="410"/>
      <c r="DL331" s="416"/>
      <c r="DM331" s="416"/>
      <c r="DN331" s="412"/>
      <c r="DO331" s="413"/>
      <c r="DP331" s="410"/>
      <c r="DQ331" s="416"/>
      <c r="DR331" s="416"/>
      <c r="DS331" s="412"/>
      <c r="DT331" s="413"/>
    </row>
    <row r="332" spans="1:124" ht="12.75" customHeight="1" thickBot="1">
      <c r="B332" s="387"/>
      <c r="C332" s="441"/>
      <c r="D332" s="441"/>
      <c r="E332" s="444"/>
      <c r="F332" s="1231"/>
      <c r="G332" s="1231"/>
      <c r="H332" s="1321"/>
      <c r="I332" s="1317"/>
      <c r="J332" s="622"/>
      <c r="K332" s="465"/>
      <c r="L332" s="444"/>
      <c r="M332" s="466"/>
      <c r="N332" s="467"/>
      <c r="O332" s="467"/>
      <c r="P332" s="468"/>
      <c r="Q332" s="444"/>
      <c r="R332" s="466"/>
      <c r="S332" s="467"/>
      <c r="T332" s="467"/>
      <c r="U332" s="468"/>
      <c r="V332" s="444"/>
      <c r="W332" s="466"/>
      <c r="X332" s="467"/>
      <c r="Y332" s="467"/>
      <c r="Z332" s="468"/>
      <c r="AA332" s="444"/>
      <c r="AB332" s="466"/>
      <c r="AC332" s="467"/>
      <c r="AD332" s="467"/>
      <c r="AE332" s="468"/>
      <c r="AF332" s="444"/>
      <c r="AG332" s="466"/>
      <c r="AH332" s="467"/>
      <c r="AI332" s="467"/>
      <c r="AJ332" s="468"/>
      <c r="AK332" s="444"/>
      <c r="AL332" s="466"/>
      <c r="AM332" s="467"/>
      <c r="AN332" s="467"/>
      <c r="AO332" s="468"/>
      <c r="AP332" s="444"/>
      <c r="AQ332" s="466"/>
      <c r="AR332" s="467"/>
      <c r="AS332" s="467"/>
      <c r="AT332" s="468"/>
      <c r="AU332" s="444"/>
      <c r="AV332" s="466"/>
      <c r="AW332" s="467"/>
      <c r="AX332" s="467"/>
      <c r="AY332" s="468"/>
      <c r="AZ332" s="444"/>
      <c r="BA332" s="466"/>
      <c r="BB332" s="467"/>
      <c r="BC332" s="467"/>
      <c r="BD332" s="468"/>
      <c r="BE332" s="444"/>
      <c r="BF332" s="466"/>
      <c r="BG332" s="467"/>
      <c r="BH332" s="467"/>
      <c r="BI332" s="468"/>
      <c r="BJ332" s="444"/>
      <c r="BK332" s="466"/>
      <c r="BL332" s="467"/>
      <c r="BM332" s="467"/>
      <c r="BN332" s="468"/>
      <c r="BO332" s="444"/>
      <c r="BP332" s="469"/>
      <c r="BQ332" s="446"/>
      <c r="BR332" s="470"/>
      <c r="BS332" s="471"/>
      <c r="BT332" s="471"/>
      <c r="BU332" s="472"/>
      <c r="BV332" s="446"/>
      <c r="BW332" s="470"/>
      <c r="BX332" s="471"/>
      <c r="BY332" s="471"/>
      <c r="BZ332" s="472"/>
      <c r="CA332" s="446"/>
      <c r="CB332" s="470"/>
      <c r="CC332" s="471"/>
      <c r="CD332" s="471"/>
      <c r="CE332" s="472"/>
      <c r="CF332" s="446"/>
      <c r="CG332" s="470"/>
      <c r="CH332" s="471"/>
      <c r="CI332" s="471"/>
      <c r="CJ332" s="472"/>
      <c r="CK332" s="446"/>
      <c r="CL332" s="470"/>
      <c r="CM332" s="471"/>
      <c r="CN332" s="471"/>
      <c r="CO332" s="472"/>
      <c r="CP332" s="446"/>
      <c r="CQ332" s="470"/>
      <c r="CR332" s="471"/>
      <c r="CS332" s="471"/>
      <c r="CT332" s="472"/>
      <c r="CU332" s="446"/>
      <c r="CV332" s="470"/>
      <c r="CW332" s="471"/>
      <c r="CX332" s="471"/>
      <c r="CY332" s="472"/>
      <c r="CZ332" s="446"/>
      <c r="DA332" s="470"/>
      <c r="DB332" s="471"/>
      <c r="DC332" s="471"/>
      <c r="DD332" s="472"/>
      <c r="DE332" s="446"/>
      <c r="DF332" s="470"/>
      <c r="DG332" s="471"/>
      <c r="DH332" s="471"/>
      <c r="DI332" s="472"/>
      <c r="DJ332" s="446"/>
      <c r="DK332" s="470"/>
      <c r="DL332" s="471"/>
      <c r="DM332" s="471"/>
      <c r="DN332" s="472"/>
      <c r="DO332" s="446"/>
      <c r="DP332" s="470"/>
      <c r="DQ332" s="471"/>
      <c r="DR332" s="471"/>
      <c r="DS332" s="472"/>
      <c r="DT332" s="446"/>
    </row>
    <row r="333" spans="1:124" ht="12.75" customHeight="1">
      <c r="E333" s="1300"/>
      <c r="F333" s="1300"/>
      <c r="G333" s="1300"/>
      <c r="H333" s="1300"/>
      <c r="I333" s="1300"/>
      <c r="J333" s="1300"/>
    </row>
    <row r="334" spans="1:124" ht="12.75" customHeight="1">
      <c r="E334" s="1300"/>
      <c r="F334" s="1300"/>
      <c r="G334" s="1300"/>
      <c r="H334" s="1300"/>
      <c r="I334" s="1300"/>
      <c r="J334" s="1300"/>
    </row>
    <row r="335" spans="1:124" ht="12.75" customHeight="1">
      <c r="E335" s="1300"/>
      <c r="F335" s="1300"/>
      <c r="G335" s="1300"/>
      <c r="H335" s="1300"/>
      <c r="I335" s="1300"/>
      <c r="J335" s="1300"/>
    </row>
    <row r="336" spans="1:124" ht="12.75" customHeight="1">
      <c r="E336" s="1300"/>
      <c r="F336" s="1300"/>
      <c r="G336" s="1300"/>
      <c r="H336" s="1300"/>
      <c r="I336" s="1300"/>
      <c r="J336" s="1300"/>
    </row>
    <row r="337" spans="5:10" ht="12.75" customHeight="1">
      <c r="E337" s="1300"/>
      <c r="F337" s="1300"/>
      <c r="G337" s="1300"/>
      <c r="H337" s="1300"/>
      <c r="I337" s="1300"/>
      <c r="J337" s="1300"/>
    </row>
    <row r="338" spans="5:10" ht="12.75" customHeight="1">
      <c r="E338" s="1300"/>
      <c r="F338" s="1300"/>
      <c r="G338" s="1300"/>
      <c r="H338" s="1300"/>
      <c r="I338" s="1300"/>
      <c r="J338" s="1300"/>
    </row>
    <row r="339" spans="5:10" ht="12.75" customHeight="1">
      <c r="E339" s="1300"/>
      <c r="F339" s="1300"/>
      <c r="G339" s="1300"/>
      <c r="H339" s="1300"/>
      <c r="I339" s="1300"/>
      <c r="J339" s="1300"/>
    </row>
    <row r="340" spans="5:10" ht="12.75" customHeight="1">
      <c r="E340" s="1300"/>
      <c r="F340" s="1300"/>
      <c r="G340" s="1300"/>
      <c r="H340" s="1300"/>
      <c r="I340" s="1300"/>
      <c r="J340" s="1300"/>
    </row>
    <row r="341" spans="5:10" ht="12.75" customHeight="1">
      <c r="E341" s="1300"/>
      <c r="F341" s="1300"/>
      <c r="G341" s="1300"/>
      <c r="H341" s="1300"/>
      <c r="I341" s="1300"/>
      <c r="J341" s="1300"/>
    </row>
    <row r="342" spans="5:10" ht="12.75" customHeight="1">
      <c r="E342" s="1300"/>
      <c r="F342" s="1300"/>
      <c r="G342" s="1300"/>
      <c r="H342" s="1300"/>
      <c r="I342" s="1300"/>
      <c r="J342" s="1300"/>
    </row>
    <row r="343" spans="5:10" ht="12.75" customHeight="1">
      <c r="E343" s="1300"/>
      <c r="F343" s="1300"/>
      <c r="G343" s="1300"/>
      <c r="H343" s="1300"/>
      <c r="I343" s="1300"/>
      <c r="J343" s="1300"/>
    </row>
    <row r="344" spans="5:10" ht="12.75" customHeight="1">
      <c r="E344" s="1300"/>
      <c r="F344" s="1300"/>
      <c r="G344" s="1300"/>
      <c r="H344" s="1300"/>
      <c r="I344" s="1300"/>
      <c r="J344" s="1300"/>
    </row>
    <row r="345" spans="5:10" ht="12.75" customHeight="1">
      <c r="E345" s="1300"/>
      <c r="F345" s="1300"/>
      <c r="G345" s="1300"/>
      <c r="H345" s="1300"/>
      <c r="I345" s="1300"/>
      <c r="J345" s="1300"/>
    </row>
    <row r="346" spans="5:10" ht="12.75" customHeight="1">
      <c r="E346" s="1300"/>
      <c r="F346" s="1300"/>
      <c r="G346" s="1300"/>
      <c r="H346" s="1300"/>
      <c r="I346" s="1300"/>
      <c r="J346" s="1300"/>
    </row>
    <row r="347" spans="5:10" ht="12.75" customHeight="1">
      <c r="E347" s="1300"/>
      <c r="F347" s="1300"/>
      <c r="G347" s="1300"/>
      <c r="H347" s="1300"/>
      <c r="I347" s="1300"/>
      <c r="J347" s="1300"/>
    </row>
    <row r="348" spans="5:10" ht="12.75" customHeight="1">
      <c r="E348" s="1300"/>
      <c r="F348" s="1300"/>
      <c r="G348" s="1300"/>
      <c r="H348" s="1300"/>
      <c r="I348" s="1300"/>
      <c r="J348" s="1300"/>
    </row>
    <row r="349" spans="5:10" ht="12.75" customHeight="1">
      <c r="E349" s="1300"/>
      <c r="F349" s="1300"/>
      <c r="G349" s="1300"/>
      <c r="H349" s="1300"/>
      <c r="I349" s="1300"/>
      <c r="J349" s="1300"/>
    </row>
    <row r="350" spans="5:10" ht="12.75" customHeight="1">
      <c r="E350" s="1300"/>
      <c r="F350" s="1300"/>
      <c r="G350" s="1300"/>
      <c r="H350" s="1300"/>
      <c r="I350" s="1300"/>
      <c r="J350" s="1300"/>
    </row>
    <row r="351" spans="5:10" ht="12.75" customHeight="1">
      <c r="E351" s="1300"/>
      <c r="F351" s="1300"/>
      <c r="G351" s="1300"/>
      <c r="H351" s="1300"/>
      <c r="I351" s="1300"/>
      <c r="J351" s="1300"/>
    </row>
    <row r="352" spans="5:10" ht="12.75" customHeight="1">
      <c r="E352" s="1300"/>
      <c r="F352" s="1300"/>
      <c r="G352" s="1300"/>
      <c r="H352" s="1300"/>
      <c r="I352" s="1300"/>
      <c r="J352" s="1300"/>
    </row>
    <row r="353" spans="5:10" ht="12.75" customHeight="1">
      <c r="E353" s="1300"/>
      <c r="F353" s="1300"/>
      <c r="G353" s="1300"/>
      <c r="H353" s="1300"/>
      <c r="I353" s="1300"/>
      <c r="J353" s="1300"/>
    </row>
    <row r="354" spans="5:10" ht="12.75" customHeight="1">
      <c r="E354" s="1300"/>
      <c r="F354" s="1300"/>
      <c r="G354" s="1300"/>
      <c r="H354" s="1300"/>
      <c r="I354" s="1300"/>
      <c r="J354" s="1300"/>
    </row>
    <row r="355" spans="5:10" ht="12.75" customHeight="1">
      <c r="E355" s="1300"/>
      <c r="F355" s="1300"/>
      <c r="G355" s="1300"/>
      <c r="H355" s="1300"/>
      <c r="I355" s="1300"/>
      <c r="J355" s="1300"/>
    </row>
    <row r="356" spans="5:10" ht="12.75" customHeight="1">
      <c r="E356" s="1300"/>
      <c r="F356" s="1300"/>
      <c r="G356" s="1300"/>
      <c r="H356" s="1300"/>
      <c r="I356" s="1300"/>
      <c r="J356" s="1300"/>
    </row>
    <row r="357" spans="5:10" ht="12.75" customHeight="1">
      <c r="E357" s="1300"/>
      <c r="F357" s="1300"/>
      <c r="G357" s="1300"/>
      <c r="H357" s="1300"/>
      <c r="I357" s="1300"/>
      <c r="J357" s="1300"/>
    </row>
    <row r="358" spans="5:10" ht="12.75" customHeight="1">
      <c r="E358" s="1300"/>
      <c r="F358" s="1300"/>
      <c r="G358" s="1300"/>
      <c r="H358" s="1300"/>
      <c r="I358" s="1300"/>
      <c r="J358" s="1300"/>
    </row>
    <row r="359" spans="5:10" ht="12.75" customHeight="1">
      <c r="E359" s="1300"/>
      <c r="F359" s="1300"/>
      <c r="G359" s="1300"/>
      <c r="H359" s="1300"/>
      <c r="I359" s="1300"/>
      <c r="J359" s="1300"/>
    </row>
    <row r="360" spans="5:10" ht="12.75" customHeight="1">
      <c r="E360" s="1300"/>
      <c r="F360" s="1300"/>
      <c r="G360" s="1300"/>
      <c r="H360" s="1300"/>
      <c r="I360" s="1300"/>
      <c r="J360" s="1300"/>
    </row>
    <row r="361" spans="5:10" ht="12.75" customHeight="1">
      <c r="E361" s="1300"/>
      <c r="F361" s="1300"/>
      <c r="G361" s="1300"/>
      <c r="H361" s="1300"/>
      <c r="I361" s="1300"/>
      <c r="J361" s="1300"/>
    </row>
    <row r="362" spans="5:10" ht="12.75" customHeight="1">
      <c r="E362" s="1300"/>
      <c r="F362" s="1300"/>
      <c r="G362" s="1300"/>
      <c r="H362" s="1300"/>
      <c r="I362" s="1300"/>
      <c r="J362" s="1300"/>
    </row>
    <row r="363" spans="5:10" ht="12.75" customHeight="1">
      <c r="E363" s="1300"/>
      <c r="F363" s="1300"/>
      <c r="G363" s="1300"/>
      <c r="H363" s="1300"/>
      <c r="I363" s="1300"/>
      <c r="J363" s="1300"/>
    </row>
    <row r="364" spans="5:10" ht="12.75" customHeight="1">
      <c r="E364" s="1300"/>
      <c r="F364" s="1300"/>
      <c r="G364" s="1300"/>
      <c r="H364" s="1300"/>
      <c r="I364" s="1300"/>
      <c r="J364" s="1300"/>
    </row>
    <row r="365" spans="5:10" ht="12.75" customHeight="1">
      <c r="E365" s="1300"/>
      <c r="F365" s="1300"/>
      <c r="G365" s="1300"/>
      <c r="H365" s="1300"/>
      <c r="I365" s="1300"/>
      <c r="J365" s="1300"/>
    </row>
    <row r="366" spans="5:10" ht="12.75" customHeight="1">
      <c r="E366" s="1300"/>
      <c r="F366" s="1300"/>
      <c r="G366" s="1300"/>
      <c r="H366" s="1300"/>
      <c r="I366" s="1300"/>
      <c r="J366" s="1300"/>
    </row>
    <row r="367" spans="5:10" ht="12.75" customHeight="1">
      <c r="E367" s="1300"/>
      <c r="F367" s="1300"/>
      <c r="G367" s="1300"/>
      <c r="H367" s="1300"/>
      <c r="I367" s="1300"/>
      <c r="J367" s="1300"/>
    </row>
    <row r="368" spans="5:10" ht="12.75" customHeight="1">
      <c r="E368" s="1300"/>
      <c r="F368" s="1300"/>
      <c r="G368" s="1300"/>
      <c r="H368" s="1300"/>
      <c r="I368" s="1300"/>
      <c r="J368" s="1300"/>
    </row>
    <row r="369" spans="5:10" ht="12.75" customHeight="1">
      <c r="E369" s="1300"/>
      <c r="F369" s="1300"/>
      <c r="G369" s="1300"/>
      <c r="H369" s="1300"/>
      <c r="I369" s="1300"/>
      <c r="J369" s="1300"/>
    </row>
  </sheetData>
  <phoneticPr fontId="40" type="noConversion"/>
  <pageMargins left="0.5" right="0.5" top="0.5" bottom="0.5" header="0" footer="0"/>
  <pageSetup scale="52" fitToWidth="2" fitToHeight="2" orientation="landscape" r:id="rId1"/>
  <headerFooter alignWithMargins="0"/>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autoPageBreaks="0"/>
  </sheetPr>
  <dimension ref="A1:CZ512"/>
  <sheetViews>
    <sheetView zoomScale="80" workbookViewId="0">
      <pane xSplit="6" ySplit="4" topLeftCell="G5" activePane="bottomRight" state="frozen"/>
      <selection pane="topRight" activeCell="G1" sqref="G1"/>
      <selection pane="bottomLeft" activeCell="A5" sqref="A5"/>
      <selection pane="bottomRight" activeCell="S5" sqref="S5"/>
    </sheetView>
  </sheetViews>
  <sheetFormatPr defaultRowHeight="12.75" outlineLevelCol="1"/>
  <cols>
    <col min="1" max="2" width="2.7109375" style="895" customWidth="1"/>
    <col min="3" max="3" width="52.140625" style="895" bestFit="1" customWidth="1"/>
    <col min="4" max="4" width="5.28515625" style="895" customWidth="1"/>
    <col min="5" max="5" width="2.7109375" style="895" customWidth="1"/>
    <col min="6" max="6" width="20" style="1053" bestFit="1" customWidth="1"/>
    <col min="7" max="10" width="9.28515625" style="1004" hidden="1" customWidth="1" outlineLevel="1"/>
    <col min="11" max="18" width="8.7109375" style="895" hidden="1" customWidth="1" outlineLevel="1"/>
    <col min="19" max="19" width="8.7109375" style="895" customWidth="1" collapsed="1"/>
    <col min="20" max="57" width="8.7109375" style="895" customWidth="1"/>
    <col min="58" max="58" width="9" style="895" customWidth="1"/>
    <col min="59" max="69" width="9.140625" style="1092"/>
    <col min="70" max="73" width="9.140625" style="895"/>
    <col min="74" max="74" width="23.140625" style="895" bestFit="1" customWidth="1"/>
    <col min="75" max="75" width="14" style="895" customWidth="1"/>
    <col min="76" max="76" width="11.28515625" style="895" bestFit="1" customWidth="1"/>
    <col min="77" max="77" width="17.7109375" style="895" bestFit="1" customWidth="1"/>
    <col min="78" max="78" width="25.85546875" style="895" customWidth="1"/>
    <col min="79" max="79" width="26.42578125" style="895" bestFit="1" customWidth="1"/>
    <col min="80" max="80" width="35.28515625" style="895" bestFit="1" customWidth="1"/>
    <col min="81" max="81" width="11.28515625" style="895" bestFit="1" customWidth="1"/>
    <col min="82" max="16384" width="9.140625" style="895"/>
  </cols>
  <sheetData>
    <row r="1" spans="1:78" ht="18">
      <c r="A1" s="896"/>
      <c r="B1" s="887" t="s">
        <v>639</v>
      </c>
      <c r="C1" s="887"/>
      <c r="D1" s="887"/>
      <c r="E1" s="888"/>
      <c r="F1" s="1035"/>
      <c r="G1" s="889"/>
      <c r="H1" s="889"/>
      <c r="I1" s="889"/>
      <c r="J1" s="889"/>
      <c r="K1" s="890"/>
      <c r="L1" s="891"/>
      <c r="M1" s="891"/>
      <c r="N1" s="891"/>
      <c r="O1" s="891"/>
      <c r="P1" s="891"/>
      <c r="Q1" s="891"/>
      <c r="R1" s="892"/>
      <c r="S1" s="892"/>
      <c r="T1" s="892"/>
      <c r="U1" s="892"/>
      <c r="V1" s="892"/>
      <c r="W1" s="892"/>
      <c r="X1" s="892"/>
      <c r="Y1" s="892"/>
      <c r="Z1" s="892"/>
      <c r="AA1" s="892"/>
      <c r="AB1" s="892"/>
      <c r="AC1" s="892"/>
      <c r="AD1" s="892"/>
      <c r="AE1" s="892"/>
      <c r="AF1" s="892"/>
      <c r="AG1" s="892"/>
      <c r="AH1" s="892"/>
      <c r="AI1" s="892"/>
      <c r="AJ1" s="892"/>
      <c r="AK1" s="892"/>
      <c r="AL1" s="892"/>
      <c r="AM1" s="892"/>
      <c r="AN1" s="892"/>
      <c r="AO1" s="892"/>
      <c r="AP1" s="892"/>
      <c r="AQ1" s="892"/>
      <c r="AR1" s="892"/>
      <c r="AS1" s="892"/>
      <c r="AT1" s="892"/>
      <c r="AU1" s="892"/>
      <c r="AV1" s="892"/>
      <c r="AW1" s="892"/>
      <c r="AX1" s="892"/>
      <c r="AY1" s="892"/>
      <c r="AZ1" s="892"/>
      <c r="BA1" s="892"/>
      <c r="BB1" s="892"/>
      <c r="BC1" s="892"/>
      <c r="BD1" s="892"/>
      <c r="BE1" s="892"/>
      <c r="BF1" s="892"/>
      <c r="BG1" s="892"/>
      <c r="BH1" s="892"/>
      <c r="BI1" s="892"/>
      <c r="BJ1" s="892"/>
      <c r="BK1" s="892"/>
      <c r="BL1" s="892"/>
      <c r="BM1" s="892"/>
      <c r="BN1" s="892"/>
      <c r="BO1" s="892"/>
      <c r="BP1" s="892"/>
      <c r="BQ1" s="893"/>
      <c r="BR1" s="893"/>
      <c r="BS1" s="893"/>
      <c r="BT1" s="893"/>
      <c r="BU1" s="894"/>
      <c r="BV1" s="894"/>
      <c r="BW1" s="893"/>
      <c r="BX1" s="893"/>
      <c r="BY1" s="893"/>
      <c r="BZ1" s="893"/>
    </row>
    <row r="2" spans="1:78" ht="15.75">
      <c r="A2" s="896"/>
      <c r="B2" s="897" t="s">
        <v>986</v>
      </c>
      <c r="C2" s="898"/>
      <c r="D2" s="898"/>
      <c r="E2" s="898"/>
      <c r="F2" s="1036"/>
      <c r="G2" s="899"/>
      <c r="H2" s="899"/>
      <c r="I2" s="899"/>
      <c r="J2" s="899"/>
      <c r="K2" s="900"/>
      <c r="L2" s="891"/>
      <c r="M2" s="891"/>
      <c r="N2" s="891"/>
      <c r="O2" s="891"/>
      <c r="P2" s="891"/>
      <c r="Q2" s="891"/>
      <c r="R2" s="892"/>
      <c r="S2" s="892"/>
      <c r="T2" s="892"/>
      <c r="U2" s="892"/>
      <c r="V2" s="892"/>
      <c r="W2" s="892"/>
      <c r="X2" s="892"/>
      <c r="Y2" s="892"/>
      <c r="Z2" s="892"/>
      <c r="AA2" s="892"/>
      <c r="AB2" s="892"/>
      <c r="AC2" s="892"/>
      <c r="AD2" s="892"/>
      <c r="AE2" s="892"/>
      <c r="AF2" s="892"/>
      <c r="AG2" s="892"/>
      <c r="AH2" s="892"/>
      <c r="AI2" s="892"/>
      <c r="AJ2" s="892"/>
      <c r="AK2" s="892"/>
      <c r="AL2" s="892"/>
      <c r="AM2" s="892"/>
      <c r="AN2" s="892"/>
      <c r="AO2" s="892"/>
      <c r="AP2" s="892"/>
      <c r="AQ2" s="892"/>
      <c r="AR2" s="892"/>
      <c r="AS2" s="892"/>
      <c r="AT2" s="892"/>
      <c r="AU2" s="892"/>
      <c r="AV2" s="892"/>
      <c r="AW2" s="892"/>
      <c r="AX2" s="892"/>
      <c r="AY2" s="892"/>
      <c r="AZ2" s="892"/>
      <c r="BA2" s="892"/>
      <c r="BB2" s="892"/>
      <c r="BC2" s="892"/>
      <c r="BD2" s="892"/>
      <c r="BE2" s="892"/>
      <c r="BF2" s="892"/>
      <c r="BG2" s="892"/>
      <c r="BH2" s="892"/>
      <c r="BI2" s="892"/>
      <c r="BJ2" s="892"/>
      <c r="BK2" s="892"/>
      <c r="BL2" s="892"/>
      <c r="BM2" s="892"/>
      <c r="BN2" s="892"/>
      <c r="BO2" s="892"/>
      <c r="BP2" s="892"/>
      <c r="BQ2" s="893"/>
      <c r="BR2" s="893"/>
      <c r="BS2" s="893"/>
      <c r="BT2" s="893"/>
      <c r="BU2" s="893"/>
      <c r="BV2" s="894" t="s">
        <v>987</v>
      </c>
      <c r="BW2" s="893"/>
      <c r="BX2" s="893"/>
      <c r="BY2" s="893"/>
      <c r="BZ2" s="893"/>
    </row>
    <row r="3" spans="1:78" ht="13.5" thickBot="1">
      <c r="A3" s="901"/>
      <c r="B3" s="1037" t="s">
        <v>50</v>
      </c>
      <c r="C3" s="1037"/>
      <c r="D3" s="1038"/>
      <c r="E3" s="1039"/>
      <c r="F3" s="1909">
        <v>43199</v>
      </c>
      <c r="G3" s="902"/>
      <c r="H3" s="903"/>
      <c r="I3" s="903"/>
      <c r="J3" s="903"/>
      <c r="K3" s="902"/>
      <c r="L3" s="904"/>
      <c r="M3" s="904"/>
      <c r="N3" s="904"/>
      <c r="O3" s="904"/>
      <c r="P3" s="903"/>
      <c r="Q3" s="903"/>
      <c r="R3" s="903"/>
      <c r="S3" s="903"/>
      <c r="T3" s="903"/>
      <c r="U3" s="903"/>
      <c r="V3" s="903"/>
      <c r="W3" s="903"/>
      <c r="X3" s="903"/>
      <c r="Y3" s="903"/>
      <c r="Z3" s="903"/>
      <c r="AA3" s="903"/>
      <c r="AB3" s="903"/>
      <c r="AC3" s="903"/>
      <c r="AD3" s="903"/>
      <c r="AE3" s="903"/>
      <c r="AF3" s="903"/>
      <c r="AG3" s="903"/>
      <c r="AH3" s="903"/>
      <c r="AI3" s="903"/>
      <c r="AJ3" s="903"/>
      <c r="AK3" s="903"/>
      <c r="AL3" s="903"/>
      <c r="AM3" s="903"/>
      <c r="AN3" s="903"/>
      <c r="AO3" s="903"/>
      <c r="AP3" s="903"/>
      <c r="AQ3" s="903"/>
      <c r="AR3" s="903"/>
      <c r="AS3" s="903"/>
      <c r="AT3" s="903"/>
      <c r="AU3" s="903"/>
      <c r="AV3" s="903"/>
      <c r="AW3" s="903"/>
      <c r="AX3" s="903"/>
      <c r="AY3" s="903"/>
      <c r="AZ3" s="903"/>
      <c r="BA3" s="903"/>
      <c r="BB3" s="903"/>
      <c r="BC3" s="903"/>
      <c r="BD3" s="903"/>
      <c r="BE3" s="903"/>
      <c r="BF3" s="903"/>
      <c r="BG3" s="903"/>
      <c r="BH3" s="903"/>
      <c r="BI3" s="903"/>
      <c r="BJ3" s="903"/>
      <c r="BK3" s="903"/>
      <c r="BL3" s="903"/>
      <c r="BM3" s="903"/>
      <c r="BN3" s="903"/>
      <c r="BO3" s="903"/>
      <c r="BP3" s="903"/>
      <c r="BQ3" s="905"/>
      <c r="BR3" s="905"/>
      <c r="BS3" s="905"/>
      <c r="BT3" s="905"/>
      <c r="BU3" s="905"/>
      <c r="BV3" s="905"/>
      <c r="BW3" s="905"/>
      <c r="BX3" s="905"/>
      <c r="BY3" s="905"/>
      <c r="BZ3" s="905"/>
    </row>
    <row r="4" spans="1:78" s="921" customFormat="1" ht="13.5" thickBot="1">
      <c r="A4" s="906"/>
      <c r="B4" s="907" t="s">
        <v>609</v>
      </c>
      <c r="C4" s="1018" t="s">
        <v>694</v>
      </c>
      <c r="D4" s="908" t="str">
        <f>Valuation!$CF$30</f>
        <v>Yes</v>
      </c>
      <c r="E4" s="909"/>
      <c r="F4" s="1040"/>
      <c r="G4" s="910" t="s">
        <v>587</v>
      </c>
      <c r="H4" s="911" t="s">
        <v>588</v>
      </c>
      <c r="I4" s="911" t="s">
        <v>589</v>
      </c>
      <c r="J4" s="912" t="s">
        <v>590</v>
      </c>
      <c r="K4" s="910" t="s">
        <v>640</v>
      </c>
      <c r="L4" s="911" t="s">
        <v>641</v>
      </c>
      <c r="M4" s="911" t="s">
        <v>642</v>
      </c>
      <c r="N4" s="912" t="s">
        <v>643</v>
      </c>
      <c r="O4" s="910" t="s">
        <v>648</v>
      </c>
      <c r="P4" s="911" t="s">
        <v>649</v>
      </c>
      <c r="Q4" s="911" t="s">
        <v>650</v>
      </c>
      <c r="R4" s="912" t="s">
        <v>654</v>
      </c>
      <c r="S4" s="910" t="s">
        <v>655</v>
      </c>
      <c r="T4" s="911" t="s">
        <v>656</v>
      </c>
      <c r="U4" s="911" t="s">
        <v>657</v>
      </c>
      <c r="V4" s="912" t="s">
        <v>658</v>
      </c>
      <c r="W4" s="911" t="s">
        <v>659</v>
      </c>
      <c r="X4" s="911" t="s">
        <v>660</v>
      </c>
      <c r="Y4" s="911" t="s">
        <v>661</v>
      </c>
      <c r="Z4" s="913" t="s">
        <v>662</v>
      </c>
      <c r="AA4" s="911" t="s">
        <v>663</v>
      </c>
      <c r="AB4" s="911" t="s">
        <v>664</v>
      </c>
      <c r="AC4" s="911" t="s">
        <v>665</v>
      </c>
      <c r="AD4" s="913" t="s">
        <v>666</v>
      </c>
      <c r="AE4" s="911" t="s">
        <v>667</v>
      </c>
      <c r="AF4" s="911" t="s">
        <v>668</v>
      </c>
      <c r="AG4" s="911" t="s">
        <v>669</v>
      </c>
      <c r="AH4" s="913" t="s">
        <v>670</v>
      </c>
      <c r="AI4" s="911" t="s">
        <v>591</v>
      </c>
      <c r="AJ4" s="911" t="s">
        <v>592</v>
      </c>
      <c r="AK4" s="911" t="s">
        <v>593</v>
      </c>
      <c r="AL4" s="913" t="s">
        <v>594</v>
      </c>
      <c r="AM4" s="911" t="s">
        <v>65</v>
      </c>
      <c r="AN4" s="911" t="s">
        <v>66</v>
      </c>
      <c r="AO4" s="911" t="s">
        <v>67</v>
      </c>
      <c r="AP4" s="913" t="s">
        <v>68</v>
      </c>
      <c r="AQ4" s="911" t="s">
        <v>1075</v>
      </c>
      <c r="AR4" s="911" t="s">
        <v>1076</v>
      </c>
      <c r="AS4" s="911" t="s">
        <v>1077</v>
      </c>
      <c r="AT4" s="913" t="s">
        <v>1078</v>
      </c>
      <c r="AU4" s="911" t="s">
        <v>1079</v>
      </c>
      <c r="AV4" s="911" t="s">
        <v>1080</v>
      </c>
      <c r="AW4" s="911" t="s">
        <v>1081</v>
      </c>
      <c r="AX4" s="913" t="s">
        <v>1082</v>
      </c>
      <c r="AY4" s="911" t="s">
        <v>1284</v>
      </c>
      <c r="AZ4" s="911" t="s">
        <v>1285</v>
      </c>
      <c r="BA4" s="911" t="s">
        <v>1286</v>
      </c>
      <c r="BB4" s="913" t="s">
        <v>1287</v>
      </c>
      <c r="BC4" s="914"/>
      <c r="BD4" s="915"/>
      <c r="BE4" s="916">
        <v>2010</v>
      </c>
      <c r="BF4" s="916">
        <v>2011</v>
      </c>
      <c r="BG4" s="916">
        <f t="shared" ref="BG4:BL4" si="0">+BF4+1</f>
        <v>2012</v>
      </c>
      <c r="BH4" s="916">
        <f t="shared" si="0"/>
        <v>2013</v>
      </c>
      <c r="BI4" s="916">
        <f t="shared" si="0"/>
        <v>2014</v>
      </c>
      <c r="BJ4" s="916">
        <f t="shared" si="0"/>
        <v>2015</v>
      </c>
      <c r="BK4" s="916">
        <f t="shared" si="0"/>
        <v>2016</v>
      </c>
      <c r="BL4" s="916">
        <f t="shared" si="0"/>
        <v>2017</v>
      </c>
      <c r="BM4" s="916">
        <f>+BL4+1</f>
        <v>2018</v>
      </c>
      <c r="BN4" s="916">
        <f>+BM4+1</f>
        <v>2019</v>
      </c>
      <c r="BO4" s="916">
        <f>+BN4+1</f>
        <v>2020</v>
      </c>
      <c r="BP4" s="916">
        <f>+BO4+1</f>
        <v>2021</v>
      </c>
      <c r="BQ4" s="918"/>
      <c r="BR4" s="919"/>
      <c r="BS4" s="920"/>
      <c r="BU4" s="922"/>
    </row>
    <row r="5" spans="1:78" ht="12.75" customHeight="1">
      <c r="A5" s="923"/>
      <c r="B5" s="924"/>
      <c r="C5" s="925"/>
      <c r="D5" s="925"/>
      <c r="E5" s="926"/>
      <c r="F5" s="1041"/>
      <c r="G5" s="910"/>
      <c r="H5" s="911"/>
      <c r="I5" s="911"/>
      <c r="J5" s="912"/>
      <c r="K5" s="910"/>
      <c r="L5" s="911"/>
      <c r="M5" s="911"/>
      <c r="N5" s="912"/>
      <c r="O5" s="910"/>
      <c r="P5" s="911"/>
      <c r="Q5" s="911"/>
      <c r="R5" s="912"/>
      <c r="S5" s="910"/>
      <c r="T5" s="911"/>
      <c r="U5" s="911"/>
      <c r="V5" s="912"/>
      <c r="W5" s="911"/>
      <c r="X5" s="911"/>
      <c r="Y5" s="911"/>
      <c r="Z5" s="913"/>
      <c r="AA5" s="911"/>
      <c r="AB5" s="911"/>
      <c r="AC5" s="911"/>
      <c r="AD5" s="913"/>
      <c r="AE5" s="911"/>
      <c r="AF5" s="911"/>
      <c r="AG5" s="911"/>
      <c r="AH5" s="913"/>
      <c r="AI5" s="911"/>
      <c r="AJ5" s="911"/>
      <c r="AK5" s="911"/>
      <c r="AL5" s="913"/>
      <c r="AM5" s="911"/>
      <c r="AN5" s="911"/>
      <c r="AO5" s="911"/>
      <c r="AP5" s="913"/>
      <c r="AQ5" s="911"/>
      <c r="AR5" s="911"/>
      <c r="AS5" s="911"/>
      <c r="AT5" s="913"/>
      <c r="AU5" s="911"/>
      <c r="AV5" s="911"/>
      <c r="AW5" s="911"/>
      <c r="AX5" s="913"/>
      <c r="AY5" s="911"/>
      <c r="AZ5" s="911"/>
      <c r="BA5" s="911"/>
      <c r="BB5" s="913"/>
      <c r="BC5" s="914"/>
      <c r="BD5" s="915"/>
      <c r="BE5" s="916"/>
      <c r="BF5" s="916"/>
      <c r="BG5" s="917"/>
      <c r="BH5" s="917"/>
      <c r="BI5" s="917"/>
      <c r="BJ5" s="917"/>
      <c r="BK5" s="917"/>
      <c r="BL5" s="917"/>
      <c r="BM5" s="917"/>
      <c r="BN5" s="917"/>
      <c r="BO5" s="917"/>
      <c r="BP5" s="917"/>
      <c r="BQ5" s="918"/>
      <c r="BR5" s="919"/>
      <c r="BS5" s="920"/>
      <c r="BT5" s="921"/>
      <c r="BU5" s="922"/>
      <c r="BV5" s="921"/>
      <c r="BW5" s="921"/>
      <c r="BX5" s="921"/>
      <c r="BY5" s="921"/>
      <c r="BZ5" s="921"/>
    </row>
    <row r="6" spans="1:78" ht="12.75" customHeight="1">
      <c r="A6" s="923"/>
      <c r="B6" s="924"/>
      <c r="C6" s="927" t="str">
        <f t="shared" ref="C6:AL6" si="1">IF(ISBLANK(C149),"",C149)</f>
        <v>Fuel Prices</v>
      </c>
      <c r="D6" s="928" t="str">
        <f t="shared" si="1"/>
        <v/>
      </c>
      <c r="E6" s="929" t="str">
        <f t="shared" si="1"/>
        <v/>
      </c>
      <c r="F6" s="1042" t="str">
        <f t="shared" si="1"/>
        <v/>
      </c>
      <c r="G6" s="930" t="str">
        <f t="shared" si="1"/>
        <v/>
      </c>
      <c r="H6" s="931" t="str">
        <f t="shared" si="1"/>
        <v/>
      </c>
      <c r="I6" s="931" t="str">
        <f t="shared" si="1"/>
        <v/>
      </c>
      <c r="J6" s="932" t="str">
        <f t="shared" si="1"/>
        <v/>
      </c>
      <c r="K6" s="930" t="str">
        <f t="shared" si="1"/>
        <v/>
      </c>
      <c r="L6" s="931" t="str">
        <f t="shared" si="1"/>
        <v/>
      </c>
      <c r="M6" s="931" t="str">
        <f t="shared" si="1"/>
        <v/>
      </c>
      <c r="N6" s="932" t="str">
        <f t="shared" si="1"/>
        <v/>
      </c>
      <c r="O6" s="930" t="str">
        <f t="shared" si="1"/>
        <v/>
      </c>
      <c r="P6" s="931" t="str">
        <f t="shared" si="1"/>
        <v/>
      </c>
      <c r="Q6" s="931" t="str">
        <f t="shared" si="1"/>
        <v/>
      </c>
      <c r="R6" s="932" t="str">
        <f t="shared" si="1"/>
        <v/>
      </c>
      <c r="S6" s="930" t="str">
        <f t="shared" si="1"/>
        <v/>
      </c>
      <c r="T6" s="931" t="str">
        <f t="shared" si="1"/>
        <v/>
      </c>
      <c r="U6" s="931" t="str">
        <f t="shared" si="1"/>
        <v/>
      </c>
      <c r="V6" s="932" t="str">
        <f t="shared" si="1"/>
        <v/>
      </c>
      <c r="W6" s="931" t="str">
        <f t="shared" si="1"/>
        <v/>
      </c>
      <c r="X6" s="931" t="str">
        <f t="shared" si="1"/>
        <v/>
      </c>
      <c r="Y6" s="931" t="str">
        <f t="shared" si="1"/>
        <v/>
      </c>
      <c r="Z6" s="933" t="str">
        <f t="shared" si="1"/>
        <v/>
      </c>
      <c r="AA6" s="934" t="str">
        <f t="shared" si="1"/>
        <v/>
      </c>
      <c r="AB6" s="934" t="str">
        <f t="shared" si="1"/>
        <v/>
      </c>
      <c r="AC6" s="934" t="str">
        <f t="shared" si="1"/>
        <v/>
      </c>
      <c r="AD6" s="933" t="str">
        <f t="shared" si="1"/>
        <v/>
      </c>
      <c r="AE6" s="934" t="str">
        <f t="shared" si="1"/>
        <v/>
      </c>
      <c r="AF6" s="934" t="str">
        <f t="shared" si="1"/>
        <v/>
      </c>
      <c r="AG6" s="934" t="str">
        <f t="shared" si="1"/>
        <v/>
      </c>
      <c r="AH6" s="933" t="str">
        <f t="shared" si="1"/>
        <v/>
      </c>
      <c r="AI6" s="934" t="str">
        <f t="shared" si="1"/>
        <v/>
      </c>
      <c r="AJ6" s="934" t="str">
        <f t="shared" si="1"/>
        <v/>
      </c>
      <c r="AK6" s="934" t="str">
        <f t="shared" si="1"/>
        <v/>
      </c>
      <c r="AL6" s="933" t="str">
        <f t="shared" si="1"/>
        <v/>
      </c>
      <c r="AM6" s="934" t="str">
        <f t="shared" ref="AM6:AT21" si="2">IF(ISBLANK(AM149),"",AM149)</f>
        <v/>
      </c>
      <c r="AN6" s="934" t="str">
        <f t="shared" si="2"/>
        <v/>
      </c>
      <c r="AO6" s="934" t="str">
        <f t="shared" si="2"/>
        <v/>
      </c>
      <c r="AP6" s="933" t="str">
        <f t="shared" si="2"/>
        <v/>
      </c>
      <c r="AQ6" s="934"/>
      <c r="AR6" s="934"/>
      <c r="AS6" s="934"/>
      <c r="AT6" s="913"/>
      <c r="AU6" s="934"/>
      <c r="AV6" s="934"/>
      <c r="AW6" s="934"/>
      <c r="AX6" s="933"/>
      <c r="AY6" s="934"/>
      <c r="AZ6" s="934"/>
      <c r="BA6" s="934"/>
      <c r="BB6" s="933"/>
      <c r="BC6" s="935"/>
      <c r="BD6" s="936"/>
      <c r="BE6" s="936"/>
      <c r="BF6" s="936"/>
      <c r="BG6" s="936"/>
      <c r="BH6" s="936"/>
      <c r="BI6" s="936"/>
      <c r="BJ6" s="936"/>
      <c r="BK6" s="936"/>
      <c r="BL6" s="936"/>
      <c r="BM6" s="936"/>
      <c r="BN6" s="936"/>
      <c r="BO6" s="936"/>
      <c r="BP6" s="936"/>
      <c r="BQ6" s="937"/>
      <c r="BR6" s="938"/>
      <c r="BS6" s="939"/>
      <c r="BU6" s="922"/>
      <c r="BV6" s="1043" t="s">
        <v>988</v>
      </c>
    </row>
    <row r="7" spans="1:78" ht="12.75" customHeight="1">
      <c r="A7" s="923"/>
      <c r="B7" s="924"/>
      <c r="C7" s="940" t="str">
        <f>IF(ISBLANK(C150),"",C150)</f>
        <v/>
      </c>
      <c r="D7" s="941" t="str">
        <f>IF(ISBLANK(D150),"",D150)</f>
        <v/>
      </c>
      <c r="E7" s="941" t="str">
        <f>IF(ISBLANK(E150),"",E150)</f>
        <v/>
      </c>
      <c r="F7" s="1044"/>
      <c r="G7" s="942" t="str">
        <f t="shared" ref="G7:AL14" si="3">IF(ISBLANK(G150),"",G150)</f>
        <v/>
      </c>
      <c r="H7" s="943" t="str">
        <f t="shared" si="3"/>
        <v/>
      </c>
      <c r="I7" s="943" t="str">
        <f t="shared" si="3"/>
        <v/>
      </c>
      <c r="J7" s="944" t="str">
        <f t="shared" si="3"/>
        <v/>
      </c>
      <c r="K7" s="942" t="str">
        <f t="shared" si="3"/>
        <v/>
      </c>
      <c r="L7" s="943" t="str">
        <f t="shared" si="3"/>
        <v/>
      </c>
      <c r="M7" s="943" t="str">
        <f t="shared" si="3"/>
        <v/>
      </c>
      <c r="N7" s="944" t="str">
        <f t="shared" si="3"/>
        <v/>
      </c>
      <c r="O7" s="942" t="str">
        <f t="shared" si="3"/>
        <v/>
      </c>
      <c r="P7" s="943" t="str">
        <f t="shared" si="3"/>
        <v/>
      </c>
      <c r="Q7" s="943" t="str">
        <f t="shared" si="3"/>
        <v/>
      </c>
      <c r="R7" s="945" t="str">
        <f t="shared" si="3"/>
        <v/>
      </c>
      <c r="S7" s="946" t="str">
        <f t="shared" si="3"/>
        <v/>
      </c>
      <c r="T7" s="947" t="str">
        <f t="shared" si="3"/>
        <v/>
      </c>
      <c r="U7" s="947" t="str">
        <f t="shared" si="3"/>
        <v/>
      </c>
      <c r="V7" s="945" t="str">
        <f t="shared" si="3"/>
        <v/>
      </c>
      <c r="W7" s="947" t="str">
        <f t="shared" si="3"/>
        <v/>
      </c>
      <c r="X7" s="947" t="str">
        <f t="shared" si="3"/>
        <v/>
      </c>
      <c r="Y7" s="947" t="str">
        <f t="shared" si="3"/>
        <v/>
      </c>
      <c r="Z7" s="945" t="str">
        <f t="shared" si="3"/>
        <v/>
      </c>
      <c r="AA7" s="947" t="str">
        <f t="shared" si="3"/>
        <v/>
      </c>
      <c r="AB7" s="947" t="str">
        <f t="shared" si="3"/>
        <v/>
      </c>
      <c r="AC7" s="947" t="str">
        <f t="shared" si="3"/>
        <v/>
      </c>
      <c r="AD7" s="945" t="str">
        <f t="shared" si="3"/>
        <v/>
      </c>
      <c r="AE7" s="947" t="str">
        <f t="shared" si="3"/>
        <v/>
      </c>
      <c r="AF7" s="947" t="str">
        <f t="shared" si="3"/>
        <v/>
      </c>
      <c r="AG7" s="947" t="str">
        <f t="shared" si="3"/>
        <v/>
      </c>
      <c r="AH7" s="945" t="str">
        <f t="shared" si="3"/>
        <v/>
      </c>
      <c r="AI7" s="947" t="str">
        <f t="shared" si="3"/>
        <v/>
      </c>
      <c r="AJ7" s="947" t="str">
        <f t="shared" si="3"/>
        <v/>
      </c>
      <c r="AK7" s="947" t="str">
        <f t="shared" si="3"/>
        <v/>
      </c>
      <c r="AL7" s="945" t="str">
        <f t="shared" si="3"/>
        <v/>
      </c>
      <c r="AM7" s="947" t="str">
        <f t="shared" si="2"/>
        <v/>
      </c>
      <c r="AN7" s="947" t="str">
        <f t="shared" si="2"/>
        <v/>
      </c>
      <c r="AO7" s="947" t="str">
        <f t="shared" si="2"/>
        <v/>
      </c>
      <c r="AP7" s="945" t="str">
        <f t="shared" si="2"/>
        <v/>
      </c>
      <c r="AQ7" s="947"/>
      <c r="AR7" s="947"/>
      <c r="AS7" s="947"/>
      <c r="AT7" s="945"/>
      <c r="AU7" s="947"/>
      <c r="AV7" s="947"/>
      <c r="AW7" s="947"/>
      <c r="AX7" s="945"/>
      <c r="AY7" s="947"/>
      <c r="AZ7" s="947"/>
      <c r="BA7" s="947"/>
      <c r="BB7" s="945"/>
      <c r="BC7" s="948"/>
      <c r="BD7" s="948"/>
      <c r="BE7" s="948"/>
      <c r="BF7" s="948"/>
      <c r="BG7" s="948"/>
      <c r="BH7" s="948"/>
      <c r="BI7" s="948"/>
      <c r="BJ7" s="1045"/>
      <c r="BK7" s="948"/>
      <c r="BL7" s="948"/>
      <c r="BM7" s="948"/>
      <c r="BN7" s="948"/>
      <c r="BO7" s="948"/>
      <c r="BP7" s="948"/>
      <c r="BQ7" s="949"/>
      <c r="BR7" s="950"/>
      <c r="BU7" s="922"/>
      <c r="BV7" s="1109" t="s">
        <v>1283</v>
      </c>
      <c r="BW7" s="1046">
        <f>BP8</f>
        <v>2.8552499999999994</v>
      </c>
    </row>
    <row r="8" spans="1:78" ht="12.75" customHeight="1">
      <c r="A8" s="923"/>
      <c r="B8" s="924"/>
      <c r="C8" s="1121" t="s">
        <v>51</v>
      </c>
      <c r="D8" s="1122"/>
      <c r="E8" s="1122"/>
      <c r="F8" s="1123"/>
      <c r="G8" s="1140">
        <f>IF(ISBLANK(G151),"",G151)</f>
        <v>5.1241129032258064</v>
      </c>
      <c r="H8" s="1141">
        <f t="shared" si="3"/>
        <v>4.3247460317460309</v>
      </c>
      <c r="I8" s="1141">
        <f t="shared" si="3"/>
        <v>4.2905156250000003</v>
      </c>
      <c r="J8" s="1142">
        <f t="shared" si="3"/>
        <v>3.8051846153846145</v>
      </c>
      <c r="K8" s="1140">
        <f t="shared" si="3"/>
        <v>4.1753749999999998</v>
      </c>
      <c r="L8" s="1141">
        <f t="shared" si="3"/>
        <v>4.3679218749999995</v>
      </c>
      <c r="M8" s="1141">
        <f t="shared" si="3"/>
        <v>4.1250937499999987</v>
      </c>
      <c r="N8" s="1142">
        <f t="shared" si="3"/>
        <v>3.3347142857142864</v>
      </c>
      <c r="O8" s="1140">
        <f t="shared" si="3"/>
        <v>2.4596984126984123</v>
      </c>
      <c r="P8" s="1141">
        <f t="shared" si="3"/>
        <v>2.2776984126984123</v>
      </c>
      <c r="Q8" s="1141">
        <f t="shared" si="3"/>
        <v>2.8780317460317462</v>
      </c>
      <c r="R8" s="1141">
        <f t="shared" si="3"/>
        <v>3.3929375000000004</v>
      </c>
      <c r="S8" s="1140">
        <f t="shared" si="3"/>
        <v>3.4791000000000003</v>
      </c>
      <c r="T8" s="1141">
        <f t="shared" si="3"/>
        <v>4.0243281250000011</v>
      </c>
      <c r="U8" s="1141">
        <f t="shared" si="3"/>
        <v>3.5578281250000003</v>
      </c>
      <c r="V8" s="1142">
        <f t="shared" si="3"/>
        <v>3.8364218749999996</v>
      </c>
      <c r="W8" s="1141">
        <f t="shared" si="3"/>
        <v>5.1762950819672131</v>
      </c>
      <c r="X8" s="1141">
        <f t="shared" si="3"/>
        <v>4.6069687499999992</v>
      </c>
      <c r="Y8" s="1141">
        <f t="shared" si="3"/>
        <v>3.9690625000000006</v>
      </c>
      <c r="Z8" s="1142">
        <f t="shared" si="3"/>
        <v>3.7758906249999988</v>
      </c>
      <c r="AA8" s="1141">
        <f t="shared" ref="AA8:AD13" si="4">IF(ISBLANK(AA151),"",AA151)</f>
        <v>2.8932580645161292</v>
      </c>
      <c r="AB8" s="1141">
        <f t="shared" si="4"/>
        <v>2.7407301587301576</v>
      </c>
      <c r="AC8" s="1141">
        <f t="shared" si="4"/>
        <v>2.7644218749999996</v>
      </c>
      <c r="AD8" s="1142">
        <f t="shared" si="4"/>
        <v>2.1331111111111114</v>
      </c>
      <c r="AE8" s="1144">
        <f t="shared" si="3"/>
        <v>1.9876885245901643</v>
      </c>
      <c r="AF8" s="1144">
        <f t="shared" si="3"/>
        <v>2.135984375</v>
      </c>
      <c r="AG8" s="1144">
        <f t="shared" si="3"/>
        <v>2.8751562499999994</v>
      </c>
      <c r="AH8" s="1145">
        <f t="shared" si="3"/>
        <v>3.0312419354838709</v>
      </c>
      <c r="AI8" s="1144">
        <f t="shared" si="3"/>
        <v>3.0098387096774188</v>
      </c>
      <c r="AJ8" s="1144">
        <f t="shared" si="3"/>
        <v>3.076171875</v>
      </c>
      <c r="AK8" s="1144">
        <f t="shared" si="3"/>
        <v>2.9540158730158725</v>
      </c>
      <c r="AL8" s="1145">
        <f t="shared" si="3"/>
        <v>2.8899677419354837</v>
      </c>
      <c r="AM8" s="1144">
        <f t="shared" si="2"/>
        <v>3.1108032786885249</v>
      </c>
      <c r="AN8" s="1144">
        <f t="shared" si="2"/>
        <v>2.6796666666666664</v>
      </c>
      <c r="AO8" s="1144">
        <f t="shared" si="2"/>
        <v>2.8149999999999999</v>
      </c>
      <c r="AP8" s="1145">
        <f t="shared" si="2"/>
        <v>2.9016666666666668</v>
      </c>
      <c r="AQ8" s="1144">
        <f t="shared" si="2"/>
        <v>2.9026943643004919</v>
      </c>
      <c r="AR8" s="1144">
        <f t="shared" si="2"/>
        <v>2.5441789597993276</v>
      </c>
      <c r="AS8" s="1144">
        <f t="shared" si="2"/>
        <v>2.5777897789713125</v>
      </c>
      <c r="AT8" s="1145">
        <f t="shared" si="2"/>
        <v>3.0133368969288674</v>
      </c>
      <c r="AU8" s="1144">
        <f t="shared" ref="AU8:AX15" si="5">IF(ISBLANK(AU151),"",AU151)</f>
        <v>2.9460848852381236</v>
      </c>
      <c r="AV8" s="1144">
        <f t="shared" si="5"/>
        <v>2.5822102633295767</v>
      </c>
      <c r="AW8" s="1144">
        <f t="shared" si="5"/>
        <v>2.6163235091335033</v>
      </c>
      <c r="AX8" s="1145">
        <f t="shared" si="5"/>
        <v>3.0583813422987949</v>
      </c>
      <c r="AY8" s="1144">
        <f t="shared" ref="AY8:BB19" si="6">IF(ISBLANK(AY151),"",AY151)</f>
        <v>3.0034129674466312</v>
      </c>
      <c r="AZ8" s="1144">
        <f t="shared" si="6"/>
        <v>2.632457682539239</v>
      </c>
      <c r="BA8" s="1144">
        <f t="shared" si="6"/>
        <v>2.6672347404993073</v>
      </c>
      <c r="BB8" s="1145">
        <f t="shared" si="6"/>
        <v>3.117894609514821</v>
      </c>
      <c r="BC8" s="954"/>
      <c r="BD8" s="954"/>
      <c r="BE8" s="1047">
        <f>AVERAGE(G8:J8)</f>
        <v>4.3861397938391136</v>
      </c>
      <c r="BF8" s="1047">
        <f>AVERAGE(K8:N8)</f>
        <v>4.0007762276785712</v>
      </c>
      <c r="BG8" s="1047">
        <f>AVERAGE(O8:R8)</f>
        <v>2.752091517857143</v>
      </c>
      <c r="BH8" s="1047">
        <f>AVERAGE(S8:V8)</f>
        <v>3.7244195312500001</v>
      </c>
      <c r="BI8" s="1047">
        <f>AVERAGE(W8:Z8)</f>
        <v>4.3820542392418025</v>
      </c>
      <c r="BJ8" s="1047">
        <f>AVERAGE(AA8:AD8)</f>
        <v>2.6328803023393492</v>
      </c>
      <c r="BK8" s="1047">
        <f>AVERAGE(AE8:AH8)</f>
        <v>2.5075177712685086</v>
      </c>
      <c r="BL8" s="1047">
        <f>AVERAGE(AI8:AL8)</f>
        <v>2.9824985499071941</v>
      </c>
      <c r="BM8" s="1047">
        <f>AVERAGE(AM8:AP8)</f>
        <v>2.8767841530054645</v>
      </c>
      <c r="BN8" s="1047">
        <f>AVERAGE(AQ8:AT8)</f>
        <v>2.7594999999999996</v>
      </c>
      <c r="BO8" s="1047">
        <f>AVERAGE(AU8:AX8)</f>
        <v>2.8007499999999994</v>
      </c>
      <c r="BP8" s="1047">
        <f>AVERAGE(AY8:BB8)</f>
        <v>2.8552499999999994</v>
      </c>
      <c r="BQ8" s="949"/>
      <c r="BR8" s="950"/>
      <c r="BU8" s="922"/>
      <c r="BV8" s="1048" t="s">
        <v>755</v>
      </c>
      <c r="BW8" s="1049">
        <f>Valuation!$CF$27</f>
        <v>2.75</v>
      </c>
    </row>
    <row r="9" spans="1:78" ht="12.75" customHeight="1">
      <c r="A9" s="923"/>
      <c r="B9" s="924"/>
      <c r="C9" s="1122" t="s">
        <v>672</v>
      </c>
      <c r="D9" s="1122"/>
      <c r="E9" s="1122"/>
      <c r="F9" s="1123"/>
      <c r="G9" s="1140">
        <f t="shared" si="3"/>
        <v>57.876923076923077</v>
      </c>
      <c r="H9" s="1141">
        <f t="shared" si="3"/>
        <v>62.742307692307698</v>
      </c>
      <c r="I9" s="1141">
        <f t="shared" si="3"/>
        <v>67.830769230769235</v>
      </c>
      <c r="J9" s="1142">
        <f t="shared" si="3"/>
        <v>70.910714285714263</v>
      </c>
      <c r="K9" s="1140">
        <f t="shared" si="3"/>
        <v>77.237500000000026</v>
      </c>
      <c r="L9" s="1141">
        <f t="shared" si="3"/>
        <v>78.430769230769243</v>
      </c>
      <c r="M9" s="1141">
        <f t="shared" si="3"/>
        <v>80.007142857142853</v>
      </c>
      <c r="N9" s="1142">
        <f t="shared" si="3"/>
        <v>78.934615384615398</v>
      </c>
      <c r="O9" s="1140">
        <f t="shared" si="3"/>
        <v>70.069230769230771</v>
      </c>
      <c r="P9" s="1141">
        <f t="shared" si="3"/>
        <v>59.92307692307692</v>
      </c>
      <c r="Q9" s="1141">
        <f t="shared" si="3"/>
        <v>61.334615384615397</v>
      </c>
      <c r="R9" s="1141">
        <f t="shared" si="3"/>
        <v>66.634615384615373</v>
      </c>
      <c r="S9" s="1140">
        <f t="shared" si="3"/>
        <v>66.511538461538478</v>
      </c>
      <c r="T9" s="1141">
        <f t="shared" si="3"/>
        <v>66.914615384615374</v>
      </c>
      <c r="U9" s="1141">
        <f t="shared" si="3"/>
        <v>64.0053846153846</v>
      </c>
      <c r="V9" s="1142">
        <f t="shared" si="3"/>
        <v>62.446153846153841</v>
      </c>
      <c r="W9" s="1141">
        <f t="shared" si="3"/>
        <v>63.813846153846164</v>
      </c>
      <c r="X9" s="1141">
        <f t="shared" si="3"/>
        <v>60.582307692307708</v>
      </c>
      <c r="Y9" s="1141">
        <f t="shared" si="3"/>
        <v>57.336923076923085</v>
      </c>
      <c r="Z9" s="1142">
        <f t="shared" si="3"/>
        <v>56.106923076923081</v>
      </c>
      <c r="AA9" s="1141">
        <f t="shared" si="4"/>
        <v>53.513846153846139</v>
      </c>
      <c r="AB9" s="1141">
        <f t="shared" si="4"/>
        <v>52.858461538461547</v>
      </c>
      <c r="AC9" s="1141">
        <f t="shared" si="4"/>
        <v>50.784615384615385</v>
      </c>
      <c r="AD9" s="1142">
        <f t="shared" si="4"/>
        <v>46.303846153846159</v>
      </c>
      <c r="AE9" s="1144">
        <f t="shared" si="3"/>
        <v>42.380769230769232</v>
      </c>
      <c r="AF9" s="1144">
        <f t="shared" si="3"/>
        <v>41.192307692307693</v>
      </c>
      <c r="AG9" s="1144">
        <f t="shared" si="3"/>
        <v>40.928571428571438</v>
      </c>
      <c r="AH9" s="1145">
        <f t="shared" si="3"/>
        <v>44.896153846153844</v>
      </c>
      <c r="AI9" s="1144">
        <f t="shared" si="3"/>
        <v>50.057692307692314</v>
      </c>
      <c r="AJ9" s="1144">
        <f t="shared" si="3"/>
        <v>52.46153846153846</v>
      </c>
      <c r="AK9" s="1144">
        <f t="shared" si="3"/>
        <v>52.98846153846155</v>
      </c>
      <c r="AL9" s="1145">
        <f t="shared" si="3"/>
        <v>58.261538461538478</v>
      </c>
      <c r="AM9" s="1144">
        <f t="shared" si="2"/>
        <v>60.850000000000009</v>
      </c>
      <c r="AN9" s="1144">
        <f t="shared" si="2"/>
        <v>49</v>
      </c>
      <c r="AO9" s="1144">
        <f t="shared" si="2"/>
        <v>49</v>
      </c>
      <c r="AP9" s="1145">
        <f t="shared" si="2"/>
        <v>49</v>
      </c>
      <c r="AQ9" s="1144">
        <f t="shared" si="2"/>
        <v>48.154286333412259</v>
      </c>
      <c r="AR9" s="1144">
        <f t="shared" si="2"/>
        <v>48.154286333412259</v>
      </c>
      <c r="AS9" s="1144">
        <f t="shared" si="2"/>
        <v>48.154286333412259</v>
      </c>
      <c r="AT9" s="1145">
        <f t="shared" si="2"/>
        <v>55.537140999763238</v>
      </c>
      <c r="AU9" s="1144">
        <f t="shared" si="5"/>
        <v>48.154286333412259</v>
      </c>
      <c r="AV9" s="1144">
        <f t="shared" si="5"/>
        <v>48.154286333412259</v>
      </c>
      <c r="AW9" s="1144">
        <f t="shared" si="5"/>
        <v>48.154286333412259</v>
      </c>
      <c r="AX9" s="1145">
        <f t="shared" si="5"/>
        <v>55.537140999763238</v>
      </c>
      <c r="AY9" s="1144">
        <f t="shared" si="6"/>
        <v>48.154286333412259</v>
      </c>
      <c r="AZ9" s="1144">
        <f t="shared" si="6"/>
        <v>48.154286333412259</v>
      </c>
      <c r="BA9" s="1144">
        <f t="shared" si="6"/>
        <v>48.154286333412259</v>
      </c>
      <c r="BB9" s="1145">
        <f t="shared" si="6"/>
        <v>55.537140999763238</v>
      </c>
      <c r="BC9" s="956"/>
      <c r="BD9" s="954"/>
      <c r="BE9" s="1047">
        <f>AVERAGE(G9:J9)</f>
        <v>64.840178571428567</v>
      </c>
      <c r="BF9" s="1047">
        <f>AVERAGE(K9:N9)</f>
        <v>78.652506868131894</v>
      </c>
      <c r="BG9" s="1047">
        <f>AVERAGE(O9:R9)</f>
        <v>64.490384615384613</v>
      </c>
      <c r="BH9" s="1047">
        <f>AVERAGE(S9:V9)</f>
        <v>64.969423076923078</v>
      </c>
      <c r="BI9" s="1047">
        <f>AVERAGE(W9:Z9)</f>
        <v>59.460000000000008</v>
      </c>
      <c r="BJ9" s="1047">
        <f>AVERAGE(AA9:AD9)</f>
        <v>50.865192307692311</v>
      </c>
      <c r="BK9" s="1047">
        <f>AVERAGE(AE9:AH9)</f>
        <v>42.349450549450552</v>
      </c>
      <c r="BL9" s="1047">
        <f>AVERAGE(AI9:AL9)</f>
        <v>53.442307692307693</v>
      </c>
      <c r="BM9" s="1047">
        <f>AVERAGE(AM9:AP9)</f>
        <v>51.962500000000006</v>
      </c>
      <c r="BN9" s="1047">
        <f>AVERAGE(AQ9:AT9)</f>
        <v>50.000000000000007</v>
      </c>
      <c r="BO9" s="1047">
        <f>AVERAGE(AU9:AX9)</f>
        <v>50.000000000000007</v>
      </c>
      <c r="BP9" s="1047">
        <f>AVERAGE(AY9:BB9)</f>
        <v>50.000000000000007</v>
      </c>
      <c r="BQ9" s="949"/>
      <c r="BR9" s="950"/>
      <c r="BU9" s="922"/>
      <c r="BV9" s="955" t="s">
        <v>989</v>
      </c>
      <c r="BW9" s="1050">
        <f>(BW8-'Market Prices'!BW7)*75%+'Market Prices'!BW7</f>
        <v>2.7763125</v>
      </c>
      <c r="BX9" s="1051"/>
    </row>
    <row r="10" spans="1:78" ht="12.75" customHeight="1">
      <c r="A10" s="923"/>
      <c r="B10" s="924"/>
      <c r="C10" s="1122" t="s">
        <v>673</v>
      </c>
      <c r="D10" s="1122"/>
      <c r="E10" s="1122"/>
      <c r="F10" s="1123"/>
      <c r="G10" s="1140">
        <f t="shared" si="3"/>
        <v>10.753846153846155</v>
      </c>
      <c r="H10" s="1141">
        <f t="shared" si="3"/>
        <v>12.153846153846153</v>
      </c>
      <c r="I10" s="1141">
        <f t="shared" si="3"/>
        <v>14.249999999999998</v>
      </c>
      <c r="J10" s="1142">
        <f t="shared" si="3"/>
        <v>13.750000000000002</v>
      </c>
      <c r="K10" s="1140">
        <f t="shared" si="3"/>
        <v>13.887499999999998</v>
      </c>
      <c r="L10" s="1141">
        <f t="shared" si="3"/>
        <v>12.738461538461538</v>
      </c>
      <c r="M10" s="1141">
        <f t="shared" si="3"/>
        <v>14.228571428571428</v>
      </c>
      <c r="N10" s="1142">
        <f t="shared" si="3"/>
        <v>13.626923076923076</v>
      </c>
      <c r="O10" s="1140">
        <f t="shared" si="3"/>
        <v>9.8423076923076955</v>
      </c>
      <c r="P10" s="1141">
        <f t="shared" si="3"/>
        <v>9.1000000000000014</v>
      </c>
      <c r="Q10" s="1141">
        <f t="shared" si="3"/>
        <v>8.8346153846153861</v>
      </c>
      <c r="R10" s="1141">
        <f t="shared" si="3"/>
        <v>10.123076923076923</v>
      </c>
      <c r="S10" s="1140">
        <f t="shared" si="3"/>
        <v>10.238461538461538</v>
      </c>
      <c r="T10" s="1141">
        <f t="shared" si="3"/>
        <v>10.513846153846153</v>
      </c>
      <c r="U10" s="1141">
        <f t="shared" si="3"/>
        <v>10.403846153846152</v>
      </c>
      <c r="V10" s="1142">
        <f t="shared" si="3"/>
        <v>10.982307692307691</v>
      </c>
      <c r="W10" s="1141">
        <f t="shared" si="3"/>
        <v>12.356153846153846</v>
      </c>
      <c r="X10" s="1141">
        <f t="shared" si="3"/>
        <v>12.986153846153845</v>
      </c>
      <c r="Y10" s="1141">
        <f t="shared" si="3"/>
        <v>11.965384615384615</v>
      </c>
      <c r="Z10" s="1142">
        <f t="shared" si="3"/>
        <v>11.526923076923076</v>
      </c>
      <c r="AA10" s="1141">
        <f t="shared" si="4"/>
        <v>11.592307692307692</v>
      </c>
      <c r="AB10" s="1141">
        <f t="shared" si="4"/>
        <v>11.55</v>
      </c>
      <c r="AC10" s="1141">
        <f t="shared" si="4"/>
        <v>11.592307692307692</v>
      </c>
      <c r="AD10" s="1142">
        <f t="shared" si="4"/>
        <v>11.342307692307694</v>
      </c>
      <c r="AE10" s="1144">
        <f t="shared" si="3"/>
        <v>9.7807692307692307</v>
      </c>
      <c r="AF10" s="1144">
        <f t="shared" si="3"/>
        <v>9.1807692307692292</v>
      </c>
      <c r="AG10" s="1144">
        <f t="shared" si="3"/>
        <v>8.6428571428571441</v>
      </c>
      <c r="AH10" s="1145">
        <f t="shared" si="3"/>
        <v>9.3461538461538467</v>
      </c>
      <c r="AI10" s="1144">
        <f t="shared" si="3"/>
        <v>11.473076923076921</v>
      </c>
      <c r="AJ10" s="1144">
        <f t="shared" si="3"/>
        <v>11.597692307692309</v>
      </c>
      <c r="AK10" s="1144">
        <f t="shared" si="3"/>
        <v>11.516153846153847</v>
      </c>
      <c r="AL10" s="1145">
        <f t="shared" si="3"/>
        <v>11.923076923076922</v>
      </c>
      <c r="AM10" s="1144">
        <f t="shared" si="2"/>
        <v>12.296153846153848</v>
      </c>
      <c r="AN10" s="1144">
        <f t="shared" si="2"/>
        <v>11</v>
      </c>
      <c r="AO10" s="1144">
        <f t="shared" si="2"/>
        <v>11.35</v>
      </c>
      <c r="AP10" s="1145">
        <f t="shared" si="2"/>
        <v>11.65</v>
      </c>
      <c r="AQ10" s="1144">
        <f t="shared" si="2"/>
        <v>11.728652443964354</v>
      </c>
      <c r="AR10" s="1144">
        <f t="shared" si="2"/>
        <v>11.728652443964354</v>
      </c>
      <c r="AS10" s="1144">
        <f t="shared" si="2"/>
        <v>11.728652443964354</v>
      </c>
      <c r="AT10" s="1145">
        <f t="shared" si="2"/>
        <v>11.414042668106942</v>
      </c>
      <c r="AU10" s="1144">
        <f t="shared" si="5"/>
        <v>11.728652443964354</v>
      </c>
      <c r="AV10" s="1144">
        <f t="shared" si="5"/>
        <v>11.728652443964354</v>
      </c>
      <c r="AW10" s="1144">
        <f t="shared" si="5"/>
        <v>11.728652443964354</v>
      </c>
      <c r="AX10" s="1145">
        <f t="shared" si="5"/>
        <v>11.414042668106942</v>
      </c>
      <c r="AY10" s="1144">
        <f t="shared" si="6"/>
        <v>11.728652443964354</v>
      </c>
      <c r="AZ10" s="1144">
        <f t="shared" si="6"/>
        <v>11.728652443964354</v>
      </c>
      <c r="BA10" s="1144">
        <f t="shared" si="6"/>
        <v>11.728652443964354</v>
      </c>
      <c r="BB10" s="1145">
        <f t="shared" si="6"/>
        <v>11.414042668106942</v>
      </c>
      <c r="BC10" s="956"/>
      <c r="BD10" s="954"/>
      <c r="BE10" s="1047">
        <f>AVERAGE(G10:J10)</f>
        <v>12.726923076923077</v>
      </c>
      <c r="BF10" s="1047">
        <f>AVERAGE(K10:N10)</f>
        <v>13.620364010989011</v>
      </c>
      <c r="BG10" s="1047">
        <f>AVERAGE(O10:R10)</f>
        <v>9.4750000000000014</v>
      </c>
      <c r="BH10" s="1047">
        <f>AVERAGE(S10:V10)</f>
        <v>10.534615384615384</v>
      </c>
      <c r="BI10" s="1047">
        <f>AVERAGE(W10:Z10)</f>
        <v>12.208653846153846</v>
      </c>
      <c r="BJ10" s="1047">
        <f>AVERAGE(AA10:AD10)</f>
        <v>11.519230769230768</v>
      </c>
      <c r="BK10" s="1047">
        <f>AVERAGE(AE10:AH10)</f>
        <v>9.2376373626373631</v>
      </c>
      <c r="BL10" s="1047">
        <f>AVERAGE(AI10:AL10)</f>
        <v>11.6275</v>
      </c>
      <c r="BM10" s="1047">
        <f>AVERAGE(AM10:AP10)</f>
        <v>11.574038461538462</v>
      </c>
      <c r="BN10" s="1047">
        <f>AVERAGE(AQ10:AT10)</f>
        <v>11.650000000000002</v>
      </c>
      <c r="BO10" s="1047">
        <f>AVERAGE(AU10:AX10)</f>
        <v>11.650000000000002</v>
      </c>
      <c r="BP10" s="1047">
        <f>AVERAGE(AY10:BB10)</f>
        <v>11.650000000000002</v>
      </c>
      <c r="BQ10" s="949"/>
      <c r="BR10" s="950"/>
      <c r="BU10" s="922"/>
      <c r="BV10" s="921"/>
      <c r="BW10" s="921"/>
      <c r="BX10" s="921"/>
    </row>
    <row r="11" spans="1:78" ht="12.75" customHeight="1">
      <c r="A11" s="923"/>
      <c r="B11" s="924"/>
      <c r="C11" s="1122" t="s">
        <v>599</v>
      </c>
      <c r="D11" s="1122"/>
      <c r="E11" s="1122"/>
      <c r="F11" s="1123"/>
      <c r="G11" s="1140">
        <f t="shared" si="3"/>
        <v>57.360769230769236</v>
      </c>
      <c r="H11" s="1141">
        <f t="shared" si="3"/>
        <v>61.346153846153847</v>
      </c>
      <c r="I11" s="1141">
        <f t="shared" si="3"/>
        <v>65.019230769230774</v>
      </c>
      <c r="J11" s="1142">
        <f t="shared" si="3"/>
        <v>69.714285714285708</v>
      </c>
      <c r="K11" s="1140">
        <f t="shared" si="3"/>
        <v>73.291666666666657</v>
      </c>
      <c r="L11" s="1141">
        <f t="shared" si="3"/>
        <v>77.380769230769218</v>
      </c>
      <c r="M11" s="1141">
        <f t="shared" si="3"/>
        <v>77.203571428571422</v>
      </c>
      <c r="N11" s="1142">
        <f t="shared" si="3"/>
        <v>76.461538461538453</v>
      </c>
      <c r="O11" s="1140">
        <f t="shared" si="3"/>
        <v>70.211538461538439</v>
      </c>
      <c r="P11" s="1141">
        <f t="shared" si="3"/>
        <v>64.988461538461522</v>
      </c>
      <c r="Q11" s="1141">
        <f t="shared" si="3"/>
        <v>64.992307692307705</v>
      </c>
      <c r="R11" s="1141">
        <f t="shared" si="3"/>
        <v>64.276923076923083</v>
      </c>
      <c r="S11" s="1140">
        <f t="shared" si="3"/>
        <v>62.246153846153859</v>
      </c>
      <c r="T11" s="1141">
        <f t="shared" si="3"/>
        <v>64.961538461538467</v>
      </c>
      <c r="U11" s="1141">
        <f t="shared" si="3"/>
        <v>68.230769230769226</v>
      </c>
      <c r="V11" s="1142">
        <f t="shared" si="3"/>
        <v>68.615384615384613</v>
      </c>
      <c r="W11" s="1141">
        <f t="shared" si="3"/>
        <v>68.453846153846143</v>
      </c>
      <c r="X11" s="1141">
        <f t="shared" si="3"/>
        <v>67.120769230769227</v>
      </c>
      <c r="Y11" s="1141">
        <f t="shared" si="3"/>
        <v>63.607692307692297</v>
      </c>
      <c r="Z11" s="1142">
        <f t="shared" si="3"/>
        <v>53.301576923076922</v>
      </c>
      <c r="AA11" s="1141">
        <f t="shared" si="4"/>
        <v>50.83815384615383</v>
      </c>
      <c r="AB11" s="1141">
        <f t="shared" si="4"/>
        <v>50.215538461538465</v>
      </c>
      <c r="AC11" s="1141">
        <f t="shared" si="4"/>
        <v>48.245384615384616</v>
      </c>
      <c r="AD11" s="1142">
        <f t="shared" si="4"/>
        <v>43.988653846153852</v>
      </c>
      <c r="AE11" s="1144">
        <f t="shared" si="3"/>
        <v>40.261730769230766</v>
      </c>
      <c r="AF11" s="1144">
        <f t="shared" si="3"/>
        <v>39.132692307692309</v>
      </c>
      <c r="AG11" s="1144">
        <f t="shared" si="3"/>
        <v>38.882142857142867</v>
      </c>
      <c r="AH11" s="1145">
        <f t="shared" si="3"/>
        <v>42.651346153846148</v>
      </c>
      <c r="AI11" s="1144">
        <f t="shared" si="3"/>
        <v>47.554807692307698</v>
      </c>
      <c r="AJ11" s="1144">
        <f t="shared" si="3"/>
        <v>49.838461538461537</v>
      </c>
      <c r="AK11" s="1144">
        <f t="shared" si="3"/>
        <v>50.339038461538472</v>
      </c>
      <c r="AL11" s="1145">
        <f t="shared" si="3"/>
        <v>55.348461538461549</v>
      </c>
      <c r="AM11" s="1144">
        <f t="shared" si="2"/>
        <v>57.807500000000005</v>
      </c>
      <c r="AN11" s="1144">
        <f t="shared" si="2"/>
        <v>46.55</v>
      </c>
      <c r="AO11" s="1144">
        <f t="shared" si="2"/>
        <v>46.55</v>
      </c>
      <c r="AP11" s="1145">
        <f t="shared" si="2"/>
        <v>46.55</v>
      </c>
      <c r="AQ11" s="1144">
        <f t="shared" si="2"/>
        <v>45.746572016741645</v>
      </c>
      <c r="AR11" s="1144">
        <f t="shared" si="2"/>
        <v>45.746572016741645</v>
      </c>
      <c r="AS11" s="1144">
        <f t="shared" si="2"/>
        <v>45.746572016741645</v>
      </c>
      <c r="AT11" s="1145">
        <f t="shared" si="2"/>
        <v>52.760283949775072</v>
      </c>
      <c r="AU11" s="1144">
        <f t="shared" si="5"/>
        <v>45.746572016741645</v>
      </c>
      <c r="AV11" s="1144">
        <f t="shared" si="5"/>
        <v>45.746572016741645</v>
      </c>
      <c r="AW11" s="1144">
        <f t="shared" si="5"/>
        <v>45.746572016741645</v>
      </c>
      <c r="AX11" s="1145">
        <f t="shared" si="5"/>
        <v>52.760283949775072</v>
      </c>
      <c r="AY11" s="1144">
        <f t="shared" si="6"/>
        <v>45.746572016741645</v>
      </c>
      <c r="AZ11" s="1144">
        <f t="shared" si="6"/>
        <v>45.746572016741645</v>
      </c>
      <c r="BA11" s="1144">
        <f t="shared" si="6"/>
        <v>45.746572016741645</v>
      </c>
      <c r="BB11" s="1145">
        <f t="shared" si="6"/>
        <v>52.760283949775072</v>
      </c>
      <c r="BC11" s="956"/>
      <c r="BD11" s="954"/>
      <c r="BE11" s="1047">
        <f>AVERAGE(G11:J11)</f>
        <v>63.360109890109896</v>
      </c>
      <c r="BF11" s="1047">
        <f>AVERAGE(K11:N11)</f>
        <v>76.084386446886441</v>
      </c>
      <c r="BG11" s="1047">
        <f>AVERAGE(O11:R11)</f>
        <v>66.117307692307691</v>
      </c>
      <c r="BH11" s="1047">
        <f>AVERAGE(S11:V11)</f>
        <v>66.013461538461542</v>
      </c>
      <c r="BI11" s="1047">
        <f>AVERAGE(W11:Z11)</f>
        <v>63.120971153846142</v>
      </c>
      <c r="BJ11" s="1047">
        <f>AVERAGE(AA11:AD11)</f>
        <v>48.321932692307691</v>
      </c>
      <c r="BK11" s="1047">
        <f>AVERAGE(AE11:AH11)</f>
        <v>40.231978021978023</v>
      </c>
      <c r="BL11" s="1047">
        <f>AVERAGE(AI11:AL11)</f>
        <v>50.770192307692312</v>
      </c>
      <c r="BM11" s="1047">
        <f>AVERAGE(AM11:AP11)</f>
        <v>49.364374999999995</v>
      </c>
      <c r="BN11" s="1047">
        <f>AVERAGE(AQ11:AT11)</f>
        <v>47.5</v>
      </c>
      <c r="BO11" s="1047">
        <f>AVERAGE(AU11:AX11)</f>
        <v>47.5</v>
      </c>
      <c r="BP11" s="1047">
        <f>AVERAGE(AY11:BB11)</f>
        <v>47.5</v>
      </c>
      <c r="BQ11" s="949"/>
      <c r="BR11" s="950"/>
      <c r="BU11" s="922"/>
    </row>
    <row r="12" spans="1:78" ht="12.75" customHeight="1">
      <c r="A12" s="923"/>
      <c r="B12" s="924"/>
      <c r="C12" s="1122" t="s">
        <v>600</v>
      </c>
      <c r="D12" s="1122"/>
      <c r="E12" s="1122"/>
      <c r="F12" s="1123"/>
      <c r="G12" s="1140">
        <f t="shared" si="3"/>
        <v>41.269230769230766</v>
      </c>
      <c r="H12" s="1141">
        <f t="shared" si="3"/>
        <v>41.919230769230765</v>
      </c>
      <c r="I12" s="1141">
        <f t="shared" si="3"/>
        <v>42.634615384615387</v>
      </c>
      <c r="J12" s="1142">
        <f t="shared" si="3"/>
        <v>47.214285714285715</v>
      </c>
      <c r="K12" s="1140">
        <f t="shared" si="3"/>
        <v>47.5</v>
      </c>
      <c r="L12" s="1141">
        <f t="shared" si="3"/>
        <v>47.730769230769234</v>
      </c>
      <c r="M12" s="1141">
        <f t="shared" si="3"/>
        <v>47.8</v>
      </c>
      <c r="N12" s="1142">
        <f t="shared" si="3"/>
        <v>48.323076923076918</v>
      </c>
      <c r="O12" s="1140">
        <f t="shared" si="3"/>
        <v>52.46153846153846</v>
      </c>
      <c r="P12" s="1141">
        <f t="shared" si="3"/>
        <v>48.615384615384613</v>
      </c>
      <c r="Q12" s="1141">
        <f t="shared" si="3"/>
        <v>47.42307692307692</v>
      </c>
      <c r="R12" s="1141">
        <f t="shared" si="3"/>
        <v>47.888461538461527</v>
      </c>
      <c r="S12" s="1140">
        <f t="shared" si="3"/>
        <v>46.630769230769218</v>
      </c>
      <c r="T12" s="1141">
        <f t="shared" si="3"/>
        <v>45.149999999999984</v>
      </c>
      <c r="U12" s="1141">
        <f t="shared" si="3"/>
        <v>45.534615384615371</v>
      </c>
      <c r="V12" s="1142">
        <f t="shared" si="3"/>
        <v>46.149999999999984</v>
      </c>
      <c r="W12" s="1141">
        <f t="shared" si="3"/>
        <v>46.578461538461518</v>
      </c>
      <c r="X12" s="1141">
        <f t="shared" si="3"/>
        <v>46.272307692307692</v>
      </c>
      <c r="Y12" s="1141">
        <f t="shared" si="3"/>
        <v>44.207692307692305</v>
      </c>
      <c r="Z12" s="1142">
        <f t="shared" si="3"/>
        <v>39.274846153846156</v>
      </c>
      <c r="AA12" s="1141">
        <f t="shared" si="4"/>
        <v>37.459692307692293</v>
      </c>
      <c r="AB12" s="1141">
        <f t="shared" si="4"/>
        <v>37.00092307692308</v>
      </c>
      <c r="AC12" s="1141">
        <f t="shared" si="4"/>
        <v>35.549230769230768</v>
      </c>
      <c r="AD12" s="1142">
        <f t="shared" si="4"/>
        <v>32.412692307692311</v>
      </c>
      <c r="AE12" s="1144">
        <f t="shared" si="3"/>
        <v>29.666538461538462</v>
      </c>
      <c r="AF12" s="1144">
        <f t="shared" si="3"/>
        <v>28.834615384615383</v>
      </c>
      <c r="AG12" s="1144">
        <f t="shared" si="3"/>
        <v>28.650000000000006</v>
      </c>
      <c r="AH12" s="1145">
        <f t="shared" si="3"/>
        <v>31.427307692307689</v>
      </c>
      <c r="AI12" s="1144">
        <f t="shared" si="3"/>
        <v>35.040384615384617</v>
      </c>
      <c r="AJ12" s="1144">
        <f t="shared" si="3"/>
        <v>36.723076923076917</v>
      </c>
      <c r="AK12" s="1144">
        <f t="shared" si="3"/>
        <v>37.091923076923081</v>
      </c>
      <c r="AL12" s="1145">
        <f t="shared" si="3"/>
        <v>40.783076923076933</v>
      </c>
      <c r="AM12" s="1144">
        <f t="shared" si="2"/>
        <v>42.595000000000006</v>
      </c>
      <c r="AN12" s="1144">
        <f t="shared" si="2"/>
        <v>34.299999999999997</v>
      </c>
      <c r="AO12" s="1144">
        <f t="shared" si="2"/>
        <v>34.299999999999997</v>
      </c>
      <c r="AP12" s="1145">
        <f t="shared" si="2"/>
        <v>34.299999999999997</v>
      </c>
      <c r="AQ12" s="1144">
        <f t="shared" si="2"/>
        <v>33.708000433388577</v>
      </c>
      <c r="AR12" s="1144">
        <f t="shared" si="2"/>
        <v>33.708000433388577</v>
      </c>
      <c r="AS12" s="1144">
        <f t="shared" si="2"/>
        <v>33.708000433388577</v>
      </c>
      <c r="AT12" s="1145">
        <f t="shared" si="2"/>
        <v>38.875998699834263</v>
      </c>
      <c r="AU12" s="1144">
        <f t="shared" si="5"/>
        <v>33.708000433388577</v>
      </c>
      <c r="AV12" s="1144">
        <f t="shared" si="5"/>
        <v>33.708000433388577</v>
      </c>
      <c r="AW12" s="1144">
        <f t="shared" si="5"/>
        <v>33.708000433388577</v>
      </c>
      <c r="AX12" s="1145">
        <f t="shared" si="5"/>
        <v>38.875998699834263</v>
      </c>
      <c r="AY12" s="1144">
        <f t="shared" si="6"/>
        <v>33.708000433388577</v>
      </c>
      <c r="AZ12" s="1144">
        <f t="shared" si="6"/>
        <v>33.708000433388577</v>
      </c>
      <c r="BA12" s="1144">
        <f t="shared" si="6"/>
        <v>33.708000433388577</v>
      </c>
      <c r="BB12" s="1145">
        <f t="shared" si="6"/>
        <v>38.875998699834263</v>
      </c>
      <c r="BC12" s="956"/>
      <c r="BD12" s="954"/>
      <c r="BE12" s="1047">
        <f>AVERAGE(G12:J12)</f>
        <v>43.259340659340658</v>
      </c>
      <c r="BF12" s="1047">
        <f>AVERAGE(K12:N12)</f>
        <v>47.838461538461537</v>
      </c>
      <c r="BG12" s="1047">
        <f>AVERAGE(O12:R12)</f>
        <v>49.097115384615378</v>
      </c>
      <c r="BH12" s="1047">
        <f>AVERAGE(S12:V12)</f>
        <v>45.866346153846138</v>
      </c>
      <c r="BI12" s="1047">
        <f>AVERAGE(W12:Z12)</f>
        <v>44.08332692307691</v>
      </c>
      <c r="BJ12" s="1047">
        <f>AVERAGE(AA12:AD12)</f>
        <v>35.605634615384616</v>
      </c>
      <c r="BK12" s="1047">
        <f>AVERAGE(AE12:AH12)</f>
        <v>29.644615384615385</v>
      </c>
      <c r="BL12" s="1047">
        <f>AVERAGE(AI12:AL12)</f>
        <v>37.409615384615392</v>
      </c>
      <c r="BM12" s="1047">
        <f>AVERAGE(AM12:AP12)</f>
        <v>36.373750000000001</v>
      </c>
      <c r="BN12" s="1047">
        <f>AVERAGE(AQ12:AT12)</f>
        <v>35</v>
      </c>
      <c r="BO12" s="1047">
        <f>AVERAGE(AU12:AX12)</f>
        <v>35</v>
      </c>
      <c r="BP12" s="1047">
        <f>AVERAGE(AY12:BB12)</f>
        <v>35</v>
      </c>
      <c r="BQ12" s="949"/>
      <c r="BR12" s="950"/>
      <c r="BU12" s="922"/>
    </row>
    <row r="13" spans="1:78" ht="12.75" customHeight="1">
      <c r="A13" s="923"/>
      <c r="B13" s="924"/>
      <c r="C13" s="1122"/>
      <c r="D13" s="1122"/>
      <c r="E13" s="1122"/>
      <c r="F13" s="1124"/>
      <c r="G13" s="1140" t="str">
        <f t="shared" si="3"/>
        <v/>
      </c>
      <c r="H13" s="1141" t="str">
        <f t="shared" si="3"/>
        <v/>
      </c>
      <c r="I13" s="1141" t="str">
        <f t="shared" si="3"/>
        <v/>
      </c>
      <c r="J13" s="1142" t="str">
        <f t="shared" si="3"/>
        <v/>
      </c>
      <c r="K13" s="1140" t="str">
        <f t="shared" si="3"/>
        <v/>
      </c>
      <c r="L13" s="1141" t="str">
        <f t="shared" si="3"/>
        <v/>
      </c>
      <c r="M13" s="1141" t="str">
        <f t="shared" si="3"/>
        <v/>
      </c>
      <c r="N13" s="1142" t="str">
        <f t="shared" si="3"/>
        <v/>
      </c>
      <c r="O13" s="1140" t="str">
        <f t="shared" si="3"/>
        <v/>
      </c>
      <c r="P13" s="1141" t="str">
        <f t="shared" si="3"/>
        <v/>
      </c>
      <c r="Q13" s="1141" t="str">
        <f t="shared" si="3"/>
        <v/>
      </c>
      <c r="R13" s="1145" t="str">
        <f t="shared" si="3"/>
        <v/>
      </c>
      <c r="S13" s="1140" t="str">
        <f t="shared" si="3"/>
        <v/>
      </c>
      <c r="T13" s="1141" t="str">
        <f t="shared" si="3"/>
        <v/>
      </c>
      <c r="U13" s="1141" t="str">
        <f t="shared" si="3"/>
        <v/>
      </c>
      <c r="V13" s="1142" t="str">
        <f t="shared" si="3"/>
        <v/>
      </c>
      <c r="W13" s="1141" t="str">
        <f t="shared" si="3"/>
        <v/>
      </c>
      <c r="X13" s="1141" t="str">
        <f t="shared" si="3"/>
        <v/>
      </c>
      <c r="Y13" s="1141" t="str">
        <f t="shared" si="3"/>
        <v/>
      </c>
      <c r="Z13" s="1142" t="str">
        <f t="shared" si="3"/>
        <v/>
      </c>
      <c r="AA13" s="1141" t="str">
        <f t="shared" si="4"/>
        <v/>
      </c>
      <c r="AB13" s="1141" t="str">
        <f t="shared" si="4"/>
        <v/>
      </c>
      <c r="AC13" s="1141" t="str">
        <f t="shared" si="4"/>
        <v/>
      </c>
      <c r="AD13" s="1142" t="str">
        <f t="shared" si="4"/>
        <v/>
      </c>
      <c r="AE13" s="1144" t="str">
        <f t="shared" si="3"/>
        <v/>
      </c>
      <c r="AF13" s="1144" t="str">
        <f t="shared" si="3"/>
        <v/>
      </c>
      <c r="AG13" s="1144" t="str">
        <f t="shared" si="3"/>
        <v/>
      </c>
      <c r="AH13" s="1145" t="str">
        <f t="shared" si="3"/>
        <v/>
      </c>
      <c r="AI13" s="1144" t="str">
        <f t="shared" si="3"/>
        <v/>
      </c>
      <c r="AJ13" s="1144" t="str">
        <f t="shared" si="3"/>
        <v/>
      </c>
      <c r="AK13" s="1144" t="str">
        <f t="shared" si="3"/>
        <v/>
      </c>
      <c r="AL13" s="1145" t="str">
        <f t="shared" si="3"/>
        <v/>
      </c>
      <c r="AM13" s="1144" t="str">
        <f t="shared" si="2"/>
        <v/>
      </c>
      <c r="AN13" s="1144" t="str">
        <f t="shared" si="2"/>
        <v/>
      </c>
      <c r="AO13" s="1144" t="str">
        <f t="shared" si="2"/>
        <v/>
      </c>
      <c r="AP13" s="1145" t="str">
        <f t="shared" si="2"/>
        <v/>
      </c>
      <c r="AQ13" s="1144" t="str">
        <f t="shared" si="2"/>
        <v/>
      </c>
      <c r="AR13" s="1144" t="str">
        <f t="shared" si="2"/>
        <v/>
      </c>
      <c r="AS13" s="1144" t="str">
        <f t="shared" si="2"/>
        <v/>
      </c>
      <c r="AT13" s="1145" t="str">
        <f t="shared" si="2"/>
        <v/>
      </c>
      <c r="AU13" s="1144" t="str">
        <f t="shared" si="5"/>
        <v/>
      </c>
      <c r="AV13" s="1144" t="str">
        <f t="shared" si="5"/>
        <v/>
      </c>
      <c r="AW13" s="1144" t="str">
        <f t="shared" si="5"/>
        <v/>
      </c>
      <c r="AX13" s="1145" t="str">
        <f t="shared" si="5"/>
        <v/>
      </c>
      <c r="AY13" s="1144" t="str">
        <f t="shared" si="6"/>
        <v/>
      </c>
      <c r="AZ13" s="1144" t="str">
        <f t="shared" si="6"/>
        <v/>
      </c>
      <c r="BA13" s="1144" t="str">
        <f t="shared" si="6"/>
        <v/>
      </c>
      <c r="BB13" s="1145" t="str">
        <f t="shared" si="6"/>
        <v/>
      </c>
      <c r="BC13" s="954"/>
      <c r="BD13" s="954"/>
      <c r="BE13" s="1052"/>
      <c r="BF13" s="1052"/>
      <c r="BG13" s="1052"/>
      <c r="BH13" s="1052"/>
      <c r="BI13" s="1052"/>
      <c r="BJ13" s="1052"/>
      <c r="BK13" s="1052"/>
      <c r="BL13" s="1052"/>
      <c r="BM13" s="1052"/>
      <c r="BN13" s="1052"/>
      <c r="BO13" s="1052"/>
      <c r="BP13" s="1052"/>
      <c r="BQ13" s="958"/>
      <c r="BR13" s="959"/>
      <c r="BU13" s="922"/>
      <c r="BV13" s="960" t="s">
        <v>682</v>
      </c>
    </row>
    <row r="14" spans="1:78" ht="12.75" customHeight="1">
      <c r="A14" s="923"/>
      <c r="B14" s="924"/>
      <c r="C14" s="1122"/>
      <c r="D14" s="1122"/>
      <c r="E14" s="1122"/>
      <c r="F14" s="1124"/>
      <c r="G14" s="1146" t="str">
        <f t="shared" si="3"/>
        <v/>
      </c>
      <c r="H14" s="1147" t="str">
        <f t="shared" si="3"/>
        <v/>
      </c>
      <c r="I14" s="1147" t="str">
        <f t="shared" si="3"/>
        <v/>
      </c>
      <c r="J14" s="1148" t="str">
        <f t="shared" si="3"/>
        <v/>
      </c>
      <c r="K14" s="1146" t="str">
        <f t="shared" si="3"/>
        <v/>
      </c>
      <c r="L14" s="1147" t="str">
        <f t="shared" si="3"/>
        <v/>
      </c>
      <c r="M14" s="1147" t="str">
        <f t="shared" si="3"/>
        <v/>
      </c>
      <c r="N14" s="1148" t="str">
        <f t="shared" si="3"/>
        <v/>
      </c>
      <c r="O14" s="1146" t="str">
        <f t="shared" si="3"/>
        <v/>
      </c>
      <c r="P14" s="1147" t="str">
        <f t="shared" si="3"/>
        <v/>
      </c>
      <c r="Q14" s="1147" t="str">
        <f t="shared" si="3"/>
        <v/>
      </c>
      <c r="R14" s="1149" t="str">
        <f t="shared" si="3"/>
        <v/>
      </c>
      <c r="S14" s="1146" t="str">
        <f t="shared" si="3"/>
        <v/>
      </c>
      <c r="T14" s="1147" t="str">
        <f t="shared" si="3"/>
        <v/>
      </c>
      <c r="U14" s="1147" t="str">
        <f t="shared" si="3"/>
        <v/>
      </c>
      <c r="V14" s="1148" t="str">
        <f t="shared" si="3"/>
        <v/>
      </c>
      <c r="W14" s="1147" t="str">
        <f t="shared" si="3"/>
        <v/>
      </c>
      <c r="X14" s="1147" t="str">
        <f t="shared" si="3"/>
        <v/>
      </c>
      <c r="Y14" s="1147" t="str">
        <f t="shared" si="3"/>
        <v/>
      </c>
      <c r="Z14" s="1448" t="str">
        <f t="shared" si="3"/>
        <v/>
      </c>
      <c r="AA14" s="1147" t="str">
        <f t="shared" ref="AA14:AD29" si="7">IF(ISBLANK(AA157),"",AA157)</f>
        <v/>
      </c>
      <c r="AB14" s="1147" t="str">
        <f t="shared" si="7"/>
        <v/>
      </c>
      <c r="AC14" s="1147" t="str">
        <f t="shared" si="7"/>
        <v/>
      </c>
      <c r="AD14" s="1448" t="str">
        <f t="shared" si="7"/>
        <v/>
      </c>
      <c r="AE14" s="1153" t="str">
        <f t="shared" si="3"/>
        <v/>
      </c>
      <c r="AF14" s="1153" t="str">
        <f t="shared" si="3"/>
        <v/>
      </c>
      <c r="AG14" s="1153" t="str">
        <f t="shared" si="3"/>
        <v/>
      </c>
      <c r="AH14" s="1152" t="str">
        <f t="shared" si="3"/>
        <v/>
      </c>
      <c r="AI14" s="1153" t="str">
        <f t="shared" si="3"/>
        <v/>
      </c>
      <c r="AJ14" s="1153" t="str">
        <f t="shared" si="3"/>
        <v/>
      </c>
      <c r="AK14" s="1153" t="str">
        <f t="shared" si="3"/>
        <v/>
      </c>
      <c r="AL14" s="1152" t="str">
        <f>IF(ISBLANK(AL157),"",AL157)</f>
        <v/>
      </c>
      <c r="AM14" s="1153" t="str">
        <f t="shared" si="2"/>
        <v/>
      </c>
      <c r="AN14" s="1153" t="str">
        <f t="shared" si="2"/>
        <v/>
      </c>
      <c r="AO14" s="1153" t="str">
        <f t="shared" si="2"/>
        <v/>
      </c>
      <c r="AP14" s="1152" t="str">
        <f t="shared" si="2"/>
        <v/>
      </c>
      <c r="AQ14" s="1153" t="str">
        <f t="shared" si="2"/>
        <v/>
      </c>
      <c r="AR14" s="1153" t="str">
        <f t="shared" si="2"/>
        <v/>
      </c>
      <c r="AS14" s="1153" t="str">
        <f t="shared" si="2"/>
        <v/>
      </c>
      <c r="AT14" s="1152" t="str">
        <f>IF(ISBLANK(AT157),"",AT157)</f>
        <v/>
      </c>
      <c r="AU14" s="1153" t="str">
        <f t="shared" si="5"/>
        <v/>
      </c>
      <c r="AV14" s="1153" t="str">
        <f t="shared" si="5"/>
        <v/>
      </c>
      <c r="AW14" s="1153" t="str">
        <f t="shared" si="5"/>
        <v/>
      </c>
      <c r="AX14" s="1152" t="str">
        <f t="shared" si="5"/>
        <v/>
      </c>
      <c r="AY14" s="1153" t="str">
        <f t="shared" si="6"/>
        <v/>
      </c>
      <c r="AZ14" s="1153" t="str">
        <f t="shared" si="6"/>
        <v/>
      </c>
      <c r="BA14" s="1153" t="str">
        <f t="shared" si="6"/>
        <v/>
      </c>
      <c r="BB14" s="1152" t="str">
        <f t="shared" si="6"/>
        <v/>
      </c>
      <c r="BC14" s="961"/>
      <c r="BD14" s="962"/>
      <c r="BE14" s="1054"/>
      <c r="BF14" s="1054"/>
      <c r="BG14" s="1054"/>
      <c r="BH14" s="1054"/>
      <c r="BI14" s="1054"/>
      <c r="BJ14" s="1054"/>
      <c r="BK14" s="1054"/>
      <c r="BL14" s="1054"/>
      <c r="BM14" s="1054"/>
      <c r="BN14" s="1054"/>
      <c r="BO14" s="1054"/>
      <c r="BP14" s="1054"/>
      <c r="BQ14" s="958"/>
      <c r="BR14" s="959"/>
      <c r="BU14" s="922"/>
      <c r="BV14" s="1055" t="s">
        <v>695</v>
      </c>
      <c r="BW14" s="1056"/>
      <c r="BX14" s="1056">
        <v>22</v>
      </c>
      <c r="BY14" s="1057" t="s">
        <v>696</v>
      </c>
    </row>
    <row r="15" spans="1:78" ht="12.75" customHeight="1">
      <c r="A15" s="923"/>
      <c r="B15" s="924"/>
      <c r="C15" s="1120" t="s">
        <v>791</v>
      </c>
      <c r="D15" s="1125"/>
      <c r="E15" s="1125"/>
      <c r="F15" s="1126"/>
      <c r="G15" s="1140" t="str">
        <f t="shared" ref="G15:AL22" si="8">IF(ISBLANK(G158),"",G158)</f>
        <v/>
      </c>
      <c r="H15" s="1141" t="str">
        <f t="shared" si="8"/>
        <v/>
      </c>
      <c r="I15" s="1141" t="str">
        <f t="shared" si="8"/>
        <v/>
      </c>
      <c r="J15" s="1142" t="str">
        <f t="shared" si="8"/>
        <v/>
      </c>
      <c r="K15" s="1140" t="str">
        <f t="shared" si="8"/>
        <v/>
      </c>
      <c r="L15" s="1141" t="str">
        <f t="shared" si="8"/>
        <v/>
      </c>
      <c r="M15" s="1141" t="str">
        <f t="shared" si="8"/>
        <v/>
      </c>
      <c r="N15" s="1142" t="str">
        <f t="shared" si="8"/>
        <v/>
      </c>
      <c r="O15" s="1140" t="str">
        <f t="shared" si="8"/>
        <v/>
      </c>
      <c r="P15" s="1141" t="str">
        <f t="shared" si="8"/>
        <v/>
      </c>
      <c r="Q15" s="1141" t="str">
        <f t="shared" si="8"/>
        <v/>
      </c>
      <c r="R15" s="1145" t="str">
        <f t="shared" si="8"/>
        <v/>
      </c>
      <c r="S15" s="1140" t="str">
        <f t="shared" si="8"/>
        <v/>
      </c>
      <c r="T15" s="1141" t="str">
        <f t="shared" si="8"/>
        <v/>
      </c>
      <c r="U15" s="1141" t="str">
        <f t="shared" si="8"/>
        <v/>
      </c>
      <c r="V15" s="1142" t="str">
        <f t="shared" si="8"/>
        <v/>
      </c>
      <c r="W15" s="1141" t="str">
        <f t="shared" si="8"/>
        <v/>
      </c>
      <c r="X15" s="1141" t="str">
        <f t="shared" si="8"/>
        <v/>
      </c>
      <c r="Y15" s="1141" t="str">
        <f t="shared" si="8"/>
        <v/>
      </c>
      <c r="Z15" s="1142" t="str">
        <f t="shared" si="8"/>
        <v/>
      </c>
      <c r="AA15" s="1141" t="str">
        <f t="shared" si="7"/>
        <v/>
      </c>
      <c r="AB15" s="1141" t="str">
        <f t="shared" si="7"/>
        <v/>
      </c>
      <c r="AC15" s="1141" t="str">
        <f t="shared" si="7"/>
        <v/>
      </c>
      <c r="AD15" s="1142" t="str">
        <f t="shared" si="7"/>
        <v/>
      </c>
      <c r="AE15" s="1144" t="str">
        <f t="shared" si="8"/>
        <v/>
      </c>
      <c r="AF15" s="1144" t="str">
        <f t="shared" si="8"/>
        <v/>
      </c>
      <c r="AG15" s="1144" t="str">
        <f t="shared" si="8"/>
        <v/>
      </c>
      <c r="AH15" s="1145" t="str">
        <f t="shared" si="8"/>
        <v/>
      </c>
      <c r="AI15" s="1144" t="str">
        <f t="shared" si="8"/>
        <v/>
      </c>
      <c r="AJ15" s="1144" t="str">
        <f t="shared" si="8"/>
        <v/>
      </c>
      <c r="AK15" s="1144" t="str">
        <f t="shared" si="8"/>
        <v/>
      </c>
      <c r="AL15" s="1145" t="str">
        <f t="shared" si="8"/>
        <v/>
      </c>
      <c r="AM15" s="1144" t="str">
        <f t="shared" si="2"/>
        <v/>
      </c>
      <c r="AN15" s="1144" t="str">
        <f t="shared" si="2"/>
        <v/>
      </c>
      <c r="AO15" s="1144" t="str">
        <f t="shared" si="2"/>
        <v/>
      </c>
      <c r="AP15" s="1145" t="str">
        <f t="shared" si="2"/>
        <v/>
      </c>
      <c r="AQ15" s="1144" t="str">
        <f t="shared" si="2"/>
        <v/>
      </c>
      <c r="AR15" s="1144" t="str">
        <f t="shared" si="2"/>
        <v/>
      </c>
      <c r="AS15" s="1144" t="str">
        <f t="shared" si="2"/>
        <v/>
      </c>
      <c r="AT15" s="1145" t="str">
        <f t="shared" si="2"/>
        <v/>
      </c>
      <c r="AU15" s="1144" t="str">
        <f t="shared" si="5"/>
        <v/>
      </c>
      <c r="AV15" s="1144" t="str">
        <f t="shared" si="5"/>
        <v/>
      </c>
      <c r="AW15" s="1144" t="str">
        <f t="shared" si="5"/>
        <v/>
      </c>
      <c r="AX15" s="1145" t="str">
        <f t="shared" si="5"/>
        <v/>
      </c>
      <c r="AY15" s="1144" t="str">
        <f t="shared" si="6"/>
        <v/>
      </c>
      <c r="AZ15" s="1144" t="str">
        <f t="shared" si="6"/>
        <v/>
      </c>
      <c r="BA15" s="1144" t="str">
        <f t="shared" si="6"/>
        <v/>
      </c>
      <c r="BB15" s="1145" t="str">
        <f t="shared" si="6"/>
        <v/>
      </c>
      <c r="BC15" s="954"/>
      <c r="BD15" s="954"/>
      <c r="BE15" s="1052"/>
      <c r="BF15" s="1052"/>
      <c r="BG15" s="1052"/>
      <c r="BH15" s="1058"/>
      <c r="BI15" s="1059"/>
      <c r="BJ15" s="1058"/>
      <c r="BK15" s="1058"/>
      <c r="BL15" s="1058"/>
      <c r="BM15" s="1058"/>
      <c r="BN15" s="1058"/>
      <c r="BO15" s="1058"/>
      <c r="BP15" s="1058"/>
      <c r="BQ15" s="958"/>
      <c r="BR15" s="963"/>
      <c r="BS15" s="963"/>
      <c r="BU15" s="922"/>
      <c r="BV15" s="1060" t="s">
        <v>697</v>
      </c>
      <c r="BW15" s="242"/>
      <c r="BX15" s="242">
        <f>($BX$14/$BW$9+7)*1000</f>
        <v>14924.180004952612</v>
      </c>
      <c r="BY15" s="1061" t="s">
        <v>698</v>
      </c>
    </row>
    <row r="16" spans="1:78" ht="12.75" customHeight="1">
      <c r="A16" s="923"/>
      <c r="B16" s="924"/>
      <c r="C16" s="1122" t="s">
        <v>674</v>
      </c>
      <c r="D16" s="1122"/>
      <c r="E16" s="1127"/>
      <c r="F16" s="1128"/>
      <c r="G16" s="1140">
        <f t="shared" si="8"/>
        <v>55.301269841269843</v>
      </c>
      <c r="H16" s="1141">
        <f t="shared" si="8"/>
        <v>51.354570312500016</v>
      </c>
      <c r="I16" s="1141">
        <f t="shared" si="8"/>
        <v>67.22877929687499</v>
      </c>
      <c r="J16" s="1142">
        <f t="shared" si="8"/>
        <v>51.534971153846179</v>
      </c>
      <c r="K16" s="1140">
        <f t="shared" si="8"/>
        <v>63.793710937500023</v>
      </c>
      <c r="L16" s="1141">
        <f t="shared" si="8"/>
        <v>48.444853515625013</v>
      </c>
      <c r="M16" s="1141">
        <f t="shared" si="8"/>
        <v>55.141689453125004</v>
      </c>
      <c r="N16" s="1142">
        <f t="shared" si="8"/>
        <v>41.796567460317455</v>
      </c>
      <c r="O16" s="1140">
        <f t="shared" si="8"/>
        <v>33.353476562500006</v>
      </c>
      <c r="P16" s="1141">
        <f t="shared" si="8"/>
        <v>34.616933593750005</v>
      </c>
      <c r="Q16" s="1141">
        <f t="shared" si="8"/>
        <v>46.289513888888905</v>
      </c>
      <c r="R16" s="1141">
        <f t="shared" si="8"/>
        <v>50.846972656250003</v>
      </c>
      <c r="S16" s="1140">
        <f t="shared" si="8"/>
        <v>89.765515873015843</v>
      </c>
      <c r="T16" s="1141">
        <f t="shared" si="8"/>
        <v>45.063007812499997</v>
      </c>
      <c r="U16" s="1141">
        <f t="shared" si="8"/>
        <v>54.984013671875012</v>
      </c>
      <c r="V16" s="1142">
        <f t="shared" si="8"/>
        <v>67.341074218749995</v>
      </c>
      <c r="W16" s="1141">
        <f t="shared" si="8"/>
        <v>167.3350595238096</v>
      </c>
      <c r="X16" s="1141">
        <f t="shared" si="8"/>
        <v>44.335244140625001</v>
      </c>
      <c r="Y16" s="1141">
        <f t="shared" si="8"/>
        <v>41.33302734374999</v>
      </c>
      <c r="Z16" s="1142">
        <f t="shared" si="8"/>
        <v>48.027636718749996</v>
      </c>
      <c r="AA16" s="1141">
        <f t="shared" si="7"/>
        <v>87.659980158730164</v>
      </c>
      <c r="AB16" s="1141">
        <f t="shared" si="7"/>
        <v>28.370332031249998</v>
      </c>
      <c r="AC16" s="1141">
        <f t="shared" si="7"/>
        <v>42.395605769230762</v>
      </c>
      <c r="AD16" s="1142">
        <f t="shared" si="7"/>
        <v>33.065136718749997</v>
      </c>
      <c r="AE16" s="1144">
        <f t="shared" si="8"/>
        <v>30.31946289062499</v>
      </c>
      <c r="AF16" s="1144">
        <f t="shared" si="8"/>
        <v>28.207148437500003</v>
      </c>
      <c r="AG16" s="1144">
        <f t="shared" si="8"/>
        <v>42.730703124999998</v>
      </c>
      <c r="AH16" s="1145">
        <f t="shared" si="8"/>
        <v>38.680972222222231</v>
      </c>
      <c r="AI16" s="1144">
        <f t="shared" si="8"/>
        <v>33.978535156249983</v>
      </c>
      <c r="AJ16" s="1144">
        <f t="shared" si="8"/>
        <v>33.298916015625018</v>
      </c>
      <c r="AK16" s="1144">
        <f t="shared" si="8"/>
        <v>31.712827380952376</v>
      </c>
      <c r="AL16" s="1145">
        <f t="shared" si="8"/>
        <v>52.552301587301585</v>
      </c>
      <c r="AM16" s="1144">
        <f t="shared" si="2"/>
        <v>62.437333984375016</v>
      </c>
      <c r="AN16" s="1144">
        <f t="shared" si="2"/>
        <v>32.65</v>
      </c>
      <c r="AO16" s="1144">
        <f t="shared" si="2"/>
        <v>35.383333333333333</v>
      </c>
      <c r="AP16" s="1145">
        <f t="shared" si="2"/>
        <v>42.35</v>
      </c>
      <c r="AQ16" s="1144">
        <f t="shared" ref="AQ16:AX16" si="9">IF(ISBLANK(AQ159),"",AQ159)</f>
        <v>73.199444871908256</v>
      </c>
      <c r="AR16" s="1144">
        <f t="shared" si="9"/>
        <v>31.598138616301913</v>
      </c>
      <c r="AS16" s="1144">
        <f t="shared" si="9"/>
        <v>36.852856695587477</v>
      </c>
      <c r="AT16" s="1145">
        <f t="shared" si="9"/>
        <v>38.566226482602346</v>
      </c>
      <c r="AU16" s="1144">
        <f t="shared" si="9"/>
        <v>73.199444871908256</v>
      </c>
      <c r="AV16" s="1144">
        <f t="shared" si="9"/>
        <v>31.598138616301913</v>
      </c>
      <c r="AW16" s="1144">
        <f t="shared" si="9"/>
        <v>36.852856695587477</v>
      </c>
      <c r="AX16" s="1145">
        <f t="shared" si="9"/>
        <v>38.566226482602346</v>
      </c>
      <c r="AY16" s="1144">
        <f t="shared" si="6"/>
        <v>73.361914739375962</v>
      </c>
      <c r="AZ16" s="1144">
        <f t="shared" si="6"/>
        <v>31.668272281962913</v>
      </c>
      <c r="BA16" s="1144">
        <f t="shared" si="6"/>
        <v>36.934653473604257</v>
      </c>
      <c r="BB16" s="1145">
        <f t="shared" si="6"/>
        <v>38.651826171456854</v>
      </c>
      <c r="BC16" s="954"/>
      <c r="BD16" s="954"/>
      <c r="BE16" s="1052">
        <f t="shared" ref="BE16:BE31" si="10">AVERAGE(G16:J16)</f>
        <v>56.354897651122755</v>
      </c>
      <c r="BF16" s="1052">
        <f t="shared" ref="BF16:BF31" si="11">AVERAGE(K16:N16)</f>
        <v>52.29420534164187</v>
      </c>
      <c r="BG16" s="1052">
        <f t="shared" ref="BG16:BG31" si="12">AVERAGE(O16:R16)</f>
        <v>41.276724175347226</v>
      </c>
      <c r="BH16" s="1058">
        <f t="shared" ref="BH16:BH31" si="13">AVERAGE(S16:V16)</f>
        <v>64.288402894035215</v>
      </c>
      <c r="BI16" s="1058">
        <f t="shared" ref="BI16:BI31" si="14">AVERAGE(W16:Z16)</f>
        <v>75.257741931733648</v>
      </c>
      <c r="BJ16" s="1058">
        <f t="shared" ref="BJ16:BJ31" si="15">AVERAGE(AA16:AD16)</f>
        <v>47.872763669490226</v>
      </c>
      <c r="BK16" s="1058">
        <f t="shared" ref="BK16:BK31" si="16">AVERAGE(AE16:AH16)</f>
        <v>34.984571668836807</v>
      </c>
      <c r="BL16" s="1058">
        <f t="shared" ref="BL16:BL31" si="17">AVERAGE(AI16:AL16)</f>
        <v>37.88564503503224</v>
      </c>
      <c r="BM16" s="1058">
        <f t="shared" ref="BM16:BM31" si="18">AVERAGE(AM16:AP16)</f>
        <v>43.205166829427085</v>
      </c>
      <c r="BN16" s="1058">
        <f t="shared" ref="BN16:BN31" si="19">AVERAGE(AQ16:AT16)</f>
        <v>45.054166666599997</v>
      </c>
      <c r="BO16" s="1058">
        <f>AVERAGE(AU16:AX16)</f>
        <v>45.054166666599997</v>
      </c>
      <c r="BP16" s="1058">
        <f t="shared" ref="BP16:BP31" si="20">AVERAGE(AY16:BB16)</f>
        <v>45.154166666599998</v>
      </c>
      <c r="BQ16" s="949"/>
      <c r="BR16" s="1062"/>
      <c r="BS16" s="1058"/>
      <c r="BU16" s="922"/>
      <c r="BV16" s="1060" t="s">
        <v>990</v>
      </c>
      <c r="BW16" s="242"/>
      <c r="BX16" s="242">
        <f>BP230</f>
        <v>13059.517736879347</v>
      </c>
      <c r="BY16" s="1061" t="s">
        <v>698</v>
      </c>
    </row>
    <row r="17" spans="1:77" ht="12.75" customHeight="1">
      <c r="A17" s="923"/>
      <c r="B17" s="924"/>
      <c r="C17" s="1122" t="s">
        <v>675</v>
      </c>
      <c r="D17" s="1122"/>
      <c r="E17" s="1127"/>
      <c r="F17" s="1128"/>
      <c r="G17" s="1140">
        <f t="shared" si="8"/>
        <v>38.230565476190485</v>
      </c>
      <c r="H17" s="1141">
        <f t="shared" si="8"/>
        <v>43.142958984374999</v>
      </c>
      <c r="I17" s="1141">
        <f t="shared" si="8"/>
        <v>53.878339843750005</v>
      </c>
      <c r="J17" s="1142">
        <f t="shared" si="8"/>
        <v>42.122894230769219</v>
      </c>
      <c r="K17" s="1140">
        <f t="shared" si="8"/>
        <v>40.630429687500012</v>
      </c>
      <c r="L17" s="1141">
        <f t="shared" si="8"/>
        <v>42.511806640624982</v>
      </c>
      <c r="M17" s="1141">
        <f t="shared" si="8"/>
        <v>47.368398437499991</v>
      </c>
      <c r="N17" s="1142">
        <f t="shared" si="8"/>
        <v>36.792847222222221</v>
      </c>
      <c r="O17" s="1140">
        <f t="shared" si="8"/>
        <v>30.628144531250001</v>
      </c>
      <c r="P17" s="1141">
        <f t="shared" si="8"/>
        <v>34.255439453125</v>
      </c>
      <c r="Q17" s="1141">
        <f t="shared" si="8"/>
        <v>41.418353174603176</v>
      </c>
      <c r="R17" s="1141">
        <f t="shared" si="8"/>
        <v>39.001152343749993</v>
      </c>
      <c r="S17" s="1140">
        <f t="shared" si="8"/>
        <v>45.623531746031745</v>
      </c>
      <c r="T17" s="1141">
        <f t="shared" si="8"/>
        <v>40.663671874999991</v>
      </c>
      <c r="U17" s="1141">
        <f t="shared" si="8"/>
        <v>53.937705078124999</v>
      </c>
      <c r="V17" s="1142">
        <f t="shared" si="8"/>
        <v>46.228017578124991</v>
      </c>
      <c r="W17" s="1141">
        <f t="shared" si="8"/>
        <v>105.87010912698416</v>
      </c>
      <c r="X17" s="1141">
        <f t="shared" si="8"/>
        <v>44.886210937499996</v>
      </c>
      <c r="Y17" s="1141">
        <f t="shared" si="8"/>
        <v>43.024843750000009</v>
      </c>
      <c r="Z17" s="1142">
        <f t="shared" si="8"/>
        <v>39.284560546874999</v>
      </c>
      <c r="AA17" s="1141">
        <f t="shared" si="7"/>
        <v>53.16058531746031</v>
      </c>
      <c r="AB17" s="1141">
        <f t="shared" si="7"/>
        <v>38.357529296875022</v>
      </c>
      <c r="AC17" s="1141">
        <f t="shared" si="7"/>
        <v>40.580288461538458</v>
      </c>
      <c r="AD17" s="1142">
        <f t="shared" si="7"/>
        <v>34.609042968749996</v>
      </c>
      <c r="AE17" s="1144">
        <f t="shared" si="8"/>
        <v>30.752001953124992</v>
      </c>
      <c r="AF17" s="1144">
        <f t="shared" si="8"/>
        <v>35.769550781249997</v>
      </c>
      <c r="AG17" s="1144">
        <f t="shared" si="8"/>
        <v>46.082998046874998</v>
      </c>
      <c r="AH17" s="1145">
        <f t="shared" si="8"/>
        <v>27.32274801587301</v>
      </c>
      <c r="AI17" s="1144">
        <f t="shared" si="8"/>
        <v>27.648046875000006</v>
      </c>
      <c r="AJ17" s="1144">
        <f t="shared" si="8"/>
        <v>33.630214843749989</v>
      </c>
      <c r="AK17" s="1144">
        <f t="shared" si="8"/>
        <v>34.760575396825409</v>
      </c>
      <c r="AL17" s="1145">
        <f t="shared" si="8"/>
        <v>35.233521825396821</v>
      </c>
      <c r="AM17" s="1144">
        <f t="shared" si="2"/>
        <v>36.453183593749991</v>
      </c>
      <c r="AN17" s="1144">
        <f t="shared" si="2"/>
        <v>37.466666666666661</v>
      </c>
      <c r="AO17" s="1144">
        <f t="shared" si="2"/>
        <v>33.733333333333327</v>
      </c>
      <c r="AP17" s="1145">
        <f t="shared" si="2"/>
        <v>37.766666666666666</v>
      </c>
      <c r="AQ17" s="1144">
        <f t="shared" ref="AQ17:AX17" si="21">IF(ISBLANK(AQ160),"",AQ160)</f>
        <v>52.984877086683952</v>
      </c>
      <c r="AR17" s="1144">
        <f t="shared" si="21"/>
        <v>34.892480032694301</v>
      </c>
      <c r="AS17" s="1144">
        <f t="shared" si="21"/>
        <v>31.661694844481872</v>
      </c>
      <c r="AT17" s="1145">
        <f t="shared" si="21"/>
        <v>28.460948036139868</v>
      </c>
      <c r="AU17" s="1144">
        <f t="shared" si="21"/>
        <v>52.579137036825585</v>
      </c>
      <c r="AV17" s="1144">
        <f t="shared" si="21"/>
        <v>34.625285365714404</v>
      </c>
      <c r="AW17" s="1144">
        <f t="shared" si="21"/>
        <v>31.419240424444556</v>
      </c>
      <c r="AX17" s="1145">
        <f t="shared" si="21"/>
        <v>28.243003839415444</v>
      </c>
      <c r="AY17" s="1144">
        <f t="shared" si="6"/>
        <v>52.937142963086963</v>
      </c>
      <c r="AZ17" s="1144">
        <f t="shared" si="6"/>
        <v>34.861045365935311</v>
      </c>
      <c r="BA17" s="1144">
        <f t="shared" si="6"/>
        <v>31.633170795015378</v>
      </c>
      <c r="BB17" s="1145">
        <f t="shared" si="6"/>
        <v>28.435307542362334</v>
      </c>
      <c r="BC17" s="954"/>
      <c r="BD17" s="954"/>
      <c r="BE17" s="1052">
        <f t="shared" si="10"/>
        <v>44.343689633771177</v>
      </c>
      <c r="BF17" s="1052">
        <f t="shared" si="11"/>
        <v>41.825870496961798</v>
      </c>
      <c r="BG17" s="1052">
        <f t="shared" si="12"/>
        <v>36.325772375682043</v>
      </c>
      <c r="BH17" s="1058">
        <f t="shared" si="13"/>
        <v>46.613231569320433</v>
      </c>
      <c r="BI17" s="1058">
        <f t="shared" si="14"/>
        <v>58.266431090339793</v>
      </c>
      <c r="BJ17" s="1058">
        <f t="shared" si="15"/>
        <v>41.676861511155948</v>
      </c>
      <c r="BK17" s="1058">
        <f t="shared" si="16"/>
        <v>34.98182469928075</v>
      </c>
      <c r="BL17" s="1058">
        <f t="shared" si="17"/>
        <v>32.818089735243056</v>
      </c>
      <c r="BM17" s="1058">
        <f t="shared" si="18"/>
        <v>36.354962565104159</v>
      </c>
      <c r="BN17" s="1058">
        <f t="shared" si="19"/>
        <v>37</v>
      </c>
      <c r="BO17" s="1058">
        <f t="shared" ref="BO17:BO31" si="22">AVERAGE(AU17:AX17)</f>
        <v>36.716666666599998</v>
      </c>
      <c r="BP17" s="1058">
        <f t="shared" si="20"/>
        <v>36.966666666599998</v>
      </c>
      <c r="BQ17" s="949"/>
      <c r="BR17" s="1062"/>
      <c r="BS17" s="1058"/>
      <c r="BU17" s="922"/>
      <c r="BV17" s="1110" t="s">
        <v>1109</v>
      </c>
      <c r="BW17" s="1063"/>
      <c r="BX17" s="1063">
        <f>BX15-BX16+BY101</f>
        <v>1864.6622680732653</v>
      </c>
      <c r="BY17" s="1064" t="s">
        <v>698</v>
      </c>
    </row>
    <row r="18" spans="1:77" ht="12.75" customHeight="1">
      <c r="A18" s="923"/>
      <c r="B18" s="924"/>
      <c r="C18" s="1122" t="s">
        <v>676</v>
      </c>
      <c r="D18" s="1122"/>
      <c r="E18" s="1127"/>
      <c r="F18" s="1128"/>
      <c r="G18" s="1140">
        <f t="shared" si="8"/>
        <v>55.40223214285713</v>
      </c>
      <c r="H18" s="1141">
        <f t="shared" si="8"/>
        <v>55.080830078125018</v>
      </c>
      <c r="I18" s="1141">
        <f t="shared" si="8"/>
        <v>72.568281249999998</v>
      </c>
      <c r="J18" s="1142">
        <f t="shared" si="8"/>
        <v>55.060048076923088</v>
      </c>
      <c r="K18" s="1140">
        <f t="shared" si="8"/>
        <v>61.319755859375</v>
      </c>
      <c r="L18" s="1141">
        <f t="shared" si="8"/>
        <v>56.261513671875008</v>
      </c>
      <c r="M18" s="1141">
        <f t="shared" si="8"/>
        <v>64.744736328125001</v>
      </c>
      <c r="N18" s="1142">
        <f t="shared" si="8"/>
        <v>42.035863095238099</v>
      </c>
      <c r="O18" s="1140">
        <f t="shared" si="8"/>
        <v>35.479599609374993</v>
      </c>
      <c r="P18" s="1141">
        <f t="shared" si="8"/>
        <v>42.463750000000005</v>
      </c>
      <c r="Q18" s="1141">
        <f t="shared" si="8"/>
        <v>49.926091269841251</v>
      </c>
      <c r="R18" s="1141">
        <f t="shared" si="8"/>
        <v>46.815820312500001</v>
      </c>
      <c r="S18" s="1140">
        <f t="shared" si="8"/>
        <v>71.969464285714295</v>
      </c>
      <c r="T18" s="1141">
        <f t="shared" si="8"/>
        <v>47.40742187499999</v>
      </c>
      <c r="U18" s="1141">
        <f t="shared" si="8"/>
        <v>63.43471679687498</v>
      </c>
      <c r="V18" s="1142">
        <f t="shared" si="8"/>
        <v>49.675136718749997</v>
      </c>
      <c r="W18" s="1141">
        <f t="shared" si="8"/>
        <v>145.08544642857149</v>
      </c>
      <c r="X18" s="1141">
        <f t="shared" si="8"/>
        <v>45.55554687499999</v>
      </c>
      <c r="Y18" s="1141">
        <f t="shared" si="8"/>
        <v>40.321435546875001</v>
      </c>
      <c r="Z18" s="1142">
        <f t="shared" si="8"/>
        <v>42.091767578124994</v>
      </c>
      <c r="AA18" s="1141">
        <f t="shared" si="7"/>
        <v>77.999513888888885</v>
      </c>
      <c r="AB18" s="1141">
        <f t="shared" si="7"/>
        <v>32.442470703124989</v>
      </c>
      <c r="AC18" s="1141">
        <f t="shared" si="7"/>
        <v>38.379144230769235</v>
      </c>
      <c r="AD18" s="1142">
        <f t="shared" si="7"/>
        <v>27.262890625000001</v>
      </c>
      <c r="AE18" s="1144">
        <f t="shared" si="8"/>
        <v>30.82033203124999</v>
      </c>
      <c r="AF18" s="1144">
        <f t="shared" si="8"/>
        <v>28.172070312500008</v>
      </c>
      <c r="AG18" s="1144">
        <f t="shared" si="8"/>
        <v>39.596083984375014</v>
      </c>
      <c r="AH18" s="1145">
        <f t="shared" si="8"/>
        <v>34.996567460317451</v>
      </c>
      <c r="AI18" s="1144">
        <f t="shared" si="8"/>
        <v>34.973046875000001</v>
      </c>
      <c r="AJ18" s="1144">
        <f t="shared" si="8"/>
        <v>33.375703125000008</v>
      </c>
      <c r="AK18" s="1144">
        <f t="shared" si="8"/>
        <v>32.778422619047618</v>
      </c>
      <c r="AL18" s="1145">
        <f t="shared" si="8"/>
        <v>41.835218253968264</v>
      </c>
      <c r="AM18" s="1144">
        <f t="shared" si="2"/>
        <v>50.315361328125007</v>
      </c>
      <c r="AN18" s="1144">
        <f t="shared" si="2"/>
        <v>37.133333333333333</v>
      </c>
      <c r="AO18" s="1144">
        <f t="shared" si="2"/>
        <v>29.216666666666669</v>
      </c>
      <c r="AP18" s="1145">
        <f t="shared" si="2"/>
        <v>41.81666666666667</v>
      </c>
      <c r="AQ18" s="1144">
        <f t="shared" ref="AQ18:AX18" si="23">IF(ISBLANK(AQ161),"",AQ161)</f>
        <v>72.206176601284838</v>
      </c>
      <c r="AR18" s="1144">
        <f t="shared" si="23"/>
        <v>35.335679660435538</v>
      </c>
      <c r="AS18" s="1144">
        <f t="shared" si="23"/>
        <v>28.167385316684786</v>
      </c>
      <c r="AT18" s="1145">
        <f t="shared" si="23"/>
        <v>29.507425087994822</v>
      </c>
      <c r="AU18" s="1144">
        <f t="shared" si="23"/>
        <v>73.276922890037596</v>
      </c>
      <c r="AV18" s="1144">
        <f t="shared" si="23"/>
        <v>35.859672892564298</v>
      </c>
      <c r="AW18" s="1144">
        <f t="shared" si="23"/>
        <v>28.585079823046065</v>
      </c>
      <c r="AX18" s="1145">
        <f t="shared" si="23"/>
        <v>29.944991060752034</v>
      </c>
      <c r="AY18" s="1144">
        <f t="shared" si="6"/>
        <v>73.888777912182022</v>
      </c>
      <c r="AZ18" s="1144">
        <f t="shared" si="6"/>
        <v>36.159097596637878</v>
      </c>
      <c r="BA18" s="1144">
        <f t="shared" si="6"/>
        <v>28.823762398109654</v>
      </c>
      <c r="BB18" s="1145">
        <f t="shared" si="6"/>
        <v>30.195028759470443</v>
      </c>
      <c r="BC18" s="954"/>
      <c r="BD18" s="954"/>
      <c r="BE18" s="1052">
        <f t="shared" si="10"/>
        <v>59.527847886976311</v>
      </c>
      <c r="BF18" s="1052">
        <f t="shared" si="11"/>
        <v>56.090467238653275</v>
      </c>
      <c r="BG18" s="1052">
        <f t="shared" si="12"/>
        <v>43.671315297929063</v>
      </c>
      <c r="BH18" s="1058">
        <f t="shared" si="13"/>
        <v>58.121684919084821</v>
      </c>
      <c r="BI18" s="1058">
        <f t="shared" si="14"/>
        <v>68.263549107142865</v>
      </c>
      <c r="BJ18" s="1058">
        <f t="shared" si="15"/>
        <v>44.021004861945784</v>
      </c>
      <c r="BK18" s="1058">
        <f t="shared" si="16"/>
        <v>33.396263447110613</v>
      </c>
      <c r="BL18" s="1058">
        <f t="shared" si="17"/>
        <v>35.740597718253973</v>
      </c>
      <c r="BM18" s="1058">
        <f t="shared" si="18"/>
        <v>39.62050699869792</v>
      </c>
      <c r="BN18" s="1058">
        <f t="shared" si="19"/>
        <v>41.304166666599997</v>
      </c>
      <c r="BO18" s="1058">
        <f t="shared" si="22"/>
        <v>41.916666666600001</v>
      </c>
      <c r="BP18" s="1058">
        <f t="shared" si="20"/>
        <v>42.266666666599995</v>
      </c>
      <c r="BQ18" s="949"/>
      <c r="BR18" s="1062"/>
      <c r="BS18" s="1058"/>
      <c r="BU18" s="922"/>
      <c r="BV18" s="1100"/>
      <c r="BW18" s="949"/>
      <c r="BX18" s="949"/>
      <c r="BY18" s="1101"/>
    </row>
    <row r="19" spans="1:77" ht="12.75" customHeight="1">
      <c r="A19" s="923"/>
      <c r="B19" s="924"/>
      <c r="C19" s="1129" t="s">
        <v>677</v>
      </c>
      <c r="D19" s="1122"/>
      <c r="E19" s="1127"/>
      <c r="F19" s="1128"/>
      <c r="G19" s="1140">
        <f t="shared" si="8"/>
        <v>60.907093253968256</v>
      </c>
      <c r="H19" s="1141">
        <f t="shared" si="8"/>
        <v>64.299941406249999</v>
      </c>
      <c r="I19" s="1141">
        <f t="shared" si="8"/>
        <v>80.573457031249987</v>
      </c>
      <c r="J19" s="1142">
        <f t="shared" si="8"/>
        <v>59.753067307692298</v>
      </c>
      <c r="K19" s="1140">
        <f t="shared" si="8"/>
        <v>70.866767578124993</v>
      </c>
      <c r="L19" s="1141">
        <f t="shared" si="8"/>
        <v>61.81411132812498</v>
      </c>
      <c r="M19" s="1141">
        <f t="shared" si="8"/>
        <v>68.602324218750013</v>
      </c>
      <c r="N19" s="1142">
        <f t="shared" si="8"/>
        <v>45.84968253968254</v>
      </c>
      <c r="O19" s="1140">
        <f t="shared" si="8"/>
        <v>40.598867187499984</v>
      </c>
      <c r="P19" s="1141">
        <f t="shared" si="8"/>
        <v>44.787695312499999</v>
      </c>
      <c r="Q19" s="1141">
        <f t="shared" si="8"/>
        <v>52.449682539682534</v>
      </c>
      <c r="R19" s="1141">
        <f t="shared" si="8"/>
        <v>48.760292968750008</v>
      </c>
      <c r="S19" s="1140">
        <f t="shared" si="8"/>
        <v>82.751825396825382</v>
      </c>
      <c r="T19" s="1141">
        <f t="shared" si="8"/>
        <v>51.984208984375009</v>
      </c>
      <c r="U19" s="1141">
        <f t="shared" si="8"/>
        <v>67.099775390625013</v>
      </c>
      <c r="V19" s="1142">
        <f t="shared" si="8"/>
        <v>50.633037109375017</v>
      </c>
      <c r="W19" s="1141">
        <f t="shared" si="8"/>
        <v>156.84135912698406</v>
      </c>
      <c r="X19" s="1141">
        <f t="shared" si="8"/>
        <v>47.093769531249976</v>
      </c>
      <c r="Y19" s="1141">
        <f t="shared" si="8"/>
        <v>41.267587890624995</v>
      </c>
      <c r="Z19" s="1142">
        <f t="shared" si="8"/>
        <v>42.321269531250003</v>
      </c>
      <c r="AA19" s="1141">
        <f t="shared" si="7"/>
        <v>80.378015873015883</v>
      </c>
      <c r="AB19" s="1141">
        <f t="shared" si="7"/>
        <v>34.555751953125004</v>
      </c>
      <c r="AC19" s="1141">
        <f t="shared" si="7"/>
        <v>41.128067307692319</v>
      </c>
      <c r="AD19" s="1142">
        <f t="shared" si="7"/>
        <v>28.156972656249998</v>
      </c>
      <c r="AE19" s="1144">
        <f t="shared" si="8"/>
        <v>32.810527343750003</v>
      </c>
      <c r="AF19" s="1144">
        <f t="shared" si="8"/>
        <v>29.281435546875006</v>
      </c>
      <c r="AG19" s="1144">
        <f t="shared" si="8"/>
        <v>42.594873046874994</v>
      </c>
      <c r="AH19" s="1145">
        <f t="shared" si="8"/>
        <v>35.888214285714291</v>
      </c>
      <c r="AI19" s="1144">
        <f t="shared" si="8"/>
        <v>35.824277343750005</v>
      </c>
      <c r="AJ19" s="1144">
        <f t="shared" si="8"/>
        <v>38.990224609374998</v>
      </c>
      <c r="AK19" s="1144">
        <f t="shared" si="8"/>
        <v>35.719781746031757</v>
      </c>
      <c r="AL19" s="1145">
        <f t="shared" si="8"/>
        <v>42.862331349206364</v>
      </c>
      <c r="AM19" s="1144">
        <f t="shared" si="2"/>
        <v>61.037626953124992</v>
      </c>
      <c r="AN19" s="1144">
        <f t="shared" si="2"/>
        <v>41.31666666666667</v>
      </c>
      <c r="AO19" s="1144">
        <f t="shared" si="2"/>
        <v>34.133333333333333</v>
      </c>
      <c r="AP19" s="1145">
        <f t="shared" si="2"/>
        <v>45.383333333333333</v>
      </c>
      <c r="AQ19" s="1144">
        <f t="shared" ref="AQ19:AX19" si="24">IF(ISBLANK(AQ162),"",AQ162)</f>
        <v>76.012753062656998</v>
      </c>
      <c r="AR19" s="1144">
        <f t="shared" si="24"/>
        <v>38.217946206964925</v>
      </c>
      <c r="AS19" s="1144">
        <f t="shared" si="24"/>
        <v>32.581730048010407</v>
      </c>
      <c r="AT19" s="1145">
        <f t="shared" si="24"/>
        <v>37.154237348767644</v>
      </c>
      <c r="AU19" s="1144">
        <f t="shared" si="24"/>
        <v>77.355612896616023</v>
      </c>
      <c r="AV19" s="1144">
        <f t="shared" si="24"/>
        <v>38.893113765432851</v>
      </c>
      <c r="AW19" s="1144">
        <f t="shared" si="24"/>
        <v>33.157326837226861</v>
      </c>
      <c r="AX19" s="1145">
        <f t="shared" si="24"/>
        <v>37.810613167124252</v>
      </c>
      <c r="AY19" s="1144">
        <f t="shared" si="6"/>
        <v>78.264625707295977</v>
      </c>
      <c r="AZ19" s="1144">
        <f t="shared" si="6"/>
        <v>39.350150266549605</v>
      </c>
      <c r="BA19" s="1144">
        <f t="shared" si="6"/>
        <v>33.546961586850315</v>
      </c>
      <c r="BB19" s="1145">
        <f t="shared" si="6"/>
        <v>38.254929105704107</v>
      </c>
      <c r="BC19" s="954"/>
      <c r="BD19" s="954"/>
      <c r="BE19" s="1052">
        <f t="shared" si="10"/>
        <v>66.383389749790126</v>
      </c>
      <c r="BF19" s="1052">
        <f t="shared" si="11"/>
        <v>61.783221416170633</v>
      </c>
      <c r="BG19" s="1052">
        <f t="shared" si="12"/>
        <v>46.649134502108133</v>
      </c>
      <c r="BH19" s="1058">
        <f t="shared" si="13"/>
        <v>63.117211720300105</v>
      </c>
      <c r="BI19" s="1058">
        <f t="shared" si="14"/>
        <v>71.880996520027253</v>
      </c>
      <c r="BJ19" s="1058">
        <f t="shared" si="15"/>
        <v>46.054701947520797</v>
      </c>
      <c r="BK19" s="1058">
        <f t="shared" si="16"/>
        <v>35.143762555803576</v>
      </c>
      <c r="BL19" s="1058">
        <f t="shared" si="17"/>
        <v>38.349153762090779</v>
      </c>
      <c r="BM19" s="1058">
        <f t="shared" si="18"/>
        <v>45.467740071614578</v>
      </c>
      <c r="BN19" s="1058">
        <f t="shared" si="19"/>
        <v>45.991666666599997</v>
      </c>
      <c r="BO19" s="1058">
        <f t="shared" si="22"/>
        <v>46.804166666599997</v>
      </c>
      <c r="BP19" s="1058">
        <f t="shared" si="20"/>
        <v>47.354166666599994</v>
      </c>
      <c r="BQ19" s="949"/>
      <c r="BR19" s="1062"/>
      <c r="BS19" s="1058"/>
      <c r="BU19" s="922"/>
      <c r="BV19" s="1102" t="s">
        <v>395</v>
      </c>
      <c r="BW19" s="1103"/>
      <c r="BX19" s="1104">
        <f>BX17*BW9*8.76*0.48/365</f>
        <v>59.63771707925941</v>
      </c>
      <c r="BY19" s="1105" t="s">
        <v>396</v>
      </c>
    </row>
    <row r="20" spans="1:77" ht="12.75" customHeight="1">
      <c r="A20" s="923"/>
      <c r="B20" s="924"/>
      <c r="C20" s="1129" t="s">
        <v>678</v>
      </c>
      <c r="D20" s="1129"/>
      <c r="E20" s="1127"/>
      <c r="F20" s="1128"/>
      <c r="G20" s="1140">
        <f t="shared" si="8"/>
        <v>48.020902807539699</v>
      </c>
      <c r="H20" s="1141">
        <f t="shared" si="8"/>
        <v>51.584562626953129</v>
      </c>
      <c r="I20" s="1141">
        <f t="shared" si="8"/>
        <v>66.121800654296877</v>
      </c>
      <c r="J20" s="1142">
        <f t="shared" si="8"/>
        <v>49.490597307692312</v>
      </c>
      <c r="K20" s="1140">
        <f t="shared" si="8"/>
        <v>50.059908115234371</v>
      </c>
      <c r="L20" s="1141">
        <f t="shared" si="8"/>
        <v>59.78809870117189</v>
      </c>
      <c r="M20" s="1141">
        <f t="shared" si="8"/>
        <v>57.162939843749975</v>
      </c>
      <c r="N20" s="1142">
        <f t="shared" si="8"/>
        <v>39.320604523809529</v>
      </c>
      <c r="O20" s="1140">
        <f t="shared" si="8"/>
        <v>34.398327744140623</v>
      </c>
      <c r="P20" s="1141">
        <f t="shared" si="8"/>
        <v>38.54343235351562</v>
      </c>
      <c r="Q20" s="1141">
        <f t="shared" si="8"/>
        <v>48.952091091269828</v>
      </c>
      <c r="R20" s="1141">
        <f t="shared" si="8"/>
        <v>41.477144667968737</v>
      </c>
      <c r="S20" s="1140">
        <f t="shared" si="8"/>
        <v>41.997815863095234</v>
      </c>
      <c r="T20" s="1141">
        <f t="shared" si="8"/>
        <v>45.530304316406237</v>
      </c>
      <c r="U20" s="1141">
        <f t="shared" si="8"/>
        <v>48.136464199218764</v>
      </c>
      <c r="V20" s="1142">
        <f t="shared" si="8"/>
        <v>40.193486718750002</v>
      </c>
      <c r="W20" s="1141">
        <f t="shared" si="8"/>
        <v>113.57858770833333</v>
      </c>
      <c r="X20" s="1141">
        <f t="shared" si="8"/>
        <v>50.488559589843774</v>
      </c>
      <c r="Y20" s="1141">
        <f t="shared" si="8"/>
        <v>41.389708935546885</v>
      </c>
      <c r="Z20" s="1142">
        <f t="shared" si="8"/>
        <v>40.371172851562484</v>
      </c>
      <c r="AA20" s="1141">
        <f t="shared" si="7"/>
        <v>56.866776517857168</v>
      </c>
      <c r="AB20" s="1141">
        <f t="shared" si="7"/>
        <v>39.147263818359377</v>
      </c>
      <c r="AC20" s="1141">
        <f t="shared" si="7"/>
        <v>39.464831807692299</v>
      </c>
      <c r="AD20" s="1142">
        <f t="shared" si="7"/>
        <v>31.895178447265625</v>
      </c>
      <c r="AE20" s="1144">
        <f t="shared" si="8"/>
        <v>30.103148642578116</v>
      </c>
      <c r="AF20" s="1144">
        <f t="shared" si="8"/>
        <v>32.701806339843749</v>
      </c>
      <c r="AG20" s="1144">
        <f t="shared" si="8"/>
        <v>38.936782353515625</v>
      </c>
      <c r="AH20" s="1145">
        <f t="shared" si="8"/>
        <v>33.269796091269853</v>
      </c>
      <c r="AI20" s="1144">
        <f t="shared" si="8"/>
        <v>32.144072138671881</v>
      </c>
      <c r="AJ20" s="1144">
        <f t="shared" si="8"/>
        <v>32.803312458984372</v>
      </c>
      <c r="AK20" s="1144">
        <f t="shared" si="8"/>
        <v>35.491018034722238</v>
      </c>
      <c r="AL20" s="1145">
        <f t="shared" si="8"/>
        <v>37.447859950396833</v>
      </c>
      <c r="AM20" s="1144">
        <f t="shared" si="2"/>
        <v>48.149713212890617</v>
      </c>
      <c r="AN20" s="1144">
        <f t="shared" si="2"/>
        <v>34.5</v>
      </c>
      <c r="AO20" s="1144">
        <f t="shared" si="2"/>
        <v>36.9</v>
      </c>
      <c r="AP20" s="1145">
        <f t="shared" si="2"/>
        <v>34.68333333333333</v>
      </c>
      <c r="AQ20" s="1144">
        <f t="shared" ref="AQ20:AX20" si="25">IF(ISBLANK(AQ163),"",AQ163)</f>
        <v>40.501333218824747</v>
      </c>
      <c r="AR20" s="1144">
        <f t="shared" si="25"/>
        <v>29.678493986239484</v>
      </c>
      <c r="AS20" s="1144">
        <f t="shared" si="25"/>
        <v>32.100602483050345</v>
      </c>
      <c r="AT20" s="1145">
        <f t="shared" si="25"/>
        <v>39.002903645085446</v>
      </c>
      <c r="AU20" s="1144">
        <f t="shared" si="25"/>
        <v>40.405777401430235</v>
      </c>
      <c r="AV20" s="1144">
        <f t="shared" si="25"/>
        <v>29.608472766528742</v>
      </c>
      <c r="AW20" s="1144">
        <f t="shared" si="25"/>
        <v>32.024866721648337</v>
      </c>
      <c r="AX20" s="1145">
        <f t="shared" si="25"/>
        <v>38.910883110392696</v>
      </c>
      <c r="AY20" s="1489">
        <f t="shared" ref="AY20:BB24" si="26">IF(ISBLANK(AY163),"",IF(Uplift="Yes",AY82/1000*(AY57+AY$8),AY163))</f>
        <v>39.428873693835754</v>
      </c>
      <c r="AZ20" s="1489">
        <f t="shared" si="26"/>
        <v>34.116794013961901</v>
      </c>
      <c r="BA20" s="1489">
        <f t="shared" si="26"/>
        <v>34.614801483950075</v>
      </c>
      <c r="BB20" s="1154">
        <f t="shared" si="26"/>
        <v>41.06825080825223</v>
      </c>
      <c r="BC20" s="954"/>
      <c r="BD20" s="954"/>
      <c r="BE20" s="1052">
        <f t="shared" si="10"/>
        <v>53.804465849120504</v>
      </c>
      <c r="BF20" s="1052">
        <f t="shared" si="11"/>
        <v>51.582887795991439</v>
      </c>
      <c r="BG20" s="1052">
        <f t="shared" si="12"/>
        <v>40.842748964223702</v>
      </c>
      <c r="BH20" s="1058">
        <f t="shared" si="13"/>
        <v>43.964517774367557</v>
      </c>
      <c r="BI20" s="1058">
        <f t="shared" si="14"/>
        <v>61.457007271321615</v>
      </c>
      <c r="BJ20" s="1058">
        <f t="shared" si="15"/>
        <v>41.843512647793617</v>
      </c>
      <c r="BK20" s="1058">
        <f t="shared" si="16"/>
        <v>33.752883356801831</v>
      </c>
      <c r="BL20" s="1058">
        <f t="shared" si="17"/>
        <v>34.471565645693829</v>
      </c>
      <c r="BM20" s="1058">
        <f t="shared" si="18"/>
        <v>38.55826163655599</v>
      </c>
      <c r="BN20" s="1058">
        <f t="shared" si="19"/>
        <v>35.320833333300001</v>
      </c>
      <c r="BO20" s="1058">
        <f t="shared" si="22"/>
        <v>35.237500000000004</v>
      </c>
      <c r="BP20" s="1058">
        <f>AVERAGE(AY20:BB20)</f>
        <v>37.307179999999988</v>
      </c>
      <c r="BQ20" s="965"/>
      <c r="BR20" s="1062"/>
      <c r="BS20" s="1058"/>
      <c r="BU20" s="922"/>
    </row>
    <row r="21" spans="1:77" ht="12.75" customHeight="1">
      <c r="A21" s="923"/>
      <c r="B21" s="924"/>
      <c r="C21" s="1129" t="s">
        <v>601</v>
      </c>
      <c r="D21" s="1129"/>
      <c r="E21" s="1127"/>
      <c r="F21" s="1128"/>
      <c r="G21" s="1140">
        <f t="shared" si="8"/>
        <v>52.409421755952401</v>
      </c>
      <c r="H21" s="1141">
        <f t="shared" si="8"/>
        <v>56.777662714843743</v>
      </c>
      <c r="I21" s="1141">
        <f t="shared" si="8"/>
        <v>79.80542767578126</v>
      </c>
      <c r="J21" s="1142">
        <f t="shared" si="8"/>
        <v>53.380955625000034</v>
      </c>
      <c r="K21" s="1140">
        <f t="shared" si="8"/>
        <v>56.349727597656255</v>
      </c>
      <c r="L21" s="1141">
        <f t="shared" si="8"/>
        <v>65.570403749999997</v>
      </c>
      <c r="M21" s="1141">
        <f t="shared" si="8"/>
        <v>66.498248447265624</v>
      </c>
      <c r="N21" s="1142">
        <f t="shared" si="8"/>
        <v>40.979681686507909</v>
      </c>
      <c r="O21" s="1140">
        <f t="shared" si="8"/>
        <v>38.512803037109371</v>
      </c>
      <c r="P21" s="1141">
        <f t="shared" si="8"/>
        <v>36.974501874023439</v>
      </c>
      <c r="Q21" s="1141">
        <f t="shared" si="8"/>
        <v>55.885414017857158</v>
      </c>
      <c r="R21" s="1141">
        <f t="shared" si="8"/>
        <v>46.126044788085935</v>
      </c>
      <c r="S21" s="1140">
        <f t="shared" si="8"/>
        <v>42.607887670634931</v>
      </c>
      <c r="T21" s="1141">
        <f t="shared" si="8"/>
        <v>47.166300820312507</v>
      </c>
      <c r="U21" s="1141">
        <f t="shared" si="8"/>
        <v>55.200128388671871</v>
      </c>
      <c r="V21" s="1142">
        <f t="shared" si="8"/>
        <v>42.192332373046867</v>
      </c>
      <c r="W21" s="1141">
        <f t="shared" si="8"/>
        <v>132.34547472222224</v>
      </c>
      <c r="X21" s="1141">
        <f t="shared" si="8"/>
        <v>53.88701666992187</v>
      </c>
      <c r="Y21" s="1141">
        <f t="shared" si="8"/>
        <v>45.337472450195328</v>
      </c>
      <c r="Z21" s="1142">
        <f t="shared" si="8"/>
        <v>49.12051941503907</v>
      </c>
      <c r="AA21" s="1141">
        <f t="shared" si="7"/>
        <v>67.284598143849209</v>
      </c>
      <c r="AB21" s="1141">
        <f t="shared" si="7"/>
        <v>36.819058058593754</v>
      </c>
      <c r="AC21" s="1141">
        <f t="shared" si="7"/>
        <v>39.89850856153847</v>
      </c>
      <c r="AD21" s="1142">
        <f t="shared" si="7"/>
        <v>30.041686161132823</v>
      </c>
      <c r="AE21" s="1144">
        <f t="shared" si="8"/>
        <v>31.266320479492187</v>
      </c>
      <c r="AF21" s="1144">
        <f t="shared" si="8"/>
        <v>28.707086242187497</v>
      </c>
      <c r="AG21" s="1144">
        <f t="shared" si="8"/>
        <v>40.605906624023433</v>
      </c>
      <c r="AH21" s="1145">
        <f t="shared" si="8"/>
        <v>28.828253920634918</v>
      </c>
      <c r="AI21" s="1144">
        <f t="shared" si="8"/>
        <v>33.256564817382809</v>
      </c>
      <c r="AJ21" s="1144">
        <f t="shared" si="8"/>
        <v>32.387231337890618</v>
      </c>
      <c r="AK21" s="1144">
        <f t="shared" si="8"/>
        <v>34.354411583333331</v>
      </c>
      <c r="AL21" s="1145">
        <f t="shared" si="8"/>
        <v>39.044797251984129</v>
      </c>
      <c r="AM21" s="1144">
        <f t="shared" si="2"/>
        <v>49.504310380859373</v>
      </c>
      <c r="AN21" s="1144">
        <f t="shared" si="2"/>
        <v>34.371333333333332</v>
      </c>
      <c r="AO21" s="1144">
        <f t="shared" si="2"/>
        <v>38.062833333333337</v>
      </c>
      <c r="AP21" s="1145">
        <f t="shared" si="2"/>
        <v>34.614333333333327</v>
      </c>
      <c r="AQ21" s="1144">
        <f t="shared" ref="AQ21:AX21" si="27">IF(ISBLANK(AQ164),"",AQ164)</f>
        <v>46.510944725679025</v>
      </c>
      <c r="AR21" s="1144">
        <f t="shared" si="27"/>
        <v>30.296280173373429</v>
      </c>
      <c r="AS21" s="1144">
        <f t="shared" si="27"/>
        <v>33.947384063861342</v>
      </c>
      <c r="AT21" s="1145">
        <f t="shared" si="27"/>
        <v>36.41005770348621</v>
      </c>
      <c r="AU21" s="1144">
        <f t="shared" si="27"/>
        <v>46.479340030218317</v>
      </c>
      <c r="AV21" s="1144">
        <f t="shared" si="27"/>
        <v>30.275693519756327</v>
      </c>
      <c r="AW21" s="1144">
        <f t="shared" si="27"/>
        <v>33.924316445231923</v>
      </c>
      <c r="AX21" s="1145">
        <f t="shared" si="27"/>
        <v>36.385316671193436</v>
      </c>
      <c r="AY21" s="1489">
        <f t="shared" si="26"/>
        <v>39.672747413809603</v>
      </c>
      <c r="AZ21" s="1489">
        <f t="shared" si="26"/>
        <v>34.327811694415381</v>
      </c>
      <c r="BA21" s="1489">
        <f t="shared" si="26"/>
        <v>34.828899418108591</v>
      </c>
      <c r="BB21" s="1154">
        <f t="shared" si="26"/>
        <v>41.322264330809269</v>
      </c>
      <c r="BC21" s="954"/>
      <c r="BD21" s="954"/>
      <c r="BE21" s="1052">
        <f t="shared" si="10"/>
        <v>60.593366942894363</v>
      </c>
      <c r="BF21" s="1052">
        <f t="shared" si="11"/>
        <v>57.349515370357445</v>
      </c>
      <c r="BG21" s="1052">
        <f t="shared" si="12"/>
        <v>44.374690929268979</v>
      </c>
      <c r="BH21" s="1058">
        <f t="shared" si="13"/>
        <v>46.791662313166547</v>
      </c>
      <c r="BI21" s="1058">
        <f t="shared" si="14"/>
        <v>70.172620814344626</v>
      </c>
      <c r="BJ21" s="1058">
        <f t="shared" si="15"/>
        <v>43.510962731278561</v>
      </c>
      <c r="BK21" s="1058">
        <f t="shared" si="16"/>
        <v>32.351891816584505</v>
      </c>
      <c r="BL21" s="1058">
        <f t="shared" si="17"/>
        <v>34.760751247647725</v>
      </c>
      <c r="BM21" s="1058">
        <f t="shared" si="18"/>
        <v>39.138202595214842</v>
      </c>
      <c r="BN21" s="1058">
        <f t="shared" si="19"/>
        <v>36.791166666600006</v>
      </c>
      <c r="BO21" s="1058">
        <f t="shared" si="22"/>
        <v>36.7661666666</v>
      </c>
      <c r="BP21" s="1058">
        <f t="shared" si="20"/>
        <v>37.537930714285714</v>
      </c>
      <c r="BQ21" s="965"/>
      <c r="BR21" s="1062"/>
      <c r="BS21" s="1058"/>
      <c r="BU21" s="922"/>
      <c r="BV21" s="960" t="s">
        <v>683</v>
      </c>
    </row>
    <row r="22" spans="1:77" ht="12.75" customHeight="1">
      <c r="A22" s="923"/>
      <c r="B22" s="966"/>
      <c r="C22" s="1129" t="s">
        <v>679</v>
      </c>
      <c r="D22" s="1122"/>
      <c r="E22" s="1127"/>
      <c r="F22" s="1128"/>
      <c r="G22" s="1140">
        <f t="shared" si="8"/>
        <v>42.318757033730158</v>
      </c>
      <c r="H22" s="1141">
        <f t="shared" si="8"/>
        <v>43.07423765625002</v>
      </c>
      <c r="I22" s="1141">
        <f t="shared" si="8"/>
        <v>51.328195917968742</v>
      </c>
      <c r="J22" s="1142">
        <f t="shared" si="8"/>
        <v>38.933001861538465</v>
      </c>
      <c r="K22" s="1140">
        <f t="shared" si="8"/>
        <v>41.451086953125014</v>
      </c>
      <c r="L22" s="1141">
        <f t="shared" si="8"/>
        <v>51.097349746093769</v>
      </c>
      <c r="M22" s="1141">
        <f t="shared" si="8"/>
        <v>50.310268931640643</v>
      </c>
      <c r="N22" s="1142">
        <f t="shared" si="8"/>
        <v>37.410923978174601</v>
      </c>
      <c r="O22" s="1140">
        <f t="shared" si="8"/>
        <v>32.153772558593758</v>
      </c>
      <c r="P22" s="1141">
        <f t="shared" si="8"/>
        <v>34.709669501953115</v>
      </c>
      <c r="Q22" s="1141">
        <f t="shared" si="8"/>
        <v>44.635360783730164</v>
      </c>
      <c r="R22" s="1141">
        <f t="shared" si="8"/>
        <v>38.089502343749999</v>
      </c>
      <c r="S22" s="1140">
        <f t="shared" si="8"/>
        <v>38.017161944444446</v>
      </c>
      <c r="T22" s="1141">
        <f t="shared" si="8"/>
        <v>41.806956083984382</v>
      </c>
      <c r="U22" s="1141">
        <f t="shared" si="8"/>
        <v>41.772417763671875</v>
      </c>
      <c r="V22" s="1142">
        <f t="shared" si="8"/>
        <v>36.018476103515631</v>
      </c>
      <c r="W22" s="1141">
        <f t="shared" si="8"/>
        <v>79.351583283730179</v>
      </c>
      <c r="X22" s="1141">
        <f t="shared" si="8"/>
        <v>50.487840683593745</v>
      </c>
      <c r="Y22" s="1141">
        <f t="shared" si="8"/>
        <v>38.234623320312501</v>
      </c>
      <c r="Z22" s="1142">
        <f t="shared" si="8"/>
        <v>40.068190000000001</v>
      </c>
      <c r="AA22" s="1141">
        <f t="shared" si="7"/>
        <v>43.107304533730151</v>
      </c>
      <c r="AB22" s="1141">
        <f t="shared" si="7"/>
        <v>36.571755771484384</v>
      </c>
      <c r="AC22" s="1141">
        <f t="shared" si="7"/>
        <v>35.906114451923074</v>
      </c>
      <c r="AD22" s="1142">
        <f t="shared" si="7"/>
        <v>30.830603544921882</v>
      </c>
      <c r="AE22" s="1144">
        <f t="shared" si="8"/>
        <v>27.466274697265614</v>
      </c>
      <c r="AF22" s="1144">
        <f t="shared" si="8"/>
        <v>31.331062939453119</v>
      </c>
      <c r="AG22" s="1144">
        <f t="shared" si="8"/>
        <v>37.764263886718759</v>
      </c>
      <c r="AH22" s="1145">
        <f t="shared" si="8"/>
        <v>32.442105446428577</v>
      </c>
      <c r="AI22" s="1144">
        <f t="shared" si="8"/>
        <v>30.987138056640639</v>
      </c>
      <c r="AJ22" s="1144">
        <f t="shared" si="8"/>
        <v>33.05749094726562</v>
      </c>
      <c r="AK22" s="1144">
        <f t="shared" si="8"/>
        <v>36.590803630952387</v>
      </c>
      <c r="AL22" s="1145">
        <f>IF(ISBLANK(AL165),"",AL165)</f>
        <v>32.10412905753968</v>
      </c>
      <c r="AM22" s="1144">
        <f t="shared" ref="AM22:AP24" si="28">IF(ISBLANK(AM165),"",AM165)</f>
        <v>39.582188720703122</v>
      </c>
      <c r="AN22" s="1144">
        <f t="shared" si="28"/>
        <v>35.416666666666664</v>
      </c>
      <c r="AO22" s="1144">
        <f t="shared" si="28"/>
        <v>37.699999999999996</v>
      </c>
      <c r="AP22" s="1145">
        <f t="shared" ref="AP22:AX22" si="29">IF(ISBLANK(AP165),"",AP165)</f>
        <v>34.06666666666667</v>
      </c>
      <c r="AQ22" s="1144">
        <f t="shared" si="29"/>
        <v>37.104731797582915</v>
      </c>
      <c r="AR22" s="1144">
        <f t="shared" si="29"/>
        <v>31.21709085897621</v>
      </c>
      <c r="AS22" s="1144">
        <f t="shared" si="29"/>
        <v>33.846064219263162</v>
      </c>
      <c r="AT22" s="1145">
        <f t="shared" si="29"/>
        <v>36.098779790577716</v>
      </c>
      <c r="AU22" s="1144">
        <f t="shared" si="29"/>
        <v>36.757952834841539</v>
      </c>
      <c r="AV22" s="1144">
        <f t="shared" si="29"/>
        <v>30.925337493207795</v>
      </c>
      <c r="AW22" s="1144">
        <f t="shared" si="29"/>
        <v>33.52974060030094</v>
      </c>
      <c r="AX22" s="1145">
        <f t="shared" si="29"/>
        <v>35.761402404849747</v>
      </c>
      <c r="AY22" s="1489">
        <f t="shared" si="26"/>
        <v>39.690447925743193</v>
      </c>
      <c r="AZ22" s="1489">
        <f t="shared" si="26"/>
        <v>34.343127493803138</v>
      </c>
      <c r="BA22" s="1489">
        <f t="shared" si="26"/>
        <v>34.844438784297523</v>
      </c>
      <c r="BB22" s="1154">
        <f t="shared" si="26"/>
        <v>41.340700796156149</v>
      </c>
      <c r="BC22" s="954"/>
      <c r="BD22" s="954"/>
      <c r="BE22" s="1052">
        <f t="shared" si="10"/>
        <v>43.913548117371846</v>
      </c>
      <c r="BF22" s="1052">
        <f t="shared" si="11"/>
        <v>45.067407402258503</v>
      </c>
      <c r="BG22" s="1052">
        <f t="shared" si="12"/>
        <v>37.397076297006763</v>
      </c>
      <c r="BH22" s="1058">
        <f t="shared" si="13"/>
        <v>39.403752973904083</v>
      </c>
      <c r="BI22" s="1058">
        <f t="shared" si="14"/>
        <v>52.035559321909105</v>
      </c>
      <c r="BJ22" s="1058">
        <f t="shared" si="15"/>
        <v>36.603944575514873</v>
      </c>
      <c r="BK22" s="1058">
        <f t="shared" si="16"/>
        <v>32.250926742466518</v>
      </c>
      <c r="BL22" s="1058">
        <f t="shared" si="17"/>
        <v>33.184890423099588</v>
      </c>
      <c r="BM22" s="1058">
        <f t="shared" si="18"/>
        <v>36.69138051350911</v>
      </c>
      <c r="BN22" s="1058">
        <f t="shared" si="19"/>
        <v>34.5666666666</v>
      </c>
      <c r="BO22" s="1058">
        <f t="shared" si="22"/>
        <v>34.243608333300003</v>
      </c>
      <c r="BP22" s="1058">
        <f t="shared" si="20"/>
        <v>37.554678750000001</v>
      </c>
      <c r="BQ22" s="949"/>
      <c r="BR22" s="1062"/>
      <c r="BS22" s="1058"/>
      <c r="BU22" s="922"/>
      <c r="BV22" s="1055" t="s">
        <v>695</v>
      </c>
      <c r="BW22" s="1056"/>
      <c r="BX22" s="1056">
        <v>22</v>
      </c>
      <c r="BY22" s="1057" t="s">
        <v>696</v>
      </c>
    </row>
    <row r="23" spans="1:77" ht="12.75" customHeight="1">
      <c r="A23" s="923"/>
      <c r="B23" s="924"/>
      <c r="C23" s="1129" t="s">
        <v>680</v>
      </c>
      <c r="D23" s="1122"/>
      <c r="E23" s="1127"/>
      <c r="F23" s="1128"/>
      <c r="G23" s="1140">
        <f t="shared" ref="G23:AL30" si="30">IF(ISBLANK(G166),"",G166)</f>
        <v>42.324658253968252</v>
      </c>
      <c r="H23" s="1141">
        <f t="shared" si="30"/>
        <v>43.262810498046875</v>
      </c>
      <c r="I23" s="1141">
        <f t="shared" si="30"/>
        <v>51.606527089843752</v>
      </c>
      <c r="J23" s="1142">
        <f t="shared" si="30"/>
        <v>38.918928847115382</v>
      </c>
      <c r="K23" s="1140">
        <f t="shared" si="30"/>
        <v>41.488797080078136</v>
      </c>
      <c r="L23" s="1141">
        <f t="shared" si="30"/>
        <v>50.985843300781255</v>
      </c>
      <c r="M23" s="1141">
        <f t="shared" si="30"/>
        <v>50.268828780273431</v>
      </c>
      <c r="N23" s="1142">
        <f t="shared" si="30"/>
        <v>37.525041934523813</v>
      </c>
      <c r="O23" s="1140">
        <f t="shared" si="30"/>
        <v>32.221690878906244</v>
      </c>
      <c r="P23" s="1141">
        <f t="shared" si="30"/>
        <v>34.827419687500004</v>
      </c>
      <c r="Q23" s="1141">
        <f t="shared" si="30"/>
        <v>44.932445357142846</v>
      </c>
      <c r="R23" s="1141">
        <f t="shared" si="30"/>
        <v>38.199312265625004</v>
      </c>
      <c r="S23" s="1140">
        <f t="shared" si="30"/>
        <v>37.715632986111103</v>
      </c>
      <c r="T23" s="1141">
        <f t="shared" si="30"/>
        <v>41.987925156249993</v>
      </c>
      <c r="U23" s="1141">
        <f t="shared" si="30"/>
        <v>41.924110576171877</v>
      </c>
      <c r="V23" s="1142">
        <f t="shared" si="30"/>
        <v>36.103588144531251</v>
      </c>
      <c r="W23" s="1141">
        <f t="shared" si="30"/>
        <v>79.291454067460307</v>
      </c>
      <c r="X23" s="1141">
        <f t="shared" si="30"/>
        <v>50.610264160156234</v>
      </c>
      <c r="Y23" s="1141">
        <f t="shared" si="30"/>
        <v>38.224814638671887</v>
      </c>
      <c r="Z23" s="1142">
        <f t="shared" si="30"/>
        <v>39.049467128906258</v>
      </c>
      <c r="AA23" s="1141">
        <f t="shared" si="7"/>
        <v>42.983203065476189</v>
      </c>
      <c r="AB23" s="1141">
        <f t="shared" si="7"/>
        <v>35.431994833984376</v>
      </c>
      <c r="AC23" s="1141">
        <f t="shared" si="7"/>
        <v>35.234762865384596</v>
      </c>
      <c r="AD23" s="1142">
        <f t="shared" si="7"/>
        <v>30.793894384765622</v>
      </c>
      <c r="AE23" s="1144">
        <f t="shared" si="30"/>
        <v>27.255926289062497</v>
      </c>
      <c r="AF23" s="1144">
        <f t="shared" si="30"/>
        <v>31.587512695312501</v>
      </c>
      <c r="AG23" s="1144">
        <f t="shared" si="30"/>
        <v>38.382545029296871</v>
      </c>
      <c r="AH23" s="1145">
        <f t="shared" si="30"/>
        <v>32.453721736111113</v>
      </c>
      <c r="AI23" s="1144">
        <f t="shared" si="30"/>
        <v>31.073804345703124</v>
      </c>
      <c r="AJ23" s="1144">
        <f t="shared" si="30"/>
        <v>33.234170273437506</v>
      </c>
      <c r="AK23" s="1144">
        <f t="shared" si="30"/>
        <v>36.864877966269844</v>
      </c>
      <c r="AL23" s="1145">
        <f t="shared" si="30"/>
        <v>32.037018710317462</v>
      </c>
      <c r="AM23" s="1144">
        <f t="shared" si="28"/>
        <v>38.43211967773437</v>
      </c>
      <c r="AN23" s="1144">
        <f t="shared" si="28"/>
        <v>33.833333333333336</v>
      </c>
      <c r="AO23" s="1144">
        <f t="shared" si="28"/>
        <v>36.31666666666667</v>
      </c>
      <c r="AP23" s="1145">
        <f t="shared" si="28"/>
        <v>33.616666666666667</v>
      </c>
      <c r="AQ23" s="1144">
        <f t="shared" ref="AQ23:AX23" si="31">IF(ISBLANK(AQ166),"",AQ166)</f>
        <v>34.505559751881279</v>
      </c>
      <c r="AR23" s="1144">
        <f t="shared" si="31"/>
        <v>30.200278902105268</v>
      </c>
      <c r="AS23" s="1144">
        <f t="shared" si="31"/>
        <v>33.302613632090925</v>
      </c>
      <c r="AT23" s="1145">
        <f t="shared" si="31"/>
        <v>36.708214380322516</v>
      </c>
      <c r="AU23" s="1144">
        <f t="shared" si="31"/>
        <v>34.591868474798638</v>
      </c>
      <c r="AV23" s="1144">
        <f t="shared" si="31"/>
        <v>30.275818830236602</v>
      </c>
      <c r="AW23" s="1144">
        <f t="shared" si="31"/>
        <v>33.385913427053367</v>
      </c>
      <c r="AX23" s="1145">
        <f t="shared" si="31"/>
        <v>36.800032601111397</v>
      </c>
      <c r="AY23" s="1489">
        <f t="shared" si="26"/>
        <v>43.052559700634987</v>
      </c>
      <c r="AZ23" s="1489">
        <f t="shared" si="26"/>
        <v>37.735084307526115</v>
      </c>
      <c r="BA23" s="1489">
        <f t="shared" si="26"/>
        <v>38.233597625630075</v>
      </c>
      <c r="BB23" s="1154">
        <f t="shared" si="26"/>
        <v>44.693602002572455</v>
      </c>
      <c r="BC23" s="954"/>
      <c r="BD23" s="954"/>
      <c r="BE23" s="1052">
        <f t="shared" si="10"/>
        <v>44.028231172243565</v>
      </c>
      <c r="BF23" s="1052">
        <f t="shared" si="11"/>
        <v>45.067127773914159</v>
      </c>
      <c r="BG23" s="1052">
        <f t="shared" si="12"/>
        <v>37.545217047293526</v>
      </c>
      <c r="BH23" s="1058">
        <f t="shared" si="13"/>
        <v>39.432814215766051</v>
      </c>
      <c r="BI23" s="1058">
        <f t="shared" si="14"/>
        <v>51.793999998798668</v>
      </c>
      <c r="BJ23" s="1058">
        <f t="shared" si="15"/>
        <v>36.110963787402696</v>
      </c>
      <c r="BK23" s="1058">
        <f t="shared" si="16"/>
        <v>32.419926437445746</v>
      </c>
      <c r="BL23" s="1058">
        <f t="shared" si="17"/>
        <v>33.302467823931984</v>
      </c>
      <c r="BM23" s="1058">
        <f t="shared" si="18"/>
        <v>35.549696586100261</v>
      </c>
      <c r="BN23" s="1058">
        <f t="shared" si="19"/>
        <v>33.679166666599997</v>
      </c>
      <c r="BO23" s="1058">
        <f t="shared" si="22"/>
        <v>33.763408333300006</v>
      </c>
      <c r="BP23" s="1058">
        <f t="shared" si="20"/>
        <v>40.928710909090903</v>
      </c>
      <c r="BQ23" s="949"/>
      <c r="BR23" s="1062"/>
      <c r="BS23" s="1058"/>
      <c r="BU23" s="922"/>
      <c r="BV23" s="1060" t="s">
        <v>697</v>
      </c>
      <c r="BW23" s="242"/>
      <c r="BX23" s="242">
        <f>($BX$14/$BW$9+7)*1000</f>
        <v>14924.180004952612</v>
      </c>
      <c r="BY23" s="1061" t="s">
        <v>698</v>
      </c>
    </row>
    <row r="24" spans="1:77" ht="12.75" customHeight="1">
      <c r="A24" s="923"/>
      <c r="B24" s="924"/>
      <c r="C24" s="1129" t="s">
        <v>681</v>
      </c>
      <c r="D24" s="1122"/>
      <c r="E24" s="1127"/>
      <c r="F24" s="1128"/>
      <c r="G24" s="1140">
        <f t="shared" si="30"/>
        <v>40.373286190476193</v>
      </c>
      <c r="H24" s="1141">
        <f t="shared" si="30"/>
        <v>41.051071525390626</v>
      </c>
      <c r="I24" s="1141">
        <f t="shared" si="30"/>
        <v>50.072542607421866</v>
      </c>
      <c r="J24" s="1142">
        <f t="shared" si="30"/>
        <v>34.412752877884607</v>
      </c>
      <c r="K24" s="1140">
        <f t="shared" si="30"/>
        <v>39.612896863281264</v>
      </c>
      <c r="L24" s="1141">
        <f t="shared" si="30"/>
        <v>45.46599732519531</v>
      </c>
      <c r="M24" s="1141">
        <f t="shared" si="30"/>
        <v>47.308313137695315</v>
      </c>
      <c r="N24" s="1142">
        <f t="shared" si="30"/>
        <v>31.727422125992067</v>
      </c>
      <c r="O24" s="1140">
        <f t="shared" si="30"/>
        <v>30.441801791015621</v>
      </c>
      <c r="P24" s="1141">
        <f t="shared" si="30"/>
        <v>32.770161261718748</v>
      </c>
      <c r="Q24" s="1141">
        <f t="shared" si="30"/>
        <v>44.877897271825397</v>
      </c>
      <c r="R24" s="1141">
        <f t="shared" si="30"/>
        <v>35.019350765624992</v>
      </c>
      <c r="S24" s="1140">
        <f t="shared" si="30"/>
        <v>34.838090073412694</v>
      </c>
      <c r="T24" s="1141">
        <f t="shared" si="30"/>
        <v>39.428378864257809</v>
      </c>
      <c r="U24" s="1141">
        <f t="shared" si="30"/>
        <v>41.11704862597658</v>
      </c>
      <c r="V24" s="1142">
        <f t="shared" si="30"/>
        <v>34.355717211914069</v>
      </c>
      <c r="W24" s="1141">
        <f t="shared" si="30"/>
        <v>72.99622284523808</v>
      </c>
      <c r="X24" s="1141">
        <f t="shared" si="30"/>
        <v>48.442515457031263</v>
      </c>
      <c r="Y24" s="1141">
        <f t="shared" si="30"/>
        <v>37.030601145507809</v>
      </c>
      <c r="Z24" s="1142">
        <f t="shared" si="30"/>
        <v>38.673259170898433</v>
      </c>
      <c r="AA24" s="1141">
        <f t="shared" si="7"/>
        <v>39.963556904761916</v>
      </c>
      <c r="AB24" s="1141">
        <f t="shared" si="7"/>
        <v>30.605513267578125</v>
      </c>
      <c r="AC24" s="1141">
        <f t="shared" si="7"/>
        <v>33.950207826923084</v>
      </c>
      <c r="AD24" s="1142">
        <f t="shared" si="7"/>
        <v>29.947609584960937</v>
      </c>
      <c r="AE24" s="1144">
        <f t="shared" si="30"/>
        <v>26.738570957031257</v>
      </c>
      <c r="AF24" s="1144">
        <f t="shared" si="30"/>
        <v>29.587132090820305</v>
      </c>
      <c r="AG24" s="1144">
        <f t="shared" si="30"/>
        <v>37.576820068359396</v>
      </c>
      <c r="AH24" s="1145">
        <f t="shared" si="30"/>
        <v>31.571357599206348</v>
      </c>
      <c r="AI24" s="1144">
        <f t="shared" si="30"/>
        <v>29.354624452148443</v>
      </c>
      <c r="AJ24" s="1144">
        <f t="shared" si="30"/>
        <v>33.630935440429681</v>
      </c>
      <c r="AK24" s="1144">
        <f t="shared" si="30"/>
        <v>34.552619896825405</v>
      </c>
      <c r="AL24" s="1145">
        <f t="shared" si="30"/>
        <v>30.295690178571437</v>
      </c>
      <c r="AM24" s="1144">
        <f t="shared" si="28"/>
        <v>31.943508934570318</v>
      </c>
      <c r="AN24" s="1144">
        <f t="shared" si="28"/>
        <v>30.066666666666666</v>
      </c>
      <c r="AO24" s="1144">
        <f t="shared" si="28"/>
        <v>34.6</v>
      </c>
      <c r="AP24" s="1145">
        <f t="shared" si="28"/>
        <v>30.166666666666668</v>
      </c>
      <c r="AQ24" s="1144">
        <f t="shared" ref="AQ24:AX24" si="32">IF(ISBLANK(AQ167),"",AQ167)</f>
        <v>33.929172095569285</v>
      </c>
      <c r="AR24" s="1144">
        <f t="shared" si="32"/>
        <v>28.660363159574629</v>
      </c>
      <c r="AS24" s="1144">
        <f t="shared" si="32"/>
        <v>32.36321030654301</v>
      </c>
      <c r="AT24" s="1145">
        <f t="shared" si="32"/>
        <v>28.947254438313074</v>
      </c>
      <c r="AU24" s="1144">
        <f t="shared" si="32"/>
        <v>33.932622519850185</v>
      </c>
      <c r="AV24" s="1144">
        <f t="shared" si="32"/>
        <v>28.663277772777295</v>
      </c>
      <c r="AW24" s="1144">
        <f t="shared" si="32"/>
        <v>32.366501480472486</v>
      </c>
      <c r="AX24" s="1145">
        <f t="shared" si="32"/>
        <v>28.950198226900017</v>
      </c>
      <c r="AY24" s="1489">
        <f t="shared" si="26"/>
        <v>37.834812263552692</v>
      </c>
      <c r="AZ24" s="1489">
        <f t="shared" si="26"/>
        <v>33.161787369951121</v>
      </c>
      <c r="BA24" s="1489">
        <f t="shared" si="26"/>
        <v>33.599883453726271</v>
      </c>
      <c r="BB24" s="1154">
        <f t="shared" si="26"/>
        <v>39.276968730951701</v>
      </c>
      <c r="BC24" s="954"/>
      <c r="BD24" s="954"/>
      <c r="BE24" s="1052">
        <f t="shared" si="10"/>
        <v>41.477413300293321</v>
      </c>
      <c r="BF24" s="1052">
        <f t="shared" si="11"/>
        <v>41.028657363040985</v>
      </c>
      <c r="BG24" s="1052">
        <f t="shared" si="12"/>
        <v>35.777302772546193</v>
      </c>
      <c r="BH24" s="1058">
        <f t="shared" si="13"/>
        <v>37.43480869389029</v>
      </c>
      <c r="BI24" s="1058">
        <f t="shared" si="14"/>
        <v>49.285649654668894</v>
      </c>
      <c r="BJ24" s="1058">
        <f t="shared" si="15"/>
        <v>33.616721896056013</v>
      </c>
      <c r="BK24" s="1058">
        <f t="shared" si="16"/>
        <v>31.368470178854327</v>
      </c>
      <c r="BL24" s="1058">
        <f t="shared" si="17"/>
        <v>31.958467491993741</v>
      </c>
      <c r="BM24" s="1058">
        <f t="shared" si="18"/>
        <v>31.694210566975915</v>
      </c>
      <c r="BN24" s="1058">
        <f t="shared" si="19"/>
        <v>30.975000000000001</v>
      </c>
      <c r="BO24" s="1058">
        <f t="shared" si="22"/>
        <v>30.978149999999996</v>
      </c>
      <c r="BP24" s="1058">
        <f t="shared" si="20"/>
        <v>35.968362954545448</v>
      </c>
      <c r="BQ24" s="949"/>
      <c r="BR24" s="1062"/>
      <c r="BS24" s="1058"/>
      <c r="BU24" s="922"/>
      <c r="BV24" s="1060" t="s">
        <v>990</v>
      </c>
      <c r="BW24" s="242"/>
      <c r="BX24" s="242">
        <f>BP231</f>
        <v>12303.36322926092</v>
      </c>
      <c r="BY24" s="1061" t="s">
        <v>698</v>
      </c>
    </row>
    <row r="25" spans="1:77" ht="12.75" customHeight="1">
      <c r="A25" s="923"/>
      <c r="B25" s="924"/>
      <c r="C25" s="1129" t="s">
        <v>682</v>
      </c>
      <c r="D25" s="1122"/>
      <c r="E25" s="1127"/>
      <c r="F25" s="1128"/>
      <c r="G25" s="1140">
        <f t="shared" si="30"/>
        <v>41.339221230158728</v>
      </c>
      <c r="H25" s="1141">
        <f t="shared" si="30"/>
        <v>39.390153808593752</v>
      </c>
      <c r="I25" s="1141">
        <f t="shared" si="30"/>
        <v>48.872324218750009</v>
      </c>
      <c r="J25" s="1142">
        <f t="shared" si="30"/>
        <v>32.494792444029855</v>
      </c>
      <c r="K25" s="1140">
        <f t="shared" si="30"/>
        <v>49.694167480468757</v>
      </c>
      <c r="L25" s="1141">
        <f t="shared" si="30"/>
        <v>41.930664062500007</v>
      </c>
      <c r="M25" s="1141">
        <f t="shared" si="30"/>
        <v>111.00009521484377</v>
      </c>
      <c r="N25" s="1142">
        <f t="shared" si="30"/>
        <v>29.544866071428554</v>
      </c>
      <c r="O25" s="1140">
        <f t="shared" si="30"/>
        <v>25.356325683593752</v>
      </c>
      <c r="P25" s="1141">
        <f t="shared" si="30"/>
        <v>30.825715332031248</v>
      </c>
      <c r="Q25" s="1141">
        <f t="shared" si="30"/>
        <v>31.618534226190476</v>
      </c>
      <c r="R25" s="1141">
        <f t="shared" si="30"/>
        <v>27.927487792968755</v>
      </c>
      <c r="S25" s="1140">
        <f t="shared" si="30"/>
        <v>28.835245535714289</v>
      </c>
      <c r="T25" s="1141">
        <f t="shared" si="30"/>
        <v>36.626384277343753</v>
      </c>
      <c r="U25" s="1141">
        <f t="shared" si="30"/>
        <v>43.148923339843755</v>
      </c>
      <c r="V25" s="1142">
        <f t="shared" si="30"/>
        <v>36.768386230468735</v>
      </c>
      <c r="W25" s="1141">
        <f t="shared" si="30"/>
        <v>57.726661706349176</v>
      </c>
      <c r="X25" s="1141">
        <f t="shared" si="30"/>
        <v>44.823835449218755</v>
      </c>
      <c r="Y25" s="1141">
        <f t="shared" si="30"/>
        <v>38.568947753906251</v>
      </c>
      <c r="Z25" s="1142">
        <f t="shared" si="30"/>
        <v>33.674279785156259</v>
      </c>
      <c r="AA25" s="1141">
        <f t="shared" si="7"/>
        <v>26.530957341269843</v>
      </c>
      <c r="AB25" s="1141">
        <f t="shared" si="7"/>
        <v>27.875180664062505</v>
      </c>
      <c r="AC25" s="1141">
        <f t="shared" si="7"/>
        <v>34.771600961538461</v>
      </c>
      <c r="AD25" s="1142">
        <f t="shared" si="7"/>
        <v>23.322177734375007</v>
      </c>
      <c r="AE25" s="1144">
        <f t="shared" si="30"/>
        <v>20.53059082031249</v>
      </c>
      <c r="AF25" s="1144">
        <f t="shared" si="30"/>
        <v>24.409040527343741</v>
      </c>
      <c r="AG25" s="1144">
        <f t="shared" si="30"/>
        <v>33.207656250000007</v>
      </c>
      <c r="AH25" s="1145">
        <f t="shared" si="30"/>
        <v>29.754362599206353</v>
      </c>
      <c r="AI25" s="1144">
        <f t="shared" si="30"/>
        <v>27.700273437500005</v>
      </c>
      <c r="AJ25" s="1144">
        <f t="shared" si="30"/>
        <v>46.152717285156264</v>
      </c>
      <c r="AK25" s="1144">
        <f t="shared" si="30"/>
        <v>33.043561507936509</v>
      </c>
      <c r="AL25" s="1145">
        <f t="shared" si="30"/>
        <v>29.19860119047619</v>
      </c>
      <c r="AM25" s="1144">
        <f t="shared" ref="AM25:AP40" si="33">IF(ISBLANK(AM168),"",AM168)</f>
        <v>33.29329345703124</v>
      </c>
      <c r="AN25" s="1144">
        <f t="shared" si="33"/>
        <v>37.382000000000005</v>
      </c>
      <c r="AO25" s="1144">
        <f t="shared" si="33"/>
        <v>118.87111666666665</v>
      </c>
      <c r="AP25" s="1145">
        <f t="shared" si="33"/>
        <v>27.205766666666666</v>
      </c>
      <c r="AQ25" s="1144">
        <f t="shared" ref="AQ25:AX25" si="34">IF(ISBLANK(AQ168),"",AQ168)</f>
        <v>24.525092123733586</v>
      </c>
      <c r="AR25" s="1144">
        <f t="shared" si="34"/>
        <v>26.33436343081933</v>
      </c>
      <c r="AS25" s="1144">
        <f t="shared" si="34"/>
        <v>72.001306158597217</v>
      </c>
      <c r="AT25" s="1145">
        <f t="shared" si="34"/>
        <v>45.433288286849844</v>
      </c>
      <c r="AU25" s="1144">
        <f t="shared" si="34"/>
        <v>22.536414554517716</v>
      </c>
      <c r="AV25" s="1144">
        <f t="shared" si="34"/>
        <v>24.198976636338397</v>
      </c>
      <c r="AW25" s="1144">
        <f t="shared" si="34"/>
        <v>66.162902706759411</v>
      </c>
      <c r="AX25" s="1145">
        <f t="shared" si="34"/>
        <v>41.749218075984459</v>
      </c>
      <c r="AY25" s="1144">
        <f>IF(ISBLANK(AY168),"",AY168)</f>
        <v>21.446763815512227</v>
      </c>
      <c r="AZ25" s="1144">
        <f t="shared" ref="AY25:BB50" si="35">IF(ISBLANK(AZ168),"",AZ168)</f>
        <v>23.028939907062984</v>
      </c>
      <c r="BA25" s="1144">
        <f t="shared" si="35"/>
        <v>62.96388204378902</v>
      </c>
      <c r="BB25" s="1145">
        <f t="shared" si="35"/>
        <v>39.730615417635761</v>
      </c>
      <c r="BC25" s="954"/>
      <c r="BD25" s="954"/>
      <c r="BE25" s="1052">
        <f t="shared" si="10"/>
        <v>40.524122925383089</v>
      </c>
      <c r="BF25" s="1052">
        <f t="shared" si="11"/>
        <v>58.042448207310272</v>
      </c>
      <c r="BG25" s="1052">
        <f t="shared" si="12"/>
        <v>28.93201575869606</v>
      </c>
      <c r="BH25" s="1058">
        <f t="shared" si="13"/>
        <v>36.34473484584263</v>
      </c>
      <c r="BI25" s="1058">
        <f t="shared" si="14"/>
        <v>43.69843117365761</v>
      </c>
      <c r="BJ25" s="1058">
        <f t="shared" si="15"/>
        <v>28.124979175311452</v>
      </c>
      <c r="BK25" s="1058">
        <f t="shared" si="16"/>
        <v>26.975412549215648</v>
      </c>
      <c r="BL25" s="1058">
        <f t="shared" si="17"/>
        <v>34.023788355267243</v>
      </c>
      <c r="BM25" s="1058">
        <f t="shared" si="18"/>
        <v>54.188044197591147</v>
      </c>
      <c r="BN25" s="1058">
        <f t="shared" si="19"/>
        <v>42.073512499999993</v>
      </c>
      <c r="BO25" s="1058">
        <f t="shared" si="22"/>
        <v>38.661877993399997</v>
      </c>
      <c r="BP25" s="1058">
        <f t="shared" si="20"/>
        <v>36.792550296000002</v>
      </c>
      <c r="BQ25" s="949"/>
      <c r="BR25" s="1062"/>
      <c r="BS25" s="1058"/>
      <c r="BU25" s="922"/>
      <c r="BV25" s="1110" t="s">
        <v>1109</v>
      </c>
      <c r="BW25" s="1063"/>
      <c r="BX25" s="1063">
        <f>BX23-BX24+BY101</f>
        <v>2620.8167756916919</v>
      </c>
      <c r="BY25" s="1064" t="s">
        <v>698</v>
      </c>
    </row>
    <row r="26" spans="1:77" ht="12.75" customHeight="1">
      <c r="A26" s="923"/>
      <c r="B26" s="924"/>
      <c r="C26" s="1122" t="s">
        <v>683</v>
      </c>
      <c r="D26" s="1122"/>
      <c r="E26" s="1127"/>
      <c r="F26" s="1128"/>
      <c r="G26" s="1140">
        <f t="shared" si="30"/>
        <v>41.463162202380943</v>
      </c>
      <c r="H26" s="1141">
        <f t="shared" si="30"/>
        <v>39.232558593749999</v>
      </c>
      <c r="I26" s="1141">
        <f t="shared" si="30"/>
        <v>48.767795410156261</v>
      </c>
      <c r="J26" s="1142">
        <f t="shared" si="30"/>
        <v>32.77672574626866</v>
      </c>
      <c r="K26" s="1140">
        <f t="shared" si="30"/>
        <v>50.755690917968764</v>
      </c>
      <c r="L26" s="1141">
        <f t="shared" si="30"/>
        <v>40.202160644531247</v>
      </c>
      <c r="M26" s="1141">
        <f t="shared" si="30"/>
        <v>106.84378173828125</v>
      </c>
      <c r="N26" s="1142">
        <f t="shared" si="30"/>
        <v>28.962276785714291</v>
      </c>
      <c r="O26" s="1140">
        <f t="shared" si="30"/>
        <v>25.273820800781262</v>
      </c>
      <c r="P26" s="1141">
        <f t="shared" si="30"/>
        <v>31.306391601562503</v>
      </c>
      <c r="Q26" s="1141">
        <f t="shared" si="30"/>
        <v>32.226475694444453</v>
      </c>
      <c r="R26" s="1141">
        <f t="shared" si="30"/>
        <v>28.259047851562507</v>
      </c>
      <c r="S26" s="1140">
        <f t="shared" si="30"/>
        <v>29.044474206349211</v>
      </c>
      <c r="T26" s="1141">
        <f t="shared" si="30"/>
        <v>35.193894042968758</v>
      </c>
      <c r="U26" s="1141">
        <f t="shared" si="30"/>
        <v>38.431984863281251</v>
      </c>
      <c r="V26" s="1142">
        <f t="shared" si="30"/>
        <v>35.855332031250001</v>
      </c>
      <c r="W26" s="1141">
        <f t="shared" si="30"/>
        <v>60.188559027777771</v>
      </c>
      <c r="X26" s="1141">
        <f t="shared" si="30"/>
        <v>40.574257812500001</v>
      </c>
      <c r="Y26" s="1141">
        <f t="shared" si="30"/>
        <v>37.938735351562507</v>
      </c>
      <c r="Z26" s="1142">
        <f t="shared" si="30"/>
        <v>34.462575683593748</v>
      </c>
      <c r="AA26" s="1141">
        <f t="shared" si="7"/>
        <v>26.624528769841273</v>
      </c>
      <c r="AB26" s="1141">
        <f t="shared" si="7"/>
        <v>27.696826171875006</v>
      </c>
      <c r="AC26" s="1141">
        <f t="shared" si="7"/>
        <v>35.113086538461538</v>
      </c>
      <c r="AD26" s="1142">
        <f t="shared" si="7"/>
        <v>20.858798828125007</v>
      </c>
      <c r="AE26" s="1144">
        <f t="shared" si="30"/>
        <v>19.673029785156263</v>
      </c>
      <c r="AF26" s="1144">
        <f t="shared" si="30"/>
        <v>22.350983886718744</v>
      </c>
      <c r="AG26" s="1144">
        <f t="shared" si="30"/>
        <v>30.610273437499995</v>
      </c>
      <c r="AH26" s="1145">
        <f t="shared" si="30"/>
        <v>25.720223214285713</v>
      </c>
      <c r="AI26" s="1144">
        <f t="shared" si="30"/>
        <v>22.746433105468753</v>
      </c>
      <c r="AJ26" s="1144">
        <f t="shared" si="30"/>
        <v>27.890290527343748</v>
      </c>
      <c r="AK26" s="1144">
        <f t="shared" si="30"/>
        <v>29.419799107142854</v>
      </c>
      <c r="AL26" s="1145">
        <f t="shared" si="30"/>
        <v>23.559124503968256</v>
      </c>
      <c r="AM26" s="1144">
        <f t="shared" si="33"/>
        <v>31.786008300781262</v>
      </c>
      <c r="AN26" s="1144">
        <f t="shared" si="33"/>
        <v>35.332000000000001</v>
      </c>
      <c r="AO26" s="1144">
        <f t="shared" si="33"/>
        <v>118.57111666666667</v>
      </c>
      <c r="AP26" s="1145">
        <f t="shared" si="33"/>
        <v>26.272433333333336</v>
      </c>
      <c r="AQ26" s="1144">
        <f t="shared" ref="AQ26:AX26" si="36">IF(ISBLANK(AQ169),"",AQ169)</f>
        <v>23.582895883834407</v>
      </c>
      <c r="AR26" s="1144">
        <f t="shared" si="36"/>
        <v>24.58750024208658</v>
      </c>
      <c r="AS26" s="1144">
        <f t="shared" si="36"/>
        <v>70.499208350188795</v>
      </c>
      <c r="AT26" s="1145">
        <f t="shared" si="36"/>
        <v>43.541112190290235</v>
      </c>
      <c r="AU26" s="1144">
        <f t="shared" si="36"/>
        <v>21.356595924499164</v>
      </c>
      <c r="AV26" s="1144">
        <f t="shared" si="36"/>
        <v>22.266362453973152</v>
      </c>
      <c r="AW26" s="1144">
        <f t="shared" si="36"/>
        <v>63.843860107279404</v>
      </c>
      <c r="AX26" s="1145">
        <f t="shared" si="36"/>
        <v>39.430693487848274</v>
      </c>
      <c r="AY26" s="1144">
        <f t="shared" si="35"/>
        <v>20.153204665518864</v>
      </c>
      <c r="AZ26" s="1144">
        <f t="shared" si="35"/>
        <v>21.011708105446548</v>
      </c>
      <c r="BA26" s="1144">
        <f t="shared" si="35"/>
        <v>60.246416794484098</v>
      </c>
      <c r="BB26" s="1145">
        <f t="shared" si="35"/>
        <v>37.208871618550496</v>
      </c>
      <c r="BC26" s="954"/>
      <c r="BD26" s="954"/>
      <c r="BE26" s="1052">
        <f t="shared" si="10"/>
        <v>40.560060488138966</v>
      </c>
      <c r="BF26" s="1052">
        <f t="shared" si="11"/>
        <v>56.690977521623886</v>
      </c>
      <c r="BG26" s="1052">
        <f t="shared" si="12"/>
        <v>29.26643398708768</v>
      </c>
      <c r="BH26" s="1058">
        <f t="shared" si="13"/>
        <v>34.631421285962304</v>
      </c>
      <c r="BI26" s="1058">
        <f t="shared" si="14"/>
        <v>43.291031968858505</v>
      </c>
      <c r="BJ26" s="1058">
        <f t="shared" si="15"/>
        <v>27.573310077075703</v>
      </c>
      <c r="BK26" s="1058">
        <f t="shared" si="16"/>
        <v>24.58862758091518</v>
      </c>
      <c r="BL26" s="1058">
        <f t="shared" si="17"/>
        <v>25.903911810980901</v>
      </c>
      <c r="BM26" s="1058">
        <f t="shared" si="18"/>
        <v>52.990389575195316</v>
      </c>
      <c r="BN26" s="1058">
        <f t="shared" si="19"/>
        <v>40.552679166600001</v>
      </c>
      <c r="BO26" s="1058">
        <f t="shared" si="22"/>
        <v>36.724377993399997</v>
      </c>
      <c r="BP26" s="1058">
        <f t="shared" si="20"/>
        <v>34.655050295999999</v>
      </c>
      <c r="BQ26" s="949"/>
      <c r="BR26" s="1062"/>
      <c r="BS26" s="1058"/>
      <c r="BU26" s="922"/>
      <c r="BX26" s="1492"/>
    </row>
    <row r="27" spans="1:77" ht="12.75" customHeight="1">
      <c r="A27" s="923"/>
      <c r="B27" s="924"/>
      <c r="C27" s="1122" t="s">
        <v>684</v>
      </c>
      <c r="D27" s="1122"/>
      <c r="E27" s="1127"/>
      <c r="F27" s="1128"/>
      <c r="G27" s="1140">
        <f t="shared" si="30"/>
        <v>41.207070932539686</v>
      </c>
      <c r="H27" s="1141">
        <f t="shared" si="30"/>
        <v>39.192001953125001</v>
      </c>
      <c r="I27" s="1141">
        <f t="shared" si="30"/>
        <v>48.72686279296876</v>
      </c>
      <c r="J27" s="1142">
        <f t="shared" si="30"/>
        <v>31.765543376865669</v>
      </c>
      <c r="K27" s="1140">
        <f t="shared" si="30"/>
        <v>55.323972167968762</v>
      </c>
      <c r="L27" s="1141">
        <f t="shared" si="30"/>
        <v>39.6252978515625</v>
      </c>
      <c r="M27" s="1141">
        <f t="shared" si="30"/>
        <v>106.81442871093749</v>
      </c>
      <c r="N27" s="1142">
        <f t="shared" si="30"/>
        <v>29.354828869047626</v>
      </c>
      <c r="O27" s="1140">
        <f t="shared" si="30"/>
        <v>25.648288574218743</v>
      </c>
      <c r="P27" s="1141">
        <f t="shared" si="30"/>
        <v>29.951386718749998</v>
      </c>
      <c r="Q27" s="1141">
        <f t="shared" si="30"/>
        <v>31.210275297619049</v>
      </c>
      <c r="R27" s="1141">
        <f t="shared" si="30"/>
        <v>28.586511230468751</v>
      </c>
      <c r="S27" s="1140">
        <f t="shared" si="30"/>
        <v>28.708407738095232</v>
      </c>
      <c r="T27" s="1141">
        <f t="shared" si="30"/>
        <v>36.230866699218758</v>
      </c>
      <c r="U27" s="1141">
        <f t="shared" si="30"/>
        <v>40.352358398437502</v>
      </c>
      <c r="V27" s="1142">
        <f t="shared" si="30"/>
        <v>36.304406738281251</v>
      </c>
      <c r="W27" s="1141">
        <f t="shared" si="30"/>
        <v>59.069300595238097</v>
      </c>
      <c r="X27" s="1141">
        <f t="shared" si="30"/>
        <v>41.673994140624984</v>
      </c>
      <c r="Y27" s="1141">
        <f t="shared" si="30"/>
        <v>38.124675292968753</v>
      </c>
      <c r="Z27" s="1142">
        <f t="shared" si="30"/>
        <v>34.437966308593751</v>
      </c>
      <c r="AA27" s="1141">
        <f t="shared" si="7"/>
        <v>26.435344742063496</v>
      </c>
      <c r="AB27" s="1141">
        <f t="shared" si="7"/>
        <v>27.865429687499994</v>
      </c>
      <c r="AC27" s="1141">
        <f t="shared" si="7"/>
        <v>34.586947115384625</v>
      </c>
      <c r="AD27" s="1142">
        <f t="shared" si="7"/>
        <v>23.201174316406249</v>
      </c>
      <c r="AE27" s="1144">
        <f t="shared" si="30"/>
        <v>20.267778320312491</v>
      </c>
      <c r="AF27" s="1144">
        <f t="shared" si="30"/>
        <v>22.831770019531245</v>
      </c>
      <c r="AG27" s="1144">
        <f t="shared" si="30"/>
        <v>30.974855957031252</v>
      </c>
      <c r="AH27" s="1145">
        <f t="shared" si="30"/>
        <v>28.905121527777784</v>
      </c>
      <c r="AI27" s="1144">
        <f t="shared" si="30"/>
        <v>24.182224121093753</v>
      </c>
      <c r="AJ27" s="1144">
        <f t="shared" si="30"/>
        <v>35.500275878906244</v>
      </c>
      <c r="AK27" s="1144">
        <f t="shared" si="30"/>
        <v>30.679335317460314</v>
      </c>
      <c r="AL27" s="1145">
        <f t="shared" si="30"/>
        <v>26.539970238095233</v>
      </c>
      <c r="AM27" s="1144">
        <f t="shared" si="33"/>
        <v>33.080983886718748</v>
      </c>
      <c r="AN27" s="1144">
        <f t="shared" si="33"/>
        <v>38.148666666666664</v>
      </c>
      <c r="AO27" s="1144">
        <f t="shared" si="33"/>
        <v>119.77111666666667</v>
      </c>
      <c r="AP27" s="1145">
        <f t="shared" si="33"/>
        <v>27.555766666666667</v>
      </c>
      <c r="AQ27" s="1144">
        <f t="shared" ref="AQ27:AX27" si="37">IF(ISBLANK(AQ170),"",AQ170)</f>
        <v>25.311841025847244</v>
      </c>
      <c r="AR27" s="1144">
        <f t="shared" si="37"/>
        <v>26.536363358265632</v>
      </c>
      <c r="AS27" s="1144">
        <f t="shared" si="37"/>
        <v>72.644761515096988</v>
      </c>
      <c r="AT27" s="1145">
        <f t="shared" si="37"/>
        <v>44.901084100790143</v>
      </c>
      <c r="AU27" s="1144">
        <f t="shared" si="37"/>
        <v>23.143193839184796</v>
      </c>
      <c r="AV27" s="1144">
        <f t="shared" si="37"/>
        <v>24.262802550010321</v>
      </c>
      <c r="AW27" s="1144">
        <f t="shared" si="37"/>
        <v>66.420763129337274</v>
      </c>
      <c r="AX27" s="1145">
        <f t="shared" si="37"/>
        <v>41.054085788267628</v>
      </c>
      <c r="AY27" s="1144">
        <f t="shared" si="35"/>
        <v>21.966120391696254</v>
      </c>
      <c r="AZ27" s="1144">
        <f t="shared" si="35"/>
        <v>23.028785290261158</v>
      </c>
      <c r="BA27" s="1144">
        <f t="shared" si="35"/>
        <v>63.042572669337098</v>
      </c>
      <c r="BB27" s="1145">
        <f t="shared" si="35"/>
        <v>38.966056165905499</v>
      </c>
      <c r="BC27" s="954"/>
      <c r="BD27" s="954"/>
      <c r="BE27" s="1052">
        <f t="shared" si="10"/>
        <v>40.222869763874776</v>
      </c>
      <c r="BF27" s="1052">
        <f t="shared" si="11"/>
        <v>57.779631899879099</v>
      </c>
      <c r="BG27" s="1052">
        <f t="shared" si="12"/>
        <v>28.849115455264133</v>
      </c>
      <c r="BH27" s="1058">
        <f t="shared" si="13"/>
        <v>35.399009893508186</v>
      </c>
      <c r="BI27" s="1058">
        <f t="shared" si="14"/>
        <v>43.326484084356402</v>
      </c>
      <c r="BJ27" s="1058">
        <f t="shared" si="15"/>
        <v>28.02222396533859</v>
      </c>
      <c r="BK27" s="1058">
        <f t="shared" si="16"/>
        <v>25.744881456163192</v>
      </c>
      <c r="BL27" s="1058">
        <f t="shared" si="17"/>
        <v>29.225451388888885</v>
      </c>
      <c r="BM27" s="1058">
        <f t="shared" si="18"/>
        <v>54.639133471679685</v>
      </c>
      <c r="BN27" s="1058">
        <f t="shared" si="19"/>
        <v>42.348512499999998</v>
      </c>
      <c r="BO27" s="1058">
        <f t="shared" si="22"/>
        <v>38.720211326700003</v>
      </c>
      <c r="BP27" s="1058">
        <f t="shared" si="20"/>
        <v>36.750883629300006</v>
      </c>
      <c r="BQ27" s="949"/>
      <c r="BR27" s="1062"/>
      <c r="BS27" s="1058"/>
      <c r="BU27" s="922"/>
      <c r="BV27" s="960" t="s">
        <v>684</v>
      </c>
    </row>
    <row r="28" spans="1:77" ht="12.75" customHeight="1">
      <c r="A28" s="923"/>
      <c r="B28" s="924"/>
      <c r="C28" s="1122" t="s">
        <v>685</v>
      </c>
      <c r="D28" s="1122"/>
      <c r="E28" s="1130"/>
      <c r="F28" s="1128"/>
      <c r="G28" s="1140">
        <f t="shared" si="30"/>
        <v>44.912666666666681</v>
      </c>
      <c r="H28" s="1141">
        <f t="shared" si="30"/>
        <v>35.874838709677434</v>
      </c>
      <c r="I28" s="1141">
        <f t="shared" si="30"/>
        <v>40.575468749999999</v>
      </c>
      <c r="J28" s="1142">
        <f t="shared" si="30"/>
        <v>34.270317460317472</v>
      </c>
      <c r="K28" s="1140">
        <f t="shared" si="30"/>
        <v>32.430468750000003</v>
      </c>
      <c r="L28" s="1141">
        <f t="shared" si="30"/>
        <v>36.866093749999997</v>
      </c>
      <c r="M28" s="1141">
        <f t="shared" si="30"/>
        <v>42.871093750000007</v>
      </c>
      <c r="N28" s="1142">
        <f t="shared" si="30"/>
        <v>33.560156250000006</v>
      </c>
      <c r="O28" s="1140">
        <f t="shared" si="30"/>
        <v>25.353281250000002</v>
      </c>
      <c r="P28" s="1141">
        <f t="shared" si="30"/>
        <v>25.953076923076935</v>
      </c>
      <c r="Q28" s="1141">
        <f t="shared" si="30"/>
        <v>36.29349206349206</v>
      </c>
      <c r="R28" s="1141">
        <f t="shared" si="30"/>
        <v>31.014769230769229</v>
      </c>
      <c r="S28" s="1140">
        <f t="shared" si="30"/>
        <v>32.511999999999993</v>
      </c>
      <c r="T28" s="1141">
        <f t="shared" si="30"/>
        <v>38.131384615384611</v>
      </c>
      <c r="U28" s="1141">
        <f t="shared" si="30"/>
        <v>42.04296875</v>
      </c>
      <c r="V28" s="1142">
        <f t="shared" si="30"/>
        <v>37.624062500000001</v>
      </c>
      <c r="W28" s="1141">
        <f t="shared" si="30"/>
        <v>47.590967741935479</v>
      </c>
      <c r="X28" s="1141">
        <f t="shared" si="30"/>
        <v>42.762769230769244</v>
      </c>
      <c r="Y28" s="1141">
        <f t="shared" si="30"/>
        <v>43.211212121212121</v>
      </c>
      <c r="Z28" s="1142">
        <f t="shared" si="30"/>
        <v>36.127031249999987</v>
      </c>
      <c r="AA28" s="1141">
        <f t="shared" si="7"/>
        <v>25.419180327868858</v>
      </c>
      <c r="AB28" s="1141">
        <f t="shared" si="7"/>
        <v>26.831111111111106</v>
      </c>
      <c r="AC28" s="1141">
        <f t="shared" si="7"/>
        <v>33.160312500000011</v>
      </c>
      <c r="AD28" s="1142">
        <f t="shared" si="7"/>
        <v>23.980158730158735</v>
      </c>
      <c r="AE28" s="1144">
        <f t="shared" si="30"/>
        <v>19.007377049180324</v>
      </c>
      <c r="AF28" s="1144">
        <f t="shared" si="30"/>
        <v>22.532187499999996</v>
      </c>
      <c r="AG28" s="1144">
        <f t="shared" si="30"/>
        <v>34.896093749999999</v>
      </c>
      <c r="AH28" s="1145">
        <f t="shared" si="30"/>
        <v>25.215322580645164</v>
      </c>
      <c r="AI28" s="1144">
        <f t="shared" si="30"/>
        <v>23.400322580645167</v>
      </c>
      <c r="AJ28" s="1144">
        <f t="shared" si="30"/>
        <v>32.938906250000002</v>
      </c>
      <c r="AK28" s="1144">
        <f t="shared" si="30"/>
        <v>44.240952380952386</v>
      </c>
      <c r="AL28" s="1145">
        <f t="shared" si="30"/>
        <v>30.908548387096779</v>
      </c>
      <c r="AM28" s="1144">
        <f t="shared" si="33"/>
        <v>26.38622950819672</v>
      </c>
      <c r="AN28" s="1144">
        <f t="shared" si="33"/>
        <v>27.183333333333334</v>
      </c>
      <c r="AO28" s="1144">
        <f t="shared" si="33"/>
        <v>42.599999999999994</v>
      </c>
      <c r="AP28" s="1145">
        <f t="shared" si="33"/>
        <v>25.099999999999998</v>
      </c>
      <c r="AQ28" s="1144">
        <f t="shared" ref="AQ28:AX28" si="38">IF(ISBLANK(AQ171),"",AQ171)</f>
        <v>25.992977359392921</v>
      </c>
      <c r="AR28" s="1144">
        <f t="shared" si="38"/>
        <v>25.589202953810119</v>
      </c>
      <c r="AS28" s="1144">
        <f t="shared" si="38"/>
        <v>40.377440558280256</v>
      </c>
      <c r="AT28" s="1145">
        <f t="shared" si="38"/>
        <v>30.457045794916699</v>
      </c>
      <c r="AU28" s="1144">
        <f t="shared" si="38"/>
        <v>28.466645320489615</v>
      </c>
      <c r="AV28" s="1144">
        <f t="shared" si="38"/>
        <v>28.024445004831527</v>
      </c>
      <c r="AW28" s="1144">
        <f t="shared" si="38"/>
        <v>44.220031565809109</v>
      </c>
      <c r="AX28" s="1145">
        <f t="shared" si="38"/>
        <v>33.355544775269749</v>
      </c>
      <c r="AY28" s="1144">
        <f t="shared" si="35"/>
        <v>30.466105117398659</v>
      </c>
      <c r="AZ28" s="1144">
        <f t="shared" si="35"/>
        <v>29.992845232079848</v>
      </c>
      <c r="BA28" s="1144">
        <f t="shared" si="35"/>
        <v>47.325988531881407</v>
      </c>
      <c r="BB28" s="1145">
        <f t="shared" si="35"/>
        <v>35.69839445184008</v>
      </c>
      <c r="BC28" s="954"/>
      <c r="BD28" s="954"/>
      <c r="BE28" s="1052">
        <f t="shared" si="10"/>
        <v>38.908322896665396</v>
      </c>
      <c r="BF28" s="1052">
        <f t="shared" si="11"/>
        <v>36.431953125</v>
      </c>
      <c r="BG28" s="1052">
        <f t="shared" si="12"/>
        <v>29.653654866834557</v>
      </c>
      <c r="BH28" s="1058">
        <f t="shared" si="13"/>
        <v>37.577603966346153</v>
      </c>
      <c r="BI28" s="1058">
        <f t="shared" si="14"/>
        <v>42.42299508597921</v>
      </c>
      <c r="BJ28" s="1058">
        <f t="shared" si="15"/>
        <v>27.347690667284677</v>
      </c>
      <c r="BK28" s="1058">
        <f t="shared" si="16"/>
        <v>25.412745219956371</v>
      </c>
      <c r="BL28" s="1058">
        <f t="shared" si="17"/>
        <v>32.872182399673584</v>
      </c>
      <c r="BM28" s="1058">
        <f t="shared" si="18"/>
        <v>30.317390710382512</v>
      </c>
      <c r="BN28" s="1058">
        <f t="shared" si="19"/>
        <v>30.604166666599998</v>
      </c>
      <c r="BO28" s="1058">
        <f t="shared" si="22"/>
        <v>33.516666666600003</v>
      </c>
      <c r="BP28" s="1058">
        <f t="shared" si="20"/>
        <v>35.870833333299998</v>
      </c>
      <c r="BQ28" s="949"/>
      <c r="BR28" s="1062"/>
      <c r="BS28" s="1058"/>
      <c r="BU28" s="922"/>
      <c r="BV28" s="1055" t="s">
        <v>695</v>
      </c>
      <c r="BW28" s="1056"/>
      <c r="BX28" s="1056">
        <v>22</v>
      </c>
      <c r="BY28" s="1057" t="s">
        <v>696</v>
      </c>
    </row>
    <row r="29" spans="1:77" ht="12.75" customHeight="1">
      <c r="A29" s="923"/>
      <c r="B29" s="924"/>
      <c r="C29" s="1122" t="s">
        <v>686</v>
      </c>
      <c r="D29" s="1122"/>
      <c r="E29" s="1127"/>
      <c r="F29" s="1128"/>
      <c r="G29" s="1140">
        <f t="shared" si="30"/>
        <v>60.128553647202374</v>
      </c>
      <c r="H29" s="1141">
        <f t="shared" si="30"/>
        <v>31.946377822646106</v>
      </c>
      <c r="I29" s="1141">
        <f t="shared" si="30"/>
        <v>37.433810982142873</v>
      </c>
      <c r="J29" s="1142">
        <f t="shared" si="30"/>
        <v>33.962447284902595</v>
      </c>
      <c r="K29" s="1140">
        <f t="shared" si="30"/>
        <v>30.515116445312522</v>
      </c>
      <c r="L29" s="1141">
        <f t="shared" si="30"/>
        <v>33.011711513798716</v>
      </c>
      <c r="M29" s="1141">
        <f t="shared" si="30"/>
        <v>42.068564527191569</v>
      </c>
      <c r="N29" s="1142">
        <f t="shared" si="30"/>
        <v>32.950429456168834</v>
      </c>
      <c r="O29" s="1140">
        <f t="shared" si="30"/>
        <v>25.307843413149342</v>
      </c>
      <c r="P29" s="1141">
        <f t="shared" si="30"/>
        <v>22.80274092532467</v>
      </c>
      <c r="Q29" s="1141">
        <f t="shared" si="30"/>
        <v>35.896205914884867</v>
      </c>
      <c r="R29" s="1141">
        <f t="shared" si="30"/>
        <v>42.475329612418847</v>
      </c>
      <c r="S29" s="1140">
        <f t="shared" si="30"/>
        <v>42.911978651315792</v>
      </c>
      <c r="T29" s="1141">
        <f t="shared" si="30"/>
        <v>45.579805629058441</v>
      </c>
      <c r="U29" s="1141">
        <f t="shared" si="30"/>
        <v>48.084160511363628</v>
      </c>
      <c r="V29" s="1142">
        <f t="shared" si="30"/>
        <v>45.337906345373376</v>
      </c>
      <c r="W29" s="1141">
        <f t="shared" si="30"/>
        <v>53.600572129934207</v>
      </c>
      <c r="X29" s="1141">
        <f t="shared" si="30"/>
        <v>40.900113140016224</v>
      </c>
      <c r="Y29" s="1141">
        <f t="shared" si="30"/>
        <v>46.183565756087653</v>
      </c>
      <c r="Z29" s="1142">
        <f t="shared" si="30"/>
        <v>41.445947460091979</v>
      </c>
      <c r="AA29" s="1141">
        <f t="shared" si="7"/>
        <v>28.829850453771133</v>
      </c>
      <c r="AB29" s="1141">
        <f t="shared" si="7"/>
        <v>29.03807379386982</v>
      </c>
      <c r="AC29" s="1141">
        <f t="shared" si="7"/>
        <v>35.943119470128089</v>
      </c>
      <c r="AD29" s="1142">
        <f t="shared" si="7"/>
        <v>32.371010031004026</v>
      </c>
      <c r="AE29" s="1144">
        <f t="shared" si="30"/>
        <v>21.909217117018397</v>
      </c>
      <c r="AF29" s="1144">
        <f t="shared" si="30"/>
        <v>21.147224745129879</v>
      </c>
      <c r="AG29" s="1144">
        <f t="shared" si="30"/>
        <v>35.217113687499996</v>
      </c>
      <c r="AH29" s="1145">
        <f t="shared" si="30"/>
        <v>32.804729900021115</v>
      </c>
      <c r="AI29" s="1144">
        <f t="shared" si="30"/>
        <v>27.142658075794955</v>
      </c>
      <c r="AJ29" s="1144">
        <f t="shared" si="30"/>
        <v>32.083006007440474</v>
      </c>
      <c r="AK29" s="1144">
        <f t="shared" si="30"/>
        <v>43.369349766774882</v>
      </c>
      <c r="AL29" s="1145">
        <f t="shared" si="30"/>
        <v>48.204032704495603</v>
      </c>
      <c r="AM29" s="1144">
        <f t="shared" si="33"/>
        <v>34.474168695211048</v>
      </c>
      <c r="AN29" s="1144">
        <f t="shared" si="33"/>
        <v>27.633333333333336</v>
      </c>
      <c r="AO29" s="1144">
        <f t="shared" si="33"/>
        <v>46.35</v>
      </c>
      <c r="AP29" s="1145">
        <f t="shared" si="33"/>
        <v>39.75</v>
      </c>
      <c r="AQ29" s="1144">
        <f t="shared" ref="AQ29:AX29" si="39">IF(ISBLANK(AQ172),"",AQ172)</f>
        <v>35.039319558003335</v>
      </c>
      <c r="AR29" s="1144">
        <f t="shared" si="39"/>
        <v>25.220609132408999</v>
      </c>
      <c r="AS29" s="1144">
        <f t="shared" si="39"/>
        <v>40.23746037155329</v>
      </c>
      <c r="AT29" s="1145">
        <f t="shared" si="39"/>
        <v>42.319277604434383</v>
      </c>
      <c r="AU29" s="1144">
        <f t="shared" si="39"/>
        <v>37.701310109094798</v>
      </c>
      <c r="AV29" s="1144">
        <f t="shared" si="39"/>
        <v>27.136657276326481</v>
      </c>
      <c r="AW29" s="1144">
        <f t="shared" si="39"/>
        <v>43.29436160879569</v>
      </c>
      <c r="AX29" s="1145">
        <f t="shared" si="39"/>
        <v>45.534337672183035</v>
      </c>
      <c r="AY29" s="1144">
        <f t="shared" si="35"/>
        <v>39.12839874558054</v>
      </c>
      <c r="AZ29" s="1144">
        <f t="shared" si="35"/>
        <v>28.16384744874204</v>
      </c>
      <c r="BA29" s="1144">
        <f t="shared" si="35"/>
        <v>44.93316119684799</v>
      </c>
      <c r="BB29" s="1145">
        <f t="shared" si="35"/>
        <v>47.257925942029424</v>
      </c>
      <c r="BC29" s="954"/>
      <c r="BD29" s="954"/>
      <c r="BE29" s="1052">
        <f t="shared" si="10"/>
        <v>40.867797434223483</v>
      </c>
      <c r="BF29" s="1052">
        <f t="shared" si="11"/>
        <v>34.636455485617915</v>
      </c>
      <c r="BG29" s="1052">
        <f t="shared" si="12"/>
        <v>31.62052996644443</v>
      </c>
      <c r="BH29" s="1058">
        <f t="shared" si="13"/>
        <v>45.478462784277809</v>
      </c>
      <c r="BI29" s="1058">
        <f t="shared" si="14"/>
        <v>45.532549621532517</v>
      </c>
      <c r="BJ29" s="1058">
        <f t="shared" si="15"/>
        <v>31.545513437193271</v>
      </c>
      <c r="BK29" s="1058">
        <f t="shared" si="16"/>
        <v>27.769571362417349</v>
      </c>
      <c r="BL29" s="1058">
        <f t="shared" si="17"/>
        <v>37.699761638626477</v>
      </c>
      <c r="BM29" s="1058">
        <f t="shared" si="18"/>
        <v>37.051875507136096</v>
      </c>
      <c r="BN29" s="1058">
        <f t="shared" si="19"/>
        <v>35.704166666600003</v>
      </c>
      <c r="BO29" s="1058">
        <f t="shared" si="22"/>
        <v>38.416666666600001</v>
      </c>
      <c r="BP29" s="1058">
        <f t="shared" si="20"/>
        <v>39.870833333299998</v>
      </c>
      <c r="BQ29" s="949"/>
      <c r="BR29" s="1062"/>
      <c r="BS29" s="1058"/>
      <c r="BU29" s="922"/>
      <c r="BV29" s="1060" t="s">
        <v>697</v>
      </c>
      <c r="BW29" s="242"/>
      <c r="BX29" s="242">
        <f>($BX$14/$BW$9+7)*1000</f>
        <v>14924.180004952612</v>
      </c>
      <c r="BY29" s="1061" t="s">
        <v>698</v>
      </c>
    </row>
    <row r="30" spans="1:77" ht="12.75" customHeight="1">
      <c r="A30" s="923"/>
      <c r="B30" s="924"/>
      <c r="C30" s="1122" t="s">
        <v>687</v>
      </c>
      <c r="D30" s="1122"/>
      <c r="E30" s="1127"/>
      <c r="F30" s="1128"/>
      <c r="G30" s="1140">
        <f t="shared" si="30"/>
        <v>45.136661350916356</v>
      </c>
      <c r="H30" s="1141">
        <f t="shared" si="30"/>
        <v>31.276324283685071</v>
      </c>
      <c r="I30" s="1141">
        <f t="shared" si="30"/>
        <v>35.895895022321419</v>
      </c>
      <c r="J30" s="1142">
        <f t="shared" si="30"/>
        <v>34.310879216720778</v>
      </c>
      <c r="K30" s="1140">
        <f t="shared" si="30"/>
        <v>30.24114454975328</v>
      </c>
      <c r="L30" s="1141">
        <f t="shared" si="30"/>
        <v>31.702068581574675</v>
      </c>
      <c r="M30" s="1141">
        <f t="shared" si="30"/>
        <v>41.130466008522738</v>
      </c>
      <c r="N30" s="1142">
        <f t="shared" si="30"/>
        <v>32.790118090503235</v>
      </c>
      <c r="O30" s="1140">
        <f t="shared" si="30"/>
        <v>25.843621564529215</v>
      </c>
      <c r="P30" s="1141">
        <f t="shared" si="30"/>
        <v>26.883430413961047</v>
      </c>
      <c r="Q30" s="1141">
        <f t="shared" si="30"/>
        <v>32.092331157483542</v>
      </c>
      <c r="R30" s="1141">
        <f t="shared" si="30"/>
        <v>35.354487767857144</v>
      </c>
      <c r="S30" s="1140">
        <f t="shared" si="30"/>
        <v>38.341412275904609</v>
      </c>
      <c r="T30" s="1141">
        <f t="shared" si="30"/>
        <v>53.221846702516224</v>
      </c>
      <c r="U30" s="1141">
        <f t="shared" si="30"/>
        <v>43.118555716314944</v>
      </c>
      <c r="V30" s="1142">
        <f t="shared" si="30"/>
        <v>47.006490310470774</v>
      </c>
      <c r="W30" s="1141">
        <f t="shared" si="30"/>
        <v>54.453317212171072</v>
      </c>
      <c r="X30" s="1141">
        <f t="shared" si="30"/>
        <v>43.800113599161243</v>
      </c>
      <c r="Y30" s="1141">
        <f t="shared" si="30"/>
        <v>46.219888831825891</v>
      </c>
      <c r="Z30" s="1142">
        <f t="shared" si="30"/>
        <v>42.75064843777055</v>
      </c>
      <c r="AA30" s="1141">
        <f t="shared" ref="AA30:AD39" si="40">IF(ISBLANK(AA173),"",AA173)</f>
        <v>30.826490857906492</v>
      </c>
      <c r="AB30" s="1141">
        <f t="shared" si="40"/>
        <v>36.661938962643021</v>
      </c>
      <c r="AC30" s="1141">
        <f t="shared" si="40"/>
        <v>36.175045137228835</v>
      </c>
      <c r="AD30" s="1142">
        <f t="shared" si="40"/>
        <v>31.309796634826355</v>
      </c>
      <c r="AE30" s="1144">
        <f t="shared" si="30"/>
        <v>23.238426047889615</v>
      </c>
      <c r="AF30" s="1144">
        <f t="shared" si="30"/>
        <v>25.958117773133125</v>
      </c>
      <c r="AG30" s="1144">
        <f t="shared" si="30"/>
        <v>35.980332387929025</v>
      </c>
      <c r="AH30" s="1145">
        <f t="shared" si="30"/>
        <v>36.942520320092108</v>
      </c>
      <c r="AI30" s="1144">
        <f t="shared" si="30"/>
        <v>29.92399809991776</v>
      </c>
      <c r="AJ30" s="1144">
        <f t="shared" si="30"/>
        <v>36.316399976055195</v>
      </c>
      <c r="AK30" s="1144">
        <f t="shared" si="30"/>
        <v>47.946497504058435</v>
      </c>
      <c r="AL30" s="1145">
        <f t="shared" ref="AI30:AP45" si="41">IF(ISBLANK(AL173),"",AL173)</f>
        <v>48.663296223684213</v>
      </c>
      <c r="AM30" s="1144">
        <f t="shared" si="33"/>
        <v>34.379404778409103</v>
      </c>
      <c r="AN30" s="1144">
        <f t="shared" si="33"/>
        <v>28.966666666666669</v>
      </c>
      <c r="AO30" s="1144">
        <f t="shared" si="33"/>
        <v>44.1</v>
      </c>
      <c r="AP30" s="1145">
        <f t="shared" si="33"/>
        <v>40.25</v>
      </c>
      <c r="AQ30" s="1144">
        <f t="shared" ref="AQ30:AX30" si="42">IF(ISBLANK(AQ173),"",AQ173)</f>
        <v>38.255538918101109</v>
      </c>
      <c r="AR30" s="1144">
        <f t="shared" si="42"/>
        <v>29.023202192532711</v>
      </c>
      <c r="AS30" s="1144">
        <f t="shared" si="42"/>
        <v>41.520011572445739</v>
      </c>
      <c r="AT30" s="1145">
        <f t="shared" si="42"/>
        <v>42.017913983320447</v>
      </c>
      <c r="AU30" s="1144">
        <f t="shared" si="42"/>
        <v>41.312092640925286</v>
      </c>
      <c r="AV30" s="1144">
        <f t="shared" si="42"/>
        <v>31.342107616915317</v>
      </c>
      <c r="AW30" s="1144">
        <f t="shared" si="42"/>
        <v>44.837391212950912</v>
      </c>
      <c r="AX30" s="1145">
        <f t="shared" si="42"/>
        <v>45.375075195608474</v>
      </c>
      <c r="AY30" s="1144">
        <f t="shared" si="35"/>
        <v>42.787524520994573</v>
      </c>
      <c r="AZ30" s="1144">
        <f t="shared" si="35"/>
        <v>32.461468603261217</v>
      </c>
      <c r="BA30" s="1144">
        <f t="shared" si="35"/>
        <v>46.438726613452779</v>
      </c>
      <c r="BB30" s="1145">
        <f t="shared" si="35"/>
        <v>46.995613595491442</v>
      </c>
      <c r="BC30" s="954"/>
      <c r="BD30" s="954"/>
      <c r="BE30" s="1052">
        <f t="shared" si="10"/>
        <v>36.654939968410901</v>
      </c>
      <c r="BF30" s="1052">
        <f t="shared" si="11"/>
        <v>33.965949307588481</v>
      </c>
      <c r="BG30" s="1052">
        <f t="shared" si="12"/>
        <v>30.04346772595774</v>
      </c>
      <c r="BH30" s="1058">
        <f t="shared" si="13"/>
        <v>45.42207625130164</v>
      </c>
      <c r="BI30" s="1058">
        <f t="shared" si="14"/>
        <v>46.805992020232196</v>
      </c>
      <c r="BJ30" s="1058">
        <f t="shared" si="15"/>
        <v>33.743317898151176</v>
      </c>
      <c r="BK30" s="1058">
        <f t="shared" si="16"/>
        <v>30.529849132260971</v>
      </c>
      <c r="BL30" s="1058">
        <f t="shared" si="17"/>
        <v>40.712547950928908</v>
      </c>
      <c r="BM30" s="1058">
        <f t="shared" si="18"/>
        <v>36.924017861268943</v>
      </c>
      <c r="BN30" s="1058">
        <f t="shared" si="19"/>
        <v>37.704166666600003</v>
      </c>
      <c r="BO30" s="1058">
        <f t="shared" si="22"/>
        <v>40.716666666599998</v>
      </c>
      <c r="BP30" s="1058">
        <f t="shared" si="20"/>
        <v>42.170833333300003</v>
      </c>
      <c r="BQ30" s="949"/>
      <c r="BR30" s="1062"/>
      <c r="BS30" s="1058"/>
      <c r="BU30" s="922"/>
      <c r="BV30" s="1060" t="s">
        <v>990</v>
      </c>
      <c r="BW30" s="242"/>
      <c r="BX30" s="242">
        <f>BP232</f>
        <v>13048.805132456902</v>
      </c>
      <c r="BY30" s="1061" t="s">
        <v>698</v>
      </c>
    </row>
    <row r="31" spans="1:77" ht="12.75" customHeight="1">
      <c r="A31" s="923"/>
      <c r="B31" s="924"/>
      <c r="C31" s="1122" t="s">
        <v>688</v>
      </c>
      <c r="D31" s="1122"/>
      <c r="E31" s="1122"/>
      <c r="F31" s="1128"/>
      <c r="G31" s="1140">
        <f t="shared" ref="G31:AH40" si="43">IF(ISBLANK(G174),"",G174)</f>
        <v>43.829666666666668</v>
      </c>
      <c r="H31" s="1141">
        <f t="shared" si="43"/>
        <v>28.54564516129032</v>
      </c>
      <c r="I31" s="1141">
        <f t="shared" si="43"/>
        <v>38.119531250000001</v>
      </c>
      <c r="J31" s="1142">
        <f t="shared" si="43"/>
        <v>33.579047619047621</v>
      </c>
      <c r="K31" s="1140">
        <f t="shared" si="43"/>
        <v>26.340468749999999</v>
      </c>
      <c r="L31" s="1141">
        <f t="shared" si="43"/>
        <v>27.286249999999995</v>
      </c>
      <c r="M31" s="1141">
        <f t="shared" si="43"/>
        <v>33.397500000000015</v>
      </c>
      <c r="N31" s="1142">
        <f t="shared" si="43"/>
        <v>30.906093749999997</v>
      </c>
      <c r="O31" s="1140">
        <f t="shared" si="43"/>
        <v>23.229218750000008</v>
      </c>
      <c r="P31" s="1141">
        <f t="shared" si="43"/>
        <v>12.017692307692307</v>
      </c>
      <c r="Q31" s="1141">
        <f t="shared" si="43"/>
        <v>26.9057142857143</v>
      </c>
      <c r="R31" s="1141">
        <f t="shared" si="43"/>
        <v>29.446000000000005</v>
      </c>
      <c r="S31" s="1140">
        <f t="shared" si="43"/>
        <v>30.320000000000007</v>
      </c>
      <c r="T31" s="1141">
        <f t="shared" si="43"/>
        <v>33.439538461538454</v>
      </c>
      <c r="U31" s="1141">
        <f t="shared" si="43"/>
        <v>42.477500000000006</v>
      </c>
      <c r="V31" s="1142">
        <f t="shared" si="43"/>
        <v>43.603750000000005</v>
      </c>
      <c r="W31" s="1141">
        <f t="shared" si="43"/>
        <v>47.446612903225798</v>
      </c>
      <c r="X31" s="1141">
        <f t="shared" si="43"/>
        <v>33.838307692307687</v>
      </c>
      <c r="Y31" s="1141">
        <f t="shared" si="43"/>
        <v>40.372878787878776</v>
      </c>
      <c r="Z31" s="1142">
        <f t="shared" si="43"/>
        <v>32.739843750000006</v>
      </c>
      <c r="AA31" s="1141">
        <f t="shared" si="40"/>
        <v>20.717049180327873</v>
      </c>
      <c r="AB31" s="1141">
        <f t="shared" si="40"/>
        <v>28.650317460317464</v>
      </c>
      <c r="AC31" s="1141">
        <f t="shared" si="40"/>
        <v>33.344531250000003</v>
      </c>
      <c r="AD31" s="1142">
        <f t="shared" si="40"/>
        <v>21.909841269841273</v>
      </c>
      <c r="AE31" s="1144">
        <f t="shared" si="43"/>
        <v>17.523114754098362</v>
      </c>
      <c r="AF31" s="1144">
        <f t="shared" si="43"/>
        <v>16.668125</v>
      </c>
      <c r="AG31" s="1144">
        <f t="shared" si="43"/>
        <v>32.027968749999999</v>
      </c>
      <c r="AH31" s="1145">
        <f t="shared" si="43"/>
        <v>25.693387096774195</v>
      </c>
      <c r="AI31" s="1144">
        <f t="shared" si="41"/>
        <v>23.318548387096779</v>
      </c>
      <c r="AJ31" s="1144">
        <f t="shared" si="41"/>
        <v>16.274843750000002</v>
      </c>
      <c r="AK31" s="1144">
        <f t="shared" si="41"/>
        <v>38.276507936507947</v>
      </c>
      <c r="AL31" s="1145">
        <f t="shared" si="41"/>
        <v>27.148064516129033</v>
      </c>
      <c r="AM31" s="1144">
        <f t="shared" si="33"/>
        <v>21.811311475409838</v>
      </c>
      <c r="AN31" s="1144">
        <f t="shared" si="33"/>
        <v>13.183333333333332</v>
      </c>
      <c r="AO31" s="1144">
        <f t="shared" si="33"/>
        <v>28.649999999999995</v>
      </c>
      <c r="AP31" s="1145">
        <f t="shared" si="33"/>
        <v>23.75</v>
      </c>
      <c r="AQ31" s="1144">
        <f t="shared" ref="AQ31:AX31" si="44">IF(ISBLANK(AQ174),"",AQ174)</f>
        <v>27.40712890369376</v>
      </c>
      <c r="AR31" s="1144">
        <f t="shared" si="44"/>
        <v>18.328876562466629</v>
      </c>
      <c r="AS31" s="1144">
        <f t="shared" si="44"/>
        <v>32.290998834121375</v>
      </c>
      <c r="AT31" s="1145">
        <f t="shared" si="44"/>
        <v>22.389662366118252</v>
      </c>
      <c r="AU31" s="1144">
        <f t="shared" si="44"/>
        <v>30.859744810408912</v>
      </c>
      <c r="AV31" s="1144">
        <f t="shared" si="44"/>
        <v>20.637858688765235</v>
      </c>
      <c r="AW31" s="1144">
        <f t="shared" si="44"/>
        <v>36.358860761949288</v>
      </c>
      <c r="AX31" s="1145">
        <f t="shared" si="44"/>
        <v>25.210202405276569</v>
      </c>
      <c r="AY31" s="1144">
        <f t="shared" si="35"/>
        <v>33.047766221683759</v>
      </c>
      <c r="AZ31" s="1144">
        <f t="shared" si="35"/>
        <v>22.101126676601996</v>
      </c>
      <c r="BA31" s="1144">
        <f t="shared" si="35"/>
        <v>38.936781166847538</v>
      </c>
      <c r="BB31" s="1145">
        <f t="shared" si="35"/>
        <v>26.997659268066712</v>
      </c>
      <c r="BC31" s="954"/>
      <c r="BD31" s="954"/>
      <c r="BE31" s="1052">
        <f t="shared" si="10"/>
        <v>36.018472674251157</v>
      </c>
      <c r="BF31" s="1052">
        <f t="shared" si="11"/>
        <v>29.482578125000003</v>
      </c>
      <c r="BG31" s="1052">
        <f t="shared" si="12"/>
        <v>22.899656335851652</v>
      </c>
      <c r="BH31" s="1058">
        <f t="shared" si="13"/>
        <v>37.460197115384616</v>
      </c>
      <c r="BI31" s="1058">
        <f t="shared" si="14"/>
        <v>38.599410783353065</v>
      </c>
      <c r="BJ31" s="1058">
        <f t="shared" si="15"/>
        <v>26.155434790121653</v>
      </c>
      <c r="BK31" s="1058">
        <f t="shared" si="16"/>
        <v>22.978148900218137</v>
      </c>
      <c r="BL31" s="1058">
        <f t="shared" si="17"/>
        <v>26.254491147433441</v>
      </c>
      <c r="BM31" s="1058">
        <f t="shared" si="18"/>
        <v>21.848661202185792</v>
      </c>
      <c r="BN31" s="1058">
        <f t="shared" si="19"/>
        <v>25.104166666600001</v>
      </c>
      <c r="BO31" s="1058">
        <f t="shared" si="22"/>
        <v>28.266666666600003</v>
      </c>
      <c r="BP31" s="1058">
        <f t="shared" si="20"/>
        <v>30.270833333300001</v>
      </c>
      <c r="BQ31" s="949"/>
      <c r="BR31" s="1062"/>
      <c r="BS31" s="1058"/>
      <c r="BU31" s="922"/>
      <c r="BV31" s="1110" t="s">
        <v>1109</v>
      </c>
      <c r="BW31" s="1063"/>
      <c r="BX31" s="1063">
        <f>BX29-BX30+BY101</f>
        <v>1875.3748724957095</v>
      </c>
      <c r="BY31" s="1064" t="s">
        <v>698</v>
      </c>
    </row>
    <row r="32" spans="1:77" ht="12.75" customHeight="1">
      <c r="A32" s="923"/>
      <c r="B32" s="924"/>
      <c r="C32" s="1122"/>
      <c r="D32" s="1122"/>
      <c r="E32" s="1122"/>
      <c r="F32" s="1131"/>
      <c r="G32" s="1140">
        <f t="shared" si="43"/>
        <v>0</v>
      </c>
      <c r="H32" s="1141">
        <f t="shared" si="43"/>
        <v>0</v>
      </c>
      <c r="I32" s="1141">
        <f t="shared" si="43"/>
        <v>0</v>
      </c>
      <c r="J32" s="1142">
        <f t="shared" si="43"/>
        <v>26.057656249999997</v>
      </c>
      <c r="K32" s="1140">
        <f t="shared" si="43"/>
        <v>44.045515136718748</v>
      </c>
      <c r="L32" s="1141">
        <f t="shared" si="43"/>
        <v>32.527326660156241</v>
      </c>
      <c r="M32" s="1141">
        <f t="shared" si="43"/>
        <v>107.99931884765626</v>
      </c>
      <c r="N32" s="1142">
        <f t="shared" si="43"/>
        <v>25.141532738095243</v>
      </c>
      <c r="O32" s="1140">
        <f t="shared" si="43"/>
        <v>22.386582031250001</v>
      </c>
      <c r="P32" s="1141">
        <f t="shared" si="43"/>
        <v>30.746459960937493</v>
      </c>
      <c r="Q32" s="1141">
        <f t="shared" si="43"/>
        <v>32.112728174603177</v>
      </c>
      <c r="R32" s="1141">
        <f t="shared" si="43"/>
        <v>28.814428710937499</v>
      </c>
      <c r="S32" s="1140">
        <f t="shared" si="43"/>
        <v>26.779603174603171</v>
      </c>
      <c r="T32" s="1141">
        <f t="shared" si="43"/>
        <v>33.793859863281241</v>
      </c>
      <c r="U32" s="1141">
        <f t="shared" si="43"/>
        <v>38.988039550781245</v>
      </c>
      <c r="V32" s="1142">
        <f t="shared" si="43"/>
        <v>36.511301269531252</v>
      </c>
      <c r="W32" s="1140">
        <f t="shared" si="43"/>
        <v>60.688715277777789</v>
      </c>
      <c r="X32" s="1141">
        <f t="shared" si="43"/>
        <v>40.715671386718761</v>
      </c>
      <c r="Y32" s="1141">
        <f t="shared" si="43"/>
        <v>37.175153808593763</v>
      </c>
      <c r="Z32" s="1142">
        <f t="shared" si="43"/>
        <v>34.137402343750011</v>
      </c>
      <c r="AA32" s="1140">
        <f t="shared" si="40"/>
        <v>26.590034722222224</v>
      </c>
      <c r="AB32" s="1141">
        <f t="shared" si="40"/>
        <v>28.270329589843762</v>
      </c>
      <c r="AC32" s="1141">
        <f t="shared" si="40"/>
        <v>35.146574519230789</v>
      </c>
      <c r="AD32" s="1142">
        <f t="shared" si="40"/>
        <v>20.522995605468758</v>
      </c>
      <c r="AE32" s="1144">
        <f t="shared" si="43"/>
        <v>18.654545898437501</v>
      </c>
      <c r="AF32" s="1144">
        <f t="shared" si="43"/>
        <v>20.813508300781255</v>
      </c>
      <c r="AG32" s="1144">
        <f t="shared" si="43"/>
        <v>30.13850830078125</v>
      </c>
      <c r="AH32" s="1145">
        <f t="shared" si="43"/>
        <v>26.087876984126982</v>
      </c>
      <c r="AI32" s="1144">
        <f t="shared" si="41"/>
        <v>21.219472656250005</v>
      </c>
      <c r="AJ32" s="1144">
        <f t="shared" si="41"/>
        <v>26.678684082031253</v>
      </c>
      <c r="AK32" s="1144">
        <f t="shared" si="41"/>
        <v>28.632579365079362</v>
      </c>
      <c r="AL32" s="1145">
        <f t="shared" si="41"/>
        <v>23.46141865079365</v>
      </c>
      <c r="AM32" s="1144">
        <f t="shared" si="33"/>
        <v>30.740278320312502</v>
      </c>
      <c r="AN32" s="1144">
        <f t="shared" si="33"/>
        <v>33.448666666666668</v>
      </c>
      <c r="AO32" s="1144">
        <f t="shared" si="33"/>
        <v>117.70445000000001</v>
      </c>
      <c r="AP32" s="1145">
        <f t="shared" si="33"/>
        <v>24.139100000000003</v>
      </c>
      <c r="AQ32" s="1144">
        <f t="shared" ref="AQ32:AX32" si="45">IF(ISBLANK(AQ175),"",AQ175)</f>
        <v>21.658071060828828</v>
      </c>
      <c r="AR32" s="1144">
        <f t="shared" si="45"/>
        <v>22.479432962685426</v>
      </c>
      <c r="AS32" s="1144">
        <f t="shared" si="45"/>
        <v>68.504257165159913</v>
      </c>
      <c r="AT32" s="1145">
        <f t="shared" si="45"/>
        <v>41.785622144525846</v>
      </c>
      <c r="AU32" s="1144">
        <f t="shared" si="45"/>
        <v>19.257985044248056</v>
      </c>
      <c r="AV32" s="1144">
        <f t="shared" si="45"/>
        <v>19.988325949375007</v>
      </c>
      <c r="AW32" s="1144">
        <f t="shared" si="45"/>
        <v>60.912809651825292</v>
      </c>
      <c r="AX32" s="1145">
        <f t="shared" si="45"/>
        <v>37.155057994951648</v>
      </c>
      <c r="AY32" s="1144">
        <f t="shared" si="35"/>
        <v>17.900765357978706</v>
      </c>
      <c r="AZ32" s="1144">
        <f t="shared" si="35"/>
        <v>18.579634987588069</v>
      </c>
      <c r="BA32" s="1144">
        <f t="shared" si="35"/>
        <v>56.619937670904982</v>
      </c>
      <c r="BB32" s="1145">
        <f t="shared" si="35"/>
        <v>34.536529834328249</v>
      </c>
      <c r="BC32" s="954"/>
      <c r="BD32" s="954"/>
      <c r="BE32" s="1052"/>
      <c r="BF32" s="1052"/>
      <c r="BG32" s="1052"/>
      <c r="BH32" s="1058"/>
      <c r="BI32" s="1058"/>
      <c r="BJ32" s="1058"/>
      <c r="BK32" s="1058"/>
      <c r="BL32" s="1058"/>
      <c r="BM32" s="1058"/>
      <c r="BN32" s="1058"/>
      <c r="BO32" s="1058"/>
      <c r="BP32" s="1058"/>
      <c r="BQ32" s="949"/>
      <c r="BR32" s="968"/>
      <c r="BS32" s="1167"/>
      <c r="BU32" s="922"/>
      <c r="BV32" s="921"/>
      <c r="BW32" s="921"/>
      <c r="BX32" s="921"/>
    </row>
    <row r="33" spans="1:104" ht="12.75" customHeight="1">
      <c r="A33" s="923"/>
      <c r="B33" s="924"/>
      <c r="C33" s="1132" t="s">
        <v>792</v>
      </c>
      <c r="D33" s="1133"/>
      <c r="E33" s="1133"/>
      <c r="F33" s="1134"/>
      <c r="G33" s="1146" t="str">
        <f t="shared" si="43"/>
        <v/>
      </c>
      <c r="H33" s="1147" t="str">
        <f t="shared" si="43"/>
        <v/>
      </c>
      <c r="I33" s="1147" t="str">
        <f t="shared" si="43"/>
        <v/>
      </c>
      <c r="J33" s="1148" t="str">
        <f t="shared" si="43"/>
        <v/>
      </c>
      <c r="K33" s="1146" t="str">
        <f t="shared" si="43"/>
        <v/>
      </c>
      <c r="L33" s="1147" t="str">
        <f t="shared" si="43"/>
        <v/>
      </c>
      <c r="M33" s="1147" t="str">
        <f t="shared" si="43"/>
        <v/>
      </c>
      <c r="N33" s="1148" t="str">
        <f t="shared" si="43"/>
        <v/>
      </c>
      <c r="O33" s="1146" t="str">
        <f t="shared" si="43"/>
        <v/>
      </c>
      <c r="P33" s="1147" t="str">
        <f t="shared" si="43"/>
        <v/>
      </c>
      <c r="Q33" s="1147" t="str">
        <f t="shared" si="43"/>
        <v/>
      </c>
      <c r="R33" s="1147" t="str">
        <f t="shared" si="43"/>
        <v/>
      </c>
      <c r="S33" s="1146" t="str">
        <f t="shared" si="43"/>
        <v/>
      </c>
      <c r="T33" s="1147" t="str">
        <f t="shared" si="43"/>
        <v/>
      </c>
      <c r="U33" s="1147" t="str">
        <f t="shared" si="43"/>
        <v/>
      </c>
      <c r="V33" s="1148" t="str">
        <f t="shared" si="43"/>
        <v/>
      </c>
      <c r="W33" s="1147" t="str">
        <f t="shared" si="43"/>
        <v/>
      </c>
      <c r="X33" s="1147" t="str">
        <f t="shared" si="43"/>
        <v/>
      </c>
      <c r="Y33" s="1147" t="str">
        <f t="shared" si="43"/>
        <v/>
      </c>
      <c r="Z33" s="1448" t="str">
        <f t="shared" si="43"/>
        <v/>
      </c>
      <c r="AA33" s="1147" t="str">
        <f t="shared" si="40"/>
        <v/>
      </c>
      <c r="AB33" s="1147" t="str">
        <f t="shared" si="40"/>
        <v/>
      </c>
      <c r="AC33" s="1147" t="str">
        <f t="shared" si="40"/>
        <v/>
      </c>
      <c r="AD33" s="1448" t="str">
        <f t="shared" si="40"/>
        <v/>
      </c>
      <c r="AE33" s="1153" t="str">
        <f t="shared" si="43"/>
        <v/>
      </c>
      <c r="AF33" s="1153" t="str">
        <f t="shared" si="43"/>
        <v/>
      </c>
      <c r="AG33" s="1153" t="str">
        <f t="shared" si="43"/>
        <v/>
      </c>
      <c r="AH33" s="1152" t="str">
        <f t="shared" si="43"/>
        <v/>
      </c>
      <c r="AI33" s="1153" t="str">
        <f t="shared" si="41"/>
        <v/>
      </c>
      <c r="AJ33" s="1153" t="str">
        <f t="shared" si="41"/>
        <v/>
      </c>
      <c r="AK33" s="1153" t="str">
        <f t="shared" si="41"/>
        <v/>
      </c>
      <c r="AL33" s="1152" t="str">
        <f t="shared" si="41"/>
        <v/>
      </c>
      <c r="AM33" s="1153" t="str">
        <f t="shared" si="33"/>
        <v/>
      </c>
      <c r="AN33" s="1153" t="str">
        <f t="shared" si="33"/>
        <v/>
      </c>
      <c r="AO33" s="1153" t="str">
        <f t="shared" si="33"/>
        <v/>
      </c>
      <c r="AP33" s="1152" t="str">
        <f t="shared" si="33"/>
        <v/>
      </c>
      <c r="AQ33" s="1153" t="str">
        <f t="shared" ref="AQ33:AX33" si="46">IF(ISBLANK(AQ176),"",AQ176)</f>
        <v/>
      </c>
      <c r="AR33" s="1153" t="str">
        <f t="shared" si="46"/>
        <v/>
      </c>
      <c r="AS33" s="1153" t="str">
        <f t="shared" si="46"/>
        <v/>
      </c>
      <c r="AT33" s="1152" t="str">
        <f t="shared" si="46"/>
        <v/>
      </c>
      <c r="AU33" s="1153" t="str">
        <f t="shared" si="46"/>
        <v/>
      </c>
      <c r="AV33" s="1153" t="str">
        <f t="shared" si="46"/>
        <v/>
      </c>
      <c r="AW33" s="1153" t="str">
        <f t="shared" si="46"/>
        <v/>
      </c>
      <c r="AX33" s="1152" t="str">
        <f t="shared" si="46"/>
        <v/>
      </c>
      <c r="AY33" s="1153" t="str">
        <f t="shared" si="35"/>
        <v/>
      </c>
      <c r="AZ33" s="1153" t="str">
        <f t="shared" si="35"/>
        <v/>
      </c>
      <c r="BA33" s="1153" t="str">
        <f t="shared" si="35"/>
        <v/>
      </c>
      <c r="BB33" s="1152" t="str">
        <f t="shared" si="35"/>
        <v/>
      </c>
      <c r="BC33" s="961"/>
      <c r="BD33" s="962"/>
      <c r="BE33" s="1054"/>
      <c r="BF33" s="1054"/>
      <c r="BG33" s="1054"/>
      <c r="BH33" s="1054"/>
      <c r="BI33" s="1054"/>
      <c r="BJ33" s="1066"/>
      <c r="BK33" s="1054"/>
      <c r="BL33" s="1054"/>
      <c r="BM33" s="1054"/>
      <c r="BN33" s="1054"/>
      <c r="BO33" s="1054"/>
      <c r="BP33" s="1054"/>
      <c r="BQ33" s="949"/>
      <c r="BR33" s="968"/>
      <c r="BU33" s="922"/>
      <c r="BV33" s="921"/>
      <c r="BW33" s="921"/>
      <c r="BX33" s="921"/>
    </row>
    <row r="34" spans="1:104" ht="12.75" customHeight="1">
      <c r="A34" s="923"/>
      <c r="B34" s="924"/>
      <c r="C34" s="1122" t="s">
        <v>674</v>
      </c>
      <c r="D34" s="1122"/>
      <c r="E34" s="1122"/>
      <c r="F34" s="1128"/>
      <c r="G34" s="1140">
        <f t="shared" si="43"/>
        <v>44.804086956521751</v>
      </c>
      <c r="H34" s="1141">
        <f t="shared" si="43"/>
        <v>38.409404761904753</v>
      </c>
      <c r="I34" s="1141">
        <f t="shared" si="43"/>
        <v>41.222355072463778</v>
      </c>
      <c r="J34" s="1142">
        <f t="shared" si="43"/>
        <v>42.090868115942037</v>
      </c>
      <c r="K34" s="1140">
        <f t="shared" si="43"/>
        <v>51.30131863929148</v>
      </c>
      <c r="L34" s="1141">
        <f t="shared" si="43"/>
        <v>37.850595238095231</v>
      </c>
      <c r="M34" s="1141">
        <f t="shared" si="43"/>
        <v>39.460384963768135</v>
      </c>
      <c r="N34" s="1142">
        <f t="shared" si="43"/>
        <v>32.516622101449258</v>
      </c>
      <c r="O34" s="1140">
        <f t="shared" si="43"/>
        <v>27.601070632266282</v>
      </c>
      <c r="P34" s="1141">
        <f t="shared" si="43"/>
        <v>22.926753663003662</v>
      </c>
      <c r="Q34" s="1141">
        <f t="shared" si="43"/>
        <v>30.926911231884059</v>
      </c>
      <c r="R34" s="1141">
        <f t="shared" si="43"/>
        <v>38.427999456521725</v>
      </c>
      <c r="S34" s="1140">
        <f t="shared" si="43"/>
        <v>72.617844806763287</v>
      </c>
      <c r="T34" s="1141">
        <f t="shared" si="43"/>
        <v>34.133154761904763</v>
      </c>
      <c r="U34" s="1141">
        <f t="shared" si="43"/>
        <v>30.454148550724629</v>
      </c>
      <c r="V34" s="1142">
        <f t="shared" si="43"/>
        <v>51.12213387681161</v>
      </c>
      <c r="W34" s="1141">
        <f t="shared" si="43"/>
        <v>125.17613546698865</v>
      </c>
      <c r="X34" s="1141">
        <f t="shared" si="43"/>
        <v>32.324491758241756</v>
      </c>
      <c r="Y34" s="1141">
        <f t="shared" si="43"/>
        <v>26.776259057971</v>
      </c>
      <c r="Z34" s="1142">
        <f t="shared" si="43"/>
        <v>31.050057065217377</v>
      </c>
      <c r="AA34" s="1141">
        <f t="shared" si="40"/>
        <v>74.709404790660244</v>
      </c>
      <c r="AB34" s="1141">
        <f t="shared" si="40"/>
        <v>18.747051282051284</v>
      </c>
      <c r="AC34" s="1141">
        <f t="shared" si="40"/>
        <v>22.344044384057977</v>
      </c>
      <c r="AD34" s="1142">
        <f t="shared" si="40"/>
        <v>20.198206884057964</v>
      </c>
      <c r="AE34" s="1144">
        <f t="shared" si="43"/>
        <v>22.403306059882148</v>
      </c>
      <c r="AF34" s="1144">
        <f t="shared" si="43"/>
        <v>18.611707875457874</v>
      </c>
      <c r="AG34" s="1144">
        <f t="shared" si="43"/>
        <v>21.732721920289862</v>
      </c>
      <c r="AH34" s="1145">
        <f t="shared" si="43"/>
        <v>28.745413949275392</v>
      </c>
      <c r="AI34" s="1144">
        <f t="shared" si="41"/>
        <v>30.265937600644122</v>
      </c>
      <c r="AJ34" s="1144">
        <f t="shared" si="41"/>
        <v>22.968333333333337</v>
      </c>
      <c r="AK34" s="1144">
        <f t="shared" si="41"/>
        <v>19.421938405797103</v>
      </c>
      <c r="AL34" s="1145">
        <f t="shared" si="41"/>
        <v>41.756125543478241</v>
      </c>
      <c r="AM34" s="1144">
        <f t="shared" si="33"/>
        <v>55.496529991948492</v>
      </c>
      <c r="AN34" s="1144">
        <f t="shared" si="33"/>
        <v>24.166666666666668</v>
      </c>
      <c r="AO34" s="1144">
        <f t="shared" si="33"/>
        <v>23.3</v>
      </c>
      <c r="AP34" s="1145">
        <f t="shared" si="33"/>
        <v>33.699999999999996</v>
      </c>
      <c r="AQ34" s="1144">
        <f t="shared" ref="AQ34:AX34" si="47">IF(ISBLANK(AQ177),"",AQ177)</f>
        <v>56.863680246618699</v>
      </c>
      <c r="AR34" s="1144">
        <f t="shared" si="47"/>
        <v>22.402357917897525</v>
      </c>
      <c r="AS34" s="1144">
        <f t="shared" si="47"/>
        <v>23.701528116853666</v>
      </c>
      <c r="AT34" s="1145">
        <f t="shared" si="47"/>
        <v>32.932400385030085</v>
      </c>
      <c r="AU34" s="1144">
        <f t="shared" si="47"/>
        <v>56.696324969164479</v>
      </c>
      <c r="AV34" s="1144">
        <f t="shared" si="47"/>
        <v>22.336425624934453</v>
      </c>
      <c r="AW34" s="1144">
        <f t="shared" si="47"/>
        <v>23.631772241101658</v>
      </c>
      <c r="AX34" s="1145">
        <f t="shared" si="47"/>
        <v>32.8354771647994</v>
      </c>
      <c r="AY34" s="1144">
        <f t="shared" si="35"/>
        <v>57.030965787007425</v>
      </c>
      <c r="AZ34" s="1144">
        <f t="shared" si="35"/>
        <v>22.468262736826301</v>
      </c>
      <c r="BA34" s="1144">
        <f t="shared" si="35"/>
        <v>23.771254925281653</v>
      </c>
      <c r="BB34" s="1145">
        <f t="shared" si="35"/>
        <v>33.0292832172846</v>
      </c>
      <c r="BC34" s="954"/>
      <c r="BD34" s="954"/>
      <c r="BE34" s="1052">
        <f t="shared" ref="BE34:BE49" si="48">AVERAGE(G34:J34)</f>
        <v>41.631678726708081</v>
      </c>
      <c r="BF34" s="1052">
        <f t="shared" ref="BF34:BF49" si="49">AVERAGE(K34:N34)</f>
        <v>40.282230235651021</v>
      </c>
      <c r="BG34" s="1052">
        <f t="shared" ref="BG34:BG49" si="50">AVERAGE(O34:R34)</f>
        <v>29.970683745918933</v>
      </c>
      <c r="BH34" s="1052">
        <f t="shared" ref="BH34:BH49" si="51">AVERAGE(S34:V34)</f>
        <v>47.081820499051069</v>
      </c>
      <c r="BI34" s="1052">
        <f t="shared" ref="BI34:BI49" si="52">AVERAGE(W34:Z34)</f>
        <v>53.831735837104695</v>
      </c>
      <c r="BJ34" s="1052">
        <f t="shared" ref="BJ34:BJ49" si="53">AVERAGE(AA34:AD34)</f>
        <v>33.99967683520687</v>
      </c>
      <c r="BK34" s="1058">
        <f t="shared" ref="BK34:BK49" si="54">AVERAGE(AE34:AH34)</f>
        <v>22.873287451226318</v>
      </c>
      <c r="BL34" s="1058">
        <f t="shared" ref="BL34:BL49" si="55">AVERAGE(AI34:AL34)</f>
        <v>28.603083720813203</v>
      </c>
      <c r="BM34" s="1058">
        <f t="shared" ref="BM34:BM49" si="56">AVERAGE(AM34:AP34)</f>
        <v>34.165799164653791</v>
      </c>
      <c r="BN34" s="1058">
        <f t="shared" ref="BN34:BN49" si="57">AVERAGE(AQ34:AT34)</f>
        <v>33.974991666599998</v>
      </c>
      <c r="BO34" s="1058">
        <f t="shared" ref="BO34:BO49" si="58">AVERAGE(AU34:AX34)</f>
        <v>33.875</v>
      </c>
      <c r="BP34" s="1058">
        <f t="shared" ref="BP34:BP49" si="59">AVERAGE(AY34:BB34)</f>
        <v>34.074941666599997</v>
      </c>
      <c r="BQ34" s="949"/>
      <c r="BR34" s="969"/>
      <c r="BS34" s="970"/>
      <c r="BU34" s="922"/>
      <c r="BV34" s="1043" t="s">
        <v>991</v>
      </c>
      <c r="BW34" s="921"/>
      <c r="BX34" s="921"/>
    </row>
    <row r="35" spans="1:104" ht="12.75" customHeight="1">
      <c r="A35" s="923"/>
      <c r="B35" s="924"/>
      <c r="C35" s="1122" t="s">
        <v>675</v>
      </c>
      <c r="D35" s="1122"/>
      <c r="E35" s="1122"/>
      <c r="F35" s="1128"/>
      <c r="G35" s="1140">
        <f t="shared" si="43"/>
        <v>30.611880233494375</v>
      </c>
      <c r="H35" s="1141">
        <f t="shared" si="43"/>
        <v>32.835989010988996</v>
      </c>
      <c r="I35" s="1141">
        <f t="shared" si="43"/>
        <v>38.537432065217374</v>
      </c>
      <c r="J35" s="1142">
        <f t="shared" si="43"/>
        <v>34.208417028985515</v>
      </c>
      <c r="K35" s="1140">
        <f t="shared" si="43"/>
        <v>35.779313405797105</v>
      </c>
      <c r="L35" s="1141">
        <f t="shared" si="43"/>
        <v>31.184803113553112</v>
      </c>
      <c r="M35" s="1141">
        <f t="shared" si="43"/>
        <v>33.652490942028983</v>
      </c>
      <c r="N35" s="1142">
        <f t="shared" si="43"/>
        <v>27.712640036231885</v>
      </c>
      <c r="O35" s="1140">
        <f t="shared" si="43"/>
        <v>23.968829033285562</v>
      </c>
      <c r="P35" s="1141">
        <f t="shared" si="43"/>
        <v>20.569913003663</v>
      </c>
      <c r="Q35" s="1141">
        <f t="shared" si="43"/>
        <v>27.271308876811592</v>
      </c>
      <c r="R35" s="1141">
        <f t="shared" si="43"/>
        <v>30.6151650362319</v>
      </c>
      <c r="S35" s="1140">
        <f t="shared" si="43"/>
        <v>35.609952294685982</v>
      </c>
      <c r="T35" s="1141">
        <f t="shared" si="43"/>
        <v>28.352330586080591</v>
      </c>
      <c r="U35" s="1141">
        <f t="shared" si="43"/>
        <v>26.087404891304349</v>
      </c>
      <c r="V35" s="1142">
        <f t="shared" si="43"/>
        <v>29.252230615942018</v>
      </c>
      <c r="W35" s="1141">
        <f t="shared" si="43"/>
        <v>74.738565619967801</v>
      </c>
      <c r="X35" s="1141">
        <f t="shared" si="43"/>
        <v>27.261304945054935</v>
      </c>
      <c r="Y35" s="1141">
        <f t="shared" si="43"/>
        <v>23.849180253623189</v>
      </c>
      <c r="Z35" s="1142">
        <f t="shared" si="43"/>
        <v>21.799227355072471</v>
      </c>
      <c r="AA35" s="1141">
        <f t="shared" si="40"/>
        <v>37.643325281803556</v>
      </c>
      <c r="AB35" s="1141">
        <f t="shared" si="40"/>
        <v>18.227133699633701</v>
      </c>
      <c r="AC35" s="1141">
        <f t="shared" si="40"/>
        <v>20.449230072463759</v>
      </c>
      <c r="AD35" s="1142">
        <f t="shared" si="40"/>
        <v>14.298236956521748</v>
      </c>
      <c r="AE35" s="1144">
        <f t="shared" si="43"/>
        <v>13.624288899506292</v>
      </c>
      <c r="AF35" s="1144">
        <f t="shared" si="43"/>
        <v>15.5952152014652</v>
      </c>
      <c r="AG35" s="1144">
        <f t="shared" si="43"/>
        <v>19.290855978260876</v>
      </c>
      <c r="AH35" s="1145">
        <f t="shared" si="43"/>
        <v>17.244110869565226</v>
      </c>
      <c r="AI35" s="1144">
        <f t="shared" si="41"/>
        <v>19.385393719806771</v>
      </c>
      <c r="AJ35" s="1144">
        <f t="shared" si="41"/>
        <v>14.500613553113546</v>
      </c>
      <c r="AK35" s="1144">
        <f t="shared" si="41"/>
        <v>17.318980978260868</v>
      </c>
      <c r="AL35" s="1145">
        <f t="shared" si="41"/>
        <v>19.652653804347828</v>
      </c>
      <c r="AM35" s="1144">
        <f t="shared" si="33"/>
        <v>32.735488727858289</v>
      </c>
      <c r="AN35" s="1144">
        <f t="shared" si="33"/>
        <v>32.93333333333333</v>
      </c>
      <c r="AO35" s="1144">
        <f t="shared" si="33"/>
        <v>29.3</v>
      </c>
      <c r="AP35" s="1145">
        <f t="shared" si="33"/>
        <v>33.083333333333336</v>
      </c>
      <c r="AQ35" s="1144">
        <f t="shared" ref="AQ35:AX35" si="60">IF(ISBLANK(AQ178),"",AQ178)</f>
        <v>50.208915257706202</v>
      </c>
      <c r="AR35" s="1144">
        <f t="shared" si="60"/>
        <v>32.014743875122768</v>
      </c>
      <c r="AS35" s="1144">
        <f t="shared" si="60"/>
        <v>27.396223447236203</v>
      </c>
      <c r="AT35" s="1145">
        <f t="shared" si="60"/>
        <v>24.304750753134826</v>
      </c>
      <c r="AU35" s="1144">
        <f t="shared" si="60"/>
        <v>49.683624405377643</v>
      </c>
      <c r="AV35" s="1144">
        <f t="shared" si="60"/>
        <v>31.679802321198988</v>
      </c>
      <c r="AW35" s="1144">
        <f t="shared" si="60"/>
        <v>27.109601330599784</v>
      </c>
      <c r="AX35" s="1145">
        <f t="shared" si="60"/>
        <v>24.050471942823588</v>
      </c>
      <c r="AY35" s="1144">
        <f t="shared" si="35"/>
        <v>49.75851777917272</v>
      </c>
      <c r="AZ35" s="1144">
        <f t="shared" si="35"/>
        <v>31.727556632712918</v>
      </c>
      <c r="BA35" s="1144">
        <f t="shared" si="35"/>
        <v>27.150466495534658</v>
      </c>
      <c r="BB35" s="1145">
        <f t="shared" si="35"/>
        <v>24.0867257589797</v>
      </c>
      <c r="BC35" s="954"/>
      <c r="BD35" s="954"/>
      <c r="BE35" s="1052">
        <f t="shared" si="48"/>
        <v>34.048429584671567</v>
      </c>
      <c r="BF35" s="1052">
        <f t="shared" si="49"/>
        <v>32.08231187440277</v>
      </c>
      <c r="BG35" s="1052">
        <f t="shared" si="50"/>
        <v>25.606303987498013</v>
      </c>
      <c r="BH35" s="1052">
        <f t="shared" si="51"/>
        <v>29.825479597003238</v>
      </c>
      <c r="BI35" s="1052">
        <f t="shared" si="52"/>
        <v>36.912069543429595</v>
      </c>
      <c r="BJ35" s="1052">
        <f t="shared" si="53"/>
        <v>22.654481502605691</v>
      </c>
      <c r="BK35" s="1058">
        <f t="shared" si="54"/>
        <v>16.438617737199401</v>
      </c>
      <c r="BL35" s="1058">
        <f t="shared" si="55"/>
        <v>17.714410513882253</v>
      </c>
      <c r="BM35" s="1058">
        <f t="shared" si="56"/>
        <v>32.01303884863124</v>
      </c>
      <c r="BN35" s="1058">
        <f t="shared" si="57"/>
        <v>33.481158333300002</v>
      </c>
      <c r="BO35" s="1058">
        <f t="shared" si="58"/>
        <v>33.130875000000003</v>
      </c>
      <c r="BP35" s="1058">
        <f t="shared" si="59"/>
        <v>33.180816666600002</v>
      </c>
      <c r="BQ35" s="949"/>
      <c r="BR35" s="969"/>
      <c r="BS35" s="970"/>
      <c r="BU35" s="922"/>
      <c r="BV35" s="960" t="s">
        <v>992</v>
      </c>
      <c r="BW35" s="960" t="s">
        <v>1053</v>
      </c>
      <c r="BX35" s="1168">
        <v>2021</v>
      </c>
      <c r="BY35" s="1168" t="s">
        <v>269</v>
      </c>
      <c r="BZ35" s="1168" t="s">
        <v>270</v>
      </c>
      <c r="CA35" s="1168" t="s">
        <v>272</v>
      </c>
      <c r="CB35" s="1168" t="s">
        <v>271</v>
      </c>
      <c r="CC35" s="1168" t="s">
        <v>273</v>
      </c>
    </row>
    <row r="36" spans="1:104" ht="12.75" customHeight="1">
      <c r="A36" s="923"/>
      <c r="B36" s="924"/>
      <c r="C36" s="1122" t="s">
        <v>676</v>
      </c>
      <c r="D36" s="1122"/>
      <c r="E36" s="1122"/>
      <c r="F36" s="1128"/>
      <c r="G36" s="1140">
        <f t="shared" si="43"/>
        <v>42.842352657004845</v>
      </c>
      <c r="H36" s="1141">
        <f t="shared" si="43"/>
        <v>38.993859890109889</v>
      </c>
      <c r="I36" s="1141">
        <f t="shared" si="43"/>
        <v>43.926820652173916</v>
      </c>
      <c r="J36" s="1142">
        <f t="shared" si="43"/>
        <v>40.879857427536237</v>
      </c>
      <c r="K36" s="1140">
        <f t="shared" si="43"/>
        <v>49.229429347826084</v>
      </c>
      <c r="L36" s="1141">
        <f t="shared" si="43"/>
        <v>35.886799450549439</v>
      </c>
      <c r="M36" s="1141">
        <f t="shared" si="43"/>
        <v>39.740421195652168</v>
      </c>
      <c r="N36" s="1142">
        <f t="shared" si="43"/>
        <v>30.484731521739121</v>
      </c>
      <c r="O36" s="1140">
        <f t="shared" si="43"/>
        <v>27.569314580347193</v>
      </c>
      <c r="P36" s="1141">
        <f t="shared" si="43"/>
        <v>22.281291208791199</v>
      </c>
      <c r="Q36" s="1141">
        <f t="shared" si="43"/>
        <v>30.822210144927531</v>
      </c>
      <c r="R36" s="1141">
        <f t="shared" si="43"/>
        <v>36.205649818840577</v>
      </c>
      <c r="S36" s="1140">
        <f t="shared" si="43"/>
        <v>56.707361111111105</v>
      </c>
      <c r="T36" s="1141">
        <f t="shared" si="43"/>
        <v>33.444134615384613</v>
      </c>
      <c r="U36" s="1141">
        <f t="shared" si="43"/>
        <v>31.241820652173907</v>
      </c>
      <c r="V36" s="1142">
        <f t="shared" si="43"/>
        <v>36.510255434782614</v>
      </c>
      <c r="W36" s="1141">
        <f t="shared" si="43"/>
        <v>104.25991747181963</v>
      </c>
      <c r="X36" s="1141">
        <f t="shared" si="43"/>
        <v>30.387303113553116</v>
      </c>
      <c r="Y36" s="1141">
        <f t="shared" si="43"/>
        <v>25.834510869565232</v>
      </c>
      <c r="Z36" s="1142">
        <f t="shared" si="43"/>
        <v>26.259342210144922</v>
      </c>
      <c r="AA36" s="1141">
        <f t="shared" si="40"/>
        <v>58.731627415458931</v>
      </c>
      <c r="AB36" s="1141">
        <f t="shared" si="40"/>
        <v>19.32760989010988</v>
      </c>
      <c r="AC36" s="1141">
        <f t="shared" si="40"/>
        <v>22.11728713768116</v>
      </c>
      <c r="AD36" s="1142">
        <f t="shared" si="40"/>
        <v>17.28061014492754</v>
      </c>
      <c r="AE36" s="1144">
        <f t="shared" si="43"/>
        <v>20.397999084249086</v>
      </c>
      <c r="AF36" s="1144">
        <f t="shared" si="43"/>
        <v>19.320544871794873</v>
      </c>
      <c r="AG36" s="1144">
        <f t="shared" si="43"/>
        <v>22.198464673913044</v>
      </c>
      <c r="AH36" s="1145">
        <f t="shared" si="43"/>
        <v>25.744134963768118</v>
      </c>
      <c r="AI36" s="1144">
        <f t="shared" si="41"/>
        <v>29.326884259259263</v>
      </c>
      <c r="AJ36" s="1144">
        <f t="shared" si="41"/>
        <v>21.279184981684978</v>
      </c>
      <c r="AK36" s="1144">
        <f t="shared" si="41"/>
        <v>19.207495471014489</v>
      </c>
      <c r="AL36" s="1145">
        <f t="shared" si="41"/>
        <v>28.660226630434785</v>
      </c>
      <c r="AM36" s="1144">
        <f t="shared" si="33"/>
        <v>44.676771739130423</v>
      </c>
      <c r="AN36" s="1144">
        <f t="shared" si="33"/>
        <v>38.200000000000003</v>
      </c>
      <c r="AO36" s="1144">
        <f t="shared" si="33"/>
        <v>32.6</v>
      </c>
      <c r="AP36" s="1145">
        <f t="shared" si="33"/>
        <v>41.800000000000004</v>
      </c>
      <c r="AQ36" s="1144">
        <f t="shared" ref="AQ36:AX36" si="61">IF(ISBLANK(AQ179),"",AQ179)</f>
        <v>67.7166668198211</v>
      </c>
      <c r="AR36" s="1144">
        <f t="shared" si="61"/>
        <v>38.042079509049643</v>
      </c>
      <c r="AS36" s="1144">
        <f t="shared" si="61"/>
        <v>31.175086966580828</v>
      </c>
      <c r="AT36" s="1145">
        <f t="shared" si="61"/>
        <v>28.982800037748426</v>
      </c>
      <c r="AU36" s="1144">
        <f t="shared" si="61"/>
        <v>68.226851296430993</v>
      </c>
      <c r="AV36" s="1144">
        <f t="shared" si="61"/>
        <v>38.328692529668608</v>
      </c>
      <c r="AW36" s="1144">
        <f t="shared" si="61"/>
        <v>31.409963344498731</v>
      </c>
      <c r="AX36" s="1145">
        <f t="shared" si="61"/>
        <v>29.201159495801665</v>
      </c>
      <c r="AY36" s="1144">
        <f t="shared" si="35"/>
        <v>68.716520101812705</v>
      </c>
      <c r="AZ36" s="1144">
        <f t="shared" si="35"/>
        <v>38.603780192754527</v>
      </c>
      <c r="BA36" s="1144">
        <f t="shared" si="35"/>
        <v>31.635394812252667</v>
      </c>
      <c r="BB36" s="1145">
        <f t="shared" si="35"/>
        <v>29.410738226380104</v>
      </c>
      <c r="BC36" s="954"/>
      <c r="BD36" s="954"/>
      <c r="BE36" s="1052">
        <f t="shared" si="48"/>
        <v>41.660722656706227</v>
      </c>
      <c r="BF36" s="1052">
        <f t="shared" si="49"/>
        <v>38.835345378941703</v>
      </c>
      <c r="BG36" s="1052">
        <f t="shared" si="50"/>
        <v>29.219616438226623</v>
      </c>
      <c r="BH36" s="1052">
        <f t="shared" si="51"/>
        <v>39.475892953363058</v>
      </c>
      <c r="BI36" s="1052">
        <f t="shared" si="52"/>
        <v>46.685268416270723</v>
      </c>
      <c r="BJ36" s="1052">
        <f t="shared" si="53"/>
        <v>29.364283647044378</v>
      </c>
      <c r="BK36" s="1058">
        <f t="shared" si="54"/>
        <v>21.915285898431279</v>
      </c>
      <c r="BL36" s="1058">
        <f t="shared" si="55"/>
        <v>24.618447835598374</v>
      </c>
      <c r="BM36" s="1058">
        <f t="shared" si="56"/>
        <v>39.319192934782606</v>
      </c>
      <c r="BN36" s="1058">
        <f t="shared" si="57"/>
        <v>41.479158333299999</v>
      </c>
      <c r="BO36" s="1058">
        <f t="shared" si="58"/>
        <v>41.791666666600001</v>
      </c>
      <c r="BP36" s="1058">
        <f t="shared" si="59"/>
        <v>42.091608333300002</v>
      </c>
      <c r="BQ36" s="949"/>
      <c r="BR36" s="969"/>
      <c r="BS36" s="970"/>
      <c r="BU36" s="922"/>
      <c r="BV36" s="964" t="s">
        <v>678</v>
      </c>
      <c r="BW36" s="1384">
        <f>BX36+BY102</f>
        <v>14319.999999999998</v>
      </c>
      <c r="BX36" s="64">
        <f>((BZ36*4/1000)+CB36)/CA36*1000</f>
        <v>14319.999999999998</v>
      </c>
      <c r="BY36" s="1378">
        <f>HLOOKUP(CA36,$CB$52:$CZ$57,BZ53,TRUE)</f>
        <v>0.5357142857142857</v>
      </c>
      <c r="BZ36" s="64">
        <v>11200</v>
      </c>
      <c r="CA36" s="1169">
        <f>$BW$8+$BX$58</f>
        <v>2.5</v>
      </c>
      <c r="CB36" s="1169">
        <f>BY36*(CA36-4)*BZ36/1000</f>
        <v>-9</v>
      </c>
      <c r="CC36" s="1169">
        <f>(BX36*CA36-4*BZ36)/1000</f>
        <v>-9.0000000000000071</v>
      </c>
    </row>
    <row r="37" spans="1:104" ht="12.75" customHeight="1">
      <c r="A37" s="923"/>
      <c r="B37" s="924"/>
      <c r="C37" s="1129" t="s">
        <v>677</v>
      </c>
      <c r="D37" s="1122"/>
      <c r="E37" s="1122"/>
      <c r="F37" s="1128"/>
      <c r="G37" s="1140">
        <f t="shared" si="43"/>
        <v>43.763039855072456</v>
      </c>
      <c r="H37" s="1141">
        <f t="shared" si="43"/>
        <v>41.705434981684988</v>
      </c>
      <c r="I37" s="1141">
        <f t="shared" si="43"/>
        <v>47.003220108695643</v>
      </c>
      <c r="J37" s="1142">
        <f t="shared" si="43"/>
        <v>41.219209057971007</v>
      </c>
      <c r="K37" s="1140">
        <f t="shared" si="43"/>
        <v>51.080749798711743</v>
      </c>
      <c r="L37" s="1141">
        <f t="shared" si="43"/>
        <v>37.080599816849826</v>
      </c>
      <c r="M37" s="1141">
        <f t="shared" si="43"/>
        <v>42.037432065217381</v>
      </c>
      <c r="N37" s="1142">
        <f t="shared" si="43"/>
        <v>30.768373369565197</v>
      </c>
      <c r="O37" s="1140">
        <f t="shared" si="43"/>
        <v>28.248588549132045</v>
      </c>
      <c r="P37" s="1141">
        <f t="shared" si="43"/>
        <v>22.741620879120877</v>
      </c>
      <c r="Q37" s="1141">
        <f t="shared" si="43"/>
        <v>32.049044384057972</v>
      </c>
      <c r="R37" s="1141">
        <f t="shared" si="43"/>
        <v>36.959637137681163</v>
      </c>
      <c r="S37" s="1140">
        <f t="shared" si="43"/>
        <v>58.074166062801964</v>
      </c>
      <c r="T37" s="1141">
        <f t="shared" si="43"/>
        <v>34.010100732600726</v>
      </c>
      <c r="U37" s="1141">
        <f t="shared" si="43"/>
        <v>33.497015398550722</v>
      </c>
      <c r="V37" s="1142">
        <f t="shared" si="43"/>
        <v>35.902980434782606</v>
      </c>
      <c r="W37" s="1141">
        <f t="shared" si="43"/>
        <v>104.53095511272141</v>
      </c>
      <c r="X37" s="1141">
        <f t="shared" si="43"/>
        <v>30.633470695970686</v>
      </c>
      <c r="Y37" s="1141">
        <f t="shared" si="43"/>
        <v>26.27728260869565</v>
      </c>
      <c r="Z37" s="1142">
        <f t="shared" si="43"/>
        <v>26.346719927536238</v>
      </c>
      <c r="AA37" s="1141">
        <f t="shared" si="40"/>
        <v>59.086149154589357</v>
      </c>
      <c r="AB37" s="1141">
        <f t="shared" si="40"/>
        <v>19.830306776556778</v>
      </c>
      <c r="AC37" s="1141">
        <f t="shared" si="40"/>
        <v>23.797971014492759</v>
      </c>
      <c r="AD37" s="1142">
        <f t="shared" si="40"/>
        <v>17.491895833333331</v>
      </c>
      <c r="AE37" s="1144">
        <f t="shared" si="43"/>
        <v>21.25929785793916</v>
      </c>
      <c r="AF37" s="1144">
        <f t="shared" si="43"/>
        <v>20.53872252747253</v>
      </c>
      <c r="AG37" s="1144">
        <f t="shared" si="43"/>
        <v>24.140729166666659</v>
      </c>
      <c r="AH37" s="1145">
        <f t="shared" si="43"/>
        <v>25.848853442028986</v>
      </c>
      <c r="AI37" s="1144">
        <f t="shared" si="41"/>
        <v>29.471096215781014</v>
      </c>
      <c r="AJ37" s="1144">
        <f t="shared" si="41"/>
        <v>22.852271062271065</v>
      </c>
      <c r="AK37" s="1144">
        <f t="shared" si="41"/>
        <v>20.054769021739126</v>
      </c>
      <c r="AL37" s="1145">
        <f t="shared" si="41"/>
        <v>29.040597463768133</v>
      </c>
      <c r="AM37" s="1144">
        <f t="shared" si="33"/>
        <v>46.970595410628015</v>
      </c>
      <c r="AN37" s="1144">
        <f t="shared" si="33"/>
        <v>39.85</v>
      </c>
      <c r="AO37" s="1144">
        <f t="shared" si="33"/>
        <v>34.283333333333331</v>
      </c>
      <c r="AP37" s="1145">
        <f t="shared" si="33"/>
        <v>43.066666666666663</v>
      </c>
      <c r="AQ37" s="1144">
        <f t="shared" ref="AQ37:AX37" si="62">IF(ISBLANK(AQ180),"",AQ180)</f>
        <v>70.748332973984347</v>
      </c>
      <c r="AR37" s="1144">
        <f t="shared" si="62"/>
        <v>40.060601265759729</v>
      </c>
      <c r="AS37" s="1144">
        <f t="shared" si="62"/>
        <v>33.256854743843881</v>
      </c>
      <c r="AT37" s="1145">
        <f t="shared" si="62"/>
        <v>29.784177682812054</v>
      </c>
      <c r="AU37" s="1144">
        <f t="shared" si="62"/>
        <v>71.419814884174826</v>
      </c>
      <c r="AV37" s="1144">
        <f t="shared" si="62"/>
        <v>40.440821801432321</v>
      </c>
      <c r="AW37" s="1144">
        <f t="shared" si="62"/>
        <v>33.572500009415513</v>
      </c>
      <c r="AX37" s="1145">
        <f t="shared" si="62"/>
        <v>30.066863304977336</v>
      </c>
      <c r="AY37" s="1144">
        <f t="shared" si="35"/>
        <v>72.233620953267874</v>
      </c>
      <c r="AZ37" s="1144">
        <f t="shared" si="35"/>
        <v>40.901632100009685</v>
      </c>
      <c r="BA37" s="1144">
        <f t="shared" si="35"/>
        <v>33.955047966261908</v>
      </c>
      <c r="BB37" s="1145">
        <f t="shared" si="35"/>
        <v>30.409465646860522</v>
      </c>
      <c r="BC37" s="954"/>
      <c r="BD37" s="954"/>
      <c r="BE37" s="1052">
        <f t="shared" si="48"/>
        <v>43.422726000856024</v>
      </c>
      <c r="BF37" s="1052">
        <f t="shared" si="49"/>
        <v>40.24178876258604</v>
      </c>
      <c r="BG37" s="1052">
        <f t="shared" si="50"/>
        <v>29.999722737498018</v>
      </c>
      <c r="BH37" s="1052">
        <f t="shared" si="51"/>
        <v>40.371065657184005</v>
      </c>
      <c r="BI37" s="1052">
        <f t="shared" si="52"/>
        <v>46.947107086231</v>
      </c>
      <c r="BJ37" s="1052">
        <f t="shared" si="53"/>
        <v>30.051580694743055</v>
      </c>
      <c r="BK37" s="1058">
        <f t="shared" si="54"/>
        <v>22.946900748526833</v>
      </c>
      <c r="BL37" s="1058">
        <f t="shared" si="55"/>
        <v>25.354683440889836</v>
      </c>
      <c r="BM37" s="1058">
        <f t="shared" si="56"/>
        <v>41.042648852657003</v>
      </c>
      <c r="BN37" s="1058">
        <f t="shared" si="57"/>
        <v>43.462491666600002</v>
      </c>
      <c r="BO37" s="1058">
        <f t="shared" si="58"/>
        <v>43.875</v>
      </c>
      <c r="BP37" s="1058">
        <f t="shared" si="59"/>
        <v>44.374941666599995</v>
      </c>
      <c r="BQ37" s="949"/>
      <c r="BR37" s="969"/>
      <c r="BS37" s="970"/>
      <c r="BU37" s="922"/>
      <c r="BV37" s="964" t="s">
        <v>601</v>
      </c>
      <c r="BW37" s="1384">
        <f>BX37+BY103</f>
        <v>14408.571428571429</v>
      </c>
      <c r="BX37" s="64">
        <f>((BZ37*4/1000)+CB37)/CA37*1000</f>
        <v>14408.571428571429</v>
      </c>
      <c r="BY37" s="1378">
        <f>HLOOKUP(CA37,$CB$52:$CZ$57,BZ54,TRUE)</f>
        <v>0.7142857142857143</v>
      </c>
      <c r="BZ37" s="64">
        <v>12300</v>
      </c>
      <c r="CA37" s="1169">
        <f>$BW$8+$BX$58</f>
        <v>2.5</v>
      </c>
      <c r="CB37" s="1169">
        <f>BY37*(CA37-4)*BZ37/1000</f>
        <v>-13.178571428571427</v>
      </c>
      <c r="CC37" s="1169">
        <f>(BX37*CA37-4*BZ37)/1000</f>
        <v>-13.178571428571427</v>
      </c>
    </row>
    <row r="38" spans="1:104" ht="12.75" customHeight="1">
      <c r="A38" s="923"/>
      <c r="B38" s="924"/>
      <c r="C38" s="1129" t="s">
        <v>678</v>
      </c>
      <c r="D38" s="1122"/>
      <c r="E38" s="1122"/>
      <c r="F38" s="1128"/>
      <c r="G38" s="1140">
        <f t="shared" si="43"/>
        <v>39.448182602375198</v>
      </c>
      <c r="H38" s="1141">
        <f t="shared" si="43"/>
        <v>32.95930132783883</v>
      </c>
      <c r="I38" s="1141">
        <f t="shared" si="43"/>
        <v>37.786714411684756</v>
      </c>
      <c r="J38" s="1142">
        <f t="shared" si="43"/>
        <v>38.127121226902197</v>
      </c>
      <c r="K38" s="1140">
        <f t="shared" si="43"/>
        <v>40.858928955797097</v>
      </c>
      <c r="L38" s="1141">
        <f t="shared" si="43"/>
        <v>33.916098321428571</v>
      </c>
      <c r="M38" s="1141">
        <f t="shared" si="43"/>
        <v>34.068597563405802</v>
      </c>
      <c r="N38" s="1142">
        <f t="shared" si="43"/>
        <v>31.114616296105076</v>
      </c>
      <c r="O38" s="1140">
        <f t="shared" si="43"/>
        <v>27.303063772177097</v>
      </c>
      <c r="P38" s="1141">
        <f t="shared" si="43"/>
        <v>22.034301452838829</v>
      </c>
      <c r="Q38" s="1141">
        <f t="shared" si="43"/>
        <v>26.919559772644931</v>
      </c>
      <c r="R38" s="1141">
        <f t="shared" si="43"/>
        <v>30.869201327717395</v>
      </c>
      <c r="S38" s="1140">
        <f t="shared" si="43"/>
        <v>33.486062323832535</v>
      </c>
      <c r="T38" s="1141">
        <f t="shared" si="43"/>
        <v>29.612168522893782</v>
      </c>
      <c r="U38" s="1141">
        <f t="shared" si="43"/>
        <v>28.466996774909425</v>
      </c>
      <c r="V38" s="1142">
        <f t="shared" si="43"/>
        <v>31.005893446105066</v>
      </c>
      <c r="W38" s="1141">
        <f t="shared" si="43"/>
        <v>78.280771197463764</v>
      </c>
      <c r="X38" s="1141">
        <f t="shared" si="43"/>
        <v>30.680673397435903</v>
      </c>
      <c r="Y38" s="1141">
        <f t="shared" si="43"/>
        <v>27.413026009963772</v>
      </c>
      <c r="Z38" s="1142">
        <f t="shared" si="43"/>
        <v>29.952876293025369</v>
      </c>
      <c r="AA38" s="1141">
        <f t="shared" si="40"/>
        <v>44.217764477254434</v>
      </c>
      <c r="AB38" s="1141">
        <f t="shared" si="40"/>
        <v>25.028568056318672</v>
      </c>
      <c r="AC38" s="1141">
        <f t="shared" si="40"/>
        <v>23.224815237318836</v>
      </c>
      <c r="AD38" s="1142">
        <f t="shared" si="40"/>
        <v>22.109061745018124</v>
      </c>
      <c r="AE38" s="1144">
        <f t="shared" si="43"/>
        <v>23.988923446826721</v>
      </c>
      <c r="AF38" s="1144">
        <f t="shared" si="43"/>
        <v>21.266628026098903</v>
      </c>
      <c r="AG38" s="1144">
        <f t="shared" si="43"/>
        <v>22.910100094655796</v>
      </c>
      <c r="AH38" s="1145">
        <f t="shared" si="43"/>
        <v>25.259746692934794</v>
      </c>
      <c r="AI38" s="1144">
        <f t="shared" si="41"/>
        <v>27.075569670692435</v>
      </c>
      <c r="AJ38" s="1144">
        <f t="shared" si="41"/>
        <v>22.121270426282045</v>
      </c>
      <c r="AK38" s="1144">
        <f t="shared" si="41"/>
        <v>21.948979516304348</v>
      </c>
      <c r="AL38" s="1145">
        <f t="shared" si="41"/>
        <v>28.679605414130428</v>
      </c>
      <c r="AM38" s="1144">
        <f t="shared" si="33"/>
        <v>43.803590137359109</v>
      </c>
      <c r="AN38" s="1144">
        <f t="shared" si="33"/>
        <v>24.95</v>
      </c>
      <c r="AO38" s="1144">
        <f t="shared" si="33"/>
        <v>24.783333333333331</v>
      </c>
      <c r="AP38" s="1145">
        <f t="shared" si="33"/>
        <v>25.683333333333334</v>
      </c>
      <c r="AQ38" s="1144">
        <f t="shared" ref="AQ38:AX38" si="63">IF(ISBLANK(AQ181),"",AQ181)</f>
        <v>32.710239316820804</v>
      </c>
      <c r="AR38" s="1144">
        <f t="shared" si="63"/>
        <v>20.631697104333988</v>
      </c>
      <c r="AS38" s="1144">
        <f t="shared" si="63"/>
        <v>20.527571740433242</v>
      </c>
      <c r="AT38" s="1145">
        <f t="shared" si="63"/>
        <v>31.93845850481198</v>
      </c>
      <c r="AU38" s="1144">
        <f t="shared" si="63"/>
        <v>32.33891227956417</v>
      </c>
      <c r="AV38" s="1144">
        <f t="shared" si="63"/>
        <v>20.397485826173483</v>
      </c>
      <c r="AW38" s="1144">
        <f t="shared" si="63"/>
        <v>20.29454249467874</v>
      </c>
      <c r="AX38" s="1145">
        <f t="shared" si="63"/>
        <v>31.575892732783615</v>
      </c>
      <c r="AY38" s="1144">
        <f t="shared" si="35"/>
        <v>32.400669590326544</v>
      </c>
      <c r="AZ38" s="1144">
        <f t="shared" si="35"/>
        <v>20.436438709314643</v>
      </c>
      <c r="BA38" s="1144">
        <f t="shared" si="35"/>
        <v>20.333298787926616</v>
      </c>
      <c r="BB38" s="1145">
        <f t="shared" si="35"/>
        <v>31.636192912432207</v>
      </c>
      <c r="BC38" s="954"/>
      <c r="BD38" s="954"/>
      <c r="BE38" s="1052">
        <f t="shared" si="48"/>
        <v>37.080329892200247</v>
      </c>
      <c r="BF38" s="1052">
        <f t="shared" si="49"/>
        <v>34.989560284184137</v>
      </c>
      <c r="BG38" s="1052">
        <f t="shared" si="50"/>
        <v>26.781531581344563</v>
      </c>
      <c r="BH38" s="1052">
        <f t="shared" si="51"/>
        <v>30.642780266935201</v>
      </c>
      <c r="BI38" s="1052">
        <f t="shared" si="52"/>
        <v>41.581836724472197</v>
      </c>
      <c r="BJ38" s="1052">
        <f t="shared" si="53"/>
        <v>28.645052378977518</v>
      </c>
      <c r="BK38" s="1058">
        <f t="shared" si="54"/>
        <v>23.356349565129054</v>
      </c>
      <c r="BL38" s="1058">
        <f t="shared" si="55"/>
        <v>24.956356256852317</v>
      </c>
      <c r="BM38" s="1058">
        <f t="shared" si="56"/>
        <v>29.805064201006445</v>
      </c>
      <c r="BN38" s="1058">
        <f t="shared" si="57"/>
        <v>26.451991666600001</v>
      </c>
      <c r="BO38" s="1058">
        <f t="shared" si="58"/>
        <v>26.1517083333</v>
      </c>
      <c r="BP38" s="1058">
        <f t="shared" si="59"/>
        <v>26.201650000000004</v>
      </c>
      <c r="BQ38" s="949"/>
      <c r="BR38" s="969"/>
      <c r="BS38" s="970"/>
      <c r="BU38" s="922"/>
      <c r="BV38" s="964" t="s">
        <v>679</v>
      </c>
      <c r="BW38" s="1384">
        <f>BX38+BY104</f>
        <v>14415.000000000002</v>
      </c>
      <c r="BX38" s="64">
        <f>((BZ38*4/1000)+CB38)/CA38*1000</f>
        <v>14415.000000000002</v>
      </c>
      <c r="BY38" s="1378">
        <f>HLOOKUP(CA38,$CB$52:$CZ$57,BZ55,TRUE)</f>
        <v>0.37857142857142861</v>
      </c>
      <c r="BZ38" s="64">
        <v>10500</v>
      </c>
      <c r="CA38" s="1169">
        <f>$BW$8+$BX$58</f>
        <v>2.5</v>
      </c>
      <c r="CB38" s="1169">
        <f>BY38*(CA38-4)*BZ38/1000</f>
        <v>-5.9625000000000012</v>
      </c>
      <c r="CC38" s="1169">
        <f>(BX38*CA38-4*BZ38)/1000</f>
        <v>-5.9624999999999924</v>
      </c>
    </row>
    <row r="39" spans="1:104" ht="12.75" customHeight="1">
      <c r="A39" s="923"/>
      <c r="B39" s="924"/>
      <c r="C39" s="1129" t="s">
        <v>601</v>
      </c>
      <c r="D39" s="1122"/>
      <c r="E39" s="1122"/>
      <c r="F39" s="1128"/>
      <c r="G39" s="1140">
        <f t="shared" si="43"/>
        <v>43.12788123345409</v>
      </c>
      <c r="H39" s="1141">
        <f t="shared" si="43"/>
        <v>35.696539456043951</v>
      </c>
      <c r="I39" s="1141">
        <f t="shared" si="43"/>
        <v>41.941960537590575</v>
      </c>
      <c r="J39" s="1142">
        <f t="shared" si="43"/>
        <v>39.099061662771746</v>
      </c>
      <c r="K39" s="1140">
        <f t="shared" si="43"/>
        <v>45.558643104669883</v>
      </c>
      <c r="L39" s="1141">
        <f t="shared" si="43"/>
        <v>35.489017982600728</v>
      </c>
      <c r="M39" s="1141">
        <f t="shared" si="43"/>
        <v>37.110367609148561</v>
      </c>
      <c r="N39" s="1142">
        <f t="shared" si="43"/>
        <v>30.853395797826089</v>
      </c>
      <c r="O39" s="1140">
        <f t="shared" si="43"/>
        <v>28.838922174609813</v>
      </c>
      <c r="P39" s="1141">
        <f t="shared" si="43"/>
        <v>21.591528022435909</v>
      </c>
      <c r="Q39" s="1141">
        <f t="shared" si="43"/>
        <v>30.122786553894926</v>
      </c>
      <c r="R39" s="1141">
        <f t="shared" si="43"/>
        <v>32.447619825815202</v>
      </c>
      <c r="S39" s="1140">
        <f t="shared" si="43"/>
        <v>34.55972632302737</v>
      </c>
      <c r="T39" s="1141">
        <f t="shared" si="43"/>
        <v>31.325106590201472</v>
      </c>
      <c r="U39" s="1141">
        <f t="shared" si="43"/>
        <v>30.007325350543471</v>
      </c>
      <c r="V39" s="1142">
        <f t="shared" si="43"/>
        <v>32.19676385769926</v>
      </c>
      <c r="W39" s="1141">
        <f t="shared" si="43"/>
        <v>90.786707820652168</v>
      </c>
      <c r="X39" s="1141">
        <f t="shared" si="43"/>
        <v>30.634786767857143</v>
      </c>
      <c r="Y39" s="1141">
        <f t="shared" si="43"/>
        <v>26.507552103713767</v>
      </c>
      <c r="Z39" s="1142">
        <f t="shared" si="43"/>
        <v>37.660706784782626</v>
      </c>
      <c r="AA39" s="1141">
        <f t="shared" si="40"/>
        <v>52.91501483514493</v>
      </c>
      <c r="AB39" s="1141">
        <f t="shared" si="40"/>
        <v>25.152664907509156</v>
      </c>
      <c r="AC39" s="1141">
        <f t="shared" si="40"/>
        <v>20.837114357789854</v>
      </c>
      <c r="AD39" s="1142">
        <f t="shared" si="40"/>
        <v>25.347991754166664</v>
      </c>
      <c r="AE39" s="1144">
        <f t="shared" si="43"/>
        <v>25.346020121237455</v>
      </c>
      <c r="AF39" s="1144">
        <f t="shared" si="43"/>
        <v>19.254250642399267</v>
      </c>
      <c r="AG39" s="1144">
        <f t="shared" si="43"/>
        <v>21.072814450181166</v>
      </c>
      <c r="AH39" s="1145">
        <f t="shared" si="43"/>
        <v>21.316599519927536</v>
      </c>
      <c r="AI39" s="1144">
        <f t="shared" si="41"/>
        <v>29.336510980555559</v>
      </c>
      <c r="AJ39" s="1144">
        <f t="shared" si="41"/>
        <v>21.736222810439564</v>
      </c>
      <c r="AK39" s="1144">
        <f t="shared" si="41"/>
        <v>19.181085373188402</v>
      </c>
      <c r="AL39" s="1145">
        <f t="shared" si="41"/>
        <v>33.856300585507235</v>
      </c>
      <c r="AM39" s="1144">
        <f t="shared" si="33"/>
        <v>46.651077805173117</v>
      </c>
      <c r="AN39" s="1144">
        <f t="shared" si="33"/>
        <v>25.158666666666665</v>
      </c>
      <c r="AO39" s="1144">
        <f t="shared" si="33"/>
        <v>25.266666666666666</v>
      </c>
      <c r="AP39" s="1145">
        <f t="shared" si="33"/>
        <v>25.499833333333331</v>
      </c>
      <c r="AQ39" s="1144">
        <f t="shared" ref="AQ39:AX39" si="64">IF(ISBLANK(AQ182),"",AQ182)</f>
        <v>37.348531597794079</v>
      </c>
      <c r="AR39" s="1144">
        <f t="shared" si="64"/>
        <v>20.745010650110846</v>
      </c>
      <c r="AS39" s="1144">
        <f t="shared" si="64"/>
        <v>21.194398638146534</v>
      </c>
      <c r="AT39" s="1145">
        <f t="shared" si="64"/>
        <v>30.991359113948537</v>
      </c>
      <c r="AU39" s="1144">
        <f t="shared" si="64"/>
        <v>37.020764656216237</v>
      </c>
      <c r="AV39" s="1144">
        <f t="shared" si="64"/>
        <v>20.562954531626438</v>
      </c>
      <c r="AW39" s="1144">
        <f t="shared" si="64"/>
        <v>21.008398736061569</v>
      </c>
      <c r="AX39" s="1145">
        <f t="shared" si="64"/>
        <v>30.719382076095741</v>
      </c>
      <c r="AY39" s="1144">
        <f t="shared" si="35"/>
        <v>37.359357818581813</v>
      </c>
      <c r="AZ39" s="1144">
        <f t="shared" si="35"/>
        <v>20.751024007421933</v>
      </c>
      <c r="BA39" s="1144">
        <f t="shared" si="35"/>
        <v>21.200542259576977</v>
      </c>
      <c r="BB39" s="1145">
        <f t="shared" si="35"/>
        <v>31.000342580819272</v>
      </c>
      <c r="BC39" s="954"/>
      <c r="BD39" s="954"/>
      <c r="BE39" s="1052">
        <f t="shared" si="48"/>
        <v>39.96636072246509</v>
      </c>
      <c r="BF39" s="1052">
        <f t="shared" si="49"/>
        <v>37.252856123561315</v>
      </c>
      <c r="BG39" s="1052">
        <f t="shared" si="50"/>
        <v>28.250214144188959</v>
      </c>
      <c r="BH39" s="1052">
        <f t="shared" si="51"/>
        <v>32.022230530367892</v>
      </c>
      <c r="BI39" s="1052">
        <f t="shared" si="52"/>
        <v>46.397438369251432</v>
      </c>
      <c r="BJ39" s="1052">
        <f t="shared" si="53"/>
        <v>31.063196463652652</v>
      </c>
      <c r="BK39" s="1058">
        <f t="shared" si="54"/>
        <v>21.747421183436355</v>
      </c>
      <c r="BL39" s="1058">
        <f t="shared" si="55"/>
        <v>26.027529937422692</v>
      </c>
      <c r="BM39" s="1058">
        <f t="shared" si="56"/>
        <v>30.644061117959943</v>
      </c>
      <c r="BN39" s="1058">
        <f t="shared" si="57"/>
        <v>27.569824999999998</v>
      </c>
      <c r="BO39" s="1058">
        <f t="shared" si="58"/>
        <v>27.327874999999995</v>
      </c>
      <c r="BP39" s="1058">
        <f t="shared" si="59"/>
        <v>27.5778166666</v>
      </c>
      <c r="BQ39" s="949"/>
      <c r="BR39" s="969"/>
      <c r="BS39" s="970"/>
      <c r="BU39" s="922"/>
      <c r="BV39" s="964" t="s">
        <v>680</v>
      </c>
      <c r="BW39" s="1384">
        <f>BX39+BY105</f>
        <v>14334.545454545456</v>
      </c>
      <c r="BX39" s="64">
        <f>((BZ39*4.25/1000)+CB39)/CA39*1000</f>
        <v>14334.545454545456</v>
      </c>
      <c r="BY39" s="1378">
        <f>HLOOKUP(CA39,$CB$52:$CZ$57,BZ56,TRUE)</f>
        <v>0.39999999999999997</v>
      </c>
      <c r="BZ39" s="64">
        <v>10800</v>
      </c>
      <c r="CA39" s="1169">
        <f>$BW$8</f>
        <v>2.75</v>
      </c>
      <c r="CB39" s="1169">
        <f>BY39*(CA39-4.25)*BZ39/1000</f>
        <v>-6.48</v>
      </c>
      <c r="CC39" s="1169">
        <f>(BX39*CA39-4.25*BZ39)/1000</f>
        <v>-6.48</v>
      </c>
    </row>
    <row r="40" spans="1:104" ht="12.75" customHeight="1">
      <c r="A40" s="923"/>
      <c r="B40" s="924"/>
      <c r="C40" s="1129" t="s">
        <v>679</v>
      </c>
      <c r="D40" s="1122"/>
      <c r="E40" s="1122"/>
      <c r="F40" s="1128"/>
      <c r="G40" s="1140">
        <f t="shared" si="43"/>
        <v>33.65507139897344</v>
      </c>
      <c r="H40" s="1141">
        <f t="shared" si="43"/>
        <v>27.940983067765572</v>
      </c>
      <c r="I40" s="1141">
        <f t="shared" si="43"/>
        <v>31.064639944746379</v>
      </c>
      <c r="J40" s="1142">
        <f t="shared" si="43"/>
        <v>31.179066678713756</v>
      </c>
      <c r="K40" s="1140">
        <f t="shared" si="43"/>
        <v>33.366856885466987</v>
      </c>
      <c r="L40" s="1141">
        <f t="shared" si="43"/>
        <v>30.988586447802195</v>
      </c>
      <c r="M40" s="1141">
        <f t="shared" si="43"/>
        <v>31.983560708333318</v>
      </c>
      <c r="N40" s="1142">
        <f t="shared" ref="N40:AH40" si="65">IF(ISBLANK(N183),"",N183)</f>
        <v>30.553551319112341</v>
      </c>
      <c r="O40" s="1140">
        <f t="shared" si="65"/>
        <v>25.678486559862229</v>
      </c>
      <c r="P40" s="1141">
        <f t="shared" si="65"/>
        <v>21.65716656639195</v>
      </c>
      <c r="Q40" s="1141">
        <f t="shared" si="65"/>
        <v>25.59958281884057</v>
      </c>
      <c r="R40" s="1141">
        <f t="shared" si="65"/>
        <v>29.691809545561608</v>
      </c>
      <c r="S40" s="1140">
        <f t="shared" si="65"/>
        <v>30.712843264895323</v>
      </c>
      <c r="T40" s="1141">
        <f t="shared" si="65"/>
        <v>28.683858509157513</v>
      </c>
      <c r="U40" s="1141">
        <f t="shared" si="65"/>
        <v>26.289797765398554</v>
      </c>
      <c r="V40" s="1142">
        <f t="shared" si="65"/>
        <v>28.58454812028986</v>
      </c>
      <c r="W40" s="1141">
        <f t="shared" si="65"/>
        <v>55.582024361513675</v>
      </c>
      <c r="X40" s="1141">
        <f t="shared" si="65"/>
        <v>30.848939755952369</v>
      </c>
      <c r="Y40" s="1141">
        <f t="shared" si="65"/>
        <v>26.474229680253622</v>
      </c>
      <c r="Z40" s="1142">
        <f t="shared" si="65"/>
        <v>30.106497532518123</v>
      </c>
      <c r="AA40" s="1141">
        <f t="shared" ref="AA40:AD49" si="66">IF(ISBLANK(AA183),"",AA183)</f>
        <v>33.672197658071667</v>
      </c>
      <c r="AB40" s="1141">
        <f t="shared" si="66"/>
        <v>24.408332260531143</v>
      </c>
      <c r="AC40" s="1141">
        <f t="shared" si="66"/>
        <v>22.758183921195638</v>
      </c>
      <c r="AD40" s="1142">
        <f t="shared" si="66"/>
        <v>22.005480128297094</v>
      </c>
      <c r="AE40" s="1144">
        <f t="shared" si="65"/>
        <v>21.940509499422674</v>
      </c>
      <c r="AF40" s="1144">
        <f t="shared" si="65"/>
        <v>21.194626118131868</v>
      </c>
      <c r="AG40" s="1144">
        <f t="shared" si="65"/>
        <v>22.397125852355067</v>
      </c>
      <c r="AH40" s="1145">
        <f t="shared" si="65"/>
        <v>25.119274915036236</v>
      </c>
      <c r="AI40" s="1144">
        <f t="shared" si="41"/>
        <v>25.609943032206107</v>
      </c>
      <c r="AJ40" s="1144">
        <f t="shared" si="41"/>
        <v>22.558270758241754</v>
      </c>
      <c r="AK40" s="1144">
        <f t="shared" si="41"/>
        <v>22.753793536231882</v>
      </c>
      <c r="AL40" s="1145">
        <f t="shared" si="41"/>
        <v>26.193597912862309</v>
      </c>
      <c r="AM40" s="1144">
        <f t="shared" si="33"/>
        <v>34.436698074516897</v>
      </c>
      <c r="AN40" s="1144">
        <f t="shared" si="33"/>
        <v>25.55</v>
      </c>
      <c r="AO40" s="1144">
        <f t="shared" si="33"/>
        <v>25.216666666666669</v>
      </c>
      <c r="AP40" s="1145">
        <f t="shared" si="33"/>
        <v>25.316666666666663</v>
      </c>
      <c r="AQ40" s="1144">
        <f t="shared" ref="AQ40:AX40" si="67">IF(ISBLANK(AQ183),"",AQ183)</f>
        <v>30.065523917280856</v>
      </c>
      <c r="AR40" s="1144">
        <f t="shared" si="67"/>
        <v>21.597016408139439</v>
      </c>
      <c r="AS40" s="1144">
        <f t="shared" si="67"/>
        <v>21.984059712944806</v>
      </c>
      <c r="AT40" s="1145">
        <f t="shared" si="67"/>
        <v>28.678033294834901</v>
      </c>
      <c r="AU40" s="1144">
        <f t="shared" si="67"/>
        <v>29.607950419373292</v>
      </c>
      <c r="AV40" s="1144">
        <f t="shared" si="67"/>
        <v>21.268326897541574</v>
      </c>
      <c r="AW40" s="1144">
        <f t="shared" si="67"/>
        <v>21.649479709325476</v>
      </c>
      <c r="AX40" s="1145">
        <f t="shared" si="67"/>
        <v>28.241576306959669</v>
      </c>
      <c r="AY40" s="1144">
        <f t="shared" si="35"/>
        <v>29.616706401032346</v>
      </c>
      <c r="AZ40" s="1144">
        <f t="shared" si="35"/>
        <v>21.274616596004179</v>
      </c>
      <c r="BA40" s="1144">
        <f t="shared" si="35"/>
        <v>21.65588212639852</v>
      </c>
      <c r="BB40" s="1145">
        <f t="shared" si="35"/>
        <v>28.24992820976496</v>
      </c>
      <c r="BC40" s="954"/>
      <c r="BD40" s="954"/>
      <c r="BE40" s="1052">
        <f t="shared" si="48"/>
        <v>30.959940272549787</v>
      </c>
      <c r="BF40" s="1052">
        <f t="shared" si="49"/>
        <v>31.723138840178709</v>
      </c>
      <c r="BG40" s="1052">
        <f t="shared" si="50"/>
        <v>25.656761372664089</v>
      </c>
      <c r="BH40" s="1052">
        <f t="shared" si="51"/>
        <v>28.567761914935311</v>
      </c>
      <c r="BI40" s="1052">
        <f t="shared" si="52"/>
        <v>35.752922832559449</v>
      </c>
      <c r="BJ40" s="1052">
        <f t="shared" si="53"/>
        <v>25.711048492023885</v>
      </c>
      <c r="BK40" s="1058">
        <f t="shared" si="54"/>
        <v>22.662884096236461</v>
      </c>
      <c r="BL40" s="1058">
        <f t="shared" si="55"/>
        <v>24.278901309885512</v>
      </c>
      <c r="BM40" s="1058">
        <f t="shared" si="56"/>
        <v>27.630007851962556</v>
      </c>
      <c r="BN40" s="1058">
        <f t="shared" si="57"/>
        <v>25.581158333300003</v>
      </c>
      <c r="BO40" s="1058">
        <f t="shared" si="58"/>
        <v>25.191833333300004</v>
      </c>
      <c r="BP40" s="1058">
        <f t="shared" si="59"/>
        <v>25.199283333300002</v>
      </c>
      <c r="BQ40" s="949"/>
      <c r="BR40" s="969"/>
      <c r="BS40" s="970"/>
      <c r="BU40" s="922"/>
      <c r="BV40" s="964" t="s">
        <v>681</v>
      </c>
      <c r="BW40" s="1384">
        <f>BX40+BY106</f>
        <v>12597.272727272726</v>
      </c>
      <c r="BX40" s="64">
        <f>((BZ40*4.25/1000)+CB40)/CA40*1000</f>
        <v>12597.272727272726</v>
      </c>
      <c r="BY40" s="1378">
        <f>HLOOKUP(CA40,$CB$52:$CZ$57,BZ57,TRUE)</f>
        <v>0.34999999999999992</v>
      </c>
      <c r="BZ40" s="64">
        <v>9300</v>
      </c>
      <c r="CA40" s="1169">
        <f>$BW$8</f>
        <v>2.75</v>
      </c>
      <c r="CB40" s="1169">
        <f>BY40*(CA40-4.25)*BZ40/1000</f>
        <v>-4.8824999999999994</v>
      </c>
      <c r="CC40" s="1169">
        <f>(BX40*CA40-4.25*BZ40)/1000</f>
        <v>-4.8825000000000003</v>
      </c>
    </row>
    <row r="41" spans="1:104" ht="12.75" customHeight="1">
      <c r="A41" s="923"/>
      <c r="B41" s="924"/>
      <c r="C41" s="1129" t="s">
        <v>680</v>
      </c>
      <c r="D41" s="1122"/>
      <c r="E41" s="1122"/>
      <c r="F41" s="1128"/>
      <c r="G41" s="1140">
        <f t="shared" ref="G41:Z54" si="68">IF(ISBLANK(G184),"",G184)</f>
        <v>33.577120008313223</v>
      </c>
      <c r="H41" s="1141">
        <f t="shared" si="68"/>
        <v>28.007368155677657</v>
      </c>
      <c r="I41" s="1141">
        <f t="shared" si="68"/>
        <v>31.199241193840571</v>
      </c>
      <c r="J41" s="1142">
        <f t="shared" si="68"/>
        <v>31.280175134510877</v>
      </c>
      <c r="K41" s="1140">
        <f t="shared" si="68"/>
        <v>33.316046651227865</v>
      </c>
      <c r="L41" s="1141">
        <f t="shared" si="68"/>
        <v>31.034006899725281</v>
      </c>
      <c r="M41" s="1141">
        <f t="shared" si="68"/>
        <v>32.137521466938395</v>
      </c>
      <c r="N41" s="1142">
        <f t="shared" si="68"/>
        <v>30.682761882608698</v>
      </c>
      <c r="O41" s="1140">
        <f t="shared" si="68"/>
        <v>25.679288122073572</v>
      </c>
      <c r="P41" s="1141">
        <f t="shared" si="68"/>
        <v>21.775065671703299</v>
      </c>
      <c r="Q41" s="1141">
        <f t="shared" si="68"/>
        <v>25.7171560271739</v>
      </c>
      <c r="R41" s="1141">
        <f t="shared" si="68"/>
        <v>29.781977215851452</v>
      </c>
      <c r="S41" s="1140">
        <f t="shared" si="68"/>
        <v>30.59628365193236</v>
      </c>
      <c r="T41" s="1141">
        <f t="shared" si="68"/>
        <v>28.85574062912087</v>
      </c>
      <c r="U41" s="1141">
        <f t="shared" si="68"/>
        <v>26.426258410326099</v>
      </c>
      <c r="V41" s="1142">
        <f t="shared" si="68"/>
        <v>28.631262306884061</v>
      </c>
      <c r="W41" s="1141">
        <f t="shared" si="68"/>
        <v>55.245883308574896</v>
      </c>
      <c r="X41" s="1141">
        <f t="shared" si="68"/>
        <v>31.092236393315009</v>
      </c>
      <c r="Y41" s="1141">
        <f t="shared" si="68"/>
        <v>26.565221706068847</v>
      </c>
      <c r="Z41" s="1142">
        <f t="shared" si="68"/>
        <v>29.935611420199269</v>
      </c>
      <c r="AA41" s="1141">
        <f t="shared" si="66"/>
        <v>33.546102769424323</v>
      </c>
      <c r="AB41" s="1141">
        <f t="shared" si="66"/>
        <v>24.350682732600731</v>
      </c>
      <c r="AC41" s="1141">
        <f t="shared" si="66"/>
        <v>22.832639235507255</v>
      </c>
      <c r="AD41" s="1142">
        <f t="shared" si="66"/>
        <v>21.995092569728257</v>
      </c>
      <c r="AE41" s="1144">
        <f t="shared" ref="AA41:AH50" si="69">IF(ISBLANK(AE184),"",AE184)</f>
        <v>22.062136905279502</v>
      </c>
      <c r="AF41" s="1144">
        <f t="shared" si="69"/>
        <v>21.344116594322344</v>
      </c>
      <c r="AG41" s="1144">
        <f t="shared" si="69"/>
        <v>22.51157196376812</v>
      </c>
      <c r="AH41" s="1145">
        <f t="shared" si="69"/>
        <v>25.05356571974637</v>
      </c>
      <c r="AI41" s="1144">
        <f t="shared" si="41"/>
        <v>25.637689978663452</v>
      </c>
      <c r="AJ41" s="1144">
        <f t="shared" si="41"/>
        <v>22.658216380036624</v>
      </c>
      <c r="AK41" s="1144">
        <f t="shared" si="41"/>
        <v>22.877026026268119</v>
      </c>
      <c r="AL41" s="1145">
        <f t="shared" si="41"/>
        <v>26.103430919021747</v>
      </c>
      <c r="AM41" s="1144">
        <f t="shared" si="41"/>
        <v>33.49635729142512</v>
      </c>
      <c r="AN41" s="1144">
        <f t="shared" si="41"/>
        <v>24.3</v>
      </c>
      <c r="AO41" s="1144">
        <f t="shared" si="41"/>
        <v>24.716666666666669</v>
      </c>
      <c r="AP41" s="1145">
        <f t="shared" si="41"/>
        <v>24.833333333333332</v>
      </c>
      <c r="AQ41" s="1144">
        <f t="shared" ref="AQ41:AX41" si="70">IF(ISBLANK(AQ184),"",AQ184)</f>
        <v>26.535204784504245</v>
      </c>
      <c r="AR41" s="1144">
        <f t="shared" si="70"/>
        <v>20.510009202701678</v>
      </c>
      <c r="AS41" s="1144">
        <f t="shared" si="70"/>
        <v>20.875172571295771</v>
      </c>
      <c r="AT41" s="1145">
        <f t="shared" si="70"/>
        <v>29.770913441498301</v>
      </c>
      <c r="AU41" s="1144">
        <f t="shared" si="70"/>
        <v>26.434034268000321</v>
      </c>
      <c r="AV41" s="1144">
        <f t="shared" si="70"/>
        <v>20.43181089063328</v>
      </c>
      <c r="AW41" s="1144">
        <f t="shared" si="70"/>
        <v>20.795582004413099</v>
      </c>
      <c r="AX41" s="1145">
        <f t="shared" si="70"/>
        <v>29.657406170153298</v>
      </c>
      <c r="AY41" s="1144">
        <f t="shared" si="35"/>
        <v>26.496453235293</v>
      </c>
      <c r="AZ41" s="1144">
        <f t="shared" si="35"/>
        <v>20.480056743792986</v>
      </c>
      <c r="BA41" s="1144">
        <f t="shared" si="35"/>
        <v>20.844686834186923</v>
      </c>
      <c r="BB41" s="1145">
        <f t="shared" si="35"/>
        <v>29.727436519927089</v>
      </c>
      <c r="BC41" s="954"/>
      <c r="BD41" s="954"/>
      <c r="BE41" s="1052">
        <f t="shared" si="48"/>
        <v>31.015976123085579</v>
      </c>
      <c r="BF41" s="1052">
        <f t="shared" si="49"/>
        <v>31.792584225125061</v>
      </c>
      <c r="BG41" s="1052">
        <f t="shared" si="50"/>
        <v>25.738371759200557</v>
      </c>
      <c r="BH41" s="1052">
        <f t="shared" si="51"/>
        <v>28.627386249565845</v>
      </c>
      <c r="BI41" s="1052">
        <f t="shared" si="52"/>
        <v>35.709738207039507</v>
      </c>
      <c r="BJ41" s="1052">
        <f t="shared" si="53"/>
        <v>25.681129326815142</v>
      </c>
      <c r="BK41" s="1058">
        <f t="shared" si="54"/>
        <v>22.742847795779085</v>
      </c>
      <c r="BL41" s="1058">
        <f t="shared" si="55"/>
        <v>24.319090825997485</v>
      </c>
      <c r="BM41" s="1058">
        <f t="shared" si="56"/>
        <v>26.83658932285628</v>
      </c>
      <c r="BN41" s="1058">
        <f t="shared" si="57"/>
        <v>24.422824999999996</v>
      </c>
      <c r="BO41" s="1058">
        <f t="shared" si="58"/>
        <v>24.329708333300001</v>
      </c>
      <c r="BP41" s="1058">
        <f t="shared" si="59"/>
        <v>24.3871583333</v>
      </c>
      <c r="BQ41" s="949"/>
      <c r="BR41" s="969"/>
      <c r="BS41" s="970"/>
      <c r="BU41" s="922"/>
      <c r="BV41" s="921"/>
      <c r="BW41" s="921"/>
    </row>
    <row r="42" spans="1:104" ht="12.75" customHeight="1">
      <c r="A42" s="923"/>
      <c r="B42" s="924"/>
      <c r="C42" s="1129" t="s">
        <v>681</v>
      </c>
      <c r="D42" s="1122"/>
      <c r="E42" s="1122"/>
      <c r="F42" s="1128"/>
      <c r="G42" s="1140">
        <f t="shared" si="68"/>
        <v>27.647922274134451</v>
      </c>
      <c r="H42" s="1141">
        <f t="shared" si="68"/>
        <v>22.058756606684991</v>
      </c>
      <c r="I42" s="1141">
        <f t="shared" si="68"/>
        <v>25.77205439356884</v>
      </c>
      <c r="J42" s="1142">
        <f t="shared" si="68"/>
        <v>20.233505312028988</v>
      </c>
      <c r="K42" s="1140">
        <f t="shared" si="68"/>
        <v>28.117182428522533</v>
      </c>
      <c r="L42" s="1141">
        <f t="shared" si="68"/>
        <v>24.030010341117219</v>
      </c>
      <c r="M42" s="1141">
        <f t="shared" si="68"/>
        <v>25.858050654891304</v>
      </c>
      <c r="N42" s="1142">
        <f t="shared" si="68"/>
        <v>19.96068864096015</v>
      </c>
      <c r="O42" s="1140">
        <f t="shared" si="68"/>
        <v>23.311520222746449</v>
      </c>
      <c r="P42" s="1141">
        <f t="shared" si="68"/>
        <v>18.617785842032969</v>
      </c>
      <c r="Q42" s="1141">
        <f t="shared" si="68"/>
        <v>23.770870774456522</v>
      </c>
      <c r="R42" s="1141">
        <f t="shared" si="68"/>
        <v>21.751328907065218</v>
      </c>
      <c r="S42" s="1140">
        <f t="shared" si="68"/>
        <v>27.102873879810776</v>
      </c>
      <c r="T42" s="1141">
        <f t="shared" si="68"/>
        <v>23.983492510531136</v>
      </c>
      <c r="U42" s="1141">
        <f t="shared" si="68"/>
        <v>24.337539511322465</v>
      </c>
      <c r="V42" s="1142">
        <f t="shared" si="68"/>
        <v>25.034081106974629</v>
      </c>
      <c r="W42" s="1141">
        <f t="shared" si="68"/>
        <v>46.659030578200486</v>
      </c>
      <c r="X42" s="1141">
        <f t="shared" si="68"/>
        <v>25.040844436355307</v>
      </c>
      <c r="Y42" s="1141">
        <f t="shared" si="68"/>
        <v>24.573567941576091</v>
      </c>
      <c r="Z42" s="1142">
        <f t="shared" si="68"/>
        <v>25.868583025362319</v>
      </c>
      <c r="AA42" s="1141">
        <f t="shared" si="66"/>
        <v>29.701038306400971</v>
      </c>
      <c r="AB42" s="1141">
        <f t="shared" si="66"/>
        <v>18.405672966575075</v>
      </c>
      <c r="AC42" s="1141">
        <f t="shared" si="66"/>
        <v>21.186602595561595</v>
      </c>
      <c r="AD42" s="1142">
        <f t="shared" si="66"/>
        <v>19.679295579764492</v>
      </c>
      <c r="AE42" s="1144">
        <f t="shared" si="69"/>
        <v>19.228153737279026</v>
      </c>
      <c r="AF42" s="1144">
        <f t="shared" si="69"/>
        <v>18.306781789377293</v>
      </c>
      <c r="AG42" s="1144">
        <f t="shared" si="69"/>
        <v>21.426197764039859</v>
      </c>
      <c r="AH42" s="1145">
        <f t="shared" si="69"/>
        <v>22.45641746277175</v>
      </c>
      <c r="AI42" s="1144">
        <f t="shared" si="41"/>
        <v>23.077807067310793</v>
      </c>
      <c r="AJ42" s="1144">
        <f t="shared" si="41"/>
        <v>19.554939797619053</v>
      </c>
      <c r="AK42" s="1144">
        <f t="shared" si="41"/>
        <v>18.802316540760863</v>
      </c>
      <c r="AL42" s="1145">
        <f t="shared" si="41"/>
        <v>22.818591313496391</v>
      </c>
      <c r="AM42" s="1144">
        <f t="shared" si="41"/>
        <v>25.592786000905793</v>
      </c>
      <c r="AN42" s="1144">
        <f t="shared" si="41"/>
        <v>19.816666666666666</v>
      </c>
      <c r="AO42" s="1144">
        <f t="shared" si="41"/>
        <v>21.45</v>
      </c>
      <c r="AP42" s="1145">
        <f t="shared" si="41"/>
        <v>20.516666666666669</v>
      </c>
      <c r="AQ42" s="1144">
        <f t="shared" ref="AQ42:AX42" si="71">IF(ISBLANK(AQ185),"",AQ185)</f>
        <v>27.334808227990884</v>
      </c>
      <c r="AR42" s="1144">
        <f t="shared" si="71"/>
        <v>19.223933699175628</v>
      </c>
      <c r="AS42" s="1144">
        <f t="shared" si="71"/>
        <v>19.937159884736072</v>
      </c>
      <c r="AT42" s="1145">
        <f t="shared" si="71"/>
        <v>20.328731521297417</v>
      </c>
      <c r="AU42" s="1144">
        <f t="shared" si="71"/>
        <v>27.753990948397757</v>
      </c>
      <c r="AV42" s="1144">
        <f t="shared" si="71"/>
        <v>19.518735139073424</v>
      </c>
      <c r="AW42" s="1144">
        <f t="shared" si="71"/>
        <v>20.242898737848368</v>
      </c>
      <c r="AX42" s="1145">
        <f t="shared" si="71"/>
        <v>20.640475174680446</v>
      </c>
      <c r="AY42" s="1144">
        <f t="shared" si="35"/>
        <v>27.7633728168137</v>
      </c>
      <c r="AZ42" s="1144">
        <f t="shared" si="35"/>
        <v>19.52533318852371</v>
      </c>
      <c r="BA42" s="1144">
        <f t="shared" si="35"/>
        <v>20.24974158119543</v>
      </c>
      <c r="BB42" s="1145">
        <f t="shared" si="35"/>
        <v>20.647452413467164</v>
      </c>
      <c r="BC42" s="954"/>
      <c r="BD42" s="954"/>
      <c r="BE42" s="1052">
        <f t="shared" si="48"/>
        <v>23.928059646604318</v>
      </c>
      <c r="BF42" s="1052">
        <f t="shared" si="49"/>
        <v>24.491483016372804</v>
      </c>
      <c r="BG42" s="1052">
        <f t="shared" si="50"/>
        <v>21.862876436575288</v>
      </c>
      <c r="BH42" s="1052">
        <f t="shared" si="51"/>
        <v>25.114496752159749</v>
      </c>
      <c r="BI42" s="1052">
        <f t="shared" si="52"/>
        <v>30.535506495373554</v>
      </c>
      <c r="BJ42" s="1052">
        <f t="shared" si="53"/>
        <v>22.243152362075534</v>
      </c>
      <c r="BK42" s="1058">
        <f t="shared" si="54"/>
        <v>20.354387688366984</v>
      </c>
      <c r="BL42" s="1058">
        <f t="shared" si="55"/>
        <v>21.063413679796774</v>
      </c>
      <c r="BM42" s="1058">
        <f t="shared" si="56"/>
        <v>21.84402983355978</v>
      </c>
      <c r="BN42" s="1058">
        <f t="shared" si="57"/>
        <v>21.706158333299999</v>
      </c>
      <c r="BO42" s="1058">
        <f t="shared" si="58"/>
        <v>22.039024999999999</v>
      </c>
      <c r="BP42" s="1058">
        <f t="shared" si="59"/>
        <v>22.046475000000001</v>
      </c>
      <c r="BQ42" s="949"/>
      <c r="BR42" s="969"/>
      <c r="BS42" s="970"/>
      <c r="BU42" s="922"/>
      <c r="BV42" s="960" t="s">
        <v>993</v>
      </c>
      <c r="BW42" s="960"/>
      <c r="BX42" s="960">
        <v>2021</v>
      </c>
    </row>
    <row r="43" spans="1:104" ht="12.75" customHeight="1">
      <c r="A43" s="923"/>
      <c r="B43" s="924"/>
      <c r="C43" s="1129" t="s">
        <v>682</v>
      </c>
      <c r="D43" s="1122"/>
      <c r="E43" s="1122"/>
      <c r="F43" s="1128"/>
      <c r="G43" s="1140">
        <f t="shared" si="68"/>
        <v>35.104179045893723</v>
      </c>
      <c r="H43" s="1141">
        <f t="shared" si="68"/>
        <v>28.634282280219779</v>
      </c>
      <c r="I43" s="1141">
        <f t="shared" si="68"/>
        <v>31.990215126811602</v>
      </c>
      <c r="J43" s="1142">
        <f t="shared" si="68"/>
        <v>25.825695788043475</v>
      </c>
      <c r="K43" s="1140">
        <f t="shared" si="68"/>
        <v>29.660326036634473</v>
      </c>
      <c r="L43" s="1141">
        <f t="shared" si="68"/>
        <v>28.345022893772899</v>
      </c>
      <c r="M43" s="1141">
        <f t="shared" si="68"/>
        <v>31.569142889492749</v>
      </c>
      <c r="N43" s="1142">
        <f t="shared" si="68"/>
        <v>23.404596059782612</v>
      </c>
      <c r="O43" s="1140">
        <f t="shared" si="68"/>
        <v>19.561595895046977</v>
      </c>
      <c r="P43" s="1141">
        <f t="shared" si="68"/>
        <v>17.118434065934071</v>
      </c>
      <c r="Q43" s="1141">
        <f t="shared" si="68"/>
        <v>21.168782835144924</v>
      </c>
      <c r="R43" s="1141">
        <f t="shared" si="68"/>
        <v>22.251092119565214</v>
      </c>
      <c r="S43" s="1140">
        <f t="shared" si="68"/>
        <v>23.22272348027375</v>
      </c>
      <c r="T43" s="1141">
        <f t="shared" si="68"/>
        <v>26.715190018315013</v>
      </c>
      <c r="U43" s="1141">
        <f t="shared" si="68"/>
        <v>25.701721014492755</v>
      </c>
      <c r="V43" s="1142">
        <f t="shared" si="68"/>
        <v>27.180492210144916</v>
      </c>
      <c r="W43" s="1141">
        <f t="shared" si="68"/>
        <v>31.78499773550724</v>
      </c>
      <c r="X43" s="1141">
        <f t="shared" si="68"/>
        <v>31.412413003663001</v>
      </c>
      <c r="Y43" s="1141">
        <f t="shared" si="68"/>
        <v>28.854929800724651</v>
      </c>
      <c r="Z43" s="1142">
        <f t="shared" si="68"/>
        <v>25.233000181159419</v>
      </c>
      <c r="AA43" s="1141">
        <f t="shared" si="66"/>
        <v>22.140641555958133</v>
      </c>
      <c r="AB43" s="1141">
        <f t="shared" si="66"/>
        <v>21.621235119047622</v>
      </c>
      <c r="AC43" s="1141">
        <f t="shared" si="66"/>
        <v>20.30612658514492</v>
      </c>
      <c r="AD43" s="1142">
        <f t="shared" si="66"/>
        <v>16.061473550724639</v>
      </c>
      <c r="AE43" s="1144">
        <f t="shared" si="69"/>
        <v>13.842845198279973</v>
      </c>
      <c r="AF43" s="1144">
        <f t="shared" si="69"/>
        <v>14.911001602564097</v>
      </c>
      <c r="AG43" s="1144">
        <f t="shared" si="69"/>
        <v>23.475191349637686</v>
      </c>
      <c r="AH43" s="1145">
        <f t="shared" si="69"/>
        <v>18.614083197463771</v>
      </c>
      <c r="AI43" s="1144">
        <f t="shared" si="41"/>
        <v>19.355630787037047</v>
      </c>
      <c r="AJ43" s="1144">
        <f t="shared" si="41"/>
        <v>24.49456959706961</v>
      </c>
      <c r="AK43" s="1144">
        <f t="shared" si="41"/>
        <v>22.786469655797116</v>
      </c>
      <c r="AL43" s="1145">
        <f t="shared" si="41"/>
        <v>20.007914900362312</v>
      </c>
      <c r="AM43" s="1144">
        <f t="shared" si="41"/>
        <v>20.159236262077297</v>
      </c>
      <c r="AN43" s="1144">
        <f t="shared" si="41"/>
        <v>22.893873333333332</v>
      </c>
      <c r="AO43" s="1144">
        <f t="shared" si="41"/>
        <v>28.907523333333334</v>
      </c>
      <c r="AP43" s="1145">
        <f t="shared" si="41"/>
        <v>20.204750000000001</v>
      </c>
      <c r="AQ43" s="1144">
        <f t="shared" ref="AQ43:AX43" si="72">IF(ISBLANK(AQ186),"",AQ186)</f>
        <v>20.922026845642609</v>
      </c>
      <c r="AR43" s="1144">
        <f t="shared" si="72"/>
        <v>19.193142488186361</v>
      </c>
      <c r="AS43" s="1144">
        <f t="shared" si="72"/>
        <v>23.750424272466308</v>
      </c>
      <c r="AT43" s="1145">
        <f t="shared" si="72"/>
        <v>20.145536393704717</v>
      </c>
      <c r="AU43" s="1144">
        <f t="shared" si="72"/>
        <v>21.12106749399333</v>
      </c>
      <c r="AV43" s="1144">
        <f t="shared" si="72"/>
        <v>19.375735482303082</v>
      </c>
      <c r="AW43" s="1144">
        <f t="shared" si="72"/>
        <v>23.97637273724332</v>
      </c>
      <c r="AX43" s="1145">
        <f t="shared" si="72"/>
        <v>20.337189939260277</v>
      </c>
      <c r="AY43" s="1144">
        <f t="shared" si="35"/>
        <v>20.82675586398943</v>
      </c>
      <c r="AZ43" s="1144">
        <f t="shared" si="35"/>
        <v>19.105744190719797</v>
      </c>
      <c r="BA43" s="1144">
        <f t="shared" si="35"/>
        <v>23.642273840779588</v>
      </c>
      <c r="BB43" s="1145">
        <f t="shared" si="35"/>
        <v>20.053801255311189</v>
      </c>
      <c r="BC43" s="954"/>
      <c r="BD43" s="954"/>
      <c r="BE43" s="1052">
        <f t="shared" si="48"/>
        <v>30.388593060242144</v>
      </c>
      <c r="BF43" s="1052">
        <f t="shared" si="49"/>
        <v>28.244771969920684</v>
      </c>
      <c r="BG43" s="1052">
        <f t="shared" si="50"/>
        <v>20.024976228922796</v>
      </c>
      <c r="BH43" s="1052">
        <f t="shared" si="51"/>
        <v>25.705031680806609</v>
      </c>
      <c r="BI43" s="1052">
        <f t="shared" si="52"/>
        <v>29.321335180263574</v>
      </c>
      <c r="BJ43" s="1052">
        <f t="shared" si="53"/>
        <v>20.032369202718829</v>
      </c>
      <c r="BK43" s="1058">
        <f t="shared" si="54"/>
        <v>17.710780336986382</v>
      </c>
      <c r="BL43" s="1058">
        <f t="shared" si="55"/>
        <v>21.661146235066521</v>
      </c>
      <c r="BM43" s="1058">
        <f t="shared" si="56"/>
        <v>23.041345732185992</v>
      </c>
      <c r="BN43" s="1058">
        <f t="shared" si="57"/>
        <v>21.002782499999999</v>
      </c>
      <c r="BO43" s="1058">
        <f t="shared" si="58"/>
        <v>21.202591413200004</v>
      </c>
      <c r="BP43" s="1058">
        <f t="shared" si="59"/>
        <v>20.907143787700001</v>
      </c>
      <c r="BQ43" s="949"/>
      <c r="BR43" s="969"/>
      <c r="BS43" s="970"/>
      <c r="BU43" s="922"/>
      <c r="BV43" s="964" t="s">
        <v>678</v>
      </c>
      <c r="BW43" s="1067"/>
      <c r="BX43" s="1067">
        <f>+BP225</f>
        <v>13963.315871403218</v>
      </c>
      <c r="BZ43" s="1370"/>
      <c r="CA43" s="1493" t="s">
        <v>1110</v>
      </c>
      <c r="CB43" s="1370"/>
      <c r="CC43" s="1370"/>
      <c r="CD43" s="1370"/>
      <c r="CE43" s="1494"/>
      <c r="CF43" s="1494"/>
      <c r="CG43" s="1494"/>
      <c r="CH43" s="1494"/>
      <c r="CI43" s="1370"/>
      <c r="CJ43" s="1370"/>
      <c r="CK43" s="1370"/>
      <c r="CL43" s="1370"/>
      <c r="CM43" s="1370"/>
      <c r="CN43" s="1370"/>
      <c r="CO43" s="1370"/>
      <c r="CP43" s="1370"/>
      <c r="CQ43" s="1370"/>
      <c r="CR43" s="1370"/>
      <c r="CS43" s="1370"/>
      <c r="CT43" s="1370"/>
      <c r="CU43"/>
      <c r="CV43"/>
      <c r="CW43"/>
      <c r="CX43"/>
      <c r="CY43"/>
      <c r="CZ43"/>
    </row>
    <row r="44" spans="1:104" ht="12.75" customHeight="1">
      <c r="A44" s="923"/>
      <c r="B44" s="924"/>
      <c r="C44" s="1122" t="s">
        <v>683</v>
      </c>
      <c r="D44" s="1122"/>
      <c r="E44" s="1122"/>
      <c r="F44" s="1128"/>
      <c r="G44" s="1140">
        <f t="shared" si="68"/>
        <v>35.080230324074073</v>
      </c>
      <c r="H44" s="1141">
        <f t="shared" si="68"/>
        <v>28.455611263736266</v>
      </c>
      <c r="I44" s="1141">
        <f t="shared" si="68"/>
        <v>31.678466938405812</v>
      </c>
      <c r="J44" s="1142">
        <f t="shared" si="68"/>
        <v>25.7597316576087</v>
      </c>
      <c r="K44" s="1140">
        <f t="shared" si="68"/>
        <v>30.071405696457326</v>
      </c>
      <c r="L44" s="1141">
        <f t="shared" si="68"/>
        <v>28.042996794871794</v>
      </c>
      <c r="M44" s="1141">
        <f t="shared" si="68"/>
        <v>31.24979846014493</v>
      </c>
      <c r="N44" s="1142">
        <f t="shared" si="68"/>
        <v>23.630269338768127</v>
      </c>
      <c r="O44" s="1140">
        <f t="shared" si="68"/>
        <v>19.53850324494346</v>
      </c>
      <c r="P44" s="1141">
        <f t="shared" si="68"/>
        <v>17.141556776556776</v>
      </c>
      <c r="Q44" s="1141">
        <f t="shared" si="68"/>
        <v>20.815947690217392</v>
      </c>
      <c r="R44" s="1141">
        <f t="shared" si="68"/>
        <v>22.887461865942033</v>
      </c>
      <c r="S44" s="1140">
        <f t="shared" si="68"/>
        <v>23.199066475442827</v>
      </c>
      <c r="T44" s="1141">
        <f t="shared" si="68"/>
        <v>26.300711996337007</v>
      </c>
      <c r="U44" s="1141">
        <f t="shared" si="68"/>
        <v>25.430877490942027</v>
      </c>
      <c r="V44" s="1142">
        <f t="shared" si="68"/>
        <v>26.785470153985496</v>
      </c>
      <c r="W44" s="1141">
        <f t="shared" si="68"/>
        <v>32.004984551127215</v>
      </c>
      <c r="X44" s="1141">
        <f t="shared" si="68"/>
        <v>31.26213713369965</v>
      </c>
      <c r="Y44" s="1141">
        <f t="shared" si="68"/>
        <v>28.32578691123188</v>
      </c>
      <c r="Z44" s="1142">
        <f t="shared" si="68"/>
        <v>25.307324320652167</v>
      </c>
      <c r="AA44" s="1141">
        <f t="shared" si="66"/>
        <v>22.17571215780999</v>
      </c>
      <c r="AB44" s="1141">
        <f t="shared" si="66"/>
        <v>19.319275412087915</v>
      </c>
      <c r="AC44" s="1141">
        <f t="shared" si="66"/>
        <v>19.897398097826084</v>
      </c>
      <c r="AD44" s="1142">
        <f t="shared" si="66"/>
        <v>15.149004076086959</v>
      </c>
      <c r="AE44" s="1144">
        <f t="shared" si="69"/>
        <v>13.804743092052874</v>
      </c>
      <c r="AF44" s="1144">
        <f t="shared" si="69"/>
        <v>14.6552048992674</v>
      </c>
      <c r="AG44" s="1144">
        <f t="shared" si="69"/>
        <v>20.848108016304352</v>
      </c>
      <c r="AH44" s="1145">
        <f t="shared" si="69"/>
        <v>18.255682925724642</v>
      </c>
      <c r="AI44" s="1144">
        <f t="shared" si="41"/>
        <v>17.694403532608696</v>
      </c>
      <c r="AJ44" s="1144">
        <f t="shared" si="41"/>
        <v>19.575868818681322</v>
      </c>
      <c r="AK44" s="1144">
        <f t="shared" si="41"/>
        <v>21.74405457427536</v>
      </c>
      <c r="AL44" s="1145">
        <f t="shared" si="41"/>
        <v>18.065305072463772</v>
      </c>
      <c r="AM44" s="1144">
        <f t="shared" si="41"/>
        <v>19.286005585748793</v>
      </c>
      <c r="AN44" s="1144">
        <f t="shared" si="41"/>
        <v>20.677206666666667</v>
      </c>
      <c r="AO44" s="1144">
        <f t="shared" si="41"/>
        <v>28.640856666666668</v>
      </c>
      <c r="AP44" s="1145">
        <f t="shared" si="41"/>
        <v>19.388083333333331</v>
      </c>
      <c r="AQ44" s="1144">
        <f t="shared" ref="AQ44:AX44" si="73">IF(ISBLANK(AQ187),"",AQ187)</f>
        <v>20.204147210285914</v>
      </c>
      <c r="AR44" s="1144">
        <f t="shared" si="73"/>
        <v>17.911730019517361</v>
      </c>
      <c r="AS44" s="1144">
        <f t="shared" si="73"/>
        <v>23.181362548745142</v>
      </c>
      <c r="AT44" s="1145">
        <f t="shared" si="73"/>
        <v>18.447223554651586</v>
      </c>
      <c r="AU44" s="1144">
        <f t="shared" si="73"/>
        <v>20.13301243857838</v>
      </c>
      <c r="AV44" s="1144">
        <f t="shared" si="73"/>
        <v>17.848666391413492</v>
      </c>
      <c r="AW44" s="1144">
        <f t="shared" si="73"/>
        <v>23.099745595769516</v>
      </c>
      <c r="AX44" s="1145">
        <f t="shared" si="73"/>
        <v>18.382274560638621</v>
      </c>
      <c r="AY44" s="1144">
        <f t="shared" si="35"/>
        <v>19.630903760724049</v>
      </c>
      <c r="AZ44" s="1144">
        <f t="shared" si="35"/>
        <v>17.403528322254854</v>
      </c>
      <c r="BA44" s="1144">
        <f t="shared" si="35"/>
        <v>22.523647867958136</v>
      </c>
      <c r="BB44" s="1145">
        <f t="shared" si="35"/>
        <v>17.923828533062963</v>
      </c>
      <c r="BC44" s="954"/>
      <c r="BD44" s="954"/>
      <c r="BE44" s="1052">
        <f t="shared" si="48"/>
        <v>30.24351004595621</v>
      </c>
      <c r="BF44" s="1052">
        <f t="shared" si="49"/>
        <v>28.248617572560544</v>
      </c>
      <c r="BG44" s="1052">
        <f t="shared" si="50"/>
        <v>20.095867394414917</v>
      </c>
      <c r="BH44" s="1052">
        <f t="shared" si="51"/>
        <v>25.429031529176839</v>
      </c>
      <c r="BI44" s="1052">
        <f t="shared" si="52"/>
        <v>29.22505822917773</v>
      </c>
      <c r="BJ44" s="1052">
        <f t="shared" si="53"/>
        <v>19.135347435952735</v>
      </c>
      <c r="BK44" s="1058">
        <f t="shared" si="54"/>
        <v>16.890934733337318</v>
      </c>
      <c r="BL44" s="1058">
        <f t="shared" si="55"/>
        <v>19.269907999507289</v>
      </c>
      <c r="BM44" s="1058">
        <f t="shared" si="56"/>
        <v>21.998038063103863</v>
      </c>
      <c r="BN44" s="1058">
        <f t="shared" si="57"/>
        <v>19.936115833300001</v>
      </c>
      <c r="BO44" s="1058">
        <f t="shared" si="58"/>
        <v>19.865924746600001</v>
      </c>
      <c r="BP44" s="1058">
        <f t="shared" si="59"/>
        <v>19.370477121</v>
      </c>
      <c r="BQ44" s="949"/>
      <c r="BR44" s="969"/>
      <c r="BS44" s="970"/>
      <c r="BU44" s="922"/>
      <c r="BV44" s="964" t="s">
        <v>601</v>
      </c>
      <c r="BW44" s="1067"/>
      <c r="BX44" s="1067">
        <f>+BP226</f>
        <v>14645.816247987277</v>
      </c>
      <c r="BZ44" s="1370">
        <v>1</v>
      </c>
      <c r="CA44" s="1370" t="s">
        <v>1048</v>
      </c>
      <c r="CB44" s="1169">
        <f t="shared" ref="CB44:CI44" si="74">CC44-0.25</f>
        <v>0</v>
      </c>
      <c r="CC44" s="1169">
        <f t="shared" si="74"/>
        <v>0.25</v>
      </c>
      <c r="CD44" s="1169">
        <f t="shared" si="74"/>
        <v>0.5</v>
      </c>
      <c r="CE44" s="1169">
        <f t="shared" si="74"/>
        <v>0.75</v>
      </c>
      <c r="CF44" s="1169">
        <f t="shared" si="74"/>
        <v>1</v>
      </c>
      <c r="CG44" s="1169">
        <f t="shared" si="74"/>
        <v>1.25</v>
      </c>
      <c r="CH44" s="1169">
        <f t="shared" si="74"/>
        <v>1.5</v>
      </c>
      <c r="CI44" s="1169">
        <f t="shared" si="74"/>
        <v>1.75</v>
      </c>
      <c r="CJ44" s="1169">
        <v>2</v>
      </c>
      <c r="CK44" s="1169">
        <f t="shared" ref="CK44:CZ44" si="75">CJ44+0.25</f>
        <v>2.25</v>
      </c>
      <c r="CL44" s="1169">
        <f t="shared" si="75"/>
        <v>2.5</v>
      </c>
      <c r="CM44" s="1169">
        <f t="shared" si="75"/>
        <v>2.75</v>
      </c>
      <c r="CN44" s="1169">
        <f t="shared" si="75"/>
        <v>3</v>
      </c>
      <c r="CO44" s="1169">
        <f t="shared" si="75"/>
        <v>3.25</v>
      </c>
      <c r="CP44" s="1169">
        <f t="shared" si="75"/>
        <v>3.5</v>
      </c>
      <c r="CQ44" s="1169">
        <f t="shared" si="75"/>
        <v>3.75</v>
      </c>
      <c r="CR44" s="1169">
        <f t="shared" si="75"/>
        <v>4</v>
      </c>
      <c r="CS44" s="1169">
        <f t="shared" si="75"/>
        <v>4.25</v>
      </c>
      <c r="CT44" s="1169">
        <f t="shared" si="75"/>
        <v>4.5</v>
      </c>
      <c r="CU44" s="1169">
        <f t="shared" si="75"/>
        <v>4.75</v>
      </c>
      <c r="CV44" s="1169">
        <f t="shared" si="75"/>
        <v>5</v>
      </c>
      <c r="CW44" s="1169">
        <f t="shared" si="75"/>
        <v>5.25</v>
      </c>
      <c r="CX44" s="1169">
        <f t="shared" si="75"/>
        <v>5.5</v>
      </c>
      <c r="CY44" s="1169">
        <f t="shared" si="75"/>
        <v>5.75</v>
      </c>
      <c r="CZ44" s="1169">
        <f t="shared" si="75"/>
        <v>6</v>
      </c>
    </row>
    <row r="45" spans="1:104" ht="12.75" customHeight="1">
      <c r="A45" s="923"/>
      <c r="B45" s="924"/>
      <c r="C45" s="1122" t="s">
        <v>684</v>
      </c>
      <c r="D45" s="1122"/>
      <c r="E45" s="1122"/>
      <c r="F45" s="1128"/>
      <c r="G45" s="1140">
        <f t="shared" si="68"/>
        <v>35.000784722222228</v>
      </c>
      <c r="H45" s="1141">
        <f t="shared" si="68"/>
        <v>28.382862866300375</v>
      </c>
      <c r="I45" s="1141">
        <f t="shared" si="68"/>
        <v>31.812933650362325</v>
      </c>
      <c r="J45" s="1142">
        <f t="shared" si="68"/>
        <v>25.415262409420293</v>
      </c>
      <c r="K45" s="1140">
        <f t="shared" si="68"/>
        <v>29.8071865942029</v>
      </c>
      <c r="L45" s="1141">
        <f t="shared" si="68"/>
        <v>27.334835164835152</v>
      </c>
      <c r="M45" s="1141">
        <f t="shared" si="68"/>
        <v>31.034110054347821</v>
      </c>
      <c r="N45" s="1142">
        <f t="shared" si="68"/>
        <v>23.925171286231883</v>
      </c>
      <c r="O45" s="1140">
        <f t="shared" si="68"/>
        <v>19.365880564182188</v>
      </c>
      <c r="P45" s="1141">
        <f t="shared" si="68"/>
        <v>16.926233974358968</v>
      </c>
      <c r="Q45" s="1141">
        <f t="shared" si="68"/>
        <v>21.107855525362321</v>
      </c>
      <c r="R45" s="1141">
        <f t="shared" si="68"/>
        <v>22.343847056159426</v>
      </c>
      <c r="S45" s="1140">
        <f t="shared" si="68"/>
        <v>23.143879981884069</v>
      </c>
      <c r="T45" s="1141">
        <f t="shared" si="68"/>
        <v>26.316911630036625</v>
      </c>
      <c r="U45" s="1141">
        <f t="shared" si="68"/>
        <v>25.562675498188408</v>
      </c>
      <c r="V45" s="1142">
        <f t="shared" si="68"/>
        <v>26.801473958333329</v>
      </c>
      <c r="W45" s="1141">
        <f t="shared" si="68"/>
        <v>31.796791113123987</v>
      </c>
      <c r="X45" s="1141">
        <f t="shared" si="68"/>
        <v>30.898569139194134</v>
      </c>
      <c r="Y45" s="1141">
        <f t="shared" si="68"/>
        <v>28.542640398550727</v>
      </c>
      <c r="Z45" s="1142">
        <f t="shared" si="68"/>
        <v>25.265815081521733</v>
      </c>
      <c r="AA45" s="1141">
        <f t="shared" si="66"/>
        <v>22.23049803743962</v>
      </c>
      <c r="AB45" s="1141">
        <f t="shared" si="66"/>
        <v>20.495057234432235</v>
      </c>
      <c r="AC45" s="1141">
        <f t="shared" si="66"/>
        <v>20.106205842391308</v>
      </c>
      <c r="AD45" s="1142">
        <f t="shared" si="66"/>
        <v>15.567165081521738</v>
      </c>
      <c r="AE45" s="1144">
        <f t="shared" si="69"/>
        <v>13.567103589345434</v>
      </c>
      <c r="AF45" s="1144">
        <f t="shared" si="69"/>
        <v>14.551979166666674</v>
      </c>
      <c r="AG45" s="1144">
        <f t="shared" si="69"/>
        <v>21.434193840579709</v>
      </c>
      <c r="AH45" s="1145">
        <f t="shared" si="69"/>
        <v>18.581885235507244</v>
      </c>
      <c r="AI45" s="1144">
        <f t="shared" si="41"/>
        <v>17.745814764492753</v>
      </c>
      <c r="AJ45" s="1144">
        <f t="shared" si="41"/>
        <v>21.731801739926734</v>
      </c>
      <c r="AK45" s="1144">
        <f t="shared" si="41"/>
        <v>23.207665307971009</v>
      </c>
      <c r="AL45" s="1145">
        <f t="shared" si="41"/>
        <v>19.342823505434787</v>
      </c>
      <c r="AM45" s="1144">
        <f t="shared" si="41"/>
        <v>19.624934933574881</v>
      </c>
      <c r="AN45" s="1144">
        <f t="shared" si="41"/>
        <v>22.243873333333337</v>
      </c>
      <c r="AO45" s="1144">
        <f t="shared" si="41"/>
        <v>29.724189999999997</v>
      </c>
      <c r="AP45" s="1145">
        <f t="shared" si="41"/>
        <v>20.288083333333333</v>
      </c>
      <c r="AQ45" s="1144">
        <f t="shared" ref="AQ45:AX45" si="76">IF(ISBLANK(AQ188),"",AQ188)</f>
        <v>21.213743053469752</v>
      </c>
      <c r="AR45" s="1144">
        <f t="shared" si="76"/>
        <v>19.267514968052225</v>
      </c>
      <c r="AS45" s="1144">
        <f t="shared" si="76"/>
        <v>24.088177775796659</v>
      </c>
      <c r="AT45" s="1145">
        <f t="shared" si="76"/>
        <v>19.651694202681362</v>
      </c>
      <c r="AU45" s="1144">
        <f t="shared" si="76"/>
        <v>21.193400009991446</v>
      </c>
      <c r="AV45" s="1144">
        <f t="shared" si="76"/>
        <v>19.249038271425608</v>
      </c>
      <c r="AW45" s="1144">
        <f t="shared" si="76"/>
        <v>24.065078276261332</v>
      </c>
      <c r="AX45" s="1145">
        <f t="shared" si="76"/>
        <v>19.632849095121614</v>
      </c>
      <c r="AY45" s="1144">
        <f t="shared" si="35"/>
        <v>20.81512679245602</v>
      </c>
      <c r="AZ45" s="1144">
        <f t="shared" si="35"/>
        <v>18.905469252865018</v>
      </c>
      <c r="BA45" s="1144">
        <f t="shared" si="35"/>
        <v>23.635549527428598</v>
      </c>
      <c r="BB45" s="1145">
        <f t="shared" si="35"/>
        <v>19.282429578050358</v>
      </c>
      <c r="BC45" s="954"/>
      <c r="BD45" s="954"/>
      <c r="BE45" s="1052">
        <f t="shared" si="48"/>
        <v>30.152960912076306</v>
      </c>
      <c r="BF45" s="1052">
        <f t="shared" si="49"/>
        <v>28.025325774904438</v>
      </c>
      <c r="BG45" s="1052">
        <f t="shared" si="50"/>
        <v>19.935954280015729</v>
      </c>
      <c r="BH45" s="1052">
        <f t="shared" si="51"/>
        <v>25.45623526711061</v>
      </c>
      <c r="BI45" s="1052">
        <f t="shared" si="52"/>
        <v>29.125953933097648</v>
      </c>
      <c r="BJ45" s="1052">
        <f t="shared" si="53"/>
        <v>19.599731548946224</v>
      </c>
      <c r="BK45" s="1058">
        <f t="shared" si="54"/>
        <v>17.033790458024765</v>
      </c>
      <c r="BL45" s="1058">
        <f t="shared" si="55"/>
        <v>20.507026329456323</v>
      </c>
      <c r="BM45" s="1058">
        <f t="shared" si="56"/>
        <v>22.970270400060386</v>
      </c>
      <c r="BN45" s="1058">
        <f t="shared" si="57"/>
        <v>21.055282500000004</v>
      </c>
      <c r="BO45" s="1058">
        <f t="shared" si="58"/>
        <v>21.0350914132</v>
      </c>
      <c r="BP45" s="1058">
        <f t="shared" si="59"/>
        <v>20.659643787699999</v>
      </c>
      <c r="BQ45" s="949"/>
      <c r="BR45" s="969"/>
      <c r="BS45" s="970"/>
      <c r="BU45" s="922"/>
      <c r="BV45" s="964" t="s">
        <v>679</v>
      </c>
      <c r="BW45" s="1067"/>
      <c r="BX45" s="1067">
        <f>+BP227</f>
        <v>12041.10747540348</v>
      </c>
      <c r="BZ45" s="1370">
        <v>2</v>
      </c>
      <c r="CA45" s="1377" t="s">
        <v>678</v>
      </c>
      <c r="CB45" s="1378">
        <v>0.3</v>
      </c>
      <c r="CC45" s="1378">
        <v>0.3</v>
      </c>
      <c r="CD45" s="1378">
        <v>0.3</v>
      </c>
      <c r="CE45" s="1378">
        <v>0.35</v>
      </c>
      <c r="CF45" s="1378">
        <v>0.35</v>
      </c>
      <c r="CG45" s="1378">
        <v>0.35</v>
      </c>
      <c r="CH45" s="1378">
        <v>0.4</v>
      </c>
      <c r="CI45" s="1378">
        <v>0.4</v>
      </c>
      <c r="CJ45" s="1378">
        <v>0.4</v>
      </c>
      <c r="CK45" s="1378">
        <v>0.45</v>
      </c>
      <c r="CL45" s="1378">
        <v>0.45</v>
      </c>
      <c r="CM45" s="1378">
        <v>0.5</v>
      </c>
      <c r="CN45" s="1378">
        <v>0.5</v>
      </c>
      <c r="CO45" s="1378">
        <v>0.5</v>
      </c>
      <c r="CP45" s="1378">
        <v>0.55000000000000004</v>
      </c>
      <c r="CQ45" s="1378">
        <v>0.6</v>
      </c>
      <c r="CR45" s="1378">
        <v>0.65</v>
      </c>
      <c r="CS45" s="1378">
        <v>0.65</v>
      </c>
      <c r="CT45" s="1378">
        <v>0.65</v>
      </c>
      <c r="CU45" s="1378">
        <v>0.65</v>
      </c>
      <c r="CV45" s="1378">
        <v>0.65</v>
      </c>
      <c r="CW45" s="1378">
        <v>0.65</v>
      </c>
      <c r="CX45" s="1378">
        <v>0.65</v>
      </c>
      <c r="CY45" s="1378">
        <v>0.65</v>
      </c>
      <c r="CZ45" s="1378">
        <v>0.65</v>
      </c>
    </row>
    <row r="46" spans="1:104" ht="12.75" customHeight="1">
      <c r="A46" s="923"/>
      <c r="B46" s="924"/>
      <c r="C46" s="1122" t="s">
        <v>685</v>
      </c>
      <c r="D46" s="1122"/>
      <c r="E46" s="1122"/>
      <c r="F46" s="1128"/>
      <c r="G46" s="1140">
        <f t="shared" si="68"/>
        <v>33.530322580645155</v>
      </c>
      <c r="H46" s="1141">
        <f t="shared" si="68"/>
        <v>26.094333333333331</v>
      </c>
      <c r="I46" s="1141">
        <f t="shared" si="68"/>
        <v>27.91</v>
      </c>
      <c r="J46" s="1142">
        <f t="shared" si="68"/>
        <v>25.807647058823527</v>
      </c>
      <c r="K46" s="1140">
        <f t="shared" si="68"/>
        <v>20.458235294117642</v>
      </c>
      <c r="L46" s="1141">
        <f t="shared" si="68"/>
        <v>15.988181818181818</v>
      </c>
      <c r="M46" s="1141">
        <f t="shared" si="68"/>
        <v>24.526097560975611</v>
      </c>
      <c r="N46" s="1142">
        <f t="shared" si="68"/>
        <v>24.08657894736842</v>
      </c>
      <c r="O46" s="1140">
        <f t="shared" si="68"/>
        <v>19.836734693877553</v>
      </c>
      <c r="P46" s="1141">
        <f t="shared" si="68"/>
        <v>16.344545454545454</v>
      </c>
      <c r="Q46" s="1141">
        <f t="shared" si="68"/>
        <v>20.018333333333338</v>
      </c>
      <c r="R46" s="1141">
        <f t="shared" si="68"/>
        <v>25.022727272727277</v>
      </c>
      <c r="S46" s="1140">
        <f t="shared" si="68"/>
        <v>27.013333333333335</v>
      </c>
      <c r="T46" s="1141">
        <f t="shared" si="68"/>
        <v>26.58642857142857</v>
      </c>
      <c r="U46" s="1141">
        <f t="shared" si="68"/>
        <v>24.336666666666662</v>
      </c>
      <c r="V46" s="1142">
        <f t="shared" si="68"/>
        <v>29.902142857142856</v>
      </c>
      <c r="W46" s="1141">
        <f t="shared" si="68"/>
        <v>37.216206896551725</v>
      </c>
      <c r="X46" s="1141">
        <f t="shared" si="68"/>
        <v>31.198387096774194</v>
      </c>
      <c r="Y46" s="1141">
        <f t="shared" si="68"/>
        <v>31.499310344827585</v>
      </c>
      <c r="Z46" s="1142">
        <f t="shared" si="68"/>
        <v>26.848387096774196</v>
      </c>
      <c r="AA46" s="1141">
        <f t="shared" si="66"/>
        <v>21.951388888888893</v>
      </c>
      <c r="AB46" s="1141">
        <f t="shared" si="66"/>
        <v>21.208409090909093</v>
      </c>
      <c r="AC46" s="1141">
        <f t="shared" si="66"/>
        <v>23.832173913043476</v>
      </c>
      <c r="AD46" s="1142">
        <f t="shared" si="66"/>
        <v>19.805555555555557</v>
      </c>
      <c r="AE46" s="1144">
        <f t="shared" si="69"/>
        <v>16.825681818181817</v>
      </c>
      <c r="AF46" s="1144">
        <f t="shared" si="69"/>
        <v>16.068333333333332</v>
      </c>
      <c r="AG46" s="1144">
        <f t="shared" si="69"/>
        <v>22.099565217391302</v>
      </c>
      <c r="AH46" s="1145">
        <f t="shared" si="69"/>
        <v>21.735135135135135</v>
      </c>
      <c r="AI46" s="1144">
        <f t="shared" ref="AI46:AP50" si="77">IF(ISBLANK(AI189),"",AI189)</f>
        <v>20.877073170731702</v>
      </c>
      <c r="AJ46" s="1144">
        <f t="shared" si="77"/>
        <v>21.894222222222222</v>
      </c>
      <c r="AK46" s="1144">
        <f t="shared" si="77"/>
        <v>23.702653061224492</v>
      </c>
      <c r="AL46" s="1145">
        <f t="shared" si="77"/>
        <v>23.66375</v>
      </c>
      <c r="AM46" s="1144">
        <f t="shared" si="77"/>
        <v>23.66375</v>
      </c>
      <c r="AN46" s="1144">
        <f t="shared" si="77"/>
        <v>21.866666666666664</v>
      </c>
      <c r="AO46" s="1144">
        <f t="shared" si="77"/>
        <v>25.5</v>
      </c>
      <c r="AP46" s="1145">
        <f t="shared" si="77"/>
        <v>21.55</v>
      </c>
      <c r="AQ46" s="1144">
        <f t="shared" ref="AQ46:AX46" si="78">IF(ISBLANK(AQ189),"",AQ189)</f>
        <v>24.836427915484958</v>
      </c>
      <c r="AR46" s="1144">
        <f t="shared" si="78"/>
        <v>21.765546372753509</v>
      </c>
      <c r="AS46" s="1144">
        <f t="shared" si="78"/>
        <v>25.429054178110412</v>
      </c>
      <c r="AT46" s="1145">
        <f t="shared" si="78"/>
        <v>25.75230486685113</v>
      </c>
      <c r="AU46" s="1144">
        <f t="shared" si="78"/>
        <v>28.091790633507216</v>
      </c>
      <c r="AV46" s="1144">
        <f t="shared" si="78"/>
        <v>24.61840220372709</v>
      </c>
      <c r="AW46" s="1144">
        <f t="shared" si="78"/>
        <v>28.762093663807821</v>
      </c>
      <c r="AX46" s="1145">
        <f t="shared" si="78"/>
        <v>29.127713498557874</v>
      </c>
      <c r="AY46" s="1144">
        <f t="shared" si="35"/>
        <v>30.585169880556695</v>
      </c>
      <c r="AZ46" s="1144">
        <f t="shared" si="35"/>
        <v>26.803489439749491</v>
      </c>
      <c r="BA46" s="1144">
        <f t="shared" si="35"/>
        <v>31.314967860353057</v>
      </c>
      <c r="BB46" s="1145">
        <f t="shared" si="35"/>
        <v>31.713039485740765</v>
      </c>
      <c r="BC46" s="954"/>
      <c r="BD46" s="954"/>
      <c r="BE46" s="1052">
        <f t="shared" si="48"/>
        <v>28.335575743200501</v>
      </c>
      <c r="BF46" s="1052">
        <f t="shared" si="49"/>
        <v>21.264773405160874</v>
      </c>
      <c r="BG46" s="1052">
        <f t="shared" si="50"/>
        <v>20.305585188620906</v>
      </c>
      <c r="BH46" s="1052">
        <f t="shared" si="51"/>
        <v>26.959642857142853</v>
      </c>
      <c r="BI46" s="1052">
        <f t="shared" si="52"/>
        <v>31.690572858731926</v>
      </c>
      <c r="BJ46" s="1052">
        <f t="shared" si="53"/>
        <v>21.699381862099255</v>
      </c>
      <c r="BK46" s="1058">
        <f t="shared" si="54"/>
        <v>19.182178876010397</v>
      </c>
      <c r="BL46" s="1058">
        <f t="shared" si="55"/>
        <v>22.534424613544601</v>
      </c>
      <c r="BM46" s="1058">
        <f t="shared" si="56"/>
        <v>23.145104166666666</v>
      </c>
      <c r="BN46" s="1058">
        <f t="shared" si="57"/>
        <v>24.445833333300005</v>
      </c>
      <c r="BO46" s="1058">
        <f t="shared" si="58"/>
        <v>27.649999999899997</v>
      </c>
      <c r="BP46" s="1058">
        <f t="shared" si="59"/>
        <v>30.104166666600005</v>
      </c>
      <c r="BQ46" s="949"/>
      <c r="BR46" s="969"/>
      <c r="BS46" s="970"/>
      <c r="BU46" s="922"/>
      <c r="BV46" s="964" t="s">
        <v>680</v>
      </c>
      <c r="BW46" s="1067"/>
      <c r="BX46" s="1067">
        <f>+BP228</f>
        <v>11910.971532855161</v>
      </c>
      <c r="BZ46" s="1370">
        <v>3</v>
      </c>
      <c r="CA46" s="1377" t="s">
        <v>601</v>
      </c>
      <c r="CB46" s="1378">
        <v>0.35</v>
      </c>
      <c r="CC46" s="1378">
        <v>0.35</v>
      </c>
      <c r="CD46" s="1378">
        <v>0.35</v>
      </c>
      <c r="CE46" s="1378">
        <v>0.35</v>
      </c>
      <c r="CF46" s="1378">
        <v>0.4</v>
      </c>
      <c r="CG46" s="1378">
        <v>0.45</v>
      </c>
      <c r="CH46" s="1378">
        <v>0.5</v>
      </c>
      <c r="CI46" s="1378">
        <v>0.5</v>
      </c>
      <c r="CJ46" s="1378">
        <v>0.55000000000000004</v>
      </c>
      <c r="CK46" s="1378">
        <v>0.6</v>
      </c>
      <c r="CL46" s="1378">
        <v>0.65</v>
      </c>
      <c r="CM46" s="1378">
        <v>0.65</v>
      </c>
      <c r="CN46" s="1378">
        <v>0.7</v>
      </c>
      <c r="CO46" s="1378">
        <v>0.75</v>
      </c>
      <c r="CP46" s="1378">
        <v>0.75</v>
      </c>
      <c r="CQ46" s="1378">
        <v>0.75</v>
      </c>
      <c r="CR46" s="1378">
        <v>0.75</v>
      </c>
      <c r="CS46" s="1378">
        <v>0.75</v>
      </c>
      <c r="CT46" s="1378">
        <v>0.8</v>
      </c>
      <c r="CU46" s="1378">
        <v>0.8</v>
      </c>
      <c r="CV46" s="1378">
        <v>0.8</v>
      </c>
      <c r="CW46" s="1378">
        <v>0.8</v>
      </c>
      <c r="CX46" s="1378">
        <v>0.8</v>
      </c>
      <c r="CY46" s="1378">
        <v>0.8</v>
      </c>
      <c r="CZ46" s="1378">
        <v>0.8</v>
      </c>
    </row>
    <row r="47" spans="1:104" ht="12.75" customHeight="1">
      <c r="A47" s="923"/>
      <c r="B47" s="924"/>
      <c r="C47" s="1122" t="s">
        <v>686</v>
      </c>
      <c r="D47" s="1122"/>
      <c r="E47" s="1122"/>
      <c r="F47" s="1128"/>
      <c r="G47" s="1140">
        <f t="shared" si="68"/>
        <v>39.792162207161546</v>
      </c>
      <c r="H47" s="1141">
        <f t="shared" si="68"/>
        <v>18.396992540064101</v>
      </c>
      <c r="I47" s="1141">
        <f t="shared" si="68"/>
        <v>24.471085883152178</v>
      </c>
      <c r="J47" s="1142">
        <f t="shared" si="68"/>
        <v>26.837953423097826</v>
      </c>
      <c r="K47" s="1140">
        <f t="shared" si="68"/>
        <v>18.974865649255229</v>
      </c>
      <c r="L47" s="1141">
        <f t="shared" si="68"/>
        <v>10.592114644001832</v>
      </c>
      <c r="M47" s="1141">
        <f t="shared" si="68"/>
        <v>23.428638822463746</v>
      </c>
      <c r="N47" s="1142">
        <f t="shared" si="68"/>
        <v>24.040611232563403</v>
      </c>
      <c r="O47" s="1140">
        <f t="shared" si="68"/>
        <v>19.574844206780533</v>
      </c>
      <c r="P47" s="1141">
        <f t="shared" si="68"/>
        <v>14.132461858974361</v>
      </c>
      <c r="Q47" s="1141">
        <f t="shared" si="68"/>
        <v>19.690949210824268</v>
      </c>
      <c r="R47" s="1141">
        <f t="shared" si="68"/>
        <v>27.320213811911241</v>
      </c>
      <c r="S47" s="1140">
        <f t="shared" si="68"/>
        <v>34.906394377365146</v>
      </c>
      <c r="T47" s="1141">
        <f t="shared" si="68"/>
        <v>29.51015124084249</v>
      </c>
      <c r="U47" s="1141">
        <f t="shared" si="68"/>
        <v>32.575099427083344</v>
      </c>
      <c r="V47" s="1142">
        <f t="shared" si="68"/>
        <v>37.361519796557985</v>
      </c>
      <c r="W47" s="1141">
        <f t="shared" si="68"/>
        <v>42.627117423409828</v>
      </c>
      <c r="X47" s="1141">
        <f t="shared" si="68"/>
        <v>21.235009505690744</v>
      </c>
      <c r="Y47" s="1141">
        <f t="shared" si="68"/>
        <v>33.125406867559512</v>
      </c>
      <c r="Z47" s="1142">
        <f t="shared" si="68"/>
        <v>32.544144284297367</v>
      </c>
      <c r="AA47" s="1141">
        <f t="shared" si="66"/>
        <v>24.552941132037905</v>
      </c>
      <c r="AB47" s="1141">
        <f t="shared" si="66"/>
        <v>25.405648776654878</v>
      </c>
      <c r="AC47" s="1141">
        <f t="shared" si="66"/>
        <v>28.41391110280798</v>
      </c>
      <c r="AD47" s="1142">
        <f t="shared" si="66"/>
        <v>25.53134713495729</v>
      </c>
      <c r="AE47" s="1144">
        <f t="shared" si="69"/>
        <v>20.780798292565343</v>
      </c>
      <c r="AF47" s="1144">
        <f t="shared" si="69"/>
        <v>18.439791219093404</v>
      </c>
      <c r="AG47" s="1144">
        <f t="shared" si="69"/>
        <v>27.717085095270448</v>
      </c>
      <c r="AH47" s="1145">
        <f t="shared" si="69"/>
        <v>27.225998677746944</v>
      </c>
      <c r="AI47" s="1144">
        <f t="shared" si="77"/>
        <v>23.502615202110384</v>
      </c>
      <c r="AJ47" s="1144">
        <f t="shared" si="77"/>
        <v>22.058978634484564</v>
      </c>
      <c r="AK47" s="1144">
        <f t="shared" si="77"/>
        <v>29.16276689554218</v>
      </c>
      <c r="AL47" s="1145">
        <f t="shared" si="77"/>
        <v>31.166413735261386</v>
      </c>
      <c r="AM47" s="1144">
        <f t="shared" si="77"/>
        <v>27.79077055530394</v>
      </c>
      <c r="AN47" s="1144">
        <f t="shared" si="77"/>
        <v>23.866666666666671</v>
      </c>
      <c r="AO47" s="1144">
        <f t="shared" si="77"/>
        <v>32.4</v>
      </c>
      <c r="AP47" s="1145">
        <f t="shared" si="77"/>
        <v>31.849999999999998</v>
      </c>
      <c r="AQ47" s="1144">
        <f t="shared" ref="AQ47:AX47" si="79">IF(ISBLANK(AQ190),"",AQ190)</f>
        <v>32.001911923859012</v>
      </c>
      <c r="AR47" s="1144">
        <f t="shared" si="79"/>
        <v>23.464576991634761</v>
      </c>
      <c r="AS47" s="1144">
        <f t="shared" si="79"/>
        <v>31.792406772147991</v>
      </c>
      <c r="AT47" s="1145">
        <f t="shared" si="79"/>
        <v>34.124437645558224</v>
      </c>
      <c r="AU47" s="1144">
        <f t="shared" si="79"/>
        <v>35.011840479141661</v>
      </c>
      <c r="AV47" s="1144">
        <f t="shared" si="79"/>
        <v>25.671529516621057</v>
      </c>
      <c r="AW47" s="1144">
        <f t="shared" si="79"/>
        <v>34.782630394171832</v>
      </c>
      <c r="AX47" s="1145">
        <f t="shared" si="79"/>
        <v>37.333999610065447</v>
      </c>
      <c r="AY47" s="1144">
        <f t="shared" si="35"/>
        <v>36.703552148808996</v>
      </c>
      <c r="AZ47" s="1144">
        <f t="shared" si="35"/>
        <v>26.911933490452423</v>
      </c>
      <c r="BA47" s="1144">
        <f t="shared" si="35"/>
        <v>36.46326702835853</v>
      </c>
      <c r="BB47" s="1145">
        <f t="shared" si="35"/>
        <v>39.137913998780029</v>
      </c>
      <c r="BC47" s="954"/>
      <c r="BD47" s="954"/>
      <c r="BE47" s="1052">
        <f t="shared" si="48"/>
        <v>27.374548513368911</v>
      </c>
      <c r="BF47" s="1052">
        <f t="shared" si="49"/>
        <v>19.259057587071052</v>
      </c>
      <c r="BG47" s="1052">
        <f t="shared" si="50"/>
        <v>20.179617272122602</v>
      </c>
      <c r="BH47" s="1052">
        <f t="shared" si="51"/>
        <v>33.588291210462245</v>
      </c>
      <c r="BI47" s="1052">
        <f t="shared" si="52"/>
        <v>32.382919520239362</v>
      </c>
      <c r="BJ47" s="1052">
        <f t="shared" si="53"/>
        <v>25.975962036614511</v>
      </c>
      <c r="BK47" s="1058">
        <f t="shared" si="54"/>
        <v>23.540918321169034</v>
      </c>
      <c r="BL47" s="1058">
        <f t="shared" si="55"/>
        <v>26.472693616849629</v>
      </c>
      <c r="BM47" s="1058">
        <f t="shared" si="56"/>
        <v>28.976859305492653</v>
      </c>
      <c r="BN47" s="1058">
        <f t="shared" si="57"/>
        <v>30.3458333333</v>
      </c>
      <c r="BO47" s="1058">
        <f t="shared" si="58"/>
        <v>33.200000000000003</v>
      </c>
      <c r="BP47" s="1058">
        <f t="shared" si="59"/>
        <v>34.804166666599997</v>
      </c>
      <c r="BQ47" s="949"/>
      <c r="BR47" s="969"/>
      <c r="BS47" s="970"/>
      <c r="BU47" s="922"/>
      <c r="BV47" s="964" t="s">
        <v>681</v>
      </c>
      <c r="BW47" s="1067"/>
      <c r="BX47" s="1067">
        <f>+BP229</f>
        <v>10978.293662399825</v>
      </c>
      <c r="BZ47" s="1370">
        <v>4</v>
      </c>
      <c r="CA47" s="1377" t="s">
        <v>679</v>
      </c>
      <c r="CB47" s="1378">
        <v>0.2</v>
      </c>
      <c r="CC47" s="1378">
        <v>0.2</v>
      </c>
      <c r="CD47" s="1378">
        <v>0.2</v>
      </c>
      <c r="CE47" s="1378">
        <v>0.2</v>
      </c>
      <c r="CF47" s="1378">
        <v>0.2</v>
      </c>
      <c r="CG47" s="1378">
        <v>0.2</v>
      </c>
      <c r="CH47" s="1378">
        <v>0.2</v>
      </c>
      <c r="CI47" s="1378">
        <v>0.2</v>
      </c>
      <c r="CJ47" s="1378">
        <v>0.25</v>
      </c>
      <c r="CK47" s="1378">
        <v>0.25</v>
      </c>
      <c r="CL47" s="1378">
        <v>0.25</v>
      </c>
      <c r="CM47" s="1378">
        <v>0.35</v>
      </c>
      <c r="CN47" s="1378">
        <v>0.35</v>
      </c>
      <c r="CO47" s="1378">
        <v>0.4</v>
      </c>
      <c r="CP47" s="1378">
        <v>0.4</v>
      </c>
      <c r="CQ47" s="1378">
        <v>0.45</v>
      </c>
      <c r="CR47" s="1378">
        <v>0.45</v>
      </c>
      <c r="CS47" s="1378">
        <v>0.5</v>
      </c>
      <c r="CT47" s="1378">
        <v>0.5</v>
      </c>
      <c r="CU47" s="1378">
        <v>0.5</v>
      </c>
      <c r="CV47" s="1378">
        <v>0.5</v>
      </c>
      <c r="CW47" s="1378">
        <v>0.55000000000000004</v>
      </c>
      <c r="CX47" s="1378">
        <v>0.55000000000000004</v>
      </c>
      <c r="CY47" s="1378">
        <v>0.55000000000000004</v>
      </c>
      <c r="CZ47" s="1378">
        <v>0.55000000000000004</v>
      </c>
    </row>
    <row r="48" spans="1:104" ht="12.75" customHeight="1">
      <c r="A48" s="923"/>
      <c r="B48" s="924"/>
      <c r="C48" s="1122" t="s">
        <v>687</v>
      </c>
      <c r="D48" s="1122"/>
      <c r="E48" s="1122"/>
      <c r="F48" s="1128"/>
      <c r="G48" s="1140">
        <f t="shared" si="68"/>
        <v>37.117594064527246</v>
      </c>
      <c r="H48" s="1141">
        <f t="shared" si="68"/>
        <v>19.113250432692308</v>
      </c>
      <c r="I48" s="1141">
        <f t="shared" si="68"/>
        <v>25.547545279664849</v>
      </c>
      <c r="J48" s="1142">
        <f t="shared" si="68"/>
        <v>27.749613651449284</v>
      </c>
      <c r="K48" s="1140">
        <f t="shared" si="68"/>
        <v>18.722317882447662</v>
      </c>
      <c r="L48" s="1141">
        <f t="shared" si="68"/>
        <v>9.3984892651098875</v>
      </c>
      <c r="M48" s="1141">
        <f t="shared" si="68"/>
        <v>23.640035421195652</v>
      </c>
      <c r="N48" s="1142">
        <f t="shared" si="68"/>
        <v>25.15623199827899</v>
      </c>
      <c r="O48" s="1140">
        <f t="shared" si="68"/>
        <v>20.248332309583525</v>
      </c>
      <c r="P48" s="1141">
        <f t="shared" si="68"/>
        <v>12.638521983745417</v>
      </c>
      <c r="Q48" s="1141">
        <f t="shared" si="68"/>
        <v>18.538177578124998</v>
      </c>
      <c r="R48" s="1141">
        <f t="shared" si="68"/>
        <v>27.611688596331518</v>
      </c>
      <c r="S48" s="1140">
        <f t="shared" si="68"/>
        <v>32.535625475191225</v>
      </c>
      <c r="T48" s="1141">
        <f t="shared" si="68"/>
        <v>29.389078711080582</v>
      </c>
      <c r="U48" s="1141">
        <f t="shared" si="68"/>
        <v>33.408651492300713</v>
      </c>
      <c r="V48" s="1142">
        <f t="shared" si="68"/>
        <v>39.111093514039872</v>
      </c>
      <c r="W48" s="1141">
        <f t="shared" si="68"/>
        <v>43.573062782256443</v>
      </c>
      <c r="X48" s="1141">
        <f t="shared" si="68"/>
        <v>25.133060753891947</v>
      </c>
      <c r="Y48" s="1141">
        <f t="shared" si="68"/>
        <v>33.672098231107654</v>
      </c>
      <c r="Z48" s="1142">
        <f t="shared" si="68"/>
        <v>32.79430912681805</v>
      </c>
      <c r="AA48" s="1141">
        <f t="shared" si="66"/>
        <v>25.992472138601332</v>
      </c>
      <c r="AB48" s="1141">
        <f t="shared" si="66"/>
        <v>27.16867147632129</v>
      </c>
      <c r="AC48" s="1141">
        <f t="shared" si="66"/>
        <v>27.614825502717384</v>
      </c>
      <c r="AD48" s="1142">
        <f t="shared" si="66"/>
        <v>26.110869571577393</v>
      </c>
      <c r="AE48" s="1144">
        <f t="shared" si="69"/>
        <v>20.11139374158903</v>
      </c>
      <c r="AF48" s="1144">
        <f t="shared" si="69"/>
        <v>21.2270874957483</v>
      </c>
      <c r="AG48" s="1144">
        <f t="shared" si="69"/>
        <v>29.189901377458604</v>
      </c>
      <c r="AH48" s="1145">
        <f t="shared" si="69"/>
        <v>28.44518337338728</v>
      </c>
      <c r="AI48" s="1144">
        <f t="shared" si="77"/>
        <v>24.123383839646465</v>
      </c>
      <c r="AJ48" s="1144">
        <f t="shared" si="77"/>
        <v>20.910626551641812</v>
      </c>
      <c r="AK48" s="1144">
        <f t="shared" si="77"/>
        <v>30.198757360248454</v>
      </c>
      <c r="AL48" s="1145">
        <f t="shared" si="77"/>
        <v>30.953927045121635</v>
      </c>
      <c r="AM48" s="1144">
        <f t="shared" si="77"/>
        <v>29.637675953200478</v>
      </c>
      <c r="AN48" s="1144">
        <f t="shared" si="77"/>
        <v>24.700000000000003</v>
      </c>
      <c r="AO48" s="1144">
        <f t="shared" si="77"/>
        <v>32.199999999999996</v>
      </c>
      <c r="AP48" s="1145">
        <f t="shared" si="77"/>
        <v>32.1</v>
      </c>
      <c r="AQ48" s="1144">
        <f t="shared" ref="AQ48:AX48" si="80">IF(ISBLANK(AQ191),"",AQ191)</f>
        <v>32.382642291161041</v>
      </c>
      <c r="AR48" s="1144">
        <f t="shared" si="80"/>
        <v>24.129274044874869</v>
      </c>
      <c r="AS48" s="1144">
        <f t="shared" si="80"/>
        <v>32.172365393166494</v>
      </c>
      <c r="AT48" s="1145">
        <f t="shared" si="80"/>
        <v>36.099051603997601</v>
      </c>
      <c r="AU48" s="1144">
        <f t="shared" si="80"/>
        <v>35.345392387291405</v>
      </c>
      <c r="AV48" s="1144">
        <f t="shared" si="80"/>
        <v>26.336907639231747</v>
      </c>
      <c r="AW48" s="1144">
        <f t="shared" si="80"/>
        <v>35.115876852309</v>
      </c>
      <c r="AX48" s="1145">
        <f t="shared" si="80"/>
        <v>39.401823121167837</v>
      </c>
      <c r="AY48" s="1144">
        <f t="shared" si="35"/>
        <v>37.010587696706686</v>
      </c>
      <c r="AZ48" s="1144">
        <f t="shared" si="35"/>
        <v>27.577694403877224</v>
      </c>
      <c r="BA48" s="1144">
        <f t="shared" si="35"/>
        <v>36.770259205169637</v>
      </c>
      <c r="BB48" s="1145">
        <f t="shared" si="35"/>
        <v>41.258125360646446</v>
      </c>
      <c r="BC48" s="954"/>
      <c r="BD48" s="954"/>
      <c r="BE48" s="1052">
        <f t="shared" si="48"/>
        <v>27.382000857083419</v>
      </c>
      <c r="BF48" s="1052">
        <f t="shared" si="49"/>
        <v>19.229268641758047</v>
      </c>
      <c r="BG48" s="1052">
        <f t="shared" si="50"/>
        <v>19.759180116946364</v>
      </c>
      <c r="BH48" s="1052">
        <f t="shared" si="51"/>
        <v>33.611112298153103</v>
      </c>
      <c r="BI48" s="1052">
        <f t="shared" si="52"/>
        <v>33.793132723518525</v>
      </c>
      <c r="BJ48" s="1052">
        <f t="shared" si="53"/>
        <v>26.72170967230435</v>
      </c>
      <c r="BK48" s="1058">
        <f t="shared" si="54"/>
        <v>24.743391497045803</v>
      </c>
      <c r="BL48" s="1058">
        <f t="shared" si="55"/>
        <v>26.54667369916459</v>
      </c>
      <c r="BM48" s="1058">
        <f t="shared" si="56"/>
        <v>29.659418988300118</v>
      </c>
      <c r="BN48" s="1058">
        <f t="shared" si="57"/>
        <v>31.195833333300001</v>
      </c>
      <c r="BO48" s="1058">
        <f t="shared" si="58"/>
        <v>34.049999999999997</v>
      </c>
      <c r="BP48" s="1058">
        <f t="shared" si="59"/>
        <v>35.654166666599998</v>
      </c>
      <c r="BQ48" s="949"/>
      <c r="BR48" s="969"/>
      <c r="BS48" s="970"/>
      <c r="BU48" s="922"/>
      <c r="BV48" s="921"/>
      <c r="BW48" s="921"/>
      <c r="BZ48" s="1370">
        <v>5</v>
      </c>
      <c r="CA48" s="1377" t="s">
        <v>680</v>
      </c>
      <c r="CB48" s="1378">
        <v>0.2</v>
      </c>
      <c r="CC48" s="1378">
        <v>0.2</v>
      </c>
      <c r="CD48" s="1378">
        <v>0.2</v>
      </c>
      <c r="CE48" s="1378">
        <v>0.2</v>
      </c>
      <c r="CF48" s="1378">
        <v>0.2</v>
      </c>
      <c r="CG48" s="1378">
        <v>0.2</v>
      </c>
      <c r="CH48" s="1378">
        <v>0.2</v>
      </c>
      <c r="CI48" s="1378">
        <v>0.2</v>
      </c>
      <c r="CJ48" s="1378">
        <v>0.25</v>
      </c>
      <c r="CK48" s="1378">
        <v>0.25</v>
      </c>
      <c r="CL48" s="1378">
        <v>0.25</v>
      </c>
      <c r="CM48" s="1378">
        <v>0.35</v>
      </c>
      <c r="CN48" s="1378">
        <v>0.35</v>
      </c>
      <c r="CO48" s="1378">
        <v>0.4</v>
      </c>
      <c r="CP48" s="1378">
        <v>0.4</v>
      </c>
      <c r="CQ48" s="1378">
        <v>0.45</v>
      </c>
      <c r="CR48" s="1378">
        <v>0.45</v>
      </c>
      <c r="CS48" s="1378">
        <v>0.5</v>
      </c>
      <c r="CT48" s="1378">
        <v>0.5</v>
      </c>
      <c r="CU48" s="1378">
        <v>0.5</v>
      </c>
      <c r="CV48" s="1378">
        <v>0.5</v>
      </c>
      <c r="CW48" s="1378">
        <v>0.55000000000000004</v>
      </c>
      <c r="CX48" s="1378">
        <v>0.55000000000000004</v>
      </c>
      <c r="CY48" s="1378">
        <v>0.55000000000000004</v>
      </c>
      <c r="CZ48" s="1378">
        <v>0.55000000000000004</v>
      </c>
    </row>
    <row r="49" spans="1:104" ht="13.5" customHeight="1">
      <c r="A49" s="923"/>
      <c r="B49" s="924"/>
      <c r="C49" s="1122" t="s">
        <v>688</v>
      </c>
      <c r="D49" s="1122"/>
      <c r="E49" s="1122"/>
      <c r="F49" s="1128"/>
      <c r="G49" s="1155">
        <f t="shared" si="68"/>
        <v>37.893934426229499</v>
      </c>
      <c r="H49" s="1156">
        <f t="shared" si="68"/>
        <v>20.846551724137928</v>
      </c>
      <c r="I49" s="1156">
        <f t="shared" si="68"/>
        <v>25.973666666666677</v>
      </c>
      <c r="J49" s="1157">
        <f t="shared" si="68"/>
        <v>29.371206896551723</v>
      </c>
      <c r="K49" s="1155">
        <f t="shared" si="68"/>
        <v>16.248095238095239</v>
      </c>
      <c r="L49" s="1156">
        <f t="shared" si="68"/>
        <v>8.8706896551724146</v>
      </c>
      <c r="M49" s="1156">
        <f t="shared" si="68"/>
        <v>19.931132075471702</v>
      </c>
      <c r="N49" s="1157">
        <f t="shared" si="68"/>
        <v>27.305689655172419</v>
      </c>
      <c r="O49" s="1155">
        <f t="shared" si="68"/>
        <v>19.371833333333331</v>
      </c>
      <c r="P49" s="1156">
        <f t="shared" si="68"/>
        <v>7.370967741935433E-2</v>
      </c>
      <c r="Q49" s="1156">
        <f t="shared" si="68"/>
        <v>13.051400000000001</v>
      </c>
      <c r="R49" s="1156">
        <f t="shared" si="68"/>
        <v>25.025692307692317</v>
      </c>
      <c r="S49" s="1155">
        <f t="shared" si="68"/>
        <v>26.816410256410261</v>
      </c>
      <c r="T49" s="1156">
        <f t="shared" si="68"/>
        <v>17.528181818181817</v>
      </c>
      <c r="U49" s="1156">
        <f t="shared" si="68"/>
        <v>23.521739130434778</v>
      </c>
      <c r="V49" s="1157">
        <f t="shared" si="68"/>
        <v>37.909999999999997</v>
      </c>
      <c r="W49" s="1156">
        <f t="shared" si="68"/>
        <v>24.855277777777776</v>
      </c>
      <c r="X49" s="1156">
        <f t="shared" si="68"/>
        <v>13.964473684210526</v>
      </c>
      <c r="Y49" s="1156">
        <f t="shared" si="68"/>
        <v>27.640666666666668</v>
      </c>
      <c r="Z49" s="1157">
        <f t="shared" si="68"/>
        <v>27.14555555555555</v>
      </c>
      <c r="AA49" s="1156">
        <f t="shared" si="66"/>
        <v>15.056279069767442</v>
      </c>
      <c r="AB49" s="1156">
        <f t="shared" si="66"/>
        <v>22.67235294117647</v>
      </c>
      <c r="AC49" s="1156">
        <f t="shared" si="66"/>
        <v>22.541666666666668</v>
      </c>
      <c r="AD49" s="1157">
        <f t="shared" si="66"/>
        <v>19.292727272727276</v>
      </c>
      <c r="AE49" s="1158">
        <f t="shared" si="69"/>
        <v>14.811363636363636</v>
      </c>
      <c r="AF49" s="1158">
        <f t="shared" si="69"/>
        <v>10.678222222222219</v>
      </c>
      <c r="AG49" s="1158">
        <f t="shared" si="69"/>
        <v>23.4837037037037</v>
      </c>
      <c r="AH49" s="1159">
        <f t="shared" si="69"/>
        <v>18.550377358490564</v>
      </c>
      <c r="AI49" s="1158">
        <f t="shared" si="77"/>
        <v>17.034905660377362</v>
      </c>
      <c r="AJ49" s="1158">
        <f t="shared" si="77"/>
        <v>3.7259375000000001</v>
      </c>
      <c r="AK49" s="1158">
        <f t="shared" si="77"/>
        <v>23.68</v>
      </c>
      <c r="AL49" s="1159">
        <f t="shared" si="77"/>
        <v>22.81</v>
      </c>
      <c r="AM49" s="1158">
        <f t="shared" si="77"/>
        <v>17.439166666666669</v>
      </c>
      <c r="AN49" s="1158">
        <f t="shared" si="77"/>
        <v>5.3999999999999995</v>
      </c>
      <c r="AO49" s="1158">
        <f t="shared" si="77"/>
        <v>17.400000000000002</v>
      </c>
      <c r="AP49" s="1159">
        <f t="shared" si="77"/>
        <v>20.55</v>
      </c>
      <c r="AQ49" s="1158">
        <f t="shared" ref="AQ49:AX49" si="81">IF(ISBLANK(AQ192),"",AQ192)</f>
        <v>24.123736367380481</v>
      </c>
      <c r="AR49" s="1158">
        <f t="shared" si="81"/>
        <v>9.8099081391649516</v>
      </c>
      <c r="AS49" s="1158">
        <f t="shared" si="81"/>
        <v>22.519600445252877</v>
      </c>
      <c r="AT49" s="1159">
        <f t="shared" si="81"/>
        <v>19.730088381401686</v>
      </c>
      <c r="AU49" s="1158">
        <f t="shared" si="81"/>
        <v>28.308843114166567</v>
      </c>
      <c r="AV49" s="1158">
        <f t="shared" si="81"/>
        <v>11.511780192205842</v>
      </c>
      <c r="AW49" s="1158">
        <f t="shared" si="81"/>
        <v>26.426413648774417</v>
      </c>
      <c r="AX49" s="1159">
        <f t="shared" si="81"/>
        <v>23.152963044853177</v>
      </c>
      <c r="AY49" s="1158">
        <f t="shared" si="35"/>
        <v>30.974011975501607</v>
      </c>
      <c r="AZ49" s="1158">
        <f t="shared" si="35"/>
        <v>12.59557008722444</v>
      </c>
      <c r="BA49" s="1158">
        <f t="shared" si="35"/>
        <v>28.914359005263648</v>
      </c>
      <c r="BB49" s="1159">
        <f t="shared" si="35"/>
        <v>25.332725598410299</v>
      </c>
      <c r="BC49" s="954"/>
      <c r="BD49" s="954"/>
      <c r="BE49" s="1052">
        <f t="shared" si="48"/>
        <v>28.521339928396458</v>
      </c>
      <c r="BF49" s="1052">
        <f t="shared" si="49"/>
        <v>18.088901655977942</v>
      </c>
      <c r="BG49" s="1052">
        <f t="shared" si="50"/>
        <v>14.380658829611251</v>
      </c>
      <c r="BH49" s="1052">
        <f t="shared" si="51"/>
        <v>26.444082801256712</v>
      </c>
      <c r="BI49" s="1052">
        <f t="shared" si="52"/>
        <v>23.401493421052628</v>
      </c>
      <c r="BJ49" s="1052">
        <f t="shared" si="53"/>
        <v>19.890756487584465</v>
      </c>
      <c r="BK49" s="1058">
        <f t="shared" si="54"/>
        <v>16.880916730195029</v>
      </c>
      <c r="BL49" s="1058">
        <f t="shared" si="55"/>
        <v>16.812710790094339</v>
      </c>
      <c r="BM49" s="1058">
        <f t="shared" si="56"/>
        <v>15.197291666666668</v>
      </c>
      <c r="BN49" s="1058">
        <f t="shared" si="57"/>
        <v>19.045833333299999</v>
      </c>
      <c r="BO49" s="1058">
        <f t="shared" si="58"/>
        <v>22.35</v>
      </c>
      <c r="BP49" s="1058">
        <f t="shared" si="59"/>
        <v>24.454166666599995</v>
      </c>
      <c r="BQ49" s="949"/>
      <c r="BR49" s="969"/>
      <c r="BS49" s="970"/>
      <c r="BU49" s="922"/>
      <c r="BV49" s="960" t="s">
        <v>994</v>
      </c>
      <c r="BW49" s="960"/>
      <c r="BX49" s="960">
        <v>2021</v>
      </c>
      <c r="BZ49" s="1370">
        <v>6</v>
      </c>
      <c r="CA49" s="1377" t="s">
        <v>681</v>
      </c>
      <c r="CB49" s="1378">
        <v>0.2</v>
      </c>
      <c r="CC49" s="1378">
        <v>0.2</v>
      </c>
      <c r="CD49" s="1378">
        <v>0.2</v>
      </c>
      <c r="CE49" s="1378">
        <v>0.2</v>
      </c>
      <c r="CF49" s="1378">
        <v>0.2</v>
      </c>
      <c r="CG49" s="1378">
        <v>0.2</v>
      </c>
      <c r="CH49" s="1378">
        <v>0.2</v>
      </c>
      <c r="CI49" s="1378">
        <v>0.2</v>
      </c>
      <c r="CJ49" s="1378">
        <v>0.25</v>
      </c>
      <c r="CK49" s="1378">
        <v>0.25</v>
      </c>
      <c r="CL49" s="1378">
        <v>0.3</v>
      </c>
      <c r="CM49" s="1378">
        <v>0.3</v>
      </c>
      <c r="CN49" s="1378">
        <v>0.3</v>
      </c>
      <c r="CO49" s="1378">
        <v>0.35</v>
      </c>
      <c r="CP49" s="1378">
        <v>0.35</v>
      </c>
      <c r="CQ49" s="1378">
        <v>0.4</v>
      </c>
      <c r="CR49" s="1378">
        <v>0.4</v>
      </c>
      <c r="CS49" s="1378">
        <v>0.4</v>
      </c>
      <c r="CT49" s="1378">
        <v>0.45</v>
      </c>
      <c r="CU49" s="1378">
        <v>0.5</v>
      </c>
      <c r="CV49" s="1378">
        <v>0.5</v>
      </c>
      <c r="CW49" s="1378">
        <v>0.5</v>
      </c>
      <c r="CX49" s="1378">
        <v>0.5</v>
      </c>
      <c r="CY49" s="1378">
        <v>0.5</v>
      </c>
      <c r="CZ49" s="1378">
        <v>0.5</v>
      </c>
    </row>
    <row r="50" spans="1:104" ht="13.5" customHeight="1">
      <c r="A50" s="923"/>
      <c r="B50" s="924"/>
      <c r="C50" s="1122"/>
      <c r="D50" s="1122"/>
      <c r="E50" s="1122"/>
      <c r="F50" s="1131"/>
      <c r="G50" s="1140">
        <f t="shared" si="68"/>
        <v>0</v>
      </c>
      <c r="H50" s="1141">
        <f t="shared" si="68"/>
        <v>0</v>
      </c>
      <c r="I50" s="1141">
        <f t="shared" si="68"/>
        <v>0</v>
      </c>
      <c r="J50" s="1142">
        <f t="shared" si="68"/>
        <v>18.965745967741935</v>
      </c>
      <c r="K50" s="1140">
        <f t="shared" si="68"/>
        <v>21.679500452898552</v>
      </c>
      <c r="L50" s="1141">
        <f t="shared" si="68"/>
        <v>15.42058035714286</v>
      </c>
      <c r="M50" s="1141">
        <f t="shared" si="68"/>
        <v>30.891255661231888</v>
      </c>
      <c r="N50" s="1142">
        <f t="shared" si="68"/>
        <v>16.763071376811602</v>
      </c>
      <c r="O50" s="1140">
        <f t="shared" si="68"/>
        <v>13.916985188724318</v>
      </c>
      <c r="P50" s="1141">
        <f t="shared" si="68"/>
        <v>13.258952609890109</v>
      </c>
      <c r="Q50" s="1141">
        <f t="shared" si="68"/>
        <v>19.372339221014496</v>
      </c>
      <c r="R50" s="1141">
        <f t="shared" si="68"/>
        <v>20.709261096014483</v>
      </c>
      <c r="S50" s="1140">
        <f t="shared" si="68"/>
        <v>20.440848782206118</v>
      </c>
      <c r="T50" s="1141">
        <f t="shared" si="68"/>
        <v>23.552954441391933</v>
      </c>
      <c r="U50" s="1141">
        <f t="shared" si="68"/>
        <v>25.64189198369565</v>
      </c>
      <c r="V50" s="1142">
        <f t="shared" si="68"/>
        <v>26.4882361865942</v>
      </c>
      <c r="W50" s="1140">
        <f t="shared" si="68"/>
        <v>32.272174315619957</v>
      </c>
      <c r="X50" s="1141">
        <f t="shared" si="68"/>
        <v>31.134892399267407</v>
      </c>
      <c r="Y50" s="1141">
        <f t="shared" si="68"/>
        <v>28.14129528985508</v>
      </c>
      <c r="Z50" s="1142">
        <f t="shared" si="68"/>
        <v>25.026826811594209</v>
      </c>
      <c r="AA50" s="1140">
        <f t="shared" si="69"/>
        <v>22.267231833735906</v>
      </c>
      <c r="AB50" s="1141">
        <f t="shared" si="69"/>
        <v>19.322938415750922</v>
      </c>
      <c r="AC50" s="1141">
        <f t="shared" si="69"/>
        <v>19.883229166666666</v>
      </c>
      <c r="AD50" s="1145">
        <f t="shared" si="69"/>
        <v>14.538071105072467</v>
      </c>
      <c r="AE50" s="1143">
        <f t="shared" si="69"/>
        <v>13.415166079391629</v>
      </c>
      <c r="AF50" s="1144">
        <f t="shared" si="69"/>
        <v>13.686976877289379</v>
      </c>
      <c r="AG50" s="1144">
        <f t="shared" si="69"/>
        <v>20.563768115942029</v>
      </c>
      <c r="AH50" s="1145">
        <f t="shared" si="69"/>
        <v>17.754754528985508</v>
      </c>
      <c r="AI50" s="1143">
        <f t="shared" si="77"/>
        <v>15.114614834943641</v>
      </c>
      <c r="AJ50" s="1144">
        <f t="shared" si="77"/>
        <v>18.580832188644688</v>
      </c>
      <c r="AK50" s="1144">
        <f t="shared" si="77"/>
        <v>21.66212522644927</v>
      </c>
      <c r="AL50" s="1145">
        <f t="shared" si="77"/>
        <v>17.263756521739129</v>
      </c>
      <c r="AM50" s="1143">
        <f t="shared" si="77"/>
        <v>17.088877969001611</v>
      </c>
      <c r="AN50" s="1144">
        <f t="shared" si="77"/>
        <v>18.510540000000002</v>
      </c>
      <c r="AO50" s="1144">
        <f t="shared" si="77"/>
        <v>27.807523333333336</v>
      </c>
      <c r="AP50" s="1145">
        <f t="shared" si="77"/>
        <v>17.338083333333334</v>
      </c>
      <c r="AQ50" s="1143">
        <f t="shared" ref="AQ50:AX56" si="82">IF(ISBLANK(AQ193),"",AQ193)</f>
        <v>16.957303958202534</v>
      </c>
      <c r="AR50" s="1144">
        <f t="shared" si="82"/>
        <v>14.649290816252094</v>
      </c>
      <c r="AS50" s="1144">
        <f t="shared" si="82"/>
        <v>20.911155316984395</v>
      </c>
      <c r="AT50" s="1145">
        <f t="shared" si="82"/>
        <v>16.626713241760964</v>
      </c>
      <c r="AU50" s="1143">
        <f t="shared" si="82"/>
        <v>16.447007807315547</v>
      </c>
      <c r="AV50" s="1144">
        <f t="shared" si="82"/>
        <v>14.208449705236832</v>
      </c>
      <c r="AW50" s="1144">
        <f t="shared" si="82"/>
        <v>20.281875916487753</v>
      </c>
      <c r="AX50" s="1145">
        <f t="shared" si="82"/>
        <v>16.126365557359861</v>
      </c>
      <c r="AY50" s="1143">
        <f t="shared" si="35"/>
        <v>15.71573988720429</v>
      </c>
      <c r="AZ50" s="1144">
        <f t="shared" si="35"/>
        <v>13.576712699595451</v>
      </c>
      <c r="BA50" s="1144">
        <f t="shared" si="35"/>
        <v>19.380101843588751</v>
      </c>
      <c r="BB50" s="1145">
        <f t="shared" si="35"/>
        <v>15.409354053611498</v>
      </c>
      <c r="BC50" s="954"/>
      <c r="BD50" s="954"/>
      <c r="BE50" s="1052"/>
      <c r="BF50" s="1052"/>
      <c r="BG50" s="1052"/>
      <c r="BH50" s="1052"/>
      <c r="BI50" s="1052"/>
      <c r="BJ50" s="1052"/>
      <c r="BK50" s="1052"/>
      <c r="BL50" s="1052"/>
      <c r="BM50" s="1052"/>
      <c r="BN50" s="1052"/>
      <c r="BO50" s="1052"/>
      <c r="BP50" s="1052"/>
      <c r="BQ50" s="949"/>
      <c r="BR50" s="950"/>
      <c r="BU50" s="922"/>
      <c r="BV50" s="964" t="s">
        <v>678</v>
      </c>
      <c r="BW50" s="1067"/>
      <c r="BX50" s="1067">
        <f>+BX36-BX43</f>
        <v>356.68412859678028</v>
      </c>
      <c r="BZ50" s="1370"/>
      <c r="CA50" s="1370"/>
      <c r="CB50" s="1370"/>
      <c r="CC50" s="1370"/>
      <c r="CD50" s="1370"/>
      <c r="CE50" s="1370"/>
      <c r="CF50" s="1370"/>
      <c r="CG50" s="1370"/>
      <c r="CH50" s="1370"/>
      <c r="CI50" s="1370"/>
      <c r="CJ50" s="1370"/>
      <c r="CK50" s="1370"/>
      <c r="CL50" s="1370"/>
      <c r="CM50" s="1370"/>
      <c r="CN50" s="1370"/>
      <c r="CO50" s="1370"/>
      <c r="CP50" s="1370"/>
      <c r="CQ50" s="1370"/>
      <c r="CR50" s="1370"/>
      <c r="CS50" s="1370"/>
      <c r="CT50" s="1370"/>
      <c r="CU50" s="1370"/>
      <c r="CV50" s="1370"/>
      <c r="CW50" s="1370"/>
      <c r="CX50" s="1370"/>
      <c r="CY50"/>
      <c r="CZ50"/>
    </row>
    <row r="51" spans="1:104" ht="12.75" customHeight="1">
      <c r="B51" s="924"/>
      <c r="C51" s="1132" t="s">
        <v>689</v>
      </c>
      <c r="D51" s="1125"/>
      <c r="E51" s="1125"/>
      <c r="F51" s="1126"/>
      <c r="G51" s="1140" t="str">
        <f t="shared" si="68"/>
        <v/>
      </c>
      <c r="H51" s="1147"/>
      <c r="I51" s="1147"/>
      <c r="J51" s="1148"/>
      <c r="K51" s="1146"/>
      <c r="L51" s="1147"/>
      <c r="M51" s="1147"/>
      <c r="N51" s="1148"/>
      <c r="O51" s="1146"/>
      <c r="P51" s="1147"/>
      <c r="Q51" s="1147"/>
      <c r="R51" s="1147"/>
      <c r="S51" s="1146"/>
      <c r="T51" s="1147"/>
      <c r="U51" s="1147"/>
      <c r="V51" s="1148"/>
      <c r="W51" s="1147"/>
      <c r="X51" s="1147"/>
      <c r="Y51" s="1147"/>
      <c r="Z51" s="1448"/>
      <c r="AA51" s="1449"/>
      <c r="AB51" s="1449"/>
      <c r="AC51" s="1449"/>
      <c r="AD51" s="1152"/>
      <c r="AE51" s="1153"/>
      <c r="AF51" s="1153"/>
      <c r="AG51" s="1153"/>
      <c r="AH51" s="1152"/>
      <c r="AI51" s="1153"/>
      <c r="AJ51" s="1153"/>
      <c r="AK51" s="1153"/>
      <c r="AL51" s="1152" t="str">
        <f>IF(ISBLANK(AL194),"",AL194)</f>
        <v/>
      </c>
      <c r="AM51" s="1153"/>
      <c r="AN51" s="1153"/>
      <c r="AO51" s="1153"/>
      <c r="AP51" s="1152" t="str">
        <f t="shared" ref="AP51:AS56" si="83">IF(ISBLANK(AP194),"",AP194)</f>
        <v/>
      </c>
      <c r="AQ51" s="1153"/>
      <c r="AR51" s="1153"/>
      <c r="AS51" s="1153"/>
      <c r="AT51" s="1152" t="str">
        <f t="shared" si="82"/>
        <v/>
      </c>
      <c r="AU51" s="1153"/>
      <c r="AV51" s="1153"/>
      <c r="AW51" s="1153"/>
      <c r="AX51" s="1152" t="str">
        <f>IF(ISBLANK(AX194),"",AX194)</f>
        <v/>
      </c>
      <c r="AY51" s="1153"/>
      <c r="AZ51" s="1153"/>
      <c r="BA51" s="1153"/>
      <c r="BB51" s="1152" t="str">
        <f t="shared" ref="BB51:BB56" si="84">IF(ISBLANK(BB194),"",BB194)</f>
        <v/>
      </c>
      <c r="BC51" s="954"/>
      <c r="BD51" s="962"/>
      <c r="BE51" s="847"/>
      <c r="BF51" s="847"/>
      <c r="BG51" s="847"/>
      <c r="BH51" s="847"/>
      <c r="BI51" s="847"/>
      <c r="BJ51" s="847"/>
      <c r="BK51" s="847"/>
      <c r="BL51" s="847"/>
      <c r="BM51" s="847"/>
      <c r="BN51" s="847"/>
      <c r="BO51" s="847"/>
      <c r="BP51" s="847"/>
      <c r="BQ51" s="949"/>
      <c r="BR51" s="968"/>
      <c r="BU51" s="922"/>
      <c r="BV51" s="964" t="s">
        <v>601</v>
      </c>
      <c r="BW51" s="1067"/>
      <c r="BX51" s="1067">
        <f>+BX37-BX44</f>
        <v>-237.24481941584781</v>
      </c>
      <c r="BZ51" s="1370"/>
      <c r="CA51" s="1370"/>
      <c r="CB51" s="1107"/>
      <c r="CC51" s="1107"/>
      <c r="CD51" s="1107"/>
      <c r="CE51" s="1107"/>
      <c r="CF51" s="1169"/>
      <c r="CG51" s="1169"/>
      <c r="CH51" s="1169"/>
      <c r="CI51" s="1169"/>
      <c r="CJ51" s="1169"/>
      <c r="CK51" s="1169"/>
      <c r="CL51" s="1169"/>
      <c r="CM51" s="1169"/>
      <c r="CN51" s="1169"/>
      <c r="CO51" s="1169"/>
      <c r="CP51" s="1169"/>
      <c r="CQ51" s="1169"/>
      <c r="CR51" s="1169"/>
      <c r="CS51" s="1169"/>
      <c r="CT51" s="1169"/>
      <c r="CU51" s="1370"/>
      <c r="CV51" s="1370"/>
      <c r="CW51" s="1370"/>
      <c r="CX51" s="1370"/>
      <c r="CY51"/>
      <c r="CZ51"/>
    </row>
    <row r="52" spans="1:104" ht="13.5" customHeight="1">
      <c r="A52" s="923"/>
      <c r="B52" s="924"/>
      <c r="C52" s="1135" t="s">
        <v>690</v>
      </c>
      <c r="D52" s="1122"/>
      <c r="E52" s="1122"/>
      <c r="F52" s="1131"/>
      <c r="G52" s="1140" t="str">
        <f t="shared" si="68"/>
        <v/>
      </c>
      <c r="H52" s="1141" t="str">
        <f t="shared" si="68"/>
        <v/>
      </c>
      <c r="I52" s="1141" t="str">
        <f t="shared" si="68"/>
        <v/>
      </c>
      <c r="J52" s="1142" t="str">
        <f t="shared" si="68"/>
        <v/>
      </c>
      <c r="K52" s="1140" t="str">
        <f t="shared" si="68"/>
        <v/>
      </c>
      <c r="L52" s="1141" t="str">
        <f t="shared" si="68"/>
        <v/>
      </c>
      <c r="M52" s="1141" t="str">
        <f t="shared" si="68"/>
        <v/>
      </c>
      <c r="N52" s="1142" t="str">
        <f t="shared" si="68"/>
        <v/>
      </c>
      <c r="O52" s="1140" t="str">
        <f t="shared" si="68"/>
        <v/>
      </c>
      <c r="P52" s="1141" t="str">
        <f t="shared" si="68"/>
        <v/>
      </c>
      <c r="Q52" s="1141" t="str">
        <f t="shared" si="68"/>
        <v/>
      </c>
      <c r="R52" s="1141" t="str">
        <f t="shared" si="68"/>
        <v/>
      </c>
      <c r="S52" s="1140" t="str">
        <f t="shared" si="68"/>
        <v/>
      </c>
      <c r="T52" s="1141" t="str">
        <f t="shared" si="68"/>
        <v/>
      </c>
      <c r="U52" s="1141" t="str">
        <f t="shared" si="68"/>
        <v/>
      </c>
      <c r="V52" s="1142" t="str">
        <f t="shared" si="68"/>
        <v/>
      </c>
      <c r="W52" s="1141" t="str">
        <f t="shared" si="68"/>
        <v/>
      </c>
      <c r="X52" s="1141" t="str">
        <f t="shared" si="68"/>
        <v/>
      </c>
      <c r="Y52" s="1141" t="str">
        <f t="shared" si="68"/>
        <v/>
      </c>
      <c r="Z52" s="1142" t="str">
        <f t="shared" si="68"/>
        <v/>
      </c>
      <c r="AA52" s="1141" t="str">
        <f t="shared" ref="AA52:AK53" si="85">IF(ISBLANK(AA195),"",AA195)</f>
        <v/>
      </c>
      <c r="AB52" s="1141" t="str">
        <f t="shared" si="85"/>
        <v/>
      </c>
      <c r="AC52" s="1141" t="str">
        <f t="shared" si="85"/>
        <v/>
      </c>
      <c r="AD52" s="1145" t="str">
        <f t="shared" si="85"/>
        <v/>
      </c>
      <c r="AE52" s="1144" t="str">
        <f t="shared" si="85"/>
        <v/>
      </c>
      <c r="AF52" s="1144" t="str">
        <f t="shared" si="85"/>
        <v/>
      </c>
      <c r="AG52" s="1144" t="str">
        <f t="shared" si="85"/>
        <v/>
      </c>
      <c r="AH52" s="1145" t="str">
        <f t="shared" si="85"/>
        <v/>
      </c>
      <c r="AI52" s="1144" t="str">
        <f t="shared" si="85"/>
        <v/>
      </c>
      <c r="AJ52" s="1144" t="str">
        <f t="shared" si="85"/>
        <v/>
      </c>
      <c r="AK52" s="1144" t="str">
        <f t="shared" si="85"/>
        <v/>
      </c>
      <c r="AL52" s="1145" t="str">
        <f>IF(ISBLANK(AL195),"",AL195)</f>
        <v/>
      </c>
      <c r="AM52" s="1144" t="str">
        <f t="shared" ref="AM52:AP59" si="86">IF(ISBLANK(AM195),"",AM195)</f>
        <v/>
      </c>
      <c r="AN52" s="1144" t="str">
        <f t="shared" si="86"/>
        <v/>
      </c>
      <c r="AO52" s="1144" t="str">
        <f t="shared" si="86"/>
        <v/>
      </c>
      <c r="AP52" s="1145" t="str">
        <f t="shared" si="83"/>
        <v/>
      </c>
      <c r="AQ52" s="1144" t="str">
        <f t="shared" si="83"/>
        <v/>
      </c>
      <c r="AR52" s="1144" t="str">
        <f t="shared" si="83"/>
        <v/>
      </c>
      <c r="AS52" s="1144" t="str">
        <f t="shared" si="83"/>
        <v/>
      </c>
      <c r="AT52" s="1145" t="str">
        <f t="shared" si="82"/>
        <v/>
      </c>
      <c r="AU52" s="1144" t="str">
        <f t="shared" si="82"/>
        <v/>
      </c>
      <c r="AV52" s="1144" t="str">
        <f t="shared" si="82"/>
        <v/>
      </c>
      <c r="AW52" s="1144" t="str">
        <f t="shared" si="82"/>
        <v/>
      </c>
      <c r="AX52" s="1145" t="str">
        <f t="shared" si="82"/>
        <v/>
      </c>
      <c r="AY52" s="1144" t="str">
        <f t="shared" ref="AY52:BA56" si="87">IF(ISBLANK(AY195),"",AY195)</f>
        <v/>
      </c>
      <c r="AZ52" s="1144" t="str">
        <f t="shared" si="87"/>
        <v/>
      </c>
      <c r="BA52" s="1144" t="str">
        <f t="shared" si="87"/>
        <v/>
      </c>
      <c r="BB52" s="1145" t="str">
        <f t="shared" si="84"/>
        <v/>
      </c>
      <c r="BC52" s="954"/>
      <c r="BD52" s="954"/>
      <c r="BE52" s="1052"/>
      <c r="BF52" s="1052"/>
      <c r="BG52" s="1052"/>
      <c r="BH52" s="1058"/>
      <c r="BI52" s="1058"/>
      <c r="BJ52" s="1058"/>
      <c r="BK52" s="1058"/>
      <c r="BL52" s="1058"/>
      <c r="BM52" s="1058"/>
      <c r="BN52" s="1058"/>
      <c r="BO52" s="1058"/>
      <c r="BP52" s="1058"/>
      <c r="BQ52" s="949"/>
      <c r="BR52" s="968"/>
      <c r="BU52" s="922"/>
      <c r="BV52" s="964" t="s">
        <v>679</v>
      </c>
      <c r="BW52" s="1067"/>
      <c r="BX52" s="1067">
        <f>+BX38-BX45</f>
        <v>2373.892524596522</v>
      </c>
      <c r="BZ52" s="1370">
        <v>1</v>
      </c>
      <c r="CA52" s="1370" t="s">
        <v>1048</v>
      </c>
      <c r="CB52" s="1169">
        <f t="shared" ref="CB52:CI52" si="88">CC52-0.25</f>
        <v>0</v>
      </c>
      <c r="CC52" s="1169">
        <f t="shared" si="88"/>
        <v>0.25</v>
      </c>
      <c r="CD52" s="1169">
        <f t="shared" si="88"/>
        <v>0.5</v>
      </c>
      <c r="CE52" s="1169">
        <f t="shared" si="88"/>
        <v>0.75</v>
      </c>
      <c r="CF52" s="1169">
        <f t="shared" si="88"/>
        <v>1</v>
      </c>
      <c r="CG52" s="1169">
        <f t="shared" si="88"/>
        <v>1.25</v>
      </c>
      <c r="CH52" s="1169">
        <f t="shared" si="88"/>
        <v>1.5</v>
      </c>
      <c r="CI52" s="1169">
        <f t="shared" si="88"/>
        <v>1.75</v>
      </c>
      <c r="CJ52" s="1169">
        <v>2</v>
      </c>
      <c r="CK52" s="1169">
        <f t="shared" ref="CK52:CZ52" si="89">CJ52+0.25</f>
        <v>2.25</v>
      </c>
      <c r="CL52" s="1169">
        <f t="shared" si="89"/>
        <v>2.5</v>
      </c>
      <c r="CM52" s="1169">
        <f t="shared" si="89"/>
        <v>2.75</v>
      </c>
      <c r="CN52" s="1169">
        <f t="shared" si="89"/>
        <v>3</v>
      </c>
      <c r="CO52" s="1169">
        <f t="shared" si="89"/>
        <v>3.25</v>
      </c>
      <c r="CP52" s="1169">
        <f t="shared" si="89"/>
        <v>3.5</v>
      </c>
      <c r="CQ52" s="1169">
        <f t="shared" si="89"/>
        <v>3.75</v>
      </c>
      <c r="CR52" s="1169">
        <f t="shared" si="89"/>
        <v>4</v>
      </c>
      <c r="CS52" s="1169">
        <f t="shared" si="89"/>
        <v>4.25</v>
      </c>
      <c r="CT52" s="1169">
        <f t="shared" si="89"/>
        <v>4.5</v>
      </c>
      <c r="CU52" s="1169">
        <f t="shared" si="89"/>
        <v>4.75</v>
      </c>
      <c r="CV52" s="1169">
        <f t="shared" si="89"/>
        <v>5</v>
      </c>
      <c r="CW52" s="1169">
        <f t="shared" si="89"/>
        <v>5.25</v>
      </c>
      <c r="CX52" s="1169">
        <f t="shared" si="89"/>
        <v>5.5</v>
      </c>
      <c r="CY52" s="1169">
        <f t="shared" si="89"/>
        <v>5.75</v>
      </c>
      <c r="CZ52" s="1169">
        <f t="shared" si="89"/>
        <v>6</v>
      </c>
    </row>
    <row r="53" spans="1:104" ht="13.5" customHeight="1">
      <c r="A53" s="923"/>
      <c r="B53" s="924"/>
      <c r="C53" s="1122" t="s">
        <v>14</v>
      </c>
      <c r="D53" s="1122"/>
      <c r="E53" s="1122"/>
      <c r="F53" s="1131"/>
      <c r="G53" s="1140">
        <f t="shared" si="68"/>
        <v>1.3604838709677409</v>
      </c>
      <c r="H53" s="1141">
        <f t="shared" si="68"/>
        <v>0.36958730158730102</v>
      </c>
      <c r="I53" s="1141">
        <f t="shared" si="68"/>
        <v>0.37103124999999881</v>
      </c>
      <c r="J53" s="1142">
        <f t="shared" si="68"/>
        <v>2.0107384615384656</v>
      </c>
      <c r="K53" s="1140">
        <f t="shared" si="68"/>
        <v>2.7836406250000012</v>
      </c>
      <c r="L53" s="1141">
        <f t="shared" si="68"/>
        <v>0.38664062500000007</v>
      </c>
      <c r="M53" s="1141">
        <f t="shared" si="68"/>
        <v>0.58382812500000192</v>
      </c>
      <c r="N53" s="1142">
        <f t="shared" si="68"/>
        <v>0.35206349206349286</v>
      </c>
      <c r="O53" s="1140">
        <f t="shared" si="68"/>
        <v>0.80777777777777793</v>
      </c>
      <c r="P53" s="1141">
        <f t="shared" si="68"/>
        <v>0.20609523809523767</v>
      </c>
      <c r="Q53" s="1141">
        <f t="shared" si="68"/>
        <v>0.18090476190476101</v>
      </c>
      <c r="R53" s="1141">
        <f t="shared" si="68"/>
        <v>0.52926562499999807</v>
      </c>
      <c r="S53" s="1140">
        <f t="shared" si="68"/>
        <v>4.3436166666666658</v>
      </c>
      <c r="T53" s="1141">
        <f t="shared" si="68"/>
        <v>0.30776562499999827</v>
      </c>
      <c r="U53" s="1141">
        <f t="shared" si="68"/>
        <v>0.20923437499999897</v>
      </c>
      <c r="V53" s="1142">
        <f t="shared" si="68"/>
        <v>0.48042187499999889</v>
      </c>
      <c r="W53" s="1141">
        <f t="shared" si="68"/>
        <v>11.865918032786885</v>
      </c>
      <c r="X53" s="1141">
        <f t="shared" si="68"/>
        <v>-0.87728124999999935</v>
      </c>
      <c r="Y53" s="1141">
        <f t="shared" si="68"/>
        <v>-1.3732187500000017</v>
      </c>
      <c r="Z53" s="1142">
        <f t="shared" si="68"/>
        <v>-0.57965624999999754</v>
      </c>
      <c r="AA53" s="1141">
        <f t="shared" si="85"/>
        <v>6.0189193548387117</v>
      </c>
      <c r="AB53" s="1141">
        <f t="shared" si="85"/>
        <v>-0.25368253968253818</v>
      </c>
      <c r="AC53" s="1141">
        <f t="shared" si="85"/>
        <v>-0.4931562499999993</v>
      </c>
      <c r="AD53" s="1142">
        <f t="shared" si="85"/>
        <v>-0.2235238095238099</v>
      </c>
      <c r="AE53" s="1144">
        <f t="shared" si="85"/>
        <v>0.49621311475409802</v>
      </c>
      <c r="AF53" s="1144">
        <f t="shared" si="85"/>
        <v>-0.43893749999999998</v>
      </c>
      <c r="AG53" s="1144">
        <f t="shared" si="85"/>
        <v>-0.95798437499999922</v>
      </c>
      <c r="AH53" s="1145">
        <f t="shared" si="85"/>
        <v>-0.3514999999999997</v>
      </c>
      <c r="AI53" s="1144">
        <f t="shared" si="85"/>
        <v>0.30054838709677556</v>
      </c>
      <c r="AJ53" s="1144">
        <f t="shared" si="85"/>
        <v>-0.38845312499999896</v>
      </c>
      <c r="AK53" s="1144">
        <f t="shared" si="85"/>
        <v>-0.54298412698412557</v>
      </c>
      <c r="AL53" s="1145">
        <f>IF(ISBLANK(AL196),"",AL196)</f>
        <v>0.63106451612903358</v>
      </c>
      <c r="AM53" s="1144">
        <f t="shared" si="86"/>
        <v>4.698950819672131</v>
      </c>
      <c r="AN53" s="1144">
        <f t="shared" si="86"/>
        <v>-0.19166666666666643</v>
      </c>
      <c r="AO53" s="1144">
        <f t="shared" si="86"/>
        <v>-0.30999999999999961</v>
      </c>
      <c r="AP53" s="1145">
        <f t="shared" si="83"/>
        <v>0.25666666666666638</v>
      </c>
      <c r="AQ53" s="1144">
        <f t="shared" si="83"/>
        <v>1.637734667576852</v>
      </c>
      <c r="AR53" s="1144">
        <f t="shared" si="83"/>
        <v>-0.69677150590554215</v>
      </c>
      <c r="AS53" s="1144">
        <f t="shared" si="83"/>
        <v>-0.82532002718121711</v>
      </c>
      <c r="AT53" s="1145">
        <f t="shared" si="82"/>
        <v>1.5445568651099078</v>
      </c>
      <c r="AU53" s="1144">
        <f t="shared" si="82"/>
        <v>1.6691288195742207</v>
      </c>
      <c r="AV53" s="1144">
        <f t="shared" si="82"/>
        <v>-0.704374459769459</v>
      </c>
      <c r="AW53" s="1144">
        <f t="shared" si="82"/>
        <v>-0.83498911122825525</v>
      </c>
      <c r="AX53" s="1145">
        <f t="shared" si="82"/>
        <v>1.5745847514234943</v>
      </c>
      <c r="AY53" s="1144">
        <f t="shared" si="87"/>
        <v>1.7632770950378909</v>
      </c>
      <c r="AZ53" s="1144">
        <f t="shared" si="87"/>
        <v>-0.69298925565485447</v>
      </c>
      <c r="BA53" s="1144">
        <f t="shared" si="87"/>
        <v>-0.82743500086795607</v>
      </c>
      <c r="BB53" s="1145">
        <f t="shared" si="84"/>
        <v>1.6671304946849221</v>
      </c>
      <c r="BC53" s="954"/>
      <c r="BD53" s="954"/>
      <c r="BE53" s="1052">
        <f t="shared" ref="BE53:BE68" si="90">AVERAGE(G53:J53)</f>
        <v>1.0279602210233767</v>
      </c>
      <c r="BF53" s="1052">
        <f t="shared" ref="BF53:BF68" si="91">AVERAGE(K53:N53)</f>
        <v>1.0265432167658739</v>
      </c>
      <c r="BG53" s="1052">
        <f t="shared" ref="BG53:BG68" si="92">AVERAGE(O53:R53)</f>
        <v>0.43101085069444367</v>
      </c>
      <c r="BH53" s="1058">
        <f t="shared" ref="BH53:BH68" si="93">AVERAGE(S53:V53)</f>
        <v>1.3352596354166657</v>
      </c>
      <c r="BI53" s="1058">
        <f t="shared" ref="BI53:BI68" si="94">AVERAGE(W53:Z53)</f>
        <v>2.2589404456967217</v>
      </c>
      <c r="BJ53" s="1058">
        <f t="shared" ref="BJ53:BJ68" si="95">AVERAGE(AA53:AD53)</f>
        <v>1.2621391889080911</v>
      </c>
      <c r="BK53" s="1058">
        <f t="shared" ref="BK53:BK68" si="96">AVERAGE(AE53:AH53)</f>
        <v>-0.31305219006147522</v>
      </c>
      <c r="BL53" s="1058">
        <f t="shared" ref="BL53:BL68" si="97">AVERAGE(AI53:AL53)</f>
        <v>4.3912810421153914E-5</v>
      </c>
      <c r="BM53" s="1058">
        <f t="shared" ref="BM53:BM68" si="98">AVERAGE(AM53:AP53)</f>
        <v>1.113487704918033</v>
      </c>
      <c r="BN53" s="1058">
        <f t="shared" ref="BN53:BN68" si="99">AVERAGE(AQ53:AT53)</f>
        <v>0.41504999990000013</v>
      </c>
      <c r="BO53" s="1058">
        <f t="shared" ref="BO53:BO68" si="100">AVERAGE(AU53:AX53)</f>
        <v>0.42608750000000017</v>
      </c>
      <c r="BP53" s="1058">
        <f t="shared" ref="BP53:BP68" si="101">AVERAGE(AY53:BB53)</f>
        <v>0.47749583330000062</v>
      </c>
      <c r="BQ53" s="949"/>
      <c r="BR53" s="969"/>
      <c r="BS53" s="970"/>
      <c r="BU53" s="922"/>
      <c r="BV53" s="964" t="s">
        <v>680</v>
      </c>
      <c r="BW53" s="1067"/>
      <c r="BX53" s="1067">
        <f>+BX39-BX46</f>
        <v>2423.5739216902948</v>
      </c>
      <c r="BZ53" s="1370">
        <v>2</v>
      </c>
      <c r="CA53" s="1377" t="s">
        <v>678</v>
      </c>
      <c r="CB53" s="1495">
        <f>AVERAGE(CB45:$CR45)</f>
        <v>0.43235294117647055</v>
      </c>
      <c r="CC53" s="1495">
        <f>AVERAGE(CC45:$CR45)</f>
        <v>0.44062499999999999</v>
      </c>
      <c r="CD53" s="1495">
        <f>AVERAGE(CD45:$CR45)</f>
        <v>0.45</v>
      </c>
      <c r="CE53" s="1495">
        <f>AVERAGE(CE45:$CR45)</f>
        <v>0.46071428571428574</v>
      </c>
      <c r="CF53" s="1495">
        <f>AVERAGE(CF45:$CR45)</f>
        <v>0.46923076923076928</v>
      </c>
      <c r="CG53" s="1495">
        <f>AVERAGE(CG45:$CR45)</f>
        <v>0.47916666666666669</v>
      </c>
      <c r="CH53" s="1495">
        <f>AVERAGE(CH45:$CR45)</f>
        <v>0.49090909090909096</v>
      </c>
      <c r="CI53" s="1495">
        <f>AVERAGE(CI45:$CR45)</f>
        <v>0.5</v>
      </c>
      <c r="CJ53" s="1495">
        <f>AVERAGE(CJ45:$CR45)</f>
        <v>0.51111111111111107</v>
      </c>
      <c r="CK53" s="1495">
        <f>AVERAGE(CK45:$CR45)</f>
        <v>0.52500000000000002</v>
      </c>
      <c r="CL53" s="1495">
        <f>AVERAGE(CL45:$CR45)</f>
        <v>0.5357142857142857</v>
      </c>
      <c r="CM53" s="1495">
        <f>AVERAGE(CM45:$CR45)</f>
        <v>0.54999999999999993</v>
      </c>
      <c r="CN53" s="1495">
        <f>AVERAGE(CN45:$CR45)</f>
        <v>0.55999999999999994</v>
      </c>
      <c r="CO53" s="1495">
        <f>AVERAGE(CO45:$CR45)</f>
        <v>0.57499999999999996</v>
      </c>
      <c r="CP53" s="1495">
        <f>AVERAGE(CP45:$CR45)</f>
        <v>0.6</v>
      </c>
      <c r="CQ53" s="1495">
        <f>AVERAGE(CQ45:$CR45)</f>
        <v>0.625</v>
      </c>
      <c r="CR53" s="1495">
        <f>AVERAGE(CR45:$CR45)</f>
        <v>0.65</v>
      </c>
      <c r="CS53" s="1495">
        <f>AVERAGE($CR45:CS45)</f>
        <v>0.65</v>
      </c>
      <c r="CT53" s="1495">
        <f>AVERAGE($CR45:CT45)</f>
        <v>0.65</v>
      </c>
      <c r="CU53" s="1495">
        <f>AVERAGE($CR45:CU45)</f>
        <v>0.65</v>
      </c>
      <c r="CV53" s="1495">
        <f>AVERAGE($CR45:CV45)</f>
        <v>0.65</v>
      </c>
      <c r="CW53" s="1495">
        <f>AVERAGE($CR45:CW45)</f>
        <v>0.65</v>
      </c>
      <c r="CX53" s="1495">
        <f>AVERAGE($CR45:CX45)</f>
        <v>0.65</v>
      </c>
      <c r="CY53" s="1495">
        <f>AVERAGE($CR45:CY45)</f>
        <v>0.65</v>
      </c>
      <c r="CZ53" s="1495">
        <f>AVERAGE($CR45:CZ45)</f>
        <v>0.65</v>
      </c>
    </row>
    <row r="54" spans="1:104" ht="13.5" customHeight="1">
      <c r="A54" s="923"/>
      <c r="B54" s="924"/>
      <c r="C54" s="1122" t="s">
        <v>691</v>
      </c>
      <c r="D54" s="1122"/>
      <c r="E54" s="1122"/>
      <c r="F54" s="1131"/>
      <c r="G54" s="1140">
        <f t="shared" si="68"/>
        <v>0.89172580645161226</v>
      </c>
      <c r="H54" s="1141">
        <f t="shared" si="68"/>
        <v>0.34730158730158944</v>
      </c>
      <c r="I54" s="1141">
        <f t="shared" si="68"/>
        <v>0.35659375000000004</v>
      </c>
      <c r="J54" s="1142">
        <f t="shared" si="68"/>
        <v>1.4691538461538483</v>
      </c>
      <c r="K54" s="1140">
        <f t="shared" si="68"/>
        <v>1.7646250000000014</v>
      </c>
      <c r="L54" s="1141">
        <f t="shared" si="68"/>
        <v>0.28798437500000063</v>
      </c>
      <c r="M54" s="1141">
        <f t="shared" si="68"/>
        <v>0.25414062500000068</v>
      </c>
      <c r="N54" s="1142">
        <f t="shared" si="68"/>
        <v>0.24365079365079412</v>
      </c>
      <c r="O54" s="1140">
        <f t="shared" si="68"/>
        <v>0.31452380952380965</v>
      </c>
      <c r="P54" s="1141">
        <f t="shared" si="68"/>
        <v>0.1599206349206348</v>
      </c>
      <c r="Q54" s="1141">
        <f t="shared" si="68"/>
        <v>0.16882539682539655</v>
      </c>
      <c r="R54" s="1141">
        <f t="shared" si="68"/>
        <v>0.26892187499999887</v>
      </c>
      <c r="S54" s="1140">
        <f t="shared" si="68"/>
        <v>0.819599999999999</v>
      </c>
      <c r="T54" s="1141">
        <f t="shared" si="68"/>
        <v>0.11882812499999851</v>
      </c>
      <c r="U54" s="1141">
        <f t="shared" ref="U54:AK54" si="102">IF(ISBLANK(U197),"",U197)</f>
        <v>-1.3265625000001169E-2</v>
      </c>
      <c r="V54" s="1142">
        <f t="shared" si="102"/>
        <v>0.14118750000000091</v>
      </c>
      <c r="W54" s="1141">
        <f t="shared" si="102"/>
        <v>7.5181639344262283</v>
      </c>
      <c r="X54" s="1141">
        <f t="shared" si="102"/>
        <v>-0.89420312500000065</v>
      </c>
      <c r="Y54" s="1141">
        <f t="shared" si="102"/>
        <v>-1.4395156250000012</v>
      </c>
      <c r="Z54" s="1142">
        <f t="shared" si="102"/>
        <v>-1.017578125</v>
      </c>
      <c r="AA54" s="1141">
        <f t="shared" ref="AA54:AD68" si="103">IF(ISBLANK(AA197),"",AA197)</f>
        <v>3.554258064516127</v>
      </c>
      <c r="AB54" s="1141">
        <f t="shared" si="103"/>
        <v>-1.1179206349206339</v>
      </c>
      <c r="AC54" s="1141">
        <f t="shared" si="103"/>
        <v>-1.3916093749999998</v>
      </c>
      <c r="AD54" s="1142">
        <f t="shared" si="103"/>
        <v>-0.84366666666666723</v>
      </c>
      <c r="AE54" s="1144">
        <f t="shared" si="102"/>
        <v>-0.15401639344262286</v>
      </c>
      <c r="AF54" s="1144">
        <f t="shared" si="102"/>
        <v>-0.55339062499999958</v>
      </c>
      <c r="AG54" s="1144">
        <f t="shared" si="102"/>
        <v>-1.5273593749999999</v>
      </c>
      <c r="AH54" s="1145">
        <f t="shared" si="102"/>
        <v>-0.79788709677419334</v>
      </c>
      <c r="AI54" s="1144">
        <f t="shared" si="102"/>
        <v>-1.6838709677418517E-2</v>
      </c>
      <c r="AJ54" s="1144">
        <f t="shared" si="102"/>
        <v>-0.56160937500000019</v>
      </c>
      <c r="AK54" s="1144">
        <f t="shared" si="102"/>
        <v>-1.2109841269841268</v>
      </c>
      <c r="AL54" s="1145">
        <f>IF(ISBLANK(AL197),"",AL197)</f>
        <v>-0.13975806451612982</v>
      </c>
      <c r="AM54" s="1144">
        <f t="shared" si="86"/>
        <v>3.4441967213114757</v>
      </c>
      <c r="AN54" s="1144">
        <f t="shared" si="86"/>
        <v>-0.46333333333333293</v>
      </c>
      <c r="AO54" s="1144">
        <f t="shared" si="86"/>
        <v>-0.59499999999999975</v>
      </c>
      <c r="AP54" s="1145">
        <f t="shared" si="83"/>
        <v>-0.21666666666666679</v>
      </c>
      <c r="AQ54" s="1144">
        <f t="shared" si="83"/>
        <v>0.74457975965344758</v>
      </c>
      <c r="AR54" s="1144">
        <f t="shared" si="83"/>
        <v>-0.76430483819771866</v>
      </c>
      <c r="AS54" s="1144">
        <f t="shared" si="83"/>
        <v>-0.78296558457066712</v>
      </c>
      <c r="AT54" s="1145">
        <f t="shared" si="82"/>
        <v>0.8235214539149398</v>
      </c>
      <c r="AU54" s="1144">
        <f t="shared" si="82"/>
        <v>0.64485745238273218</v>
      </c>
      <c r="AV54" s="1144">
        <f t="shared" si="82"/>
        <v>-0.82982612063011629</v>
      </c>
      <c r="AW54" s="1144">
        <f t="shared" si="82"/>
        <v>-0.84922019602346377</v>
      </c>
      <c r="AX54" s="1145">
        <f t="shared" si="82"/>
        <v>0.71921711267084909</v>
      </c>
      <c r="AY54" s="1144">
        <f t="shared" si="87"/>
        <v>0.64402689825038939</v>
      </c>
      <c r="AZ54" s="1144">
        <f t="shared" si="87"/>
        <v>-0.85250267876937125</v>
      </c>
      <c r="BA54" s="1144">
        <f t="shared" si="87"/>
        <v>-0.87232898455971686</v>
      </c>
      <c r="BB54" s="1145">
        <f t="shared" si="84"/>
        <v>0.71913809827870034</v>
      </c>
      <c r="BC54" s="954"/>
      <c r="BD54" s="954"/>
      <c r="BE54" s="1052">
        <f t="shared" si="90"/>
        <v>0.7661937474767625</v>
      </c>
      <c r="BF54" s="1052">
        <f t="shared" si="91"/>
        <v>0.63760019841269922</v>
      </c>
      <c r="BG54" s="1052">
        <f t="shared" si="92"/>
        <v>0.22804792906745996</v>
      </c>
      <c r="BH54" s="1058">
        <f t="shared" si="93"/>
        <v>0.26658749999999931</v>
      </c>
      <c r="BI54" s="1058">
        <f t="shared" si="94"/>
        <v>1.0417167648565566</v>
      </c>
      <c r="BJ54" s="1058">
        <f t="shared" si="95"/>
        <v>5.0265346982206582E-2</v>
      </c>
      <c r="BK54" s="1058">
        <f t="shared" si="96"/>
        <v>-0.75816337255420385</v>
      </c>
      <c r="BL54" s="1058">
        <f t="shared" si="97"/>
        <v>-0.48229756904441884</v>
      </c>
      <c r="BM54" s="1058">
        <f t="shared" si="98"/>
        <v>0.54229918032786906</v>
      </c>
      <c r="BN54" s="1058">
        <f t="shared" si="99"/>
        <v>5.2076977000004021E-3</v>
      </c>
      <c r="BO54" s="1058">
        <f t="shared" si="100"/>
        <v>-7.8742937899999699E-2</v>
      </c>
      <c r="BP54" s="1058">
        <f t="shared" si="101"/>
        <v>-9.0416666699999593E-2</v>
      </c>
      <c r="BQ54" s="949"/>
      <c r="BR54" s="950"/>
      <c r="BU54" s="922"/>
      <c r="BV54" s="964" t="s">
        <v>681</v>
      </c>
      <c r="BW54" s="1067"/>
      <c r="BX54" s="1067">
        <f>+BX40-BX47</f>
        <v>1618.9790648729013</v>
      </c>
      <c r="BZ54" s="1370">
        <v>3</v>
      </c>
      <c r="CA54" s="1377" t="s">
        <v>601</v>
      </c>
      <c r="CB54" s="1495">
        <f>AVERAGE(CB46:$CR46)</f>
        <v>0.55294117647058827</v>
      </c>
      <c r="CC54" s="1495">
        <f>AVERAGE(CC46:$CR46)</f>
        <v>0.56562500000000004</v>
      </c>
      <c r="CD54" s="1495">
        <f>AVERAGE(CD46:$CR46)</f>
        <v>0.57999999999999996</v>
      </c>
      <c r="CE54" s="1495">
        <f>AVERAGE(CE46:$CR46)</f>
        <v>0.59642857142857153</v>
      </c>
      <c r="CF54" s="1495">
        <f>AVERAGE(CF46:$CR46)</f>
        <v>0.61538461538461542</v>
      </c>
      <c r="CG54" s="1495">
        <f>AVERAGE(CG46:$CR46)</f>
        <v>0.6333333333333333</v>
      </c>
      <c r="CH54" s="1495">
        <f>AVERAGE(CH46:$CR46)</f>
        <v>0.64999999999999991</v>
      </c>
      <c r="CI54" s="1495">
        <f>AVERAGE(CI46:$CR46)</f>
        <v>0.66499999999999992</v>
      </c>
      <c r="CJ54" s="1495">
        <f>AVERAGE(CJ46:$CR46)</f>
        <v>0.68333333333333324</v>
      </c>
      <c r="CK54" s="1495">
        <f>AVERAGE(CK46:$CR46)</f>
        <v>0.7</v>
      </c>
      <c r="CL54" s="1495">
        <f>AVERAGE(CL46:$CR46)</f>
        <v>0.7142857142857143</v>
      </c>
      <c r="CM54" s="1495">
        <f>AVERAGE(CM46:$CR46)</f>
        <v>0.72499999999999998</v>
      </c>
      <c r="CN54" s="1495">
        <f>AVERAGE(CN46:$CR46)</f>
        <v>0.74</v>
      </c>
      <c r="CO54" s="1495">
        <f>AVERAGE(CO46:$CR46)</f>
        <v>0.75</v>
      </c>
      <c r="CP54" s="1495">
        <f>AVERAGE(CP46:$CR46)</f>
        <v>0.75</v>
      </c>
      <c r="CQ54" s="1495">
        <f>AVERAGE(CQ46:$CR46)</f>
        <v>0.75</v>
      </c>
      <c r="CR54" s="1495">
        <f>AVERAGE(CR46:$CR46)</f>
        <v>0.75</v>
      </c>
      <c r="CS54" s="1495">
        <f>AVERAGE($CR46:CS46)</f>
        <v>0.75</v>
      </c>
      <c r="CT54" s="1495">
        <f>AVERAGE($CR46:CT46)</f>
        <v>0.76666666666666661</v>
      </c>
      <c r="CU54" s="1495">
        <f>AVERAGE($CR46:CU46)</f>
        <v>0.77499999999999991</v>
      </c>
      <c r="CV54" s="1495">
        <f>AVERAGE($CR46:CV46)</f>
        <v>0.77999999999999992</v>
      </c>
      <c r="CW54" s="1495">
        <f>AVERAGE($CR46:CW46)</f>
        <v>0.78333333333333321</v>
      </c>
      <c r="CX54" s="1495">
        <f>AVERAGE($CR46:CX46)</f>
        <v>0.78571428571428559</v>
      </c>
      <c r="CY54" s="1495">
        <f>AVERAGE($CR46:CY46)</f>
        <v>0.78749999999999987</v>
      </c>
      <c r="CZ54" s="1495">
        <f>AVERAGE($CR46:CZ46)</f>
        <v>0.78888888888888875</v>
      </c>
    </row>
    <row r="55" spans="1:104" ht="12.75" customHeight="1">
      <c r="A55" s="923"/>
      <c r="B55" s="924"/>
      <c r="C55" s="1122" t="s">
        <v>52</v>
      </c>
      <c r="D55" s="1122"/>
      <c r="E55" s="1122"/>
      <c r="F55" s="1131"/>
      <c r="G55" s="1140">
        <f t="shared" ref="G55:AL62" si="104">IF(ISBLANK(G198),"",G198)</f>
        <v>1.3604838709677409</v>
      </c>
      <c r="H55" s="1141">
        <f t="shared" si="104"/>
        <v>0.36958730158730102</v>
      </c>
      <c r="I55" s="1141">
        <f t="shared" si="104"/>
        <v>0.37103124999999881</v>
      </c>
      <c r="J55" s="1142">
        <f t="shared" si="104"/>
        <v>2.0107384615384656</v>
      </c>
      <c r="K55" s="1140">
        <f t="shared" si="104"/>
        <v>2.7836406250000012</v>
      </c>
      <c r="L55" s="1141">
        <f t="shared" si="104"/>
        <v>0.38664062500000007</v>
      </c>
      <c r="M55" s="1141">
        <f t="shared" si="104"/>
        <v>0.58382812500000192</v>
      </c>
      <c r="N55" s="1142">
        <f t="shared" si="104"/>
        <v>0.35206349206349286</v>
      </c>
      <c r="O55" s="1140">
        <f t="shared" si="104"/>
        <v>0.80777777777777793</v>
      </c>
      <c r="P55" s="1141">
        <f t="shared" si="104"/>
        <v>0.20609523809523767</v>
      </c>
      <c r="Q55" s="1141">
        <f t="shared" si="104"/>
        <v>0.18090476190476101</v>
      </c>
      <c r="R55" s="1141">
        <f t="shared" si="104"/>
        <v>0.52926562499999807</v>
      </c>
      <c r="S55" s="1140">
        <f t="shared" si="104"/>
        <v>4.3436166666666658</v>
      </c>
      <c r="T55" s="1141">
        <f t="shared" si="104"/>
        <v>0.30776562499999827</v>
      </c>
      <c r="U55" s="1141">
        <f t="shared" si="104"/>
        <v>0.20923437499999897</v>
      </c>
      <c r="V55" s="1142">
        <f t="shared" si="104"/>
        <v>0.48042187499999889</v>
      </c>
      <c r="W55" s="1141">
        <f t="shared" si="104"/>
        <v>11.865918032786885</v>
      </c>
      <c r="X55" s="1141">
        <f t="shared" si="104"/>
        <v>-0.87728124999999935</v>
      </c>
      <c r="Y55" s="1141">
        <f t="shared" si="104"/>
        <v>-1.3732187500000017</v>
      </c>
      <c r="Z55" s="1142">
        <f t="shared" si="104"/>
        <v>-0.57965624999999754</v>
      </c>
      <c r="AA55" s="1141">
        <f t="shared" si="103"/>
        <v>6.0189193548387117</v>
      </c>
      <c r="AB55" s="1141">
        <f t="shared" si="103"/>
        <v>-0.25368253968253818</v>
      </c>
      <c r="AC55" s="1141">
        <f t="shared" si="103"/>
        <v>-0.4931562499999993</v>
      </c>
      <c r="AD55" s="1142">
        <f t="shared" si="103"/>
        <v>-0.2235238095238099</v>
      </c>
      <c r="AE55" s="1144">
        <f t="shared" si="104"/>
        <v>0.49621311475409802</v>
      </c>
      <c r="AF55" s="1144">
        <f t="shared" si="104"/>
        <v>-0.43893749999999998</v>
      </c>
      <c r="AG55" s="1144">
        <f t="shared" si="104"/>
        <v>-0.95798437499999922</v>
      </c>
      <c r="AH55" s="1145">
        <f t="shared" si="104"/>
        <v>-0.3514999999999997</v>
      </c>
      <c r="AI55" s="1144">
        <f t="shared" si="104"/>
        <v>0.30054838709677556</v>
      </c>
      <c r="AJ55" s="1144">
        <f t="shared" si="104"/>
        <v>-0.38845312499999896</v>
      </c>
      <c r="AK55" s="1144">
        <f t="shared" si="104"/>
        <v>-0.54298412698412557</v>
      </c>
      <c r="AL55" s="1145">
        <f t="shared" si="104"/>
        <v>0.63106451612903358</v>
      </c>
      <c r="AM55" s="1144">
        <f t="shared" si="86"/>
        <v>4.698950819672131</v>
      </c>
      <c r="AN55" s="1144">
        <f t="shared" si="86"/>
        <v>-0.19166666666666643</v>
      </c>
      <c r="AO55" s="1144">
        <f t="shared" si="86"/>
        <v>-0.30999999999999961</v>
      </c>
      <c r="AP55" s="1145">
        <f t="shared" si="83"/>
        <v>0.25666666666666638</v>
      </c>
      <c r="AQ55" s="1144">
        <f t="shared" si="83"/>
        <v>1.637734667576852</v>
      </c>
      <c r="AR55" s="1144">
        <f t="shared" si="83"/>
        <v>-0.69677150590554215</v>
      </c>
      <c r="AS55" s="1144">
        <f t="shared" si="83"/>
        <v>-0.82532002718121711</v>
      </c>
      <c r="AT55" s="1145">
        <f t="shared" si="82"/>
        <v>1.5445568651099078</v>
      </c>
      <c r="AU55" s="1144">
        <f t="shared" si="82"/>
        <v>1.6691288195742207</v>
      </c>
      <c r="AV55" s="1144">
        <f t="shared" si="82"/>
        <v>-0.704374459769459</v>
      </c>
      <c r="AW55" s="1144">
        <f t="shared" si="82"/>
        <v>-0.83498911122825525</v>
      </c>
      <c r="AX55" s="1145">
        <f t="shared" si="82"/>
        <v>1.5745847514234943</v>
      </c>
      <c r="AY55" s="1144">
        <f t="shared" si="87"/>
        <v>1.7632770950378909</v>
      </c>
      <c r="AZ55" s="1144">
        <f t="shared" si="87"/>
        <v>-0.69298925565485447</v>
      </c>
      <c r="BA55" s="1144">
        <f t="shared" si="87"/>
        <v>-0.82743500086795607</v>
      </c>
      <c r="BB55" s="1145">
        <f t="shared" si="84"/>
        <v>1.6671304946849221</v>
      </c>
      <c r="BC55" s="954"/>
      <c r="BD55" s="954"/>
      <c r="BE55" s="1052">
        <f t="shared" si="90"/>
        <v>1.0279602210233767</v>
      </c>
      <c r="BF55" s="1052">
        <f t="shared" si="91"/>
        <v>1.0265432167658739</v>
      </c>
      <c r="BG55" s="1052">
        <f t="shared" si="92"/>
        <v>0.43101085069444367</v>
      </c>
      <c r="BH55" s="1058">
        <f t="shared" si="93"/>
        <v>1.3352596354166657</v>
      </c>
      <c r="BI55" s="1058">
        <f t="shared" si="94"/>
        <v>2.2589404456967217</v>
      </c>
      <c r="BJ55" s="1058">
        <f t="shared" si="95"/>
        <v>1.2621391889080911</v>
      </c>
      <c r="BK55" s="1058">
        <f t="shared" si="96"/>
        <v>-0.31305219006147522</v>
      </c>
      <c r="BL55" s="1058">
        <f t="shared" si="97"/>
        <v>4.3912810421153914E-5</v>
      </c>
      <c r="BM55" s="1058">
        <f t="shared" si="98"/>
        <v>1.113487704918033</v>
      </c>
      <c r="BN55" s="1058">
        <f t="shared" si="99"/>
        <v>0.41504999990000013</v>
      </c>
      <c r="BO55" s="1058">
        <f t="shared" si="100"/>
        <v>0.42608750000000017</v>
      </c>
      <c r="BP55" s="1058">
        <f t="shared" si="101"/>
        <v>0.47749583330000062</v>
      </c>
      <c r="BQ55" s="949"/>
      <c r="BR55" s="950"/>
      <c r="BU55" s="922"/>
      <c r="BV55" s="921"/>
      <c r="BW55" s="921"/>
      <c r="BX55" s="921"/>
      <c r="BZ55" s="1370">
        <v>4</v>
      </c>
      <c r="CA55" s="1377" t="s">
        <v>679</v>
      </c>
      <c r="CB55" s="1495">
        <f>AVERAGE(CB47:$CR47)</f>
        <v>0.27941176470588236</v>
      </c>
      <c r="CC55" s="1495">
        <f>AVERAGE(CC47:$CR47)</f>
        <v>0.28437499999999999</v>
      </c>
      <c r="CD55" s="1495">
        <f>AVERAGE(CD47:$CR47)</f>
        <v>0.28999999999999998</v>
      </c>
      <c r="CE55" s="1495">
        <f>AVERAGE(CE47:$CR47)</f>
        <v>0.29642857142857143</v>
      </c>
      <c r="CF55" s="1495">
        <f>AVERAGE(CF47:$CR47)</f>
        <v>0.30384615384615388</v>
      </c>
      <c r="CG55" s="1495">
        <f>AVERAGE(CG47:$CR47)</f>
        <v>0.31250000000000006</v>
      </c>
      <c r="CH55" s="1495">
        <f>AVERAGE(CH47:$CR47)</f>
        <v>0.32272727272727275</v>
      </c>
      <c r="CI55" s="1495">
        <f>AVERAGE(CI47:$CR47)</f>
        <v>0.33500000000000002</v>
      </c>
      <c r="CJ55" s="1495">
        <f>AVERAGE(CJ47:$CR47)</f>
        <v>0.35000000000000003</v>
      </c>
      <c r="CK55" s="1495">
        <f>AVERAGE(CK47:$CR47)</f>
        <v>0.36250000000000004</v>
      </c>
      <c r="CL55" s="1495">
        <f>AVERAGE(CL47:$CR47)</f>
        <v>0.37857142857142861</v>
      </c>
      <c r="CM55" s="1495">
        <f>AVERAGE(CM47:$CR47)</f>
        <v>0.39999999999999997</v>
      </c>
      <c r="CN55" s="1495">
        <f>AVERAGE(CN47:$CR47)</f>
        <v>0.41</v>
      </c>
      <c r="CO55" s="1495">
        <f>AVERAGE(CO47:$CR47)</f>
        <v>0.42499999999999999</v>
      </c>
      <c r="CP55" s="1495">
        <f>AVERAGE(CP47:$CR47)</f>
        <v>0.43333333333333335</v>
      </c>
      <c r="CQ55" s="1495">
        <f>AVERAGE(CQ47:$CR47)</f>
        <v>0.45</v>
      </c>
      <c r="CR55" s="1495">
        <f>AVERAGE(CR47:$CR47)</f>
        <v>0.45</v>
      </c>
      <c r="CS55" s="1495">
        <f>AVERAGE($CR47:CS47)</f>
        <v>0.47499999999999998</v>
      </c>
      <c r="CT55" s="1495">
        <f>AVERAGE($CR47:CT47)</f>
        <v>0.48333333333333334</v>
      </c>
      <c r="CU55" s="1495">
        <f>AVERAGE($CR47:CU47)</f>
        <v>0.48749999999999999</v>
      </c>
      <c r="CV55" s="1495">
        <f>AVERAGE($CR47:CV47)</f>
        <v>0.49000000000000005</v>
      </c>
      <c r="CW55" s="1495">
        <f>AVERAGE($CR47:CW47)</f>
        <v>0.5</v>
      </c>
      <c r="CX55" s="1495">
        <f>AVERAGE($CR47:CX47)</f>
        <v>0.50714285714285712</v>
      </c>
      <c r="CY55" s="1495">
        <f>AVERAGE($CR47:CY47)</f>
        <v>0.51249999999999996</v>
      </c>
      <c r="CZ55" s="1495">
        <f>AVERAGE($CR47:CZ47)</f>
        <v>0.51666666666666661</v>
      </c>
    </row>
    <row r="56" spans="1:104" ht="12.75" customHeight="1">
      <c r="A56" s="923"/>
      <c r="B56" s="924"/>
      <c r="C56" s="1122" t="s">
        <v>53</v>
      </c>
      <c r="D56" s="1122"/>
      <c r="E56" s="1122"/>
      <c r="F56" s="1131"/>
      <c r="G56" s="1140">
        <f t="shared" si="104"/>
        <v>1.3604838709677409</v>
      </c>
      <c r="H56" s="1141">
        <f t="shared" si="104"/>
        <v>0.36958730158730102</v>
      </c>
      <c r="I56" s="1141">
        <f t="shared" si="104"/>
        <v>0.37103124999999881</v>
      </c>
      <c r="J56" s="1142">
        <f t="shared" si="104"/>
        <v>2.0107384615384656</v>
      </c>
      <c r="K56" s="1140">
        <f t="shared" si="104"/>
        <v>2.7836406250000012</v>
      </c>
      <c r="L56" s="1141">
        <f t="shared" si="104"/>
        <v>0.38664062500000007</v>
      </c>
      <c r="M56" s="1141">
        <f t="shared" si="104"/>
        <v>0.58382812500000192</v>
      </c>
      <c r="N56" s="1142">
        <f t="shared" si="104"/>
        <v>0.35206349206349286</v>
      </c>
      <c r="O56" s="1140">
        <f t="shared" si="104"/>
        <v>0.80777777777777793</v>
      </c>
      <c r="P56" s="1141">
        <f t="shared" si="104"/>
        <v>0.20609523809523767</v>
      </c>
      <c r="Q56" s="1141">
        <f t="shared" si="104"/>
        <v>0.18090476190476101</v>
      </c>
      <c r="R56" s="1141">
        <f t="shared" si="104"/>
        <v>0.52926562499999807</v>
      </c>
      <c r="S56" s="1140">
        <f t="shared" si="104"/>
        <v>4.3436166666666658</v>
      </c>
      <c r="T56" s="1141">
        <f t="shared" si="104"/>
        <v>0.30776562499999827</v>
      </c>
      <c r="U56" s="1141">
        <f t="shared" si="104"/>
        <v>0.20923437499999897</v>
      </c>
      <c r="V56" s="1142">
        <f t="shared" si="104"/>
        <v>0.48042187499999889</v>
      </c>
      <c r="W56" s="1141">
        <f t="shared" si="104"/>
        <v>11.865918032786885</v>
      </c>
      <c r="X56" s="1141">
        <f t="shared" si="104"/>
        <v>-0.87728124999999935</v>
      </c>
      <c r="Y56" s="1141">
        <f t="shared" si="104"/>
        <v>-1.3732187500000017</v>
      </c>
      <c r="Z56" s="1142">
        <f t="shared" si="104"/>
        <v>-0.57965624999999754</v>
      </c>
      <c r="AA56" s="1141">
        <f t="shared" si="103"/>
        <v>6.0189193548387117</v>
      </c>
      <c r="AB56" s="1141">
        <f t="shared" si="103"/>
        <v>-0.25368253968253818</v>
      </c>
      <c r="AC56" s="1141">
        <f t="shared" si="103"/>
        <v>-0.4931562499999993</v>
      </c>
      <c r="AD56" s="1142">
        <f t="shared" si="103"/>
        <v>-0.2235238095238099</v>
      </c>
      <c r="AE56" s="1144">
        <f t="shared" si="104"/>
        <v>0.49621311475409802</v>
      </c>
      <c r="AF56" s="1144">
        <f t="shared" si="104"/>
        <v>-0.43893749999999998</v>
      </c>
      <c r="AG56" s="1144">
        <f t="shared" si="104"/>
        <v>-0.95798437499999922</v>
      </c>
      <c r="AH56" s="1145">
        <f t="shared" si="104"/>
        <v>-0.3514999999999997</v>
      </c>
      <c r="AI56" s="1144">
        <f t="shared" si="104"/>
        <v>0.30054838709677556</v>
      </c>
      <c r="AJ56" s="1144">
        <f t="shared" si="104"/>
        <v>-0.38845312499999896</v>
      </c>
      <c r="AK56" s="1144">
        <f t="shared" si="104"/>
        <v>-0.54298412698412557</v>
      </c>
      <c r="AL56" s="1145">
        <f t="shared" si="104"/>
        <v>0.63106451612903358</v>
      </c>
      <c r="AM56" s="1144">
        <f t="shared" si="86"/>
        <v>4.698950819672131</v>
      </c>
      <c r="AN56" s="1144">
        <f t="shared" si="86"/>
        <v>-0.19166666666666643</v>
      </c>
      <c r="AO56" s="1144">
        <f t="shared" si="86"/>
        <v>-0.30999999999999961</v>
      </c>
      <c r="AP56" s="1145">
        <f t="shared" si="83"/>
        <v>0.25666666666666638</v>
      </c>
      <c r="AQ56" s="1144">
        <f t="shared" si="83"/>
        <v>1.637734667576852</v>
      </c>
      <c r="AR56" s="1144">
        <f t="shared" si="83"/>
        <v>-0.69677150590554215</v>
      </c>
      <c r="AS56" s="1144">
        <f t="shared" si="83"/>
        <v>-0.82532002718121711</v>
      </c>
      <c r="AT56" s="1145">
        <f t="shared" si="82"/>
        <v>1.5445568651099078</v>
      </c>
      <c r="AU56" s="1144">
        <f t="shared" si="82"/>
        <v>1.6691288195742207</v>
      </c>
      <c r="AV56" s="1144">
        <f t="shared" si="82"/>
        <v>-0.704374459769459</v>
      </c>
      <c r="AW56" s="1144">
        <f t="shared" si="82"/>
        <v>-0.83498911122825525</v>
      </c>
      <c r="AX56" s="1145">
        <f t="shared" si="82"/>
        <v>1.5745847514234943</v>
      </c>
      <c r="AY56" s="1144">
        <f t="shared" si="87"/>
        <v>1.7632770950378909</v>
      </c>
      <c r="AZ56" s="1144">
        <f t="shared" si="87"/>
        <v>-0.69298925565485447</v>
      </c>
      <c r="BA56" s="1144">
        <f t="shared" si="87"/>
        <v>-0.82743500086795607</v>
      </c>
      <c r="BB56" s="1145">
        <f t="shared" si="84"/>
        <v>1.6671304946849221</v>
      </c>
      <c r="BC56" s="954"/>
      <c r="BD56" s="954"/>
      <c r="BE56" s="1052">
        <f t="shared" si="90"/>
        <v>1.0279602210233767</v>
      </c>
      <c r="BF56" s="1052">
        <f t="shared" si="91"/>
        <v>1.0265432167658739</v>
      </c>
      <c r="BG56" s="1052">
        <f t="shared" si="92"/>
        <v>0.43101085069444367</v>
      </c>
      <c r="BH56" s="1058">
        <f t="shared" si="93"/>
        <v>1.3352596354166657</v>
      </c>
      <c r="BI56" s="1058">
        <f t="shared" si="94"/>
        <v>2.2589404456967217</v>
      </c>
      <c r="BJ56" s="1058">
        <f t="shared" si="95"/>
        <v>1.2621391889080911</v>
      </c>
      <c r="BK56" s="1058">
        <f t="shared" si="96"/>
        <v>-0.31305219006147522</v>
      </c>
      <c r="BL56" s="1058">
        <f t="shared" si="97"/>
        <v>4.3912810421153914E-5</v>
      </c>
      <c r="BM56" s="1058">
        <f t="shared" si="98"/>
        <v>1.113487704918033</v>
      </c>
      <c r="BN56" s="1058">
        <f t="shared" si="99"/>
        <v>0.41504999990000013</v>
      </c>
      <c r="BO56" s="1058">
        <f t="shared" si="100"/>
        <v>0.42608750000000017</v>
      </c>
      <c r="BP56" s="1058">
        <f t="shared" si="101"/>
        <v>0.47749583330000062</v>
      </c>
      <c r="BQ56" s="949"/>
      <c r="BR56" s="950"/>
      <c r="BU56" s="922"/>
      <c r="BV56" s="921"/>
      <c r="BW56" s="921"/>
      <c r="BX56" s="921"/>
      <c r="BZ56" s="1370">
        <v>5</v>
      </c>
      <c r="CA56" s="1377" t="s">
        <v>680</v>
      </c>
      <c r="CB56" s="1495">
        <f>AVERAGE(CB48:$CR48)</f>
        <v>0.27941176470588236</v>
      </c>
      <c r="CC56" s="1495">
        <f>AVERAGE(CC48:$CR48)</f>
        <v>0.28437499999999999</v>
      </c>
      <c r="CD56" s="1495">
        <f>AVERAGE(CD48:$CR48)</f>
        <v>0.28999999999999998</v>
      </c>
      <c r="CE56" s="1495">
        <f>AVERAGE(CE48:$CR48)</f>
        <v>0.29642857142857143</v>
      </c>
      <c r="CF56" s="1495">
        <f>AVERAGE(CF48:$CR48)</f>
        <v>0.30384615384615388</v>
      </c>
      <c r="CG56" s="1495">
        <f>AVERAGE(CG48:$CR48)</f>
        <v>0.31250000000000006</v>
      </c>
      <c r="CH56" s="1495">
        <f>AVERAGE(CH48:$CR48)</f>
        <v>0.32272727272727275</v>
      </c>
      <c r="CI56" s="1495">
        <f>AVERAGE(CI48:$CR48)</f>
        <v>0.33500000000000002</v>
      </c>
      <c r="CJ56" s="1495">
        <f>AVERAGE(CJ48:$CR48)</f>
        <v>0.35000000000000003</v>
      </c>
      <c r="CK56" s="1495">
        <f>AVERAGE(CK48:$CR48)</f>
        <v>0.36250000000000004</v>
      </c>
      <c r="CL56" s="1495">
        <f>AVERAGE(CL48:$CR48)</f>
        <v>0.37857142857142861</v>
      </c>
      <c r="CM56" s="1495">
        <f>AVERAGE(CM48:$CR48)</f>
        <v>0.39999999999999997</v>
      </c>
      <c r="CN56" s="1495">
        <f>AVERAGE(CN48:$CR48)</f>
        <v>0.41</v>
      </c>
      <c r="CO56" s="1495">
        <f>AVERAGE(CO48:$CR48)</f>
        <v>0.42499999999999999</v>
      </c>
      <c r="CP56" s="1495">
        <f>AVERAGE(CP48:$CR48)</f>
        <v>0.43333333333333335</v>
      </c>
      <c r="CQ56" s="1495">
        <f>AVERAGE(CQ48:$CR48)</f>
        <v>0.45</v>
      </c>
      <c r="CR56" s="1495">
        <f>AVERAGE(CR48:$CR48)</f>
        <v>0.45</v>
      </c>
      <c r="CS56" s="1495">
        <f>AVERAGE($CR48:CS48)</f>
        <v>0.47499999999999998</v>
      </c>
      <c r="CT56" s="1495">
        <f>AVERAGE($CR48:CT48)</f>
        <v>0.48333333333333334</v>
      </c>
      <c r="CU56" s="1495">
        <f>AVERAGE($CR48:CU48)</f>
        <v>0.48749999999999999</v>
      </c>
      <c r="CV56" s="1495">
        <f>AVERAGE($CR48:CV48)</f>
        <v>0.49000000000000005</v>
      </c>
      <c r="CW56" s="1495">
        <f>AVERAGE($CR48:CW48)</f>
        <v>0.5</v>
      </c>
      <c r="CX56" s="1495">
        <f>AVERAGE($CR48:CX48)</f>
        <v>0.50714285714285712</v>
      </c>
      <c r="CY56" s="1495">
        <f>AVERAGE($CR48:CY48)</f>
        <v>0.51249999999999996</v>
      </c>
      <c r="CZ56" s="1495">
        <f>AVERAGE($CR48:CZ48)</f>
        <v>0.51666666666666661</v>
      </c>
    </row>
    <row r="57" spans="1:104" ht="12.75" customHeight="1">
      <c r="A57" s="923"/>
      <c r="B57" s="924"/>
      <c r="C57" s="1129" t="s">
        <v>692</v>
      </c>
      <c r="D57" s="1130"/>
      <c r="E57" s="1130"/>
      <c r="F57" s="1136"/>
      <c r="G57" s="1140">
        <f t="shared" si="104"/>
        <v>0.89172580645161226</v>
      </c>
      <c r="H57" s="1141">
        <f t="shared" si="104"/>
        <v>0.34730158730158944</v>
      </c>
      <c r="I57" s="1141">
        <f t="shared" si="104"/>
        <v>0.35659375000000004</v>
      </c>
      <c r="J57" s="1142">
        <f t="shared" si="104"/>
        <v>1.4691538461538483</v>
      </c>
      <c r="K57" s="1140">
        <f t="shared" si="104"/>
        <v>1.7646250000000014</v>
      </c>
      <c r="L57" s="1141">
        <f t="shared" si="104"/>
        <v>0.28798437500000063</v>
      </c>
      <c r="M57" s="1141">
        <f t="shared" si="104"/>
        <v>0.25414062500000068</v>
      </c>
      <c r="N57" s="1142">
        <f t="shared" si="104"/>
        <v>0.24365079365079412</v>
      </c>
      <c r="O57" s="1140">
        <f t="shared" si="104"/>
        <v>0.31452380952380965</v>
      </c>
      <c r="P57" s="1141">
        <f t="shared" si="104"/>
        <v>0.1599206349206348</v>
      </c>
      <c r="Q57" s="1141">
        <f t="shared" si="104"/>
        <v>0.16882539682539655</v>
      </c>
      <c r="R57" s="1141">
        <f t="shared" si="104"/>
        <v>0.26892187499999887</v>
      </c>
      <c r="S57" s="1140">
        <f t="shared" si="104"/>
        <v>0.819599999999999</v>
      </c>
      <c r="T57" s="1141">
        <f t="shared" si="104"/>
        <v>0.11882812499999851</v>
      </c>
      <c r="U57" s="1141">
        <f t="shared" si="104"/>
        <v>-1.3265625000001169E-2</v>
      </c>
      <c r="V57" s="1142">
        <f t="shared" si="104"/>
        <v>0.14118750000000091</v>
      </c>
      <c r="W57" s="1141">
        <f t="shared" si="104"/>
        <v>7.5181639344262283</v>
      </c>
      <c r="X57" s="1141">
        <f t="shared" si="104"/>
        <v>-0.89420312500000065</v>
      </c>
      <c r="Y57" s="1141">
        <f t="shared" si="104"/>
        <v>-1.4395156250000012</v>
      </c>
      <c r="Z57" s="1142">
        <f t="shared" si="104"/>
        <v>-1.017578125</v>
      </c>
      <c r="AA57" s="1141">
        <f t="shared" si="103"/>
        <v>3.554258064516127</v>
      </c>
      <c r="AB57" s="1141">
        <f t="shared" si="103"/>
        <v>-1.1179206349206339</v>
      </c>
      <c r="AC57" s="1141">
        <f t="shared" si="103"/>
        <v>-1.3916093749999998</v>
      </c>
      <c r="AD57" s="1142">
        <f t="shared" si="103"/>
        <v>-0.84366666666666723</v>
      </c>
      <c r="AE57" s="1144">
        <f t="shared" si="104"/>
        <v>-0.15401639344262286</v>
      </c>
      <c r="AF57" s="1144">
        <f t="shared" si="104"/>
        <v>-0.55339062499999958</v>
      </c>
      <c r="AG57" s="1144">
        <f t="shared" si="104"/>
        <v>-1.5273593749999999</v>
      </c>
      <c r="AH57" s="1145">
        <f t="shared" si="104"/>
        <v>-0.79788709677419334</v>
      </c>
      <c r="AI57" s="1144">
        <f t="shared" si="104"/>
        <v>-1.6838709677418517E-2</v>
      </c>
      <c r="AJ57" s="1144">
        <f t="shared" si="104"/>
        <v>-0.56160937500000019</v>
      </c>
      <c r="AK57" s="1144">
        <f t="shared" si="104"/>
        <v>-1.2109841269841268</v>
      </c>
      <c r="AL57" s="1145">
        <f t="shared" si="104"/>
        <v>-0.13975806451612982</v>
      </c>
      <c r="AM57" s="1144">
        <f t="shared" si="86"/>
        <v>3.4441967213114757</v>
      </c>
      <c r="AN57" s="1144">
        <f t="shared" si="86"/>
        <v>-0.46333333333333293</v>
      </c>
      <c r="AO57" s="1144">
        <f t="shared" si="86"/>
        <v>-0.59499999999999975</v>
      </c>
      <c r="AP57" s="1145">
        <f t="shared" si="86"/>
        <v>-0.21666666666666679</v>
      </c>
      <c r="AQ57" s="1144">
        <f t="shared" ref="AQ57:AX57" si="105">IF(ISBLANK(AQ200),"",AQ200)</f>
        <v>0.74457975965344758</v>
      </c>
      <c r="AR57" s="1144">
        <f t="shared" si="105"/>
        <v>-0.76430483819771866</v>
      </c>
      <c r="AS57" s="1144">
        <f t="shared" si="105"/>
        <v>-0.78296558457066712</v>
      </c>
      <c r="AT57" s="1145">
        <f t="shared" si="105"/>
        <v>0.8235214539149398</v>
      </c>
      <c r="AU57" s="1144">
        <f t="shared" si="105"/>
        <v>0.64485745238273218</v>
      </c>
      <c r="AV57" s="1144">
        <f t="shared" si="105"/>
        <v>-0.82982612063011629</v>
      </c>
      <c r="AW57" s="1144">
        <f t="shared" si="105"/>
        <v>-0.84922019602346377</v>
      </c>
      <c r="AX57" s="1145">
        <f t="shared" si="105"/>
        <v>0.71921711267084909</v>
      </c>
      <c r="AY57" s="1489">
        <f t="shared" ref="AY57:BB59" si="106">IF(ISBLANK(AY200),"",IF(Uplift="Yes",$BX$58,AY200))</f>
        <v>-0.25</v>
      </c>
      <c r="AZ57" s="1489">
        <f t="shared" si="106"/>
        <v>-0.25</v>
      </c>
      <c r="BA57" s="1489">
        <f t="shared" si="106"/>
        <v>-0.25</v>
      </c>
      <c r="BB57" s="1154">
        <f t="shared" si="106"/>
        <v>-0.25</v>
      </c>
      <c r="BC57" s="954"/>
      <c r="BD57" s="954"/>
      <c r="BE57" s="1052">
        <f t="shared" si="90"/>
        <v>0.7661937474767625</v>
      </c>
      <c r="BF57" s="1052">
        <f t="shared" si="91"/>
        <v>0.63760019841269922</v>
      </c>
      <c r="BG57" s="1052">
        <f t="shared" si="92"/>
        <v>0.22804792906745996</v>
      </c>
      <c r="BH57" s="1058">
        <f t="shared" si="93"/>
        <v>0.26658749999999931</v>
      </c>
      <c r="BI57" s="1058">
        <f t="shared" si="94"/>
        <v>1.0417167648565566</v>
      </c>
      <c r="BJ57" s="1058">
        <f t="shared" si="95"/>
        <v>5.0265346982206582E-2</v>
      </c>
      <c r="BK57" s="1058">
        <f t="shared" si="96"/>
        <v>-0.75816337255420385</v>
      </c>
      <c r="BL57" s="1058">
        <f t="shared" si="97"/>
        <v>-0.48229756904441884</v>
      </c>
      <c r="BM57" s="1058">
        <f t="shared" si="98"/>
        <v>0.54229918032786906</v>
      </c>
      <c r="BN57" s="1058">
        <f t="shared" si="99"/>
        <v>5.2076977000004021E-3</v>
      </c>
      <c r="BO57" s="1058">
        <f t="shared" si="100"/>
        <v>-7.8742937899999699E-2</v>
      </c>
      <c r="BP57" s="1058">
        <f t="shared" si="101"/>
        <v>-0.25</v>
      </c>
      <c r="BQ57" s="949"/>
      <c r="BR57" s="950"/>
      <c r="BU57" s="922"/>
      <c r="BV57" s="1043" t="s">
        <v>995</v>
      </c>
      <c r="BW57" s="921"/>
      <c r="BX57" s="921"/>
      <c r="BZ57" s="1370">
        <v>6</v>
      </c>
      <c r="CA57" s="1377" t="s">
        <v>681</v>
      </c>
      <c r="CB57" s="1495">
        <f>AVERAGE(CB49:$CR49)</f>
        <v>0.26470588235294118</v>
      </c>
      <c r="CC57" s="1495">
        <f>AVERAGE(CC49:$CR49)</f>
        <v>0.26874999999999999</v>
      </c>
      <c r="CD57" s="1495">
        <f>AVERAGE(CD49:$CR49)</f>
        <v>0.27333333333333332</v>
      </c>
      <c r="CE57" s="1495">
        <f>AVERAGE(CE49:$CR49)</f>
        <v>0.27857142857142858</v>
      </c>
      <c r="CF57" s="1495">
        <f>AVERAGE(CF49:$CR49)</f>
        <v>0.2846153846153846</v>
      </c>
      <c r="CG57" s="1495">
        <f>AVERAGE(CG49:$CR49)</f>
        <v>0.29166666666666669</v>
      </c>
      <c r="CH57" s="1495">
        <f>AVERAGE(CH49:$CR49)</f>
        <v>0.3</v>
      </c>
      <c r="CI57" s="1495">
        <f>AVERAGE(CI49:$CR49)</f>
        <v>0.31</v>
      </c>
      <c r="CJ57" s="1495">
        <f>AVERAGE(CJ49:$CR49)</f>
        <v>0.32222222222222219</v>
      </c>
      <c r="CK57" s="1495">
        <f>AVERAGE(CK49:$CR49)</f>
        <v>0.33124999999999999</v>
      </c>
      <c r="CL57" s="1495">
        <f>AVERAGE(CL49:$CR49)</f>
        <v>0.34285714285714286</v>
      </c>
      <c r="CM57" s="1495">
        <f>AVERAGE(CM49:$CR49)</f>
        <v>0.34999999999999992</v>
      </c>
      <c r="CN57" s="1495">
        <f>AVERAGE(CN49:$CR49)</f>
        <v>0.36</v>
      </c>
      <c r="CO57" s="1495">
        <f>AVERAGE(CO49:$CR49)</f>
        <v>0.375</v>
      </c>
      <c r="CP57" s="1495">
        <f>AVERAGE(CP49:$CR49)</f>
        <v>0.3833333333333333</v>
      </c>
      <c r="CQ57" s="1495">
        <f>AVERAGE(CQ49:$CR49)</f>
        <v>0.4</v>
      </c>
      <c r="CR57" s="1495">
        <f>AVERAGE(CR49:$CR49)</f>
        <v>0.4</v>
      </c>
      <c r="CS57" s="1495">
        <f>AVERAGE($CR49:CS49)</f>
        <v>0.4</v>
      </c>
      <c r="CT57" s="1495">
        <f>AVERAGE($CR49:CT49)</f>
        <v>0.41666666666666669</v>
      </c>
      <c r="CU57" s="1495">
        <f>AVERAGE($CR49:CU49)</f>
        <v>0.4375</v>
      </c>
      <c r="CV57" s="1495">
        <f>AVERAGE($CR49:CV49)</f>
        <v>0.45</v>
      </c>
      <c r="CW57" s="1495">
        <f>AVERAGE($CR49:CW49)</f>
        <v>0.45833333333333331</v>
      </c>
      <c r="CX57" s="1495">
        <f>AVERAGE($CR49:CX49)</f>
        <v>0.4642857142857143</v>
      </c>
      <c r="CY57" s="1495">
        <f>AVERAGE($CR49:CY49)</f>
        <v>0.46875</v>
      </c>
      <c r="CZ57" s="1495">
        <f>AVERAGE($CR49:CZ49)</f>
        <v>0.47222222222222221</v>
      </c>
    </row>
    <row r="58" spans="1:104" ht="12.75" customHeight="1">
      <c r="A58" s="923"/>
      <c r="B58" s="924"/>
      <c r="C58" s="1129" t="s">
        <v>15</v>
      </c>
      <c r="D58" s="1130"/>
      <c r="E58" s="1130"/>
      <c r="F58" s="1136"/>
      <c r="G58" s="1140">
        <f t="shared" si="104"/>
        <v>0.89172580645161226</v>
      </c>
      <c r="H58" s="1141">
        <f t="shared" si="104"/>
        <v>0.34730158730158944</v>
      </c>
      <c r="I58" s="1141">
        <f t="shared" si="104"/>
        <v>0.35659375000000004</v>
      </c>
      <c r="J58" s="1142">
        <f t="shared" si="104"/>
        <v>1.4691538461538483</v>
      </c>
      <c r="K58" s="1140">
        <f t="shared" si="104"/>
        <v>1.7646250000000014</v>
      </c>
      <c r="L58" s="1141">
        <f t="shared" si="104"/>
        <v>0.28798437500000063</v>
      </c>
      <c r="M58" s="1141">
        <f t="shared" si="104"/>
        <v>0.25414062500000068</v>
      </c>
      <c r="N58" s="1142">
        <f t="shared" si="104"/>
        <v>0.24365079365079412</v>
      </c>
      <c r="O58" s="1140">
        <f t="shared" si="104"/>
        <v>0.31452380952380965</v>
      </c>
      <c r="P58" s="1141">
        <f t="shared" si="104"/>
        <v>0.1599206349206348</v>
      </c>
      <c r="Q58" s="1141">
        <f t="shared" si="104"/>
        <v>0.16882539682539655</v>
      </c>
      <c r="R58" s="1141">
        <f t="shared" si="104"/>
        <v>0.26892187499999887</v>
      </c>
      <c r="S58" s="1140">
        <f t="shared" si="104"/>
        <v>0.819599999999999</v>
      </c>
      <c r="T58" s="1141">
        <f t="shared" si="104"/>
        <v>0.11882812499999851</v>
      </c>
      <c r="U58" s="1141">
        <f t="shared" si="104"/>
        <v>-1.3265625000001169E-2</v>
      </c>
      <c r="V58" s="1142">
        <f t="shared" si="104"/>
        <v>0.14118750000000091</v>
      </c>
      <c r="W58" s="1141">
        <f t="shared" si="104"/>
        <v>7.5181639344262283</v>
      </c>
      <c r="X58" s="1141">
        <f t="shared" si="104"/>
        <v>-0.89420312500000065</v>
      </c>
      <c r="Y58" s="1141">
        <f t="shared" si="104"/>
        <v>-1.4395156250000012</v>
      </c>
      <c r="Z58" s="1142">
        <f t="shared" si="104"/>
        <v>-1.017578125</v>
      </c>
      <c r="AA58" s="1141">
        <f t="shared" si="103"/>
        <v>3.554258064516127</v>
      </c>
      <c r="AB58" s="1141">
        <f t="shared" si="103"/>
        <v>-1.1179206349206339</v>
      </c>
      <c r="AC58" s="1141">
        <f t="shared" si="103"/>
        <v>-1.3916093749999998</v>
      </c>
      <c r="AD58" s="1142">
        <f t="shared" si="103"/>
        <v>-0.84366666666666723</v>
      </c>
      <c r="AE58" s="1144">
        <f t="shared" si="104"/>
        <v>-0.15401639344262286</v>
      </c>
      <c r="AF58" s="1144">
        <f t="shared" si="104"/>
        <v>-0.55339062499999958</v>
      </c>
      <c r="AG58" s="1144">
        <f t="shared" si="104"/>
        <v>-1.5273593749999999</v>
      </c>
      <c r="AH58" s="1145">
        <f t="shared" si="104"/>
        <v>-0.79788709677419334</v>
      </c>
      <c r="AI58" s="1144">
        <f t="shared" si="104"/>
        <v>-1.6838709677418517E-2</v>
      </c>
      <c r="AJ58" s="1144">
        <f t="shared" si="104"/>
        <v>-0.56160937500000019</v>
      </c>
      <c r="AK58" s="1144">
        <f t="shared" si="104"/>
        <v>-1.2109841269841268</v>
      </c>
      <c r="AL58" s="1145">
        <f t="shared" si="104"/>
        <v>-0.13975806451612982</v>
      </c>
      <c r="AM58" s="1144">
        <f t="shared" si="86"/>
        <v>3.4441967213114757</v>
      </c>
      <c r="AN58" s="1144">
        <f t="shared" si="86"/>
        <v>-0.46333333333333293</v>
      </c>
      <c r="AO58" s="1144">
        <f t="shared" si="86"/>
        <v>-0.59499999999999975</v>
      </c>
      <c r="AP58" s="1145">
        <f t="shared" si="86"/>
        <v>-0.21666666666666679</v>
      </c>
      <c r="AQ58" s="1144">
        <f t="shared" ref="AQ58:AX58" si="107">IF(ISBLANK(AQ201),"",AQ201)</f>
        <v>0.74457975965344758</v>
      </c>
      <c r="AR58" s="1144">
        <f t="shared" si="107"/>
        <v>-0.76430483819771866</v>
      </c>
      <c r="AS58" s="1144">
        <f t="shared" si="107"/>
        <v>-0.78296558457066712</v>
      </c>
      <c r="AT58" s="1145">
        <f t="shared" si="107"/>
        <v>0.8235214539149398</v>
      </c>
      <c r="AU58" s="1144">
        <f t="shared" si="107"/>
        <v>0.64485745238273218</v>
      </c>
      <c r="AV58" s="1144">
        <f t="shared" si="107"/>
        <v>-0.82982612063011629</v>
      </c>
      <c r="AW58" s="1144">
        <f t="shared" si="107"/>
        <v>-0.84922019602346377</v>
      </c>
      <c r="AX58" s="1145">
        <f t="shared" si="107"/>
        <v>0.71921711267084909</v>
      </c>
      <c r="AY58" s="1489">
        <f t="shared" si="106"/>
        <v>-0.25</v>
      </c>
      <c r="AZ58" s="1489">
        <f t="shared" si="106"/>
        <v>-0.25</v>
      </c>
      <c r="BA58" s="1489">
        <f t="shared" si="106"/>
        <v>-0.25</v>
      </c>
      <c r="BB58" s="1154">
        <f t="shared" si="106"/>
        <v>-0.25</v>
      </c>
      <c r="BC58" s="954"/>
      <c r="BD58" s="954"/>
      <c r="BE58" s="1052">
        <f t="shared" si="90"/>
        <v>0.7661937474767625</v>
      </c>
      <c r="BF58" s="1052">
        <f t="shared" si="91"/>
        <v>0.63760019841269922</v>
      </c>
      <c r="BG58" s="1052">
        <f t="shared" si="92"/>
        <v>0.22804792906745996</v>
      </c>
      <c r="BH58" s="1058">
        <f t="shared" si="93"/>
        <v>0.26658749999999931</v>
      </c>
      <c r="BI58" s="1058">
        <f t="shared" si="94"/>
        <v>1.0417167648565566</v>
      </c>
      <c r="BJ58" s="1058">
        <f t="shared" si="95"/>
        <v>5.0265346982206582E-2</v>
      </c>
      <c r="BK58" s="1058">
        <f t="shared" si="96"/>
        <v>-0.75816337255420385</v>
      </c>
      <c r="BL58" s="1058">
        <f t="shared" si="97"/>
        <v>-0.48229756904441884</v>
      </c>
      <c r="BM58" s="1058">
        <f t="shared" si="98"/>
        <v>0.54229918032786906</v>
      </c>
      <c r="BN58" s="1058">
        <f t="shared" si="99"/>
        <v>5.2076977000004021E-3</v>
      </c>
      <c r="BO58" s="1058">
        <f t="shared" si="100"/>
        <v>-7.8742937899999699E-2</v>
      </c>
      <c r="BP58" s="1058">
        <f t="shared" si="101"/>
        <v>-0.25</v>
      </c>
      <c r="BQ58" s="949"/>
      <c r="BR58" s="950"/>
      <c r="BU58" s="922"/>
      <c r="BV58" s="1068" t="s">
        <v>996</v>
      </c>
      <c r="BW58" s="960"/>
      <c r="BX58" s="1069">
        <f>Valuation!$CF$28</f>
        <v>-0.25</v>
      </c>
    </row>
    <row r="59" spans="1:104" ht="12.75" customHeight="1">
      <c r="A59" s="923"/>
      <c r="B59" s="924"/>
      <c r="C59" s="1122" t="s">
        <v>973</v>
      </c>
      <c r="D59" s="1122"/>
      <c r="E59" s="1122"/>
      <c r="F59" s="1131"/>
      <c r="G59" s="1140">
        <f t="shared" si="104"/>
        <v>0.89172580645161226</v>
      </c>
      <c r="H59" s="1141">
        <f t="shared" si="104"/>
        <v>0.34730158730158944</v>
      </c>
      <c r="I59" s="1141">
        <f t="shared" si="104"/>
        <v>0.35659375000000004</v>
      </c>
      <c r="J59" s="1142">
        <f t="shared" si="104"/>
        <v>1.4691538461538483</v>
      </c>
      <c r="K59" s="1140">
        <f t="shared" si="104"/>
        <v>1.7646250000000014</v>
      </c>
      <c r="L59" s="1141">
        <f t="shared" si="104"/>
        <v>0.28798437500000063</v>
      </c>
      <c r="M59" s="1141">
        <f t="shared" si="104"/>
        <v>0.25414062500000068</v>
      </c>
      <c r="N59" s="1142">
        <f t="shared" si="104"/>
        <v>0.24365079365079412</v>
      </c>
      <c r="O59" s="1140">
        <f t="shared" si="104"/>
        <v>0.31452380952380965</v>
      </c>
      <c r="P59" s="1141">
        <f t="shared" si="104"/>
        <v>0.1599206349206348</v>
      </c>
      <c r="Q59" s="1141">
        <f t="shared" si="104"/>
        <v>0.16882539682539655</v>
      </c>
      <c r="R59" s="1141">
        <f t="shared" si="104"/>
        <v>0.26892187499999887</v>
      </c>
      <c r="S59" s="1140">
        <f t="shared" si="104"/>
        <v>0.819599999999999</v>
      </c>
      <c r="T59" s="1141">
        <f t="shared" si="104"/>
        <v>0.11882812499999851</v>
      </c>
      <c r="U59" s="1141">
        <f t="shared" si="104"/>
        <v>-1.3265625000001169E-2</v>
      </c>
      <c r="V59" s="1142">
        <f t="shared" si="104"/>
        <v>0.14118750000000091</v>
      </c>
      <c r="W59" s="1141">
        <f t="shared" si="104"/>
        <v>7.5181639344262283</v>
      </c>
      <c r="X59" s="1141">
        <f t="shared" si="104"/>
        <v>-0.89420312500000065</v>
      </c>
      <c r="Y59" s="1141">
        <f t="shared" si="104"/>
        <v>-1.4395156250000012</v>
      </c>
      <c r="Z59" s="1142">
        <f t="shared" si="104"/>
        <v>-1.017578125</v>
      </c>
      <c r="AA59" s="1141">
        <f t="shared" si="103"/>
        <v>3.554258064516127</v>
      </c>
      <c r="AB59" s="1141">
        <f t="shared" si="103"/>
        <v>-1.1179206349206339</v>
      </c>
      <c r="AC59" s="1141">
        <f t="shared" si="103"/>
        <v>-1.3916093749999998</v>
      </c>
      <c r="AD59" s="1142">
        <f t="shared" si="103"/>
        <v>-0.84366666666666723</v>
      </c>
      <c r="AE59" s="1144">
        <f t="shared" si="104"/>
        <v>-0.15401639344262286</v>
      </c>
      <c r="AF59" s="1144">
        <f t="shared" si="104"/>
        <v>-0.55339062499999958</v>
      </c>
      <c r="AG59" s="1144">
        <f t="shared" si="104"/>
        <v>-1.5273593749999999</v>
      </c>
      <c r="AH59" s="1145">
        <f t="shared" si="104"/>
        <v>-0.79788709677419334</v>
      </c>
      <c r="AI59" s="1144">
        <f t="shared" si="104"/>
        <v>-1.6838709677418517E-2</v>
      </c>
      <c r="AJ59" s="1144">
        <f t="shared" si="104"/>
        <v>-0.56160937500000019</v>
      </c>
      <c r="AK59" s="1144">
        <f t="shared" si="104"/>
        <v>-1.2109841269841268</v>
      </c>
      <c r="AL59" s="1145">
        <f t="shared" si="104"/>
        <v>-0.13975806451612982</v>
      </c>
      <c r="AM59" s="1144">
        <f t="shared" si="86"/>
        <v>3.4441967213114757</v>
      </c>
      <c r="AN59" s="1144">
        <f t="shared" si="86"/>
        <v>0</v>
      </c>
      <c r="AO59" s="1144">
        <f t="shared" si="86"/>
        <v>0</v>
      </c>
      <c r="AP59" s="1145">
        <f t="shared" si="86"/>
        <v>0</v>
      </c>
      <c r="AQ59" s="1144">
        <f t="shared" ref="AQ59:AX59" si="108">IF(ISBLANK(AQ202),"",AQ202)</f>
        <v>0</v>
      </c>
      <c r="AR59" s="1144">
        <f t="shared" si="108"/>
        <v>0</v>
      </c>
      <c r="AS59" s="1144">
        <f t="shared" si="108"/>
        <v>0</v>
      </c>
      <c r="AT59" s="1145">
        <f t="shared" si="108"/>
        <v>0</v>
      </c>
      <c r="AU59" s="1144">
        <f t="shared" si="108"/>
        <v>0</v>
      </c>
      <c r="AV59" s="1144">
        <f t="shared" si="108"/>
        <v>0</v>
      </c>
      <c r="AW59" s="1144">
        <f t="shared" si="108"/>
        <v>0</v>
      </c>
      <c r="AX59" s="1145">
        <f t="shared" si="108"/>
        <v>0</v>
      </c>
      <c r="AY59" s="1489">
        <f t="shared" si="106"/>
        <v>-0.25</v>
      </c>
      <c r="AZ59" s="1489">
        <f t="shared" si="106"/>
        <v>-0.25</v>
      </c>
      <c r="BA59" s="1489">
        <f t="shared" si="106"/>
        <v>-0.25</v>
      </c>
      <c r="BB59" s="1154">
        <f t="shared" si="106"/>
        <v>-0.25</v>
      </c>
      <c r="BC59" s="954"/>
      <c r="BD59" s="954"/>
      <c r="BE59" s="1052">
        <f t="shared" si="90"/>
        <v>0.7661937474767625</v>
      </c>
      <c r="BF59" s="1052">
        <f t="shared" si="91"/>
        <v>0.63760019841269922</v>
      </c>
      <c r="BG59" s="1052">
        <f t="shared" si="92"/>
        <v>0.22804792906745996</v>
      </c>
      <c r="BH59" s="1058">
        <f t="shared" si="93"/>
        <v>0.26658749999999931</v>
      </c>
      <c r="BI59" s="1058">
        <f t="shared" si="94"/>
        <v>1.0417167648565566</v>
      </c>
      <c r="BJ59" s="1058">
        <f t="shared" si="95"/>
        <v>5.0265346982206582E-2</v>
      </c>
      <c r="BK59" s="1058">
        <f t="shared" si="96"/>
        <v>-0.75816337255420385</v>
      </c>
      <c r="BL59" s="1058">
        <f t="shared" si="97"/>
        <v>-0.48229756904441884</v>
      </c>
      <c r="BM59" s="1058">
        <f t="shared" si="98"/>
        <v>0.86104918032786892</v>
      </c>
      <c r="BN59" s="1058">
        <f t="shared" si="99"/>
        <v>0</v>
      </c>
      <c r="BO59" s="1058">
        <f t="shared" si="100"/>
        <v>0</v>
      </c>
      <c r="BP59" s="1058">
        <f t="shared" si="101"/>
        <v>-0.25</v>
      </c>
      <c r="BQ59" s="949"/>
      <c r="BR59" s="950"/>
      <c r="BU59" s="922"/>
      <c r="BV59" s="1068" t="s">
        <v>997</v>
      </c>
      <c r="BW59" s="921"/>
      <c r="BX59" s="1070">
        <f>+BP200</f>
        <v>-9.0416666699999593E-2</v>
      </c>
    </row>
    <row r="60" spans="1:104" ht="12.75" customHeight="1">
      <c r="A60" s="923"/>
      <c r="B60" s="924"/>
      <c r="C60" s="1122" t="s">
        <v>54</v>
      </c>
      <c r="D60" s="1122"/>
      <c r="E60" s="1122"/>
      <c r="F60" s="1131"/>
      <c r="G60" s="1140">
        <f t="shared" si="104"/>
        <v>0</v>
      </c>
      <c r="H60" s="1141">
        <f t="shared" si="104"/>
        <v>0</v>
      </c>
      <c r="I60" s="1141">
        <f t="shared" si="104"/>
        <v>0</v>
      </c>
      <c r="J60" s="1142">
        <f t="shared" si="104"/>
        <v>0</v>
      </c>
      <c r="K60" s="1140">
        <f t="shared" si="104"/>
        <v>0</v>
      </c>
      <c r="L60" s="1141">
        <f t="shared" si="104"/>
        <v>0</v>
      </c>
      <c r="M60" s="1141">
        <f t="shared" si="104"/>
        <v>0</v>
      </c>
      <c r="N60" s="1142">
        <f t="shared" si="104"/>
        <v>0</v>
      </c>
      <c r="O60" s="1140">
        <f t="shared" si="104"/>
        <v>0</v>
      </c>
      <c r="P60" s="1141">
        <f t="shared" si="104"/>
        <v>0</v>
      </c>
      <c r="Q60" s="1141">
        <f t="shared" si="104"/>
        <v>0</v>
      </c>
      <c r="R60" s="1141">
        <f t="shared" si="104"/>
        <v>0</v>
      </c>
      <c r="S60" s="1140">
        <f t="shared" si="104"/>
        <v>0</v>
      </c>
      <c r="T60" s="1141">
        <f t="shared" si="104"/>
        <v>0</v>
      </c>
      <c r="U60" s="1141">
        <f t="shared" si="104"/>
        <v>0</v>
      </c>
      <c r="V60" s="1142">
        <f t="shared" si="104"/>
        <v>0</v>
      </c>
      <c r="W60" s="1141">
        <f t="shared" si="104"/>
        <v>0</v>
      </c>
      <c r="X60" s="1141">
        <f t="shared" si="104"/>
        <v>0</v>
      </c>
      <c r="Y60" s="1141">
        <f t="shared" si="104"/>
        <v>0</v>
      </c>
      <c r="Z60" s="1142">
        <f t="shared" si="104"/>
        <v>0</v>
      </c>
      <c r="AA60" s="1141">
        <f t="shared" si="103"/>
        <v>0</v>
      </c>
      <c r="AB60" s="1141">
        <f t="shared" si="103"/>
        <v>0</v>
      </c>
      <c r="AC60" s="1141">
        <f t="shared" si="103"/>
        <v>0</v>
      </c>
      <c r="AD60" s="1142">
        <f t="shared" si="103"/>
        <v>0</v>
      </c>
      <c r="AE60" s="1144">
        <f t="shared" si="104"/>
        <v>0</v>
      </c>
      <c r="AF60" s="1144">
        <f t="shared" si="104"/>
        <v>0</v>
      </c>
      <c r="AG60" s="1144">
        <f t="shared" si="104"/>
        <v>0</v>
      </c>
      <c r="AH60" s="1145">
        <f t="shared" si="104"/>
        <v>0</v>
      </c>
      <c r="AI60" s="1144">
        <f t="shared" si="104"/>
        <v>0</v>
      </c>
      <c r="AJ60" s="1144">
        <f t="shared" si="104"/>
        <v>0</v>
      </c>
      <c r="AK60" s="1144">
        <f t="shared" si="104"/>
        <v>0</v>
      </c>
      <c r="AL60" s="1145">
        <f t="shared" si="104"/>
        <v>0</v>
      </c>
      <c r="AM60" s="1144">
        <f t="shared" ref="AM60:AT75" si="109">IF(ISBLANK(AM203),"",AM203)</f>
        <v>0</v>
      </c>
      <c r="AN60" s="1144">
        <f t="shared" si="109"/>
        <v>0</v>
      </c>
      <c r="AO60" s="1144">
        <f t="shared" si="109"/>
        <v>0</v>
      </c>
      <c r="AP60" s="1145">
        <f t="shared" si="109"/>
        <v>0</v>
      </c>
      <c r="AQ60" s="1144">
        <f t="shared" ref="AQ60:AX60" si="110">IF(ISBLANK(AQ203),"",AQ203)</f>
        <v>0</v>
      </c>
      <c r="AR60" s="1144">
        <f t="shared" si="110"/>
        <v>0</v>
      </c>
      <c r="AS60" s="1144">
        <f t="shared" si="110"/>
        <v>0</v>
      </c>
      <c r="AT60" s="1145">
        <f t="shared" si="110"/>
        <v>0</v>
      </c>
      <c r="AU60" s="1144">
        <f t="shared" si="110"/>
        <v>0</v>
      </c>
      <c r="AV60" s="1144">
        <f t="shared" si="110"/>
        <v>0</v>
      </c>
      <c r="AW60" s="1144">
        <f t="shared" si="110"/>
        <v>0</v>
      </c>
      <c r="AX60" s="1145">
        <f t="shared" si="110"/>
        <v>0</v>
      </c>
      <c r="AY60" s="1144">
        <f t="shared" ref="AY60:BB81" si="111">IF(ISBLANK(AY203),"",AY203)</f>
        <v>0</v>
      </c>
      <c r="AZ60" s="1144">
        <f t="shared" si="111"/>
        <v>0</v>
      </c>
      <c r="BA60" s="1144">
        <f t="shared" si="111"/>
        <v>0</v>
      </c>
      <c r="BB60" s="1145">
        <f t="shared" si="111"/>
        <v>0</v>
      </c>
      <c r="BC60" s="954"/>
      <c r="BD60" s="954"/>
      <c r="BE60" s="1052">
        <f t="shared" si="90"/>
        <v>0</v>
      </c>
      <c r="BF60" s="1052">
        <f t="shared" si="91"/>
        <v>0</v>
      </c>
      <c r="BG60" s="1052">
        <f t="shared" si="92"/>
        <v>0</v>
      </c>
      <c r="BH60" s="1058">
        <f t="shared" si="93"/>
        <v>0</v>
      </c>
      <c r="BI60" s="1058">
        <f t="shared" si="94"/>
        <v>0</v>
      </c>
      <c r="BJ60" s="1058">
        <f t="shared" si="95"/>
        <v>0</v>
      </c>
      <c r="BK60" s="1058">
        <f t="shared" si="96"/>
        <v>0</v>
      </c>
      <c r="BL60" s="1058">
        <f t="shared" si="97"/>
        <v>0</v>
      </c>
      <c r="BM60" s="1058">
        <f t="shared" si="98"/>
        <v>0</v>
      </c>
      <c r="BN60" s="1058">
        <f t="shared" si="99"/>
        <v>0</v>
      </c>
      <c r="BO60" s="1058">
        <f t="shared" si="100"/>
        <v>0</v>
      </c>
      <c r="BP60" s="1058">
        <f t="shared" si="101"/>
        <v>0</v>
      </c>
      <c r="BQ60" s="949"/>
      <c r="BR60" s="950"/>
      <c r="BU60" s="922"/>
      <c r="BV60" s="960" t="s">
        <v>998</v>
      </c>
      <c r="BW60" s="921"/>
      <c r="BX60" s="1071">
        <f>+BX58-BX59</f>
        <v>-0.15958333330000041</v>
      </c>
    </row>
    <row r="61" spans="1:104" ht="12.75" customHeight="1">
      <c r="A61" s="923"/>
      <c r="B61" s="924"/>
      <c r="C61" s="1122" t="s">
        <v>55</v>
      </c>
      <c r="D61" s="1122"/>
      <c r="E61" s="1122"/>
      <c r="F61" s="1131"/>
      <c r="G61" s="1140">
        <f t="shared" si="104"/>
        <v>0</v>
      </c>
      <c r="H61" s="1141">
        <f t="shared" si="104"/>
        <v>0</v>
      </c>
      <c r="I61" s="1141">
        <f t="shared" si="104"/>
        <v>0</v>
      </c>
      <c r="J61" s="1142">
        <f t="shared" si="104"/>
        <v>0</v>
      </c>
      <c r="K61" s="1140">
        <f t="shared" si="104"/>
        <v>0</v>
      </c>
      <c r="L61" s="1141">
        <f t="shared" si="104"/>
        <v>0</v>
      </c>
      <c r="M61" s="1141">
        <f t="shared" si="104"/>
        <v>0</v>
      </c>
      <c r="N61" s="1142">
        <f t="shared" si="104"/>
        <v>0</v>
      </c>
      <c r="O61" s="1140">
        <f t="shared" si="104"/>
        <v>0</v>
      </c>
      <c r="P61" s="1141">
        <f t="shared" si="104"/>
        <v>0</v>
      </c>
      <c r="Q61" s="1141">
        <f t="shared" si="104"/>
        <v>0</v>
      </c>
      <c r="R61" s="1141">
        <f t="shared" si="104"/>
        <v>0</v>
      </c>
      <c r="S61" s="1140">
        <f t="shared" si="104"/>
        <v>0</v>
      </c>
      <c r="T61" s="1141">
        <f t="shared" si="104"/>
        <v>0</v>
      </c>
      <c r="U61" s="1141">
        <f t="shared" si="104"/>
        <v>0</v>
      </c>
      <c r="V61" s="1142">
        <f t="shared" si="104"/>
        <v>0</v>
      </c>
      <c r="W61" s="1141">
        <f t="shared" si="104"/>
        <v>0</v>
      </c>
      <c r="X61" s="1141">
        <f t="shared" si="104"/>
        <v>0</v>
      </c>
      <c r="Y61" s="1141">
        <f t="shared" si="104"/>
        <v>0</v>
      </c>
      <c r="Z61" s="1142">
        <f t="shared" si="104"/>
        <v>0</v>
      </c>
      <c r="AA61" s="1141">
        <f t="shared" si="103"/>
        <v>0</v>
      </c>
      <c r="AB61" s="1141">
        <f t="shared" si="103"/>
        <v>0</v>
      </c>
      <c r="AC61" s="1141">
        <f t="shared" si="103"/>
        <v>0</v>
      </c>
      <c r="AD61" s="1142">
        <f t="shared" si="103"/>
        <v>0</v>
      </c>
      <c r="AE61" s="1144">
        <f t="shared" si="104"/>
        <v>0</v>
      </c>
      <c r="AF61" s="1144">
        <f t="shared" si="104"/>
        <v>0</v>
      </c>
      <c r="AG61" s="1144">
        <f t="shared" si="104"/>
        <v>0</v>
      </c>
      <c r="AH61" s="1145">
        <f t="shared" si="104"/>
        <v>0</v>
      </c>
      <c r="AI61" s="1144">
        <f t="shared" si="104"/>
        <v>0</v>
      </c>
      <c r="AJ61" s="1144">
        <f t="shared" si="104"/>
        <v>0</v>
      </c>
      <c r="AK61" s="1144">
        <f t="shared" si="104"/>
        <v>0</v>
      </c>
      <c r="AL61" s="1145">
        <f t="shared" si="104"/>
        <v>0</v>
      </c>
      <c r="AM61" s="1144">
        <f t="shared" si="109"/>
        <v>0</v>
      </c>
      <c r="AN61" s="1144">
        <f t="shared" si="109"/>
        <v>0</v>
      </c>
      <c r="AO61" s="1144">
        <f t="shared" si="109"/>
        <v>0</v>
      </c>
      <c r="AP61" s="1145">
        <f t="shared" si="109"/>
        <v>0</v>
      </c>
      <c r="AQ61" s="1144">
        <f t="shared" ref="AQ61:AX61" si="112">IF(ISBLANK(AQ204),"",AQ204)</f>
        <v>0</v>
      </c>
      <c r="AR61" s="1144">
        <f t="shared" si="112"/>
        <v>0</v>
      </c>
      <c r="AS61" s="1144">
        <f t="shared" si="112"/>
        <v>0</v>
      </c>
      <c r="AT61" s="1145">
        <f t="shared" si="112"/>
        <v>0</v>
      </c>
      <c r="AU61" s="1144">
        <f t="shared" si="112"/>
        <v>0</v>
      </c>
      <c r="AV61" s="1144">
        <f t="shared" si="112"/>
        <v>0</v>
      </c>
      <c r="AW61" s="1144">
        <f t="shared" si="112"/>
        <v>0</v>
      </c>
      <c r="AX61" s="1145">
        <f t="shared" si="112"/>
        <v>0</v>
      </c>
      <c r="AY61" s="1144">
        <f t="shared" si="111"/>
        <v>0</v>
      </c>
      <c r="AZ61" s="1144">
        <f t="shared" si="111"/>
        <v>0</v>
      </c>
      <c r="BA61" s="1144">
        <f t="shared" si="111"/>
        <v>0</v>
      </c>
      <c r="BB61" s="1145">
        <f t="shared" si="111"/>
        <v>0</v>
      </c>
      <c r="BC61" s="954"/>
      <c r="BD61" s="954"/>
      <c r="BE61" s="1052">
        <f t="shared" si="90"/>
        <v>0</v>
      </c>
      <c r="BF61" s="1052">
        <f t="shared" si="91"/>
        <v>0</v>
      </c>
      <c r="BG61" s="1052">
        <f t="shared" si="92"/>
        <v>0</v>
      </c>
      <c r="BH61" s="1058">
        <f t="shared" si="93"/>
        <v>0</v>
      </c>
      <c r="BI61" s="1058">
        <f t="shared" si="94"/>
        <v>0</v>
      </c>
      <c r="BJ61" s="1058">
        <f t="shared" si="95"/>
        <v>0</v>
      </c>
      <c r="BK61" s="1058">
        <f t="shared" si="96"/>
        <v>0</v>
      </c>
      <c r="BL61" s="1058">
        <f t="shared" si="97"/>
        <v>0</v>
      </c>
      <c r="BM61" s="1058">
        <f t="shared" si="98"/>
        <v>0</v>
      </c>
      <c r="BN61" s="1058">
        <f t="shared" si="99"/>
        <v>0</v>
      </c>
      <c r="BO61" s="1058">
        <f t="shared" si="100"/>
        <v>0</v>
      </c>
      <c r="BP61" s="1058">
        <f t="shared" si="101"/>
        <v>0</v>
      </c>
      <c r="BQ61" s="949"/>
      <c r="BR61" s="950"/>
      <c r="BU61" s="922"/>
      <c r="BV61" s="921"/>
      <c r="BW61" s="921"/>
      <c r="BX61" s="921"/>
    </row>
    <row r="62" spans="1:104" ht="12.75" customHeight="1">
      <c r="A62" s="923"/>
      <c r="B62" s="924"/>
      <c r="C62" s="1122" t="s">
        <v>56</v>
      </c>
      <c r="D62" s="1122"/>
      <c r="E62" s="1122"/>
      <c r="F62" s="1131"/>
      <c r="G62" s="1140">
        <f t="shared" si="104"/>
        <v>0</v>
      </c>
      <c r="H62" s="1141">
        <f t="shared" si="104"/>
        <v>0</v>
      </c>
      <c r="I62" s="1141">
        <f t="shared" si="104"/>
        <v>0</v>
      </c>
      <c r="J62" s="1142">
        <f t="shared" si="104"/>
        <v>0</v>
      </c>
      <c r="K62" s="1140">
        <f t="shared" si="104"/>
        <v>0</v>
      </c>
      <c r="L62" s="1141">
        <f t="shared" si="104"/>
        <v>0</v>
      </c>
      <c r="M62" s="1141">
        <f t="shared" si="104"/>
        <v>0</v>
      </c>
      <c r="N62" s="1142">
        <f t="shared" si="104"/>
        <v>0</v>
      </c>
      <c r="O62" s="1140">
        <f t="shared" si="104"/>
        <v>0</v>
      </c>
      <c r="P62" s="1141">
        <f t="shared" si="104"/>
        <v>0</v>
      </c>
      <c r="Q62" s="1141">
        <f t="shared" si="104"/>
        <v>0</v>
      </c>
      <c r="R62" s="1141">
        <f t="shared" si="104"/>
        <v>0</v>
      </c>
      <c r="S62" s="1140">
        <f t="shared" si="104"/>
        <v>0</v>
      </c>
      <c r="T62" s="1141">
        <f t="shared" si="104"/>
        <v>0</v>
      </c>
      <c r="U62" s="1141">
        <f t="shared" si="104"/>
        <v>0</v>
      </c>
      <c r="V62" s="1142">
        <f t="shared" si="104"/>
        <v>0</v>
      </c>
      <c r="W62" s="1141">
        <f t="shared" si="104"/>
        <v>0</v>
      </c>
      <c r="X62" s="1141">
        <f t="shared" si="104"/>
        <v>0</v>
      </c>
      <c r="Y62" s="1141">
        <f t="shared" si="104"/>
        <v>0</v>
      </c>
      <c r="Z62" s="1142">
        <f t="shared" si="104"/>
        <v>0</v>
      </c>
      <c r="AA62" s="1141">
        <f t="shared" si="103"/>
        <v>0</v>
      </c>
      <c r="AB62" s="1141">
        <f t="shared" si="103"/>
        <v>0</v>
      </c>
      <c r="AC62" s="1141">
        <f t="shared" si="103"/>
        <v>0</v>
      </c>
      <c r="AD62" s="1142">
        <f t="shared" si="103"/>
        <v>0</v>
      </c>
      <c r="AE62" s="1144">
        <f t="shared" si="104"/>
        <v>0</v>
      </c>
      <c r="AF62" s="1144">
        <f t="shared" si="104"/>
        <v>0</v>
      </c>
      <c r="AG62" s="1144">
        <f t="shared" si="104"/>
        <v>0</v>
      </c>
      <c r="AH62" s="1145">
        <f t="shared" si="104"/>
        <v>0</v>
      </c>
      <c r="AI62" s="1144">
        <f t="shared" si="104"/>
        <v>0</v>
      </c>
      <c r="AJ62" s="1144">
        <f t="shared" si="104"/>
        <v>0</v>
      </c>
      <c r="AK62" s="1144">
        <f t="shared" si="104"/>
        <v>0</v>
      </c>
      <c r="AL62" s="1145">
        <f>IF(ISBLANK(AL205),"",AL205)</f>
        <v>0</v>
      </c>
      <c r="AM62" s="1144">
        <f t="shared" si="109"/>
        <v>0</v>
      </c>
      <c r="AN62" s="1144">
        <f t="shared" si="109"/>
        <v>0</v>
      </c>
      <c r="AO62" s="1144">
        <f t="shared" si="109"/>
        <v>0</v>
      </c>
      <c r="AP62" s="1145">
        <f t="shared" si="109"/>
        <v>0</v>
      </c>
      <c r="AQ62" s="1144">
        <f t="shared" ref="AQ62:AX62" si="113">IF(ISBLANK(AQ205),"",AQ205)</f>
        <v>0</v>
      </c>
      <c r="AR62" s="1144">
        <f t="shared" si="113"/>
        <v>0</v>
      </c>
      <c r="AS62" s="1144">
        <f t="shared" si="113"/>
        <v>0</v>
      </c>
      <c r="AT62" s="1145">
        <f t="shared" si="113"/>
        <v>0</v>
      </c>
      <c r="AU62" s="1144">
        <f t="shared" si="113"/>
        <v>0</v>
      </c>
      <c r="AV62" s="1144">
        <f t="shared" si="113"/>
        <v>0</v>
      </c>
      <c r="AW62" s="1144">
        <f t="shared" si="113"/>
        <v>0</v>
      </c>
      <c r="AX62" s="1145">
        <f t="shared" si="113"/>
        <v>0</v>
      </c>
      <c r="AY62" s="1144">
        <f t="shared" si="111"/>
        <v>0</v>
      </c>
      <c r="AZ62" s="1144">
        <f t="shared" si="111"/>
        <v>0</v>
      </c>
      <c r="BA62" s="1144">
        <f t="shared" si="111"/>
        <v>0</v>
      </c>
      <c r="BB62" s="1145">
        <f t="shared" si="111"/>
        <v>0</v>
      </c>
      <c r="BC62" s="954"/>
      <c r="BD62" s="954"/>
      <c r="BE62" s="1052">
        <f t="shared" si="90"/>
        <v>0</v>
      </c>
      <c r="BF62" s="1052">
        <f t="shared" si="91"/>
        <v>0</v>
      </c>
      <c r="BG62" s="1052">
        <f t="shared" si="92"/>
        <v>0</v>
      </c>
      <c r="BH62" s="1058">
        <f t="shared" si="93"/>
        <v>0</v>
      </c>
      <c r="BI62" s="1058">
        <f t="shared" si="94"/>
        <v>0</v>
      </c>
      <c r="BJ62" s="1058">
        <f t="shared" si="95"/>
        <v>0</v>
      </c>
      <c r="BK62" s="1058">
        <f t="shared" si="96"/>
        <v>0</v>
      </c>
      <c r="BL62" s="1058">
        <f t="shared" si="97"/>
        <v>0</v>
      </c>
      <c r="BM62" s="1058">
        <f t="shared" si="98"/>
        <v>0</v>
      </c>
      <c r="BN62" s="1058">
        <f t="shared" si="99"/>
        <v>0</v>
      </c>
      <c r="BO62" s="1058">
        <f t="shared" si="100"/>
        <v>0</v>
      </c>
      <c r="BP62" s="1058">
        <f t="shared" si="101"/>
        <v>0</v>
      </c>
      <c r="BQ62" s="949"/>
      <c r="BR62" s="950"/>
      <c r="BU62" s="922"/>
      <c r="BV62" s="1068" t="s">
        <v>999</v>
      </c>
      <c r="BW62" s="921"/>
      <c r="BX62" s="1070">
        <f>+BN202</f>
        <v>0</v>
      </c>
    </row>
    <row r="63" spans="1:104" ht="12.75" customHeight="1">
      <c r="A63" s="923"/>
      <c r="B63" s="924"/>
      <c r="C63" s="1122" t="s">
        <v>57</v>
      </c>
      <c r="D63" s="1122"/>
      <c r="E63" s="1122"/>
      <c r="F63" s="1131"/>
      <c r="G63" s="1140">
        <f t="shared" ref="G63:AL70" si="114">IF(ISBLANK(G206),"",G206)</f>
        <v>0</v>
      </c>
      <c r="H63" s="1141">
        <f t="shared" si="114"/>
        <v>0</v>
      </c>
      <c r="I63" s="1141">
        <f t="shared" si="114"/>
        <v>0</v>
      </c>
      <c r="J63" s="1142">
        <f t="shared" si="114"/>
        <v>0</v>
      </c>
      <c r="K63" s="1140">
        <f t="shared" si="114"/>
        <v>0</v>
      </c>
      <c r="L63" s="1141">
        <f t="shared" si="114"/>
        <v>0</v>
      </c>
      <c r="M63" s="1141">
        <f t="shared" si="114"/>
        <v>0</v>
      </c>
      <c r="N63" s="1142">
        <f t="shared" si="114"/>
        <v>0</v>
      </c>
      <c r="O63" s="1140">
        <f t="shared" si="114"/>
        <v>0</v>
      </c>
      <c r="P63" s="1141">
        <f t="shared" si="114"/>
        <v>0</v>
      </c>
      <c r="Q63" s="1141">
        <f t="shared" si="114"/>
        <v>0</v>
      </c>
      <c r="R63" s="1141">
        <f t="shared" si="114"/>
        <v>0</v>
      </c>
      <c r="S63" s="1140">
        <f t="shared" si="114"/>
        <v>0</v>
      </c>
      <c r="T63" s="1141">
        <f t="shared" si="114"/>
        <v>0</v>
      </c>
      <c r="U63" s="1141">
        <f t="shared" si="114"/>
        <v>0</v>
      </c>
      <c r="V63" s="1142">
        <f t="shared" si="114"/>
        <v>0</v>
      </c>
      <c r="W63" s="1141">
        <f t="shared" si="114"/>
        <v>0</v>
      </c>
      <c r="X63" s="1141">
        <f t="shared" si="114"/>
        <v>0</v>
      </c>
      <c r="Y63" s="1141">
        <f t="shared" si="114"/>
        <v>0</v>
      </c>
      <c r="Z63" s="1142">
        <f t="shared" si="114"/>
        <v>0</v>
      </c>
      <c r="AA63" s="1141">
        <f t="shared" si="103"/>
        <v>0</v>
      </c>
      <c r="AB63" s="1141">
        <f t="shared" si="103"/>
        <v>0</v>
      </c>
      <c r="AC63" s="1141">
        <f t="shared" si="103"/>
        <v>0</v>
      </c>
      <c r="AD63" s="1142">
        <f t="shared" si="103"/>
        <v>0</v>
      </c>
      <c r="AE63" s="1144">
        <f t="shared" si="114"/>
        <v>0</v>
      </c>
      <c r="AF63" s="1144">
        <f t="shared" si="114"/>
        <v>0</v>
      </c>
      <c r="AG63" s="1144">
        <f t="shared" si="114"/>
        <v>0</v>
      </c>
      <c r="AH63" s="1145">
        <f t="shared" si="114"/>
        <v>0</v>
      </c>
      <c r="AI63" s="1144">
        <f t="shared" si="114"/>
        <v>0</v>
      </c>
      <c r="AJ63" s="1144">
        <f t="shared" si="114"/>
        <v>0</v>
      </c>
      <c r="AK63" s="1144">
        <f t="shared" si="114"/>
        <v>0</v>
      </c>
      <c r="AL63" s="1145">
        <f t="shared" si="114"/>
        <v>0</v>
      </c>
      <c r="AM63" s="1144">
        <f t="shared" si="109"/>
        <v>0</v>
      </c>
      <c r="AN63" s="1144">
        <f t="shared" si="109"/>
        <v>0</v>
      </c>
      <c r="AO63" s="1144">
        <f t="shared" si="109"/>
        <v>0</v>
      </c>
      <c r="AP63" s="1145">
        <f t="shared" si="109"/>
        <v>0</v>
      </c>
      <c r="AQ63" s="1144">
        <f t="shared" ref="AQ63:AX63" si="115">IF(ISBLANK(AQ206),"",AQ206)</f>
        <v>0</v>
      </c>
      <c r="AR63" s="1144">
        <f t="shared" si="115"/>
        <v>0</v>
      </c>
      <c r="AS63" s="1144">
        <f t="shared" si="115"/>
        <v>0</v>
      </c>
      <c r="AT63" s="1145">
        <f t="shared" si="115"/>
        <v>0</v>
      </c>
      <c r="AU63" s="1144">
        <f t="shared" si="115"/>
        <v>0</v>
      </c>
      <c r="AV63" s="1144">
        <f t="shared" si="115"/>
        <v>0</v>
      </c>
      <c r="AW63" s="1144">
        <f t="shared" si="115"/>
        <v>0</v>
      </c>
      <c r="AX63" s="1145">
        <f t="shared" si="115"/>
        <v>0</v>
      </c>
      <c r="AY63" s="1144">
        <f t="shared" si="111"/>
        <v>0</v>
      </c>
      <c r="AZ63" s="1144">
        <f t="shared" si="111"/>
        <v>0</v>
      </c>
      <c r="BA63" s="1144">
        <f t="shared" si="111"/>
        <v>0</v>
      </c>
      <c r="BB63" s="1145">
        <f t="shared" si="111"/>
        <v>0</v>
      </c>
      <c r="BC63" s="954"/>
      <c r="BD63" s="954"/>
      <c r="BE63" s="1052">
        <f t="shared" si="90"/>
        <v>0</v>
      </c>
      <c r="BF63" s="1052">
        <f t="shared" si="91"/>
        <v>0</v>
      </c>
      <c r="BG63" s="1052">
        <f t="shared" si="92"/>
        <v>0</v>
      </c>
      <c r="BH63" s="1058">
        <f t="shared" si="93"/>
        <v>0</v>
      </c>
      <c r="BI63" s="1058">
        <f t="shared" si="94"/>
        <v>0</v>
      </c>
      <c r="BJ63" s="1058">
        <f t="shared" si="95"/>
        <v>0</v>
      </c>
      <c r="BK63" s="1058">
        <f t="shared" si="96"/>
        <v>0</v>
      </c>
      <c r="BL63" s="1058">
        <f t="shared" si="97"/>
        <v>0</v>
      </c>
      <c r="BM63" s="1058">
        <f t="shared" si="98"/>
        <v>0</v>
      </c>
      <c r="BN63" s="1058">
        <f t="shared" si="99"/>
        <v>0</v>
      </c>
      <c r="BO63" s="1058">
        <f t="shared" si="100"/>
        <v>0</v>
      </c>
      <c r="BP63" s="1058">
        <f t="shared" si="101"/>
        <v>0</v>
      </c>
      <c r="BQ63" s="949"/>
      <c r="BR63" s="950"/>
      <c r="BU63" s="922"/>
      <c r="BV63" s="960" t="s">
        <v>1000</v>
      </c>
      <c r="BW63" s="921"/>
      <c r="BX63" s="1071">
        <f>+BX58-BX62</f>
        <v>-0.25</v>
      </c>
    </row>
    <row r="64" spans="1:104" ht="12.75" customHeight="1">
      <c r="A64" s="923"/>
      <c r="B64" s="924"/>
      <c r="C64" s="1122" t="s">
        <v>58</v>
      </c>
      <c r="D64" s="1122"/>
      <c r="E64" s="1122"/>
      <c r="F64" s="1131"/>
      <c r="G64" s="1140">
        <f t="shared" si="114"/>
        <v>0</v>
      </c>
      <c r="H64" s="1141">
        <f t="shared" si="114"/>
        <v>0</v>
      </c>
      <c r="I64" s="1141">
        <f t="shared" si="114"/>
        <v>0</v>
      </c>
      <c r="J64" s="1142">
        <f t="shared" si="114"/>
        <v>0</v>
      </c>
      <c r="K64" s="1140">
        <f t="shared" si="114"/>
        <v>0</v>
      </c>
      <c r="L64" s="1141">
        <f t="shared" si="114"/>
        <v>0</v>
      </c>
      <c r="M64" s="1141">
        <f t="shared" si="114"/>
        <v>0</v>
      </c>
      <c r="N64" s="1142">
        <f t="shared" si="114"/>
        <v>0</v>
      </c>
      <c r="O64" s="1140">
        <f t="shared" si="114"/>
        <v>0</v>
      </c>
      <c r="P64" s="1141">
        <f t="shared" si="114"/>
        <v>0</v>
      </c>
      <c r="Q64" s="1141">
        <f t="shared" si="114"/>
        <v>0</v>
      </c>
      <c r="R64" s="1141">
        <f t="shared" si="114"/>
        <v>0</v>
      </c>
      <c r="S64" s="1140">
        <f t="shared" si="114"/>
        <v>0</v>
      </c>
      <c r="T64" s="1141">
        <f t="shared" si="114"/>
        <v>0</v>
      </c>
      <c r="U64" s="1141">
        <f t="shared" si="114"/>
        <v>0</v>
      </c>
      <c r="V64" s="1142">
        <f t="shared" si="114"/>
        <v>0</v>
      </c>
      <c r="W64" s="1141">
        <f t="shared" si="114"/>
        <v>0</v>
      </c>
      <c r="X64" s="1141">
        <f t="shared" si="114"/>
        <v>0</v>
      </c>
      <c r="Y64" s="1141">
        <f t="shared" si="114"/>
        <v>0</v>
      </c>
      <c r="Z64" s="1142">
        <f t="shared" si="114"/>
        <v>0</v>
      </c>
      <c r="AA64" s="1141">
        <f t="shared" si="103"/>
        <v>0</v>
      </c>
      <c r="AB64" s="1141">
        <f t="shared" si="103"/>
        <v>0</v>
      </c>
      <c r="AC64" s="1141">
        <f t="shared" si="103"/>
        <v>0</v>
      </c>
      <c r="AD64" s="1142">
        <f t="shared" si="103"/>
        <v>0</v>
      </c>
      <c r="AE64" s="1144">
        <f t="shared" si="114"/>
        <v>0</v>
      </c>
      <c r="AF64" s="1144">
        <f t="shared" si="114"/>
        <v>0</v>
      </c>
      <c r="AG64" s="1144">
        <f t="shared" si="114"/>
        <v>0</v>
      </c>
      <c r="AH64" s="1145">
        <f t="shared" si="114"/>
        <v>0</v>
      </c>
      <c r="AI64" s="1144">
        <f t="shared" si="114"/>
        <v>0</v>
      </c>
      <c r="AJ64" s="1144">
        <f t="shared" si="114"/>
        <v>0</v>
      </c>
      <c r="AK64" s="1144">
        <f t="shared" si="114"/>
        <v>0</v>
      </c>
      <c r="AL64" s="1145">
        <f t="shared" si="114"/>
        <v>0</v>
      </c>
      <c r="AM64" s="1144">
        <f t="shared" si="109"/>
        <v>0</v>
      </c>
      <c r="AN64" s="1144">
        <f t="shared" si="109"/>
        <v>0</v>
      </c>
      <c r="AO64" s="1144">
        <f t="shared" si="109"/>
        <v>0</v>
      </c>
      <c r="AP64" s="1145">
        <f t="shared" si="109"/>
        <v>0</v>
      </c>
      <c r="AQ64" s="1144">
        <f t="shared" ref="AQ64:AX64" si="116">IF(ISBLANK(AQ207),"",AQ207)</f>
        <v>0</v>
      </c>
      <c r="AR64" s="1144">
        <f t="shared" si="116"/>
        <v>0</v>
      </c>
      <c r="AS64" s="1144">
        <f t="shared" si="116"/>
        <v>0</v>
      </c>
      <c r="AT64" s="1145">
        <f t="shared" si="116"/>
        <v>0</v>
      </c>
      <c r="AU64" s="1144">
        <f t="shared" si="116"/>
        <v>0</v>
      </c>
      <c r="AV64" s="1144">
        <f t="shared" si="116"/>
        <v>0</v>
      </c>
      <c r="AW64" s="1144">
        <f t="shared" si="116"/>
        <v>0</v>
      </c>
      <c r="AX64" s="1145">
        <f t="shared" si="116"/>
        <v>0</v>
      </c>
      <c r="AY64" s="1144">
        <f t="shared" si="111"/>
        <v>0</v>
      </c>
      <c r="AZ64" s="1144">
        <f t="shared" si="111"/>
        <v>0</v>
      </c>
      <c r="BA64" s="1144">
        <f t="shared" si="111"/>
        <v>0</v>
      </c>
      <c r="BB64" s="1145">
        <f t="shared" si="111"/>
        <v>0</v>
      </c>
      <c r="BC64" s="954"/>
      <c r="BD64" s="954"/>
      <c r="BE64" s="1052">
        <f t="shared" si="90"/>
        <v>0</v>
      </c>
      <c r="BF64" s="1052">
        <f t="shared" si="91"/>
        <v>0</v>
      </c>
      <c r="BG64" s="1052">
        <f t="shared" si="92"/>
        <v>0</v>
      </c>
      <c r="BH64" s="1058">
        <f t="shared" si="93"/>
        <v>0</v>
      </c>
      <c r="BI64" s="1058">
        <f t="shared" si="94"/>
        <v>0</v>
      </c>
      <c r="BJ64" s="1058">
        <f t="shared" si="95"/>
        <v>0</v>
      </c>
      <c r="BK64" s="1058">
        <f t="shared" si="96"/>
        <v>0</v>
      </c>
      <c r="BL64" s="1058">
        <f t="shared" si="97"/>
        <v>0</v>
      </c>
      <c r="BM64" s="1058">
        <f t="shared" si="98"/>
        <v>0</v>
      </c>
      <c r="BN64" s="1058">
        <f t="shared" si="99"/>
        <v>0</v>
      </c>
      <c r="BO64" s="1058">
        <f t="shared" si="100"/>
        <v>0</v>
      </c>
      <c r="BP64" s="1058">
        <f t="shared" si="101"/>
        <v>0</v>
      </c>
      <c r="BQ64" s="949"/>
      <c r="BR64" s="950"/>
      <c r="BU64" s="922"/>
    </row>
    <row r="65" spans="1:77" ht="12.75" customHeight="1">
      <c r="A65" s="923"/>
      <c r="B65" s="924"/>
      <c r="C65" s="1122" t="s">
        <v>59</v>
      </c>
      <c r="D65" s="1122"/>
      <c r="E65" s="1122"/>
      <c r="F65" s="1131"/>
      <c r="G65" s="1140">
        <f t="shared" si="114"/>
        <v>-5.9550084889643529E-3</v>
      </c>
      <c r="H65" s="1141">
        <f t="shared" si="114"/>
        <v>-0.1638730158730155</v>
      </c>
      <c r="I65" s="1141">
        <f t="shared" si="114"/>
        <v>-0.31553124999999982</v>
      </c>
      <c r="J65" s="1142">
        <f t="shared" si="114"/>
        <v>2.7430769230770924E-2</v>
      </c>
      <c r="K65" s="1140">
        <f t="shared" si="114"/>
        <v>-4.0562500000001833E-2</v>
      </c>
      <c r="L65" s="1141">
        <f t="shared" si="114"/>
        <v>2.5078125000001172E-2</v>
      </c>
      <c r="M65" s="1141">
        <f t="shared" si="114"/>
        <v>0.14203125000000227</v>
      </c>
      <c r="N65" s="1142">
        <f t="shared" si="114"/>
        <v>0.29906349206349114</v>
      </c>
      <c r="O65" s="1140">
        <f t="shared" si="114"/>
        <v>0.31830158730158775</v>
      </c>
      <c r="P65" s="1141">
        <f t="shared" si="114"/>
        <v>0.28319047619047666</v>
      </c>
      <c r="Q65" s="1141">
        <f t="shared" si="114"/>
        <v>0.20952380952380834</v>
      </c>
      <c r="R65" s="1141">
        <f t="shared" si="114"/>
        <v>0.32709374999999907</v>
      </c>
      <c r="S65" s="1140">
        <f t="shared" si="114"/>
        <v>0.26973333333333294</v>
      </c>
      <c r="T65" s="1141">
        <f t="shared" si="114"/>
        <v>0.15754687499999775</v>
      </c>
      <c r="U65" s="1141">
        <f t="shared" si="114"/>
        <v>0.23087499999999972</v>
      </c>
      <c r="V65" s="1142">
        <f t="shared" si="114"/>
        <v>0.29959375000000188</v>
      </c>
      <c r="W65" s="1141">
        <f t="shared" si="114"/>
        <v>0.30404918032786998</v>
      </c>
      <c r="X65" s="1141">
        <f t="shared" si="114"/>
        <v>0.30642187499999984</v>
      </c>
      <c r="Y65" s="1141">
        <f t="shared" si="114"/>
        <v>0.50754687499999829</v>
      </c>
      <c r="Z65" s="1142">
        <f t="shared" si="114"/>
        <v>0.25204687500000134</v>
      </c>
      <c r="AA65" s="1141">
        <f t="shared" si="103"/>
        <v>-3.7548387096775215E-2</v>
      </c>
      <c r="AB65" s="1141">
        <f t="shared" si="103"/>
        <v>6.8507936507938183E-2</v>
      </c>
      <c r="AC65" s="1141">
        <f t="shared" si="103"/>
        <v>0.26343749999999932</v>
      </c>
      <c r="AD65" s="1142">
        <f t="shared" si="103"/>
        <v>0.35907936507936444</v>
      </c>
      <c r="AE65" s="1144">
        <f t="shared" si="114"/>
        <v>0.10468852459016342</v>
      </c>
      <c r="AF65" s="1144">
        <f t="shared" si="114"/>
        <v>7.9562500000000203E-2</v>
      </c>
      <c r="AG65" s="1144">
        <f t="shared" si="114"/>
        <v>3.6515625000000718E-2</v>
      </c>
      <c r="AH65" s="1145">
        <f t="shared" si="114"/>
        <v>4.9693548387096609E-2</v>
      </c>
      <c r="AI65" s="1144">
        <f t="shared" si="114"/>
        <v>0.15672580645161371</v>
      </c>
      <c r="AJ65" s="1144">
        <f t="shared" si="114"/>
        <v>0.10859375000000027</v>
      </c>
      <c r="AK65" s="1144">
        <f t="shared" si="114"/>
        <v>0.25880952380952404</v>
      </c>
      <c r="AL65" s="1145">
        <f t="shared" si="114"/>
        <v>1.4901290322580647</v>
      </c>
      <c r="AM65" s="1144">
        <f t="shared" si="109"/>
        <v>0.7802950819672132</v>
      </c>
      <c r="AN65" s="1144">
        <f t="shared" si="109"/>
        <v>-0.66499999999999959</v>
      </c>
      <c r="AO65" s="1144">
        <f t="shared" si="109"/>
        <v>-0.37199999999999989</v>
      </c>
      <c r="AP65" s="1145">
        <f t="shared" si="109"/>
        <v>-0.49500000000000055</v>
      </c>
      <c r="AQ65" s="1144">
        <f t="shared" ref="AQ65:AX65" si="117">IF(ISBLANK(AQ208),"",AQ208)</f>
        <v>-0.30713417480557936</v>
      </c>
      <c r="AR65" s="1144">
        <f t="shared" si="117"/>
        <v>-0.75064523540322092</v>
      </c>
      <c r="AS65" s="1144">
        <f t="shared" si="117"/>
        <v>-0.53237727470099783</v>
      </c>
      <c r="AT65" s="1145">
        <f t="shared" si="117"/>
        <v>-0.20050998189020053</v>
      </c>
      <c r="AU65" s="1144">
        <f t="shared" si="117"/>
        <v>-0.26491667997570767</v>
      </c>
      <c r="AV65" s="1144">
        <f t="shared" si="117"/>
        <v>-0.72952134616272168</v>
      </c>
      <c r="AW65" s="1144">
        <f t="shared" si="117"/>
        <v>-0.50344822491097485</v>
      </c>
      <c r="AX65" s="1145">
        <f t="shared" si="117"/>
        <v>-0.15278041575059387</v>
      </c>
      <c r="AY65" s="1144">
        <f t="shared" si="111"/>
        <v>-0.18976284925876685</v>
      </c>
      <c r="AZ65" s="1144">
        <f t="shared" si="111"/>
        <v>-0.6882236801665047</v>
      </c>
      <c r="BA65" s="1144">
        <f t="shared" si="111"/>
        <v>-0.44995803943269674</v>
      </c>
      <c r="BB65" s="1145">
        <f t="shared" si="111"/>
        <v>-6.8722097942030214E-2</v>
      </c>
      <c r="BC65" s="954"/>
      <c r="BD65" s="954"/>
      <c r="BE65" s="1052">
        <f t="shared" si="90"/>
        <v>-0.11448212628280219</v>
      </c>
      <c r="BF65" s="1052">
        <f t="shared" si="91"/>
        <v>0.10640259176587319</v>
      </c>
      <c r="BG65" s="1052">
        <f t="shared" si="92"/>
        <v>0.28452740575396795</v>
      </c>
      <c r="BH65" s="1058">
        <f t="shared" si="93"/>
        <v>0.23943723958333307</v>
      </c>
      <c r="BI65" s="1058">
        <f t="shared" si="94"/>
        <v>0.34251620133196736</v>
      </c>
      <c r="BJ65" s="1058">
        <f t="shared" si="95"/>
        <v>0.16336910362263168</v>
      </c>
      <c r="BK65" s="1058">
        <f t="shared" si="96"/>
        <v>6.7615049494315238E-2</v>
      </c>
      <c r="BL65" s="1058">
        <f t="shared" si="97"/>
        <v>0.50356452812980068</v>
      </c>
      <c r="BM65" s="1058">
        <f t="shared" si="98"/>
        <v>-0.18792622950819671</v>
      </c>
      <c r="BN65" s="1058">
        <f t="shared" si="99"/>
        <v>-0.44766666669999966</v>
      </c>
      <c r="BO65" s="1058">
        <f t="shared" si="100"/>
        <v>-0.41266666669999952</v>
      </c>
      <c r="BP65" s="1058">
        <f t="shared" si="101"/>
        <v>-0.34916666669999963</v>
      </c>
      <c r="BQ65" s="949"/>
      <c r="BR65" s="950"/>
      <c r="BU65" s="922"/>
      <c r="BV65" s="921"/>
      <c r="BW65" s="921"/>
      <c r="BX65" s="921"/>
    </row>
    <row r="66" spans="1:77" ht="12.75" customHeight="1">
      <c r="A66" s="923"/>
      <c r="B66" s="924"/>
      <c r="C66" s="1122" t="s">
        <v>60</v>
      </c>
      <c r="D66" s="1122"/>
      <c r="E66" s="1122"/>
      <c r="F66" s="1131"/>
      <c r="G66" s="1140">
        <f t="shared" si="114"/>
        <v>-5.9550084889643529E-3</v>
      </c>
      <c r="H66" s="1141">
        <f t="shared" si="114"/>
        <v>-0.1638730158730155</v>
      </c>
      <c r="I66" s="1141">
        <f t="shared" si="114"/>
        <v>-0.31553124999999982</v>
      </c>
      <c r="J66" s="1142">
        <f t="shared" si="114"/>
        <v>2.7430769230770924E-2</v>
      </c>
      <c r="K66" s="1140">
        <f t="shared" si="114"/>
        <v>-4.0562500000001833E-2</v>
      </c>
      <c r="L66" s="1141">
        <f t="shared" si="114"/>
        <v>2.5078125000001172E-2</v>
      </c>
      <c r="M66" s="1141">
        <f t="shared" si="114"/>
        <v>0.14203125000000227</v>
      </c>
      <c r="N66" s="1142">
        <f t="shared" si="114"/>
        <v>0.29906349206349114</v>
      </c>
      <c r="O66" s="1140">
        <f t="shared" si="114"/>
        <v>0.31830158730158775</v>
      </c>
      <c r="P66" s="1141">
        <f t="shared" si="114"/>
        <v>0.28319047619047666</v>
      </c>
      <c r="Q66" s="1141">
        <f t="shared" si="114"/>
        <v>0.20952380952380834</v>
      </c>
      <c r="R66" s="1141">
        <f t="shared" si="114"/>
        <v>0.32709374999999907</v>
      </c>
      <c r="S66" s="1140">
        <f t="shared" si="114"/>
        <v>0.26973333333333294</v>
      </c>
      <c r="T66" s="1141">
        <f t="shared" si="114"/>
        <v>0.15754687499999775</v>
      </c>
      <c r="U66" s="1141">
        <f t="shared" si="114"/>
        <v>0.23087499999999972</v>
      </c>
      <c r="V66" s="1142">
        <f t="shared" si="114"/>
        <v>0.29959375000000188</v>
      </c>
      <c r="W66" s="1141">
        <f t="shared" si="114"/>
        <v>0.30404918032786998</v>
      </c>
      <c r="X66" s="1141">
        <f t="shared" si="114"/>
        <v>0.30642187499999984</v>
      </c>
      <c r="Y66" s="1141">
        <f t="shared" si="114"/>
        <v>0.50754687499999829</v>
      </c>
      <c r="Z66" s="1142">
        <f t="shared" si="114"/>
        <v>0.25204687500000134</v>
      </c>
      <c r="AA66" s="1141">
        <f t="shared" si="103"/>
        <v>-3.7548387096775215E-2</v>
      </c>
      <c r="AB66" s="1141">
        <f t="shared" si="103"/>
        <v>6.8507936507938183E-2</v>
      </c>
      <c r="AC66" s="1141">
        <f t="shared" si="103"/>
        <v>0.26343749999999932</v>
      </c>
      <c r="AD66" s="1142">
        <f t="shared" si="103"/>
        <v>0.35907936507936444</v>
      </c>
      <c r="AE66" s="1144">
        <f t="shared" si="114"/>
        <v>0.10468852459016342</v>
      </c>
      <c r="AF66" s="1144">
        <f t="shared" si="114"/>
        <v>7.9562500000000203E-2</v>
      </c>
      <c r="AG66" s="1144">
        <f t="shared" si="114"/>
        <v>3.6515625000000718E-2</v>
      </c>
      <c r="AH66" s="1145">
        <f t="shared" si="114"/>
        <v>4.9693548387096609E-2</v>
      </c>
      <c r="AI66" s="1144">
        <f t="shared" si="114"/>
        <v>0.15672580645161371</v>
      </c>
      <c r="AJ66" s="1144">
        <f t="shared" si="114"/>
        <v>0.10859375000000027</v>
      </c>
      <c r="AK66" s="1144">
        <f t="shared" si="114"/>
        <v>0.25880952380952404</v>
      </c>
      <c r="AL66" s="1145">
        <f t="shared" si="114"/>
        <v>1.4901290322580647</v>
      </c>
      <c r="AM66" s="1144">
        <f t="shared" si="109"/>
        <v>0.7802950819672132</v>
      </c>
      <c r="AN66" s="1144">
        <f t="shared" si="109"/>
        <v>-0.66499999999999959</v>
      </c>
      <c r="AO66" s="1144">
        <f t="shared" si="109"/>
        <v>-0.37199999999999989</v>
      </c>
      <c r="AP66" s="1145">
        <f t="shared" si="109"/>
        <v>-0.49500000000000055</v>
      </c>
      <c r="AQ66" s="1144">
        <f t="shared" ref="AQ66:AX66" si="118">IF(ISBLANK(AQ209),"",AQ209)</f>
        <v>-0.30713417480557936</v>
      </c>
      <c r="AR66" s="1144">
        <f t="shared" si="118"/>
        <v>-0.75064523540322092</v>
      </c>
      <c r="AS66" s="1144">
        <f t="shared" si="118"/>
        <v>-0.53237727470099783</v>
      </c>
      <c r="AT66" s="1145">
        <f t="shared" si="118"/>
        <v>-0.20050998189020053</v>
      </c>
      <c r="AU66" s="1144">
        <f t="shared" si="118"/>
        <v>-0.26491667997570767</v>
      </c>
      <c r="AV66" s="1144">
        <f t="shared" si="118"/>
        <v>-0.72952134616272168</v>
      </c>
      <c r="AW66" s="1144">
        <f t="shared" si="118"/>
        <v>-0.50344822491097485</v>
      </c>
      <c r="AX66" s="1145">
        <f t="shared" si="118"/>
        <v>-0.15278041575059387</v>
      </c>
      <c r="AY66" s="1144">
        <f t="shared" si="111"/>
        <v>-0.18976284925876685</v>
      </c>
      <c r="AZ66" s="1144">
        <f t="shared" si="111"/>
        <v>-0.6882236801665047</v>
      </c>
      <c r="BA66" s="1144">
        <f t="shared" si="111"/>
        <v>-0.44995803943269674</v>
      </c>
      <c r="BB66" s="1145">
        <f t="shared" si="111"/>
        <v>-6.8722097942030214E-2</v>
      </c>
      <c r="BC66" s="954"/>
      <c r="BD66" s="954"/>
      <c r="BE66" s="1052">
        <f t="shared" si="90"/>
        <v>-0.11448212628280219</v>
      </c>
      <c r="BF66" s="1052">
        <f t="shared" si="91"/>
        <v>0.10640259176587319</v>
      </c>
      <c r="BG66" s="1052">
        <f t="shared" si="92"/>
        <v>0.28452740575396795</v>
      </c>
      <c r="BH66" s="1058">
        <f t="shared" si="93"/>
        <v>0.23943723958333307</v>
      </c>
      <c r="BI66" s="1058">
        <f t="shared" si="94"/>
        <v>0.34251620133196736</v>
      </c>
      <c r="BJ66" s="1058">
        <f t="shared" si="95"/>
        <v>0.16336910362263168</v>
      </c>
      <c r="BK66" s="1058">
        <f t="shared" si="96"/>
        <v>6.7615049494315238E-2</v>
      </c>
      <c r="BL66" s="1058">
        <f t="shared" si="97"/>
        <v>0.50356452812980068</v>
      </c>
      <c r="BM66" s="1058">
        <f t="shared" si="98"/>
        <v>-0.18792622950819671</v>
      </c>
      <c r="BN66" s="1058">
        <f t="shared" si="99"/>
        <v>-0.44766666669999966</v>
      </c>
      <c r="BO66" s="1058">
        <f t="shared" si="100"/>
        <v>-0.41266666669999952</v>
      </c>
      <c r="BP66" s="1058">
        <f t="shared" si="101"/>
        <v>-0.34916666669999963</v>
      </c>
      <c r="BQ66" s="949"/>
      <c r="BR66" s="950"/>
      <c r="BU66" s="922"/>
      <c r="BV66" s="1043" t="s">
        <v>1020</v>
      </c>
      <c r="BW66" s="1072" t="s">
        <v>262</v>
      </c>
      <c r="BX66" s="1072" t="s">
        <v>1001</v>
      </c>
      <c r="BY66" s="1072" t="s">
        <v>1002</v>
      </c>
    </row>
    <row r="67" spans="1:77" ht="12.75" customHeight="1">
      <c r="A67" s="923"/>
      <c r="B67" s="924"/>
      <c r="C67" s="1122" t="s">
        <v>61</v>
      </c>
      <c r="D67" s="1122"/>
      <c r="E67" s="1122"/>
      <c r="F67" s="1131"/>
      <c r="G67" s="1140">
        <f t="shared" si="114"/>
        <v>-5.9550084889643529E-3</v>
      </c>
      <c r="H67" s="1141">
        <f t="shared" si="114"/>
        <v>-0.1638730158730155</v>
      </c>
      <c r="I67" s="1141">
        <f t="shared" si="114"/>
        <v>-0.31553124999999982</v>
      </c>
      <c r="J67" s="1142">
        <f t="shared" si="114"/>
        <v>2.7430769230770924E-2</v>
      </c>
      <c r="K67" s="1140">
        <f t="shared" si="114"/>
        <v>-4.0562500000001833E-2</v>
      </c>
      <c r="L67" s="1141">
        <f t="shared" si="114"/>
        <v>2.5078125000001172E-2</v>
      </c>
      <c r="M67" s="1141">
        <f t="shared" si="114"/>
        <v>0.14203125000000227</v>
      </c>
      <c r="N67" s="1142">
        <f t="shared" si="114"/>
        <v>0.29906349206349114</v>
      </c>
      <c r="O67" s="1140">
        <f t="shared" si="114"/>
        <v>0.31830158730158775</v>
      </c>
      <c r="P67" s="1141">
        <f t="shared" si="114"/>
        <v>0.28319047619047666</v>
      </c>
      <c r="Q67" s="1141">
        <f t="shared" si="114"/>
        <v>0.20952380952380834</v>
      </c>
      <c r="R67" s="1141">
        <f t="shared" si="114"/>
        <v>0.32709374999999907</v>
      </c>
      <c r="S67" s="1140">
        <f t="shared" si="114"/>
        <v>0.26973333333333294</v>
      </c>
      <c r="T67" s="1141">
        <f t="shared" si="114"/>
        <v>0.15754687499999775</v>
      </c>
      <c r="U67" s="1141">
        <f t="shared" si="114"/>
        <v>0.23087499999999972</v>
      </c>
      <c r="V67" s="1142">
        <f t="shared" si="114"/>
        <v>0.29959375000000188</v>
      </c>
      <c r="W67" s="1141">
        <f t="shared" si="114"/>
        <v>0.30404918032786998</v>
      </c>
      <c r="X67" s="1141">
        <f t="shared" si="114"/>
        <v>0.30642187499999984</v>
      </c>
      <c r="Y67" s="1141">
        <f t="shared" si="114"/>
        <v>0.50754687499999829</v>
      </c>
      <c r="Z67" s="1142">
        <f t="shared" si="114"/>
        <v>0.25204687500000134</v>
      </c>
      <c r="AA67" s="1141">
        <f t="shared" si="103"/>
        <v>-3.7548387096775215E-2</v>
      </c>
      <c r="AB67" s="1141">
        <f t="shared" si="103"/>
        <v>6.8507936507938183E-2</v>
      </c>
      <c r="AC67" s="1141">
        <f t="shared" si="103"/>
        <v>0.26343749999999932</v>
      </c>
      <c r="AD67" s="1142">
        <f t="shared" si="103"/>
        <v>0.35907936507936444</v>
      </c>
      <c r="AE67" s="1144">
        <f t="shared" si="114"/>
        <v>0.10468852459016342</v>
      </c>
      <c r="AF67" s="1144">
        <f t="shared" si="114"/>
        <v>7.9562500000000203E-2</v>
      </c>
      <c r="AG67" s="1144">
        <f t="shared" si="114"/>
        <v>3.6515625000000718E-2</v>
      </c>
      <c r="AH67" s="1145">
        <f t="shared" si="114"/>
        <v>4.9693548387096609E-2</v>
      </c>
      <c r="AI67" s="1144">
        <f t="shared" si="114"/>
        <v>0.15672580645161371</v>
      </c>
      <c r="AJ67" s="1144">
        <f t="shared" si="114"/>
        <v>0.10859375000000027</v>
      </c>
      <c r="AK67" s="1144">
        <f t="shared" si="114"/>
        <v>0.25880952380952404</v>
      </c>
      <c r="AL67" s="1145">
        <f t="shared" si="114"/>
        <v>1.4901290322580647</v>
      </c>
      <c r="AM67" s="1144">
        <f t="shared" si="109"/>
        <v>0.7802950819672132</v>
      </c>
      <c r="AN67" s="1144">
        <f t="shared" si="109"/>
        <v>-0.66499999999999959</v>
      </c>
      <c r="AO67" s="1144">
        <f t="shared" si="109"/>
        <v>-0.37199999999999989</v>
      </c>
      <c r="AP67" s="1145">
        <f t="shared" si="109"/>
        <v>-0.49500000000000055</v>
      </c>
      <c r="AQ67" s="1144">
        <f t="shared" ref="AQ67:AX67" si="119">IF(ISBLANK(AQ210),"",AQ210)</f>
        <v>-0.30713417480557936</v>
      </c>
      <c r="AR67" s="1144">
        <f t="shared" si="119"/>
        <v>-0.75064523540322092</v>
      </c>
      <c r="AS67" s="1144">
        <f t="shared" si="119"/>
        <v>-0.53237727470099783</v>
      </c>
      <c r="AT67" s="1145">
        <f t="shared" si="119"/>
        <v>-0.20050998189020053</v>
      </c>
      <c r="AU67" s="1144">
        <f t="shared" si="119"/>
        <v>-0.26491667997570767</v>
      </c>
      <c r="AV67" s="1144">
        <f t="shared" si="119"/>
        <v>-0.72952134616272168</v>
      </c>
      <c r="AW67" s="1144">
        <f t="shared" si="119"/>
        <v>-0.50344822491097485</v>
      </c>
      <c r="AX67" s="1145">
        <f t="shared" si="119"/>
        <v>-0.15278041575059387</v>
      </c>
      <c r="AY67" s="1144">
        <f t="shared" si="111"/>
        <v>-0.18976284925876685</v>
      </c>
      <c r="AZ67" s="1144">
        <f t="shared" si="111"/>
        <v>-0.6882236801665047</v>
      </c>
      <c r="BA67" s="1144">
        <f t="shared" si="111"/>
        <v>-0.44995803943269674</v>
      </c>
      <c r="BB67" s="1145">
        <f t="shared" si="111"/>
        <v>-6.8722097942030214E-2</v>
      </c>
      <c r="BC67" s="954"/>
      <c r="BD67" s="954"/>
      <c r="BE67" s="1052">
        <f t="shared" si="90"/>
        <v>-0.11448212628280219</v>
      </c>
      <c r="BF67" s="1052">
        <f t="shared" si="91"/>
        <v>0.10640259176587319</v>
      </c>
      <c r="BG67" s="1052">
        <f t="shared" si="92"/>
        <v>0.28452740575396795</v>
      </c>
      <c r="BH67" s="1058">
        <f t="shared" si="93"/>
        <v>0.23943723958333307</v>
      </c>
      <c r="BI67" s="1058">
        <f t="shared" si="94"/>
        <v>0.34251620133196736</v>
      </c>
      <c r="BJ67" s="1058">
        <f t="shared" si="95"/>
        <v>0.16336910362263168</v>
      </c>
      <c r="BK67" s="1058">
        <f t="shared" si="96"/>
        <v>6.7615049494315238E-2</v>
      </c>
      <c r="BL67" s="1058">
        <f t="shared" si="97"/>
        <v>0.50356452812980068</v>
      </c>
      <c r="BM67" s="1058">
        <f t="shared" si="98"/>
        <v>-0.18792622950819671</v>
      </c>
      <c r="BN67" s="1058">
        <f t="shared" si="99"/>
        <v>-0.44766666669999966</v>
      </c>
      <c r="BO67" s="1058">
        <f t="shared" si="100"/>
        <v>-0.41266666669999952</v>
      </c>
      <c r="BP67" s="1058">
        <f t="shared" si="101"/>
        <v>-0.34916666669999963</v>
      </c>
      <c r="BQ67" s="949"/>
      <c r="BR67" s="950"/>
      <c r="BU67" s="922"/>
      <c r="BV67" s="1068" t="str">
        <f t="shared" ref="BV67:BV74" si="120">+C82</f>
        <v>PJM West</v>
      </c>
      <c r="BW67" s="1067">
        <f t="shared" ref="BW67:BW74" si="121">+BP82</f>
        <v>14319.999999999998</v>
      </c>
      <c r="BX67" s="1073">
        <f>+BW36</f>
        <v>14319.999999999998</v>
      </c>
      <c r="BY67" s="1073">
        <f t="shared" ref="BY67:BY74" si="122">+BW67-BX67</f>
        <v>0</v>
      </c>
    </row>
    <row r="68" spans="1:77" ht="12.75" customHeight="1">
      <c r="A68" s="923"/>
      <c r="B68" s="924"/>
      <c r="C68" s="1122" t="s">
        <v>62</v>
      </c>
      <c r="D68" s="1122"/>
      <c r="E68" s="1122"/>
      <c r="F68" s="1131"/>
      <c r="G68" s="1140">
        <f t="shared" si="114"/>
        <v>-5.9550084889643529E-3</v>
      </c>
      <c r="H68" s="1141">
        <f t="shared" si="114"/>
        <v>-0.1638730158730155</v>
      </c>
      <c r="I68" s="1141">
        <f t="shared" si="114"/>
        <v>-0.31553124999999982</v>
      </c>
      <c r="J68" s="1142">
        <f t="shared" si="114"/>
        <v>2.7430769230770924E-2</v>
      </c>
      <c r="K68" s="1140">
        <f t="shared" si="114"/>
        <v>-4.0562500000001833E-2</v>
      </c>
      <c r="L68" s="1141">
        <f t="shared" si="114"/>
        <v>2.5078125000001172E-2</v>
      </c>
      <c r="M68" s="1141">
        <f t="shared" si="114"/>
        <v>0.14203125000000227</v>
      </c>
      <c r="N68" s="1142">
        <f t="shared" si="114"/>
        <v>0.29906349206349114</v>
      </c>
      <c r="O68" s="1140">
        <f t="shared" si="114"/>
        <v>0.31830158730158775</v>
      </c>
      <c r="P68" s="1141">
        <f t="shared" si="114"/>
        <v>0.28319047619047666</v>
      </c>
      <c r="Q68" s="1141">
        <f t="shared" si="114"/>
        <v>0.20952380952380834</v>
      </c>
      <c r="R68" s="1141">
        <f t="shared" si="114"/>
        <v>0.32709374999999907</v>
      </c>
      <c r="S68" s="1140">
        <f t="shared" si="114"/>
        <v>0.26973333333333294</v>
      </c>
      <c r="T68" s="1141">
        <f t="shared" si="114"/>
        <v>0.15754687499999775</v>
      </c>
      <c r="U68" s="1141">
        <f t="shared" si="114"/>
        <v>0.23087499999999972</v>
      </c>
      <c r="V68" s="1142">
        <f t="shared" si="114"/>
        <v>0.29959375000000188</v>
      </c>
      <c r="W68" s="1141">
        <f t="shared" si="114"/>
        <v>0.30404918032786998</v>
      </c>
      <c r="X68" s="1141">
        <f t="shared" si="114"/>
        <v>0.30642187499999984</v>
      </c>
      <c r="Y68" s="1141">
        <f t="shared" si="114"/>
        <v>0.50754687499999829</v>
      </c>
      <c r="Z68" s="1142">
        <f t="shared" si="114"/>
        <v>0.25204687500000134</v>
      </c>
      <c r="AA68" s="1141">
        <f t="shared" si="103"/>
        <v>-3.7548387096775215E-2</v>
      </c>
      <c r="AB68" s="1141">
        <f t="shared" si="103"/>
        <v>6.8507936507938183E-2</v>
      </c>
      <c r="AC68" s="1141">
        <f t="shared" si="103"/>
        <v>0.26343749999999932</v>
      </c>
      <c r="AD68" s="1142">
        <f t="shared" si="103"/>
        <v>0.35907936507936444</v>
      </c>
      <c r="AE68" s="1144">
        <f t="shared" si="114"/>
        <v>0.10468852459016342</v>
      </c>
      <c r="AF68" s="1144">
        <f t="shared" si="114"/>
        <v>7.9562500000000203E-2</v>
      </c>
      <c r="AG68" s="1144">
        <f t="shared" si="114"/>
        <v>3.6515625000000718E-2</v>
      </c>
      <c r="AH68" s="1145">
        <f t="shared" si="114"/>
        <v>4.9693548387096609E-2</v>
      </c>
      <c r="AI68" s="1144">
        <f t="shared" si="114"/>
        <v>0.15672580645161371</v>
      </c>
      <c r="AJ68" s="1144">
        <f t="shared" si="114"/>
        <v>0.10859375000000027</v>
      </c>
      <c r="AK68" s="1144">
        <f t="shared" si="114"/>
        <v>0.25880952380952404</v>
      </c>
      <c r="AL68" s="1145">
        <f t="shared" si="114"/>
        <v>1.4901290322580647</v>
      </c>
      <c r="AM68" s="1144">
        <f t="shared" si="109"/>
        <v>0.7802950819672132</v>
      </c>
      <c r="AN68" s="1144">
        <f t="shared" si="109"/>
        <v>-0.66499999999999959</v>
      </c>
      <c r="AO68" s="1144">
        <f t="shared" si="109"/>
        <v>-0.37199999999999989</v>
      </c>
      <c r="AP68" s="1145">
        <f t="shared" si="109"/>
        <v>-0.49500000000000055</v>
      </c>
      <c r="AQ68" s="1144">
        <f t="shared" ref="AQ68:AX68" si="123">IF(ISBLANK(AQ211),"",AQ211)</f>
        <v>-0.30713417480557936</v>
      </c>
      <c r="AR68" s="1144">
        <f t="shared" si="123"/>
        <v>-0.75064523540322092</v>
      </c>
      <c r="AS68" s="1144">
        <f t="shared" si="123"/>
        <v>-0.53237727470099783</v>
      </c>
      <c r="AT68" s="1145">
        <f t="shared" si="123"/>
        <v>-0.20050998189020053</v>
      </c>
      <c r="AU68" s="1144">
        <f t="shared" si="123"/>
        <v>-0.26491667997570767</v>
      </c>
      <c r="AV68" s="1144">
        <f t="shared" si="123"/>
        <v>-0.72952134616272168</v>
      </c>
      <c r="AW68" s="1144">
        <f t="shared" si="123"/>
        <v>-0.50344822491097485</v>
      </c>
      <c r="AX68" s="1145">
        <f t="shared" si="123"/>
        <v>-0.15278041575059387</v>
      </c>
      <c r="AY68" s="1144">
        <f t="shared" si="111"/>
        <v>-0.18976284925876685</v>
      </c>
      <c r="AZ68" s="1144">
        <f t="shared" si="111"/>
        <v>-0.6882236801665047</v>
      </c>
      <c r="BA68" s="1144">
        <f t="shared" si="111"/>
        <v>-0.44995803943269674</v>
      </c>
      <c r="BB68" s="1145">
        <f t="shared" si="111"/>
        <v>-6.8722097942030214E-2</v>
      </c>
      <c r="BC68" s="954"/>
      <c r="BD68" s="954"/>
      <c r="BE68" s="1052">
        <f t="shared" si="90"/>
        <v>-0.11448212628280219</v>
      </c>
      <c r="BF68" s="1052">
        <f t="shared" si="91"/>
        <v>0.10640259176587319</v>
      </c>
      <c r="BG68" s="1052">
        <f t="shared" si="92"/>
        <v>0.28452740575396795</v>
      </c>
      <c r="BH68" s="1058">
        <f t="shared" si="93"/>
        <v>0.23943723958333307</v>
      </c>
      <c r="BI68" s="1058">
        <f t="shared" si="94"/>
        <v>0.34251620133196736</v>
      </c>
      <c r="BJ68" s="1058">
        <f t="shared" si="95"/>
        <v>0.16336910362263168</v>
      </c>
      <c r="BK68" s="1058">
        <f t="shared" si="96"/>
        <v>6.7615049494315238E-2</v>
      </c>
      <c r="BL68" s="1058">
        <f t="shared" si="97"/>
        <v>0.50356452812980068</v>
      </c>
      <c r="BM68" s="1058">
        <f t="shared" si="98"/>
        <v>-0.18792622950819671</v>
      </c>
      <c r="BN68" s="1058">
        <f t="shared" si="99"/>
        <v>-0.44766666669999966</v>
      </c>
      <c r="BO68" s="1058">
        <f t="shared" si="100"/>
        <v>-0.41266666669999952</v>
      </c>
      <c r="BP68" s="1058">
        <f t="shared" si="101"/>
        <v>-0.34916666669999963</v>
      </c>
      <c r="BQ68" s="949"/>
      <c r="BR68" s="950"/>
      <c r="BU68" s="922"/>
      <c r="BV68" s="1068" t="str">
        <f t="shared" si="120"/>
        <v>PJM East</v>
      </c>
      <c r="BW68" s="1067">
        <f t="shared" si="121"/>
        <v>14408.571428571429</v>
      </c>
      <c r="BX68" s="1073">
        <f>+BW37</f>
        <v>14408.571428571429</v>
      </c>
      <c r="BY68" s="1073">
        <f t="shared" si="122"/>
        <v>0</v>
      </c>
    </row>
    <row r="69" spans="1:77" ht="12.75" customHeight="1">
      <c r="A69" s="923"/>
      <c r="B69" s="924"/>
      <c r="C69" s="1122"/>
      <c r="D69" s="1122"/>
      <c r="E69" s="1122"/>
      <c r="F69" s="1124"/>
      <c r="G69" s="1140">
        <f t="shared" si="114"/>
        <v>-8.7661290322580854E-2</v>
      </c>
      <c r="H69" s="1141">
        <f t="shared" si="114"/>
        <v>-0.16344444444444317</v>
      </c>
      <c r="I69" s="1141">
        <f t="shared" si="114"/>
        <v>-0.26625000000000032</v>
      </c>
      <c r="J69" s="1142">
        <f t="shared" si="114"/>
        <v>-0.10644615384615275</v>
      </c>
      <c r="K69" s="1140">
        <f t="shared" si="114"/>
        <v>-3.8796875000000064E-2</v>
      </c>
      <c r="L69" s="1141">
        <f t="shared" si="114"/>
        <v>-0.11246874999999878</v>
      </c>
      <c r="M69" s="1141">
        <f t="shared" si="114"/>
        <v>-8.0437500000000384E-2</v>
      </c>
      <c r="N69" s="1142">
        <f t="shared" si="114"/>
        <v>-7.6968253968253908E-2</v>
      </c>
      <c r="O69" s="1140">
        <f t="shared" si="114"/>
        <v>-6.4174603174603106E-2</v>
      </c>
      <c r="P69" s="1141">
        <f t="shared" si="114"/>
        <v>-5.0873015873015071E-2</v>
      </c>
      <c r="Q69" s="1141">
        <f t="shared" si="114"/>
        <v>-6.5730158730158195E-2</v>
      </c>
      <c r="R69" s="1141">
        <f t="shared" si="114"/>
        <v>-7.0828125000001574E-2</v>
      </c>
      <c r="S69" s="1143">
        <f t="shared" si="114"/>
        <v>-6.5516666666667334E-2</v>
      </c>
      <c r="T69" s="1144">
        <f t="shared" si="114"/>
        <v>-0.10400000000000054</v>
      </c>
      <c r="U69" s="1144">
        <f t="shared" si="114"/>
        <v>-6.8781250000001126E-2</v>
      </c>
      <c r="V69" s="1145">
        <f t="shared" si="114"/>
        <v>-4.9484375000000469E-2</v>
      </c>
      <c r="W69" s="1144">
        <f t="shared" si="114"/>
        <v>0.13100000000000023</v>
      </c>
      <c r="X69" s="1144">
        <f t="shared" si="114"/>
        <v>-0.1406093749999977</v>
      </c>
      <c r="Y69" s="1144">
        <f t="shared" si="114"/>
        <v>-8.2046874999999631E-2</v>
      </c>
      <c r="Z69" s="1145">
        <f t="shared" si="114"/>
        <v>-0.13220312499999887</v>
      </c>
      <c r="AA69" s="1144">
        <f t="shared" si="114"/>
        <v>-0.18638709677419296</v>
      </c>
      <c r="AB69" s="1144">
        <f t="shared" si="114"/>
        <v>-0.1698571428571416</v>
      </c>
      <c r="AC69" s="1144">
        <f t="shared" si="114"/>
        <v>-9.4734374999999815E-2</v>
      </c>
      <c r="AD69" s="1145">
        <f t="shared" si="114"/>
        <v>-7.3825396825397682E-2</v>
      </c>
      <c r="AE69" s="1144">
        <f t="shared" si="114"/>
        <v>-0.13737704918032856</v>
      </c>
      <c r="AF69" s="1144">
        <f t="shared" si="114"/>
        <v>-0.15981249999999947</v>
      </c>
      <c r="AG69" s="1144">
        <f t="shared" si="114"/>
        <v>-0.16378125000000088</v>
      </c>
      <c r="AH69" s="1145">
        <f t="shared" si="114"/>
        <v>-0.1974516129032251</v>
      </c>
      <c r="AI69" s="1144">
        <f t="shared" si="114"/>
        <v>-0.2175806451612905</v>
      </c>
      <c r="AJ69" s="1144">
        <f t="shared" si="114"/>
        <v>-0.31395312499999983</v>
      </c>
      <c r="AK69" s="1144">
        <f t="shared" si="114"/>
        <v>-0.23814285714285521</v>
      </c>
      <c r="AL69" s="1145">
        <f t="shared" si="114"/>
        <v>-0.332435483870968</v>
      </c>
      <c r="AM69" s="1144">
        <f t="shared" si="109"/>
        <v>-0.44990163934426253</v>
      </c>
      <c r="AN69" s="1144">
        <f t="shared" si="109"/>
        <v>-0.37966666666666615</v>
      </c>
      <c r="AO69" s="1144">
        <f t="shared" si="109"/>
        <v>-0.39166666666666661</v>
      </c>
      <c r="AP69" s="1145">
        <f t="shared" si="109"/>
        <v>-0.37166666666666703</v>
      </c>
      <c r="AQ69" s="1144">
        <f t="shared" si="109"/>
        <v>-0.19602769763382533</v>
      </c>
      <c r="AR69" s="1144">
        <f t="shared" si="109"/>
        <v>-0.300845626465994</v>
      </c>
      <c r="AS69" s="1144">
        <f t="shared" si="109"/>
        <v>-0.18112311230464595</v>
      </c>
      <c r="AT69" s="1145">
        <f t="shared" si="109"/>
        <v>-0.4933368969288674</v>
      </c>
      <c r="AU69" s="1144">
        <f t="shared" ref="AU69:AX75" si="124">IF(ISBLANK(AU212),"",AU212)</f>
        <v>-0.21941821857145705</v>
      </c>
      <c r="AV69" s="1144">
        <f t="shared" si="124"/>
        <v>-0.28887692999624326</v>
      </c>
      <c r="AW69" s="1144">
        <f t="shared" si="124"/>
        <v>-0.1563235091335029</v>
      </c>
      <c r="AX69" s="1145">
        <f t="shared" si="124"/>
        <v>-0.48504800896546163</v>
      </c>
      <c r="AY69" s="1144">
        <f t="shared" si="111"/>
        <v>-0.2167463007799646</v>
      </c>
      <c r="AZ69" s="1144">
        <f t="shared" si="111"/>
        <v>-0.28245768253923886</v>
      </c>
      <c r="BA69" s="1144">
        <f t="shared" si="111"/>
        <v>-0.14056807383264047</v>
      </c>
      <c r="BB69" s="1145">
        <f t="shared" si="111"/>
        <v>-0.47456127618148791</v>
      </c>
      <c r="BC69" s="954"/>
      <c r="BD69" s="954"/>
      <c r="BE69" s="1052"/>
      <c r="BF69" s="1052"/>
      <c r="BG69" s="1052"/>
      <c r="BH69" s="1058"/>
      <c r="BI69" s="1058"/>
      <c r="BJ69" s="1058"/>
      <c r="BK69" s="1058"/>
      <c r="BL69" s="1058"/>
      <c r="BM69" s="1058"/>
      <c r="BN69" s="1058"/>
      <c r="BO69" s="1058"/>
      <c r="BP69" s="1058"/>
      <c r="BQ69" s="949"/>
      <c r="BR69" s="968"/>
      <c r="BU69" s="922"/>
      <c r="BV69" s="1068" t="str">
        <f t="shared" si="120"/>
        <v>AEP Dayton</v>
      </c>
      <c r="BW69" s="1067">
        <f t="shared" si="121"/>
        <v>14415.000000000002</v>
      </c>
      <c r="BX69" s="1073">
        <f>+BW38</f>
        <v>14415.000000000002</v>
      </c>
      <c r="BY69" s="1073">
        <f t="shared" si="122"/>
        <v>0</v>
      </c>
    </row>
    <row r="70" spans="1:77" ht="12.75" customHeight="1">
      <c r="A70" s="923"/>
      <c r="B70" s="924"/>
      <c r="C70" s="1122"/>
      <c r="D70" s="1122"/>
      <c r="E70" s="1122"/>
      <c r="F70" s="1124"/>
      <c r="G70" s="1140" t="str">
        <f t="shared" si="114"/>
        <v/>
      </c>
      <c r="H70" s="1141" t="str">
        <f t="shared" si="114"/>
        <v/>
      </c>
      <c r="I70" s="1141" t="str">
        <f t="shared" si="114"/>
        <v/>
      </c>
      <c r="J70" s="1142" t="str">
        <f t="shared" si="114"/>
        <v/>
      </c>
      <c r="K70" s="1140" t="str">
        <f t="shared" si="114"/>
        <v/>
      </c>
      <c r="L70" s="1141" t="str">
        <f t="shared" si="114"/>
        <v/>
      </c>
      <c r="M70" s="1141" t="str">
        <f t="shared" si="114"/>
        <v/>
      </c>
      <c r="N70" s="1142" t="str">
        <f t="shared" si="114"/>
        <v/>
      </c>
      <c r="O70" s="1140" t="str">
        <f t="shared" si="114"/>
        <v/>
      </c>
      <c r="P70" s="1141" t="str">
        <f t="shared" si="114"/>
        <v/>
      </c>
      <c r="Q70" s="1141" t="str">
        <f t="shared" si="114"/>
        <v/>
      </c>
      <c r="R70" s="1141" t="str">
        <f t="shared" si="114"/>
        <v/>
      </c>
      <c r="S70" s="1143" t="str">
        <f t="shared" si="114"/>
        <v/>
      </c>
      <c r="T70" s="1144" t="str">
        <f t="shared" si="114"/>
        <v/>
      </c>
      <c r="U70" s="1144" t="str">
        <f t="shared" si="114"/>
        <v/>
      </c>
      <c r="V70" s="1145" t="str">
        <f t="shared" si="114"/>
        <v/>
      </c>
      <c r="W70" s="1144" t="str">
        <f t="shared" si="114"/>
        <v/>
      </c>
      <c r="X70" s="1144" t="str">
        <f t="shared" si="114"/>
        <v/>
      </c>
      <c r="Y70" s="1144" t="str">
        <f t="shared" si="114"/>
        <v/>
      </c>
      <c r="Z70" s="1145" t="str">
        <f t="shared" si="114"/>
        <v/>
      </c>
      <c r="AA70" s="1144" t="str">
        <f t="shared" si="114"/>
        <v/>
      </c>
      <c r="AB70" s="1144" t="str">
        <f t="shared" si="114"/>
        <v/>
      </c>
      <c r="AC70" s="1144" t="str">
        <f t="shared" si="114"/>
        <v/>
      </c>
      <c r="AD70" s="1145" t="str">
        <f t="shared" si="114"/>
        <v/>
      </c>
      <c r="AE70" s="1144" t="str">
        <f t="shared" si="114"/>
        <v/>
      </c>
      <c r="AF70" s="1144" t="str">
        <f t="shared" si="114"/>
        <v/>
      </c>
      <c r="AG70" s="1144" t="str">
        <f t="shared" si="114"/>
        <v/>
      </c>
      <c r="AH70" s="1145" t="str">
        <f t="shared" si="114"/>
        <v/>
      </c>
      <c r="AI70" s="1144" t="str">
        <f t="shared" si="114"/>
        <v/>
      </c>
      <c r="AJ70" s="1144" t="str">
        <f t="shared" si="114"/>
        <v/>
      </c>
      <c r="AK70" s="1144" t="str">
        <f t="shared" si="114"/>
        <v/>
      </c>
      <c r="AL70" s="1145" t="str">
        <f t="shared" ref="AI70:AP85" si="125">IF(ISBLANK(AL213),"",AL213)</f>
        <v/>
      </c>
      <c r="AM70" s="1144" t="str">
        <f t="shared" si="109"/>
        <v/>
      </c>
      <c r="AN70" s="1144" t="str">
        <f t="shared" si="109"/>
        <v/>
      </c>
      <c r="AO70" s="1144" t="str">
        <f t="shared" si="109"/>
        <v/>
      </c>
      <c r="AP70" s="1145" t="str">
        <f t="shared" si="109"/>
        <v/>
      </c>
      <c r="AQ70" s="1144" t="str">
        <f t="shared" si="109"/>
        <v/>
      </c>
      <c r="AR70" s="1144" t="str">
        <f t="shared" si="109"/>
        <v/>
      </c>
      <c r="AS70" s="1144" t="str">
        <f t="shared" si="109"/>
        <v/>
      </c>
      <c r="AT70" s="1145" t="str">
        <f t="shared" si="109"/>
        <v/>
      </c>
      <c r="AU70" s="1144" t="str">
        <f t="shared" si="124"/>
        <v/>
      </c>
      <c r="AV70" s="1144" t="str">
        <f t="shared" si="124"/>
        <v/>
      </c>
      <c r="AW70" s="1144" t="str">
        <f t="shared" si="124"/>
        <v/>
      </c>
      <c r="AX70" s="1145" t="str">
        <f t="shared" si="124"/>
        <v/>
      </c>
      <c r="AY70" s="1144" t="str">
        <f t="shared" si="111"/>
        <v/>
      </c>
      <c r="AZ70" s="1144" t="str">
        <f t="shared" si="111"/>
        <v/>
      </c>
      <c r="BA70" s="1144" t="str">
        <f t="shared" si="111"/>
        <v/>
      </c>
      <c r="BB70" s="1145" t="str">
        <f t="shared" si="111"/>
        <v/>
      </c>
      <c r="BC70" s="954"/>
      <c r="BD70" s="954"/>
      <c r="BE70" s="1052"/>
      <c r="BF70" s="1052"/>
      <c r="BG70" s="1052"/>
      <c r="BH70" s="1058"/>
      <c r="BI70" s="1058"/>
      <c r="BJ70" s="1058"/>
      <c r="BK70" s="1058"/>
      <c r="BL70" s="1058"/>
      <c r="BM70" s="1058"/>
      <c r="BN70" s="1058"/>
      <c r="BO70" s="1058"/>
      <c r="BP70" s="1058"/>
      <c r="BQ70" s="949"/>
      <c r="BR70" s="950"/>
      <c r="BU70" s="922"/>
      <c r="BV70" s="1068" t="str">
        <f t="shared" si="120"/>
        <v>Cinergy</v>
      </c>
      <c r="BW70" s="1067">
        <f t="shared" si="121"/>
        <v>14334.545454545456</v>
      </c>
      <c r="BX70" s="1073">
        <f>+BW39</f>
        <v>14334.545454545456</v>
      </c>
      <c r="BY70" s="1073">
        <f t="shared" si="122"/>
        <v>0</v>
      </c>
    </row>
    <row r="71" spans="1:77" ht="12.75" customHeight="1">
      <c r="A71" s="923"/>
      <c r="B71" s="924"/>
      <c r="C71" s="1120" t="s">
        <v>793</v>
      </c>
      <c r="D71" s="1137"/>
      <c r="E71" s="1137"/>
      <c r="F71" s="1138"/>
      <c r="G71" s="1140" t="str">
        <f t="shared" ref="G71:AH80" si="126">IF(ISBLANK(G214),"",G214)</f>
        <v/>
      </c>
      <c r="H71" s="1141" t="str">
        <f t="shared" si="126"/>
        <v/>
      </c>
      <c r="I71" s="1141" t="str">
        <f t="shared" si="126"/>
        <v/>
      </c>
      <c r="J71" s="1142" t="str">
        <f t="shared" si="126"/>
        <v/>
      </c>
      <c r="K71" s="1140" t="str">
        <f t="shared" si="126"/>
        <v/>
      </c>
      <c r="L71" s="1141" t="str">
        <f t="shared" si="126"/>
        <v/>
      </c>
      <c r="M71" s="1141" t="str">
        <f t="shared" si="126"/>
        <v/>
      </c>
      <c r="N71" s="1142" t="str">
        <f t="shared" si="126"/>
        <v/>
      </c>
      <c r="O71" s="1140" t="str">
        <f t="shared" si="126"/>
        <v/>
      </c>
      <c r="P71" s="1141" t="str">
        <f t="shared" si="126"/>
        <v/>
      </c>
      <c r="Q71" s="1141" t="str">
        <f t="shared" si="126"/>
        <v/>
      </c>
      <c r="R71" s="1141" t="str">
        <f t="shared" si="126"/>
        <v/>
      </c>
      <c r="S71" s="1143" t="str">
        <f t="shared" si="126"/>
        <v/>
      </c>
      <c r="T71" s="1144" t="str">
        <f t="shared" si="126"/>
        <v/>
      </c>
      <c r="U71" s="1144" t="str">
        <f t="shared" si="126"/>
        <v/>
      </c>
      <c r="V71" s="1145" t="str">
        <f t="shared" si="126"/>
        <v/>
      </c>
      <c r="W71" s="1144" t="str">
        <f t="shared" si="126"/>
        <v/>
      </c>
      <c r="X71" s="1144" t="str">
        <f t="shared" si="126"/>
        <v/>
      </c>
      <c r="Y71" s="1144" t="str">
        <f t="shared" si="126"/>
        <v/>
      </c>
      <c r="Z71" s="1145" t="str">
        <f t="shared" si="126"/>
        <v/>
      </c>
      <c r="AA71" s="1144" t="str">
        <f t="shared" si="126"/>
        <v/>
      </c>
      <c r="AB71" s="1144" t="str">
        <f t="shared" si="126"/>
        <v/>
      </c>
      <c r="AC71" s="1144" t="str">
        <f t="shared" si="126"/>
        <v/>
      </c>
      <c r="AD71" s="1145" t="str">
        <f t="shared" si="126"/>
        <v/>
      </c>
      <c r="AE71" s="1144" t="str">
        <f t="shared" si="126"/>
        <v/>
      </c>
      <c r="AF71" s="1144" t="str">
        <f t="shared" si="126"/>
        <v/>
      </c>
      <c r="AG71" s="1144" t="str">
        <f t="shared" si="126"/>
        <v/>
      </c>
      <c r="AH71" s="1145" t="str">
        <f t="shared" si="126"/>
        <v/>
      </c>
      <c r="AI71" s="1144" t="str">
        <f t="shared" si="125"/>
        <v/>
      </c>
      <c r="AJ71" s="1144" t="str">
        <f t="shared" si="125"/>
        <v/>
      </c>
      <c r="AK71" s="1144" t="str">
        <f t="shared" si="125"/>
        <v/>
      </c>
      <c r="AL71" s="1145" t="str">
        <f t="shared" si="125"/>
        <v/>
      </c>
      <c r="AM71" s="1144" t="str">
        <f t="shared" si="109"/>
        <v/>
      </c>
      <c r="AN71" s="1144" t="str">
        <f t="shared" si="109"/>
        <v/>
      </c>
      <c r="AO71" s="1144" t="str">
        <f t="shared" si="109"/>
        <v/>
      </c>
      <c r="AP71" s="1145" t="str">
        <f t="shared" si="109"/>
        <v/>
      </c>
      <c r="AQ71" s="1144" t="str">
        <f t="shared" si="109"/>
        <v/>
      </c>
      <c r="AR71" s="1144" t="str">
        <f t="shared" si="109"/>
        <v/>
      </c>
      <c r="AS71" s="1144" t="str">
        <f t="shared" si="109"/>
        <v/>
      </c>
      <c r="AT71" s="1145" t="str">
        <f t="shared" si="109"/>
        <v/>
      </c>
      <c r="AU71" s="1144" t="str">
        <f t="shared" si="124"/>
        <v/>
      </c>
      <c r="AV71" s="1144" t="str">
        <f t="shared" si="124"/>
        <v/>
      </c>
      <c r="AW71" s="1144" t="str">
        <f t="shared" si="124"/>
        <v/>
      </c>
      <c r="AX71" s="1145" t="str">
        <f t="shared" si="124"/>
        <v/>
      </c>
      <c r="AY71" s="1144" t="str">
        <f t="shared" si="111"/>
        <v/>
      </c>
      <c r="AZ71" s="1144" t="str">
        <f t="shared" si="111"/>
        <v/>
      </c>
      <c r="BA71" s="1144" t="str">
        <f t="shared" si="111"/>
        <v/>
      </c>
      <c r="BB71" s="1145" t="str">
        <f t="shared" si="111"/>
        <v/>
      </c>
      <c r="BC71" s="954"/>
      <c r="BD71" s="954"/>
      <c r="BE71" s="1052"/>
      <c r="BF71" s="1052"/>
      <c r="BG71" s="1052"/>
      <c r="BH71" s="1052"/>
      <c r="BI71" s="1052"/>
      <c r="BJ71" s="1052"/>
      <c r="BK71" s="1052"/>
      <c r="BL71" s="1052"/>
      <c r="BM71" s="1052"/>
      <c r="BN71" s="1052"/>
      <c r="BO71" s="1052"/>
      <c r="BP71" s="1052"/>
      <c r="BQ71" s="949"/>
      <c r="BR71" s="950"/>
      <c r="BU71" s="922"/>
      <c r="BV71" s="1068" t="str">
        <f t="shared" si="120"/>
        <v>NI Hub</v>
      </c>
      <c r="BW71" s="1067">
        <f t="shared" si="121"/>
        <v>12597.272727272726</v>
      </c>
      <c r="BX71" s="1073">
        <f>+BW40</f>
        <v>12597.272727272726</v>
      </c>
      <c r="BY71" s="1073">
        <f t="shared" si="122"/>
        <v>0</v>
      </c>
    </row>
    <row r="72" spans="1:77" ht="12.75" customHeight="1">
      <c r="A72" s="923"/>
      <c r="B72" s="924"/>
      <c r="C72" s="1122" t="s">
        <v>602</v>
      </c>
      <c r="D72" s="1122"/>
      <c r="E72" s="1122"/>
      <c r="F72" s="1124"/>
      <c r="G72" s="1143">
        <f t="shared" si="126"/>
        <v>5</v>
      </c>
      <c r="H72" s="1144">
        <f t="shared" si="126"/>
        <v>5</v>
      </c>
      <c r="I72" s="1144">
        <f t="shared" si="126"/>
        <v>5</v>
      </c>
      <c r="J72" s="1145">
        <f t="shared" si="126"/>
        <v>5</v>
      </c>
      <c r="K72" s="1143">
        <f t="shared" si="126"/>
        <v>5</v>
      </c>
      <c r="L72" s="1144">
        <f t="shared" si="126"/>
        <v>5</v>
      </c>
      <c r="M72" s="1144">
        <f t="shared" si="126"/>
        <v>5</v>
      </c>
      <c r="N72" s="1145">
        <f t="shared" si="126"/>
        <v>5</v>
      </c>
      <c r="O72" s="1143">
        <f t="shared" si="126"/>
        <v>5</v>
      </c>
      <c r="P72" s="1144">
        <f t="shared" si="126"/>
        <v>5</v>
      </c>
      <c r="Q72" s="1144">
        <f t="shared" si="126"/>
        <v>5</v>
      </c>
      <c r="R72" s="1144">
        <f t="shared" si="126"/>
        <v>5</v>
      </c>
      <c r="S72" s="1143">
        <f t="shared" si="126"/>
        <v>5</v>
      </c>
      <c r="T72" s="1144">
        <f t="shared" si="126"/>
        <v>5</v>
      </c>
      <c r="U72" s="1144">
        <f t="shared" si="126"/>
        <v>5</v>
      </c>
      <c r="V72" s="1145">
        <f t="shared" si="126"/>
        <v>5</v>
      </c>
      <c r="W72" s="1144">
        <f t="shared" si="126"/>
        <v>5</v>
      </c>
      <c r="X72" s="1144">
        <f t="shared" si="126"/>
        <v>5</v>
      </c>
      <c r="Y72" s="1144">
        <f t="shared" si="126"/>
        <v>5</v>
      </c>
      <c r="Z72" s="1145">
        <f t="shared" si="126"/>
        <v>5</v>
      </c>
      <c r="AA72" s="1144">
        <f t="shared" si="126"/>
        <v>5</v>
      </c>
      <c r="AB72" s="1144">
        <f t="shared" si="126"/>
        <v>5</v>
      </c>
      <c r="AC72" s="1144">
        <f t="shared" si="126"/>
        <v>5</v>
      </c>
      <c r="AD72" s="1145">
        <f t="shared" si="126"/>
        <v>5</v>
      </c>
      <c r="AE72" s="1144">
        <f t="shared" si="126"/>
        <v>5</v>
      </c>
      <c r="AF72" s="1144">
        <f t="shared" si="126"/>
        <v>5</v>
      </c>
      <c r="AG72" s="1144">
        <f t="shared" si="126"/>
        <v>5</v>
      </c>
      <c r="AH72" s="1145">
        <f t="shared" si="126"/>
        <v>5</v>
      </c>
      <c r="AI72" s="1144">
        <f t="shared" si="125"/>
        <v>5</v>
      </c>
      <c r="AJ72" s="1144">
        <f t="shared" si="125"/>
        <v>5</v>
      </c>
      <c r="AK72" s="1144">
        <f t="shared" si="125"/>
        <v>5</v>
      </c>
      <c r="AL72" s="1145">
        <f t="shared" si="125"/>
        <v>5</v>
      </c>
      <c r="AM72" s="1144">
        <f t="shared" si="109"/>
        <v>5</v>
      </c>
      <c r="AN72" s="1144">
        <f t="shared" si="109"/>
        <v>5</v>
      </c>
      <c r="AO72" s="1144">
        <f t="shared" si="109"/>
        <v>5</v>
      </c>
      <c r="AP72" s="1145">
        <f t="shared" si="109"/>
        <v>5</v>
      </c>
      <c r="AQ72" s="1144">
        <f t="shared" si="109"/>
        <v>5</v>
      </c>
      <c r="AR72" s="1144">
        <f t="shared" si="109"/>
        <v>5</v>
      </c>
      <c r="AS72" s="1144">
        <f t="shared" si="109"/>
        <v>5</v>
      </c>
      <c r="AT72" s="1145">
        <f t="shared" si="109"/>
        <v>5</v>
      </c>
      <c r="AU72" s="1144">
        <f t="shared" si="124"/>
        <v>5</v>
      </c>
      <c r="AV72" s="1144">
        <f t="shared" si="124"/>
        <v>5</v>
      </c>
      <c r="AW72" s="1144">
        <f t="shared" si="124"/>
        <v>5</v>
      </c>
      <c r="AX72" s="1145">
        <f t="shared" si="124"/>
        <v>5</v>
      </c>
      <c r="AY72" s="1144">
        <f t="shared" si="111"/>
        <v>5</v>
      </c>
      <c r="AZ72" s="1144">
        <f t="shared" si="111"/>
        <v>5</v>
      </c>
      <c r="BA72" s="1144">
        <f t="shared" si="111"/>
        <v>5</v>
      </c>
      <c r="BB72" s="1145">
        <f t="shared" si="111"/>
        <v>5</v>
      </c>
      <c r="BC72" s="954"/>
      <c r="BD72" s="954"/>
      <c r="BE72" s="1052">
        <f>AVERAGE(G72:J72)</f>
        <v>5</v>
      </c>
      <c r="BF72" s="1052">
        <f>AVERAGE(K72:N72)</f>
        <v>5</v>
      </c>
      <c r="BG72" s="1052">
        <f>AVERAGE(O72:R72)</f>
        <v>5</v>
      </c>
      <c r="BH72" s="1052">
        <f>AVERAGE(S72:V72)</f>
        <v>5</v>
      </c>
      <c r="BI72" s="1052">
        <f>AVERAGE(W72:Z72)</f>
        <v>5</v>
      </c>
      <c r="BJ72" s="1052">
        <f>AVERAGE(AA72:AD72)</f>
        <v>5</v>
      </c>
      <c r="BK72" s="1052">
        <f>AVERAGE(AE72:AH72)</f>
        <v>5</v>
      </c>
      <c r="BL72" s="1052">
        <f>AVERAGE(AI72:AL72)</f>
        <v>5</v>
      </c>
      <c r="BM72" s="1052">
        <f>AVERAGE(AM72:AP72)</f>
        <v>5</v>
      </c>
      <c r="BN72" s="1052">
        <f>AVERAGE(AQ72:AT72)</f>
        <v>5</v>
      </c>
      <c r="BO72" s="1052">
        <f>AVERAGE(AU72:AX72)</f>
        <v>5</v>
      </c>
      <c r="BP72" s="1052">
        <f>AVERAGE(AY72:BB72)</f>
        <v>5</v>
      </c>
      <c r="BQ72" s="949"/>
      <c r="BR72" s="950"/>
      <c r="BU72" s="922"/>
      <c r="BV72" s="1068" t="str">
        <f t="shared" si="120"/>
        <v>ERCOT Houston</v>
      </c>
      <c r="BW72" s="1067">
        <f t="shared" si="121"/>
        <v>13059.517736879347</v>
      </c>
      <c r="BX72" s="1073">
        <f>+BX15</f>
        <v>14924.180004952612</v>
      </c>
      <c r="BY72" s="1073">
        <f t="shared" si="122"/>
        <v>-1864.6622680732653</v>
      </c>
    </row>
    <row r="73" spans="1:77" ht="12.75" customHeight="1">
      <c r="A73" s="923"/>
      <c r="B73" s="924"/>
      <c r="C73" s="1122" t="s">
        <v>693</v>
      </c>
      <c r="D73" s="1122"/>
      <c r="E73" s="1122"/>
      <c r="F73" s="1124"/>
      <c r="G73" s="1143">
        <f t="shared" si="126"/>
        <v>15</v>
      </c>
      <c r="H73" s="1144">
        <f t="shared" si="126"/>
        <v>15</v>
      </c>
      <c r="I73" s="1144">
        <f t="shared" si="126"/>
        <v>15</v>
      </c>
      <c r="J73" s="1145">
        <f t="shared" si="126"/>
        <v>15</v>
      </c>
      <c r="K73" s="1143">
        <f t="shared" si="126"/>
        <v>15</v>
      </c>
      <c r="L73" s="1144">
        <f t="shared" si="126"/>
        <v>15</v>
      </c>
      <c r="M73" s="1144">
        <f t="shared" si="126"/>
        <v>15</v>
      </c>
      <c r="N73" s="1145">
        <f t="shared" si="126"/>
        <v>15</v>
      </c>
      <c r="O73" s="1143">
        <f t="shared" si="126"/>
        <v>15</v>
      </c>
      <c r="P73" s="1144">
        <f t="shared" si="126"/>
        <v>15</v>
      </c>
      <c r="Q73" s="1144">
        <f t="shared" si="126"/>
        <v>15</v>
      </c>
      <c r="R73" s="1144">
        <f t="shared" si="126"/>
        <v>15</v>
      </c>
      <c r="S73" s="1143">
        <f t="shared" si="126"/>
        <v>15</v>
      </c>
      <c r="T73" s="1144">
        <f t="shared" si="126"/>
        <v>15</v>
      </c>
      <c r="U73" s="1144">
        <f t="shared" si="126"/>
        <v>15</v>
      </c>
      <c r="V73" s="1145">
        <f t="shared" si="126"/>
        <v>15</v>
      </c>
      <c r="W73" s="1144">
        <f t="shared" si="126"/>
        <v>15</v>
      </c>
      <c r="X73" s="1144">
        <f t="shared" si="126"/>
        <v>15</v>
      </c>
      <c r="Y73" s="1144">
        <f t="shared" si="126"/>
        <v>15</v>
      </c>
      <c r="Z73" s="1145">
        <f t="shared" si="126"/>
        <v>15</v>
      </c>
      <c r="AA73" s="1144">
        <f t="shared" si="126"/>
        <v>15</v>
      </c>
      <c r="AB73" s="1144">
        <f t="shared" si="126"/>
        <v>15</v>
      </c>
      <c r="AC73" s="1144">
        <f t="shared" si="126"/>
        <v>15</v>
      </c>
      <c r="AD73" s="1145">
        <f t="shared" si="126"/>
        <v>15</v>
      </c>
      <c r="AE73" s="1144">
        <f t="shared" si="126"/>
        <v>15</v>
      </c>
      <c r="AF73" s="1144">
        <f t="shared" si="126"/>
        <v>15</v>
      </c>
      <c r="AG73" s="1144">
        <f t="shared" si="126"/>
        <v>15</v>
      </c>
      <c r="AH73" s="1145">
        <f t="shared" si="126"/>
        <v>15</v>
      </c>
      <c r="AI73" s="1144">
        <f t="shared" si="125"/>
        <v>15</v>
      </c>
      <c r="AJ73" s="1144">
        <f t="shared" si="125"/>
        <v>15</v>
      </c>
      <c r="AK73" s="1144">
        <f t="shared" si="125"/>
        <v>15</v>
      </c>
      <c r="AL73" s="1145">
        <f t="shared" si="125"/>
        <v>15</v>
      </c>
      <c r="AM73" s="1144">
        <f t="shared" si="109"/>
        <v>15</v>
      </c>
      <c r="AN73" s="1144">
        <f t="shared" si="109"/>
        <v>15</v>
      </c>
      <c r="AO73" s="1144">
        <f t="shared" si="109"/>
        <v>15</v>
      </c>
      <c r="AP73" s="1145">
        <f t="shared" si="109"/>
        <v>15</v>
      </c>
      <c r="AQ73" s="1144">
        <f t="shared" si="109"/>
        <v>15</v>
      </c>
      <c r="AR73" s="1144">
        <f t="shared" si="109"/>
        <v>15</v>
      </c>
      <c r="AS73" s="1144">
        <f t="shared" si="109"/>
        <v>15</v>
      </c>
      <c r="AT73" s="1145">
        <f t="shared" si="109"/>
        <v>15</v>
      </c>
      <c r="AU73" s="1144">
        <f t="shared" si="124"/>
        <v>15</v>
      </c>
      <c r="AV73" s="1144">
        <f t="shared" si="124"/>
        <v>15</v>
      </c>
      <c r="AW73" s="1144">
        <f t="shared" si="124"/>
        <v>15</v>
      </c>
      <c r="AX73" s="1145">
        <f t="shared" si="124"/>
        <v>15</v>
      </c>
      <c r="AY73" s="1144">
        <f t="shared" si="111"/>
        <v>15</v>
      </c>
      <c r="AZ73" s="1144">
        <f t="shared" si="111"/>
        <v>15</v>
      </c>
      <c r="BA73" s="1144">
        <f t="shared" si="111"/>
        <v>15</v>
      </c>
      <c r="BB73" s="1145">
        <f t="shared" si="111"/>
        <v>15</v>
      </c>
      <c r="BC73" s="954"/>
      <c r="BD73" s="954"/>
      <c r="BE73" s="1052">
        <f>AVERAGE(G73:J73)</f>
        <v>15</v>
      </c>
      <c r="BF73" s="1052">
        <f>AVERAGE(K73:N73)</f>
        <v>15</v>
      </c>
      <c r="BG73" s="1052">
        <f>AVERAGE(O73:R73)</f>
        <v>15</v>
      </c>
      <c r="BH73" s="1052">
        <f>AVERAGE(S73:V73)</f>
        <v>15</v>
      </c>
      <c r="BI73" s="1052">
        <f>AVERAGE(W73:Z73)</f>
        <v>15</v>
      </c>
      <c r="BJ73" s="1052">
        <f>AVERAGE(AA73:AD73)</f>
        <v>15</v>
      </c>
      <c r="BK73" s="1052">
        <f>AVERAGE(AE73:AH73)</f>
        <v>15</v>
      </c>
      <c r="BL73" s="1052">
        <f>AVERAGE(AI73:AL73)</f>
        <v>15</v>
      </c>
      <c r="BM73" s="1052">
        <f>AVERAGE(AM73:AP73)</f>
        <v>15</v>
      </c>
      <c r="BN73" s="1052">
        <f>AVERAGE(AQ73:AT73)</f>
        <v>15</v>
      </c>
      <c r="BO73" s="1052">
        <f>AVERAGE(AU73:AX73)</f>
        <v>15</v>
      </c>
      <c r="BP73" s="1052">
        <f>AVERAGE(AY73:BB73)</f>
        <v>15</v>
      </c>
      <c r="BQ73" s="949"/>
      <c r="BR73" s="950"/>
      <c r="BU73" s="922"/>
      <c r="BV73" s="1068" t="str">
        <f t="shared" si="120"/>
        <v>ERCOT North</v>
      </c>
      <c r="BW73" s="1067">
        <f t="shared" si="121"/>
        <v>12303.36322926092</v>
      </c>
      <c r="BX73" s="1073">
        <f>+BX23</f>
        <v>14924.180004952612</v>
      </c>
      <c r="BY73" s="1073">
        <f t="shared" si="122"/>
        <v>-2620.8167756916919</v>
      </c>
    </row>
    <row r="74" spans="1:77" ht="12.75" customHeight="1">
      <c r="A74" s="923"/>
      <c r="B74" s="924"/>
      <c r="C74" s="1122" t="s">
        <v>701</v>
      </c>
      <c r="D74" s="1122"/>
      <c r="E74" s="1122"/>
      <c r="F74" s="1124"/>
      <c r="G74" s="1143">
        <f t="shared" si="126"/>
        <v>25</v>
      </c>
      <c r="H74" s="1144">
        <f t="shared" si="126"/>
        <v>25</v>
      </c>
      <c r="I74" s="1144">
        <f t="shared" si="126"/>
        <v>25</v>
      </c>
      <c r="J74" s="1145">
        <f t="shared" si="126"/>
        <v>25</v>
      </c>
      <c r="K74" s="1143">
        <f t="shared" si="126"/>
        <v>25</v>
      </c>
      <c r="L74" s="1144">
        <f t="shared" si="126"/>
        <v>25</v>
      </c>
      <c r="M74" s="1144">
        <f t="shared" si="126"/>
        <v>25</v>
      </c>
      <c r="N74" s="1145">
        <f t="shared" si="126"/>
        <v>25</v>
      </c>
      <c r="O74" s="1143">
        <f t="shared" si="126"/>
        <v>25</v>
      </c>
      <c r="P74" s="1144">
        <f t="shared" si="126"/>
        <v>25</v>
      </c>
      <c r="Q74" s="1144">
        <f t="shared" si="126"/>
        <v>25</v>
      </c>
      <c r="R74" s="1144">
        <f t="shared" si="126"/>
        <v>25</v>
      </c>
      <c r="S74" s="1143">
        <f t="shared" si="126"/>
        <v>25</v>
      </c>
      <c r="T74" s="1144">
        <f t="shared" si="126"/>
        <v>25</v>
      </c>
      <c r="U74" s="1144">
        <f t="shared" si="126"/>
        <v>25</v>
      </c>
      <c r="V74" s="1145">
        <f t="shared" si="126"/>
        <v>25</v>
      </c>
      <c r="W74" s="1144">
        <f t="shared" si="126"/>
        <v>25</v>
      </c>
      <c r="X74" s="1144">
        <f t="shared" si="126"/>
        <v>25</v>
      </c>
      <c r="Y74" s="1144">
        <f t="shared" si="126"/>
        <v>25</v>
      </c>
      <c r="Z74" s="1145">
        <f t="shared" si="126"/>
        <v>25</v>
      </c>
      <c r="AA74" s="1144">
        <f t="shared" si="126"/>
        <v>25</v>
      </c>
      <c r="AB74" s="1144">
        <f t="shared" si="126"/>
        <v>25</v>
      </c>
      <c r="AC74" s="1144">
        <f t="shared" si="126"/>
        <v>25</v>
      </c>
      <c r="AD74" s="1145">
        <f t="shared" si="126"/>
        <v>25</v>
      </c>
      <c r="AE74" s="1144">
        <f t="shared" si="126"/>
        <v>25</v>
      </c>
      <c r="AF74" s="1144">
        <f t="shared" si="126"/>
        <v>25</v>
      </c>
      <c r="AG74" s="1144">
        <f t="shared" si="126"/>
        <v>25</v>
      </c>
      <c r="AH74" s="1145">
        <f t="shared" si="126"/>
        <v>25</v>
      </c>
      <c r="AI74" s="1144">
        <f t="shared" si="125"/>
        <v>25</v>
      </c>
      <c r="AJ74" s="1144">
        <f t="shared" si="125"/>
        <v>25</v>
      </c>
      <c r="AK74" s="1144">
        <f t="shared" si="125"/>
        <v>25</v>
      </c>
      <c r="AL74" s="1145">
        <f t="shared" si="125"/>
        <v>25</v>
      </c>
      <c r="AM74" s="1144">
        <f t="shared" si="109"/>
        <v>25</v>
      </c>
      <c r="AN74" s="1144">
        <f t="shared" si="109"/>
        <v>25</v>
      </c>
      <c r="AO74" s="1144">
        <f t="shared" si="109"/>
        <v>25</v>
      </c>
      <c r="AP74" s="1145">
        <f t="shared" si="109"/>
        <v>25</v>
      </c>
      <c r="AQ74" s="1144">
        <f t="shared" si="109"/>
        <v>25</v>
      </c>
      <c r="AR74" s="1144">
        <f t="shared" si="109"/>
        <v>25</v>
      </c>
      <c r="AS74" s="1144">
        <f t="shared" si="109"/>
        <v>25</v>
      </c>
      <c r="AT74" s="1145">
        <f t="shared" si="109"/>
        <v>25</v>
      </c>
      <c r="AU74" s="1144">
        <f t="shared" si="124"/>
        <v>25</v>
      </c>
      <c r="AV74" s="1144">
        <f t="shared" si="124"/>
        <v>25</v>
      </c>
      <c r="AW74" s="1144">
        <f t="shared" si="124"/>
        <v>25</v>
      </c>
      <c r="AX74" s="1145">
        <f t="shared" si="124"/>
        <v>25</v>
      </c>
      <c r="AY74" s="1144">
        <f t="shared" si="111"/>
        <v>25</v>
      </c>
      <c r="AZ74" s="1144">
        <f t="shared" si="111"/>
        <v>25</v>
      </c>
      <c r="BA74" s="1144">
        <f t="shared" si="111"/>
        <v>25</v>
      </c>
      <c r="BB74" s="1145">
        <f t="shared" si="111"/>
        <v>25</v>
      </c>
      <c r="BC74" s="954"/>
      <c r="BD74" s="954"/>
      <c r="BE74" s="1052">
        <f>AVERAGE(G74:J74)</f>
        <v>25</v>
      </c>
      <c r="BF74" s="1052">
        <f>AVERAGE(K74:N74)</f>
        <v>25</v>
      </c>
      <c r="BG74" s="1052">
        <f>AVERAGE(O74:R74)</f>
        <v>25</v>
      </c>
      <c r="BH74" s="1052">
        <f>AVERAGE(S74:V74)</f>
        <v>25</v>
      </c>
      <c r="BI74" s="1052">
        <f>AVERAGE(W74:Z74)</f>
        <v>25</v>
      </c>
      <c r="BJ74" s="1052">
        <f>AVERAGE(AA74:AD74)</f>
        <v>25</v>
      </c>
      <c r="BK74" s="1052">
        <f>AVERAGE(AE74:AH74)</f>
        <v>25</v>
      </c>
      <c r="BL74" s="1052">
        <f>AVERAGE(AI74:AL74)</f>
        <v>25</v>
      </c>
      <c r="BM74" s="1052">
        <f>AVERAGE(AM74:AP74)</f>
        <v>25</v>
      </c>
      <c r="BN74" s="1052">
        <f>AVERAGE(AQ74:AT74)</f>
        <v>25</v>
      </c>
      <c r="BO74" s="1052">
        <f>AVERAGE(AU74:AX74)</f>
        <v>25</v>
      </c>
      <c r="BP74" s="1052">
        <f>AVERAGE(AY74:BB74)</f>
        <v>25</v>
      </c>
      <c r="BQ74" s="949"/>
      <c r="BR74" s="950"/>
      <c r="BU74" s="922"/>
      <c r="BV74" s="1068" t="str">
        <f t="shared" si="120"/>
        <v>ERCOT South</v>
      </c>
      <c r="BW74" s="1067">
        <f t="shared" si="121"/>
        <v>13048.805132456902</v>
      </c>
      <c r="BX74" s="1073">
        <f>+BX29</f>
        <v>14924.180004952612</v>
      </c>
      <c r="BY74" s="1073">
        <f t="shared" si="122"/>
        <v>-1875.3748724957095</v>
      </c>
    </row>
    <row r="75" spans="1:77" ht="12.75" customHeight="1">
      <c r="A75" s="923"/>
      <c r="B75" s="924"/>
      <c r="C75" s="1122"/>
      <c r="D75" s="1122"/>
      <c r="E75" s="1122"/>
      <c r="F75" s="1124"/>
      <c r="G75" s="1140" t="str">
        <f t="shared" si="126"/>
        <v/>
      </c>
      <c r="H75" s="1141" t="str">
        <f t="shared" si="126"/>
        <v/>
      </c>
      <c r="I75" s="1141" t="str">
        <f t="shared" si="126"/>
        <v/>
      </c>
      <c r="J75" s="1142" t="str">
        <f t="shared" si="126"/>
        <v/>
      </c>
      <c r="K75" s="1140" t="str">
        <f t="shared" si="126"/>
        <v/>
      </c>
      <c r="L75" s="1141" t="str">
        <f t="shared" si="126"/>
        <v/>
      </c>
      <c r="M75" s="1141" t="str">
        <f t="shared" si="126"/>
        <v/>
      </c>
      <c r="N75" s="1142" t="str">
        <f t="shared" si="126"/>
        <v/>
      </c>
      <c r="O75" s="1140" t="str">
        <f t="shared" si="126"/>
        <v/>
      </c>
      <c r="P75" s="1141" t="str">
        <f t="shared" si="126"/>
        <v/>
      </c>
      <c r="Q75" s="1141" t="str">
        <f t="shared" si="126"/>
        <v/>
      </c>
      <c r="R75" s="1141" t="str">
        <f t="shared" si="126"/>
        <v/>
      </c>
      <c r="S75" s="1143" t="str">
        <f t="shared" si="126"/>
        <v/>
      </c>
      <c r="T75" s="1144" t="str">
        <f t="shared" si="126"/>
        <v/>
      </c>
      <c r="U75" s="1144" t="str">
        <f t="shared" si="126"/>
        <v/>
      </c>
      <c r="V75" s="1145" t="str">
        <f t="shared" si="126"/>
        <v/>
      </c>
      <c r="W75" s="1144" t="str">
        <f t="shared" si="126"/>
        <v/>
      </c>
      <c r="X75" s="1144" t="str">
        <f t="shared" si="126"/>
        <v/>
      </c>
      <c r="Y75" s="1144" t="str">
        <f t="shared" si="126"/>
        <v/>
      </c>
      <c r="Z75" s="1145" t="str">
        <f t="shared" si="126"/>
        <v/>
      </c>
      <c r="AA75" s="1144" t="str">
        <f t="shared" si="126"/>
        <v/>
      </c>
      <c r="AB75" s="1144" t="str">
        <f t="shared" si="126"/>
        <v/>
      </c>
      <c r="AC75" s="1144" t="str">
        <f t="shared" si="126"/>
        <v/>
      </c>
      <c r="AD75" s="1145" t="str">
        <f t="shared" si="126"/>
        <v/>
      </c>
      <c r="AE75" s="1144" t="str">
        <f t="shared" si="126"/>
        <v/>
      </c>
      <c r="AF75" s="1144" t="str">
        <f t="shared" si="126"/>
        <v/>
      </c>
      <c r="AG75" s="1144" t="str">
        <f t="shared" si="126"/>
        <v/>
      </c>
      <c r="AH75" s="1145" t="str">
        <f t="shared" si="126"/>
        <v/>
      </c>
      <c r="AI75" s="1144" t="str">
        <f t="shared" si="125"/>
        <v/>
      </c>
      <c r="AJ75" s="1144" t="str">
        <f t="shared" si="125"/>
        <v/>
      </c>
      <c r="AK75" s="1144" t="str">
        <f t="shared" si="125"/>
        <v/>
      </c>
      <c r="AL75" s="1145" t="str">
        <f t="shared" si="125"/>
        <v/>
      </c>
      <c r="AM75" s="1144" t="str">
        <f t="shared" si="109"/>
        <v/>
      </c>
      <c r="AN75" s="1144" t="str">
        <f t="shared" si="109"/>
        <v/>
      </c>
      <c r="AO75" s="1144" t="str">
        <f t="shared" si="109"/>
        <v/>
      </c>
      <c r="AP75" s="1145" t="str">
        <f t="shared" si="109"/>
        <v/>
      </c>
      <c r="AQ75" s="1144" t="str">
        <f t="shared" si="109"/>
        <v/>
      </c>
      <c r="AR75" s="1144" t="str">
        <f t="shared" si="109"/>
        <v/>
      </c>
      <c r="AS75" s="1144" t="str">
        <f t="shared" si="109"/>
        <v/>
      </c>
      <c r="AT75" s="1145" t="str">
        <f t="shared" si="109"/>
        <v/>
      </c>
      <c r="AU75" s="1144" t="str">
        <f t="shared" si="124"/>
        <v/>
      </c>
      <c r="AV75" s="1144" t="str">
        <f t="shared" si="124"/>
        <v/>
      </c>
      <c r="AW75" s="1144" t="str">
        <f t="shared" si="124"/>
        <v/>
      </c>
      <c r="AX75" s="1145" t="str">
        <f t="shared" si="124"/>
        <v/>
      </c>
      <c r="AY75" s="1144" t="str">
        <f t="shared" si="111"/>
        <v/>
      </c>
      <c r="AZ75" s="1144" t="str">
        <f t="shared" si="111"/>
        <v/>
      </c>
      <c r="BA75" s="1144" t="str">
        <f t="shared" si="111"/>
        <v/>
      </c>
      <c r="BB75" s="1145" t="str">
        <f t="shared" si="111"/>
        <v/>
      </c>
      <c r="BC75" s="954"/>
      <c r="BD75" s="954"/>
      <c r="BE75" s="1052"/>
      <c r="BF75" s="1052"/>
      <c r="BG75" s="1052"/>
      <c r="BH75" s="1058"/>
      <c r="BI75" s="1058"/>
      <c r="BJ75" s="1058"/>
      <c r="BK75" s="1058"/>
      <c r="BL75" s="1058"/>
      <c r="BM75" s="1058"/>
      <c r="BN75" s="1058"/>
      <c r="BO75" s="1058"/>
      <c r="BP75" s="1058"/>
      <c r="BQ75" s="949"/>
      <c r="BR75" s="968"/>
      <c r="BU75" s="922"/>
      <c r="BV75" s="921"/>
      <c r="BW75" s="921"/>
      <c r="BX75" s="921"/>
    </row>
    <row r="76" spans="1:77" ht="12.75" customHeight="1">
      <c r="A76" s="923"/>
      <c r="B76" s="924"/>
      <c r="C76" s="1122"/>
      <c r="D76" s="1122"/>
      <c r="E76" s="1122"/>
      <c r="F76" s="1124"/>
      <c r="G76" s="1146" t="str">
        <f t="shared" si="126"/>
        <v/>
      </c>
      <c r="H76" s="1147" t="str">
        <f t="shared" si="126"/>
        <v/>
      </c>
      <c r="I76" s="1147" t="str">
        <f t="shared" si="126"/>
        <v/>
      </c>
      <c r="J76" s="1148" t="str">
        <f t="shared" si="126"/>
        <v/>
      </c>
      <c r="K76" s="1146" t="str">
        <f t="shared" si="126"/>
        <v/>
      </c>
      <c r="L76" s="1147" t="str">
        <f t="shared" si="126"/>
        <v/>
      </c>
      <c r="M76" s="1147" t="str">
        <f t="shared" si="126"/>
        <v/>
      </c>
      <c r="N76" s="1148" t="str">
        <f t="shared" si="126"/>
        <v/>
      </c>
      <c r="O76" s="1146" t="str">
        <f t="shared" si="126"/>
        <v/>
      </c>
      <c r="P76" s="1147" t="str">
        <f t="shared" si="126"/>
        <v/>
      </c>
      <c r="Q76" s="1147" t="str">
        <f t="shared" si="126"/>
        <v/>
      </c>
      <c r="R76" s="1147" t="str">
        <f t="shared" si="126"/>
        <v/>
      </c>
      <c r="S76" s="1150" t="str">
        <f t="shared" si="126"/>
        <v/>
      </c>
      <c r="T76" s="1151" t="str">
        <f t="shared" si="126"/>
        <v/>
      </c>
      <c r="U76" s="1151" t="str">
        <f t="shared" si="126"/>
        <v/>
      </c>
      <c r="V76" s="1149" t="str">
        <f t="shared" si="126"/>
        <v/>
      </c>
      <c r="W76" s="1151" t="str">
        <f t="shared" si="126"/>
        <v/>
      </c>
      <c r="X76" s="1151" t="str">
        <f t="shared" si="126"/>
        <v/>
      </c>
      <c r="Y76" s="1151" t="str">
        <f t="shared" si="126"/>
        <v/>
      </c>
      <c r="Z76" s="1152" t="str">
        <f t="shared" si="126"/>
        <v/>
      </c>
      <c r="AA76" s="1153" t="str">
        <f t="shared" si="126"/>
        <v/>
      </c>
      <c r="AB76" s="1153" t="str">
        <f t="shared" si="126"/>
        <v/>
      </c>
      <c r="AC76" s="1153" t="str">
        <f t="shared" si="126"/>
        <v/>
      </c>
      <c r="AD76" s="1152" t="str">
        <f t="shared" si="126"/>
        <v/>
      </c>
      <c r="AE76" s="1153" t="str">
        <f t="shared" si="126"/>
        <v/>
      </c>
      <c r="AF76" s="1153" t="str">
        <f t="shared" si="126"/>
        <v/>
      </c>
      <c r="AG76" s="1153" t="str">
        <f t="shared" si="126"/>
        <v/>
      </c>
      <c r="AH76" s="1152" t="str">
        <f t="shared" si="126"/>
        <v/>
      </c>
      <c r="AI76" s="1153" t="str">
        <f t="shared" si="125"/>
        <v/>
      </c>
      <c r="AJ76" s="1153" t="str">
        <f t="shared" si="125"/>
        <v/>
      </c>
      <c r="AK76" s="1153" t="str">
        <f t="shared" si="125"/>
        <v/>
      </c>
      <c r="AL76" s="1152" t="str">
        <f t="shared" si="125"/>
        <v/>
      </c>
      <c r="AM76" s="1153" t="str">
        <f t="shared" si="125"/>
        <v/>
      </c>
      <c r="AN76" s="1153" t="str">
        <f t="shared" si="125"/>
        <v/>
      </c>
      <c r="AO76" s="1153" t="str">
        <f t="shared" si="125"/>
        <v/>
      </c>
      <c r="AP76" s="1152" t="str">
        <f t="shared" si="125"/>
        <v/>
      </c>
      <c r="AQ76" s="1153" t="str">
        <f t="shared" ref="AQ76:AX76" si="127">IF(ISBLANK(AQ219),"",AQ219)</f>
        <v/>
      </c>
      <c r="AR76" s="1153" t="str">
        <f t="shared" si="127"/>
        <v/>
      </c>
      <c r="AS76" s="1153" t="str">
        <f t="shared" si="127"/>
        <v/>
      </c>
      <c r="AT76" s="1152" t="str">
        <f t="shared" si="127"/>
        <v/>
      </c>
      <c r="AU76" s="1153" t="str">
        <f t="shared" si="127"/>
        <v/>
      </c>
      <c r="AV76" s="1153" t="str">
        <f t="shared" si="127"/>
        <v/>
      </c>
      <c r="AW76" s="1153" t="str">
        <f t="shared" si="127"/>
        <v/>
      </c>
      <c r="AX76" s="1152" t="str">
        <f t="shared" si="127"/>
        <v/>
      </c>
      <c r="AY76" s="1153" t="str">
        <f t="shared" si="111"/>
        <v/>
      </c>
      <c r="AZ76" s="1153" t="str">
        <f t="shared" si="111"/>
        <v/>
      </c>
      <c r="BA76" s="1153" t="str">
        <f t="shared" si="111"/>
        <v/>
      </c>
      <c r="BB76" s="1152" t="str">
        <f t="shared" si="111"/>
        <v/>
      </c>
      <c r="BC76" s="961"/>
      <c r="BD76" s="962"/>
      <c r="BE76" s="1054"/>
      <c r="BF76" s="1054"/>
      <c r="BG76" s="1054"/>
      <c r="BH76" s="1054"/>
      <c r="BI76" s="1054"/>
      <c r="BJ76" s="1054"/>
      <c r="BK76" s="1054"/>
      <c r="BL76" s="1054"/>
      <c r="BM76" s="1054"/>
      <c r="BN76" s="1054"/>
      <c r="BO76" s="1054"/>
      <c r="BP76" s="1054"/>
      <c r="BQ76" s="949"/>
      <c r="BR76" s="968"/>
      <c r="BU76" s="922"/>
      <c r="BV76" s="1068" t="str">
        <f>C57</f>
        <v>PJM West / Tetco M3</v>
      </c>
      <c r="BW76" s="1070">
        <f>BP57</f>
        <v>-0.25</v>
      </c>
      <c r="BX76" s="1070">
        <f>$BX$58</f>
        <v>-0.25</v>
      </c>
      <c r="BY76" s="1073">
        <f>+BW76-BX76</f>
        <v>0</v>
      </c>
    </row>
    <row r="77" spans="1:77" ht="12.75" customHeight="1">
      <c r="A77" s="923"/>
      <c r="B77" s="924"/>
      <c r="C77" s="1120" t="s">
        <v>794</v>
      </c>
      <c r="D77" s="1125"/>
      <c r="E77" s="1125"/>
      <c r="F77" s="1126"/>
      <c r="G77" s="1140" t="str">
        <f t="shared" si="126"/>
        <v/>
      </c>
      <c r="H77" s="1141" t="str">
        <f t="shared" si="126"/>
        <v/>
      </c>
      <c r="I77" s="1141" t="str">
        <f t="shared" si="126"/>
        <v/>
      </c>
      <c r="J77" s="1142" t="str">
        <f t="shared" si="126"/>
        <v/>
      </c>
      <c r="K77" s="1140" t="str">
        <f t="shared" si="126"/>
        <v/>
      </c>
      <c r="L77" s="1141" t="str">
        <f t="shared" si="126"/>
        <v/>
      </c>
      <c r="M77" s="1141" t="str">
        <f t="shared" si="126"/>
        <v/>
      </c>
      <c r="N77" s="1142" t="str">
        <f t="shared" si="126"/>
        <v/>
      </c>
      <c r="O77" s="1140" t="str">
        <f t="shared" si="126"/>
        <v/>
      </c>
      <c r="P77" s="1141" t="str">
        <f t="shared" si="126"/>
        <v/>
      </c>
      <c r="Q77" s="1141" t="str">
        <f t="shared" si="126"/>
        <v/>
      </c>
      <c r="R77" s="1141" t="str">
        <f t="shared" si="126"/>
        <v/>
      </c>
      <c r="S77" s="1143" t="str">
        <f t="shared" si="126"/>
        <v/>
      </c>
      <c r="T77" s="1144" t="str">
        <f t="shared" si="126"/>
        <v/>
      </c>
      <c r="U77" s="1144" t="str">
        <f t="shared" si="126"/>
        <v/>
      </c>
      <c r="V77" s="1145" t="str">
        <f t="shared" si="126"/>
        <v/>
      </c>
      <c r="W77" s="1144" t="str">
        <f t="shared" si="126"/>
        <v/>
      </c>
      <c r="X77" s="1144" t="str">
        <f t="shared" si="126"/>
        <v/>
      </c>
      <c r="Y77" s="1144" t="str">
        <f t="shared" si="126"/>
        <v/>
      </c>
      <c r="Z77" s="1145" t="str">
        <f t="shared" si="126"/>
        <v/>
      </c>
      <c r="AA77" s="1144" t="str">
        <f t="shared" si="126"/>
        <v/>
      </c>
      <c r="AB77" s="1144" t="str">
        <f t="shared" si="126"/>
        <v/>
      </c>
      <c r="AC77" s="1144" t="str">
        <f t="shared" si="126"/>
        <v/>
      </c>
      <c r="AD77" s="1145" t="str">
        <f t="shared" si="126"/>
        <v/>
      </c>
      <c r="AE77" s="1144" t="str">
        <f t="shared" si="126"/>
        <v/>
      </c>
      <c r="AF77" s="1144" t="str">
        <f t="shared" si="126"/>
        <v/>
      </c>
      <c r="AG77" s="1144" t="str">
        <f t="shared" si="126"/>
        <v/>
      </c>
      <c r="AH77" s="1145" t="str">
        <f t="shared" si="126"/>
        <v/>
      </c>
      <c r="AI77" s="1144" t="str">
        <f t="shared" si="125"/>
        <v/>
      </c>
      <c r="AJ77" s="1144" t="str">
        <f t="shared" si="125"/>
        <v/>
      </c>
      <c r="AK77" s="1144" t="str">
        <f t="shared" si="125"/>
        <v/>
      </c>
      <c r="AL77" s="1145" t="str">
        <f t="shared" si="125"/>
        <v/>
      </c>
      <c r="AM77" s="1144" t="str">
        <f t="shared" si="125"/>
        <v/>
      </c>
      <c r="AN77" s="1144" t="str">
        <f t="shared" si="125"/>
        <v/>
      </c>
      <c r="AO77" s="1144" t="str">
        <f t="shared" si="125"/>
        <v/>
      </c>
      <c r="AP77" s="1145" t="str">
        <f t="shared" si="125"/>
        <v/>
      </c>
      <c r="AQ77" s="1144" t="str">
        <f t="shared" ref="AQ77:AX77" si="128">IF(ISBLANK(AQ220),"",AQ220)</f>
        <v/>
      </c>
      <c r="AR77" s="1144" t="str">
        <f t="shared" si="128"/>
        <v/>
      </c>
      <c r="AS77" s="1144" t="str">
        <f t="shared" si="128"/>
        <v/>
      </c>
      <c r="AT77" s="1145" t="str">
        <f t="shared" si="128"/>
        <v/>
      </c>
      <c r="AU77" s="1144" t="str">
        <f t="shared" si="128"/>
        <v/>
      </c>
      <c r="AV77" s="1144" t="str">
        <f t="shared" si="128"/>
        <v/>
      </c>
      <c r="AW77" s="1144" t="str">
        <f t="shared" si="128"/>
        <v/>
      </c>
      <c r="AX77" s="1145" t="str">
        <f t="shared" si="128"/>
        <v/>
      </c>
      <c r="AY77" s="1144" t="str">
        <f t="shared" si="111"/>
        <v/>
      </c>
      <c r="AZ77" s="1144" t="str">
        <f t="shared" si="111"/>
        <v/>
      </c>
      <c r="BA77" s="1144" t="str">
        <f t="shared" si="111"/>
        <v/>
      </c>
      <c r="BB77" s="1145" t="str">
        <f t="shared" si="111"/>
        <v/>
      </c>
      <c r="BC77" s="954"/>
      <c r="BD77" s="954"/>
      <c r="BE77" s="1052"/>
      <c r="BF77" s="1052"/>
      <c r="BG77" s="1052"/>
      <c r="BH77" s="1052"/>
      <c r="BI77" s="1052"/>
      <c r="BJ77" s="1052"/>
      <c r="BK77" s="1052"/>
      <c r="BL77" s="1052"/>
      <c r="BM77" s="1052"/>
      <c r="BN77" s="1052"/>
      <c r="BO77" s="1052"/>
      <c r="BP77" s="1052"/>
      <c r="BQ77" s="949"/>
      <c r="BR77" s="968"/>
      <c r="BU77" s="922"/>
      <c r="BV77" s="1068" t="str">
        <f>C58</f>
        <v>PJM East / Tetco M3</v>
      </c>
      <c r="BW77" s="1070">
        <f>BP58</f>
        <v>-0.25</v>
      </c>
      <c r="BX77" s="1070">
        <f>$BX$58</f>
        <v>-0.25</v>
      </c>
      <c r="BY77" s="1073">
        <f>+BW77-BX77</f>
        <v>0</v>
      </c>
    </row>
    <row r="78" spans="1:77" ht="12.75" customHeight="1">
      <c r="A78" s="923"/>
      <c r="B78" s="924"/>
      <c r="C78" s="1122" t="s">
        <v>674</v>
      </c>
      <c r="D78" s="1122"/>
      <c r="E78" s="1122"/>
      <c r="F78" s="1124"/>
      <c r="G78" s="1160">
        <f t="shared" si="126"/>
        <v>8528.0969298430045</v>
      </c>
      <c r="H78" s="1161">
        <f t="shared" si="126"/>
        <v>10939.694023823055</v>
      </c>
      <c r="I78" s="1161">
        <f t="shared" si="126"/>
        <v>14421.989330928911</v>
      </c>
      <c r="J78" s="1162">
        <f t="shared" si="126"/>
        <v>8861.0131998359921</v>
      </c>
      <c r="K78" s="1160">
        <f t="shared" si="126"/>
        <v>9167.0595922106477</v>
      </c>
      <c r="L78" s="1161">
        <f t="shared" si="126"/>
        <v>10189.12960248709</v>
      </c>
      <c r="M78" s="1161">
        <f t="shared" si="126"/>
        <v>11710.045508691945</v>
      </c>
      <c r="N78" s="1162">
        <f t="shared" si="126"/>
        <v>11336.882768537926</v>
      </c>
      <c r="O78" s="1160">
        <f t="shared" si="126"/>
        <v>10207.718317800258</v>
      </c>
      <c r="P78" s="1161">
        <f t="shared" si="126"/>
        <v>13937.121379905617</v>
      </c>
      <c r="Q78" s="1161">
        <f t="shared" si="126"/>
        <v>15132.551384701612</v>
      </c>
      <c r="R78" s="1161">
        <f t="shared" si="126"/>
        <v>12963.880511989042</v>
      </c>
      <c r="S78" s="1160">
        <f t="shared" si="126"/>
        <v>11474.979818138521</v>
      </c>
      <c r="T78" s="1161">
        <f t="shared" si="126"/>
        <v>10402.131258701407</v>
      </c>
      <c r="U78" s="1161">
        <f t="shared" si="126"/>
        <v>14595.99188276675</v>
      </c>
      <c r="V78" s="1162">
        <f t="shared" si="126"/>
        <v>15599.608908418337</v>
      </c>
      <c r="W78" s="1161">
        <f t="shared" si="126"/>
        <v>9818.857351275652</v>
      </c>
      <c r="X78" s="1161">
        <f t="shared" si="126"/>
        <v>11887.120339338082</v>
      </c>
      <c r="Y78" s="1161">
        <f t="shared" si="126"/>
        <v>15922.771678283798</v>
      </c>
      <c r="Z78" s="1162">
        <f t="shared" si="126"/>
        <v>15026.318812665288</v>
      </c>
      <c r="AA78" s="1161">
        <f t="shared" ref="AA78:AD79" si="129">IF(ISBLANK(AA221),"",AA221)</f>
        <v>9835.9779023649571</v>
      </c>
      <c r="AB78" s="1161">
        <f t="shared" si="129"/>
        <v>11407.233144218615</v>
      </c>
      <c r="AC78" s="1161">
        <f t="shared" si="129"/>
        <v>18666.071155473397</v>
      </c>
      <c r="AD78" s="1162">
        <f t="shared" si="129"/>
        <v>17315.33127145606</v>
      </c>
      <c r="AE78" s="1164">
        <f t="shared" si="126"/>
        <v>12206.386279703562</v>
      </c>
      <c r="AF78" s="1164">
        <f t="shared" si="126"/>
        <v>16621.31367909328</v>
      </c>
      <c r="AG78" s="1164">
        <f t="shared" si="126"/>
        <v>22288.404958475618</v>
      </c>
      <c r="AH78" s="1165">
        <f t="shared" si="126"/>
        <v>14434.588536316558</v>
      </c>
      <c r="AI78" s="1164">
        <f t="shared" si="125"/>
        <v>10264.218099859183</v>
      </c>
      <c r="AJ78" s="1164">
        <f t="shared" si="125"/>
        <v>12389.285901147583</v>
      </c>
      <c r="AK78" s="1164">
        <f t="shared" si="125"/>
        <v>13153.218506204936</v>
      </c>
      <c r="AL78" s="1165">
        <f t="shared" si="125"/>
        <v>14925.254225358662</v>
      </c>
      <c r="AM78" s="1164">
        <f t="shared" si="125"/>
        <v>7994.7887216424933</v>
      </c>
      <c r="AN78" s="1164">
        <f t="shared" si="125"/>
        <v>13122.990353697749</v>
      </c>
      <c r="AO78" s="1164">
        <f t="shared" si="125"/>
        <v>14125.083166999331</v>
      </c>
      <c r="AP78" s="1165">
        <f t="shared" si="125"/>
        <v>13408.970976253298</v>
      </c>
      <c r="AQ78" s="1164">
        <f t="shared" ref="AQ78:AX78" si="130">IF(ISBLANK(AQ221),"",AQ221)</f>
        <v>16121.702235183328</v>
      </c>
      <c r="AR78" s="1164">
        <f t="shared" si="130"/>
        <v>17104.044129356756</v>
      </c>
      <c r="AS78" s="1164">
        <f t="shared" si="130"/>
        <v>21029.097168692006</v>
      </c>
      <c r="AT78" s="1165">
        <f t="shared" si="130"/>
        <v>8461.414086437906</v>
      </c>
      <c r="AU78" s="1164">
        <f t="shared" si="130"/>
        <v>15860.467045238278</v>
      </c>
      <c r="AV78" s="1164">
        <f t="shared" si="130"/>
        <v>16826.891124557431</v>
      </c>
      <c r="AW78" s="1164">
        <f t="shared" si="130"/>
        <v>20688.34281700529</v>
      </c>
      <c r="AX78" s="1165">
        <f t="shared" si="130"/>
        <v>8324.3057908107585</v>
      </c>
      <c r="AY78" s="1164">
        <f t="shared" si="111"/>
        <v>15390.53594374832</v>
      </c>
      <c r="AZ78" s="1164">
        <f t="shared" si="111"/>
        <v>16328.325763382341</v>
      </c>
      <c r="BA78" s="1164">
        <f t="shared" si="111"/>
        <v>20075.366181432888</v>
      </c>
      <c r="BB78" s="1165">
        <f t="shared" si="111"/>
        <v>8077.6642399499096</v>
      </c>
      <c r="BC78" s="974"/>
      <c r="BD78" s="974"/>
      <c r="BE78" s="1074">
        <f t="shared" ref="BE78:BE93" si="131">AVERAGE(G78:J78)</f>
        <v>10687.698371107741</v>
      </c>
      <c r="BF78" s="1074">
        <f t="shared" ref="BF78:BF93" si="132">AVERAGE(K78:N78)</f>
        <v>10600.779367981901</v>
      </c>
      <c r="BG78" s="1074">
        <f t="shared" ref="BG78:BG93" si="133">AVERAGE(O78:R78)</f>
        <v>13060.317898599133</v>
      </c>
      <c r="BH78" s="1074">
        <f t="shared" ref="BH78:BH93" si="134">AVERAGE(S78:V78)</f>
        <v>13018.177967006253</v>
      </c>
      <c r="BI78" s="1074">
        <f t="shared" ref="BI78:BI93" si="135">AVERAGE(W78:Z78)</f>
        <v>13163.767045390705</v>
      </c>
      <c r="BJ78" s="1074">
        <f t="shared" ref="BJ78:BJ93" si="136">AVERAGE(AA78:AD78)</f>
        <v>14306.153368378258</v>
      </c>
      <c r="BK78" s="1074">
        <f t="shared" ref="BK78:BK93" si="137">AVERAGE(AE78:AH78)</f>
        <v>16387.673363397254</v>
      </c>
      <c r="BL78" s="1074">
        <f t="shared" ref="BL78:BL93" si="138">AVERAGE(AI78:AL78)</f>
        <v>12682.994183142589</v>
      </c>
      <c r="BM78" s="1074">
        <f t="shared" ref="BM78:BM93" si="139">AVERAGE(AM78:AP78)</f>
        <v>12162.958304648218</v>
      </c>
      <c r="BN78" s="1074">
        <f t="shared" ref="BN78:BN93" si="140">AVERAGE(AQ78:AT78)</f>
        <v>15679.064404917501</v>
      </c>
      <c r="BO78" s="1074">
        <f t="shared" ref="BO78:BO93" si="141">AVERAGE(AU78:AX78)</f>
        <v>15425.001694402939</v>
      </c>
      <c r="BP78" s="1074">
        <f t="shared" ref="BP78:BP93" si="142">AVERAGE(AY78:BB78)</f>
        <v>14967.973032128364</v>
      </c>
      <c r="BQ78" s="949"/>
      <c r="BR78" s="975"/>
      <c r="BU78" s="922"/>
      <c r="BV78" s="1068" t="str">
        <f>C59</f>
        <v>AEP-Dayton / Tetco M3</v>
      </c>
      <c r="BW78" s="1070">
        <f>BP59</f>
        <v>-0.25</v>
      </c>
      <c r="BX78" s="1070">
        <f>$BX$58</f>
        <v>-0.25</v>
      </c>
      <c r="BY78" s="1073">
        <f>+BW78-BX78</f>
        <v>0</v>
      </c>
    </row>
    <row r="79" spans="1:77" ht="12.75" customHeight="1">
      <c r="A79" s="923"/>
      <c r="B79" s="924"/>
      <c r="C79" s="1122" t="s">
        <v>675</v>
      </c>
      <c r="D79" s="1122"/>
      <c r="E79" s="1122"/>
      <c r="F79" s="1124"/>
      <c r="G79" s="1160">
        <f t="shared" si="126"/>
        <v>6354.9851186486494</v>
      </c>
      <c r="H79" s="1161">
        <f t="shared" si="126"/>
        <v>9234.2721012697057</v>
      </c>
      <c r="I79" s="1161">
        <f t="shared" si="126"/>
        <v>11593.947010070106</v>
      </c>
      <c r="J79" s="1162">
        <f t="shared" si="126"/>
        <v>7986.3843661035107</v>
      </c>
      <c r="K79" s="1160">
        <f t="shared" si="126"/>
        <v>6840.1396780303039</v>
      </c>
      <c r="L79" s="1161">
        <f t="shared" si="126"/>
        <v>9130.7265133667552</v>
      </c>
      <c r="M79" s="1161">
        <f t="shared" si="126"/>
        <v>10816.593582639658</v>
      </c>
      <c r="N79" s="1162">
        <f t="shared" si="126"/>
        <v>10282.027240426369</v>
      </c>
      <c r="O79" s="1160">
        <f t="shared" si="126"/>
        <v>11040.263568617833</v>
      </c>
      <c r="P79" s="1161">
        <f t="shared" si="126"/>
        <v>14052.827281024129</v>
      </c>
      <c r="Q79" s="1161">
        <f t="shared" si="126"/>
        <v>13593.795584312746</v>
      </c>
      <c r="R79" s="1161">
        <f t="shared" si="126"/>
        <v>10650.641750476832</v>
      </c>
      <c r="S79" s="1160">
        <f t="shared" si="126"/>
        <v>10613.332343739214</v>
      </c>
      <c r="T79" s="1161">
        <f t="shared" si="126"/>
        <v>9814.6604717116315</v>
      </c>
      <c r="U79" s="1161">
        <f t="shared" si="126"/>
        <v>15217.027511328975</v>
      </c>
      <c r="V79" s="1162">
        <f t="shared" si="126"/>
        <v>11622.060695219723</v>
      </c>
      <c r="W79" s="1161">
        <f t="shared" si="126"/>
        <v>8339.8677320762581</v>
      </c>
      <c r="X79" s="1161">
        <f t="shared" si="126"/>
        <v>12089.696865123291</v>
      </c>
      <c r="Y79" s="1161">
        <f t="shared" si="126"/>
        <v>17008.913404698229</v>
      </c>
      <c r="Z79" s="1162">
        <f t="shared" si="126"/>
        <v>14242.244323975263</v>
      </c>
      <c r="AA79" s="1161">
        <f t="shared" si="129"/>
        <v>8245.126379457306</v>
      </c>
      <c r="AB79" s="1161">
        <f t="shared" si="129"/>
        <v>23636.495062483507</v>
      </c>
      <c r="AC79" s="1161">
        <f t="shared" si="129"/>
        <v>29559.964278835214</v>
      </c>
      <c r="AD79" s="1162">
        <f t="shared" si="129"/>
        <v>26840.274598772085</v>
      </c>
      <c r="AE79" s="1164">
        <f t="shared" si="126"/>
        <v>16770.720038090938</v>
      </c>
      <c r="AF79" s="1164">
        <f t="shared" si="126"/>
        <v>22601.852674604575</v>
      </c>
      <c r="AG79" s="1164">
        <f t="shared" si="126"/>
        <v>34191.352496551095</v>
      </c>
      <c r="AH79" s="1165">
        <f t="shared" si="126"/>
        <v>12233.948471734455</v>
      </c>
      <c r="AI79" s="1164">
        <f t="shared" si="125"/>
        <v>9237.5699548947559</v>
      </c>
      <c r="AJ79" s="1164">
        <f t="shared" si="125"/>
        <v>13374.181331245492</v>
      </c>
      <c r="AK79" s="1164">
        <f t="shared" si="125"/>
        <v>19942.594548815701</v>
      </c>
      <c r="AL79" s="1165">
        <f t="shared" si="125"/>
        <v>12811.212946664498</v>
      </c>
      <c r="AM79" s="1164">
        <f t="shared" si="125"/>
        <v>5561.1264063691815</v>
      </c>
      <c r="AN79" s="1164">
        <f t="shared" si="125"/>
        <v>16904.797713941942</v>
      </c>
      <c r="AO79" s="1164">
        <f t="shared" si="125"/>
        <v>15195.195195195192</v>
      </c>
      <c r="AP79" s="1165">
        <f t="shared" si="125"/>
        <v>14065.797641216635</v>
      </c>
      <c r="AQ79" s="1164">
        <f t="shared" ref="AQ79:AX79" si="143">IF(ISBLANK(AQ222),"",AQ222)</f>
        <v>14527.253857531297</v>
      </c>
      <c r="AR79" s="1164">
        <f t="shared" si="143"/>
        <v>19603.903225075555</v>
      </c>
      <c r="AS79" s="1164">
        <f t="shared" si="143"/>
        <v>17640.554959788038</v>
      </c>
      <c r="AT79" s="1165">
        <f t="shared" si="143"/>
        <v>7417.7739790369633</v>
      </c>
      <c r="AU79" s="1164">
        <f t="shared" si="143"/>
        <v>14642.155761170308</v>
      </c>
      <c r="AV79" s="1164">
        <f t="shared" si="143"/>
        <v>19758.958393891811</v>
      </c>
      <c r="AW79" s="1164">
        <f t="shared" si="143"/>
        <v>17780.081216161496</v>
      </c>
      <c r="AX79" s="1165">
        <f t="shared" si="143"/>
        <v>7476.4441419813102</v>
      </c>
      <c r="AY79" s="1164">
        <f t="shared" si="111"/>
        <v>14513.506709443927</v>
      </c>
      <c r="AZ79" s="1164">
        <f t="shared" si="111"/>
        <v>19585.352040979196</v>
      </c>
      <c r="BA79" s="1164">
        <f t="shared" si="111"/>
        <v>17623.861693204144</v>
      </c>
      <c r="BB79" s="1165">
        <f t="shared" si="111"/>
        <v>7410.7545355572447</v>
      </c>
      <c r="BC79" s="974"/>
      <c r="BD79" s="974"/>
      <c r="BE79" s="1074">
        <f t="shared" si="131"/>
        <v>8792.3971490229942</v>
      </c>
      <c r="BF79" s="1074">
        <f t="shared" si="132"/>
        <v>9267.371753615771</v>
      </c>
      <c r="BG79" s="1074">
        <f t="shared" si="133"/>
        <v>12334.382046107885</v>
      </c>
      <c r="BH79" s="1074">
        <f t="shared" si="134"/>
        <v>11816.770255499887</v>
      </c>
      <c r="BI79" s="1074">
        <f t="shared" si="135"/>
        <v>12920.180581468259</v>
      </c>
      <c r="BJ79" s="1074">
        <f t="shared" si="136"/>
        <v>22070.465079887028</v>
      </c>
      <c r="BK79" s="1074">
        <f t="shared" si="137"/>
        <v>21449.468420245266</v>
      </c>
      <c r="BL79" s="1074">
        <f t="shared" si="138"/>
        <v>13841.389695405112</v>
      </c>
      <c r="BM79" s="1074">
        <f t="shared" si="139"/>
        <v>12931.729239180739</v>
      </c>
      <c r="BN79" s="1074">
        <f t="shared" si="140"/>
        <v>14797.371505357962</v>
      </c>
      <c r="BO79" s="1074">
        <f t="shared" si="141"/>
        <v>14914.40987830123</v>
      </c>
      <c r="BP79" s="1074">
        <f t="shared" si="142"/>
        <v>14783.368744796129</v>
      </c>
      <c r="BQ79" s="949"/>
      <c r="BR79" s="950"/>
      <c r="BU79" s="922"/>
      <c r="BV79" s="921"/>
      <c r="BW79" s="921"/>
      <c r="BX79" s="921"/>
    </row>
    <row r="80" spans="1:77" ht="12.75" customHeight="1">
      <c r="A80" s="923"/>
      <c r="B80" s="924"/>
      <c r="C80" s="1122" t="s">
        <v>676</v>
      </c>
      <c r="D80" s="1122"/>
      <c r="E80" s="1122"/>
      <c r="F80" s="1124"/>
      <c r="G80" s="1160">
        <f t="shared" si="126"/>
        <v>8543.6664872269102</v>
      </c>
      <c r="H80" s="1161">
        <f t="shared" si="126"/>
        <v>11733.472288175466</v>
      </c>
      <c r="I80" s="1161">
        <f t="shared" si="126"/>
        <v>15567.424976285371</v>
      </c>
      <c r="J80" s="1162">
        <f t="shared" ref="J80:AH80" si="144">IF(ISBLANK(J223),"",J223)</f>
        <v>9467.1210998981551</v>
      </c>
      <c r="K80" s="1160">
        <f t="shared" si="144"/>
        <v>8811.5559963805918</v>
      </c>
      <c r="L80" s="1161">
        <f t="shared" si="144"/>
        <v>11833.163129494042</v>
      </c>
      <c r="M80" s="1161">
        <f t="shared" si="144"/>
        <v>13749.375769400505</v>
      </c>
      <c r="N80" s="1162">
        <f t="shared" si="144"/>
        <v>11401.789212415018</v>
      </c>
      <c r="O80" s="1160">
        <f t="shared" si="144"/>
        <v>10858.411061353236</v>
      </c>
      <c r="P80" s="1161">
        <f t="shared" si="144"/>
        <v>17096.327622236855</v>
      </c>
      <c r="Q80" s="1161">
        <f t="shared" si="144"/>
        <v>16321.388541509912</v>
      </c>
      <c r="R80" s="1161">
        <f t="shared" si="144"/>
        <v>11936.102955529621</v>
      </c>
      <c r="S80" s="1160">
        <f t="shared" si="144"/>
        <v>9200.0602031750641</v>
      </c>
      <c r="T80" s="1161">
        <f t="shared" si="144"/>
        <v>10943.30469533352</v>
      </c>
      <c r="U80" s="1161">
        <f t="shared" si="144"/>
        <v>16839.305638511436</v>
      </c>
      <c r="V80" s="1162">
        <f t="shared" si="144"/>
        <v>11507.281614895146</v>
      </c>
      <c r="W80" s="1161">
        <f t="shared" si="144"/>
        <v>8513.2984461369888</v>
      </c>
      <c r="X80" s="1161">
        <f t="shared" si="144"/>
        <v>12214.306661080853</v>
      </c>
      <c r="Y80" s="1161">
        <f t="shared" si="144"/>
        <v>15533.074957564382</v>
      </c>
      <c r="Z80" s="1162">
        <f t="shared" si="144"/>
        <v>13169.174296902111</v>
      </c>
      <c r="AA80" s="1161">
        <f t="shared" ref="AA80:AD89" si="145">IF(ISBLANK(AA223),"",AA223)</f>
        <v>8752.0153850948955</v>
      </c>
      <c r="AB80" s="1161">
        <f t="shared" si="145"/>
        <v>13044.571585464208</v>
      </c>
      <c r="AC80" s="1161">
        <f t="shared" si="145"/>
        <v>16897.690788927091</v>
      </c>
      <c r="AD80" s="1162">
        <f t="shared" si="145"/>
        <v>14276.849559241589</v>
      </c>
      <c r="AE80" s="1164">
        <f t="shared" si="144"/>
        <v>12408.032404772037</v>
      </c>
      <c r="AF80" s="1164">
        <f t="shared" si="144"/>
        <v>16600.643581221062</v>
      </c>
      <c r="AG80" s="1164">
        <f t="shared" si="144"/>
        <v>20653.382464404767</v>
      </c>
      <c r="AH80" s="1165">
        <f t="shared" si="144"/>
        <v>13059.678246218231</v>
      </c>
      <c r="AI80" s="1164">
        <f t="shared" si="125"/>
        <v>10564.639678870024</v>
      </c>
      <c r="AJ80" s="1164">
        <f t="shared" si="125"/>
        <v>12417.855523387629</v>
      </c>
      <c r="AK80" s="1164">
        <f t="shared" si="125"/>
        <v>13595.184996214484</v>
      </c>
      <c r="AL80" s="1165">
        <f t="shared" si="125"/>
        <v>11881.520868816107</v>
      </c>
      <c r="AM80" s="1164">
        <f t="shared" si="125"/>
        <v>6442.6306762573604</v>
      </c>
      <c r="AN80" s="1164">
        <f t="shared" si="125"/>
        <v>14924.97320471597</v>
      </c>
      <c r="AO80" s="1164">
        <f t="shared" si="125"/>
        <v>11663.33998669328</v>
      </c>
      <c r="AP80" s="1165">
        <f t="shared" si="125"/>
        <v>13240.105540897099</v>
      </c>
      <c r="AQ80" s="1164">
        <f t="shared" ref="AQ80:AX80" si="146">IF(ISBLANK(AQ223),"",AQ223)</f>
        <v>15902.941350771327</v>
      </c>
      <c r="AR80" s="1164">
        <f t="shared" si="146"/>
        <v>19127.171748689459</v>
      </c>
      <c r="AS80" s="1164">
        <f t="shared" si="146"/>
        <v>16072.965189791517</v>
      </c>
      <c r="AT80" s="1165">
        <f t="shared" si="146"/>
        <v>6473.9168195960674</v>
      </c>
      <c r="AU80" s="1164">
        <f t="shared" si="146"/>
        <v>15877.25457081885</v>
      </c>
      <c r="AV80" s="1164">
        <f t="shared" si="146"/>
        <v>19096.277121023737</v>
      </c>
      <c r="AW80" s="1164">
        <f t="shared" si="146"/>
        <v>16047.003783602089</v>
      </c>
      <c r="AX80" s="1165">
        <f t="shared" si="146"/>
        <v>6463.460007041228</v>
      </c>
      <c r="AY80" s="1164">
        <f t="shared" si="111"/>
        <v>15501.066136796249</v>
      </c>
      <c r="AZ80" s="1164">
        <f t="shared" si="111"/>
        <v>18643.818633709263</v>
      </c>
      <c r="BA80" s="1164">
        <f t="shared" si="111"/>
        <v>15666.79338909201</v>
      </c>
      <c r="BB80" s="1165">
        <f t="shared" si="111"/>
        <v>6310.3177312421476</v>
      </c>
      <c r="BC80" s="974"/>
      <c r="BD80" s="974"/>
      <c r="BE80" s="1074">
        <f t="shared" si="131"/>
        <v>11327.921212896475</v>
      </c>
      <c r="BF80" s="1074">
        <f t="shared" si="132"/>
        <v>11448.971026922538</v>
      </c>
      <c r="BG80" s="1074">
        <f t="shared" si="133"/>
        <v>14053.057545157406</v>
      </c>
      <c r="BH80" s="1074">
        <f t="shared" si="134"/>
        <v>12122.488037978792</v>
      </c>
      <c r="BI80" s="1074">
        <f t="shared" si="135"/>
        <v>12357.463590421085</v>
      </c>
      <c r="BJ80" s="1074">
        <f t="shared" si="136"/>
        <v>13242.781829681946</v>
      </c>
      <c r="BK80" s="1074">
        <f t="shared" si="137"/>
        <v>15680.434174154023</v>
      </c>
      <c r="BL80" s="1074">
        <f t="shared" si="138"/>
        <v>12114.800266822062</v>
      </c>
      <c r="BM80" s="1074">
        <f t="shared" si="139"/>
        <v>11567.762352140928</v>
      </c>
      <c r="BN80" s="1074">
        <f t="shared" si="140"/>
        <v>14394.248777212093</v>
      </c>
      <c r="BO80" s="1074">
        <f t="shared" si="141"/>
        <v>14370.998870621475</v>
      </c>
      <c r="BP80" s="1074">
        <f t="shared" si="142"/>
        <v>14030.498972709916</v>
      </c>
      <c r="BQ80" s="949"/>
      <c r="BR80" s="950"/>
      <c r="BU80" s="922"/>
      <c r="BV80" s="921"/>
      <c r="BW80" s="921"/>
      <c r="BX80" s="921"/>
    </row>
    <row r="81" spans="1:99" ht="12.75" customHeight="1">
      <c r="A81" s="923"/>
      <c r="B81" s="924"/>
      <c r="C81" s="1122" t="s">
        <v>677</v>
      </c>
      <c r="D81" s="1122"/>
      <c r="E81" s="1122"/>
      <c r="F81" s="1124"/>
      <c r="G81" s="1160">
        <f t="shared" ref="G81:AH90" si="147">IF(ISBLANK(G224),"",G224)</f>
        <v>9392.5798896790966</v>
      </c>
      <c r="H81" s="1161">
        <f t="shared" si="147"/>
        <v>13697.35313631684</v>
      </c>
      <c r="I81" s="1161">
        <f t="shared" si="147"/>
        <v>17284.703810095227</v>
      </c>
      <c r="J81" s="1162">
        <f t="shared" si="147"/>
        <v>10274.047045908441</v>
      </c>
      <c r="K81" s="1160">
        <f t="shared" si="147"/>
        <v>10183.447113344422</v>
      </c>
      <c r="L81" s="1161">
        <f t="shared" si="147"/>
        <v>13001.009310136313</v>
      </c>
      <c r="M81" s="1161">
        <f t="shared" si="147"/>
        <v>14568.584070796462</v>
      </c>
      <c r="N81" s="1162">
        <f t="shared" si="147"/>
        <v>12436.247938794573</v>
      </c>
      <c r="O81" s="1160">
        <f t="shared" si="147"/>
        <v>12425.14553153737</v>
      </c>
      <c r="P81" s="1161">
        <f t="shared" si="147"/>
        <v>18031.971093165863</v>
      </c>
      <c r="Q81" s="1161">
        <f t="shared" si="147"/>
        <v>17146.378293109447</v>
      </c>
      <c r="R81" s="1161">
        <f t="shared" si="147"/>
        <v>12431.863270403677</v>
      </c>
      <c r="S81" s="1160">
        <f t="shared" si="147"/>
        <v>10578.39992459892</v>
      </c>
      <c r="T81" s="1161">
        <f t="shared" si="147"/>
        <v>11999.78855129232</v>
      </c>
      <c r="U81" s="1161">
        <f t="shared" si="147"/>
        <v>17812.227801005432</v>
      </c>
      <c r="V81" s="1162">
        <f t="shared" si="147"/>
        <v>11729.179938323001</v>
      </c>
      <c r="W81" s="1161">
        <f t="shared" si="147"/>
        <v>9203.1098350249158</v>
      </c>
      <c r="X81" s="1161">
        <f t="shared" si="147"/>
        <v>12626.733347297857</v>
      </c>
      <c r="Y81" s="1161">
        <f t="shared" si="147"/>
        <v>15897.562359300329</v>
      </c>
      <c r="Z81" s="1162">
        <f t="shared" si="147"/>
        <v>13240.978153002308</v>
      </c>
      <c r="AA81" s="1161">
        <f t="shared" si="145"/>
        <v>9018.8976375690818</v>
      </c>
      <c r="AB81" s="1161">
        <f t="shared" si="145"/>
        <v>13894.286417546622</v>
      </c>
      <c r="AC81" s="1161">
        <f t="shared" si="145"/>
        <v>18107.995319874713</v>
      </c>
      <c r="AD81" s="1162">
        <f t="shared" si="145"/>
        <v>14745.056501394383</v>
      </c>
      <c r="AE81" s="1164">
        <f t="shared" si="147"/>
        <v>13209.269974318235</v>
      </c>
      <c r="AF81" s="1164">
        <f t="shared" si="147"/>
        <v>17254.346935393285</v>
      </c>
      <c r="AG81" s="1164">
        <f t="shared" si="147"/>
        <v>22217.55576655066</v>
      </c>
      <c r="AH81" s="1165">
        <f t="shared" si="147"/>
        <v>13392.414325610831</v>
      </c>
      <c r="AI81" s="1164">
        <f t="shared" si="125"/>
        <v>10821.778932940791</v>
      </c>
      <c r="AJ81" s="1164">
        <f t="shared" si="125"/>
        <v>14506.809765484199</v>
      </c>
      <c r="AK81" s="1164">
        <f t="shared" si="125"/>
        <v>14815.14368478225</v>
      </c>
      <c r="AL81" s="1165">
        <f t="shared" si="125"/>
        <v>12173.228816928658</v>
      </c>
      <c r="AM81" s="1164">
        <f t="shared" si="125"/>
        <v>7815.56322828876</v>
      </c>
      <c r="AN81" s="1164">
        <f t="shared" si="125"/>
        <v>16606.377277599146</v>
      </c>
      <c r="AO81" s="1164">
        <f t="shared" si="125"/>
        <v>13626.081170991349</v>
      </c>
      <c r="AP81" s="1165">
        <f t="shared" si="125"/>
        <v>14369.39313984169</v>
      </c>
      <c r="AQ81" s="1164">
        <f t="shared" ref="AQ81:AX81" si="148">IF(ISBLANK(AQ224),"",AQ224)</f>
        <v>16741.315089166317</v>
      </c>
      <c r="AR81" s="1164">
        <f t="shared" si="148"/>
        <v>20687.340048570692</v>
      </c>
      <c r="AS81" s="1164">
        <f t="shared" si="148"/>
        <v>18591.892964046394</v>
      </c>
      <c r="AT81" s="1165">
        <f t="shared" si="148"/>
        <v>8151.6242564083632</v>
      </c>
      <c r="AU81" s="1164">
        <f t="shared" si="148"/>
        <v>16761.003464683836</v>
      </c>
      <c r="AV81" s="1164">
        <f t="shared" si="148"/>
        <v>20711.669088264731</v>
      </c>
      <c r="AW81" s="1164">
        <f t="shared" si="148"/>
        <v>18613.757684249551</v>
      </c>
      <c r="AX81" s="1165">
        <f t="shared" si="148"/>
        <v>8161.210853314461</v>
      </c>
      <c r="AY81" s="1164">
        <f t="shared" si="111"/>
        <v>16419.071657976107</v>
      </c>
      <c r="AZ81" s="1164">
        <f t="shared" si="111"/>
        <v>20289.14197369161</v>
      </c>
      <c r="BA81" s="1164">
        <f t="shared" si="111"/>
        <v>18234.028880541242</v>
      </c>
      <c r="BB81" s="1165">
        <f t="shared" si="111"/>
        <v>7994.7185798729333</v>
      </c>
      <c r="BC81" s="974"/>
      <c r="BD81" s="974"/>
      <c r="BE81" s="1074">
        <f t="shared" si="131"/>
        <v>12662.170970499901</v>
      </c>
      <c r="BF81" s="1074">
        <f t="shared" si="132"/>
        <v>12547.322108267941</v>
      </c>
      <c r="BG81" s="1074">
        <f t="shared" si="133"/>
        <v>15008.839547054089</v>
      </c>
      <c r="BH81" s="1074">
        <f t="shared" si="134"/>
        <v>13029.89905380492</v>
      </c>
      <c r="BI81" s="1074">
        <f t="shared" si="135"/>
        <v>12742.095923656352</v>
      </c>
      <c r="BJ81" s="1074">
        <f t="shared" si="136"/>
        <v>13941.558969096201</v>
      </c>
      <c r="BK81" s="1074">
        <f t="shared" si="137"/>
        <v>16518.396750468255</v>
      </c>
      <c r="BL81" s="1074">
        <f t="shared" si="138"/>
        <v>13079.240300033973</v>
      </c>
      <c r="BM81" s="1074">
        <f t="shared" si="139"/>
        <v>13104.353704180236</v>
      </c>
      <c r="BN81" s="1074">
        <f t="shared" si="140"/>
        <v>16043.04308954794</v>
      </c>
      <c r="BO81" s="1074">
        <f t="shared" si="141"/>
        <v>16061.910272628145</v>
      </c>
      <c r="BP81" s="1074">
        <f t="shared" si="142"/>
        <v>15734.240273020474</v>
      </c>
      <c r="BQ81" s="949"/>
      <c r="BR81" s="950"/>
      <c r="BU81" s="1370"/>
      <c r="BV81" s="1371" t="s">
        <v>1044</v>
      </c>
      <c r="BW81" s="1370"/>
      <c r="BX81" s="1370"/>
      <c r="BY81" s="1370"/>
      <c r="BZ81" s="1370"/>
      <c r="CA81" s="1370"/>
      <c r="CB81" s="1370"/>
      <c r="CC81" s="1370"/>
      <c r="CD81" s="1370"/>
      <c r="CE81" s="1370"/>
      <c r="CF81" s="1370"/>
      <c r="CG81" s="1370"/>
      <c r="CH81" s="1370"/>
      <c r="CI81" s="1370"/>
      <c r="CJ81" s="1370"/>
      <c r="CK81" s="1370"/>
      <c r="CL81" s="1370"/>
      <c r="CM81" s="1370"/>
      <c r="CN81" s="1370"/>
      <c r="CO81" s="1370"/>
      <c r="CP81" s="1370"/>
      <c r="CQ81" s="1370"/>
      <c r="CR81" s="1370"/>
      <c r="CS81" s="1370"/>
      <c r="CT81" s="1370"/>
      <c r="CU81" s="1370"/>
    </row>
    <row r="82" spans="1:99" ht="12.75" customHeight="1">
      <c r="A82" s="923"/>
      <c r="B82" s="924"/>
      <c r="C82" s="1122" t="s">
        <v>678</v>
      </c>
      <c r="D82" s="1122"/>
      <c r="E82" s="1122"/>
      <c r="F82" s="1124"/>
      <c r="G82" s="1160">
        <f t="shared" si="147"/>
        <v>7982.4119503554102</v>
      </c>
      <c r="H82" s="1161">
        <f t="shared" si="147"/>
        <v>11041.103779988538</v>
      </c>
      <c r="I82" s="1161">
        <f t="shared" si="147"/>
        <v>14228.587132037725</v>
      </c>
      <c r="J82" s="1162">
        <f t="shared" si="147"/>
        <v>9383.2805134876544</v>
      </c>
      <c r="K82" s="1160">
        <f t="shared" si="147"/>
        <v>8427.5939587936628</v>
      </c>
      <c r="L82" s="1161">
        <f t="shared" si="147"/>
        <v>12841.345055255759</v>
      </c>
      <c r="M82" s="1161">
        <f t="shared" si="147"/>
        <v>13053.181206760597</v>
      </c>
      <c r="N82" s="1162">
        <f t="shared" si="147"/>
        <v>10988.427298979313</v>
      </c>
      <c r="O82" s="1160">
        <f t="shared" si="147"/>
        <v>12399.269052277541</v>
      </c>
      <c r="P82" s="1161">
        <f t="shared" si="147"/>
        <v>15811.917941469588</v>
      </c>
      <c r="Q82" s="1161">
        <f t="shared" si="147"/>
        <v>16066.421494696588</v>
      </c>
      <c r="R82" s="1161">
        <f t="shared" si="147"/>
        <v>11326.798880136883</v>
      </c>
      <c r="S82" s="1160">
        <f t="shared" si="147"/>
        <v>9769.8876086014934</v>
      </c>
      <c r="T82" s="1161">
        <f t="shared" si="147"/>
        <v>10989.280048611789</v>
      </c>
      <c r="U82" s="1161">
        <f t="shared" si="147"/>
        <v>13580.3682962901</v>
      </c>
      <c r="V82" s="1162">
        <f t="shared" si="147"/>
        <v>10104.935635805112</v>
      </c>
      <c r="W82" s="1161">
        <f t="shared" si="147"/>
        <v>8947.0994834564881</v>
      </c>
      <c r="X82" s="1161">
        <f t="shared" si="147"/>
        <v>13598.639044134061</v>
      </c>
      <c r="Y82" s="1161">
        <f t="shared" si="147"/>
        <v>16362.499285784888</v>
      </c>
      <c r="Z82" s="1162">
        <f t="shared" si="147"/>
        <v>14636.185295017334</v>
      </c>
      <c r="AA82" s="1161">
        <f t="shared" si="145"/>
        <v>8819.9510291713868</v>
      </c>
      <c r="AB82" s="1161">
        <f t="shared" si="145"/>
        <v>24123.141529550368</v>
      </c>
      <c r="AC82" s="1161">
        <f t="shared" si="145"/>
        <v>28747.430408517044</v>
      </c>
      <c r="AD82" s="1162">
        <f t="shared" si="145"/>
        <v>24735.597244755765</v>
      </c>
      <c r="AE82" s="1164">
        <f t="shared" si="147"/>
        <v>16416.865442427312</v>
      </c>
      <c r="AF82" s="1164">
        <f t="shared" si="147"/>
        <v>20663.424419465664</v>
      </c>
      <c r="AG82" s="1164">
        <f t="shared" si="147"/>
        <v>28889.206582791372</v>
      </c>
      <c r="AH82" s="1165">
        <f t="shared" si="147"/>
        <v>14896.780177793647</v>
      </c>
      <c r="AI82" s="1164">
        <f t="shared" si="125"/>
        <v>10739.7501298603</v>
      </c>
      <c r="AJ82" s="1164">
        <f t="shared" si="125"/>
        <v>13045.335901964805</v>
      </c>
      <c r="AK82" s="1164">
        <f t="shared" si="125"/>
        <v>20361.658997618648</v>
      </c>
      <c r="AL82" s="1165">
        <f t="shared" si="125"/>
        <v>13616.365420376185</v>
      </c>
      <c r="AM82" s="1164">
        <f t="shared" ref="AM82:AP86" si="149">IF(ISBLANK(AM225),"",AM225)</f>
        <v>7345.4940065431902</v>
      </c>
      <c r="AN82" s="1164">
        <f t="shared" si="149"/>
        <v>15566.250563994585</v>
      </c>
      <c r="AO82" s="1164">
        <f t="shared" si="149"/>
        <v>16621.62162162162</v>
      </c>
      <c r="AP82" s="1165">
        <f t="shared" si="149"/>
        <v>12917.442582247049</v>
      </c>
      <c r="AQ82" s="1164">
        <f t="shared" ref="AQ82:AX82" si="150">IF(ISBLANK(AQ225),"",AQ225)</f>
        <v>11104.548723888633</v>
      </c>
      <c r="AR82" s="1164">
        <f t="shared" si="150"/>
        <v>16674.490418195121</v>
      </c>
      <c r="AS82" s="1164">
        <f t="shared" si="150"/>
        <v>17885.095700846545</v>
      </c>
      <c r="AT82" s="1165">
        <f t="shared" si="150"/>
        <v>10165.322792411107</v>
      </c>
      <c r="AU82" s="1164">
        <f t="shared" si="150"/>
        <v>11252.137629199777</v>
      </c>
      <c r="AV82" s="1164">
        <f t="shared" si="150"/>
        <v>16896.108590048279</v>
      </c>
      <c r="AW82" s="1164">
        <f t="shared" si="150"/>
        <v>18122.803847436458</v>
      </c>
      <c r="AX82" s="1165">
        <f t="shared" si="150"/>
        <v>10300.428585574848</v>
      </c>
      <c r="AY82" s="1490">
        <f t="shared" ref="AY82:BB86" si="151">IF(ISBLANK(AY225),"",IF(Uplift="Yes",$BW36,AY225))</f>
        <v>14319.999999999998</v>
      </c>
      <c r="AZ82" s="1490">
        <f t="shared" si="151"/>
        <v>14319.999999999998</v>
      </c>
      <c r="BA82" s="1490">
        <f t="shared" si="151"/>
        <v>14319.999999999998</v>
      </c>
      <c r="BB82" s="1491">
        <f t="shared" si="151"/>
        <v>14319.999999999998</v>
      </c>
      <c r="BC82" s="974"/>
      <c r="BD82" s="974"/>
      <c r="BE82" s="1074">
        <f t="shared" si="131"/>
        <v>10658.845843967332</v>
      </c>
      <c r="BF82" s="1074">
        <f t="shared" si="132"/>
        <v>11327.636879947331</v>
      </c>
      <c r="BG82" s="1074">
        <f t="shared" si="133"/>
        <v>13901.10184214515</v>
      </c>
      <c r="BH82" s="1074">
        <f t="shared" si="134"/>
        <v>11111.117897327124</v>
      </c>
      <c r="BI82" s="1074">
        <f t="shared" si="135"/>
        <v>13386.105777098193</v>
      </c>
      <c r="BJ82" s="1074">
        <f t="shared" si="136"/>
        <v>21606.530052998642</v>
      </c>
      <c r="BK82" s="1074">
        <f t="shared" si="137"/>
        <v>20216.569155619502</v>
      </c>
      <c r="BL82" s="1074">
        <f t="shared" si="138"/>
        <v>14440.777612454986</v>
      </c>
      <c r="BM82" s="1074">
        <f t="shared" si="139"/>
        <v>13112.702193601612</v>
      </c>
      <c r="BN82" s="1074">
        <f t="shared" si="140"/>
        <v>13957.364408835352</v>
      </c>
      <c r="BO82" s="1074">
        <f t="shared" si="141"/>
        <v>14142.869663064841</v>
      </c>
      <c r="BP82" s="1074">
        <f t="shared" si="142"/>
        <v>14319.999999999998</v>
      </c>
      <c r="BQ82" s="949"/>
      <c r="BR82" s="950"/>
      <c r="BU82" s="1370"/>
      <c r="BV82" s="1372" t="s">
        <v>1045</v>
      </c>
      <c r="BW82" s="1373">
        <f>Valuation!CF31</f>
        <v>0</v>
      </c>
      <c r="BX82" s="1370"/>
      <c r="BY82" s="1370"/>
      <c r="BZ82" s="1370"/>
      <c r="CA82" s="1370"/>
      <c r="CB82" s="1370"/>
      <c r="CC82" s="1370"/>
      <c r="CD82" s="1370"/>
      <c r="CE82" s="1370"/>
      <c r="CF82" s="1370"/>
      <c r="CG82" s="1370"/>
      <c r="CH82" s="1370"/>
      <c r="CI82" s="1370"/>
      <c r="CJ82" s="1370"/>
      <c r="CK82" s="1370"/>
      <c r="CL82" s="1370"/>
      <c r="CM82" s="1370"/>
      <c r="CN82" s="1370"/>
      <c r="CO82" s="1370"/>
      <c r="CP82" s="1370"/>
      <c r="CQ82" s="1370"/>
      <c r="CR82" s="1370"/>
      <c r="CS82" s="1370"/>
      <c r="CT82" s="1370"/>
      <c r="CU82" s="1370"/>
    </row>
    <row r="83" spans="1:99" ht="12.75" customHeight="1">
      <c r="A83" s="923"/>
      <c r="B83" s="924"/>
      <c r="C83" s="1122" t="s">
        <v>601</v>
      </c>
      <c r="D83" s="1122"/>
      <c r="E83" s="1122"/>
      <c r="F83" s="1124"/>
      <c r="G83" s="1160">
        <f t="shared" si="147"/>
        <v>8711.9060675020501</v>
      </c>
      <c r="H83" s="1161">
        <f t="shared" si="147"/>
        <v>12152.629284719847</v>
      </c>
      <c r="I83" s="1161">
        <f t="shared" si="147"/>
        <v>17173.13306743103</v>
      </c>
      <c r="J83" s="1162">
        <f t="shared" si="147"/>
        <v>10120.881701897726</v>
      </c>
      <c r="K83" s="1160">
        <f t="shared" si="147"/>
        <v>9486.4861275515559</v>
      </c>
      <c r="L83" s="1161">
        <f t="shared" si="147"/>
        <v>14083.274067213015</v>
      </c>
      <c r="M83" s="1161">
        <f t="shared" si="147"/>
        <v>15184.902828423206</v>
      </c>
      <c r="N83" s="1162">
        <f t="shared" si="147"/>
        <v>11452.068410464995</v>
      </c>
      <c r="O83" s="1160">
        <f t="shared" si="147"/>
        <v>13882.378537887873</v>
      </c>
      <c r="P83" s="1161">
        <f t="shared" si="147"/>
        <v>15168.285590046735</v>
      </c>
      <c r="Q83" s="1161">
        <f t="shared" si="147"/>
        <v>18341.98697135222</v>
      </c>
      <c r="R83" s="1161">
        <f t="shared" si="147"/>
        <v>12596.345207299488</v>
      </c>
      <c r="S83" s="1160">
        <f t="shared" si="147"/>
        <v>9911.8076792134689</v>
      </c>
      <c r="T83" s="1161">
        <f t="shared" si="147"/>
        <v>11384.147247720264</v>
      </c>
      <c r="U83" s="1161">
        <f t="shared" si="147"/>
        <v>15573.185234756584</v>
      </c>
      <c r="V83" s="1162">
        <f t="shared" si="147"/>
        <v>10607.460008072527</v>
      </c>
      <c r="W83" s="1161">
        <f t="shared" si="147"/>
        <v>10425.452124530333</v>
      </c>
      <c r="X83" s="1161">
        <f t="shared" si="147"/>
        <v>14513.982866861383</v>
      </c>
      <c r="Y83" s="1161">
        <f t="shared" si="147"/>
        <v>17923.159637116962</v>
      </c>
      <c r="Z83" s="1162">
        <f t="shared" si="147"/>
        <v>17808.177795314739</v>
      </c>
      <c r="AA83" s="1161">
        <f t="shared" si="145"/>
        <v>10435.739406819961</v>
      </c>
      <c r="AB83" s="1161">
        <f t="shared" si="145"/>
        <v>22688.465601410513</v>
      </c>
      <c r="AC83" s="1161">
        <f t="shared" si="145"/>
        <v>29063.334258348081</v>
      </c>
      <c r="AD83" s="1162">
        <f t="shared" si="145"/>
        <v>23298.162468780309</v>
      </c>
      <c r="AE83" s="1164">
        <f t="shared" si="147"/>
        <v>17051.205582715174</v>
      </c>
      <c r="AF83" s="1164">
        <f t="shared" si="147"/>
        <v>18139.264256659353</v>
      </c>
      <c r="AG83" s="1164">
        <f t="shared" si="147"/>
        <v>30127.615946596885</v>
      </c>
      <c r="AH83" s="1165">
        <f t="shared" si="147"/>
        <v>12908.049102170644</v>
      </c>
      <c r="AI83" s="1164">
        <f t="shared" si="125"/>
        <v>11111.448318537523</v>
      </c>
      <c r="AJ83" s="1164">
        <f t="shared" si="125"/>
        <v>12879.867308086643</v>
      </c>
      <c r="AK83" s="1164">
        <f t="shared" si="125"/>
        <v>19709.573082387014</v>
      </c>
      <c r="AL83" s="1165">
        <f t="shared" si="125"/>
        <v>14197.025620468919</v>
      </c>
      <c r="AM83" s="1164">
        <f t="shared" si="149"/>
        <v>7552.144985638347</v>
      </c>
      <c r="AN83" s="1164">
        <f t="shared" si="149"/>
        <v>15508.196721311475</v>
      </c>
      <c r="AO83" s="1164">
        <f t="shared" si="149"/>
        <v>17145.420420420422</v>
      </c>
      <c r="AP83" s="1165">
        <f t="shared" si="149"/>
        <v>12891.744258224702</v>
      </c>
      <c r="AQ83" s="1164">
        <f t="shared" ref="AQ83:AX83" si="152">IF(ISBLANK(AQ226),"",AQ226)</f>
        <v>12752.248157113403</v>
      </c>
      <c r="AR83" s="1164">
        <f t="shared" si="152"/>
        <v>17021.585855808447</v>
      </c>
      <c r="AS83" s="1164">
        <f t="shared" si="152"/>
        <v>18914.044155281495</v>
      </c>
      <c r="AT83" s="1165">
        <f t="shared" si="152"/>
        <v>9489.5496195419528</v>
      </c>
      <c r="AU83" s="1164">
        <f t="shared" si="152"/>
        <v>12943.493840954505</v>
      </c>
      <c r="AV83" s="1164">
        <f t="shared" si="152"/>
        <v>17276.858870177937</v>
      </c>
      <c r="AW83" s="1164">
        <f t="shared" si="152"/>
        <v>19197.698399153764</v>
      </c>
      <c r="AX83" s="1165">
        <f t="shared" si="152"/>
        <v>9631.864557580624</v>
      </c>
      <c r="AY83" s="1490">
        <f t="shared" si="151"/>
        <v>14408.571428571429</v>
      </c>
      <c r="AZ83" s="1490">
        <f t="shared" si="151"/>
        <v>14408.571428571429</v>
      </c>
      <c r="BA83" s="1490">
        <f t="shared" si="151"/>
        <v>14408.571428571429</v>
      </c>
      <c r="BB83" s="1491">
        <f t="shared" si="151"/>
        <v>14408.571428571429</v>
      </c>
      <c r="BC83" s="974"/>
      <c r="BD83" s="974"/>
      <c r="BE83" s="1074">
        <f t="shared" si="131"/>
        <v>12039.637530387663</v>
      </c>
      <c r="BF83" s="1074">
        <f t="shared" si="132"/>
        <v>12551.682858413194</v>
      </c>
      <c r="BG83" s="1074">
        <f t="shared" si="133"/>
        <v>14997.249076646578</v>
      </c>
      <c r="BH83" s="1074">
        <f t="shared" si="134"/>
        <v>11869.150042440711</v>
      </c>
      <c r="BI83" s="1074">
        <f t="shared" si="135"/>
        <v>15167.693105955856</v>
      </c>
      <c r="BJ83" s="1074">
        <f t="shared" si="136"/>
        <v>21371.425433839719</v>
      </c>
      <c r="BK83" s="1074">
        <f t="shared" si="137"/>
        <v>19556.533722035514</v>
      </c>
      <c r="BL83" s="1074">
        <f t="shared" si="138"/>
        <v>14474.478582370026</v>
      </c>
      <c r="BM83" s="1074">
        <f t="shared" si="139"/>
        <v>13274.376596398735</v>
      </c>
      <c r="BN83" s="1074">
        <f t="shared" si="140"/>
        <v>14544.356946936325</v>
      </c>
      <c r="BO83" s="1074">
        <f t="shared" si="141"/>
        <v>14762.478916966707</v>
      </c>
      <c r="BP83" s="1074">
        <f t="shared" si="142"/>
        <v>14408.571428571429</v>
      </c>
      <c r="BQ83" s="949"/>
      <c r="BR83" s="950"/>
      <c r="BU83" s="1370"/>
      <c r="BV83" s="1372" t="s">
        <v>1046</v>
      </c>
      <c r="BW83" s="1374">
        <v>1.1000000000000001</v>
      </c>
      <c r="BX83" s="1169">
        <f>BW82*BW83</f>
        <v>0</v>
      </c>
      <c r="BY83" s="1370"/>
      <c r="BZ83" s="1370"/>
      <c r="CA83" s="1370"/>
      <c r="CB83" s="1370"/>
      <c r="CC83" s="1370"/>
      <c r="CD83" s="1370"/>
      <c r="CE83" s="1370"/>
      <c r="CF83" s="1370"/>
      <c r="CG83" s="1370"/>
      <c r="CH83" s="1370"/>
      <c r="CI83" s="1370"/>
      <c r="CJ83" s="1370"/>
      <c r="CK83" s="1370"/>
      <c r="CL83" s="1370"/>
      <c r="CM83" s="1370"/>
      <c r="CN83" s="1370"/>
      <c r="CO83" s="1370"/>
      <c r="CP83" s="1370"/>
      <c r="CQ83" s="1370"/>
      <c r="CR83" s="1370"/>
      <c r="CS83" s="1370"/>
      <c r="CT83" s="1370"/>
      <c r="CU83" s="1370"/>
    </row>
    <row r="84" spans="1:99" ht="12.75" customHeight="1">
      <c r="A84" s="923"/>
      <c r="B84" s="924"/>
      <c r="C84" s="1122" t="s">
        <v>679</v>
      </c>
      <c r="D84" s="1122"/>
      <c r="E84" s="1122"/>
      <c r="F84" s="1124"/>
      <c r="G84" s="1160">
        <f t="shared" si="147"/>
        <v>7034.5564560522225</v>
      </c>
      <c r="H84" s="1161">
        <f t="shared" si="147"/>
        <v>9219.5630628076833</v>
      </c>
      <c r="I84" s="1161">
        <f t="shared" si="147"/>
        <v>11045.187830976916</v>
      </c>
      <c r="J84" s="1162">
        <f t="shared" si="147"/>
        <v>7381.5895861529834</v>
      </c>
      <c r="K84" s="1160">
        <f t="shared" si="147"/>
        <v>6978.2974668560619</v>
      </c>
      <c r="L84" s="1161">
        <f t="shared" si="147"/>
        <v>10974.737677781584</v>
      </c>
      <c r="M84" s="1161">
        <f t="shared" si="147"/>
        <v>11488.370939644137</v>
      </c>
      <c r="N84" s="1162">
        <f t="shared" si="147"/>
        <v>10454.753259779891</v>
      </c>
      <c r="O84" s="1160">
        <f t="shared" si="147"/>
        <v>11590.193568861898</v>
      </c>
      <c r="P84" s="1161">
        <f t="shared" si="147"/>
        <v>14239.168969349786</v>
      </c>
      <c r="Q84" s="1161">
        <f t="shared" si="147"/>
        <v>14649.640167203261</v>
      </c>
      <c r="R84" s="1161">
        <f t="shared" si="147"/>
        <v>10401.683528262198</v>
      </c>
      <c r="S84" s="1160">
        <f t="shared" si="147"/>
        <v>8843.8741816001238</v>
      </c>
      <c r="T84" s="1161">
        <f t="shared" si="147"/>
        <v>10090.605702834497</v>
      </c>
      <c r="U84" s="1161">
        <f t="shared" si="147"/>
        <v>11784.929103005486</v>
      </c>
      <c r="V84" s="1162">
        <f t="shared" si="147"/>
        <v>9055.3075246398785</v>
      </c>
      <c r="W84" s="1161">
        <f t="shared" si="147"/>
        <v>6250.8834115149521</v>
      </c>
      <c r="X84" s="1161">
        <f t="shared" si="147"/>
        <v>13598.445413206973</v>
      </c>
      <c r="Y84" s="1161">
        <f t="shared" si="147"/>
        <v>15115.206481521522</v>
      </c>
      <c r="Z84" s="1162">
        <f t="shared" si="147"/>
        <v>14526.341739741243</v>
      </c>
      <c r="AA84" s="1161">
        <f t="shared" si="145"/>
        <v>6685.8777350899572</v>
      </c>
      <c r="AB84" s="1161">
        <f t="shared" si="145"/>
        <v>22536.074157139941</v>
      </c>
      <c r="AC84" s="1161">
        <f t="shared" si="145"/>
        <v>26155.148246335953</v>
      </c>
      <c r="AD84" s="1162">
        <f t="shared" si="145"/>
        <v>23909.989823722273</v>
      </c>
      <c r="AE84" s="1164">
        <f t="shared" si="147"/>
        <v>14978.836309235272</v>
      </c>
      <c r="AF84" s="1164">
        <f t="shared" si="147"/>
        <v>19797.287168266088</v>
      </c>
      <c r="AG84" s="1164">
        <f t="shared" si="147"/>
        <v>28019.254671976272</v>
      </c>
      <c r="AH84" s="1165">
        <f t="shared" si="147"/>
        <v>14526.175995021027</v>
      </c>
      <c r="AI84" s="1164">
        <f t="shared" si="125"/>
        <v>10353.203493698842</v>
      </c>
      <c r="AJ84" s="1164">
        <f t="shared" si="125"/>
        <v>13146.418491195038</v>
      </c>
      <c r="AK84" s="1164">
        <f t="shared" si="125"/>
        <v>20992.620308985443</v>
      </c>
      <c r="AL84" s="1165">
        <f t="shared" si="125"/>
        <v>11673.338698911291</v>
      </c>
      <c r="AM84" s="1164">
        <f t="shared" si="149"/>
        <v>6038.4727262704982</v>
      </c>
      <c r="AN84" s="1164">
        <f t="shared" si="149"/>
        <v>13216.818012190572</v>
      </c>
      <c r="AO84" s="1164">
        <f t="shared" si="149"/>
        <v>13392.53996447602</v>
      </c>
      <c r="AP84" s="1165">
        <f t="shared" si="149"/>
        <v>11740.379092475589</v>
      </c>
      <c r="AQ84" s="1164">
        <f t="shared" ref="AQ84:AX84" si="153">IF(ISBLANK(AQ227),"",AQ227)</f>
        <v>12782.858661912423</v>
      </c>
      <c r="AR84" s="1164">
        <f t="shared" si="153"/>
        <v>12270.005904552587</v>
      </c>
      <c r="AS84" s="1164">
        <f t="shared" si="153"/>
        <v>13129.877577825491</v>
      </c>
      <c r="AT84" s="1165">
        <f t="shared" si="153"/>
        <v>11979.669391553554</v>
      </c>
      <c r="AU84" s="1164">
        <f t="shared" si="153"/>
        <v>12476.88178267494</v>
      </c>
      <c r="AV84" s="1164">
        <f t="shared" si="153"/>
        <v>11976.304924654652</v>
      </c>
      <c r="AW84" s="1164">
        <f t="shared" si="153"/>
        <v>12815.594280772109</v>
      </c>
      <c r="AX84" s="1165">
        <f t="shared" si="153"/>
        <v>11692.918051210097</v>
      </c>
      <c r="AY84" s="1490">
        <f t="shared" si="151"/>
        <v>14415.000000000002</v>
      </c>
      <c r="AZ84" s="1490">
        <f t="shared" si="151"/>
        <v>14415.000000000002</v>
      </c>
      <c r="BA84" s="1490">
        <f t="shared" si="151"/>
        <v>14415.000000000002</v>
      </c>
      <c r="BB84" s="1491">
        <f t="shared" si="151"/>
        <v>14415.000000000002</v>
      </c>
      <c r="BC84" s="974"/>
      <c r="BD84" s="974"/>
      <c r="BE84" s="1074">
        <f t="shared" si="131"/>
        <v>8670.2242339974509</v>
      </c>
      <c r="BF84" s="1074">
        <f t="shared" si="132"/>
        <v>9974.0398360154177</v>
      </c>
      <c r="BG84" s="1074">
        <f t="shared" si="133"/>
        <v>12720.171558419286</v>
      </c>
      <c r="BH84" s="1074">
        <f t="shared" si="134"/>
        <v>9943.6791280199977</v>
      </c>
      <c r="BI84" s="1074">
        <f t="shared" si="135"/>
        <v>12372.719261496171</v>
      </c>
      <c r="BJ84" s="1074">
        <f t="shared" si="136"/>
        <v>19821.772490572032</v>
      </c>
      <c r="BK84" s="1074">
        <f t="shared" si="137"/>
        <v>19330.388536124665</v>
      </c>
      <c r="BL84" s="1074">
        <f t="shared" si="138"/>
        <v>14041.395248197652</v>
      </c>
      <c r="BM84" s="1074">
        <f t="shared" si="139"/>
        <v>11097.05244885317</v>
      </c>
      <c r="BN84" s="1074">
        <f t="shared" si="140"/>
        <v>12540.602883961015</v>
      </c>
      <c r="BO84" s="1074">
        <f t="shared" si="141"/>
        <v>12240.424759827951</v>
      </c>
      <c r="BP84" s="1074">
        <f t="shared" si="142"/>
        <v>14415.000000000002</v>
      </c>
      <c r="BQ84" s="949"/>
      <c r="BR84" s="950"/>
      <c r="BU84" s="1370"/>
      <c r="BV84" s="1372" t="s">
        <v>1047</v>
      </c>
      <c r="BW84" s="1374">
        <v>0.5</v>
      </c>
      <c r="BX84" s="1169">
        <f>BW84*BW82</f>
        <v>0</v>
      </c>
      <c r="BY84" s="1370"/>
      <c r="BZ84" s="1370"/>
      <c r="CA84" s="1370"/>
      <c r="CB84" s="1370"/>
      <c r="CC84" s="1370"/>
      <c r="CD84" s="1370"/>
      <c r="CE84" s="1370"/>
      <c r="CF84" s="1370"/>
      <c r="CG84" s="1370"/>
      <c r="CH84" s="1370"/>
      <c r="CI84" s="1370"/>
      <c r="CJ84" s="1370"/>
      <c r="CK84" s="1370"/>
      <c r="CL84" s="1370"/>
      <c r="CM84" s="1370"/>
      <c r="CN84" s="1370"/>
      <c r="CO84" s="1370"/>
      <c r="CP84" s="1370"/>
      <c r="CQ84" s="1370"/>
      <c r="CR84" s="1370"/>
      <c r="CS84" s="1370"/>
      <c r="CT84" s="1370"/>
      <c r="CU84" s="1370"/>
    </row>
    <row r="85" spans="1:99" ht="12.75" customHeight="1">
      <c r="A85" s="923"/>
      <c r="B85" s="924"/>
      <c r="C85" s="1122" t="s">
        <v>680</v>
      </c>
      <c r="D85" s="1122"/>
      <c r="E85" s="1122"/>
      <c r="F85" s="1124"/>
      <c r="G85" s="1160">
        <f t="shared" si="147"/>
        <v>8259.8996262013297</v>
      </c>
      <c r="H85" s="1161">
        <f t="shared" si="147"/>
        <v>10003.549383125364</v>
      </c>
      <c r="I85" s="1161">
        <f t="shared" si="147"/>
        <v>12028.047815312115</v>
      </c>
      <c r="J85" s="1162">
        <f t="shared" si="147"/>
        <v>10227.868758263019</v>
      </c>
      <c r="K85" s="1160">
        <f t="shared" si="147"/>
        <v>9936.5439224208931</v>
      </c>
      <c r="L85" s="1161">
        <f t="shared" si="147"/>
        <v>11672.791950011986</v>
      </c>
      <c r="M85" s="1161">
        <f t="shared" si="147"/>
        <v>12186.105777662253</v>
      </c>
      <c r="N85" s="1162">
        <f t="shared" si="147"/>
        <v>11252.850685073325</v>
      </c>
      <c r="O85" s="1160">
        <f t="shared" si="147"/>
        <v>13099.854320578041</v>
      </c>
      <c r="P85" s="1161">
        <f t="shared" si="147"/>
        <v>15290.619466270606</v>
      </c>
      <c r="Q85" s="1161">
        <f t="shared" si="147"/>
        <v>15612.213249244409</v>
      </c>
      <c r="R85" s="1161">
        <f t="shared" si="147"/>
        <v>11258.478019599537</v>
      </c>
      <c r="S85" s="1160">
        <f t="shared" si="147"/>
        <v>10840.629181716851</v>
      </c>
      <c r="T85" s="1161">
        <f t="shared" si="147"/>
        <v>10433.524268414367</v>
      </c>
      <c r="U85" s="1161">
        <f t="shared" si="147"/>
        <v>11783.624476286885</v>
      </c>
      <c r="V85" s="1162">
        <f t="shared" si="147"/>
        <v>9410.7450433957438</v>
      </c>
      <c r="W85" s="1161">
        <f t="shared" si="147"/>
        <v>15318.186620328099</v>
      </c>
      <c r="X85" s="1161">
        <f t="shared" si="147"/>
        <v>10985.588769221897</v>
      </c>
      <c r="Y85" s="1161">
        <f t="shared" si="147"/>
        <v>9630.6910356468015</v>
      </c>
      <c r="Z85" s="1162">
        <f t="shared" si="147"/>
        <v>10341.789794005559</v>
      </c>
      <c r="AA85" s="1161">
        <f t="shared" si="145"/>
        <v>14856.332241024871</v>
      </c>
      <c r="AB85" s="1161">
        <f t="shared" si="145"/>
        <v>12927.939921820258</v>
      </c>
      <c r="AC85" s="1161">
        <f t="shared" si="145"/>
        <v>12745.79802165131</v>
      </c>
      <c r="AD85" s="1162">
        <f t="shared" si="145"/>
        <v>14436.141757625302</v>
      </c>
      <c r="AE85" s="1164">
        <f t="shared" si="147"/>
        <v>13712.372915511156</v>
      </c>
      <c r="AF85" s="1164">
        <f t="shared" si="147"/>
        <v>14788.269551509478</v>
      </c>
      <c r="AG85" s="1164">
        <f t="shared" si="147"/>
        <v>13349.72491644476</v>
      </c>
      <c r="AH85" s="1165">
        <f t="shared" si="147"/>
        <v>10706.4109123743</v>
      </c>
      <c r="AI85" s="1164">
        <f t="shared" si="125"/>
        <v>10324.076252256546</v>
      </c>
      <c r="AJ85" s="1164">
        <f t="shared" si="125"/>
        <v>10803.742971428574</v>
      </c>
      <c r="AK85" s="1164">
        <f t="shared" si="125"/>
        <v>12479.580188793305</v>
      </c>
      <c r="AL85" s="1165">
        <f t="shared" si="125"/>
        <v>11085.597339180495</v>
      </c>
      <c r="AM85" s="1164">
        <f t="shared" si="149"/>
        <v>12354.403745497164</v>
      </c>
      <c r="AN85" s="1164">
        <f t="shared" si="149"/>
        <v>12625.948501057348</v>
      </c>
      <c r="AO85" s="1164">
        <f t="shared" si="149"/>
        <v>12901.124925991713</v>
      </c>
      <c r="AP85" s="1165">
        <f t="shared" si="149"/>
        <v>11585.295807007466</v>
      </c>
      <c r="AQ85" s="1164">
        <f t="shared" ref="AQ85:AX85" si="154">IF(ISBLANK(AQ228),"",AQ228)</f>
        <v>11887.424379313399</v>
      </c>
      <c r="AR85" s="1164">
        <f t="shared" si="154"/>
        <v>11870.343784498289</v>
      </c>
      <c r="AS85" s="1164">
        <f t="shared" si="154"/>
        <v>12919.05721085627</v>
      </c>
      <c r="AT85" s="1165">
        <f t="shared" si="154"/>
        <v>12181.915144547824</v>
      </c>
      <c r="AU85" s="1164">
        <f t="shared" si="154"/>
        <v>11741.640116388797</v>
      </c>
      <c r="AV85" s="1164">
        <f t="shared" si="154"/>
        <v>11724.768993520336</v>
      </c>
      <c r="AW85" s="1164">
        <f t="shared" si="154"/>
        <v>12760.621272753231</v>
      </c>
      <c r="AX85" s="1165">
        <f t="shared" si="154"/>
        <v>12032.519323915016</v>
      </c>
      <c r="AY85" s="1490">
        <f t="shared" si="151"/>
        <v>14334.545454545456</v>
      </c>
      <c r="AZ85" s="1490">
        <f t="shared" si="151"/>
        <v>14334.545454545456</v>
      </c>
      <c r="BA85" s="1490">
        <f t="shared" si="151"/>
        <v>14334.545454545456</v>
      </c>
      <c r="BB85" s="1491">
        <f t="shared" si="151"/>
        <v>14334.545454545456</v>
      </c>
      <c r="BC85" s="974"/>
      <c r="BD85" s="974"/>
      <c r="BE85" s="1074">
        <f t="shared" si="131"/>
        <v>10129.841395725456</v>
      </c>
      <c r="BF85" s="1074">
        <f t="shared" si="132"/>
        <v>11262.073083792115</v>
      </c>
      <c r="BG85" s="1074">
        <f t="shared" si="133"/>
        <v>13815.291263923147</v>
      </c>
      <c r="BH85" s="1074">
        <f t="shared" si="134"/>
        <v>10617.130742453461</v>
      </c>
      <c r="BI85" s="1074">
        <f t="shared" si="135"/>
        <v>11569.06405480059</v>
      </c>
      <c r="BJ85" s="1074">
        <f t="shared" si="136"/>
        <v>13741.552985530434</v>
      </c>
      <c r="BK85" s="1074">
        <f t="shared" si="137"/>
        <v>13139.194573959921</v>
      </c>
      <c r="BL85" s="1074">
        <f t="shared" si="138"/>
        <v>11173.249187914729</v>
      </c>
      <c r="BM85" s="1074">
        <f t="shared" si="139"/>
        <v>12366.693244888422</v>
      </c>
      <c r="BN85" s="1074">
        <f t="shared" si="140"/>
        <v>12214.685129803944</v>
      </c>
      <c r="BO85" s="1074">
        <f t="shared" si="141"/>
        <v>12064.887426644345</v>
      </c>
      <c r="BP85" s="1074">
        <f t="shared" si="142"/>
        <v>14334.545454545456</v>
      </c>
      <c r="BQ85" s="949"/>
      <c r="BR85" s="950"/>
      <c r="BU85" s="1370"/>
      <c r="BV85" s="1375" t="s">
        <v>1048</v>
      </c>
      <c r="BW85" s="1376">
        <f t="shared" ref="BW85:CD85" si="155">BX85-0.25</f>
        <v>0</v>
      </c>
      <c r="BX85" s="1376">
        <f t="shared" si="155"/>
        <v>0.25</v>
      </c>
      <c r="BY85" s="1376">
        <f t="shared" si="155"/>
        <v>0.5</v>
      </c>
      <c r="BZ85" s="1376">
        <f t="shared" si="155"/>
        <v>0.75</v>
      </c>
      <c r="CA85" s="1376">
        <f t="shared" si="155"/>
        <v>1</v>
      </c>
      <c r="CB85" s="1376">
        <f t="shared" si="155"/>
        <v>1.25</v>
      </c>
      <c r="CC85" s="1376">
        <f t="shared" si="155"/>
        <v>1.5</v>
      </c>
      <c r="CD85" s="1376">
        <f t="shared" si="155"/>
        <v>1.75</v>
      </c>
      <c r="CE85" s="1376">
        <v>2</v>
      </c>
      <c r="CF85" s="1376">
        <f t="shared" ref="CF85:CU85" si="156">CE85+0.25</f>
        <v>2.25</v>
      </c>
      <c r="CG85" s="1376">
        <f t="shared" si="156"/>
        <v>2.5</v>
      </c>
      <c r="CH85" s="1376">
        <f t="shared" si="156"/>
        <v>2.75</v>
      </c>
      <c r="CI85" s="1376">
        <f t="shared" si="156"/>
        <v>3</v>
      </c>
      <c r="CJ85" s="1376">
        <f t="shared" si="156"/>
        <v>3.25</v>
      </c>
      <c r="CK85" s="1376">
        <f t="shared" si="156"/>
        <v>3.5</v>
      </c>
      <c r="CL85" s="1376">
        <f t="shared" si="156"/>
        <v>3.75</v>
      </c>
      <c r="CM85" s="1376">
        <f t="shared" si="156"/>
        <v>4</v>
      </c>
      <c r="CN85" s="1376">
        <f t="shared" si="156"/>
        <v>4.25</v>
      </c>
      <c r="CO85" s="1376">
        <f t="shared" si="156"/>
        <v>4.5</v>
      </c>
      <c r="CP85" s="1376">
        <f t="shared" si="156"/>
        <v>4.75</v>
      </c>
      <c r="CQ85" s="1376">
        <f t="shared" si="156"/>
        <v>5</v>
      </c>
      <c r="CR85" s="1376">
        <f t="shared" si="156"/>
        <v>5.25</v>
      </c>
      <c r="CS85" s="1376">
        <f t="shared" si="156"/>
        <v>5.5</v>
      </c>
      <c r="CT85" s="1376">
        <f t="shared" si="156"/>
        <v>5.75</v>
      </c>
      <c r="CU85" s="1376">
        <f t="shared" si="156"/>
        <v>6</v>
      </c>
    </row>
    <row r="86" spans="1:99" ht="12.75" customHeight="1">
      <c r="A86" s="923"/>
      <c r="B86" s="924"/>
      <c r="C86" s="1122" t="s">
        <v>681</v>
      </c>
      <c r="D86" s="1122"/>
      <c r="E86" s="1122"/>
      <c r="F86" s="1124"/>
      <c r="G86" s="1160">
        <f t="shared" si="147"/>
        <v>7879.0781844521443</v>
      </c>
      <c r="H86" s="1161">
        <f t="shared" si="147"/>
        <v>9492.1346187852487</v>
      </c>
      <c r="I86" s="1161">
        <f t="shared" si="147"/>
        <v>11670.518647143224</v>
      </c>
      <c r="J86" s="1162">
        <f t="shared" si="147"/>
        <v>9043.648694139978</v>
      </c>
      <c r="K86" s="1160">
        <f t="shared" si="147"/>
        <v>9487.2668594512506</v>
      </c>
      <c r="L86" s="1161">
        <f t="shared" si="147"/>
        <v>10409.06834561809</v>
      </c>
      <c r="M86" s="1161">
        <f t="shared" si="147"/>
        <v>11468.42132683538</v>
      </c>
      <c r="N86" s="1162">
        <f t="shared" si="147"/>
        <v>9514.2850054382216</v>
      </c>
      <c r="O86" s="1160">
        <f t="shared" si="147"/>
        <v>12376.233457669894</v>
      </c>
      <c r="P86" s="1161">
        <f t="shared" si="147"/>
        <v>14387.401369304029</v>
      </c>
      <c r="Q86" s="1161">
        <f t="shared" si="147"/>
        <v>15593.259988776501</v>
      </c>
      <c r="R86" s="1161">
        <f t="shared" si="147"/>
        <v>10321.248406616682</v>
      </c>
      <c r="S86" s="1160">
        <f t="shared" si="147"/>
        <v>10013.535130755854</v>
      </c>
      <c r="T86" s="1161">
        <f t="shared" si="147"/>
        <v>9797.5059785309622</v>
      </c>
      <c r="U86" s="1161">
        <f t="shared" si="147"/>
        <v>11556.783290642117</v>
      </c>
      <c r="V86" s="1162">
        <f t="shared" si="147"/>
        <v>8955.14579243558</v>
      </c>
      <c r="W86" s="1161">
        <f t="shared" si="147"/>
        <v>14102.021173316958</v>
      </c>
      <c r="X86" s="1161">
        <f t="shared" si="147"/>
        <v>10515.051888952205</v>
      </c>
      <c r="Y86" s="1161">
        <f t="shared" si="147"/>
        <v>9329.8105397704876</v>
      </c>
      <c r="Z86" s="1162">
        <f t="shared" si="147"/>
        <v>10242.15556320529</v>
      </c>
      <c r="AA86" s="1161">
        <f t="shared" si="145"/>
        <v>13812.6485828859</v>
      </c>
      <c r="AB86" s="1161">
        <f t="shared" si="145"/>
        <v>11166.919578014331</v>
      </c>
      <c r="AC86" s="1161">
        <f t="shared" si="145"/>
        <v>12281.123997010438</v>
      </c>
      <c r="AD86" s="1162">
        <f t="shared" si="145"/>
        <v>14039.404430911989</v>
      </c>
      <c r="AE86" s="1164">
        <f t="shared" si="147"/>
        <v>13452.093034820135</v>
      </c>
      <c r="AF86" s="1164">
        <f t="shared" si="147"/>
        <v>13851.754927196182</v>
      </c>
      <c r="AG86" s="1164">
        <f t="shared" si="147"/>
        <v>13069.487986386619</v>
      </c>
      <c r="AH86" s="1165">
        <f t="shared" si="147"/>
        <v>10415.320938137747</v>
      </c>
      <c r="AI86" s="1164">
        <f t="shared" ref="AI86:AP101" si="157">IF(ISBLANK(AI229),"",AI229)</f>
        <v>9752.8895345008495</v>
      </c>
      <c r="AJ86" s="1164">
        <f t="shared" si="157"/>
        <v>10932.723139999998</v>
      </c>
      <c r="AK86" s="1164">
        <f t="shared" si="157"/>
        <v>11696.829462716889</v>
      </c>
      <c r="AL86" s="1165">
        <f t="shared" si="157"/>
        <v>10483.05478949106</v>
      </c>
      <c r="AM86" s="1164">
        <f t="shared" si="149"/>
        <v>10268.572478822029</v>
      </c>
      <c r="AN86" s="1164">
        <f t="shared" si="149"/>
        <v>11220.301032466725</v>
      </c>
      <c r="AO86" s="1164">
        <f t="shared" si="149"/>
        <v>12291.296625222027</v>
      </c>
      <c r="AP86" s="1165">
        <f t="shared" si="149"/>
        <v>10396.323951751867</v>
      </c>
      <c r="AQ86" s="1164">
        <f t="shared" ref="AQ86:AX86" si="158">IF(ISBLANK(AQ229),"",AQ229)</f>
        <v>11688.854504578794</v>
      </c>
      <c r="AR86" s="1164">
        <f t="shared" si="158"/>
        <v>11265.073570860448</v>
      </c>
      <c r="AS86" s="1164">
        <f t="shared" si="158"/>
        <v>12554.63520359593</v>
      </c>
      <c r="AT86" s="1165">
        <f t="shared" si="158"/>
        <v>9606.3783866369322</v>
      </c>
      <c r="AU86" s="1164">
        <f t="shared" si="158"/>
        <v>11517.869933034026</v>
      </c>
      <c r="AV86" s="1164">
        <f t="shared" si="158"/>
        <v>11100.28806709878</v>
      </c>
      <c r="AW86" s="1164">
        <f t="shared" si="158"/>
        <v>12370.985991404368</v>
      </c>
      <c r="AX86" s="1165">
        <f t="shared" si="158"/>
        <v>9465.8562771442867</v>
      </c>
      <c r="AY86" s="1490">
        <f t="shared" si="151"/>
        <v>12597.272727272726</v>
      </c>
      <c r="AZ86" s="1490">
        <f t="shared" si="151"/>
        <v>12597.272727272726</v>
      </c>
      <c r="BA86" s="1490">
        <f t="shared" si="151"/>
        <v>12597.272727272726</v>
      </c>
      <c r="BB86" s="1491">
        <f t="shared" si="151"/>
        <v>12597.272727272726</v>
      </c>
      <c r="BC86" s="974"/>
      <c r="BD86" s="974"/>
      <c r="BE86" s="1074">
        <f t="shared" si="131"/>
        <v>9521.3450361301493</v>
      </c>
      <c r="BF86" s="1074">
        <f t="shared" si="132"/>
        <v>10219.760384335736</v>
      </c>
      <c r="BG86" s="1074">
        <f t="shared" si="133"/>
        <v>13169.535805591777</v>
      </c>
      <c r="BH86" s="1074">
        <f t="shared" si="134"/>
        <v>10080.742548091128</v>
      </c>
      <c r="BI86" s="1074">
        <f t="shared" si="135"/>
        <v>11047.259791311235</v>
      </c>
      <c r="BJ86" s="1074">
        <f t="shared" si="136"/>
        <v>12825.024147205666</v>
      </c>
      <c r="BK86" s="1074">
        <f t="shared" si="137"/>
        <v>12697.16422163517</v>
      </c>
      <c r="BL86" s="1074">
        <f t="shared" si="138"/>
        <v>10716.3742316772</v>
      </c>
      <c r="BM86" s="1074">
        <f t="shared" si="139"/>
        <v>11044.123522065662</v>
      </c>
      <c r="BN86" s="1074">
        <f t="shared" si="140"/>
        <v>11278.735416418027</v>
      </c>
      <c r="BO86" s="1074">
        <f t="shared" si="141"/>
        <v>11113.750067170366</v>
      </c>
      <c r="BP86" s="1074">
        <f t="shared" si="142"/>
        <v>12597.272727272726</v>
      </c>
      <c r="BQ86" s="949"/>
      <c r="BR86" s="950"/>
      <c r="BU86" s="1370"/>
      <c r="BV86" s="1377" t="s">
        <v>1049</v>
      </c>
      <c r="BW86" s="1378">
        <v>0.35</v>
      </c>
      <c r="BX86" s="1378">
        <v>0.35</v>
      </c>
      <c r="BY86" s="1378">
        <v>0.35</v>
      </c>
      <c r="BZ86" s="1378">
        <v>0.35</v>
      </c>
      <c r="CA86" s="1378">
        <v>0.35</v>
      </c>
      <c r="CB86" s="1378">
        <v>0.35</v>
      </c>
      <c r="CC86" s="1378">
        <v>0.35</v>
      </c>
      <c r="CD86" s="1378">
        <v>0.4</v>
      </c>
      <c r="CE86" s="1378">
        <v>0.45</v>
      </c>
      <c r="CF86" s="1378">
        <v>0.5</v>
      </c>
      <c r="CG86" s="1378">
        <v>0.55000000000000004</v>
      </c>
      <c r="CH86" s="1378">
        <v>0.65</v>
      </c>
      <c r="CI86" s="1378">
        <v>0.7</v>
      </c>
      <c r="CJ86" s="1378">
        <v>0.75</v>
      </c>
      <c r="CK86" s="1378">
        <v>0.75</v>
      </c>
      <c r="CL86" s="1378">
        <v>0.75</v>
      </c>
      <c r="CM86" s="1378">
        <v>0.75</v>
      </c>
      <c r="CN86" s="1378">
        <v>0.75</v>
      </c>
      <c r="CO86" s="1378">
        <v>0.75</v>
      </c>
      <c r="CP86" s="1378">
        <v>0.75</v>
      </c>
      <c r="CQ86" s="1378">
        <v>0.75</v>
      </c>
      <c r="CR86" s="1378">
        <v>0.75</v>
      </c>
      <c r="CS86" s="1378">
        <v>0.75</v>
      </c>
      <c r="CT86" s="1378">
        <v>0.75</v>
      </c>
      <c r="CU86" s="1378">
        <v>0.75</v>
      </c>
    </row>
    <row r="87" spans="1:99" ht="12.75" customHeight="1">
      <c r="A87" s="923"/>
      <c r="B87" s="924"/>
      <c r="C87" s="1122" t="s">
        <v>682</v>
      </c>
      <c r="D87" s="1122"/>
      <c r="E87" s="1122"/>
      <c r="F87" s="1124"/>
      <c r="G87" s="1160">
        <f t="shared" si="147"/>
        <v>8067.5859433413843</v>
      </c>
      <c r="H87" s="1161">
        <f t="shared" si="147"/>
        <v>9108.0848492485366</v>
      </c>
      <c r="I87" s="1161">
        <f t="shared" si="147"/>
        <v>11390.781083275977</v>
      </c>
      <c r="J87" s="1162">
        <f t="shared" si="147"/>
        <v>8539.6099607496708</v>
      </c>
      <c r="K87" s="1160">
        <f t="shared" si="147"/>
        <v>11901.725588831843</v>
      </c>
      <c r="L87" s="1161">
        <f t="shared" si="147"/>
        <v>9599.6827009411682</v>
      </c>
      <c r="M87" s="1161">
        <f t="shared" si="147"/>
        <v>26908.502434603772</v>
      </c>
      <c r="N87" s="1162">
        <f t="shared" si="147"/>
        <v>8859.7893372745511</v>
      </c>
      <c r="O87" s="1160">
        <f t="shared" si="147"/>
        <v>10308.713276672239</v>
      </c>
      <c r="P87" s="1161">
        <f t="shared" si="147"/>
        <v>13533.712435401714</v>
      </c>
      <c r="Q87" s="1161">
        <f t="shared" si="147"/>
        <v>10986.165899589667</v>
      </c>
      <c r="R87" s="1161">
        <f t="shared" si="147"/>
        <v>8231.0646137657277</v>
      </c>
      <c r="S87" s="1160">
        <f t="shared" si="147"/>
        <v>8288.1335792918544</v>
      </c>
      <c r="T87" s="1161">
        <f t="shared" si="147"/>
        <v>9101.2420308902474</v>
      </c>
      <c r="U87" s="1161">
        <f t="shared" si="147"/>
        <v>12127.883029718798</v>
      </c>
      <c r="V87" s="1162">
        <f t="shared" si="147"/>
        <v>9584.0310133954554</v>
      </c>
      <c r="W87" s="1161">
        <f t="shared" si="147"/>
        <v>11152.119574375303</v>
      </c>
      <c r="X87" s="1161">
        <f t="shared" si="147"/>
        <v>9729.5722809534491</v>
      </c>
      <c r="Y87" s="1161">
        <f t="shared" si="147"/>
        <v>9717.3949147704898</v>
      </c>
      <c r="Z87" s="1162">
        <f t="shared" si="147"/>
        <v>8918.234962157112</v>
      </c>
      <c r="AA87" s="1161">
        <f t="shared" si="145"/>
        <v>9169.9242686486396</v>
      </c>
      <c r="AB87" s="1161">
        <f t="shared" si="145"/>
        <v>10170.713295240166</v>
      </c>
      <c r="AC87" s="1161">
        <f t="shared" si="145"/>
        <v>12578.254164458334</v>
      </c>
      <c r="AD87" s="1162">
        <f t="shared" si="145"/>
        <v>10933.409709833057</v>
      </c>
      <c r="AE87" s="1164">
        <f t="shared" si="147"/>
        <v>10328.87726941304</v>
      </c>
      <c r="AF87" s="1164">
        <f t="shared" si="147"/>
        <v>11427.537023693696</v>
      </c>
      <c r="AG87" s="1164">
        <f t="shared" si="147"/>
        <v>11549.861420574975</v>
      </c>
      <c r="AH87" s="1165">
        <f t="shared" si="147"/>
        <v>9815.8983124706374</v>
      </c>
      <c r="AI87" s="1164">
        <f t="shared" si="157"/>
        <v>9203.2418044317055</v>
      </c>
      <c r="AJ87" s="1164">
        <f t="shared" si="157"/>
        <v>15003.296031746037</v>
      </c>
      <c r="AK87" s="1164">
        <f t="shared" si="157"/>
        <v>11185.979672546924</v>
      </c>
      <c r="AL87" s="1165">
        <f t="shared" si="157"/>
        <v>10103.434985375012</v>
      </c>
      <c r="AM87" s="1164">
        <f t="shared" si="157"/>
        <v>10702.474722563386</v>
      </c>
      <c r="AN87" s="1164">
        <f t="shared" si="157"/>
        <v>13950.242567483521</v>
      </c>
      <c r="AO87" s="1164">
        <f t="shared" si="157"/>
        <v>42227.750148016574</v>
      </c>
      <c r="AP87" s="1165">
        <f t="shared" si="157"/>
        <v>9375.9103963239504</v>
      </c>
      <c r="AQ87" s="1164">
        <f t="shared" ref="AQ87:AX87" si="159">IF(ISBLANK(AQ230),"",AQ230)</f>
        <v>8449.0783547043502</v>
      </c>
      <c r="AR87" s="1164">
        <f t="shared" si="159"/>
        <v>10350.829814619823</v>
      </c>
      <c r="AS87" s="1164">
        <f t="shared" si="159"/>
        <v>27931.411143747304</v>
      </c>
      <c r="AT87" s="1165">
        <f t="shared" si="159"/>
        <v>15077.400848592317</v>
      </c>
      <c r="AU87" s="1164">
        <f t="shared" si="159"/>
        <v>7649.6148048687883</v>
      </c>
      <c r="AV87" s="1164">
        <f t="shared" si="159"/>
        <v>9371.419895580284</v>
      </c>
      <c r="AW87" s="1164">
        <f t="shared" si="159"/>
        <v>25288.502158004081</v>
      </c>
      <c r="AX87" s="1165">
        <f t="shared" si="159"/>
        <v>13650.756201842432</v>
      </c>
      <c r="AY87" s="1164">
        <f t="shared" ref="AY87:BB99" si="160">IF(ISBLANK(AY230),"",AY230)</f>
        <v>7140.7975020316026</v>
      </c>
      <c r="AZ87" s="1164">
        <f t="shared" si="160"/>
        <v>8748.076012697582</v>
      </c>
      <c r="BA87" s="1164">
        <f t="shared" si="160"/>
        <v>23606.426943885024</v>
      </c>
      <c r="BB87" s="1165">
        <f t="shared" si="160"/>
        <v>12742.770488903179</v>
      </c>
      <c r="BC87" s="974"/>
      <c r="BD87" s="974"/>
      <c r="BE87" s="1074">
        <f t="shared" si="131"/>
        <v>9276.5154591538922</v>
      </c>
      <c r="BF87" s="1074">
        <f t="shared" si="132"/>
        <v>14317.425015412833</v>
      </c>
      <c r="BG87" s="1074">
        <f t="shared" si="133"/>
        <v>10764.914056357338</v>
      </c>
      <c r="BH87" s="1074">
        <f t="shared" si="134"/>
        <v>9775.3224133240892</v>
      </c>
      <c r="BI87" s="1074">
        <f t="shared" si="135"/>
        <v>9879.3304330640894</v>
      </c>
      <c r="BJ87" s="1074">
        <f t="shared" si="136"/>
        <v>10713.075359545048</v>
      </c>
      <c r="BK87" s="1074">
        <f t="shared" si="137"/>
        <v>10780.543506538086</v>
      </c>
      <c r="BL87" s="1074">
        <f t="shared" si="138"/>
        <v>11373.988123524918</v>
      </c>
      <c r="BM87" s="1074">
        <f t="shared" si="139"/>
        <v>19064.094458596857</v>
      </c>
      <c r="BN87" s="1074">
        <f t="shared" si="140"/>
        <v>15452.180040415949</v>
      </c>
      <c r="BO87" s="1074">
        <f t="shared" si="141"/>
        <v>13990.073265073897</v>
      </c>
      <c r="BP87" s="1074">
        <f t="shared" si="142"/>
        <v>13059.517736879347</v>
      </c>
      <c r="BQ87" s="949"/>
      <c r="BR87" s="950"/>
      <c r="BU87" s="1370"/>
      <c r="BV87" s="1377" t="s">
        <v>678</v>
      </c>
      <c r="BW87" s="1378">
        <v>0.3</v>
      </c>
      <c r="BX87" s="1378">
        <v>0.3</v>
      </c>
      <c r="BY87" s="1378">
        <v>0.3</v>
      </c>
      <c r="BZ87" s="1378">
        <v>0.35</v>
      </c>
      <c r="CA87" s="1378">
        <v>0.35</v>
      </c>
      <c r="CB87" s="1378">
        <v>0.35</v>
      </c>
      <c r="CC87" s="1378">
        <v>0.4</v>
      </c>
      <c r="CD87" s="1378">
        <v>0.4</v>
      </c>
      <c r="CE87" s="1378">
        <v>0.4</v>
      </c>
      <c r="CF87" s="1378">
        <v>0.45</v>
      </c>
      <c r="CG87" s="1378">
        <v>0.45</v>
      </c>
      <c r="CH87" s="1378">
        <v>0.5</v>
      </c>
      <c r="CI87" s="1378">
        <v>0.5</v>
      </c>
      <c r="CJ87" s="1378">
        <v>0.5</v>
      </c>
      <c r="CK87" s="1378">
        <v>0.55000000000000004</v>
      </c>
      <c r="CL87" s="1378">
        <v>0.6</v>
      </c>
      <c r="CM87" s="1378">
        <v>0.65</v>
      </c>
      <c r="CN87" s="1378">
        <v>0.65</v>
      </c>
      <c r="CO87" s="1378">
        <v>0.65</v>
      </c>
      <c r="CP87" s="1378">
        <v>0.65</v>
      </c>
      <c r="CQ87" s="1378">
        <v>0.65</v>
      </c>
      <c r="CR87" s="1378">
        <v>0.65</v>
      </c>
      <c r="CS87" s="1378">
        <v>0.65</v>
      </c>
      <c r="CT87" s="1378">
        <v>0.65</v>
      </c>
      <c r="CU87" s="1378">
        <v>0.65</v>
      </c>
    </row>
    <row r="88" spans="1:99" ht="12.75" customHeight="1">
      <c r="A88" s="923"/>
      <c r="B88" s="924"/>
      <c r="C88" s="1122" t="s">
        <v>683</v>
      </c>
      <c r="D88" s="1122"/>
      <c r="E88" s="1122"/>
      <c r="F88" s="1124"/>
      <c r="G88" s="1160">
        <f t="shared" si="147"/>
        <v>8091.7737343918488</v>
      </c>
      <c r="H88" s="1161">
        <f t="shared" si="147"/>
        <v>9071.6445094720693</v>
      </c>
      <c r="I88" s="1161">
        <f t="shared" si="147"/>
        <v>11366.418321843603</v>
      </c>
      <c r="J88" s="1162">
        <f t="shared" si="147"/>
        <v>8613.7018460944528</v>
      </c>
      <c r="K88" s="1160">
        <f t="shared" si="147"/>
        <v>12155.959864196333</v>
      </c>
      <c r="L88" s="1161">
        <f t="shared" si="147"/>
        <v>9203.9559760970442</v>
      </c>
      <c r="M88" s="1161">
        <f t="shared" si="147"/>
        <v>25900.934188048766</v>
      </c>
      <c r="N88" s="1162">
        <f t="shared" si="147"/>
        <v>8685.0849291008017</v>
      </c>
      <c r="O88" s="1160">
        <f t="shared" si="147"/>
        <v>10275.170594208994</v>
      </c>
      <c r="P88" s="1161">
        <f t="shared" si="147"/>
        <v>13744.748394706701</v>
      </c>
      <c r="Q88" s="1161">
        <f t="shared" si="147"/>
        <v>11197.401049824619</v>
      </c>
      <c r="R88" s="1161">
        <f t="shared" si="147"/>
        <v>8328.7852639674329</v>
      </c>
      <c r="S88" s="1160">
        <f t="shared" si="147"/>
        <v>8348.2723136297336</v>
      </c>
      <c r="T88" s="1161">
        <f t="shared" si="147"/>
        <v>8745.2844176240596</v>
      </c>
      <c r="U88" s="1161">
        <f t="shared" si="147"/>
        <v>10802.091476322017</v>
      </c>
      <c r="V88" s="1162">
        <f t="shared" si="147"/>
        <v>9346.0347165938329</v>
      </c>
      <c r="W88" s="1161">
        <f t="shared" si="147"/>
        <v>11627.729500479627</v>
      </c>
      <c r="X88" s="1161">
        <f t="shared" si="147"/>
        <v>8807.1484775102963</v>
      </c>
      <c r="Y88" s="1161">
        <f t="shared" si="147"/>
        <v>9558.6137410440133</v>
      </c>
      <c r="Z88" s="1162">
        <f t="shared" si="147"/>
        <v>9127.0058129911431</v>
      </c>
      <c r="AA88" s="1161">
        <f t="shared" si="145"/>
        <v>9202.2654654879479</v>
      </c>
      <c r="AB88" s="1161">
        <f t="shared" si="145"/>
        <v>10105.637756293225</v>
      </c>
      <c r="AC88" s="1161">
        <f t="shared" si="145"/>
        <v>12701.782913818659</v>
      </c>
      <c r="AD88" s="1162">
        <f t="shared" si="145"/>
        <v>9778.5805528245146</v>
      </c>
      <c r="AE88" s="1164">
        <f t="shared" si="147"/>
        <v>9897.4409429729876</v>
      </c>
      <c r="AF88" s="1164">
        <f t="shared" si="147"/>
        <v>10464.020312282828</v>
      </c>
      <c r="AG88" s="1164">
        <f t="shared" si="147"/>
        <v>10646.473017770773</v>
      </c>
      <c r="AH88" s="1165">
        <f t="shared" si="147"/>
        <v>8485.0446654235948</v>
      </c>
      <c r="AI88" s="1164">
        <f t="shared" si="157"/>
        <v>7557.3594798727981</v>
      </c>
      <c r="AJ88" s="1164">
        <f t="shared" si="157"/>
        <v>9066.5579365079357</v>
      </c>
      <c r="AK88" s="1164">
        <f t="shared" si="157"/>
        <v>9959.2555936766203</v>
      </c>
      <c r="AL88" s="1165">
        <f t="shared" si="157"/>
        <v>8152.0371878580636</v>
      </c>
      <c r="AM88" s="1164">
        <f t="shared" si="157"/>
        <v>10217.942265440148</v>
      </c>
      <c r="AN88" s="1164">
        <f t="shared" si="157"/>
        <v>13185.222042542606</v>
      </c>
      <c r="AO88" s="1164">
        <f t="shared" si="157"/>
        <v>42121.178211959741</v>
      </c>
      <c r="AP88" s="1165">
        <f t="shared" si="157"/>
        <v>9054.2561746122919</v>
      </c>
      <c r="AQ88" s="1164">
        <f t="shared" ref="AQ88:AX88" si="161">IF(ISBLANK(AQ231),"",AQ231)</f>
        <v>8124.4846766764404</v>
      </c>
      <c r="AR88" s="1164">
        <f t="shared" si="161"/>
        <v>9664.2180564318169</v>
      </c>
      <c r="AS88" s="1164">
        <f t="shared" si="161"/>
        <v>27348.703499911488</v>
      </c>
      <c r="AT88" s="1165">
        <f t="shared" si="161"/>
        <v>14449.467045874115</v>
      </c>
      <c r="AU88" s="1164">
        <f t="shared" si="161"/>
        <v>7249.1447994286054</v>
      </c>
      <c r="AV88" s="1164">
        <f t="shared" si="161"/>
        <v>8622.9858080039758</v>
      </c>
      <c r="AW88" s="1164">
        <f t="shared" si="161"/>
        <v>24402.127597906943</v>
      </c>
      <c r="AX88" s="1165">
        <f t="shared" si="161"/>
        <v>12892.66741936461</v>
      </c>
      <c r="AY88" s="1164">
        <f t="shared" si="160"/>
        <v>6710.1011029636156</v>
      </c>
      <c r="AZ88" s="1164">
        <f t="shared" si="160"/>
        <v>7981.783807889703</v>
      </c>
      <c r="BA88" s="1164">
        <f t="shared" si="160"/>
        <v>22587.594514911703</v>
      </c>
      <c r="BB88" s="1165">
        <f t="shared" si="160"/>
        <v>11933.973491278659</v>
      </c>
      <c r="BC88" s="974"/>
      <c r="BD88" s="974"/>
      <c r="BE88" s="1074">
        <f t="shared" si="131"/>
        <v>9285.884602950493</v>
      </c>
      <c r="BF88" s="1074">
        <f t="shared" si="132"/>
        <v>13986.483739360738</v>
      </c>
      <c r="BG88" s="1074">
        <f t="shared" si="133"/>
        <v>10886.526325676936</v>
      </c>
      <c r="BH88" s="1074">
        <f t="shared" si="134"/>
        <v>9310.4207310424099</v>
      </c>
      <c r="BI88" s="1074">
        <f t="shared" si="135"/>
        <v>9780.1243830062704</v>
      </c>
      <c r="BJ88" s="1074">
        <f t="shared" si="136"/>
        <v>10447.066672106088</v>
      </c>
      <c r="BK88" s="1074">
        <f t="shared" si="137"/>
        <v>9873.2447346125464</v>
      </c>
      <c r="BL88" s="1074">
        <f t="shared" si="138"/>
        <v>8683.8025494788544</v>
      </c>
      <c r="BM88" s="1074">
        <f t="shared" si="139"/>
        <v>18644.649673638698</v>
      </c>
      <c r="BN88" s="1074">
        <f t="shared" si="140"/>
        <v>14896.718319723466</v>
      </c>
      <c r="BO88" s="1074">
        <f t="shared" si="141"/>
        <v>13291.731406176033</v>
      </c>
      <c r="BP88" s="1074">
        <f t="shared" si="142"/>
        <v>12303.36322926092</v>
      </c>
      <c r="BQ88" s="949"/>
      <c r="BR88" s="950"/>
      <c r="BU88" s="1370"/>
      <c r="BV88" s="1377" t="s">
        <v>601</v>
      </c>
      <c r="BW88" s="1378">
        <v>0.35</v>
      </c>
      <c r="BX88" s="1378">
        <v>0.35</v>
      </c>
      <c r="BY88" s="1378">
        <v>0.35</v>
      </c>
      <c r="BZ88" s="1378">
        <v>0.35</v>
      </c>
      <c r="CA88" s="1378">
        <v>0.4</v>
      </c>
      <c r="CB88" s="1378">
        <v>0.45</v>
      </c>
      <c r="CC88" s="1378">
        <v>0.5</v>
      </c>
      <c r="CD88" s="1378">
        <v>0.5</v>
      </c>
      <c r="CE88" s="1378">
        <v>0.55000000000000004</v>
      </c>
      <c r="CF88" s="1378">
        <v>0.6</v>
      </c>
      <c r="CG88" s="1378">
        <v>0.65</v>
      </c>
      <c r="CH88" s="1378">
        <v>0.65</v>
      </c>
      <c r="CI88" s="1378">
        <v>0.7</v>
      </c>
      <c r="CJ88" s="1378">
        <v>0.75</v>
      </c>
      <c r="CK88" s="1378">
        <v>0.75</v>
      </c>
      <c r="CL88" s="1378">
        <v>0.75</v>
      </c>
      <c r="CM88" s="1378">
        <v>0.75</v>
      </c>
      <c r="CN88" s="1378">
        <v>0.75</v>
      </c>
      <c r="CO88" s="1378">
        <v>0.8</v>
      </c>
      <c r="CP88" s="1378">
        <v>0.8</v>
      </c>
      <c r="CQ88" s="1378">
        <v>0.8</v>
      </c>
      <c r="CR88" s="1378">
        <v>0.8</v>
      </c>
      <c r="CS88" s="1378">
        <v>0.8</v>
      </c>
      <c r="CT88" s="1378">
        <v>0.8</v>
      </c>
      <c r="CU88" s="1378">
        <v>0.8</v>
      </c>
    </row>
    <row r="89" spans="1:99" ht="12.75" customHeight="1">
      <c r="A89" s="923"/>
      <c r="B89" s="924"/>
      <c r="C89" s="1122" t="s">
        <v>684</v>
      </c>
      <c r="D89" s="1122"/>
      <c r="E89" s="1122"/>
      <c r="F89" s="1124"/>
      <c r="G89" s="1160">
        <f t="shared" si="147"/>
        <v>8041.7960553910534</v>
      </c>
      <c r="H89" s="1161">
        <f t="shared" si="147"/>
        <v>9062.2667008499466</v>
      </c>
      <c r="I89" s="1161">
        <f t="shared" si="147"/>
        <v>11356.87806590117</v>
      </c>
      <c r="J89" s="1162">
        <f t="shared" si="147"/>
        <v>8347.9637882575953</v>
      </c>
      <c r="K89" s="1160">
        <f t="shared" si="147"/>
        <v>13250.060693463165</v>
      </c>
      <c r="L89" s="1161">
        <f t="shared" si="147"/>
        <v>9071.8879562291859</v>
      </c>
      <c r="M89" s="1161">
        <f t="shared" si="147"/>
        <v>25893.818464353088</v>
      </c>
      <c r="N89" s="1162">
        <f t="shared" si="147"/>
        <v>8802.8017856887855</v>
      </c>
      <c r="O89" s="1160">
        <f t="shared" si="147"/>
        <v>10427.411930587574</v>
      </c>
      <c r="P89" s="1161">
        <f t="shared" si="147"/>
        <v>13149.847473997354</v>
      </c>
      <c r="Q89" s="1161">
        <f t="shared" si="147"/>
        <v>10844.312381422489</v>
      </c>
      <c r="R89" s="1161">
        <f t="shared" si="147"/>
        <v>8425.2985003315698</v>
      </c>
      <c r="S89" s="1160">
        <f t="shared" si="147"/>
        <v>8251.6765077448854</v>
      </c>
      <c r="T89" s="1161">
        <f t="shared" si="147"/>
        <v>9002.9603883800482</v>
      </c>
      <c r="U89" s="1161">
        <f t="shared" si="147"/>
        <v>11341.851539958103</v>
      </c>
      <c r="V89" s="1162">
        <f t="shared" si="147"/>
        <v>9463.0903276979279</v>
      </c>
      <c r="W89" s="1161">
        <f t="shared" si="147"/>
        <v>11411.501790347942</v>
      </c>
      <c r="X89" s="1161">
        <f t="shared" si="147"/>
        <v>9045.8599574014897</v>
      </c>
      <c r="Y89" s="1161">
        <f t="shared" si="147"/>
        <v>9605.4610611369171</v>
      </c>
      <c r="Z89" s="1162">
        <f t="shared" si="147"/>
        <v>9120.4883109117491</v>
      </c>
      <c r="AA89" s="1161">
        <f t="shared" si="145"/>
        <v>9136.8775797345152</v>
      </c>
      <c r="AB89" s="1161">
        <f t="shared" si="145"/>
        <v>10167.155492757694</v>
      </c>
      <c r="AC89" s="1161">
        <f t="shared" si="145"/>
        <v>12511.457613677228</v>
      </c>
      <c r="AD89" s="1162">
        <f t="shared" si="145"/>
        <v>10876.683448674665</v>
      </c>
      <c r="AE89" s="1164">
        <f t="shared" si="147"/>
        <v>10196.657106772524</v>
      </c>
      <c r="AF89" s="1164">
        <f t="shared" si="147"/>
        <v>10689.109099653992</v>
      </c>
      <c r="AG89" s="1164">
        <f t="shared" si="147"/>
        <v>10773.277437367538</v>
      </c>
      <c r="AH89" s="1165">
        <f t="shared" si="147"/>
        <v>9535.7355641636423</v>
      </c>
      <c r="AI89" s="1164">
        <f t="shared" si="157"/>
        <v>8034.3920235132791</v>
      </c>
      <c r="AJ89" s="1164">
        <f t="shared" si="157"/>
        <v>11540.407142857141</v>
      </c>
      <c r="AK89" s="1164">
        <f t="shared" si="157"/>
        <v>10385.636582967496</v>
      </c>
      <c r="AL89" s="1165">
        <f t="shared" si="157"/>
        <v>9183.4832108958926</v>
      </c>
      <c r="AM89" s="1164">
        <f t="shared" si="157"/>
        <v>10634.225607691036</v>
      </c>
      <c r="AN89" s="1164">
        <f t="shared" si="157"/>
        <v>14236.347804453289</v>
      </c>
      <c r="AO89" s="1164">
        <f t="shared" si="157"/>
        <v>42547.465956187094</v>
      </c>
      <c r="AP89" s="1165">
        <f t="shared" si="157"/>
        <v>9496.5307294658251</v>
      </c>
      <c r="AQ89" s="1164">
        <f t="shared" ref="AQ89:AX89" si="162">IF(ISBLANK(AQ232),"",AQ232)</f>
        <v>8720.1192578699338</v>
      </c>
      <c r="AR89" s="1164">
        <f t="shared" si="162"/>
        <v>10430.226716582347</v>
      </c>
      <c r="AS89" s="1164">
        <f t="shared" si="162"/>
        <v>28181.026283720643</v>
      </c>
      <c r="AT89" s="1165">
        <f t="shared" si="162"/>
        <v>14900.784624033387</v>
      </c>
      <c r="AU89" s="1164">
        <f t="shared" si="162"/>
        <v>7855.5760409850509</v>
      </c>
      <c r="AV89" s="1164">
        <f t="shared" si="162"/>
        <v>9396.1374465010304</v>
      </c>
      <c r="AW89" s="1164">
        <f t="shared" si="162"/>
        <v>25387.06046766177</v>
      </c>
      <c r="AX89" s="1165">
        <f t="shared" si="162"/>
        <v>13423.468558505469</v>
      </c>
      <c r="AY89" s="1164">
        <f t="shared" si="160"/>
        <v>7313.7196348895295</v>
      </c>
      <c r="AZ89" s="1164">
        <f t="shared" si="160"/>
        <v>8748.0172779255663</v>
      </c>
      <c r="BA89" s="1164">
        <f t="shared" si="160"/>
        <v>23635.929643573669</v>
      </c>
      <c r="BB89" s="1165">
        <f t="shared" si="160"/>
        <v>12497.553973438842</v>
      </c>
      <c r="BC89" s="974"/>
      <c r="BD89" s="974"/>
      <c r="BE89" s="1074">
        <f t="shared" si="131"/>
        <v>9202.226152599942</v>
      </c>
      <c r="BF89" s="1074">
        <f t="shared" si="132"/>
        <v>14254.642224933556</v>
      </c>
      <c r="BG89" s="1074">
        <f t="shared" si="133"/>
        <v>10711.717571584746</v>
      </c>
      <c r="BH89" s="1074">
        <f t="shared" si="134"/>
        <v>9514.8946909452407</v>
      </c>
      <c r="BI89" s="1074">
        <f t="shared" si="135"/>
        <v>9795.8277799495245</v>
      </c>
      <c r="BJ89" s="1074">
        <f t="shared" si="136"/>
        <v>10673.043533711027</v>
      </c>
      <c r="BK89" s="1074">
        <f t="shared" si="137"/>
        <v>10298.694801989424</v>
      </c>
      <c r="BL89" s="1074">
        <f t="shared" si="138"/>
        <v>9785.9797400584521</v>
      </c>
      <c r="BM89" s="1074">
        <f t="shared" si="139"/>
        <v>19228.642524449311</v>
      </c>
      <c r="BN89" s="1074">
        <f t="shared" si="140"/>
        <v>15558.039220551578</v>
      </c>
      <c r="BO89" s="1074">
        <f t="shared" si="141"/>
        <v>14015.56062841333</v>
      </c>
      <c r="BP89" s="1074">
        <f t="shared" si="142"/>
        <v>13048.805132456902</v>
      </c>
      <c r="BQ89" s="949"/>
      <c r="BR89" s="950"/>
      <c r="BU89" s="1370"/>
      <c r="BV89" s="1377" t="s">
        <v>679</v>
      </c>
      <c r="BW89" s="1378">
        <v>0.2</v>
      </c>
      <c r="BX89" s="1378">
        <v>0.2</v>
      </c>
      <c r="BY89" s="1378">
        <v>0.2</v>
      </c>
      <c r="BZ89" s="1378">
        <v>0.2</v>
      </c>
      <c r="CA89" s="1378">
        <v>0.2</v>
      </c>
      <c r="CB89" s="1378">
        <v>0.2</v>
      </c>
      <c r="CC89" s="1378">
        <v>0.2</v>
      </c>
      <c r="CD89" s="1378">
        <v>0.2</v>
      </c>
      <c r="CE89" s="1378">
        <v>0.25</v>
      </c>
      <c r="CF89" s="1378">
        <v>0.25</v>
      </c>
      <c r="CG89" s="1378">
        <v>0.25</v>
      </c>
      <c r="CH89" s="1378">
        <v>0.35</v>
      </c>
      <c r="CI89" s="1378">
        <v>0.35</v>
      </c>
      <c r="CJ89" s="1378">
        <v>0.4</v>
      </c>
      <c r="CK89" s="1378">
        <v>0.4</v>
      </c>
      <c r="CL89" s="1378">
        <v>0.45</v>
      </c>
      <c r="CM89" s="1378">
        <v>0.45</v>
      </c>
      <c r="CN89" s="1378">
        <v>0.5</v>
      </c>
      <c r="CO89" s="1378">
        <v>0.5</v>
      </c>
      <c r="CP89" s="1378">
        <v>0.5</v>
      </c>
      <c r="CQ89" s="1378">
        <v>0.5</v>
      </c>
      <c r="CR89" s="1378">
        <v>0.55000000000000004</v>
      </c>
      <c r="CS89" s="1378">
        <v>0.55000000000000004</v>
      </c>
      <c r="CT89" s="1378">
        <v>0.55000000000000004</v>
      </c>
      <c r="CU89" s="1378">
        <v>0.55000000000000004</v>
      </c>
    </row>
    <row r="90" spans="1:99" ht="12.75" customHeight="1">
      <c r="A90" s="923"/>
      <c r="B90" s="924"/>
      <c r="C90" s="1122" t="s">
        <v>685</v>
      </c>
      <c r="D90" s="1122"/>
      <c r="E90" s="1122"/>
      <c r="F90" s="1124"/>
      <c r="G90" s="1160">
        <f t="shared" si="147"/>
        <v>8775.1623905256511</v>
      </c>
      <c r="H90" s="1161">
        <f t="shared" si="147"/>
        <v>8621.9499063828898</v>
      </c>
      <c r="I90" s="1161">
        <f t="shared" si="147"/>
        <v>10207.705218967056</v>
      </c>
      <c r="J90" s="1162">
        <f t="shared" ref="J90:AH90" si="163">IF(ISBLANK(J233),"",J233)</f>
        <v>8941.757526174677</v>
      </c>
      <c r="K90" s="1160">
        <f t="shared" si="163"/>
        <v>7843.2743322702108</v>
      </c>
      <c r="L90" s="1161">
        <f t="shared" si="163"/>
        <v>8392.0085932164784</v>
      </c>
      <c r="M90" s="1161">
        <f t="shared" si="163"/>
        <v>10046.833347980197</v>
      </c>
      <c r="N90" s="1162">
        <f t="shared" si="163"/>
        <v>9235.6105140044056</v>
      </c>
      <c r="O90" s="1160">
        <f t="shared" si="163"/>
        <v>9126.4511339092878</v>
      </c>
      <c r="P90" s="1161">
        <f t="shared" si="163"/>
        <v>10134.401783568745</v>
      </c>
      <c r="Q90" s="1161">
        <f t="shared" si="163"/>
        <v>11754.765674803102</v>
      </c>
      <c r="R90" s="1161">
        <f t="shared" si="163"/>
        <v>8337.2335194144489</v>
      </c>
      <c r="S90" s="1160">
        <f t="shared" si="163"/>
        <v>8672.5647979371352</v>
      </c>
      <c r="T90" s="1161">
        <f t="shared" si="163"/>
        <v>9118.2506926640854</v>
      </c>
      <c r="U90" s="1161">
        <f t="shared" si="163"/>
        <v>11096.928780874063</v>
      </c>
      <c r="V90" s="1162">
        <f t="shared" si="163"/>
        <v>9096.6925445307006</v>
      </c>
      <c r="W90" s="1161">
        <f t="shared" si="163"/>
        <v>8683.9376258463581</v>
      </c>
      <c r="X90" s="1161">
        <f t="shared" si="163"/>
        <v>8703.3115203962152</v>
      </c>
      <c r="Y90" s="1161">
        <f t="shared" si="163"/>
        <v>9652.6653325011466</v>
      </c>
      <c r="Z90" s="1162">
        <f t="shared" si="163"/>
        <v>8969.1141558179552</v>
      </c>
      <c r="AA90" s="1161">
        <f t="shared" ref="AA90:AD99" si="164">IF(ISBLANK(AA233),"",AA233)</f>
        <v>8901.1780605231725</v>
      </c>
      <c r="AB90" s="1161">
        <f t="shared" si="164"/>
        <v>9551.0277881366437</v>
      </c>
      <c r="AC90" s="1161">
        <f t="shared" si="164"/>
        <v>10951.734672288083</v>
      </c>
      <c r="AD90" s="1162">
        <f t="shared" si="164"/>
        <v>9622.1211658004722</v>
      </c>
      <c r="AE90" s="1164">
        <f t="shared" si="163"/>
        <v>9084.1070239354394</v>
      </c>
      <c r="AF90" s="1164">
        <f t="shared" si="163"/>
        <v>10170.034204309035</v>
      </c>
      <c r="AG90" s="1164">
        <f t="shared" si="163"/>
        <v>11984.899139776866</v>
      </c>
      <c r="AH90" s="1165">
        <f t="shared" si="163"/>
        <v>8184.3072380613366</v>
      </c>
      <c r="AI90" s="1164">
        <f t="shared" si="157"/>
        <v>7389.8139328772922</v>
      </c>
      <c r="AJ90" s="1164">
        <f t="shared" si="157"/>
        <v>10342.646878449652</v>
      </c>
      <c r="AK90" s="1164">
        <f t="shared" si="157"/>
        <v>13770.107900873485</v>
      </c>
      <c r="AL90" s="1165">
        <f t="shared" si="157"/>
        <v>7056.5902948086296</v>
      </c>
      <c r="AM90" s="1164">
        <f t="shared" si="157"/>
        <v>6781.1777196375069</v>
      </c>
      <c r="AN90" s="1164">
        <f t="shared" si="157"/>
        <v>13492.720052945069</v>
      </c>
      <c r="AO90" s="1164">
        <f t="shared" si="157"/>
        <v>17437.576749897667</v>
      </c>
      <c r="AP90" s="1165">
        <f t="shared" si="157"/>
        <v>10429.362880886429</v>
      </c>
      <c r="AQ90" s="1164">
        <f t="shared" ref="AQ90:AX90" si="165">IF(ISBLANK(AQ233),"",AQ233)</f>
        <v>10014.399767955705</v>
      </c>
      <c r="AR90" s="1164">
        <f t="shared" si="165"/>
        <v>14267.477999292238</v>
      </c>
      <c r="AS90" s="1164">
        <f t="shared" si="165"/>
        <v>19740.487786195776</v>
      </c>
      <c r="AT90" s="1165">
        <f t="shared" si="165"/>
        <v>10827.913239907981</v>
      </c>
      <c r="AU90" s="1164">
        <f t="shared" si="165"/>
        <v>10617.254547706931</v>
      </c>
      <c r="AV90" s="1164">
        <f t="shared" si="165"/>
        <v>15126.362955572005</v>
      </c>
      <c r="AW90" s="1164">
        <f t="shared" si="165"/>
        <v>20928.841326325935</v>
      </c>
      <c r="AX90" s="1165">
        <f t="shared" si="165"/>
        <v>11479.740548849391</v>
      </c>
      <c r="AY90" s="1164">
        <f t="shared" si="160"/>
        <v>10827.965041019528</v>
      </c>
      <c r="AZ90" s="1164">
        <f t="shared" si="160"/>
        <v>15426.561409520005</v>
      </c>
      <c r="BA90" s="1164">
        <f t="shared" si="160"/>
        <v>21344.196017175243</v>
      </c>
      <c r="BB90" s="1165">
        <f t="shared" si="160"/>
        <v>11707.567976672637</v>
      </c>
      <c r="BC90" s="974"/>
      <c r="BD90" s="974"/>
      <c r="BE90" s="1074">
        <f t="shared" si="131"/>
        <v>9136.6437605125684</v>
      </c>
      <c r="BF90" s="1074">
        <f t="shared" si="132"/>
        <v>8879.4316968678213</v>
      </c>
      <c r="BG90" s="1074">
        <f t="shared" si="133"/>
        <v>9838.2130279238954</v>
      </c>
      <c r="BH90" s="1074">
        <f t="shared" si="134"/>
        <v>9496.1092040014955</v>
      </c>
      <c r="BI90" s="1074">
        <f t="shared" si="135"/>
        <v>9002.2571586404192</v>
      </c>
      <c r="BJ90" s="1074">
        <f t="shared" si="136"/>
        <v>9756.5154216870942</v>
      </c>
      <c r="BK90" s="1074">
        <f t="shared" si="137"/>
        <v>9855.8369015206681</v>
      </c>
      <c r="BL90" s="1074">
        <f t="shared" si="138"/>
        <v>9639.7897517522651</v>
      </c>
      <c r="BM90" s="1074">
        <f t="shared" si="139"/>
        <v>12035.209350841669</v>
      </c>
      <c r="BN90" s="1074">
        <f t="shared" si="140"/>
        <v>13712.569698337924</v>
      </c>
      <c r="BO90" s="1074">
        <f t="shared" si="141"/>
        <v>14538.049844613566</v>
      </c>
      <c r="BP90" s="1074">
        <f t="shared" si="142"/>
        <v>14826.572611096854</v>
      </c>
      <c r="BQ90" s="949"/>
      <c r="BR90" s="950"/>
      <c r="BU90" s="1370"/>
      <c r="BV90" s="1377" t="s">
        <v>680</v>
      </c>
      <c r="BW90" s="1378">
        <v>0.2</v>
      </c>
      <c r="BX90" s="1378">
        <v>0.2</v>
      </c>
      <c r="BY90" s="1378">
        <v>0.2</v>
      </c>
      <c r="BZ90" s="1378">
        <v>0.2</v>
      </c>
      <c r="CA90" s="1378">
        <v>0.2</v>
      </c>
      <c r="CB90" s="1378">
        <v>0.2</v>
      </c>
      <c r="CC90" s="1378">
        <v>0.2</v>
      </c>
      <c r="CD90" s="1378">
        <v>0.2</v>
      </c>
      <c r="CE90" s="1378">
        <v>0.25</v>
      </c>
      <c r="CF90" s="1378">
        <v>0.25</v>
      </c>
      <c r="CG90" s="1378">
        <v>0.25</v>
      </c>
      <c r="CH90" s="1378">
        <v>0.35</v>
      </c>
      <c r="CI90" s="1378">
        <v>0.35</v>
      </c>
      <c r="CJ90" s="1378">
        <v>0.4</v>
      </c>
      <c r="CK90" s="1378">
        <v>0.4</v>
      </c>
      <c r="CL90" s="1378">
        <v>0.45</v>
      </c>
      <c r="CM90" s="1378">
        <v>0.45</v>
      </c>
      <c r="CN90" s="1378">
        <v>0.5</v>
      </c>
      <c r="CO90" s="1378">
        <v>0.5</v>
      </c>
      <c r="CP90" s="1378">
        <v>0.5</v>
      </c>
      <c r="CQ90" s="1378">
        <v>0.5</v>
      </c>
      <c r="CR90" s="1378">
        <v>0.55000000000000004</v>
      </c>
      <c r="CS90" s="1378">
        <v>0.55000000000000004</v>
      </c>
      <c r="CT90" s="1378">
        <v>0.55000000000000004</v>
      </c>
      <c r="CU90" s="1378">
        <v>0.55000000000000004</v>
      </c>
    </row>
    <row r="91" spans="1:99" ht="12.75" customHeight="1">
      <c r="A91" s="923"/>
      <c r="B91" s="924"/>
      <c r="C91" s="1122" t="s">
        <v>686</v>
      </c>
      <c r="D91" s="1122"/>
      <c r="E91" s="1122"/>
      <c r="F91" s="1124"/>
      <c r="G91" s="1160">
        <f t="shared" ref="G91:AH100" si="166">IF(ISBLANK(G234),"",G234)</f>
        <v>11748.084932868991</v>
      </c>
      <c r="H91" s="1161">
        <f t="shared" si="166"/>
        <v>7677.8064845469125</v>
      </c>
      <c r="I91" s="1161">
        <f t="shared" si="166"/>
        <v>9417.3479567810555</v>
      </c>
      <c r="J91" s="1162">
        <f t="shared" si="166"/>
        <v>8861.4285224737796</v>
      </c>
      <c r="K91" s="1160">
        <f t="shared" si="166"/>
        <v>7380.0484170231503</v>
      </c>
      <c r="L91" s="1161">
        <f t="shared" si="166"/>
        <v>7514.6167798312563</v>
      </c>
      <c r="M91" s="1161">
        <f t="shared" si="166"/>
        <v>9858.7607644940235</v>
      </c>
      <c r="N91" s="1162">
        <f t="shared" si="166"/>
        <v>9067.8163253889288</v>
      </c>
      <c r="O91" s="1160">
        <f t="shared" si="166"/>
        <v>9110.09482114807</v>
      </c>
      <c r="P91" s="1161">
        <f t="shared" si="166"/>
        <v>8904.2289277994641</v>
      </c>
      <c r="Q91" s="1161">
        <f t="shared" si="166"/>
        <v>11626.092314450982</v>
      </c>
      <c r="R91" s="1161">
        <f t="shared" si="166"/>
        <v>11418.003440809496</v>
      </c>
      <c r="S91" s="1160">
        <f t="shared" si="166"/>
        <v>11446.755519845941</v>
      </c>
      <c r="T91" s="1161">
        <f t="shared" si="166"/>
        <v>10899.370648108434</v>
      </c>
      <c r="U91" s="1161">
        <f t="shared" si="166"/>
        <v>12691.456396801643</v>
      </c>
      <c r="V91" s="1162">
        <f t="shared" si="166"/>
        <v>10961.734784397329</v>
      </c>
      <c r="W91" s="1161">
        <f t="shared" si="166"/>
        <v>9780.5118738082929</v>
      </c>
      <c r="X91" s="1161">
        <f t="shared" si="166"/>
        <v>8324.2136157281893</v>
      </c>
      <c r="Y91" s="1161">
        <f t="shared" si="166"/>
        <v>10316.639645621897</v>
      </c>
      <c r="Z91" s="1162">
        <f t="shared" si="166"/>
        <v>10289.620298252388</v>
      </c>
      <c r="AA91" s="1161">
        <f t="shared" si="164"/>
        <v>10095.511697752157</v>
      </c>
      <c r="AB91" s="1161">
        <f t="shared" si="164"/>
        <v>10336.636771049025</v>
      </c>
      <c r="AC91" s="1161">
        <f t="shared" si="164"/>
        <v>11870.802114159645</v>
      </c>
      <c r="AD91" s="1162">
        <f t="shared" si="164"/>
        <v>12988.979109047015</v>
      </c>
      <c r="AE91" s="1164">
        <f t="shared" si="166"/>
        <v>10470.96990745581</v>
      </c>
      <c r="AF91" s="1164">
        <f t="shared" si="166"/>
        <v>9544.9231897338559</v>
      </c>
      <c r="AG91" s="1164">
        <f t="shared" si="166"/>
        <v>12095.15192624512</v>
      </c>
      <c r="AH91" s="1165">
        <f t="shared" si="166"/>
        <v>10647.652335388861</v>
      </c>
      <c r="AI91" s="1164">
        <f t="shared" si="157"/>
        <v>8571.6422127332826</v>
      </c>
      <c r="AJ91" s="1164">
        <f t="shared" si="157"/>
        <v>10073.898611437213</v>
      </c>
      <c r="AK91" s="1164">
        <f t="shared" si="157"/>
        <v>13498.819391065657</v>
      </c>
      <c r="AL91" s="1165">
        <f t="shared" si="157"/>
        <v>11005.243762763848</v>
      </c>
      <c r="AM91" s="1164">
        <f t="shared" si="157"/>
        <v>8859.7525685270448</v>
      </c>
      <c r="AN91" s="1164">
        <f t="shared" si="157"/>
        <v>13716.08206485771</v>
      </c>
      <c r="AO91" s="1164">
        <f t="shared" si="157"/>
        <v>18972.574703233728</v>
      </c>
      <c r="AP91" s="1165">
        <f t="shared" si="157"/>
        <v>16516.620498614961</v>
      </c>
      <c r="AQ91" s="1164">
        <f t="shared" ref="AQ91:AX91" si="167">IF(ISBLANK(AQ234),"",AQ234)</f>
        <v>13499.713741880851</v>
      </c>
      <c r="AR91" s="1164">
        <f t="shared" si="167"/>
        <v>14061.965375588867</v>
      </c>
      <c r="AS91" s="1164">
        <f t="shared" si="167"/>
        <v>19672.051621639861</v>
      </c>
      <c r="AT91" s="1165">
        <f t="shared" si="167"/>
        <v>15045.105469581529</v>
      </c>
      <c r="AU91" s="1164">
        <f t="shared" si="167"/>
        <v>14061.523642976674</v>
      </c>
      <c r="AV91" s="1164">
        <f t="shared" si="167"/>
        <v>14647.174182821826</v>
      </c>
      <c r="AW91" s="1164">
        <f t="shared" si="167"/>
        <v>20490.732194222554</v>
      </c>
      <c r="AX91" s="1165">
        <f t="shared" si="167"/>
        <v>15671.229058381727</v>
      </c>
      <c r="AY91" s="1164">
        <f t="shared" si="160"/>
        <v>13906.632702001074</v>
      </c>
      <c r="AZ91" s="1164">
        <f t="shared" si="160"/>
        <v>14485.832165454884</v>
      </c>
      <c r="BA91" s="1164">
        <f t="shared" si="160"/>
        <v>20265.02203141047</v>
      </c>
      <c r="BB91" s="1165">
        <f t="shared" si="160"/>
        <v>15498.606839287475</v>
      </c>
      <c r="BC91" s="974"/>
      <c r="BD91" s="974"/>
      <c r="BE91" s="1074">
        <f t="shared" si="131"/>
        <v>9426.1669741676851</v>
      </c>
      <c r="BF91" s="1074">
        <f t="shared" si="132"/>
        <v>8455.3105716843402</v>
      </c>
      <c r="BG91" s="1074">
        <f t="shared" si="133"/>
        <v>10264.604876052003</v>
      </c>
      <c r="BH91" s="1074">
        <f t="shared" si="134"/>
        <v>11499.829337288338</v>
      </c>
      <c r="BI91" s="1074">
        <f t="shared" si="135"/>
        <v>9677.7463583526915</v>
      </c>
      <c r="BJ91" s="1074">
        <f t="shared" si="136"/>
        <v>11322.982423001962</v>
      </c>
      <c r="BK91" s="1074">
        <f t="shared" si="137"/>
        <v>10689.674339705913</v>
      </c>
      <c r="BL91" s="1074">
        <f t="shared" si="138"/>
        <v>10787.4009945</v>
      </c>
      <c r="BM91" s="1074">
        <f t="shared" si="139"/>
        <v>14516.257458808361</v>
      </c>
      <c r="BN91" s="1074">
        <f t="shared" si="140"/>
        <v>15569.709052172777</v>
      </c>
      <c r="BO91" s="1074">
        <f t="shared" si="141"/>
        <v>16217.664769600695</v>
      </c>
      <c r="BP91" s="1074">
        <f t="shared" si="142"/>
        <v>16039.023434538474</v>
      </c>
      <c r="BQ91" s="949"/>
      <c r="BR91" s="950"/>
      <c r="BU91" s="1370"/>
      <c r="BV91" s="1377" t="s">
        <v>681</v>
      </c>
      <c r="BW91" s="1378">
        <v>0.2</v>
      </c>
      <c r="BX91" s="1378">
        <v>0.2</v>
      </c>
      <c r="BY91" s="1378">
        <v>0.2</v>
      </c>
      <c r="BZ91" s="1378">
        <v>0.2</v>
      </c>
      <c r="CA91" s="1378">
        <v>0.2</v>
      </c>
      <c r="CB91" s="1378">
        <v>0.2</v>
      </c>
      <c r="CC91" s="1378">
        <v>0.2</v>
      </c>
      <c r="CD91" s="1378">
        <v>0.2</v>
      </c>
      <c r="CE91" s="1378">
        <v>0.25</v>
      </c>
      <c r="CF91" s="1378">
        <v>0.25</v>
      </c>
      <c r="CG91" s="1378">
        <v>0.3</v>
      </c>
      <c r="CH91" s="1378">
        <v>0.3</v>
      </c>
      <c r="CI91" s="1378">
        <v>0.3</v>
      </c>
      <c r="CJ91" s="1378">
        <v>0.35</v>
      </c>
      <c r="CK91" s="1378">
        <v>0.35</v>
      </c>
      <c r="CL91" s="1378">
        <v>0.4</v>
      </c>
      <c r="CM91" s="1378">
        <v>0.4</v>
      </c>
      <c r="CN91" s="1378">
        <v>0.4</v>
      </c>
      <c r="CO91" s="1378">
        <v>0.45</v>
      </c>
      <c r="CP91" s="1378">
        <v>0.5</v>
      </c>
      <c r="CQ91" s="1378">
        <v>0.5</v>
      </c>
      <c r="CR91" s="1378">
        <v>0.5</v>
      </c>
      <c r="CS91" s="1378">
        <v>0.5</v>
      </c>
      <c r="CT91" s="1378">
        <v>0.5</v>
      </c>
      <c r="CU91" s="1378">
        <v>0.5</v>
      </c>
    </row>
    <row r="92" spans="1:99" ht="12.75" customHeight="1">
      <c r="A92" s="923"/>
      <c r="B92" s="924"/>
      <c r="C92" s="1122" t="s">
        <v>687</v>
      </c>
      <c r="D92" s="1122"/>
      <c r="E92" s="1122"/>
      <c r="F92" s="1124"/>
      <c r="G92" s="1160">
        <f t="shared" si="166"/>
        <v>8818.9270982303533</v>
      </c>
      <c r="H92" s="1161">
        <f t="shared" si="166"/>
        <v>7516.769717405763</v>
      </c>
      <c r="I92" s="1161">
        <f t="shared" si="166"/>
        <v>9030.4493391427277</v>
      </c>
      <c r="J92" s="1162">
        <f t="shared" si="166"/>
        <v>8952.3408360904396</v>
      </c>
      <c r="K92" s="1160">
        <f t="shared" si="166"/>
        <v>7313.7886058323793</v>
      </c>
      <c r="L92" s="1161">
        <f t="shared" si="166"/>
        <v>7216.4963764112617</v>
      </c>
      <c r="M92" s="1161">
        <f t="shared" si="166"/>
        <v>9638.9175401523808</v>
      </c>
      <c r="N92" s="1162">
        <f t="shared" si="166"/>
        <v>9023.6993277436741</v>
      </c>
      <c r="O92" s="1160">
        <f t="shared" si="166"/>
        <v>9302.9595264683994</v>
      </c>
      <c r="P92" s="1161">
        <f t="shared" si="166"/>
        <v>10497.69497247698</v>
      </c>
      <c r="Q92" s="1161">
        <f t="shared" si="166"/>
        <v>10394.090269805383</v>
      </c>
      <c r="R92" s="1161">
        <f t="shared" si="166"/>
        <v>9503.8147240986618</v>
      </c>
      <c r="S92" s="1160">
        <f t="shared" si="166"/>
        <v>10227.558514001141</v>
      </c>
      <c r="T92" s="1161">
        <f t="shared" si="166"/>
        <v>12726.79042355791</v>
      </c>
      <c r="U92" s="1161">
        <f t="shared" si="166"/>
        <v>11380.821957728594</v>
      </c>
      <c r="V92" s="1162">
        <f t="shared" si="166"/>
        <v>11365.162652273772</v>
      </c>
      <c r="W92" s="1161">
        <f t="shared" si="166"/>
        <v>9936.1125151956894</v>
      </c>
      <c r="X92" s="1161">
        <f t="shared" si="166"/>
        <v>8914.437491759827</v>
      </c>
      <c r="Y92" s="1161">
        <f t="shared" si="166"/>
        <v>10324.753615972111</v>
      </c>
      <c r="Z92" s="1162">
        <f t="shared" si="166"/>
        <v>10613.533213405261</v>
      </c>
      <c r="AA92" s="1161">
        <f t="shared" si="164"/>
        <v>10794.686554329206</v>
      </c>
      <c r="AB92" s="1161">
        <f t="shared" si="164"/>
        <v>13050.491884183193</v>
      </c>
      <c r="AC92" s="1161">
        <f t="shared" si="164"/>
        <v>11947.399352794859</v>
      </c>
      <c r="AD92" s="1162">
        <f t="shared" si="164"/>
        <v>12563.163583983367</v>
      </c>
      <c r="AE92" s="1164">
        <f t="shared" si="166"/>
        <v>11106.232529645211</v>
      </c>
      <c r="AF92" s="1164">
        <f t="shared" si="166"/>
        <v>11716.347808318487</v>
      </c>
      <c r="AG92" s="1164">
        <f t="shared" si="166"/>
        <v>12357.27579637696</v>
      </c>
      <c r="AH92" s="1165">
        <f t="shared" si="166"/>
        <v>11990.682866775438</v>
      </c>
      <c r="AI92" s="1164">
        <f t="shared" si="157"/>
        <v>9449.9884488374046</v>
      </c>
      <c r="AJ92" s="1164">
        <f t="shared" si="157"/>
        <v>11403.16250934641</v>
      </c>
      <c r="AK92" s="1164">
        <f t="shared" si="157"/>
        <v>14923.468157166129</v>
      </c>
      <c r="AL92" s="1165">
        <f t="shared" si="157"/>
        <v>11110.096130842672</v>
      </c>
      <c r="AM92" s="1164">
        <f t="shared" si="157"/>
        <v>8835.3985409444631</v>
      </c>
      <c r="AN92" s="1164">
        <f t="shared" si="157"/>
        <v>14377.895433487756</v>
      </c>
      <c r="AO92" s="1164">
        <f t="shared" si="157"/>
        <v>18051.575931232092</v>
      </c>
      <c r="AP92" s="1165">
        <f t="shared" si="157"/>
        <v>16724.376731301942</v>
      </c>
      <c r="AQ92" s="1164">
        <f t="shared" ref="AQ92:AX92" si="168">IF(ISBLANK(AQ235),"",AQ235)</f>
        <v>14738.837139255675</v>
      </c>
      <c r="AR92" s="1164">
        <f t="shared" si="168"/>
        <v>16182.133515390124</v>
      </c>
      <c r="AS92" s="1164">
        <f t="shared" si="168"/>
        <v>20299.089540990994</v>
      </c>
      <c r="AT92" s="1165">
        <f t="shared" si="168"/>
        <v>14937.966413316562</v>
      </c>
      <c r="AU92" s="1164">
        <f t="shared" si="168"/>
        <v>15408.24352602746</v>
      </c>
      <c r="AV92" s="1164">
        <f t="shared" si="168"/>
        <v>16917.091329527619</v>
      </c>
      <c r="AW92" s="1164">
        <f t="shared" si="168"/>
        <v>21221.030672167504</v>
      </c>
      <c r="AX92" s="1165">
        <f t="shared" si="168"/>
        <v>15616.416824836715</v>
      </c>
      <c r="AY92" s="1164">
        <f t="shared" si="160"/>
        <v>15207.123389084334</v>
      </c>
      <c r="AZ92" s="1164">
        <f t="shared" si="160"/>
        <v>16696.27656117802</v>
      </c>
      <c r="BA92" s="1164">
        <f t="shared" si="160"/>
        <v>20944.037607536149</v>
      </c>
      <c r="BB92" s="1165">
        <f t="shared" si="160"/>
        <v>15412.579451351106</v>
      </c>
      <c r="BC92" s="974"/>
      <c r="BD92" s="974"/>
      <c r="BE92" s="1074">
        <f t="shared" si="131"/>
        <v>8579.6217477173195</v>
      </c>
      <c r="BF92" s="1074">
        <f t="shared" si="132"/>
        <v>8298.2254625349233</v>
      </c>
      <c r="BG92" s="1074">
        <f t="shared" si="133"/>
        <v>9924.6398732123562</v>
      </c>
      <c r="BH92" s="1074">
        <f t="shared" si="134"/>
        <v>11425.083386890354</v>
      </c>
      <c r="BI92" s="1074">
        <f t="shared" si="135"/>
        <v>9947.2092090832211</v>
      </c>
      <c r="BJ92" s="1074">
        <f t="shared" si="136"/>
        <v>12088.935343822655</v>
      </c>
      <c r="BK92" s="1074">
        <f t="shared" si="137"/>
        <v>11792.634750279025</v>
      </c>
      <c r="BL92" s="1074">
        <f t="shared" si="138"/>
        <v>11721.678811548154</v>
      </c>
      <c r="BM92" s="1074">
        <f t="shared" si="139"/>
        <v>14497.311659241563</v>
      </c>
      <c r="BN92" s="1074">
        <f t="shared" si="140"/>
        <v>16539.506652238339</v>
      </c>
      <c r="BO92" s="1074">
        <f t="shared" si="141"/>
        <v>17290.695588139824</v>
      </c>
      <c r="BP92" s="1074">
        <f t="shared" si="142"/>
        <v>17065.004252287403</v>
      </c>
      <c r="BQ92" s="949"/>
      <c r="BR92" s="950"/>
      <c r="BU92" s="1379">
        <v>1</v>
      </c>
      <c r="BV92" s="1380" t="s">
        <v>1050</v>
      </c>
      <c r="BW92" s="1376">
        <f t="shared" ref="BW92:CD92" si="169">BX92-0.25</f>
        <v>0</v>
      </c>
      <c r="BX92" s="1376">
        <f t="shared" si="169"/>
        <v>0.25</v>
      </c>
      <c r="BY92" s="1376">
        <f t="shared" si="169"/>
        <v>0.5</v>
      </c>
      <c r="BZ92" s="1376">
        <f t="shared" si="169"/>
        <v>0.75</v>
      </c>
      <c r="CA92" s="1376">
        <f t="shared" si="169"/>
        <v>1</v>
      </c>
      <c r="CB92" s="1376">
        <f t="shared" si="169"/>
        <v>1.25</v>
      </c>
      <c r="CC92" s="1376">
        <f t="shared" si="169"/>
        <v>1.5</v>
      </c>
      <c r="CD92" s="1376">
        <f t="shared" si="169"/>
        <v>1.75</v>
      </c>
      <c r="CE92" s="1376">
        <v>2</v>
      </c>
      <c r="CF92" s="1376">
        <f t="shared" ref="CF92:CU92" si="170">CE92+0.25</f>
        <v>2.25</v>
      </c>
      <c r="CG92" s="1376">
        <f t="shared" si="170"/>
        <v>2.5</v>
      </c>
      <c r="CH92" s="1376">
        <f t="shared" si="170"/>
        <v>2.75</v>
      </c>
      <c r="CI92" s="1376">
        <f t="shared" si="170"/>
        <v>3</v>
      </c>
      <c r="CJ92" s="1376">
        <f t="shared" si="170"/>
        <v>3.25</v>
      </c>
      <c r="CK92" s="1376">
        <f t="shared" si="170"/>
        <v>3.5</v>
      </c>
      <c r="CL92" s="1376">
        <f t="shared" si="170"/>
        <v>3.75</v>
      </c>
      <c r="CM92" s="1376">
        <f t="shared" si="170"/>
        <v>4</v>
      </c>
      <c r="CN92" s="1376">
        <f t="shared" si="170"/>
        <v>4.25</v>
      </c>
      <c r="CO92" s="1376">
        <f t="shared" si="170"/>
        <v>4.5</v>
      </c>
      <c r="CP92" s="1376">
        <f t="shared" si="170"/>
        <v>4.75</v>
      </c>
      <c r="CQ92" s="1376">
        <f t="shared" si="170"/>
        <v>5</v>
      </c>
      <c r="CR92" s="1376">
        <f t="shared" si="170"/>
        <v>5.25</v>
      </c>
      <c r="CS92" s="1376">
        <f t="shared" si="170"/>
        <v>5.5</v>
      </c>
      <c r="CT92" s="1376">
        <f t="shared" si="170"/>
        <v>5.75</v>
      </c>
      <c r="CU92" s="1376">
        <f t="shared" si="170"/>
        <v>6</v>
      </c>
    </row>
    <row r="93" spans="1:99" ht="12.75" customHeight="1">
      <c r="A93" s="923"/>
      <c r="B93" s="924"/>
      <c r="C93" s="1122" t="s">
        <v>688</v>
      </c>
      <c r="D93" s="1122"/>
      <c r="E93" s="1122"/>
      <c r="F93" s="1124"/>
      <c r="G93" s="1160">
        <f t="shared" si="166"/>
        <v>8563.562822424461</v>
      </c>
      <c r="H93" s="1161">
        <f t="shared" si="166"/>
        <v>6860.4941925393041</v>
      </c>
      <c r="I93" s="1161">
        <f t="shared" si="166"/>
        <v>9589.8568783682331</v>
      </c>
      <c r="J93" s="1162">
        <f t="shared" si="166"/>
        <v>8761.3924824907463</v>
      </c>
      <c r="K93" s="1160">
        <f t="shared" si="166"/>
        <v>6370.4143174569617</v>
      </c>
      <c r="L93" s="1161">
        <f t="shared" si="166"/>
        <v>6211.3020714773484</v>
      </c>
      <c r="M93" s="1161">
        <f t="shared" si="166"/>
        <v>7826.6983038931385</v>
      </c>
      <c r="N93" s="1162">
        <f t="shared" si="166"/>
        <v>8505.2239404965749</v>
      </c>
      <c r="O93" s="1160">
        <f t="shared" si="166"/>
        <v>8361.8498020158422</v>
      </c>
      <c r="P93" s="1161">
        <f t="shared" si="166"/>
        <v>4692.7816196299354</v>
      </c>
      <c r="Q93" s="1161">
        <f t="shared" si="166"/>
        <v>8714.24458656358</v>
      </c>
      <c r="R93" s="1161">
        <f t="shared" si="166"/>
        <v>7915.5249031846197</v>
      </c>
      <c r="S93" s="1160">
        <f t="shared" si="166"/>
        <v>8087.8495531943299</v>
      </c>
      <c r="T93" s="1161">
        <f t="shared" si="166"/>
        <v>7996.3027258199882</v>
      </c>
      <c r="U93" s="1161">
        <f t="shared" si="166"/>
        <v>11211.620071182011</v>
      </c>
      <c r="V93" s="1162">
        <f t="shared" si="166"/>
        <v>10542.452919287505</v>
      </c>
      <c r="W93" s="1161">
        <f t="shared" si="166"/>
        <v>8657.5971567442921</v>
      </c>
      <c r="X93" s="1161">
        <f t="shared" si="166"/>
        <v>6886.9565387563089</v>
      </c>
      <c r="Y93" s="1161">
        <f t="shared" si="166"/>
        <v>9018.6289233419629</v>
      </c>
      <c r="Z93" s="1162">
        <f t="shared" si="166"/>
        <v>8128.1906062345806</v>
      </c>
      <c r="AA93" s="1161">
        <f t="shared" si="164"/>
        <v>7254.6062172011279</v>
      </c>
      <c r="AB93" s="1161">
        <f t="shared" si="164"/>
        <v>10198.607768021606</v>
      </c>
      <c r="AC93" s="1161">
        <f t="shared" si="164"/>
        <v>11012.575922552551</v>
      </c>
      <c r="AD93" s="1162">
        <f t="shared" si="164"/>
        <v>8791.3991643737936</v>
      </c>
      <c r="AE93" s="1164">
        <f t="shared" si="166"/>
        <v>8374.7404708739778</v>
      </c>
      <c r="AF93" s="1164">
        <f t="shared" si="166"/>
        <v>7523.2554039282049</v>
      </c>
      <c r="AG93" s="1164">
        <f t="shared" si="166"/>
        <v>10999.855109017048</v>
      </c>
      <c r="AH93" s="1165">
        <f t="shared" si="166"/>
        <v>8339.4758609136315</v>
      </c>
      <c r="AI93" s="1164">
        <f t="shared" si="157"/>
        <v>7363.9896702949682</v>
      </c>
      <c r="AJ93" s="1164">
        <f t="shared" si="157"/>
        <v>5110.2170980007359</v>
      </c>
      <c r="AK93" s="1164">
        <f t="shared" si="157"/>
        <v>11913.659539148653</v>
      </c>
      <c r="AL93" s="1165">
        <f t="shared" si="157"/>
        <v>6198.0513024458141</v>
      </c>
      <c r="AM93" s="1164">
        <f t="shared" si="157"/>
        <v>5605.4382217503589</v>
      </c>
      <c r="AN93" s="1164">
        <f t="shared" si="157"/>
        <v>6543.6796823295826</v>
      </c>
      <c r="AO93" s="1164">
        <f t="shared" si="157"/>
        <v>11727.384363487512</v>
      </c>
      <c r="AP93" s="1165">
        <f t="shared" si="157"/>
        <v>9868.4210526315801</v>
      </c>
      <c r="AQ93" s="1164">
        <f t="shared" ref="AQ93:AX93" si="171">IF(ISBLANK(AQ236),"",AQ236)</f>
        <v>10559.234578577465</v>
      </c>
      <c r="AR93" s="1164">
        <f t="shared" si="171"/>
        <v>10219.421198025182</v>
      </c>
      <c r="AS93" s="1164">
        <f t="shared" si="171"/>
        <v>15787.035019442665</v>
      </c>
      <c r="AT93" s="1165">
        <f t="shared" si="171"/>
        <v>7959.8436172566526</v>
      </c>
      <c r="AU93" s="1164">
        <f t="shared" si="171"/>
        <v>11509.813054563114</v>
      </c>
      <c r="AV93" s="1164">
        <f t="shared" si="171"/>
        <v>11139.408509187173</v>
      </c>
      <c r="AW93" s="1164">
        <f t="shared" si="171"/>
        <v>17208.238003185412</v>
      </c>
      <c r="AX93" s="1165">
        <f t="shared" si="171"/>
        <v>8676.4160125822291</v>
      </c>
      <c r="AY93" s="1164">
        <f t="shared" si="160"/>
        <v>11745.513775169822</v>
      </c>
      <c r="AZ93" s="1164">
        <f t="shared" si="160"/>
        <v>11367.523996406751</v>
      </c>
      <c r="BA93" s="1164">
        <f t="shared" si="160"/>
        <v>17560.632440740112</v>
      </c>
      <c r="BB93" s="1165">
        <f t="shared" si="160"/>
        <v>8854.0937469428645</v>
      </c>
      <c r="BC93" s="974"/>
      <c r="BD93" s="974"/>
      <c r="BE93" s="1074">
        <f t="shared" si="131"/>
        <v>8443.8265939556859</v>
      </c>
      <c r="BF93" s="1074">
        <f t="shared" si="132"/>
        <v>7228.4096583310056</v>
      </c>
      <c r="BG93" s="1074">
        <f t="shared" si="133"/>
        <v>7421.1002278484939</v>
      </c>
      <c r="BH93" s="1074">
        <f t="shared" si="134"/>
        <v>9459.5563173709579</v>
      </c>
      <c r="BI93" s="1074">
        <f t="shared" si="135"/>
        <v>8172.8433062692857</v>
      </c>
      <c r="BJ93" s="1074">
        <f t="shared" si="136"/>
        <v>9314.2972680372695</v>
      </c>
      <c r="BK93" s="1074">
        <f t="shared" si="137"/>
        <v>8809.3317111832148</v>
      </c>
      <c r="BL93" s="1074">
        <f t="shared" si="138"/>
        <v>7646.4794024725434</v>
      </c>
      <c r="BM93" s="1074">
        <f t="shared" si="139"/>
        <v>8436.2308300497589</v>
      </c>
      <c r="BN93" s="1074">
        <f t="shared" si="140"/>
        <v>11131.38360332549</v>
      </c>
      <c r="BO93" s="1074">
        <f t="shared" si="141"/>
        <v>12133.468894879483</v>
      </c>
      <c r="BP93" s="1074">
        <f t="shared" si="142"/>
        <v>12381.940989814888</v>
      </c>
      <c r="BQ93" s="949"/>
      <c r="BR93" s="950"/>
      <c r="BU93" s="1379">
        <v>2</v>
      </c>
      <c r="BV93" s="1377" t="s">
        <v>1049</v>
      </c>
      <c r="BW93" s="1169">
        <f>BW86*$BX$84+(1-BW86)*$BX$83</f>
        <v>0</v>
      </c>
      <c r="BX93" s="1169">
        <f t="shared" ref="BX93:CU93" si="172">BX86*$BX$84+(1-BX86)*$BX$83</f>
        <v>0</v>
      </c>
      <c r="BY93" s="1169">
        <f t="shared" si="172"/>
        <v>0</v>
      </c>
      <c r="BZ93" s="1169">
        <f t="shared" si="172"/>
        <v>0</v>
      </c>
      <c r="CA93" s="1169">
        <f t="shared" si="172"/>
        <v>0</v>
      </c>
      <c r="CB93" s="1169">
        <f t="shared" si="172"/>
        <v>0</v>
      </c>
      <c r="CC93" s="1169">
        <f t="shared" si="172"/>
        <v>0</v>
      </c>
      <c r="CD93" s="1169">
        <f t="shared" si="172"/>
        <v>0</v>
      </c>
      <c r="CE93" s="1169">
        <f t="shared" si="172"/>
        <v>0</v>
      </c>
      <c r="CF93" s="1169">
        <f t="shared" si="172"/>
        <v>0</v>
      </c>
      <c r="CG93" s="1169">
        <f t="shared" si="172"/>
        <v>0</v>
      </c>
      <c r="CH93" s="1169">
        <f t="shared" si="172"/>
        <v>0</v>
      </c>
      <c r="CI93" s="1169">
        <f t="shared" si="172"/>
        <v>0</v>
      </c>
      <c r="CJ93" s="1169">
        <f t="shared" si="172"/>
        <v>0</v>
      </c>
      <c r="CK93" s="1169">
        <f t="shared" si="172"/>
        <v>0</v>
      </c>
      <c r="CL93" s="1169">
        <f t="shared" si="172"/>
        <v>0</v>
      </c>
      <c r="CM93" s="1169">
        <f t="shared" si="172"/>
        <v>0</v>
      </c>
      <c r="CN93" s="1169">
        <f t="shared" si="172"/>
        <v>0</v>
      </c>
      <c r="CO93" s="1169">
        <f t="shared" si="172"/>
        <v>0</v>
      </c>
      <c r="CP93" s="1169">
        <f t="shared" si="172"/>
        <v>0</v>
      </c>
      <c r="CQ93" s="1169">
        <f t="shared" si="172"/>
        <v>0</v>
      </c>
      <c r="CR93" s="1169">
        <f t="shared" si="172"/>
        <v>0</v>
      </c>
      <c r="CS93" s="1169">
        <f t="shared" si="172"/>
        <v>0</v>
      </c>
      <c r="CT93" s="1169">
        <f t="shared" si="172"/>
        <v>0</v>
      </c>
      <c r="CU93" s="1169">
        <f t="shared" si="172"/>
        <v>0</v>
      </c>
    </row>
    <row r="94" spans="1:99" ht="12.75" customHeight="1">
      <c r="A94" s="923"/>
      <c r="B94" s="924"/>
      <c r="C94" s="1122"/>
      <c r="D94" s="1122"/>
      <c r="E94" s="1122"/>
      <c r="F94" s="1124"/>
      <c r="G94" s="1160">
        <f t="shared" si="166"/>
        <v>0</v>
      </c>
      <c r="H94" s="1161">
        <f t="shared" si="166"/>
        <v>0</v>
      </c>
      <c r="I94" s="1161">
        <f t="shared" si="166"/>
        <v>0</v>
      </c>
      <c r="J94" s="1162">
        <f t="shared" si="166"/>
        <v>7045.0118387558323</v>
      </c>
      <c r="K94" s="1146">
        <f t="shared" si="166"/>
        <v>10647.814160821332</v>
      </c>
      <c r="L94" s="1161">
        <f t="shared" si="166"/>
        <v>7643.6811086143116</v>
      </c>
      <c r="M94" s="1161">
        <f t="shared" si="166"/>
        <v>26701.729930116137</v>
      </c>
      <c r="N94" s="1162">
        <f t="shared" si="166"/>
        <v>7717.4624704002181</v>
      </c>
      <c r="O94" s="1160">
        <f t="shared" si="166"/>
        <v>9345.1720004820509</v>
      </c>
      <c r="P94" s="1161">
        <f t="shared" si="166"/>
        <v>13807.306134001437</v>
      </c>
      <c r="Q94" s="1161">
        <f t="shared" si="166"/>
        <v>11418.664456046279</v>
      </c>
      <c r="R94" s="1161">
        <f t="shared" si="166"/>
        <v>8673.5340286433238</v>
      </c>
      <c r="S94" s="1160">
        <f t="shared" si="166"/>
        <v>7845.0122816990479</v>
      </c>
      <c r="T94" s="1161">
        <f t="shared" si="166"/>
        <v>8620.1610645234541</v>
      </c>
      <c r="U94" s="1161">
        <f t="shared" si="166"/>
        <v>11174.409787997261</v>
      </c>
      <c r="V94" s="1162">
        <f t="shared" si="166"/>
        <v>9641.3794179416109</v>
      </c>
      <c r="W94" s="1161">
        <f t="shared" si="166"/>
        <v>11434.96156525798</v>
      </c>
      <c r="X94" s="1161">
        <f t="shared" si="166"/>
        <v>9116.0759733353843</v>
      </c>
      <c r="Y94" s="1161">
        <f t="shared" si="166"/>
        <v>9563.9321770397437</v>
      </c>
      <c r="Z94" s="1162">
        <f t="shared" si="166"/>
        <v>9368.9160620250805</v>
      </c>
      <c r="AA94" s="1161">
        <f t="shared" si="164"/>
        <v>9823.1629948743193</v>
      </c>
      <c r="AB94" s="1161">
        <f t="shared" si="164"/>
        <v>10996.392826599309</v>
      </c>
      <c r="AC94" s="1161">
        <f t="shared" si="164"/>
        <v>13165.051909345491</v>
      </c>
      <c r="AD94" s="1162">
        <f t="shared" si="164"/>
        <v>9966.0748691142107</v>
      </c>
      <c r="AE94" s="1164">
        <f t="shared" si="166"/>
        <v>10081.840893466653</v>
      </c>
      <c r="AF94" s="1164">
        <f t="shared" si="166"/>
        <v>10532.235866772089</v>
      </c>
      <c r="AG94" s="1164">
        <f t="shared" si="166"/>
        <v>11115.580950912827</v>
      </c>
      <c r="AH94" s="1165">
        <f t="shared" si="166"/>
        <v>9206.0011555017081</v>
      </c>
      <c r="AI94" s="1164">
        <f t="shared" si="157"/>
        <v>7599.395244266987</v>
      </c>
      <c r="AJ94" s="1164">
        <f t="shared" si="157"/>
        <v>9658.4255255059925</v>
      </c>
      <c r="AK94" s="1164">
        <f t="shared" si="157"/>
        <v>10542.679719462296</v>
      </c>
      <c r="AL94" s="1165">
        <f t="shared" si="157"/>
        <v>9173.459524044767</v>
      </c>
      <c r="AM94" s="1164">
        <f t="shared" si="157"/>
        <v>11552.579721769785</v>
      </c>
      <c r="AN94" s="1164">
        <f t="shared" si="157"/>
        <v>14542.898550724636</v>
      </c>
      <c r="AO94" s="1164">
        <f t="shared" si="157"/>
        <v>48571.299862448417</v>
      </c>
      <c r="AP94" s="1165">
        <f t="shared" si="157"/>
        <v>9541.1462450592899</v>
      </c>
      <c r="AQ94" s="1164">
        <f t="shared" ref="AQ94:AX94" si="173">IF(ISBLANK(AQ237),"",AQ237)</f>
        <v>8001.7503919318342</v>
      </c>
      <c r="AR94" s="1164">
        <f t="shared" si="173"/>
        <v>10020.549611895432</v>
      </c>
      <c r="AS94" s="1164">
        <f t="shared" si="173"/>
        <v>28583.139290052815</v>
      </c>
      <c r="AT94" s="1165">
        <f t="shared" si="173"/>
        <v>16581.596089097558</v>
      </c>
      <c r="AU94" s="1164">
        <f t="shared" si="173"/>
        <v>7062.8307008244701</v>
      </c>
      <c r="AV94" s="1164">
        <f t="shared" si="173"/>
        <v>8715.8398035065438</v>
      </c>
      <c r="AW94" s="1164">
        <f t="shared" si="173"/>
        <v>24761.304736514343</v>
      </c>
      <c r="AX94" s="1165">
        <f t="shared" si="173"/>
        <v>14438.494039488984</v>
      </c>
      <c r="AY94" s="1164">
        <f t="shared" si="160"/>
        <v>6423.7196260689134</v>
      </c>
      <c r="AZ94" s="1164">
        <f t="shared" si="160"/>
        <v>7906.2276542927948</v>
      </c>
      <c r="BA94" s="1164">
        <f t="shared" si="160"/>
        <v>22408.946307746035</v>
      </c>
      <c r="BB94" s="1165">
        <f t="shared" si="160"/>
        <v>13065.522005420524</v>
      </c>
      <c r="BC94" s="974"/>
      <c r="BD94" s="974"/>
      <c r="BE94" s="1074"/>
      <c r="BF94" s="1074"/>
      <c r="BG94" s="1074"/>
      <c r="BH94" s="1074"/>
      <c r="BI94" s="1074"/>
      <c r="BJ94" s="1074"/>
      <c r="BK94" s="1074"/>
      <c r="BL94" s="1074"/>
      <c r="BM94" s="1074"/>
      <c r="BN94" s="1074"/>
      <c r="BO94" s="1074"/>
      <c r="BP94" s="1074"/>
      <c r="BQ94" s="949"/>
      <c r="BR94" s="950"/>
      <c r="BU94" s="1379">
        <v>3</v>
      </c>
      <c r="BV94" s="1377" t="s">
        <v>678</v>
      </c>
      <c r="BW94" s="1169">
        <f t="shared" ref="BW94:CU94" si="174">BW87*$BX$84+(1-BW87)*$BX$83</f>
        <v>0</v>
      </c>
      <c r="BX94" s="1169">
        <f t="shared" si="174"/>
        <v>0</v>
      </c>
      <c r="BY94" s="1169">
        <f t="shared" si="174"/>
        <v>0</v>
      </c>
      <c r="BZ94" s="1169">
        <f t="shared" si="174"/>
        <v>0</v>
      </c>
      <c r="CA94" s="1169">
        <f t="shared" si="174"/>
        <v>0</v>
      </c>
      <c r="CB94" s="1169">
        <f t="shared" si="174"/>
        <v>0</v>
      </c>
      <c r="CC94" s="1169">
        <f t="shared" si="174"/>
        <v>0</v>
      </c>
      <c r="CD94" s="1169">
        <f t="shared" si="174"/>
        <v>0</v>
      </c>
      <c r="CE94" s="1169">
        <f t="shared" si="174"/>
        <v>0</v>
      </c>
      <c r="CF94" s="1169">
        <f t="shared" si="174"/>
        <v>0</v>
      </c>
      <c r="CG94" s="1169">
        <f t="shared" si="174"/>
        <v>0</v>
      </c>
      <c r="CH94" s="1169">
        <f t="shared" si="174"/>
        <v>0</v>
      </c>
      <c r="CI94" s="1169">
        <f t="shared" si="174"/>
        <v>0</v>
      </c>
      <c r="CJ94" s="1169">
        <f t="shared" si="174"/>
        <v>0</v>
      </c>
      <c r="CK94" s="1169">
        <f t="shared" si="174"/>
        <v>0</v>
      </c>
      <c r="CL94" s="1169">
        <f t="shared" si="174"/>
        <v>0</v>
      </c>
      <c r="CM94" s="1169">
        <f t="shared" si="174"/>
        <v>0</v>
      </c>
      <c r="CN94" s="1169">
        <f t="shared" si="174"/>
        <v>0</v>
      </c>
      <c r="CO94" s="1169">
        <f t="shared" si="174"/>
        <v>0</v>
      </c>
      <c r="CP94" s="1169">
        <f t="shared" si="174"/>
        <v>0</v>
      </c>
      <c r="CQ94" s="1169">
        <f t="shared" si="174"/>
        <v>0</v>
      </c>
      <c r="CR94" s="1169">
        <f t="shared" si="174"/>
        <v>0</v>
      </c>
      <c r="CS94" s="1169">
        <f t="shared" si="174"/>
        <v>0</v>
      </c>
      <c r="CT94" s="1169">
        <f t="shared" si="174"/>
        <v>0</v>
      </c>
      <c r="CU94" s="1169">
        <f t="shared" si="174"/>
        <v>0</v>
      </c>
    </row>
    <row r="95" spans="1:99" ht="12.75" customHeight="1">
      <c r="A95" s="923"/>
      <c r="B95" s="924"/>
      <c r="C95" s="1132" t="s">
        <v>795</v>
      </c>
      <c r="D95" s="1133"/>
      <c r="E95" s="1133"/>
      <c r="F95" s="1134"/>
      <c r="G95" s="1146" t="str">
        <f t="shared" si="166"/>
        <v/>
      </c>
      <c r="H95" s="1147" t="str">
        <f t="shared" si="166"/>
        <v/>
      </c>
      <c r="I95" s="1147" t="str">
        <f t="shared" si="166"/>
        <v/>
      </c>
      <c r="J95" s="1148" t="str">
        <f t="shared" si="166"/>
        <v/>
      </c>
      <c r="K95" s="1160" t="str">
        <f t="shared" si="166"/>
        <v/>
      </c>
      <c r="L95" s="1147" t="str">
        <f t="shared" si="166"/>
        <v/>
      </c>
      <c r="M95" s="1147" t="str">
        <f t="shared" si="166"/>
        <v/>
      </c>
      <c r="N95" s="1148" t="str">
        <f t="shared" si="166"/>
        <v/>
      </c>
      <c r="O95" s="1146" t="str">
        <f t="shared" si="166"/>
        <v/>
      </c>
      <c r="P95" s="1147" t="str">
        <f t="shared" si="166"/>
        <v/>
      </c>
      <c r="Q95" s="1147" t="str">
        <f t="shared" si="166"/>
        <v/>
      </c>
      <c r="R95" s="1147" t="str">
        <f t="shared" si="166"/>
        <v/>
      </c>
      <c r="S95" s="1146" t="str">
        <f t="shared" si="166"/>
        <v/>
      </c>
      <c r="T95" s="1147" t="str">
        <f t="shared" si="166"/>
        <v/>
      </c>
      <c r="U95" s="1147" t="str">
        <f t="shared" si="166"/>
        <v/>
      </c>
      <c r="V95" s="1148" t="str">
        <f t="shared" si="166"/>
        <v/>
      </c>
      <c r="W95" s="1147" t="str">
        <f t="shared" si="166"/>
        <v/>
      </c>
      <c r="X95" s="1147" t="str">
        <f t="shared" si="166"/>
        <v/>
      </c>
      <c r="Y95" s="1147" t="str">
        <f t="shared" si="166"/>
        <v/>
      </c>
      <c r="Z95" s="1448" t="str">
        <f t="shared" si="166"/>
        <v/>
      </c>
      <c r="AA95" s="1147" t="str">
        <f t="shared" si="164"/>
        <v/>
      </c>
      <c r="AB95" s="1147" t="str">
        <f t="shared" si="164"/>
        <v/>
      </c>
      <c r="AC95" s="1147" t="str">
        <f t="shared" si="164"/>
        <v/>
      </c>
      <c r="AD95" s="1448" t="str">
        <f t="shared" si="164"/>
        <v/>
      </c>
      <c r="AE95" s="1153" t="str">
        <f t="shared" si="166"/>
        <v/>
      </c>
      <c r="AF95" s="1153" t="str">
        <f t="shared" si="166"/>
        <v/>
      </c>
      <c r="AG95" s="1153" t="str">
        <f t="shared" si="166"/>
        <v/>
      </c>
      <c r="AH95" s="1152" t="str">
        <f t="shared" si="166"/>
        <v/>
      </c>
      <c r="AI95" s="1153" t="str">
        <f t="shared" si="157"/>
        <v/>
      </c>
      <c r="AJ95" s="1153" t="str">
        <f t="shared" si="157"/>
        <v/>
      </c>
      <c r="AK95" s="1153" t="str">
        <f t="shared" si="157"/>
        <v/>
      </c>
      <c r="AL95" s="1152" t="str">
        <f t="shared" si="157"/>
        <v/>
      </c>
      <c r="AM95" s="1153" t="str">
        <f t="shared" si="157"/>
        <v/>
      </c>
      <c r="AN95" s="1153" t="str">
        <f t="shared" si="157"/>
        <v/>
      </c>
      <c r="AO95" s="1153" t="str">
        <f t="shared" si="157"/>
        <v/>
      </c>
      <c r="AP95" s="1152" t="str">
        <f t="shared" si="157"/>
        <v/>
      </c>
      <c r="AQ95" s="1153" t="str">
        <f t="shared" ref="AQ95:AX95" si="175">IF(ISBLANK(AQ238),"",AQ238)</f>
        <v/>
      </c>
      <c r="AR95" s="1153" t="str">
        <f t="shared" si="175"/>
        <v/>
      </c>
      <c r="AS95" s="1153" t="str">
        <f t="shared" si="175"/>
        <v/>
      </c>
      <c r="AT95" s="1152" t="str">
        <f t="shared" si="175"/>
        <v/>
      </c>
      <c r="AU95" s="1153" t="str">
        <f t="shared" si="175"/>
        <v/>
      </c>
      <c r="AV95" s="1153" t="str">
        <f t="shared" si="175"/>
        <v/>
      </c>
      <c r="AW95" s="1153" t="str">
        <f t="shared" si="175"/>
        <v/>
      </c>
      <c r="AX95" s="1152" t="str">
        <f t="shared" si="175"/>
        <v/>
      </c>
      <c r="AY95" s="1153" t="str">
        <f t="shared" si="160"/>
        <v/>
      </c>
      <c r="AZ95" s="1153" t="str">
        <f t="shared" si="160"/>
        <v/>
      </c>
      <c r="BA95" s="1153" t="str">
        <f t="shared" si="160"/>
        <v/>
      </c>
      <c r="BB95" s="1152" t="str">
        <f t="shared" si="160"/>
        <v/>
      </c>
      <c r="BC95" s="961"/>
      <c r="BD95" s="962"/>
      <c r="BE95" s="1054"/>
      <c r="BF95" s="1054"/>
      <c r="BG95" s="1054"/>
      <c r="BH95" s="1054"/>
      <c r="BI95" s="1054"/>
      <c r="BJ95" s="1054"/>
      <c r="BK95" s="1054"/>
      <c r="BL95" s="1054"/>
      <c r="BM95" s="1054"/>
      <c r="BN95" s="1054"/>
      <c r="BO95" s="1054"/>
      <c r="BP95" s="1054"/>
      <c r="BQ95" s="949"/>
      <c r="BR95" s="950"/>
      <c r="BU95" s="1379">
        <v>4</v>
      </c>
      <c r="BV95" s="1377" t="s">
        <v>601</v>
      </c>
      <c r="BW95" s="1169">
        <f t="shared" ref="BW95:CU95" si="176">BW88*$BX$84+(1-BW88)*$BX$83</f>
        <v>0</v>
      </c>
      <c r="BX95" s="1169">
        <f t="shared" si="176"/>
        <v>0</v>
      </c>
      <c r="BY95" s="1169">
        <f t="shared" si="176"/>
        <v>0</v>
      </c>
      <c r="BZ95" s="1169">
        <f t="shared" si="176"/>
        <v>0</v>
      </c>
      <c r="CA95" s="1169">
        <f t="shared" si="176"/>
        <v>0</v>
      </c>
      <c r="CB95" s="1169">
        <f t="shared" si="176"/>
        <v>0</v>
      </c>
      <c r="CC95" s="1169">
        <f t="shared" si="176"/>
        <v>0</v>
      </c>
      <c r="CD95" s="1169">
        <f t="shared" si="176"/>
        <v>0</v>
      </c>
      <c r="CE95" s="1169">
        <f t="shared" si="176"/>
        <v>0</v>
      </c>
      <c r="CF95" s="1169">
        <f t="shared" si="176"/>
        <v>0</v>
      </c>
      <c r="CG95" s="1169">
        <f t="shared" si="176"/>
        <v>0</v>
      </c>
      <c r="CH95" s="1169">
        <f t="shared" si="176"/>
        <v>0</v>
      </c>
      <c r="CI95" s="1169">
        <f t="shared" si="176"/>
        <v>0</v>
      </c>
      <c r="CJ95" s="1169">
        <f t="shared" si="176"/>
        <v>0</v>
      </c>
      <c r="CK95" s="1169">
        <f t="shared" si="176"/>
        <v>0</v>
      </c>
      <c r="CL95" s="1169">
        <f t="shared" si="176"/>
        <v>0</v>
      </c>
      <c r="CM95" s="1169">
        <f t="shared" si="176"/>
        <v>0</v>
      </c>
      <c r="CN95" s="1169">
        <f t="shared" si="176"/>
        <v>0</v>
      </c>
      <c r="CO95" s="1169">
        <f t="shared" si="176"/>
        <v>0</v>
      </c>
      <c r="CP95" s="1169">
        <f t="shared" si="176"/>
        <v>0</v>
      </c>
      <c r="CQ95" s="1169">
        <f t="shared" si="176"/>
        <v>0</v>
      </c>
      <c r="CR95" s="1169">
        <f t="shared" si="176"/>
        <v>0</v>
      </c>
      <c r="CS95" s="1169">
        <f t="shared" si="176"/>
        <v>0</v>
      </c>
      <c r="CT95" s="1169">
        <f t="shared" si="176"/>
        <v>0</v>
      </c>
      <c r="CU95" s="1169">
        <f t="shared" si="176"/>
        <v>0</v>
      </c>
    </row>
    <row r="96" spans="1:99" ht="12.75" customHeight="1">
      <c r="A96" s="923"/>
      <c r="B96" s="924"/>
      <c r="C96" s="1122" t="s">
        <v>674</v>
      </c>
      <c r="D96" s="1122"/>
      <c r="E96" s="1122"/>
      <c r="F96" s="1124"/>
      <c r="G96" s="1160">
        <f t="shared" si="166"/>
        <v>6909.3096327633702</v>
      </c>
      <c r="H96" s="1161">
        <f t="shared" si="166"/>
        <v>8182.0786967062631</v>
      </c>
      <c r="I96" s="1161">
        <f t="shared" si="166"/>
        <v>8843.0635104283465</v>
      </c>
      <c r="J96" s="1162">
        <f t="shared" si="166"/>
        <v>7237.1775828593409</v>
      </c>
      <c r="K96" s="1160">
        <f t="shared" si="166"/>
        <v>7371.9217492476137</v>
      </c>
      <c r="L96" s="1161">
        <f t="shared" si="166"/>
        <v>7960.8997122438159</v>
      </c>
      <c r="M96" s="1161">
        <f t="shared" si="166"/>
        <v>8379.919228064944</v>
      </c>
      <c r="N96" s="1162">
        <f t="shared" si="166"/>
        <v>8819.7944279269213</v>
      </c>
      <c r="O96" s="1160">
        <f t="shared" si="166"/>
        <v>8447.2140034917284</v>
      </c>
      <c r="P96" s="1161">
        <f t="shared" si="166"/>
        <v>9230.5387992588858</v>
      </c>
      <c r="Q96" s="1161">
        <f t="shared" si="166"/>
        <v>10110.347551066592</v>
      </c>
      <c r="R96" s="1161">
        <f t="shared" si="166"/>
        <v>9797.5546476884065</v>
      </c>
      <c r="S96" s="1160">
        <f t="shared" si="166"/>
        <v>9282.9445192863459</v>
      </c>
      <c r="T96" s="1161">
        <f t="shared" si="166"/>
        <v>7879.1357555234736</v>
      </c>
      <c r="U96" s="1161">
        <f t="shared" si="166"/>
        <v>8084.3226123072382</v>
      </c>
      <c r="V96" s="1162">
        <f t="shared" si="166"/>
        <v>11842.479560862408</v>
      </c>
      <c r="W96" s="1161">
        <f t="shared" si="166"/>
        <v>7345.0633802143266</v>
      </c>
      <c r="X96" s="1161">
        <f t="shared" si="166"/>
        <v>8666.8096880078447</v>
      </c>
      <c r="Y96" s="1161">
        <f t="shared" si="166"/>
        <v>10315.050379273025</v>
      </c>
      <c r="Z96" s="1162">
        <f t="shared" si="166"/>
        <v>9714.574534358846</v>
      </c>
      <c r="AA96" s="1161">
        <f t="shared" si="164"/>
        <v>8382.8453222230091</v>
      </c>
      <c r="AB96" s="1161">
        <f t="shared" si="164"/>
        <v>7537.8738784383268</v>
      </c>
      <c r="AC96" s="1161">
        <f t="shared" si="164"/>
        <v>9837.7064039165271</v>
      </c>
      <c r="AD96" s="1162">
        <f t="shared" si="164"/>
        <v>10577.262881497305</v>
      </c>
      <c r="AE96" s="1164">
        <f t="shared" si="166"/>
        <v>9019.4014549612002</v>
      </c>
      <c r="AF96" s="1164">
        <f t="shared" si="166"/>
        <v>10967.114786064982</v>
      </c>
      <c r="AG96" s="1164">
        <f t="shared" si="166"/>
        <v>11335.823461467095</v>
      </c>
      <c r="AH96" s="1165">
        <f t="shared" si="166"/>
        <v>10726.933653066462</v>
      </c>
      <c r="AI96" s="1164">
        <f t="shared" si="157"/>
        <v>9142.7185751590077</v>
      </c>
      <c r="AJ96" s="1164">
        <f t="shared" si="157"/>
        <v>8545.6610120881614</v>
      </c>
      <c r="AK96" s="1164">
        <f t="shared" si="157"/>
        <v>8055.4469835426908</v>
      </c>
      <c r="AL96" s="1165">
        <f t="shared" si="157"/>
        <v>11859.057936160812</v>
      </c>
      <c r="AM96" s="1164">
        <f t="shared" si="157"/>
        <v>7106.0534420152553</v>
      </c>
      <c r="AN96" s="1164">
        <f t="shared" si="157"/>
        <v>9713.2904608788867</v>
      </c>
      <c r="AO96" s="1164">
        <f t="shared" si="157"/>
        <v>9301.3972055888225</v>
      </c>
      <c r="AP96" s="1165">
        <f t="shared" si="157"/>
        <v>10670.184696569921</v>
      </c>
      <c r="AQ96" s="1164">
        <f t="shared" ref="AQ96:AT99" si="177">IF(ISBLANK(AQ239),"",AQ239)</f>
        <v>12523.856192309457</v>
      </c>
      <c r="AR96" s="1164">
        <f t="shared" si="177"/>
        <v>12126.37627431892</v>
      </c>
      <c r="AS96" s="1164">
        <f t="shared" si="177"/>
        <v>13524.643202910216</v>
      </c>
      <c r="AT96" s="1165">
        <f t="shared" si="177"/>
        <v>7225.3549785020023</v>
      </c>
      <c r="AU96" s="1164">
        <f t="shared" ref="AU96:AX111" si="178">IF(ISBLANK(AU239),"",AU239)</f>
        <v>12284.65865189438</v>
      </c>
      <c r="AV96" s="1164">
        <f t="shared" si="178"/>
        <v>11894.770342853019</v>
      </c>
      <c r="AW96" s="1164">
        <f t="shared" si="178"/>
        <v>13266.331278894815</v>
      </c>
      <c r="AX96" s="1165">
        <f t="shared" si="178"/>
        <v>7087.3553789421785</v>
      </c>
      <c r="AY96" s="1164">
        <f t="shared" si="160"/>
        <v>11964.479552774072</v>
      </c>
      <c r="AZ96" s="1164">
        <f t="shared" si="160"/>
        <v>11584.75303097351</v>
      </c>
      <c r="BA96" s="1164">
        <f t="shared" si="160"/>
        <v>12920.56652320475</v>
      </c>
      <c r="BB96" s="1165">
        <f t="shared" si="160"/>
        <v>6902.6353045243814</v>
      </c>
      <c r="BC96" s="974"/>
      <c r="BD96" s="974"/>
      <c r="BE96" s="1074">
        <f t="shared" ref="BE96:BE111" si="179">AVERAGE(G96:J96)</f>
        <v>7792.90735568933</v>
      </c>
      <c r="BF96" s="1074">
        <f t="shared" ref="BF96:BF111" si="180">AVERAGE(K96:N96)</f>
        <v>8133.1337793708235</v>
      </c>
      <c r="BG96" s="1074">
        <f t="shared" ref="BG96:BG111" si="181">AVERAGE(O96:R96)</f>
        <v>9396.4137503764032</v>
      </c>
      <c r="BH96" s="1074">
        <f t="shared" ref="BH96:BH111" si="182">AVERAGE(S96:V96)</f>
        <v>9272.2206119948678</v>
      </c>
      <c r="BI96" s="1074">
        <f t="shared" ref="BI96:BI111" si="183">AVERAGE(W96:Z96)</f>
        <v>9010.3744954635113</v>
      </c>
      <c r="BJ96" s="1074">
        <f t="shared" ref="BJ96:BJ111" si="184">AVERAGE(AA96:AD96)</f>
        <v>9083.9221215187918</v>
      </c>
      <c r="BK96" s="1074">
        <f t="shared" ref="BK96:BK111" si="185">AVERAGE(AE96:AH96)</f>
        <v>10512.318338889934</v>
      </c>
      <c r="BL96" s="1074">
        <f t="shared" ref="BL96:BL111" si="186">AVERAGE(AI96:AL96)</f>
        <v>9400.7211267376679</v>
      </c>
      <c r="BM96" s="1074">
        <f t="shared" ref="BM96:BM111" si="187">AVERAGE(AM96:AP96)</f>
        <v>9197.731451263222</v>
      </c>
      <c r="BN96" s="1074">
        <f t="shared" ref="BN96:BN111" si="188">AVERAGE(AQ96:AT96)</f>
        <v>11350.057662010147</v>
      </c>
      <c r="BO96" s="1074">
        <f t="shared" ref="BO96:BO111" si="189">AVERAGE(AU96:AX96)</f>
        <v>11133.278913146098</v>
      </c>
      <c r="BP96" s="1074">
        <f t="shared" ref="BP96:BP111" si="190">AVERAGE(AY96:BB96)</f>
        <v>10843.108602869177</v>
      </c>
      <c r="BQ96" s="949"/>
      <c r="BR96" s="950"/>
      <c r="BU96" s="1379">
        <v>5</v>
      </c>
      <c r="BV96" s="1377" t="s">
        <v>679</v>
      </c>
      <c r="BW96" s="1169">
        <f t="shared" ref="BW96:CU96" si="191">BW89*$BX$84+(1-BW89)*$BX$83</f>
        <v>0</v>
      </c>
      <c r="BX96" s="1169">
        <f t="shared" si="191"/>
        <v>0</v>
      </c>
      <c r="BY96" s="1169">
        <f t="shared" si="191"/>
        <v>0</v>
      </c>
      <c r="BZ96" s="1169">
        <f t="shared" si="191"/>
        <v>0</v>
      </c>
      <c r="CA96" s="1169">
        <f t="shared" si="191"/>
        <v>0</v>
      </c>
      <c r="CB96" s="1169">
        <f t="shared" si="191"/>
        <v>0</v>
      </c>
      <c r="CC96" s="1169">
        <f t="shared" si="191"/>
        <v>0</v>
      </c>
      <c r="CD96" s="1169">
        <f t="shared" si="191"/>
        <v>0</v>
      </c>
      <c r="CE96" s="1169">
        <f t="shared" si="191"/>
        <v>0</v>
      </c>
      <c r="CF96" s="1169">
        <f t="shared" si="191"/>
        <v>0</v>
      </c>
      <c r="CG96" s="1169">
        <f t="shared" si="191"/>
        <v>0</v>
      </c>
      <c r="CH96" s="1169">
        <f t="shared" si="191"/>
        <v>0</v>
      </c>
      <c r="CI96" s="1169">
        <f t="shared" si="191"/>
        <v>0</v>
      </c>
      <c r="CJ96" s="1169">
        <f t="shared" si="191"/>
        <v>0</v>
      </c>
      <c r="CK96" s="1169">
        <f t="shared" si="191"/>
        <v>0</v>
      </c>
      <c r="CL96" s="1169">
        <f t="shared" si="191"/>
        <v>0</v>
      </c>
      <c r="CM96" s="1169">
        <f t="shared" si="191"/>
        <v>0</v>
      </c>
      <c r="CN96" s="1169">
        <f t="shared" si="191"/>
        <v>0</v>
      </c>
      <c r="CO96" s="1169">
        <f t="shared" si="191"/>
        <v>0</v>
      </c>
      <c r="CP96" s="1169">
        <f t="shared" si="191"/>
        <v>0</v>
      </c>
      <c r="CQ96" s="1169">
        <f t="shared" si="191"/>
        <v>0</v>
      </c>
      <c r="CR96" s="1169">
        <f t="shared" si="191"/>
        <v>0</v>
      </c>
      <c r="CS96" s="1169">
        <f t="shared" si="191"/>
        <v>0</v>
      </c>
      <c r="CT96" s="1169">
        <f t="shared" si="191"/>
        <v>0</v>
      </c>
      <c r="CU96" s="1169">
        <f t="shared" si="191"/>
        <v>0</v>
      </c>
    </row>
    <row r="97" spans="1:99" ht="12.75" customHeight="1">
      <c r="A97" s="923"/>
      <c r="B97" s="924"/>
      <c r="C97" s="1122" t="s">
        <v>675</v>
      </c>
      <c r="D97" s="1122"/>
      <c r="E97" s="1122"/>
      <c r="F97" s="1124"/>
      <c r="G97" s="1160">
        <f t="shared" si="166"/>
        <v>5088.54736817501</v>
      </c>
      <c r="H97" s="1161">
        <f t="shared" si="166"/>
        <v>7028.1794383085698</v>
      </c>
      <c r="I97" s="1161">
        <f t="shared" si="166"/>
        <v>8292.7749177879778</v>
      </c>
      <c r="J97" s="1162">
        <f t="shared" si="166"/>
        <v>6485.8213553112255</v>
      </c>
      <c r="K97" s="1160">
        <f t="shared" si="166"/>
        <v>6023.4534353193767</v>
      </c>
      <c r="L97" s="1161">
        <f t="shared" si="166"/>
        <v>6697.9018560678951</v>
      </c>
      <c r="M97" s="1161">
        <f t="shared" si="166"/>
        <v>7684.5603729599397</v>
      </c>
      <c r="N97" s="1162">
        <f t="shared" si="166"/>
        <v>7744.4976746612501</v>
      </c>
      <c r="O97" s="1160">
        <f t="shared" si="166"/>
        <v>8639.8374439110084</v>
      </c>
      <c r="P97" s="1161">
        <f t="shared" si="166"/>
        <v>8438.5265301215695</v>
      </c>
      <c r="Q97" s="1161">
        <f t="shared" si="166"/>
        <v>8950.6358841748479</v>
      </c>
      <c r="R97" s="1161">
        <f t="shared" si="166"/>
        <v>8360.5518128974873</v>
      </c>
      <c r="S97" s="1160">
        <f t="shared" si="166"/>
        <v>8283.8886860413586</v>
      </c>
      <c r="T97" s="1161">
        <f t="shared" si="166"/>
        <v>6843.1719383213203</v>
      </c>
      <c r="U97" s="1161">
        <f t="shared" si="166"/>
        <v>7359.8377490323146</v>
      </c>
      <c r="V97" s="1162">
        <f t="shared" si="166"/>
        <v>7354.2240723278701</v>
      </c>
      <c r="W97" s="1161">
        <f t="shared" si="166"/>
        <v>5887.49512865822</v>
      </c>
      <c r="X97" s="1161">
        <f t="shared" si="166"/>
        <v>7342.5870896590586</v>
      </c>
      <c r="Y97" s="1161">
        <f t="shared" si="166"/>
        <v>9428.2420655372098</v>
      </c>
      <c r="Z97" s="1162">
        <f t="shared" si="166"/>
        <v>7903.1028409842911</v>
      </c>
      <c r="AA97" s="1161">
        <f t="shared" si="164"/>
        <v>5838.4228171684554</v>
      </c>
      <c r="AB97" s="1161">
        <f t="shared" si="164"/>
        <v>11231.838014387387</v>
      </c>
      <c r="AC97" s="1161">
        <f t="shared" si="164"/>
        <v>14895.865292939685</v>
      </c>
      <c r="AD97" s="1162">
        <f t="shared" si="164"/>
        <v>11088.680104153016</v>
      </c>
      <c r="AE97" s="1164">
        <f t="shared" si="166"/>
        <v>7430.0572431015753</v>
      </c>
      <c r="AF97" s="1164">
        <f t="shared" si="166"/>
        <v>9854.2125554743252</v>
      </c>
      <c r="AG97" s="1164">
        <f t="shared" si="166"/>
        <v>14312.880773121604</v>
      </c>
      <c r="AH97" s="1165">
        <f t="shared" si="166"/>
        <v>7721.1693236924348</v>
      </c>
      <c r="AI97" s="1164">
        <f t="shared" si="157"/>
        <v>6476.9106982314634</v>
      </c>
      <c r="AJ97" s="1164">
        <f t="shared" si="157"/>
        <v>5766.6546578633643</v>
      </c>
      <c r="AK97" s="1164">
        <f t="shared" si="157"/>
        <v>9936.1248110884608</v>
      </c>
      <c r="AL97" s="1165">
        <f t="shared" si="157"/>
        <v>7145.8747184646672</v>
      </c>
      <c r="AM97" s="1164">
        <f t="shared" si="157"/>
        <v>4993.9723459738043</v>
      </c>
      <c r="AN97" s="1164">
        <f t="shared" si="157"/>
        <v>14859.377349977438</v>
      </c>
      <c r="AO97" s="1164">
        <f t="shared" si="157"/>
        <v>13198.198198198197</v>
      </c>
      <c r="AP97" s="1165">
        <f t="shared" si="157"/>
        <v>12321.539416511485</v>
      </c>
      <c r="AQ97" s="1164">
        <f t="shared" si="177"/>
        <v>13766.147964572425</v>
      </c>
      <c r="AR97" s="1164">
        <f t="shared" si="177"/>
        <v>17987.083179969206</v>
      </c>
      <c r="AS97" s="1164">
        <f t="shared" si="177"/>
        <v>15264.015012002199</v>
      </c>
      <c r="AT97" s="1165">
        <f t="shared" si="177"/>
        <v>6334.5447057720257</v>
      </c>
      <c r="AU97" s="1164">
        <f t="shared" si="178"/>
        <v>13835.817936941603</v>
      </c>
      <c r="AV97" s="1164">
        <f t="shared" si="178"/>
        <v>18078.115151394733</v>
      </c>
      <c r="AW97" s="1164">
        <f t="shared" si="178"/>
        <v>15341.265634824622</v>
      </c>
      <c r="AX97" s="1165">
        <f t="shared" si="178"/>
        <v>6366.603605310097</v>
      </c>
      <c r="AY97" s="1164">
        <f t="shared" si="160"/>
        <v>13642.039241588413</v>
      </c>
      <c r="AZ97" s="1164">
        <f t="shared" si="160"/>
        <v>17824.920610642024</v>
      </c>
      <c r="BA97" s="1164">
        <f t="shared" si="160"/>
        <v>15126.402266910129</v>
      </c>
      <c r="BB97" s="1165">
        <f t="shared" si="160"/>
        <v>6277.4356106103478</v>
      </c>
      <c r="BC97" s="974"/>
      <c r="BD97" s="974"/>
      <c r="BE97" s="1074">
        <f t="shared" si="179"/>
        <v>6723.830769895696</v>
      </c>
      <c r="BF97" s="1074">
        <f t="shared" si="180"/>
        <v>7037.6033347521152</v>
      </c>
      <c r="BG97" s="1074">
        <f t="shared" si="181"/>
        <v>8597.3879177762283</v>
      </c>
      <c r="BH97" s="1074">
        <f t="shared" si="182"/>
        <v>7460.2806114307159</v>
      </c>
      <c r="BI97" s="1074">
        <f t="shared" si="183"/>
        <v>7640.3567812096953</v>
      </c>
      <c r="BJ97" s="1074">
        <f t="shared" si="184"/>
        <v>10763.701557162136</v>
      </c>
      <c r="BK97" s="1074">
        <f t="shared" si="185"/>
        <v>9829.5799738474852</v>
      </c>
      <c r="BL97" s="1074">
        <f t="shared" si="186"/>
        <v>7331.3912214119891</v>
      </c>
      <c r="BM97" s="1074">
        <f t="shared" si="187"/>
        <v>11343.27182766523</v>
      </c>
      <c r="BN97" s="1074">
        <f t="shared" si="188"/>
        <v>13337.947715578963</v>
      </c>
      <c r="BO97" s="1074">
        <f t="shared" si="189"/>
        <v>13405.450582117764</v>
      </c>
      <c r="BP97" s="1074">
        <f t="shared" si="190"/>
        <v>13217.69943243773</v>
      </c>
      <c r="BQ97" s="949"/>
      <c r="BR97" s="950"/>
      <c r="BU97" s="1379">
        <v>6</v>
      </c>
      <c r="BV97" s="1377" t="s">
        <v>680</v>
      </c>
      <c r="BW97" s="1169">
        <f t="shared" ref="BW97:CU97" si="192">BW90*$BX$84+(1-BW90)*$BX$83</f>
        <v>0</v>
      </c>
      <c r="BX97" s="1169">
        <f t="shared" si="192"/>
        <v>0</v>
      </c>
      <c r="BY97" s="1169">
        <f t="shared" si="192"/>
        <v>0</v>
      </c>
      <c r="BZ97" s="1169">
        <f t="shared" si="192"/>
        <v>0</v>
      </c>
      <c r="CA97" s="1169">
        <f t="shared" si="192"/>
        <v>0</v>
      </c>
      <c r="CB97" s="1169">
        <f t="shared" si="192"/>
        <v>0</v>
      </c>
      <c r="CC97" s="1169">
        <f t="shared" si="192"/>
        <v>0</v>
      </c>
      <c r="CD97" s="1169">
        <f t="shared" si="192"/>
        <v>0</v>
      </c>
      <c r="CE97" s="1169">
        <f t="shared" si="192"/>
        <v>0</v>
      </c>
      <c r="CF97" s="1169">
        <f t="shared" si="192"/>
        <v>0</v>
      </c>
      <c r="CG97" s="1169">
        <f t="shared" si="192"/>
        <v>0</v>
      </c>
      <c r="CH97" s="1169">
        <f t="shared" si="192"/>
        <v>0</v>
      </c>
      <c r="CI97" s="1169">
        <f t="shared" si="192"/>
        <v>0</v>
      </c>
      <c r="CJ97" s="1169">
        <f t="shared" si="192"/>
        <v>0</v>
      </c>
      <c r="CK97" s="1169">
        <f t="shared" si="192"/>
        <v>0</v>
      </c>
      <c r="CL97" s="1169">
        <f t="shared" si="192"/>
        <v>0</v>
      </c>
      <c r="CM97" s="1169">
        <f t="shared" si="192"/>
        <v>0</v>
      </c>
      <c r="CN97" s="1169">
        <f t="shared" si="192"/>
        <v>0</v>
      </c>
      <c r="CO97" s="1169">
        <f t="shared" si="192"/>
        <v>0</v>
      </c>
      <c r="CP97" s="1169">
        <f t="shared" si="192"/>
        <v>0</v>
      </c>
      <c r="CQ97" s="1169">
        <f t="shared" si="192"/>
        <v>0</v>
      </c>
      <c r="CR97" s="1169">
        <f t="shared" si="192"/>
        <v>0</v>
      </c>
      <c r="CS97" s="1169">
        <f t="shared" si="192"/>
        <v>0</v>
      </c>
      <c r="CT97" s="1169">
        <f t="shared" si="192"/>
        <v>0</v>
      </c>
      <c r="CU97" s="1169">
        <f t="shared" si="192"/>
        <v>0</v>
      </c>
    </row>
    <row r="98" spans="1:99" ht="12.75" customHeight="1">
      <c r="A98" s="923"/>
      <c r="B98" s="924"/>
      <c r="C98" s="1122" t="s">
        <v>676</v>
      </c>
      <c r="D98" s="1122"/>
      <c r="E98" s="1122"/>
      <c r="F98" s="1124"/>
      <c r="G98" s="1160">
        <f t="shared" si="166"/>
        <v>6606.7874609416886</v>
      </c>
      <c r="H98" s="1161">
        <f t="shared" si="166"/>
        <v>8306.5809607562096</v>
      </c>
      <c r="I98" s="1161">
        <f t="shared" si="166"/>
        <v>9423.2283467435736</v>
      </c>
      <c r="J98" s="1162">
        <f t="shared" si="166"/>
        <v>7028.9542841002922</v>
      </c>
      <c r="K98" s="1160">
        <f t="shared" si="166"/>
        <v>7074.1943976919974</v>
      </c>
      <c r="L98" s="1161">
        <f t="shared" si="166"/>
        <v>7547.8657501188482</v>
      </c>
      <c r="M98" s="1161">
        <f t="shared" si="166"/>
        <v>8439.3885162200022</v>
      </c>
      <c r="N98" s="1162">
        <f t="shared" si="166"/>
        <v>8268.6653113423945</v>
      </c>
      <c r="O98" s="1160">
        <f t="shared" si="166"/>
        <v>8437.495171565226</v>
      </c>
      <c r="P98" s="1161">
        <f t="shared" si="166"/>
        <v>8970.6692026012824</v>
      </c>
      <c r="Q98" s="1161">
        <f t="shared" si="166"/>
        <v>10076.119613780258</v>
      </c>
      <c r="R98" s="1161">
        <f t="shared" si="166"/>
        <v>9230.9471653996989</v>
      </c>
      <c r="S98" s="1160">
        <f t="shared" si="166"/>
        <v>7249.062381710246</v>
      </c>
      <c r="T98" s="1161">
        <f t="shared" si="166"/>
        <v>7720.0856088085848</v>
      </c>
      <c r="U98" s="1161">
        <f t="shared" si="166"/>
        <v>8293.4171259897885</v>
      </c>
      <c r="V98" s="1162">
        <f t="shared" si="166"/>
        <v>8457.6272733481783</v>
      </c>
      <c r="W98" s="1161">
        <f t="shared" si="166"/>
        <v>6117.7451995103747</v>
      </c>
      <c r="X98" s="1161">
        <f t="shared" si="166"/>
        <v>8147.412648795138</v>
      </c>
      <c r="Y98" s="1161">
        <f t="shared" si="166"/>
        <v>9952.2595955805282</v>
      </c>
      <c r="Z98" s="1162">
        <f t="shared" si="166"/>
        <v>8215.7123443567598</v>
      </c>
      <c r="AA98" s="1161">
        <f t="shared" si="164"/>
        <v>6590.0424387770508</v>
      </c>
      <c r="AB98" s="1161">
        <f t="shared" si="164"/>
        <v>7771.3067261298047</v>
      </c>
      <c r="AC98" s="1161">
        <f t="shared" si="164"/>
        <v>9737.8690075852119</v>
      </c>
      <c r="AD98" s="1162">
        <f t="shared" si="164"/>
        <v>9049.3951916015685</v>
      </c>
      <c r="AE98" s="1164">
        <f t="shared" si="166"/>
        <v>8212.0800442138498</v>
      </c>
      <c r="AF98" s="1164">
        <f t="shared" si="166"/>
        <v>11384.80330532701</v>
      </c>
      <c r="AG98" s="1164">
        <f t="shared" si="166"/>
        <v>11578.755646993332</v>
      </c>
      <c r="AH98" s="1165">
        <f t="shared" si="166"/>
        <v>9606.9455878853478</v>
      </c>
      <c r="AI98" s="1164">
        <f t="shared" si="157"/>
        <v>8859.0498337299687</v>
      </c>
      <c r="AJ98" s="1164">
        <f t="shared" si="157"/>
        <v>7917.1918496624576</v>
      </c>
      <c r="AK98" s="1164">
        <f t="shared" si="157"/>
        <v>7966.5045898410899</v>
      </c>
      <c r="AL98" s="1165">
        <f t="shared" si="157"/>
        <v>8139.7228227011701</v>
      </c>
      <c r="AM98" s="1164">
        <f t="shared" si="157"/>
        <v>5720.6374459995504</v>
      </c>
      <c r="AN98" s="1164">
        <f t="shared" si="157"/>
        <v>15353.697749196142</v>
      </c>
      <c r="AO98" s="1164">
        <f t="shared" si="157"/>
        <v>13013.972055888224</v>
      </c>
      <c r="AP98" s="1165">
        <f t="shared" si="157"/>
        <v>13234.828496042217</v>
      </c>
      <c r="AQ98" s="1164">
        <f t="shared" si="177"/>
        <v>14914.155984907466</v>
      </c>
      <c r="AR98" s="1164">
        <f t="shared" si="177"/>
        <v>20592.143562519603</v>
      </c>
      <c r="AS98" s="1164">
        <f t="shared" si="177"/>
        <v>17789.229705526392</v>
      </c>
      <c r="AT98" s="1165">
        <f t="shared" si="177"/>
        <v>6358.814301275911</v>
      </c>
      <c r="AU98" s="1164">
        <f t="shared" si="178"/>
        <v>14783.03187245478</v>
      </c>
      <c r="AV98" s="1164">
        <f t="shared" si="178"/>
        <v>20411.099019947695</v>
      </c>
      <c r="AW98" s="1164">
        <f t="shared" si="178"/>
        <v>17632.828166028303</v>
      </c>
      <c r="AX98" s="1165">
        <f t="shared" si="178"/>
        <v>6302.9080949609152</v>
      </c>
      <c r="AY98" s="1164">
        <f t="shared" si="160"/>
        <v>14415.982411492447</v>
      </c>
      <c r="AZ98" s="1164">
        <f t="shared" si="160"/>
        <v>19904.309684880362</v>
      </c>
      <c r="BA98" s="1164">
        <f t="shared" si="160"/>
        <v>17195.020811662678</v>
      </c>
      <c r="BB98" s="1165">
        <f t="shared" si="160"/>
        <v>6146.4125236389573</v>
      </c>
      <c r="BC98" s="974"/>
      <c r="BD98" s="974"/>
      <c r="BE98" s="1074">
        <f t="shared" si="179"/>
        <v>7841.3877631354408</v>
      </c>
      <c r="BF98" s="1074">
        <f t="shared" si="180"/>
        <v>7832.5284938433106</v>
      </c>
      <c r="BG98" s="1074">
        <f t="shared" si="181"/>
        <v>9178.8077883366168</v>
      </c>
      <c r="BH98" s="1074">
        <f t="shared" si="182"/>
        <v>7930.0480974641996</v>
      </c>
      <c r="BI98" s="1074">
        <f t="shared" si="183"/>
        <v>8108.2824470607011</v>
      </c>
      <c r="BJ98" s="1074">
        <f t="shared" si="184"/>
        <v>8287.1533410234078</v>
      </c>
      <c r="BK98" s="1074">
        <f t="shared" si="185"/>
        <v>10195.646146104886</v>
      </c>
      <c r="BL98" s="1074">
        <f t="shared" si="186"/>
        <v>8220.6172739836711</v>
      </c>
      <c r="BM98" s="1074">
        <f t="shared" si="187"/>
        <v>11830.783936781534</v>
      </c>
      <c r="BN98" s="1074">
        <f t="shared" si="188"/>
        <v>14913.585888557343</v>
      </c>
      <c r="BO98" s="1074">
        <f t="shared" si="189"/>
        <v>14782.466788347923</v>
      </c>
      <c r="BP98" s="1074">
        <f t="shared" si="190"/>
        <v>14415.431357918611</v>
      </c>
      <c r="BQ98" s="949"/>
      <c r="BR98" s="950"/>
      <c r="BU98" s="1379">
        <v>7</v>
      </c>
      <c r="BV98" s="1377" t="s">
        <v>681</v>
      </c>
      <c r="BW98" s="1169">
        <f t="shared" ref="BW98:CU98" si="193">BW91*$BX$84+(1-BW91)*$BX$83</f>
        <v>0</v>
      </c>
      <c r="BX98" s="1169">
        <f t="shared" si="193"/>
        <v>0</v>
      </c>
      <c r="BY98" s="1169">
        <f t="shared" si="193"/>
        <v>0</v>
      </c>
      <c r="BZ98" s="1169">
        <f t="shared" si="193"/>
        <v>0</v>
      </c>
      <c r="CA98" s="1169">
        <f t="shared" si="193"/>
        <v>0</v>
      </c>
      <c r="CB98" s="1169">
        <f t="shared" si="193"/>
        <v>0</v>
      </c>
      <c r="CC98" s="1169">
        <f t="shared" si="193"/>
        <v>0</v>
      </c>
      <c r="CD98" s="1169">
        <f t="shared" si="193"/>
        <v>0</v>
      </c>
      <c r="CE98" s="1169">
        <f t="shared" si="193"/>
        <v>0</v>
      </c>
      <c r="CF98" s="1169">
        <f t="shared" si="193"/>
        <v>0</v>
      </c>
      <c r="CG98" s="1169">
        <f t="shared" si="193"/>
        <v>0</v>
      </c>
      <c r="CH98" s="1169">
        <f t="shared" si="193"/>
        <v>0</v>
      </c>
      <c r="CI98" s="1169">
        <f t="shared" si="193"/>
        <v>0</v>
      </c>
      <c r="CJ98" s="1169">
        <f t="shared" si="193"/>
        <v>0</v>
      </c>
      <c r="CK98" s="1169">
        <f t="shared" si="193"/>
        <v>0</v>
      </c>
      <c r="CL98" s="1169">
        <f t="shared" si="193"/>
        <v>0</v>
      </c>
      <c r="CM98" s="1169">
        <f t="shared" si="193"/>
        <v>0</v>
      </c>
      <c r="CN98" s="1169">
        <f t="shared" si="193"/>
        <v>0</v>
      </c>
      <c r="CO98" s="1169">
        <f t="shared" si="193"/>
        <v>0</v>
      </c>
      <c r="CP98" s="1169">
        <f t="shared" si="193"/>
        <v>0</v>
      </c>
      <c r="CQ98" s="1169">
        <f t="shared" si="193"/>
        <v>0</v>
      </c>
      <c r="CR98" s="1169">
        <f t="shared" si="193"/>
        <v>0</v>
      </c>
      <c r="CS98" s="1169">
        <f t="shared" si="193"/>
        <v>0</v>
      </c>
      <c r="CT98" s="1169">
        <f t="shared" si="193"/>
        <v>0</v>
      </c>
      <c r="CU98" s="1169">
        <f t="shared" si="193"/>
        <v>0</v>
      </c>
    </row>
    <row r="99" spans="1:99" ht="12.75" customHeight="1">
      <c r="A99" s="923"/>
      <c r="B99" s="924"/>
      <c r="C99" s="1122" t="s">
        <v>677</v>
      </c>
      <c r="D99" s="1122"/>
      <c r="E99" s="1122"/>
      <c r="F99" s="1124"/>
      <c r="G99" s="1160">
        <f t="shared" si="166"/>
        <v>6748.7681006218027</v>
      </c>
      <c r="H99" s="1161">
        <f t="shared" si="166"/>
        <v>8884.2082613828734</v>
      </c>
      <c r="I99" s="1161">
        <f t="shared" si="166"/>
        <v>10083.180834408246</v>
      </c>
      <c r="J99" s="1162">
        <f t="shared" si="166"/>
        <v>7087.3029977862207</v>
      </c>
      <c r="K99" s="1160">
        <f t="shared" si="166"/>
        <v>7340.2263410942887</v>
      </c>
      <c r="L99" s="1161">
        <f t="shared" si="166"/>
        <v>7798.9509690638888</v>
      </c>
      <c r="M99" s="1161">
        <f t="shared" si="166"/>
        <v>8927.1882569122845</v>
      </c>
      <c r="N99" s="1162">
        <f t="shared" si="166"/>
        <v>8345.6002027089799</v>
      </c>
      <c r="O99" s="1160">
        <f t="shared" si="166"/>
        <v>8645.3846646133316</v>
      </c>
      <c r="P99" s="1161">
        <f t="shared" si="166"/>
        <v>9156.0025011957878</v>
      </c>
      <c r="Q99" s="1161">
        <f t="shared" si="166"/>
        <v>10477.185224637948</v>
      </c>
      <c r="R99" s="1161">
        <f t="shared" si="166"/>
        <v>9423.1828285744832</v>
      </c>
      <c r="S99" s="1160">
        <f t="shared" si="166"/>
        <v>7423.784925032689</v>
      </c>
      <c r="T99" s="1161">
        <f t="shared" si="166"/>
        <v>7850.7305463093289</v>
      </c>
      <c r="U99" s="1161">
        <f t="shared" si="166"/>
        <v>8892.078482518069</v>
      </c>
      <c r="V99" s="1162">
        <f t="shared" si="166"/>
        <v>8316.9515771291517</v>
      </c>
      <c r="W99" s="1161">
        <f t="shared" si="166"/>
        <v>6133.6490987913385</v>
      </c>
      <c r="X99" s="1161">
        <f t="shared" si="166"/>
        <v>8213.4148493595476</v>
      </c>
      <c r="Y99" s="1161">
        <f t="shared" si="166"/>
        <v>10122.829083489969</v>
      </c>
      <c r="Z99" s="1162">
        <f t="shared" si="166"/>
        <v>8243.0500509012982</v>
      </c>
      <c r="AA99" s="1161">
        <f t="shared" si="164"/>
        <v>6629.8219138086515</v>
      </c>
      <c r="AB99" s="1161">
        <f t="shared" si="164"/>
        <v>7973.4326856799471</v>
      </c>
      <c r="AC99" s="1161">
        <f t="shared" si="164"/>
        <v>10477.845810963989</v>
      </c>
      <c r="AD99" s="1162">
        <f t="shared" si="164"/>
        <v>9160.039878142039</v>
      </c>
      <c r="AE99" s="1164">
        <f t="shared" si="166"/>
        <v>8558.8324115569685</v>
      </c>
      <c r="AF99" s="1164">
        <f t="shared" si="166"/>
        <v>12102.625348797468</v>
      </c>
      <c r="AG99" s="1164">
        <f t="shared" si="166"/>
        <v>12591.843997641919</v>
      </c>
      <c r="AH99" s="1165">
        <f t="shared" si="166"/>
        <v>9646.0234098480669</v>
      </c>
      <c r="AI99" s="1164">
        <f t="shared" si="157"/>
        <v>8902.6133060085667</v>
      </c>
      <c r="AJ99" s="1164">
        <f t="shared" si="157"/>
        <v>8502.4785656129588</v>
      </c>
      <c r="AK99" s="1164">
        <f t="shared" si="157"/>
        <v>8317.9199339646766</v>
      </c>
      <c r="AL99" s="1165">
        <f t="shared" si="157"/>
        <v>8247.7510387057664</v>
      </c>
      <c r="AM99" s="1164">
        <f t="shared" si="157"/>
        <v>6014.3501087297491</v>
      </c>
      <c r="AN99" s="1164">
        <f t="shared" si="157"/>
        <v>16016.881028938908</v>
      </c>
      <c r="AO99" s="1164">
        <f t="shared" si="157"/>
        <v>13685.961410512306</v>
      </c>
      <c r="AP99" s="1165">
        <f t="shared" si="157"/>
        <v>13635.883905013192</v>
      </c>
      <c r="AQ99" s="1164">
        <f t="shared" si="177"/>
        <v>15581.860761896291</v>
      </c>
      <c r="AR99" s="1164">
        <f t="shared" si="177"/>
        <v>21684.767581360513</v>
      </c>
      <c r="AS99" s="1164">
        <f t="shared" si="177"/>
        <v>18977.134817803846</v>
      </c>
      <c r="AT99" s="1165">
        <f t="shared" si="177"/>
        <v>6534.6362240548142</v>
      </c>
      <c r="AU99" s="1164">
        <f t="shared" si="178"/>
        <v>15474.866268858676</v>
      </c>
      <c r="AV99" s="1164">
        <f t="shared" si="178"/>
        <v>21535.866833917054</v>
      </c>
      <c r="AW99" s="1164">
        <f t="shared" si="178"/>
        <v>18846.826316774066</v>
      </c>
      <c r="AX99" s="1165">
        <f t="shared" si="178"/>
        <v>6489.7654540831209</v>
      </c>
      <c r="AY99" s="1164">
        <f t="shared" si="160"/>
        <v>15153.832115448648</v>
      </c>
      <c r="AZ99" s="1164">
        <f t="shared" si="160"/>
        <v>21089.09406981953</v>
      </c>
      <c r="BA99" s="1164">
        <f t="shared" si="160"/>
        <v>18455.83909750179</v>
      </c>
      <c r="BB99" s="1165">
        <f t="shared" si="160"/>
        <v>6355.1318926562371</v>
      </c>
      <c r="BC99" s="974"/>
      <c r="BD99" s="974"/>
      <c r="BE99" s="1074">
        <f t="shared" si="179"/>
        <v>8200.8650485497856</v>
      </c>
      <c r="BF99" s="1074">
        <f t="shared" si="180"/>
        <v>8102.9914424448598</v>
      </c>
      <c r="BG99" s="1074">
        <f t="shared" si="181"/>
        <v>9425.4388047553875</v>
      </c>
      <c r="BH99" s="1074">
        <f t="shared" si="182"/>
        <v>8120.8863827473097</v>
      </c>
      <c r="BI99" s="1074">
        <f t="shared" si="183"/>
        <v>8178.2357706355378</v>
      </c>
      <c r="BJ99" s="1074">
        <f t="shared" si="184"/>
        <v>8560.2850721486557</v>
      </c>
      <c r="BK99" s="1074">
        <f t="shared" si="185"/>
        <v>10724.831291961105</v>
      </c>
      <c r="BL99" s="1074">
        <f t="shared" si="186"/>
        <v>8492.6907110729917</v>
      </c>
      <c r="BM99" s="1074">
        <f t="shared" si="187"/>
        <v>12338.269113298538</v>
      </c>
      <c r="BN99" s="1074">
        <f t="shared" si="188"/>
        <v>15694.599846278865</v>
      </c>
      <c r="BO99" s="1074">
        <f t="shared" si="189"/>
        <v>15586.83121840823</v>
      </c>
      <c r="BP99" s="1074">
        <f t="shared" si="190"/>
        <v>15263.474293856552</v>
      </c>
      <c r="BQ99" s="949"/>
      <c r="BR99" s="950"/>
      <c r="BU99" s="1379"/>
      <c r="BV99" s="1370"/>
      <c r="BW99" s="1370"/>
      <c r="BX99" s="1370"/>
      <c r="BY99" s="1370"/>
      <c r="BZ99" s="1370"/>
      <c r="CA99" s="1370"/>
      <c r="CB99" s="1370"/>
      <c r="CC99" s="1370"/>
      <c r="CD99" s="1370"/>
      <c r="CE99" s="1370"/>
      <c r="CF99" s="1370"/>
      <c r="CG99" s="1370"/>
      <c r="CH99" s="1370"/>
      <c r="CI99" s="1370"/>
      <c r="CJ99" s="1370"/>
      <c r="CK99" s="1370"/>
      <c r="CL99" s="1370"/>
      <c r="CM99" s="1370"/>
      <c r="CN99" s="1370"/>
      <c r="CO99" s="1370"/>
      <c r="CP99" s="1370"/>
      <c r="CQ99" s="1370"/>
      <c r="CR99" s="1370"/>
      <c r="CS99" s="1370"/>
      <c r="CT99" s="1370"/>
      <c r="CU99" s="1370"/>
    </row>
    <row r="100" spans="1:99" ht="12.75" customHeight="1">
      <c r="A100" s="923"/>
      <c r="B100" s="924"/>
      <c r="C100" s="1122" t="s">
        <v>678</v>
      </c>
      <c r="D100" s="1122"/>
      <c r="E100" s="1122"/>
      <c r="F100" s="1124"/>
      <c r="G100" s="1160">
        <f t="shared" si="166"/>
        <v>6557.38700888317</v>
      </c>
      <c r="H100" s="1161">
        <f t="shared" si="166"/>
        <v>7054.57307272854</v>
      </c>
      <c r="I100" s="1161">
        <f t="shared" si="166"/>
        <v>8131.2298382658046</v>
      </c>
      <c r="J100" s="1162">
        <f t="shared" ref="J100:AH100" si="194">IF(ISBLANK(J243),"",J243)</f>
        <v>7228.7968443687932</v>
      </c>
      <c r="K100" s="1160">
        <f t="shared" si="194"/>
        <v>6878.6075683160079</v>
      </c>
      <c r="L100" s="1161">
        <f t="shared" si="194"/>
        <v>7284.5320546195644</v>
      </c>
      <c r="M100" s="1161">
        <f t="shared" si="194"/>
        <v>7779.5784938790375</v>
      </c>
      <c r="N100" s="1162">
        <f t="shared" si="194"/>
        <v>8695.2045434184238</v>
      </c>
      <c r="O100" s="1160">
        <f t="shared" si="194"/>
        <v>9841.700334411802</v>
      </c>
      <c r="P100" s="1161">
        <f t="shared" si="194"/>
        <v>9039.2719380663311</v>
      </c>
      <c r="Q100" s="1161">
        <f t="shared" si="194"/>
        <v>8835.1893477360536</v>
      </c>
      <c r="R100" s="1161">
        <f t="shared" si="194"/>
        <v>8429.9253921288018</v>
      </c>
      <c r="S100" s="1160">
        <f t="shared" si="194"/>
        <v>7789.8114136442509</v>
      </c>
      <c r="T100" s="1161">
        <f t="shared" si="194"/>
        <v>7147.248796830625</v>
      </c>
      <c r="U100" s="1161">
        <f t="shared" si="194"/>
        <v>8031.1736003835267</v>
      </c>
      <c r="V100" s="1162">
        <f t="shared" si="194"/>
        <v>7795.107694833674</v>
      </c>
      <c r="W100" s="1161">
        <f t="shared" si="194"/>
        <v>6166.530696296164</v>
      </c>
      <c r="X100" s="1161">
        <f t="shared" si="194"/>
        <v>8263.5632022788723</v>
      </c>
      <c r="Y100" s="1161">
        <f t="shared" si="194"/>
        <v>10837.129084616699</v>
      </c>
      <c r="Z100" s="1162">
        <f t="shared" si="194"/>
        <v>10859.130824743526</v>
      </c>
      <c r="AA100" s="1161">
        <f t="shared" ref="AA100:AD109" si="195">IF(ISBLANK(AA243),"",AA243)</f>
        <v>6858.1083928038697</v>
      </c>
      <c r="AB100" s="1161">
        <f t="shared" si="195"/>
        <v>15422.985685691838</v>
      </c>
      <c r="AC100" s="1161">
        <f t="shared" si="195"/>
        <v>16917.689223633119</v>
      </c>
      <c r="AD100" s="1162">
        <f t="shared" si="195"/>
        <v>17146.191788467313</v>
      </c>
      <c r="AE100" s="1164">
        <f t="shared" si="194"/>
        <v>13082.44971352325</v>
      </c>
      <c r="AF100" s="1164">
        <f t="shared" si="194"/>
        <v>13437.831424583155</v>
      </c>
      <c r="AG100" s="1164">
        <f t="shared" si="194"/>
        <v>16998.184607495699</v>
      </c>
      <c r="AH100" s="1165">
        <f t="shared" si="194"/>
        <v>11310.225430871806</v>
      </c>
      <c r="AI100" s="1164">
        <f t="shared" si="157"/>
        <v>9046.2979187077945</v>
      </c>
      <c r="AJ100" s="1164">
        <f t="shared" si="157"/>
        <v>8797.2641070890259</v>
      </c>
      <c r="AK100" s="1164">
        <f t="shared" si="157"/>
        <v>12592.415236425988</v>
      </c>
      <c r="AL100" s="1165">
        <f t="shared" si="157"/>
        <v>10428.152314932511</v>
      </c>
      <c r="AM100" s="1164">
        <f t="shared" ref="AM100:AP104" si="196">IF(ISBLANK(AM243),"",IF(Uplift="Yes",AM243+$BY102,AM243))</f>
        <v>6682.4698912828535</v>
      </c>
      <c r="AN100" s="1164">
        <f t="shared" si="196"/>
        <v>11257.331929613474</v>
      </c>
      <c r="AO100" s="1164">
        <f t="shared" si="196"/>
        <v>11163.663663663663</v>
      </c>
      <c r="AP100" s="1165">
        <f t="shared" si="196"/>
        <v>9565.4872749844817</v>
      </c>
      <c r="AQ100" s="1164">
        <f t="shared" ref="AQ100:AT104" si="197">IF(ISBLANK(AQ243),"",AQ243)</f>
        <v>8968.4071460360283</v>
      </c>
      <c r="AR100" s="1164">
        <f t="shared" si="197"/>
        <v>11591.660811253709</v>
      </c>
      <c r="AS100" s="1164">
        <f t="shared" si="197"/>
        <v>11437.093284386061</v>
      </c>
      <c r="AT100" s="1165">
        <f t="shared" si="197"/>
        <v>8324.117177218186</v>
      </c>
      <c r="AU100" s="1164">
        <f t="shared" si="178"/>
        <v>9005.6896599988304</v>
      </c>
      <c r="AV100" s="1164">
        <f t="shared" si="178"/>
        <v>11639.848437998402</v>
      </c>
      <c r="AW100" s="1164">
        <f t="shared" si="178"/>
        <v>11484.6383593504</v>
      </c>
      <c r="AX100" s="1165">
        <f t="shared" si="178"/>
        <v>8358.7213170430405</v>
      </c>
      <c r="AY100" s="1164">
        <f t="shared" ref="AY100:BB104" si="198">IF(ISBLANK(AY243),"",IF(Uplift="Yes",AY243+$BY102,AY243))</f>
        <v>8883.1264622192248</v>
      </c>
      <c r="AZ100" s="1164">
        <f t="shared" si="198"/>
        <v>11481.435579006858</v>
      </c>
      <c r="BA100" s="1164">
        <f t="shared" si="198"/>
        <v>11328.337836480232</v>
      </c>
      <c r="BB100" s="1165">
        <f t="shared" si="198"/>
        <v>8244.9630539179179</v>
      </c>
      <c r="BC100" s="974"/>
      <c r="BD100" s="974"/>
      <c r="BE100" s="1074">
        <f t="shared" si="179"/>
        <v>7242.9966910615767</v>
      </c>
      <c r="BF100" s="1074">
        <f t="shared" si="180"/>
        <v>7659.4806650582577</v>
      </c>
      <c r="BG100" s="1074">
        <f t="shared" si="181"/>
        <v>9036.5217530857462</v>
      </c>
      <c r="BH100" s="1074">
        <f t="shared" si="182"/>
        <v>7690.8353764230187</v>
      </c>
      <c r="BI100" s="1074">
        <f t="shared" si="183"/>
        <v>9031.5884519838146</v>
      </c>
      <c r="BJ100" s="1074">
        <f t="shared" si="184"/>
        <v>14086.243772649035</v>
      </c>
      <c r="BK100" s="1074">
        <f t="shared" si="185"/>
        <v>13707.172794118478</v>
      </c>
      <c r="BL100" s="1074">
        <f t="shared" si="186"/>
        <v>10216.032394288828</v>
      </c>
      <c r="BM100" s="1074">
        <f t="shared" si="187"/>
        <v>9667.2381898861167</v>
      </c>
      <c r="BN100" s="1074">
        <f t="shared" si="188"/>
        <v>10080.319604723496</v>
      </c>
      <c r="BO100" s="1074">
        <f t="shared" si="189"/>
        <v>10122.224443597668</v>
      </c>
      <c r="BP100" s="1074">
        <f t="shared" si="190"/>
        <v>9984.4657329060592</v>
      </c>
      <c r="BQ100" s="949"/>
      <c r="BR100" s="950"/>
      <c r="BU100" s="1370"/>
      <c r="BV100" s="1374" t="s">
        <v>1051</v>
      </c>
      <c r="BW100" s="1370"/>
      <c r="BX100" s="1370"/>
      <c r="BY100" s="1380" t="s">
        <v>1052</v>
      </c>
      <c r="BZ100" s="1370"/>
      <c r="CA100" s="1370"/>
      <c r="CB100" s="1370"/>
      <c r="CC100" s="1370"/>
      <c r="CD100" s="1370"/>
      <c r="CE100" s="1370"/>
      <c r="CF100" s="1370"/>
      <c r="CG100" s="1370"/>
      <c r="CH100" s="1370"/>
      <c r="CI100" s="1370"/>
      <c r="CJ100" s="1370"/>
      <c r="CK100" s="1370"/>
      <c r="CL100" s="1370"/>
      <c r="CM100" s="1370"/>
      <c r="CN100" s="1370"/>
      <c r="CO100" s="1370"/>
      <c r="CP100" s="1370"/>
      <c r="CQ100" s="1370"/>
      <c r="CR100" s="1370"/>
      <c r="CS100" s="1370"/>
      <c r="CT100" s="1370"/>
      <c r="CU100" s="1370"/>
    </row>
    <row r="101" spans="1:99" ht="12.75" customHeight="1">
      <c r="A101" s="923"/>
      <c r="B101" s="924"/>
      <c r="C101" s="1122" t="s">
        <v>601</v>
      </c>
      <c r="D101" s="1122"/>
      <c r="E101" s="1122"/>
      <c r="F101" s="1124"/>
      <c r="G101" s="1160">
        <f t="shared" ref="G101:AH110" si="199">IF(ISBLANK(G244),"",G244)</f>
        <v>7169.0554409439437</v>
      </c>
      <c r="H101" s="1161">
        <f t="shared" si="199"/>
        <v>7640.4485499059529</v>
      </c>
      <c r="I101" s="1161">
        <f t="shared" si="199"/>
        <v>9025.3869993302178</v>
      </c>
      <c r="J101" s="1162">
        <f t="shared" si="199"/>
        <v>7413.0740656652906</v>
      </c>
      <c r="K101" s="1160">
        <f t="shared" si="199"/>
        <v>7669.8052364764089</v>
      </c>
      <c r="L101" s="1161">
        <f t="shared" si="199"/>
        <v>7622.3652447041277</v>
      </c>
      <c r="M101" s="1161">
        <f t="shared" si="199"/>
        <v>8474.1679552486985</v>
      </c>
      <c r="N101" s="1162">
        <f t="shared" si="199"/>
        <v>8622.2045860397502</v>
      </c>
      <c r="O101" s="1160">
        <f t="shared" si="199"/>
        <v>10395.317989886589</v>
      </c>
      <c r="P101" s="1161">
        <f t="shared" si="199"/>
        <v>8857.6301713450721</v>
      </c>
      <c r="Q101" s="1161">
        <f t="shared" si="199"/>
        <v>9886.5109657382072</v>
      </c>
      <c r="R101" s="1161">
        <f t="shared" si="199"/>
        <v>8860.9682958716039</v>
      </c>
      <c r="S101" s="1160">
        <f t="shared" si="199"/>
        <v>8039.5762260747151</v>
      </c>
      <c r="T101" s="1161">
        <f t="shared" si="199"/>
        <v>7560.6867566728806</v>
      </c>
      <c r="U101" s="1161">
        <f t="shared" si="199"/>
        <v>8465.7345865797197</v>
      </c>
      <c r="V101" s="1162">
        <f t="shared" si="199"/>
        <v>8094.5011996556996</v>
      </c>
      <c r="W101" s="1161">
        <f t="shared" si="199"/>
        <v>7151.6799340099105</v>
      </c>
      <c r="X101" s="1161">
        <f t="shared" si="199"/>
        <v>8251.2040516581637</v>
      </c>
      <c r="Y101" s="1161">
        <f t="shared" si="199"/>
        <v>10479.170149283662</v>
      </c>
      <c r="Z101" s="1162">
        <f t="shared" si="199"/>
        <v>13653.53156496323</v>
      </c>
      <c r="AA101" s="1161">
        <f t="shared" si="195"/>
        <v>8207.0387690658226</v>
      </c>
      <c r="AB101" s="1161">
        <f t="shared" si="195"/>
        <v>15499.45605967582</v>
      </c>
      <c r="AC101" s="1161">
        <f t="shared" si="195"/>
        <v>15178.412461854665</v>
      </c>
      <c r="AD101" s="1162">
        <f t="shared" si="195"/>
        <v>19658.072019603624</v>
      </c>
      <c r="AE101" s="1164">
        <f t="shared" si="199"/>
        <v>13822.547494014379</v>
      </c>
      <c r="AF101" s="1164">
        <f t="shared" si="199"/>
        <v>12166.262278237393</v>
      </c>
      <c r="AG101" s="1164">
        <f t="shared" si="199"/>
        <v>15635.007649191331</v>
      </c>
      <c r="AH101" s="1165">
        <f t="shared" si="199"/>
        <v>9544.6541456185332</v>
      </c>
      <c r="AI101" s="1164">
        <f t="shared" si="157"/>
        <v>9801.7076446894607</v>
      </c>
      <c r="AJ101" s="1164">
        <f t="shared" si="157"/>
        <v>8644.1370259993801</v>
      </c>
      <c r="AK101" s="1164">
        <f t="shared" si="157"/>
        <v>11004.438339609598</v>
      </c>
      <c r="AL101" s="1165">
        <f t="shared" si="157"/>
        <v>12310.44340491018</v>
      </c>
      <c r="AM101" s="1164">
        <f t="shared" si="196"/>
        <v>7116.8692303849139</v>
      </c>
      <c r="AN101" s="1164">
        <f t="shared" si="196"/>
        <v>11351.481425778313</v>
      </c>
      <c r="AO101" s="1164">
        <f t="shared" si="196"/>
        <v>11381.381381381379</v>
      </c>
      <c r="AP101" s="1165">
        <f t="shared" si="196"/>
        <v>9497.1446306641828</v>
      </c>
      <c r="AQ101" s="1164">
        <f t="shared" si="197"/>
        <v>10240.121890620401</v>
      </c>
      <c r="AR101" s="1164">
        <f t="shared" si="197"/>
        <v>11655.324608823219</v>
      </c>
      <c r="AS101" s="1164">
        <f t="shared" si="197"/>
        <v>11808.620980409776</v>
      </c>
      <c r="AT101" s="1165">
        <f t="shared" si="197"/>
        <v>8077.2747597348434</v>
      </c>
      <c r="AU101" s="1164">
        <f t="shared" si="178"/>
        <v>10309.484579678321</v>
      </c>
      <c r="AV101" s="1164">
        <f t="shared" si="178"/>
        <v>11734.273342573297</v>
      </c>
      <c r="AW101" s="1164">
        <f t="shared" si="178"/>
        <v>11888.608085447777</v>
      </c>
      <c r="AX101" s="1165">
        <f t="shared" si="178"/>
        <v>8131.9871453469759</v>
      </c>
      <c r="AY101" s="1164">
        <f t="shared" si="198"/>
        <v>10242.624743435623</v>
      </c>
      <c r="AZ101" s="1164">
        <f t="shared" si="198"/>
        <v>11658.173360265939</v>
      </c>
      <c r="BA101" s="1164">
        <f t="shared" si="198"/>
        <v>11811.507199986107</v>
      </c>
      <c r="BB101" s="1165">
        <f t="shared" si="198"/>
        <v>8079.2489774333872</v>
      </c>
      <c r="BC101" s="974"/>
      <c r="BD101" s="974"/>
      <c r="BE101" s="1074">
        <f t="shared" si="179"/>
        <v>7811.9912639613522</v>
      </c>
      <c r="BF101" s="1074">
        <f t="shared" si="180"/>
        <v>8097.1357556172461</v>
      </c>
      <c r="BG101" s="1074">
        <f t="shared" si="181"/>
        <v>9500.1068557103681</v>
      </c>
      <c r="BH101" s="1074">
        <f t="shared" si="182"/>
        <v>8040.124692245754</v>
      </c>
      <c r="BI101" s="1074">
        <f t="shared" si="183"/>
        <v>9883.8964249787423</v>
      </c>
      <c r="BJ101" s="1074">
        <f t="shared" si="184"/>
        <v>14635.744827549981</v>
      </c>
      <c r="BK101" s="1074">
        <f t="shared" si="185"/>
        <v>12792.117891765411</v>
      </c>
      <c r="BL101" s="1074">
        <f t="shared" si="186"/>
        <v>10440.181603802155</v>
      </c>
      <c r="BM101" s="1074">
        <f t="shared" si="187"/>
        <v>9836.719167052197</v>
      </c>
      <c r="BN101" s="1074">
        <f t="shared" si="188"/>
        <v>10445.335559897059</v>
      </c>
      <c r="BO101" s="1074">
        <f t="shared" si="189"/>
        <v>10516.088288261593</v>
      </c>
      <c r="BP101" s="1074">
        <f t="shared" si="190"/>
        <v>10447.888570280264</v>
      </c>
      <c r="BQ101" s="949"/>
      <c r="BR101" s="950"/>
      <c r="BU101" s="1370"/>
      <c r="BV101" s="1377" t="s">
        <v>1049</v>
      </c>
      <c r="BW101" s="1381">
        <f>HLOOKUP(BW8,$BW$92:$CU$98,BU93,TRUE)</f>
        <v>0</v>
      </c>
      <c r="BX101" s="1370"/>
      <c r="BY101" s="1382">
        <f>BW101/BW9*1000</f>
        <v>0</v>
      </c>
      <c r="BZ101" s="1370"/>
      <c r="CA101" s="1370"/>
      <c r="CB101" s="1370"/>
      <c r="CC101" s="1370"/>
      <c r="CD101" s="1370"/>
      <c r="CE101" s="1370"/>
      <c r="CF101" s="1370"/>
      <c r="CG101" s="1370"/>
      <c r="CH101" s="1370"/>
      <c r="CI101" s="1370"/>
      <c r="CJ101" s="1370"/>
      <c r="CK101" s="1370"/>
      <c r="CL101" s="1370"/>
      <c r="CM101" s="1370"/>
      <c r="CN101" s="1370"/>
      <c r="CO101" s="1370"/>
      <c r="CP101" s="1370"/>
      <c r="CQ101" s="1370"/>
      <c r="CR101" s="1370"/>
      <c r="CS101" s="1370"/>
      <c r="CT101" s="1370"/>
      <c r="CU101" s="1370"/>
    </row>
    <row r="102" spans="1:99" ht="12.75" customHeight="1">
      <c r="A102" s="923"/>
      <c r="B102" s="924"/>
      <c r="C102" s="1122" t="s">
        <v>679</v>
      </c>
      <c r="D102" s="1122"/>
      <c r="E102" s="1122"/>
      <c r="F102" s="1124"/>
      <c r="G102" s="1160">
        <f t="shared" si="199"/>
        <v>5594.4105258064828</v>
      </c>
      <c r="H102" s="1161">
        <f t="shared" si="199"/>
        <v>5980.4576806649147</v>
      </c>
      <c r="I102" s="1161">
        <f t="shared" si="199"/>
        <v>6684.7232199578648</v>
      </c>
      <c r="J102" s="1162">
        <f t="shared" si="199"/>
        <v>5911.4648985987124</v>
      </c>
      <c r="K102" s="1160">
        <f t="shared" si="199"/>
        <v>5617.3159739843395</v>
      </c>
      <c r="L102" s="1161">
        <f t="shared" si="199"/>
        <v>6655.7582528218209</v>
      </c>
      <c r="M102" s="1161">
        <f t="shared" si="199"/>
        <v>7303.4594565022162</v>
      </c>
      <c r="N102" s="1162">
        <f t="shared" si="199"/>
        <v>8538.4108780017341</v>
      </c>
      <c r="O102" s="1160">
        <f t="shared" si="199"/>
        <v>9256.1029733562991</v>
      </c>
      <c r="P102" s="1161">
        <f t="shared" si="199"/>
        <v>8884.5574896313938</v>
      </c>
      <c r="Q102" s="1161">
        <f t="shared" si="199"/>
        <v>8401.9636033328952</v>
      </c>
      <c r="R102" s="1161">
        <f t="shared" si="199"/>
        <v>8108.3969931427564</v>
      </c>
      <c r="S102" s="1160">
        <f t="shared" si="199"/>
        <v>7144.68170956227</v>
      </c>
      <c r="T102" s="1161">
        <f t="shared" si="199"/>
        <v>6923.1901425772967</v>
      </c>
      <c r="U102" s="1161">
        <f t="shared" si="199"/>
        <v>7416.937285038297</v>
      </c>
      <c r="V102" s="1162">
        <f t="shared" si="199"/>
        <v>7186.3638244491658</v>
      </c>
      <c r="W102" s="1161">
        <f t="shared" si="199"/>
        <v>4378.4476589144797</v>
      </c>
      <c r="X102" s="1161">
        <f t="shared" si="199"/>
        <v>8308.8842312669221</v>
      </c>
      <c r="Y102" s="1161">
        <f t="shared" si="199"/>
        <v>10465.996871575519</v>
      </c>
      <c r="Z102" s="1162">
        <f t="shared" si="199"/>
        <v>10914.824746114929</v>
      </c>
      <c r="AA102" s="1161">
        <f t="shared" si="195"/>
        <v>5222.5069289009616</v>
      </c>
      <c r="AB102" s="1161">
        <f t="shared" si="195"/>
        <v>15040.786920718157</v>
      </c>
      <c r="AC102" s="1161">
        <f t="shared" si="195"/>
        <v>16577.780229416356</v>
      </c>
      <c r="AD102" s="1162">
        <f t="shared" si="195"/>
        <v>17065.861366193356</v>
      </c>
      <c r="AE102" s="1164">
        <f t="shared" si="199"/>
        <v>11965.339455583016</v>
      </c>
      <c r="AF102" s="1164">
        <f t="shared" si="199"/>
        <v>13392.335283854029</v>
      </c>
      <c r="AG102" s="1164">
        <f t="shared" si="199"/>
        <v>16617.582565885587</v>
      </c>
      <c r="AH102" s="1165">
        <f t="shared" si="199"/>
        <v>11247.328225526811</v>
      </c>
      <c r="AI102" s="1164">
        <f t="shared" ref="AI102:AP117" si="200">IF(ISBLANK(AI245),"",AI245)</f>
        <v>8556.6131079873394</v>
      </c>
      <c r="AJ102" s="1164">
        <f t="shared" si="200"/>
        <v>8971.0519258287495</v>
      </c>
      <c r="AK102" s="1164">
        <f t="shared" si="200"/>
        <v>13054.147515117875</v>
      </c>
      <c r="AL102" s="1165">
        <f t="shared" si="200"/>
        <v>9524.2185088378228</v>
      </c>
      <c r="AM102" s="1164">
        <f t="shared" si="196"/>
        <v>5253.5008504221041</v>
      </c>
      <c r="AN102" s="1164">
        <f t="shared" si="196"/>
        <v>9534.7680059708928</v>
      </c>
      <c r="AO102" s="1164">
        <f t="shared" si="196"/>
        <v>8957.9632918886928</v>
      </c>
      <c r="AP102" s="1165">
        <f t="shared" si="196"/>
        <v>8724.870763928775</v>
      </c>
      <c r="AQ102" s="1164">
        <f t="shared" si="197"/>
        <v>10357.798701457919</v>
      </c>
      <c r="AR102" s="1164">
        <f t="shared" si="197"/>
        <v>8488.7960907604192</v>
      </c>
      <c r="AS102" s="1164">
        <f t="shared" si="197"/>
        <v>8528.2593221072202</v>
      </c>
      <c r="AT102" s="1165">
        <f t="shared" si="197"/>
        <v>9517.0351924681836</v>
      </c>
      <c r="AU102" s="1164">
        <f t="shared" si="178"/>
        <v>10049.931204538312</v>
      </c>
      <c r="AV102" s="1164">
        <f t="shared" si="178"/>
        <v>8236.4814359143529</v>
      </c>
      <c r="AW102" s="1164">
        <f t="shared" si="178"/>
        <v>8274.7716915541296</v>
      </c>
      <c r="AX102" s="1165">
        <f t="shared" si="178"/>
        <v>9234.1579241168911</v>
      </c>
      <c r="AY102" s="1164">
        <f t="shared" si="198"/>
        <v>9861.0170236466547</v>
      </c>
      <c r="AZ102" s="1164">
        <f t="shared" si="198"/>
        <v>8081.6556851477762</v>
      </c>
      <c r="BA102" s="1164">
        <f t="shared" si="198"/>
        <v>8119.2261774246881</v>
      </c>
      <c r="BB102" s="1165">
        <f t="shared" si="198"/>
        <v>9060.5782900920312</v>
      </c>
      <c r="BC102" s="974"/>
      <c r="BD102" s="974"/>
      <c r="BE102" s="1074">
        <f t="shared" si="179"/>
        <v>6042.7640812569934</v>
      </c>
      <c r="BF102" s="1074">
        <f t="shared" si="180"/>
        <v>7028.7361403275281</v>
      </c>
      <c r="BG102" s="1074">
        <f t="shared" si="181"/>
        <v>8662.7552648658366</v>
      </c>
      <c r="BH102" s="1074">
        <f t="shared" si="182"/>
        <v>7167.7932404067578</v>
      </c>
      <c r="BI102" s="1074">
        <f t="shared" si="183"/>
        <v>8517.0383769679629</v>
      </c>
      <c r="BJ102" s="1074">
        <f t="shared" si="184"/>
        <v>13476.733861307208</v>
      </c>
      <c r="BK102" s="1074">
        <f t="shared" si="185"/>
        <v>13305.646382712363</v>
      </c>
      <c r="BL102" s="1074">
        <f t="shared" si="186"/>
        <v>10026.507764442948</v>
      </c>
      <c r="BM102" s="1074">
        <f t="shared" si="187"/>
        <v>8117.7757280526166</v>
      </c>
      <c r="BN102" s="1074">
        <f t="shared" si="188"/>
        <v>9222.9723266984365</v>
      </c>
      <c r="BO102" s="1074">
        <f t="shared" si="189"/>
        <v>8948.8355640309201</v>
      </c>
      <c r="BP102" s="1074">
        <f t="shared" si="190"/>
        <v>8780.6192940777873</v>
      </c>
      <c r="BQ102" s="949"/>
      <c r="BR102" s="950"/>
      <c r="BU102" s="1370"/>
      <c r="BV102" s="1377" t="s">
        <v>678</v>
      </c>
      <c r="BW102" s="1381">
        <f>HLOOKUP(CA36,$BW$92:$CU$98,BU94,TRUE)</f>
        <v>0</v>
      </c>
      <c r="BX102" s="1370"/>
      <c r="BY102" s="1382">
        <f>BW102/CA36*1000</f>
        <v>0</v>
      </c>
      <c r="BZ102" s="1370"/>
      <c r="CA102" s="1370"/>
      <c r="CB102" s="1370"/>
      <c r="CC102" s="1370"/>
      <c r="CD102" s="1370"/>
      <c r="CE102" s="1370"/>
      <c r="CF102" s="1370"/>
      <c r="CG102" s="1370"/>
      <c r="CH102" s="1370"/>
      <c r="CI102" s="1370"/>
      <c r="CJ102" s="1370"/>
      <c r="CK102" s="1370"/>
      <c r="CL102" s="1370"/>
      <c r="CM102" s="1370"/>
      <c r="CN102" s="1370"/>
      <c r="CO102" s="1370"/>
      <c r="CP102" s="1370"/>
      <c r="CQ102" s="1370"/>
      <c r="CR102" s="1370"/>
      <c r="CS102" s="1370"/>
      <c r="CT102" s="1370"/>
      <c r="CU102" s="1370"/>
    </row>
    <row r="103" spans="1:99" ht="12.75" customHeight="1">
      <c r="A103" s="923"/>
      <c r="B103" s="924"/>
      <c r="C103" s="1122" t="s">
        <v>680</v>
      </c>
      <c r="D103" s="1122"/>
      <c r="E103" s="1122"/>
      <c r="F103" s="1124"/>
      <c r="G103" s="1160">
        <f t="shared" si="199"/>
        <v>6552.7674043199286</v>
      </c>
      <c r="H103" s="1161">
        <f t="shared" si="199"/>
        <v>6476.0723404537666</v>
      </c>
      <c r="I103" s="1161">
        <f t="shared" si="199"/>
        <v>7271.6763952678921</v>
      </c>
      <c r="J103" s="1162">
        <f t="shared" si="199"/>
        <v>8220.4093352115033</v>
      </c>
      <c r="K103" s="1160">
        <f t="shared" si="199"/>
        <v>7979.1747211275315</v>
      </c>
      <c r="L103" s="1161">
        <f t="shared" si="199"/>
        <v>7104.9821374667526</v>
      </c>
      <c r="M103" s="1161">
        <f t="shared" si="199"/>
        <v>7790.7372328055353</v>
      </c>
      <c r="N103" s="1162">
        <f t="shared" si="199"/>
        <v>9201.0167150006782</v>
      </c>
      <c r="O103" s="1160">
        <f t="shared" si="199"/>
        <v>10440.014917886665</v>
      </c>
      <c r="P103" s="1161">
        <f t="shared" si="199"/>
        <v>9560.11803419846</v>
      </c>
      <c r="Q103" s="1161">
        <f t="shared" si="199"/>
        <v>8935.6748974826023</v>
      </c>
      <c r="R103" s="1161">
        <f t="shared" si="199"/>
        <v>8777.6380248240494</v>
      </c>
      <c r="S103" s="1160">
        <f t="shared" si="199"/>
        <v>8794.3099226617105</v>
      </c>
      <c r="T103" s="1161">
        <f t="shared" si="199"/>
        <v>7170.3250164574647</v>
      </c>
      <c r="U103" s="1161">
        <f t="shared" si="199"/>
        <v>7427.6377278135369</v>
      </c>
      <c r="V103" s="1162">
        <f t="shared" si="199"/>
        <v>7463.0119522202085</v>
      </c>
      <c r="W103" s="1161">
        <f t="shared" si="199"/>
        <v>10672.862043942654</v>
      </c>
      <c r="X103" s="1161">
        <f t="shared" si="199"/>
        <v>6748.9575207808848</v>
      </c>
      <c r="Y103" s="1161">
        <f t="shared" si="199"/>
        <v>6693.0721564774667</v>
      </c>
      <c r="Z103" s="1162">
        <f t="shared" si="199"/>
        <v>7928.0928377524915</v>
      </c>
      <c r="AA103" s="1161">
        <f t="shared" si="195"/>
        <v>11594.576778630564</v>
      </c>
      <c r="AB103" s="1161">
        <f t="shared" si="195"/>
        <v>8884.7428686240874</v>
      </c>
      <c r="AC103" s="1161">
        <f t="shared" si="195"/>
        <v>8259.4626536542146</v>
      </c>
      <c r="AD103" s="1162">
        <f t="shared" si="195"/>
        <v>10311.27373307398</v>
      </c>
      <c r="AE103" s="1164">
        <f t="shared" si="199"/>
        <v>11099.393407137786</v>
      </c>
      <c r="AF103" s="1164">
        <f t="shared" si="199"/>
        <v>9992.6370455412834</v>
      </c>
      <c r="AG103" s="1164">
        <f t="shared" si="199"/>
        <v>7829.6864609595132</v>
      </c>
      <c r="AH103" s="1165">
        <f t="shared" si="199"/>
        <v>8265.1158346907469</v>
      </c>
      <c r="AI103" s="1164">
        <f t="shared" si="200"/>
        <v>8517.9614097697577</v>
      </c>
      <c r="AJ103" s="1164">
        <f t="shared" si="200"/>
        <v>7365.7185946531754</v>
      </c>
      <c r="AK103" s="1164">
        <f t="shared" si="200"/>
        <v>7744.3815502968346</v>
      </c>
      <c r="AL103" s="1165">
        <f t="shared" si="200"/>
        <v>9032.4298573449232</v>
      </c>
      <c r="AM103" s="1164">
        <f t="shared" si="196"/>
        <v>10767.751699666062</v>
      </c>
      <c r="AN103" s="1164">
        <f t="shared" si="196"/>
        <v>9068.2920761288733</v>
      </c>
      <c r="AO103" s="1164">
        <f t="shared" si="196"/>
        <v>8780.343398460629</v>
      </c>
      <c r="AP103" s="1165">
        <f t="shared" si="196"/>
        <v>8558.2998276852377</v>
      </c>
      <c r="AQ103" s="1164">
        <f t="shared" si="197"/>
        <v>9141.5772569286164</v>
      </c>
      <c r="AR103" s="1164">
        <f t="shared" si="197"/>
        <v>8061.5434396640903</v>
      </c>
      <c r="AS103" s="1164">
        <f t="shared" si="197"/>
        <v>8098.0895888361283</v>
      </c>
      <c r="AT103" s="1165">
        <f t="shared" si="197"/>
        <v>9879.7162281589626</v>
      </c>
      <c r="AU103" s="1164">
        <f t="shared" si="178"/>
        <v>8972.5976330324702</v>
      </c>
      <c r="AV103" s="1164">
        <f t="shared" si="178"/>
        <v>7912.5279535865184</v>
      </c>
      <c r="AW103" s="1164">
        <f t="shared" si="178"/>
        <v>7948.3985569125425</v>
      </c>
      <c r="AX103" s="1165">
        <f t="shared" si="178"/>
        <v>9697.0923017277073</v>
      </c>
      <c r="AY103" s="1164">
        <f t="shared" si="198"/>
        <v>8822.1145485094949</v>
      </c>
      <c r="AZ103" s="1164">
        <f t="shared" si="198"/>
        <v>7779.8237288426817</v>
      </c>
      <c r="BA103" s="1164">
        <f t="shared" si="198"/>
        <v>7815.092731689896</v>
      </c>
      <c r="BB103" s="1165">
        <f t="shared" si="198"/>
        <v>9534.4584224266036</v>
      </c>
      <c r="BC103" s="974"/>
      <c r="BD103" s="974"/>
      <c r="BE103" s="1074">
        <f t="shared" si="179"/>
        <v>7130.2313688132726</v>
      </c>
      <c r="BF103" s="1074">
        <f t="shared" si="180"/>
        <v>8018.9777016001244</v>
      </c>
      <c r="BG103" s="1074">
        <f t="shared" si="181"/>
        <v>9428.3614685979446</v>
      </c>
      <c r="BH103" s="1074">
        <f t="shared" si="182"/>
        <v>7713.8211547882302</v>
      </c>
      <c r="BI103" s="1074">
        <f t="shared" si="183"/>
        <v>8010.746139738374</v>
      </c>
      <c r="BJ103" s="1074">
        <f t="shared" si="184"/>
        <v>9762.5140084957129</v>
      </c>
      <c r="BK103" s="1074">
        <f t="shared" si="185"/>
        <v>9296.7081870823331</v>
      </c>
      <c r="BL103" s="1074">
        <f t="shared" si="186"/>
        <v>8165.1228530161725</v>
      </c>
      <c r="BM103" s="1074">
        <f t="shared" si="187"/>
        <v>9293.6717504852004</v>
      </c>
      <c r="BN103" s="1074">
        <f t="shared" si="188"/>
        <v>8795.2316283969485</v>
      </c>
      <c r="BO103" s="1074">
        <f t="shared" si="189"/>
        <v>8632.6541113148105</v>
      </c>
      <c r="BP103" s="1074">
        <f t="shared" si="190"/>
        <v>8487.8723578671688</v>
      </c>
      <c r="BQ103" s="949"/>
      <c r="BR103" s="950"/>
      <c r="BU103" s="1370"/>
      <c r="BV103" s="1377" t="s">
        <v>601</v>
      </c>
      <c r="BW103" s="1381">
        <f>HLOOKUP(CA37,$BW$92:$CU$98,BU95,TRUE)</f>
        <v>0</v>
      </c>
      <c r="BX103" s="1370"/>
      <c r="BY103" s="1382">
        <f>BW103/CA37*1000</f>
        <v>0</v>
      </c>
      <c r="BZ103" s="1370"/>
      <c r="CA103" s="1370"/>
      <c r="CB103" s="1370"/>
      <c r="CC103" s="1370"/>
      <c r="CD103" s="1370"/>
      <c r="CE103" s="1370"/>
      <c r="CF103" s="1370"/>
      <c r="CG103" s="1370"/>
      <c r="CH103" s="1370"/>
      <c r="CI103" s="1370"/>
      <c r="CJ103" s="1370"/>
      <c r="CK103" s="1370"/>
      <c r="CL103" s="1370"/>
      <c r="CM103" s="1370"/>
      <c r="CN103" s="1370"/>
      <c r="CO103" s="1370"/>
      <c r="CP103" s="1370"/>
      <c r="CQ103" s="1370"/>
      <c r="CR103" s="1370"/>
      <c r="CS103" s="1370"/>
      <c r="CT103" s="1370"/>
      <c r="CU103" s="1370"/>
    </row>
    <row r="104" spans="1:99" ht="12.75" customHeight="1">
      <c r="A104" s="923"/>
      <c r="B104" s="924"/>
      <c r="C104" s="1122" t="s">
        <v>681</v>
      </c>
      <c r="D104" s="1122"/>
      <c r="E104" s="1122"/>
      <c r="F104" s="1124"/>
      <c r="G104" s="1160">
        <f t="shared" si="199"/>
        <v>5395.6504855170397</v>
      </c>
      <c r="H104" s="1161">
        <f t="shared" si="199"/>
        <v>5100.5900565632073</v>
      </c>
      <c r="I104" s="1161">
        <f t="shared" si="199"/>
        <v>6006.74992147799</v>
      </c>
      <c r="J104" s="1162">
        <f t="shared" si="199"/>
        <v>5317.3518126357339</v>
      </c>
      <c r="K104" s="1160">
        <f t="shared" si="199"/>
        <v>6734.0496191414031</v>
      </c>
      <c r="L104" s="1161">
        <f t="shared" si="199"/>
        <v>5501.4743918965405</v>
      </c>
      <c r="M104" s="1161">
        <f t="shared" si="199"/>
        <v>6268.4758752189118</v>
      </c>
      <c r="N104" s="1162">
        <f t="shared" si="199"/>
        <v>5985.7267911888366</v>
      </c>
      <c r="O104" s="1160">
        <f t="shared" si="199"/>
        <v>9477.3896272805832</v>
      </c>
      <c r="P104" s="1161">
        <f t="shared" si="199"/>
        <v>8173.946883501706</v>
      </c>
      <c r="Q104" s="1161">
        <f t="shared" si="199"/>
        <v>8259.4192392880977</v>
      </c>
      <c r="R104" s="1161">
        <f t="shared" si="199"/>
        <v>6410.7661597259648</v>
      </c>
      <c r="S104" s="1160">
        <f t="shared" si="199"/>
        <v>7790.1968554542191</v>
      </c>
      <c r="T104" s="1161">
        <f t="shared" si="199"/>
        <v>5959.6264930636416</v>
      </c>
      <c r="U104" s="1161">
        <f t="shared" si="199"/>
        <v>6840.5607736665088</v>
      </c>
      <c r="V104" s="1162">
        <f t="shared" si="199"/>
        <v>6525.372318959221</v>
      </c>
      <c r="W104" s="1161">
        <f t="shared" si="199"/>
        <v>9013.981977331181</v>
      </c>
      <c r="X104" s="1161">
        <f t="shared" si="199"/>
        <v>5435.4274567969042</v>
      </c>
      <c r="Y104" s="1161">
        <f t="shared" si="199"/>
        <v>6191.277648456301</v>
      </c>
      <c r="Z104" s="1162">
        <f t="shared" si="199"/>
        <v>6850.9884407370319</v>
      </c>
      <c r="AA104" s="1161">
        <f t="shared" si="195"/>
        <v>10265.602875410354</v>
      </c>
      <c r="AB104" s="1161">
        <f t="shared" si="195"/>
        <v>6715.6093086897836</v>
      </c>
      <c r="AC104" s="1161">
        <f t="shared" si="195"/>
        <v>7664.0265319712089</v>
      </c>
      <c r="AD104" s="1162">
        <f t="shared" si="195"/>
        <v>9225.6308062235858</v>
      </c>
      <c r="AE104" s="1164">
        <f t="shared" si="199"/>
        <v>9673.625167828357</v>
      </c>
      <c r="AF104" s="1164">
        <f t="shared" si="199"/>
        <v>8570.6534203356659</v>
      </c>
      <c r="AG104" s="1164">
        <f t="shared" si="199"/>
        <v>7452.1855165401403</v>
      </c>
      <c r="AH104" s="1165">
        <f t="shared" si="199"/>
        <v>7408.3223776683062</v>
      </c>
      <c r="AI104" s="1164">
        <f t="shared" si="200"/>
        <v>7667.4563966200603</v>
      </c>
      <c r="AJ104" s="1164">
        <f t="shared" si="200"/>
        <v>6356.9074135752089</v>
      </c>
      <c r="AK104" s="1164">
        <f t="shared" si="200"/>
        <v>6365.0018649239109</v>
      </c>
      <c r="AL104" s="1165">
        <f t="shared" si="200"/>
        <v>7895.7944693923155</v>
      </c>
      <c r="AM104" s="1164">
        <f t="shared" si="196"/>
        <v>8227.0666796054647</v>
      </c>
      <c r="AN104" s="1164">
        <f t="shared" si="196"/>
        <v>7395.1984077621601</v>
      </c>
      <c r="AO104" s="1164">
        <f t="shared" si="196"/>
        <v>7619.8934280639423</v>
      </c>
      <c r="AP104" s="1165">
        <f t="shared" si="196"/>
        <v>7070.6490522688118</v>
      </c>
      <c r="AQ104" s="1164">
        <f t="shared" si="197"/>
        <v>9417.0466461005399</v>
      </c>
      <c r="AR104" s="1164">
        <f t="shared" si="197"/>
        <v>7556.0461755771757</v>
      </c>
      <c r="AS104" s="1164">
        <f t="shared" si="197"/>
        <v>7734.2070510855065</v>
      </c>
      <c r="AT104" s="1165">
        <f t="shared" si="197"/>
        <v>6746.2524824277207</v>
      </c>
      <c r="AU104" s="1164">
        <f t="shared" si="178"/>
        <v>9420.6351919674853</v>
      </c>
      <c r="AV104" s="1164">
        <f t="shared" si="178"/>
        <v>7558.9255515952455</v>
      </c>
      <c r="AW104" s="1164">
        <f t="shared" si="178"/>
        <v>7737.1543187151901</v>
      </c>
      <c r="AX104" s="1165">
        <f t="shared" si="178"/>
        <v>6748.8232710595485</v>
      </c>
      <c r="AY104" s="1164">
        <f t="shared" si="198"/>
        <v>9243.941182160137</v>
      </c>
      <c r="AZ104" s="1164">
        <f t="shared" si="198"/>
        <v>7417.1498816610774</v>
      </c>
      <c r="BA104" s="1164">
        <f t="shared" si="198"/>
        <v>7592.0357791248134</v>
      </c>
      <c r="BB104" s="1165">
        <f t="shared" si="198"/>
        <v>6622.2419290433099</v>
      </c>
      <c r="BC104" s="974"/>
      <c r="BD104" s="974"/>
      <c r="BE104" s="1074">
        <f t="shared" si="179"/>
        <v>5455.0855690484923</v>
      </c>
      <c r="BF104" s="1074">
        <f t="shared" si="180"/>
        <v>6122.4316693614228</v>
      </c>
      <c r="BG104" s="1074">
        <f t="shared" si="181"/>
        <v>8080.3804774490882</v>
      </c>
      <c r="BH104" s="1074">
        <f t="shared" si="182"/>
        <v>6778.9391102858972</v>
      </c>
      <c r="BI104" s="1074">
        <f t="shared" si="183"/>
        <v>6872.9188808303552</v>
      </c>
      <c r="BJ104" s="1074">
        <f t="shared" si="184"/>
        <v>8467.717380573733</v>
      </c>
      <c r="BK104" s="1074">
        <f t="shared" si="185"/>
        <v>8276.1966205931167</v>
      </c>
      <c r="BL104" s="1074">
        <f t="shared" si="186"/>
        <v>7071.2900361278744</v>
      </c>
      <c r="BM104" s="1074">
        <f t="shared" si="187"/>
        <v>7578.201891925095</v>
      </c>
      <c r="BN104" s="1074">
        <f t="shared" si="188"/>
        <v>7863.3880887977357</v>
      </c>
      <c r="BO104" s="1074">
        <f t="shared" si="189"/>
        <v>7866.3845833343676</v>
      </c>
      <c r="BP104" s="1074">
        <f t="shared" si="190"/>
        <v>7718.8421929973347</v>
      </c>
      <c r="BQ104" s="949"/>
      <c r="BR104" s="950"/>
      <c r="BU104" s="1370"/>
      <c r="BV104" s="1377" t="s">
        <v>679</v>
      </c>
      <c r="BW104" s="1381">
        <f>HLOOKUP(CA38,$BW$92:$CU$98,BU96,TRUE)</f>
        <v>0</v>
      </c>
      <c r="BX104" s="1370"/>
      <c r="BY104" s="1382">
        <f>BW104/CA38*1000</f>
        <v>0</v>
      </c>
      <c r="BZ104" s="1370"/>
      <c r="CA104" s="1370"/>
      <c r="CB104" s="1370"/>
      <c r="CC104" s="1370"/>
      <c r="CD104" s="1370"/>
      <c r="CE104" s="1370"/>
      <c r="CF104" s="1370"/>
      <c r="CG104" s="1370"/>
      <c r="CH104" s="1370"/>
      <c r="CI104" s="1370"/>
      <c r="CJ104" s="1370"/>
      <c r="CK104" s="1370"/>
      <c r="CL104" s="1370"/>
      <c r="CM104" s="1370"/>
      <c r="CN104" s="1370"/>
      <c r="CO104" s="1370"/>
      <c r="CP104" s="1370"/>
      <c r="CQ104" s="1370"/>
      <c r="CR104" s="1370"/>
      <c r="CS104" s="1370"/>
      <c r="CT104" s="1370"/>
      <c r="CU104" s="1370"/>
    </row>
    <row r="105" spans="1:99" ht="12.75" customHeight="1">
      <c r="A105" s="923"/>
      <c r="B105" s="924"/>
      <c r="C105" s="1122" t="s">
        <v>682</v>
      </c>
      <c r="D105" s="1122"/>
      <c r="E105" s="1122"/>
      <c r="F105" s="1124"/>
      <c r="G105" s="1160">
        <f t="shared" si="199"/>
        <v>6850.7817272711591</v>
      </c>
      <c r="H105" s="1161">
        <f t="shared" si="199"/>
        <v>6621.032095301849</v>
      </c>
      <c r="I105" s="1161">
        <f t="shared" si="199"/>
        <v>7456.0304454809211</v>
      </c>
      <c r="J105" s="1162">
        <f t="shared" si="199"/>
        <v>6786.9757708018869</v>
      </c>
      <c r="K105" s="1160">
        <f t="shared" si="199"/>
        <v>7103.6316586257462</v>
      </c>
      <c r="L105" s="1161">
        <f t="shared" si="199"/>
        <v>6489.3612351463817</v>
      </c>
      <c r="M105" s="1161">
        <f t="shared" si="199"/>
        <v>7652.9516182493453</v>
      </c>
      <c r="N105" s="1162">
        <f t="shared" si="199"/>
        <v>7018.4711655947503</v>
      </c>
      <c r="O105" s="1160">
        <f t="shared" si="199"/>
        <v>7952.8432404796031</v>
      </c>
      <c r="P105" s="1161">
        <f t="shared" si="199"/>
        <v>7515.6719478298664</v>
      </c>
      <c r="Q105" s="1161">
        <f t="shared" si="199"/>
        <v>7355.2985870752173</v>
      </c>
      <c r="R105" s="1161">
        <f t="shared" si="199"/>
        <v>6558.0613022094312</v>
      </c>
      <c r="S105" s="1160">
        <f t="shared" si="199"/>
        <v>6674.9226754832425</v>
      </c>
      <c r="T105" s="1161">
        <f t="shared" si="199"/>
        <v>6638.422412018157</v>
      </c>
      <c r="U105" s="1161">
        <f t="shared" si="199"/>
        <v>7223.9917476319215</v>
      </c>
      <c r="V105" s="1162">
        <f t="shared" si="199"/>
        <v>7084.8548714796698</v>
      </c>
      <c r="W105" s="1161">
        <f t="shared" si="199"/>
        <v>6140.4918444926798</v>
      </c>
      <c r="X105" s="1161">
        <f t="shared" si="199"/>
        <v>6818.4558455411725</v>
      </c>
      <c r="Y105" s="1161">
        <f t="shared" si="199"/>
        <v>7269.96105521761</v>
      </c>
      <c r="Z105" s="1162">
        <f t="shared" si="199"/>
        <v>6682.661837208123</v>
      </c>
      <c r="AA105" s="1161">
        <f t="shared" si="195"/>
        <v>7652.4945449900451</v>
      </c>
      <c r="AB105" s="1161">
        <f t="shared" si="195"/>
        <v>7888.8594888397292</v>
      </c>
      <c r="AC105" s="1161">
        <f t="shared" si="195"/>
        <v>7345.5237671149316</v>
      </c>
      <c r="AD105" s="1162">
        <f t="shared" si="195"/>
        <v>7529.6000602417816</v>
      </c>
      <c r="AE105" s="1164">
        <f t="shared" si="199"/>
        <v>6964.2929599013441</v>
      </c>
      <c r="AF105" s="1164">
        <f t="shared" si="199"/>
        <v>6980.8570592020815</v>
      </c>
      <c r="AG105" s="1164">
        <f t="shared" si="199"/>
        <v>8164.8402063845024</v>
      </c>
      <c r="AH105" s="1165">
        <f t="shared" si="199"/>
        <v>6140.7448147131954</v>
      </c>
      <c r="AI105" s="1164">
        <f t="shared" si="200"/>
        <v>6430.7867145184991</v>
      </c>
      <c r="AJ105" s="1164">
        <f t="shared" si="200"/>
        <v>7962.6791325077083</v>
      </c>
      <c r="AK105" s="1164">
        <f t="shared" si="200"/>
        <v>7713.7262070746765</v>
      </c>
      <c r="AL105" s="1165">
        <f t="shared" si="200"/>
        <v>6923.2312215922902</v>
      </c>
      <c r="AM105" s="1164">
        <f t="shared" si="200"/>
        <v>6480.3957229260004</v>
      </c>
      <c r="AN105" s="1164">
        <f t="shared" si="200"/>
        <v>8543.5526806816761</v>
      </c>
      <c r="AO105" s="1164">
        <f t="shared" si="200"/>
        <v>10269.102427471877</v>
      </c>
      <c r="AP105" s="1165">
        <f t="shared" si="200"/>
        <v>6963.1533601378515</v>
      </c>
      <c r="AQ105" s="1164">
        <f t="shared" ref="AQ105:AT111" si="201">IF(ISBLANK(AQ248),"",AQ248)</f>
        <v>7207.7953169845769</v>
      </c>
      <c r="AR105" s="1164">
        <f t="shared" si="201"/>
        <v>7543.9435635063273</v>
      </c>
      <c r="AS105" s="1164">
        <f t="shared" si="201"/>
        <v>9213.4837628008991</v>
      </c>
      <c r="AT105" s="1165">
        <f t="shared" si="201"/>
        <v>6685.4577110965065</v>
      </c>
      <c r="AU105" s="1164">
        <f t="shared" si="178"/>
        <v>7169.198552229147</v>
      </c>
      <c r="AV105" s="1164">
        <f t="shared" si="178"/>
        <v>7503.5467705559522</v>
      </c>
      <c r="AW105" s="1164">
        <f t="shared" si="178"/>
        <v>9164.1468088875699</v>
      </c>
      <c r="AX105" s="1165">
        <f t="shared" si="178"/>
        <v>6649.6579932619125</v>
      </c>
      <c r="AY105" s="1164">
        <f t="shared" ref="AY105:BB128" si="202">IF(ISBLANK(AY248),"",AY248)</f>
        <v>6934.3630362278864</v>
      </c>
      <c r="AZ105" s="1164">
        <f t="shared" si="202"/>
        <v>7257.7592861020321</v>
      </c>
      <c r="BA105" s="1164">
        <f t="shared" si="202"/>
        <v>8863.9644204520755</v>
      </c>
      <c r="BB105" s="1165">
        <f t="shared" si="202"/>
        <v>6431.8406382670464</v>
      </c>
      <c r="BC105" s="974"/>
      <c r="BD105" s="974"/>
      <c r="BE105" s="1074">
        <f t="shared" si="179"/>
        <v>6928.7050097139545</v>
      </c>
      <c r="BF105" s="1074">
        <f t="shared" si="180"/>
        <v>7066.1039194040559</v>
      </c>
      <c r="BG105" s="1074">
        <f t="shared" si="181"/>
        <v>7345.4687693985288</v>
      </c>
      <c r="BH105" s="1074">
        <f t="shared" si="182"/>
        <v>6905.5479266532475</v>
      </c>
      <c r="BI105" s="1074">
        <f t="shared" si="183"/>
        <v>6727.8926456148965</v>
      </c>
      <c r="BJ105" s="1074">
        <f t="shared" si="184"/>
        <v>7604.1194652966215</v>
      </c>
      <c r="BK105" s="1074">
        <f t="shared" si="185"/>
        <v>7062.6837600502804</v>
      </c>
      <c r="BL105" s="1074">
        <f t="shared" si="186"/>
        <v>7257.6058189232936</v>
      </c>
      <c r="BM105" s="1074">
        <f t="shared" si="187"/>
        <v>8064.0510478043507</v>
      </c>
      <c r="BN105" s="1074">
        <f t="shared" si="188"/>
        <v>7662.6700885970777</v>
      </c>
      <c r="BO105" s="1074">
        <f t="shared" si="189"/>
        <v>7621.6375312336459</v>
      </c>
      <c r="BP105" s="1074">
        <f t="shared" si="190"/>
        <v>7371.9818452622603</v>
      </c>
      <c r="BQ105" s="949"/>
      <c r="BR105" s="950"/>
      <c r="BU105" s="1370"/>
      <c r="BV105" s="1377" t="s">
        <v>680</v>
      </c>
      <c r="BW105" s="1381">
        <f>HLOOKUP(CA39,$BW$92:$CU$98,BU97,TRUE)</f>
        <v>0</v>
      </c>
      <c r="BX105" s="1370"/>
      <c r="BY105" s="1382">
        <f>BW105/CA39*1000</f>
        <v>0</v>
      </c>
      <c r="BZ105" s="1370"/>
      <c r="CA105" s="1370"/>
      <c r="CB105" s="1370"/>
      <c r="CC105" s="1370"/>
      <c r="CD105" s="1370"/>
      <c r="CE105" s="1370"/>
      <c r="CF105" s="1370"/>
      <c r="CG105" s="1370"/>
      <c r="CH105" s="1370"/>
      <c r="CI105" s="1370"/>
      <c r="CJ105" s="1370"/>
      <c r="CK105" s="1370"/>
      <c r="CL105" s="1370"/>
      <c r="CM105" s="1370"/>
      <c r="CN105" s="1370"/>
      <c r="CO105" s="1370"/>
      <c r="CP105" s="1370"/>
      <c r="CQ105" s="1370"/>
      <c r="CR105" s="1370"/>
      <c r="CS105" s="1370"/>
      <c r="CT105" s="1370"/>
      <c r="CU105" s="1370"/>
    </row>
    <row r="106" spans="1:99" ht="12.75" customHeight="1">
      <c r="A106" s="923"/>
      <c r="B106" s="924"/>
      <c r="C106" s="1122" t="s">
        <v>683</v>
      </c>
      <c r="D106" s="1122"/>
      <c r="E106" s="1122"/>
      <c r="F106" s="1124"/>
      <c r="G106" s="1160">
        <f t="shared" si="199"/>
        <v>6846.1079969549173</v>
      </c>
      <c r="H106" s="1161">
        <f t="shared" si="199"/>
        <v>6579.7184516400084</v>
      </c>
      <c r="I106" s="1161">
        <f t="shared" si="199"/>
        <v>7383.37060324907</v>
      </c>
      <c r="J106" s="1162">
        <f t="shared" si="199"/>
        <v>6769.6404409553197</v>
      </c>
      <c r="K106" s="1160">
        <f t="shared" si="199"/>
        <v>7202.0850094799453</v>
      </c>
      <c r="L106" s="1161">
        <f t="shared" si="199"/>
        <v>6420.214829248016</v>
      </c>
      <c r="M106" s="1161">
        <f t="shared" si="199"/>
        <v>7575.5365463257504</v>
      </c>
      <c r="N106" s="1162">
        <f t="shared" si="199"/>
        <v>7086.1451129407897</v>
      </c>
      <c r="O106" s="1160">
        <f t="shared" si="199"/>
        <v>7943.4548333544453</v>
      </c>
      <c r="P106" s="1161">
        <f t="shared" si="199"/>
        <v>7525.8237354826097</v>
      </c>
      <c r="Q106" s="1161">
        <f t="shared" si="199"/>
        <v>7232.7025992394247</v>
      </c>
      <c r="R106" s="1161">
        <f t="shared" si="199"/>
        <v>6745.6184695244247</v>
      </c>
      <c r="S106" s="1160">
        <f t="shared" si="199"/>
        <v>6668.1229270336653</v>
      </c>
      <c r="T106" s="1161">
        <f t="shared" si="199"/>
        <v>6535.4293137657605</v>
      </c>
      <c r="U106" s="1161">
        <f t="shared" si="199"/>
        <v>7147.865663393176</v>
      </c>
      <c r="V106" s="1162">
        <f t="shared" si="199"/>
        <v>6981.8886000345046</v>
      </c>
      <c r="W106" s="1161">
        <f t="shared" si="199"/>
        <v>6182.9907384190228</v>
      </c>
      <c r="X106" s="1161">
        <f t="shared" si="199"/>
        <v>6785.8365945503001</v>
      </c>
      <c r="Y106" s="1161">
        <f t="shared" si="199"/>
        <v>7136.6442103725694</v>
      </c>
      <c r="Z106" s="1162">
        <f t="shared" si="199"/>
        <v>6702.3457070216837</v>
      </c>
      <c r="AA106" s="1161">
        <f t="shared" si="195"/>
        <v>7664.6160360806507</v>
      </c>
      <c r="AB106" s="1161">
        <f t="shared" si="195"/>
        <v>7048.9520285495655</v>
      </c>
      <c r="AC106" s="1161">
        <f t="shared" si="195"/>
        <v>7197.670615244313</v>
      </c>
      <c r="AD106" s="1162">
        <f t="shared" si="195"/>
        <v>7101.8354351902599</v>
      </c>
      <c r="AE106" s="1164">
        <f t="shared" si="199"/>
        <v>6945.1239071268637</v>
      </c>
      <c r="AF106" s="1164">
        <f t="shared" si="199"/>
        <v>6861.101172272105</v>
      </c>
      <c r="AG106" s="1164">
        <f t="shared" si="199"/>
        <v>7251.121749054284</v>
      </c>
      <c r="AH106" s="1165">
        <f t="shared" si="199"/>
        <v>6022.5093589603321</v>
      </c>
      <c r="AI106" s="1164">
        <f t="shared" si="200"/>
        <v>5878.8543969869743</v>
      </c>
      <c r="AJ106" s="1164">
        <f t="shared" si="200"/>
        <v>6363.7110064538647</v>
      </c>
      <c r="AK106" s="1164">
        <f t="shared" si="200"/>
        <v>7360.8455434858543</v>
      </c>
      <c r="AL106" s="1165">
        <f t="shared" si="200"/>
        <v>6251.0403871722756</v>
      </c>
      <c r="AM106" s="1164">
        <f t="shared" si="200"/>
        <v>6199.6866590289592</v>
      </c>
      <c r="AN106" s="1164">
        <f t="shared" si="200"/>
        <v>7716.3353650951622</v>
      </c>
      <c r="AO106" s="1164">
        <f t="shared" si="200"/>
        <v>10174.371817643576</v>
      </c>
      <c r="AP106" s="1165">
        <f t="shared" si="200"/>
        <v>6681.7059161401476</v>
      </c>
      <c r="AQ106" s="1164">
        <f t="shared" si="201"/>
        <v>6960.4803932414106</v>
      </c>
      <c r="AR106" s="1164">
        <f t="shared" si="201"/>
        <v>7040.2791244410537</v>
      </c>
      <c r="AS106" s="1164">
        <f t="shared" si="201"/>
        <v>8992.7280873911477</v>
      </c>
      <c r="AT106" s="1165">
        <f t="shared" si="201"/>
        <v>6121.8589841224284</v>
      </c>
      <c r="AU106" s="1164">
        <f t="shared" si="178"/>
        <v>6833.8195343448451</v>
      </c>
      <c r="AV106" s="1164">
        <f t="shared" si="178"/>
        <v>6912.1661566006269</v>
      </c>
      <c r="AW106" s="1164">
        <f t="shared" si="178"/>
        <v>8829.0861260578167</v>
      </c>
      <c r="AX106" s="1165">
        <f t="shared" si="178"/>
        <v>6010.4586391511948</v>
      </c>
      <c r="AY106" s="1164">
        <f t="shared" si="202"/>
        <v>6536.1986425108153</v>
      </c>
      <c r="AZ106" s="1164">
        <f t="shared" si="202"/>
        <v>6611.1331770650186</v>
      </c>
      <c r="BA106" s="1164">
        <f t="shared" si="202"/>
        <v>8444.5690234754893</v>
      </c>
      <c r="BB106" s="1165">
        <f t="shared" si="202"/>
        <v>5748.6960843272727</v>
      </c>
      <c r="BC106" s="974"/>
      <c r="BD106" s="974"/>
      <c r="BE106" s="1074">
        <f t="shared" si="179"/>
        <v>6894.7093731998284</v>
      </c>
      <c r="BF106" s="1074">
        <f t="shared" si="180"/>
        <v>7070.995374498626</v>
      </c>
      <c r="BG106" s="1074">
        <f t="shared" si="181"/>
        <v>7361.8999094002265</v>
      </c>
      <c r="BH106" s="1074">
        <f t="shared" si="182"/>
        <v>6833.3266260567761</v>
      </c>
      <c r="BI106" s="1074">
        <f t="shared" si="183"/>
        <v>6701.9543125908931</v>
      </c>
      <c r="BJ106" s="1074">
        <f t="shared" si="184"/>
        <v>7253.2685287661971</v>
      </c>
      <c r="BK106" s="1074">
        <f t="shared" si="185"/>
        <v>6769.9640468533962</v>
      </c>
      <c r="BL106" s="1074">
        <f t="shared" si="186"/>
        <v>6463.6128335247431</v>
      </c>
      <c r="BM106" s="1074">
        <f t="shared" si="187"/>
        <v>7693.0249394769617</v>
      </c>
      <c r="BN106" s="1074">
        <f t="shared" si="188"/>
        <v>7278.8366472990101</v>
      </c>
      <c r="BO106" s="1074">
        <f t="shared" si="189"/>
        <v>7146.3826140386209</v>
      </c>
      <c r="BP106" s="1074">
        <f t="shared" si="190"/>
        <v>6835.1492318446481</v>
      </c>
      <c r="BQ106" s="949"/>
      <c r="BR106" s="950"/>
      <c r="BU106" s="1370"/>
      <c r="BV106" s="1377" t="s">
        <v>681</v>
      </c>
      <c r="BW106" s="1383">
        <v>0</v>
      </c>
      <c r="BX106" s="1370"/>
      <c r="BY106" s="1382">
        <f>BW106/CA40*1000</f>
        <v>0</v>
      </c>
      <c r="BZ106" s="1370"/>
      <c r="CA106" s="1370"/>
      <c r="CB106" s="1370"/>
      <c r="CC106" s="1370"/>
      <c r="CD106" s="1370"/>
      <c r="CE106" s="1370"/>
      <c r="CF106" s="1370"/>
      <c r="CG106" s="1370"/>
      <c r="CH106" s="1370"/>
      <c r="CI106" s="1370"/>
      <c r="CJ106" s="1370"/>
      <c r="CK106" s="1370"/>
      <c r="CL106" s="1370"/>
      <c r="CM106" s="1370"/>
      <c r="CN106" s="1370"/>
      <c r="CO106" s="1370"/>
      <c r="CP106" s="1370"/>
      <c r="CQ106" s="1370"/>
      <c r="CR106" s="1370"/>
      <c r="CS106" s="1370"/>
      <c r="CT106" s="1370"/>
      <c r="CU106" s="1370"/>
    </row>
    <row r="107" spans="1:99" ht="12.75" customHeight="1">
      <c r="A107" s="923"/>
      <c r="B107" s="924"/>
      <c r="C107" s="1122" t="s">
        <v>684</v>
      </c>
      <c r="D107" s="1122"/>
      <c r="E107" s="1122"/>
      <c r="F107" s="1124"/>
      <c r="G107" s="1160">
        <f t="shared" si="199"/>
        <v>6830.6037324407944</v>
      </c>
      <c r="H107" s="1161">
        <f t="shared" si="199"/>
        <v>6562.8970251557994</v>
      </c>
      <c r="I107" s="1161">
        <f t="shared" si="199"/>
        <v>7414.7110582687419</v>
      </c>
      <c r="J107" s="1162">
        <f t="shared" si="199"/>
        <v>6679.1141503791168</v>
      </c>
      <c r="K107" s="1160">
        <f t="shared" si="199"/>
        <v>7138.8046808257704</v>
      </c>
      <c r="L107" s="1161">
        <f t="shared" si="199"/>
        <v>6258.087014167384</v>
      </c>
      <c r="M107" s="1161">
        <f t="shared" si="199"/>
        <v>7523.249636289559</v>
      </c>
      <c r="N107" s="1162">
        <f t="shared" si="199"/>
        <v>7174.579060258885</v>
      </c>
      <c r="O107" s="1160">
        <f t="shared" si="199"/>
        <v>7873.2744080347829</v>
      </c>
      <c r="P107" s="1161">
        <f t="shared" si="199"/>
        <v>7431.2884796307553</v>
      </c>
      <c r="Q107" s="1161">
        <f t="shared" si="199"/>
        <v>7334.1288032927387</v>
      </c>
      <c r="R107" s="1161">
        <f t="shared" si="199"/>
        <v>6585.3989518402341</v>
      </c>
      <c r="S107" s="1160">
        <f t="shared" si="199"/>
        <v>6652.2606369130135</v>
      </c>
      <c r="T107" s="1161">
        <f t="shared" si="199"/>
        <v>6539.4547394260053</v>
      </c>
      <c r="U107" s="1161">
        <f t="shared" si="199"/>
        <v>7184.9101755550391</v>
      </c>
      <c r="V107" s="1162">
        <f t="shared" si="199"/>
        <v>6986.060144475985</v>
      </c>
      <c r="W107" s="1161">
        <f t="shared" si="199"/>
        <v>6142.7701878695543</v>
      </c>
      <c r="X107" s="1161">
        <f t="shared" si="199"/>
        <v>6706.9196289195888</v>
      </c>
      <c r="Y107" s="1161">
        <f t="shared" si="199"/>
        <v>7191.2801571027721</v>
      </c>
      <c r="Z107" s="1162">
        <f t="shared" si="199"/>
        <v>6691.3524756882343</v>
      </c>
      <c r="AA107" s="1161">
        <f t="shared" si="195"/>
        <v>7683.5517405383844</v>
      </c>
      <c r="AB107" s="1161">
        <f t="shared" si="195"/>
        <v>7477.9551606525392</v>
      </c>
      <c r="AC107" s="1161">
        <f t="shared" si="195"/>
        <v>7273.2045800322394</v>
      </c>
      <c r="AD107" s="1162">
        <f t="shared" si="195"/>
        <v>7297.8688266327545</v>
      </c>
      <c r="AE107" s="1164">
        <f t="shared" si="199"/>
        <v>6825.5682022125657</v>
      </c>
      <c r="AF107" s="1164">
        <f t="shared" si="199"/>
        <v>6812.7741649171348</v>
      </c>
      <c r="AG107" s="1164">
        <f t="shared" si="199"/>
        <v>7454.9666094076501</v>
      </c>
      <c r="AH107" s="1165">
        <f t="shared" si="199"/>
        <v>6130.1227783855711</v>
      </c>
      <c r="AI107" s="1164">
        <f t="shared" si="200"/>
        <v>5895.9354557555907</v>
      </c>
      <c r="AJ107" s="1164">
        <f t="shared" si="200"/>
        <v>7064.5603116460243</v>
      </c>
      <c r="AK107" s="1164">
        <f t="shared" si="200"/>
        <v>7856.3102926990641</v>
      </c>
      <c r="AL107" s="1165">
        <f t="shared" si="200"/>
        <v>6693.0932220303657</v>
      </c>
      <c r="AM107" s="1164">
        <f t="shared" si="200"/>
        <v>6308.6390155305817</v>
      </c>
      <c r="AN107" s="1164">
        <f t="shared" si="200"/>
        <v>8300.9851971638291</v>
      </c>
      <c r="AO107" s="1164">
        <f t="shared" si="200"/>
        <v>10559.214920071048</v>
      </c>
      <c r="AP107" s="1165">
        <f t="shared" si="200"/>
        <v>6991.8724870763926</v>
      </c>
      <c r="AQ107" s="1164">
        <f t="shared" si="201"/>
        <v>7308.293740592273</v>
      </c>
      <c r="AR107" s="1164">
        <f t="shared" si="201"/>
        <v>7573.1759724842441</v>
      </c>
      <c r="AS107" s="1164">
        <f t="shared" si="201"/>
        <v>9344.5082187459211</v>
      </c>
      <c r="AT107" s="1165">
        <f t="shared" si="201"/>
        <v>6521.5722220472508</v>
      </c>
      <c r="AU107" s="1164">
        <f t="shared" si="178"/>
        <v>7193.750633657809</v>
      </c>
      <c r="AV107" s="1164">
        <f t="shared" si="178"/>
        <v>7454.4813583868809</v>
      </c>
      <c r="AW107" s="1164">
        <f t="shared" si="178"/>
        <v>9198.0514612397492</v>
      </c>
      <c r="AX107" s="1165">
        <f t="shared" si="178"/>
        <v>6419.3594250626784</v>
      </c>
      <c r="AY107" s="1164">
        <f t="shared" si="202"/>
        <v>6930.4910839990544</v>
      </c>
      <c r="AZ107" s="1164">
        <f t="shared" si="202"/>
        <v>7181.6802139926585</v>
      </c>
      <c r="BA107" s="1164">
        <f t="shared" si="202"/>
        <v>8861.4433400053931</v>
      </c>
      <c r="BB107" s="1165">
        <f t="shared" si="202"/>
        <v>6184.4391786709302</v>
      </c>
      <c r="BC107" s="974"/>
      <c r="BD107" s="974"/>
      <c r="BE107" s="1074">
        <f t="shared" si="179"/>
        <v>6871.8314915611136</v>
      </c>
      <c r="BF107" s="1074">
        <f t="shared" si="180"/>
        <v>7023.6800978853998</v>
      </c>
      <c r="BG107" s="1074">
        <f t="shared" si="181"/>
        <v>7306.0226606996284</v>
      </c>
      <c r="BH107" s="1074">
        <f t="shared" si="182"/>
        <v>6840.6714240925112</v>
      </c>
      <c r="BI107" s="1074">
        <f t="shared" si="183"/>
        <v>6683.080612395037</v>
      </c>
      <c r="BJ107" s="1074">
        <f t="shared" si="184"/>
        <v>7433.1450769639796</v>
      </c>
      <c r="BK107" s="1074">
        <f t="shared" si="185"/>
        <v>6805.8579387307309</v>
      </c>
      <c r="BL107" s="1074">
        <f t="shared" si="186"/>
        <v>6877.4748205327614</v>
      </c>
      <c r="BM107" s="1074">
        <f t="shared" si="187"/>
        <v>8040.1779049604629</v>
      </c>
      <c r="BN107" s="1074">
        <f t="shared" si="188"/>
        <v>7686.8875384674229</v>
      </c>
      <c r="BO107" s="1074">
        <f t="shared" si="189"/>
        <v>7566.4107195867791</v>
      </c>
      <c r="BP107" s="1074">
        <f t="shared" si="190"/>
        <v>7289.5134541670095</v>
      </c>
      <c r="BQ107" s="949"/>
      <c r="BR107" s="950"/>
      <c r="BU107" s="922"/>
      <c r="BV107" s="921"/>
      <c r="BW107" s="921"/>
      <c r="BX107" s="921"/>
    </row>
    <row r="108" spans="1:99" ht="12.75" customHeight="1">
      <c r="A108" s="923"/>
      <c r="B108" s="924"/>
      <c r="C108" s="1122" t="s">
        <v>685</v>
      </c>
      <c r="D108" s="1122"/>
      <c r="E108" s="1122"/>
      <c r="F108" s="1124"/>
      <c r="G108" s="1160">
        <f t="shared" si="199"/>
        <v>6551.2481776158975</v>
      </c>
      <c r="H108" s="1161">
        <f t="shared" si="199"/>
        <v>6271.3601770080304</v>
      </c>
      <c r="I108" s="1161">
        <f t="shared" si="199"/>
        <v>7021.4112476857217</v>
      </c>
      <c r="J108" s="1162">
        <f t="shared" si="199"/>
        <v>6733.6908270051736</v>
      </c>
      <c r="K108" s="1160">
        <f t="shared" si="199"/>
        <v>4947.8024200898235</v>
      </c>
      <c r="L108" s="1161">
        <f t="shared" si="199"/>
        <v>3639.4677482772172</v>
      </c>
      <c r="M108" s="1161">
        <f t="shared" si="199"/>
        <v>5747.6866885726586</v>
      </c>
      <c r="N108" s="1162">
        <f t="shared" si="199"/>
        <v>6628.5228267586781</v>
      </c>
      <c r="O108" s="1160">
        <f t="shared" si="199"/>
        <v>7140.6532375369161</v>
      </c>
      <c r="P108" s="1161">
        <f t="shared" si="199"/>
        <v>6382.371966804455</v>
      </c>
      <c r="Q108" s="1161">
        <f t="shared" si="199"/>
        <v>6483.5540521088269</v>
      </c>
      <c r="R108" s="1161">
        <f t="shared" si="199"/>
        <v>6726.4830833685282</v>
      </c>
      <c r="S108" s="1160">
        <f t="shared" si="199"/>
        <v>7205.7973591784121</v>
      </c>
      <c r="T108" s="1161">
        <f t="shared" si="199"/>
        <v>6357.537844012214</v>
      </c>
      <c r="U108" s="1161">
        <f t="shared" si="199"/>
        <v>6423.4820897102254</v>
      </c>
      <c r="V108" s="1162">
        <f t="shared" si="199"/>
        <v>7229.6977497861471</v>
      </c>
      <c r="W108" s="1161">
        <f t="shared" si="199"/>
        <v>6790.8520186587984</v>
      </c>
      <c r="X108" s="1161">
        <f t="shared" si="199"/>
        <v>6349.6655319918109</v>
      </c>
      <c r="Y108" s="1161">
        <f t="shared" si="199"/>
        <v>7036.4214757575519</v>
      </c>
      <c r="Z108" s="1162">
        <f t="shared" si="199"/>
        <v>6665.5421283905716</v>
      </c>
      <c r="AA108" s="1161">
        <f t="shared" si="195"/>
        <v>7686.8419302083648</v>
      </c>
      <c r="AB108" s="1161">
        <f t="shared" si="195"/>
        <v>7549.5235262753986</v>
      </c>
      <c r="AC108" s="1161">
        <f t="shared" si="195"/>
        <v>7870.964586340303</v>
      </c>
      <c r="AD108" s="1162">
        <f t="shared" si="195"/>
        <v>7947.0472842148192</v>
      </c>
      <c r="AE108" s="1164">
        <f t="shared" si="199"/>
        <v>8041.4196020612753</v>
      </c>
      <c r="AF108" s="1164">
        <f t="shared" si="199"/>
        <v>7252.5359380326045</v>
      </c>
      <c r="AG108" s="1164">
        <f t="shared" si="199"/>
        <v>7589.9916495196767</v>
      </c>
      <c r="AH108" s="1165">
        <f t="shared" si="199"/>
        <v>7054.7193373314476</v>
      </c>
      <c r="AI108" s="1164">
        <f t="shared" si="200"/>
        <v>6592.9726251884122</v>
      </c>
      <c r="AJ108" s="1164">
        <f t="shared" si="200"/>
        <v>6874.6729901740318</v>
      </c>
      <c r="AK108" s="1164">
        <f t="shared" si="200"/>
        <v>7377.5104880100744</v>
      </c>
      <c r="AL108" s="1165">
        <f t="shared" si="200"/>
        <v>5402.5632811176656</v>
      </c>
      <c r="AM108" s="1164">
        <f t="shared" si="200"/>
        <v>6081.509077044283</v>
      </c>
      <c r="AN108" s="1164">
        <f t="shared" si="200"/>
        <v>10853.739245532757</v>
      </c>
      <c r="AO108" s="1164">
        <f t="shared" si="200"/>
        <v>10437.986082685222</v>
      </c>
      <c r="AP108" s="1165">
        <f t="shared" si="200"/>
        <v>8954.2936288088658</v>
      </c>
      <c r="AQ108" s="1164">
        <f t="shared" si="201"/>
        <v>9568.8121647134849</v>
      </c>
      <c r="AR108" s="1164">
        <f t="shared" si="201"/>
        <v>12135.565714038688</v>
      </c>
      <c r="AS108" s="1164">
        <f t="shared" si="201"/>
        <v>12432.237568226872</v>
      </c>
      <c r="AT108" s="1165">
        <f t="shared" si="201"/>
        <v>9155.3108828586155</v>
      </c>
      <c r="AU108" s="1164">
        <f t="shared" si="178"/>
        <v>10477.444338766418</v>
      </c>
      <c r="AV108" s="1164">
        <f t="shared" si="178"/>
        <v>13287.930842363825</v>
      </c>
      <c r="AW108" s="1164">
        <f t="shared" si="178"/>
        <v>13612.773966633513</v>
      </c>
      <c r="AX108" s="1165">
        <f t="shared" si="178"/>
        <v>10024.677935782822</v>
      </c>
      <c r="AY108" s="1164">
        <f t="shared" si="202"/>
        <v>10870.28187437005</v>
      </c>
      <c r="AZ108" s="1164">
        <f t="shared" si="202"/>
        <v>13786.143749691979</v>
      </c>
      <c r="BA108" s="1164">
        <f t="shared" si="202"/>
        <v>14123.166425412372</v>
      </c>
      <c r="BB108" s="1165">
        <f t="shared" si="202"/>
        <v>10400.539610460706</v>
      </c>
      <c r="BC108" s="974"/>
      <c r="BD108" s="974"/>
      <c r="BE108" s="1074">
        <f t="shared" si="179"/>
        <v>6644.4276073287056</v>
      </c>
      <c r="BF108" s="1074">
        <f t="shared" si="180"/>
        <v>5240.8699209245942</v>
      </c>
      <c r="BG108" s="1074">
        <f t="shared" si="181"/>
        <v>6683.2655849546809</v>
      </c>
      <c r="BH108" s="1074">
        <f t="shared" si="182"/>
        <v>6804.1287606717497</v>
      </c>
      <c r="BI108" s="1074">
        <f t="shared" si="183"/>
        <v>6710.6202886996825</v>
      </c>
      <c r="BJ108" s="1074">
        <f t="shared" si="184"/>
        <v>7763.5943317597212</v>
      </c>
      <c r="BK108" s="1074">
        <f t="shared" si="185"/>
        <v>7484.6666317362515</v>
      </c>
      <c r="BL108" s="1074">
        <f t="shared" si="186"/>
        <v>6561.9298461225462</v>
      </c>
      <c r="BM108" s="1074">
        <f t="shared" si="187"/>
        <v>9081.8820085177831</v>
      </c>
      <c r="BN108" s="1074">
        <f t="shared" si="188"/>
        <v>10822.981582459415</v>
      </c>
      <c r="BO108" s="1074">
        <f t="shared" si="189"/>
        <v>11850.706770886643</v>
      </c>
      <c r="BP108" s="1074">
        <f t="shared" si="190"/>
        <v>12295.032914983778</v>
      </c>
      <c r="BQ108" s="949"/>
      <c r="BR108" s="950"/>
      <c r="BU108" s="922"/>
      <c r="BV108" s="921"/>
      <c r="BW108" s="921"/>
      <c r="BX108" s="921"/>
    </row>
    <row r="109" spans="1:99" ht="12.75" customHeight="1">
      <c r="A109" s="923"/>
      <c r="B109" s="924"/>
      <c r="C109" s="1122" t="s">
        <v>686</v>
      </c>
      <c r="D109" s="1122"/>
      <c r="E109" s="1122"/>
      <c r="F109" s="1124"/>
      <c r="G109" s="1160">
        <f t="shared" si="199"/>
        <v>7774.7039121401549</v>
      </c>
      <c r="H109" s="1161">
        <f t="shared" si="199"/>
        <v>4421.426097331675</v>
      </c>
      <c r="I109" s="1161">
        <f t="shared" si="199"/>
        <v>6156.2722201020406</v>
      </c>
      <c r="J109" s="1162">
        <f t="shared" si="199"/>
        <v>7002.5167489617788</v>
      </c>
      <c r="K109" s="1160">
        <f t="shared" si="199"/>
        <v>4589.0510511069697</v>
      </c>
      <c r="L109" s="1161">
        <f t="shared" si="199"/>
        <v>2411.1346788076098</v>
      </c>
      <c r="M109" s="1161">
        <f t="shared" si="199"/>
        <v>5490.4974244869181</v>
      </c>
      <c r="N109" s="1162">
        <f t="shared" si="199"/>
        <v>6615.8727095483928</v>
      </c>
      <c r="O109" s="1160">
        <f t="shared" si="199"/>
        <v>7046.3802040246701</v>
      </c>
      <c r="P109" s="1161">
        <f t="shared" si="199"/>
        <v>5518.5767411822817</v>
      </c>
      <c r="Q109" s="1161">
        <f t="shared" si="199"/>
        <v>6377.5206167201122</v>
      </c>
      <c r="R109" s="1161">
        <f t="shared" si="199"/>
        <v>7344.081803590022</v>
      </c>
      <c r="S109" s="1160">
        <f t="shared" si="199"/>
        <v>9311.2686731067824</v>
      </c>
      <c r="T109" s="1161">
        <f t="shared" si="199"/>
        <v>7056.6794179267672</v>
      </c>
      <c r="U109" s="1161">
        <f t="shared" si="199"/>
        <v>8597.9551187672805</v>
      </c>
      <c r="V109" s="1162">
        <f t="shared" si="199"/>
        <v>9033.2153415300436</v>
      </c>
      <c r="W109" s="1161">
        <f t="shared" si="199"/>
        <v>7778.1824249044994</v>
      </c>
      <c r="X109" s="1161">
        <f t="shared" si="199"/>
        <v>4321.8647012602933</v>
      </c>
      <c r="Y109" s="1161">
        <f t="shared" si="199"/>
        <v>7399.6643648541531</v>
      </c>
      <c r="Z109" s="1162">
        <f t="shared" si="199"/>
        <v>8079.6050793482691</v>
      </c>
      <c r="AA109" s="1161">
        <f t="shared" si="195"/>
        <v>8597.8421847930604</v>
      </c>
      <c r="AB109" s="1161">
        <f t="shared" si="195"/>
        <v>9043.6082365961338</v>
      </c>
      <c r="AC109" s="1161">
        <f t="shared" si="195"/>
        <v>9384.1581076756538</v>
      </c>
      <c r="AD109" s="1162">
        <f t="shared" si="195"/>
        <v>10244.540848251741</v>
      </c>
      <c r="AE109" s="1164">
        <f t="shared" si="199"/>
        <v>9931.6699639321978</v>
      </c>
      <c r="AF109" s="1164">
        <f t="shared" si="199"/>
        <v>8322.9072817939832</v>
      </c>
      <c r="AG109" s="1164">
        <f t="shared" si="199"/>
        <v>9519.3024094689408</v>
      </c>
      <c r="AH109" s="1165">
        <f t="shared" si="199"/>
        <v>8836.9259337879703</v>
      </c>
      <c r="AI109" s="1164">
        <f t="shared" si="200"/>
        <v>7422.1179080352858</v>
      </c>
      <c r="AJ109" s="1164">
        <f t="shared" si="200"/>
        <v>6926.4056548853769</v>
      </c>
      <c r="AK109" s="1164">
        <f t="shared" si="200"/>
        <v>9076.9846765896473</v>
      </c>
      <c r="AL109" s="1165">
        <f t="shared" si="200"/>
        <v>7115.4623612168161</v>
      </c>
      <c r="AM109" s="1164">
        <f t="shared" si="200"/>
        <v>7142.1403365965198</v>
      </c>
      <c r="AN109" s="1164">
        <f t="shared" si="200"/>
        <v>11846.45929847783</v>
      </c>
      <c r="AO109" s="1164">
        <f t="shared" si="200"/>
        <v>13262.382316823576</v>
      </c>
      <c r="AP109" s="1165">
        <f t="shared" si="200"/>
        <v>13234.072022160666</v>
      </c>
      <c r="AQ109" s="1164">
        <f t="shared" si="201"/>
        <v>12329.48172551779</v>
      </c>
      <c r="AR109" s="1164">
        <f t="shared" si="201"/>
        <v>13082.874702863712</v>
      </c>
      <c r="AS109" s="1164">
        <f t="shared" si="201"/>
        <v>15543.273890119144</v>
      </c>
      <c r="AT109" s="1165">
        <f t="shared" si="201"/>
        <v>12131.723236546579</v>
      </c>
      <c r="AU109" s="1164">
        <f t="shared" si="178"/>
        <v>13058.427446074731</v>
      </c>
      <c r="AV109" s="1164">
        <f t="shared" si="178"/>
        <v>13856.36265146884</v>
      </c>
      <c r="AW109" s="1164">
        <f t="shared" si="178"/>
        <v>16462.225978932187</v>
      </c>
      <c r="AX109" s="1165">
        <f t="shared" si="178"/>
        <v>12848.977046003884</v>
      </c>
      <c r="AY109" s="1164">
        <f t="shared" si="202"/>
        <v>13044.817446046907</v>
      </c>
      <c r="AZ109" s="1164">
        <f t="shared" si="202"/>
        <v>13841.92101239317</v>
      </c>
      <c r="BA109" s="1164">
        <f t="shared" si="202"/>
        <v>16445.068407933952</v>
      </c>
      <c r="BB109" s="1165">
        <f t="shared" si="202"/>
        <v>12835.585343314124</v>
      </c>
      <c r="BC109" s="974"/>
      <c r="BD109" s="974"/>
      <c r="BE109" s="1074">
        <f t="shared" si="179"/>
        <v>6338.7297446339117</v>
      </c>
      <c r="BF109" s="1074">
        <f t="shared" si="180"/>
        <v>4776.6389659874721</v>
      </c>
      <c r="BG109" s="1074">
        <f t="shared" si="181"/>
        <v>6571.6398413792722</v>
      </c>
      <c r="BH109" s="1074">
        <f t="shared" si="182"/>
        <v>8499.7796378327184</v>
      </c>
      <c r="BI109" s="1074">
        <f t="shared" si="183"/>
        <v>6894.8291425918032</v>
      </c>
      <c r="BJ109" s="1074">
        <f t="shared" si="184"/>
        <v>9317.5373443291464</v>
      </c>
      <c r="BK109" s="1074">
        <f t="shared" si="185"/>
        <v>9152.7013972457735</v>
      </c>
      <c r="BL109" s="1074">
        <f t="shared" si="186"/>
        <v>7635.2426501817808</v>
      </c>
      <c r="BM109" s="1074">
        <f t="shared" si="187"/>
        <v>11371.263493514649</v>
      </c>
      <c r="BN109" s="1074">
        <f t="shared" si="188"/>
        <v>13271.838388761804</v>
      </c>
      <c r="BO109" s="1074">
        <f t="shared" si="189"/>
        <v>14056.498280619911</v>
      </c>
      <c r="BP109" s="1074">
        <f t="shared" si="190"/>
        <v>14041.848052422038</v>
      </c>
      <c r="BQ109" s="949"/>
      <c r="BR109" s="950"/>
      <c r="BU109" s="922"/>
      <c r="BV109" s="921"/>
      <c r="BW109" s="921"/>
      <c r="BX109" s="921"/>
    </row>
    <row r="110" spans="1:99" ht="12.75" customHeight="1">
      <c r="A110" s="923"/>
      <c r="B110" s="924"/>
      <c r="C110" s="1122" t="s">
        <v>687</v>
      </c>
      <c r="D110" s="1122"/>
      <c r="E110" s="1122"/>
      <c r="F110" s="1124"/>
      <c r="G110" s="1160">
        <f t="shared" si="199"/>
        <v>7252.1393102577795</v>
      </c>
      <c r="H110" s="1161">
        <f t="shared" si="199"/>
        <v>4593.567349875505</v>
      </c>
      <c r="I110" s="1161">
        <f t="shared" si="199"/>
        <v>6427.0806799498041</v>
      </c>
      <c r="J110" s="1162">
        <f t="shared" ref="J110:AH110" si="203">IF(ISBLANK(J253),"",J253)</f>
        <v>7240.3857070656832</v>
      </c>
      <c r="K110" s="1160">
        <f t="shared" si="203"/>
        <v>4527.9726426404268</v>
      </c>
      <c r="L110" s="1161">
        <f t="shared" si="203"/>
        <v>2139.4239164830151</v>
      </c>
      <c r="M110" s="1161">
        <f t="shared" si="203"/>
        <v>5540.0381805538027</v>
      </c>
      <c r="N110" s="1162">
        <f t="shared" si="203"/>
        <v>6922.8867412093605</v>
      </c>
      <c r="O110" s="1160">
        <f t="shared" si="203"/>
        <v>7288.8165261279782</v>
      </c>
      <c r="P110" s="1161">
        <f t="shared" si="203"/>
        <v>4935.209035652063</v>
      </c>
      <c r="Q110" s="1161">
        <f t="shared" si="203"/>
        <v>6004.1600044308707</v>
      </c>
      <c r="R110" s="1161">
        <f t="shared" si="203"/>
        <v>7422.4345820566759</v>
      </c>
      <c r="S110" s="1160">
        <f t="shared" si="203"/>
        <v>8678.8668853041981</v>
      </c>
      <c r="T110" s="1161">
        <f t="shared" si="203"/>
        <v>7027.7276846105133</v>
      </c>
      <c r="U110" s="1161">
        <f t="shared" si="203"/>
        <v>8817.9649843376701</v>
      </c>
      <c r="V110" s="1162">
        <f t="shared" si="203"/>
        <v>9456.2247970327371</v>
      </c>
      <c r="W110" s="1161">
        <f t="shared" si="203"/>
        <v>7950.7893476766221</v>
      </c>
      <c r="X110" s="1161">
        <f t="shared" si="203"/>
        <v>5115.2173055428402</v>
      </c>
      <c r="Y110" s="1161">
        <f t="shared" si="203"/>
        <v>7521.7861132026201</v>
      </c>
      <c r="Z110" s="1162">
        <f t="shared" si="203"/>
        <v>8141.7125084036306</v>
      </c>
      <c r="AA110" s="1161">
        <f t="shared" ref="AA110:AD111" si="204">IF(ISBLANK(AA253),"",AA253)</f>
        <v>9101.9308944914155</v>
      </c>
      <c r="AB110" s="1161">
        <f t="shared" si="204"/>
        <v>9671.1886124478242</v>
      </c>
      <c r="AC110" s="1161">
        <f t="shared" si="204"/>
        <v>9120.2470401114297</v>
      </c>
      <c r="AD110" s="1162">
        <f t="shared" si="204"/>
        <v>10477.07621910588</v>
      </c>
      <c r="AE110" s="1164">
        <f t="shared" si="203"/>
        <v>9611.7445703524172</v>
      </c>
      <c r="AF110" s="1164">
        <f t="shared" si="203"/>
        <v>9580.9697078732752</v>
      </c>
      <c r="AG110" s="1164">
        <f t="shared" si="203"/>
        <v>10025.134228924268</v>
      </c>
      <c r="AH110" s="1165">
        <f t="shared" si="203"/>
        <v>9232.644929535496</v>
      </c>
      <c r="AI110" s="1164">
        <f t="shared" si="200"/>
        <v>7618.1564331858617</v>
      </c>
      <c r="AJ110" s="1164">
        <f t="shared" si="200"/>
        <v>6565.829016583225</v>
      </c>
      <c r="AK110" s="1164">
        <f t="shared" si="200"/>
        <v>9399.4393190765804</v>
      </c>
      <c r="AL110" s="1165">
        <f t="shared" si="200"/>
        <v>7066.9504901112114</v>
      </c>
      <c r="AM110" s="1164">
        <f t="shared" si="200"/>
        <v>7616.7891957904303</v>
      </c>
      <c r="AN110" s="1164">
        <f t="shared" si="200"/>
        <v>12260.09265387161</v>
      </c>
      <c r="AO110" s="1164">
        <f t="shared" si="200"/>
        <v>13180.515759312319</v>
      </c>
      <c r="AP110" s="1165">
        <f t="shared" si="200"/>
        <v>13337.950138504159</v>
      </c>
      <c r="AQ110" s="1164">
        <f t="shared" si="201"/>
        <v>12476.166964736271</v>
      </c>
      <c r="AR110" s="1164">
        <f t="shared" si="201"/>
        <v>13453.482204801772</v>
      </c>
      <c r="AS110" s="1164">
        <f t="shared" si="201"/>
        <v>15729.035256212897</v>
      </c>
      <c r="AT110" s="1165">
        <f t="shared" si="201"/>
        <v>12833.726601162503</v>
      </c>
      <c r="AU110" s="1164">
        <f t="shared" si="178"/>
        <v>13182.832885276595</v>
      </c>
      <c r="AV110" s="1164">
        <f t="shared" si="178"/>
        <v>14215.504500078907</v>
      </c>
      <c r="AW110" s="1164">
        <f t="shared" si="178"/>
        <v>16619.947762430536</v>
      </c>
      <c r="AX110" s="1165">
        <f t="shared" si="178"/>
        <v>13560.64515300677</v>
      </c>
      <c r="AY110" s="1164">
        <f t="shared" si="202"/>
        <v>13153.941016853727</v>
      </c>
      <c r="AZ110" s="1164">
        <f t="shared" si="202"/>
        <v>14184.349399414645</v>
      </c>
      <c r="BA110" s="1164">
        <f t="shared" si="202"/>
        <v>16583.523016086117</v>
      </c>
      <c r="BB110" s="1165">
        <f t="shared" si="202"/>
        <v>13530.925260560325</v>
      </c>
      <c r="BC110" s="974"/>
      <c r="BD110" s="974"/>
      <c r="BE110" s="1074">
        <f t="shared" si="179"/>
        <v>6378.293261787192</v>
      </c>
      <c r="BF110" s="1074">
        <f t="shared" si="180"/>
        <v>4782.5803702216508</v>
      </c>
      <c r="BG110" s="1074">
        <f t="shared" si="181"/>
        <v>6412.6550370668974</v>
      </c>
      <c r="BH110" s="1074">
        <f t="shared" si="182"/>
        <v>8495.1960878212794</v>
      </c>
      <c r="BI110" s="1074">
        <f t="shared" si="183"/>
        <v>7182.3763187064278</v>
      </c>
      <c r="BJ110" s="1074">
        <f t="shared" si="184"/>
        <v>9592.6106915391374</v>
      </c>
      <c r="BK110" s="1074">
        <f t="shared" si="185"/>
        <v>9612.6233591713644</v>
      </c>
      <c r="BL110" s="1074">
        <f t="shared" si="186"/>
        <v>7662.5938147392199</v>
      </c>
      <c r="BM110" s="1074">
        <f t="shared" si="187"/>
        <v>11598.836936869629</v>
      </c>
      <c r="BN110" s="1074">
        <f t="shared" si="188"/>
        <v>13623.10275672836</v>
      </c>
      <c r="BO110" s="1074">
        <f t="shared" si="189"/>
        <v>14394.732575198203</v>
      </c>
      <c r="BP110" s="1074">
        <f t="shared" si="190"/>
        <v>14363.184673228703</v>
      </c>
      <c r="BQ110" s="949"/>
      <c r="BR110" s="950"/>
      <c r="BU110" s="922"/>
      <c r="BV110" s="921"/>
      <c r="BW110" s="921"/>
      <c r="BX110" s="921"/>
    </row>
    <row r="111" spans="1:99" ht="12.75" customHeight="1">
      <c r="A111" s="923"/>
      <c r="B111" s="924"/>
      <c r="C111" s="1122" t="s">
        <v>688</v>
      </c>
      <c r="D111" s="1122"/>
      <c r="E111" s="1122"/>
      <c r="F111" s="1124"/>
      <c r="G111" s="1160">
        <f t="shared" ref="G111:AH120" si="205">IF(ISBLANK(G254),"",G254)</f>
        <v>7403.8228607986066</v>
      </c>
      <c r="H111" s="1161">
        <f t="shared" si="205"/>
        <v>5010.1388926342906</v>
      </c>
      <c r="I111" s="1161">
        <f t="shared" si="205"/>
        <v>6534.2814502677575</v>
      </c>
      <c r="J111" s="1162">
        <f t="shared" si="205"/>
        <v>7663.4892753526874</v>
      </c>
      <c r="K111" s="1160">
        <f t="shared" si="205"/>
        <v>3929.5845308814478</v>
      </c>
      <c r="L111" s="1161">
        <f t="shared" si="205"/>
        <v>2019.2783189557053</v>
      </c>
      <c r="M111" s="1161">
        <f t="shared" si="205"/>
        <v>4670.8573279366547</v>
      </c>
      <c r="N111" s="1162">
        <f t="shared" si="205"/>
        <v>7514.4082343612945</v>
      </c>
      <c r="O111" s="1160">
        <f t="shared" si="205"/>
        <v>6973.3021358291335</v>
      </c>
      <c r="P111" s="1161">
        <f t="shared" si="205"/>
        <v>28.782848697248738</v>
      </c>
      <c r="Q111" s="1161">
        <f t="shared" si="205"/>
        <v>4227.0980279257255</v>
      </c>
      <c r="R111" s="1161">
        <f t="shared" si="205"/>
        <v>6727.2801290828729</v>
      </c>
      <c r="S111" s="1160">
        <f t="shared" si="205"/>
        <v>7153.2681962593506</v>
      </c>
      <c r="T111" s="1161">
        <f t="shared" si="205"/>
        <v>4191.4647898805733</v>
      </c>
      <c r="U111" s="1161">
        <f t="shared" si="205"/>
        <v>6208.3880299897546</v>
      </c>
      <c r="V111" s="1162">
        <f t="shared" si="205"/>
        <v>9165.8261083092457</v>
      </c>
      <c r="W111" s="1161">
        <f t="shared" si="205"/>
        <v>4535.3497131161557</v>
      </c>
      <c r="X111" s="1161">
        <f t="shared" si="205"/>
        <v>2842.1256826512813</v>
      </c>
      <c r="Y111" s="1161">
        <f t="shared" si="205"/>
        <v>6174.4647234642125</v>
      </c>
      <c r="Z111" s="1162">
        <f t="shared" si="205"/>
        <v>6739.3189580413173</v>
      </c>
      <c r="AA111" s="1161">
        <f t="shared" si="204"/>
        <v>5272.3423493712744</v>
      </c>
      <c r="AB111" s="1161">
        <f t="shared" si="204"/>
        <v>8070.6412815660206</v>
      </c>
      <c r="AC111" s="1161">
        <f t="shared" si="204"/>
        <v>7444.7534957486841</v>
      </c>
      <c r="AD111" s="1162">
        <f t="shared" si="204"/>
        <v>7741.2731719518661</v>
      </c>
      <c r="AE111" s="1164">
        <f t="shared" si="205"/>
        <v>7078.7259123138783</v>
      </c>
      <c r="AF111" s="1164">
        <f t="shared" si="205"/>
        <v>4819.6778604479841</v>
      </c>
      <c r="AG111" s="1164">
        <f t="shared" si="205"/>
        <v>8065.3674973948418</v>
      </c>
      <c r="AH111" s="1165">
        <f t="shared" si="205"/>
        <v>6021.0210358521981</v>
      </c>
      <c r="AI111" s="1164">
        <f t="shared" si="200"/>
        <v>5379.6174287968361</v>
      </c>
      <c r="AJ111" s="1164">
        <f t="shared" si="200"/>
        <v>1169.9251809150007</v>
      </c>
      <c r="AK111" s="1164">
        <f t="shared" si="200"/>
        <v>7370.4596656258645</v>
      </c>
      <c r="AL111" s="1165">
        <f t="shared" si="200"/>
        <v>5207.6474963728888</v>
      </c>
      <c r="AM111" s="1164">
        <f t="shared" si="200"/>
        <v>4481.8108025744623</v>
      </c>
      <c r="AN111" s="1164">
        <f t="shared" si="200"/>
        <v>2680.344142951687</v>
      </c>
      <c r="AO111" s="1164">
        <f t="shared" si="200"/>
        <v>7122.3905034793297</v>
      </c>
      <c r="AP111" s="1165">
        <f t="shared" si="200"/>
        <v>8538.7811634349055</v>
      </c>
      <c r="AQ111" s="1164">
        <f t="shared" si="201"/>
        <v>9294.2311509543069</v>
      </c>
      <c r="AR111" s="1164">
        <f t="shared" si="201"/>
        <v>5469.5978144865967</v>
      </c>
      <c r="AS111" s="1164">
        <f t="shared" si="201"/>
        <v>11009.808729651124</v>
      </c>
      <c r="AT111" s="1165">
        <f t="shared" si="201"/>
        <v>7014.3272150574057</v>
      </c>
      <c r="AU111" s="1164">
        <f t="shared" si="178"/>
        <v>10558.398782517217</v>
      </c>
      <c r="AV111" s="1164">
        <f t="shared" si="178"/>
        <v>6213.5526830968138</v>
      </c>
      <c r="AW111" s="1164">
        <f t="shared" si="178"/>
        <v>12507.32300486846</v>
      </c>
      <c r="AX111" s="1165">
        <f t="shared" si="178"/>
        <v>7968.3905774212635</v>
      </c>
      <c r="AY111" s="1164">
        <f t="shared" si="202"/>
        <v>11008.480327842066</v>
      </c>
      <c r="AZ111" s="1164">
        <f t="shared" si="202"/>
        <v>6478.4229016943764</v>
      </c>
      <c r="BA111" s="1164">
        <f t="shared" si="202"/>
        <v>13040.482945297053</v>
      </c>
      <c r="BB111" s="1165">
        <f t="shared" si="202"/>
        <v>8308.0657136527334</v>
      </c>
      <c r="BC111" s="974"/>
      <c r="BD111" s="974"/>
      <c r="BE111" s="1074">
        <f t="shared" si="179"/>
        <v>6652.9331197633355</v>
      </c>
      <c r="BF111" s="1074">
        <f t="shared" si="180"/>
        <v>4533.5321030337755</v>
      </c>
      <c r="BG111" s="1074">
        <f t="shared" si="181"/>
        <v>4489.1157853837449</v>
      </c>
      <c r="BH111" s="1074">
        <f t="shared" si="182"/>
        <v>6679.7367811097301</v>
      </c>
      <c r="BI111" s="1074">
        <f t="shared" si="183"/>
        <v>5072.8147693182418</v>
      </c>
      <c r="BJ111" s="1074">
        <f t="shared" si="184"/>
        <v>7132.2525746594611</v>
      </c>
      <c r="BK111" s="1074">
        <f t="shared" si="185"/>
        <v>6496.1980765022263</v>
      </c>
      <c r="BL111" s="1074">
        <f t="shared" si="186"/>
        <v>4781.9124429276471</v>
      </c>
      <c r="BM111" s="1074">
        <f t="shared" si="187"/>
        <v>5705.8316531100963</v>
      </c>
      <c r="BN111" s="1074">
        <f t="shared" si="188"/>
        <v>8196.991227537359</v>
      </c>
      <c r="BO111" s="1074">
        <f t="shared" si="189"/>
        <v>9311.9162619759391</v>
      </c>
      <c r="BP111" s="1074">
        <f t="shared" si="190"/>
        <v>9708.8629721215584</v>
      </c>
      <c r="BQ111" s="949"/>
      <c r="BR111" s="950"/>
      <c r="BU111" s="922"/>
      <c r="BV111" s="921"/>
      <c r="BW111" s="921"/>
      <c r="BX111" s="921"/>
    </row>
    <row r="112" spans="1:99" ht="12.75" customHeight="1">
      <c r="A112" s="923"/>
      <c r="B112" s="924"/>
      <c r="C112" s="1122"/>
      <c r="D112" s="1122"/>
      <c r="E112" s="1122"/>
      <c r="F112" s="1124"/>
      <c r="G112" s="1160">
        <f t="shared" si="205"/>
        <v>0</v>
      </c>
      <c r="H112" s="1161">
        <f t="shared" si="205"/>
        <v>0</v>
      </c>
      <c r="I112" s="1161">
        <f t="shared" si="205"/>
        <v>0</v>
      </c>
      <c r="J112" s="1162">
        <f t="shared" si="205"/>
        <v>5127.6255850361686</v>
      </c>
      <c r="K112" s="1146">
        <f t="shared" si="205"/>
        <v>5240.9261466320195</v>
      </c>
      <c r="L112" s="1161">
        <f t="shared" si="205"/>
        <v>3623.7222932969935</v>
      </c>
      <c r="M112" s="1161">
        <f t="shared" si="205"/>
        <v>7637.5478537222789</v>
      </c>
      <c r="N112" s="1162">
        <f t="shared" si="205"/>
        <v>5145.6041120023128</v>
      </c>
      <c r="O112" s="1160">
        <f t="shared" si="205"/>
        <v>5809.5791548366151</v>
      </c>
      <c r="P112" s="1161">
        <f t="shared" si="205"/>
        <v>5954.1949848390959</v>
      </c>
      <c r="Q112" s="1161">
        <f t="shared" si="205"/>
        <v>6888.4287903141694</v>
      </c>
      <c r="R112" s="1165">
        <f t="shared" si="205"/>
        <v>6233.7685965003757</v>
      </c>
      <c r="S112" s="1163">
        <f t="shared" si="205"/>
        <v>5988.0913357535692</v>
      </c>
      <c r="T112" s="1164">
        <f t="shared" si="205"/>
        <v>6007.9038515154725</v>
      </c>
      <c r="U112" s="1164">
        <f t="shared" si="205"/>
        <v>7349.2540806565275</v>
      </c>
      <c r="V112" s="1165">
        <f t="shared" si="205"/>
        <v>6994.6325194419514</v>
      </c>
      <c r="W112" s="1164">
        <f t="shared" si="205"/>
        <v>6080.7198049477747</v>
      </c>
      <c r="X112" s="1164">
        <f t="shared" si="205"/>
        <v>6970.9778782114672</v>
      </c>
      <c r="Y112" s="1164">
        <f t="shared" si="205"/>
        <v>7239.820470198154</v>
      </c>
      <c r="Z112" s="1165">
        <f t="shared" si="205"/>
        <v>6868.5436968988715</v>
      </c>
      <c r="AA112" s="1164">
        <f t="shared" si="205"/>
        <v>8226.1888723536613</v>
      </c>
      <c r="AB112" s="1164">
        <f t="shared" si="205"/>
        <v>7516.0998993134817</v>
      </c>
      <c r="AC112" s="1164">
        <f t="shared" si="205"/>
        <v>7447.7740060088181</v>
      </c>
      <c r="AD112" s="1165">
        <f t="shared" si="205"/>
        <v>7059.7639774892332</v>
      </c>
      <c r="AE112" s="1164">
        <f t="shared" si="205"/>
        <v>7250.2204400046912</v>
      </c>
      <c r="AF112" s="1164">
        <f t="shared" si="205"/>
        <v>6926.0052986481123</v>
      </c>
      <c r="AG112" s="1164">
        <f t="shared" si="205"/>
        <v>7584.2582143532491</v>
      </c>
      <c r="AH112" s="1165">
        <f t="shared" si="205"/>
        <v>6265.3734073086953</v>
      </c>
      <c r="AI112" s="1164">
        <f t="shared" si="200"/>
        <v>5413.0436677824982</v>
      </c>
      <c r="AJ112" s="1164">
        <f t="shared" si="200"/>
        <v>6726.7779529208856</v>
      </c>
      <c r="AK112" s="1164">
        <f t="shared" si="200"/>
        <v>7976.1185813343263</v>
      </c>
      <c r="AL112" s="1165">
        <f t="shared" si="200"/>
        <v>6750.161788693903</v>
      </c>
      <c r="AM112" s="1164">
        <f t="shared" si="200"/>
        <v>6422.2133266124401</v>
      </c>
      <c r="AN112" s="1164">
        <f t="shared" si="200"/>
        <v>8048.0608695652172</v>
      </c>
      <c r="AO112" s="1164">
        <f t="shared" si="200"/>
        <v>11474.906464924346</v>
      </c>
      <c r="AP112" s="1165">
        <f t="shared" si="200"/>
        <v>6852.997364953887</v>
      </c>
      <c r="AQ112" s="1164">
        <f t="shared" ref="AQ112:AX112" si="206">IF(ISBLANK(AQ255),"",AQ255)</f>
        <v>6265.0137776610345</v>
      </c>
      <c r="AR112" s="1164">
        <f t="shared" si="206"/>
        <v>6530.144494614603</v>
      </c>
      <c r="AS112" s="1164">
        <f t="shared" si="206"/>
        <v>8725.0995759322941</v>
      </c>
      <c r="AT112" s="1165">
        <f t="shared" si="206"/>
        <v>6597.9020800638746</v>
      </c>
      <c r="AU112" s="1164">
        <f t="shared" si="206"/>
        <v>6031.9099537832089</v>
      </c>
      <c r="AV112" s="1164">
        <f t="shared" si="206"/>
        <v>6195.5449296090837</v>
      </c>
      <c r="AW112" s="1164">
        <f t="shared" si="206"/>
        <v>8244.6650067023384</v>
      </c>
      <c r="AX112" s="1165">
        <f t="shared" si="206"/>
        <v>6266.7223668496872</v>
      </c>
      <c r="AY112" s="1164">
        <f t="shared" si="202"/>
        <v>5639.6195767479512</v>
      </c>
      <c r="AZ112" s="1164">
        <f t="shared" si="202"/>
        <v>5777.3245530193408</v>
      </c>
      <c r="BA112" s="1164">
        <f t="shared" si="202"/>
        <v>7670.2250040588715</v>
      </c>
      <c r="BB112" s="1165">
        <f t="shared" si="202"/>
        <v>5829.5160354141863</v>
      </c>
      <c r="BC112" s="974"/>
      <c r="BD112" s="974"/>
      <c r="BE112" s="1074"/>
      <c r="BF112" s="1074"/>
      <c r="BG112" s="1074"/>
      <c r="BH112" s="1074"/>
      <c r="BI112" s="1074"/>
      <c r="BJ112" s="1074"/>
      <c r="BK112" s="1074"/>
      <c r="BL112" s="1074"/>
      <c r="BM112" s="1074"/>
      <c r="BN112" s="1074"/>
      <c r="BO112" s="1074"/>
      <c r="BP112" s="1074"/>
      <c r="BQ112" s="949"/>
      <c r="BR112" s="950"/>
      <c r="BU112" s="922"/>
      <c r="BV112" s="921"/>
      <c r="BW112" s="921"/>
      <c r="BX112" s="921"/>
    </row>
    <row r="113" spans="1:76" ht="12.75" customHeight="1">
      <c r="A113" s="923"/>
      <c r="B113" s="924"/>
      <c r="C113" s="1132" t="s">
        <v>796</v>
      </c>
      <c r="D113" s="1133"/>
      <c r="E113" s="1133"/>
      <c r="F113" s="1134"/>
      <c r="G113" s="1146" t="str">
        <f t="shared" si="205"/>
        <v/>
      </c>
      <c r="H113" s="1147" t="str">
        <f t="shared" si="205"/>
        <v/>
      </c>
      <c r="I113" s="1147" t="str">
        <f t="shared" si="205"/>
        <v/>
      </c>
      <c r="J113" s="1148" t="str">
        <f t="shared" si="205"/>
        <v/>
      </c>
      <c r="K113" s="1146" t="str">
        <f t="shared" si="205"/>
        <v/>
      </c>
      <c r="L113" s="1147" t="str">
        <f t="shared" si="205"/>
        <v/>
      </c>
      <c r="M113" s="1147" t="str">
        <f t="shared" si="205"/>
        <v/>
      </c>
      <c r="N113" s="1148" t="str">
        <f t="shared" si="205"/>
        <v/>
      </c>
      <c r="O113" s="1146" t="str">
        <f t="shared" si="205"/>
        <v/>
      </c>
      <c r="P113" s="1147" t="str">
        <f t="shared" si="205"/>
        <v/>
      </c>
      <c r="Q113" s="1147" t="str">
        <f t="shared" si="205"/>
        <v/>
      </c>
      <c r="R113" s="1149" t="str">
        <f t="shared" si="205"/>
        <v/>
      </c>
      <c r="S113" s="1150" t="str">
        <f t="shared" si="205"/>
        <v/>
      </c>
      <c r="T113" s="1151" t="str">
        <f t="shared" si="205"/>
        <v/>
      </c>
      <c r="U113" s="1151" t="str">
        <f t="shared" si="205"/>
        <v/>
      </c>
      <c r="V113" s="1149" t="str">
        <f t="shared" si="205"/>
        <v/>
      </c>
      <c r="W113" s="1151" t="str">
        <f t="shared" si="205"/>
        <v/>
      </c>
      <c r="X113" s="1151" t="str">
        <f t="shared" si="205"/>
        <v/>
      </c>
      <c r="Y113" s="1151" t="str">
        <f t="shared" si="205"/>
        <v/>
      </c>
      <c r="Z113" s="1152" t="str">
        <f t="shared" si="205"/>
        <v/>
      </c>
      <c r="AA113" s="1153" t="str">
        <f t="shared" si="205"/>
        <v/>
      </c>
      <c r="AB113" s="1153" t="str">
        <f t="shared" si="205"/>
        <v/>
      </c>
      <c r="AC113" s="1153" t="str">
        <f t="shared" si="205"/>
        <v/>
      </c>
      <c r="AD113" s="1152" t="str">
        <f t="shared" si="205"/>
        <v/>
      </c>
      <c r="AE113" s="1153" t="str">
        <f t="shared" si="205"/>
        <v/>
      </c>
      <c r="AF113" s="1153" t="str">
        <f t="shared" si="205"/>
        <v/>
      </c>
      <c r="AG113" s="1153" t="str">
        <f t="shared" si="205"/>
        <v/>
      </c>
      <c r="AH113" s="1152" t="str">
        <f t="shared" si="205"/>
        <v/>
      </c>
      <c r="AI113" s="1153" t="str">
        <f t="shared" si="200"/>
        <v/>
      </c>
      <c r="AJ113" s="1153" t="str">
        <f t="shared" si="200"/>
        <v/>
      </c>
      <c r="AK113" s="1153" t="str">
        <f t="shared" si="200"/>
        <v/>
      </c>
      <c r="AL113" s="1152" t="str">
        <f t="shared" si="200"/>
        <v/>
      </c>
      <c r="AM113" s="1153" t="str">
        <f t="shared" si="200"/>
        <v/>
      </c>
      <c r="AN113" s="1153" t="str">
        <f t="shared" si="200"/>
        <v/>
      </c>
      <c r="AO113" s="1153" t="str">
        <f t="shared" si="200"/>
        <v/>
      </c>
      <c r="AP113" s="1152" t="str">
        <f t="shared" si="200"/>
        <v/>
      </c>
      <c r="AQ113" s="1153" t="str">
        <f t="shared" ref="AQ113:AX113" si="207">IF(ISBLANK(AQ256),"",AQ256)</f>
        <v/>
      </c>
      <c r="AR113" s="1153" t="str">
        <f t="shared" si="207"/>
        <v/>
      </c>
      <c r="AS113" s="1153" t="str">
        <f t="shared" si="207"/>
        <v/>
      </c>
      <c r="AT113" s="1152" t="str">
        <f t="shared" si="207"/>
        <v/>
      </c>
      <c r="AU113" s="1153" t="str">
        <f t="shared" si="207"/>
        <v/>
      </c>
      <c r="AV113" s="1153" t="str">
        <f t="shared" si="207"/>
        <v/>
      </c>
      <c r="AW113" s="1153" t="str">
        <f t="shared" si="207"/>
        <v/>
      </c>
      <c r="AX113" s="1152" t="str">
        <f t="shared" si="207"/>
        <v/>
      </c>
      <c r="AY113" s="1153" t="str">
        <f t="shared" si="202"/>
        <v/>
      </c>
      <c r="AZ113" s="1153" t="str">
        <f t="shared" si="202"/>
        <v/>
      </c>
      <c r="BA113" s="1153" t="str">
        <f t="shared" si="202"/>
        <v/>
      </c>
      <c r="BB113" s="1152" t="str">
        <f t="shared" si="202"/>
        <v/>
      </c>
      <c r="BC113" s="961"/>
      <c r="BD113" s="962"/>
      <c r="BE113" s="1054"/>
      <c r="BF113" s="1054"/>
      <c r="BG113" s="1054"/>
      <c r="BH113" s="1054"/>
      <c r="BI113" s="1054"/>
      <c r="BJ113" s="1054"/>
      <c r="BK113" s="1054"/>
      <c r="BL113" s="1054"/>
      <c r="BM113" s="1054"/>
      <c r="BN113" s="1054"/>
      <c r="BO113" s="1054"/>
      <c r="BP113" s="1054"/>
      <c r="BQ113" s="949"/>
      <c r="BR113" s="950"/>
      <c r="BU113" s="922"/>
      <c r="BV113" s="921"/>
      <c r="BW113" s="921"/>
      <c r="BX113" s="921"/>
    </row>
    <row r="114" spans="1:76" ht="12.75" customHeight="1">
      <c r="A114" s="923"/>
      <c r="B114" s="924"/>
      <c r="C114" s="1122" t="s">
        <v>457</v>
      </c>
      <c r="D114" s="1122"/>
      <c r="E114" s="1122"/>
      <c r="F114" s="1131"/>
      <c r="G114" s="1160" t="str">
        <f t="shared" si="205"/>
        <v/>
      </c>
      <c r="H114" s="1161" t="str">
        <f t="shared" si="205"/>
        <v/>
      </c>
      <c r="I114" s="1161" t="str">
        <f t="shared" si="205"/>
        <v/>
      </c>
      <c r="J114" s="1162" t="str">
        <f t="shared" si="205"/>
        <v/>
      </c>
      <c r="K114" s="1160" t="str">
        <f t="shared" si="205"/>
        <v/>
      </c>
      <c r="L114" s="1161" t="str">
        <f t="shared" si="205"/>
        <v/>
      </c>
      <c r="M114" s="1161" t="str">
        <f t="shared" si="205"/>
        <v/>
      </c>
      <c r="N114" s="1162" t="str">
        <f t="shared" si="205"/>
        <v/>
      </c>
      <c r="O114" s="1160">
        <f t="shared" si="205"/>
        <v>102.54</v>
      </c>
      <c r="P114" s="1161">
        <f t="shared" si="205"/>
        <v>95.373333333333335</v>
      </c>
      <c r="Q114" s="1161">
        <f t="shared" si="205"/>
        <v>81.040000000000006</v>
      </c>
      <c r="R114" s="1165">
        <f t="shared" si="205"/>
        <v>81.040000000000006</v>
      </c>
      <c r="S114" s="1163">
        <f t="shared" si="205"/>
        <v>81.040000000000006</v>
      </c>
      <c r="T114" s="1161">
        <f t="shared" si="205"/>
        <v>79.626666666666665</v>
      </c>
      <c r="U114" s="1164">
        <f t="shared" si="205"/>
        <v>76.8</v>
      </c>
      <c r="V114" s="1165">
        <f t="shared" si="205"/>
        <v>76.8</v>
      </c>
      <c r="W114" s="1164">
        <f t="shared" si="205"/>
        <v>76.8</v>
      </c>
      <c r="X114" s="1161">
        <f t="shared" si="205"/>
        <v>82.486666666666665</v>
      </c>
      <c r="Y114" s="1164">
        <f t="shared" si="205"/>
        <v>93.86</v>
      </c>
      <c r="Z114" s="1165">
        <f t="shared" si="205"/>
        <v>93.86</v>
      </c>
      <c r="AA114" s="1164">
        <f t="shared" si="205"/>
        <v>93.86</v>
      </c>
      <c r="AB114" s="1161">
        <f t="shared" si="205"/>
        <v>96.874703196347028</v>
      </c>
      <c r="AC114" s="1164">
        <f t="shared" si="205"/>
        <v>102.9041095890411</v>
      </c>
      <c r="AD114" s="1165">
        <f t="shared" si="205"/>
        <v>102.9041095890411</v>
      </c>
      <c r="AE114" s="1164">
        <f t="shared" si="205"/>
        <v>103</v>
      </c>
      <c r="AF114" s="1161">
        <f t="shared" si="205"/>
        <v>98.736666666666665</v>
      </c>
      <c r="AG114" s="1164">
        <f t="shared" si="205"/>
        <v>90.21</v>
      </c>
      <c r="AH114" s="1165">
        <f t="shared" si="205"/>
        <v>90.21</v>
      </c>
      <c r="AI114" s="1166">
        <f t="shared" si="200"/>
        <v>90.21</v>
      </c>
      <c r="AJ114" s="1166">
        <f t="shared" si="200"/>
        <v>137.126301369863</v>
      </c>
      <c r="AK114" s="1166">
        <f t="shared" si="200"/>
        <v>230.95890410958907</v>
      </c>
      <c r="AL114" s="1165">
        <f t="shared" si="200"/>
        <v>230.95890410958907</v>
      </c>
      <c r="AM114" s="1166">
        <f t="shared" si="200"/>
        <v>230.95890410958907</v>
      </c>
      <c r="AN114" s="1166">
        <f t="shared" si="200"/>
        <v>258.63013698630141</v>
      </c>
      <c r="AO114" s="1166">
        <f t="shared" si="200"/>
        <v>313.97260273972609</v>
      </c>
      <c r="AP114" s="1165">
        <f t="shared" si="200"/>
        <v>313.97260273972609</v>
      </c>
      <c r="AQ114" s="1166">
        <f t="shared" ref="AQ114:AX114" si="208">IF(ISBLANK(AQ257),"",AQ257)</f>
        <v>313.97260273972609</v>
      </c>
      <c r="AR114" s="1166">
        <f t="shared" si="208"/>
        <v>286.35616438356169</v>
      </c>
      <c r="AS114" s="1166">
        <f t="shared" si="208"/>
        <v>231.12328767123287</v>
      </c>
      <c r="AT114" s="1165">
        <f t="shared" si="208"/>
        <v>231.12328767123287</v>
      </c>
      <c r="AU114" s="1166">
        <f t="shared" si="208"/>
        <v>231.12328767123287</v>
      </c>
      <c r="AV114" s="1166">
        <f t="shared" si="208"/>
        <v>231.12328767123287</v>
      </c>
      <c r="AW114" s="1166">
        <f t="shared" si="208"/>
        <v>231.12328767123287</v>
      </c>
      <c r="AX114" s="1165">
        <f t="shared" si="208"/>
        <v>231.12328767123287</v>
      </c>
      <c r="AY114" s="1166">
        <f t="shared" si="202"/>
        <v>231.12328767123287</v>
      </c>
      <c r="AZ114" s="1166">
        <f t="shared" si="202"/>
        <v>231.12328767123287</v>
      </c>
      <c r="BA114" s="1166">
        <f t="shared" si="202"/>
        <v>231.12328767123287</v>
      </c>
      <c r="BB114" s="1165">
        <f t="shared" si="202"/>
        <v>231.12328767123287</v>
      </c>
      <c r="BC114" s="961"/>
      <c r="BD114" s="962"/>
      <c r="BE114" s="1074"/>
      <c r="BF114" s="1074"/>
      <c r="BG114" s="1074">
        <f t="shared" ref="BG114:BG129" si="209">AVERAGE(O114:R114)</f>
        <v>89.998333333333349</v>
      </c>
      <c r="BH114" s="1074">
        <f t="shared" ref="BH114:BH129" si="210">AVERAGE(S114:V114)</f>
        <v>78.566666666666677</v>
      </c>
      <c r="BI114" s="1074">
        <f t="shared" ref="BI114:BI129" si="211">AVERAGE(W114:Z114)</f>
        <v>86.751666666666665</v>
      </c>
      <c r="BJ114" s="1074">
        <f t="shared" ref="BJ114:BJ129" si="212">AVERAGE(AA114:AD114)</f>
        <v>99.13573059360732</v>
      </c>
      <c r="BK114" s="1074">
        <f t="shared" ref="BK114:BK129" si="213">AVERAGE(AE114:AH114)</f>
        <v>95.539166666666659</v>
      </c>
      <c r="BL114" s="1074">
        <f t="shared" ref="BL114:BL129" si="214">AVERAGE(AI114:AL114)</f>
        <v>172.31352739726029</v>
      </c>
      <c r="BM114" s="1074">
        <f t="shared" ref="BM114:BM129" si="215">AVERAGE(AM114:AP114)</f>
        <v>279.38356164383566</v>
      </c>
      <c r="BN114" s="1074">
        <f t="shared" ref="BN114:BN129" si="216">AVERAGE(AQ114:AT114)</f>
        <v>265.64383561643837</v>
      </c>
      <c r="BO114" s="1074">
        <f t="shared" ref="BO114:BO129" si="217">AVERAGE(AU114:AX114)</f>
        <v>231.12328767123287</v>
      </c>
      <c r="BP114" s="1074">
        <f t="shared" ref="BP114:BP129" si="218">AVERAGE(AY114:BB114)</f>
        <v>231.12328767123287</v>
      </c>
      <c r="BQ114" s="949"/>
      <c r="BR114" s="950"/>
      <c r="BU114" s="922"/>
      <c r="BV114" s="921"/>
      <c r="BW114" s="921"/>
      <c r="BX114" s="921"/>
    </row>
    <row r="115" spans="1:76" ht="12.75" customHeight="1">
      <c r="A115" s="923"/>
      <c r="B115" s="924"/>
      <c r="C115" s="1122" t="s">
        <v>702</v>
      </c>
      <c r="D115" s="1122"/>
      <c r="E115" s="1122"/>
      <c r="F115" s="1124"/>
      <c r="G115" s="1160" t="str">
        <f t="shared" si="205"/>
        <v/>
      </c>
      <c r="H115" s="1161" t="str">
        <f t="shared" si="205"/>
        <v/>
      </c>
      <c r="I115" s="1161" t="str">
        <f t="shared" si="205"/>
        <v/>
      </c>
      <c r="J115" s="1162" t="str">
        <f t="shared" si="205"/>
        <v/>
      </c>
      <c r="K115" s="1160" t="str">
        <f t="shared" si="205"/>
        <v/>
      </c>
      <c r="L115" s="1161" t="str">
        <f t="shared" si="205"/>
        <v/>
      </c>
      <c r="M115" s="1161" t="str">
        <f t="shared" si="205"/>
        <v/>
      </c>
      <c r="N115" s="1162" t="str">
        <f t="shared" si="205"/>
        <v/>
      </c>
      <c r="O115" s="1160">
        <f t="shared" si="205"/>
        <v>102.54</v>
      </c>
      <c r="P115" s="1161">
        <f t="shared" si="205"/>
        <v>96.14</v>
      </c>
      <c r="Q115" s="1161">
        <f t="shared" si="205"/>
        <v>83.34</v>
      </c>
      <c r="R115" s="1165">
        <f t="shared" si="205"/>
        <v>83.34</v>
      </c>
      <c r="S115" s="1163">
        <f t="shared" si="205"/>
        <v>83.34</v>
      </c>
      <c r="T115" s="1161">
        <f t="shared" si="205"/>
        <v>83.13333333333334</v>
      </c>
      <c r="U115" s="1164">
        <f t="shared" si="205"/>
        <v>82.72</v>
      </c>
      <c r="V115" s="1165">
        <f t="shared" si="205"/>
        <v>82.72</v>
      </c>
      <c r="W115" s="1164">
        <f t="shared" si="205"/>
        <v>82.72</v>
      </c>
      <c r="X115" s="1161">
        <f t="shared" si="205"/>
        <v>86.433333333333337</v>
      </c>
      <c r="Y115" s="1164">
        <f t="shared" si="205"/>
        <v>93.86</v>
      </c>
      <c r="Z115" s="1165">
        <f t="shared" si="205"/>
        <v>93.86</v>
      </c>
      <c r="AA115" s="1164">
        <f t="shared" si="205"/>
        <v>93.86</v>
      </c>
      <c r="AB115" s="1161">
        <f t="shared" si="205"/>
        <v>96.874703196347028</v>
      </c>
      <c r="AC115" s="1164">
        <f t="shared" si="205"/>
        <v>102.9041095890411</v>
      </c>
      <c r="AD115" s="1165">
        <f t="shared" si="205"/>
        <v>102.9041095890411</v>
      </c>
      <c r="AE115" s="1164">
        <f t="shared" si="205"/>
        <v>103</v>
      </c>
      <c r="AF115" s="1161">
        <f t="shared" si="205"/>
        <v>98.736666666666665</v>
      </c>
      <c r="AG115" s="1164">
        <f t="shared" si="205"/>
        <v>90.21</v>
      </c>
      <c r="AH115" s="1165">
        <f t="shared" si="205"/>
        <v>90.21</v>
      </c>
      <c r="AI115" s="1166">
        <f t="shared" si="200"/>
        <v>90.21</v>
      </c>
      <c r="AJ115" s="1166">
        <f t="shared" si="200"/>
        <v>137.126301369863</v>
      </c>
      <c r="AK115" s="1166">
        <f t="shared" si="200"/>
        <v>230.95890410958907</v>
      </c>
      <c r="AL115" s="1165">
        <f t="shared" si="200"/>
        <v>230.95890410958907</v>
      </c>
      <c r="AM115" s="1166">
        <f t="shared" si="200"/>
        <v>230.95890410958907</v>
      </c>
      <c r="AN115" s="1166">
        <f t="shared" si="200"/>
        <v>258.63013698630141</v>
      </c>
      <c r="AO115" s="1166">
        <f t="shared" si="200"/>
        <v>313.97260273972609</v>
      </c>
      <c r="AP115" s="1165">
        <f t="shared" si="200"/>
        <v>313.97260273972609</v>
      </c>
      <c r="AQ115" s="1166">
        <f t="shared" ref="AQ115:AX115" si="219">IF(ISBLANK(AQ258),"",AQ258)</f>
        <v>313.97260273972609</v>
      </c>
      <c r="AR115" s="1166">
        <f t="shared" si="219"/>
        <v>286.35616438356169</v>
      </c>
      <c r="AS115" s="1166">
        <f t="shared" si="219"/>
        <v>231.12328767123287</v>
      </c>
      <c r="AT115" s="1165">
        <f t="shared" si="219"/>
        <v>231.12328767123287</v>
      </c>
      <c r="AU115" s="1166">
        <f t="shared" si="219"/>
        <v>231.12328767123287</v>
      </c>
      <c r="AV115" s="1166">
        <f t="shared" si="219"/>
        <v>231.12328767123287</v>
      </c>
      <c r="AW115" s="1166">
        <f t="shared" si="219"/>
        <v>231.12328767123287</v>
      </c>
      <c r="AX115" s="1165">
        <f t="shared" si="219"/>
        <v>231.12328767123287</v>
      </c>
      <c r="AY115" s="1166">
        <f t="shared" si="202"/>
        <v>231.12328767123287</v>
      </c>
      <c r="AZ115" s="1166">
        <f t="shared" si="202"/>
        <v>231.12328767123287</v>
      </c>
      <c r="BA115" s="1166">
        <f t="shared" si="202"/>
        <v>231.12328767123287</v>
      </c>
      <c r="BB115" s="1165">
        <f t="shared" si="202"/>
        <v>231.12328767123287</v>
      </c>
      <c r="BC115" s="974"/>
      <c r="BD115" s="974"/>
      <c r="BE115" s="1074"/>
      <c r="BF115" s="1074"/>
      <c r="BG115" s="1074">
        <f t="shared" si="209"/>
        <v>91.34</v>
      </c>
      <c r="BH115" s="1074">
        <f t="shared" si="210"/>
        <v>82.978333333333339</v>
      </c>
      <c r="BI115" s="1074">
        <f t="shared" si="211"/>
        <v>89.218333333333334</v>
      </c>
      <c r="BJ115" s="1074">
        <f t="shared" si="212"/>
        <v>99.13573059360732</v>
      </c>
      <c r="BK115" s="1074">
        <f t="shared" si="213"/>
        <v>95.539166666666659</v>
      </c>
      <c r="BL115" s="1074">
        <f t="shared" si="214"/>
        <v>172.31352739726029</v>
      </c>
      <c r="BM115" s="1074">
        <f t="shared" si="215"/>
        <v>279.38356164383566</v>
      </c>
      <c r="BN115" s="1074">
        <f t="shared" si="216"/>
        <v>265.64383561643837</v>
      </c>
      <c r="BO115" s="1074">
        <f t="shared" si="217"/>
        <v>231.12328767123287</v>
      </c>
      <c r="BP115" s="1074">
        <f t="shared" si="218"/>
        <v>231.12328767123287</v>
      </c>
      <c r="BQ115" s="949"/>
      <c r="BR115" s="950"/>
      <c r="BU115" s="922"/>
      <c r="BV115" s="921"/>
      <c r="BW115" s="921"/>
      <c r="BX115" s="921"/>
    </row>
    <row r="116" spans="1:76" ht="12.75" customHeight="1">
      <c r="A116" s="923"/>
      <c r="B116" s="924"/>
      <c r="C116" s="1122" t="s">
        <v>703</v>
      </c>
      <c r="D116" s="1122"/>
      <c r="E116" s="1122"/>
      <c r="F116" s="1124"/>
      <c r="G116" s="1160" t="str">
        <f t="shared" si="205"/>
        <v/>
      </c>
      <c r="H116" s="1161" t="str">
        <f t="shared" si="205"/>
        <v/>
      </c>
      <c r="I116" s="1161" t="str">
        <f t="shared" si="205"/>
        <v/>
      </c>
      <c r="J116" s="1162" t="str">
        <f t="shared" si="205"/>
        <v/>
      </c>
      <c r="K116" s="1160" t="str">
        <f t="shared" si="205"/>
        <v/>
      </c>
      <c r="L116" s="1161" t="str">
        <f t="shared" si="205"/>
        <v/>
      </c>
      <c r="M116" s="1161" t="str">
        <f t="shared" si="205"/>
        <v/>
      </c>
      <c r="N116" s="1162" t="str">
        <f t="shared" si="205"/>
        <v/>
      </c>
      <c r="O116" s="1160">
        <f t="shared" si="205"/>
        <v>110</v>
      </c>
      <c r="P116" s="1161">
        <f t="shared" si="205"/>
        <v>78.819999999999993</v>
      </c>
      <c r="Q116" s="1161">
        <f t="shared" si="205"/>
        <v>16.46</v>
      </c>
      <c r="R116" s="1165">
        <f t="shared" si="205"/>
        <v>16.46</v>
      </c>
      <c r="S116" s="1163">
        <f t="shared" si="205"/>
        <v>16.46</v>
      </c>
      <c r="T116" s="1161">
        <f t="shared" si="205"/>
        <v>20.216666666666669</v>
      </c>
      <c r="U116" s="1164">
        <f t="shared" si="205"/>
        <v>27.73</v>
      </c>
      <c r="V116" s="1165">
        <f t="shared" si="205"/>
        <v>27.73</v>
      </c>
      <c r="W116" s="1164">
        <f t="shared" si="205"/>
        <v>27.73</v>
      </c>
      <c r="X116" s="1161">
        <f t="shared" si="205"/>
        <v>60.483333333333327</v>
      </c>
      <c r="Y116" s="1164">
        <f t="shared" si="205"/>
        <v>125.99</v>
      </c>
      <c r="Z116" s="1165">
        <f t="shared" si="205"/>
        <v>125.99</v>
      </c>
      <c r="AA116" s="1164">
        <f t="shared" si="205"/>
        <v>125.99</v>
      </c>
      <c r="AB116" s="1161">
        <f t="shared" si="205"/>
        <v>129.32666666666668</v>
      </c>
      <c r="AC116" s="1164">
        <f t="shared" si="205"/>
        <v>136</v>
      </c>
      <c r="AD116" s="1165">
        <f t="shared" si="205"/>
        <v>136</v>
      </c>
      <c r="AE116" s="1164">
        <f t="shared" si="205"/>
        <v>136</v>
      </c>
      <c r="AF116" s="1161">
        <f t="shared" si="205"/>
        <v>110.45666666666666</v>
      </c>
      <c r="AG116" s="1164">
        <f t="shared" si="205"/>
        <v>59.37</v>
      </c>
      <c r="AH116" s="1165">
        <f t="shared" si="205"/>
        <v>59.37</v>
      </c>
      <c r="AI116" s="1166">
        <f t="shared" si="200"/>
        <v>59.37</v>
      </c>
      <c r="AJ116" s="1166">
        <f t="shared" si="200"/>
        <v>79.58</v>
      </c>
      <c r="AK116" s="1166">
        <f t="shared" si="200"/>
        <v>120</v>
      </c>
      <c r="AL116" s="1165">
        <f t="shared" si="200"/>
        <v>120</v>
      </c>
      <c r="AM116" s="1166">
        <f t="shared" si="200"/>
        <v>120</v>
      </c>
      <c r="AN116" s="1166">
        <f t="shared" si="200"/>
        <v>134.92333333333335</v>
      </c>
      <c r="AO116" s="1166">
        <f t="shared" si="200"/>
        <v>164.77</v>
      </c>
      <c r="AP116" s="1165">
        <f t="shared" si="200"/>
        <v>164.77</v>
      </c>
      <c r="AQ116" s="1166">
        <f t="shared" ref="AQ116:AX116" si="220">IF(ISBLANK(AQ259),"",AQ259)</f>
        <v>164.77</v>
      </c>
      <c r="AR116" s="1166">
        <f t="shared" si="220"/>
        <v>143.18</v>
      </c>
      <c r="AS116" s="1166">
        <f t="shared" si="220"/>
        <v>100</v>
      </c>
      <c r="AT116" s="1165">
        <f t="shared" si="220"/>
        <v>100</v>
      </c>
      <c r="AU116" s="1166">
        <f t="shared" si="220"/>
        <v>100</v>
      </c>
      <c r="AV116" s="1166">
        <f t="shared" si="220"/>
        <v>100</v>
      </c>
      <c r="AW116" s="1166">
        <f t="shared" si="220"/>
        <v>76.53</v>
      </c>
      <c r="AX116" s="1165">
        <f t="shared" si="220"/>
        <v>76.53</v>
      </c>
      <c r="AY116" s="1166">
        <f t="shared" si="202"/>
        <v>76.53</v>
      </c>
      <c r="AZ116" s="1166">
        <f t="shared" si="202"/>
        <v>76.53</v>
      </c>
      <c r="BA116" s="1166">
        <f t="shared" si="202"/>
        <v>76.53</v>
      </c>
      <c r="BB116" s="1165">
        <f t="shared" si="202"/>
        <v>76.53</v>
      </c>
      <c r="BC116" s="974"/>
      <c r="BD116" s="974"/>
      <c r="BE116" s="1074"/>
      <c r="BF116" s="1074"/>
      <c r="BG116" s="1074">
        <f t="shared" si="209"/>
        <v>55.435000000000002</v>
      </c>
      <c r="BH116" s="1074">
        <f t="shared" si="210"/>
        <v>23.034166666666668</v>
      </c>
      <c r="BI116" s="1074">
        <f t="shared" si="211"/>
        <v>85.048333333333332</v>
      </c>
      <c r="BJ116" s="1074">
        <f t="shared" si="212"/>
        <v>131.82916666666665</v>
      </c>
      <c r="BK116" s="1074">
        <f t="shared" si="213"/>
        <v>91.299166666666665</v>
      </c>
      <c r="BL116" s="1074">
        <f t="shared" si="214"/>
        <v>94.737499999999997</v>
      </c>
      <c r="BM116" s="1074">
        <f t="shared" si="215"/>
        <v>146.11583333333334</v>
      </c>
      <c r="BN116" s="1074">
        <f t="shared" si="216"/>
        <v>126.98750000000001</v>
      </c>
      <c r="BO116" s="1074">
        <f t="shared" si="217"/>
        <v>88.264999999999986</v>
      </c>
      <c r="BP116" s="1074">
        <f t="shared" si="218"/>
        <v>76.53</v>
      </c>
      <c r="BQ116" s="949"/>
      <c r="BR116" s="950"/>
      <c r="BU116" s="922"/>
      <c r="BV116" s="921"/>
      <c r="BW116" s="921"/>
      <c r="BX116" s="921"/>
    </row>
    <row r="117" spans="1:76" ht="12.75" customHeight="1">
      <c r="A117" s="923"/>
      <c r="B117" s="924"/>
      <c r="C117" s="1122" t="s">
        <v>704</v>
      </c>
      <c r="D117" s="1122"/>
      <c r="E117" s="1122"/>
      <c r="F117" s="1124"/>
      <c r="G117" s="1160" t="str">
        <f t="shared" si="205"/>
        <v/>
      </c>
      <c r="H117" s="1161" t="str">
        <f t="shared" si="205"/>
        <v/>
      </c>
      <c r="I117" s="1161" t="str">
        <f t="shared" si="205"/>
        <v/>
      </c>
      <c r="J117" s="1162" t="str">
        <f t="shared" si="205"/>
        <v/>
      </c>
      <c r="K117" s="1160" t="str">
        <f t="shared" si="205"/>
        <v/>
      </c>
      <c r="L117" s="1161" t="str">
        <f t="shared" si="205"/>
        <v/>
      </c>
      <c r="M117" s="1161" t="str">
        <f t="shared" si="205"/>
        <v/>
      </c>
      <c r="N117" s="1162" t="str">
        <f t="shared" si="205"/>
        <v/>
      </c>
      <c r="O117" s="1160">
        <f t="shared" si="205"/>
        <v>110</v>
      </c>
      <c r="P117" s="1161">
        <f t="shared" si="205"/>
        <v>117.79</v>
      </c>
      <c r="Q117" s="1161">
        <f t="shared" si="205"/>
        <v>133.37</v>
      </c>
      <c r="R117" s="1165">
        <f t="shared" si="205"/>
        <v>133.37</v>
      </c>
      <c r="S117" s="1163">
        <f t="shared" si="205"/>
        <v>133.37</v>
      </c>
      <c r="T117" s="1161">
        <f t="shared" si="205"/>
        <v>164.29666666666665</v>
      </c>
      <c r="U117" s="1164">
        <f t="shared" si="205"/>
        <v>226.15</v>
      </c>
      <c r="V117" s="1165">
        <f t="shared" si="205"/>
        <v>226.15</v>
      </c>
      <c r="W117" s="1164">
        <f t="shared" si="205"/>
        <v>226.15</v>
      </c>
      <c r="X117" s="1161">
        <f t="shared" si="205"/>
        <v>196.26666666666665</v>
      </c>
      <c r="Y117" s="1164">
        <f t="shared" si="205"/>
        <v>136.5</v>
      </c>
      <c r="Z117" s="1165">
        <f t="shared" si="205"/>
        <v>136.5</v>
      </c>
      <c r="AA117" s="1164">
        <f t="shared" si="205"/>
        <v>136.5</v>
      </c>
      <c r="AB117" s="1161">
        <f t="shared" si="205"/>
        <v>146.82</v>
      </c>
      <c r="AC117" s="1164">
        <f t="shared" si="205"/>
        <v>167.46</v>
      </c>
      <c r="AD117" s="1165">
        <f t="shared" si="205"/>
        <v>167.46</v>
      </c>
      <c r="AE117" s="1164">
        <f t="shared" si="205"/>
        <v>167.46</v>
      </c>
      <c r="AF117" s="1161">
        <f t="shared" si="205"/>
        <v>151.35</v>
      </c>
      <c r="AG117" s="1164">
        <f t="shared" si="205"/>
        <v>119.13</v>
      </c>
      <c r="AH117" s="1165">
        <f t="shared" si="205"/>
        <v>119.13</v>
      </c>
      <c r="AI117" s="1166">
        <f t="shared" si="200"/>
        <v>119.13</v>
      </c>
      <c r="AJ117" s="1166">
        <f t="shared" si="200"/>
        <v>119.41999999999999</v>
      </c>
      <c r="AK117" s="1166">
        <f t="shared" si="200"/>
        <v>120</v>
      </c>
      <c r="AL117" s="1165">
        <f t="shared" si="200"/>
        <v>120</v>
      </c>
      <c r="AM117" s="1166">
        <f t="shared" si="200"/>
        <v>120</v>
      </c>
      <c r="AN117" s="1166">
        <f t="shared" si="200"/>
        <v>134.92333333333335</v>
      </c>
      <c r="AO117" s="1166">
        <f t="shared" si="200"/>
        <v>164.77</v>
      </c>
      <c r="AP117" s="1165">
        <f t="shared" si="200"/>
        <v>164.77</v>
      </c>
      <c r="AQ117" s="1166">
        <f t="shared" ref="AQ117:AX117" si="221">IF(ISBLANK(AQ260),"",AQ260)</f>
        <v>164.77</v>
      </c>
      <c r="AR117" s="1166">
        <f t="shared" si="221"/>
        <v>143.18</v>
      </c>
      <c r="AS117" s="1166">
        <f t="shared" si="221"/>
        <v>100</v>
      </c>
      <c r="AT117" s="1165">
        <f t="shared" si="221"/>
        <v>100</v>
      </c>
      <c r="AU117" s="1166">
        <f t="shared" si="221"/>
        <v>100</v>
      </c>
      <c r="AV117" s="1166">
        <f t="shared" si="221"/>
        <v>100</v>
      </c>
      <c r="AW117" s="1166">
        <f t="shared" si="221"/>
        <v>86.04</v>
      </c>
      <c r="AX117" s="1165">
        <f t="shared" si="221"/>
        <v>86.04</v>
      </c>
      <c r="AY117" s="1166">
        <f t="shared" si="202"/>
        <v>86.04</v>
      </c>
      <c r="AZ117" s="1166">
        <f t="shared" si="202"/>
        <v>86.04</v>
      </c>
      <c r="BA117" s="1166">
        <f t="shared" si="202"/>
        <v>86.04</v>
      </c>
      <c r="BB117" s="1165">
        <f t="shared" si="202"/>
        <v>86.04</v>
      </c>
      <c r="BC117" s="974"/>
      <c r="BD117" s="974"/>
      <c r="BE117" s="1074"/>
      <c r="BF117" s="1074"/>
      <c r="BG117" s="1074">
        <f t="shared" si="209"/>
        <v>123.63250000000001</v>
      </c>
      <c r="BH117" s="1074">
        <f t="shared" si="210"/>
        <v>187.49166666666665</v>
      </c>
      <c r="BI117" s="1074">
        <f t="shared" si="211"/>
        <v>173.85416666666666</v>
      </c>
      <c r="BJ117" s="1074">
        <f t="shared" si="212"/>
        <v>154.56</v>
      </c>
      <c r="BK117" s="1074">
        <f t="shared" si="213"/>
        <v>139.26749999999998</v>
      </c>
      <c r="BL117" s="1074">
        <f t="shared" si="214"/>
        <v>119.63749999999999</v>
      </c>
      <c r="BM117" s="1074">
        <f t="shared" si="215"/>
        <v>146.11583333333334</v>
      </c>
      <c r="BN117" s="1074">
        <f t="shared" si="216"/>
        <v>126.98750000000001</v>
      </c>
      <c r="BO117" s="1074">
        <f t="shared" si="217"/>
        <v>93.02000000000001</v>
      </c>
      <c r="BP117" s="1074">
        <f t="shared" si="218"/>
        <v>86.04</v>
      </c>
      <c r="BQ117" s="949"/>
      <c r="BR117" s="950"/>
      <c r="BU117" s="922"/>
      <c r="BV117" s="921"/>
      <c r="BW117" s="921"/>
      <c r="BX117" s="921"/>
    </row>
    <row r="118" spans="1:76" ht="12.75" customHeight="1">
      <c r="A118" s="923"/>
      <c r="B118" s="924"/>
      <c r="C118" s="1122" t="s">
        <v>705</v>
      </c>
      <c r="D118" s="1122"/>
      <c r="E118" s="1122"/>
      <c r="F118" s="1124"/>
      <c r="G118" s="1160" t="str">
        <f t="shared" si="205"/>
        <v/>
      </c>
      <c r="H118" s="1161" t="str">
        <f t="shared" si="205"/>
        <v/>
      </c>
      <c r="I118" s="1161" t="str">
        <f t="shared" si="205"/>
        <v/>
      </c>
      <c r="J118" s="1162" t="str">
        <f t="shared" si="205"/>
        <v/>
      </c>
      <c r="K118" s="1160" t="str">
        <f t="shared" si="205"/>
        <v/>
      </c>
      <c r="L118" s="1161" t="str">
        <f t="shared" si="205"/>
        <v/>
      </c>
      <c r="M118" s="1161" t="str">
        <f t="shared" si="205"/>
        <v/>
      </c>
      <c r="N118" s="1162" t="str">
        <f t="shared" si="205"/>
        <v/>
      </c>
      <c r="O118" s="1160">
        <f t="shared" si="205"/>
        <v>110</v>
      </c>
      <c r="P118" s="1161">
        <f t="shared" si="205"/>
        <v>117.79</v>
      </c>
      <c r="Q118" s="1161">
        <f t="shared" si="205"/>
        <v>133.37</v>
      </c>
      <c r="R118" s="1165">
        <f t="shared" si="205"/>
        <v>133.37</v>
      </c>
      <c r="S118" s="1163">
        <f t="shared" si="205"/>
        <v>133.37</v>
      </c>
      <c r="T118" s="1161">
        <f t="shared" si="205"/>
        <v>164.29666666666665</v>
      </c>
      <c r="U118" s="1164">
        <f t="shared" si="205"/>
        <v>226.15</v>
      </c>
      <c r="V118" s="1165">
        <f t="shared" si="205"/>
        <v>226.15</v>
      </c>
      <c r="W118" s="1164">
        <f t="shared" si="205"/>
        <v>226.15</v>
      </c>
      <c r="X118" s="1161">
        <f t="shared" si="205"/>
        <v>196.26666666666665</v>
      </c>
      <c r="Y118" s="1164">
        <f t="shared" si="205"/>
        <v>136.5</v>
      </c>
      <c r="Z118" s="1165">
        <f t="shared" si="205"/>
        <v>136.5</v>
      </c>
      <c r="AA118" s="1164">
        <f t="shared" si="205"/>
        <v>136.5</v>
      </c>
      <c r="AB118" s="1161">
        <f t="shared" si="205"/>
        <v>146.82</v>
      </c>
      <c r="AC118" s="1164">
        <f t="shared" si="205"/>
        <v>167.46</v>
      </c>
      <c r="AD118" s="1165">
        <f t="shared" si="205"/>
        <v>167.46</v>
      </c>
      <c r="AE118" s="1164">
        <f t="shared" si="205"/>
        <v>167.46</v>
      </c>
      <c r="AF118" s="1161">
        <f t="shared" si="205"/>
        <v>151.35</v>
      </c>
      <c r="AG118" s="1164">
        <f t="shared" si="205"/>
        <v>119.13</v>
      </c>
      <c r="AH118" s="1165">
        <f t="shared" si="205"/>
        <v>119.13</v>
      </c>
      <c r="AI118" s="1166">
        <f t="shared" ref="AI118:AP128" si="222">IF(ISBLANK(AI261),"",AI261)</f>
        <v>119.13</v>
      </c>
      <c r="AJ118" s="1166">
        <f t="shared" si="222"/>
        <v>119.41999999999999</v>
      </c>
      <c r="AK118" s="1166">
        <f t="shared" si="222"/>
        <v>120</v>
      </c>
      <c r="AL118" s="1165">
        <f t="shared" si="222"/>
        <v>120</v>
      </c>
      <c r="AM118" s="1166">
        <f t="shared" si="222"/>
        <v>120</v>
      </c>
      <c r="AN118" s="1166">
        <f t="shared" si="222"/>
        <v>134.92333333333335</v>
      </c>
      <c r="AO118" s="1166">
        <f t="shared" si="222"/>
        <v>164.77</v>
      </c>
      <c r="AP118" s="1165">
        <f t="shared" si="222"/>
        <v>164.77</v>
      </c>
      <c r="AQ118" s="1166">
        <f t="shared" ref="AQ118:AX118" si="223">IF(ISBLANK(AQ261),"",AQ261)</f>
        <v>164.77</v>
      </c>
      <c r="AR118" s="1166">
        <f t="shared" si="223"/>
        <v>143.18</v>
      </c>
      <c r="AS118" s="1166">
        <f t="shared" si="223"/>
        <v>100</v>
      </c>
      <c r="AT118" s="1165">
        <f t="shared" si="223"/>
        <v>100</v>
      </c>
      <c r="AU118" s="1166">
        <f t="shared" si="223"/>
        <v>100</v>
      </c>
      <c r="AV118" s="1166">
        <f t="shared" si="223"/>
        <v>100</v>
      </c>
      <c r="AW118" s="1166">
        <f t="shared" si="223"/>
        <v>86.04</v>
      </c>
      <c r="AX118" s="1165">
        <f t="shared" si="223"/>
        <v>86.04</v>
      </c>
      <c r="AY118" s="1166">
        <f t="shared" si="202"/>
        <v>86.04</v>
      </c>
      <c r="AZ118" s="1166">
        <f t="shared" si="202"/>
        <v>86.04</v>
      </c>
      <c r="BA118" s="1166">
        <f t="shared" si="202"/>
        <v>86.04</v>
      </c>
      <c r="BB118" s="1165">
        <f t="shared" si="202"/>
        <v>86.04</v>
      </c>
      <c r="BC118" s="974"/>
      <c r="BD118" s="974"/>
      <c r="BE118" s="1074"/>
      <c r="BF118" s="1074"/>
      <c r="BG118" s="1074">
        <f t="shared" si="209"/>
        <v>123.63250000000001</v>
      </c>
      <c r="BH118" s="1074">
        <f t="shared" si="210"/>
        <v>187.49166666666665</v>
      </c>
      <c r="BI118" s="1074">
        <f t="shared" si="211"/>
        <v>173.85416666666666</v>
      </c>
      <c r="BJ118" s="1074">
        <f t="shared" si="212"/>
        <v>154.56</v>
      </c>
      <c r="BK118" s="1074">
        <f t="shared" si="213"/>
        <v>139.26749999999998</v>
      </c>
      <c r="BL118" s="1074">
        <f t="shared" si="214"/>
        <v>119.63749999999999</v>
      </c>
      <c r="BM118" s="1074">
        <f t="shared" si="215"/>
        <v>146.11583333333334</v>
      </c>
      <c r="BN118" s="1074">
        <f t="shared" si="216"/>
        <v>126.98750000000001</v>
      </c>
      <c r="BO118" s="1074">
        <f t="shared" si="217"/>
        <v>93.02000000000001</v>
      </c>
      <c r="BP118" s="1074">
        <f t="shared" si="218"/>
        <v>86.04</v>
      </c>
      <c r="BQ118" s="949"/>
      <c r="BR118" s="950"/>
      <c r="BU118" s="922"/>
      <c r="BV118" s="921"/>
      <c r="BW118" s="921"/>
      <c r="BX118" s="921"/>
    </row>
    <row r="119" spans="1:76" ht="12.75" customHeight="1">
      <c r="A119" s="923"/>
      <c r="B119" s="924"/>
      <c r="C119" s="1122" t="s">
        <v>706</v>
      </c>
      <c r="D119" s="1122"/>
      <c r="E119" s="1122"/>
      <c r="F119" s="1124"/>
      <c r="G119" s="1160" t="str">
        <f t="shared" si="205"/>
        <v/>
      </c>
      <c r="H119" s="1161" t="str">
        <f t="shared" si="205"/>
        <v/>
      </c>
      <c r="I119" s="1161" t="str">
        <f t="shared" si="205"/>
        <v/>
      </c>
      <c r="J119" s="1162" t="str">
        <f t="shared" si="205"/>
        <v/>
      </c>
      <c r="K119" s="1160" t="str">
        <f t="shared" si="205"/>
        <v/>
      </c>
      <c r="L119" s="1161" t="str">
        <f t="shared" si="205"/>
        <v/>
      </c>
      <c r="M119" s="1161" t="str">
        <f t="shared" si="205"/>
        <v/>
      </c>
      <c r="N119" s="1162" t="str">
        <f t="shared" si="205"/>
        <v/>
      </c>
      <c r="O119" s="1160">
        <f t="shared" si="205"/>
        <v>110</v>
      </c>
      <c r="P119" s="1161">
        <f t="shared" si="205"/>
        <v>119.91</v>
      </c>
      <c r="Q119" s="1161">
        <f t="shared" si="205"/>
        <v>139.72999999999999</v>
      </c>
      <c r="R119" s="1165">
        <f t="shared" si="205"/>
        <v>139.72999999999999</v>
      </c>
      <c r="S119" s="1163">
        <f t="shared" si="205"/>
        <v>139.72999999999999</v>
      </c>
      <c r="T119" s="1161">
        <f t="shared" si="205"/>
        <v>174.82</v>
      </c>
      <c r="U119" s="1164">
        <f t="shared" si="205"/>
        <v>245</v>
      </c>
      <c r="V119" s="1165">
        <f t="shared" si="205"/>
        <v>245</v>
      </c>
      <c r="W119" s="1164">
        <f t="shared" si="205"/>
        <v>245</v>
      </c>
      <c r="X119" s="1161">
        <f t="shared" si="205"/>
        <v>208.83333333333334</v>
      </c>
      <c r="Y119" s="1164">
        <f t="shared" si="205"/>
        <v>136.5</v>
      </c>
      <c r="Z119" s="1165">
        <f t="shared" si="205"/>
        <v>136.5</v>
      </c>
      <c r="AA119" s="1164">
        <f t="shared" si="205"/>
        <v>136.5</v>
      </c>
      <c r="AB119" s="1161">
        <f t="shared" si="205"/>
        <v>146.82</v>
      </c>
      <c r="AC119" s="1164">
        <f t="shared" si="205"/>
        <v>167.46</v>
      </c>
      <c r="AD119" s="1165">
        <f t="shared" si="205"/>
        <v>167.46</v>
      </c>
      <c r="AE119" s="1164">
        <f t="shared" si="205"/>
        <v>167.46</v>
      </c>
      <c r="AF119" s="1161">
        <f t="shared" si="205"/>
        <v>151.35</v>
      </c>
      <c r="AG119" s="1164">
        <f t="shared" si="205"/>
        <v>119.13</v>
      </c>
      <c r="AH119" s="1165">
        <f t="shared" si="205"/>
        <v>119.13</v>
      </c>
      <c r="AI119" s="1166">
        <f t="shared" si="222"/>
        <v>119.13</v>
      </c>
      <c r="AJ119" s="1166">
        <f t="shared" si="222"/>
        <v>119.41999999999999</v>
      </c>
      <c r="AK119" s="1166">
        <f t="shared" si="222"/>
        <v>120</v>
      </c>
      <c r="AL119" s="1165">
        <f t="shared" si="222"/>
        <v>120</v>
      </c>
      <c r="AM119" s="1166">
        <f t="shared" si="222"/>
        <v>120</v>
      </c>
      <c r="AN119" s="1166">
        <f t="shared" si="222"/>
        <v>155.13999999999999</v>
      </c>
      <c r="AO119" s="1166">
        <f t="shared" si="222"/>
        <v>225.42</v>
      </c>
      <c r="AP119" s="1165">
        <f t="shared" si="222"/>
        <v>225.42</v>
      </c>
      <c r="AQ119" s="1166">
        <f t="shared" ref="AQ119:AX119" si="224">IF(ISBLANK(AQ262),"",AQ262)</f>
        <v>225.42</v>
      </c>
      <c r="AR119" s="1166">
        <f t="shared" si="224"/>
        <v>190.27999999999997</v>
      </c>
      <c r="AS119" s="1166">
        <f t="shared" si="224"/>
        <v>120</v>
      </c>
      <c r="AT119" s="1165">
        <f t="shared" si="224"/>
        <v>120</v>
      </c>
      <c r="AU119" s="1166">
        <f t="shared" si="224"/>
        <v>120</v>
      </c>
      <c r="AV119" s="1166">
        <f t="shared" si="224"/>
        <v>142.62333333333333</v>
      </c>
      <c r="AW119" s="1166">
        <f t="shared" si="224"/>
        <v>187.87</v>
      </c>
      <c r="AX119" s="1165">
        <f t="shared" si="224"/>
        <v>187.87</v>
      </c>
      <c r="AY119" s="1166">
        <f t="shared" si="202"/>
        <v>187.87</v>
      </c>
      <c r="AZ119" s="1166">
        <f t="shared" si="202"/>
        <v>187.87</v>
      </c>
      <c r="BA119" s="1166">
        <f t="shared" si="202"/>
        <v>187.87</v>
      </c>
      <c r="BB119" s="1165">
        <f t="shared" si="202"/>
        <v>187.87</v>
      </c>
      <c r="BC119" s="974"/>
      <c r="BD119" s="974"/>
      <c r="BE119" s="1074"/>
      <c r="BF119" s="1074"/>
      <c r="BG119" s="1074">
        <f t="shared" si="209"/>
        <v>127.3425</v>
      </c>
      <c r="BH119" s="1074">
        <f t="shared" si="210"/>
        <v>201.13749999999999</v>
      </c>
      <c r="BI119" s="1074">
        <f t="shared" si="211"/>
        <v>181.70833333333334</v>
      </c>
      <c r="BJ119" s="1074">
        <f t="shared" si="212"/>
        <v>154.56</v>
      </c>
      <c r="BK119" s="1074">
        <f t="shared" si="213"/>
        <v>139.26749999999998</v>
      </c>
      <c r="BL119" s="1074">
        <f t="shared" si="214"/>
        <v>119.63749999999999</v>
      </c>
      <c r="BM119" s="1074">
        <f t="shared" si="215"/>
        <v>181.49499999999998</v>
      </c>
      <c r="BN119" s="1074">
        <f t="shared" si="216"/>
        <v>163.92499999999998</v>
      </c>
      <c r="BO119" s="1074">
        <f t="shared" si="217"/>
        <v>159.59083333333334</v>
      </c>
      <c r="BP119" s="1074">
        <f t="shared" si="218"/>
        <v>187.87</v>
      </c>
      <c r="BQ119" s="949"/>
      <c r="BR119" s="950"/>
      <c r="BU119" s="922"/>
      <c r="BV119" s="921"/>
      <c r="BW119" s="921"/>
      <c r="BX119" s="921"/>
    </row>
    <row r="120" spans="1:76" ht="12.75" customHeight="1">
      <c r="A120" s="923"/>
      <c r="B120" s="924"/>
      <c r="C120" s="1122" t="s">
        <v>707</v>
      </c>
      <c r="D120" s="1122"/>
      <c r="E120" s="1122"/>
      <c r="F120" s="1124"/>
      <c r="G120" s="1160" t="str">
        <f t="shared" si="205"/>
        <v/>
      </c>
      <c r="H120" s="1161" t="str">
        <f t="shared" si="205"/>
        <v/>
      </c>
      <c r="I120" s="1161" t="str">
        <f t="shared" si="205"/>
        <v/>
      </c>
      <c r="J120" s="1162" t="str">
        <f t="shared" ref="J120:AH120" si="225">IF(ISBLANK(J263),"",J263)</f>
        <v/>
      </c>
      <c r="K120" s="1160" t="str">
        <f t="shared" si="225"/>
        <v/>
      </c>
      <c r="L120" s="1161" t="str">
        <f t="shared" si="225"/>
        <v/>
      </c>
      <c r="M120" s="1161" t="str">
        <f t="shared" si="225"/>
        <v/>
      </c>
      <c r="N120" s="1162" t="str">
        <f t="shared" si="225"/>
        <v/>
      </c>
      <c r="O120" s="1160">
        <f t="shared" si="225"/>
        <v>110</v>
      </c>
      <c r="P120" s="1161">
        <f t="shared" si="225"/>
        <v>119.91</v>
      </c>
      <c r="Q120" s="1161">
        <f t="shared" si="225"/>
        <v>139.72999999999999</v>
      </c>
      <c r="R120" s="1165">
        <f t="shared" si="225"/>
        <v>139.72999999999999</v>
      </c>
      <c r="S120" s="1163">
        <f t="shared" si="225"/>
        <v>139.72999999999999</v>
      </c>
      <c r="T120" s="1161">
        <f t="shared" si="225"/>
        <v>174.82</v>
      </c>
      <c r="U120" s="1164">
        <f t="shared" si="225"/>
        <v>245</v>
      </c>
      <c r="V120" s="1165">
        <f t="shared" si="225"/>
        <v>245</v>
      </c>
      <c r="W120" s="1164">
        <f t="shared" si="225"/>
        <v>245</v>
      </c>
      <c r="X120" s="1161">
        <f t="shared" si="225"/>
        <v>208.83333333333334</v>
      </c>
      <c r="Y120" s="1164">
        <f t="shared" si="225"/>
        <v>136.5</v>
      </c>
      <c r="Z120" s="1165">
        <f t="shared" si="225"/>
        <v>136.5</v>
      </c>
      <c r="AA120" s="1164">
        <f t="shared" si="225"/>
        <v>136.5</v>
      </c>
      <c r="AB120" s="1161">
        <f t="shared" si="225"/>
        <v>146.82</v>
      </c>
      <c r="AC120" s="1164">
        <f t="shared" si="225"/>
        <v>167.46</v>
      </c>
      <c r="AD120" s="1165">
        <f t="shared" si="225"/>
        <v>167.46</v>
      </c>
      <c r="AE120" s="1164">
        <f t="shared" si="225"/>
        <v>167.46</v>
      </c>
      <c r="AF120" s="1161">
        <f t="shared" si="225"/>
        <v>151.35</v>
      </c>
      <c r="AG120" s="1164">
        <f t="shared" si="225"/>
        <v>119.13</v>
      </c>
      <c r="AH120" s="1165">
        <f t="shared" si="225"/>
        <v>119.13</v>
      </c>
      <c r="AI120" s="1166">
        <f t="shared" si="222"/>
        <v>119.13</v>
      </c>
      <c r="AJ120" s="1166">
        <f t="shared" si="222"/>
        <v>119.41999999999999</v>
      </c>
      <c r="AK120" s="1166">
        <f t="shared" si="222"/>
        <v>120</v>
      </c>
      <c r="AL120" s="1165">
        <f t="shared" si="222"/>
        <v>120</v>
      </c>
      <c r="AM120" s="1166">
        <f t="shared" si="222"/>
        <v>120</v>
      </c>
      <c r="AN120" s="1166">
        <f t="shared" si="222"/>
        <v>155.13999999999999</v>
      </c>
      <c r="AO120" s="1166">
        <f t="shared" si="222"/>
        <v>225.42</v>
      </c>
      <c r="AP120" s="1165">
        <f t="shared" si="222"/>
        <v>225.42</v>
      </c>
      <c r="AQ120" s="1166">
        <f t="shared" ref="AQ120:AX120" si="226">IF(ISBLANK(AQ263),"",AQ263)</f>
        <v>225.42</v>
      </c>
      <c r="AR120" s="1166">
        <f t="shared" si="226"/>
        <v>190.20333333333332</v>
      </c>
      <c r="AS120" s="1166">
        <f t="shared" si="226"/>
        <v>119.77</v>
      </c>
      <c r="AT120" s="1165">
        <f t="shared" si="226"/>
        <v>119.77</v>
      </c>
      <c r="AU120" s="1166">
        <f t="shared" si="226"/>
        <v>119.77</v>
      </c>
      <c r="AV120" s="1166">
        <f t="shared" si="226"/>
        <v>119.77</v>
      </c>
      <c r="AW120" s="1166">
        <f t="shared" si="226"/>
        <v>187.87</v>
      </c>
      <c r="AX120" s="1165">
        <f t="shared" si="226"/>
        <v>187.87</v>
      </c>
      <c r="AY120" s="1166">
        <f t="shared" si="202"/>
        <v>187.87</v>
      </c>
      <c r="AZ120" s="1166">
        <f t="shared" si="202"/>
        <v>187.87</v>
      </c>
      <c r="BA120" s="1166">
        <f t="shared" si="202"/>
        <v>187.87</v>
      </c>
      <c r="BB120" s="1165">
        <f t="shared" si="202"/>
        <v>187.87</v>
      </c>
      <c r="BC120" s="974"/>
      <c r="BD120" s="974"/>
      <c r="BE120" s="1074"/>
      <c r="BF120" s="1074"/>
      <c r="BG120" s="1074">
        <f t="shared" si="209"/>
        <v>127.3425</v>
      </c>
      <c r="BH120" s="1074">
        <f t="shared" si="210"/>
        <v>201.13749999999999</v>
      </c>
      <c r="BI120" s="1074">
        <f t="shared" si="211"/>
        <v>181.70833333333334</v>
      </c>
      <c r="BJ120" s="1074">
        <f t="shared" si="212"/>
        <v>154.56</v>
      </c>
      <c r="BK120" s="1074">
        <f t="shared" si="213"/>
        <v>139.26749999999998</v>
      </c>
      <c r="BL120" s="1074">
        <f t="shared" si="214"/>
        <v>119.63749999999999</v>
      </c>
      <c r="BM120" s="1074">
        <f t="shared" si="215"/>
        <v>181.49499999999998</v>
      </c>
      <c r="BN120" s="1074">
        <f t="shared" si="216"/>
        <v>163.79083333333332</v>
      </c>
      <c r="BO120" s="1074">
        <f t="shared" si="217"/>
        <v>153.82</v>
      </c>
      <c r="BP120" s="1074">
        <f t="shared" si="218"/>
        <v>187.87</v>
      </c>
      <c r="BQ120" s="949"/>
      <c r="BR120" s="950"/>
      <c r="BU120" s="922"/>
      <c r="BV120" s="921"/>
      <c r="BW120" s="921"/>
      <c r="BX120" s="921"/>
    </row>
    <row r="121" spans="1:76" ht="12.75" customHeight="1">
      <c r="A121" s="923"/>
      <c r="B121" s="924"/>
      <c r="C121" s="1122" t="s">
        <v>708</v>
      </c>
      <c r="D121" s="1122"/>
      <c r="E121" s="1122"/>
      <c r="F121" s="1124"/>
      <c r="G121" s="1160" t="str">
        <f t="shared" ref="G121:AH130" si="227">IF(ISBLANK(G264),"",G264)</f>
        <v/>
      </c>
      <c r="H121" s="1161" t="str">
        <f t="shared" si="227"/>
        <v/>
      </c>
      <c r="I121" s="1161" t="str">
        <f t="shared" si="227"/>
        <v/>
      </c>
      <c r="J121" s="1162" t="str">
        <f t="shared" si="227"/>
        <v/>
      </c>
      <c r="K121" s="1160" t="str">
        <f t="shared" si="227"/>
        <v/>
      </c>
      <c r="L121" s="1161" t="str">
        <f t="shared" si="227"/>
        <v/>
      </c>
      <c r="M121" s="1161" t="str">
        <f t="shared" si="227"/>
        <v/>
      </c>
      <c r="N121" s="1162" t="str">
        <f t="shared" si="227"/>
        <v/>
      </c>
      <c r="O121" s="1160">
        <f t="shared" si="227"/>
        <v>110</v>
      </c>
      <c r="P121" s="1161">
        <f t="shared" si="227"/>
        <v>78.819999999999993</v>
      </c>
      <c r="Q121" s="1161">
        <f t="shared" si="227"/>
        <v>16.46</v>
      </c>
      <c r="R121" s="1165">
        <f t="shared" si="227"/>
        <v>16.46</v>
      </c>
      <c r="S121" s="1163">
        <f t="shared" si="227"/>
        <v>16.46</v>
      </c>
      <c r="T121" s="1161">
        <f t="shared" si="227"/>
        <v>20.216666666666669</v>
      </c>
      <c r="U121" s="1164">
        <f t="shared" si="227"/>
        <v>27.73</v>
      </c>
      <c r="V121" s="1165">
        <f t="shared" si="227"/>
        <v>27.73</v>
      </c>
      <c r="W121" s="1164">
        <f t="shared" si="227"/>
        <v>27.73</v>
      </c>
      <c r="X121" s="1161">
        <f t="shared" si="227"/>
        <v>60.483333333333327</v>
      </c>
      <c r="Y121" s="1164">
        <f t="shared" si="227"/>
        <v>125.99</v>
      </c>
      <c r="Z121" s="1165">
        <f t="shared" si="227"/>
        <v>125.99</v>
      </c>
      <c r="AA121" s="1164">
        <f t="shared" si="227"/>
        <v>125.99</v>
      </c>
      <c r="AB121" s="1161">
        <f t="shared" si="227"/>
        <v>129.32666666666668</v>
      </c>
      <c r="AC121" s="1164">
        <f t="shared" si="227"/>
        <v>136</v>
      </c>
      <c r="AD121" s="1165">
        <f t="shared" si="227"/>
        <v>136</v>
      </c>
      <c r="AE121" s="1164">
        <f t="shared" si="227"/>
        <v>136</v>
      </c>
      <c r="AF121" s="1161">
        <f t="shared" si="227"/>
        <v>110.45666666666666</v>
      </c>
      <c r="AG121" s="1164">
        <f t="shared" si="227"/>
        <v>59.37</v>
      </c>
      <c r="AH121" s="1165">
        <f t="shared" si="227"/>
        <v>59.37</v>
      </c>
      <c r="AI121" s="1166">
        <f t="shared" si="222"/>
        <v>59.37</v>
      </c>
      <c r="AJ121" s="1166">
        <f t="shared" si="222"/>
        <v>79.58</v>
      </c>
      <c r="AK121" s="1166">
        <f t="shared" si="222"/>
        <v>120</v>
      </c>
      <c r="AL121" s="1165">
        <f t="shared" si="222"/>
        <v>120</v>
      </c>
      <c r="AM121" s="1166">
        <f t="shared" si="222"/>
        <v>120</v>
      </c>
      <c r="AN121" s="1166">
        <f t="shared" si="222"/>
        <v>151.66666666666666</v>
      </c>
      <c r="AO121" s="1166">
        <f t="shared" si="222"/>
        <v>215</v>
      </c>
      <c r="AP121" s="1165">
        <f t="shared" si="222"/>
        <v>215</v>
      </c>
      <c r="AQ121" s="1166">
        <f t="shared" ref="AQ121:AX121" si="228">IF(ISBLANK(AQ264),"",AQ264)</f>
        <v>215</v>
      </c>
      <c r="AR121" s="1166">
        <f t="shared" si="228"/>
        <v>210.92333333333332</v>
      </c>
      <c r="AS121" s="1166">
        <f t="shared" si="228"/>
        <v>202.77</v>
      </c>
      <c r="AT121" s="1165">
        <f t="shared" si="228"/>
        <v>202.77</v>
      </c>
      <c r="AU121" s="1166">
        <f t="shared" si="228"/>
        <v>202.77</v>
      </c>
      <c r="AV121" s="1166">
        <f t="shared" si="228"/>
        <v>202.77</v>
      </c>
      <c r="AW121" s="1166">
        <f t="shared" si="228"/>
        <v>188.12</v>
      </c>
      <c r="AX121" s="1165">
        <f t="shared" si="228"/>
        <v>188.12</v>
      </c>
      <c r="AY121" s="1166">
        <f t="shared" si="202"/>
        <v>188.12</v>
      </c>
      <c r="AZ121" s="1166">
        <f t="shared" si="202"/>
        <v>188.12</v>
      </c>
      <c r="BA121" s="1166">
        <f t="shared" si="202"/>
        <v>188.12</v>
      </c>
      <c r="BB121" s="1165">
        <f t="shared" si="202"/>
        <v>188.12</v>
      </c>
      <c r="BC121" s="974"/>
      <c r="BD121" s="974"/>
      <c r="BE121" s="1074"/>
      <c r="BF121" s="1074"/>
      <c r="BG121" s="1074">
        <f t="shared" si="209"/>
        <v>55.435000000000002</v>
      </c>
      <c r="BH121" s="1074">
        <f t="shared" si="210"/>
        <v>23.034166666666668</v>
      </c>
      <c r="BI121" s="1074">
        <f t="shared" si="211"/>
        <v>85.048333333333332</v>
      </c>
      <c r="BJ121" s="1074">
        <f t="shared" si="212"/>
        <v>131.82916666666665</v>
      </c>
      <c r="BK121" s="1074">
        <f t="shared" si="213"/>
        <v>91.299166666666665</v>
      </c>
      <c r="BL121" s="1074">
        <f t="shared" si="214"/>
        <v>94.737499999999997</v>
      </c>
      <c r="BM121" s="1074">
        <f t="shared" si="215"/>
        <v>175.41666666666666</v>
      </c>
      <c r="BN121" s="1074">
        <f t="shared" si="216"/>
        <v>207.86583333333331</v>
      </c>
      <c r="BO121" s="1074">
        <f t="shared" si="217"/>
        <v>195.44500000000002</v>
      </c>
      <c r="BP121" s="1074">
        <f t="shared" si="218"/>
        <v>188.12</v>
      </c>
      <c r="BQ121" s="949"/>
      <c r="BR121" s="950"/>
      <c r="BU121" s="922"/>
      <c r="BV121" s="921"/>
      <c r="BW121" s="921"/>
      <c r="BX121" s="921"/>
    </row>
    <row r="122" spans="1:76" ht="12.75" customHeight="1">
      <c r="A122" s="923"/>
      <c r="B122" s="924"/>
      <c r="C122" s="1122" t="s">
        <v>709</v>
      </c>
      <c r="D122" s="1122"/>
      <c r="E122" s="1122"/>
      <c r="F122" s="1124"/>
      <c r="G122" s="1160" t="str">
        <f t="shared" si="227"/>
        <v/>
      </c>
      <c r="H122" s="1161" t="str">
        <f t="shared" si="227"/>
        <v/>
      </c>
      <c r="I122" s="1161" t="str">
        <f t="shared" si="227"/>
        <v/>
      </c>
      <c r="J122" s="1162" t="str">
        <f t="shared" si="227"/>
        <v/>
      </c>
      <c r="K122" s="1160" t="str">
        <f t="shared" si="227"/>
        <v/>
      </c>
      <c r="L122" s="1161" t="str">
        <f t="shared" si="227"/>
        <v/>
      </c>
      <c r="M122" s="1161" t="str">
        <f t="shared" si="227"/>
        <v/>
      </c>
      <c r="N122" s="1162" t="str">
        <f t="shared" si="227"/>
        <v/>
      </c>
      <c r="O122" s="1160">
        <f t="shared" si="227"/>
        <v>110</v>
      </c>
      <c r="P122" s="1161">
        <f t="shared" si="227"/>
        <v>135</v>
      </c>
      <c r="Q122" s="1161">
        <f t="shared" si="227"/>
        <v>185</v>
      </c>
      <c r="R122" s="1165">
        <f t="shared" si="227"/>
        <v>185</v>
      </c>
      <c r="S122" s="1163">
        <f t="shared" si="227"/>
        <v>185</v>
      </c>
      <c r="T122" s="1161">
        <f t="shared" si="227"/>
        <v>205</v>
      </c>
      <c r="U122" s="1164">
        <f t="shared" si="227"/>
        <v>245</v>
      </c>
      <c r="V122" s="1165">
        <f t="shared" si="227"/>
        <v>245</v>
      </c>
      <c r="W122" s="1164">
        <f t="shared" si="227"/>
        <v>245</v>
      </c>
      <c r="X122" s="1161">
        <f t="shared" si="227"/>
        <v>238.33333333333334</v>
      </c>
      <c r="Y122" s="1164">
        <f t="shared" si="227"/>
        <v>225</v>
      </c>
      <c r="Z122" s="1165">
        <f t="shared" si="227"/>
        <v>225</v>
      </c>
      <c r="AA122" s="1164">
        <f t="shared" si="227"/>
        <v>225</v>
      </c>
      <c r="AB122" s="1161">
        <f t="shared" si="227"/>
        <v>205.82</v>
      </c>
      <c r="AC122" s="1164">
        <f t="shared" si="227"/>
        <v>167.46</v>
      </c>
      <c r="AD122" s="1165">
        <f t="shared" si="227"/>
        <v>167.46</v>
      </c>
      <c r="AE122" s="1164">
        <f t="shared" si="227"/>
        <v>167.46</v>
      </c>
      <c r="AF122" s="1161">
        <f t="shared" si="227"/>
        <v>184.64</v>
      </c>
      <c r="AG122" s="1164">
        <f t="shared" si="227"/>
        <v>219</v>
      </c>
      <c r="AH122" s="1165">
        <f t="shared" si="227"/>
        <v>219</v>
      </c>
      <c r="AI122" s="1166">
        <f t="shared" si="222"/>
        <v>219</v>
      </c>
      <c r="AJ122" s="1166">
        <f t="shared" si="222"/>
        <v>217.66666666666666</v>
      </c>
      <c r="AK122" s="1166">
        <f t="shared" si="222"/>
        <v>215</v>
      </c>
      <c r="AL122" s="1165">
        <f t="shared" si="222"/>
        <v>215</v>
      </c>
      <c r="AM122" s="1166">
        <f t="shared" si="222"/>
        <v>215</v>
      </c>
      <c r="AN122" s="1166">
        <f t="shared" si="222"/>
        <v>218.4733333333333</v>
      </c>
      <c r="AO122" s="1166">
        <f t="shared" si="222"/>
        <v>225.42</v>
      </c>
      <c r="AP122" s="1165">
        <f t="shared" si="222"/>
        <v>225.42</v>
      </c>
      <c r="AQ122" s="1166">
        <f t="shared" ref="AQ122:AX122" si="229">IF(ISBLANK(AQ265),"",AQ265)</f>
        <v>225.42</v>
      </c>
      <c r="AR122" s="1166">
        <f t="shared" si="229"/>
        <v>190.27999999999997</v>
      </c>
      <c r="AS122" s="1166">
        <f t="shared" si="229"/>
        <v>120</v>
      </c>
      <c r="AT122" s="1165">
        <f t="shared" si="229"/>
        <v>120</v>
      </c>
      <c r="AU122" s="1166">
        <f t="shared" si="229"/>
        <v>120</v>
      </c>
      <c r="AV122" s="1166">
        <f t="shared" si="229"/>
        <v>142.62333333333333</v>
      </c>
      <c r="AW122" s="1166">
        <f t="shared" si="229"/>
        <v>187.87</v>
      </c>
      <c r="AX122" s="1165">
        <f t="shared" si="229"/>
        <v>187.87</v>
      </c>
      <c r="AY122" s="1166">
        <f t="shared" si="202"/>
        <v>187.87</v>
      </c>
      <c r="AZ122" s="1166">
        <f t="shared" si="202"/>
        <v>187.87</v>
      </c>
      <c r="BA122" s="1166">
        <f t="shared" si="202"/>
        <v>187.87</v>
      </c>
      <c r="BB122" s="1165">
        <f t="shared" si="202"/>
        <v>187.87</v>
      </c>
      <c r="BC122" s="974"/>
      <c r="BD122" s="974"/>
      <c r="BE122" s="1074"/>
      <c r="BF122" s="1074"/>
      <c r="BG122" s="1074">
        <f t="shared" si="209"/>
        <v>153.75</v>
      </c>
      <c r="BH122" s="1074">
        <f t="shared" si="210"/>
        <v>220</v>
      </c>
      <c r="BI122" s="1074">
        <f t="shared" si="211"/>
        <v>233.33333333333334</v>
      </c>
      <c r="BJ122" s="1074">
        <f t="shared" si="212"/>
        <v>191.435</v>
      </c>
      <c r="BK122" s="1074">
        <f t="shared" si="213"/>
        <v>197.52500000000001</v>
      </c>
      <c r="BL122" s="1074">
        <f t="shared" si="214"/>
        <v>216.66666666666666</v>
      </c>
      <c r="BM122" s="1074">
        <f t="shared" si="215"/>
        <v>221.07833333333332</v>
      </c>
      <c r="BN122" s="1074">
        <f t="shared" si="216"/>
        <v>163.92499999999998</v>
      </c>
      <c r="BO122" s="1074">
        <f t="shared" si="217"/>
        <v>159.59083333333334</v>
      </c>
      <c r="BP122" s="1074">
        <f t="shared" si="218"/>
        <v>187.87</v>
      </c>
      <c r="BQ122" s="949"/>
      <c r="BR122" s="950"/>
      <c r="BU122" s="922"/>
      <c r="BV122" s="921"/>
      <c r="BW122" s="921"/>
      <c r="BX122" s="921"/>
    </row>
    <row r="123" spans="1:76" ht="12.75" customHeight="1">
      <c r="A123" s="923"/>
      <c r="B123" s="924"/>
      <c r="C123" s="1122" t="s">
        <v>710</v>
      </c>
      <c r="D123" s="1122"/>
      <c r="E123" s="1122"/>
      <c r="F123" s="1124"/>
      <c r="G123" s="1160" t="str">
        <f t="shared" si="227"/>
        <v/>
      </c>
      <c r="H123" s="1161" t="str">
        <f t="shared" si="227"/>
        <v/>
      </c>
      <c r="I123" s="1161" t="str">
        <f t="shared" si="227"/>
        <v/>
      </c>
      <c r="J123" s="1162" t="str">
        <f t="shared" si="227"/>
        <v/>
      </c>
      <c r="K123" s="1160" t="str">
        <f t="shared" si="227"/>
        <v/>
      </c>
      <c r="L123" s="1161" t="str">
        <f t="shared" si="227"/>
        <v/>
      </c>
      <c r="M123" s="1161" t="str">
        <f t="shared" si="227"/>
        <v/>
      </c>
      <c r="N123" s="1162" t="str">
        <f t="shared" si="227"/>
        <v/>
      </c>
      <c r="O123" s="1160">
        <f t="shared" si="227"/>
        <v>5</v>
      </c>
      <c r="P123" s="1161">
        <f t="shared" si="227"/>
        <v>29</v>
      </c>
      <c r="Q123" s="1161">
        <f t="shared" si="227"/>
        <v>41</v>
      </c>
      <c r="R123" s="1165">
        <f t="shared" si="227"/>
        <v>31.666666666666668</v>
      </c>
      <c r="S123" s="1163">
        <f t="shared" si="227"/>
        <v>27</v>
      </c>
      <c r="T123" s="1161">
        <f t="shared" si="227"/>
        <v>101</v>
      </c>
      <c r="U123" s="1164">
        <f t="shared" si="227"/>
        <v>138</v>
      </c>
      <c r="V123" s="1165">
        <f t="shared" si="227"/>
        <v>108.66666666666667</v>
      </c>
      <c r="W123" s="1164">
        <f t="shared" si="227"/>
        <v>94</v>
      </c>
      <c r="X123" s="1161">
        <f t="shared" si="227"/>
        <v>144</v>
      </c>
      <c r="Y123" s="1164">
        <f t="shared" si="227"/>
        <v>169</v>
      </c>
      <c r="Z123" s="1165">
        <f t="shared" si="227"/>
        <v>108.38812785388127</v>
      </c>
      <c r="AA123" s="1164">
        <f t="shared" si="227"/>
        <v>78.082191780821915</v>
      </c>
      <c r="AB123" s="1161">
        <f t="shared" si="227"/>
        <v>103.83561643835614</v>
      </c>
      <c r="AC123" s="1164">
        <f t="shared" si="227"/>
        <v>116.71232876712327</v>
      </c>
      <c r="AD123" s="1165">
        <f t="shared" si="227"/>
        <v>63.452054794520535</v>
      </c>
      <c r="AE123" s="1164">
        <f t="shared" si="227"/>
        <v>36.821917808219183</v>
      </c>
      <c r="AF123" s="1161">
        <f t="shared" si="227"/>
        <v>91.61643835616438</v>
      </c>
      <c r="AG123" s="1164">
        <f t="shared" si="227"/>
        <v>119.01369863013699</v>
      </c>
      <c r="AH123" s="1165">
        <f t="shared" si="227"/>
        <v>56.109589041095887</v>
      </c>
      <c r="AI123" s="1166">
        <f t="shared" si="222"/>
        <v>24.657534246575342</v>
      </c>
      <c r="AJ123" s="1166">
        <f t="shared" si="222"/>
        <v>101.36986301369862</v>
      </c>
      <c r="AK123" s="1166">
        <f t="shared" si="222"/>
        <v>139.72602739726028</v>
      </c>
      <c r="AL123" s="1165">
        <f t="shared" si="222"/>
        <v>75.06849315068493</v>
      </c>
      <c r="AM123" s="1166">
        <f t="shared" si="222"/>
        <v>42.739726027397268</v>
      </c>
      <c r="AN123" s="1166">
        <f t="shared" si="222"/>
        <v>123.83561643835615</v>
      </c>
      <c r="AO123" s="1166">
        <f t="shared" si="222"/>
        <v>164.38356164383561</v>
      </c>
      <c r="AP123" s="1165">
        <f t="shared" si="222"/>
        <v>83.287671232876704</v>
      </c>
      <c r="AQ123" s="1166">
        <f t="shared" ref="AQ123:AX123" si="230">IF(ISBLANK(AQ266),"",AQ266)</f>
        <v>42.739726027397268</v>
      </c>
      <c r="AR123" s="1166">
        <f t="shared" si="230"/>
        <v>123.83561643835615</v>
      </c>
      <c r="AS123" s="1166">
        <f t="shared" si="230"/>
        <v>164.38356164383561</v>
      </c>
      <c r="AT123" s="1165">
        <f t="shared" si="230"/>
        <v>83.287671232876704</v>
      </c>
      <c r="AU123" s="1166">
        <f t="shared" si="230"/>
        <v>42.739726027397268</v>
      </c>
      <c r="AV123" s="1166">
        <f t="shared" si="230"/>
        <v>123.83561643835615</v>
      </c>
      <c r="AW123" s="1166">
        <f t="shared" si="230"/>
        <v>164.38356164383561</v>
      </c>
      <c r="AX123" s="1165">
        <f t="shared" si="230"/>
        <v>83.287671232876704</v>
      </c>
      <c r="AY123" s="1166">
        <f t="shared" si="202"/>
        <v>42.739726027397268</v>
      </c>
      <c r="AZ123" s="1166">
        <f t="shared" si="202"/>
        <v>123.83561643835615</v>
      </c>
      <c r="BA123" s="1166">
        <f t="shared" si="202"/>
        <v>164.38356164383561</v>
      </c>
      <c r="BB123" s="1165">
        <f t="shared" si="202"/>
        <v>83.287671232876704</v>
      </c>
      <c r="BC123" s="974"/>
      <c r="BD123" s="974"/>
      <c r="BE123" s="1074"/>
      <c r="BF123" s="1074"/>
      <c r="BG123" s="1074">
        <f t="shared" si="209"/>
        <v>26.666666666666668</v>
      </c>
      <c r="BH123" s="1074">
        <f t="shared" si="210"/>
        <v>93.666666666666671</v>
      </c>
      <c r="BI123" s="1074">
        <f t="shared" si="211"/>
        <v>128.84703196347033</v>
      </c>
      <c r="BJ123" s="1074">
        <f t="shared" si="212"/>
        <v>90.520547945205465</v>
      </c>
      <c r="BK123" s="1074">
        <f t="shared" si="213"/>
        <v>75.890410958904113</v>
      </c>
      <c r="BL123" s="1074">
        <f t="shared" si="214"/>
        <v>85.205479452054789</v>
      </c>
      <c r="BM123" s="1074">
        <f t="shared" si="215"/>
        <v>103.56164383561642</v>
      </c>
      <c r="BN123" s="1074">
        <f t="shared" si="216"/>
        <v>103.56164383561642</v>
      </c>
      <c r="BO123" s="1074">
        <f t="shared" si="217"/>
        <v>103.56164383561642</v>
      </c>
      <c r="BP123" s="1074">
        <f t="shared" si="218"/>
        <v>103.56164383561642</v>
      </c>
      <c r="BQ123" s="949"/>
      <c r="BR123" s="950"/>
      <c r="BU123" s="922"/>
      <c r="BV123" s="921"/>
      <c r="BW123" s="921"/>
      <c r="BX123" s="921"/>
    </row>
    <row r="124" spans="1:76" ht="12.75" customHeight="1">
      <c r="A124" s="923"/>
      <c r="B124" s="924"/>
      <c r="C124" s="1122" t="s">
        <v>711</v>
      </c>
      <c r="D124" s="1122"/>
      <c r="E124" s="1122"/>
      <c r="F124" s="1124"/>
      <c r="G124" s="1160" t="str">
        <f t="shared" si="227"/>
        <v/>
      </c>
      <c r="H124" s="1161" t="str">
        <f t="shared" si="227"/>
        <v/>
      </c>
      <c r="I124" s="1161" t="str">
        <f t="shared" si="227"/>
        <v/>
      </c>
      <c r="J124" s="1162" t="str">
        <f t="shared" si="227"/>
        <v/>
      </c>
      <c r="K124" s="1160" t="str">
        <f t="shared" si="227"/>
        <v/>
      </c>
      <c r="L124" s="1161" t="str">
        <f t="shared" si="227"/>
        <v/>
      </c>
      <c r="M124" s="1161" t="str">
        <f t="shared" si="227"/>
        <v/>
      </c>
      <c r="N124" s="1162" t="str">
        <f t="shared" si="227"/>
        <v/>
      </c>
      <c r="O124" s="1160">
        <f t="shared" si="227"/>
        <v>89</v>
      </c>
      <c r="P124" s="1161">
        <f t="shared" si="227"/>
        <v>286.33333333333331</v>
      </c>
      <c r="Q124" s="1161">
        <f t="shared" si="227"/>
        <v>385</v>
      </c>
      <c r="R124" s="1165">
        <f t="shared" si="227"/>
        <v>227</v>
      </c>
      <c r="S124" s="1163">
        <f t="shared" si="227"/>
        <v>148</v>
      </c>
      <c r="T124" s="1161">
        <f t="shared" si="227"/>
        <v>374</v>
      </c>
      <c r="U124" s="1164">
        <f t="shared" si="227"/>
        <v>487</v>
      </c>
      <c r="V124" s="1165">
        <f t="shared" si="227"/>
        <v>326.33333333333331</v>
      </c>
      <c r="W124" s="1164">
        <f t="shared" si="227"/>
        <v>246</v>
      </c>
      <c r="X124" s="1161">
        <f t="shared" si="227"/>
        <v>437.33333333333331</v>
      </c>
      <c r="Y124" s="1164">
        <f t="shared" si="227"/>
        <v>533</v>
      </c>
      <c r="Z124" s="1165">
        <f t="shared" si="227"/>
        <v>374.05022831050229</v>
      </c>
      <c r="AA124" s="1164">
        <f t="shared" si="227"/>
        <v>294.57534246575347</v>
      </c>
      <c r="AB124" s="1161">
        <f t="shared" si="227"/>
        <v>441.20547945205482</v>
      </c>
      <c r="AC124" s="1164">
        <f t="shared" si="227"/>
        <v>514.52054794520552</v>
      </c>
      <c r="AD124" s="1165">
        <f t="shared" si="227"/>
        <v>299.28767123287673</v>
      </c>
      <c r="AE124" s="1164">
        <f t="shared" si="227"/>
        <v>191.67123287671237</v>
      </c>
      <c r="AF124" s="1161">
        <f t="shared" si="227"/>
        <v>304.76712328767127</v>
      </c>
      <c r="AG124" s="1164">
        <f t="shared" si="227"/>
        <v>361.3150684931507</v>
      </c>
      <c r="AH124" s="1165">
        <f t="shared" si="227"/>
        <v>197.15068493150685</v>
      </c>
      <c r="AI124" s="1166">
        <f t="shared" si="222"/>
        <v>115.06849315068493</v>
      </c>
      <c r="AJ124" s="1166">
        <f t="shared" si="222"/>
        <v>306.84931506849313</v>
      </c>
      <c r="AK124" s="1166">
        <f t="shared" si="222"/>
        <v>402.73972602739724</v>
      </c>
      <c r="AL124" s="1165">
        <f t="shared" si="222"/>
        <v>240.10958904109589</v>
      </c>
      <c r="AM124" s="1166">
        <f t="shared" si="222"/>
        <v>158.79452054794521</v>
      </c>
      <c r="AN124" s="1166">
        <f t="shared" si="222"/>
        <v>321.42465753424653</v>
      </c>
      <c r="AO124" s="1166">
        <f t="shared" si="222"/>
        <v>402.73972602739724</v>
      </c>
      <c r="AP124" s="1165">
        <f t="shared" si="222"/>
        <v>240.10958904109589</v>
      </c>
      <c r="AQ124" s="1166">
        <f t="shared" ref="AQ124:AX124" si="231">IF(ISBLANK(AQ267),"",AQ267)</f>
        <v>158.79452054794521</v>
      </c>
      <c r="AR124" s="1166">
        <f t="shared" si="231"/>
        <v>321.42465753424653</v>
      </c>
      <c r="AS124" s="1166">
        <f t="shared" si="231"/>
        <v>402.73972602739724</v>
      </c>
      <c r="AT124" s="1165">
        <f t="shared" si="231"/>
        <v>240.10958904109589</v>
      </c>
      <c r="AU124" s="1166">
        <f t="shared" si="231"/>
        <v>158.79452054794521</v>
      </c>
      <c r="AV124" s="1166">
        <f t="shared" si="231"/>
        <v>321.42465753424653</v>
      </c>
      <c r="AW124" s="1166">
        <f t="shared" si="231"/>
        <v>402.73972602739724</v>
      </c>
      <c r="AX124" s="1165">
        <f t="shared" si="231"/>
        <v>240.10958904109589</v>
      </c>
      <c r="AY124" s="1166">
        <f t="shared" si="202"/>
        <v>158.79452054794521</v>
      </c>
      <c r="AZ124" s="1166">
        <f t="shared" si="202"/>
        <v>321.42465753424653</v>
      </c>
      <c r="BA124" s="1166">
        <f t="shared" si="202"/>
        <v>402.73972602739724</v>
      </c>
      <c r="BB124" s="1165">
        <f t="shared" si="202"/>
        <v>240.10958904109589</v>
      </c>
      <c r="BC124" s="974"/>
      <c r="BD124" s="974"/>
      <c r="BE124" s="1074"/>
      <c r="BF124" s="1074"/>
      <c r="BG124" s="1074">
        <f t="shared" si="209"/>
        <v>246.83333333333331</v>
      </c>
      <c r="BH124" s="1074">
        <f t="shared" si="210"/>
        <v>333.83333333333331</v>
      </c>
      <c r="BI124" s="1074">
        <f t="shared" si="211"/>
        <v>397.59589041095887</v>
      </c>
      <c r="BJ124" s="1074">
        <f t="shared" si="212"/>
        <v>387.39726027397262</v>
      </c>
      <c r="BK124" s="1074">
        <f t="shared" si="213"/>
        <v>263.72602739726034</v>
      </c>
      <c r="BL124" s="1074">
        <f t="shared" si="214"/>
        <v>266.1917808219178</v>
      </c>
      <c r="BM124" s="1074">
        <f t="shared" si="215"/>
        <v>280.76712328767121</v>
      </c>
      <c r="BN124" s="1074">
        <f t="shared" si="216"/>
        <v>280.76712328767121</v>
      </c>
      <c r="BO124" s="1074">
        <f t="shared" si="217"/>
        <v>280.76712328767121</v>
      </c>
      <c r="BP124" s="1074">
        <f t="shared" si="218"/>
        <v>280.76712328767121</v>
      </c>
      <c r="BQ124" s="949"/>
      <c r="BR124" s="950"/>
      <c r="BU124" s="922"/>
      <c r="BV124" s="921"/>
      <c r="BW124" s="921"/>
      <c r="BX124" s="921"/>
    </row>
    <row r="125" spans="1:76" ht="12.75" customHeight="1">
      <c r="A125" s="923"/>
      <c r="B125" s="924"/>
      <c r="C125" s="1122" t="s">
        <v>603</v>
      </c>
      <c r="D125" s="1122"/>
      <c r="E125" s="1122"/>
      <c r="F125" s="1124"/>
      <c r="G125" s="1160" t="str">
        <f t="shared" si="227"/>
        <v/>
      </c>
      <c r="H125" s="1161" t="str">
        <f t="shared" si="227"/>
        <v/>
      </c>
      <c r="I125" s="1161" t="str">
        <f t="shared" si="227"/>
        <v/>
      </c>
      <c r="J125" s="1162" t="str">
        <f t="shared" si="227"/>
        <v/>
      </c>
      <c r="K125" s="1160" t="str">
        <f t="shared" si="227"/>
        <v/>
      </c>
      <c r="L125" s="1161" t="str">
        <f t="shared" si="227"/>
        <v/>
      </c>
      <c r="M125" s="1161" t="str">
        <f t="shared" si="227"/>
        <v/>
      </c>
      <c r="N125" s="1162" t="str">
        <f t="shared" si="227"/>
        <v/>
      </c>
      <c r="O125" s="1160">
        <f t="shared" si="227"/>
        <v>110</v>
      </c>
      <c r="P125" s="1161">
        <f t="shared" si="227"/>
        <v>78.819999999999993</v>
      </c>
      <c r="Q125" s="1161">
        <f t="shared" si="227"/>
        <v>16.46</v>
      </c>
      <c r="R125" s="1165">
        <f t="shared" si="227"/>
        <v>16.46</v>
      </c>
      <c r="S125" s="1163">
        <f t="shared" si="227"/>
        <v>16.46</v>
      </c>
      <c r="T125" s="1164">
        <f t="shared" si="227"/>
        <v>20.216666666666669</v>
      </c>
      <c r="U125" s="1164">
        <f t="shared" si="227"/>
        <v>27.73</v>
      </c>
      <c r="V125" s="1165">
        <f t="shared" si="227"/>
        <v>27.73</v>
      </c>
      <c r="W125" s="1164">
        <f t="shared" si="227"/>
        <v>27.73</v>
      </c>
      <c r="X125" s="1164">
        <f t="shared" si="227"/>
        <v>60.483333333333327</v>
      </c>
      <c r="Y125" s="1164">
        <f t="shared" si="227"/>
        <v>125.99</v>
      </c>
      <c r="Z125" s="1165">
        <f t="shared" si="227"/>
        <v>125.99</v>
      </c>
      <c r="AA125" s="1164">
        <f t="shared" si="227"/>
        <v>125.99</v>
      </c>
      <c r="AB125" s="1164">
        <f t="shared" si="227"/>
        <v>129.32666666666668</v>
      </c>
      <c r="AC125" s="1164">
        <f t="shared" si="227"/>
        <v>357</v>
      </c>
      <c r="AD125" s="1165">
        <f t="shared" si="227"/>
        <v>357</v>
      </c>
      <c r="AE125" s="1164">
        <f t="shared" si="227"/>
        <v>357</v>
      </c>
      <c r="AF125" s="1161">
        <f t="shared" si="227"/>
        <v>276.07666666666665</v>
      </c>
      <c r="AG125" s="1164">
        <f t="shared" si="227"/>
        <v>114.23</v>
      </c>
      <c r="AH125" s="1165">
        <f t="shared" si="227"/>
        <v>114.23</v>
      </c>
      <c r="AI125" s="1166">
        <f t="shared" si="222"/>
        <v>114.23</v>
      </c>
      <c r="AJ125" s="1166">
        <f t="shared" si="222"/>
        <v>116.15333333333334</v>
      </c>
      <c r="AK125" s="1166">
        <f t="shared" si="222"/>
        <v>120</v>
      </c>
      <c r="AL125" s="1165">
        <f t="shared" si="222"/>
        <v>120</v>
      </c>
      <c r="AM125" s="1166">
        <f t="shared" si="222"/>
        <v>120</v>
      </c>
      <c r="AN125" s="1166">
        <f t="shared" si="222"/>
        <v>134.92333333333335</v>
      </c>
      <c r="AO125" s="1166">
        <f t="shared" si="222"/>
        <v>164.77</v>
      </c>
      <c r="AP125" s="1165">
        <f t="shared" si="222"/>
        <v>164.77</v>
      </c>
      <c r="AQ125" s="1166">
        <f t="shared" ref="AQ125:AX125" si="232">IF(ISBLANK(AQ268),"",AQ268)</f>
        <v>164.77</v>
      </c>
      <c r="AR125" s="1166">
        <f t="shared" si="232"/>
        <v>143.18</v>
      </c>
      <c r="AS125" s="1166">
        <f t="shared" si="232"/>
        <v>100</v>
      </c>
      <c r="AT125" s="1165">
        <f t="shared" si="232"/>
        <v>100</v>
      </c>
      <c r="AU125" s="1166">
        <f t="shared" si="232"/>
        <v>100</v>
      </c>
      <c r="AV125" s="1166">
        <f t="shared" si="232"/>
        <v>100</v>
      </c>
      <c r="AW125" s="1166">
        <f t="shared" si="232"/>
        <v>76.53</v>
      </c>
      <c r="AX125" s="1165">
        <f t="shared" si="232"/>
        <v>76.53</v>
      </c>
      <c r="AY125" s="1166">
        <f t="shared" si="202"/>
        <v>76.53</v>
      </c>
      <c r="AZ125" s="1166">
        <f t="shared" si="202"/>
        <v>76.53</v>
      </c>
      <c r="BA125" s="1166">
        <f t="shared" si="202"/>
        <v>76.53</v>
      </c>
      <c r="BB125" s="1165">
        <f t="shared" si="202"/>
        <v>76.53</v>
      </c>
      <c r="BC125" s="974"/>
      <c r="BD125" s="974"/>
      <c r="BE125" s="1074"/>
      <c r="BF125" s="1074"/>
      <c r="BG125" s="1074">
        <f t="shared" si="209"/>
        <v>55.435000000000002</v>
      </c>
      <c r="BH125" s="1074">
        <f t="shared" si="210"/>
        <v>23.034166666666668</v>
      </c>
      <c r="BI125" s="1074">
        <f t="shared" si="211"/>
        <v>85.048333333333332</v>
      </c>
      <c r="BJ125" s="1074">
        <f t="shared" si="212"/>
        <v>242.32916666666665</v>
      </c>
      <c r="BK125" s="1074">
        <f t="shared" si="213"/>
        <v>215.38416666666666</v>
      </c>
      <c r="BL125" s="1074">
        <f t="shared" si="214"/>
        <v>117.59583333333333</v>
      </c>
      <c r="BM125" s="1074">
        <f t="shared" si="215"/>
        <v>146.11583333333334</v>
      </c>
      <c r="BN125" s="1074">
        <f t="shared" si="216"/>
        <v>126.98750000000001</v>
      </c>
      <c r="BO125" s="1074">
        <f t="shared" si="217"/>
        <v>88.264999999999986</v>
      </c>
      <c r="BP125" s="1074">
        <f t="shared" si="218"/>
        <v>76.53</v>
      </c>
      <c r="BQ125" s="949"/>
      <c r="BR125" s="950"/>
      <c r="BU125" s="922"/>
      <c r="BV125" s="921"/>
      <c r="BW125" s="921"/>
      <c r="BX125" s="921"/>
    </row>
    <row r="126" spans="1:76" ht="12.75" customHeight="1">
      <c r="A126" s="923"/>
      <c r="B126" s="924"/>
      <c r="C126" s="1122" t="s">
        <v>458</v>
      </c>
      <c r="D126" s="1122"/>
      <c r="E126" s="1122"/>
      <c r="F126" s="1124"/>
      <c r="G126" s="1160" t="str">
        <f t="shared" si="227"/>
        <v/>
      </c>
      <c r="H126" s="1161" t="str">
        <f t="shared" si="227"/>
        <v/>
      </c>
      <c r="I126" s="1161" t="str">
        <f t="shared" si="227"/>
        <v/>
      </c>
      <c r="J126" s="1162" t="str">
        <f t="shared" si="227"/>
        <v/>
      </c>
      <c r="K126" s="1160" t="str">
        <f t="shared" si="227"/>
        <v/>
      </c>
      <c r="L126" s="1161" t="str">
        <f t="shared" si="227"/>
        <v/>
      </c>
      <c r="M126" s="1161" t="str">
        <f t="shared" si="227"/>
        <v/>
      </c>
      <c r="N126" s="1162" t="str">
        <f t="shared" si="227"/>
        <v/>
      </c>
      <c r="O126" s="1160">
        <f t="shared" si="227"/>
        <v>0</v>
      </c>
      <c r="P126" s="1161">
        <f t="shared" si="227"/>
        <v>0</v>
      </c>
      <c r="Q126" s="1161">
        <f t="shared" si="227"/>
        <v>0</v>
      </c>
      <c r="R126" s="1165">
        <f t="shared" si="227"/>
        <v>0</v>
      </c>
      <c r="S126" s="1163">
        <f t="shared" si="227"/>
        <v>0.1</v>
      </c>
      <c r="T126" s="1164">
        <f t="shared" si="227"/>
        <v>0.41666666666666669</v>
      </c>
      <c r="U126" s="1164">
        <f t="shared" si="227"/>
        <v>1.05</v>
      </c>
      <c r="V126" s="1165">
        <f t="shared" si="227"/>
        <v>1.05</v>
      </c>
      <c r="W126" s="1164">
        <f t="shared" si="227"/>
        <v>1.05</v>
      </c>
      <c r="X126" s="1164">
        <f t="shared" si="227"/>
        <v>11.516666666666666</v>
      </c>
      <c r="Y126" s="1164">
        <f t="shared" si="227"/>
        <v>16.75</v>
      </c>
      <c r="Z126" s="1165">
        <f t="shared" si="227"/>
        <v>16.75</v>
      </c>
      <c r="AA126" s="1164">
        <f t="shared" si="227"/>
        <v>16.75</v>
      </c>
      <c r="AB126" s="1164">
        <f t="shared" si="227"/>
        <v>105.58333333333333</v>
      </c>
      <c r="AC126" s="1164">
        <f t="shared" si="227"/>
        <v>150</v>
      </c>
      <c r="AD126" s="1165">
        <f t="shared" si="227"/>
        <v>150</v>
      </c>
      <c r="AE126" s="1164">
        <f t="shared" si="227"/>
        <v>150</v>
      </c>
      <c r="AF126" s="1164">
        <f t="shared" si="227"/>
        <v>150</v>
      </c>
      <c r="AG126" s="1164">
        <f t="shared" si="227"/>
        <v>150</v>
      </c>
      <c r="AH126" s="1165">
        <f t="shared" si="227"/>
        <v>150</v>
      </c>
      <c r="AI126" s="1166">
        <f t="shared" si="222"/>
        <v>150</v>
      </c>
      <c r="AJ126" s="1166">
        <f t="shared" si="222"/>
        <v>150</v>
      </c>
      <c r="AK126" s="1166">
        <f t="shared" si="222"/>
        <v>150</v>
      </c>
      <c r="AL126" s="1165">
        <f t="shared" si="222"/>
        <v>150</v>
      </c>
      <c r="AM126" s="1166">
        <f t="shared" si="222"/>
        <v>150</v>
      </c>
      <c r="AN126" s="1166">
        <f t="shared" si="222"/>
        <v>150</v>
      </c>
      <c r="AO126" s="1166">
        <f t="shared" si="222"/>
        <v>150</v>
      </c>
      <c r="AP126" s="1165">
        <f t="shared" si="222"/>
        <v>150</v>
      </c>
      <c r="AQ126" s="1166">
        <f t="shared" ref="AQ126:AX126" si="233">IF(ISBLANK(AQ269),"",AQ269)</f>
        <v>150</v>
      </c>
      <c r="AR126" s="1166">
        <f t="shared" si="233"/>
        <v>150</v>
      </c>
      <c r="AS126" s="1166">
        <f t="shared" si="233"/>
        <v>150</v>
      </c>
      <c r="AT126" s="1165">
        <f t="shared" si="233"/>
        <v>150</v>
      </c>
      <c r="AU126" s="1166">
        <f t="shared" si="233"/>
        <v>150</v>
      </c>
      <c r="AV126" s="1166">
        <f t="shared" si="233"/>
        <v>150</v>
      </c>
      <c r="AW126" s="1166">
        <f t="shared" si="233"/>
        <v>150</v>
      </c>
      <c r="AX126" s="1165">
        <f t="shared" si="233"/>
        <v>150</v>
      </c>
      <c r="AY126" s="1166">
        <f t="shared" si="202"/>
        <v>150</v>
      </c>
      <c r="AZ126" s="1166">
        <f t="shared" si="202"/>
        <v>150</v>
      </c>
      <c r="BA126" s="1166">
        <f t="shared" si="202"/>
        <v>150</v>
      </c>
      <c r="BB126" s="1165">
        <f t="shared" si="202"/>
        <v>150</v>
      </c>
      <c r="BC126" s="974"/>
      <c r="BD126" s="974"/>
      <c r="BE126" s="1074"/>
      <c r="BF126" s="1074"/>
      <c r="BG126" s="1074">
        <f t="shared" si="209"/>
        <v>0</v>
      </c>
      <c r="BH126" s="1074">
        <f t="shared" si="210"/>
        <v>0.65416666666666679</v>
      </c>
      <c r="BI126" s="1074">
        <f t="shared" si="211"/>
        <v>11.516666666666666</v>
      </c>
      <c r="BJ126" s="1074">
        <f t="shared" si="212"/>
        <v>105.58333333333333</v>
      </c>
      <c r="BK126" s="1074">
        <f t="shared" si="213"/>
        <v>150</v>
      </c>
      <c r="BL126" s="1074">
        <f t="shared" si="214"/>
        <v>150</v>
      </c>
      <c r="BM126" s="1074">
        <f t="shared" si="215"/>
        <v>150</v>
      </c>
      <c r="BN126" s="1074">
        <f t="shared" si="216"/>
        <v>150</v>
      </c>
      <c r="BO126" s="1074">
        <f t="shared" si="217"/>
        <v>150</v>
      </c>
      <c r="BP126" s="1074">
        <f t="shared" si="218"/>
        <v>150</v>
      </c>
      <c r="BQ126" s="949"/>
      <c r="BR126" s="950"/>
      <c r="BU126" s="922"/>
      <c r="BV126" s="921"/>
      <c r="BW126" s="921"/>
      <c r="BX126" s="921"/>
    </row>
    <row r="127" spans="1:76" ht="12.75" customHeight="1">
      <c r="A127" s="923"/>
      <c r="B127" s="924"/>
      <c r="C127" s="1122" t="s">
        <v>459</v>
      </c>
      <c r="D127" s="1122"/>
      <c r="E127" s="1122"/>
      <c r="F127" s="1124"/>
      <c r="G127" s="1160" t="str">
        <f t="shared" si="227"/>
        <v/>
      </c>
      <c r="H127" s="1161" t="str">
        <f t="shared" si="227"/>
        <v/>
      </c>
      <c r="I127" s="1161" t="str">
        <f t="shared" si="227"/>
        <v/>
      </c>
      <c r="J127" s="1162" t="str">
        <f t="shared" si="227"/>
        <v/>
      </c>
      <c r="K127" s="1160" t="str">
        <f t="shared" si="227"/>
        <v/>
      </c>
      <c r="L127" s="1161" t="str">
        <f t="shared" si="227"/>
        <v/>
      </c>
      <c r="M127" s="1161" t="str">
        <f t="shared" si="227"/>
        <v/>
      </c>
      <c r="N127" s="1162" t="str">
        <f t="shared" si="227"/>
        <v/>
      </c>
      <c r="O127" s="1160">
        <f t="shared" si="227"/>
        <v>102.54</v>
      </c>
      <c r="P127" s="1161">
        <f t="shared" si="227"/>
        <v>96.14</v>
      </c>
      <c r="Q127" s="1161">
        <f t="shared" si="227"/>
        <v>83.34</v>
      </c>
      <c r="R127" s="1165">
        <f t="shared" si="227"/>
        <v>83.34</v>
      </c>
      <c r="S127" s="1163">
        <f t="shared" si="227"/>
        <v>83.34</v>
      </c>
      <c r="T127" s="1164">
        <f t="shared" si="227"/>
        <v>83.13333333333334</v>
      </c>
      <c r="U127" s="1164">
        <f t="shared" si="227"/>
        <v>82.72</v>
      </c>
      <c r="V127" s="1165">
        <f t="shared" si="227"/>
        <v>82.72</v>
      </c>
      <c r="W127" s="1164">
        <f t="shared" si="227"/>
        <v>82.72</v>
      </c>
      <c r="X127" s="1164">
        <f t="shared" si="227"/>
        <v>86.433333333333337</v>
      </c>
      <c r="Y127" s="1164">
        <f t="shared" si="227"/>
        <v>93.86</v>
      </c>
      <c r="Z127" s="1165">
        <f t="shared" si="227"/>
        <v>93.86</v>
      </c>
      <c r="AA127" s="1164">
        <f t="shared" si="227"/>
        <v>93.86</v>
      </c>
      <c r="AB127" s="1164">
        <f t="shared" si="227"/>
        <v>96.874703196347028</v>
      </c>
      <c r="AC127" s="1164">
        <f t="shared" si="227"/>
        <v>102.9041095890411</v>
      </c>
      <c r="AD127" s="1165">
        <f t="shared" si="227"/>
        <v>102.9041095890411</v>
      </c>
      <c r="AE127" s="1164">
        <f t="shared" si="227"/>
        <v>103</v>
      </c>
      <c r="AF127" s="1164">
        <f t="shared" si="227"/>
        <v>98.89</v>
      </c>
      <c r="AG127" s="1164">
        <f t="shared" si="227"/>
        <v>94.78</v>
      </c>
      <c r="AH127" s="1165">
        <f t="shared" si="227"/>
        <v>94.78</v>
      </c>
      <c r="AI127" s="1166">
        <f t="shared" si="222"/>
        <v>94.78</v>
      </c>
      <c r="AJ127" s="1166">
        <f t="shared" si="222"/>
        <v>140.17296803652968</v>
      </c>
      <c r="AK127" s="1166">
        <f t="shared" si="222"/>
        <v>230.95890410958907</v>
      </c>
      <c r="AL127" s="1165">
        <f t="shared" si="222"/>
        <v>230.95890410958907</v>
      </c>
      <c r="AM127" s="1166">
        <f t="shared" si="222"/>
        <v>230.95890410958907</v>
      </c>
      <c r="AN127" s="1166">
        <f t="shared" si="222"/>
        <v>258.63013698630141</v>
      </c>
      <c r="AO127" s="1166">
        <f t="shared" si="222"/>
        <v>313.97260273972609</v>
      </c>
      <c r="AP127" s="1165">
        <f t="shared" si="222"/>
        <v>313.97260273972609</v>
      </c>
      <c r="AQ127" s="1166">
        <f t="shared" ref="AQ127:AX127" si="234">IF(ISBLANK(AQ270),"",AQ270)</f>
        <v>313.97260273972609</v>
      </c>
      <c r="AR127" s="1166">
        <f t="shared" si="234"/>
        <v>286.35616438356169</v>
      </c>
      <c r="AS127" s="1166">
        <f t="shared" si="234"/>
        <v>231.12328767123287</v>
      </c>
      <c r="AT127" s="1165">
        <f t="shared" si="234"/>
        <v>231.12328767123287</v>
      </c>
      <c r="AU127" s="1166">
        <f t="shared" si="234"/>
        <v>231.12328767123287</v>
      </c>
      <c r="AV127" s="1166">
        <f t="shared" si="234"/>
        <v>212.13150684931506</v>
      </c>
      <c r="AW127" s="1166">
        <f t="shared" si="234"/>
        <v>174.14794520547943</v>
      </c>
      <c r="AX127" s="1165">
        <f t="shared" si="234"/>
        <v>174.14794520547943</v>
      </c>
      <c r="AY127" s="1166">
        <f t="shared" si="202"/>
        <v>174.14794520547943</v>
      </c>
      <c r="AZ127" s="1166">
        <f t="shared" si="202"/>
        <v>174.14794520547943</v>
      </c>
      <c r="BA127" s="1166">
        <f t="shared" si="202"/>
        <v>174.14794520547943</v>
      </c>
      <c r="BB127" s="1165">
        <f t="shared" si="202"/>
        <v>174.14794520547943</v>
      </c>
      <c r="BC127" s="974"/>
      <c r="BD127" s="974"/>
      <c r="BE127" s="1074"/>
      <c r="BF127" s="1074"/>
      <c r="BG127" s="1074">
        <f t="shared" si="209"/>
        <v>91.34</v>
      </c>
      <c r="BH127" s="1074">
        <f t="shared" si="210"/>
        <v>82.978333333333339</v>
      </c>
      <c r="BI127" s="1074">
        <f t="shared" si="211"/>
        <v>89.218333333333334</v>
      </c>
      <c r="BJ127" s="1074">
        <f t="shared" si="212"/>
        <v>99.13573059360732</v>
      </c>
      <c r="BK127" s="1074">
        <f t="shared" si="213"/>
        <v>97.862499999999983</v>
      </c>
      <c r="BL127" s="1074">
        <f t="shared" si="214"/>
        <v>174.21769406392696</v>
      </c>
      <c r="BM127" s="1074">
        <f t="shared" si="215"/>
        <v>279.38356164383566</v>
      </c>
      <c r="BN127" s="1074">
        <f t="shared" si="216"/>
        <v>265.64383561643837</v>
      </c>
      <c r="BO127" s="1074">
        <f t="shared" si="217"/>
        <v>197.8876712328767</v>
      </c>
      <c r="BP127" s="1074">
        <f t="shared" si="218"/>
        <v>174.14794520547943</v>
      </c>
      <c r="BQ127" s="949"/>
      <c r="BR127" s="950"/>
      <c r="BU127" s="922"/>
      <c r="BV127" s="921"/>
      <c r="BW127" s="921"/>
      <c r="BX127" s="921"/>
    </row>
    <row r="128" spans="1:76" ht="12.75" customHeight="1">
      <c r="A128" s="923"/>
      <c r="B128" s="924"/>
      <c r="C128" s="1122" t="s">
        <v>460</v>
      </c>
      <c r="D128" s="1122"/>
      <c r="E128" s="1122"/>
      <c r="F128" s="1124"/>
      <c r="G128" s="1160" t="str">
        <f t="shared" si="227"/>
        <v/>
      </c>
      <c r="H128" s="1161" t="str">
        <f t="shared" si="227"/>
        <v/>
      </c>
      <c r="I128" s="1161" t="str">
        <f t="shared" si="227"/>
        <v/>
      </c>
      <c r="J128" s="1162" t="str">
        <f t="shared" si="227"/>
        <v/>
      </c>
      <c r="K128" s="1160" t="str">
        <f t="shared" si="227"/>
        <v/>
      </c>
      <c r="L128" s="1161" t="str">
        <f t="shared" si="227"/>
        <v/>
      </c>
      <c r="M128" s="1161" t="str">
        <f t="shared" si="227"/>
        <v/>
      </c>
      <c r="N128" s="1162" t="str">
        <f t="shared" si="227"/>
        <v/>
      </c>
      <c r="O128" s="1160">
        <f t="shared" si="227"/>
        <v>102.54</v>
      </c>
      <c r="P128" s="1161">
        <f t="shared" si="227"/>
        <v>96.14</v>
      </c>
      <c r="Q128" s="1161">
        <f t="shared" si="227"/>
        <v>83.34</v>
      </c>
      <c r="R128" s="1165">
        <f t="shared" si="227"/>
        <v>83.34</v>
      </c>
      <c r="S128" s="1163">
        <f t="shared" si="227"/>
        <v>83.34</v>
      </c>
      <c r="T128" s="1164">
        <f t="shared" si="227"/>
        <v>83.13333333333334</v>
      </c>
      <c r="U128" s="1164">
        <f t="shared" si="227"/>
        <v>82.72</v>
      </c>
      <c r="V128" s="1165">
        <f t="shared" si="227"/>
        <v>82.72</v>
      </c>
      <c r="W128" s="1164">
        <f t="shared" si="227"/>
        <v>82.72</v>
      </c>
      <c r="X128" s="1164">
        <f t="shared" si="227"/>
        <v>86.433333333333337</v>
      </c>
      <c r="Y128" s="1164">
        <f t="shared" si="227"/>
        <v>93.86</v>
      </c>
      <c r="Z128" s="1165">
        <f t="shared" si="227"/>
        <v>93.86</v>
      </c>
      <c r="AA128" s="1164">
        <f t="shared" si="227"/>
        <v>93.86</v>
      </c>
      <c r="AB128" s="1164">
        <f t="shared" si="227"/>
        <v>96.874703196347028</v>
      </c>
      <c r="AC128" s="1164">
        <f t="shared" si="227"/>
        <v>102.9041095890411</v>
      </c>
      <c r="AD128" s="1165">
        <f t="shared" si="227"/>
        <v>102.9041095890411</v>
      </c>
      <c r="AE128" s="1164">
        <f t="shared" si="227"/>
        <v>103</v>
      </c>
      <c r="AF128" s="1164">
        <f t="shared" si="227"/>
        <v>161</v>
      </c>
      <c r="AG128" s="1164">
        <f t="shared" si="227"/>
        <v>219</v>
      </c>
      <c r="AH128" s="1165">
        <f t="shared" si="227"/>
        <v>219</v>
      </c>
      <c r="AI128" s="1166">
        <f t="shared" si="222"/>
        <v>219</v>
      </c>
      <c r="AJ128" s="1166">
        <f t="shared" si="222"/>
        <v>310.38356164383561</v>
      </c>
      <c r="AK128" s="1166">
        <f t="shared" si="222"/>
        <v>493.15068493150687</v>
      </c>
      <c r="AL128" s="1165">
        <f t="shared" si="222"/>
        <v>493.15068493150687</v>
      </c>
      <c r="AM128" s="1166">
        <f t="shared" si="222"/>
        <v>493.15068493150687</v>
      </c>
      <c r="AN128" s="1166">
        <f t="shared" si="222"/>
        <v>433.42465753424653</v>
      </c>
      <c r="AO128" s="1166">
        <f t="shared" si="222"/>
        <v>313.97260273972609</v>
      </c>
      <c r="AP128" s="1165">
        <f t="shared" si="222"/>
        <v>313.97260273972609</v>
      </c>
      <c r="AQ128" s="1166">
        <f t="shared" ref="AQ128:AX128" si="235">IF(ISBLANK(AQ271),"",AQ271)</f>
        <v>313.97260273972609</v>
      </c>
      <c r="AR128" s="1166">
        <f t="shared" si="235"/>
        <v>286.35616438356169</v>
      </c>
      <c r="AS128" s="1166">
        <f t="shared" si="235"/>
        <v>231.12328767123287</v>
      </c>
      <c r="AT128" s="1165">
        <f t="shared" si="235"/>
        <v>231.12328767123287</v>
      </c>
      <c r="AU128" s="1166">
        <f t="shared" si="235"/>
        <v>231.12328767123287</v>
      </c>
      <c r="AV128" s="1166">
        <f t="shared" si="235"/>
        <v>212.13150684931506</v>
      </c>
      <c r="AW128" s="1166">
        <f t="shared" si="235"/>
        <v>174.14794520547943</v>
      </c>
      <c r="AX128" s="1165">
        <f t="shared" si="235"/>
        <v>174.14794520547943</v>
      </c>
      <c r="AY128" s="1166">
        <f t="shared" si="202"/>
        <v>174.14794520547943</v>
      </c>
      <c r="AZ128" s="1166">
        <f t="shared" si="202"/>
        <v>174.14794520547943</v>
      </c>
      <c r="BA128" s="1166">
        <f t="shared" si="202"/>
        <v>174.14794520547943</v>
      </c>
      <c r="BB128" s="1165">
        <f t="shared" si="202"/>
        <v>174.14794520547943</v>
      </c>
      <c r="BC128" s="974"/>
      <c r="BD128" s="974"/>
      <c r="BE128" s="1074"/>
      <c r="BF128" s="1074"/>
      <c r="BG128" s="1074">
        <f t="shared" si="209"/>
        <v>91.34</v>
      </c>
      <c r="BH128" s="1074">
        <f t="shared" si="210"/>
        <v>82.978333333333339</v>
      </c>
      <c r="BI128" s="1074">
        <f t="shared" si="211"/>
        <v>89.218333333333334</v>
      </c>
      <c r="BJ128" s="1074">
        <f t="shared" si="212"/>
        <v>99.13573059360732</v>
      </c>
      <c r="BK128" s="1074">
        <f t="shared" si="213"/>
        <v>175.5</v>
      </c>
      <c r="BL128" s="1074">
        <f t="shared" si="214"/>
        <v>378.92123287671234</v>
      </c>
      <c r="BM128" s="1074">
        <f t="shared" si="215"/>
        <v>388.63013698630141</v>
      </c>
      <c r="BN128" s="1074">
        <f t="shared" si="216"/>
        <v>265.64383561643837</v>
      </c>
      <c r="BO128" s="1074">
        <f t="shared" si="217"/>
        <v>197.8876712328767</v>
      </c>
      <c r="BP128" s="1074">
        <f t="shared" si="218"/>
        <v>174.14794520547943</v>
      </c>
      <c r="BQ128" s="949"/>
      <c r="BR128" s="950"/>
      <c r="BU128" s="922"/>
      <c r="BV128" s="921"/>
      <c r="BW128" s="921"/>
      <c r="BX128" s="921"/>
    </row>
    <row r="129" spans="1:76" ht="12.75" customHeight="1">
      <c r="A129" s="923"/>
      <c r="B129" s="924"/>
      <c r="C129" s="1189" t="s">
        <v>1041</v>
      </c>
      <c r="D129" s="1122"/>
      <c r="E129" s="1122"/>
      <c r="F129" s="1124"/>
      <c r="G129" s="1160" t="str">
        <f t="shared" si="227"/>
        <v/>
      </c>
      <c r="H129" s="1161" t="str">
        <f t="shared" si="227"/>
        <v/>
      </c>
      <c r="I129" s="1161" t="str">
        <f t="shared" si="227"/>
        <v/>
      </c>
      <c r="J129" s="1162" t="str">
        <f t="shared" si="227"/>
        <v/>
      </c>
      <c r="K129" s="1146" t="str">
        <f t="shared" si="227"/>
        <v/>
      </c>
      <c r="L129" s="1161" t="str">
        <f t="shared" si="227"/>
        <v/>
      </c>
      <c r="M129" s="1161" t="str">
        <f t="shared" si="227"/>
        <v/>
      </c>
      <c r="N129" s="1162" t="str">
        <f t="shared" si="227"/>
        <v/>
      </c>
      <c r="O129" s="1163">
        <f t="shared" ref="O129:W129" si="236">O123</f>
        <v>5</v>
      </c>
      <c r="P129" s="1164">
        <f t="shared" si="236"/>
        <v>29</v>
      </c>
      <c r="Q129" s="1164">
        <f t="shared" si="236"/>
        <v>41</v>
      </c>
      <c r="R129" s="1165">
        <f t="shared" si="236"/>
        <v>31.666666666666668</v>
      </c>
      <c r="S129" s="1163">
        <f t="shared" si="236"/>
        <v>27</v>
      </c>
      <c r="T129" s="1164">
        <f t="shared" si="236"/>
        <v>101</v>
      </c>
      <c r="U129" s="1164">
        <f t="shared" si="236"/>
        <v>138</v>
      </c>
      <c r="V129" s="1165">
        <f t="shared" si="236"/>
        <v>108.66666666666667</v>
      </c>
      <c r="W129" s="1164">
        <f t="shared" si="236"/>
        <v>94</v>
      </c>
      <c r="X129" s="1164">
        <f t="shared" ref="X129:AL129" si="237">(X124+X123)/2</f>
        <v>290.66666666666663</v>
      </c>
      <c r="Y129" s="1164">
        <f t="shared" si="237"/>
        <v>351</v>
      </c>
      <c r="Z129" s="1165">
        <f t="shared" si="237"/>
        <v>241.21917808219177</v>
      </c>
      <c r="AA129" s="1164">
        <f t="shared" si="237"/>
        <v>186.32876712328769</v>
      </c>
      <c r="AB129" s="1164">
        <f t="shared" si="237"/>
        <v>272.52054794520546</v>
      </c>
      <c r="AC129" s="1164">
        <f t="shared" si="237"/>
        <v>315.61643835616439</v>
      </c>
      <c r="AD129" s="1165">
        <f t="shared" si="237"/>
        <v>181.36986301369865</v>
      </c>
      <c r="AE129" s="1164">
        <f t="shared" si="237"/>
        <v>114.24657534246577</v>
      </c>
      <c r="AF129" s="1164">
        <f t="shared" si="237"/>
        <v>198.19178082191783</v>
      </c>
      <c r="AG129" s="1164">
        <f t="shared" si="237"/>
        <v>240.16438356164383</v>
      </c>
      <c r="AH129" s="1165">
        <f t="shared" si="237"/>
        <v>126.63013698630137</v>
      </c>
      <c r="AI129" s="1164">
        <f t="shared" si="237"/>
        <v>69.863013698630141</v>
      </c>
      <c r="AJ129" s="1164">
        <f t="shared" si="237"/>
        <v>204.10958904109589</v>
      </c>
      <c r="AK129" s="1164">
        <f t="shared" si="237"/>
        <v>271.23287671232879</v>
      </c>
      <c r="AL129" s="1165">
        <f t="shared" si="237"/>
        <v>157.58904109589042</v>
      </c>
      <c r="AM129" s="1164">
        <f t="shared" ref="AM129:AX129" si="238">(AM124+AM123)/2</f>
        <v>100.76712328767124</v>
      </c>
      <c r="AN129" s="1164">
        <f t="shared" si="238"/>
        <v>222.63013698630135</v>
      </c>
      <c r="AO129" s="1164">
        <f t="shared" si="238"/>
        <v>283.56164383561645</v>
      </c>
      <c r="AP129" s="1165">
        <f t="shared" si="238"/>
        <v>161.69863013698631</v>
      </c>
      <c r="AQ129" s="1164">
        <f t="shared" si="238"/>
        <v>100.76712328767124</v>
      </c>
      <c r="AR129" s="1164">
        <f t="shared" si="238"/>
        <v>222.63013698630135</v>
      </c>
      <c r="AS129" s="1164">
        <f t="shared" si="238"/>
        <v>283.56164383561645</v>
      </c>
      <c r="AT129" s="1165">
        <f t="shared" si="238"/>
        <v>161.69863013698631</v>
      </c>
      <c r="AU129" s="1164">
        <f t="shared" si="238"/>
        <v>100.76712328767124</v>
      </c>
      <c r="AV129" s="1164">
        <f t="shared" si="238"/>
        <v>222.63013698630135</v>
      </c>
      <c r="AW129" s="1164">
        <f t="shared" si="238"/>
        <v>283.56164383561645</v>
      </c>
      <c r="AX129" s="1165">
        <f t="shared" si="238"/>
        <v>161.69863013698631</v>
      </c>
      <c r="AY129" s="1164">
        <f>(AY124+AY123)/2</f>
        <v>100.76712328767124</v>
      </c>
      <c r="AZ129" s="1164">
        <f>(AZ124+AZ123)/2</f>
        <v>222.63013698630135</v>
      </c>
      <c r="BA129" s="1164">
        <f>(BA124+BA123)/2</f>
        <v>283.56164383561645</v>
      </c>
      <c r="BB129" s="1165">
        <f>(BB124+BB123)/2</f>
        <v>161.69863013698631</v>
      </c>
      <c r="BC129" s="974"/>
      <c r="BD129" s="974"/>
      <c r="BE129" s="1074"/>
      <c r="BF129" s="1074"/>
      <c r="BG129" s="1074">
        <f t="shared" si="209"/>
        <v>26.666666666666668</v>
      </c>
      <c r="BH129" s="1074">
        <f t="shared" si="210"/>
        <v>93.666666666666671</v>
      </c>
      <c r="BI129" s="1074">
        <f t="shared" si="211"/>
        <v>244.2214611872146</v>
      </c>
      <c r="BJ129" s="1074">
        <f t="shared" si="212"/>
        <v>238.95890410958907</v>
      </c>
      <c r="BK129" s="1074">
        <f t="shared" si="213"/>
        <v>169.80821917808223</v>
      </c>
      <c r="BL129" s="1074">
        <f t="shared" si="214"/>
        <v>175.69863013698631</v>
      </c>
      <c r="BM129" s="1074">
        <f t="shared" si="215"/>
        <v>192.16438356164383</v>
      </c>
      <c r="BN129" s="1074">
        <f t="shared" si="216"/>
        <v>192.16438356164383</v>
      </c>
      <c r="BO129" s="1074">
        <f t="shared" si="217"/>
        <v>192.16438356164383</v>
      </c>
      <c r="BP129" s="1074">
        <f t="shared" si="218"/>
        <v>192.16438356164383</v>
      </c>
      <c r="BQ129" s="949"/>
      <c r="BR129" s="950"/>
      <c r="BU129" s="922"/>
      <c r="BV129" s="921"/>
      <c r="BW129" s="921"/>
      <c r="BX129" s="921"/>
    </row>
    <row r="130" spans="1:76" ht="12.75" customHeight="1">
      <c r="A130" s="923"/>
      <c r="B130" s="924"/>
      <c r="C130" s="1189" t="s">
        <v>1042</v>
      </c>
      <c r="D130" s="1122"/>
      <c r="E130" s="1122"/>
      <c r="F130" s="1124"/>
      <c r="G130" s="1146" t="str">
        <f t="shared" si="227"/>
        <v/>
      </c>
      <c r="H130" s="1147" t="str">
        <f t="shared" si="227"/>
        <v/>
      </c>
      <c r="I130" s="1147" t="str">
        <f t="shared" si="227"/>
        <v/>
      </c>
      <c r="J130" s="1148" t="str">
        <f t="shared" si="227"/>
        <v/>
      </c>
      <c r="K130" s="1160" t="str">
        <f t="shared" si="227"/>
        <v/>
      </c>
      <c r="L130" s="1147" t="str">
        <f t="shared" si="227"/>
        <v/>
      </c>
      <c r="M130" s="1147" t="str">
        <f t="shared" si="227"/>
        <v/>
      </c>
      <c r="N130" s="1148" t="str">
        <f t="shared" si="227"/>
        <v/>
      </c>
      <c r="O130" s="1160">
        <f t="shared" si="227"/>
        <v>102.54</v>
      </c>
      <c r="P130" s="1161">
        <f t="shared" si="227"/>
        <v>96.14</v>
      </c>
      <c r="Q130" s="1161">
        <f t="shared" si="227"/>
        <v>83.34</v>
      </c>
      <c r="R130" s="1165">
        <f t="shared" si="227"/>
        <v>83.34</v>
      </c>
      <c r="S130" s="1163">
        <f t="shared" si="227"/>
        <v>83.34</v>
      </c>
      <c r="T130" s="1164">
        <f t="shared" si="227"/>
        <v>83.13333333333334</v>
      </c>
      <c r="U130" s="1164">
        <f t="shared" si="227"/>
        <v>82.72</v>
      </c>
      <c r="V130" s="1165">
        <f t="shared" si="227"/>
        <v>82.72</v>
      </c>
      <c r="W130" s="1164">
        <f t="shared" si="227"/>
        <v>82.72</v>
      </c>
      <c r="X130" s="1164">
        <f t="shared" si="227"/>
        <v>86.433333333333337</v>
      </c>
      <c r="Y130" s="1164">
        <f t="shared" si="227"/>
        <v>93.86</v>
      </c>
      <c r="Z130" s="1165">
        <f t="shared" si="227"/>
        <v>93.86</v>
      </c>
      <c r="AA130" s="1164">
        <f t="shared" si="227"/>
        <v>93.86</v>
      </c>
      <c r="AB130" s="1164">
        <f t="shared" si="227"/>
        <v>96.874703196347028</v>
      </c>
      <c r="AC130" s="1164">
        <f t="shared" si="227"/>
        <v>102.9041095890411</v>
      </c>
      <c r="AD130" s="1165">
        <f t="shared" ref="AD130:AP130" si="239">IF(ISBLANK(AD273),"",AD273)</f>
        <v>102.9041095890411</v>
      </c>
      <c r="AE130" s="1164">
        <f t="shared" si="239"/>
        <v>103</v>
      </c>
      <c r="AF130" s="1164">
        <f t="shared" si="239"/>
        <v>98.736666666666665</v>
      </c>
      <c r="AG130" s="1164">
        <f t="shared" si="239"/>
        <v>90.21</v>
      </c>
      <c r="AH130" s="1165">
        <f t="shared" si="239"/>
        <v>90.21</v>
      </c>
      <c r="AI130" s="1166">
        <f t="shared" si="239"/>
        <v>90.21</v>
      </c>
      <c r="AJ130" s="1166">
        <f t="shared" si="239"/>
        <v>137.126301369863</v>
      </c>
      <c r="AK130" s="1166">
        <f t="shared" si="239"/>
        <v>230.95890410958907</v>
      </c>
      <c r="AL130" s="1165">
        <f t="shared" si="239"/>
        <v>230.95890410958907</v>
      </c>
      <c r="AM130" s="1166">
        <f t="shared" si="239"/>
        <v>230.95890410958907</v>
      </c>
      <c r="AN130" s="1166">
        <f t="shared" si="239"/>
        <v>275.39726027397262</v>
      </c>
      <c r="AO130" s="1166">
        <f t="shared" si="239"/>
        <v>364.27397260273972</v>
      </c>
      <c r="AP130" s="1165">
        <f t="shared" si="239"/>
        <v>364.27397260273972</v>
      </c>
      <c r="AQ130" s="1166">
        <f t="shared" ref="AQ130:AX130" si="240">IF(ISBLANK(AQ273),"",AQ273)</f>
        <v>364.27397260273972</v>
      </c>
      <c r="AR130" s="1166">
        <f t="shared" si="240"/>
        <v>319.89041095890411</v>
      </c>
      <c r="AS130" s="1166">
        <f t="shared" si="240"/>
        <v>231.12328767123287</v>
      </c>
      <c r="AT130" s="1165">
        <f t="shared" si="240"/>
        <v>231.12328767123287</v>
      </c>
      <c r="AU130" s="1166">
        <f t="shared" si="240"/>
        <v>231.12328767123287</v>
      </c>
      <c r="AV130" s="1166">
        <f t="shared" si="240"/>
        <v>212.13150684931506</v>
      </c>
      <c r="AW130" s="1166">
        <f t="shared" si="240"/>
        <v>174.14794520547943</v>
      </c>
      <c r="AX130" s="1165">
        <f t="shared" si="240"/>
        <v>174.14794520547943</v>
      </c>
      <c r="AY130" s="1166">
        <f t="shared" ref="AY130:BB138" si="241">IF(ISBLANK(AY273),"",AY273)</f>
        <v>174.14794520547943</v>
      </c>
      <c r="AZ130" s="1166">
        <f t="shared" si="241"/>
        <v>174.14794520547943</v>
      </c>
      <c r="BA130" s="1166">
        <f t="shared" si="241"/>
        <v>174.14794520547943</v>
      </c>
      <c r="BB130" s="1165">
        <f t="shared" si="241"/>
        <v>174.14794520547943</v>
      </c>
      <c r="BC130" s="961"/>
      <c r="BD130" s="962"/>
      <c r="BE130" s="1054"/>
      <c r="BF130" s="1054"/>
      <c r="BG130" s="1054"/>
      <c r="BH130" s="1054"/>
      <c r="BI130" s="1054"/>
      <c r="BJ130" s="1054"/>
      <c r="BK130" s="1054"/>
      <c r="BL130" s="1054"/>
      <c r="BM130" s="1054"/>
      <c r="BN130" s="1054"/>
      <c r="BO130" s="1054"/>
      <c r="BP130" s="1054"/>
      <c r="BQ130" s="949"/>
      <c r="BR130" s="950"/>
      <c r="BU130" s="922"/>
      <c r="BV130" s="921"/>
      <c r="BW130" s="921"/>
      <c r="BX130" s="921"/>
    </row>
    <row r="131" spans="1:76" ht="12.75" customHeight="1">
      <c r="A131" s="923"/>
      <c r="B131" s="924"/>
      <c r="C131" s="1120" t="s">
        <v>797</v>
      </c>
      <c r="D131" s="1133"/>
      <c r="E131" s="1133"/>
      <c r="F131" s="1134"/>
      <c r="G131" s="1160" t="str">
        <f t="shared" ref="G131:AL138" si="242">IF(ISBLANK(G274),"",G274)</f>
        <v/>
      </c>
      <c r="H131" s="1161" t="str">
        <f t="shared" si="242"/>
        <v/>
      </c>
      <c r="I131" s="1161" t="str">
        <f t="shared" si="242"/>
        <v/>
      </c>
      <c r="J131" s="1162" t="str">
        <f t="shared" si="242"/>
        <v/>
      </c>
      <c r="K131" s="1160" t="str">
        <f t="shared" si="242"/>
        <v/>
      </c>
      <c r="L131" s="1161" t="str">
        <f t="shared" si="242"/>
        <v/>
      </c>
      <c r="M131" s="1161" t="str">
        <f t="shared" si="242"/>
        <v/>
      </c>
      <c r="N131" s="1162" t="str">
        <f t="shared" si="242"/>
        <v/>
      </c>
      <c r="O131" s="1160" t="str">
        <f t="shared" si="242"/>
        <v/>
      </c>
      <c r="P131" s="1161" t="str">
        <f t="shared" si="242"/>
        <v/>
      </c>
      <c r="Q131" s="1161" t="str">
        <f t="shared" si="242"/>
        <v/>
      </c>
      <c r="R131" s="1165" t="str">
        <f t="shared" si="242"/>
        <v/>
      </c>
      <c r="S131" s="1163" t="str">
        <f t="shared" si="242"/>
        <v/>
      </c>
      <c r="T131" s="1164" t="str">
        <f t="shared" si="242"/>
        <v/>
      </c>
      <c r="U131" s="1164" t="str">
        <f t="shared" si="242"/>
        <v/>
      </c>
      <c r="V131" s="1165" t="str">
        <f t="shared" si="242"/>
        <v/>
      </c>
      <c r="W131" s="1164" t="str">
        <f t="shared" si="242"/>
        <v/>
      </c>
      <c r="X131" s="1164" t="str">
        <f t="shared" si="242"/>
        <v/>
      </c>
      <c r="Y131" s="1164" t="str">
        <f t="shared" si="242"/>
        <v/>
      </c>
      <c r="Z131" s="1165" t="str">
        <f t="shared" si="242"/>
        <v/>
      </c>
      <c r="AA131" s="1164" t="str">
        <f t="shared" si="242"/>
        <v/>
      </c>
      <c r="AB131" s="1164" t="str">
        <f t="shared" si="242"/>
        <v/>
      </c>
      <c r="AC131" s="1164" t="str">
        <f t="shared" si="242"/>
        <v/>
      </c>
      <c r="AD131" s="1165" t="str">
        <f t="shared" si="242"/>
        <v/>
      </c>
      <c r="AE131" s="1164" t="str">
        <f t="shared" si="242"/>
        <v/>
      </c>
      <c r="AF131" s="1164" t="str">
        <f t="shared" si="242"/>
        <v/>
      </c>
      <c r="AG131" s="1164" t="str">
        <f t="shared" si="242"/>
        <v/>
      </c>
      <c r="AH131" s="1165" t="str">
        <f t="shared" si="242"/>
        <v/>
      </c>
      <c r="AI131" s="1166" t="str">
        <f t="shared" si="242"/>
        <v/>
      </c>
      <c r="AJ131" s="1166" t="str">
        <f t="shared" si="242"/>
        <v/>
      </c>
      <c r="AK131" s="1166" t="str">
        <f t="shared" si="242"/>
        <v/>
      </c>
      <c r="AL131" s="1165" t="str">
        <f t="shared" si="242"/>
        <v/>
      </c>
      <c r="AM131" s="1166" t="str">
        <f t="shared" ref="AM131:AP138" si="243">IF(ISBLANK(AM274),"",AM274)</f>
        <v/>
      </c>
      <c r="AN131" s="1166" t="str">
        <f t="shared" si="243"/>
        <v/>
      </c>
      <c r="AO131" s="1166" t="str">
        <f t="shared" si="243"/>
        <v/>
      </c>
      <c r="AP131" s="1165" t="str">
        <f t="shared" si="243"/>
        <v/>
      </c>
      <c r="AQ131" s="1166" t="str">
        <f t="shared" ref="AQ131:AX131" si="244">IF(ISBLANK(AQ274),"",AQ274)</f>
        <v/>
      </c>
      <c r="AR131" s="1166" t="str">
        <f t="shared" si="244"/>
        <v/>
      </c>
      <c r="AS131" s="1166" t="str">
        <f t="shared" si="244"/>
        <v/>
      </c>
      <c r="AT131" s="1165" t="str">
        <f t="shared" si="244"/>
        <v/>
      </c>
      <c r="AU131" s="1166" t="str">
        <f t="shared" si="244"/>
        <v/>
      </c>
      <c r="AV131" s="1166" t="str">
        <f t="shared" si="244"/>
        <v/>
      </c>
      <c r="AW131" s="1166" t="str">
        <f t="shared" si="244"/>
        <v/>
      </c>
      <c r="AX131" s="1165" t="str">
        <f t="shared" si="244"/>
        <v/>
      </c>
      <c r="AY131" s="1166" t="str">
        <f t="shared" si="241"/>
        <v/>
      </c>
      <c r="AZ131" s="1166" t="str">
        <f t="shared" si="241"/>
        <v/>
      </c>
      <c r="BA131" s="1166" t="str">
        <f t="shared" si="241"/>
        <v/>
      </c>
      <c r="BB131" s="1165" t="str">
        <f t="shared" si="241"/>
        <v/>
      </c>
      <c r="BC131" s="974"/>
      <c r="BD131" s="974"/>
      <c r="BE131" s="1074"/>
      <c r="BF131" s="1074"/>
      <c r="BG131" s="1074"/>
      <c r="BH131" s="1074"/>
      <c r="BI131" s="1074"/>
      <c r="BJ131" s="1074"/>
      <c r="BK131" s="1074"/>
      <c r="BL131" s="1074"/>
      <c r="BM131" s="1074"/>
      <c r="BN131" s="1074"/>
      <c r="BO131" s="1074"/>
      <c r="BP131" s="1074"/>
      <c r="BQ131" s="949"/>
      <c r="BR131" s="950"/>
      <c r="BU131" s="922"/>
      <c r="BV131" s="921"/>
      <c r="BW131" s="921"/>
      <c r="BX131" s="921"/>
    </row>
    <row r="132" spans="1:76" ht="12.75" customHeight="1">
      <c r="A132" s="923"/>
      <c r="B132" s="924"/>
      <c r="C132" s="1122" t="s">
        <v>712</v>
      </c>
      <c r="D132" s="1122"/>
      <c r="E132" s="1122"/>
      <c r="F132" s="1124"/>
      <c r="G132" s="1160" t="str">
        <f t="shared" si="242"/>
        <v/>
      </c>
      <c r="H132" s="1161" t="str">
        <f t="shared" si="242"/>
        <v/>
      </c>
      <c r="I132" s="1161" t="str">
        <f t="shared" si="242"/>
        <v/>
      </c>
      <c r="J132" s="1162" t="str">
        <f t="shared" si="242"/>
        <v/>
      </c>
      <c r="K132" s="1160" t="str">
        <f t="shared" si="242"/>
        <v/>
      </c>
      <c r="L132" s="1161" t="str">
        <f t="shared" si="242"/>
        <v/>
      </c>
      <c r="M132" s="1161" t="str">
        <f t="shared" si="242"/>
        <v/>
      </c>
      <c r="N132" s="1162" t="str">
        <f t="shared" si="242"/>
        <v/>
      </c>
      <c r="O132" s="1160" t="str">
        <f t="shared" si="242"/>
        <v/>
      </c>
      <c r="P132" s="1161" t="str">
        <f t="shared" si="242"/>
        <v/>
      </c>
      <c r="Q132" s="1161" t="str">
        <f t="shared" si="242"/>
        <v/>
      </c>
      <c r="R132" s="1165" t="str">
        <f t="shared" si="242"/>
        <v/>
      </c>
      <c r="S132" s="1163">
        <f t="shared" si="242"/>
        <v>0</v>
      </c>
      <c r="T132" s="1164">
        <f t="shared" si="242"/>
        <v>0</v>
      </c>
      <c r="U132" s="1164">
        <f t="shared" si="242"/>
        <v>0</v>
      </c>
      <c r="V132" s="1165">
        <f t="shared" si="242"/>
        <v>0</v>
      </c>
      <c r="W132" s="1164">
        <f t="shared" si="242"/>
        <v>0</v>
      </c>
      <c r="X132" s="1164">
        <f t="shared" si="242"/>
        <v>0</v>
      </c>
      <c r="Y132" s="1164">
        <f t="shared" si="242"/>
        <v>0</v>
      </c>
      <c r="Z132" s="1165">
        <f t="shared" si="242"/>
        <v>0</v>
      </c>
      <c r="AA132" s="1164">
        <f t="shared" si="242"/>
        <v>0</v>
      </c>
      <c r="AB132" s="1164">
        <f t="shared" si="242"/>
        <v>0</v>
      </c>
      <c r="AC132" s="1164">
        <f t="shared" si="242"/>
        <v>0</v>
      </c>
      <c r="AD132" s="1165">
        <f t="shared" si="242"/>
        <v>0</v>
      </c>
      <c r="AE132" s="1164">
        <f t="shared" si="242"/>
        <v>0</v>
      </c>
      <c r="AF132" s="1164">
        <f t="shared" si="242"/>
        <v>0</v>
      </c>
      <c r="AG132" s="1164">
        <f t="shared" si="242"/>
        <v>0</v>
      </c>
      <c r="AH132" s="1165">
        <f t="shared" si="242"/>
        <v>0</v>
      </c>
      <c r="AI132" s="1166">
        <f t="shared" si="242"/>
        <v>0</v>
      </c>
      <c r="AJ132" s="1166">
        <f t="shared" si="242"/>
        <v>0</v>
      </c>
      <c r="AK132" s="1166">
        <f t="shared" si="242"/>
        <v>0</v>
      </c>
      <c r="AL132" s="1165">
        <f t="shared" si="242"/>
        <v>0</v>
      </c>
      <c r="AM132" s="1166">
        <f t="shared" si="243"/>
        <v>0</v>
      </c>
      <c r="AN132" s="1166">
        <f t="shared" si="243"/>
        <v>0</v>
      </c>
      <c r="AO132" s="1166">
        <f t="shared" si="243"/>
        <v>0</v>
      </c>
      <c r="AP132" s="1165">
        <f t="shared" si="243"/>
        <v>0</v>
      </c>
      <c r="AQ132" s="1166">
        <f t="shared" ref="AQ132:AX132" si="245">IF(ISBLANK(AQ275),"",AQ275)</f>
        <v>0</v>
      </c>
      <c r="AR132" s="1166">
        <f t="shared" si="245"/>
        <v>0</v>
      </c>
      <c r="AS132" s="1166">
        <f t="shared" si="245"/>
        <v>0</v>
      </c>
      <c r="AT132" s="1165">
        <f t="shared" si="245"/>
        <v>0</v>
      </c>
      <c r="AU132" s="1166">
        <f t="shared" si="245"/>
        <v>0</v>
      </c>
      <c r="AV132" s="1166">
        <f t="shared" si="245"/>
        <v>0</v>
      </c>
      <c r="AW132" s="1166">
        <f t="shared" si="245"/>
        <v>0</v>
      </c>
      <c r="AX132" s="1165">
        <f t="shared" si="245"/>
        <v>0</v>
      </c>
      <c r="AY132" s="1166">
        <f t="shared" si="241"/>
        <v>0</v>
      </c>
      <c r="AZ132" s="1166">
        <f t="shared" si="241"/>
        <v>0</v>
      </c>
      <c r="BA132" s="1166">
        <f t="shared" si="241"/>
        <v>0</v>
      </c>
      <c r="BB132" s="1165">
        <f t="shared" si="241"/>
        <v>0</v>
      </c>
      <c r="BC132" s="974"/>
      <c r="BD132" s="974"/>
      <c r="BE132" s="1074"/>
      <c r="BF132" s="1074"/>
      <c r="BG132" s="1074"/>
      <c r="BH132" s="1074">
        <f t="shared" ref="BH132:BH138" si="246">AVERAGE(S132:V132)</f>
        <v>0</v>
      </c>
      <c r="BI132" s="1074">
        <f t="shared" ref="BI132:BI138" si="247">AVERAGE(W132:Z132)</f>
        <v>0</v>
      </c>
      <c r="BJ132" s="1074">
        <f t="shared" ref="BJ132:BJ138" si="248">AVERAGE(AA132:AD132)</f>
        <v>0</v>
      </c>
      <c r="BK132" s="1074">
        <f t="shared" ref="BK132:BK138" si="249">AVERAGE(AE132:AH132)</f>
        <v>0</v>
      </c>
      <c r="BL132" s="1074">
        <f t="shared" ref="BL132:BL138" si="250">AVERAGE(AI132:AL132)</f>
        <v>0</v>
      </c>
      <c r="BM132" s="1074">
        <f t="shared" ref="BM132:BM138" si="251">AVERAGE(AM132:AP132)</f>
        <v>0</v>
      </c>
      <c r="BN132" s="1074">
        <f t="shared" ref="BN132:BN138" si="252">AVERAGE(AQ132:AT132)</f>
        <v>0</v>
      </c>
      <c r="BO132" s="1074">
        <f t="shared" ref="BO132:BO138" si="253">AVERAGE(AU132:AX132)</f>
        <v>0</v>
      </c>
      <c r="BP132" s="1074">
        <f t="shared" ref="BP132:BP138" si="254">AVERAGE(AY132:BB132)</f>
        <v>0</v>
      </c>
      <c r="BQ132" s="949"/>
      <c r="BR132" s="950"/>
      <c r="BU132" s="922"/>
      <c r="BV132" s="921"/>
      <c r="BW132" s="921"/>
      <c r="BX132" s="921"/>
    </row>
    <row r="133" spans="1:76" ht="12.75" customHeight="1">
      <c r="A133" s="923"/>
      <c r="B133" s="924"/>
      <c r="C133" s="1122" t="s">
        <v>713</v>
      </c>
      <c r="D133" s="1122"/>
      <c r="E133" s="1122"/>
      <c r="F133" s="1124"/>
      <c r="G133" s="1160" t="str">
        <f t="shared" si="242"/>
        <v/>
      </c>
      <c r="H133" s="1161" t="str">
        <f t="shared" si="242"/>
        <v/>
      </c>
      <c r="I133" s="1161" t="str">
        <f t="shared" si="242"/>
        <v/>
      </c>
      <c r="J133" s="1162" t="str">
        <f t="shared" si="242"/>
        <v/>
      </c>
      <c r="K133" s="1160" t="str">
        <f t="shared" si="242"/>
        <v/>
      </c>
      <c r="L133" s="1161" t="str">
        <f t="shared" si="242"/>
        <v/>
      </c>
      <c r="M133" s="1161" t="str">
        <f t="shared" si="242"/>
        <v/>
      </c>
      <c r="N133" s="1162" t="str">
        <f t="shared" si="242"/>
        <v/>
      </c>
      <c r="O133" s="1160" t="str">
        <f t="shared" si="242"/>
        <v/>
      </c>
      <c r="P133" s="1161" t="str">
        <f t="shared" si="242"/>
        <v/>
      </c>
      <c r="Q133" s="1161" t="str">
        <f t="shared" si="242"/>
        <v/>
      </c>
      <c r="R133" s="1165" t="str">
        <f t="shared" si="242"/>
        <v/>
      </c>
      <c r="S133" s="1163">
        <f t="shared" si="242"/>
        <v>1.97</v>
      </c>
      <c r="T133" s="1164">
        <f t="shared" si="242"/>
        <v>1.97</v>
      </c>
      <c r="U133" s="1164">
        <f t="shared" si="242"/>
        <v>1.97</v>
      </c>
      <c r="V133" s="1165">
        <f t="shared" si="242"/>
        <v>1.97</v>
      </c>
      <c r="W133" s="1164">
        <f t="shared" si="242"/>
        <v>4</v>
      </c>
      <c r="X133" s="1164">
        <f t="shared" si="242"/>
        <v>4</v>
      </c>
      <c r="Y133" s="1164">
        <f t="shared" si="242"/>
        <v>4</v>
      </c>
      <c r="Z133" s="1165">
        <f t="shared" si="242"/>
        <v>4</v>
      </c>
      <c r="AA133" s="1164">
        <f t="shared" si="242"/>
        <v>6</v>
      </c>
      <c r="AB133" s="1164">
        <f t="shared" si="242"/>
        <v>6</v>
      </c>
      <c r="AC133" s="1164">
        <f t="shared" si="242"/>
        <v>6</v>
      </c>
      <c r="AD133" s="1165">
        <f t="shared" si="242"/>
        <v>6</v>
      </c>
      <c r="AE133" s="1164">
        <f t="shared" si="242"/>
        <v>8</v>
      </c>
      <c r="AF133" s="1164">
        <f t="shared" si="242"/>
        <v>8</v>
      </c>
      <c r="AG133" s="1164">
        <f t="shared" si="242"/>
        <v>8</v>
      </c>
      <c r="AH133" s="1165">
        <f t="shared" si="242"/>
        <v>8</v>
      </c>
      <c r="AI133" s="1166">
        <f t="shared" si="242"/>
        <v>10</v>
      </c>
      <c r="AJ133" s="1166">
        <f t="shared" si="242"/>
        <v>10</v>
      </c>
      <c r="AK133" s="1166">
        <f t="shared" si="242"/>
        <v>10</v>
      </c>
      <c r="AL133" s="1165">
        <f t="shared" si="242"/>
        <v>10</v>
      </c>
      <c r="AM133" s="1166">
        <f t="shared" si="243"/>
        <v>10</v>
      </c>
      <c r="AN133" s="1166">
        <f t="shared" si="243"/>
        <v>10</v>
      </c>
      <c r="AO133" s="1166">
        <f t="shared" si="243"/>
        <v>10</v>
      </c>
      <c r="AP133" s="1165">
        <f t="shared" si="243"/>
        <v>10</v>
      </c>
      <c r="AQ133" s="1166">
        <f t="shared" ref="AQ133:AX133" si="255">IF(ISBLANK(AQ276),"",AQ276)</f>
        <v>10</v>
      </c>
      <c r="AR133" s="1166">
        <f t="shared" si="255"/>
        <v>10</v>
      </c>
      <c r="AS133" s="1166">
        <f t="shared" si="255"/>
        <v>10</v>
      </c>
      <c r="AT133" s="1165">
        <f t="shared" si="255"/>
        <v>10</v>
      </c>
      <c r="AU133" s="1166">
        <f t="shared" si="255"/>
        <v>10</v>
      </c>
      <c r="AV133" s="1166">
        <f t="shared" si="255"/>
        <v>10</v>
      </c>
      <c r="AW133" s="1166">
        <f t="shared" si="255"/>
        <v>10</v>
      </c>
      <c r="AX133" s="1165">
        <f t="shared" si="255"/>
        <v>10</v>
      </c>
      <c r="AY133" s="1166">
        <f t="shared" si="241"/>
        <v>10</v>
      </c>
      <c r="AZ133" s="1166">
        <f t="shared" si="241"/>
        <v>10</v>
      </c>
      <c r="BA133" s="1166">
        <f t="shared" si="241"/>
        <v>10</v>
      </c>
      <c r="BB133" s="1165">
        <f t="shared" si="241"/>
        <v>10</v>
      </c>
      <c r="BC133" s="974"/>
      <c r="BD133" s="974"/>
      <c r="BE133" s="1074"/>
      <c r="BF133" s="1074"/>
      <c r="BG133" s="1074"/>
      <c r="BH133" s="1074">
        <f t="shared" si="246"/>
        <v>1.97</v>
      </c>
      <c r="BI133" s="1074">
        <f t="shared" si="247"/>
        <v>4</v>
      </c>
      <c r="BJ133" s="1074">
        <f t="shared" si="248"/>
        <v>6</v>
      </c>
      <c r="BK133" s="1074">
        <f t="shared" si="249"/>
        <v>8</v>
      </c>
      <c r="BL133" s="1074">
        <f t="shared" si="250"/>
        <v>10</v>
      </c>
      <c r="BM133" s="1074">
        <f t="shared" si="251"/>
        <v>10</v>
      </c>
      <c r="BN133" s="1074">
        <f t="shared" si="252"/>
        <v>10</v>
      </c>
      <c r="BO133" s="1074">
        <f t="shared" si="253"/>
        <v>10</v>
      </c>
      <c r="BP133" s="1074">
        <f t="shared" si="254"/>
        <v>10</v>
      </c>
      <c r="BQ133" s="949"/>
      <c r="BR133" s="950"/>
      <c r="BU133" s="922"/>
      <c r="BV133" s="921"/>
      <c r="BW133" s="921"/>
      <c r="BX133" s="921"/>
    </row>
    <row r="134" spans="1:76" ht="12.75" customHeight="1">
      <c r="A134" s="923"/>
      <c r="B134" s="924"/>
      <c r="C134" s="1122" t="s">
        <v>714</v>
      </c>
      <c r="D134" s="1122"/>
      <c r="E134" s="1122"/>
      <c r="F134" s="1124"/>
      <c r="G134" s="1160" t="str">
        <f t="shared" si="242"/>
        <v/>
      </c>
      <c r="H134" s="1161" t="str">
        <f t="shared" si="242"/>
        <v/>
      </c>
      <c r="I134" s="1161" t="str">
        <f t="shared" si="242"/>
        <v/>
      </c>
      <c r="J134" s="1162" t="str">
        <f t="shared" si="242"/>
        <v/>
      </c>
      <c r="K134" s="1160" t="str">
        <f t="shared" si="242"/>
        <v/>
      </c>
      <c r="L134" s="1161" t="str">
        <f t="shared" si="242"/>
        <v/>
      </c>
      <c r="M134" s="1161" t="str">
        <f t="shared" si="242"/>
        <v/>
      </c>
      <c r="N134" s="1162" t="str">
        <f t="shared" si="242"/>
        <v/>
      </c>
      <c r="O134" s="1160" t="str">
        <f t="shared" si="242"/>
        <v/>
      </c>
      <c r="P134" s="1161" t="str">
        <f t="shared" si="242"/>
        <v/>
      </c>
      <c r="Q134" s="1161" t="str">
        <f t="shared" si="242"/>
        <v/>
      </c>
      <c r="R134" s="1165" t="str">
        <f t="shared" si="242"/>
        <v/>
      </c>
      <c r="S134" s="1163">
        <f t="shared" si="242"/>
        <v>0</v>
      </c>
      <c r="T134" s="1164">
        <f t="shared" si="242"/>
        <v>0</v>
      </c>
      <c r="U134" s="1164">
        <f t="shared" si="242"/>
        <v>0</v>
      </c>
      <c r="V134" s="1165">
        <f t="shared" si="242"/>
        <v>0</v>
      </c>
      <c r="W134" s="1164">
        <f t="shared" si="242"/>
        <v>0</v>
      </c>
      <c r="X134" s="1164">
        <f t="shared" si="242"/>
        <v>0</v>
      </c>
      <c r="Y134" s="1164">
        <f t="shared" si="242"/>
        <v>0</v>
      </c>
      <c r="Z134" s="1165">
        <f t="shared" si="242"/>
        <v>0</v>
      </c>
      <c r="AA134" s="1164">
        <f t="shared" si="242"/>
        <v>0</v>
      </c>
      <c r="AB134" s="1164">
        <f t="shared" si="242"/>
        <v>0</v>
      </c>
      <c r="AC134" s="1164">
        <f t="shared" si="242"/>
        <v>0</v>
      </c>
      <c r="AD134" s="1165">
        <f t="shared" si="242"/>
        <v>0</v>
      </c>
      <c r="AE134" s="1164">
        <f t="shared" si="242"/>
        <v>0</v>
      </c>
      <c r="AF134" s="1164">
        <f t="shared" si="242"/>
        <v>0</v>
      </c>
      <c r="AG134" s="1164">
        <f t="shared" si="242"/>
        <v>0</v>
      </c>
      <c r="AH134" s="1165">
        <f t="shared" si="242"/>
        <v>0</v>
      </c>
      <c r="AI134" s="1166">
        <f t="shared" si="242"/>
        <v>0</v>
      </c>
      <c r="AJ134" s="1166">
        <f t="shared" si="242"/>
        <v>0</v>
      </c>
      <c r="AK134" s="1166">
        <f t="shared" si="242"/>
        <v>0</v>
      </c>
      <c r="AL134" s="1165">
        <f t="shared" si="242"/>
        <v>0</v>
      </c>
      <c r="AM134" s="1166">
        <f t="shared" si="243"/>
        <v>0</v>
      </c>
      <c r="AN134" s="1166">
        <f t="shared" si="243"/>
        <v>0</v>
      </c>
      <c r="AO134" s="1166">
        <f t="shared" si="243"/>
        <v>0</v>
      </c>
      <c r="AP134" s="1165">
        <f t="shared" si="243"/>
        <v>0</v>
      </c>
      <c r="AQ134" s="1166">
        <f t="shared" ref="AQ134:AX134" si="256">IF(ISBLANK(AQ277),"",AQ277)</f>
        <v>0</v>
      </c>
      <c r="AR134" s="1166">
        <f t="shared" si="256"/>
        <v>0</v>
      </c>
      <c r="AS134" s="1166">
        <f t="shared" si="256"/>
        <v>0</v>
      </c>
      <c r="AT134" s="1165">
        <f t="shared" si="256"/>
        <v>0</v>
      </c>
      <c r="AU134" s="1166">
        <f t="shared" si="256"/>
        <v>0</v>
      </c>
      <c r="AV134" s="1166">
        <f t="shared" si="256"/>
        <v>0</v>
      </c>
      <c r="AW134" s="1166">
        <f t="shared" si="256"/>
        <v>0</v>
      </c>
      <c r="AX134" s="1165">
        <f t="shared" si="256"/>
        <v>0</v>
      </c>
      <c r="AY134" s="1166">
        <f t="shared" si="241"/>
        <v>0</v>
      </c>
      <c r="AZ134" s="1166">
        <f t="shared" si="241"/>
        <v>0</v>
      </c>
      <c r="BA134" s="1166">
        <f t="shared" si="241"/>
        <v>0</v>
      </c>
      <c r="BB134" s="1165">
        <f t="shared" si="241"/>
        <v>0</v>
      </c>
      <c r="BC134" s="974"/>
      <c r="BD134" s="974"/>
      <c r="BE134" s="1074"/>
      <c r="BF134" s="1074"/>
      <c r="BG134" s="1074"/>
      <c r="BH134" s="1074">
        <f t="shared" si="246"/>
        <v>0</v>
      </c>
      <c r="BI134" s="1074">
        <f t="shared" si="247"/>
        <v>0</v>
      </c>
      <c r="BJ134" s="1074">
        <f t="shared" si="248"/>
        <v>0</v>
      </c>
      <c r="BK134" s="1074">
        <f t="shared" si="249"/>
        <v>0</v>
      </c>
      <c r="BL134" s="1074">
        <f t="shared" si="250"/>
        <v>0</v>
      </c>
      <c r="BM134" s="1074">
        <f t="shared" si="251"/>
        <v>0</v>
      </c>
      <c r="BN134" s="1074">
        <f t="shared" si="252"/>
        <v>0</v>
      </c>
      <c r="BO134" s="1074">
        <f t="shared" si="253"/>
        <v>0</v>
      </c>
      <c r="BP134" s="1074">
        <f t="shared" si="254"/>
        <v>0</v>
      </c>
      <c r="BQ134" s="949"/>
      <c r="BR134" s="950"/>
      <c r="BU134" s="922"/>
      <c r="BV134" s="921"/>
      <c r="BW134" s="921"/>
      <c r="BX134" s="921"/>
    </row>
    <row r="135" spans="1:76" ht="12.75" customHeight="1">
      <c r="A135" s="923"/>
      <c r="B135" s="924"/>
      <c r="C135" s="1122" t="s">
        <v>715</v>
      </c>
      <c r="D135" s="1122"/>
      <c r="E135" s="1122"/>
      <c r="F135" s="1124"/>
      <c r="G135" s="1160" t="str">
        <f t="shared" si="242"/>
        <v/>
      </c>
      <c r="H135" s="1161" t="str">
        <f t="shared" si="242"/>
        <v/>
      </c>
      <c r="I135" s="1161" t="str">
        <f t="shared" si="242"/>
        <v/>
      </c>
      <c r="J135" s="1162" t="str">
        <f t="shared" si="242"/>
        <v/>
      </c>
      <c r="K135" s="1160" t="str">
        <f t="shared" si="242"/>
        <v/>
      </c>
      <c r="L135" s="1161" t="str">
        <f t="shared" si="242"/>
        <v/>
      </c>
      <c r="M135" s="1161" t="str">
        <f t="shared" si="242"/>
        <v/>
      </c>
      <c r="N135" s="1162" t="str">
        <f t="shared" si="242"/>
        <v/>
      </c>
      <c r="O135" s="1160" t="str">
        <f t="shared" si="242"/>
        <v/>
      </c>
      <c r="P135" s="1161" t="str">
        <f t="shared" si="242"/>
        <v/>
      </c>
      <c r="Q135" s="1161" t="str">
        <f t="shared" si="242"/>
        <v/>
      </c>
      <c r="R135" s="1165" t="str">
        <f t="shared" si="242"/>
        <v/>
      </c>
      <c r="S135" s="1163">
        <f t="shared" si="242"/>
        <v>0</v>
      </c>
      <c r="T135" s="1164">
        <f t="shared" si="242"/>
        <v>0</v>
      </c>
      <c r="U135" s="1164">
        <f t="shared" si="242"/>
        <v>0</v>
      </c>
      <c r="V135" s="1165">
        <f t="shared" si="242"/>
        <v>0</v>
      </c>
      <c r="W135" s="1164">
        <f t="shared" si="242"/>
        <v>0</v>
      </c>
      <c r="X135" s="1164">
        <f t="shared" si="242"/>
        <v>0</v>
      </c>
      <c r="Y135" s="1164">
        <f t="shared" si="242"/>
        <v>0</v>
      </c>
      <c r="Z135" s="1165">
        <f t="shared" si="242"/>
        <v>0</v>
      </c>
      <c r="AA135" s="1164">
        <f t="shared" si="242"/>
        <v>0</v>
      </c>
      <c r="AB135" s="1164">
        <f t="shared" si="242"/>
        <v>0</v>
      </c>
      <c r="AC135" s="1164">
        <f t="shared" si="242"/>
        <v>0</v>
      </c>
      <c r="AD135" s="1165">
        <f t="shared" si="242"/>
        <v>0</v>
      </c>
      <c r="AE135" s="1164">
        <f t="shared" si="242"/>
        <v>0</v>
      </c>
      <c r="AF135" s="1164">
        <f t="shared" si="242"/>
        <v>0</v>
      </c>
      <c r="AG135" s="1164">
        <f t="shared" si="242"/>
        <v>0</v>
      </c>
      <c r="AH135" s="1165">
        <f t="shared" si="242"/>
        <v>0</v>
      </c>
      <c r="AI135" s="1166">
        <f t="shared" si="242"/>
        <v>0</v>
      </c>
      <c r="AJ135" s="1166">
        <f t="shared" si="242"/>
        <v>0</v>
      </c>
      <c r="AK135" s="1166">
        <f t="shared" si="242"/>
        <v>0</v>
      </c>
      <c r="AL135" s="1165">
        <f t="shared" si="242"/>
        <v>0</v>
      </c>
      <c r="AM135" s="1166">
        <f t="shared" si="243"/>
        <v>0</v>
      </c>
      <c r="AN135" s="1166">
        <f t="shared" si="243"/>
        <v>0</v>
      </c>
      <c r="AO135" s="1166">
        <f t="shared" si="243"/>
        <v>0</v>
      </c>
      <c r="AP135" s="1165">
        <f t="shared" si="243"/>
        <v>0</v>
      </c>
      <c r="AQ135" s="1166">
        <f t="shared" ref="AQ135:AX135" si="257">IF(ISBLANK(AQ278),"",AQ278)</f>
        <v>0</v>
      </c>
      <c r="AR135" s="1166">
        <f t="shared" si="257"/>
        <v>0</v>
      </c>
      <c r="AS135" s="1166">
        <f t="shared" si="257"/>
        <v>0</v>
      </c>
      <c r="AT135" s="1165">
        <f t="shared" si="257"/>
        <v>0</v>
      </c>
      <c r="AU135" s="1166">
        <f t="shared" si="257"/>
        <v>0</v>
      </c>
      <c r="AV135" s="1166">
        <f t="shared" si="257"/>
        <v>0</v>
      </c>
      <c r="AW135" s="1166">
        <f t="shared" si="257"/>
        <v>0</v>
      </c>
      <c r="AX135" s="1165">
        <f t="shared" si="257"/>
        <v>0</v>
      </c>
      <c r="AY135" s="1166">
        <f t="shared" si="241"/>
        <v>0</v>
      </c>
      <c r="AZ135" s="1166">
        <f t="shared" si="241"/>
        <v>0</v>
      </c>
      <c r="BA135" s="1166">
        <f t="shared" si="241"/>
        <v>0</v>
      </c>
      <c r="BB135" s="1165">
        <f t="shared" si="241"/>
        <v>0</v>
      </c>
      <c r="BC135" s="974"/>
      <c r="BD135" s="974"/>
      <c r="BE135" s="1074"/>
      <c r="BF135" s="1074"/>
      <c r="BG135" s="1074"/>
      <c r="BH135" s="1074">
        <f t="shared" si="246"/>
        <v>0</v>
      </c>
      <c r="BI135" s="1074">
        <f t="shared" si="247"/>
        <v>0</v>
      </c>
      <c r="BJ135" s="1074">
        <f t="shared" si="248"/>
        <v>0</v>
      </c>
      <c r="BK135" s="1074">
        <f t="shared" si="249"/>
        <v>0</v>
      </c>
      <c r="BL135" s="1074">
        <f t="shared" si="250"/>
        <v>0</v>
      </c>
      <c r="BM135" s="1074">
        <f t="shared" si="251"/>
        <v>0</v>
      </c>
      <c r="BN135" s="1074">
        <f t="shared" si="252"/>
        <v>0</v>
      </c>
      <c r="BO135" s="1074">
        <f t="shared" si="253"/>
        <v>0</v>
      </c>
      <c r="BP135" s="1074">
        <f t="shared" si="254"/>
        <v>0</v>
      </c>
      <c r="BQ135" s="949"/>
      <c r="BR135" s="950"/>
      <c r="BU135" s="922"/>
      <c r="BV135" s="921"/>
      <c r="BW135" s="921"/>
      <c r="BX135" s="921"/>
    </row>
    <row r="136" spans="1:76" ht="12.75" customHeight="1">
      <c r="A136" s="923"/>
      <c r="B136" s="924"/>
      <c r="C136" s="1122" t="s">
        <v>741</v>
      </c>
      <c r="D136" s="1122"/>
      <c r="E136" s="1122"/>
      <c r="F136" s="1124"/>
      <c r="G136" s="1160" t="str">
        <f t="shared" si="242"/>
        <v/>
      </c>
      <c r="H136" s="1161" t="str">
        <f t="shared" si="242"/>
        <v/>
      </c>
      <c r="I136" s="1161" t="str">
        <f t="shared" si="242"/>
        <v/>
      </c>
      <c r="J136" s="1162" t="str">
        <f t="shared" si="242"/>
        <v/>
      </c>
      <c r="K136" s="1160" t="str">
        <f t="shared" si="242"/>
        <v/>
      </c>
      <c r="L136" s="1161" t="str">
        <f t="shared" si="242"/>
        <v/>
      </c>
      <c r="M136" s="1161" t="str">
        <f t="shared" si="242"/>
        <v/>
      </c>
      <c r="N136" s="1162" t="str">
        <f t="shared" si="242"/>
        <v/>
      </c>
      <c r="O136" s="1160" t="str">
        <f t="shared" si="242"/>
        <v/>
      </c>
      <c r="P136" s="1161" t="str">
        <f t="shared" si="242"/>
        <v/>
      </c>
      <c r="Q136" s="1161" t="str">
        <f t="shared" si="242"/>
        <v/>
      </c>
      <c r="R136" s="1165" t="str">
        <f t="shared" si="242"/>
        <v/>
      </c>
      <c r="S136" s="1163">
        <f t="shared" si="242"/>
        <v>0</v>
      </c>
      <c r="T136" s="1164">
        <f t="shared" si="242"/>
        <v>0</v>
      </c>
      <c r="U136" s="1164">
        <f t="shared" si="242"/>
        <v>0</v>
      </c>
      <c r="V136" s="1165">
        <f t="shared" si="242"/>
        <v>0</v>
      </c>
      <c r="W136" s="1164">
        <f t="shared" si="242"/>
        <v>0</v>
      </c>
      <c r="X136" s="1164">
        <f t="shared" si="242"/>
        <v>0</v>
      </c>
      <c r="Y136" s="1164">
        <f t="shared" si="242"/>
        <v>0</v>
      </c>
      <c r="Z136" s="1165">
        <f t="shared" si="242"/>
        <v>0</v>
      </c>
      <c r="AA136" s="1164">
        <f t="shared" si="242"/>
        <v>0</v>
      </c>
      <c r="AB136" s="1164">
        <f t="shared" si="242"/>
        <v>0</v>
      </c>
      <c r="AC136" s="1164">
        <f t="shared" si="242"/>
        <v>0</v>
      </c>
      <c r="AD136" s="1165">
        <f t="shared" si="242"/>
        <v>0</v>
      </c>
      <c r="AE136" s="1164">
        <f t="shared" si="242"/>
        <v>0</v>
      </c>
      <c r="AF136" s="1164">
        <f t="shared" si="242"/>
        <v>0</v>
      </c>
      <c r="AG136" s="1164">
        <f t="shared" si="242"/>
        <v>0</v>
      </c>
      <c r="AH136" s="1165">
        <f t="shared" si="242"/>
        <v>0</v>
      </c>
      <c r="AI136" s="1166">
        <f t="shared" si="242"/>
        <v>0</v>
      </c>
      <c r="AJ136" s="1166">
        <f t="shared" si="242"/>
        <v>0</v>
      </c>
      <c r="AK136" s="1166">
        <f t="shared" si="242"/>
        <v>0</v>
      </c>
      <c r="AL136" s="1165">
        <f t="shared" si="242"/>
        <v>0</v>
      </c>
      <c r="AM136" s="1166">
        <f t="shared" si="243"/>
        <v>0</v>
      </c>
      <c r="AN136" s="1166">
        <f t="shared" si="243"/>
        <v>0</v>
      </c>
      <c r="AO136" s="1166">
        <f t="shared" si="243"/>
        <v>0</v>
      </c>
      <c r="AP136" s="1165">
        <f t="shared" si="243"/>
        <v>0</v>
      </c>
      <c r="AQ136" s="1166">
        <f t="shared" ref="AQ136:AX136" si="258">IF(ISBLANK(AQ279),"",AQ279)</f>
        <v>0</v>
      </c>
      <c r="AR136" s="1166">
        <f t="shared" si="258"/>
        <v>0</v>
      </c>
      <c r="AS136" s="1166">
        <f t="shared" si="258"/>
        <v>0</v>
      </c>
      <c r="AT136" s="1165">
        <f t="shared" si="258"/>
        <v>0</v>
      </c>
      <c r="AU136" s="1166">
        <f t="shared" si="258"/>
        <v>0</v>
      </c>
      <c r="AV136" s="1166">
        <f t="shared" si="258"/>
        <v>0</v>
      </c>
      <c r="AW136" s="1166">
        <f t="shared" si="258"/>
        <v>0</v>
      </c>
      <c r="AX136" s="1165">
        <f t="shared" si="258"/>
        <v>0</v>
      </c>
      <c r="AY136" s="1166">
        <f t="shared" si="241"/>
        <v>0</v>
      </c>
      <c r="AZ136" s="1166">
        <f t="shared" si="241"/>
        <v>0</v>
      </c>
      <c r="BA136" s="1166">
        <f t="shared" si="241"/>
        <v>0</v>
      </c>
      <c r="BB136" s="1165">
        <f t="shared" si="241"/>
        <v>0</v>
      </c>
      <c r="BC136" s="974"/>
      <c r="BD136" s="974"/>
      <c r="BE136" s="1074"/>
      <c r="BF136" s="1074"/>
      <c r="BG136" s="1074"/>
      <c r="BH136" s="1074">
        <f t="shared" si="246"/>
        <v>0</v>
      </c>
      <c r="BI136" s="1074">
        <f t="shared" si="247"/>
        <v>0</v>
      </c>
      <c r="BJ136" s="1074">
        <f t="shared" si="248"/>
        <v>0</v>
      </c>
      <c r="BK136" s="1074">
        <f t="shared" si="249"/>
        <v>0</v>
      </c>
      <c r="BL136" s="1074">
        <f t="shared" si="250"/>
        <v>0</v>
      </c>
      <c r="BM136" s="1074">
        <f t="shared" si="251"/>
        <v>0</v>
      </c>
      <c r="BN136" s="1074">
        <f t="shared" si="252"/>
        <v>0</v>
      </c>
      <c r="BO136" s="1074">
        <f t="shared" si="253"/>
        <v>0</v>
      </c>
      <c r="BP136" s="1074">
        <f t="shared" si="254"/>
        <v>0</v>
      </c>
      <c r="BQ136" s="949"/>
      <c r="BR136" s="950"/>
      <c r="BU136" s="922"/>
      <c r="BV136" s="921"/>
      <c r="BW136" s="921"/>
      <c r="BX136" s="921"/>
    </row>
    <row r="137" spans="1:76" ht="12.75" customHeight="1">
      <c r="A137" s="923"/>
      <c r="B137" s="924"/>
      <c r="C137" s="1122" t="s">
        <v>742</v>
      </c>
      <c r="D137" s="1122"/>
      <c r="E137" s="1122"/>
      <c r="F137" s="1124"/>
      <c r="G137" s="1160" t="str">
        <f t="shared" si="242"/>
        <v/>
      </c>
      <c r="H137" s="1161" t="str">
        <f t="shared" si="242"/>
        <v/>
      </c>
      <c r="I137" s="1161" t="str">
        <f t="shared" si="242"/>
        <v/>
      </c>
      <c r="J137" s="1162" t="str">
        <f t="shared" si="242"/>
        <v/>
      </c>
      <c r="K137" s="1160" t="str">
        <f t="shared" si="242"/>
        <v/>
      </c>
      <c r="L137" s="1161" t="str">
        <f t="shared" si="242"/>
        <v/>
      </c>
      <c r="M137" s="1161" t="str">
        <f t="shared" si="242"/>
        <v/>
      </c>
      <c r="N137" s="1162" t="str">
        <f t="shared" si="242"/>
        <v/>
      </c>
      <c r="O137" s="1160" t="str">
        <f t="shared" si="242"/>
        <v/>
      </c>
      <c r="P137" s="1161" t="str">
        <f t="shared" si="242"/>
        <v/>
      </c>
      <c r="Q137" s="1161" t="str">
        <f t="shared" si="242"/>
        <v/>
      </c>
      <c r="R137" s="1165" t="str">
        <f t="shared" si="242"/>
        <v/>
      </c>
      <c r="S137" s="1163">
        <f t="shared" si="242"/>
        <v>0</v>
      </c>
      <c r="T137" s="1164">
        <f t="shared" si="242"/>
        <v>0</v>
      </c>
      <c r="U137" s="1164">
        <f t="shared" si="242"/>
        <v>0</v>
      </c>
      <c r="V137" s="1165">
        <f t="shared" si="242"/>
        <v>0</v>
      </c>
      <c r="W137" s="1164">
        <f t="shared" si="242"/>
        <v>0</v>
      </c>
      <c r="X137" s="1164">
        <f t="shared" si="242"/>
        <v>0</v>
      </c>
      <c r="Y137" s="1164">
        <f t="shared" si="242"/>
        <v>0</v>
      </c>
      <c r="Z137" s="1165">
        <f t="shared" si="242"/>
        <v>0</v>
      </c>
      <c r="AA137" s="1164">
        <f t="shared" si="242"/>
        <v>0</v>
      </c>
      <c r="AB137" s="1164">
        <f t="shared" si="242"/>
        <v>0</v>
      </c>
      <c r="AC137" s="1164">
        <f t="shared" si="242"/>
        <v>0</v>
      </c>
      <c r="AD137" s="1165">
        <f t="shared" si="242"/>
        <v>0</v>
      </c>
      <c r="AE137" s="1164">
        <f t="shared" si="242"/>
        <v>0</v>
      </c>
      <c r="AF137" s="1164">
        <f t="shared" si="242"/>
        <v>0</v>
      </c>
      <c r="AG137" s="1164">
        <f t="shared" si="242"/>
        <v>0</v>
      </c>
      <c r="AH137" s="1165">
        <f t="shared" si="242"/>
        <v>0</v>
      </c>
      <c r="AI137" s="1166">
        <f t="shared" si="242"/>
        <v>0</v>
      </c>
      <c r="AJ137" s="1166">
        <f t="shared" si="242"/>
        <v>0</v>
      </c>
      <c r="AK137" s="1166">
        <f t="shared" si="242"/>
        <v>0</v>
      </c>
      <c r="AL137" s="1165">
        <f t="shared" si="242"/>
        <v>0</v>
      </c>
      <c r="AM137" s="1166">
        <f t="shared" si="243"/>
        <v>0</v>
      </c>
      <c r="AN137" s="1166">
        <f t="shared" si="243"/>
        <v>0</v>
      </c>
      <c r="AO137" s="1166">
        <f t="shared" si="243"/>
        <v>0</v>
      </c>
      <c r="AP137" s="1165">
        <f t="shared" si="243"/>
        <v>0</v>
      </c>
      <c r="AQ137" s="1166">
        <f t="shared" ref="AQ137:AX137" si="259">IF(ISBLANK(AQ280),"",AQ280)</f>
        <v>0</v>
      </c>
      <c r="AR137" s="1166">
        <f t="shared" si="259"/>
        <v>0</v>
      </c>
      <c r="AS137" s="1166">
        <f t="shared" si="259"/>
        <v>0</v>
      </c>
      <c r="AT137" s="1165">
        <f t="shared" si="259"/>
        <v>0</v>
      </c>
      <c r="AU137" s="1166">
        <f t="shared" si="259"/>
        <v>0</v>
      </c>
      <c r="AV137" s="1166">
        <f t="shared" si="259"/>
        <v>0</v>
      </c>
      <c r="AW137" s="1166">
        <f t="shared" si="259"/>
        <v>0</v>
      </c>
      <c r="AX137" s="1165">
        <f t="shared" si="259"/>
        <v>0</v>
      </c>
      <c r="AY137" s="1166">
        <f t="shared" si="241"/>
        <v>0</v>
      </c>
      <c r="AZ137" s="1166">
        <f t="shared" si="241"/>
        <v>0</v>
      </c>
      <c r="BA137" s="1166">
        <f t="shared" si="241"/>
        <v>0</v>
      </c>
      <c r="BB137" s="1165">
        <f t="shared" si="241"/>
        <v>0</v>
      </c>
      <c r="BC137" s="974"/>
      <c r="BD137" s="974"/>
      <c r="BE137" s="1074"/>
      <c r="BF137" s="1074"/>
      <c r="BG137" s="1074"/>
      <c r="BH137" s="1074">
        <f t="shared" si="246"/>
        <v>0</v>
      </c>
      <c r="BI137" s="1074">
        <f t="shared" si="247"/>
        <v>0</v>
      </c>
      <c r="BJ137" s="1074">
        <f t="shared" si="248"/>
        <v>0</v>
      </c>
      <c r="BK137" s="1074">
        <f t="shared" si="249"/>
        <v>0</v>
      </c>
      <c r="BL137" s="1074">
        <f t="shared" si="250"/>
        <v>0</v>
      </c>
      <c r="BM137" s="1074">
        <f t="shared" si="251"/>
        <v>0</v>
      </c>
      <c r="BN137" s="1074">
        <f t="shared" si="252"/>
        <v>0</v>
      </c>
      <c r="BO137" s="1074">
        <f t="shared" si="253"/>
        <v>0</v>
      </c>
      <c r="BP137" s="1074">
        <f t="shared" si="254"/>
        <v>0</v>
      </c>
      <c r="BQ137" s="949"/>
      <c r="BR137" s="950"/>
      <c r="BU137" s="922"/>
      <c r="BV137" s="921"/>
      <c r="BW137" s="921"/>
      <c r="BX137" s="921"/>
    </row>
    <row r="138" spans="1:76" ht="12.75" customHeight="1">
      <c r="A138" s="923"/>
      <c r="B138" s="924"/>
      <c r="C138" s="1122" t="s">
        <v>743</v>
      </c>
      <c r="D138" s="1122"/>
      <c r="E138" s="1122"/>
      <c r="F138" s="1124"/>
      <c r="G138" s="1160" t="str">
        <f t="shared" si="242"/>
        <v/>
      </c>
      <c r="H138" s="1161" t="str">
        <f t="shared" si="242"/>
        <v/>
      </c>
      <c r="I138" s="1161" t="str">
        <f t="shared" si="242"/>
        <v/>
      </c>
      <c r="J138" s="1162" t="str">
        <f t="shared" si="242"/>
        <v/>
      </c>
      <c r="K138" s="1160" t="str">
        <f t="shared" si="242"/>
        <v/>
      </c>
      <c r="L138" s="1161" t="str">
        <f t="shared" si="242"/>
        <v/>
      </c>
      <c r="M138" s="1161" t="str">
        <f t="shared" si="242"/>
        <v/>
      </c>
      <c r="N138" s="1162" t="str">
        <f t="shared" si="242"/>
        <v/>
      </c>
      <c r="O138" s="1160" t="str">
        <f t="shared" si="242"/>
        <v/>
      </c>
      <c r="P138" s="1161" t="str">
        <f t="shared" si="242"/>
        <v/>
      </c>
      <c r="Q138" s="1161" t="str">
        <f t="shared" si="242"/>
        <v/>
      </c>
      <c r="R138" s="1165" t="str">
        <f t="shared" si="242"/>
        <v/>
      </c>
      <c r="S138" s="1163">
        <f t="shared" si="242"/>
        <v>0</v>
      </c>
      <c r="T138" s="1164">
        <f t="shared" si="242"/>
        <v>0</v>
      </c>
      <c r="U138" s="1164">
        <f t="shared" si="242"/>
        <v>0</v>
      </c>
      <c r="V138" s="1165">
        <f t="shared" si="242"/>
        <v>0</v>
      </c>
      <c r="W138" s="1164">
        <f t="shared" si="242"/>
        <v>0</v>
      </c>
      <c r="X138" s="1164">
        <f t="shared" si="242"/>
        <v>0</v>
      </c>
      <c r="Y138" s="1164">
        <f t="shared" si="242"/>
        <v>0</v>
      </c>
      <c r="Z138" s="1165">
        <f t="shared" si="242"/>
        <v>0</v>
      </c>
      <c r="AA138" s="1164">
        <f t="shared" si="242"/>
        <v>0</v>
      </c>
      <c r="AB138" s="1164">
        <f t="shared" si="242"/>
        <v>0</v>
      </c>
      <c r="AC138" s="1164">
        <f t="shared" si="242"/>
        <v>0</v>
      </c>
      <c r="AD138" s="1165">
        <f t="shared" si="242"/>
        <v>0</v>
      </c>
      <c r="AE138" s="1164">
        <f t="shared" si="242"/>
        <v>0</v>
      </c>
      <c r="AF138" s="1164">
        <f t="shared" si="242"/>
        <v>0</v>
      </c>
      <c r="AG138" s="1164">
        <f t="shared" si="242"/>
        <v>0</v>
      </c>
      <c r="AH138" s="1165">
        <f t="shared" si="242"/>
        <v>0</v>
      </c>
      <c r="AI138" s="1166">
        <f t="shared" si="242"/>
        <v>0</v>
      </c>
      <c r="AJ138" s="1166">
        <f t="shared" si="242"/>
        <v>0</v>
      </c>
      <c r="AK138" s="1166">
        <f t="shared" si="242"/>
        <v>0</v>
      </c>
      <c r="AL138" s="1165">
        <f>IF(ISBLANK(AL281),"",AL281)</f>
        <v>0</v>
      </c>
      <c r="AM138" s="1166">
        <f t="shared" si="243"/>
        <v>0</v>
      </c>
      <c r="AN138" s="1166">
        <f t="shared" si="243"/>
        <v>0</v>
      </c>
      <c r="AO138" s="1166">
        <f t="shared" si="243"/>
        <v>0</v>
      </c>
      <c r="AP138" s="1165">
        <f t="shared" si="243"/>
        <v>0</v>
      </c>
      <c r="AQ138" s="1166">
        <f t="shared" ref="AQ138:AX138" si="260">IF(ISBLANK(AQ281),"",AQ281)</f>
        <v>0</v>
      </c>
      <c r="AR138" s="1166">
        <f t="shared" si="260"/>
        <v>0</v>
      </c>
      <c r="AS138" s="1166">
        <f t="shared" si="260"/>
        <v>0</v>
      </c>
      <c r="AT138" s="1165">
        <f t="shared" si="260"/>
        <v>0</v>
      </c>
      <c r="AU138" s="1166">
        <f t="shared" si="260"/>
        <v>0</v>
      </c>
      <c r="AV138" s="1166">
        <f t="shared" si="260"/>
        <v>0</v>
      </c>
      <c r="AW138" s="1166">
        <f t="shared" si="260"/>
        <v>0</v>
      </c>
      <c r="AX138" s="1165">
        <f t="shared" si="260"/>
        <v>0</v>
      </c>
      <c r="AY138" s="1166">
        <f t="shared" si="241"/>
        <v>0</v>
      </c>
      <c r="AZ138" s="1166">
        <f t="shared" si="241"/>
        <v>0</v>
      </c>
      <c r="BA138" s="1166">
        <f t="shared" si="241"/>
        <v>0</v>
      </c>
      <c r="BB138" s="1165">
        <f t="shared" si="241"/>
        <v>0</v>
      </c>
      <c r="BC138" s="974"/>
      <c r="BD138" s="974"/>
      <c r="BE138" s="1074"/>
      <c r="BF138" s="1074"/>
      <c r="BG138" s="1074"/>
      <c r="BH138" s="1074">
        <f t="shared" si="246"/>
        <v>0</v>
      </c>
      <c r="BI138" s="1074">
        <f t="shared" si="247"/>
        <v>0</v>
      </c>
      <c r="BJ138" s="1074">
        <f t="shared" si="248"/>
        <v>0</v>
      </c>
      <c r="BK138" s="1074">
        <f t="shared" si="249"/>
        <v>0</v>
      </c>
      <c r="BL138" s="1074">
        <f t="shared" si="250"/>
        <v>0</v>
      </c>
      <c r="BM138" s="1074">
        <f t="shared" si="251"/>
        <v>0</v>
      </c>
      <c r="BN138" s="1074">
        <f t="shared" si="252"/>
        <v>0</v>
      </c>
      <c r="BO138" s="1074">
        <f t="shared" si="253"/>
        <v>0</v>
      </c>
      <c r="BP138" s="1074">
        <f t="shared" si="254"/>
        <v>0</v>
      </c>
      <c r="BQ138" s="949"/>
      <c r="BR138" s="950"/>
      <c r="BU138" s="922"/>
      <c r="BV138" s="921"/>
      <c r="BW138" s="921"/>
      <c r="BX138" s="921"/>
    </row>
    <row r="139" spans="1:76" ht="12.75" customHeight="1">
      <c r="A139" s="923"/>
      <c r="B139" s="924"/>
      <c r="C139" s="941" t="str">
        <f t="shared" ref="C139:E142" si="261">IF(ISBLANK(C282),"",C282)</f>
        <v/>
      </c>
      <c r="D139" s="941" t="str">
        <f t="shared" si="261"/>
        <v/>
      </c>
      <c r="E139" s="941" t="str">
        <f t="shared" si="261"/>
        <v/>
      </c>
      <c r="F139" s="957"/>
      <c r="G139" s="971" t="str">
        <f>IF(ISBLANK(G282),"",G282)</f>
        <v/>
      </c>
      <c r="H139" s="972" t="str">
        <f t="shared" ref="H139:N142" si="262">IF(ISBLANK(H282),"",H282)</f>
        <v/>
      </c>
      <c r="I139" s="972" t="str">
        <f t="shared" si="262"/>
        <v/>
      </c>
      <c r="J139" s="973" t="str">
        <f t="shared" si="262"/>
        <v/>
      </c>
      <c r="K139" s="951" t="str">
        <f t="shared" si="262"/>
        <v/>
      </c>
      <c r="L139" s="972" t="str">
        <f t="shared" si="262"/>
        <v/>
      </c>
      <c r="M139" s="972" t="str">
        <f t="shared" si="262"/>
        <v/>
      </c>
      <c r="N139" s="973" t="str">
        <f t="shared" si="262"/>
        <v/>
      </c>
      <c r="O139" s="971" t="str">
        <f t="shared" ref="O139:AL139" si="263">IF(ISBLANK(O282),"",O282)</f>
        <v/>
      </c>
      <c r="P139" s="972" t="str">
        <f t="shared" si="263"/>
        <v/>
      </c>
      <c r="Q139" s="972" t="str">
        <f t="shared" si="263"/>
        <v/>
      </c>
      <c r="R139" s="973" t="str">
        <f t="shared" si="263"/>
        <v/>
      </c>
      <c r="S139" s="971" t="str">
        <f t="shared" si="263"/>
        <v/>
      </c>
      <c r="T139" s="972" t="str">
        <f t="shared" si="263"/>
        <v/>
      </c>
      <c r="U139" s="972" t="str">
        <f t="shared" si="263"/>
        <v/>
      </c>
      <c r="V139" s="973" t="str">
        <f t="shared" si="263"/>
        <v/>
      </c>
      <c r="W139" s="972" t="str">
        <f t="shared" si="263"/>
        <v/>
      </c>
      <c r="X139" s="972" t="str">
        <f t="shared" si="263"/>
        <v/>
      </c>
      <c r="Y139" s="972" t="str">
        <f t="shared" si="263"/>
        <v/>
      </c>
      <c r="Z139" s="973" t="str">
        <f t="shared" si="263"/>
        <v/>
      </c>
      <c r="AA139" s="972" t="str">
        <f t="shared" si="263"/>
        <v/>
      </c>
      <c r="AB139" s="972" t="str">
        <f t="shared" si="263"/>
        <v/>
      </c>
      <c r="AC139" s="972" t="str">
        <f t="shared" si="263"/>
        <v/>
      </c>
      <c r="AD139" s="973" t="str">
        <f t="shared" si="263"/>
        <v/>
      </c>
      <c r="AE139" s="972" t="str">
        <f t="shared" si="263"/>
        <v/>
      </c>
      <c r="AF139" s="972" t="str">
        <f t="shared" si="263"/>
        <v/>
      </c>
      <c r="AG139" s="972" t="str">
        <f t="shared" si="263"/>
        <v/>
      </c>
      <c r="AH139" s="973" t="str">
        <f t="shared" si="263"/>
        <v/>
      </c>
      <c r="AI139" s="972" t="str">
        <f t="shared" si="263"/>
        <v/>
      </c>
      <c r="AJ139" s="972" t="str">
        <f t="shared" si="263"/>
        <v/>
      </c>
      <c r="AK139" s="972" t="str">
        <f t="shared" si="263"/>
        <v/>
      </c>
      <c r="AL139" s="973" t="str">
        <f t="shared" si="263"/>
        <v/>
      </c>
      <c r="AM139" s="972" t="str">
        <f t="shared" ref="AM139:AP142" si="264">IF(ISBLANK(AM282),"",AM282)</f>
        <v/>
      </c>
      <c r="AN139" s="972" t="str">
        <f t="shared" si="264"/>
        <v/>
      </c>
      <c r="AO139" s="972" t="str">
        <f t="shared" si="264"/>
        <v/>
      </c>
      <c r="AP139" s="973" t="str">
        <f t="shared" si="264"/>
        <v/>
      </c>
      <c r="AQ139" s="972"/>
      <c r="AR139" s="972"/>
      <c r="AS139" s="972"/>
      <c r="AT139" s="973"/>
      <c r="AU139" s="972"/>
      <c r="AV139" s="972"/>
      <c r="AW139" s="972"/>
      <c r="AX139" s="973"/>
      <c r="AY139" s="972"/>
      <c r="AZ139" s="972"/>
      <c r="BA139" s="972"/>
      <c r="BB139" s="973"/>
      <c r="BC139" s="976"/>
      <c r="BD139" s="977"/>
      <c r="BE139" s="977"/>
      <c r="BF139" s="977"/>
      <c r="BG139" s="977"/>
      <c r="BH139" s="977"/>
      <c r="BI139" s="977"/>
      <c r="BJ139" s="977"/>
      <c r="BK139" s="977"/>
      <c r="BL139" s="977"/>
      <c r="BM139" s="977"/>
      <c r="BN139" s="977"/>
      <c r="BO139" s="977"/>
      <c r="BP139" s="977"/>
      <c r="BQ139" s="949"/>
      <c r="BR139" s="950"/>
      <c r="BU139" s="922"/>
      <c r="BV139" s="921"/>
      <c r="BW139" s="921"/>
      <c r="BX139" s="921"/>
    </row>
    <row r="140" spans="1:76" ht="12.75" customHeight="1">
      <c r="A140" s="923"/>
      <c r="B140" s="924"/>
      <c r="C140" s="978" t="str">
        <f t="shared" si="261"/>
        <v/>
      </c>
      <c r="D140" s="978" t="str">
        <f t="shared" si="261"/>
        <v/>
      </c>
      <c r="E140" s="978" t="str">
        <f t="shared" si="261"/>
        <v/>
      </c>
      <c r="F140" s="1065"/>
      <c r="G140" s="951" t="str">
        <f>IF(ISBLANK(G283),"",G283)</f>
        <v/>
      </c>
      <c r="H140" s="952" t="str">
        <f t="shared" si="262"/>
        <v/>
      </c>
      <c r="I140" s="952" t="str">
        <f t="shared" si="262"/>
        <v/>
      </c>
      <c r="J140" s="953" t="str">
        <f t="shared" si="262"/>
        <v/>
      </c>
      <c r="K140" s="979" t="str">
        <f t="shared" si="262"/>
        <v/>
      </c>
      <c r="L140" s="952" t="str">
        <f t="shared" si="262"/>
        <v/>
      </c>
      <c r="M140" s="952" t="str">
        <f t="shared" si="262"/>
        <v/>
      </c>
      <c r="N140" s="953" t="str">
        <f t="shared" si="262"/>
        <v/>
      </c>
      <c r="O140" s="951" t="str">
        <f t="shared" ref="O140:AL140" si="265">IF(ISBLANK(O283),"",O283)</f>
        <v/>
      </c>
      <c r="P140" s="952" t="str">
        <f t="shared" si="265"/>
        <v/>
      </c>
      <c r="Q140" s="952" t="str">
        <f t="shared" si="265"/>
        <v/>
      </c>
      <c r="R140" s="953" t="str">
        <f t="shared" si="265"/>
        <v/>
      </c>
      <c r="S140" s="951" t="str">
        <f t="shared" si="265"/>
        <v/>
      </c>
      <c r="T140" s="952" t="str">
        <f t="shared" si="265"/>
        <v/>
      </c>
      <c r="U140" s="952" t="str">
        <f t="shared" si="265"/>
        <v/>
      </c>
      <c r="V140" s="953" t="str">
        <f t="shared" si="265"/>
        <v/>
      </c>
      <c r="W140" s="952" t="str">
        <f t="shared" si="265"/>
        <v/>
      </c>
      <c r="X140" s="952" t="str">
        <f t="shared" si="265"/>
        <v/>
      </c>
      <c r="Y140" s="952" t="str">
        <f t="shared" si="265"/>
        <v/>
      </c>
      <c r="Z140" s="953" t="str">
        <f t="shared" si="265"/>
        <v/>
      </c>
      <c r="AA140" s="952" t="str">
        <f t="shared" si="265"/>
        <v/>
      </c>
      <c r="AB140" s="952" t="str">
        <f t="shared" si="265"/>
        <v/>
      </c>
      <c r="AC140" s="952" t="str">
        <f t="shared" si="265"/>
        <v/>
      </c>
      <c r="AD140" s="953" t="str">
        <f t="shared" si="265"/>
        <v/>
      </c>
      <c r="AE140" s="952" t="str">
        <f t="shared" si="265"/>
        <v/>
      </c>
      <c r="AF140" s="952" t="str">
        <f t="shared" si="265"/>
        <v/>
      </c>
      <c r="AG140" s="952" t="str">
        <f t="shared" si="265"/>
        <v/>
      </c>
      <c r="AH140" s="953" t="str">
        <f t="shared" si="265"/>
        <v/>
      </c>
      <c r="AI140" s="952" t="str">
        <f t="shared" si="265"/>
        <v/>
      </c>
      <c r="AJ140" s="952" t="str">
        <f t="shared" si="265"/>
        <v/>
      </c>
      <c r="AK140" s="952" t="str">
        <f t="shared" si="265"/>
        <v/>
      </c>
      <c r="AL140" s="953" t="str">
        <f t="shared" si="265"/>
        <v/>
      </c>
      <c r="AM140" s="952" t="str">
        <f t="shared" si="264"/>
        <v/>
      </c>
      <c r="AN140" s="952" t="str">
        <f t="shared" si="264"/>
        <v/>
      </c>
      <c r="AO140" s="952" t="str">
        <f t="shared" si="264"/>
        <v/>
      </c>
      <c r="AP140" s="953" t="str">
        <f t="shared" si="264"/>
        <v/>
      </c>
      <c r="AQ140" s="952"/>
      <c r="AR140" s="952"/>
      <c r="AS140" s="952"/>
      <c r="AT140" s="953"/>
      <c r="AU140" s="952"/>
      <c r="AV140" s="952"/>
      <c r="AW140" s="952"/>
      <c r="AX140" s="953"/>
      <c r="AY140" s="952"/>
      <c r="AZ140" s="952"/>
      <c r="BA140" s="952"/>
      <c r="BB140" s="953"/>
      <c r="BC140" s="980"/>
      <c r="BD140" s="980"/>
      <c r="BE140" s="980"/>
      <c r="BF140" s="980"/>
      <c r="BG140" s="980"/>
      <c r="BH140" s="980"/>
      <c r="BI140" s="980"/>
      <c r="BJ140" s="980"/>
      <c r="BK140" s="980"/>
      <c r="BL140" s="980"/>
      <c r="BM140" s="980"/>
      <c r="BN140" s="980"/>
      <c r="BO140" s="980"/>
      <c r="BP140" s="980"/>
      <c r="BQ140" s="949"/>
      <c r="BR140" s="968"/>
      <c r="BU140" s="922"/>
      <c r="BV140" s="921"/>
      <c r="BW140" s="921"/>
      <c r="BX140" s="921"/>
    </row>
    <row r="141" spans="1:76" ht="12.75" customHeight="1">
      <c r="A141" s="981"/>
      <c r="B141" s="1075"/>
      <c r="C141" s="1076" t="str">
        <f t="shared" si="261"/>
        <v/>
      </c>
      <c r="D141" s="1076" t="str">
        <f t="shared" si="261"/>
        <v/>
      </c>
      <c r="E141" s="1076" t="str">
        <f t="shared" si="261"/>
        <v/>
      </c>
      <c r="F141" s="1077"/>
      <c r="G141" s="979" t="str">
        <f>IF(ISBLANK(G284),"",G284)</f>
        <v/>
      </c>
      <c r="H141" s="982" t="str">
        <f t="shared" si="262"/>
        <v/>
      </c>
      <c r="I141" s="982" t="str">
        <f t="shared" si="262"/>
        <v/>
      </c>
      <c r="J141" s="983" t="str">
        <f t="shared" si="262"/>
        <v/>
      </c>
      <c r="K141" s="982" t="str">
        <f t="shared" si="262"/>
        <v/>
      </c>
      <c r="L141" s="982" t="str">
        <f t="shared" si="262"/>
        <v/>
      </c>
      <c r="M141" s="982" t="str">
        <f t="shared" si="262"/>
        <v/>
      </c>
      <c r="N141" s="983" t="str">
        <f t="shared" si="262"/>
        <v/>
      </c>
      <c r="O141" s="979" t="str">
        <f t="shared" ref="O141:AL141" si="266">IF(ISBLANK(O284),"",O284)</f>
        <v/>
      </c>
      <c r="P141" s="982" t="str">
        <f t="shared" si="266"/>
        <v/>
      </c>
      <c r="Q141" s="982" t="str">
        <f t="shared" si="266"/>
        <v/>
      </c>
      <c r="R141" s="983" t="str">
        <f t="shared" si="266"/>
        <v/>
      </c>
      <c r="S141" s="979" t="str">
        <f t="shared" si="266"/>
        <v/>
      </c>
      <c r="T141" s="982" t="str">
        <f t="shared" si="266"/>
        <v/>
      </c>
      <c r="U141" s="982" t="str">
        <f t="shared" si="266"/>
        <v/>
      </c>
      <c r="V141" s="983" t="str">
        <f t="shared" si="266"/>
        <v/>
      </c>
      <c r="W141" s="982" t="str">
        <f t="shared" si="266"/>
        <v/>
      </c>
      <c r="X141" s="982" t="str">
        <f t="shared" si="266"/>
        <v/>
      </c>
      <c r="Y141" s="982" t="str">
        <f t="shared" si="266"/>
        <v/>
      </c>
      <c r="Z141" s="983" t="str">
        <f t="shared" si="266"/>
        <v/>
      </c>
      <c r="AA141" s="982" t="str">
        <f t="shared" si="266"/>
        <v/>
      </c>
      <c r="AB141" s="982" t="str">
        <f t="shared" si="266"/>
        <v/>
      </c>
      <c r="AC141" s="982" t="str">
        <f t="shared" si="266"/>
        <v/>
      </c>
      <c r="AD141" s="983" t="str">
        <f t="shared" si="266"/>
        <v/>
      </c>
      <c r="AE141" s="982" t="str">
        <f t="shared" si="266"/>
        <v/>
      </c>
      <c r="AF141" s="982" t="str">
        <f t="shared" si="266"/>
        <v/>
      </c>
      <c r="AG141" s="982" t="str">
        <f t="shared" si="266"/>
        <v/>
      </c>
      <c r="AH141" s="983" t="str">
        <f t="shared" si="266"/>
        <v/>
      </c>
      <c r="AI141" s="982" t="str">
        <f t="shared" si="266"/>
        <v/>
      </c>
      <c r="AJ141" s="982" t="str">
        <f t="shared" si="266"/>
        <v/>
      </c>
      <c r="AK141" s="982" t="str">
        <f t="shared" si="266"/>
        <v/>
      </c>
      <c r="AL141" s="983" t="str">
        <f t="shared" si="266"/>
        <v/>
      </c>
      <c r="AM141" s="982" t="str">
        <f t="shared" si="264"/>
        <v/>
      </c>
      <c r="AN141" s="982" t="str">
        <f t="shared" si="264"/>
        <v/>
      </c>
      <c r="AO141" s="982" t="str">
        <f t="shared" si="264"/>
        <v/>
      </c>
      <c r="AP141" s="983" t="str">
        <f t="shared" si="264"/>
        <v/>
      </c>
      <c r="AQ141" s="982"/>
      <c r="AR141" s="982"/>
      <c r="AS141" s="982"/>
      <c r="AT141" s="983"/>
      <c r="AU141" s="982"/>
      <c r="AV141" s="982"/>
      <c r="AW141" s="982"/>
      <c r="AX141" s="983"/>
      <c r="AY141" s="982"/>
      <c r="AZ141" s="982"/>
      <c r="BA141" s="982"/>
      <c r="BB141" s="983"/>
      <c r="BC141" s="967"/>
      <c r="BD141" s="967"/>
      <c r="BE141" s="967"/>
      <c r="BF141" s="967"/>
      <c r="BG141" s="967"/>
      <c r="BH141" s="967"/>
      <c r="BI141" s="967"/>
      <c r="BJ141" s="967"/>
      <c r="BK141" s="967"/>
      <c r="BL141" s="967"/>
      <c r="BM141" s="967"/>
      <c r="BN141" s="967"/>
      <c r="BO141" s="967"/>
      <c r="BP141" s="967"/>
      <c r="BQ141" s="949"/>
      <c r="BR141" s="968"/>
      <c r="BU141" s="922"/>
      <c r="BV141" s="921"/>
      <c r="BW141" s="921"/>
      <c r="BX141" s="921"/>
    </row>
    <row r="142" spans="1:76" ht="12.75" customHeight="1">
      <c r="A142" s="984"/>
      <c r="B142" s="984"/>
      <c r="C142" s="985" t="str">
        <f t="shared" si="261"/>
        <v/>
      </c>
      <c r="D142" s="985" t="str">
        <f t="shared" si="261"/>
        <v/>
      </c>
      <c r="E142" s="985" t="str">
        <f t="shared" si="261"/>
        <v/>
      </c>
      <c r="F142" s="1078"/>
      <c r="G142" s="986" t="str">
        <f>IF(ISBLANK(G285),"",G285)</f>
        <v/>
      </c>
      <c r="H142" s="984" t="str">
        <f t="shared" si="262"/>
        <v/>
      </c>
      <c r="I142" s="987" t="str">
        <f t="shared" si="262"/>
        <v/>
      </c>
      <c r="J142" s="987" t="str">
        <f t="shared" si="262"/>
        <v/>
      </c>
      <c r="K142" s="987" t="str">
        <f t="shared" si="262"/>
        <v/>
      </c>
      <c r="L142" s="987" t="str">
        <f t="shared" si="262"/>
        <v/>
      </c>
      <c r="M142" s="987" t="str">
        <f t="shared" si="262"/>
        <v/>
      </c>
      <c r="N142" s="987" t="str">
        <f t="shared" si="262"/>
        <v/>
      </c>
      <c r="O142" s="987" t="str">
        <f t="shared" ref="O142:AL142" si="267">IF(ISBLANK(O285),"",O285)</f>
        <v/>
      </c>
      <c r="P142" s="987" t="str">
        <f t="shared" si="267"/>
        <v/>
      </c>
      <c r="Q142" s="987" t="str">
        <f t="shared" si="267"/>
        <v/>
      </c>
      <c r="R142" s="987" t="str">
        <f t="shared" si="267"/>
        <v/>
      </c>
      <c r="S142" s="986" t="str">
        <f t="shared" si="267"/>
        <v/>
      </c>
      <c r="T142" s="987" t="str">
        <f t="shared" si="267"/>
        <v/>
      </c>
      <c r="U142" s="987" t="str">
        <f t="shared" si="267"/>
        <v/>
      </c>
      <c r="V142" s="987" t="str">
        <f t="shared" si="267"/>
        <v/>
      </c>
      <c r="W142" s="987" t="str">
        <f t="shared" si="267"/>
        <v/>
      </c>
      <c r="X142" s="987" t="str">
        <f t="shared" si="267"/>
        <v/>
      </c>
      <c r="Y142" s="987" t="str">
        <f t="shared" si="267"/>
        <v/>
      </c>
      <c r="Z142" s="986" t="str">
        <f t="shared" si="267"/>
        <v/>
      </c>
      <c r="AA142" s="987" t="str">
        <f t="shared" si="267"/>
        <v/>
      </c>
      <c r="AB142" s="987" t="str">
        <f t="shared" si="267"/>
        <v/>
      </c>
      <c r="AC142" s="987" t="str">
        <f t="shared" si="267"/>
        <v/>
      </c>
      <c r="AD142" s="987" t="str">
        <f t="shared" si="267"/>
        <v/>
      </c>
      <c r="AE142" s="987" t="str">
        <f t="shared" si="267"/>
        <v/>
      </c>
      <c r="AF142" s="987" t="str">
        <f t="shared" si="267"/>
        <v/>
      </c>
      <c r="AG142" s="987" t="str">
        <f t="shared" si="267"/>
        <v/>
      </c>
      <c r="AH142" s="987" t="str">
        <f t="shared" si="267"/>
        <v/>
      </c>
      <c r="AI142" s="987" t="str">
        <f t="shared" si="267"/>
        <v/>
      </c>
      <c r="AJ142" s="987" t="str">
        <f t="shared" si="267"/>
        <v/>
      </c>
      <c r="AK142" s="987" t="str">
        <f t="shared" si="267"/>
        <v/>
      </c>
      <c r="AL142" s="987" t="str">
        <f t="shared" si="267"/>
        <v/>
      </c>
      <c r="AM142" s="987" t="str">
        <f t="shared" si="264"/>
        <v/>
      </c>
      <c r="AN142" s="987" t="str">
        <f t="shared" si="264"/>
        <v/>
      </c>
      <c r="AO142" s="987" t="str">
        <f t="shared" si="264"/>
        <v/>
      </c>
      <c r="AP142" s="987" t="str">
        <f t="shared" si="264"/>
        <v/>
      </c>
      <c r="AQ142" s="987"/>
      <c r="AR142" s="987"/>
      <c r="AS142" s="987"/>
      <c r="AT142" s="987"/>
      <c r="AU142" s="987"/>
      <c r="AV142" s="987"/>
      <c r="AW142" s="987"/>
      <c r="AX142" s="987"/>
      <c r="AY142" s="987"/>
      <c r="AZ142" s="987"/>
      <c r="BA142" s="987"/>
      <c r="BB142" s="987"/>
      <c r="BC142" s="987"/>
      <c r="BD142" s="987"/>
      <c r="BE142" s="987"/>
      <c r="BF142" s="987"/>
      <c r="BG142" s="987"/>
      <c r="BH142" s="987"/>
      <c r="BI142" s="987"/>
      <c r="BJ142" s="987"/>
      <c r="BK142" s="987"/>
      <c r="BL142" s="987"/>
      <c r="BM142" s="987"/>
      <c r="BN142" s="987"/>
      <c r="BO142" s="987"/>
      <c r="BP142" s="987"/>
      <c r="BQ142" s="987"/>
      <c r="BR142" s="968"/>
      <c r="BU142" s="922"/>
      <c r="BV142" s="921"/>
      <c r="BW142" s="921"/>
      <c r="BX142" s="921"/>
    </row>
    <row r="143" spans="1:76" ht="12.75" customHeight="1">
      <c r="G143" s="895"/>
      <c r="H143" s="895"/>
      <c r="I143" s="895"/>
      <c r="J143" s="895"/>
      <c r="L143" s="949"/>
      <c r="M143" s="949"/>
      <c r="N143" s="949"/>
      <c r="O143" s="949"/>
      <c r="BG143" s="895"/>
      <c r="BH143" s="895"/>
      <c r="BI143" s="895"/>
      <c r="BJ143" s="895"/>
      <c r="BK143" s="895"/>
      <c r="BL143" s="895"/>
      <c r="BM143" s="895"/>
      <c r="BN143" s="895"/>
      <c r="BO143" s="895"/>
      <c r="BP143" s="895"/>
      <c r="BQ143" s="895"/>
      <c r="BR143" s="950"/>
      <c r="BU143" s="922"/>
      <c r="BV143" s="921"/>
      <c r="BW143" s="921"/>
      <c r="BX143" s="921"/>
    </row>
    <row r="144" spans="1:76" ht="12.75" customHeight="1">
      <c r="G144" s="895"/>
      <c r="H144" s="895"/>
      <c r="I144" s="895"/>
      <c r="J144" s="895"/>
      <c r="L144" s="949"/>
      <c r="M144" s="949"/>
      <c r="N144" s="949"/>
      <c r="O144" s="949"/>
      <c r="BG144" s="895"/>
      <c r="BH144" s="895"/>
      <c r="BI144" s="895"/>
      <c r="BJ144" s="895"/>
      <c r="BK144" s="895"/>
      <c r="BL144" s="895"/>
      <c r="BM144" s="895"/>
      <c r="BN144" s="895"/>
      <c r="BO144" s="895"/>
      <c r="BP144" s="895"/>
      <c r="BQ144" s="895"/>
      <c r="BR144" s="950"/>
      <c r="BU144" s="922"/>
      <c r="BV144" s="921"/>
      <c r="BW144" s="921"/>
      <c r="BX144" s="921"/>
    </row>
    <row r="145" spans="3:76" ht="12.75" customHeight="1">
      <c r="G145" s="895"/>
      <c r="H145" s="895"/>
      <c r="I145" s="895"/>
      <c r="J145" s="895"/>
      <c r="L145" s="949"/>
      <c r="M145" s="949"/>
      <c r="N145" s="949"/>
      <c r="O145" s="949"/>
      <c r="BG145" s="895"/>
      <c r="BH145" s="895"/>
      <c r="BI145" s="895"/>
      <c r="BJ145" s="895"/>
      <c r="BK145" s="895"/>
      <c r="BL145" s="895"/>
      <c r="BM145" s="895"/>
      <c r="BN145" s="895"/>
      <c r="BO145" s="895"/>
      <c r="BP145" s="895"/>
      <c r="BQ145" s="895"/>
      <c r="BR145" s="950"/>
      <c r="BU145" s="922"/>
      <c r="BV145" s="921"/>
      <c r="BW145" s="921"/>
      <c r="BX145" s="921"/>
    </row>
    <row r="146" spans="3:76" ht="12.75" customHeight="1">
      <c r="G146" s="895"/>
      <c r="H146" s="895"/>
      <c r="I146" s="895"/>
      <c r="J146" s="895"/>
      <c r="L146" s="949"/>
      <c r="M146" s="949"/>
      <c r="N146" s="949"/>
      <c r="O146" s="949"/>
      <c r="BG146" s="895"/>
      <c r="BH146" s="895"/>
      <c r="BI146" s="895"/>
      <c r="BJ146" s="895"/>
      <c r="BK146" s="895"/>
      <c r="BL146" s="895"/>
      <c r="BM146" s="895"/>
      <c r="BN146" s="895"/>
      <c r="BO146" s="895"/>
      <c r="BP146" s="895"/>
      <c r="BQ146" s="895"/>
      <c r="BR146" s="950"/>
      <c r="BU146" s="922"/>
      <c r="BV146" s="921"/>
      <c r="BW146" s="921"/>
      <c r="BX146" s="921"/>
    </row>
    <row r="147" spans="3:76" ht="12.75" customHeight="1">
      <c r="G147" s="895"/>
      <c r="H147" s="895"/>
      <c r="I147" s="895"/>
      <c r="J147" s="895"/>
      <c r="L147" s="949"/>
      <c r="M147" s="949"/>
      <c r="N147" s="949"/>
      <c r="O147" s="949"/>
      <c r="BG147" s="895"/>
      <c r="BH147" s="895"/>
      <c r="BI147" s="895"/>
      <c r="BJ147" s="895"/>
      <c r="BK147" s="895"/>
      <c r="BL147" s="895"/>
      <c r="BM147" s="895"/>
      <c r="BN147" s="895"/>
      <c r="BO147" s="895"/>
      <c r="BP147" s="895"/>
      <c r="BQ147" s="895"/>
      <c r="BR147" s="950"/>
      <c r="BU147" s="922"/>
      <c r="BV147" s="921"/>
      <c r="BW147" s="921"/>
      <c r="BX147" s="921"/>
    </row>
    <row r="148" spans="3:76" ht="12.75" customHeight="1" thickBot="1">
      <c r="G148" s="895"/>
      <c r="H148" s="895"/>
      <c r="I148" s="895"/>
      <c r="J148" s="895"/>
      <c r="L148" s="949"/>
      <c r="M148" s="949"/>
      <c r="N148" s="949"/>
      <c r="O148" s="949"/>
      <c r="BG148" s="895"/>
      <c r="BH148" s="895"/>
      <c r="BI148" s="895"/>
      <c r="BJ148" s="895"/>
      <c r="BK148" s="895"/>
      <c r="BL148" s="895"/>
      <c r="BM148" s="895"/>
      <c r="BN148" s="895"/>
      <c r="BO148" s="895"/>
      <c r="BP148" s="895"/>
      <c r="BQ148" s="895"/>
      <c r="BR148" s="950"/>
      <c r="BU148" s="922"/>
      <c r="BV148" s="921"/>
      <c r="BW148" s="921"/>
      <c r="BX148" s="921"/>
    </row>
    <row r="149" spans="3:76" ht="12.75" customHeight="1">
      <c r="C149" s="989" t="s">
        <v>671</v>
      </c>
      <c r="D149" s="990"/>
      <c r="E149" s="990"/>
      <c r="F149" s="1079"/>
      <c r="G149" s="991"/>
      <c r="H149" s="992"/>
      <c r="I149" s="992"/>
      <c r="J149" s="993"/>
      <c r="K149" s="991"/>
      <c r="L149" s="992"/>
      <c r="M149" s="992"/>
      <c r="N149" s="993"/>
      <c r="O149" s="991"/>
      <c r="P149" s="992"/>
      <c r="Q149" s="992"/>
      <c r="R149" s="993"/>
      <c r="S149" s="991"/>
      <c r="T149" s="992"/>
      <c r="U149" s="992"/>
      <c r="V149" s="993"/>
      <c r="W149" s="992"/>
      <c r="X149" s="992"/>
      <c r="Y149" s="992"/>
      <c r="Z149" s="994"/>
      <c r="AA149" s="995"/>
      <c r="AB149" s="995"/>
      <c r="AC149" s="995"/>
      <c r="AD149" s="994"/>
      <c r="AE149" s="995"/>
      <c r="AF149" s="995"/>
      <c r="AG149" s="995"/>
      <c r="AH149" s="994"/>
      <c r="AI149" s="995"/>
      <c r="AJ149" s="995"/>
      <c r="AK149" s="995"/>
      <c r="AL149" s="994"/>
      <c r="AM149" s="995"/>
      <c r="AN149" s="995"/>
      <c r="AO149" s="995"/>
      <c r="AP149" s="994"/>
      <c r="AQ149" s="995"/>
      <c r="AR149" s="995"/>
      <c r="AS149" s="995"/>
      <c r="AT149" s="994"/>
      <c r="AU149" s="995"/>
      <c r="AV149" s="995"/>
      <c r="AW149" s="995"/>
      <c r="AX149" s="994"/>
      <c r="AY149" s="991"/>
      <c r="AZ149" s="995"/>
      <c r="BA149" s="995"/>
      <c r="BB149" s="996"/>
      <c r="BC149" s="935"/>
      <c r="BD149" s="936"/>
      <c r="BE149" s="936"/>
      <c r="BF149" s="936"/>
      <c r="BG149" s="936"/>
      <c r="BH149" s="936"/>
      <c r="BI149" s="936"/>
      <c r="BJ149" s="936"/>
      <c r="BK149" s="936"/>
      <c r="BL149" s="936"/>
      <c r="BM149" s="936"/>
      <c r="BN149" s="936"/>
      <c r="BO149" s="936"/>
      <c r="BP149" s="936"/>
      <c r="BQ149" s="937"/>
      <c r="BR149" s="938"/>
      <c r="BS149" s="939"/>
      <c r="BU149" s="922"/>
      <c r="BV149" s="921"/>
      <c r="BW149" s="921"/>
      <c r="BX149" s="921"/>
    </row>
    <row r="150" spans="3:76" ht="12.75" customHeight="1">
      <c r="C150" s="997"/>
      <c r="D150" s="967"/>
      <c r="E150" s="967"/>
      <c r="F150" s="1044"/>
      <c r="G150" s="942"/>
      <c r="H150" s="943"/>
      <c r="I150" s="943"/>
      <c r="J150" s="944"/>
      <c r="K150" s="942"/>
      <c r="L150" s="943"/>
      <c r="M150" s="943"/>
      <c r="N150" s="944"/>
      <c r="O150" s="942"/>
      <c r="P150" s="943"/>
      <c r="Q150" s="943"/>
      <c r="R150" s="945"/>
      <c r="S150" s="946"/>
      <c r="T150" s="947"/>
      <c r="U150" s="947"/>
      <c r="V150" s="945"/>
      <c r="W150" s="947"/>
      <c r="X150" s="947"/>
      <c r="Y150" s="947"/>
      <c r="Z150" s="945"/>
      <c r="AA150" s="947"/>
      <c r="AB150" s="947"/>
      <c r="AC150" s="947"/>
      <c r="AD150" s="945"/>
      <c r="AE150" s="947"/>
      <c r="AF150" s="947"/>
      <c r="AG150" s="947"/>
      <c r="AH150" s="945"/>
      <c r="AI150" s="947"/>
      <c r="AJ150" s="947"/>
      <c r="AK150" s="947"/>
      <c r="AL150" s="945"/>
      <c r="AM150" s="947"/>
      <c r="AN150" s="947"/>
      <c r="AO150" s="947"/>
      <c r="AP150" s="945"/>
      <c r="AQ150" s="947"/>
      <c r="AR150" s="947"/>
      <c r="AS150" s="947"/>
      <c r="AT150" s="945"/>
      <c r="AU150" s="947"/>
      <c r="AV150" s="947"/>
      <c r="AW150" s="947"/>
      <c r="AX150" s="933"/>
      <c r="AY150" s="946"/>
      <c r="AZ150" s="947"/>
      <c r="BA150" s="947"/>
      <c r="BB150" s="1431"/>
      <c r="BC150" s="948"/>
      <c r="BD150" s="948"/>
      <c r="BE150" s="948"/>
      <c r="BF150" s="948"/>
      <c r="BG150" s="948"/>
      <c r="BH150" s="948"/>
      <c r="BI150" s="948"/>
      <c r="BJ150" s="948"/>
      <c r="BK150" s="948"/>
      <c r="BL150" s="948"/>
      <c r="BM150" s="948"/>
      <c r="BN150" s="948"/>
      <c r="BO150" s="948"/>
      <c r="BP150" s="948"/>
      <c r="BQ150" s="949"/>
      <c r="BR150" s="950"/>
      <c r="BU150" s="922"/>
      <c r="BV150" s="921"/>
      <c r="BW150" s="921"/>
      <c r="BX150" s="921"/>
    </row>
    <row r="151" spans="3:76" ht="12.75" customHeight="1">
      <c r="C151" s="1456" t="s">
        <v>51</v>
      </c>
      <c r="D151" s="1189"/>
      <c r="E151" s="1189"/>
      <c r="F151" s="1123"/>
      <c r="G151" s="1592">
        <v>5.1241129032258064</v>
      </c>
      <c r="H151" s="1593">
        <v>4.3247460317460309</v>
      </c>
      <c r="I151" s="1593">
        <v>4.2905156250000003</v>
      </c>
      <c r="J151" s="1594">
        <v>3.8051846153846145</v>
      </c>
      <c r="K151" s="1592">
        <v>4.1753749999999998</v>
      </c>
      <c r="L151" s="1593">
        <v>4.3679218749999995</v>
      </c>
      <c r="M151" s="1593">
        <v>4.1250937499999987</v>
      </c>
      <c r="N151" s="1594">
        <v>3.3347142857142864</v>
      </c>
      <c r="O151" s="1592">
        <v>2.4596984126984123</v>
      </c>
      <c r="P151" s="1593">
        <v>2.2776984126984123</v>
      </c>
      <c r="Q151" s="1593">
        <v>2.8780317460317462</v>
      </c>
      <c r="R151" s="1593">
        <v>3.3929375000000004</v>
      </c>
      <c r="S151" s="1592">
        <v>3.4791000000000003</v>
      </c>
      <c r="T151" s="1593">
        <v>4.0243281250000011</v>
      </c>
      <c r="U151" s="1593">
        <v>3.5578281250000003</v>
      </c>
      <c r="V151" s="1593">
        <v>3.8364218749999996</v>
      </c>
      <c r="W151" s="1592">
        <v>5.1762950819672131</v>
      </c>
      <c r="X151" s="1593">
        <v>4.6069687499999992</v>
      </c>
      <c r="Y151" s="1593">
        <v>3.9690625000000006</v>
      </c>
      <c r="Z151" s="1594">
        <v>3.7758906249999988</v>
      </c>
      <c r="AA151" s="1592">
        <v>2.8932580645161292</v>
      </c>
      <c r="AB151" s="1593">
        <v>2.7407301587301576</v>
      </c>
      <c r="AC151" s="1593">
        <v>2.7644218749999996</v>
      </c>
      <c r="AD151" s="1594">
        <v>2.1331111111111114</v>
      </c>
      <c r="AE151" s="1592">
        <v>1.9876885245901643</v>
      </c>
      <c r="AF151" s="1593">
        <v>2.135984375</v>
      </c>
      <c r="AG151" s="1595">
        <v>2.8751562499999994</v>
      </c>
      <c r="AH151" s="1596">
        <v>3.0312419354838709</v>
      </c>
      <c r="AI151" s="1595">
        <v>3.0098387096774188</v>
      </c>
      <c r="AJ151" s="1595">
        <v>3.076171875</v>
      </c>
      <c r="AK151" s="1595">
        <v>2.9540158730158725</v>
      </c>
      <c r="AL151" s="1596">
        <v>2.8899677419354837</v>
      </c>
      <c r="AM151" s="1595">
        <v>3.1108032786885249</v>
      </c>
      <c r="AN151" s="1595">
        <v>2.6796666666666664</v>
      </c>
      <c r="AO151" s="1595">
        <v>2.8149999999999999</v>
      </c>
      <c r="AP151" s="1596">
        <v>2.9016666666666668</v>
      </c>
      <c r="AQ151" s="1595">
        <v>2.9026943643004919</v>
      </c>
      <c r="AR151" s="1595">
        <v>2.5441789597993276</v>
      </c>
      <c r="AS151" s="1595">
        <v>2.5777897789713125</v>
      </c>
      <c r="AT151" s="1596">
        <v>3.0133368969288674</v>
      </c>
      <c r="AU151" s="1595">
        <v>2.9460848852381236</v>
      </c>
      <c r="AV151" s="1595">
        <v>2.5822102633295767</v>
      </c>
      <c r="AW151" s="1595">
        <v>2.6163235091335033</v>
      </c>
      <c r="AX151" s="1596">
        <v>3.0583813422987949</v>
      </c>
      <c r="AY151" s="1597">
        <v>3.0034129674466312</v>
      </c>
      <c r="AZ151" s="1595">
        <v>2.632457682539239</v>
      </c>
      <c r="BA151" s="1595">
        <v>2.6672347404993073</v>
      </c>
      <c r="BB151" s="1844">
        <v>3.117894609514821</v>
      </c>
      <c r="BC151" s="954"/>
      <c r="BD151" s="954"/>
      <c r="BE151" s="1047">
        <f>AVERAGE(G151:J151)</f>
        <v>4.3861397938391136</v>
      </c>
      <c r="BF151" s="1047">
        <f>AVERAGE(K151:N151)</f>
        <v>4.0007762276785712</v>
      </c>
      <c r="BG151" s="1047">
        <f>AVERAGE(O151:R151)</f>
        <v>2.752091517857143</v>
      </c>
      <c r="BH151" s="1047">
        <f>AVERAGE(S151:V151)</f>
        <v>3.7244195312500001</v>
      </c>
      <c r="BI151" s="1047">
        <f>AVERAGE(W151:Z151)</f>
        <v>4.3820542392418025</v>
      </c>
      <c r="BJ151" s="1047">
        <f>AVERAGE(AA151:AD151)</f>
        <v>2.6328803023393492</v>
      </c>
      <c r="BK151" s="1047">
        <f>AVERAGE(AE151:AH151)</f>
        <v>2.5075177712685086</v>
      </c>
      <c r="BL151" s="1047">
        <f>AVERAGE(AI151:AL151)</f>
        <v>2.9824985499071941</v>
      </c>
      <c r="BM151" s="1047">
        <f>AVERAGE(AM151:AP151)</f>
        <v>2.8767841530054645</v>
      </c>
      <c r="BN151" s="1047">
        <f>AVERAGE(AQ151:AT151)</f>
        <v>2.7594999999999996</v>
      </c>
      <c r="BO151" s="1047">
        <f>AVERAGE(AU151:AX151)</f>
        <v>2.8007499999999994</v>
      </c>
      <c r="BP151" s="1047">
        <f>AVERAGE(AY151:BB151)</f>
        <v>2.8552499999999994</v>
      </c>
      <c r="BQ151" s="949"/>
      <c r="BR151" s="950"/>
      <c r="BU151" s="922"/>
      <c r="BV151" s="921"/>
      <c r="BW151" s="921"/>
      <c r="BX151" s="921"/>
    </row>
    <row r="152" spans="3:76" ht="12.75" customHeight="1">
      <c r="C152" s="1457" t="s">
        <v>672</v>
      </c>
      <c r="D152" s="1189"/>
      <c r="E152" s="1189"/>
      <c r="F152" s="1123"/>
      <c r="G152" s="1592">
        <v>57.876923076923077</v>
      </c>
      <c r="H152" s="1593">
        <v>62.742307692307698</v>
      </c>
      <c r="I152" s="1593">
        <v>67.830769230769235</v>
      </c>
      <c r="J152" s="1594">
        <v>70.910714285714263</v>
      </c>
      <c r="K152" s="1592">
        <v>77.237500000000026</v>
      </c>
      <c r="L152" s="1593">
        <v>78.430769230769243</v>
      </c>
      <c r="M152" s="1593">
        <v>80.007142857142853</v>
      </c>
      <c r="N152" s="1594">
        <v>78.934615384615398</v>
      </c>
      <c r="O152" s="1592">
        <v>70.069230769230771</v>
      </c>
      <c r="P152" s="1593">
        <v>59.92307692307692</v>
      </c>
      <c r="Q152" s="1593">
        <v>61.334615384615397</v>
      </c>
      <c r="R152" s="1593">
        <v>66.634615384615373</v>
      </c>
      <c r="S152" s="1592">
        <v>66.511538461538478</v>
      </c>
      <c r="T152" s="1593">
        <v>66.914615384615374</v>
      </c>
      <c r="U152" s="1593">
        <v>64.0053846153846</v>
      </c>
      <c r="V152" s="1593">
        <v>62.446153846153841</v>
      </c>
      <c r="W152" s="1592">
        <v>63.813846153846164</v>
      </c>
      <c r="X152" s="1593">
        <v>60.582307692307708</v>
      </c>
      <c r="Y152" s="1593">
        <v>57.336923076923085</v>
      </c>
      <c r="Z152" s="1594">
        <v>56.106923076923081</v>
      </c>
      <c r="AA152" s="1592">
        <v>53.513846153846139</v>
      </c>
      <c r="AB152" s="1593">
        <v>52.858461538461547</v>
      </c>
      <c r="AC152" s="1593">
        <v>50.784615384615385</v>
      </c>
      <c r="AD152" s="1594">
        <v>46.303846153846159</v>
      </c>
      <c r="AE152" s="1592">
        <v>42.380769230769232</v>
      </c>
      <c r="AF152" s="1593">
        <v>41.192307692307693</v>
      </c>
      <c r="AG152" s="1595">
        <v>40.928571428571438</v>
      </c>
      <c r="AH152" s="1596">
        <v>44.896153846153844</v>
      </c>
      <c r="AI152" s="1595">
        <v>50.057692307692314</v>
      </c>
      <c r="AJ152" s="1595">
        <v>52.46153846153846</v>
      </c>
      <c r="AK152" s="1595">
        <v>52.98846153846155</v>
      </c>
      <c r="AL152" s="1596">
        <v>58.261538461538478</v>
      </c>
      <c r="AM152" s="1595">
        <v>60.850000000000009</v>
      </c>
      <c r="AN152" s="1595">
        <v>49</v>
      </c>
      <c r="AO152" s="1595">
        <v>49</v>
      </c>
      <c r="AP152" s="1596">
        <v>49</v>
      </c>
      <c r="AQ152" s="1595">
        <v>48.154286333412259</v>
      </c>
      <c r="AR152" s="1595">
        <v>48.154286333412259</v>
      </c>
      <c r="AS152" s="1595">
        <v>48.154286333412259</v>
      </c>
      <c r="AT152" s="1596">
        <v>55.537140999763238</v>
      </c>
      <c r="AU152" s="1595">
        <v>48.154286333412259</v>
      </c>
      <c r="AV152" s="1595">
        <v>48.154286333412259</v>
      </c>
      <c r="AW152" s="1595">
        <v>48.154286333412259</v>
      </c>
      <c r="AX152" s="1596">
        <v>55.537140999763238</v>
      </c>
      <c r="AY152" s="1597">
        <v>48.154286333412259</v>
      </c>
      <c r="AZ152" s="1595">
        <v>48.154286333412259</v>
      </c>
      <c r="BA152" s="1595">
        <v>48.154286333412259</v>
      </c>
      <c r="BB152" s="1844">
        <v>55.537140999763238</v>
      </c>
      <c r="BC152" s="956"/>
      <c r="BD152" s="954"/>
      <c r="BE152" s="1047">
        <f>AVERAGE(G152:J152)</f>
        <v>64.840178571428567</v>
      </c>
      <c r="BF152" s="1047">
        <f>AVERAGE(K152:N152)</f>
        <v>78.652506868131894</v>
      </c>
      <c r="BG152" s="1047">
        <f>AVERAGE(O152:R152)</f>
        <v>64.490384615384613</v>
      </c>
      <c r="BH152" s="1047">
        <f>AVERAGE(S152:V152)</f>
        <v>64.969423076923078</v>
      </c>
      <c r="BI152" s="1047">
        <f>AVERAGE(W152:Z152)</f>
        <v>59.460000000000008</v>
      </c>
      <c r="BJ152" s="1047">
        <f>AVERAGE(AA152:AD152)</f>
        <v>50.865192307692311</v>
      </c>
      <c r="BK152" s="1047">
        <f>AVERAGE(AE152:AH152)</f>
        <v>42.349450549450552</v>
      </c>
      <c r="BL152" s="1047">
        <f>AVERAGE(AI152:AL152)</f>
        <v>53.442307692307693</v>
      </c>
      <c r="BM152" s="1047">
        <f>AVERAGE(AM152:AP152)</f>
        <v>51.962500000000006</v>
      </c>
      <c r="BN152" s="1047">
        <f>AVERAGE(AQ152:AT152)</f>
        <v>50.000000000000007</v>
      </c>
      <c r="BO152" s="1047">
        <f>AVERAGE(AU152:AX152)</f>
        <v>50.000000000000007</v>
      </c>
      <c r="BP152" s="1047">
        <f>AVERAGE(AY152:BB152)</f>
        <v>50.000000000000007</v>
      </c>
      <c r="BQ152" s="949"/>
      <c r="BR152" s="950"/>
      <c r="BU152" s="922"/>
      <c r="BV152" s="921"/>
      <c r="BW152" s="921"/>
      <c r="BX152" s="921"/>
    </row>
    <row r="153" spans="3:76" ht="12.75" customHeight="1">
      <c r="C153" s="1457" t="s">
        <v>673</v>
      </c>
      <c r="D153" s="1189"/>
      <c r="E153" s="1189"/>
      <c r="F153" s="1123"/>
      <c r="G153" s="1592">
        <v>10.753846153846155</v>
      </c>
      <c r="H153" s="1593">
        <v>12.153846153846153</v>
      </c>
      <c r="I153" s="1593">
        <v>14.249999999999998</v>
      </c>
      <c r="J153" s="1594">
        <v>13.750000000000002</v>
      </c>
      <c r="K153" s="1592">
        <v>13.887499999999998</v>
      </c>
      <c r="L153" s="1593">
        <v>12.738461538461538</v>
      </c>
      <c r="M153" s="1593">
        <v>14.228571428571428</v>
      </c>
      <c r="N153" s="1594">
        <v>13.626923076923076</v>
      </c>
      <c r="O153" s="1592">
        <v>9.8423076923076955</v>
      </c>
      <c r="P153" s="1593">
        <v>9.1000000000000014</v>
      </c>
      <c r="Q153" s="1593">
        <v>8.8346153846153861</v>
      </c>
      <c r="R153" s="1593">
        <v>10.123076923076923</v>
      </c>
      <c r="S153" s="1592">
        <v>10.238461538461538</v>
      </c>
      <c r="T153" s="1593">
        <v>10.513846153846153</v>
      </c>
      <c r="U153" s="1593">
        <v>10.403846153846152</v>
      </c>
      <c r="V153" s="1593">
        <v>10.982307692307691</v>
      </c>
      <c r="W153" s="1592">
        <v>12.356153846153846</v>
      </c>
      <c r="X153" s="1593">
        <v>12.986153846153845</v>
      </c>
      <c r="Y153" s="1593">
        <v>11.965384615384615</v>
      </c>
      <c r="Z153" s="1594">
        <v>11.526923076923076</v>
      </c>
      <c r="AA153" s="1592">
        <v>11.592307692307692</v>
      </c>
      <c r="AB153" s="1593">
        <v>11.55</v>
      </c>
      <c r="AC153" s="1593">
        <v>11.592307692307692</v>
      </c>
      <c r="AD153" s="1594">
        <v>11.342307692307694</v>
      </c>
      <c r="AE153" s="1592">
        <v>9.7807692307692307</v>
      </c>
      <c r="AF153" s="1593">
        <v>9.1807692307692292</v>
      </c>
      <c r="AG153" s="1595">
        <v>8.6428571428571441</v>
      </c>
      <c r="AH153" s="1596">
        <v>9.3461538461538467</v>
      </c>
      <c r="AI153" s="1595">
        <v>11.473076923076921</v>
      </c>
      <c r="AJ153" s="1595">
        <v>11.597692307692309</v>
      </c>
      <c r="AK153" s="1595">
        <v>11.516153846153847</v>
      </c>
      <c r="AL153" s="1596">
        <v>11.923076923076922</v>
      </c>
      <c r="AM153" s="1595">
        <v>12.296153846153848</v>
      </c>
      <c r="AN153" s="1595">
        <v>11</v>
      </c>
      <c r="AO153" s="1595">
        <v>11.35</v>
      </c>
      <c r="AP153" s="1596">
        <v>11.65</v>
      </c>
      <c r="AQ153" s="1595">
        <v>11.728652443964354</v>
      </c>
      <c r="AR153" s="1595">
        <v>11.728652443964354</v>
      </c>
      <c r="AS153" s="1595">
        <v>11.728652443964354</v>
      </c>
      <c r="AT153" s="1596">
        <v>11.414042668106942</v>
      </c>
      <c r="AU153" s="1595">
        <v>11.728652443964354</v>
      </c>
      <c r="AV153" s="1595">
        <v>11.728652443964354</v>
      </c>
      <c r="AW153" s="1595">
        <v>11.728652443964354</v>
      </c>
      <c r="AX153" s="1596">
        <v>11.414042668106942</v>
      </c>
      <c r="AY153" s="1595">
        <v>11.728652443964354</v>
      </c>
      <c r="AZ153" s="1595">
        <v>11.728652443964354</v>
      </c>
      <c r="BA153" s="1595">
        <v>11.728652443964354</v>
      </c>
      <c r="BB153" s="1844">
        <v>11.414042668106942</v>
      </c>
      <c r="BC153" s="956"/>
      <c r="BD153" s="954"/>
      <c r="BE153" s="1047">
        <f>AVERAGE(G153:J153)</f>
        <v>12.726923076923077</v>
      </c>
      <c r="BF153" s="1047">
        <f>AVERAGE(K153:N153)</f>
        <v>13.620364010989011</v>
      </c>
      <c r="BG153" s="1047">
        <f>AVERAGE(O153:R153)</f>
        <v>9.4750000000000014</v>
      </c>
      <c r="BH153" s="1047">
        <f>AVERAGE(S153:V153)</f>
        <v>10.534615384615384</v>
      </c>
      <c r="BI153" s="1047">
        <f>AVERAGE(W153:Z153)</f>
        <v>12.208653846153846</v>
      </c>
      <c r="BJ153" s="1047">
        <f>AVERAGE(AA153:AD153)</f>
        <v>11.519230769230768</v>
      </c>
      <c r="BK153" s="1047">
        <f>AVERAGE(AE153:AH153)</f>
        <v>9.2376373626373631</v>
      </c>
      <c r="BL153" s="1047">
        <f>AVERAGE(AI153:AL153)</f>
        <v>11.6275</v>
      </c>
      <c r="BM153" s="1047">
        <f>AVERAGE(AM153:AP153)</f>
        <v>11.574038461538462</v>
      </c>
      <c r="BN153" s="1047">
        <f>AVERAGE(AQ153:AT153)</f>
        <v>11.650000000000002</v>
      </c>
      <c r="BO153" s="1047">
        <f>AVERAGE(AU153:AX153)</f>
        <v>11.650000000000002</v>
      </c>
      <c r="BP153" s="1047">
        <f>AVERAGE(AY153:BB153)</f>
        <v>11.650000000000002</v>
      </c>
      <c r="BQ153" s="949"/>
      <c r="BR153" s="950"/>
      <c r="BU153" s="922"/>
      <c r="BV153" s="921"/>
      <c r="BW153" s="921"/>
      <c r="BX153" s="921"/>
    </row>
    <row r="154" spans="3:76" ht="12.75" customHeight="1">
      <c r="C154" s="1457" t="s">
        <v>599</v>
      </c>
      <c r="D154" s="1189"/>
      <c r="E154" s="1189"/>
      <c r="F154" s="1123"/>
      <c r="G154" s="1592">
        <v>57.360769230769236</v>
      </c>
      <c r="H154" s="1593">
        <v>61.346153846153847</v>
      </c>
      <c r="I154" s="1593">
        <v>65.019230769230774</v>
      </c>
      <c r="J154" s="1594">
        <v>69.714285714285708</v>
      </c>
      <c r="K154" s="1592">
        <v>73.291666666666657</v>
      </c>
      <c r="L154" s="1593">
        <v>77.380769230769218</v>
      </c>
      <c r="M154" s="1593">
        <v>77.203571428571422</v>
      </c>
      <c r="N154" s="1594">
        <v>76.461538461538453</v>
      </c>
      <c r="O154" s="1592">
        <v>70.211538461538439</v>
      </c>
      <c r="P154" s="1593">
        <v>64.988461538461522</v>
      </c>
      <c r="Q154" s="1593">
        <v>64.992307692307705</v>
      </c>
      <c r="R154" s="1593">
        <v>64.276923076923083</v>
      </c>
      <c r="S154" s="1592">
        <v>62.246153846153859</v>
      </c>
      <c r="T154" s="1593">
        <v>64.961538461538467</v>
      </c>
      <c r="U154" s="1593">
        <v>68.230769230769226</v>
      </c>
      <c r="V154" s="1593">
        <v>68.615384615384613</v>
      </c>
      <c r="W154" s="1592">
        <v>68.453846153846143</v>
      </c>
      <c r="X154" s="1593">
        <v>67.120769230769227</v>
      </c>
      <c r="Y154" s="1593">
        <v>63.607692307692297</v>
      </c>
      <c r="Z154" s="1594">
        <v>53.301576923076922</v>
      </c>
      <c r="AA154" s="1592">
        <v>50.83815384615383</v>
      </c>
      <c r="AB154" s="1593">
        <v>50.215538461538465</v>
      </c>
      <c r="AC154" s="1593">
        <v>48.245384615384616</v>
      </c>
      <c r="AD154" s="1594">
        <v>43.988653846153852</v>
      </c>
      <c r="AE154" s="1592">
        <v>40.261730769230766</v>
      </c>
      <c r="AF154" s="1593">
        <v>39.132692307692309</v>
      </c>
      <c r="AG154" s="1595">
        <v>38.882142857142867</v>
      </c>
      <c r="AH154" s="1596">
        <v>42.651346153846148</v>
      </c>
      <c r="AI154" s="1595">
        <v>47.554807692307698</v>
      </c>
      <c r="AJ154" s="1595">
        <v>49.838461538461537</v>
      </c>
      <c r="AK154" s="1595">
        <v>50.339038461538472</v>
      </c>
      <c r="AL154" s="1596">
        <v>55.348461538461549</v>
      </c>
      <c r="AM154" s="1595">
        <v>57.807500000000005</v>
      </c>
      <c r="AN154" s="1595">
        <v>46.55</v>
      </c>
      <c r="AO154" s="1595">
        <v>46.55</v>
      </c>
      <c r="AP154" s="1596">
        <v>46.55</v>
      </c>
      <c r="AQ154" s="1595">
        <v>45.746572016741645</v>
      </c>
      <c r="AR154" s="1595">
        <v>45.746572016741645</v>
      </c>
      <c r="AS154" s="1595">
        <v>45.746572016741645</v>
      </c>
      <c r="AT154" s="1596">
        <v>52.760283949775072</v>
      </c>
      <c r="AU154" s="1595">
        <v>45.746572016741645</v>
      </c>
      <c r="AV154" s="1595">
        <v>45.746572016741645</v>
      </c>
      <c r="AW154" s="1595">
        <v>45.746572016741645</v>
      </c>
      <c r="AX154" s="1596">
        <v>52.760283949775072</v>
      </c>
      <c r="AY154" s="1595">
        <v>45.746572016741645</v>
      </c>
      <c r="AZ154" s="1595">
        <v>45.746572016741645</v>
      </c>
      <c r="BA154" s="1595">
        <v>45.746572016741645</v>
      </c>
      <c r="BB154" s="1844">
        <v>52.760283949775072</v>
      </c>
      <c r="BC154" s="956"/>
      <c r="BD154" s="954"/>
      <c r="BE154" s="1047">
        <f>AVERAGE(G154:J154)</f>
        <v>63.360109890109896</v>
      </c>
      <c r="BF154" s="1047">
        <f>AVERAGE(K154:N154)</f>
        <v>76.084386446886441</v>
      </c>
      <c r="BG154" s="1047">
        <f>AVERAGE(O154:R154)</f>
        <v>66.117307692307691</v>
      </c>
      <c r="BH154" s="1047">
        <f>AVERAGE(S154:V154)</f>
        <v>66.013461538461542</v>
      </c>
      <c r="BI154" s="1047">
        <f>AVERAGE(W154:Z154)</f>
        <v>63.120971153846142</v>
      </c>
      <c r="BJ154" s="1047">
        <f>AVERAGE(AA154:AD154)</f>
        <v>48.321932692307691</v>
      </c>
      <c r="BK154" s="1047">
        <f>AVERAGE(AE154:AH154)</f>
        <v>40.231978021978023</v>
      </c>
      <c r="BL154" s="1047">
        <f>AVERAGE(AI154:AL154)</f>
        <v>50.770192307692312</v>
      </c>
      <c r="BM154" s="1047">
        <f>AVERAGE(AM154:AP154)</f>
        <v>49.364374999999995</v>
      </c>
      <c r="BN154" s="1047">
        <f>AVERAGE(AQ154:AT154)</f>
        <v>47.5</v>
      </c>
      <c r="BO154" s="1047">
        <f>AVERAGE(AU154:AX154)</f>
        <v>47.5</v>
      </c>
      <c r="BP154" s="1047">
        <f>AVERAGE(AY154:BB154)</f>
        <v>47.5</v>
      </c>
      <c r="BQ154" s="949"/>
      <c r="BR154" s="950"/>
      <c r="BU154" s="922"/>
      <c r="BV154" s="921"/>
      <c r="BW154" s="921"/>
      <c r="BX154" s="921"/>
    </row>
    <row r="155" spans="3:76" ht="12.75" customHeight="1">
      <c r="C155" s="1457" t="s">
        <v>600</v>
      </c>
      <c r="D155" s="1189"/>
      <c r="E155" s="1189"/>
      <c r="F155" s="1123"/>
      <c r="G155" s="1592">
        <v>41.269230769230766</v>
      </c>
      <c r="H155" s="1593">
        <v>41.919230769230765</v>
      </c>
      <c r="I155" s="1593">
        <v>42.634615384615387</v>
      </c>
      <c r="J155" s="1594">
        <v>47.214285714285715</v>
      </c>
      <c r="K155" s="1592">
        <v>47.5</v>
      </c>
      <c r="L155" s="1593">
        <v>47.730769230769234</v>
      </c>
      <c r="M155" s="1593">
        <v>47.8</v>
      </c>
      <c r="N155" s="1594">
        <v>48.323076923076918</v>
      </c>
      <c r="O155" s="1592">
        <v>52.46153846153846</v>
      </c>
      <c r="P155" s="1593">
        <v>48.615384615384613</v>
      </c>
      <c r="Q155" s="1593">
        <v>47.42307692307692</v>
      </c>
      <c r="R155" s="1593">
        <v>47.888461538461527</v>
      </c>
      <c r="S155" s="1592">
        <v>46.630769230769218</v>
      </c>
      <c r="T155" s="1593">
        <v>45.149999999999984</v>
      </c>
      <c r="U155" s="1593">
        <v>45.534615384615371</v>
      </c>
      <c r="V155" s="1593">
        <v>46.149999999999984</v>
      </c>
      <c r="W155" s="1592">
        <v>46.578461538461518</v>
      </c>
      <c r="X155" s="1593">
        <v>46.272307692307692</v>
      </c>
      <c r="Y155" s="1593">
        <v>44.207692307692305</v>
      </c>
      <c r="Z155" s="1594">
        <v>39.274846153846156</v>
      </c>
      <c r="AA155" s="1592">
        <v>37.459692307692293</v>
      </c>
      <c r="AB155" s="1593">
        <v>37.00092307692308</v>
      </c>
      <c r="AC155" s="1593">
        <v>35.549230769230768</v>
      </c>
      <c r="AD155" s="1594">
        <v>32.412692307692311</v>
      </c>
      <c r="AE155" s="1592">
        <v>29.666538461538462</v>
      </c>
      <c r="AF155" s="1593">
        <v>28.834615384615383</v>
      </c>
      <c r="AG155" s="1595">
        <v>28.650000000000006</v>
      </c>
      <c r="AH155" s="1596">
        <v>31.427307692307689</v>
      </c>
      <c r="AI155" s="1595">
        <v>35.040384615384617</v>
      </c>
      <c r="AJ155" s="1595">
        <v>36.723076923076917</v>
      </c>
      <c r="AK155" s="1595">
        <v>37.091923076923081</v>
      </c>
      <c r="AL155" s="1596">
        <v>40.783076923076933</v>
      </c>
      <c r="AM155" s="1595">
        <v>42.595000000000006</v>
      </c>
      <c r="AN155" s="1595">
        <v>34.299999999999997</v>
      </c>
      <c r="AO155" s="1595">
        <v>34.299999999999997</v>
      </c>
      <c r="AP155" s="1596">
        <v>34.299999999999997</v>
      </c>
      <c r="AQ155" s="1595">
        <v>33.708000433388577</v>
      </c>
      <c r="AR155" s="1595">
        <v>33.708000433388577</v>
      </c>
      <c r="AS155" s="1595">
        <v>33.708000433388577</v>
      </c>
      <c r="AT155" s="1596">
        <v>38.875998699834263</v>
      </c>
      <c r="AU155" s="1595">
        <v>33.708000433388577</v>
      </c>
      <c r="AV155" s="1595">
        <v>33.708000433388577</v>
      </c>
      <c r="AW155" s="1595">
        <v>33.708000433388577</v>
      </c>
      <c r="AX155" s="1596">
        <v>38.875998699834263</v>
      </c>
      <c r="AY155" s="1595">
        <v>33.708000433388577</v>
      </c>
      <c r="AZ155" s="1595">
        <v>33.708000433388577</v>
      </c>
      <c r="BA155" s="1595">
        <v>33.708000433388577</v>
      </c>
      <c r="BB155" s="1844">
        <v>38.875998699834263</v>
      </c>
      <c r="BC155" s="956"/>
      <c r="BD155" s="954"/>
      <c r="BE155" s="1047">
        <f>AVERAGE(G155:J155)</f>
        <v>43.259340659340658</v>
      </c>
      <c r="BF155" s="1047">
        <f>AVERAGE(K155:N155)</f>
        <v>47.838461538461537</v>
      </c>
      <c r="BG155" s="1047">
        <f>AVERAGE(O155:R155)</f>
        <v>49.097115384615378</v>
      </c>
      <c r="BH155" s="1047">
        <f>AVERAGE(S155:V155)</f>
        <v>45.866346153846138</v>
      </c>
      <c r="BI155" s="1047">
        <f>AVERAGE(W155:Z155)</f>
        <v>44.08332692307691</v>
      </c>
      <c r="BJ155" s="1047">
        <f>AVERAGE(AA155:AD155)</f>
        <v>35.605634615384616</v>
      </c>
      <c r="BK155" s="1047">
        <f>AVERAGE(AE155:AH155)</f>
        <v>29.644615384615385</v>
      </c>
      <c r="BL155" s="1047">
        <f>AVERAGE(AI155:AL155)</f>
        <v>37.409615384615392</v>
      </c>
      <c r="BM155" s="1047">
        <f>AVERAGE(AM155:AP155)</f>
        <v>36.373750000000001</v>
      </c>
      <c r="BN155" s="1047">
        <f>AVERAGE(AQ155:AT155)</f>
        <v>35</v>
      </c>
      <c r="BO155" s="1047">
        <f>AVERAGE(AU155:AX155)</f>
        <v>35</v>
      </c>
      <c r="BP155" s="1047">
        <f>AVERAGE(AY155:BB155)</f>
        <v>35</v>
      </c>
      <c r="BQ155" s="949"/>
      <c r="BR155" s="950"/>
      <c r="BU155" s="922"/>
      <c r="BV155" s="921"/>
      <c r="BW155" s="921"/>
      <c r="BX155" s="921"/>
    </row>
    <row r="156" spans="3:76" ht="12.75" customHeight="1">
      <c r="C156" s="1457"/>
      <c r="D156" s="1189"/>
      <c r="E156" s="1189"/>
      <c r="F156" s="1190"/>
      <c r="G156" s="1592"/>
      <c r="H156" s="1593"/>
      <c r="I156" s="1593"/>
      <c r="J156" s="1594"/>
      <c r="K156" s="1592"/>
      <c r="L156" s="1593"/>
      <c r="M156" s="1593"/>
      <c r="N156" s="1594"/>
      <c r="O156" s="1592"/>
      <c r="P156" s="1593"/>
      <c r="Q156" s="1593"/>
      <c r="R156" s="1595"/>
      <c r="S156" s="1597"/>
      <c r="T156" s="1595"/>
      <c r="U156" s="1595"/>
      <c r="V156" s="1596"/>
      <c r="W156" s="1595"/>
      <c r="X156" s="1595"/>
      <c r="Y156" s="1595"/>
      <c r="Z156" s="1596"/>
      <c r="AA156" s="1595"/>
      <c r="AB156" s="1595"/>
      <c r="AC156" s="1595"/>
      <c r="AD156" s="1596"/>
      <c r="AE156" s="1595"/>
      <c r="AF156" s="1595"/>
      <c r="AG156" s="1595"/>
      <c r="AH156" s="1596"/>
      <c r="AI156" s="1595"/>
      <c r="AJ156" s="1595"/>
      <c r="AK156" s="1595"/>
      <c r="AL156" s="1596"/>
      <c r="AM156" s="1595"/>
      <c r="AN156" s="1595"/>
      <c r="AO156" s="1595"/>
      <c r="AP156" s="1596"/>
      <c r="AQ156" s="1595"/>
      <c r="AR156" s="1595"/>
      <c r="AS156" s="1595"/>
      <c r="AT156" s="1596"/>
      <c r="AU156" s="1595"/>
      <c r="AV156" s="1595"/>
      <c r="AW156" s="1595"/>
      <c r="AX156" s="1596"/>
      <c r="AY156" s="1595"/>
      <c r="AZ156" s="1595"/>
      <c r="BA156" s="1595"/>
      <c r="BB156" s="1844"/>
      <c r="BC156" s="954"/>
      <c r="BD156" s="954"/>
      <c r="BE156" s="1411"/>
      <c r="BF156" s="1411"/>
      <c r="BG156" s="1411"/>
      <c r="BH156" s="1411"/>
      <c r="BI156" s="1411"/>
      <c r="BJ156" s="1411"/>
      <c r="BK156" s="1411"/>
      <c r="BL156" s="1411"/>
      <c r="BM156" s="1411"/>
      <c r="BN156" s="1411"/>
      <c r="BO156" s="1411"/>
      <c r="BP156" s="1411"/>
      <c r="BQ156" s="958"/>
      <c r="BR156" s="959"/>
      <c r="BU156" s="922"/>
      <c r="BV156" s="921"/>
      <c r="BW156" s="921"/>
      <c r="BX156" s="921"/>
    </row>
    <row r="157" spans="3:76" ht="12.75" customHeight="1">
      <c r="C157" s="1457"/>
      <c r="D157" s="1189"/>
      <c r="E157" s="1189"/>
      <c r="F157" s="1190"/>
      <c r="G157" s="1598"/>
      <c r="H157" s="1599"/>
      <c r="I157" s="1599"/>
      <c r="J157" s="1600"/>
      <c r="K157" s="1598"/>
      <c r="L157" s="1599"/>
      <c r="M157" s="1599"/>
      <c r="N157" s="1600"/>
      <c r="O157" s="1598"/>
      <c r="P157" s="1599"/>
      <c r="Q157" s="1599"/>
      <c r="R157" s="1601"/>
      <c r="S157" s="1602"/>
      <c r="T157" s="1601"/>
      <c r="U157" s="1601"/>
      <c r="V157" s="1603"/>
      <c r="W157" s="1601"/>
      <c r="X157" s="1601"/>
      <c r="Y157" s="1601"/>
      <c r="Z157" s="1603"/>
      <c r="AA157" s="1601"/>
      <c r="AB157" s="1604"/>
      <c r="AC157" s="1604"/>
      <c r="AD157" s="1605"/>
      <c r="AE157" s="1601"/>
      <c r="AF157" s="1604"/>
      <c r="AG157" s="1604"/>
      <c r="AH157" s="1605"/>
      <c r="AI157" s="1604"/>
      <c r="AJ157" s="1604"/>
      <c r="AK157" s="1604"/>
      <c r="AL157" s="1605"/>
      <c r="AM157" s="1604"/>
      <c r="AN157" s="1604"/>
      <c r="AO157" s="1604"/>
      <c r="AP157" s="1605"/>
      <c r="AQ157" s="1604"/>
      <c r="AR157" s="1604"/>
      <c r="AS157" s="1604"/>
      <c r="AT157" s="1605"/>
      <c r="AU157" s="1604"/>
      <c r="AV157" s="1604"/>
      <c r="AW157" s="1604"/>
      <c r="AX157" s="1605"/>
      <c r="AY157" s="1604"/>
      <c r="AZ157" s="1604"/>
      <c r="BA157" s="1604"/>
      <c r="BB157" s="1845"/>
      <c r="BC157" s="961"/>
      <c r="BD157" s="962"/>
      <c r="BE157" s="1412"/>
      <c r="BF157" s="1412"/>
      <c r="BG157" s="1412"/>
      <c r="BH157" s="1412"/>
      <c r="BI157" s="1412"/>
      <c r="BJ157" s="1412"/>
      <c r="BK157" s="1412"/>
      <c r="BL157" s="1412"/>
      <c r="BM157" s="1412"/>
      <c r="BN157" s="1412"/>
      <c r="BO157" s="1412"/>
      <c r="BP157" s="1412"/>
      <c r="BQ157" s="958"/>
      <c r="BR157" s="959"/>
      <c r="BU157" s="922"/>
      <c r="BV157" s="921"/>
      <c r="BW157" s="921"/>
      <c r="BX157" s="921"/>
    </row>
    <row r="158" spans="3:76" ht="12.75" customHeight="1">
      <c r="C158" s="1458" t="s">
        <v>791</v>
      </c>
      <c r="D158" s="1125"/>
      <c r="E158" s="1125"/>
      <c r="F158" s="1126"/>
      <c r="G158" s="1592"/>
      <c r="H158" s="1593"/>
      <c r="I158" s="1593"/>
      <c r="J158" s="1594"/>
      <c r="K158" s="1592"/>
      <c r="L158" s="1593"/>
      <c r="M158" s="1593"/>
      <c r="N158" s="1594"/>
      <c r="O158" s="1592"/>
      <c r="P158" s="1593"/>
      <c r="Q158" s="1593"/>
      <c r="R158" s="1595"/>
      <c r="S158" s="1597"/>
      <c r="T158" s="1595"/>
      <c r="U158" s="1595"/>
      <c r="V158" s="1596"/>
      <c r="W158" s="1593"/>
      <c r="X158" s="1595"/>
      <c r="Y158" s="1595"/>
      <c r="Z158" s="1596"/>
      <c r="AA158" s="1593"/>
      <c r="AB158" s="1595"/>
      <c r="AC158" s="1595"/>
      <c r="AD158" s="1596"/>
      <c r="AE158" s="1593"/>
      <c r="AF158" s="1595"/>
      <c r="AG158" s="1595"/>
      <c r="AH158" s="1596"/>
      <c r="AI158" s="1595"/>
      <c r="AJ158" s="1595"/>
      <c r="AK158" s="1595"/>
      <c r="AL158" s="1596"/>
      <c r="AM158" s="1595"/>
      <c r="AN158" s="1595"/>
      <c r="AO158" s="1595"/>
      <c r="AP158" s="1596"/>
      <c r="AQ158" s="1595"/>
      <c r="AR158" s="1595"/>
      <c r="AS158" s="1595"/>
      <c r="AT158" s="1596"/>
      <c r="AU158" s="1595"/>
      <c r="AV158" s="1595"/>
      <c r="AW158" s="1595"/>
      <c r="AX158" s="1596"/>
      <c r="AY158" s="1595"/>
      <c r="AZ158" s="1595"/>
      <c r="BA158" s="1595"/>
      <c r="BB158" s="1844"/>
      <c r="BC158" s="954"/>
      <c r="BD158" s="954"/>
      <c r="BE158" s="1411"/>
      <c r="BF158" s="1411"/>
      <c r="BG158" s="1411"/>
      <c r="BH158" s="1413"/>
      <c r="BI158" s="1414"/>
      <c r="BJ158" s="1413"/>
      <c r="BK158" s="1413"/>
      <c r="BL158" s="1413"/>
      <c r="BM158" s="1413"/>
      <c r="BN158" s="1413"/>
      <c r="BO158" s="1413"/>
      <c r="BP158" s="1413"/>
      <c r="BQ158" s="958"/>
      <c r="BR158" s="963"/>
      <c r="BS158" s="963"/>
      <c r="BU158" s="922"/>
      <c r="BV158" s="921"/>
      <c r="BW158" s="921"/>
      <c r="BX158" s="921"/>
    </row>
    <row r="159" spans="3:76" ht="12.75" customHeight="1">
      <c r="C159" s="1457" t="s">
        <v>674</v>
      </c>
      <c r="D159" s="1189"/>
      <c r="E159" s="1127"/>
      <c r="F159" s="1128"/>
      <c r="G159" s="1592">
        <v>55.301269841269843</v>
      </c>
      <c r="H159" s="1593">
        <v>51.354570312500016</v>
      </c>
      <c r="I159" s="1593">
        <v>67.22877929687499</v>
      </c>
      <c r="J159" s="1594">
        <v>51.534971153846179</v>
      </c>
      <c r="K159" s="1592">
        <v>63.793710937500023</v>
      </c>
      <c r="L159" s="1593">
        <v>48.444853515625013</v>
      </c>
      <c r="M159" s="1593">
        <v>55.141689453125004</v>
      </c>
      <c r="N159" s="1594">
        <v>41.796567460317455</v>
      </c>
      <c r="O159" s="1592">
        <v>33.353476562500006</v>
      </c>
      <c r="P159" s="1593">
        <v>34.616933593750005</v>
      </c>
      <c r="Q159" s="1593">
        <v>46.289513888888905</v>
      </c>
      <c r="R159" s="1593">
        <v>50.846972656250003</v>
      </c>
      <c r="S159" s="1592">
        <v>89.765515873015843</v>
      </c>
      <c r="T159" s="1593">
        <v>45.063007812499997</v>
      </c>
      <c r="U159" s="1593">
        <v>54.984013671875012</v>
      </c>
      <c r="V159" s="1594">
        <v>67.341074218749995</v>
      </c>
      <c r="W159" s="1592">
        <v>167.3350595238096</v>
      </c>
      <c r="X159" s="1593">
        <v>44.335244140625001</v>
      </c>
      <c r="Y159" s="1593">
        <v>41.33302734374999</v>
      </c>
      <c r="Z159" s="1594">
        <v>48.027636718749996</v>
      </c>
      <c r="AA159" s="1592">
        <v>87.659980158730164</v>
      </c>
      <c r="AB159" s="1593">
        <v>28.370332031249998</v>
      </c>
      <c r="AC159" s="1593">
        <v>42.395605769230762</v>
      </c>
      <c r="AD159" s="1594">
        <v>33.065136718749997</v>
      </c>
      <c r="AE159" s="1592">
        <v>30.31946289062499</v>
      </c>
      <c r="AF159" s="1593">
        <v>28.207148437500003</v>
      </c>
      <c r="AG159" s="1595">
        <v>42.730703124999998</v>
      </c>
      <c r="AH159" s="1596">
        <v>38.680972222222231</v>
      </c>
      <c r="AI159" s="1595">
        <v>33.978535156249983</v>
      </c>
      <c r="AJ159" s="1595">
        <v>33.298916015625018</v>
      </c>
      <c r="AK159" s="1595">
        <v>31.712827380952376</v>
      </c>
      <c r="AL159" s="1596">
        <v>52.552301587301585</v>
      </c>
      <c r="AM159" s="1595">
        <v>62.437333984375016</v>
      </c>
      <c r="AN159" s="1595">
        <v>32.65</v>
      </c>
      <c r="AO159" s="1595">
        <v>35.383333333333333</v>
      </c>
      <c r="AP159" s="1596">
        <v>42.35</v>
      </c>
      <c r="AQ159" s="1595">
        <v>73.199444871908256</v>
      </c>
      <c r="AR159" s="1595">
        <v>31.598138616301913</v>
      </c>
      <c r="AS159" s="1595">
        <v>36.852856695587477</v>
      </c>
      <c r="AT159" s="1596">
        <v>38.566226482602346</v>
      </c>
      <c r="AU159" s="1595">
        <v>73.199444871908256</v>
      </c>
      <c r="AV159" s="1595">
        <v>31.598138616301913</v>
      </c>
      <c r="AW159" s="1595">
        <v>36.852856695587477</v>
      </c>
      <c r="AX159" s="1596">
        <v>38.566226482602346</v>
      </c>
      <c r="AY159" s="1595">
        <v>73.361914739375962</v>
      </c>
      <c r="AZ159" s="1595">
        <v>31.668272281962913</v>
      </c>
      <c r="BA159" s="1595">
        <v>36.934653473604257</v>
      </c>
      <c r="BB159" s="1844">
        <v>38.651826171456854</v>
      </c>
      <c r="BC159" s="954"/>
      <c r="BD159" s="954"/>
      <c r="BE159" s="1411">
        <f t="shared" ref="BE159:BE174" si="268">AVERAGE(G159:J159)</f>
        <v>56.354897651122755</v>
      </c>
      <c r="BF159" s="1411">
        <f t="shared" ref="BF159:BF174" si="269">AVERAGE(K159:N159)</f>
        <v>52.29420534164187</v>
      </c>
      <c r="BG159" s="1411">
        <f t="shared" ref="BG159:BG174" si="270">AVERAGE(O159:R159)</f>
        <v>41.276724175347226</v>
      </c>
      <c r="BH159" s="1413">
        <f t="shared" ref="BH159:BH174" si="271">AVERAGE(S159:V159)</f>
        <v>64.288402894035215</v>
      </c>
      <c r="BI159" s="1413">
        <f t="shared" ref="BI159:BI174" si="272">AVERAGE(W159:Z159)</f>
        <v>75.257741931733648</v>
      </c>
      <c r="BJ159" s="1413">
        <f t="shared" ref="BJ159:BJ174" si="273">AVERAGE(AA159:AD159)</f>
        <v>47.872763669490226</v>
      </c>
      <c r="BK159" s="1413">
        <f t="shared" ref="BK159:BK174" si="274">AVERAGE(AE159:AH159)</f>
        <v>34.984571668836807</v>
      </c>
      <c r="BL159" s="1413">
        <f t="shared" ref="BL159:BL174" si="275">AVERAGE(AI159:AL159)</f>
        <v>37.88564503503224</v>
      </c>
      <c r="BM159" s="1413">
        <f t="shared" ref="BM159:BM174" si="276">AVERAGE(AM159:AP159)</f>
        <v>43.205166829427085</v>
      </c>
      <c r="BN159" s="1413">
        <f t="shared" ref="BN159:BN174" si="277">AVERAGE(AQ159:AT159)</f>
        <v>45.054166666599997</v>
      </c>
      <c r="BO159" s="1413">
        <f t="shared" ref="BO159:BO174" si="278">AVERAGE(AU159:AX159)</f>
        <v>45.054166666599997</v>
      </c>
      <c r="BP159" s="1413">
        <f t="shared" ref="BP159:BP174" si="279">AVERAGE(AY159:BB159)</f>
        <v>45.154166666599998</v>
      </c>
      <c r="BQ159" s="949"/>
      <c r="BR159" s="1062"/>
      <c r="BS159" s="1058"/>
      <c r="BU159" s="922"/>
      <c r="BV159" s="921"/>
      <c r="BW159" s="921"/>
      <c r="BX159" s="921"/>
    </row>
    <row r="160" spans="3:76" ht="12.75" customHeight="1">
      <c r="C160" s="1457" t="s">
        <v>675</v>
      </c>
      <c r="D160" s="1189"/>
      <c r="E160" s="1127"/>
      <c r="F160" s="1128"/>
      <c r="G160" s="1592">
        <v>38.230565476190485</v>
      </c>
      <c r="H160" s="1593">
        <v>43.142958984374999</v>
      </c>
      <c r="I160" s="1593">
        <v>53.878339843750005</v>
      </c>
      <c r="J160" s="1594">
        <v>42.122894230769219</v>
      </c>
      <c r="K160" s="1592">
        <v>40.630429687500012</v>
      </c>
      <c r="L160" s="1593">
        <v>42.511806640624982</v>
      </c>
      <c r="M160" s="1593">
        <v>47.368398437499991</v>
      </c>
      <c r="N160" s="1594">
        <v>36.792847222222221</v>
      </c>
      <c r="O160" s="1592">
        <v>30.628144531250001</v>
      </c>
      <c r="P160" s="1593">
        <v>34.255439453125</v>
      </c>
      <c r="Q160" s="1593">
        <v>41.418353174603176</v>
      </c>
      <c r="R160" s="1593">
        <v>39.001152343749993</v>
      </c>
      <c r="S160" s="1592">
        <v>45.623531746031745</v>
      </c>
      <c r="T160" s="1593">
        <v>40.663671874999991</v>
      </c>
      <c r="U160" s="1593">
        <v>53.937705078124999</v>
      </c>
      <c r="V160" s="1594">
        <v>46.228017578124991</v>
      </c>
      <c r="W160" s="1592">
        <v>105.87010912698416</v>
      </c>
      <c r="X160" s="1593">
        <v>44.886210937499996</v>
      </c>
      <c r="Y160" s="1593">
        <v>43.024843750000009</v>
      </c>
      <c r="Z160" s="1594">
        <v>39.284560546874999</v>
      </c>
      <c r="AA160" s="1592">
        <v>53.16058531746031</v>
      </c>
      <c r="AB160" s="1593">
        <v>38.357529296875022</v>
      </c>
      <c r="AC160" s="1593">
        <v>40.580288461538458</v>
      </c>
      <c r="AD160" s="1594">
        <v>34.609042968749996</v>
      </c>
      <c r="AE160" s="1592">
        <v>30.752001953124992</v>
      </c>
      <c r="AF160" s="1593">
        <v>35.769550781249997</v>
      </c>
      <c r="AG160" s="1595">
        <v>46.082998046874998</v>
      </c>
      <c r="AH160" s="1596">
        <v>27.32274801587301</v>
      </c>
      <c r="AI160" s="1595">
        <v>27.648046875000006</v>
      </c>
      <c r="AJ160" s="1595">
        <v>33.630214843749989</v>
      </c>
      <c r="AK160" s="1595">
        <v>34.760575396825409</v>
      </c>
      <c r="AL160" s="1596">
        <v>35.233521825396821</v>
      </c>
      <c r="AM160" s="1595">
        <v>36.453183593749991</v>
      </c>
      <c r="AN160" s="1595">
        <v>37.466666666666661</v>
      </c>
      <c r="AO160" s="1595">
        <v>33.733333333333327</v>
      </c>
      <c r="AP160" s="1596">
        <v>37.766666666666666</v>
      </c>
      <c r="AQ160" s="1595">
        <v>52.984877086683952</v>
      </c>
      <c r="AR160" s="1595">
        <v>34.892480032694301</v>
      </c>
      <c r="AS160" s="1595">
        <v>31.661694844481872</v>
      </c>
      <c r="AT160" s="1596">
        <v>28.460948036139868</v>
      </c>
      <c r="AU160" s="1595">
        <v>52.579137036825585</v>
      </c>
      <c r="AV160" s="1595">
        <v>34.625285365714404</v>
      </c>
      <c r="AW160" s="1595">
        <v>31.419240424444556</v>
      </c>
      <c r="AX160" s="1596">
        <v>28.243003839415444</v>
      </c>
      <c r="AY160" s="1595">
        <v>52.937142963086963</v>
      </c>
      <c r="AZ160" s="1595">
        <v>34.861045365935311</v>
      </c>
      <c r="BA160" s="1595">
        <v>31.633170795015378</v>
      </c>
      <c r="BB160" s="1844">
        <v>28.435307542362334</v>
      </c>
      <c r="BC160" s="954"/>
      <c r="BD160" s="954"/>
      <c r="BE160" s="1411">
        <f t="shared" si="268"/>
        <v>44.343689633771177</v>
      </c>
      <c r="BF160" s="1411">
        <f t="shared" si="269"/>
        <v>41.825870496961798</v>
      </c>
      <c r="BG160" s="1411">
        <f t="shared" si="270"/>
        <v>36.325772375682043</v>
      </c>
      <c r="BH160" s="1413">
        <f t="shared" si="271"/>
        <v>46.613231569320433</v>
      </c>
      <c r="BI160" s="1413">
        <f t="shared" si="272"/>
        <v>58.266431090339793</v>
      </c>
      <c r="BJ160" s="1413">
        <f t="shared" si="273"/>
        <v>41.676861511155948</v>
      </c>
      <c r="BK160" s="1413">
        <f t="shared" si="274"/>
        <v>34.98182469928075</v>
      </c>
      <c r="BL160" s="1413">
        <f t="shared" si="275"/>
        <v>32.818089735243056</v>
      </c>
      <c r="BM160" s="1413">
        <f t="shared" si="276"/>
        <v>36.354962565104159</v>
      </c>
      <c r="BN160" s="1413">
        <f t="shared" si="277"/>
        <v>37</v>
      </c>
      <c r="BO160" s="1413">
        <f t="shared" si="278"/>
        <v>36.716666666599998</v>
      </c>
      <c r="BP160" s="1413">
        <f t="shared" si="279"/>
        <v>36.966666666599998</v>
      </c>
      <c r="BQ160" s="949"/>
      <c r="BR160" s="1062"/>
      <c r="BS160" s="1058"/>
      <c r="BU160" s="922"/>
      <c r="BV160" s="921"/>
      <c r="BW160" s="921"/>
      <c r="BX160" s="921"/>
    </row>
    <row r="161" spans="2:76" ht="12.75" customHeight="1">
      <c r="C161" s="1457" t="s">
        <v>676</v>
      </c>
      <c r="D161" s="1189"/>
      <c r="E161" s="1127"/>
      <c r="F161" s="1128"/>
      <c r="G161" s="1592">
        <v>55.40223214285713</v>
      </c>
      <c r="H161" s="1593">
        <v>55.080830078125018</v>
      </c>
      <c r="I161" s="1593">
        <v>72.568281249999998</v>
      </c>
      <c r="J161" s="1594">
        <v>55.060048076923088</v>
      </c>
      <c r="K161" s="1592">
        <v>61.319755859375</v>
      </c>
      <c r="L161" s="1593">
        <v>56.261513671875008</v>
      </c>
      <c r="M161" s="1593">
        <v>64.744736328125001</v>
      </c>
      <c r="N161" s="1594">
        <v>42.035863095238099</v>
      </c>
      <c r="O161" s="1592">
        <v>35.479599609374993</v>
      </c>
      <c r="P161" s="1593">
        <v>42.463750000000005</v>
      </c>
      <c r="Q161" s="1593">
        <v>49.926091269841251</v>
      </c>
      <c r="R161" s="1593">
        <v>46.815820312500001</v>
      </c>
      <c r="S161" s="1592">
        <v>71.969464285714295</v>
      </c>
      <c r="T161" s="1593">
        <v>47.40742187499999</v>
      </c>
      <c r="U161" s="1593">
        <v>63.43471679687498</v>
      </c>
      <c r="V161" s="1594">
        <v>49.675136718749997</v>
      </c>
      <c r="W161" s="1592">
        <v>145.08544642857149</v>
      </c>
      <c r="X161" s="1593">
        <v>45.55554687499999</v>
      </c>
      <c r="Y161" s="1593">
        <v>40.321435546875001</v>
      </c>
      <c r="Z161" s="1594">
        <v>42.091767578124994</v>
      </c>
      <c r="AA161" s="1592">
        <v>77.999513888888885</v>
      </c>
      <c r="AB161" s="1593">
        <v>32.442470703124989</v>
      </c>
      <c r="AC161" s="1593">
        <v>38.379144230769235</v>
      </c>
      <c r="AD161" s="1594">
        <v>27.262890625000001</v>
      </c>
      <c r="AE161" s="1592">
        <v>30.82033203124999</v>
      </c>
      <c r="AF161" s="1593">
        <v>28.172070312500008</v>
      </c>
      <c r="AG161" s="1595">
        <v>39.596083984375014</v>
      </c>
      <c r="AH161" s="1596">
        <v>34.996567460317451</v>
      </c>
      <c r="AI161" s="1595">
        <v>34.973046875000001</v>
      </c>
      <c r="AJ161" s="1595">
        <v>33.375703125000008</v>
      </c>
      <c r="AK161" s="1595">
        <v>32.778422619047618</v>
      </c>
      <c r="AL161" s="1596">
        <v>41.835218253968264</v>
      </c>
      <c r="AM161" s="1595">
        <v>50.315361328125007</v>
      </c>
      <c r="AN161" s="1595">
        <v>37.133333333333333</v>
      </c>
      <c r="AO161" s="1595">
        <v>29.216666666666669</v>
      </c>
      <c r="AP161" s="1596">
        <v>41.81666666666667</v>
      </c>
      <c r="AQ161" s="1595">
        <v>72.206176601284838</v>
      </c>
      <c r="AR161" s="1595">
        <v>35.335679660435538</v>
      </c>
      <c r="AS161" s="1595">
        <v>28.167385316684786</v>
      </c>
      <c r="AT161" s="1596">
        <v>29.507425087994822</v>
      </c>
      <c r="AU161" s="1595">
        <v>73.276922890037596</v>
      </c>
      <c r="AV161" s="1595">
        <v>35.859672892564298</v>
      </c>
      <c r="AW161" s="1595">
        <v>28.585079823046065</v>
      </c>
      <c r="AX161" s="1596">
        <v>29.944991060752034</v>
      </c>
      <c r="AY161" s="1595">
        <v>73.888777912182022</v>
      </c>
      <c r="AZ161" s="1595">
        <v>36.159097596637878</v>
      </c>
      <c r="BA161" s="1595">
        <v>28.823762398109654</v>
      </c>
      <c r="BB161" s="1844">
        <v>30.195028759470443</v>
      </c>
      <c r="BC161" s="954"/>
      <c r="BD161" s="954"/>
      <c r="BE161" s="1411">
        <f t="shared" si="268"/>
        <v>59.527847886976311</v>
      </c>
      <c r="BF161" s="1411">
        <f t="shared" si="269"/>
        <v>56.090467238653275</v>
      </c>
      <c r="BG161" s="1411">
        <f t="shared" si="270"/>
        <v>43.671315297929063</v>
      </c>
      <c r="BH161" s="1413">
        <f t="shared" si="271"/>
        <v>58.121684919084821</v>
      </c>
      <c r="BI161" s="1413">
        <f t="shared" si="272"/>
        <v>68.263549107142865</v>
      </c>
      <c r="BJ161" s="1413">
        <f t="shared" si="273"/>
        <v>44.021004861945784</v>
      </c>
      <c r="BK161" s="1413">
        <f t="shared" si="274"/>
        <v>33.396263447110613</v>
      </c>
      <c r="BL161" s="1413">
        <f t="shared" si="275"/>
        <v>35.740597718253973</v>
      </c>
      <c r="BM161" s="1413">
        <f t="shared" si="276"/>
        <v>39.62050699869792</v>
      </c>
      <c r="BN161" s="1413">
        <f t="shared" si="277"/>
        <v>41.304166666599997</v>
      </c>
      <c r="BO161" s="1413">
        <f t="shared" si="278"/>
        <v>41.916666666600001</v>
      </c>
      <c r="BP161" s="1413">
        <f t="shared" si="279"/>
        <v>42.266666666599995</v>
      </c>
      <c r="BQ161" s="949"/>
      <c r="BR161" s="1062"/>
      <c r="BS161" s="1058"/>
      <c r="BU161" s="922"/>
      <c r="BV161" s="921"/>
      <c r="BW161" s="921"/>
      <c r="BX161" s="921"/>
    </row>
    <row r="162" spans="2:76" ht="12.75" customHeight="1">
      <c r="C162" s="1459" t="s">
        <v>677</v>
      </c>
      <c r="D162" s="1189"/>
      <c r="E162" s="1127"/>
      <c r="F162" s="1128"/>
      <c r="G162" s="1592">
        <v>60.907093253968256</v>
      </c>
      <c r="H162" s="1593">
        <v>64.299941406249999</v>
      </c>
      <c r="I162" s="1593">
        <v>80.573457031249987</v>
      </c>
      <c r="J162" s="1594">
        <v>59.753067307692298</v>
      </c>
      <c r="K162" s="1592">
        <v>70.866767578124993</v>
      </c>
      <c r="L162" s="1593">
        <v>61.81411132812498</v>
      </c>
      <c r="M162" s="1593">
        <v>68.602324218750013</v>
      </c>
      <c r="N162" s="1594">
        <v>45.84968253968254</v>
      </c>
      <c r="O162" s="1592">
        <v>40.598867187499984</v>
      </c>
      <c r="P162" s="1593">
        <v>44.787695312499999</v>
      </c>
      <c r="Q162" s="1593">
        <v>52.449682539682534</v>
      </c>
      <c r="R162" s="1593">
        <v>48.760292968750008</v>
      </c>
      <c r="S162" s="1592">
        <v>82.751825396825382</v>
      </c>
      <c r="T162" s="1593">
        <v>51.984208984375009</v>
      </c>
      <c r="U162" s="1593">
        <v>67.099775390625013</v>
      </c>
      <c r="V162" s="1594">
        <v>50.633037109375017</v>
      </c>
      <c r="W162" s="1592">
        <v>156.84135912698406</v>
      </c>
      <c r="X162" s="1593">
        <v>47.093769531249976</v>
      </c>
      <c r="Y162" s="1593">
        <v>41.267587890624995</v>
      </c>
      <c r="Z162" s="1594">
        <v>42.321269531250003</v>
      </c>
      <c r="AA162" s="1592">
        <v>80.378015873015883</v>
      </c>
      <c r="AB162" s="1593">
        <v>34.555751953125004</v>
      </c>
      <c r="AC162" s="1593">
        <v>41.128067307692319</v>
      </c>
      <c r="AD162" s="1594">
        <v>28.156972656249998</v>
      </c>
      <c r="AE162" s="1592">
        <v>32.810527343750003</v>
      </c>
      <c r="AF162" s="1593">
        <v>29.281435546875006</v>
      </c>
      <c r="AG162" s="1595">
        <v>42.594873046874994</v>
      </c>
      <c r="AH162" s="1596">
        <v>35.888214285714291</v>
      </c>
      <c r="AI162" s="1595">
        <v>35.824277343750005</v>
      </c>
      <c r="AJ162" s="1595">
        <v>38.990224609374998</v>
      </c>
      <c r="AK162" s="1595">
        <v>35.719781746031757</v>
      </c>
      <c r="AL162" s="1596">
        <v>42.862331349206364</v>
      </c>
      <c r="AM162" s="1595">
        <v>61.037626953124992</v>
      </c>
      <c r="AN162" s="1595">
        <v>41.31666666666667</v>
      </c>
      <c r="AO162" s="1595">
        <v>34.133333333333333</v>
      </c>
      <c r="AP162" s="1596">
        <v>45.383333333333333</v>
      </c>
      <c r="AQ162" s="1595">
        <v>76.012753062656998</v>
      </c>
      <c r="AR162" s="1595">
        <v>38.217946206964925</v>
      </c>
      <c r="AS162" s="1595">
        <v>32.581730048010407</v>
      </c>
      <c r="AT162" s="1596">
        <v>37.154237348767644</v>
      </c>
      <c r="AU162" s="1595">
        <v>77.355612896616023</v>
      </c>
      <c r="AV162" s="1595">
        <v>38.893113765432851</v>
      </c>
      <c r="AW162" s="1595">
        <v>33.157326837226861</v>
      </c>
      <c r="AX162" s="1596">
        <v>37.810613167124252</v>
      </c>
      <c r="AY162" s="1595">
        <v>78.264625707295977</v>
      </c>
      <c r="AZ162" s="1595">
        <v>39.350150266549605</v>
      </c>
      <c r="BA162" s="1595">
        <v>33.546961586850315</v>
      </c>
      <c r="BB162" s="1844">
        <v>38.254929105704107</v>
      </c>
      <c r="BC162" s="954"/>
      <c r="BD162" s="954"/>
      <c r="BE162" s="1411">
        <f t="shared" si="268"/>
        <v>66.383389749790126</v>
      </c>
      <c r="BF162" s="1411">
        <f t="shared" si="269"/>
        <v>61.783221416170633</v>
      </c>
      <c r="BG162" s="1411">
        <f t="shared" si="270"/>
        <v>46.649134502108133</v>
      </c>
      <c r="BH162" s="1413">
        <f t="shared" si="271"/>
        <v>63.117211720300105</v>
      </c>
      <c r="BI162" s="1413">
        <f t="shared" si="272"/>
        <v>71.880996520027253</v>
      </c>
      <c r="BJ162" s="1413">
        <f t="shared" si="273"/>
        <v>46.054701947520797</v>
      </c>
      <c r="BK162" s="1413">
        <f t="shared" si="274"/>
        <v>35.143762555803576</v>
      </c>
      <c r="BL162" s="1413">
        <f t="shared" si="275"/>
        <v>38.349153762090779</v>
      </c>
      <c r="BM162" s="1413">
        <f t="shared" si="276"/>
        <v>45.467740071614578</v>
      </c>
      <c r="BN162" s="1413">
        <f t="shared" si="277"/>
        <v>45.991666666599997</v>
      </c>
      <c r="BO162" s="1413">
        <f t="shared" si="278"/>
        <v>46.804166666599997</v>
      </c>
      <c r="BP162" s="1413">
        <f t="shared" si="279"/>
        <v>47.354166666599994</v>
      </c>
      <c r="BQ162" s="949"/>
      <c r="BR162" s="1062"/>
      <c r="BS162" s="1058"/>
      <c r="BU162" s="922"/>
      <c r="BV162" s="921"/>
      <c r="BW162" s="921"/>
      <c r="BX162" s="921"/>
    </row>
    <row r="163" spans="2:76" ht="12.75" customHeight="1">
      <c r="C163" s="1459" t="s">
        <v>678</v>
      </c>
      <c r="D163" s="1129"/>
      <c r="E163" s="1127"/>
      <c r="F163" s="1128"/>
      <c r="G163" s="1592">
        <v>48.020902807539699</v>
      </c>
      <c r="H163" s="1593">
        <v>51.584562626953129</v>
      </c>
      <c r="I163" s="1593">
        <v>66.121800654296877</v>
      </c>
      <c r="J163" s="1594">
        <v>49.490597307692312</v>
      </c>
      <c r="K163" s="1592">
        <v>50.059908115234371</v>
      </c>
      <c r="L163" s="1593">
        <v>59.78809870117189</v>
      </c>
      <c r="M163" s="1593">
        <v>57.162939843749975</v>
      </c>
      <c r="N163" s="1594">
        <v>39.320604523809529</v>
      </c>
      <c r="O163" s="1592">
        <v>34.398327744140623</v>
      </c>
      <c r="P163" s="1593">
        <v>38.54343235351562</v>
      </c>
      <c r="Q163" s="1593">
        <v>48.952091091269828</v>
      </c>
      <c r="R163" s="1593">
        <v>41.477144667968737</v>
      </c>
      <c r="S163" s="1592">
        <v>41.997815863095234</v>
      </c>
      <c r="T163" s="1593">
        <v>45.530304316406237</v>
      </c>
      <c r="U163" s="1593">
        <v>48.136464199218764</v>
      </c>
      <c r="V163" s="1594">
        <v>40.193486718750002</v>
      </c>
      <c r="W163" s="1592">
        <v>113.57858770833333</v>
      </c>
      <c r="X163" s="1593">
        <v>50.488559589843774</v>
      </c>
      <c r="Y163" s="1593">
        <v>41.389708935546885</v>
      </c>
      <c r="Z163" s="1594">
        <v>40.371172851562484</v>
      </c>
      <c r="AA163" s="1592">
        <v>56.866776517857168</v>
      </c>
      <c r="AB163" s="1593">
        <v>39.147263818359377</v>
      </c>
      <c r="AC163" s="1593">
        <v>39.464831807692299</v>
      </c>
      <c r="AD163" s="1594">
        <v>31.895178447265625</v>
      </c>
      <c r="AE163" s="1592">
        <v>30.103148642578116</v>
      </c>
      <c r="AF163" s="1593">
        <v>32.701806339843749</v>
      </c>
      <c r="AG163" s="1595">
        <v>38.936782353515625</v>
      </c>
      <c r="AH163" s="1596">
        <v>33.269796091269853</v>
      </c>
      <c r="AI163" s="1595">
        <v>32.144072138671881</v>
      </c>
      <c r="AJ163" s="1595">
        <v>32.803312458984372</v>
      </c>
      <c r="AK163" s="1595">
        <v>35.491018034722238</v>
      </c>
      <c r="AL163" s="1596">
        <v>37.447859950396833</v>
      </c>
      <c r="AM163" s="1595">
        <v>48.149713212890617</v>
      </c>
      <c r="AN163" s="1595">
        <v>34.5</v>
      </c>
      <c r="AO163" s="1595">
        <v>36.9</v>
      </c>
      <c r="AP163" s="1596">
        <v>34.68333333333333</v>
      </c>
      <c r="AQ163" s="1595">
        <v>40.501333218824747</v>
      </c>
      <c r="AR163" s="1595">
        <v>29.678493986239484</v>
      </c>
      <c r="AS163" s="1595">
        <v>32.100602483050345</v>
      </c>
      <c r="AT163" s="1596">
        <v>39.002903645085446</v>
      </c>
      <c r="AU163" s="1595">
        <v>40.405777401430235</v>
      </c>
      <c r="AV163" s="1595">
        <v>29.608472766528742</v>
      </c>
      <c r="AW163" s="1595">
        <v>32.024866721648337</v>
      </c>
      <c r="AX163" s="1596">
        <v>38.910883110392696</v>
      </c>
      <c r="AY163" s="1595">
        <v>40.52044438234951</v>
      </c>
      <c r="AZ163" s="1595">
        <v>29.692498230215239</v>
      </c>
      <c r="BA163" s="1595">
        <v>32.115749635367095</v>
      </c>
      <c r="BB163" s="1844">
        <v>39.021307752068161</v>
      </c>
      <c r="BC163" s="954"/>
      <c r="BD163" s="954"/>
      <c r="BE163" s="1411">
        <f t="shared" si="268"/>
        <v>53.804465849120504</v>
      </c>
      <c r="BF163" s="1411">
        <f t="shared" si="269"/>
        <v>51.582887795991439</v>
      </c>
      <c r="BG163" s="1411">
        <f t="shared" si="270"/>
        <v>40.842748964223702</v>
      </c>
      <c r="BH163" s="1413">
        <f t="shared" si="271"/>
        <v>43.964517774367557</v>
      </c>
      <c r="BI163" s="1413">
        <f t="shared" si="272"/>
        <v>61.457007271321615</v>
      </c>
      <c r="BJ163" s="1413">
        <f t="shared" si="273"/>
        <v>41.843512647793617</v>
      </c>
      <c r="BK163" s="1413">
        <f t="shared" si="274"/>
        <v>33.752883356801831</v>
      </c>
      <c r="BL163" s="1413">
        <f t="shared" si="275"/>
        <v>34.471565645693829</v>
      </c>
      <c r="BM163" s="1413">
        <f t="shared" si="276"/>
        <v>38.55826163655599</v>
      </c>
      <c r="BN163" s="1413">
        <f t="shared" si="277"/>
        <v>35.320833333300001</v>
      </c>
      <c r="BO163" s="1413">
        <f t="shared" si="278"/>
        <v>35.237500000000004</v>
      </c>
      <c r="BP163" s="1413">
        <f t="shared" si="279"/>
        <v>35.337499999999999</v>
      </c>
      <c r="BQ163" s="965"/>
      <c r="BR163" s="1062"/>
      <c r="BS163" s="1058"/>
      <c r="BU163" s="922"/>
      <c r="BV163" s="921"/>
      <c r="BW163" s="921"/>
      <c r="BX163" s="921"/>
    </row>
    <row r="164" spans="2:76" ht="12.75" customHeight="1">
      <c r="C164" s="1459" t="s">
        <v>601</v>
      </c>
      <c r="D164" s="1129"/>
      <c r="E164" s="1127"/>
      <c r="F164" s="1128"/>
      <c r="G164" s="1592">
        <v>52.409421755952401</v>
      </c>
      <c r="H164" s="1593">
        <v>56.777662714843743</v>
      </c>
      <c r="I164" s="1593">
        <v>79.80542767578126</v>
      </c>
      <c r="J164" s="1594">
        <v>53.380955625000034</v>
      </c>
      <c r="K164" s="1592">
        <v>56.349727597656255</v>
      </c>
      <c r="L164" s="1593">
        <v>65.570403749999997</v>
      </c>
      <c r="M164" s="1593">
        <v>66.498248447265624</v>
      </c>
      <c r="N164" s="1594">
        <v>40.979681686507909</v>
      </c>
      <c r="O164" s="1592">
        <v>38.512803037109371</v>
      </c>
      <c r="P164" s="1593">
        <v>36.974501874023439</v>
      </c>
      <c r="Q164" s="1593">
        <v>55.885414017857158</v>
      </c>
      <c r="R164" s="1593">
        <v>46.126044788085935</v>
      </c>
      <c r="S164" s="1592">
        <v>42.607887670634931</v>
      </c>
      <c r="T164" s="1593">
        <v>47.166300820312507</v>
      </c>
      <c r="U164" s="1593">
        <v>55.200128388671871</v>
      </c>
      <c r="V164" s="1594">
        <v>42.192332373046867</v>
      </c>
      <c r="W164" s="1592">
        <v>132.34547472222224</v>
      </c>
      <c r="X164" s="1593">
        <v>53.88701666992187</v>
      </c>
      <c r="Y164" s="1593">
        <v>45.337472450195328</v>
      </c>
      <c r="Z164" s="1594">
        <v>49.12051941503907</v>
      </c>
      <c r="AA164" s="1592">
        <v>67.284598143849209</v>
      </c>
      <c r="AB164" s="1593">
        <v>36.819058058593754</v>
      </c>
      <c r="AC164" s="1593">
        <v>39.89850856153847</v>
      </c>
      <c r="AD164" s="1594">
        <v>30.041686161132823</v>
      </c>
      <c r="AE164" s="1592">
        <v>31.266320479492187</v>
      </c>
      <c r="AF164" s="1593">
        <v>28.707086242187497</v>
      </c>
      <c r="AG164" s="1595">
        <v>40.605906624023433</v>
      </c>
      <c r="AH164" s="1596">
        <v>28.828253920634918</v>
      </c>
      <c r="AI164" s="1595">
        <v>33.256564817382809</v>
      </c>
      <c r="AJ164" s="1595">
        <v>32.387231337890618</v>
      </c>
      <c r="AK164" s="1595">
        <v>34.354411583333331</v>
      </c>
      <c r="AL164" s="1596">
        <v>39.044797251984129</v>
      </c>
      <c r="AM164" s="1595">
        <v>49.504310380859373</v>
      </c>
      <c r="AN164" s="1595">
        <v>34.371333333333332</v>
      </c>
      <c r="AO164" s="1595">
        <v>38.062833333333337</v>
      </c>
      <c r="AP164" s="1596">
        <v>34.614333333333327</v>
      </c>
      <c r="AQ164" s="1595">
        <v>46.510944725679025</v>
      </c>
      <c r="AR164" s="1595">
        <v>30.296280173373429</v>
      </c>
      <c r="AS164" s="1595">
        <v>33.947384063861342</v>
      </c>
      <c r="AT164" s="1596">
        <v>36.41005770348621</v>
      </c>
      <c r="AU164" s="1595">
        <v>46.479340030218317</v>
      </c>
      <c r="AV164" s="1595">
        <v>30.275693519756327</v>
      </c>
      <c r="AW164" s="1595">
        <v>33.924316445231923</v>
      </c>
      <c r="AX164" s="1596">
        <v>36.385316671193436</v>
      </c>
      <c r="AY164" s="1595">
        <v>46.837526578857272</v>
      </c>
      <c r="AZ164" s="1595">
        <v>30.509008927471708</v>
      </c>
      <c r="BA164" s="1595">
        <v>34.185749456426855</v>
      </c>
      <c r="BB164" s="1844">
        <v>36.665715037244176</v>
      </c>
      <c r="BC164" s="954"/>
      <c r="BD164" s="954"/>
      <c r="BE164" s="1411">
        <f t="shared" si="268"/>
        <v>60.593366942894363</v>
      </c>
      <c r="BF164" s="1411">
        <f t="shared" si="269"/>
        <v>57.349515370357445</v>
      </c>
      <c r="BG164" s="1411">
        <f t="shared" si="270"/>
        <v>44.374690929268979</v>
      </c>
      <c r="BH164" s="1413">
        <f t="shared" si="271"/>
        <v>46.791662313166547</v>
      </c>
      <c r="BI164" s="1413">
        <f t="shared" si="272"/>
        <v>70.172620814344626</v>
      </c>
      <c r="BJ164" s="1413">
        <f t="shared" si="273"/>
        <v>43.510962731278561</v>
      </c>
      <c r="BK164" s="1413">
        <f t="shared" si="274"/>
        <v>32.351891816584505</v>
      </c>
      <c r="BL164" s="1413">
        <f t="shared" si="275"/>
        <v>34.760751247647725</v>
      </c>
      <c r="BM164" s="1413">
        <f t="shared" si="276"/>
        <v>39.138202595214842</v>
      </c>
      <c r="BN164" s="1413">
        <f t="shared" si="277"/>
        <v>36.791166666600006</v>
      </c>
      <c r="BO164" s="1413">
        <f t="shared" si="278"/>
        <v>36.7661666666</v>
      </c>
      <c r="BP164" s="1413">
        <f t="shared" si="279"/>
        <v>37.049500000000002</v>
      </c>
      <c r="BQ164" s="965"/>
      <c r="BR164" s="1062"/>
      <c r="BS164" s="1058"/>
      <c r="BU164" s="922"/>
      <c r="BV164" s="921"/>
      <c r="BW164" s="921"/>
      <c r="BX164" s="921"/>
    </row>
    <row r="165" spans="2:76" ht="12.75" customHeight="1">
      <c r="C165" s="1459" t="s">
        <v>679</v>
      </c>
      <c r="D165" s="1189"/>
      <c r="E165" s="1127"/>
      <c r="F165" s="1128"/>
      <c r="G165" s="1592">
        <v>42.318757033730158</v>
      </c>
      <c r="H165" s="1593">
        <v>43.07423765625002</v>
      </c>
      <c r="I165" s="1593">
        <v>51.328195917968742</v>
      </c>
      <c r="J165" s="1594">
        <v>38.933001861538465</v>
      </c>
      <c r="K165" s="1592">
        <v>41.451086953125014</v>
      </c>
      <c r="L165" s="1593">
        <v>51.097349746093769</v>
      </c>
      <c r="M165" s="1593">
        <v>50.310268931640643</v>
      </c>
      <c r="N165" s="1594">
        <v>37.410923978174601</v>
      </c>
      <c r="O165" s="1592">
        <v>32.153772558593758</v>
      </c>
      <c r="P165" s="1593">
        <v>34.709669501953115</v>
      </c>
      <c r="Q165" s="1593">
        <v>44.635360783730164</v>
      </c>
      <c r="R165" s="1593">
        <v>38.089502343749999</v>
      </c>
      <c r="S165" s="1592">
        <v>38.017161944444446</v>
      </c>
      <c r="T165" s="1593">
        <v>41.806956083984382</v>
      </c>
      <c r="U165" s="1593">
        <v>41.772417763671875</v>
      </c>
      <c r="V165" s="1594">
        <v>36.018476103515631</v>
      </c>
      <c r="W165" s="1592">
        <v>79.351583283730179</v>
      </c>
      <c r="X165" s="1593">
        <v>50.487840683593745</v>
      </c>
      <c r="Y165" s="1593">
        <v>38.234623320312501</v>
      </c>
      <c r="Z165" s="1594">
        <v>40.068190000000001</v>
      </c>
      <c r="AA165" s="1592">
        <v>43.107304533730151</v>
      </c>
      <c r="AB165" s="1593">
        <v>36.571755771484384</v>
      </c>
      <c r="AC165" s="1593">
        <v>35.906114451923074</v>
      </c>
      <c r="AD165" s="1594">
        <v>30.830603544921882</v>
      </c>
      <c r="AE165" s="1592">
        <v>27.466274697265614</v>
      </c>
      <c r="AF165" s="1593">
        <v>31.331062939453119</v>
      </c>
      <c r="AG165" s="1595">
        <v>37.764263886718759</v>
      </c>
      <c r="AH165" s="1596">
        <v>32.442105446428577</v>
      </c>
      <c r="AI165" s="1595">
        <v>30.987138056640639</v>
      </c>
      <c r="AJ165" s="1595">
        <v>33.05749094726562</v>
      </c>
      <c r="AK165" s="1595">
        <v>36.590803630952387</v>
      </c>
      <c r="AL165" s="1596">
        <v>32.10412905753968</v>
      </c>
      <c r="AM165" s="1595">
        <v>39.582188720703122</v>
      </c>
      <c r="AN165" s="1595">
        <v>35.416666666666664</v>
      </c>
      <c r="AO165" s="1595">
        <v>37.699999999999996</v>
      </c>
      <c r="AP165" s="1596">
        <v>34.06666666666667</v>
      </c>
      <c r="AQ165" s="1595">
        <v>37.104731797582915</v>
      </c>
      <c r="AR165" s="1595">
        <v>31.21709085897621</v>
      </c>
      <c r="AS165" s="1595">
        <v>33.846064219263162</v>
      </c>
      <c r="AT165" s="1596">
        <v>36.098779790577716</v>
      </c>
      <c r="AU165" s="1595">
        <v>36.757952834841539</v>
      </c>
      <c r="AV165" s="1595">
        <v>30.925337493207795</v>
      </c>
      <c r="AW165" s="1595">
        <v>33.52974060030094</v>
      </c>
      <c r="AX165" s="1596">
        <v>35.761402404849747</v>
      </c>
      <c r="AY165" s="1595">
        <v>36.863032218779693</v>
      </c>
      <c r="AZ165" s="1595">
        <v>31.013743271039516</v>
      </c>
      <c r="BA165" s="1595">
        <v>33.625591544495691</v>
      </c>
      <c r="BB165" s="1844">
        <v>35.86363296568512</v>
      </c>
      <c r="BC165" s="954"/>
      <c r="BD165" s="954"/>
      <c r="BE165" s="1411">
        <f t="shared" si="268"/>
        <v>43.913548117371846</v>
      </c>
      <c r="BF165" s="1411">
        <f t="shared" si="269"/>
        <v>45.067407402258503</v>
      </c>
      <c r="BG165" s="1411">
        <f t="shared" si="270"/>
        <v>37.397076297006763</v>
      </c>
      <c r="BH165" s="1413">
        <f t="shared" si="271"/>
        <v>39.403752973904083</v>
      </c>
      <c r="BI165" s="1413">
        <f t="shared" si="272"/>
        <v>52.035559321909105</v>
      </c>
      <c r="BJ165" s="1413">
        <f t="shared" si="273"/>
        <v>36.603944575514873</v>
      </c>
      <c r="BK165" s="1413">
        <f t="shared" si="274"/>
        <v>32.250926742466518</v>
      </c>
      <c r="BL165" s="1413">
        <f t="shared" si="275"/>
        <v>33.184890423099588</v>
      </c>
      <c r="BM165" s="1413">
        <f t="shared" si="276"/>
        <v>36.69138051350911</v>
      </c>
      <c r="BN165" s="1413">
        <f t="shared" si="277"/>
        <v>34.5666666666</v>
      </c>
      <c r="BO165" s="1413">
        <f t="shared" si="278"/>
        <v>34.243608333300003</v>
      </c>
      <c r="BP165" s="1413">
        <f t="shared" si="279"/>
        <v>34.341500000000003</v>
      </c>
      <c r="BQ165" s="949"/>
      <c r="BR165" s="1062"/>
      <c r="BS165" s="1058"/>
      <c r="BU165" s="922"/>
      <c r="BV165" s="921"/>
      <c r="BW165" s="921"/>
      <c r="BX165" s="921"/>
    </row>
    <row r="166" spans="2:76" ht="12.75" customHeight="1">
      <c r="C166" s="1459" t="s">
        <v>680</v>
      </c>
      <c r="D166" s="1189"/>
      <c r="E166" s="1127"/>
      <c r="F166" s="1128"/>
      <c r="G166" s="1592">
        <v>42.324658253968252</v>
      </c>
      <c r="H166" s="1593">
        <v>43.262810498046875</v>
      </c>
      <c r="I166" s="1593">
        <v>51.606527089843752</v>
      </c>
      <c r="J166" s="1594">
        <v>38.918928847115382</v>
      </c>
      <c r="K166" s="1592">
        <v>41.488797080078136</v>
      </c>
      <c r="L166" s="1593">
        <v>50.985843300781255</v>
      </c>
      <c r="M166" s="1593">
        <v>50.268828780273431</v>
      </c>
      <c r="N166" s="1594">
        <v>37.525041934523813</v>
      </c>
      <c r="O166" s="1592">
        <v>32.221690878906244</v>
      </c>
      <c r="P166" s="1593">
        <v>34.827419687500004</v>
      </c>
      <c r="Q166" s="1593">
        <v>44.932445357142846</v>
      </c>
      <c r="R166" s="1593">
        <v>38.199312265625004</v>
      </c>
      <c r="S166" s="1592">
        <v>37.715632986111103</v>
      </c>
      <c r="T166" s="1593">
        <v>41.987925156249993</v>
      </c>
      <c r="U166" s="1593">
        <v>41.924110576171877</v>
      </c>
      <c r="V166" s="1594">
        <v>36.103588144531251</v>
      </c>
      <c r="W166" s="1592">
        <v>79.291454067460307</v>
      </c>
      <c r="X166" s="1593">
        <v>50.610264160156234</v>
      </c>
      <c r="Y166" s="1593">
        <v>38.224814638671887</v>
      </c>
      <c r="Z166" s="1594">
        <v>39.049467128906258</v>
      </c>
      <c r="AA166" s="1592">
        <v>42.983203065476189</v>
      </c>
      <c r="AB166" s="1593">
        <v>35.431994833984376</v>
      </c>
      <c r="AC166" s="1593">
        <v>35.234762865384596</v>
      </c>
      <c r="AD166" s="1594">
        <v>30.793894384765622</v>
      </c>
      <c r="AE166" s="1592">
        <v>27.255926289062497</v>
      </c>
      <c r="AF166" s="1593">
        <v>31.587512695312501</v>
      </c>
      <c r="AG166" s="1595">
        <v>38.382545029296871</v>
      </c>
      <c r="AH166" s="1596">
        <v>32.453721736111113</v>
      </c>
      <c r="AI166" s="1595">
        <v>31.073804345703124</v>
      </c>
      <c r="AJ166" s="1595">
        <v>33.234170273437506</v>
      </c>
      <c r="AK166" s="1595">
        <v>36.864877966269844</v>
      </c>
      <c r="AL166" s="1596">
        <v>32.037018710317462</v>
      </c>
      <c r="AM166" s="1595">
        <v>38.43211967773437</v>
      </c>
      <c r="AN166" s="1595">
        <v>33.833333333333336</v>
      </c>
      <c r="AO166" s="1595">
        <v>36.31666666666667</v>
      </c>
      <c r="AP166" s="1596">
        <v>33.616666666666667</v>
      </c>
      <c r="AQ166" s="1595">
        <v>34.505559751881279</v>
      </c>
      <c r="AR166" s="1595">
        <v>30.200278902105268</v>
      </c>
      <c r="AS166" s="1595">
        <v>33.302613632090925</v>
      </c>
      <c r="AT166" s="1596">
        <v>36.708214380322516</v>
      </c>
      <c r="AU166" s="1595">
        <v>34.591868474798638</v>
      </c>
      <c r="AV166" s="1595">
        <v>30.275818830236602</v>
      </c>
      <c r="AW166" s="1595">
        <v>33.385913427053367</v>
      </c>
      <c r="AX166" s="1596">
        <v>36.800032601111397</v>
      </c>
      <c r="AY166" s="1595">
        <v>34.815106597023615</v>
      </c>
      <c r="AZ166" s="1595">
        <v>30.471203388587639</v>
      </c>
      <c r="BA166" s="1595">
        <v>33.601368935842977</v>
      </c>
      <c r="BB166" s="1844">
        <v>37.037521078545765</v>
      </c>
      <c r="BC166" s="954"/>
      <c r="BD166" s="954"/>
      <c r="BE166" s="1411">
        <f t="shared" si="268"/>
        <v>44.028231172243565</v>
      </c>
      <c r="BF166" s="1411">
        <f t="shared" si="269"/>
        <v>45.067127773914159</v>
      </c>
      <c r="BG166" s="1411">
        <f t="shared" si="270"/>
        <v>37.545217047293526</v>
      </c>
      <c r="BH166" s="1413">
        <f t="shared" si="271"/>
        <v>39.432814215766051</v>
      </c>
      <c r="BI166" s="1413">
        <f t="shared" si="272"/>
        <v>51.793999998798668</v>
      </c>
      <c r="BJ166" s="1413">
        <f t="shared" si="273"/>
        <v>36.110963787402696</v>
      </c>
      <c r="BK166" s="1413">
        <f t="shared" si="274"/>
        <v>32.419926437445746</v>
      </c>
      <c r="BL166" s="1413">
        <f t="shared" si="275"/>
        <v>33.302467823931984</v>
      </c>
      <c r="BM166" s="1413">
        <f t="shared" si="276"/>
        <v>35.549696586100261</v>
      </c>
      <c r="BN166" s="1413">
        <f t="shared" si="277"/>
        <v>33.679166666599997</v>
      </c>
      <c r="BO166" s="1413">
        <f t="shared" si="278"/>
        <v>33.763408333300006</v>
      </c>
      <c r="BP166" s="1413">
        <f t="shared" si="279"/>
        <v>33.981300000000005</v>
      </c>
      <c r="BQ166" s="949"/>
      <c r="BR166" s="1062"/>
      <c r="BS166" s="1058"/>
      <c r="BU166" s="922"/>
      <c r="BV166" s="921"/>
      <c r="BW166" s="921"/>
      <c r="BX166" s="921"/>
    </row>
    <row r="167" spans="2:76" ht="12.75" customHeight="1">
      <c r="C167" s="1459" t="s">
        <v>681</v>
      </c>
      <c r="D167" s="1189"/>
      <c r="E167" s="1127"/>
      <c r="F167" s="1128"/>
      <c r="G167" s="1592">
        <v>40.373286190476193</v>
      </c>
      <c r="H167" s="1593">
        <v>41.051071525390626</v>
      </c>
      <c r="I167" s="1593">
        <v>50.072542607421866</v>
      </c>
      <c r="J167" s="1594">
        <v>34.412752877884607</v>
      </c>
      <c r="K167" s="1592">
        <v>39.612896863281264</v>
      </c>
      <c r="L167" s="1593">
        <v>45.46599732519531</v>
      </c>
      <c r="M167" s="1593">
        <v>47.308313137695315</v>
      </c>
      <c r="N167" s="1594">
        <v>31.727422125992067</v>
      </c>
      <c r="O167" s="1592">
        <v>30.441801791015621</v>
      </c>
      <c r="P167" s="1593">
        <v>32.770161261718748</v>
      </c>
      <c r="Q167" s="1593">
        <v>44.877897271825397</v>
      </c>
      <c r="R167" s="1593">
        <v>35.019350765624992</v>
      </c>
      <c r="S167" s="1592">
        <v>34.838090073412694</v>
      </c>
      <c r="T167" s="1593">
        <v>39.428378864257809</v>
      </c>
      <c r="U167" s="1593">
        <v>41.11704862597658</v>
      </c>
      <c r="V167" s="1594">
        <v>34.355717211914069</v>
      </c>
      <c r="W167" s="1592">
        <v>72.99622284523808</v>
      </c>
      <c r="X167" s="1593">
        <v>48.442515457031263</v>
      </c>
      <c r="Y167" s="1593">
        <v>37.030601145507809</v>
      </c>
      <c r="Z167" s="1594">
        <v>38.673259170898433</v>
      </c>
      <c r="AA167" s="1592">
        <v>39.963556904761916</v>
      </c>
      <c r="AB167" s="1593">
        <v>30.605513267578125</v>
      </c>
      <c r="AC167" s="1593">
        <v>33.950207826923084</v>
      </c>
      <c r="AD167" s="1594">
        <v>29.947609584960937</v>
      </c>
      <c r="AE167" s="1592">
        <v>26.738570957031257</v>
      </c>
      <c r="AF167" s="1593">
        <v>29.587132090820305</v>
      </c>
      <c r="AG167" s="1595">
        <v>37.576820068359396</v>
      </c>
      <c r="AH167" s="1596">
        <v>31.571357599206348</v>
      </c>
      <c r="AI167" s="1595">
        <v>29.354624452148443</v>
      </c>
      <c r="AJ167" s="1595">
        <v>33.630935440429681</v>
      </c>
      <c r="AK167" s="1595">
        <v>34.552619896825405</v>
      </c>
      <c r="AL167" s="1596">
        <v>30.295690178571437</v>
      </c>
      <c r="AM167" s="1595">
        <v>31.943508934570318</v>
      </c>
      <c r="AN167" s="1595">
        <v>30.066666666666666</v>
      </c>
      <c r="AO167" s="1595">
        <v>34.6</v>
      </c>
      <c r="AP167" s="1596">
        <v>30.166666666666668</v>
      </c>
      <c r="AQ167" s="1595">
        <v>33.929172095569285</v>
      </c>
      <c r="AR167" s="1595">
        <v>28.660363159574629</v>
      </c>
      <c r="AS167" s="1595">
        <v>32.36321030654301</v>
      </c>
      <c r="AT167" s="1596">
        <v>28.947254438313074</v>
      </c>
      <c r="AU167" s="1595">
        <v>33.932622519850185</v>
      </c>
      <c r="AV167" s="1595">
        <v>28.663277772777295</v>
      </c>
      <c r="AW167" s="1595">
        <v>32.366501480472486</v>
      </c>
      <c r="AX167" s="1596">
        <v>28.950198226900017</v>
      </c>
      <c r="AY167" s="1595">
        <v>34.171295122086242</v>
      </c>
      <c r="AZ167" s="1595">
        <v>28.864887273800733</v>
      </c>
      <c r="BA167" s="1595">
        <v>32.594158424143806</v>
      </c>
      <c r="BB167" s="1844">
        <v>29.153825846369212</v>
      </c>
      <c r="BC167" s="954"/>
      <c r="BD167" s="954"/>
      <c r="BE167" s="1411">
        <f t="shared" si="268"/>
        <v>41.477413300293321</v>
      </c>
      <c r="BF167" s="1411">
        <f t="shared" si="269"/>
        <v>41.028657363040985</v>
      </c>
      <c r="BG167" s="1411">
        <f t="shared" si="270"/>
        <v>35.777302772546193</v>
      </c>
      <c r="BH167" s="1413">
        <f t="shared" si="271"/>
        <v>37.43480869389029</v>
      </c>
      <c r="BI167" s="1413">
        <f t="shared" si="272"/>
        <v>49.285649654668894</v>
      </c>
      <c r="BJ167" s="1413">
        <f t="shared" si="273"/>
        <v>33.616721896056013</v>
      </c>
      <c r="BK167" s="1413">
        <f t="shared" si="274"/>
        <v>31.368470178854327</v>
      </c>
      <c r="BL167" s="1413">
        <f t="shared" si="275"/>
        <v>31.958467491993741</v>
      </c>
      <c r="BM167" s="1413">
        <f t="shared" si="276"/>
        <v>31.694210566975915</v>
      </c>
      <c r="BN167" s="1413">
        <f t="shared" si="277"/>
        <v>30.975000000000001</v>
      </c>
      <c r="BO167" s="1413">
        <f t="shared" si="278"/>
        <v>30.978149999999996</v>
      </c>
      <c r="BP167" s="1413">
        <f t="shared" si="279"/>
        <v>31.196041666599999</v>
      </c>
      <c r="BQ167" s="949"/>
      <c r="BR167" s="1062"/>
      <c r="BS167" s="1058"/>
      <c r="BU167" s="922"/>
      <c r="BV167" s="921"/>
      <c r="BW167" s="921"/>
      <c r="BX167" s="921"/>
    </row>
    <row r="168" spans="2:76" ht="12.75" customHeight="1">
      <c r="C168" s="1459" t="s">
        <v>682</v>
      </c>
      <c r="D168" s="1189"/>
      <c r="E168" s="1127"/>
      <c r="F168" s="1128"/>
      <c r="G168" s="1592">
        <v>41.339221230158728</v>
      </c>
      <c r="H168" s="1593">
        <v>39.390153808593752</v>
      </c>
      <c r="I168" s="1593">
        <v>48.872324218750009</v>
      </c>
      <c r="J168" s="1594">
        <v>32.494792444029855</v>
      </c>
      <c r="K168" s="1592">
        <v>49.694167480468757</v>
      </c>
      <c r="L168" s="1593">
        <v>41.930664062500007</v>
      </c>
      <c r="M168" s="1593">
        <v>111.00009521484377</v>
      </c>
      <c r="N168" s="1594">
        <v>29.544866071428554</v>
      </c>
      <c r="O168" s="1592">
        <v>25.356325683593752</v>
      </c>
      <c r="P168" s="1593">
        <v>30.825715332031248</v>
      </c>
      <c r="Q168" s="1593">
        <v>31.618534226190476</v>
      </c>
      <c r="R168" s="1593">
        <v>27.927487792968755</v>
      </c>
      <c r="S168" s="1592">
        <v>28.835245535714289</v>
      </c>
      <c r="T168" s="1593">
        <v>36.626384277343753</v>
      </c>
      <c r="U168" s="1593">
        <v>43.148923339843755</v>
      </c>
      <c r="V168" s="1594">
        <v>36.768386230468735</v>
      </c>
      <c r="W168" s="1592">
        <v>57.726661706349176</v>
      </c>
      <c r="X168" s="1593">
        <v>44.823835449218755</v>
      </c>
      <c r="Y168" s="1593">
        <v>38.568947753906251</v>
      </c>
      <c r="Z168" s="1594">
        <v>33.674279785156259</v>
      </c>
      <c r="AA168" s="1592">
        <v>26.530957341269843</v>
      </c>
      <c r="AB168" s="1593">
        <v>27.875180664062505</v>
      </c>
      <c r="AC168" s="1593">
        <v>34.771600961538461</v>
      </c>
      <c r="AD168" s="1594">
        <v>23.322177734375007</v>
      </c>
      <c r="AE168" s="1592">
        <v>20.53059082031249</v>
      </c>
      <c r="AF168" s="1593">
        <v>24.409040527343741</v>
      </c>
      <c r="AG168" s="1595">
        <v>33.207656250000007</v>
      </c>
      <c r="AH168" s="1596">
        <v>29.754362599206353</v>
      </c>
      <c r="AI168" s="1595">
        <v>27.700273437500005</v>
      </c>
      <c r="AJ168" s="1595">
        <v>46.152717285156264</v>
      </c>
      <c r="AK168" s="1595">
        <v>33.043561507936509</v>
      </c>
      <c r="AL168" s="1596">
        <v>29.19860119047619</v>
      </c>
      <c r="AM168" s="1595">
        <v>33.29329345703124</v>
      </c>
      <c r="AN168" s="1595">
        <v>37.382000000000005</v>
      </c>
      <c r="AO168" s="1595">
        <v>118.87111666666665</v>
      </c>
      <c r="AP168" s="1596">
        <v>27.205766666666666</v>
      </c>
      <c r="AQ168" s="1595">
        <v>24.525092123733586</v>
      </c>
      <c r="AR168" s="1595">
        <v>26.33436343081933</v>
      </c>
      <c r="AS168" s="1595">
        <v>72.001306158597217</v>
      </c>
      <c r="AT168" s="1596">
        <v>45.433288286849844</v>
      </c>
      <c r="AU168" s="1595">
        <v>22.536414554517716</v>
      </c>
      <c r="AV168" s="1595">
        <v>24.198976636338397</v>
      </c>
      <c r="AW168" s="1595">
        <v>66.162902706759411</v>
      </c>
      <c r="AX168" s="1596">
        <v>41.749218075984459</v>
      </c>
      <c r="AY168" s="1595">
        <v>21.446763815512227</v>
      </c>
      <c r="AZ168" s="1595">
        <v>23.028939907062984</v>
      </c>
      <c r="BA168" s="1595">
        <v>62.96388204378902</v>
      </c>
      <c r="BB168" s="1844">
        <v>39.730615417635761</v>
      </c>
      <c r="BC168" s="954"/>
      <c r="BD168" s="954"/>
      <c r="BE168" s="1411">
        <f t="shared" si="268"/>
        <v>40.524122925383089</v>
      </c>
      <c r="BF168" s="1411">
        <f t="shared" si="269"/>
        <v>58.042448207310272</v>
      </c>
      <c r="BG168" s="1411">
        <f t="shared" si="270"/>
        <v>28.93201575869606</v>
      </c>
      <c r="BH168" s="1413">
        <f t="shared" si="271"/>
        <v>36.34473484584263</v>
      </c>
      <c r="BI168" s="1413">
        <f t="shared" si="272"/>
        <v>43.69843117365761</v>
      </c>
      <c r="BJ168" s="1413">
        <f t="shared" si="273"/>
        <v>28.124979175311452</v>
      </c>
      <c r="BK168" s="1413">
        <f t="shared" si="274"/>
        <v>26.975412549215648</v>
      </c>
      <c r="BL168" s="1413">
        <f t="shared" si="275"/>
        <v>34.023788355267243</v>
      </c>
      <c r="BM168" s="1413">
        <f t="shared" si="276"/>
        <v>54.188044197591147</v>
      </c>
      <c r="BN168" s="1413">
        <f t="shared" si="277"/>
        <v>42.073512499999993</v>
      </c>
      <c r="BO168" s="1413">
        <f t="shared" si="278"/>
        <v>38.661877993399997</v>
      </c>
      <c r="BP168" s="1413">
        <f t="shared" si="279"/>
        <v>36.792550296000002</v>
      </c>
      <c r="BQ168" s="949"/>
      <c r="BR168" s="1062"/>
      <c r="BS168" s="1058"/>
      <c r="BU168" s="922"/>
      <c r="BV168" s="921"/>
      <c r="BW168" s="921"/>
      <c r="BX168" s="921"/>
    </row>
    <row r="169" spans="2:76" ht="12.75" customHeight="1">
      <c r="C169" s="1457" t="s">
        <v>683</v>
      </c>
      <c r="D169" s="1189"/>
      <c r="E169" s="1127"/>
      <c r="F169" s="1128"/>
      <c r="G169" s="1592">
        <v>41.463162202380943</v>
      </c>
      <c r="H169" s="1593">
        <v>39.232558593749999</v>
      </c>
      <c r="I169" s="1593">
        <v>48.767795410156261</v>
      </c>
      <c r="J169" s="1594">
        <v>32.77672574626866</v>
      </c>
      <c r="K169" s="1592">
        <v>50.755690917968764</v>
      </c>
      <c r="L169" s="1593">
        <v>40.202160644531247</v>
      </c>
      <c r="M169" s="1593">
        <v>106.84378173828125</v>
      </c>
      <c r="N169" s="1594">
        <v>28.962276785714291</v>
      </c>
      <c r="O169" s="1592">
        <v>25.273820800781262</v>
      </c>
      <c r="P169" s="1593">
        <v>31.306391601562503</v>
      </c>
      <c r="Q169" s="1593">
        <v>32.226475694444453</v>
      </c>
      <c r="R169" s="1593">
        <v>28.259047851562507</v>
      </c>
      <c r="S169" s="1592">
        <v>29.044474206349211</v>
      </c>
      <c r="T169" s="1593">
        <v>35.193894042968758</v>
      </c>
      <c r="U169" s="1593">
        <v>38.431984863281251</v>
      </c>
      <c r="V169" s="1594">
        <v>35.855332031250001</v>
      </c>
      <c r="W169" s="1592">
        <v>60.188559027777771</v>
      </c>
      <c r="X169" s="1593">
        <v>40.574257812500001</v>
      </c>
      <c r="Y169" s="1593">
        <v>37.938735351562507</v>
      </c>
      <c r="Z169" s="1594">
        <v>34.462575683593748</v>
      </c>
      <c r="AA169" s="1592">
        <v>26.624528769841273</v>
      </c>
      <c r="AB169" s="1593">
        <v>27.696826171875006</v>
      </c>
      <c r="AC169" s="1593">
        <v>35.113086538461538</v>
      </c>
      <c r="AD169" s="1594">
        <v>20.858798828125007</v>
      </c>
      <c r="AE169" s="1592">
        <v>19.673029785156263</v>
      </c>
      <c r="AF169" s="1593">
        <v>22.350983886718744</v>
      </c>
      <c r="AG169" s="1595">
        <v>30.610273437499995</v>
      </c>
      <c r="AH169" s="1596">
        <v>25.720223214285713</v>
      </c>
      <c r="AI169" s="1595">
        <v>22.746433105468753</v>
      </c>
      <c r="AJ169" s="1595">
        <v>27.890290527343748</v>
      </c>
      <c r="AK169" s="1595">
        <v>29.419799107142854</v>
      </c>
      <c r="AL169" s="1596">
        <v>23.559124503968256</v>
      </c>
      <c r="AM169" s="1595">
        <v>31.786008300781262</v>
      </c>
      <c r="AN169" s="1595">
        <v>35.332000000000001</v>
      </c>
      <c r="AO169" s="1595">
        <v>118.57111666666667</v>
      </c>
      <c r="AP169" s="1596">
        <v>26.272433333333336</v>
      </c>
      <c r="AQ169" s="1595">
        <v>23.582895883834407</v>
      </c>
      <c r="AR169" s="1595">
        <v>24.58750024208658</v>
      </c>
      <c r="AS169" s="1595">
        <v>70.499208350188795</v>
      </c>
      <c r="AT169" s="1596">
        <v>43.541112190290235</v>
      </c>
      <c r="AU169" s="1595">
        <v>21.356595924499164</v>
      </c>
      <c r="AV169" s="1595">
        <v>22.266362453973152</v>
      </c>
      <c r="AW169" s="1595">
        <v>63.843860107279404</v>
      </c>
      <c r="AX169" s="1596">
        <v>39.430693487848274</v>
      </c>
      <c r="AY169" s="1595">
        <v>20.153204665518864</v>
      </c>
      <c r="AZ169" s="1595">
        <v>21.011708105446548</v>
      </c>
      <c r="BA169" s="1595">
        <v>60.246416794484098</v>
      </c>
      <c r="BB169" s="1844">
        <v>37.208871618550496</v>
      </c>
      <c r="BC169" s="954"/>
      <c r="BD169" s="954"/>
      <c r="BE169" s="1411">
        <f t="shared" si="268"/>
        <v>40.560060488138966</v>
      </c>
      <c r="BF169" s="1411">
        <f t="shared" si="269"/>
        <v>56.690977521623886</v>
      </c>
      <c r="BG169" s="1411">
        <f t="shared" si="270"/>
        <v>29.26643398708768</v>
      </c>
      <c r="BH169" s="1413">
        <f t="shared" si="271"/>
        <v>34.631421285962304</v>
      </c>
      <c r="BI169" s="1413">
        <f t="shared" si="272"/>
        <v>43.291031968858505</v>
      </c>
      <c r="BJ169" s="1413">
        <f t="shared" si="273"/>
        <v>27.573310077075703</v>
      </c>
      <c r="BK169" s="1413">
        <f t="shared" si="274"/>
        <v>24.58862758091518</v>
      </c>
      <c r="BL169" s="1413">
        <f t="shared" si="275"/>
        <v>25.903911810980901</v>
      </c>
      <c r="BM169" s="1413">
        <f t="shared" si="276"/>
        <v>52.990389575195316</v>
      </c>
      <c r="BN169" s="1413">
        <f t="shared" si="277"/>
        <v>40.552679166600001</v>
      </c>
      <c r="BO169" s="1413">
        <f t="shared" si="278"/>
        <v>36.724377993399997</v>
      </c>
      <c r="BP169" s="1413">
        <f t="shared" si="279"/>
        <v>34.655050295999999</v>
      </c>
      <c r="BQ169" s="949"/>
      <c r="BR169" s="1062"/>
      <c r="BS169" s="1058"/>
      <c r="BU169" s="922"/>
      <c r="BV169" s="921"/>
      <c r="BW169" s="921"/>
      <c r="BX169" s="921"/>
    </row>
    <row r="170" spans="2:76" ht="12.75" customHeight="1">
      <c r="C170" s="1457" t="s">
        <v>684</v>
      </c>
      <c r="D170" s="1189"/>
      <c r="E170" s="1127"/>
      <c r="F170" s="1128"/>
      <c r="G170" s="1592">
        <v>41.207070932539686</v>
      </c>
      <c r="H170" s="1593">
        <v>39.192001953125001</v>
      </c>
      <c r="I170" s="1593">
        <v>48.72686279296876</v>
      </c>
      <c r="J170" s="1594">
        <v>31.765543376865669</v>
      </c>
      <c r="K170" s="1592">
        <v>55.323972167968762</v>
      </c>
      <c r="L170" s="1593">
        <v>39.6252978515625</v>
      </c>
      <c r="M170" s="1593">
        <v>106.81442871093749</v>
      </c>
      <c r="N170" s="1594">
        <v>29.354828869047626</v>
      </c>
      <c r="O170" s="1592">
        <v>25.648288574218743</v>
      </c>
      <c r="P170" s="1593">
        <v>29.951386718749998</v>
      </c>
      <c r="Q170" s="1593">
        <v>31.210275297619049</v>
      </c>
      <c r="R170" s="1593">
        <v>28.586511230468751</v>
      </c>
      <c r="S170" s="1592">
        <v>28.708407738095232</v>
      </c>
      <c r="T170" s="1593">
        <v>36.230866699218758</v>
      </c>
      <c r="U170" s="1593">
        <v>40.352358398437502</v>
      </c>
      <c r="V170" s="1594">
        <v>36.304406738281251</v>
      </c>
      <c r="W170" s="1592">
        <v>59.069300595238097</v>
      </c>
      <c r="X170" s="1593">
        <v>41.673994140624984</v>
      </c>
      <c r="Y170" s="1593">
        <v>38.124675292968753</v>
      </c>
      <c r="Z170" s="1594">
        <v>34.437966308593751</v>
      </c>
      <c r="AA170" s="1592">
        <v>26.435344742063496</v>
      </c>
      <c r="AB170" s="1593">
        <v>27.865429687499994</v>
      </c>
      <c r="AC170" s="1593">
        <v>34.586947115384625</v>
      </c>
      <c r="AD170" s="1594">
        <v>23.201174316406249</v>
      </c>
      <c r="AE170" s="1592">
        <v>20.267778320312491</v>
      </c>
      <c r="AF170" s="1593">
        <v>22.831770019531245</v>
      </c>
      <c r="AG170" s="1595">
        <v>30.974855957031252</v>
      </c>
      <c r="AH170" s="1596">
        <v>28.905121527777784</v>
      </c>
      <c r="AI170" s="1595">
        <v>24.182224121093753</v>
      </c>
      <c r="AJ170" s="1595">
        <v>35.500275878906244</v>
      </c>
      <c r="AK170" s="1595">
        <v>30.679335317460314</v>
      </c>
      <c r="AL170" s="1596">
        <v>26.539970238095233</v>
      </c>
      <c r="AM170" s="1595">
        <v>33.080983886718748</v>
      </c>
      <c r="AN170" s="1595">
        <v>38.148666666666664</v>
      </c>
      <c r="AO170" s="1595">
        <v>119.77111666666667</v>
      </c>
      <c r="AP170" s="1596">
        <v>27.555766666666667</v>
      </c>
      <c r="AQ170" s="1595">
        <v>25.311841025847244</v>
      </c>
      <c r="AR170" s="1595">
        <v>26.536363358265632</v>
      </c>
      <c r="AS170" s="1595">
        <v>72.644761515096988</v>
      </c>
      <c r="AT170" s="1596">
        <v>44.901084100790143</v>
      </c>
      <c r="AU170" s="1595">
        <v>23.143193839184796</v>
      </c>
      <c r="AV170" s="1595">
        <v>24.262802550010321</v>
      </c>
      <c r="AW170" s="1595">
        <v>66.420763129337274</v>
      </c>
      <c r="AX170" s="1596">
        <v>41.054085788267628</v>
      </c>
      <c r="AY170" s="1595">
        <v>21.966120391696254</v>
      </c>
      <c r="AZ170" s="1595">
        <v>23.028785290261158</v>
      </c>
      <c r="BA170" s="1595">
        <v>63.042572669337098</v>
      </c>
      <c r="BB170" s="1844">
        <v>38.966056165905499</v>
      </c>
      <c r="BC170" s="954"/>
      <c r="BD170" s="954"/>
      <c r="BE170" s="1411">
        <f t="shared" si="268"/>
        <v>40.222869763874776</v>
      </c>
      <c r="BF170" s="1411">
        <f t="shared" si="269"/>
        <v>57.779631899879099</v>
      </c>
      <c r="BG170" s="1411">
        <f t="shared" si="270"/>
        <v>28.849115455264133</v>
      </c>
      <c r="BH170" s="1413">
        <f t="shared" si="271"/>
        <v>35.399009893508186</v>
      </c>
      <c r="BI170" s="1413">
        <f t="shared" si="272"/>
        <v>43.326484084356402</v>
      </c>
      <c r="BJ170" s="1413">
        <f t="shared" si="273"/>
        <v>28.02222396533859</v>
      </c>
      <c r="BK170" s="1413">
        <f t="shared" si="274"/>
        <v>25.744881456163192</v>
      </c>
      <c r="BL170" s="1413">
        <f t="shared" si="275"/>
        <v>29.225451388888885</v>
      </c>
      <c r="BM170" s="1413">
        <f t="shared" si="276"/>
        <v>54.639133471679685</v>
      </c>
      <c r="BN170" s="1413">
        <f t="shared" si="277"/>
        <v>42.348512499999998</v>
      </c>
      <c r="BO170" s="1413">
        <f t="shared" si="278"/>
        <v>38.720211326700003</v>
      </c>
      <c r="BP170" s="1413">
        <f t="shared" si="279"/>
        <v>36.750883629300006</v>
      </c>
      <c r="BQ170" s="949"/>
      <c r="BR170" s="1062"/>
      <c r="BS170" s="1058"/>
      <c r="BU170" s="922"/>
      <c r="BV170" s="921"/>
      <c r="BW170" s="921"/>
      <c r="BX170" s="921"/>
    </row>
    <row r="171" spans="2:76" ht="12.75" customHeight="1">
      <c r="C171" s="1457" t="s">
        <v>685</v>
      </c>
      <c r="D171" s="1189"/>
      <c r="E171" s="1130"/>
      <c r="F171" s="1128"/>
      <c r="G171" s="1592">
        <v>44.912666666666681</v>
      </c>
      <c r="H171" s="1593">
        <v>35.874838709677434</v>
      </c>
      <c r="I171" s="1593">
        <v>40.575468749999999</v>
      </c>
      <c r="J171" s="1594">
        <v>34.270317460317472</v>
      </c>
      <c r="K171" s="1592">
        <v>32.430468750000003</v>
      </c>
      <c r="L171" s="1593">
        <v>36.866093749999997</v>
      </c>
      <c r="M171" s="1593">
        <v>42.871093750000007</v>
      </c>
      <c r="N171" s="1594">
        <v>33.560156250000006</v>
      </c>
      <c r="O171" s="1592">
        <v>25.353281250000002</v>
      </c>
      <c r="P171" s="1593">
        <v>25.953076923076935</v>
      </c>
      <c r="Q171" s="1593">
        <v>36.29349206349206</v>
      </c>
      <c r="R171" s="1593">
        <v>31.014769230769229</v>
      </c>
      <c r="S171" s="1592">
        <v>32.511999999999993</v>
      </c>
      <c r="T171" s="1593">
        <v>38.131384615384611</v>
      </c>
      <c r="U171" s="1593">
        <v>42.04296875</v>
      </c>
      <c r="V171" s="1594">
        <v>37.624062500000001</v>
      </c>
      <c r="W171" s="1592">
        <v>47.590967741935479</v>
      </c>
      <c r="X171" s="1593">
        <v>42.762769230769244</v>
      </c>
      <c r="Y171" s="1593">
        <v>43.211212121212121</v>
      </c>
      <c r="Z171" s="1594">
        <v>36.127031249999987</v>
      </c>
      <c r="AA171" s="1592">
        <v>25.419180327868858</v>
      </c>
      <c r="AB171" s="1593">
        <v>26.831111111111106</v>
      </c>
      <c r="AC171" s="1593">
        <v>33.160312500000011</v>
      </c>
      <c r="AD171" s="1594">
        <v>23.980158730158735</v>
      </c>
      <c r="AE171" s="1592">
        <v>19.007377049180324</v>
      </c>
      <c r="AF171" s="1593">
        <v>22.532187499999996</v>
      </c>
      <c r="AG171" s="1595">
        <v>34.896093749999999</v>
      </c>
      <c r="AH171" s="1596">
        <v>25.215322580645164</v>
      </c>
      <c r="AI171" s="1595">
        <v>23.400322580645167</v>
      </c>
      <c r="AJ171" s="1595">
        <v>32.938906250000002</v>
      </c>
      <c r="AK171" s="1595">
        <v>44.240952380952386</v>
      </c>
      <c r="AL171" s="1596">
        <v>30.908548387096779</v>
      </c>
      <c r="AM171" s="1595">
        <v>26.38622950819672</v>
      </c>
      <c r="AN171" s="1595">
        <v>27.183333333333334</v>
      </c>
      <c r="AO171" s="1595">
        <v>42.599999999999994</v>
      </c>
      <c r="AP171" s="1596">
        <v>25.099999999999998</v>
      </c>
      <c r="AQ171" s="1595">
        <v>25.992977359392921</v>
      </c>
      <c r="AR171" s="1595">
        <v>25.589202953810119</v>
      </c>
      <c r="AS171" s="1595">
        <v>40.377440558280256</v>
      </c>
      <c r="AT171" s="1596">
        <v>30.457045794916699</v>
      </c>
      <c r="AU171" s="1595">
        <v>28.466645320489615</v>
      </c>
      <c r="AV171" s="1595">
        <v>28.024445004831527</v>
      </c>
      <c r="AW171" s="1595">
        <v>44.220031565809109</v>
      </c>
      <c r="AX171" s="1596">
        <v>33.355544775269749</v>
      </c>
      <c r="AY171" s="1595">
        <v>30.466105117398659</v>
      </c>
      <c r="AZ171" s="1595">
        <v>29.992845232079848</v>
      </c>
      <c r="BA171" s="1595">
        <v>47.325988531881407</v>
      </c>
      <c r="BB171" s="1844">
        <v>35.69839445184008</v>
      </c>
      <c r="BC171" s="954"/>
      <c r="BD171" s="954"/>
      <c r="BE171" s="1411">
        <f t="shared" si="268"/>
        <v>38.908322896665396</v>
      </c>
      <c r="BF171" s="1411">
        <f t="shared" si="269"/>
        <v>36.431953125</v>
      </c>
      <c r="BG171" s="1411">
        <f t="shared" si="270"/>
        <v>29.653654866834557</v>
      </c>
      <c r="BH171" s="1413">
        <f t="shared" si="271"/>
        <v>37.577603966346153</v>
      </c>
      <c r="BI171" s="1413">
        <f t="shared" si="272"/>
        <v>42.42299508597921</v>
      </c>
      <c r="BJ171" s="1413">
        <f t="shared" si="273"/>
        <v>27.347690667284677</v>
      </c>
      <c r="BK171" s="1413">
        <f t="shared" si="274"/>
        <v>25.412745219956371</v>
      </c>
      <c r="BL171" s="1413">
        <f t="shared" si="275"/>
        <v>32.872182399673584</v>
      </c>
      <c r="BM171" s="1413">
        <f t="shared" si="276"/>
        <v>30.317390710382512</v>
      </c>
      <c r="BN171" s="1413">
        <f t="shared" si="277"/>
        <v>30.604166666599998</v>
      </c>
      <c r="BO171" s="1413">
        <f t="shared" si="278"/>
        <v>33.516666666600003</v>
      </c>
      <c r="BP171" s="1413">
        <f t="shared" si="279"/>
        <v>35.870833333299998</v>
      </c>
      <c r="BQ171" s="949"/>
      <c r="BR171" s="1062"/>
      <c r="BS171" s="1058"/>
      <c r="BU171" s="922"/>
      <c r="BV171" s="921"/>
      <c r="BW171" s="921"/>
      <c r="BX171" s="921"/>
    </row>
    <row r="172" spans="2:76" ht="12.75" customHeight="1">
      <c r="C172" s="1457" t="s">
        <v>686</v>
      </c>
      <c r="D172" s="1189"/>
      <c r="E172" s="1127"/>
      <c r="F172" s="1128"/>
      <c r="G172" s="1592">
        <v>60.128553647202374</v>
      </c>
      <c r="H172" s="1593">
        <v>31.946377822646106</v>
      </c>
      <c r="I172" s="1593">
        <v>37.433810982142873</v>
      </c>
      <c r="J172" s="1594">
        <v>33.962447284902595</v>
      </c>
      <c r="K172" s="1592">
        <v>30.515116445312522</v>
      </c>
      <c r="L172" s="1593">
        <v>33.011711513798716</v>
      </c>
      <c r="M172" s="1593">
        <v>42.068564527191569</v>
      </c>
      <c r="N172" s="1594">
        <v>32.950429456168834</v>
      </c>
      <c r="O172" s="1592">
        <v>25.307843413149342</v>
      </c>
      <c r="P172" s="1593">
        <v>22.80274092532467</v>
      </c>
      <c r="Q172" s="1593">
        <v>35.896205914884867</v>
      </c>
      <c r="R172" s="1593">
        <v>42.475329612418847</v>
      </c>
      <c r="S172" s="1592">
        <v>42.911978651315792</v>
      </c>
      <c r="T172" s="1593">
        <v>45.579805629058441</v>
      </c>
      <c r="U172" s="1593">
        <v>48.084160511363628</v>
      </c>
      <c r="V172" s="1594">
        <v>45.337906345373376</v>
      </c>
      <c r="W172" s="1592">
        <v>53.600572129934207</v>
      </c>
      <c r="X172" s="1593">
        <v>40.900113140016224</v>
      </c>
      <c r="Y172" s="1593">
        <v>46.183565756087653</v>
      </c>
      <c r="Z172" s="1594">
        <v>41.445947460091979</v>
      </c>
      <c r="AA172" s="1592">
        <v>28.829850453771133</v>
      </c>
      <c r="AB172" s="1593">
        <v>29.03807379386982</v>
      </c>
      <c r="AC172" s="1593">
        <v>35.943119470128089</v>
      </c>
      <c r="AD172" s="1594">
        <v>32.371010031004026</v>
      </c>
      <c r="AE172" s="1592">
        <v>21.909217117018397</v>
      </c>
      <c r="AF172" s="1593">
        <v>21.147224745129879</v>
      </c>
      <c r="AG172" s="1595">
        <v>35.217113687499996</v>
      </c>
      <c r="AH172" s="1596">
        <v>32.804729900021115</v>
      </c>
      <c r="AI172" s="1595">
        <v>27.142658075794955</v>
      </c>
      <c r="AJ172" s="1595">
        <v>32.083006007440474</v>
      </c>
      <c r="AK172" s="1595">
        <v>43.369349766774882</v>
      </c>
      <c r="AL172" s="1596">
        <v>48.204032704495603</v>
      </c>
      <c r="AM172" s="1595">
        <v>34.474168695211048</v>
      </c>
      <c r="AN172" s="1595">
        <v>27.633333333333336</v>
      </c>
      <c r="AO172" s="1595">
        <v>46.35</v>
      </c>
      <c r="AP172" s="1596">
        <v>39.75</v>
      </c>
      <c r="AQ172" s="1595">
        <v>35.039319558003335</v>
      </c>
      <c r="AR172" s="1595">
        <v>25.220609132408999</v>
      </c>
      <c r="AS172" s="1595">
        <v>40.23746037155329</v>
      </c>
      <c r="AT172" s="1596">
        <v>42.319277604434383</v>
      </c>
      <c r="AU172" s="1595">
        <v>37.701310109094798</v>
      </c>
      <c r="AV172" s="1595">
        <v>27.136657276326481</v>
      </c>
      <c r="AW172" s="1595">
        <v>43.29436160879569</v>
      </c>
      <c r="AX172" s="1596">
        <v>45.534337672183035</v>
      </c>
      <c r="AY172" s="1595">
        <v>39.12839874558054</v>
      </c>
      <c r="AZ172" s="1595">
        <v>28.16384744874204</v>
      </c>
      <c r="BA172" s="1595">
        <v>44.93316119684799</v>
      </c>
      <c r="BB172" s="1844">
        <v>47.257925942029424</v>
      </c>
      <c r="BC172" s="954"/>
      <c r="BD172" s="954"/>
      <c r="BE172" s="1411">
        <f t="shared" si="268"/>
        <v>40.867797434223483</v>
      </c>
      <c r="BF172" s="1411">
        <f t="shared" si="269"/>
        <v>34.636455485617915</v>
      </c>
      <c r="BG172" s="1411">
        <f t="shared" si="270"/>
        <v>31.62052996644443</v>
      </c>
      <c r="BH172" s="1413">
        <f t="shared" si="271"/>
        <v>45.478462784277809</v>
      </c>
      <c r="BI172" s="1413">
        <f t="shared" si="272"/>
        <v>45.532549621532517</v>
      </c>
      <c r="BJ172" s="1413">
        <f t="shared" si="273"/>
        <v>31.545513437193271</v>
      </c>
      <c r="BK172" s="1413">
        <f t="shared" si="274"/>
        <v>27.769571362417349</v>
      </c>
      <c r="BL172" s="1413">
        <f t="shared" si="275"/>
        <v>37.699761638626477</v>
      </c>
      <c r="BM172" s="1413">
        <f t="shared" si="276"/>
        <v>37.051875507136096</v>
      </c>
      <c r="BN172" s="1413">
        <f t="shared" si="277"/>
        <v>35.704166666600003</v>
      </c>
      <c r="BO172" s="1413">
        <f>AVERAGE(AU172:AX172)</f>
        <v>38.416666666600001</v>
      </c>
      <c r="BP172" s="1413">
        <f>AVERAGE(AY172:BB172)</f>
        <v>39.870833333299998</v>
      </c>
      <c r="BQ172" s="949"/>
      <c r="BR172" s="1062"/>
      <c r="BS172" s="1058"/>
      <c r="BU172" s="922"/>
      <c r="BV172" s="921"/>
      <c r="BW172" s="921"/>
      <c r="BX172" s="921"/>
    </row>
    <row r="173" spans="2:76" ht="12.75" customHeight="1">
      <c r="C173" s="1457" t="s">
        <v>687</v>
      </c>
      <c r="D173" s="1189"/>
      <c r="E173" s="1127"/>
      <c r="F173" s="1128"/>
      <c r="G173" s="1592">
        <v>45.136661350916356</v>
      </c>
      <c r="H173" s="1593">
        <v>31.276324283685071</v>
      </c>
      <c r="I173" s="1593">
        <v>35.895895022321419</v>
      </c>
      <c r="J173" s="1594">
        <v>34.310879216720778</v>
      </c>
      <c r="K173" s="1592">
        <v>30.24114454975328</v>
      </c>
      <c r="L173" s="1593">
        <v>31.702068581574675</v>
      </c>
      <c r="M173" s="1593">
        <v>41.130466008522738</v>
      </c>
      <c r="N173" s="1594">
        <v>32.790118090503235</v>
      </c>
      <c r="O173" s="1592">
        <v>25.843621564529215</v>
      </c>
      <c r="P173" s="1593">
        <v>26.883430413961047</v>
      </c>
      <c r="Q173" s="1593">
        <v>32.092331157483542</v>
      </c>
      <c r="R173" s="1593">
        <v>35.354487767857144</v>
      </c>
      <c r="S173" s="1592">
        <v>38.341412275904609</v>
      </c>
      <c r="T173" s="1593">
        <v>53.221846702516224</v>
      </c>
      <c r="U173" s="1593">
        <v>43.118555716314944</v>
      </c>
      <c r="V173" s="1594">
        <v>47.006490310470774</v>
      </c>
      <c r="W173" s="1592">
        <v>54.453317212171072</v>
      </c>
      <c r="X173" s="1593">
        <v>43.800113599161243</v>
      </c>
      <c r="Y173" s="1593">
        <v>46.219888831825891</v>
      </c>
      <c r="Z173" s="1594">
        <v>42.75064843777055</v>
      </c>
      <c r="AA173" s="1592">
        <v>30.826490857906492</v>
      </c>
      <c r="AB173" s="1593">
        <v>36.661938962643021</v>
      </c>
      <c r="AC173" s="1593">
        <v>36.175045137228835</v>
      </c>
      <c r="AD173" s="1594">
        <v>31.309796634826355</v>
      </c>
      <c r="AE173" s="1592">
        <v>23.238426047889615</v>
      </c>
      <c r="AF173" s="1593">
        <v>25.958117773133125</v>
      </c>
      <c r="AG173" s="1595">
        <v>35.980332387929025</v>
      </c>
      <c r="AH173" s="1596">
        <v>36.942520320092108</v>
      </c>
      <c r="AI173" s="1595">
        <v>29.92399809991776</v>
      </c>
      <c r="AJ173" s="1595">
        <v>36.316399976055195</v>
      </c>
      <c r="AK173" s="1595">
        <v>47.946497504058435</v>
      </c>
      <c r="AL173" s="1596">
        <v>48.663296223684213</v>
      </c>
      <c r="AM173" s="1595">
        <v>34.379404778409103</v>
      </c>
      <c r="AN173" s="1595">
        <v>28.966666666666669</v>
      </c>
      <c r="AO173" s="1595">
        <v>44.1</v>
      </c>
      <c r="AP173" s="1596">
        <v>40.25</v>
      </c>
      <c r="AQ173" s="1595">
        <v>38.255538918101109</v>
      </c>
      <c r="AR173" s="1595">
        <v>29.023202192532711</v>
      </c>
      <c r="AS173" s="1595">
        <v>41.520011572445739</v>
      </c>
      <c r="AT173" s="1596">
        <v>42.017913983320447</v>
      </c>
      <c r="AU173" s="1595">
        <v>41.312092640925286</v>
      </c>
      <c r="AV173" s="1595">
        <v>31.342107616915317</v>
      </c>
      <c r="AW173" s="1595">
        <v>44.837391212950912</v>
      </c>
      <c r="AX173" s="1596">
        <v>45.375075195608474</v>
      </c>
      <c r="AY173" s="1595">
        <v>42.787524520994573</v>
      </c>
      <c r="AZ173" s="1595">
        <v>32.461468603261217</v>
      </c>
      <c r="BA173" s="1595">
        <v>46.438726613452779</v>
      </c>
      <c r="BB173" s="1844">
        <v>46.995613595491442</v>
      </c>
      <c r="BC173" s="954"/>
      <c r="BD173" s="954"/>
      <c r="BE173" s="1411">
        <f t="shared" si="268"/>
        <v>36.654939968410901</v>
      </c>
      <c r="BF173" s="1411">
        <f t="shared" si="269"/>
        <v>33.965949307588481</v>
      </c>
      <c r="BG173" s="1411">
        <f t="shared" si="270"/>
        <v>30.04346772595774</v>
      </c>
      <c r="BH173" s="1413">
        <f t="shared" si="271"/>
        <v>45.42207625130164</v>
      </c>
      <c r="BI173" s="1413">
        <f t="shared" si="272"/>
        <v>46.805992020232196</v>
      </c>
      <c r="BJ173" s="1413">
        <f t="shared" si="273"/>
        <v>33.743317898151176</v>
      </c>
      <c r="BK173" s="1413">
        <f t="shared" si="274"/>
        <v>30.529849132260971</v>
      </c>
      <c r="BL173" s="1413">
        <f t="shared" si="275"/>
        <v>40.712547950928908</v>
      </c>
      <c r="BM173" s="1413">
        <f t="shared" si="276"/>
        <v>36.924017861268943</v>
      </c>
      <c r="BN173" s="1413">
        <f t="shared" si="277"/>
        <v>37.704166666600003</v>
      </c>
      <c r="BO173" s="1413">
        <f t="shared" si="278"/>
        <v>40.716666666599998</v>
      </c>
      <c r="BP173" s="1413">
        <f t="shared" si="279"/>
        <v>42.170833333300003</v>
      </c>
      <c r="BQ173" s="949"/>
      <c r="BR173" s="1062"/>
      <c r="BS173" s="1058"/>
      <c r="BU173" s="922"/>
      <c r="BV173" s="921"/>
      <c r="BW173" s="921"/>
      <c r="BX173" s="921"/>
    </row>
    <row r="174" spans="2:76" ht="12.75" customHeight="1">
      <c r="C174" s="1457" t="s">
        <v>688</v>
      </c>
      <c r="D174" s="1189"/>
      <c r="E174" s="1189"/>
      <c r="F174" s="1128"/>
      <c r="G174" s="1592">
        <v>43.829666666666668</v>
      </c>
      <c r="H174" s="1593">
        <v>28.54564516129032</v>
      </c>
      <c r="I174" s="1593">
        <v>38.119531250000001</v>
      </c>
      <c r="J174" s="1594">
        <v>33.579047619047621</v>
      </c>
      <c r="K174" s="1592">
        <v>26.340468749999999</v>
      </c>
      <c r="L174" s="1593">
        <v>27.286249999999995</v>
      </c>
      <c r="M174" s="1593">
        <v>33.397500000000015</v>
      </c>
      <c r="N174" s="1594">
        <v>30.906093749999997</v>
      </c>
      <c r="O174" s="1592">
        <v>23.229218750000008</v>
      </c>
      <c r="P174" s="1593">
        <v>12.017692307692307</v>
      </c>
      <c r="Q174" s="1593">
        <v>26.9057142857143</v>
      </c>
      <c r="R174" s="1593">
        <v>29.446000000000005</v>
      </c>
      <c r="S174" s="1592">
        <v>30.320000000000007</v>
      </c>
      <c r="T174" s="1593">
        <v>33.439538461538454</v>
      </c>
      <c r="U174" s="1593">
        <v>42.477500000000006</v>
      </c>
      <c r="V174" s="1594">
        <v>43.603750000000005</v>
      </c>
      <c r="W174" s="1592">
        <v>47.446612903225798</v>
      </c>
      <c r="X174" s="1593">
        <v>33.838307692307687</v>
      </c>
      <c r="Y174" s="1593">
        <v>40.372878787878776</v>
      </c>
      <c r="Z174" s="1594">
        <v>32.739843750000006</v>
      </c>
      <c r="AA174" s="1592">
        <v>20.717049180327873</v>
      </c>
      <c r="AB174" s="1593">
        <v>28.650317460317464</v>
      </c>
      <c r="AC174" s="1593">
        <v>33.344531250000003</v>
      </c>
      <c r="AD174" s="1594">
        <v>21.909841269841273</v>
      </c>
      <c r="AE174" s="1592">
        <v>17.523114754098362</v>
      </c>
      <c r="AF174" s="1593">
        <v>16.668125</v>
      </c>
      <c r="AG174" s="1595">
        <v>32.027968749999999</v>
      </c>
      <c r="AH174" s="1596">
        <v>25.693387096774195</v>
      </c>
      <c r="AI174" s="1595">
        <v>23.318548387096779</v>
      </c>
      <c r="AJ174" s="1595">
        <v>16.274843750000002</v>
      </c>
      <c r="AK174" s="1595">
        <v>38.276507936507947</v>
      </c>
      <c r="AL174" s="1596">
        <v>27.148064516129033</v>
      </c>
      <c r="AM174" s="1595">
        <v>21.811311475409838</v>
      </c>
      <c r="AN174" s="1595">
        <v>13.183333333333332</v>
      </c>
      <c r="AO174" s="1595">
        <v>28.649999999999995</v>
      </c>
      <c r="AP174" s="1596">
        <v>23.75</v>
      </c>
      <c r="AQ174" s="1595">
        <v>27.40712890369376</v>
      </c>
      <c r="AR174" s="1595">
        <v>18.328876562466629</v>
      </c>
      <c r="AS174" s="1595">
        <v>32.290998834121375</v>
      </c>
      <c r="AT174" s="1596">
        <v>22.389662366118252</v>
      </c>
      <c r="AU174" s="1595">
        <v>30.859744810408912</v>
      </c>
      <c r="AV174" s="1595">
        <v>20.637858688765235</v>
      </c>
      <c r="AW174" s="1595">
        <v>36.358860761949288</v>
      </c>
      <c r="AX174" s="1596">
        <v>25.210202405276569</v>
      </c>
      <c r="AY174" s="1595">
        <v>33.047766221683759</v>
      </c>
      <c r="AZ174" s="1595">
        <v>22.101126676601996</v>
      </c>
      <c r="BA174" s="1595">
        <v>38.936781166847538</v>
      </c>
      <c r="BB174" s="1844">
        <v>26.997659268066712</v>
      </c>
      <c r="BC174" s="954"/>
      <c r="BD174" s="954"/>
      <c r="BE174" s="1411">
        <f t="shared" si="268"/>
        <v>36.018472674251157</v>
      </c>
      <c r="BF174" s="1411">
        <f t="shared" si="269"/>
        <v>29.482578125000003</v>
      </c>
      <c r="BG174" s="1411">
        <f t="shared" si="270"/>
        <v>22.899656335851652</v>
      </c>
      <c r="BH174" s="1413">
        <f t="shared" si="271"/>
        <v>37.460197115384616</v>
      </c>
      <c r="BI174" s="1413">
        <f t="shared" si="272"/>
        <v>38.599410783353065</v>
      </c>
      <c r="BJ174" s="1413">
        <f t="shared" si="273"/>
        <v>26.155434790121653</v>
      </c>
      <c r="BK174" s="1413">
        <f t="shared" si="274"/>
        <v>22.978148900218137</v>
      </c>
      <c r="BL174" s="1413">
        <f t="shared" si="275"/>
        <v>26.254491147433441</v>
      </c>
      <c r="BM174" s="1413">
        <f t="shared" si="276"/>
        <v>21.848661202185792</v>
      </c>
      <c r="BN174" s="1413">
        <f t="shared" si="277"/>
        <v>25.104166666600001</v>
      </c>
      <c r="BO174" s="1413">
        <f t="shared" si="278"/>
        <v>28.266666666600003</v>
      </c>
      <c r="BP174" s="1413">
        <f t="shared" si="279"/>
        <v>30.270833333300001</v>
      </c>
      <c r="BQ174" s="949"/>
      <c r="BR174" s="1062"/>
      <c r="BS174" s="1058"/>
      <c r="BU174" s="922"/>
      <c r="BV174" s="921"/>
      <c r="BW174" s="921"/>
      <c r="BX174" s="921"/>
    </row>
    <row r="175" spans="2:76" ht="12.75" customHeight="1">
      <c r="C175" s="1457"/>
      <c r="D175" s="1189"/>
      <c r="E175" s="1189"/>
      <c r="F175" s="1191"/>
      <c r="G175" s="1592">
        <v>0</v>
      </c>
      <c r="H175" s="1593">
        <v>0</v>
      </c>
      <c r="I175" s="1593">
        <v>0</v>
      </c>
      <c r="J175" s="1594">
        <v>26.057656249999997</v>
      </c>
      <c r="K175" s="1592">
        <v>44.045515136718748</v>
      </c>
      <c r="L175" s="1593">
        <v>32.527326660156241</v>
      </c>
      <c r="M175" s="1593">
        <v>107.99931884765626</v>
      </c>
      <c r="N175" s="1594">
        <v>25.141532738095243</v>
      </c>
      <c r="O175" s="1592">
        <v>22.386582031250001</v>
      </c>
      <c r="P175" s="1593">
        <v>30.746459960937493</v>
      </c>
      <c r="Q175" s="1593">
        <v>32.112728174603177</v>
      </c>
      <c r="R175" s="1593">
        <v>28.814428710937499</v>
      </c>
      <c r="S175" s="1592">
        <v>26.779603174603171</v>
      </c>
      <c r="T175" s="1595">
        <v>33.793859863281241</v>
      </c>
      <c r="U175" s="1595">
        <v>38.988039550781245</v>
      </c>
      <c r="V175" s="1596">
        <v>36.511301269531252</v>
      </c>
      <c r="W175" s="1595">
        <v>60.688715277777789</v>
      </c>
      <c r="X175" s="1595">
        <v>40.715671386718761</v>
      </c>
      <c r="Y175" s="1595">
        <v>37.175153808593763</v>
      </c>
      <c r="Z175" s="1596">
        <v>34.137402343750011</v>
      </c>
      <c r="AA175" s="1595">
        <v>26.590034722222224</v>
      </c>
      <c r="AB175" s="1595">
        <v>28.270329589843762</v>
      </c>
      <c r="AC175" s="1595">
        <v>35.146574519230789</v>
      </c>
      <c r="AD175" s="1596">
        <v>20.522995605468758</v>
      </c>
      <c r="AE175" s="1595">
        <v>18.654545898437501</v>
      </c>
      <c r="AF175" s="1595">
        <v>20.813508300781255</v>
      </c>
      <c r="AG175" s="1595">
        <v>30.13850830078125</v>
      </c>
      <c r="AH175" s="1596">
        <v>26.087876984126982</v>
      </c>
      <c r="AI175" s="1595">
        <v>21.219472656250005</v>
      </c>
      <c r="AJ175" s="1595">
        <v>26.678684082031253</v>
      </c>
      <c r="AK175" s="1595">
        <v>28.632579365079362</v>
      </c>
      <c r="AL175" s="1596">
        <v>23.46141865079365</v>
      </c>
      <c r="AM175" s="1595">
        <v>30.740278320312502</v>
      </c>
      <c r="AN175" s="1595">
        <v>33.448666666666668</v>
      </c>
      <c r="AO175" s="1595">
        <v>117.70445000000001</v>
      </c>
      <c r="AP175" s="1596">
        <v>24.139100000000003</v>
      </c>
      <c r="AQ175" s="1595">
        <v>21.658071060828828</v>
      </c>
      <c r="AR175" s="1595">
        <v>22.479432962685426</v>
      </c>
      <c r="AS175" s="1595">
        <v>68.504257165159913</v>
      </c>
      <c r="AT175" s="1596">
        <v>41.785622144525846</v>
      </c>
      <c r="AU175" s="1595">
        <v>19.257985044248056</v>
      </c>
      <c r="AV175" s="1595">
        <v>19.988325949375007</v>
      </c>
      <c r="AW175" s="1595">
        <v>60.912809651825292</v>
      </c>
      <c r="AX175" s="1596">
        <v>37.155057994951648</v>
      </c>
      <c r="AY175" s="1595">
        <v>17.900765357978706</v>
      </c>
      <c r="AZ175" s="1595">
        <v>18.579634987588069</v>
      </c>
      <c r="BA175" s="1595">
        <v>56.619937670904982</v>
      </c>
      <c r="BB175" s="1844">
        <v>34.536529834328249</v>
      </c>
      <c r="BC175" s="954"/>
      <c r="BD175" s="954"/>
      <c r="BE175" s="1411"/>
      <c r="BF175" s="1411"/>
      <c r="BG175" s="1411"/>
      <c r="BH175" s="1413"/>
      <c r="BI175" s="1413"/>
      <c r="BJ175" s="1413"/>
      <c r="BK175" s="1413"/>
      <c r="BL175" s="1413"/>
      <c r="BM175" s="1413"/>
      <c r="BN175" s="1413"/>
      <c r="BO175" s="1413"/>
      <c r="BP175" s="1413"/>
      <c r="BQ175" s="949"/>
      <c r="BR175" s="968"/>
      <c r="BU175" s="922"/>
      <c r="BV175" s="921"/>
      <c r="BW175" s="921"/>
      <c r="BX175" s="921"/>
    </row>
    <row r="176" spans="2:76" ht="12.75" customHeight="1">
      <c r="B176" s="1080"/>
      <c r="C176" s="1460" t="s">
        <v>792</v>
      </c>
      <c r="D176" s="1133"/>
      <c r="E176" s="1133"/>
      <c r="F176" s="1134"/>
      <c r="G176" s="1598"/>
      <c r="H176" s="1599"/>
      <c r="I176" s="1599"/>
      <c r="J176" s="1600"/>
      <c r="K176" s="1598"/>
      <c r="L176" s="1599"/>
      <c r="M176" s="1599"/>
      <c r="N176" s="1600"/>
      <c r="O176" s="1598"/>
      <c r="P176" s="1599"/>
      <c r="Q176" s="1599"/>
      <c r="R176" s="1599"/>
      <c r="S176" s="1606"/>
      <c r="T176" s="1601"/>
      <c r="U176" s="1601"/>
      <c r="V176" s="1603"/>
      <c r="W176" s="1601"/>
      <c r="X176" s="1601"/>
      <c r="Y176" s="1601"/>
      <c r="Z176" s="1603"/>
      <c r="AA176" s="1601"/>
      <c r="AB176" s="1604"/>
      <c r="AC176" s="1604"/>
      <c r="AD176" s="1605"/>
      <c r="AE176" s="1601"/>
      <c r="AF176" s="1604"/>
      <c r="AG176" s="1604"/>
      <c r="AH176" s="1605"/>
      <c r="AI176" s="1604"/>
      <c r="AJ176" s="1604"/>
      <c r="AK176" s="1604"/>
      <c r="AL176" s="1605"/>
      <c r="AM176" s="1604"/>
      <c r="AN176" s="1604"/>
      <c r="AO176" s="1604"/>
      <c r="AP176" s="1605"/>
      <c r="AQ176" s="1604"/>
      <c r="AR176" s="1604"/>
      <c r="AS176" s="1604"/>
      <c r="AT176" s="1605"/>
      <c r="AU176" s="1604"/>
      <c r="AV176" s="1604"/>
      <c r="AW176" s="1604"/>
      <c r="AX176" s="1605"/>
      <c r="AY176" s="1604"/>
      <c r="AZ176" s="1604"/>
      <c r="BA176" s="1604"/>
      <c r="BB176" s="1845"/>
      <c r="BC176" s="961"/>
      <c r="BD176" s="962"/>
      <c r="BE176" s="1412"/>
      <c r="BF176" s="1412"/>
      <c r="BG176" s="1412"/>
      <c r="BH176" s="1412"/>
      <c r="BI176" s="1412"/>
      <c r="BJ176" s="1415"/>
      <c r="BK176" s="1412"/>
      <c r="BL176" s="1412"/>
      <c r="BM176" s="1412"/>
      <c r="BN176" s="1412"/>
      <c r="BO176" s="1412"/>
      <c r="BP176" s="1412"/>
      <c r="BQ176" s="949"/>
      <c r="BR176" s="968"/>
      <c r="BU176" s="922"/>
      <c r="BV176" s="921"/>
      <c r="BW176" s="921"/>
      <c r="BX176" s="921"/>
    </row>
    <row r="177" spans="2:76" ht="12.75" customHeight="1">
      <c r="B177" s="1080"/>
      <c r="C177" s="1457" t="s">
        <v>674</v>
      </c>
      <c r="D177" s="1189"/>
      <c r="E177" s="1189"/>
      <c r="F177" s="1128"/>
      <c r="G177" s="1592">
        <v>44.804086956521751</v>
      </c>
      <c r="H177" s="1593">
        <v>38.409404761904753</v>
      </c>
      <c r="I177" s="1593">
        <v>41.222355072463778</v>
      </c>
      <c r="J177" s="1594">
        <v>42.090868115942037</v>
      </c>
      <c r="K177" s="1592">
        <v>51.30131863929148</v>
      </c>
      <c r="L177" s="1593">
        <v>37.850595238095231</v>
      </c>
      <c r="M177" s="1593">
        <v>39.460384963768135</v>
      </c>
      <c r="N177" s="1594">
        <v>32.516622101449258</v>
      </c>
      <c r="O177" s="1592">
        <v>27.601070632266282</v>
      </c>
      <c r="P177" s="1593">
        <v>22.926753663003662</v>
      </c>
      <c r="Q177" s="1593">
        <v>30.926911231884059</v>
      </c>
      <c r="R177" s="1593">
        <v>38.427999456521725</v>
      </c>
      <c r="S177" s="1592">
        <v>72.617844806763287</v>
      </c>
      <c r="T177" s="1593">
        <v>34.133154761904763</v>
      </c>
      <c r="U177" s="1593">
        <v>30.454148550724629</v>
      </c>
      <c r="V177" s="1594">
        <v>51.12213387681161</v>
      </c>
      <c r="W177" s="1593">
        <v>125.17613546698865</v>
      </c>
      <c r="X177" s="1593">
        <v>32.324491758241756</v>
      </c>
      <c r="Y177" s="1593">
        <v>26.776259057971</v>
      </c>
      <c r="Z177" s="1594">
        <v>31.050057065217377</v>
      </c>
      <c r="AA177" s="1593">
        <v>74.709404790660244</v>
      </c>
      <c r="AB177" s="1593">
        <v>18.747051282051284</v>
      </c>
      <c r="AC177" s="1593">
        <v>22.344044384057977</v>
      </c>
      <c r="AD177" s="1594">
        <v>20.198206884057964</v>
      </c>
      <c r="AE177" s="1593">
        <v>22.403306059882148</v>
      </c>
      <c r="AF177" s="1593">
        <v>18.611707875457874</v>
      </c>
      <c r="AG177" s="1595">
        <v>21.732721920289862</v>
      </c>
      <c r="AH177" s="1596">
        <v>28.745413949275392</v>
      </c>
      <c r="AI177" s="1595">
        <v>30.265937600644122</v>
      </c>
      <c r="AJ177" s="1595">
        <v>22.968333333333337</v>
      </c>
      <c r="AK177" s="1595">
        <v>19.421938405797103</v>
      </c>
      <c r="AL177" s="1596">
        <v>41.756125543478241</v>
      </c>
      <c r="AM177" s="1595">
        <v>55.496529991948492</v>
      </c>
      <c r="AN177" s="1595">
        <v>24.166666666666668</v>
      </c>
      <c r="AO177" s="1595">
        <v>23.3</v>
      </c>
      <c r="AP177" s="1596">
        <v>33.699999999999996</v>
      </c>
      <c r="AQ177" s="1595">
        <v>56.863680246618699</v>
      </c>
      <c r="AR177" s="1595">
        <v>22.402357917897525</v>
      </c>
      <c r="AS177" s="1595">
        <v>23.701528116853666</v>
      </c>
      <c r="AT177" s="1596">
        <v>32.932400385030085</v>
      </c>
      <c r="AU177" s="1595">
        <v>56.696324969164479</v>
      </c>
      <c r="AV177" s="1595">
        <v>22.336425624934453</v>
      </c>
      <c r="AW177" s="1595">
        <v>23.631772241101658</v>
      </c>
      <c r="AX177" s="1596">
        <v>32.8354771647994</v>
      </c>
      <c r="AY177" s="1595">
        <v>57.030965787007425</v>
      </c>
      <c r="AZ177" s="1595">
        <v>22.468262736826301</v>
      </c>
      <c r="BA177" s="1595">
        <v>23.771254925281653</v>
      </c>
      <c r="BB177" s="1844">
        <v>33.0292832172846</v>
      </c>
      <c r="BC177" s="954"/>
      <c r="BD177" s="954"/>
      <c r="BE177" s="1411">
        <f t="shared" ref="BE177:BE192" si="280">AVERAGE(G177:J177)</f>
        <v>41.631678726708081</v>
      </c>
      <c r="BF177" s="1411">
        <f t="shared" ref="BF177:BF192" si="281">AVERAGE(K177:N177)</f>
        <v>40.282230235651021</v>
      </c>
      <c r="BG177" s="1411">
        <f t="shared" ref="BG177:BG192" si="282">AVERAGE(O177:R177)</f>
        <v>29.970683745918933</v>
      </c>
      <c r="BH177" s="1411">
        <f t="shared" ref="BH177:BH192" si="283">AVERAGE(S177:V177)</f>
        <v>47.081820499051069</v>
      </c>
      <c r="BI177" s="1411">
        <f t="shared" ref="BI177:BI192" si="284">AVERAGE(W177:Z177)</f>
        <v>53.831735837104695</v>
      </c>
      <c r="BJ177" s="1411">
        <f t="shared" ref="BJ177:BJ192" si="285">AVERAGE(AA177:AD177)</f>
        <v>33.99967683520687</v>
      </c>
      <c r="BK177" s="1413">
        <f t="shared" ref="BK177:BK192" si="286">AVERAGE(AE177:AH177)</f>
        <v>22.873287451226318</v>
      </c>
      <c r="BL177" s="1413">
        <f t="shared" ref="BL177:BL192" si="287">AVERAGE(AI177:AL177)</f>
        <v>28.603083720813203</v>
      </c>
      <c r="BM177" s="1413">
        <f t="shared" ref="BM177:BM192" si="288">AVERAGE(AM177:AP177)</f>
        <v>34.165799164653791</v>
      </c>
      <c r="BN177" s="1413">
        <f t="shared" ref="BN177:BN192" si="289">AVERAGE(AQ177:AT177)</f>
        <v>33.974991666599998</v>
      </c>
      <c r="BO177" s="1413">
        <f t="shared" ref="BO177:BO192" si="290">AVERAGE(AU177:AX177)</f>
        <v>33.875</v>
      </c>
      <c r="BP177" s="1413">
        <f t="shared" ref="BP177:BP192" si="291">AVERAGE(AY177:BB177)</f>
        <v>34.074941666599997</v>
      </c>
      <c r="BQ177" s="949"/>
      <c r="BR177" s="969"/>
      <c r="BS177" s="970"/>
      <c r="BU177" s="922"/>
      <c r="BV177" s="921"/>
      <c r="BW177" s="921"/>
      <c r="BX177" s="921"/>
    </row>
    <row r="178" spans="2:76" ht="12.75" customHeight="1">
      <c r="B178" s="1080"/>
      <c r="C178" s="1457" t="s">
        <v>675</v>
      </c>
      <c r="D178" s="1189"/>
      <c r="E178" s="1189"/>
      <c r="F178" s="1128"/>
      <c r="G178" s="1592">
        <v>30.611880233494375</v>
      </c>
      <c r="H178" s="1593">
        <v>32.835989010988996</v>
      </c>
      <c r="I178" s="1593">
        <v>38.537432065217374</v>
      </c>
      <c r="J178" s="1594">
        <v>34.208417028985515</v>
      </c>
      <c r="K178" s="1592">
        <v>35.779313405797105</v>
      </c>
      <c r="L178" s="1593">
        <v>31.184803113553112</v>
      </c>
      <c r="M178" s="1593">
        <v>33.652490942028983</v>
      </c>
      <c r="N178" s="1594">
        <v>27.712640036231885</v>
      </c>
      <c r="O178" s="1592">
        <v>23.968829033285562</v>
      </c>
      <c r="P178" s="1593">
        <v>20.569913003663</v>
      </c>
      <c r="Q178" s="1593">
        <v>27.271308876811592</v>
      </c>
      <c r="R178" s="1593">
        <v>30.6151650362319</v>
      </c>
      <c r="S178" s="1592">
        <v>35.609952294685982</v>
      </c>
      <c r="T178" s="1593">
        <v>28.352330586080591</v>
      </c>
      <c r="U178" s="1593">
        <v>26.087404891304349</v>
      </c>
      <c r="V178" s="1594">
        <v>29.252230615942018</v>
      </c>
      <c r="W178" s="1593">
        <v>74.738565619967801</v>
      </c>
      <c r="X178" s="1593">
        <v>27.261304945054935</v>
      </c>
      <c r="Y178" s="1593">
        <v>23.849180253623189</v>
      </c>
      <c r="Z178" s="1594">
        <v>21.799227355072471</v>
      </c>
      <c r="AA178" s="1593">
        <v>37.643325281803556</v>
      </c>
      <c r="AB178" s="1593">
        <v>18.227133699633701</v>
      </c>
      <c r="AC178" s="1593">
        <v>20.449230072463759</v>
      </c>
      <c r="AD178" s="1594">
        <v>14.298236956521748</v>
      </c>
      <c r="AE178" s="1593">
        <v>13.624288899506292</v>
      </c>
      <c r="AF178" s="1593">
        <v>15.5952152014652</v>
      </c>
      <c r="AG178" s="1595">
        <v>19.290855978260876</v>
      </c>
      <c r="AH178" s="1596">
        <v>17.244110869565226</v>
      </c>
      <c r="AI178" s="1595">
        <v>19.385393719806771</v>
      </c>
      <c r="AJ178" s="1595">
        <v>14.500613553113546</v>
      </c>
      <c r="AK178" s="1595">
        <v>17.318980978260868</v>
      </c>
      <c r="AL178" s="1596">
        <v>19.652653804347828</v>
      </c>
      <c r="AM178" s="1595">
        <v>32.735488727858289</v>
      </c>
      <c r="AN178" s="1595">
        <v>32.93333333333333</v>
      </c>
      <c r="AO178" s="1595">
        <v>29.3</v>
      </c>
      <c r="AP178" s="1596">
        <v>33.083333333333336</v>
      </c>
      <c r="AQ178" s="1595">
        <v>50.208915257706202</v>
      </c>
      <c r="AR178" s="1595">
        <v>32.014743875122768</v>
      </c>
      <c r="AS178" s="1595">
        <v>27.396223447236203</v>
      </c>
      <c r="AT178" s="1596">
        <v>24.304750753134826</v>
      </c>
      <c r="AU178" s="1595">
        <v>49.683624405377643</v>
      </c>
      <c r="AV178" s="1595">
        <v>31.679802321198988</v>
      </c>
      <c r="AW178" s="1595">
        <v>27.109601330599784</v>
      </c>
      <c r="AX178" s="1596">
        <v>24.050471942823588</v>
      </c>
      <c r="AY178" s="1595">
        <v>49.75851777917272</v>
      </c>
      <c r="AZ178" s="1595">
        <v>31.727556632712918</v>
      </c>
      <c r="BA178" s="1595">
        <v>27.150466495534658</v>
      </c>
      <c r="BB178" s="1844">
        <v>24.0867257589797</v>
      </c>
      <c r="BC178" s="954"/>
      <c r="BD178" s="954"/>
      <c r="BE178" s="1411">
        <f t="shared" si="280"/>
        <v>34.048429584671567</v>
      </c>
      <c r="BF178" s="1411">
        <f t="shared" si="281"/>
        <v>32.08231187440277</v>
      </c>
      <c r="BG178" s="1411">
        <f t="shared" si="282"/>
        <v>25.606303987498013</v>
      </c>
      <c r="BH178" s="1411">
        <f t="shared" si="283"/>
        <v>29.825479597003238</v>
      </c>
      <c r="BI178" s="1411">
        <f t="shared" si="284"/>
        <v>36.912069543429595</v>
      </c>
      <c r="BJ178" s="1411">
        <f t="shared" si="285"/>
        <v>22.654481502605691</v>
      </c>
      <c r="BK178" s="1413">
        <f t="shared" si="286"/>
        <v>16.438617737199401</v>
      </c>
      <c r="BL178" s="1413">
        <f t="shared" si="287"/>
        <v>17.714410513882253</v>
      </c>
      <c r="BM178" s="1413">
        <f t="shared" si="288"/>
        <v>32.01303884863124</v>
      </c>
      <c r="BN178" s="1413">
        <f t="shared" si="289"/>
        <v>33.481158333300002</v>
      </c>
      <c r="BO178" s="1413">
        <f t="shared" si="290"/>
        <v>33.130875000000003</v>
      </c>
      <c r="BP178" s="1413">
        <f t="shared" si="291"/>
        <v>33.180816666600002</v>
      </c>
      <c r="BQ178" s="949"/>
      <c r="BR178" s="969"/>
      <c r="BS178" s="970"/>
      <c r="BU178" s="922"/>
      <c r="BV178" s="921"/>
      <c r="BW178" s="921"/>
      <c r="BX178" s="921"/>
    </row>
    <row r="179" spans="2:76" ht="12.75" customHeight="1">
      <c r="B179" s="1080"/>
      <c r="C179" s="1457" t="s">
        <v>676</v>
      </c>
      <c r="D179" s="1189"/>
      <c r="E179" s="1189"/>
      <c r="F179" s="1128"/>
      <c r="G179" s="1592">
        <v>42.842352657004845</v>
      </c>
      <c r="H179" s="1593">
        <v>38.993859890109889</v>
      </c>
      <c r="I179" s="1593">
        <v>43.926820652173916</v>
      </c>
      <c r="J179" s="1594">
        <v>40.879857427536237</v>
      </c>
      <c r="K179" s="1592">
        <v>49.229429347826084</v>
      </c>
      <c r="L179" s="1593">
        <v>35.886799450549439</v>
      </c>
      <c r="M179" s="1593">
        <v>39.740421195652168</v>
      </c>
      <c r="N179" s="1594">
        <v>30.484731521739121</v>
      </c>
      <c r="O179" s="1592">
        <v>27.569314580347193</v>
      </c>
      <c r="P179" s="1593">
        <v>22.281291208791199</v>
      </c>
      <c r="Q179" s="1593">
        <v>30.822210144927531</v>
      </c>
      <c r="R179" s="1593">
        <v>36.205649818840577</v>
      </c>
      <c r="S179" s="1592">
        <v>56.707361111111105</v>
      </c>
      <c r="T179" s="1593">
        <v>33.444134615384613</v>
      </c>
      <c r="U179" s="1593">
        <v>31.241820652173907</v>
      </c>
      <c r="V179" s="1594">
        <v>36.510255434782614</v>
      </c>
      <c r="W179" s="1593">
        <v>104.25991747181963</v>
      </c>
      <c r="X179" s="1593">
        <v>30.387303113553116</v>
      </c>
      <c r="Y179" s="1593">
        <v>25.834510869565232</v>
      </c>
      <c r="Z179" s="1594">
        <v>26.259342210144922</v>
      </c>
      <c r="AA179" s="1593">
        <v>58.731627415458931</v>
      </c>
      <c r="AB179" s="1593">
        <v>19.32760989010988</v>
      </c>
      <c r="AC179" s="1593">
        <v>22.11728713768116</v>
      </c>
      <c r="AD179" s="1594">
        <v>17.28061014492754</v>
      </c>
      <c r="AE179" s="1593">
        <v>20.397999084249086</v>
      </c>
      <c r="AF179" s="1593">
        <v>19.320544871794873</v>
      </c>
      <c r="AG179" s="1595">
        <v>22.198464673913044</v>
      </c>
      <c r="AH179" s="1596">
        <v>25.744134963768118</v>
      </c>
      <c r="AI179" s="1595">
        <v>29.326884259259263</v>
      </c>
      <c r="AJ179" s="1595">
        <v>21.279184981684978</v>
      </c>
      <c r="AK179" s="1595">
        <v>19.207495471014489</v>
      </c>
      <c r="AL179" s="1596">
        <v>28.660226630434785</v>
      </c>
      <c r="AM179" s="1595">
        <v>44.676771739130423</v>
      </c>
      <c r="AN179" s="1595">
        <v>38.200000000000003</v>
      </c>
      <c r="AO179" s="1595">
        <v>32.6</v>
      </c>
      <c r="AP179" s="1596">
        <v>41.800000000000004</v>
      </c>
      <c r="AQ179" s="1595">
        <v>67.7166668198211</v>
      </c>
      <c r="AR179" s="1595">
        <v>38.042079509049643</v>
      </c>
      <c r="AS179" s="1595">
        <v>31.175086966580828</v>
      </c>
      <c r="AT179" s="1596">
        <v>28.982800037748426</v>
      </c>
      <c r="AU179" s="1595">
        <v>68.226851296430993</v>
      </c>
      <c r="AV179" s="1595">
        <v>38.328692529668608</v>
      </c>
      <c r="AW179" s="1595">
        <v>31.409963344498731</v>
      </c>
      <c r="AX179" s="1596">
        <v>29.201159495801665</v>
      </c>
      <c r="AY179" s="1595">
        <v>68.716520101812705</v>
      </c>
      <c r="AZ179" s="1595">
        <v>38.603780192754527</v>
      </c>
      <c r="BA179" s="1595">
        <v>31.635394812252667</v>
      </c>
      <c r="BB179" s="1844">
        <v>29.410738226380104</v>
      </c>
      <c r="BC179" s="954"/>
      <c r="BD179" s="954"/>
      <c r="BE179" s="1411">
        <f t="shared" si="280"/>
        <v>41.660722656706227</v>
      </c>
      <c r="BF179" s="1411">
        <f t="shared" si="281"/>
        <v>38.835345378941703</v>
      </c>
      <c r="BG179" s="1411">
        <f t="shared" si="282"/>
        <v>29.219616438226623</v>
      </c>
      <c r="BH179" s="1411">
        <f t="shared" si="283"/>
        <v>39.475892953363058</v>
      </c>
      <c r="BI179" s="1411">
        <f t="shared" si="284"/>
        <v>46.685268416270723</v>
      </c>
      <c r="BJ179" s="1411">
        <f t="shared" si="285"/>
        <v>29.364283647044378</v>
      </c>
      <c r="BK179" s="1413">
        <f t="shared" si="286"/>
        <v>21.915285898431279</v>
      </c>
      <c r="BL179" s="1413">
        <f t="shared" si="287"/>
        <v>24.618447835598374</v>
      </c>
      <c r="BM179" s="1413">
        <f t="shared" si="288"/>
        <v>39.319192934782606</v>
      </c>
      <c r="BN179" s="1413">
        <f t="shared" si="289"/>
        <v>41.479158333299999</v>
      </c>
      <c r="BO179" s="1413">
        <f>AVERAGE(AU179:AX179)</f>
        <v>41.791666666600001</v>
      </c>
      <c r="BP179" s="1413">
        <f>AVERAGE(AY179:BB179)</f>
        <v>42.091608333300002</v>
      </c>
      <c r="BQ179" s="949"/>
      <c r="BR179" s="969"/>
      <c r="BS179" s="970"/>
      <c r="BU179" s="922"/>
      <c r="BV179" s="921"/>
      <c r="BW179" s="921"/>
      <c r="BX179" s="921"/>
    </row>
    <row r="180" spans="2:76" ht="12.75" customHeight="1">
      <c r="B180" s="1080"/>
      <c r="C180" s="1459" t="s">
        <v>677</v>
      </c>
      <c r="D180" s="1189"/>
      <c r="E180" s="1189"/>
      <c r="F180" s="1128"/>
      <c r="G180" s="1592">
        <v>43.763039855072456</v>
      </c>
      <c r="H180" s="1593">
        <v>41.705434981684988</v>
      </c>
      <c r="I180" s="1593">
        <v>47.003220108695643</v>
      </c>
      <c r="J180" s="1594">
        <v>41.219209057971007</v>
      </c>
      <c r="K180" s="1592">
        <v>51.080749798711743</v>
      </c>
      <c r="L180" s="1593">
        <v>37.080599816849826</v>
      </c>
      <c r="M180" s="1593">
        <v>42.037432065217381</v>
      </c>
      <c r="N180" s="1594">
        <v>30.768373369565197</v>
      </c>
      <c r="O180" s="1592">
        <v>28.248588549132045</v>
      </c>
      <c r="P180" s="1593">
        <v>22.741620879120877</v>
      </c>
      <c r="Q180" s="1593">
        <v>32.049044384057972</v>
      </c>
      <c r="R180" s="1593">
        <v>36.959637137681163</v>
      </c>
      <c r="S180" s="1592">
        <v>58.074166062801964</v>
      </c>
      <c r="T180" s="1593">
        <v>34.010100732600726</v>
      </c>
      <c r="U180" s="1593">
        <v>33.497015398550722</v>
      </c>
      <c r="V180" s="1594">
        <v>35.902980434782606</v>
      </c>
      <c r="W180" s="1593">
        <v>104.53095511272141</v>
      </c>
      <c r="X180" s="1593">
        <v>30.633470695970686</v>
      </c>
      <c r="Y180" s="1593">
        <v>26.27728260869565</v>
      </c>
      <c r="Z180" s="1594">
        <v>26.346719927536238</v>
      </c>
      <c r="AA180" s="1593">
        <v>59.086149154589357</v>
      </c>
      <c r="AB180" s="1593">
        <v>19.830306776556778</v>
      </c>
      <c r="AC180" s="1593">
        <v>23.797971014492759</v>
      </c>
      <c r="AD180" s="1594">
        <v>17.491895833333331</v>
      </c>
      <c r="AE180" s="1593">
        <v>21.25929785793916</v>
      </c>
      <c r="AF180" s="1593">
        <v>20.53872252747253</v>
      </c>
      <c r="AG180" s="1595">
        <v>24.140729166666659</v>
      </c>
      <c r="AH180" s="1596">
        <v>25.848853442028986</v>
      </c>
      <c r="AI180" s="1595">
        <v>29.471096215781014</v>
      </c>
      <c r="AJ180" s="1595">
        <v>22.852271062271065</v>
      </c>
      <c r="AK180" s="1595">
        <v>20.054769021739126</v>
      </c>
      <c r="AL180" s="1596">
        <v>29.040597463768133</v>
      </c>
      <c r="AM180" s="1595">
        <v>46.970595410628015</v>
      </c>
      <c r="AN180" s="1595">
        <v>39.85</v>
      </c>
      <c r="AO180" s="1595">
        <v>34.283333333333331</v>
      </c>
      <c r="AP180" s="1596">
        <v>43.066666666666663</v>
      </c>
      <c r="AQ180" s="1595">
        <v>70.748332973984347</v>
      </c>
      <c r="AR180" s="1595">
        <v>40.060601265759729</v>
      </c>
      <c r="AS180" s="1595">
        <v>33.256854743843881</v>
      </c>
      <c r="AT180" s="1596">
        <v>29.784177682812054</v>
      </c>
      <c r="AU180" s="1595">
        <v>71.419814884174826</v>
      </c>
      <c r="AV180" s="1595">
        <v>40.440821801432321</v>
      </c>
      <c r="AW180" s="1595">
        <v>33.572500009415513</v>
      </c>
      <c r="AX180" s="1596">
        <v>30.066863304977336</v>
      </c>
      <c r="AY180" s="1595">
        <v>72.233620953267874</v>
      </c>
      <c r="AZ180" s="1595">
        <v>40.901632100009685</v>
      </c>
      <c r="BA180" s="1595">
        <v>33.955047966261908</v>
      </c>
      <c r="BB180" s="1844">
        <v>30.409465646860522</v>
      </c>
      <c r="BC180" s="954"/>
      <c r="BD180" s="954"/>
      <c r="BE180" s="1411">
        <f t="shared" si="280"/>
        <v>43.422726000856024</v>
      </c>
      <c r="BF180" s="1411">
        <f t="shared" si="281"/>
        <v>40.24178876258604</v>
      </c>
      <c r="BG180" s="1411">
        <f t="shared" si="282"/>
        <v>29.999722737498018</v>
      </c>
      <c r="BH180" s="1411">
        <f t="shared" si="283"/>
        <v>40.371065657184005</v>
      </c>
      <c r="BI180" s="1411">
        <f t="shared" si="284"/>
        <v>46.947107086231</v>
      </c>
      <c r="BJ180" s="1411">
        <f t="shared" si="285"/>
        <v>30.051580694743055</v>
      </c>
      <c r="BK180" s="1413">
        <f t="shared" si="286"/>
        <v>22.946900748526833</v>
      </c>
      <c r="BL180" s="1413">
        <f t="shared" si="287"/>
        <v>25.354683440889836</v>
      </c>
      <c r="BM180" s="1413">
        <f t="shared" si="288"/>
        <v>41.042648852657003</v>
      </c>
      <c r="BN180" s="1413">
        <f t="shared" si="289"/>
        <v>43.462491666600002</v>
      </c>
      <c r="BO180" s="1413">
        <f t="shared" si="290"/>
        <v>43.875</v>
      </c>
      <c r="BP180" s="1413">
        <f t="shared" si="291"/>
        <v>44.374941666599995</v>
      </c>
      <c r="BQ180" s="949"/>
      <c r="BR180" s="969"/>
      <c r="BS180" s="970"/>
      <c r="BU180" s="922"/>
      <c r="BV180" s="921"/>
      <c r="BW180" s="921"/>
      <c r="BX180" s="921"/>
    </row>
    <row r="181" spans="2:76" ht="12.75" customHeight="1">
      <c r="B181" s="1080"/>
      <c r="C181" s="1459" t="s">
        <v>678</v>
      </c>
      <c r="D181" s="1189"/>
      <c r="E181" s="1189"/>
      <c r="F181" s="1128"/>
      <c r="G181" s="1592">
        <v>39.448182602375198</v>
      </c>
      <c r="H181" s="1593">
        <v>32.95930132783883</v>
      </c>
      <c r="I181" s="1593">
        <v>37.786714411684756</v>
      </c>
      <c r="J181" s="1594">
        <v>38.127121226902197</v>
      </c>
      <c r="K181" s="1592">
        <v>40.858928955797097</v>
      </c>
      <c r="L181" s="1593">
        <v>33.916098321428571</v>
      </c>
      <c r="M181" s="1593">
        <v>34.068597563405802</v>
      </c>
      <c r="N181" s="1594">
        <v>31.114616296105076</v>
      </c>
      <c r="O181" s="1592">
        <v>27.303063772177097</v>
      </c>
      <c r="P181" s="1593">
        <v>22.034301452838829</v>
      </c>
      <c r="Q181" s="1593">
        <v>26.919559772644931</v>
      </c>
      <c r="R181" s="1593">
        <v>30.869201327717395</v>
      </c>
      <c r="S181" s="1592">
        <v>33.486062323832535</v>
      </c>
      <c r="T181" s="1593">
        <v>29.612168522893782</v>
      </c>
      <c r="U181" s="1593">
        <v>28.466996774909425</v>
      </c>
      <c r="V181" s="1594">
        <v>31.005893446105066</v>
      </c>
      <c r="W181" s="1593">
        <v>78.280771197463764</v>
      </c>
      <c r="X181" s="1593">
        <v>30.680673397435903</v>
      </c>
      <c r="Y181" s="1593">
        <v>27.413026009963772</v>
      </c>
      <c r="Z181" s="1594">
        <v>29.952876293025369</v>
      </c>
      <c r="AA181" s="1593">
        <v>44.217764477254434</v>
      </c>
      <c r="AB181" s="1593">
        <v>25.028568056318672</v>
      </c>
      <c r="AC181" s="1593">
        <v>23.224815237318836</v>
      </c>
      <c r="AD181" s="1594">
        <v>22.109061745018124</v>
      </c>
      <c r="AE181" s="1593">
        <v>23.988923446826721</v>
      </c>
      <c r="AF181" s="1593">
        <v>21.266628026098903</v>
      </c>
      <c r="AG181" s="1595">
        <v>22.910100094655796</v>
      </c>
      <c r="AH181" s="1596">
        <v>25.259746692934794</v>
      </c>
      <c r="AI181" s="1595">
        <v>27.075569670692435</v>
      </c>
      <c r="AJ181" s="1595">
        <v>22.121270426282045</v>
      </c>
      <c r="AK181" s="1595">
        <v>21.948979516304348</v>
      </c>
      <c r="AL181" s="1596">
        <v>28.679605414130428</v>
      </c>
      <c r="AM181" s="1595">
        <v>43.803590137359109</v>
      </c>
      <c r="AN181" s="1595">
        <v>24.95</v>
      </c>
      <c r="AO181" s="1595">
        <v>24.783333333333331</v>
      </c>
      <c r="AP181" s="1596">
        <v>25.683333333333334</v>
      </c>
      <c r="AQ181" s="1595">
        <v>32.710239316820804</v>
      </c>
      <c r="AR181" s="1595">
        <v>20.631697104333988</v>
      </c>
      <c r="AS181" s="1595">
        <v>20.527571740433242</v>
      </c>
      <c r="AT181" s="1596">
        <v>31.93845850481198</v>
      </c>
      <c r="AU181" s="1595">
        <v>32.33891227956417</v>
      </c>
      <c r="AV181" s="1595">
        <v>20.397485826173483</v>
      </c>
      <c r="AW181" s="1595">
        <v>20.29454249467874</v>
      </c>
      <c r="AX181" s="1596">
        <v>31.575892732783615</v>
      </c>
      <c r="AY181" s="1595">
        <v>32.400669590326544</v>
      </c>
      <c r="AZ181" s="1595">
        <v>20.436438709314643</v>
      </c>
      <c r="BA181" s="1595">
        <v>20.333298787926616</v>
      </c>
      <c r="BB181" s="1844">
        <v>31.636192912432207</v>
      </c>
      <c r="BC181" s="954"/>
      <c r="BD181" s="954"/>
      <c r="BE181" s="1411">
        <f t="shared" si="280"/>
        <v>37.080329892200247</v>
      </c>
      <c r="BF181" s="1411">
        <f t="shared" si="281"/>
        <v>34.989560284184137</v>
      </c>
      <c r="BG181" s="1411">
        <f t="shared" si="282"/>
        <v>26.781531581344563</v>
      </c>
      <c r="BH181" s="1411">
        <f t="shared" si="283"/>
        <v>30.642780266935201</v>
      </c>
      <c r="BI181" s="1411">
        <f t="shared" si="284"/>
        <v>41.581836724472197</v>
      </c>
      <c r="BJ181" s="1411">
        <f t="shared" si="285"/>
        <v>28.645052378977518</v>
      </c>
      <c r="BK181" s="1413">
        <f t="shared" si="286"/>
        <v>23.356349565129054</v>
      </c>
      <c r="BL181" s="1413">
        <f t="shared" si="287"/>
        <v>24.956356256852317</v>
      </c>
      <c r="BM181" s="1413">
        <f t="shared" si="288"/>
        <v>29.805064201006445</v>
      </c>
      <c r="BN181" s="1413">
        <f t="shared" si="289"/>
        <v>26.451991666600001</v>
      </c>
      <c r="BO181" s="1413">
        <f t="shared" si="290"/>
        <v>26.1517083333</v>
      </c>
      <c r="BP181" s="1413">
        <f t="shared" si="291"/>
        <v>26.201650000000004</v>
      </c>
      <c r="BQ181" s="949"/>
      <c r="BR181" s="969"/>
      <c r="BS181" s="970"/>
      <c r="BU181" s="922"/>
      <c r="BV181" s="921"/>
      <c r="BW181" s="921"/>
      <c r="BX181" s="921"/>
    </row>
    <row r="182" spans="2:76" ht="12.75" customHeight="1">
      <c r="B182" s="1080"/>
      <c r="C182" s="1459" t="s">
        <v>601</v>
      </c>
      <c r="D182" s="1189"/>
      <c r="E182" s="1189"/>
      <c r="F182" s="1128"/>
      <c r="G182" s="1592">
        <v>43.12788123345409</v>
      </c>
      <c r="H182" s="1593">
        <v>35.696539456043951</v>
      </c>
      <c r="I182" s="1593">
        <v>41.941960537590575</v>
      </c>
      <c r="J182" s="1594">
        <v>39.099061662771746</v>
      </c>
      <c r="K182" s="1592">
        <v>45.558643104669883</v>
      </c>
      <c r="L182" s="1593">
        <v>35.489017982600728</v>
      </c>
      <c r="M182" s="1593">
        <v>37.110367609148561</v>
      </c>
      <c r="N182" s="1594">
        <v>30.853395797826089</v>
      </c>
      <c r="O182" s="1592">
        <v>28.838922174609813</v>
      </c>
      <c r="P182" s="1593">
        <v>21.591528022435909</v>
      </c>
      <c r="Q182" s="1593">
        <v>30.122786553894926</v>
      </c>
      <c r="R182" s="1593">
        <v>32.447619825815202</v>
      </c>
      <c r="S182" s="1592">
        <v>34.55972632302737</v>
      </c>
      <c r="T182" s="1593">
        <v>31.325106590201472</v>
      </c>
      <c r="U182" s="1593">
        <v>30.007325350543471</v>
      </c>
      <c r="V182" s="1594">
        <v>32.19676385769926</v>
      </c>
      <c r="W182" s="1593">
        <v>90.786707820652168</v>
      </c>
      <c r="X182" s="1593">
        <v>30.634786767857143</v>
      </c>
      <c r="Y182" s="1593">
        <v>26.507552103713767</v>
      </c>
      <c r="Z182" s="1594">
        <v>37.660706784782626</v>
      </c>
      <c r="AA182" s="1593">
        <v>52.91501483514493</v>
      </c>
      <c r="AB182" s="1593">
        <v>25.152664907509156</v>
      </c>
      <c r="AC182" s="1593">
        <v>20.837114357789854</v>
      </c>
      <c r="AD182" s="1594">
        <v>25.347991754166664</v>
      </c>
      <c r="AE182" s="1593">
        <v>25.346020121237455</v>
      </c>
      <c r="AF182" s="1593">
        <v>19.254250642399267</v>
      </c>
      <c r="AG182" s="1595">
        <v>21.072814450181166</v>
      </c>
      <c r="AH182" s="1596">
        <v>21.316599519927536</v>
      </c>
      <c r="AI182" s="1595">
        <v>29.336510980555559</v>
      </c>
      <c r="AJ182" s="1595">
        <v>21.736222810439564</v>
      </c>
      <c r="AK182" s="1595">
        <v>19.181085373188402</v>
      </c>
      <c r="AL182" s="1596">
        <v>33.856300585507235</v>
      </c>
      <c r="AM182" s="1595">
        <v>46.651077805173117</v>
      </c>
      <c r="AN182" s="1595">
        <v>25.158666666666665</v>
      </c>
      <c r="AO182" s="1595">
        <v>25.266666666666666</v>
      </c>
      <c r="AP182" s="1596">
        <v>25.499833333333331</v>
      </c>
      <c r="AQ182" s="1595">
        <v>37.348531597794079</v>
      </c>
      <c r="AR182" s="1595">
        <v>20.745010650110846</v>
      </c>
      <c r="AS182" s="1595">
        <v>21.194398638146534</v>
      </c>
      <c r="AT182" s="1596">
        <v>30.991359113948537</v>
      </c>
      <c r="AU182" s="1595">
        <v>37.020764656216237</v>
      </c>
      <c r="AV182" s="1595">
        <v>20.562954531626438</v>
      </c>
      <c r="AW182" s="1595">
        <v>21.008398736061569</v>
      </c>
      <c r="AX182" s="1596">
        <v>30.719382076095741</v>
      </c>
      <c r="AY182" s="1595">
        <v>37.359357818581813</v>
      </c>
      <c r="AZ182" s="1595">
        <v>20.751024007421933</v>
      </c>
      <c r="BA182" s="1595">
        <v>21.200542259576977</v>
      </c>
      <c r="BB182" s="1844">
        <v>31.000342580819272</v>
      </c>
      <c r="BC182" s="954"/>
      <c r="BD182" s="954"/>
      <c r="BE182" s="1411">
        <f t="shared" si="280"/>
        <v>39.96636072246509</v>
      </c>
      <c r="BF182" s="1411">
        <f t="shared" si="281"/>
        <v>37.252856123561315</v>
      </c>
      <c r="BG182" s="1411">
        <f t="shared" si="282"/>
        <v>28.250214144188959</v>
      </c>
      <c r="BH182" s="1411">
        <f t="shared" si="283"/>
        <v>32.022230530367892</v>
      </c>
      <c r="BI182" s="1411">
        <f t="shared" si="284"/>
        <v>46.397438369251432</v>
      </c>
      <c r="BJ182" s="1411">
        <f t="shared" si="285"/>
        <v>31.063196463652652</v>
      </c>
      <c r="BK182" s="1413">
        <f t="shared" si="286"/>
        <v>21.747421183436355</v>
      </c>
      <c r="BL182" s="1413">
        <f t="shared" si="287"/>
        <v>26.027529937422692</v>
      </c>
      <c r="BM182" s="1413">
        <f t="shared" si="288"/>
        <v>30.644061117959943</v>
      </c>
      <c r="BN182" s="1413">
        <f t="shared" si="289"/>
        <v>27.569824999999998</v>
      </c>
      <c r="BO182" s="1413">
        <f t="shared" si="290"/>
        <v>27.327874999999995</v>
      </c>
      <c r="BP182" s="1413">
        <f t="shared" si="291"/>
        <v>27.5778166666</v>
      </c>
      <c r="BQ182" s="949"/>
      <c r="BR182" s="969"/>
      <c r="BS182" s="970"/>
      <c r="BU182" s="922"/>
      <c r="BV182" s="921"/>
      <c r="BW182" s="921"/>
      <c r="BX182" s="921"/>
    </row>
    <row r="183" spans="2:76" ht="12.75" customHeight="1">
      <c r="B183" s="1080"/>
      <c r="C183" s="1459" t="s">
        <v>679</v>
      </c>
      <c r="D183" s="1189"/>
      <c r="E183" s="1189"/>
      <c r="F183" s="1128"/>
      <c r="G183" s="1592">
        <v>33.65507139897344</v>
      </c>
      <c r="H183" s="1593">
        <v>27.940983067765572</v>
      </c>
      <c r="I183" s="1593">
        <v>31.064639944746379</v>
      </c>
      <c r="J183" s="1594">
        <v>31.179066678713756</v>
      </c>
      <c r="K183" s="1592">
        <v>33.366856885466987</v>
      </c>
      <c r="L183" s="1593">
        <v>30.988586447802195</v>
      </c>
      <c r="M183" s="1593">
        <v>31.983560708333318</v>
      </c>
      <c r="N183" s="1594">
        <v>30.553551319112341</v>
      </c>
      <c r="O183" s="1592">
        <v>25.678486559862229</v>
      </c>
      <c r="P183" s="1593">
        <v>21.65716656639195</v>
      </c>
      <c r="Q183" s="1593">
        <v>25.59958281884057</v>
      </c>
      <c r="R183" s="1593">
        <v>29.691809545561608</v>
      </c>
      <c r="S183" s="1592">
        <v>30.712843264895323</v>
      </c>
      <c r="T183" s="1593">
        <v>28.683858509157513</v>
      </c>
      <c r="U183" s="1593">
        <v>26.289797765398554</v>
      </c>
      <c r="V183" s="1594">
        <v>28.58454812028986</v>
      </c>
      <c r="W183" s="1593">
        <v>55.582024361513675</v>
      </c>
      <c r="X183" s="1593">
        <v>30.848939755952369</v>
      </c>
      <c r="Y183" s="1593">
        <v>26.474229680253622</v>
      </c>
      <c r="Z183" s="1594">
        <v>30.106497532518123</v>
      </c>
      <c r="AA183" s="1593">
        <v>33.672197658071667</v>
      </c>
      <c r="AB183" s="1593">
        <v>24.408332260531143</v>
      </c>
      <c r="AC183" s="1593">
        <v>22.758183921195638</v>
      </c>
      <c r="AD183" s="1594">
        <v>22.005480128297094</v>
      </c>
      <c r="AE183" s="1593">
        <v>21.940509499422674</v>
      </c>
      <c r="AF183" s="1593">
        <v>21.194626118131868</v>
      </c>
      <c r="AG183" s="1595">
        <v>22.397125852355067</v>
      </c>
      <c r="AH183" s="1596">
        <v>25.119274915036236</v>
      </c>
      <c r="AI183" s="1595">
        <v>25.609943032206107</v>
      </c>
      <c r="AJ183" s="1595">
        <v>22.558270758241754</v>
      </c>
      <c r="AK183" s="1595">
        <v>22.753793536231882</v>
      </c>
      <c r="AL183" s="1596">
        <v>26.193597912862309</v>
      </c>
      <c r="AM183" s="1595">
        <v>34.436698074516897</v>
      </c>
      <c r="AN183" s="1595">
        <v>25.55</v>
      </c>
      <c r="AO183" s="1595">
        <v>25.216666666666669</v>
      </c>
      <c r="AP183" s="1596">
        <v>25.316666666666663</v>
      </c>
      <c r="AQ183" s="1595">
        <v>30.065523917280856</v>
      </c>
      <c r="AR183" s="1595">
        <v>21.597016408139439</v>
      </c>
      <c r="AS183" s="1595">
        <v>21.984059712944806</v>
      </c>
      <c r="AT183" s="1596">
        <v>28.678033294834901</v>
      </c>
      <c r="AU183" s="1595">
        <v>29.607950419373292</v>
      </c>
      <c r="AV183" s="1595">
        <v>21.268326897541574</v>
      </c>
      <c r="AW183" s="1595">
        <v>21.649479709325476</v>
      </c>
      <c r="AX183" s="1596">
        <v>28.241576306959669</v>
      </c>
      <c r="AY183" s="1595">
        <v>29.616706401032346</v>
      </c>
      <c r="AZ183" s="1595">
        <v>21.274616596004179</v>
      </c>
      <c r="BA183" s="1595">
        <v>21.65588212639852</v>
      </c>
      <c r="BB183" s="1844">
        <v>28.24992820976496</v>
      </c>
      <c r="BC183" s="954"/>
      <c r="BD183" s="954"/>
      <c r="BE183" s="1411">
        <f t="shared" si="280"/>
        <v>30.959940272549787</v>
      </c>
      <c r="BF183" s="1411">
        <f t="shared" si="281"/>
        <v>31.723138840178709</v>
      </c>
      <c r="BG183" s="1411">
        <f t="shared" si="282"/>
        <v>25.656761372664089</v>
      </c>
      <c r="BH183" s="1411">
        <f t="shared" si="283"/>
        <v>28.567761914935311</v>
      </c>
      <c r="BI183" s="1411">
        <f t="shared" si="284"/>
        <v>35.752922832559449</v>
      </c>
      <c r="BJ183" s="1411">
        <f t="shared" si="285"/>
        <v>25.711048492023885</v>
      </c>
      <c r="BK183" s="1413">
        <f t="shared" si="286"/>
        <v>22.662884096236461</v>
      </c>
      <c r="BL183" s="1413">
        <f t="shared" si="287"/>
        <v>24.278901309885512</v>
      </c>
      <c r="BM183" s="1413">
        <f t="shared" si="288"/>
        <v>27.630007851962556</v>
      </c>
      <c r="BN183" s="1413">
        <f t="shared" si="289"/>
        <v>25.581158333300003</v>
      </c>
      <c r="BO183" s="1413">
        <f t="shared" si="290"/>
        <v>25.191833333300004</v>
      </c>
      <c r="BP183" s="1413">
        <f t="shared" si="291"/>
        <v>25.199283333300002</v>
      </c>
      <c r="BQ183" s="949"/>
      <c r="BR183" s="969"/>
      <c r="BS183" s="970"/>
      <c r="BU183" s="922"/>
      <c r="BV183" s="921"/>
      <c r="BW183" s="921"/>
      <c r="BX183" s="921"/>
    </row>
    <row r="184" spans="2:76" ht="12.75" customHeight="1">
      <c r="B184" s="1080"/>
      <c r="C184" s="1459" t="s">
        <v>680</v>
      </c>
      <c r="D184" s="1189"/>
      <c r="E184" s="1189"/>
      <c r="F184" s="1128"/>
      <c r="G184" s="1592">
        <v>33.577120008313223</v>
      </c>
      <c r="H184" s="1593">
        <v>28.007368155677657</v>
      </c>
      <c r="I184" s="1593">
        <v>31.199241193840571</v>
      </c>
      <c r="J184" s="1594">
        <v>31.280175134510877</v>
      </c>
      <c r="K184" s="1592">
        <v>33.316046651227865</v>
      </c>
      <c r="L184" s="1593">
        <v>31.034006899725281</v>
      </c>
      <c r="M184" s="1593">
        <v>32.137521466938395</v>
      </c>
      <c r="N184" s="1594">
        <v>30.682761882608698</v>
      </c>
      <c r="O184" s="1592">
        <v>25.679288122073572</v>
      </c>
      <c r="P184" s="1593">
        <v>21.775065671703299</v>
      </c>
      <c r="Q184" s="1593">
        <v>25.7171560271739</v>
      </c>
      <c r="R184" s="1593">
        <v>29.781977215851452</v>
      </c>
      <c r="S184" s="1592">
        <v>30.59628365193236</v>
      </c>
      <c r="T184" s="1593">
        <v>28.85574062912087</v>
      </c>
      <c r="U184" s="1593">
        <v>26.426258410326099</v>
      </c>
      <c r="V184" s="1594">
        <v>28.631262306884061</v>
      </c>
      <c r="W184" s="1593">
        <v>55.245883308574896</v>
      </c>
      <c r="X184" s="1593">
        <v>31.092236393315009</v>
      </c>
      <c r="Y184" s="1593">
        <v>26.565221706068847</v>
      </c>
      <c r="Z184" s="1594">
        <v>29.935611420199269</v>
      </c>
      <c r="AA184" s="1593">
        <v>33.546102769424323</v>
      </c>
      <c r="AB184" s="1593">
        <v>24.350682732600731</v>
      </c>
      <c r="AC184" s="1593">
        <v>22.832639235507255</v>
      </c>
      <c r="AD184" s="1594">
        <v>21.995092569728257</v>
      </c>
      <c r="AE184" s="1593">
        <v>22.062136905279502</v>
      </c>
      <c r="AF184" s="1593">
        <v>21.344116594322344</v>
      </c>
      <c r="AG184" s="1595">
        <v>22.51157196376812</v>
      </c>
      <c r="AH184" s="1596">
        <v>25.05356571974637</v>
      </c>
      <c r="AI184" s="1595">
        <v>25.637689978663452</v>
      </c>
      <c r="AJ184" s="1595">
        <v>22.658216380036624</v>
      </c>
      <c r="AK184" s="1595">
        <v>22.877026026268119</v>
      </c>
      <c r="AL184" s="1596">
        <v>26.103430919021747</v>
      </c>
      <c r="AM184" s="1595">
        <v>33.49635729142512</v>
      </c>
      <c r="AN184" s="1595">
        <v>24.3</v>
      </c>
      <c r="AO184" s="1595">
        <v>24.716666666666669</v>
      </c>
      <c r="AP184" s="1596">
        <v>24.833333333333332</v>
      </c>
      <c r="AQ184" s="1595">
        <v>26.535204784504245</v>
      </c>
      <c r="AR184" s="1595">
        <v>20.510009202701678</v>
      </c>
      <c r="AS184" s="1595">
        <v>20.875172571295771</v>
      </c>
      <c r="AT184" s="1596">
        <v>29.770913441498301</v>
      </c>
      <c r="AU184" s="1595">
        <v>26.434034268000321</v>
      </c>
      <c r="AV184" s="1595">
        <v>20.43181089063328</v>
      </c>
      <c r="AW184" s="1595">
        <v>20.795582004413099</v>
      </c>
      <c r="AX184" s="1596">
        <v>29.657406170153298</v>
      </c>
      <c r="AY184" s="1595">
        <v>26.496453235293</v>
      </c>
      <c r="AZ184" s="1595">
        <v>20.480056743792986</v>
      </c>
      <c r="BA184" s="1595">
        <v>20.844686834186923</v>
      </c>
      <c r="BB184" s="1844">
        <v>29.727436519927089</v>
      </c>
      <c r="BC184" s="954"/>
      <c r="BD184" s="954"/>
      <c r="BE184" s="1411">
        <f t="shared" si="280"/>
        <v>31.015976123085579</v>
      </c>
      <c r="BF184" s="1411">
        <f t="shared" si="281"/>
        <v>31.792584225125061</v>
      </c>
      <c r="BG184" s="1411">
        <f t="shared" si="282"/>
        <v>25.738371759200557</v>
      </c>
      <c r="BH184" s="1411">
        <f t="shared" si="283"/>
        <v>28.627386249565845</v>
      </c>
      <c r="BI184" s="1411">
        <f t="shared" si="284"/>
        <v>35.709738207039507</v>
      </c>
      <c r="BJ184" s="1411">
        <f t="shared" si="285"/>
        <v>25.681129326815142</v>
      </c>
      <c r="BK184" s="1413">
        <f t="shared" si="286"/>
        <v>22.742847795779085</v>
      </c>
      <c r="BL184" s="1413">
        <f t="shared" si="287"/>
        <v>24.319090825997485</v>
      </c>
      <c r="BM184" s="1413">
        <f t="shared" si="288"/>
        <v>26.83658932285628</v>
      </c>
      <c r="BN184" s="1413">
        <f t="shared" si="289"/>
        <v>24.422824999999996</v>
      </c>
      <c r="BO184" s="1413">
        <f t="shared" si="290"/>
        <v>24.329708333300001</v>
      </c>
      <c r="BP184" s="1413">
        <f t="shared" si="291"/>
        <v>24.3871583333</v>
      </c>
      <c r="BQ184" s="949"/>
      <c r="BR184" s="969"/>
      <c r="BS184" s="970"/>
      <c r="BU184" s="922"/>
      <c r="BV184" s="921"/>
      <c r="BW184" s="921"/>
      <c r="BX184" s="921"/>
    </row>
    <row r="185" spans="2:76" ht="12.75" customHeight="1">
      <c r="B185" s="1080"/>
      <c r="C185" s="1459" t="s">
        <v>681</v>
      </c>
      <c r="D185" s="1189"/>
      <c r="E185" s="1189"/>
      <c r="F185" s="1128"/>
      <c r="G185" s="1592">
        <v>27.647922274134451</v>
      </c>
      <c r="H185" s="1593">
        <v>22.058756606684991</v>
      </c>
      <c r="I185" s="1593">
        <v>25.77205439356884</v>
      </c>
      <c r="J185" s="1594">
        <v>20.233505312028988</v>
      </c>
      <c r="K185" s="1592">
        <v>28.117182428522533</v>
      </c>
      <c r="L185" s="1593">
        <v>24.030010341117219</v>
      </c>
      <c r="M185" s="1593">
        <v>25.858050654891304</v>
      </c>
      <c r="N185" s="1594">
        <v>19.96068864096015</v>
      </c>
      <c r="O185" s="1592">
        <v>23.311520222746449</v>
      </c>
      <c r="P185" s="1593">
        <v>18.617785842032969</v>
      </c>
      <c r="Q185" s="1593">
        <v>23.770870774456522</v>
      </c>
      <c r="R185" s="1593">
        <v>21.751328907065218</v>
      </c>
      <c r="S185" s="1592">
        <v>27.102873879810776</v>
      </c>
      <c r="T185" s="1593">
        <v>23.983492510531136</v>
      </c>
      <c r="U185" s="1593">
        <v>24.337539511322465</v>
      </c>
      <c r="V185" s="1594">
        <v>25.034081106974629</v>
      </c>
      <c r="W185" s="1593">
        <v>46.659030578200486</v>
      </c>
      <c r="X185" s="1593">
        <v>25.040844436355307</v>
      </c>
      <c r="Y185" s="1593">
        <v>24.573567941576091</v>
      </c>
      <c r="Z185" s="1594">
        <v>25.868583025362319</v>
      </c>
      <c r="AA185" s="1593">
        <v>29.701038306400971</v>
      </c>
      <c r="AB185" s="1593">
        <v>18.405672966575075</v>
      </c>
      <c r="AC185" s="1593">
        <v>21.186602595561595</v>
      </c>
      <c r="AD185" s="1594">
        <v>19.679295579764492</v>
      </c>
      <c r="AE185" s="1593">
        <v>19.228153737279026</v>
      </c>
      <c r="AF185" s="1593">
        <v>18.306781789377293</v>
      </c>
      <c r="AG185" s="1595">
        <v>21.426197764039859</v>
      </c>
      <c r="AH185" s="1596">
        <v>22.45641746277175</v>
      </c>
      <c r="AI185" s="1595">
        <v>23.077807067310793</v>
      </c>
      <c r="AJ185" s="1595">
        <v>19.554939797619053</v>
      </c>
      <c r="AK185" s="1595">
        <v>18.802316540760863</v>
      </c>
      <c r="AL185" s="1596">
        <v>22.818591313496391</v>
      </c>
      <c r="AM185" s="1595">
        <v>25.592786000905793</v>
      </c>
      <c r="AN185" s="1595">
        <v>19.816666666666666</v>
      </c>
      <c r="AO185" s="1595">
        <v>21.45</v>
      </c>
      <c r="AP185" s="1596">
        <v>20.516666666666669</v>
      </c>
      <c r="AQ185" s="1595">
        <v>27.334808227990884</v>
      </c>
      <c r="AR185" s="1595">
        <v>19.223933699175628</v>
      </c>
      <c r="AS185" s="1595">
        <v>19.937159884736072</v>
      </c>
      <c r="AT185" s="1596">
        <v>20.328731521297417</v>
      </c>
      <c r="AU185" s="1595">
        <v>27.753990948397757</v>
      </c>
      <c r="AV185" s="1595">
        <v>19.518735139073424</v>
      </c>
      <c r="AW185" s="1595">
        <v>20.242898737848368</v>
      </c>
      <c r="AX185" s="1596">
        <v>20.640475174680446</v>
      </c>
      <c r="AY185" s="1595">
        <v>27.7633728168137</v>
      </c>
      <c r="AZ185" s="1595">
        <v>19.52533318852371</v>
      </c>
      <c r="BA185" s="1595">
        <v>20.24974158119543</v>
      </c>
      <c r="BB185" s="1844">
        <v>20.647452413467164</v>
      </c>
      <c r="BC185" s="954"/>
      <c r="BD185" s="954"/>
      <c r="BE185" s="1411">
        <f t="shared" si="280"/>
        <v>23.928059646604318</v>
      </c>
      <c r="BF185" s="1411">
        <f t="shared" si="281"/>
        <v>24.491483016372804</v>
      </c>
      <c r="BG185" s="1411">
        <f t="shared" si="282"/>
        <v>21.862876436575288</v>
      </c>
      <c r="BH185" s="1411">
        <f t="shared" si="283"/>
        <v>25.114496752159749</v>
      </c>
      <c r="BI185" s="1411">
        <f t="shared" si="284"/>
        <v>30.535506495373554</v>
      </c>
      <c r="BJ185" s="1411">
        <f t="shared" si="285"/>
        <v>22.243152362075534</v>
      </c>
      <c r="BK185" s="1413">
        <f t="shared" si="286"/>
        <v>20.354387688366984</v>
      </c>
      <c r="BL185" s="1413">
        <f t="shared" si="287"/>
        <v>21.063413679796774</v>
      </c>
      <c r="BM185" s="1413">
        <f t="shared" si="288"/>
        <v>21.84402983355978</v>
      </c>
      <c r="BN185" s="1413">
        <f t="shared" si="289"/>
        <v>21.706158333299999</v>
      </c>
      <c r="BO185" s="1413">
        <f t="shared" si="290"/>
        <v>22.039024999999999</v>
      </c>
      <c r="BP185" s="1413">
        <f t="shared" si="291"/>
        <v>22.046475000000001</v>
      </c>
      <c r="BQ185" s="949"/>
      <c r="BR185" s="969"/>
      <c r="BS185" s="970"/>
      <c r="BU185" s="922"/>
      <c r="BV185" s="921"/>
      <c r="BW185" s="921"/>
      <c r="BX185" s="921"/>
    </row>
    <row r="186" spans="2:76" ht="12.75" customHeight="1">
      <c r="B186" s="1080"/>
      <c r="C186" s="1459" t="s">
        <v>682</v>
      </c>
      <c r="D186" s="1189"/>
      <c r="E186" s="1189"/>
      <c r="F186" s="1128"/>
      <c r="G186" s="1592">
        <v>35.104179045893723</v>
      </c>
      <c r="H186" s="1593">
        <v>28.634282280219779</v>
      </c>
      <c r="I186" s="1593">
        <v>31.990215126811602</v>
      </c>
      <c r="J186" s="1594">
        <v>25.825695788043475</v>
      </c>
      <c r="K186" s="1592">
        <v>29.660326036634473</v>
      </c>
      <c r="L186" s="1593">
        <v>28.345022893772899</v>
      </c>
      <c r="M186" s="1593">
        <v>31.569142889492749</v>
      </c>
      <c r="N186" s="1594">
        <v>23.404596059782612</v>
      </c>
      <c r="O186" s="1592">
        <v>19.561595895046977</v>
      </c>
      <c r="P186" s="1593">
        <v>17.118434065934071</v>
      </c>
      <c r="Q186" s="1593">
        <v>21.168782835144924</v>
      </c>
      <c r="R186" s="1593">
        <v>22.251092119565214</v>
      </c>
      <c r="S186" s="1592">
        <v>23.22272348027375</v>
      </c>
      <c r="T186" s="1593">
        <v>26.715190018315013</v>
      </c>
      <c r="U186" s="1593">
        <v>25.701721014492755</v>
      </c>
      <c r="V186" s="1594">
        <v>27.180492210144916</v>
      </c>
      <c r="W186" s="1593">
        <v>31.78499773550724</v>
      </c>
      <c r="X186" s="1593">
        <v>31.412413003663001</v>
      </c>
      <c r="Y186" s="1593">
        <v>28.854929800724651</v>
      </c>
      <c r="Z186" s="1594">
        <v>25.233000181159419</v>
      </c>
      <c r="AA186" s="1593">
        <v>22.140641555958133</v>
      </c>
      <c r="AB186" s="1593">
        <v>21.621235119047622</v>
      </c>
      <c r="AC186" s="1593">
        <v>20.30612658514492</v>
      </c>
      <c r="AD186" s="1594">
        <v>16.061473550724639</v>
      </c>
      <c r="AE186" s="1593">
        <v>13.842845198279973</v>
      </c>
      <c r="AF186" s="1593">
        <v>14.911001602564097</v>
      </c>
      <c r="AG186" s="1595">
        <v>23.475191349637686</v>
      </c>
      <c r="AH186" s="1596">
        <v>18.614083197463771</v>
      </c>
      <c r="AI186" s="1595">
        <v>19.355630787037047</v>
      </c>
      <c r="AJ186" s="1595">
        <v>24.49456959706961</v>
      </c>
      <c r="AK186" s="1595">
        <v>22.786469655797116</v>
      </c>
      <c r="AL186" s="1596">
        <v>20.007914900362312</v>
      </c>
      <c r="AM186" s="1595">
        <v>20.159236262077297</v>
      </c>
      <c r="AN186" s="1595">
        <v>22.893873333333332</v>
      </c>
      <c r="AO186" s="1595">
        <v>28.907523333333334</v>
      </c>
      <c r="AP186" s="1596">
        <v>20.204750000000001</v>
      </c>
      <c r="AQ186" s="1595">
        <v>20.922026845642609</v>
      </c>
      <c r="AR186" s="1595">
        <v>19.193142488186361</v>
      </c>
      <c r="AS186" s="1595">
        <v>23.750424272466308</v>
      </c>
      <c r="AT186" s="1596">
        <v>20.145536393704717</v>
      </c>
      <c r="AU186" s="1595">
        <v>21.12106749399333</v>
      </c>
      <c r="AV186" s="1595">
        <v>19.375735482303082</v>
      </c>
      <c r="AW186" s="1595">
        <v>23.97637273724332</v>
      </c>
      <c r="AX186" s="1596">
        <v>20.337189939260277</v>
      </c>
      <c r="AY186" s="1595">
        <v>20.82675586398943</v>
      </c>
      <c r="AZ186" s="1595">
        <v>19.105744190719797</v>
      </c>
      <c r="BA186" s="1595">
        <v>23.642273840779588</v>
      </c>
      <c r="BB186" s="1844">
        <v>20.053801255311189</v>
      </c>
      <c r="BC186" s="954"/>
      <c r="BD186" s="954"/>
      <c r="BE186" s="1411">
        <f t="shared" si="280"/>
        <v>30.388593060242144</v>
      </c>
      <c r="BF186" s="1411">
        <f t="shared" si="281"/>
        <v>28.244771969920684</v>
      </c>
      <c r="BG186" s="1411">
        <f t="shared" si="282"/>
        <v>20.024976228922796</v>
      </c>
      <c r="BH186" s="1411">
        <f t="shared" si="283"/>
        <v>25.705031680806609</v>
      </c>
      <c r="BI186" s="1411">
        <f t="shared" si="284"/>
        <v>29.321335180263574</v>
      </c>
      <c r="BJ186" s="1411">
        <f t="shared" si="285"/>
        <v>20.032369202718829</v>
      </c>
      <c r="BK186" s="1413">
        <f t="shared" si="286"/>
        <v>17.710780336986382</v>
      </c>
      <c r="BL186" s="1413">
        <f t="shared" si="287"/>
        <v>21.661146235066521</v>
      </c>
      <c r="BM186" s="1413">
        <f t="shared" si="288"/>
        <v>23.041345732185992</v>
      </c>
      <c r="BN186" s="1413">
        <f t="shared" si="289"/>
        <v>21.002782499999999</v>
      </c>
      <c r="BO186" s="1413">
        <f t="shared" si="290"/>
        <v>21.202591413200004</v>
      </c>
      <c r="BP186" s="1413">
        <f t="shared" si="291"/>
        <v>20.907143787700001</v>
      </c>
      <c r="BQ186" s="949"/>
      <c r="BR186" s="969"/>
      <c r="BS186" s="970"/>
      <c r="BU186" s="922"/>
      <c r="BV186" s="921"/>
      <c r="BW186" s="921"/>
      <c r="BX186" s="921"/>
    </row>
    <row r="187" spans="2:76" ht="12.75" customHeight="1">
      <c r="B187" s="1080"/>
      <c r="C187" s="1457" t="s">
        <v>683</v>
      </c>
      <c r="D187" s="1189"/>
      <c r="E187" s="1189"/>
      <c r="F187" s="1128"/>
      <c r="G187" s="1592">
        <v>35.080230324074073</v>
      </c>
      <c r="H187" s="1593">
        <v>28.455611263736266</v>
      </c>
      <c r="I187" s="1593">
        <v>31.678466938405812</v>
      </c>
      <c r="J187" s="1594">
        <v>25.7597316576087</v>
      </c>
      <c r="K187" s="1592">
        <v>30.071405696457326</v>
      </c>
      <c r="L187" s="1593">
        <v>28.042996794871794</v>
      </c>
      <c r="M187" s="1593">
        <v>31.24979846014493</v>
      </c>
      <c r="N187" s="1594">
        <v>23.630269338768127</v>
      </c>
      <c r="O187" s="1592">
        <v>19.53850324494346</v>
      </c>
      <c r="P187" s="1593">
        <v>17.141556776556776</v>
      </c>
      <c r="Q187" s="1593">
        <v>20.815947690217392</v>
      </c>
      <c r="R187" s="1593">
        <v>22.887461865942033</v>
      </c>
      <c r="S187" s="1592">
        <v>23.199066475442827</v>
      </c>
      <c r="T187" s="1593">
        <v>26.300711996337007</v>
      </c>
      <c r="U187" s="1593">
        <v>25.430877490942027</v>
      </c>
      <c r="V187" s="1594">
        <v>26.785470153985496</v>
      </c>
      <c r="W187" s="1593">
        <v>32.004984551127215</v>
      </c>
      <c r="X187" s="1593">
        <v>31.26213713369965</v>
      </c>
      <c r="Y187" s="1593">
        <v>28.32578691123188</v>
      </c>
      <c r="Z187" s="1594">
        <v>25.307324320652167</v>
      </c>
      <c r="AA187" s="1593">
        <v>22.17571215780999</v>
      </c>
      <c r="AB187" s="1593">
        <v>19.319275412087915</v>
      </c>
      <c r="AC187" s="1593">
        <v>19.897398097826084</v>
      </c>
      <c r="AD187" s="1594">
        <v>15.149004076086959</v>
      </c>
      <c r="AE187" s="1593">
        <v>13.804743092052874</v>
      </c>
      <c r="AF187" s="1593">
        <v>14.6552048992674</v>
      </c>
      <c r="AG187" s="1595">
        <v>20.848108016304352</v>
      </c>
      <c r="AH187" s="1596">
        <v>18.255682925724642</v>
      </c>
      <c r="AI187" s="1595">
        <v>17.694403532608696</v>
      </c>
      <c r="AJ187" s="1595">
        <v>19.575868818681322</v>
      </c>
      <c r="AK187" s="1595">
        <v>21.74405457427536</v>
      </c>
      <c r="AL187" s="1596">
        <v>18.065305072463772</v>
      </c>
      <c r="AM187" s="1595">
        <v>19.286005585748793</v>
      </c>
      <c r="AN187" s="1595">
        <v>20.677206666666667</v>
      </c>
      <c r="AO187" s="1595">
        <v>28.640856666666668</v>
      </c>
      <c r="AP187" s="1596">
        <v>19.388083333333331</v>
      </c>
      <c r="AQ187" s="1595">
        <v>20.204147210285914</v>
      </c>
      <c r="AR187" s="1595">
        <v>17.911730019517361</v>
      </c>
      <c r="AS187" s="1595">
        <v>23.181362548745142</v>
      </c>
      <c r="AT187" s="1596">
        <v>18.447223554651586</v>
      </c>
      <c r="AU187" s="1595">
        <v>20.13301243857838</v>
      </c>
      <c r="AV187" s="1595">
        <v>17.848666391413492</v>
      </c>
      <c r="AW187" s="1595">
        <v>23.099745595769516</v>
      </c>
      <c r="AX187" s="1596">
        <v>18.382274560638621</v>
      </c>
      <c r="AY187" s="1595">
        <v>19.630903760724049</v>
      </c>
      <c r="AZ187" s="1595">
        <v>17.403528322254854</v>
      </c>
      <c r="BA187" s="1595">
        <v>22.523647867958136</v>
      </c>
      <c r="BB187" s="1844">
        <v>17.923828533062963</v>
      </c>
      <c r="BC187" s="954"/>
      <c r="BD187" s="954"/>
      <c r="BE187" s="1411">
        <f t="shared" si="280"/>
        <v>30.24351004595621</v>
      </c>
      <c r="BF187" s="1411">
        <f t="shared" si="281"/>
        <v>28.248617572560544</v>
      </c>
      <c r="BG187" s="1411">
        <f t="shared" si="282"/>
        <v>20.095867394414917</v>
      </c>
      <c r="BH187" s="1411">
        <f t="shared" si="283"/>
        <v>25.429031529176839</v>
      </c>
      <c r="BI187" s="1411">
        <f t="shared" si="284"/>
        <v>29.22505822917773</v>
      </c>
      <c r="BJ187" s="1411">
        <f t="shared" si="285"/>
        <v>19.135347435952735</v>
      </c>
      <c r="BK187" s="1413">
        <f t="shared" si="286"/>
        <v>16.890934733337318</v>
      </c>
      <c r="BL187" s="1413">
        <f t="shared" si="287"/>
        <v>19.269907999507289</v>
      </c>
      <c r="BM187" s="1413">
        <f t="shared" si="288"/>
        <v>21.998038063103863</v>
      </c>
      <c r="BN187" s="1413">
        <f t="shared" si="289"/>
        <v>19.936115833300001</v>
      </c>
      <c r="BO187" s="1413">
        <f t="shared" si="290"/>
        <v>19.865924746600001</v>
      </c>
      <c r="BP187" s="1413">
        <f t="shared" si="291"/>
        <v>19.370477121</v>
      </c>
      <c r="BQ187" s="949"/>
      <c r="BR187" s="969"/>
      <c r="BS187" s="970"/>
      <c r="BU187" s="922"/>
      <c r="BV187" s="921"/>
      <c r="BW187" s="921"/>
      <c r="BX187" s="921"/>
    </row>
    <row r="188" spans="2:76" ht="12.75" customHeight="1">
      <c r="B188" s="1080"/>
      <c r="C188" s="1457" t="s">
        <v>684</v>
      </c>
      <c r="D188" s="1189"/>
      <c r="E188" s="1189"/>
      <c r="F188" s="1128"/>
      <c r="G188" s="1592">
        <v>35.000784722222228</v>
      </c>
      <c r="H188" s="1593">
        <v>28.382862866300375</v>
      </c>
      <c r="I188" s="1593">
        <v>31.812933650362325</v>
      </c>
      <c r="J188" s="1594">
        <v>25.415262409420293</v>
      </c>
      <c r="K188" s="1592">
        <v>29.8071865942029</v>
      </c>
      <c r="L188" s="1593">
        <v>27.334835164835152</v>
      </c>
      <c r="M188" s="1593">
        <v>31.034110054347821</v>
      </c>
      <c r="N188" s="1594">
        <v>23.925171286231883</v>
      </c>
      <c r="O188" s="1592">
        <v>19.365880564182188</v>
      </c>
      <c r="P188" s="1593">
        <v>16.926233974358968</v>
      </c>
      <c r="Q188" s="1593">
        <v>21.107855525362321</v>
      </c>
      <c r="R188" s="1593">
        <v>22.343847056159426</v>
      </c>
      <c r="S188" s="1592">
        <v>23.143879981884069</v>
      </c>
      <c r="T188" s="1593">
        <v>26.316911630036625</v>
      </c>
      <c r="U188" s="1593">
        <v>25.562675498188408</v>
      </c>
      <c r="V188" s="1594">
        <v>26.801473958333329</v>
      </c>
      <c r="W188" s="1593">
        <v>31.796791113123987</v>
      </c>
      <c r="X188" s="1593">
        <v>30.898569139194134</v>
      </c>
      <c r="Y188" s="1593">
        <v>28.542640398550727</v>
      </c>
      <c r="Z188" s="1594">
        <v>25.265815081521733</v>
      </c>
      <c r="AA188" s="1593">
        <v>22.23049803743962</v>
      </c>
      <c r="AB188" s="1593">
        <v>20.495057234432235</v>
      </c>
      <c r="AC188" s="1593">
        <v>20.106205842391308</v>
      </c>
      <c r="AD188" s="1594">
        <v>15.567165081521738</v>
      </c>
      <c r="AE188" s="1593">
        <v>13.567103589345434</v>
      </c>
      <c r="AF188" s="1593">
        <v>14.551979166666674</v>
      </c>
      <c r="AG188" s="1595">
        <v>21.434193840579709</v>
      </c>
      <c r="AH188" s="1596">
        <v>18.581885235507244</v>
      </c>
      <c r="AI188" s="1595">
        <v>17.745814764492753</v>
      </c>
      <c r="AJ188" s="1595">
        <v>21.731801739926734</v>
      </c>
      <c r="AK188" s="1595">
        <v>23.207665307971009</v>
      </c>
      <c r="AL188" s="1596">
        <v>19.342823505434787</v>
      </c>
      <c r="AM188" s="1595">
        <v>19.624934933574881</v>
      </c>
      <c r="AN188" s="1595">
        <v>22.243873333333337</v>
      </c>
      <c r="AO188" s="1595">
        <v>29.724189999999997</v>
      </c>
      <c r="AP188" s="1596">
        <v>20.288083333333333</v>
      </c>
      <c r="AQ188" s="1595">
        <v>21.213743053469752</v>
      </c>
      <c r="AR188" s="1595">
        <v>19.267514968052225</v>
      </c>
      <c r="AS188" s="1595">
        <v>24.088177775796659</v>
      </c>
      <c r="AT188" s="1596">
        <v>19.651694202681362</v>
      </c>
      <c r="AU188" s="1595">
        <v>21.193400009991446</v>
      </c>
      <c r="AV188" s="1595">
        <v>19.249038271425608</v>
      </c>
      <c r="AW188" s="1595">
        <v>24.065078276261332</v>
      </c>
      <c r="AX188" s="1596">
        <v>19.632849095121614</v>
      </c>
      <c r="AY188" s="1595">
        <v>20.81512679245602</v>
      </c>
      <c r="AZ188" s="1595">
        <v>18.905469252865018</v>
      </c>
      <c r="BA188" s="1595">
        <v>23.635549527428598</v>
      </c>
      <c r="BB188" s="1844">
        <v>19.282429578050358</v>
      </c>
      <c r="BC188" s="954"/>
      <c r="BD188" s="954"/>
      <c r="BE188" s="1411">
        <f t="shared" si="280"/>
        <v>30.152960912076306</v>
      </c>
      <c r="BF188" s="1411">
        <f t="shared" si="281"/>
        <v>28.025325774904438</v>
      </c>
      <c r="BG188" s="1411">
        <f t="shared" si="282"/>
        <v>19.935954280015729</v>
      </c>
      <c r="BH188" s="1411">
        <f t="shared" si="283"/>
        <v>25.45623526711061</v>
      </c>
      <c r="BI188" s="1411">
        <f t="shared" si="284"/>
        <v>29.125953933097648</v>
      </c>
      <c r="BJ188" s="1411">
        <f t="shared" si="285"/>
        <v>19.599731548946224</v>
      </c>
      <c r="BK188" s="1413">
        <f t="shared" si="286"/>
        <v>17.033790458024765</v>
      </c>
      <c r="BL188" s="1413">
        <f t="shared" si="287"/>
        <v>20.507026329456323</v>
      </c>
      <c r="BM188" s="1413">
        <f t="shared" si="288"/>
        <v>22.970270400060386</v>
      </c>
      <c r="BN188" s="1413">
        <f t="shared" si="289"/>
        <v>21.055282500000004</v>
      </c>
      <c r="BO188" s="1413">
        <f t="shared" si="290"/>
        <v>21.0350914132</v>
      </c>
      <c r="BP188" s="1413">
        <f t="shared" si="291"/>
        <v>20.659643787699999</v>
      </c>
      <c r="BQ188" s="949"/>
      <c r="BR188" s="969"/>
      <c r="BS188" s="970"/>
      <c r="BU188" s="922"/>
      <c r="BV188" s="921"/>
      <c r="BW188" s="921"/>
      <c r="BX188" s="921"/>
    </row>
    <row r="189" spans="2:76" ht="12.75" customHeight="1">
      <c r="B189" s="1080"/>
      <c r="C189" s="1457" t="s">
        <v>685</v>
      </c>
      <c r="D189" s="1189"/>
      <c r="E189" s="1189"/>
      <c r="F189" s="1128"/>
      <c r="G189" s="1592">
        <v>33.530322580645155</v>
      </c>
      <c r="H189" s="1593">
        <v>26.094333333333331</v>
      </c>
      <c r="I189" s="1593">
        <v>27.91</v>
      </c>
      <c r="J189" s="1594">
        <v>25.807647058823527</v>
      </c>
      <c r="K189" s="1592">
        <v>20.458235294117642</v>
      </c>
      <c r="L189" s="1593">
        <v>15.988181818181818</v>
      </c>
      <c r="M189" s="1593">
        <v>24.526097560975611</v>
      </c>
      <c r="N189" s="1594">
        <v>24.08657894736842</v>
      </c>
      <c r="O189" s="1592">
        <v>19.836734693877553</v>
      </c>
      <c r="P189" s="1593">
        <v>16.344545454545454</v>
      </c>
      <c r="Q189" s="1593">
        <v>20.018333333333338</v>
      </c>
      <c r="R189" s="1593">
        <v>25.022727272727277</v>
      </c>
      <c r="S189" s="1592">
        <v>27.013333333333335</v>
      </c>
      <c r="T189" s="1593">
        <v>26.58642857142857</v>
      </c>
      <c r="U189" s="1593">
        <v>24.336666666666662</v>
      </c>
      <c r="V189" s="1594">
        <v>29.902142857142856</v>
      </c>
      <c r="W189" s="1593">
        <v>37.216206896551725</v>
      </c>
      <c r="X189" s="1593">
        <v>31.198387096774194</v>
      </c>
      <c r="Y189" s="1593">
        <v>31.499310344827585</v>
      </c>
      <c r="Z189" s="1594">
        <v>26.848387096774196</v>
      </c>
      <c r="AA189" s="1593">
        <v>21.951388888888893</v>
      </c>
      <c r="AB189" s="1593">
        <v>21.208409090909093</v>
      </c>
      <c r="AC189" s="1593">
        <v>23.832173913043476</v>
      </c>
      <c r="AD189" s="1594">
        <v>19.805555555555557</v>
      </c>
      <c r="AE189" s="1593">
        <v>16.825681818181817</v>
      </c>
      <c r="AF189" s="1593">
        <v>16.068333333333332</v>
      </c>
      <c r="AG189" s="1595">
        <v>22.099565217391302</v>
      </c>
      <c r="AH189" s="1596">
        <v>21.735135135135135</v>
      </c>
      <c r="AI189" s="1595">
        <v>20.877073170731702</v>
      </c>
      <c r="AJ189" s="1595">
        <v>21.894222222222222</v>
      </c>
      <c r="AK189" s="1595">
        <v>23.702653061224492</v>
      </c>
      <c r="AL189" s="1596">
        <v>23.66375</v>
      </c>
      <c r="AM189" s="1595">
        <v>23.66375</v>
      </c>
      <c r="AN189" s="1595">
        <v>21.866666666666664</v>
      </c>
      <c r="AO189" s="1595">
        <v>25.5</v>
      </c>
      <c r="AP189" s="1596">
        <v>21.55</v>
      </c>
      <c r="AQ189" s="1595">
        <v>24.836427915484958</v>
      </c>
      <c r="AR189" s="1595">
        <v>21.765546372753509</v>
      </c>
      <c r="AS189" s="1595">
        <v>25.429054178110412</v>
      </c>
      <c r="AT189" s="1596">
        <v>25.75230486685113</v>
      </c>
      <c r="AU189" s="1595">
        <v>28.091790633507216</v>
      </c>
      <c r="AV189" s="1595">
        <v>24.61840220372709</v>
      </c>
      <c r="AW189" s="1595">
        <v>28.762093663807821</v>
      </c>
      <c r="AX189" s="1596">
        <v>29.127713498557874</v>
      </c>
      <c r="AY189" s="1595">
        <v>30.585169880556695</v>
      </c>
      <c r="AZ189" s="1595">
        <v>26.803489439749491</v>
      </c>
      <c r="BA189" s="1595">
        <v>31.314967860353057</v>
      </c>
      <c r="BB189" s="1844">
        <v>31.713039485740765</v>
      </c>
      <c r="BC189" s="954"/>
      <c r="BD189" s="954"/>
      <c r="BE189" s="1411">
        <f t="shared" si="280"/>
        <v>28.335575743200501</v>
      </c>
      <c r="BF189" s="1411">
        <f t="shared" si="281"/>
        <v>21.264773405160874</v>
      </c>
      <c r="BG189" s="1411">
        <f t="shared" si="282"/>
        <v>20.305585188620906</v>
      </c>
      <c r="BH189" s="1411">
        <f t="shared" si="283"/>
        <v>26.959642857142853</v>
      </c>
      <c r="BI189" s="1411">
        <f t="shared" si="284"/>
        <v>31.690572858731926</v>
      </c>
      <c r="BJ189" s="1411">
        <f t="shared" si="285"/>
        <v>21.699381862099255</v>
      </c>
      <c r="BK189" s="1413">
        <f t="shared" si="286"/>
        <v>19.182178876010397</v>
      </c>
      <c r="BL189" s="1413">
        <f t="shared" si="287"/>
        <v>22.534424613544601</v>
      </c>
      <c r="BM189" s="1413">
        <f t="shared" si="288"/>
        <v>23.145104166666666</v>
      </c>
      <c r="BN189" s="1413">
        <f t="shared" si="289"/>
        <v>24.445833333300005</v>
      </c>
      <c r="BO189" s="1413">
        <f t="shared" si="290"/>
        <v>27.649999999899997</v>
      </c>
      <c r="BP189" s="1413">
        <f t="shared" si="291"/>
        <v>30.104166666600005</v>
      </c>
      <c r="BQ189" s="949"/>
      <c r="BR189" s="969"/>
      <c r="BS189" s="970"/>
      <c r="BU189" s="922"/>
      <c r="BV189" s="921"/>
      <c r="BW189" s="921"/>
      <c r="BX189" s="921"/>
    </row>
    <row r="190" spans="2:76" ht="12.75" customHeight="1">
      <c r="B190" s="1080"/>
      <c r="C190" s="1457" t="s">
        <v>686</v>
      </c>
      <c r="D190" s="1189"/>
      <c r="E190" s="1189"/>
      <c r="F190" s="1128"/>
      <c r="G190" s="1592">
        <v>39.792162207161546</v>
      </c>
      <c r="H190" s="1593">
        <v>18.396992540064101</v>
      </c>
      <c r="I190" s="1593">
        <v>24.471085883152178</v>
      </c>
      <c r="J190" s="1594">
        <v>26.837953423097826</v>
      </c>
      <c r="K190" s="1592">
        <v>18.974865649255229</v>
      </c>
      <c r="L190" s="1593">
        <v>10.592114644001832</v>
      </c>
      <c r="M190" s="1593">
        <v>23.428638822463746</v>
      </c>
      <c r="N190" s="1594">
        <v>24.040611232563403</v>
      </c>
      <c r="O190" s="1592">
        <v>19.574844206780533</v>
      </c>
      <c r="P190" s="1593">
        <v>14.132461858974361</v>
      </c>
      <c r="Q190" s="1593">
        <v>19.690949210824268</v>
      </c>
      <c r="R190" s="1593">
        <v>27.320213811911241</v>
      </c>
      <c r="S190" s="1592">
        <v>34.906394377365146</v>
      </c>
      <c r="T190" s="1593">
        <v>29.51015124084249</v>
      </c>
      <c r="U190" s="1593">
        <v>32.575099427083344</v>
      </c>
      <c r="V190" s="1594">
        <v>37.361519796557985</v>
      </c>
      <c r="W190" s="1593">
        <v>42.627117423409828</v>
      </c>
      <c r="X190" s="1593">
        <v>21.235009505690744</v>
      </c>
      <c r="Y190" s="1593">
        <v>33.125406867559512</v>
      </c>
      <c r="Z190" s="1594">
        <v>32.544144284297367</v>
      </c>
      <c r="AA190" s="1593">
        <v>24.552941132037905</v>
      </c>
      <c r="AB190" s="1593">
        <v>25.405648776654878</v>
      </c>
      <c r="AC190" s="1593">
        <v>28.41391110280798</v>
      </c>
      <c r="AD190" s="1594">
        <v>25.53134713495729</v>
      </c>
      <c r="AE190" s="1593">
        <v>20.780798292565343</v>
      </c>
      <c r="AF190" s="1593">
        <v>18.439791219093404</v>
      </c>
      <c r="AG190" s="1595">
        <v>27.717085095270448</v>
      </c>
      <c r="AH190" s="1596">
        <v>27.225998677746944</v>
      </c>
      <c r="AI190" s="1595">
        <v>23.502615202110384</v>
      </c>
      <c r="AJ190" s="1595">
        <v>22.058978634484564</v>
      </c>
      <c r="AK190" s="1595">
        <v>29.16276689554218</v>
      </c>
      <c r="AL190" s="1596">
        <v>31.166413735261386</v>
      </c>
      <c r="AM190" s="1595">
        <v>27.79077055530394</v>
      </c>
      <c r="AN190" s="1595">
        <v>23.866666666666671</v>
      </c>
      <c r="AO190" s="1595">
        <v>32.4</v>
      </c>
      <c r="AP190" s="1596">
        <v>31.849999999999998</v>
      </c>
      <c r="AQ190" s="1595">
        <v>32.001911923859012</v>
      </c>
      <c r="AR190" s="1595">
        <v>23.464576991634761</v>
      </c>
      <c r="AS190" s="1595">
        <v>31.792406772147991</v>
      </c>
      <c r="AT190" s="1596">
        <v>34.124437645558224</v>
      </c>
      <c r="AU190" s="1595">
        <v>35.011840479141661</v>
      </c>
      <c r="AV190" s="1595">
        <v>25.671529516621057</v>
      </c>
      <c r="AW190" s="1595">
        <v>34.782630394171832</v>
      </c>
      <c r="AX190" s="1596">
        <v>37.333999610065447</v>
      </c>
      <c r="AY190" s="1595">
        <v>36.703552148808996</v>
      </c>
      <c r="AZ190" s="1595">
        <v>26.911933490452423</v>
      </c>
      <c r="BA190" s="1595">
        <v>36.46326702835853</v>
      </c>
      <c r="BB190" s="1844">
        <v>39.137913998780029</v>
      </c>
      <c r="BC190" s="954"/>
      <c r="BD190" s="954"/>
      <c r="BE190" s="1411">
        <f t="shared" si="280"/>
        <v>27.374548513368911</v>
      </c>
      <c r="BF190" s="1411">
        <f t="shared" si="281"/>
        <v>19.259057587071052</v>
      </c>
      <c r="BG190" s="1411">
        <f t="shared" si="282"/>
        <v>20.179617272122602</v>
      </c>
      <c r="BH190" s="1411">
        <f t="shared" si="283"/>
        <v>33.588291210462245</v>
      </c>
      <c r="BI190" s="1411">
        <f t="shared" si="284"/>
        <v>32.382919520239362</v>
      </c>
      <c r="BJ190" s="1411">
        <f t="shared" si="285"/>
        <v>25.975962036614511</v>
      </c>
      <c r="BK190" s="1413">
        <f t="shared" si="286"/>
        <v>23.540918321169034</v>
      </c>
      <c r="BL190" s="1413">
        <f t="shared" si="287"/>
        <v>26.472693616849629</v>
      </c>
      <c r="BM190" s="1413">
        <f t="shared" si="288"/>
        <v>28.976859305492653</v>
      </c>
      <c r="BN190" s="1413">
        <f t="shared" si="289"/>
        <v>30.3458333333</v>
      </c>
      <c r="BO190" s="1413">
        <f t="shared" si="290"/>
        <v>33.200000000000003</v>
      </c>
      <c r="BP190" s="1413">
        <f t="shared" si="291"/>
        <v>34.804166666599997</v>
      </c>
      <c r="BQ190" s="949"/>
      <c r="BR190" s="969"/>
      <c r="BS190" s="970"/>
      <c r="BU190" s="922"/>
      <c r="BV190" s="921"/>
      <c r="BW190" s="921"/>
      <c r="BX190" s="921"/>
    </row>
    <row r="191" spans="2:76" ht="12.75" customHeight="1">
      <c r="B191" s="1080"/>
      <c r="C191" s="1457" t="s">
        <v>687</v>
      </c>
      <c r="D191" s="1189"/>
      <c r="E191" s="1189"/>
      <c r="F191" s="1128"/>
      <c r="G191" s="1592">
        <v>37.117594064527246</v>
      </c>
      <c r="H191" s="1593">
        <v>19.113250432692308</v>
      </c>
      <c r="I191" s="1593">
        <v>25.547545279664849</v>
      </c>
      <c r="J191" s="1594">
        <v>27.749613651449284</v>
      </c>
      <c r="K191" s="1592">
        <v>18.722317882447662</v>
      </c>
      <c r="L191" s="1593">
        <v>9.3984892651098875</v>
      </c>
      <c r="M191" s="1593">
        <v>23.640035421195652</v>
      </c>
      <c r="N191" s="1594">
        <v>25.15623199827899</v>
      </c>
      <c r="O191" s="1592">
        <v>20.248332309583525</v>
      </c>
      <c r="P191" s="1593">
        <v>12.638521983745417</v>
      </c>
      <c r="Q191" s="1593">
        <v>18.538177578124998</v>
      </c>
      <c r="R191" s="1593">
        <v>27.611688596331518</v>
      </c>
      <c r="S191" s="1592">
        <v>32.535625475191225</v>
      </c>
      <c r="T191" s="1593">
        <v>29.389078711080582</v>
      </c>
      <c r="U191" s="1593">
        <v>33.408651492300713</v>
      </c>
      <c r="V191" s="1594">
        <v>39.111093514039872</v>
      </c>
      <c r="W191" s="1593">
        <v>43.573062782256443</v>
      </c>
      <c r="X191" s="1593">
        <v>25.133060753891947</v>
      </c>
      <c r="Y191" s="1593">
        <v>33.672098231107654</v>
      </c>
      <c r="Z191" s="1594">
        <v>32.79430912681805</v>
      </c>
      <c r="AA191" s="1593">
        <v>25.992472138601332</v>
      </c>
      <c r="AB191" s="1593">
        <v>27.16867147632129</v>
      </c>
      <c r="AC191" s="1593">
        <v>27.614825502717384</v>
      </c>
      <c r="AD191" s="1594">
        <v>26.110869571577393</v>
      </c>
      <c r="AE191" s="1593">
        <v>20.11139374158903</v>
      </c>
      <c r="AF191" s="1593">
        <v>21.2270874957483</v>
      </c>
      <c r="AG191" s="1595">
        <v>29.189901377458604</v>
      </c>
      <c r="AH191" s="1596">
        <v>28.44518337338728</v>
      </c>
      <c r="AI191" s="1595">
        <v>24.123383839646465</v>
      </c>
      <c r="AJ191" s="1595">
        <v>20.910626551641812</v>
      </c>
      <c r="AK191" s="1595">
        <v>30.198757360248454</v>
      </c>
      <c r="AL191" s="1596">
        <v>30.953927045121635</v>
      </c>
      <c r="AM191" s="1595">
        <v>29.637675953200478</v>
      </c>
      <c r="AN191" s="1595">
        <v>24.700000000000003</v>
      </c>
      <c r="AO191" s="1595">
        <v>32.199999999999996</v>
      </c>
      <c r="AP191" s="1596">
        <v>32.1</v>
      </c>
      <c r="AQ191" s="1595">
        <v>32.382642291161041</v>
      </c>
      <c r="AR191" s="1595">
        <v>24.129274044874869</v>
      </c>
      <c r="AS191" s="1595">
        <v>32.172365393166494</v>
      </c>
      <c r="AT191" s="1596">
        <v>36.099051603997601</v>
      </c>
      <c r="AU191" s="1595">
        <v>35.345392387291405</v>
      </c>
      <c r="AV191" s="1595">
        <v>26.336907639231747</v>
      </c>
      <c r="AW191" s="1595">
        <v>35.115876852309</v>
      </c>
      <c r="AX191" s="1596">
        <v>39.401823121167837</v>
      </c>
      <c r="AY191" s="1595">
        <v>37.010587696706686</v>
      </c>
      <c r="AZ191" s="1595">
        <v>27.577694403877224</v>
      </c>
      <c r="BA191" s="1595">
        <v>36.770259205169637</v>
      </c>
      <c r="BB191" s="1844">
        <v>41.258125360646446</v>
      </c>
      <c r="BC191" s="954"/>
      <c r="BD191" s="954"/>
      <c r="BE191" s="1411">
        <f t="shared" si="280"/>
        <v>27.382000857083419</v>
      </c>
      <c r="BF191" s="1411">
        <f t="shared" si="281"/>
        <v>19.229268641758047</v>
      </c>
      <c r="BG191" s="1411">
        <f t="shared" si="282"/>
        <v>19.759180116946364</v>
      </c>
      <c r="BH191" s="1411">
        <f t="shared" si="283"/>
        <v>33.611112298153103</v>
      </c>
      <c r="BI191" s="1411">
        <f t="shared" si="284"/>
        <v>33.793132723518525</v>
      </c>
      <c r="BJ191" s="1411">
        <f t="shared" si="285"/>
        <v>26.72170967230435</v>
      </c>
      <c r="BK191" s="1413">
        <f t="shared" si="286"/>
        <v>24.743391497045803</v>
      </c>
      <c r="BL191" s="1413">
        <f t="shared" si="287"/>
        <v>26.54667369916459</v>
      </c>
      <c r="BM191" s="1413">
        <f t="shared" si="288"/>
        <v>29.659418988300118</v>
      </c>
      <c r="BN191" s="1413">
        <f t="shared" si="289"/>
        <v>31.195833333300001</v>
      </c>
      <c r="BO191" s="1413">
        <f t="shared" si="290"/>
        <v>34.049999999999997</v>
      </c>
      <c r="BP191" s="1413">
        <f t="shared" si="291"/>
        <v>35.654166666599998</v>
      </c>
      <c r="BQ191" s="949"/>
      <c r="BR191" s="969"/>
      <c r="BS191" s="970"/>
      <c r="BU191" s="922"/>
      <c r="BV191" s="921"/>
      <c r="BW191" s="921"/>
      <c r="BX191" s="921"/>
    </row>
    <row r="192" spans="2:76" ht="12.75" customHeight="1">
      <c r="B192" s="1080"/>
      <c r="C192" s="1457" t="s">
        <v>688</v>
      </c>
      <c r="D192" s="1189"/>
      <c r="E192" s="1189"/>
      <c r="F192" s="1128"/>
      <c r="G192" s="1607">
        <v>37.893934426229499</v>
      </c>
      <c r="H192" s="1608">
        <v>20.846551724137928</v>
      </c>
      <c r="I192" s="1608">
        <v>25.973666666666677</v>
      </c>
      <c r="J192" s="1609">
        <v>29.371206896551723</v>
      </c>
      <c r="K192" s="1607">
        <v>16.248095238095239</v>
      </c>
      <c r="L192" s="1608">
        <v>8.8706896551724146</v>
      </c>
      <c r="M192" s="1608">
        <v>19.931132075471702</v>
      </c>
      <c r="N192" s="1609">
        <v>27.305689655172419</v>
      </c>
      <c r="O192" s="1607">
        <v>19.371833333333331</v>
      </c>
      <c r="P192" s="1608">
        <v>7.370967741935433E-2</v>
      </c>
      <c r="Q192" s="1608">
        <v>13.051400000000001</v>
      </c>
      <c r="R192" s="1608">
        <v>25.025692307692317</v>
      </c>
      <c r="S192" s="1607">
        <v>26.816410256410261</v>
      </c>
      <c r="T192" s="1608">
        <v>17.528181818181817</v>
      </c>
      <c r="U192" s="1608">
        <v>23.521739130434778</v>
      </c>
      <c r="V192" s="1609">
        <v>37.909999999999997</v>
      </c>
      <c r="W192" s="1608">
        <v>24.855277777777776</v>
      </c>
      <c r="X192" s="1608">
        <v>13.964473684210526</v>
      </c>
      <c r="Y192" s="1608">
        <v>27.640666666666668</v>
      </c>
      <c r="Z192" s="1609">
        <v>27.14555555555555</v>
      </c>
      <c r="AA192" s="1608">
        <v>15.056279069767442</v>
      </c>
      <c r="AB192" s="1608">
        <v>22.67235294117647</v>
      </c>
      <c r="AC192" s="1608">
        <v>22.541666666666668</v>
      </c>
      <c r="AD192" s="1609">
        <v>19.292727272727276</v>
      </c>
      <c r="AE192" s="1608">
        <v>14.811363636363636</v>
      </c>
      <c r="AF192" s="1608">
        <v>10.678222222222219</v>
      </c>
      <c r="AG192" s="1610">
        <v>23.4837037037037</v>
      </c>
      <c r="AH192" s="1611">
        <v>18.550377358490564</v>
      </c>
      <c r="AI192" s="1610">
        <v>17.034905660377362</v>
      </c>
      <c r="AJ192" s="1610">
        <v>3.7259375000000001</v>
      </c>
      <c r="AK192" s="1610">
        <v>23.68</v>
      </c>
      <c r="AL192" s="1611">
        <v>22.81</v>
      </c>
      <c r="AM192" s="1610">
        <v>17.439166666666669</v>
      </c>
      <c r="AN192" s="1610">
        <v>5.3999999999999995</v>
      </c>
      <c r="AO192" s="1610">
        <v>17.400000000000002</v>
      </c>
      <c r="AP192" s="1611">
        <v>20.55</v>
      </c>
      <c r="AQ192" s="1610">
        <v>24.123736367380481</v>
      </c>
      <c r="AR192" s="1610">
        <v>9.8099081391649516</v>
      </c>
      <c r="AS192" s="1610">
        <v>22.519600445252877</v>
      </c>
      <c r="AT192" s="1611">
        <v>19.730088381401686</v>
      </c>
      <c r="AU192" s="1610">
        <v>28.308843114166567</v>
      </c>
      <c r="AV192" s="1610">
        <v>11.511780192205842</v>
      </c>
      <c r="AW192" s="1610">
        <v>26.426413648774417</v>
      </c>
      <c r="AX192" s="1611">
        <v>23.152963044853177</v>
      </c>
      <c r="AY192" s="1610">
        <v>30.974011975501607</v>
      </c>
      <c r="AZ192" s="1610">
        <v>12.59557008722444</v>
      </c>
      <c r="BA192" s="1610">
        <v>28.914359005263648</v>
      </c>
      <c r="BB192" s="1846">
        <v>25.332725598410299</v>
      </c>
      <c r="BC192" s="954"/>
      <c r="BD192" s="954"/>
      <c r="BE192" s="1411">
        <f t="shared" si="280"/>
        <v>28.521339928396458</v>
      </c>
      <c r="BF192" s="1411">
        <f t="shared" si="281"/>
        <v>18.088901655977942</v>
      </c>
      <c r="BG192" s="1411">
        <f t="shared" si="282"/>
        <v>14.380658829611251</v>
      </c>
      <c r="BH192" s="1411">
        <f t="shared" si="283"/>
        <v>26.444082801256712</v>
      </c>
      <c r="BI192" s="1411">
        <f t="shared" si="284"/>
        <v>23.401493421052628</v>
      </c>
      <c r="BJ192" s="1411">
        <f t="shared" si="285"/>
        <v>19.890756487584465</v>
      </c>
      <c r="BK192" s="1413">
        <f t="shared" si="286"/>
        <v>16.880916730195029</v>
      </c>
      <c r="BL192" s="1413">
        <f t="shared" si="287"/>
        <v>16.812710790094339</v>
      </c>
      <c r="BM192" s="1413">
        <f t="shared" si="288"/>
        <v>15.197291666666668</v>
      </c>
      <c r="BN192" s="1413">
        <f t="shared" si="289"/>
        <v>19.045833333299999</v>
      </c>
      <c r="BO192" s="1413">
        <f t="shared" si="290"/>
        <v>22.35</v>
      </c>
      <c r="BP192" s="1413">
        <f t="shared" si="291"/>
        <v>24.454166666599995</v>
      </c>
      <c r="BQ192" s="949"/>
      <c r="BR192" s="969"/>
      <c r="BS192" s="970"/>
      <c r="BU192" s="922"/>
      <c r="BV192" s="921"/>
      <c r="BW192" s="921"/>
      <c r="BX192" s="921"/>
    </row>
    <row r="193" spans="2:76" ht="12.75" customHeight="1">
      <c r="B193" s="1080"/>
      <c r="C193" s="1457"/>
      <c r="D193" s="1189"/>
      <c r="E193" s="1189"/>
      <c r="F193" s="1191"/>
      <c r="G193" s="1592">
        <v>0</v>
      </c>
      <c r="H193" s="1593">
        <v>0</v>
      </c>
      <c r="I193" s="1593">
        <v>0</v>
      </c>
      <c r="J193" s="1594">
        <v>18.965745967741935</v>
      </c>
      <c r="K193" s="1592">
        <v>21.679500452898552</v>
      </c>
      <c r="L193" s="1593">
        <v>15.42058035714286</v>
      </c>
      <c r="M193" s="1593">
        <v>30.891255661231888</v>
      </c>
      <c r="N193" s="1594">
        <v>16.763071376811602</v>
      </c>
      <c r="O193" s="1592">
        <v>13.916985188724318</v>
      </c>
      <c r="P193" s="1593">
        <v>13.258952609890109</v>
      </c>
      <c r="Q193" s="1593">
        <v>19.372339221014496</v>
      </c>
      <c r="R193" s="1593">
        <v>20.709261096014483</v>
      </c>
      <c r="S193" s="1592">
        <v>20.440848782206118</v>
      </c>
      <c r="T193" s="1595">
        <v>23.552954441391933</v>
      </c>
      <c r="U193" s="1595">
        <v>25.64189198369565</v>
      </c>
      <c r="V193" s="1596">
        <v>26.4882361865942</v>
      </c>
      <c r="W193" s="1595">
        <v>32.272174315619957</v>
      </c>
      <c r="X193" s="1595">
        <v>31.134892399267407</v>
      </c>
      <c r="Y193" s="1595">
        <v>28.14129528985508</v>
      </c>
      <c r="Z193" s="1596">
        <v>25.026826811594209</v>
      </c>
      <c r="AA193" s="1595">
        <v>22.267231833735906</v>
      </c>
      <c r="AB193" s="1595">
        <v>19.322938415750922</v>
      </c>
      <c r="AC193" s="1595">
        <v>19.883229166666666</v>
      </c>
      <c r="AD193" s="1596">
        <v>14.538071105072467</v>
      </c>
      <c r="AE193" s="1595">
        <v>13.415166079391629</v>
      </c>
      <c r="AF193" s="1595">
        <v>13.686976877289379</v>
      </c>
      <c r="AG193" s="1595">
        <v>20.563768115942029</v>
      </c>
      <c r="AH193" s="1596">
        <v>17.754754528985508</v>
      </c>
      <c r="AI193" s="1595">
        <v>15.114614834943641</v>
      </c>
      <c r="AJ193" s="1595">
        <v>18.580832188644688</v>
      </c>
      <c r="AK193" s="1595">
        <v>21.66212522644927</v>
      </c>
      <c r="AL193" s="1596">
        <v>17.263756521739129</v>
      </c>
      <c r="AM193" s="1595">
        <v>17.088877969001611</v>
      </c>
      <c r="AN193" s="1595">
        <v>18.510540000000002</v>
      </c>
      <c r="AO193" s="1595">
        <v>27.807523333333336</v>
      </c>
      <c r="AP193" s="1596">
        <v>17.338083333333334</v>
      </c>
      <c r="AQ193" s="1595">
        <v>16.957303958202534</v>
      </c>
      <c r="AR193" s="1595">
        <v>14.649290816252094</v>
      </c>
      <c r="AS193" s="1595">
        <v>20.911155316984395</v>
      </c>
      <c r="AT193" s="1596">
        <v>16.626713241760964</v>
      </c>
      <c r="AU193" s="1595">
        <v>16.447007807315547</v>
      </c>
      <c r="AV193" s="1595">
        <v>14.208449705236832</v>
      </c>
      <c r="AW193" s="1595">
        <v>20.281875916487753</v>
      </c>
      <c r="AX193" s="1596">
        <v>16.126365557359861</v>
      </c>
      <c r="AY193" s="1595">
        <v>15.71573988720429</v>
      </c>
      <c r="AZ193" s="1595">
        <v>13.576712699595451</v>
      </c>
      <c r="BA193" s="1595">
        <v>19.380101843588751</v>
      </c>
      <c r="BB193" s="1844">
        <v>15.409354053611498</v>
      </c>
      <c r="BC193" s="954"/>
      <c r="BD193" s="954"/>
      <c r="BE193" s="1411"/>
      <c r="BF193" s="1411"/>
      <c r="BG193" s="1411"/>
      <c r="BH193" s="1411"/>
      <c r="BI193" s="1411"/>
      <c r="BJ193" s="1411"/>
      <c r="BK193" s="1411"/>
      <c r="BL193" s="1411"/>
      <c r="BM193" s="1411"/>
      <c r="BN193" s="1411"/>
      <c r="BO193" s="1411"/>
      <c r="BP193" s="1411"/>
      <c r="BQ193" s="949"/>
      <c r="BR193" s="950"/>
      <c r="BU193" s="922"/>
      <c r="BV193" s="921"/>
      <c r="BW193" s="921"/>
      <c r="BX193" s="921"/>
    </row>
    <row r="194" spans="2:76" ht="12.75" customHeight="1">
      <c r="B194" s="1080"/>
      <c r="C194" s="1460" t="s">
        <v>689</v>
      </c>
      <c r="D194" s="1125"/>
      <c r="E194" s="1125"/>
      <c r="F194" s="1126"/>
      <c r="G194" s="1598"/>
      <c r="H194" s="1599"/>
      <c r="I194" s="1599"/>
      <c r="J194" s="1600"/>
      <c r="K194" s="1598"/>
      <c r="L194" s="1599"/>
      <c r="M194" s="1599"/>
      <c r="N194" s="1600"/>
      <c r="O194" s="1598"/>
      <c r="P194" s="1599"/>
      <c r="Q194" s="1599"/>
      <c r="R194" s="1599"/>
      <c r="S194" s="1606"/>
      <c r="T194" s="1601"/>
      <c r="U194" s="1601"/>
      <c r="V194" s="1603"/>
      <c r="W194" s="1601"/>
      <c r="X194" s="1601"/>
      <c r="Y194" s="1601"/>
      <c r="Z194" s="1603"/>
      <c r="AA194" s="1601"/>
      <c r="AB194" s="1604"/>
      <c r="AC194" s="1604"/>
      <c r="AD194" s="1605"/>
      <c r="AE194" s="1601"/>
      <c r="AF194" s="1604"/>
      <c r="AG194" s="1604"/>
      <c r="AH194" s="1605"/>
      <c r="AI194" s="1604"/>
      <c r="AJ194" s="1604"/>
      <c r="AK194" s="1604"/>
      <c r="AL194" s="1605"/>
      <c r="AM194" s="1604"/>
      <c r="AN194" s="1604"/>
      <c r="AO194" s="1604"/>
      <c r="AP194" s="1605"/>
      <c r="AQ194" s="1604"/>
      <c r="AR194" s="1604"/>
      <c r="AS194" s="1604"/>
      <c r="AT194" s="1605"/>
      <c r="AU194" s="1604"/>
      <c r="AV194" s="1604"/>
      <c r="AW194" s="1604"/>
      <c r="AX194" s="1605"/>
      <c r="AY194" s="1604"/>
      <c r="AZ194" s="1604"/>
      <c r="BA194" s="1604"/>
      <c r="BB194" s="1845"/>
      <c r="BC194" s="961"/>
      <c r="BD194" s="962"/>
      <c r="BE194" s="1416"/>
      <c r="BF194" s="1416"/>
      <c r="BG194" s="1416"/>
      <c r="BH194" s="1416"/>
      <c r="BI194" s="1416"/>
      <c r="BJ194" s="1416"/>
      <c r="BK194" s="1416"/>
      <c r="BL194" s="1416"/>
      <c r="BM194" s="1416"/>
      <c r="BN194" s="1416"/>
      <c r="BO194" s="1416"/>
      <c r="BP194" s="1416"/>
      <c r="BQ194" s="949"/>
      <c r="BR194" s="968"/>
      <c r="BU194" s="922"/>
      <c r="BV194" s="921"/>
      <c r="BW194" s="921"/>
      <c r="BX194" s="921"/>
    </row>
    <row r="195" spans="2:76" ht="12.75" customHeight="1">
      <c r="B195" s="1080"/>
      <c r="C195" s="1461" t="s">
        <v>690</v>
      </c>
      <c r="D195" s="1189"/>
      <c r="E195" s="1189"/>
      <c r="F195" s="1191"/>
      <c r="G195" s="1592"/>
      <c r="H195" s="1593"/>
      <c r="I195" s="1593"/>
      <c r="J195" s="1594"/>
      <c r="K195" s="1592"/>
      <c r="L195" s="1593"/>
      <c r="M195" s="1593"/>
      <c r="N195" s="1594"/>
      <c r="O195" s="1592"/>
      <c r="P195" s="1593"/>
      <c r="Q195" s="1593"/>
      <c r="R195" s="1593"/>
      <c r="S195" s="1592"/>
      <c r="T195" s="1595"/>
      <c r="U195" s="1595"/>
      <c r="V195" s="1596"/>
      <c r="W195" s="1595"/>
      <c r="X195" s="1595"/>
      <c r="Y195" s="1595"/>
      <c r="Z195" s="1596"/>
      <c r="AA195" s="1595"/>
      <c r="AB195" s="1595"/>
      <c r="AC195" s="1595"/>
      <c r="AD195" s="1596"/>
      <c r="AE195" s="1595"/>
      <c r="AF195" s="1595"/>
      <c r="AG195" s="1595"/>
      <c r="AH195" s="1596"/>
      <c r="AI195" s="1595"/>
      <c r="AJ195" s="1595"/>
      <c r="AK195" s="1595"/>
      <c r="AL195" s="1596"/>
      <c r="AM195" s="1595"/>
      <c r="AN195" s="1595"/>
      <c r="AO195" s="1595"/>
      <c r="AP195" s="1596"/>
      <c r="AQ195" s="1595"/>
      <c r="AR195" s="1595"/>
      <c r="AS195" s="1595"/>
      <c r="AT195" s="1596"/>
      <c r="AU195" s="1595"/>
      <c r="AV195" s="1595"/>
      <c r="AW195" s="1595"/>
      <c r="AX195" s="1596"/>
      <c r="AY195" s="1595"/>
      <c r="AZ195" s="1595"/>
      <c r="BA195" s="1595"/>
      <c r="BB195" s="1844"/>
      <c r="BC195" s="954"/>
      <c r="BD195" s="954"/>
      <c r="BE195" s="1411"/>
      <c r="BF195" s="1411"/>
      <c r="BG195" s="1411"/>
      <c r="BH195" s="1413"/>
      <c r="BI195" s="1413"/>
      <c r="BJ195" s="1413"/>
      <c r="BK195" s="1413"/>
      <c r="BL195" s="1413"/>
      <c r="BM195" s="1413"/>
      <c r="BN195" s="1413"/>
      <c r="BO195" s="1413"/>
      <c r="BP195" s="1413"/>
      <c r="BQ195" s="949"/>
      <c r="BR195" s="968"/>
      <c r="BU195" s="922"/>
      <c r="BV195" s="921"/>
      <c r="BW195" s="921"/>
      <c r="BX195" s="921"/>
    </row>
    <row r="196" spans="2:76" ht="12.75" customHeight="1">
      <c r="B196" s="1080"/>
      <c r="C196" s="1457" t="s">
        <v>14</v>
      </c>
      <c r="D196" s="1189"/>
      <c r="E196" s="1189"/>
      <c r="F196" s="1191"/>
      <c r="G196" s="1592">
        <v>1.3604838709677409</v>
      </c>
      <c r="H196" s="1593">
        <v>0.36958730158730102</v>
      </c>
      <c r="I196" s="1593">
        <v>0.37103124999999881</v>
      </c>
      <c r="J196" s="1594">
        <v>2.0107384615384656</v>
      </c>
      <c r="K196" s="1592">
        <v>2.7836406250000012</v>
      </c>
      <c r="L196" s="1593">
        <v>0.38664062500000007</v>
      </c>
      <c r="M196" s="1593">
        <v>0.58382812500000192</v>
      </c>
      <c r="N196" s="1594">
        <v>0.35206349206349286</v>
      </c>
      <c r="O196" s="1592">
        <v>0.80777777777777793</v>
      </c>
      <c r="P196" s="1593">
        <v>0.20609523809523767</v>
      </c>
      <c r="Q196" s="1593">
        <v>0.18090476190476101</v>
      </c>
      <c r="R196" s="1593">
        <v>0.52926562499999807</v>
      </c>
      <c r="S196" s="1592">
        <v>4.3436166666666658</v>
      </c>
      <c r="T196" s="1593">
        <v>0.30776562499999827</v>
      </c>
      <c r="U196" s="1593">
        <v>0.20923437499999897</v>
      </c>
      <c r="V196" s="1594">
        <v>0.48042187499999889</v>
      </c>
      <c r="W196" s="1592">
        <v>11.865918032786885</v>
      </c>
      <c r="X196" s="1593">
        <v>-0.87728124999999935</v>
      </c>
      <c r="Y196" s="1593">
        <v>-1.3732187500000017</v>
      </c>
      <c r="Z196" s="1594">
        <v>-0.57965624999999754</v>
      </c>
      <c r="AA196" s="1592">
        <v>6.0189193548387117</v>
      </c>
      <c r="AB196" s="1593">
        <v>-0.25368253968253818</v>
      </c>
      <c r="AC196" s="1593">
        <v>-0.4931562499999993</v>
      </c>
      <c r="AD196" s="1594">
        <v>-0.2235238095238099</v>
      </c>
      <c r="AE196" s="1592">
        <v>0.49621311475409802</v>
      </c>
      <c r="AF196" s="1593">
        <v>-0.43893749999999998</v>
      </c>
      <c r="AG196" s="1595">
        <v>-0.95798437499999922</v>
      </c>
      <c r="AH196" s="1596">
        <v>-0.3514999999999997</v>
      </c>
      <c r="AI196" s="1595">
        <v>0.30054838709677556</v>
      </c>
      <c r="AJ196" s="1595">
        <v>-0.38845312499999896</v>
      </c>
      <c r="AK196" s="1595">
        <v>-0.54298412698412557</v>
      </c>
      <c r="AL196" s="1596">
        <v>0.63106451612903358</v>
      </c>
      <c r="AM196" s="1595">
        <v>4.698950819672131</v>
      </c>
      <c r="AN196" s="1595">
        <v>-0.19166666666666643</v>
      </c>
      <c r="AO196" s="1595">
        <v>-0.30999999999999961</v>
      </c>
      <c r="AP196" s="1596">
        <v>0.25666666666666638</v>
      </c>
      <c r="AQ196" s="1595">
        <v>1.637734667576852</v>
      </c>
      <c r="AR196" s="1595">
        <v>-0.69677150590554215</v>
      </c>
      <c r="AS196" s="1595">
        <v>-0.82532002718121711</v>
      </c>
      <c r="AT196" s="1596">
        <v>1.5445568651099078</v>
      </c>
      <c r="AU196" s="1595">
        <v>1.6691288195742207</v>
      </c>
      <c r="AV196" s="1595">
        <v>-0.704374459769459</v>
      </c>
      <c r="AW196" s="1595">
        <v>-0.83498911122825525</v>
      </c>
      <c r="AX196" s="1596">
        <v>1.5745847514234943</v>
      </c>
      <c r="AY196" s="1595">
        <v>1.7632770950378909</v>
      </c>
      <c r="AZ196" s="1595">
        <v>-0.69298925565485447</v>
      </c>
      <c r="BA196" s="1595">
        <v>-0.82743500086795607</v>
      </c>
      <c r="BB196" s="1844">
        <v>1.6671304946849221</v>
      </c>
      <c r="BC196" s="954"/>
      <c r="BD196" s="954"/>
      <c r="BE196" s="1411">
        <f t="shared" ref="BE196:BE211" si="292">AVERAGE(G196:J196)</f>
        <v>1.0279602210233767</v>
      </c>
      <c r="BF196" s="1411">
        <f t="shared" ref="BF196:BF211" si="293">AVERAGE(K196:N196)</f>
        <v>1.0265432167658739</v>
      </c>
      <c r="BG196" s="1411">
        <f t="shared" ref="BG196:BG211" si="294">AVERAGE(O196:R196)</f>
        <v>0.43101085069444367</v>
      </c>
      <c r="BH196" s="1413">
        <f t="shared" ref="BH196:BH211" si="295">AVERAGE(S196:V196)</f>
        <v>1.3352596354166657</v>
      </c>
      <c r="BI196" s="1413">
        <f t="shared" ref="BI196:BI211" si="296">AVERAGE(W196:Z196)</f>
        <v>2.2589404456967217</v>
      </c>
      <c r="BJ196" s="1413">
        <f t="shared" ref="BJ196:BJ211" si="297">AVERAGE(AA196:AD196)</f>
        <v>1.2621391889080911</v>
      </c>
      <c r="BK196" s="1413">
        <f t="shared" ref="BK196:BK211" si="298">AVERAGE(AE196:AH196)</f>
        <v>-0.31305219006147522</v>
      </c>
      <c r="BL196" s="1413">
        <f t="shared" ref="BL196:BL211" si="299">AVERAGE(AI196:AL196)</f>
        <v>4.3912810421153914E-5</v>
      </c>
      <c r="BM196" s="1413">
        <f t="shared" ref="BM196:BM211" si="300">AVERAGE(AM196:AP196)</f>
        <v>1.113487704918033</v>
      </c>
      <c r="BN196" s="1413">
        <f t="shared" ref="BN196:BN211" si="301">AVERAGE(AQ196:AT196)</f>
        <v>0.41504999990000013</v>
      </c>
      <c r="BO196" s="1413">
        <f t="shared" ref="BO196:BO211" si="302">AVERAGE(AU196:AX196)</f>
        <v>0.42608750000000017</v>
      </c>
      <c r="BP196" s="1413">
        <f t="shared" ref="BP196:BP211" si="303">AVERAGE(AY196:BB196)</f>
        <v>0.47749583330000062</v>
      </c>
      <c r="BQ196" s="949"/>
      <c r="BR196" s="969"/>
      <c r="BS196" s="970"/>
      <c r="BU196" s="922"/>
      <c r="BV196" s="921"/>
      <c r="BW196" s="921"/>
      <c r="BX196" s="921"/>
    </row>
    <row r="197" spans="2:76" ht="12.75" customHeight="1">
      <c r="B197" s="1080"/>
      <c r="C197" s="1457" t="s">
        <v>691</v>
      </c>
      <c r="D197" s="1189"/>
      <c r="E197" s="1189"/>
      <c r="F197" s="1191"/>
      <c r="G197" s="1592">
        <v>0.89172580645161226</v>
      </c>
      <c r="H197" s="1593">
        <v>0.34730158730158944</v>
      </c>
      <c r="I197" s="1593">
        <v>0.35659375000000004</v>
      </c>
      <c r="J197" s="1594">
        <v>1.4691538461538483</v>
      </c>
      <c r="K197" s="1592">
        <v>1.7646250000000014</v>
      </c>
      <c r="L197" s="1593">
        <v>0.28798437500000063</v>
      </c>
      <c r="M197" s="1593">
        <v>0.25414062500000068</v>
      </c>
      <c r="N197" s="1594">
        <v>0.24365079365079412</v>
      </c>
      <c r="O197" s="1592">
        <v>0.31452380952380965</v>
      </c>
      <c r="P197" s="1593">
        <v>0.1599206349206348</v>
      </c>
      <c r="Q197" s="1593">
        <v>0.16882539682539655</v>
      </c>
      <c r="R197" s="1593">
        <v>0.26892187499999887</v>
      </c>
      <c r="S197" s="1592">
        <v>0.819599999999999</v>
      </c>
      <c r="T197" s="1593">
        <v>0.11882812499999851</v>
      </c>
      <c r="U197" s="1593">
        <v>-1.3265625000001169E-2</v>
      </c>
      <c r="V197" s="1594">
        <v>0.14118750000000091</v>
      </c>
      <c r="W197" s="1592">
        <v>7.5181639344262283</v>
      </c>
      <c r="X197" s="1593">
        <v>-0.89420312500000065</v>
      </c>
      <c r="Y197" s="1593">
        <v>-1.4395156250000012</v>
      </c>
      <c r="Z197" s="1594">
        <v>-1.017578125</v>
      </c>
      <c r="AA197" s="1592">
        <v>3.554258064516127</v>
      </c>
      <c r="AB197" s="1593">
        <v>-1.1179206349206339</v>
      </c>
      <c r="AC197" s="1593">
        <v>-1.3916093749999998</v>
      </c>
      <c r="AD197" s="1594">
        <v>-0.84366666666666723</v>
      </c>
      <c r="AE197" s="1592">
        <v>-0.15401639344262286</v>
      </c>
      <c r="AF197" s="1593">
        <v>-0.55339062499999958</v>
      </c>
      <c r="AG197" s="1595">
        <v>-1.5273593749999999</v>
      </c>
      <c r="AH197" s="1596">
        <v>-0.79788709677419334</v>
      </c>
      <c r="AI197" s="1595">
        <v>-1.6838709677418517E-2</v>
      </c>
      <c r="AJ197" s="1595">
        <v>-0.56160937500000019</v>
      </c>
      <c r="AK197" s="1595">
        <v>-1.2109841269841268</v>
      </c>
      <c r="AL197" s="1596">
        <v>-0.13975806451612982</v>
      </c>
      <c r="AM197" s="1595">
        <v>3.4441967213114757</v>
      </c>
      <c r="AN197" s="1595">
        <v>-0.46333333333333293</v>
      </c>
      <c r="AO197" s="1595">
        <v>-0.59499999999999975</v>
      </c>
      <c r="AP197" s="1596">
        <v>-0.21666666666666679</v>
      </c>
      <c r="AQ197" s="1595">
        <v>0.74457975965344758</v>
      </c>
      <c r="AR197" s="1595">
        <v>-0.76430483819771866</v>
      </c>
      <c r="AS197" s="1595">
        <v>-0.78296558457066712</v>
      </c>
      <c r="AT197" s="1596">
        <v>0.8235214539149398</v>
      </c>
      <c r="AU197" s="1595">
        <v>0.64485745238273218</v>
      </c>
      <c r="AV197" s="1595">
        <v>-0.82982612063011629</v>
      </c>
      <c r="AW197" s="1595">
        <v>-0.84922019602346377</v>
      </c>
      <c r="AX197" s="1596">
        <v>0.71921711267084909</v>
      </c>
      <c r="AY197" s="1595">
        <v>0.64402689825038939</v>
      </c>
      <c r="AZ197" s="1595">
        <v>-0.85250267876937125</v>
      </c>
      <c r="BA197" s="1595">
        <v>-0.87232898455971686</v>
      </c>
      <c r="BB197" s="1844">
        <v>0.71913809827870034</v>
      </c>
      <c r="BC197" s="954"/>
      <c r="BD197" s="954"/>
      <c r="BE197" s="1411">
        <f t="shared" si="292"/>
        <v>0.7661937474767625</v>
      </c>
      <c r="BF197" s="1411">
        <f t="shared" si="293"/>
        <v>0.63760019841269922</v>
      </c>
      <c r="BG197" s="1411">
        <f t="shared" si="294"/>
        <v>0.22804792906745996</v>
      </c>
      <c r="BH197" s="1413">
        <f t="shared" si="295"/>
        <v>0.26658749999999931</v>
      </c>
      <c r="BI197" s="1413">
        <f t="shared" si="296"/>
        <v>1.0417167648565566</v>
      </c>
      <c r="BJ197" s="1413">
        <f t="shared" si="297"/>
        <v>5.0265346982206582E-2</v>
      </c>
      <c r="BK197" s="1413">
        <f t="shared" si="298"/>
        <v>-0.75816337255420385</v>
      </c>
      <c r="BL197" s="1413">
        <f t="shared" si="299"/>
        <v>-0.48229756904441884</v>
      </c>
      <c r="BM197" s="1413">
        <f t="shared" si="300"/>
        <v>0.54229918032786906</v>
      </c>
      <c r="BN197" s="1413">
        <f t="shared" si="301"/>
        <v>5.2076977000004021E-3</v>
      </c>
      <c r="BO197" s="1413">
        <f t="shared" si="302"/>
        <v>-7.8742937899999699E-2</v>
      </c>
      <c r="BP197" s="1413">
        <f t="shared" si="303"/>
        <v>-9.0416666699999593E-2</v>
      </c>
      <c r="BQ197" s="949"/>
      <c r="BR197" s="950"/>
      <c r="BU197" s="922"/>
      <c r="BV197" s="921"/>
      <c r="BW197" s="921"/>
      <c r="BX197" s="921"/>
    </row>
    <row r="198" spans="2:76" ht="12.75" customHeight="1">
      <c r="B198" s="1080"/>
      <c r="C198" s="1457" t="s">
        <v>52</v>
      </c>
      <c r="D198" s="1189"/>
      <c r="E198" s="1189"/>
      <c r="F198" s="1191"/>
      <c r="G198" s="1592">
        <v>1.3604838709677409</v>
      </c>
      <c r="H198" s="1593">
        <v>0.36958730158730102</v>
      </c>
      <c r="I198" s="1593">
        <v>0.37103124999999881</v>
      </c>
      <c r="J198" s="1594">
        <v>2.0107384615384656</v>
      </c>
      <c r="K198" s="1592">
        <v>2.7836406250000012</v>
      </c>
      <c r="L198" s="1593">
        <v>0.38664062500000007</v>
      </c>
      <c r="M198" s="1593">
        <v>0.58382812500000192</v>
      </c>
      <c r="N198" s="1594">
        <v>0.35206349206349286</v>
      </c>
      <c r="O198" s="1592">
        <v>0.80777777777777793</v>
      </c>
      <c r="P198" s="1593">
        <v>0.20609523809523767</v>
      </c>
      <c r="Q198" s="1593">
        <v>0.18090476190476101</v>
      </c>
      <c r="R198" s="1593">
        <v>0.52926562499999807</v>
      </c>
      <c r="S198" s="1592">
        <v>4.3436166666666658</v>
      </c>
      <c r="T198" s="1593">
        <v>0.30776562499999827</v>
      </c>
      <c r="U198" s="1593">
        <v>0.20923437499999897</v>
      </c>
      <c r="V198" s="1594">
        <v>0.48042187499999889</v>
      </c>
      <c r="W198" s="1592">
        <v>11.865918032786885</v>
      </c>
      <c r="X198" s="1593">
        <v>-0.87728124999999935</v>
      </c>
      <c r="Y198" s="1593">
        <v>-1.3732187500000017</v>
      </c>
      <c r="Z198" s="1594">
        <v>-0.57965624999999754</v>
      </c>
      <c r="AA198" s="1592">
        <v>6.0189193548387117</v>
      </c>
      <c r="AB198" s="1593">
        <v>-0.25368253968253818</v>
      </c>
      <c r="AC198" s="1593">
        <v>-0.4931562499999993</v>
      </c>
      <c r="AD198" s="1594">
        <v>-0.2235238095238099</v>
      </c>
      <c r="AE198" s="1592">
        <v>0.49621311475409802</v>
      </c>
      <c r="AF198" s="1593">
        <v>-0.43893749999999998</v>
      </c>
      <c r="AG198" s="1595">
        <v>-0.95798437499999922</v>
      </c>
      <c r="AH198" s="1596">
        <v>-0.3514999999999997</v>
      </c>
      <c r="AI198" s="1595">
        <v>0.30054838709677556</v>
      </c>
      <c r="AJ198" s="1595">
        <v>-0.38845312499999896</v>
      </c>
      <c r="AK198" s="1595">
        <v>-0.54298412698412557</v>
      </c>
      <c r="AL198" s="1596">
        <v>0.63106451612903358</v>
      </c>
      <c r="AM198" s="1595">
        <v>4.698950819672131</v>
      </c>
      <c r="AN198" s="1595">
        <v>-0.19166666666666643</v>
      </c>
      <c r="AO198" s="1595">
        <v>-0.30999999999999961</v>
      </c>
      <c r="AP198" s="1596">
        <v>0.25666666666666638</v>
      </c>
      <c r="AQ198" s="1595">
        <v>1.637734667576852</v>
      </c>
      <c r="AR198" s="1595">
        <v>-0.69677150590554215</v>
      </c>
      <c r="AS198" s="1595">
        <v>-0.82532002718121711</v>
      </c>
      <c r="AT198" s="1596">
        <v>1.5445568651099078</v>
      </c>
      <c r="AU198" s="1595">
        <v>1.6691288195742207</v>
      </c>
      <c r="AV198" s="1595">
        <v>-0.704374459769459</v>
      </c>
      <c r="AW198" s="1595">
        <v>-0.83498911122825525</v>
      </c>
      <c r="AX198" s="1596">
        <v>1.5745847514234943</v>
      </c>
      <c r="AY198" s="1595">
        <v>1.7632770950378909</v>
      </c>
      <c r="AZ198" s="1595">
        <v>-0.69298925565485447</v>
      </c>
      <c r="BA198" s="1595">
        <v>-0.82743500086795607</v>
      </c>
      <c r="BB198" s="1844">
        <v>1.6671304946849221</v>
      </c>
      <c r="BC198" s="954"/>
      <c r="BD198" s="954"/>
      <c r="BE198" s="1411">
        <f t="shared" si="292"/>
        <v>1.0279602210233767</v>
      </c>
      <c r="BF198" s="1411">
        <f t="shared" si="293"/>
        <v>1.0265432167658739</v>
      </c>
      <c r="BG198" s="1411">
        <f t="shared" si="294"/>
        <v>0.43101085069444367</v>
      </c>
      <c r="BH198" s="1413">
        <f t="shared" si="295"/>
        <v>1.3352596354166657</v>
      </c>
      <c r="BI198" s="1413">
        <f t="shared" si="296"/>
        <v>2.2589404456967217</v>
      </c>
      <c r="BJ198" s="1413">
        <f t="shared" si="297"/>
        <v>1.2621391889080911</v>
      </c>
      <c r="BK198" s="1413">
        <f t="shared" si="298"/>
        <v>-0.31305219006147522</v>
      </c>
      <c r="BL198" s="1413">
        <f t="shared" si="299"/>
        <v>4.3912810421153914E-5</v>
      </c>
      <c r="BM198" s="1413">
        <f t="shared" si="300"/>
        <v>1.113487704918033</v>
      </c>
      <c r="BN198" s="1413">
        <f t="shared" si="301"/>
        <v>0.41504999990000013</v>
      </c>
      <c r="BO198" s="1413">
        <f t="shared" si="302"/>
        <v>0.42608750000000017</v>
      </c>
      <c r="BP198" s="1413">
        <f t="shared" si="303"/>
        <v>0.47749583330000062</v>
      </c>
      <c r="BQ198" s="949"/>
      <c r="BR198" s="950"/>
      <c r="BU198" s="922"/>
      <c r="BV198" s="921"/>
      <c r="BW198" s="921"/>
      <c r="BX198" s="921"/>
    </row>
    <row r="199" spans="2:76" ht="12.75" customHeight="1">
      <c r="B199" s="1080"/>
      <c r="C199" s="1457" t="s">
        <v>53</v>
      </c>
      <c r="D199" s="1189"/>
      <c r="E199" s="1189"/>
      <c r="F199" s="1191"/>
      <c r="G199" s="1592">
        <v>1.3604838709677409</v>
      </c>
      <c r="H199" s="1593">
        <v>0.36958730158730102</v>
      </c>
      <c r="I199" s="1593">
        <v>0.37103124999999881</v>
      </c>
      <c r="J199" s="1594">
        <v>2.0107384615384656</v>
      </c>
      <c r="K199" s="1592">
        <v>2.7836406250000012</v>
      </c>
      <c r="L199" s="1593">
        <v>0.38664062500000007</v>
      </c>
      <c r="M199" s="1593">
        <v>0.58382812500000192</v>
      </c>
      <c r="N199" s="1594">
        <v>0.35206349206349286</v>
      </c>
      <c r="O199" s="1592">
        <v>0.80777777777777793</v>
      </c>
      <c r="P199" s="1593">
        <v>0.20609523809523767</v>
      </c>
      <c r="Q199" s="1593">
        <v>0.18090476190476101</v>
      </c>
      <c r="R199" s="1593">
        <v>0.52926562499999807</v>
      </c>
      <c r="S199" s="1592">
        <v>4.3436166666666658</v>
      </c>
      <c r="T199" s="1593">
        <v>0.30776562499999827</v>
      </c>
      <c r="U199" s="1593">
        <v>0.20923437499999897</v>
      </c>
      <c r="V199" s="1594">
        <v>0.48042187499999889</v>
      </c>
      <c r="W199" s="1592">
        <v>11.865918032786885</v>
      </c>
      <c r="X199" s="1593">
        <v>-0.87728124999999935</v>
      </c>
      <c r="Y199" s="1593">
        <v>-1.3732187500000017</v>
      </c>
      <c r="Z199" s="1594">
        <v>-0.57965624999999754</v>
      </c>
      <c r="AA199" s="1592">
        <v>6.0189193548387117</v>
      </c>
      <c r="AB199" s="1593">
        <v>-0.25368253968253818</v>
      </c>
      <c r="AC199" s="1593">
        <v>-0.4931562499999993</v>
      </c>
      <c r="AD199" s="1594">
        <v>-0.2235238095238099</v>
      </c>
      <c r="AE199" s="1592">
        <v>0.49621311475409802</v>
      </c>
      <c r="AF199" s="1593">
        <v>-0.43893749999999998</v>
      </c>
      <c r="AG199" s="1595">
        <v>-0.95798437499999922</v>
      </c>
      <c r="AH199" s="1596">
        <v>-0.3514999999999997</v>
      </c>
      <c r="AI199" s="1595">
        <v>0.30054838709677556</v>
      </c>
      <c r="AJ199" s="1595">
        <v>-0.38845312499999896</v>
      </c>
      <c r="AK199" s="1595">
        <v>-0.54298412698412557</v>
      </c>
      <c r="AL199" s="1596">
        <v>0.63106451612903358</v>
      </c>
      <c r="AM199" s="1595">
        <v>4.698950819672131</v>
      </c>
      <c r="AN199" s="1595">
        <v>-0.19166666666666643</v>
      </c>
      <c r="AO199" s="1595">
        <v>-0.30999999999999961</v>
      </c>
      <c r="AP199" s="1596">
        <v>0.25666666666666638</v>
      </c>
      <c r="AQ199" s="1595">
        <v>1.637734667576852</v>
      </c>
      <c r="AR199" s="1595">
        <v>-0.69677150590554215</v>
      </c>
      <c r="AS199" s="1595">
        <v>-0.82532002718121711</v>
      </c>
      <c r="AT199" s="1596">
        <v>1.5445568651099078</v>
      </c>
      <c r="AU199" s="1595">
        <v>1.6691288195742207</v>
      </c>
      <c r="AV199" s="1595">
        <v>-0.704374459769459</v>
      </c>
      <c r="AW199" s="1595">
        <v>-0.83498911122825525</v>
      </c>
      <c r="AX199" s="1596">
        <v>1.5745847514234943</v>
      </c>
      <c r="AY199" s="1595">
        <v>1.7632770950378909</v>
      </c>
      <c r="AZ199" s="1595">
        <v>-0.69298925565485447</v>
      </c>
      <c r="BA199" s="1595">
        <v>-0.82743500086795607</v>
      </c>
      <c r="BB199" s="1844">
        <v>1.6671304946849221</v>
      </c>
      <c r="BC199" s="954"/>
      <c r="BD199" s="954"/>
      <c r="BE199" s="1411">
        <f t="shared" si="292"/>
        <v>1.0279602210233767</v>
      </c>
      <c r="BF199" s="1411">
        <f t="shared" si="293"/>
        <v>1.0265432167658739</v>
      </c>
      <c r="BG199" s="1411">
        <f t="shared" si="294"/>
        <v>0.43101085069444367</v>
      </c>
      <c r="BH199" s="1413">
        <f t="shared" si="295"/>
        <v>1.3352596354166657</v>
      </c>
      <c r="BI199" s="1413">
        <f t="shared" si="296"/>
        <v>2.2589404456967217</v>
      </c>
      <c r="BJ199" s="1413">
        <f t="shared" si="297"/>
        <v>1.2621391889080911</v>
      </c>
      <c r="BK199" s="1413">
        <f t="shared" si="298"/>
        <v>-0.31305219006147522</v>
      </c>
      <c r="BL199" s="1413">
        <f t="shared" si="299"/>
        <v>4.3912810421153914E-5</v>
      </c>
      <c r="BM199" s="1413">
        <f t="shared" si="300"/>
        <v>1.113487704918033</v>
      </c>
      <c r="BN199" s="1413">
        <f t="shared" si="301"/>
        <v>0.41504999990000013</v>
      </c>
      <c r="BO199" s="1413">
        <f t="shared" si="302"/>
        <v>0.42608750000000017</v>
      </c>
      <c r="BP199" s="1413">
        <f t="shared" si="303"/>
        <v>0.47749583330000062</v>
      </c>
      <c r="BQ199" s="949"/>
      <c r="BR199" s="950"/>
      <c r="BU199" s="922"/>
      <c r="BV199" s="921"/>
      <c r="BW199" s="921"/>
      <c r="BX199" s="921"/>
    </row>
    <row r="200" spans="2:76" ht="12.75" customHeight="1">
      <c r="B200" s="1080"/>
      <c r="C200" s="1459" t="s">
        <v>692</v>
      </c>
      <c r="D200" s="1130"/>
      <c r="E200" s="1130"/>
      <c r="F200" s="1136"/>
      <c r="G200" s="1592">
        <v>0.89172580645161226</v>
      </c>
      <c r="H200" s="1593">
        <v>0.34730158730158944</v>
      </c>
      <c r="I200" s="1593">
        <v>0.35659375000000004</v>
      </c>
      <c r="J200" s="1594">
        <v>1.4691538461538483</v>
      </c>
      <c r="K200" s="1592">
        <v>1.7646250000000014</v>
      </c>
      <c r="L200" s="1593">
        <v>0.28798437500000063</v>
      </c>
      <c r="M200" s="1593">
        <v>0.25414062500000068</v>
      </c>
      <c r="N200" s="1594">
        <v>0.24365079365079412</v>
      </c>
      <c r="O200" s="1592">
        <v>0.31452380952380965</v>
      </c>
      <c r="P200" s="1593">
        <v>0.1599206349206348</v>
      </c>
      <c r="Q200" s="1593">
        <v>0.16882539682539655</v>
      </c>
      <c r="R200" s="1593">
        <v>0.26892187499999887</v>
      </c>
      <c r="S200" s="1592">
        <v>0.819599999999999</v>
      </c>
      <c r="T200" s="1593">
        <v>0.11882812499999851</v>
      </c>
      <c r="U200" s="1593">
        <v>-1.3265625000001169E-2</v>
      </c>
      <c r="V200" s="1594">
        <v>0.14118750000000091</v>
      </c>
      <c r="W200" s="1592">
        <v>7.5181639344262283</v>
      </c>
      <c r="X200" s="1593">
        <v>-0.89420312500000065</v>
      </c>
      <c r="Y200" s="1593">
        <v>-1.4395156250000012</v>
      </c>
      <c r="Z200" s="1594">
        <v>-1.017578125</v>
      </c>
      <c r="AA200" s="1592">
        <v>3.554258064516127</v>
      </c>
      <c r="AB200" s="1593">
        <v>-1.1179206349206339</v>
      </c>
      <c r="AC200" s="1593">
        <v>-1.3916093749999998</v>
      </c>
      <c r="AD200" s="1594">
        <v>-0.84366666666666723</v>
      </c>
      <c r="AE200" s="1592">
        <v>-0.15401639344262286</v>
      </c>
      <c r="AF200" s="1593">
        <v>-0.55339062499999958</v>
      </c>
      <c r="AG200" s="1595">
        <v>-1.5273593749999999</v>
      </c>
      <c r="AH200" s="1596">
        <v>-0.79788709677419334</v>
      </c>
      <c r="AI200" s="1595">
        <v>-1.6838709677418517E-2</v>
      </c>
      <c r="AJ200" s="1595">
        <v>-0.56160937500000019</v>
      </c>
      <c r="AK200" s="1595">
        <v>-1.2109841269841268</v>
      </c>
      <c r="AL200" s="1596">
        <v>-0.13975806451612982</v>
      </c>
      <c r="AM200" s="1595">
        <v>3.4441967213114757</v>
      </c>
      <c r="AN200" s="1595">
        <v>-0.46333333333333293</v>
      </c>
      <c r="AO200" s="1595">
        <v>-0.59499999999999975</v>
      </c>
      <c r="AP200" s="1596">
        <v>-0.21666666666666679</v>
      </c>
      <c r="AQ200" s="1595">
        <v>0.74457975965344758</v>
      </c>
      <c r="AR200" s="1595">
        <v>-0.76430483819771866</v>
      </c>
      <c r="AS200" s="1595">
        <v>-0.78296558457066712</v>
      </c>
      <c r="AT200" s="1596">
        <v>0.8235214539149398</v>
      </c>
      <c r="AU200" s="1595">
        <v>0.64485745238273218</v>
      </c>
      <c r="AV200" s="1595">
        <v>-0.82982612063011629</v>
      </c>
      <c r="AW200" s="1595">
        <v>-0.84922019602346377</v>
      </c>
      <c r="AX200" s="1596">
        <v>0.71921711267084909</v>
      </c>
      <c r="AY200" s="1595">
        <v>0.64402689825038939</v>
      </c>
      <c r="AZ200" s="1595">
        <v>-0.85250267876937125</v>
      </c>
      <c r="BA200" s="1595">
        <v>-0.87232898455971686</v>
      </c>
      <c r="BB200" s="1844">
        <v>0.71913809827870034</v>
      </c>
      <c r="BC200" s="954"/>
      <c r="BD200" s="954"/>
      <c r="BE200" s="1411">
        <f t="shared" si="292"/>
        <v>0.7661937474767625</v>
      </c>
      <c r="BF200" s="1411">
        <f t="shared" si="293"/>
        <v>0.63760019841269922</v>
      </c>
      <c r="BG200" s="1411">
        <f t="shared" si="294"/>
        <v>0.22804792906745996</v>
      </c>
      <c r="BH200" s="1413">
        <f t="shared" si="295"/>
        <v>0.26658749999999931</v>
      </c>
      <c r="BI200" s="1413">
        <f t="shared" si="296"/>
        <v>1.0417167648565566</v>
      </c>
      <c r="BJ200" s="1413">
        <f t="shared" si="297"/>
        <v>5.0265346982206582E-2</v>
      </c>
      <c r="BK200" s="1413">
        <f t="shared" si="298"/>
        <v>-0.75816337255420385</v>
      </c>
      <c r="BL200" s="1413">
        <f t="shared" si="299"/>
        <v>-0.48229756904441884</v>
      </c>
      <c r="BM200" s="1413">
        <f t="shared" si="300"/>
        <v>0.54229918032786906</v>
      </c>
      <c r="BN200" s="1413">
        <f t="shared" si="301"/>
        <v>5.2076977000004021E-3</v>
      </c>
      <c r="BO200" s="1413">
        <f t="shared" si="302"/>
        <v>-7.8742937899999699E-2</v>
      </c>
      <c r="BP200" s="1413">
        <f t="shared" si="303"/>
        <v>-9.0416666699999593E-2</v>
      </c>
      <c r="BQ200" s="949"/>
      <c r="BR200" s="950"/>
      <c r="BU200" s="922"/>
      <c r="BV200" s="921"/>
      <c r="BW200" s="921"/>
      <c r="BX200" s="921"/>
    </row>
    <row r="201" spans="2:76" ht="12.75" customHeight="1">
      <c r="B201" s="1080"/>
      <c r="C201" s="1459" t="s">
        <v>15</v>
      </c>
      <c r="D201" s="1130"/>
      <c r="E201" s="1130"/>
      <c r="F201" s="1136"/>
      <c r="G201" s="1592">
        <v>0.89172580645161226</v>
      </c>
      <c r="H201" s="1593">
        <v>0.34730158730158944</v>
      </c>
      <c r="I201" s="1593">
        <v>0.35659375000000004</v>
      </c>
      <c r="J201" s="1594">
        <v>1.4691538461538483</v>
      </c>
      <c r="K201" s="1592">
        <v>1.7646250000000014</v>
      </c>
      <c r="L201" s="1593">
        <v>0.28798437500000063</v>
      </c>
      <c r="M201" s="1593">
        <v>0.25414062500000068</v>
      </c>
      <c r="N201" s="1594">
        <v>0.24365079365079412</v>
      </c>
      <c r="O201" s="1592">
        <v>0.31452380952380965</v>
      </c>
      <c r="P201" s="1593">
        <v>0.1599206349206348</v>
      </c>
      <c r="Q201" s="1593">
        <v>0.16882539682539655</v>
      </c>
      <c r="R201" s="1593">
        <v>0.26892187499999887</v>
      </c>
      <c r="S201" s="1592">
        <v>0.819599999999999</v>
      </c>
      <c r="T201" s="1593">
        <v>0.11882812499999851</v>
      </c>
      <c r="U201" s="1593">
        <v>-1.3265625000001169E-2</v>
      </c>
      <c r="V201" s="1594">
        <v>0.14118750000000091</v>
      </c>
      <c r="W201" s="1592">
        <v>7.5181639344262283</v>
      </c>
      <c r="X201" s="1593">
        <v>-0.89420312500000065</v>
      </c>
      <c r="Y201" s="1593">
        <v>-1.4395156250000012</v>
      </c>
      <c r="Z201" s="1594">
        <v>-1.017578125</v>
      </c>
      <c r="AA201" s="1592">
        <v>3.554258064516127</v>
      </c>
      <c r="AB201" s="1593">
        <v>-1.1179206349206339</v>
      </c>
      <c r="AC201" s="1593">
        <v>-1.3916093749999998</v>
      </c>
      <c r="AD201" s="1594">
        <v>-0.84366666666666723</v>
      </c>
      <c r="AE201" s="1592">
        <v>-0.15401639344262286</v>
      </c>
      <c r="AF201" s="1593">
        <v>-0.55339062499999958</v>
      </c>
      <c r="AG201" s="1595">
        <v>-1.5273593749999999</v>
      </c>
      <c r="AH201" s="1596">
        <v>-0.79788709677419334</v>
      </c>
      <c r="AI201" s="1595">
        <v>-1.6838709677418517E-2</v>
      </c>
      <c r="AJ201" s="1595">
        <v>-0.56160937500000019</v>
      </c>
      <c r="AK201" s="1595">
        <v>-1.2109841269841268</v>
      </c>
      <c r="AL201" s="1596">
        <v>-0.13975806451612982</v>
      </c>
      <c r="AM201" s="1595">
        <v>3.4441967213114757</v>
      </c>
      <c r="AN201" s="1595">
        <v>-0.46333333333333293</v>
      </c>
      <c r="AO201" s="1595">
        <v>-0.59499999999999975</v>
      </c>
      <c r="AP201" s="1596">
        <v>-0.21666666666666679</v>
      </c>
      <c r="AQ201" s="1595">
        <v>0.74457975965344758</v>
      </c>
      <c r="AR201" s="1595">
        <v>-0.76430483819771866</v>
      </c>
      <c r="AS201" s="1595">
        <v>-0.78296558457066712</v>
      </c>
      <c r="AT201" s="1596">
        <v>0.8235214539149398</v>
      </c>
      <c r="AU201" s="1595">
        <v>0.64485745238273218</v>
      </c>
      <c r="AV201" s="1595">
        <v>-0.82982612063011629</v>
      </c>
      <c r="AW201" s="1595">
        <v>-0.84922019602346377</v>
      </c>
      <c r="AX201" s="1596">
        <v>0.71921711267084909</v>
      </c>
      <c r="AY201" s="1595">
        <v>0.64402689825038939</v>
      </c>
      <c r="AZ201" s="1595">
        <v>-0.85250267876937125</v>
      </c>
      <c r="BA201" s="1595">
        <v>-0.87232898455971686</v>
      </c>
      <c r="BB201" s="1844">
        <v>0.71913809827870034</v>
      </c>
      <c r="BC201" s="954"/>
      <c r="BD201" s="954"/>
      <c r="BE201" s="1411">
        <f t="shared" si="292"/>
        <v>0.7661937474767625</v>
      </c>
      <c r="BF201" s="1411">
        <f t="shared" si="293"/>
        <v>0.63760019841269922</v>
      </c>
      <c r="BG201" s="1411">
        <f t="shared" si="294"/>
        <v>0.22804792906745996</v>
      </c>
      <c r="BH201" s="1413">
        <f t="shared" si="295"/>
        <v>0.26658749999999931</v>
      </c>
      <c r="BI201" s="1413">
        <f t="shared" si="296"/>
        <v>1.0417167648565566</v>
      </c>
      <c r="BJ201" s="1413">
        <f t="shared" si="297"/>
        <v>5.0265346982206582E-2</v>
      </c>
      <c r="BK201" s="1413">
        <f t="shared" si="298"/>
        <v>-0.75816337255420385</v>
      </c>
      <c r="BL201" s="1413">
        <f t="shared" si="299"/>
        <v>-0.48229756904441884</v>
      </c>
      <c r="BM201" s="1413">
        <f t="shared" si="300"/>
        <v>0.54229918032786906</v>
      </c>
      <c r="BN201" s="1413">
        <f t="shared" si="301"/>
        <v>5.2076977000004021E-3</v>
      </c>
      <c r="BO201" s="1413">
        <f t="shared" si="302"/>
        <v>-7.8742937899999699E-2</v>
      </c>
      <c r="BP201" s="1413">
        <f t="shared" si="303"/>
        <v>-9.0416666699999593E-2</v>
      </c>
      <c r="BQ201" s="949"/>
      <c r="BR201" s="950"/>
      <c r="BU201" s="922"/>
      <c r="BV201" s="921"/>
      <c r="BW201" s="921"/>
      <c r="BX201" s="921"/>
    </row>
    <row r="202" spans="2:76" ht="12.75" customHeight="1">
      <c r="B202" s="1080"/>
      <c r="C202" s="1457" t="s">
        <v>973</v>
      </c>
      <c r="D202" s="1189"/>
      <c r="E202" s="1189"/>
      <c r="F202" s="1191"/>
      <c r="G202" s="1592">
        <v>0.89172580645161226</v>
      </c>
      <c r="H202" s="1593">
        <v>0.34730158730158944</v>
      </c>
      <c r="I202" s="1593">
        <v>0.35659375000000004</v>
      </c>
      <c r="J202" s="1594">
        <v>1.4691538461538483</v>
      </c>
      <c r="K202" s="1592">
        <v>1.7646250000000014</v>
      </c>
      <c r="L202" s="1593">
        <v>0.28798437500000063</v>
      </c>
      <c r="M202" s="1593">
        <v>0.25414062500000068</v>
      </c>
      <c r="N202" s="1594">
        <v>0.24365079365079412</v>
      </c>
      <c r="O202" s="1592">
        <v>0.31452380952380965</v>
      </c>
      <c r="P202" s="1593">
        <v>0.1599206349206348</v>
      </c>
      <c r="Q202" s="1593">
        <v>0.16882539682539655</v>
      </c>
      <c r="R202" s="1593">
        <v>0.26892187499999887</v>
      </c>
      <c r="S202" s="1592">
        <v>0.819599999999999</v>
      </c>
      <c r="T202" s="1593">
        <v>0.11882812499999851</v>
      </c>
      <c r="U202" s="1593">
        <v>-1.3265625000001169E-2</v>
      </c>
      <c r="V202" s="1594">
        <v>0.14118750000000091</v>
      </c>
      <c r="W202" s="1592">
        <v>7.5181639344262283</v>
      </c>
      <c r="X202" s="1593">
        <v>-0.89420312500000065</v>
      </c>
      <c r="Y202" s="1593">
        <v>-1.4395156250000012</v>
      </c>
      <c r="Z202" s="1594">
        <v>-1.017578125</v>
      </c>
      <c r="AA202" s="1592">
        <v>3.554258064516127</v>
      </c>
      <c r="AB202" s="1593">
        <v>-1.1179206349206339</v>
      </c>
      <c r="AC202" s="1593">
        <v>-1.3916093749999998</v>
      </c>
      <c r="AD202" s="1594">
        <v>-0.84366666666666723</v>
      </c>
      <c r="AE202" s="1592">
        <v>-0.15401639344262286</v>
      </c>
      <c r="AF202" s="1593">
        <v>-0.55339062499999958</v>
      </c>
      <c r="AG202" s="1595">
        <v>-1.5273593749999999</v>
      </c>
      <c r="AH202" s="1596">
        <v>-0.79788709677419334</v>
      </c>
      <c r="AI202" s="1595">
        <v>-1.6838709677418517E-2</v>
      </c>
      <c r="AJ202" s="1595">
        <v>-0.56160937500000019</v>
      </c>
      <c r="AK202" s="1595">
        <v>-1.2109841269841268</v>
      </c>
      <c r="AL202" s="1596">
        <v>-0.13975806451612982</v>
      </c>
      <c r="AM202" s="1595">
        <v>3.4441967213114757</v>
      </c>
      <c r="AN202" s="1595">
        <v>0</v>
      </c>
      <c r="AO202" s="1595">
        <v>0</v>
      </c>
      <c r="AP202" s="1596">
        <v>0</v>
      </c>
      <c r="AQ202" s="1595">
        <v>0</v>
      </c>
      <c r="AR202" s="1595">
        <v>0</v>
      </c>
      <c r="AS202" s="1595">
        <v>0</v>
      </c>
      <c r="AT202" s="1596">
        <v>0</v>
      </c>
      <c r="AU202" s="1595">
        <v>0</v>
      </c>
      <c r="AV202" s="1595">
        <v>0</v>
      </c>
      <c r="AW202" s="1595">
        <v>0</v>
      </c>
      <c r="AX202" s="1596">
        <v>0</v>
      </c>
      <c r="AY202" s="1595">
        <v>0</v>
      </c>
      <c r="AZ202" s="1595">
        <v>0</v>
      </c>
      <c r="BA202" s="1595">
        <v>0</v>
      </c>
      <c r="BB202" s="1844">
        <v>0</v>
      </c>
      <c r="BC202" s="954"/>
      <c r="BD202" s="954"/>
      <c r="BE202" s="1411">
        <f t="shared" si="292"/>
        <v>0.7661937474767625</v>
      </c>
      <c r="BF202" s="1411">
        <f t="shared" si="293"/>
        <v>0.63760019841269922</v>
      </c>
      <c r="BG202" s="1411">
        <f t="shared" si="294"/>
        <v>0.22804792906745996</v>
      </c>
      <c r="BH202" s="1413">
        <f t="shared" si="295"/>
        <v>0.26658749999999931</v>
      </c>
      <c r="BI202" s="1413">
        <f t="shared" si="296"/>
        <v>1.0417167648565566</v>
      </c>
      <c r="BJ202" s="1413">
        <f t="shared" si="297"/>
        <v>5.0265346982206582E-2</v>
      </c>
      <c r="BK202" s="1413">
        <f t="shared" si="298"/>
        <v>-0.75816337255420385</v>
      </c>
      <c r="BL202" s="1413">
        <f t="shared" si="299"/>
        <v>-0.48229756904441884</v>
      </c>
      <c r="BM202" s="1413">
        <f t="shared" si="300"/>
        <v>0.86104918032786892</v>
      </c>
      <c r="BN202" s="1413">
        <f t="shared" si="301"/>
        <v>0</v>
      </c>
      <c r="BO202" s="1413">
        <f t="shared" si="302"/>
        <v>0</v>
      </c>
      <c r="BP202" s="1413">
        <f t="shared" si="303"/>
        <v>0</v>
      </c>
      <c r="BQ202" s="949"/>
      <c r="BR202" s="950"/>
      <c r="BU202" s="922"/>
      <c r="BV202" s="921"/>
      <c r="BW202" s="921"/>
      <c r="BX202" s="921"/>
    </row>
    <row r="203" spans="2:76" ht="12.75" customHeight="1">
      <c r="B203" s="1080"/>
      <c r="C203" s="1457" t="s">
        <v>54</v>
      </c>
      <c r="D203" s="1189"/>
      <c r="E203" s="1189"/>
      <c r="F203" s="1191"/>
      <c r="G203" s="1592">
        <v>0</v>
      </c>
      <c r="H203" s="1593">
        <v>0</v>
      </c>
      <c r="I203" s="1593">
        <v>0</v>
      </c>
      <c r="J203" s="1594">
        <v>0</v>
      </c>
      <c r="K203" s="1592">
        <v>0</v>
      </c>
      <c r="L203" s="1593">
        <v>0</v>
      </c>
      <c r="M203" s="1593">
        <v>0</v>
      </c>
      <c r="N203" s="1594">
        <v>0</v>
      </c>
      <c r="O203" s="1592">
        <v>0</v>
      </c>
      <c r="P203" s="1593">
        <v>0</v>
      </c>
      <c r="Q203" s="1593">
        <v>0</v>
      </c>
      <c r="R203" s="1593">
        <v>0</v>
      </c>
      <c r="S203" s="1592">
        <v>0</v>
      </c>
      <c r="T203" s="1593">
        <v>0</v>
      </c>
      <c r="U203" s="1593">
        <v>0</v>
      </c>
      <c r="V203" s="1594">
        <v>0</v>
      </c>
      <c r="W203" s="1592">
        <v>0</v>
      </c>
      <c r="X203" s="1593">
        <v>0</v>
      </c>
      <c r="Y203" s="1593">
        <v>0</v>
      </c>
      <c r="Z203" s="1594">
        <v>0</v>
      </c>
      <c r="AA203" s="1592">
        <v>0</v>
      </c>
      <c r="AB203" s="1593">
        <v>0</v>
      </c>
      <c r="AC203" s="1593">
        <v>0</v>
      </c>
      <c r="AD203" s="1594">
        <v>0</v>
      </c>
      <c r="AE203" s="1592">
        <v>0</v>
      </c>
      <c r="AF203" s="1593">
        <v>0</v>
      </c>
      <c r="AG203" s="1595">
        <v>0</v>
      </c>
      <c r="AH203" s="1596">
        <v>0</v>
      </c>
      <c r="AI203" s="1595">
        <v>0</v>
      </c>
      <c r="AJ203" s="1595">
        <v>0</v>
      </c>
      <c r="AK203" s="1595">
        <v>0</v>
      </c>
      <c r="AL203" s="1596">
        <v>0</v>
      </c>
      <c r="AM203" s="1595">
        <v>0</v>
      </c>
      <c r="AN203" s="1595">
        <v>0</v>
      </c>
      <c r="AO203" s="1595">
        <v>0</v>
      </c>
      <c r="AP203" s="1596">
        <v>0</v>
      </c>
      <c r="AQ203" s="1595">
        <v>0</v>
      </c>
      <c r="AR203" s="1595">
        <v>0</v>
      </c>
      <c r="AS203" s="1595">
        <v>0</v>
      </c>
      <c r="AT203" s="1596">
        <v>0</v>
      </c>
      <c r="AU203" s="1595">
        <v>0</v>
      </c>
      <c r="AV203" s="1595">
        <v>0</v>
      </c>
      <c r="AW203" s="1595">
        <v>0</v>
      </c>
      <c r="AX203" s="1596">
        <v>0</v>
      </c>
      <c r="AY203" s="1595">
        <v>0</v>
      </c>
      <c r="AZ203" s="1595">
        <v>0</v>
      </c>
      <c r="BA203" s="1595">
        <v>0</v>
      </c>
      <c r="BB203" s="1844">
        <v>0</v>
      </c>
      <c r="BC203" s="954"/>
      <c r="BD203" s="954"/>
      <c r="BE203" s="1411">
        <f t="shared" si="292"/>
        <v>0</v>
      </c>
      <c r="BF203" s="1411">
        <f t="shared" si="293"/>
        <v>0</v>
      </c>
      <c r="BG203" s="1411">
        <f t="shared" si="294"/>
        <v>0</v>
      </c>
      <c r="BH203" s="1413">
        <f t="shared" si="295"/>
        <v>0</v>
      </c>
      <c r="BI203" s="1413">
        <f t="shared" si="296"/>
        <v>0</v>
      </c>
      <c r="BJ203" s="1413">
        <f t="shared" si="297"/>
        <v>0</v>
      </c>
      <c r="BK203" s="1413">
        <f t="shared" si="298"/>
        <v>0</v>
      </c>
      <c r="BL203" s="1413">
        <f t="shared" si="299"/>
        <v>0</v>
      </c>
      <c r="BM203" s="1413">
        <f t="shared" si="300"/>
        <v>0</v>
      </c>
      <c r="BN203" s="1413">
        <f t="shared" si="301"/>
        <v>0</v>
      </c>
      <c r="BO203" s="1413">
        <f>AVERAGE(AU203:AX203)</f>
        <v>0</v>
      </c>
      <c r="BP203" s="1413">
        <f>AVERAGE(AY203:BB203)</f>
        <v>0</v>
      </c>
      <c r="BQ203" s="949"/>
      <c r="BR203" s="950"/>
      <c r="BU203" s="922"/>
      <c r="BV203" s="921"/>
      <c r="BW203" s="921"/>
      <c r="BX203" s="921"/>
    </row>
    <row r="204" spans="2:76" ht="12.75" customHeight="1">
      <c r="B204" s="1080"/>
      <c r="C204" s="1457" t="s">
        <v>55</v>
      </c>
      <c r="D204" s="1189"/>
      <c r="E204" s="1189"/>
      <c r="F204" s="1191"/>
      <c r="G204" s="1592">
        <v>0</v>
      </c>
      <c r="H204" s="1593">
        <v>0</v>
      </c>
      <c r="I204" s="1593">
        <v>0</v>
      </c>
      <c r="J204" s="1594">
        <v>0</v>
      </c>
      <c r="K204" s="1592">
        <v>0</v>
      </c>
      <c r="L204" s="1593">
        <v>0</v>
      </c>
      <c r="M204" s="1593">
        <v>0</v>
      </c>
      <c r="N204" s="1594">
        <v>0</v>
      </c>
      <c r="O204" s="1592">
        <v>0</v>
      </c>
      <c r="P204" s="1593">
        <v>0</v>
      </c>
      <c r="Q204" s="1593">
        <v>0</v>
      </c>
      <c r="R204" s="1593">
        <v>0</v>
      </c>
      <c r="S204" s="1592">
        <v>0</v>
      </c>
      <c r="T204" s="1593">
        <v>0</v>
      </c>
      <c r="U204" s="1593">
        <v>0</v>
      </c>
      <c r="V204" s="1594">
        <v>0</v>
      </c>
      <c r="W204" s="1592">
        <v>0</v>
      </c>
      <c r="X204" s="1593">
        <v>0</v>
      </c>
      <c r="Y204" s="1593">
        <v>0</v>
      </c>
      <c r="Z204" s="1594">
        <v>0</v>
      </c>
      <c r="AA204" s="1592">
        <v>0</v>
      </c>
      <c r="AB204" s="1593">
        <v>0</v>
      </c>
      <c r="AC204" s="1593">
        <v>0</v>
      </c>
      <c r="AD204" s="1594">
        <v>0</v>
      </c>
      <c r="AE204" s="1592">
        <v>0</v>
      </c>
      <c r="AF204" s="1593">
        <v>0</v>
      </c>
      <c r="AG204" s="1595">
        <v>0</v>
      </c>
      <c r="AH204" s="1596">
        <v>0</v>
      </c>
      <c r="AI204" s="1595">
        <v>0</v>
      </c>
      <c r="AJ204" s="1595">
        <v>0</v>
      </c>
      <c r="AK204" s="1595">
        <v>0</v>
      </c>
      <c r="AL204" s="1596">
        <v>0</v>
      </c>
      <c r="AM204" s="1595">
        <v>0</v>
      </c>
      <c r="AN204" s="1595">
        <v>0</v>
      </c>
      <c r="AO204" s="1595">
        <v>0</v>
      </c>
      <c r="AP204" s="1596">
        <v>0</v>
      </c>
      <c r="AQ204" s="1595">
        <v>0</v>
      </c>
      <c r="AR204" s="1595">
        <v>0</v>
      </c>
      <c r="AS204" s="1595">
        <v>0</v>
      </c>
      <c r="AT204" s="1596">
        <v>0</v>
      </c>
      <c r="AU204" s="1595">
        <v>0</v>
      </c>
      <c r="AV204" s="1595">
        <v>0</v>
      </c>
      <c r="AW204" s="1595">
        <v>0</v>
      </c>
      <c r="AX204" s="1596">
        <v>0</v>
      </c>
      <c r="AY204" s="1595">
        <v>0</v>
      </c>
      <c r="AZ204" s="1595">
        <v>0</v>
      </c>
      <c r="BA204" s="1595">
        <v>0</v>
      </c>
      <c r="BB204" s="1844">
        <v>0</v>
      </c>
      <c r="BC204" s="954"/>
      <c r="BD204" s="954"/>
      <c r="BE204" s="1411">
        <f t="shared" si="292"/>
        <v>0</v>
      </c>
      <c r="BF204" s="1411">
        <f t="shared" si="293"/>
        <v>0</v>
      </c>
      <c r="BG204" s="1411">
        <f t="shared" si="294"/>
        <v>0</v>
      </c>
      <c r="BH204" s="1413">
        <f t="shared" si="295"/>
        <v>0</v>
      </c>
      <c r="BI204" s="1413">
        <f t="shared" si="296"/>
        <v>0</v>
      </c>
      <c r="BJ204" s="1413">
        <f t="shared" si="297"/>
        <v>0</v>
      </c>
      <c r="BK204" s="1413">
        <f t="shared" si="298"/>
        <v>0</v>
      </c>
      <c r="BL204" s="1413">
        <f t="shared" si="299"/>
        <v>0</v>
      </c>
      <c r="BM204" s="1413">
        <f t="shared" si="300"/>
        <v>0</v>
      </c>
      <c r="BN204" s="1413">
        <f t="shared" si="301"/>
        <v>0</v>
      </c>
      <c r="BO204" s="1413">
        <f t="shared" si="302"/>
        <v>0</v>
      </c>
      <c r="BP204" s="1413">
        <f t="shared" si="303"/>
        <v>0</v>
      </c>
      <c r="BQ204" s="949"/>
      <c r="BR204" s="950"/>
      <c r="BU204" s="922"/>
      <c r="BV204" s="921"/>
      <c r="BW204" s="921"/>
      <c r="BX204" s="921"/>
    </row>
    <row r="205" spans="2:76" ht="12.75" customHeight="1">
      <c r="B205" s="1080"/>
      <c r="C205" s="1457" t="s">
        <v>56</v>
      </c>
      <c r="D205" s="1189"/>
      <c r="E205" s="1189"/>
      <c r="F205" s="1191"/>
      <c r="G205" s="1592">
        <v>0</v>
      </c>
      <c r="H205" s="1593">
        <v>0</v>
      </c>
      <c r="I205" s="1593">
        <v>0</v>
      </c>
      <c r="J205" s="1594">
        <v>0</v>
      </c>
      <c r="K205" s="1592">
        <v>0</v>
      </c>
      <c r="L205" s="1593">
        <v>0</v>
      </c>
      <c r="M205" s="1593">
        <v>0</v>
      </c>
      <c r="N205" s="1594">
        <v>0</v>
      </c>
      <c r="O205" s="1592">
        <v>0</v>
      </c>
      <c r="P205" s="1593">
        <v>0</v>
      </c>
      <c r="Q205" s="1593">
        <v>0</v>
      </c>
      <c r="R205" s="1593">
        <v>0</v>
      </c>
      <c r="S205" s="1592">
        <v>0</v>
      </c>
      <c r="T205" s="1593">
        <v>0</v>
      </c>
      <c r="U205" s="1593">
        <v>0</v>
      </c>
      <c r="V205" s="1594">
        <v>0</v>
      </c>
      <c r="W205" s="1592">
        <v>0</v>
      </c>
      <c r="X205" s="1593">
        <v>0</v>
      </c>
      <c r="Y205" s="1593">
        <v>0</v>
      </c>
      <c r="Z205" s="1594">
        <v>0</v>
      </c>
      <c r="AA205" s="1592">
        <v>0</v>
      </c>
      <c r="AB205" s="1593">
        <v>0</v>
      </c>
      <c r="AC205" s="1593">
        <v>0</v>
      </c>
      <c r="AD205" s="1594">
        <v>0</v>
      </c>
      <c r="AE205" s="1592">
        <v>0</v>
      </c>
      <c r="AF205" s="1593">
        <v>0</v>
      </c>
      <c r="AG205" s="1595">
        <v>0</v>
      </c>
      <c r="AH205" s="1596">
        <v>0</v>
      </c>
      <c r="AI205" s="1595">
        <v>0</v>
      </c>
      <c r="AJ205" s="1595">
        <v>0</v>
      </c>
      <c r="AK205" s="1595">
        <v>0</v>
      </c>
      <c r="AL205" s="1596">
        <v>0</v>
      </c>
      <c r="AM205" s="1595">
        <v>0</v>
      </c>
      <c r="AN205" s="1595">
        <v>0</v>
      </c>
      <c r="AO205" s="1595">
        <v>0</v>
      </c>
      <c r="AP205" s="1596">
        <v>0</v>
      </c>
      <c r="AQ205" s="1595">
        <v>0</v>
      </c>
      <c r="AR205" s="1595">
        <v>0</v>
      </c>
      <c r="AS205" s="1595">
        <v>0</v>
      </c>
      <c r="AT205" s="1596">
        <v>0</v>
      </c>
      <c r="AU205" s="1595">
        <v>0</v>
      </c>
      <c r="AV205" s="1595">
        <v>0</v>
      </c>
      <c r="AW205" s="1595">
        <v>0</v>
      </c>
      <c r="AX205" s="1596">
        <v>0</v>
      </c>
      <c r="AY205" s="1595">
        <v>0</v>
      </c>
      <c r="AZ205" s="1595">
        <v>0</v>
      </c>
      <c r="BA205" s="1595">
        <v>0</v>
      </c>
      <c r="BB205" s="1844">
        <v>0</v>
      </c>
      <c r="BC205" s="954"/>
      <c r="BD205" s="954"/>
      <c r="BE205" s="1411">
        <f t="shared" si="292"/>
        <v>0</v>
      </c>
      <c r="BF205" s="1411">
        <f t="shared" si="293"/>
        <v>0</v>
      </c>
      <c r="BG205" s="1411">
        <f t="shared" si="294"/>
        <v>0</v>
      </c>
      <c r="BH205" s="1413">
        <f t="shared" si="295"/>
        <v>0</v>
      </c>
      <c r="BI205" s="1413">
        <f t="shared" si="296"/>
        <v>0</v>
      </c>
      <c r="BJ205" s="1413">
        <f t="shared" si="297"/>
        <v>0</v>
      </c>
      <c r="BK205" s="1413">
        <f t="shared" si="298"/>
        <v>0</v>
      </c>
      <c r="BL205" s="1413">
        <f t="shared" si="299"/>
        <v>0</v>
      </c>
      <c r="BM205" s="1413">
        <f t="shared" si="300"/>
        <v>0</v>
      </c>
      <c r="BN205" s="1413">
        <f t="shared" si="301"/>
        <v>0</v>
      </c>
      <c r="BO205" s="1413">
        <f t="shared" si="302"/>
        <v>0</v>
      </c>
      <c r="BP205" s="1413">
        <f t="shared" si="303"/>
        <v>0</v>
      </c>
      <c r="BQ205" s="949"/>
      <c r="BR205" s="950"/>
      <c r="BU205" s="922"/>
      <c r="BV205" s="921"/>
      <c r="BW205" s="921"/>
      <c r="BX205" s="921"/>
    </row>
    <row r="206" spans="2:76" ht="12.75" customHeight="1">
      <c r="B206" s="1080"/>
      <c r="C206" s="1457" t="s">
        <v>57</v>
      </c>
      <c r="D206" s="1189"/>
      <c r="E206" s="1189"/>
      <c r="F206" s="1191"/>
      <c r="G206" s="1592">
        <v>0</v>
      </c>
      <c r="H206" s="1593">
        <v>0</v>
      </c>
      <c r="I206" s="1593">
        <v>0</v>
      </c>
      <c r="J206" s="1594">
        <v>0</v>
      </c>
      <c r="K206" s="1592">
        <v>0</v>
      </c>
      <c r="L206" s="1593">
        <v>0</v>
      </c>
      <c r="M206" s="1593">
        <v>0</v>
      </c>
      <c r="N206" s="1594">
        <v>0</v>
      </c>
      <c r="O206" s="1592">
        <v>0</v>
      </c>
      <c r="P206" s="1593">
        <v>0</v>
      </c>
      <c r="Q206" s="1593">
        <v>0</v>
      </c>
      <c r="R206" s="1593">
        <v>0</v>
      </c>
      <c r="S206" s="1592">
        <v>0</v>
      </c>
      <c r="T206" s="1593">
        <v>0</v>
      </c>
      <c r="U206" s="1593">
        <v>0</v>
      </c>
      <c r="V206" s="1594">
        <v>0</v>
      </c>
      <c r="W206" s="1592">
        <v>0</v>
      </c>
      <c r="X206" s="1593">
        <v>0</v>
      </c>
      <c r="Y206" s="1593">
        <v>0</v>
      </c>
      <c r="Z206" s="1594">
        <v>0</v>
      </c>
      <c r="AA206" s="1592">
        <v>0</v>
      </c>
      <c r="AB206" s="1593">
        <v>0</v>
      </c>
      <c r="AC206" s="1593">
        <v>0</v>
      </c>
      <c r="AD206" s="1594">
        <v>0</v>
      </c>
      <c r="AE206" s="1592">
        <v>0</v>
      </c>
      <c r="AF206" s="1593">
        <v>0</v>
      </c>
      <c r="AG206" s="1595">
        <v>0</v>
      </c>
      <c r="AH206" s="1596">
        <v>0</v>
      </c>
      <c r="AI206" s="1595">
        <v>0</v>
      </c>
      <c r="AJ206" s="1595">
        <v>0</v>
      </c>
      <c r="AK206" s="1595">
        <v>0</v>
      </c>
      <c r="AL206" s="1596">
        <v>0</v>
      </c>
      <c r="AM206" s="1595">
        <v>0</v>
      </c>
      <c r="AN206" s="1595">
        <v>0</v>
      </c>
      <c r="AO206" s="1595">
        <v>0</v>
      </c>
      <c r="AP206" s="1596">
        <v>0</v>
      </c>
      <c r="AQ206" s="1595">
        <v>0</v>
      </c>
      <c r="AR206" s="1595">
        <v>0</v>
      </c>
      <c r="AS206" s="1595">
        <v>0</v>
      </c>
      <c r="AT206" s="1596">
        <v>0</v>
      </c>
      <c r="AU206" s="1595">
        <v>0</v>
      </c>
      <c r="AV206" s="1595">
        <v>0</v>
      </c>
      <c r="AW206" s="1595">
        <v>0</v>
      </c>
      <c r="AX206" s="1596">
        <v>0</v>
      </c>
      <c r="AY206" s="1595">
        <v>0</v>
      </c>
      <c r="AZ206" s="1595">
        <v>0</v>
      </c>
      <c r="BA206" s="1595">
        <v>0</v>
      </c>
      <c r="BB206" s="1844">
        <v>0</v>
      </c>
      <c r="BC206" s="954"/>
      <c r="BD206" s="954"/>
      <c r="BE206" s="1411">
        <f t="shared" si="292"/>
        <v>0</v>
      </c>
      <c r="BF206" s="1411">
        <f t="shared" si="293"/>
        <v>0</v>
      </c>
      <c r="BG206" s="1411">
        <f t="shared" si="294"/>
        <v>0</v>
      </c>
      <c r="BH206" s="1413">
        <f t="shared" si="295"/>
        <v>0</v>
      </c>
      <c r="BI206" s="1413">
        <f t="shared" si="296"/>
        <v>0</v>
      </c>
      <c r="BJ206" s="1413">
        <f t="shared" si="297"/>
        <v>0</v>
      </c>
      <c r="BK206" s="1413">
        <f t="shared" si="298"/>
        <v>0</v>
      </c>
      <c r="BL206" s="1413">
        <f t="shared" si="299"/>
        <v>0</v>
      </c>
      <c r="BM206" s="1413">
        <f t="shared" si="300"/>
        <v>0</v>
      </c>
      <c r="BN206" s="1413">
        <f t="shared" si="301"/>
        <v>0</v>
      </c>
      <c r="BO206" s="1413">
        <f t="shared" si="302"/>
        <v>0</v>
      </c>
      <c r="BP206" s="1413">
        <f t="shared" si="303"/>
        <v>0</v>
      </c>
      <c r="BQ206" s="949"/>
      <c r="BR206" s="950"/>
      <c r="BU206" s="922"/>
      <c r="BV206" s="921"/>
      <c r="BW206" s="921"/>
      <c r="BX206" s="921"/>
    </row>
    <row r="207" spans="2:76" ht="12.75" customHeight="1">
      <c r="B207" s="1080"/>
      <c r="C207" s="1457" t="s">
        <v>58</v>
      </c>
      <c r="D207" s="1189"/>
      <c r="E207" s="1189"/>
      <c r="F207" s="1191"/>
      <c r="G207" s="1592">
        <v>0</v>
      </c>
      <c r="H207" s="1593">
        <v>0</v>
      </c>
      <c r="I207" s="1593">
        <v>0</v>
      </c>
      <c r="J207" s="1594">
        <v>0</v>
      </c>
      <c r="K207" s="1592">
        <v>0</v>
      </c>
      <c r="L207" s="1593">
        <v>0</v>
      </c>
      <c r="M207" s="1593">
        <v>0</v>
      </c>
      <c r="N207" s="1594">
        <v>0</v>
      </c>
      <c r="O207" s="1592">
        <v>0</v>
      </c>
      <c r="P207" s="1593">
        <v>0</v>
      </c>
      <c r="Q207" s="1593">
        <v>0</v>
      </c>
      <c r="R207" s="1593">
        <v>0</v>
      </c>
      <c r="S207" s="1592">
        <v>0</v>
      </c>
      <c r="T207" s="1593">
        <v>0</v>
      </c>
      <c r="U207" s="1593">
        <v>0</v>
      </c>
      <c r="V207" s="1594">
        <v>0</v>
      </c>
      <c r="W207" s="1592">
        <v>0</v>
      </c>
      <c r="X207" s="1593">
        <v>0</v>
      </c>
      <c r="Y207" s="1593">
        <v>0</v>
      </c>
      <c r="Z207" s="1594">
        <v>0</v>
      </c>
      <c r="AA207" s="1592">
        <v>0</v>
      </c>
      <c r="AB207" s="1593">
        <v>0</v>
      </c>
      <c r="AC207" s="1593">
        <v>0</v>
      </c>
      <c r="AD207" s="1594">
        <v>0</v>
      </c>
      <c r="AE207" s="1592">
        <v>0</v>
      </c>
      <c r="AF207" s="1593">
        <v>0</v>
      </c>
      <c r="AG207" s="1595">
        <v>0</v>
      </c>
      <c r="AH207" s="1596">
        <v>0</v>
      </c>
      <c r="AI207" s="1595">
        <v>0</v>
      </c>
      <c r="AJ207" s="1595">
        <v>0</v>
      </c>
      <c r="AK207" s="1595">
        <v>0</v>
      </c>
      <c r="AL207" s="1596">
        <v>0</v>
      </c>
      <c r="AM207" s="1595">
        <v>0</v>
      </c>
      <c r="AN207" s="1595">
        <v>0</v>
      </c>
      <c r="AO207" s="1595">
        <v>0</v>
      </c>
      <c r="AP207" s="1596">
        <v>0</v>
      </c>
      <c r="AQ207" s="1595">
        <v>0</v>
      </c>
      <c r="AR207" s="1595">
        <v>0</v>
      </c>
      <c r="AS207" s="1595">
        <v>0</v>
      </c>
      <c r="AT207" s="1596">
        <v>0</v>
      </c>
      <c r="AU207" s="1595">
        <v>0</v>
      </c>
      <c r="AV207" s="1595">
        <v>0</v>
      </c>
      <c r="AW207" s="1595">
        <v>0</v>
      </c>
      <c r="AX207" s="1596">
        <v>0</v>
      </c>
      <c r="AY207" s="1595">
        <v>0</v>
      </c>
      <c r="AZ207" s="1595">
        <v>0</v>
      </c>
      <c r="BA207" s="1595">
        <v>0</v>
      </c>
      <c r="BB207" s="1844">
        <v>0</v>
      </c>
      <c r="BC207" s="954"/>
      <c r="BD207" s="954"/>
      <c r="BE207" s="1411">
        <f t="shared" si="292"/>
        <v>0</v>
      </c>
      <c r="BF207" s="1411">
        <f t="shared" si="293"/>
        <v>0</v>
      </c>
      <c r="BG207" s="1411">
        <f t="shared" si="294"/>
        <v>0</v>
      </c>
      <c r="BH207" s="1413">
        <f t="shared" si="295"/>
        <v>0</v>
      </c>
      <c r="BI207" s="1413">
        <f t="shared" si="296"/>
        <v>0</v>
      </c>
      <c r="BJ207" s="1413">
        <f t="shared" si="297"/>
        <v>0</v>
      </c>
      <c r="BK207" s="1413">
        <f t="shared" si="298"/>
        <v>0</v>
      </c>
      <c r="BL207" s="1413">
        <f t="shared" si="299"/>
        <v>0</v>
      </c>
      <c r="BM207" s="1413">
        <f t="shared" si="300"/>
        <v>0</v>
      </c>
      <c r="BN207" s="1413">
        <f t="shared" si="301"/>
        <v>0</v>
      </c>
      <c r="BO207" s="1413">
        <f t="shared" si="302"/>
        <v>0</v>
      </c>
      <c r="BP207" s="1413">
        <f t="shared" si="303"/>
        <v>0</v>
      </c>
      <c r="BQ207" s="949"/>
      <c r="BR207" s="950"/>
      <c r="BU207" s="922"/>
      <c r="BV207" s="921"/>
      <c r="BW207" s="921"/>
      <c r="BX207" s="921"/>
    </row>
    <row r="208" spans="2:76" ht="12.75" customHeight="1">
      <c r="B208" s="1080"/>
      <c r="C208" s="1457" t="s">
        <v>59</v>
      </c>
      <c r="D208" s="1189"/>
      <c r="E208" s="1189"/>
      <c r="F208" s="1191"/>
      <c r="G208" s="1592">
        <v>-5.9550084889643529E-3</v>
      </c>
      <c r="H208" s="1593">
        <v>-0.1638730158730155</v>
      </c>
      <c r="I208" s="1593">
        <v>-0.31553124999999982</v>
      </c>
      <c r="J208" s="1594">
        <v>2.7430769230770924E-2</v>
      </c>
      <c r="K208" s="1592">
        <v>-4.0562500000001833E-2</v>
      </c>
      <c r="L208" s="1593">
        <v>2.5078125000001172E-2</v>
      </c>
      <c r="M208" s="1593">
        <v>0.14203125000000227</v>
      </c>
      <c r="N208" s="1594">
        <v>0.29906349206349114</v>
      </c>
      <c r="O208" s="1592">
        <v>0.31830158730158775</v>
      </c>
      <c r="P208" s="1593">
        <v>0.28319047619047666</v>
      </c>
      <c r="Q208" s="1593">
        <v>0.20952380952380834</v>
      </c>
      <c r="R208" s="1593">
        <v>0.32709374999999907</v>
      </c>
      <c r="S208" s="1592">
        <v>0.26973333333333294</v>
      </c>
      <c r="T208" s="1593">
        <v>0.15754687499999775</v>
      </c>
      <c r="U208" s="1593">
        <v>0.23087499999999972</v>
      </c>
      <c r="V208" s="1594">
        <v>0.29959375000000188</v>
      </c>
      <c r="W208" s="1592">
        <v>0.30404918032786998</v>
      </c>
      <c r="X208" s="1593">
        <v>0.30642187499999984</v>
      </c>
      <c r="Y208" s="1593">
        <v>0.50754687499999829</v>
      </c>
      <c r="Z208" s="1594">
        <v>0.25204687500000134</v>
      </c>
      <c r="AA208" s="1592">
        <v>-3.7548387096775215E-2</v>
      </c>
      <c r="AB208" s="1593">
        <v>6.8507936507938183E-2</v>
      </c>
      <c r="AC208" s="1593">
        <v>0.26343749999999932</v>
      </c>
      <c r="AD208" s="1594">
        <v>0.35907936507936444</v>
      </c>
      <c r="AE208" s="1592">
        <v>0.10468852459016342</v>
      </c>
      <c r="AF208" s="1593">
        <v>7.9562500000000203E-2</v>
      </c>
      <c r="AG208" s="1595">
        <v>3.6515625000000718E-2</v>
      </c>
      <c r="AH208" s="1596">
        <v>4.9693548387096609E-2</v>
      </c>
      <c r="AI208" s="1595">
        <v>0.15672580645161371</v>
      </c>
      <c r="AJ208" s="1595">
        <v>0.10859375000000027</v>
      </c>
      <c r="AK208" s="1595">
        <v>0.25880952380952404</v>
      </c>
      <c r="AL208" s="1596">
        <v>1.4901290322580647</v>
      </c>
      <c r="AM208" s="1595">
        <v>0.7802950819672132</v>
      </c>
      <c r="AN208" s="1595">
        <v>-0.66499999999999959</v>
      </c>
      <c r="AO208" s="1595">
        <v>-0.37199999999999989</v>
      </c>
      <c r="AP208" s="1596">
        <v>-0.49500000000000055</v>
      </c>
      <c r="AQ208" s="1595">
        <v>-0.30713417480557936</v>
      </c>
      <c r="AR208" s="1595">
        <v>-0.75064523540322092</v>
      </c>
      <c r="AS208" s="1595">
        <v>-0.53237727470099783</v>
      </c>
      <c r="AT208" s="1596">
        <v>-0.20050998189020053</v>
      </c>
      <c r="AU208" s="1595">
        <v>-0.26491667997570767</v>
      </c>
      <c r="AV208" s="1595">
        <v>-0.72952134616272168</v>
      </c>
      <c r="AW208" s="1595">
        <v>-0.50344822491097485</v>
      </c>
      <c r="AX208" s="1596">
        <v>-0.15278041575059387</v>
      </c>
      <c r="AY208" s="1595">
        <v>-0.18976284925876685</v>
      </c>
      <c r="AZ208" s="1595">
        <v>-0.6882236801665047</v>
      </c>
      <c r="BA208" s="1595">
        <v>-0.44995803943269674</v>
      </c>
      <c r="BB208" s="1844">
        <v>-6.8722097942030214E-2</v>
      </c>
      <c r="BC208" s="954"/>
      <c r="BD208" s="954"/>
      <c r="BE208" s="1411">
        <f t="shared" si="292"/>
        <v>-0.11448212628280219</v>
      </c>
      <c r="BF208" s="1411">
        <f t="shared" si="293"/>
        <v>0.10640259176587319</v>
      </c>
      <c r="BG208" s="1411">
        <f t="shared" si="294"/>
        <v>0.28452740575396795</v>
      </c>
      <c r="BH208" s="1413">
        <f t="shared" si="295"/>
        <v>0.23943723958333307</v>
      </c>
      <c r="BI208" s="1413">
        <f t="shared" si="296"/>
        <v>0.34251620133196736</v>
      </c>
      <c r="BJ208" s="1413">
        <f t="shared" si="297"/>
        <v>0.16336910362263168</v>
      </c>
      <c r="BK208" s="1413">
        <f t="shared" si="298"/>
        <v>6.7615049494315238E-2</v>
      </c>
      <c r="BL208" s="1413">
        <f t="shared" si="299"/>
        <v>0.50356452812980068</v>
      </c>
      <c r="BM208" s="1413">
        <f t="shared" si="300"/>
        <v>-0.18792622950819671</v>
      </c>
      <c r="BN208" s="1413">
        <f t="shared" si="301"/>
        <v>-0.44766666669999966</v>
      </c>
      <c r="BO208" s="1413">
        <f t="shared" si="302"/>
        <v>-0.41266666669999952</v>
      </c>
      <c r="BP208" s="1413">
        <f t="shared" si="303"/>
        <v>-0.34916666669999963</v>
      </c>
      <c r="BQ208" s="949"/>
      <c r="BR208" s="950"/>
      <c r="BU208" s="922"/>
      <c r="BV208" s="921"/>
      <c r="BW208" s="921"/>
      <c r="BX208" s="921"/>
    </row>
    <row r="209" spans="2:76" ht="12.75" customHeight="1">
      <c r="B209" s="1080"/>
      <c r="C209" s="1457" t="s">
        <v>60</v>
      </c>
      <c r="D209" s="1189"/>
      <c r="E209" s="1189"/>
      <c r="F209" s="1191"/>
      <c r="G209" s="1592">
        <v>-5.9550084889643529E-3</v>
      </c>
      <c r="H209" s="1593">
        <v>-0.1638730158730155</v>
      </c>
      <c r="I209" s="1593">
        <v>-0.31553124999999982</v>
      </c>
      <c r="J209" s="1594">
        <v>2.7430769230770924E-2</v>
      </c>
      <c r="K209" s="1592">
        <v>-4.0562500000001833E-2</v>
      </c>
      <c r="L209" s="1593">
        <v>2.5078125000001172E-2</v>
      </c>
      <c r="M209" s="1593">
        <v>0.14203125000000227</v>
      </c>
      <c r="N209" s="1594">
        <v>0.29906349206349114</v>
      </c>
      <c r="O209" s="1592">
        <v>0.31830158730158775</v>
      </c>
      <c r="P209" s="1593">
        <v>0.28319047619047666</v>
      </c>
      <c r="Q209" s="1593">
        <v>0.20952380952380834</v>
      </c>
      <c r="R209" s="1593">
        <v>0.32709374999999907</v>
      </c>
      <c r="S209" s="1592">
        <v>0.26973333333333294</v>
      </c>
      <c r="T209" s="1593">
        <v>0.15754687499999775</v>
      </c>
      <c r="U209" s="1593">
        <v>0.23087499999999972</v>
      </c>
      <c r="V209" s="1594">
        <v>0.29959375000000188</v>
      </c>
      <c r="W209" s="1592">
        <v>0.30404918032786998</v>
      </c>
      <c r="X209" s="1593">
        <v>0.30642187499999984</v>
      </c>
      <c r="Y209" s="1593">
        <v>0.50754687499999829</v>
      </c>
      <c r="Z209" s="1594">
        <v>0.25204687500000134</v>
      </c>
      <c r="AA209" s="1592">
        <v>-3.7548387096775215E-2</v>
      </c>
      <c r="AB209" s="1593">
        <v>6.8507936507938183E-2</v>
      </c>
      <c r="AC209" s="1593">
        <v>0.26343749999999932</v>
      </c>
      <c r="AD209" s="1594">
        <v>0.35907936507936444</v>
      </c>
      <c r="AE209" s="1592">
        <v>0.10468852459016342</v>
      </c>
      <c r="AF209" s="1593">
        <v>7.9562500000000203E-2</v>
      </c>
      <c r="AG209" s="1595">
        <v>3.6515625000000718E-2</v>
      </c>
      <c r="AH209" s="1596">
        <v>4.9693548387096609E-2</v>
      </c>
      <c r="AI209" s="1595">
        <v>0.15672580645161371</v>
      </c>
      <c r="AJ209" s="1595">
        <v>0.10859375000000027</v>
      </c>
      <c r="AK209" s="1595">
        <v>0.25880952380952404</v>
      </c>
      <c r="AL209" s="1596">
        <v>1.4901290322580647</v>
      </c>
      <c r="AM209" s="1595">
        <v>0.7802950819672132</v>
      </c>
      <c r="AN209" s="1595">
        <v>-0.66499999999999959</v>
      </c>
      <c r="AO209" s="1595">
        <v>-0.37199999999999989</v>
      </c>
      <c r="AP209" s="1596">
        <v>-0.49500000000000055</v>
      </c>
      <c r="AQ209" s="1595">
        <v>-0.30713417480557936</v>
      </c>
      <c r="AR209" s="1595">
        <v>-0.75064523540322092</v>
      </c>
      <c r="AS209" s="1595">
        <v>-0.53237727470099783</v>
      </c>
      <c r="AT209" s="1596">
        <v>-0.20050998189020053</v>
      </c>
      <c r="AU209" s="1595">
        <v>-0.26491667997570767</v>
      </c>
      <c r="AV209" s="1595">
        <v>-0.72952134616272168</v>
      </c>
      <c r="AW209" s="1595">
        <v>-0.50344822491097485</v>
      </c>
      <c r="AX209" s="1596">
        <v>-0.15278041575059387</v>
      </c>
      <c r="AY209" s="1595">
        <v>-0.18976284925876685</v>
      </c>
      <c r="AZ209" s="1595">
        <v>-0.6882236801665047</v>
      </c>
      <c r="BA209" s="1595">
        <v>-0.44995803943269674</v>
      </c>
      <c r="BB209" s="1844">
        <v>-6.8722097942030214E-2</v>
      </c>
      <c r="BC209" s="954"/>
      <c r="BD209" s="954"/>
      <c r="BE209" s="1411">
        <f t="shared" si="292"/>
        <v>-0.11448212628280219</v>
      </c>
      <c r="BF209" s="1411">
        <f t="shared" si="293"/>
        <v>0.10640259176587319</v>
      </c>
      <c r="BG209" s="1411">
        <f t="shared" si="294"/>
        <v>0.28452740575396795</v>
      </c>
      <c r="BH209" s="1413">
        <f t="shared" si="295"/>
        <v>0.23943723958333307</v>
      </c>
      <c r="BI209" s="1413">
        <f t="shared" si="296"/>
        <v>0.34251620133196736</v>
      </c>
      <c r="BJ209" s="1413">
        <f t="shared" si="297"/>
        <v>0.16336910362263168</v>
      </c>
      <c r="BK209" s="1413">
        <f t="shared" si="298"/>
        <v>6.7615049494315238E-2</v>
      </c>
      <c r="BL209" s="1413">
        <f t="shared" si="299"/>
        <v>0.50356452812980068</v>
      </c>
      <c r="BM209" s="1413">
        <f t="shared" si="300"/>
        <v>-0.18792622950819671</v>
      </c>
      <c r="BN209" s="1413">
        <f t="shared" si="301"/>
        <v>-0.44766666669999966</v>
      </c>
      <c r="BO209" s="1413">
        <f t="shared" si="302"/>
        <v>-0.41266666669999952</v>
      </c>
      <c r="BP209" s="1413">
        <f t="shared" si="303"/>
        <v>-0.34916666669999963</v>
      </c>
      <c r="BQ209" s="949"/>
      <c r="BR209" s="950"/>
      <c r="BU209" s="922"/>
      <c r="BV209" s="921"/>
      <c r="BW209" s="921"/>
      <c r="BX209" s="921"/>
    </row>
    <row r="210" spans="2:76" ht="12.75" customHeight="1">
      <c r="B210" s="1080"/>
      <c r="C210" s="1457" t="s">
        <v>61</v>
      </c>
      <c r="D210" s="1189"/>
      <c r="E210" s="1189"/>
      <c r="F210" s="1191"/>
      <c r="G210" s="1592">
        <v>-5.9550084889643529E-3</v>
      </c>
      <c r="H210" s="1593">
        <v>-0.1638730158730155</v>
      </c>
      <c r="I210" s="1593">
        <v>-0.31553124999999982</v>
      </c>
      <c r="J210" s="1594">
        <v>2.7430769230770924E-2</v>
      </c>
      <c r="K210" s="1592">
        <v>-4.0562500000001833E-2</v>
      </c>
      <c r="L210" s="1593">
        <v>2.5078125000001172E-2</v>
      </c>
      <c r="M210" s="1593">
        <v>0.14203125000000227</v>
      </c>
      <c r="N210" s="1594">
        <v>0.29906349206349114</v>
      </c>
      <c r="O210" s="1592">
        <v>0.31830158730158775</v>
      </c>
      <c r="P210" s="1593">
        <v>0.28319047619047666</v>
      </c>
      <c r="Q210" s="1593">
        <v>0.20952380952380834</v>
      </c>
      <c r="R210" s="1593">
        <v>0.32709374999999907</v>
      </c>
      <c r="S210" s="1592">
        <v>0.26973333333333294</v>
      </c>
      <c r="T210" s="1593">
        <v>0.15754687499999775</v>
      </c>
      <c r="U210" s="1593">
        <v>0.23087499999999972</v>
      </c>
      <c r="V210" s="1594">
        <v>0.29959375000000188</v>
      </c>
      <c r="W210" s="1592">
        <v>0.30404918032786998</v>
      </c>
      <c r="X210" s="1593">
        <v>0.30642187499999984</v>
      </c>
      <c r="Y210" s="1593">
        <v>0.50754687499999829</v>
      </c>
      <c r="Z210" s="1594">
        <v>0.25204687500000134</v>
      </c>
      <c r="AA210" s="1592">
        <v>-3.7548387096775215E-2</v>
      </c>
      <c r="AB210" s="1593">
        <v>6.8507936507938183E-2</v>
      </c>
      <c r="AC210" s="1593">
        <v>0.26343749999999932</v>
      </c>
      <c r="AD210" s="1594">
        <v>0.35907936507936444</v>
      </c>
      <c r="AE210" s="1592">
        <v>0.10468852459016342</v>
      </c>
      <c r="AF210" s="1593">
        <v>7.9562500000000203E-2</v>
      </c>
      <c r="AG210" s="1595">
        <v>3.6515625000000718E-2</v>
      </c>
      <c r="AH210" s="1596">
        <v>4.9693548387096609E-2</v>
      </c>
      <c r="AI210" s="1595">
        <v>0.15672580645161371</v>
      </c>
      <c r="AJ210" s="1595">
        <v>0.10859375000000027</v>
      </c>
      <c r="AK210" s="1595">
        <v>0.25880952380952404</v>
      </c>
      <c r="AL210" s="1596">
        <v>1.4901290322580647</v>
      </c>
      <c r="AM210" s="1595">
        <v>0.7802950819672132</v>
      </c>
      <c r="AN210" s="1595">
        <v>-0.66499999999999959</v>
      </c>
      <c r="AO210" s="1595">
        <v>-0.37199999999999989</v>
      </c>
      <c r="AP210" s="1596">
        <v>-0.49500000000000055</v>
      </c>
      <c r="AQ210" s="1595">
        <v>-0.30713417480557936</v>
      </c>
      <c r="AR210" s="1595">
        <v>-0.75064523540322092</v>
      </c>
      <c r="AS210" s="1595">
        <v>-0.53237727470099783</v>
      </c>
      <c r="AT210" s="1596">
        <v>-0.20050998189020053</v>
      </c>
      <c r="AU210" s="1595">
        <v>-0.26491667997570767</v>
      </c>
      <c r="AV210" s="1595">
        <v>-0.72952134616272168</v>
      </c>
      <c r="AW210" s="1595">
        <v>-0.50344822491097485</v>
      </c>
      <c r="AX210" s="1596">
        <v>-0.15278041575059387</v>
      </c>
      <c r="AY210" s="1595">
        <v>-0.18976284925876685</v>
      </c>
      <c r="AZ210" s="1595">
        <v>-0.6882236801665047</v>
      </c>
      <c r="BA210" s="1595">
        <v>-0.44995803943269674</v>
      </c>
      <c r="BB210" s="1844">
        <v>-6.8722097942030214E-2</v>
      </c>
      <c r="BC210" s="954"/>
      <c r="BD210" s="954"/>
      <c r="BE210" s="1411">
        <f t="shared" si="292"/>
        <v>-0.11448212628280219</v>
      </c>
      <c r="BF210" s="1411">
        <f t="shared" si="293"/>
        <v>0.10640259176587319</v>
      </c>
      <c r="BG210" s="1411">
        <f t="shared" si="294"/>
        <v>0.28452740575396795</v>
      </c>
      <c r="BH210" s="1413">
        <f t="shared" si="295"/>
        <v>0.23943723958333307</v>
      </c>
      <c r="BI210" s="1413">
        <f t="shared" si="296"/>
        <v>0.34251620133196736</v>
      </c>
      <c r="BJ210" s="1413">
        <f t="shared" si="297"/>
        <v>0.16336910362263168</v>
      </c>
      <c r="BK210" s="1413">
        <f t="shared" si="298"/>
        <v>6.7615049494315238E-2</v>
      </c>
      <c r="BL210" s="1413">
        <f t="shared" si="299"/>
        <v>0.50356452812980068</v>
      </c>
      <c r="BM210" s="1413">
        <f t="shared" si="300"/>
        <v>-0.18792622950819671</v>
      </c>
      <c r="BN210" s="1413">
        <f t="shared" si="301"/>
        <v>-0.44766666669999966</v>
      </c>
      <c r="BO210" s="1413">
        <f t="shared" si="302"/>
        <v>-0.41266666669999952</v>
      </c>
      <c r="BP210" s="1413">
        <f t="shared" si="303"/>
        <v>-0.34916666669999963</v>
      </c>
      <c r="BQ210" s="949"/>
      <c r="BR210" s="950"/>
      <c r="BU210" s="922"/>
      <c r="BV210" s="921"/>
      <c r="BW210" s="921"/>
      <c r="BX210" s="921"/>
    </row>
    <row r="211" spans="2:76" ht="12.75" customHeight="1">
      <c r="B211" s="1080"/>
      <c r="C211" s="1457" t="s">
        <v>62</v>
      </c>
      <c r="D211" s="1189"/>
      <c r="E211" s="1189"/>
      <c r="F211" s="1191"/>
      <c r="G211" s="1592">
        <v>-5.9550084889643529E-3</v>
      </c>
      <c r="H211" s="1593">
        <v>-0.1638730158730155</v>
      </c>
      <c r="I211" s="1593">
        <v>-0.31553124999999982</v>
      </c>
      <c r="J211" s="1594">
        <v>2.7430769230770924E-2</v>
      </c>
      <c r="K211" s="1592">
        <v>-4.0562500000001833E-2</v>
      </c>
      <c r="L211" s="1593">
        <v>2.5078125000001172E-2</v>
      </c>
      <c r="M211" s="1593">
        <v>0.14203125000000227</v>
      </c>
      <c r="N211" s="1594">
        <v>0.29906349206349114</v>
      </c>
      <c r="O211" s="1592">
        <v>0.31830158730158775</v>
      </c>
      <c r="P211" s="1593">
        <v>0.28319047619047666</v>
      </c>
      <c r="Q211" s="1593">
        <v>0.20952380952380834</v>
      </c>
      <c r="R211" s="1593">
        <v>0.32709374999999907</v>
      </c>
      <c r="S211" s="1592">
        <v>0.26973333333333294</v>
      </c>
      <c r="T211" s="1593">
        <v>0.15754687499999775</v>
      </c>
      <c r="U211" s="1593">
        <v>0.23087499999999972</v>
      </c>
      <c r="V211" s="1594">
        <v>0.29959375000000188</v>
      </c>
      <c r="W211" s="1592">
        <v>0.30404918032786998</v>
      </c>
      <c r="X211" s="1593">
        <v>0.30642187499999984</v>
      </c>
      <c r="Y211" s="1593">
        <v>0.50754687499999829</v>
      </c>
      <c r="Z211" s="1594">
        <v>0.25204687500000134</v>
      </c>
      <c r="AA211" s="1592">
        <v>-3.7548387096775215E-2</v>
      </c>
      <c r="AB211" s="1593">
        <v>6.8507936507938183E-2</v>
      </c>
      <c r="AC211" s="1593">
        <v>0.26343749999999932</v>
      </c>
      <c r="AD211" s="1594">
        <v>0.35907936507936444</v>
      </c>
      <c r="AE211" s="1592">
        <v>0.10468852459016342</v>
      </c>
      <c r="AF211" s="1593">
        <v>7.9562500000000203E-2</v>
      </c>
      <c r="AG211" s="1595">
        <v>3.6515625000000718E-2</v>
      </c>
      <c r="AH211" s="1596">
        <v>4.9693548387096609E-2</v>
      </c>
      <c r="AI211" s="1595">
        <v>0.15672580645161371</v>
      </c>
      <c r="AJ211" s="1595">
        <v>0.10859375000000027</v>
      </c>
      <c r="AK211" s="1595">
        <v>0.25880952380952404</v>
      </c>
      <c r="AL211" s="1596">
        <v>1.4901290322580647</v>
      </c>
      <c r="AM211" s="1595">
        <v>0.7802950819672132</v>
      </c>
      <c r="AN211" s="1595">
        <v>-0.66499999999999959</v>
      </c>
      <c r="AO211" s="1595">
        <v>-0.37199999999999989</v>
      </c>
      <c r="AP211" s="1596">
        <v>-0.49500000000000055</v>
      </c>
      <c r="AQ211" s="1595">
        <v>-0.30713417480557936</v>
      </c>
      <c r="AR211" s="1595">
        <v>-0.75064523540322092</v>
      </c>
      <c r="AS211" s="1595">
        <v>-0.53237727470099783</v>
      </c>
      <c r="AT211" s="1596">
        <v>-0.20050998189020053</v>
      </c>
      <c r="AU211" s="1595">
        <v>-0.26491667997570767</v>
      </c>
      <c r="AV211" s="1595">
        <v>-0.72952134616272168</v>
      </c>
      <c r="AW211" s="1595">
        <v>-0.50344822491097485</v>
      </c>
      <c r="AX211" s="1596">
        <v>-0.15278041575059387</v>
      </c>
      <c r="AY211" s="1595">
        <v>-0.18976284925876685</v>
      </c>
      <c r="AZ211" s="1595">
        <v>-0.6882236801665047</v>
      </c>
      <c r="BA211" s="1595">
        <v>-0.44995803943269674</v>
      </c>
      <c r="BB211" s="1844">
        <v>-6.8722097942030214E-2</v>
      </c>
      <c r="BC211" s="954"/>
      <c r="BD211" s="954"/>
      <c r="BE211" s="1411">
        <f t="shared" si="292"/>
        <v>-0.11448212628280219</v>
      </c>
      <c r="BF211" s="1411">
        <f t="shared" si="293"/>
        <v>0.10640259176587319</v>
      </c>
      <c r="BG211" s="1411">
        <f t="shared" si="294"/>
        <v>0.28452740575396795</v>
      </c>
      <c r="BH211" s="1413">
        <f t="shared" si="295"/>
        <v>0.23943723958333307</v>
      </c>
      <c r="BI211" s="1413">
        <f t="shared" si="296"/>
        <v>0.34251620133196736</v>
      </c>
      <c r="BJ211" s="1413">
        <f t="shared" si="297"/>
        <v>0.16336910362263168</v>
      </c>
      <c r="BK211" s="1413">
        <f t="shared" si="298"/>
        <v>6.7615049494315238E-2</v>
      </c>
      <c r="BL211" s="1413">
        <f t="shared" si="299"/>
        <v>0.50356452812980068</v>
      </c>
      <c r="BM211" s="1413">
        <f t="shared" si="300"/>
        <v>-0.18792622950819671</v>
      </c>
      <c r="BN211" s="1413">
        <f t="shared" si="301"/>
        <v>-0.44766666669999966</v>
      </c>
      <c r="BO211" s="1413">
        <f t="shared" si="302"/>
        <v>-0.41266666669999952</v>
      </c>
      <c r="BP211" s="1413">
        <f t="shared" si="303"/>
        <v>-0.34916666669999963</v>
      </c>
      <c r="BQ211" s="949"/>
      <c r="BR211" s="950"/>
      <c r="BU211" s="922"/>
      <c r="BV211" s="921"/>
      <c r="BW211" s="921"/>
      <c r="BX211" s="921"/>
    </row>
    <row r="212" spans="2:76" ht="12.75" customHeight="1">
      <c r="B212" s="1080"/>
      <c r="C212" s="1457"/>
      <c r="D212" s="1189"/>
      <c r="E212" s="1189"/>
      <c r="F212" s="1190"/>
      <c r="G212" s="1592">
        <v>-8.7661290322580854E-2</v>
      </c>
      <c r="H212" s="1593">
        <v>-0.16344444444444317</v>
      </c>
      <c r="I212" s="1593">
        <v>-0.26625000000000032</v>
      </c>
      <c r="J212" s="1594">
        <v>-0.10644615384615275</v>
      </c>
      <c r="K212" s="1592">
        <v>-3.8796875000000064E-2</v>
      </c>
      <c r="L212" s="1593">
        <v>-0.11246874999999878</v>
      </c>
      <c r="M212" s="1593">
        <v>-8.0437500000000384E-2</v>
      </c>
      <c r="N212" s="1594">
        <v>-7.6968253968253908E-2</v>
      </c>
      <c r="O212" s="1592">
        <v>-6.4174603174603106E-2</v>
      </c>
      <c r="P212" s="1593">
        <v>-5.0873015873015071E-2</v>
      </c>
      <c r="Q212" s="1593">
        <v>-6.5730158730158195E-2</v>
      </c>
      <c r="R212" s="1593">
        <v>-7.0828125000001574E-2</v>
      </c>
      <c r="S212" s="1592">
        <v>-6.5516666666667334E-2</v>
      </c>
      <c r="T212" s="1595">
        <v>-0.10400000000000054</v>
      </c>
      <c r="U212" s="1595">
        <v>-6.8781250000001126E-2</v>
      </c>
      <c r="V212" s="1596">
        <v>-4.9484375000000469E-2</v>
      </c>
      <c r="W212" s="1595">
        <v>0.13100000000000023</v>
      </c>
      <c r="X212" s="1595">
        <v>-0.1406093749999977</v>
      </c>
      <c r="Y212" s="1595">
        <v>-8.2046874999999631E-2</v>
      </c>
      <c r="Z212" s="1596">
        <v>-0.13220312499999887</v>
      </c>
      <c r="AA212" s="1595">
        <v>-0.18638709677419296</v>
      </c>
      <c r="AB212" s="1595">
        <v>-0.1698571428571416</v>
      </c>
      <c r="AC212" s="1595">
        <v>-9.4734374999999815E-2</v>
      </c>
      <c r="AD212" s="1596">
        <v>-7.3825396825397682E-2</v>
      </c>
      <c r="AE212" s="1595">
        <v>-0.13737704918032856</v>
      </c>
      <c r="AF212" s="1595">
        <v>-0.15981249999999947</v>
      </c>
      <c r="AG212" s="1595">
        <v>-0.16378125000000088</v>
      </c>
      <c r="AH212" s="1596">
        <v>-0.1974516129032251</v>
      </c>
      <c r="AI212" s="1595">
        <v>-0.2175806451612905</v>
      </c>
      <c r="AJ212" s="1595">
        <v>-0.31395312499999983</v>
      </c>
      <c r="AK212" s="1595">
        <v>-0.23814285714285521</v>
      </c>
      <c r="AL212" s="1596">
        <v>-0.332435483870968</v>
      </c>
      <c r="AM212" s="1595">
        <v>-0.44990163934426253</v>
      </c>
      <c r="AN212" s="1595">
        <v>-0.37966666666666615</v>
      </c>
      <c r="AO212" s="1595">
        <v>-0.39166666666666661</v>
      </c>
      <c r="AP212" s="1596">
        <v>-0.37166666666666703</v>
      </c>
      <c r="AQ212" s="1595">
        <v>-0.19602769763382533</v>
      </c>
      <c r="AR212" s="1595">
        <v>-0.300845626465994</v>
      </c>
      <c r="AS212" s="1595">
        <v>-0.18112311230464595</v>
      </c>
      <c r="AT212" s="1596">
        <v>-0.4933368969288674</v>
      </c>
      <c r="AU212" s="1595">
        <v>-0.21941821857145705</v>
      </c>
      <c r="AV212" s="1595">
        <v>-0.28887692999624326</v>
      </c>
      <c r="AW212" s="1595">
        <v>-0.1563235091335029</v>
      </c>
      <c r="AX212" s="1596">
        <v>-0.48504800896546163</v>
      </c>
      <c r="AY212" s="1595">
        <v>-0.2167463007799646</v>
      </c>
      <c r="AZ212" s="1595">
        <v>-0.28245768253923886</v>
      </c>
      <c r="BA212" s="1595">
        <v>-0.14056807383264047</v>
      </c>
      <c r="BB212" s="1844">
        <v>-0.47456127618148791</v>
      </c>
      <c r="BC212" s="954"/>
      <c r="BD212" s="954"/>
      <c r="BE212" s="1411"/>
      <c r="BF212" s="1411"/>
      <c r="BG212" s="1411"/>
      <c r="BH212" s="1413"/>
      <c r="BI212" s="1413"/>
      <c r="BJ212" s="1413"/>
      <c r="BK212" s="1413"/>
      <c r="BL212" s="1413"/>
      <c r="BM212" s="1413"/>
      <c r="BN212" s="1413"/>
      <c r="BO212" s="1413"/>
      <c r="BP212" s="1413"/>
      <c r="BQ212" s="949"/>
      <c r="BR212" s="968"/>
      <c r="BU212" s="922"/>
      <c r="BV212" s="921"/>
      <c r="BW212" s="921"/>
      <c r="BX212" s="921"/>
    </row>
    <row r="213" spans="2:76" ht="12.75" customHeight="1">
      <c r="B213" s="1080"/>
      <c r="C213" s="1457"/>
      <c r="D213" s="1189"/>
      <c r="E213" s="1189"/>
      <c r="F213" s="1190"/>
      <c r="G213" s="1592"/>
      <c r="H213" s="1593"/>
      <c r="I213" s="1593"/>
      <c r="J213" s="1594"/>
      <c r="K213" s="1592"/>
      <c r="L213" s="1593"/>
      <c r="M213" s="1593"/>
      <c r="N213" s="1594"/>
      <c r="O213" s="1592"/>
      <c r="P213" s="1593"/>
      <c r="Q213" s="1593"/>
      <c r="R213" s="1593"/>
      <c r="S213" s="1592"/>
      <c r="T213" s="1595"/>
      <c r="U213" s="1595"/>
      <c r="V213" s="1596"/>
      <c r="W213" s="1595"/>
      <c r="X213" s="1595"/>
      <c r="Y213" s="1595"/>
      <c r="Z213" s="1596"/>
      <c r="AA213" s="1595"/>
      <c r="AB213" s="1595"/>
      <c r="AC213" s="1595"/>
      <c r="AD213" s="1596"/>
      <c r="AE213" s="1595"/>
      <c r="AF213" s="1595"/>
      <c r="AG213" s="1595"/>
      <c r="AH213" s="1596"/>
      <c r="AI213" s="1595"/>
      <c r="AJ213" s="1595"/>
      <c r="AK213" s="1595"/>
      <c r="AL213" s="1596"/>
      <c r="AM213" s="1595"/>
      <c r="AN213" s="1595"/>
      <c r="AO213" s="1595"/>
      <c r="AP213" s="1596"/>
      <c r="AQ213" s="1595"/>
      <c r="AR213" s="1595"/>
      <c r="AS213" s="1595"/>
      <c r="AT213" s="1596"/>
      <c r="AU213" s="1595"/>
      <c r="AV213" s="1595"/>
      <c r="AW213" s="1595"/>
      <c r="AX213" s="1596"/>
      <c r="AY213" s="1595"/>
      <c r="AZ213" s="1595"/>
      <c r="BA213" s="1595"/>
      <c r="BB213" s="1844"/>
      <c r="BC213" s="954"/>
      <c r="BD213" s="954"/>
      <c r="BE213" s="1411"/>
      <c r="BF213" s="1411"/>
      <c r="BG213" s="1411"/>
      <c r="BH213" s="1413"/>
      <c r="BI213" s="1413"/>
      <c r="BJ213" s="1413"/>
      <c r="BK213" s="1413"/>
      <c r="BL213" s="1413"/>
      <c r="BM213" s="1413"/>
      <c r="BN213" s="1413"/>
      <c r="BO213" s="1413"/>
      <c r="BP213" s="1413"/>
      <c r="BQ213" s="949"/>
      <c r="BR213" s="950"/>
      <c r="BU213" s="922"/>
      <c r="BV213" s="921"/>
      <c r="BW213" s="921"/>
      <c r="BX213" s="921"/>
    </row>
    <row r="214" spans="2:76" ht="12.75" customHeight="1">
      <c r="B214" s="1080"/>
      <c r="C214" s="1458" t="s">
        <v>793</v>
      </c>
      <c r="D214" s="1192"/>
      <c r="E214" s="1192"/>
      <c r="F214" s="1138"/>
      <c r="G214" s="1592"/>
      <c r="H214" s="1593"/>
      <c r="I214" s="1593"/>
      <c r="J214" s="1594"/>
      <c r="K214" s="1592"/>
      <c r="L214" s="1593"/>
      <c r="M214" s="1593"/>
      <c r="N214" s="1594"/>
      <c r="O214" s="1592"/>
      <c r="P214" s="1593"/>
      <c r="Q214" s="1593"/>
      <c r="R214" s="1593"/>
      <c r="S214" s="1592"/>
      <c r="T214" s="1595"/>
      <c r="U214" s="1595"/>
      <c r="V214" s="1596"/>
      <c r="W214" s="1595"/>
      <c r="X214" s="1595"/>
      <c r="Y214" s="1595"/>
      <c r="Z214" s="1596"/>
      <c r="AA214" s="1595"/>
      <c r="AB214" s="1595"/>
      <c r="AC214" s="1595"/>
      <c r="AD214" s="1596"/>
      <c r="AE214" s="1595"/>
      <c r="AF214" s="1595"/>
      <c r="AG214" s="1595"/>
      <c r="AH214" s="1596"/>
      <c r="AI214" s="1595"/>
      <c r="AJ214" s="1595"/>
      <c r="AK214" s="1595"/>
      <c r="AL214" s="1596"/>
      <c r="AM214" s="1595"/>
      <c r="AN214" s="1595"/>
      <c r="AO214" s="1595"/>
      <c r="AP214" s="1596"/>
      <c r="AQ214" s="1595"/>
      <c r="AR214" s="1595"/>
      <c r="AS214" s="1595"/>
      <c r="AT214" s="1596"/>
      <c r="AU214" s="1595"/>
      <c r="AV214" s="1595"/>
      <c r="AW214" s="1595"/>
      <c r="AX214" s="1596"/>
      <c r="AY214" s="1595"/>
      <c r="AZ214" s="1595"/>
      <c r="BA214" s="1595"/>
      <c r="BB214" s="1844"/>
      <c r="BC214" s="954"/>
      <c r="BD214" s="954"/>
      <c r="BE214" s="1411"/>
      <c r="BF214" s="1411"/>
      <c r="BG214" s="1411"/>
      <c r="BH214" s="1411"/>
      <c r="BI214" s="1411"/>
      <c r="BJ214" s="1411"/>
      <c r="BK214" s="1411"/>
      <c r="BL214" s="1411"/>
      <c r="BM214" s="1411"/>
      <c r="BN214" s="1411"/>
      <c r="BO214" s="1411"/>
      <c r="BP214" s="1411"/>
      <c r="BQ214" s="949"/>
      <c r="BR214" s="950"/>
      <c r="BU214" s="922"/>
      <c r="BV214" s="921"/>
      <c r="BW214" s="921"/>
      <c r="BX214" s="921"/>
    </row>
    <row r="215" spans="2:76" ht="12.75" customHeight="1">
      <c r="B215" s="1080"/>
      <c r="C215" s="1457" t="s">
        <v>602</v>
      </c>
      <c r="D215" s="1189"/>
      <c r="E215" s="1189"/>
      <c r="F215" s="1190"/>
      <c r="G215" s="1597">
        <v>5</v>
      </c>
      <c r="H215" s="1595">
        <v>5</v>
      </c>
      <c r="I215" s="1595">
        <v>5</v>
      </c>
      <c r="J215" s="1596">
        <v>5</v>
      </c>
      <c r="K215" s="1597">
        <v>5</v>
      </c>
      <c r="L215" s="1595">
        <v>5</v>
      </c>
      <c r="M215" s="1595">
        <v>5</v>
      </c>
      <c r="N215" s="1596">
        <v>5</v>
      </c>
      <c r="O215" s="1597">
        <v>5</v>
      </c>
      <c r="P215" s="1595">
        <v>5</v>
      </c>
      <c r="Q215" s="1595">
        <v>5</v>
      </c>
      <c r="R215" s="1595">
        <v>5</v>
      </c>
      <c r="S215" s="1597">
        <v>5</v>
      </c>
      <c r="T215" s="1595">
        <v>5</v>
      </c>
      <c r="U215" s="1595">
        <v>5</v>
      </c>
      <c r="V215" s="1596">
        <v>5</v>
      </c>
      <c r="W215" s="1595">
        <v>5</v>
      </c>
      <c r="X215" s="1595">
        <v>5</v>
      </c>
      <c r="Y215" s="1595">
        <v>5</v>
      </c>
      <c r="Z215" s="1596">
        <v>5</v>
      </c>
      <c r="AA215" s="1595">
        <v>5</v>
      </c>
      <c r="AB215" s="1595">
        <v>5</v>
      </c>
      <c r="AC215" s="1595">
        <v>5</v>
      </c>
      <c r="AD215" s="1596">
        <v>5</v>
      </c>
      <c r="AE215" s="1595">
        <v>5</v>
      </c>
      <c r="AF215" s="1595">
        <v>5</v>
      </c>
      <c r="AG215" s="1595">
        <v>5</v>
      </c>
      <c r="AH215" s="1596">
        <v>5</v>
      </c>
      <c r="AI215" s="1595">
        <v>5</v>
      </c>
      <c r="AJ215" s="1595">
        <v>5</v>
      </c>
      <c r="AK215" s="1595">
        <v>5</v>
      </c>
      <c r="AL215" s="1596">
        <v>5</v>
      </c>
      <c r="AM215" s="1595">
        <v>5</v>
      </c>
      <c r="AN215" s="1595">
        <v>5</v>
      </c>
      <c r="AO215" s="1595">
        <v>5</v>
      </c>
      <c r="AP215" s="1596">
        <v>5</v>
      </c>
      <c r="AQ215" s="1595">
        <v>5</v>
      </c>
      <c r="AR215" s="1595">
        <v>5</v>
      </c>
      <c r="AS215" s="1595">
        <v>5</v>
      </c>
      <c r="AT215" s="1596">
        <v>5</v>
      </c>
      <c r="AU215" s="1595">
        <v>5</v>
      </c>
      <c r="AV215" s="1595">
        <v>5</v>
      </c>
      <c r="AW215" s="1595">
        <v>5</v>
      </c>
      <c r="AX215" s="1596">
        <v>5</v>
      </c>
      <c r="AY215" s="1595">
        <v>5</v>
      </c>
      <c r="AZ215" s="1595">
        <v>5</v>
      </c>
      <c r="BA215" s="1595">
        <v>5</v>
      </c>
      <c r="BB215" s="1844">
        <v>5</v>
      </c>
      <c r="BC215" s="954"/>
      <c r="BD215" s="954"/>
      <c r="BE215" s="1411">
        <f>AVERAGE(G215:J215)</f>
        <v>5</v>
      </c>
      <c r="BF215" s="1411">
        <f>AVERAGE(K215:N215)</f>
        <v>5</v>
      </c>
      <c r="BG215" s="1411">
        <f>AVERAGE(O215:R215)</f>
        <v>5</v>
      </c>
      <c r="BH215" s="1411">
        <f>AVERAGE(S215:V215)</f>
        <v>5</v>
      </c>
      <c r="BI215" s="1411">
        <f>AVERAGE(W215:Z215)</f>
        <v>5</v>
      </c>
      <c r="BJ215" s="1411">
        <f>AVERAGE(AA215:AD215)</f>
        <v>5</v>
      </c>
      <c r="BK215" s="1411">
        <f>AVERAGE(AE215:AH215)</f>
        <v>5</v>
      </c>
      <c r="BL215" s="1411">
        <f>AVERAGE(AI215:AL215)</f>
        <v>5</v>
      </c>
      <c r="BM215" s="1411">
        <f>AVERAGE(AM215:AP215)</f>
        <v>5</v>
      </c>
      <c r="BN215" s="1411">
        <f>AVERAGE(AQ215:AT215)</f>
        <v>5</v>
      </c>
      <c r="BO215" s="1411">
        <f>AVERAGE(AU215:AX215)</f>
        <v>5</v>
      </c>
      <c r="BP215" s="1411">
        <f>AVERAGE(AY215:BB215)</f>
        <v>5</v>
      </c>
      <c r="BQ215" s="949"/>
      <c r="BR215" s="950"/>
      <c r="BU215" s="922"/>
      <c r="BV215" s="921"/>
      <c r="BW215" s="921"/>
      <c r="BX215" s="921"/>
    </row>
    <row r="216" spans="2:76" ht="12.75" customHeight="1">
      <c r="B216" s="1080"/>
      <c r="C216" s="1457" t="s">
        <v>693</v>
      </c>
      <c r="D216" s="1189"/>
      <c r="E216" s="1189"/>
      <c r="F216" s="1190"/>
      <c r="G216" s="1597">
        <v>15</v>
      </c>
      <c r="H216" s="1595">
        <v>15</v>
      </c>
      <c r="I216" s="1595">
        <v>15</v>
      </c>
      <c r="J216" s="1596">
        <v>15</v>
      </c>
      <c r="K216" s="1597">
        <v>15</v>
      </c>
      <c r="L216" s="1595">
        <v>15</v>
      </c>
      <c r="M216" s="1595">
        <v>15</v>
      </c>
      <c r="N216" s="1596">
        <v>15</v>
      </c>
      <c r="O216" s="1597">
        <v>15</v>
      </c>
      <c r="P216" s="1595">
        <v>15</v>
      </c>
      <c r="Q216" s="1595">
        <v>15</v>
      </c>
      <c r="R216" s="1595">
        <v>15</v>
      </c>
      <c r="S216" s="1597">
        <v>15</v>
      </c>
      <c r="T216" s="1595">
        <v>15</v>
      </c>
      <c r="U216" s="1595">
        <v>15</v>
      </c>
      <c r="V216" s="1596">
        <v>15</v>
      </c>
      <c r="W216" s="1595">
        <v>15</v>
      </c>
      <c r="X216" s="1595">
        <v>15</v>
      </c>
      <c r="Y216" s="1595">
        <v>15</v>
      </c>
      <c r="Z216" s="1596">
        <v>15</v>
      </c>
      <c r="AA216" s="1595">
        <v>15</v>
      </c>
      <c r="AB216" s="1595">
        <v>15</v>
      </c>
      <c r="AC216" s="1595">
        <v>15</v>
      </c>
      <c r="AD216" s="1596">
        <v>15</v>
      </c>
      <c r="AE216" s="1595">
        <v>15</v>
      </c>
      <c r="AF216" s="1595">
        <v>15</v>
      </c>
      <c r="AG216" s="1595">
        <v>15</v>
      </c>
      <c r="AH216" s="1596">
        <v>15</v>
      </c>
      <c r="AI216" s="1595">
        <v>15</v>
      </c>
      <c r="AJ216" s="1595">
        <v>15</v>
      </c>
      <c r="AK216" s="1595">
        <v>15</v>
      </c>
      <c r="AL216" s="1596">
        <v>15</v>
      </c>
      <c r="AM216" s="1595">
        <v>15</v>
      </c>
      <c r="AN216" s="1595">
        <v>15</v>
      </c>
      <c r="AO216" s="1595">
        <v>15</v>
      </c>
      <c r="AP216" s="1596">
        <v>15</v>
      </c>
      <c r="AQ216" s="1595">
        <v>15</v>
      </c>
      <c r="AR216" s="1595">
        <v>15</v>
      </c>
      <c r="AS216" s="1595">
        <v>15</v>
      </c>
      <c r="AT216" s="1596">
        <v>15</v>
      </c>
      <c r="AU216" s="1595">
        <v>15</v>
      </c>
      <c r="AV216" s="1595">
        <v>15</v>
      </c>
      <c r="AW216" s="1595">
        <v>15</v>
      </c>
      <c r="AX216" s="1596">
        <v>15</v>
      </c>
      <c r="AY216" s="1595">
        <v>15</v>
      </c>
      <c r="AZ216" s="1595">
        <v>15</v>
      </c>
      <c r="BA216" s="1595">
        <v>15</v>
      </c>
      <c r="BB216" s="1844">
        <v>15</v>
      </c>
      <c r="BC216" s="954"/>
      <c r="BD216" s="954"/>
      <c r="BE216" s="1411">
        <f>AVERAGE(G216:J216)</f>
        <v>15</v>
      </c>
      <c r="BF216" s="1411">
        <f>AVERAGE(K216:N216)</f>
        <v>15</v>
      </c>
      <c r="BG216" s="1411">
        <f>AVERAGE(O216:R216)</f>
        <v>15</v>
      </c>
      <c r="BH216" s="1411">
        <f>AVERAGE(S216:V216)</f>
        <v>15</v>
      </c>
      <c r="BI216" s="1411">
        <f>AVERAGE(W216:Z216)</f>
        <v>15</v>
      </c>
      <c r="BJ216" s="1411">
        <f>AVERAGE(AA216:AD216)</f>
        <v>15</v>
      </c>
      <c r="BK216" s="1411">
        <f>AVERAGE(AE216:AH216)</f>
        <v>15</v>
      </c>
      <c r="BL216" s="1411">
        <f>AVERAGE(AI216:AL216)</f>
        <v>15</v>
      </c>
      <c r="BM216" s="1411">
        <f>AVERAGE(AM216:AP216)</f>
        <v>15</v>
      </c>
      <c r="BN216" s="1411">
        <f>AVERAGE(AQ216:AT216)</f>
        <v>15</v>
      </c>
      <c r="BO216" s="1411">
        <f>AVERAGE(AU216:AX216)</f>
        <v>15</v>
      </c>
      <c r="BP216" s="1411">
        <f>AVERAGE(AY216:BB216)</f>
        <v>15</v>
      </c>
      <c r="BQ216" s="949"/>
      <c r="BR216" s="950"/>
      <c r="BU216" s="922"/>
      <c r="BV216" s="921"/>
      <c r="BW216" s="921"/>
      <c r="BX216" s="921"/>
    </row>
    <row r="217" spans="2:76" ht="12.75" customHeight="1">
      <c r="B217" s="1080"/>
      <c r="C217" s="1457" t="s">
        <v>701</v>
      </c>
      <c r="D217" s="1189"/>
      <c r="E217" s="1189"/>
      <c r="F217" s="1190"/>
      <c r="G217" s="1597">
        <v>25</v>
      </c>
      <c r="H217" s="1595">
        <v>25</v>
      </c>
      <c r="I217" s="1595">
        <v>25</v>
      </c>
      <c r="J217" s="1596">
        <v>25</v>
      </c>
      <c r="K217" s="1597">
        <v>25</v>
      </c>
      <c r="L217" s="1595">
        <v>25</v>
      </c>
      <c r="M217" s="1595">
        <v>25</v>
      </c>
      <c r="N217" s="1596">
        <v>25</v>
      </c>
      <c r="O217" s="1597">
        <v>25</v>
      </c>
      <c r="P217" s="1595">
        <v>25</v>
      </c>
      <c r="Q217" s="1595">
        <v>25</v>
      </c>
      <c r="R217" s="1595">
        <v>25</v>
      </c>
      <c r="S217" s="1597">
        <v>25</v>
      </c>
      <c r="T217" s="1595">
        <v>25</v>
      </c>
      <c r="U217" s="1595">
        <v>25</v>
      </c>
      <c r="V217" s="1596">
        <v>25</v>
      </c>
      <c r="W217" s="1595">
        <v>25</v>
      </c>
      <c r="X217" s="1595">
        <v>25</v>
      </c>
      <c r="Y217" s="1595">
        <v>25</v>
      </c>
      <c r="Z217" s="1596">
        <v>25</v>
      </c>
      <c r="AA217" s="1595">
        <v>25</v>
      </c>
      <c r="AB217" s="1595">
        <v>25</v>
      </c>
      <c r="AC217" s="1595">
        <v>25</v>
      </c>
      <c r="AD217" s="1596">
        <v>25</v>
      </c>
      <c r="AE217" s="1595">
        <v>25</v>
      </c>
      <c r="AF217" s="1595">
        <v>25</v>
      </c>
      <c r="AG217" s="1595">
        <v>25</v>
      </c>
      <c r="AH217" s="1596">
        <v>25</v>
      </c>
      <c r="AI217" s="1595">
        <v>25</v>
      </c>
      <c r="AJ217" s="1595">
        <v>25</v>
      </c>
      <c r="AK217" s="1595">
        <v>25</v>
      </c>
      <c r="AL217" s="1596">
        <v>25</v>
      </c>
      <c r="AM217" s="1595">
        <v>25</v>
      </c>
      <c r="AN217" s="1595">
        <v>25</v>
      </c>
      <c r="AO217" s="1595">
        <v>25</v>
      </c>
      <c r="AP217" s="1596">
        <v>25</v>
      </c>
      <c r="AQ217" s="1595">
        <v>25</v>
      </c>
      <c r="AR217" s="1595">
        <v>25</v>
      </c>
      <c r="AS217" s="1595">
        <v>25</v>
      </c>
      <c r="AT217" s="1596">
        <v>25</v>
      </c>
      <c r="AU217" s="1595">
        <v>25</v>
      </c>
      <c r="AV217" s="1595">
        <v>25</v>
      </c>
      <c r="AW217" s="1595">
        <v>25</v>
      </c>
      <c r="AX217" s="1596">
        <v>25</v>
      </c>
      <c r="AY217" s="1595">
        <v>25</v>
      </c>
      <c r="AZ217" s="1595">
        <v>25</v>
      </c>
      <c r="BA217" s="1595">
        <v>25</v>
      </c>
      <c r="BB217" s="1844">
        <v>25</v>
      </c>
      <c r="BC217" s="954"/>
      <c r="BD217" s="954"/>
      <c r="BE217" s="1411">
        <f>AVERAGE(G217:J217)</f>
        <v>25</v>
      </c>
      <c r="BF217" s="1411">
        <f>AVERAGE(K217:N217)</f>
        <v>25</v>
      </c>
      <c r="BG217" s="1411">
        <f>AVERAGE(O217:R217)</f>
        <v>25</v>
      </c>
      <c r="BH217" s="1411">
        <f>AVERAGE(S217:V217)</f>
        <v>25</v>
      </c>
      <c r="BI217" s="1411">
        <f>AVERAGE(W217:Z217)</f>
        <v>25</v>
      </c>
      <c r="BJ217" s="1411">
        <f>AVERAGE(AA217:AD217)</f>
        <v>25</v>
      </c>
      <c r="BK217" s="1411">
        <f>AVERAGE(AE217:AH217)</f>
        <v>25</v>
      </c>
      <c r="BL217" s="1411">
        <f>AVERAGE(AI217:AL217)</f>
        <v>25</v>
      </c>
      <c r="BM217" s="1411">
        <f>AVERAGE(AM217:AP217)</f>
        <v>25</v>
      </c>
      <c r="BN217" s="1411">
        <f>AVERAGE(AQ217:AT217)</f>
        <v>25</v>
      </c>
      <c r="BO217" s="1411">
        <f>AVERAGE(AU217:AX217)</f>
        <v>25</v>
      </c>
      <c r="BP217" s="1411">
        <f>AVERAGE(AY217:BB217)</f>
        <v>25</v>
      </c>
      <c r="BQ217" s="949"/>
      <c r="BR217" s="950"/>
      <c r="BU217" s="922"/>
      <c r="BV217" s="921"/>
      <c r="BW217" s="921"/>
      <c r="BX217" s="921"/>
    </row>
    <row r="218" spans="2:76" ht="12.75" customHeight="1">
      <c r="B218" s="1080"/>
      <c r="C218" s="1457"/>
      <c r="D218" s="1189"/>
      <c r="E218" s="1189"/>
      <c r="F218" s="1190"/>
      <c r="G218" s="1592"/>
      <c r="H218" s="1593"/>
      <c r="I218" s="1593"/>
      <c r="J218" s="1594"/>
      <c r="K218" s="1592"/>
      <c r="L218" s="1593"/>
      <c r="M218" s="1593"/>
      <c r="N218" s="1594"/>
      <c r="O218" s="1592"/>
      <c r="P218" s="1593"/>
      <c r="Q218" s="1593"/>
      <c r="R218" s="1593"/>
      <c r="S218" s="1592"/>
      <c r="T218" s="1595"/>
      <c r="U218" s="1595"/>
      <c r="V218" s="1596"/>
      <c r="W218" s="1595"/>
      <c r="X218" s="1595"/>
      <c r="Y218" s="1595"/>
      <c r="Z218" s="1596"/>
      <c r="AA218" s="1595"/>
      <c r="AB218" s="1595"/>
      <c r="AC218" s="1595"/>
      <c r="AD218" s="1596"/>
      <c r="AE218" s="1595"/>
      <c r="AF218" s="1595"/>
      <c r="AG218" s="1595"/>
      <c r="AH218" s="1596"/>
      <c r="AI218" s="1595"/>
      <c r="AJ218" s="1595"/>
      <c r="AK218" s="1595"/>
      <c r="AL218" s="1596"/>
      <c r="AM218" s="1595"/>
      <c r="AN218" s="1595"/>
      <c r="AO218" s="1595"/>
      <c r="AP218" s="1596"/>
      <c r="AQ218" s="1595"/>
      <c r="AR218" s="1595"/>
      <c r="AS218" s="1595"/>
      <c r="AT218" s="1596"/>
      <c r="AU218" s="1595"/>
      <c r="AV218" s="1595"/>
      <c r="AW218" s="1595"/>
      <c r="AX218" s="1596"/>
      <c r="AY218" s="1595"/>
      <c r="AZ218" s="1595"/>
      <c r="BA218" s="1595"/>
      <c r="BB218" s="1844"/>
      <c r="BC218" s="954"/>
      <c r="BD218" s="954"/>
      <c r="BE218" s="1411"/>
      <c r="BF218" s="1411"/>
      <c r="BG218" s="1411"/>
      <c r="BH218" s="1413"/>
      <c r="BI218" s="1413"/>
      <c r="BJ218" s="1413"/>
      <c r="BK218" s="1413"/>
      <c r="BL218" s="1413"/>
      <c r="BM218" s="1413"/>
      <c r="BN218" s="1413"/>
      <c r="BO218" s="1413"/>
      <c r="BP218" s="1413"/>
      <c r="BQ218" s="949"/>
      <c r="BR218" s="968"/>
      <c r="BU218" s="922"/>
      <c r="BV218" s="921"/>
      <c r="BW218" s="921"/>
      <c r="BX218" s="921"/>
    </row>
    <row r="219" spans="2:76" ht="12.75" customHeight="1">
      <c r="B219" s="1080"/>
      <c r="C219" s="1457"/>
      <c r="D219" s="1189"/>
      <c r="E219" s="1189"/>
      <c r="F219" s="1190"/>
      <c r="G219" s="1598"/>
      <c r="H219" s="1599"/>
      <c r="I219" s="1599"/>
      <c r="J219" s="1600"/>
      <c r="K219" s="1598"/>
      <c r="L219" s="1599"/>
      <c r="M219" s="1599"/>
      <c r="N219" s="1600"/>
      <c r="O219" s="1598"/>
      <c r="P219" s="1599"/>
      <c r="Q219" s="1599"/>
      <c r="R219" s="1599"/>
      <c r="S219" s="1606"/>
      <c r="T219" s="1601"/>
      <c r="U219" s="1601"/>
      <c r="V219" s="1603"/>
      <c r="W219" s="1601"/>
      <c r="X219" s="1601"/>
      <c r="Y219" s="1601"/>
      <c r="Z219" s="1605"/>
      <c r="AA219" s="1604"/>
      <c r="AB219" s="1604"/>
      <c r="AC219" s="1604"/>
      <c r="AD219" s="1605"/>
      <c r="AE219" s="1604"/>
      <c r="AF219" s="1604"/>
      <c r="AG219" s="1604"/>
      <c r="AH219" s="1605"/>
      <c r="AI219" s="1604"/>
      <c r="AJ219" s="1604"/>
      <c r="AK219" s="1604"/>
      <c r="AL219" s="1605"/>
      <c r="AM219" s="1604"/>
      <c r="AN219" s="1604"/>
      <c r="AO219" s="1604"/>
      <c r="AP219" s="1605"/>
      <c r="AQ219" s="1604"/>
      <c r="AR219" s="1604"/>
      <c r="AS219" s="1604"/>
      <c r="AT219" s="1605"/>
      <c r="AU219" s="1604"/>
      <c r="AV219" s="1604"/>
      <c r="AW219" s="1604"/>
      <c r="AX219" s="1605"/>
      <c r="AY219" s="1604"/>
      <c r="AZ219" s="1604"/>
      <c r="BA219" s="1604"/>
      <c r="BB219" s="1845"/>
      <c r="BC219" s="961"/>
      <c r="BD219" s="962"/>
      <c r="BE219" s="1412"/>
      <c r="BF219" s="1412"/>
      <c r="BG219" s="1412"/>
      <c r="BH219" s="1412"/>
      <c r="BI219" s="1412"/>
      <c r="BJ219" s="1412"/>
      <c r="BK219" s="1412"/>
      <c r="BL219" s="1412"/>
      <c r="BM219" s="1412"/>
      <c r="BN219" s="1412"/>
      <c r="BO219" s="1412"/>
      <c r="BP219" s="1412"/>
      <c r="BQ219" s="949"/>
      <c r="BR219" s="968"/>
      <c r="BU219" s="922"/>
      <c r="BV219" s="921"/>
      <c r="BW219" s="921"/>
      <c r="BX219" s="921"/>
    </row>
    <row r="220" spans="2:76" ht="12.75" customHeight="1">
      <c r="B220" s="1080"/>
      <c r="C220" s="1458" t="s">
        <v>794</v>
      </c>
      <c r="D220" s="1125"/>
      <c r="E220" s="1125"/>
      <c r="F220" s="1126"/>
      <c r="G220" s="1592"/>
      <c r="H220" s="1593"/>
      <c r="I220" s="1593"/>
      <c r="J220" s="1594"/>
      <c r="K220" s="1592"/>
      <c r="L220" s="1593"/>
      <c r="M220" s="1593"/>
      <c r="N220" s="1594"/>
      <c r="O220" s="1592"/>
      <c r="P220" s="1593"/>
      <c r="Q220" s="1593"/>
      <c r="R220" s="1593"/>
      <c r="S220" s="1592"/>
      <c r="T220" s="1595"/>
      <c r="U220" s="1595"/>
      <c r="V220" s="1596"/>
      <c r="W220" s="1595"/>
      <c r="X220" s="1595"/>
      <c r="Y220" s="1595"/>
      <c r="Z220" s="1596"/>
      <c r="AA220" s="1595"/>
      <c r="AB220" s="1595"/>
      <c r="AC220" s="1595"/>
      <c r="AD220" s="1596"/>
      <c r="AE220" s="1595"/>
      <c r="AF220" s="1595"/>
      <c r="AG220" s="1595"/>
      <c r="AH220" s="1596"/>
      <c r="AI220" s="1595"/>
      <c r="AJ220" s="1595"/>
      <c r="AK220" s="1595"/>
      <c r="AL220" s="1596"/>
      <c r="AM220" s="1595"/>
      <c r="AN220" s="1595"/>
      <c r="AO220" s="1595"/>
      <c r="AP220" s="1596"/>
      <c r="AQ220" s="1595"/>
      <c r="AR220" s="1595"/>
      <c r="AS220" s="1595"/>
      <c r="AT220" s="1596"/>
      <c r="AU220" s="1595"/>
      <c r="AV220" s="1595"/>
      <c r="AW220" s="1595"/>
      <c r="AX220" s="1596"/>
      <c r="AY220" s="1595"/>
      <c r="AZ220" s="1595"/>
      <c r="BA220" s="1595"/>
      <c r="BB220" s="1844"/>
      <c r="BC220" s="954"/>
      <c r="BD220" s="954"/>
      <c r="BE220" s="1411"/>
      <c r="BF220" s="1411"/>
      <c r="BG220" s="1411"/>
      <c r="BH220" s="1411"/>
      <c r="BI220" s="1411"/>
      <c r="BJ220" s="1411"/>
      <c r="BK220" s="1411"/>
      <c r="BL220" s="1411"/>
      <c r="BM220" s="1411"/>
      <c r="BN220" s="1411"/>
      <c r="BO220" s="1411"/>
      <c r="BP220" s="1411"/>
      <c r="BQ220" s="949"/>
      <c r="BR220" s="968"/>
      <c r="BU220" s="922"/>
      <c r="BV220" s="921"/>
      <c r="BW220" s="921"/>
      <c r="BX220" s="921"/>
    </row>
    <row r="221" spans="2:76" ht="12.75" customHeight="1">
      <c r="B221" s="1080"/>
      <c r="C221" s="1457" t="s">
        <v>674</v>
      </c>
      <c r="D221" s="1189"/>
      <c r="E221" s="1189"/>
      <c r="F221" s="1190"/>
      <c r="G221" s="1612">
        <v>8528.0969298430045</v>
      </c>
      <c r="H221" s="1613">
        <v>10939.694023823055</v>
      </c>
      <c r="I221" s="1613">
        <v>14421.989330928911</v>
      </c>
      <c r="J221" s="1614">
        <v>8861.0131998359921</v>
      </c>
      <c r="K221" s="1612">
        <v>9167.0595922106477</v>
      </c>
      <c r="L221" s="1613">
        <v>10189.12960248709</v>
      </c>
      <c r="M221" s="1613">
        <v>11710.045508691945</v>
      </c>
      <c r="N221" s="1614">
        <v>11336.882768537926</v>
      </c>
      <c r="O221" s="1612">
        <v>10207.718317800258</v>
      </c>
      <c r="P221" s="1613">
        <v>13937.121379905617</v>
      </c>
      <c r="Q221" s="1613">
        <v>15132.551384701612</v>
      </c>
      <c r="R221" s="1613">
        <v>12963.880511989042</v>
      </c>
      <c r="S221" s="1612">
        <v>11474.979818138521</v>
      </c>
      <c r="T221" s="1613">
        <v>10402.131258701407</v>
      </c>
      <c r="U221" s="1613">
        <v>14595.99188276675</v>
      </c>
      <c r="V221" s="1613">
        <v>15599.608908418337</v>
      </c>
      <c r="W221" s="1612">
        <v>9818.857351275652</v>
      </c>
      <c r="X221" s="1613">
        <v>11887.120339338082</v>
      </c>
      <c r="Y221" s="1613">
        <v>15922.771678283798</v>
      </c>
      <c r="Z221" s="1614">
        <v>15026.318812665288</v>
      </c>
      <c r="AA221" s="1612">
        <v>9835.9779023649571</v>
      </c>
      <c r="AB221" s="1613">
        <v>11407.233144218615</v>
      </c>
      <c r="AC221" s="1613">
        <v>18666.071155473397</v>
      </c>
      <c r="AD221" s="1614">
        <v>17315.33127145606</v>
      </c>
      <c r="AE221" s="1612">
        <v>12206.386279703562</v>
      </c>
      <c r="AF221" s="1613">
        <v>16621.31367909328</v>
      </c>
      <c r="AG221" s="1615">
        <v>22288.404958475618</v>
      </c>
      <c r="AH221" s="1616">
        <v>14434.588536316558</v>
      </c>
      <c r="AI221" s="1615">
        <v>10264.218099859183</v>
      </c>
      <c r="AJ221" s="1615">
        <v>12389.285901147583</v>
      </c>
      <c r="AK221" s="1615">
        <v>13153.218506204936</v>
      </c>
      <c r="AL221" s="1616">
        <v>14925.254225358662</v>
      </c>
      <c r="AM221" s="1615">
        <v>7994.7887216424933</v>
      </c>
      <c r="AN221" s="1615">
        <v>13122.990353697749</v>
      </c>
      <c r="AO221" s="1615">
        <v>14125.083166999331</v>
      </c>
      <c r="AP221" s="1616">
        <v>13408.970976253298</v>
      </c>
      <c r="AQ221" s="1615">
        <v>16121.702235183328</v>
      </c>
      <c r="AR221" s="1615">
        <v>17104.044129356756</v>
      </c>
      <c r="AS221" s="1615">
        <v>21029.097168692006</v>
      </c>
      <c r="AT221" s="1616">
        <v>8461.414086437906</v>
      </c>
      <c r="AU221" s="1615">
        <v>15860.467045238278</v>
      </c>
      <c r="AV221" s="1615">
        <v>16826.891124557431</v>
      </c>
      <c r="AW221" s="1615">
        <v>20688.34281700529</v>
      </c>
      <c r="AX221" s="1616">
        <v>8324.3057908107585</v>
      </c>
      <c r="AY221" s="1615">
        <v>15390.53594374832</v>
      </c>
      <c r="AZ221" s="1615">
        <v>16328.325763382341</v>
      </c>
      <c r="BA221" s="1615">
        <v>20075.366181432888</v>
      </c>
      <c r="BB221" s="1847">
        <v>8077.6642399499096</v>
      </c>
      <c r="BC221" s="974"/>
      <c r="BD221" s="974"/>
      <c r="BE221" s="1417">
        <f t="shared" ref="BE221:BE236" si="304">AVERAGE(G221:J221)</f>
        <v>10687.698371107741</v>
      </c>
      <c r="BF221" s="1417">
        <f t="shared" ref="BF221:BF236" si="305">AVERAGE(K221:N221)</f>
        <v>10600.779367981901</v>
      </c>
      <c r="BG221" s="1417">
        <f t="shared" ref="BG221:BG236" si="306">AVERAGE(O221:R221)</f>
        <v>13060.317898599133</v>
      </c>
      <c r="BH221" s="1417">
        <f t="shared" ref="BH221:BH236" si="307">AVERAGE(S221:V221)</f>
        <v>13018.177967006253</v>
      </c>
      <c r="BI221" s="1417">
        <f t="shared" ref="BI221:BI236" si="308">AVERAGE(W221:Z221)</f>
        <v>13163.767045390705</v>
      </c>
      <c r="BJ221" s="1417">
        <f t="shared" ref="BJ221:BJ236" si="309">AVERAGE(AA221:AD221)</f>
        <v>14306.153368378258</v>
      </c>
      <c r="BK221" s="1417">
        <f t="shared" ref="BK221:BK236" si="310">AVERAGE(AE221:AH221)</f>
        <v>16387.673363397254</v>
      </c>
      <c r="BL221" s="1417">
        <f t="shared" ref="BL221:BL236" si="311">AVERAGE(AI221:AL221)</f>
        <v>12682.994183142589</v>
      </c>
      <c r="BM221" s="1417">
        <f>AVERAGE(AM221:AP221)</f>
        <v>12162.958304648218</v>
      </c>
      <c r="BN221" s="1417">
        <f t="shared" ref="BN221:BN236" si="312">AVERAGE(AQ221:AT221)</f>
        <v>15679.064404917501</v>
      </c>
      <c r="BO221" s="1417">
        <f t="shared" ref="BO221:BO236" si="313">AVERAGE(AU221:AX221)</f>
        <v>15425.001694402939</v>
      </c>
      <c r="BP221" s="1417">
        <f t="shared" ref="BP221:BP236" si="314">AVERAGE(AY221:BB221)</f>
        <v>14967.973032128364</v>
      </c>
      <c r="BQ221" s="949"/>
      <c r="BR221" s="975"/>
      <c r="BU221" s="922"/>
      <c r="BV221" s="921"/>
      <c r="BW221" s="921"/>
      <c r="BX221" s="921"/>
    </row>
    <row r="222" spans="2:76" ht="12.75" customHeight="1">
      <c r="B222" s="1080"/>
      <c r="C222" s="1457" t="s">
        <v>675</v>
      </c>
      <c r="D222" s="1189"/>
      <c r="E222" s="1189"/>
      <c r="F222" s="1190"/>
      <c r="G222" s="1612">
        <v>6354.9851186486494</v>
      </c>
      <c r="H222" s="1613">
        <v>9234.2721012697057</v>
      </c>
      <c r="I222" s="1613">
        <v>11593.947010070106</v>
      </c>
      <c r="J222" s="1614">
        <v>7986.3843661035107</v>
      </c>
      <c r="K222" s="1612">
        <v>6840.1396780303039</v>
      </c>
      <c r="L222" s="1613">
        <v>9130.7265133667552</v>
      </c>
      <c r="M222" s="1613">
        <v>10816.593582639658</v>
      </c>
      <c r="N222" s="1614">
        <v>10282.027240426369</v>
      </c>
      <c r="O222" s="1612">
        <v>11040.263568617833</v>
      </c>
      <c r="P222" s="1613">
        <v>14052.827281024129</v>
      </c>
      <c r="Q222" s="1613">
        <v>13593.795584312746</v>
      </c>
      <c r="R222" s="1613">
        <v>10650.641750476832</v>
      </c>
      <c r="S222" s="1612">
        <v>10613.332343739214</v>
      </c>
      <c r="T222" s="1613">
        <v>9814.6604717116315</v>
      </c>
      <c r="U222" s="1613">
        <v>15217.027511328975</v>
      </c>
      <c r="V222" s="1613">
        <v>11622.060695219723</v>
      </c>
      <c r="W222" s="1612">
        <v>8339.8677320762581</v>
      </c>
      <c r="X222" s="1613">
        <v>12089.696865123291</v>
      </c>
      <c r="Y222" s="1613">
        <v>17008.913404698229</v>
      </c>
      <c r="Z222" s="1614">
        <v>14242.244323975263</v>
      </c>
      <c r="AA222" s="1612">
        <v>8245.126379457306</v>
      </c>
      <c r="AB222" s="1613">
        <v>23636.495062483507</v>
      </c>
      <c r="AC222" s="1613">
        <v>29559.964278835214</v>
      </c>
      <c r="AD222" s="1614">
        <v>26840.274598772085</v>
      </c>
      <c r="AE222" s="1612">
        <v>16770.720038090938</v>
      </c>
      <c r="AF222" s="1613">
        <v>22601.852674604575</v>
      </c>
      <c r="AG222" s="1615">
        <v>34191.352496551095</v>
      </c>
      <c r="AH222" s="1616">
        <v>12233.948471734455</v>
      </c>
      <c r="AI222" s="1615">
        <v>9237.5699548947559</v>
      </c>
      <c r="AJ222" s="1615">
        <v>13374.181331245492</v>
      </c>
      <c r="AK222" s="1615">
        <v>19942.594548815701</v>
      </c>
      <c r="AL222" s="1616">
        <v>12811.212946664498</v>
      </c>
      <c r="AM222" s="1615">
        <v>5561.1264063691815</v>
      </c>
      <c r="AN222" s="1615">
        <v>16904.797713941942</v>
      </c>
      <c r="AO222" s="1615">
        <v>15195.195195195192</v>
      </c>
      <c r="AP222" s="1616">
        <v>14065.797641216635</v>
      </c>
      <c r="AQ222" s="1615">
        <v>14527.253857531297</v>
      </c>
      <c r="AR222" s="1615">
        <v>19603.903225075555</v>
      </c>
      <c r="AS222" s="1615">
        <v>17640.554959788038</v>
      </c>
      <c r="AT222" s="1616">
        <v>7417.7739790369633</v>
      </c>
      <c r="AU222" s="1615">
        <v>14642.155761170308</v>
      </c>
      <c r="AV222" s="1615">
        <v>19758.958393891811</v>
      </c>
      <c r="AW222" s="1615">
        <v>17780.081216161496</v>
      </c>
      <c r="AX222" s="1616">
        <v>7476.4441419813102</v>
      </c>
      <c r="AY222" s="1615">
        <v>14513.506709443927</v>
      </c>
      <c r="AZ222" s="1615">
        <v>19585.352040979196</v>
      </c>
      <c r="BA222" s="1615">
        <v>17623.861693204144</v>
      </c>
      <c r="BB222" s="1847">
        <v>7410.7545355572447</v>
      </c>
      <c r="BC222" s="974"/>
      <c r="BD222" s="974"/>
      <c r="BE222" s="1417">
        <f t="shared" si="304"/>
        <v>8792.3971490229942</v>
      </c>
      <c r="BF222" s="1417">
        <f t="shared" si="305"/>
        <v>9267.371753615771</v>
      </c>
      <c r="BG222" s="1417">
        <f t="shared" si="306"/>
        <v>12334.382046107885</v>
      </c>
      <c r="BH222" s="1417">
        <f t="shared" si="307"/>
        <v>11816.770255499887</v>
      </c>
      <c r="BI222" s="1417">
        <f t="shared" si="308"/>
        <v>12920.180581468259</v>
      </c>
      <c r="BJ222" s="1417">
        <f t="shared" si="309"/>
        <v>22070.465079887028</v>
      </c>
      <c r="BK222" s="1417">
        <f t="shared" si="310"/>
        <v>21449.468420245266</v>
      </c>
      <c r="BL222" s="1417">
        <f t="shared" si="311"/>
        <v>13841.389695405112</v>
      </c>
      <c r="BM222" s="1417">
        <f>AVERAGE(AM222:AP222)</f>
        <v>12931.729239180739</v>
      </c>
      <c r="BN222" s="1417">
        <f t="shared" si="312"/>
        <v>14797.371505357962</v>
      </c>
      <c r="BO222" s="1417">
        <f t="shared" si="313"/>
        <v>14914.40987830123</v>
      </c>
      <c r="BP222" s="1417">
        <f t="shared" si="314"/>
        <v>14783.368744796129</v>
      </c>
      <c r="BQ222" s="949"/>
      <c r="BR222" s="950"/>
      <c r="BU222" s="922"/>
      <c r="BV222" s="921"/>
      <c r="BW222" s="921"/>
      <c r="BX222" s="921"/>
    </row>
    <row r="223" spans="2:76" ht="12.75" customHeight="1">
      <c r="B223" s="1080"/>
      <c r="C223" s="1457" t="s">
        <v>676</v>
      </c>
      <c r="D223" s="1189"/>
      <c r="E223" s="1189"/>
      <c r="F223" s="1190"/>
      <c r="G223" s="1612">
        <v>8543.6664872269102</v>
      </c>
      <c r="H223" s="1613">
        <v>11733.472288175466</v>
      </c>
      <c r="I223" s="1613">
        <v>15567.424976285371</v>
      </c>
      <c r="J223" s="1614">
        <v>9467.1210998981551</v>
      </c>
      <c r="K223" s="1612">
        <v>8811.5559963805918</v>
      </c>
      <c r="L223" s="1613">
        <v>11833.163129494042</v>
      </c>
      <c r="M223" s="1613">
        <v>13749.375769400505</v>
      </c>
      <c r="N223" s="1614">
        <v>11401.789212415018</v>
      </c>
      <c r="O223" s="1612">
        <v>10858.411061353236</v>
      </c>
      <c r="P223" s="1613">
        <v>17096.327622236855</v>
      </c>
      <c r="Q223" s="1613">
        <v>16321.388541509912</v>
      </c>
      <c r="R223" s="1613">
        <v>11936.102955529621</v>
      </c>
      <c r="S223" s="1612">
        <v>9200.0602031750641</v>
      </c>
      <c r="T223" s="1613">
        <v>10943.30469533352</v>
      </c>
      <c r="U223" s="1613">
        <v>16839.305638511436</v>
      </c>
      <c r="V223" s="1613">
        <v>11507.281614895146</v>
      </c>
      <c r="W223" s="1612">
        <v>8513.2984461369888</v>
      </c>
      <c r="X223" s="1613">
        <v>12214.306661080853</v>
      </c>
      <c r="Y223" s="1613">
        <v>15533.074957564382</v>
      </c>
      <c r="Z223" s="1614">
        <v>13169.174296902111</v>
      </c>
      <c r="AA223" s="1612">
        <v>8752.0153850948955</v>
      </c>
      <c r="AB223" s="1613">
        <v>13044.571585464208</v>
      </c>
      <c r="AC223" s="1613">
        <v>16897.690788927091</v>
      </c>
      <c r="AD223" s="1614">
        <v>14276.849559241589</v>
      </c>
      <c r="AE223" s="1612">
        <v>12408.032404772037</v>
      </c>
      <c r="AF223" s="1613">
        <v>16600.643581221062</v>
      </c>
      <c r="AG223" s="1615">
        <v>20653.382464404767</v>
      </c>
      <c r="AH223" s="1616">
        <v>13059.678246218231</v>
      </c>
      <c r="AI223" s="1615">
        <v>10564.639678870024</v>
      </c>
      <c r="AJ223" s="1615">
        <v>12417.855523387629</v>
      </c>
      <c r="AK223" s="1615">
        <v>13595.184996214484</v>
      </c>
      <c r="AL223" s="1616">
        <v>11881.520868816107</v>
      </c>
      <c r="AM223" s="1615">
        <v>6442.6306762573604</v>
      </c>
      <c r="AN223" s="1615">
        <v>14924.97320471597</v>
      </c>
      <c r="AO223" s="1615">
        <v>11663.33998669328</v>
      </c>
      <c r="AP223" s="1616">
        <v>13240.105540897099</v>
      </c>
      <c r="AQ223" s="1615">
        <v>15902.941350771327</v>
      </c>
      <c r="AR223" s="1615">
        <v>19127.171748689459</v>
      </c>
      <c r="AS223" s="1615">
        <v>16072.965189791517</v>
      </c>
      <c r="AT223" s="1616">
        <v>6473.9168195960674</v>
      </c>
      <c r="AU223" s="1615">
        <v>15877.25457081885</v>
      </c>
      <c r="AV223" s="1615">
        <v>19096.277121023737</v>
      </c>
      <c r="AW223" s="1615">
        <v>16047.003783602089</v>
      </c>
      <c r="AX223" s="1616">
        <v>6463.460007041228</v>
      </c>
      <c r="AY223" s="1615">
        <v>15501.066136796249</v>
      </c>
      <c r="AZ223" s="1615">
        <v>18643.818633709263</v>
      </c>
      <c r="BA223" s="1615">
        <v>15666.79338909201</v>
      </c>
      <c r="BB223" s="1847">
        <v>6310.3177312421476</v>
      </c>
      <c r="BC223" s="974"/>
      <c r="BD223" s="974"/>
      <c r="BE223" s="1417">
        <f t="shared" si="304"/>
        <v>11327.921212896475</v>
      </c>
      <c r="BF223" s="1417">
        <f t="shared" si="305"/>
        <v>11448.971026922538</v>
      </c>
      <c r="BG223" s="1417">
        <f t="shared" si="306"/>
        <v>14053.057545157406</v>
      </c>
      <c r="BH223" s="1417">
        <f t="shared" si="307"/>
        <v>12122.488037978792</v>
      </c>
      <c r="BI223" s="1417">
        <f t="shared" si="308"/>
        <v>12357.463590421085</v>
      </c>
      <c r="BJ223" s="1417">
        <f t="shared" si="309"/>
        <v>13242.781829681946</v>
      </c>
      <c r="BK223" s="1417">
        <f t="shared" si="310"/>
        <v>15680.434174154023</v>
      </c>
      <c r="BL223" s="1417">
        <f t="shared" si="311"/>
        <v>12114.800266822062</v>
      </c>
      <c r="BM223" s="1417">
        <f>AVERAGE(AM223:AP223)</f>
        <v>11567.762352140928</v>
      </c>
      <c r="BN223" s="1417">
        <f t="shared" si="312"/>
        <v>14394.248777212093</v>
      </c>
      <c r="BO223" s="1417">
        <f>AVERAGE(AU223:AX223)</f>
        <v>14370.998870621475</v>
      </c>
      <c r="BP223" s="1417">
        <f>AVERAGE(AY223:BB223)</f>
        <v>14030.498972709916</v>
      </c>
      <c r="BQ223" s="949"/>
      <c r="BR223" s="950"/>
      <c r="BU223" s="922"/>
      <c r="BV223" s="921"/>
      <c r="BW223" s="921"/>
      <c r="BX223" s="921"/>
    </row>
    <row r="224" spans="2:76" ht="12.75" customHeight="1">
      <c r="B224" s="1080"/>
      <c r="C224" s="1457" t="s">
        <v>677</v>
      </c>
      <c r="D224" s="1189"/>
      <c r="E224" s="1189"/>
      <c r="F224" s="1190"/>
      <c r="G224" s="1612">
        <v>9392.5798896790966</v>
      </c>
      <c r="H224" s="1613">
        <v>13697.35313631684</v>
      </c>
      <c r="I224" s="1613">
        <v>17284.703810095227</v>
      </c>
      <c r="J224" s="1614">
        <v>10274.047045908441</v>
      </c>
      <c r="K224" s="1612">
        <v>10183.447113344422</v>
      </c>
      <c r="L224" s="1613">
        <v>13001.009310136313</v>
      </c>
      <c r="M224" s="1613">
        <v>14568.584070796462</v>
      </c>
      <c r="N224" s="1614">
        <v>12436.247938794573</v>
      </c>
      <c r="O224" s="1612">
        <v>12425.14553153737</v>
      </c>
      <c r="P224" s="1613">
        <v>18031.971093165863</v>
      </c>
      <c r="Q224" s="1613">
        <v>17146.378293109447</v>
      </c>
      <c r="R224" s="1613">
        <v>12431.863270403677</v>
      </c>
      <c r="S224" s="1612">
        <v>10578.39992459892</v>
      </c>
      <c r="T224" s="1613">
        <v>11999.78855129232</v>
      </c>
      <c r="U224" s="1613">
        <v>17812.227801005432</v>
      </c>
      <c r="V224" s="1613">
        <v>11729.179938323001</v>
      </c>
      <c r="W224" s="1612">
        <v>9203.1098350249158</v>
      </c>
      <c r="X224" s="1613">
        <v>12626.733347297857</v>
      </c>
      <c r="Y224" s="1613">
        <v>15897.562359300329</v>
      </c>
      <c r="Z224" s="1614">
        <v>13240.978153002308</v>
      </c>
      <c r="AA224" s="1612">
        <v>9018.8976375690818</v>
      </c>
      <c r="AB224" s="1613">
        <v>13894.286417546622</v>
      </c>
      <c r="AC224" s="1613">
        <v>18107.995319874713</v>
      </c>
      <c r="AD224" s="1614">
        <v>14745.056501394383</v>
      </c>
      <c r="AE224" s="1612">
        <v>13209.269974318235</v>
      </c>
      <c r="AF224" s="1613">
        <v>17254.346935393285</v>
      </c>
      <c r="AG224" s="1615">
        <v>22217.55576655066</v>
      </c>
      <c r="AH224" s="1616">
        <v>13392.414325610831</v>
      </c>
      <c r="AI224" s="1615">
        <v>10821.778932940791</v>
      </c>
      <c r="AJ224" s="1615">
        <v>14506.809765484199</v>
      </c>
      <c r="AK224" s="1615">
        <v>14815.14368478225</v>
      </c>
      <c r="AL224" s="1616">
        <v>12173.228816928658</v>
      </c>
      <c r="AM224" s="1615">
        <v>7815.56322828876</v>
      </c>
      <c r="AN224" s="1615">
        <v>16606.377277599146</v>
      </c>
      <c r="AO224" s="1615">
        <v>13626.081170991349</v>
      </c>
      <c r="AP224" s="1616">
        <v>14369.39313984169</v>
      </c>
      <c r="AQ224" s="1615">
        <v>16741.315089166317</v>
      </c>
      <c r="AR224" s="1615">
        <v>20687.340048570692</v>
      </c>
      <c r="AS224" s="1615">
        <v>18591.892964046394</v>
      </c>
      <c r="AT224" s="1616">
        <v>8151.6242564083632</v>
      </c>
      <c r="AU224" s="1615">
        <v>16761.003464683836</v>
      </c>
      <c r="AV224" s="1615">
        <v>20711.669088264731</v>
      </c>
      <c r="AW224" s="1615">
        <v>18613.757684249551</v>
      </c>
      <c r="AX224" s="1616">
        <v>8161.210853314461</v>
      </c>
      <c r="AY224" s="1615">
        <v>16419.071657976107</v>
      </c>
      <c r="AZ224" s="1615">
        <v>20289.14197369161</v>
      </c>
      <c r="BA224" s="1615">
        <v>18234.028880541242</v>
      </c>
      <c r="BB224" s="1847">
        <v>7994.7185798729333</v>
      </c>
      <c r="BC224" s="974"/>
      <c r="BD224" s="974"/>
      <c r="BE224" s="1417">
        <f t="shared" si="304"/>
        <v>12662.170970499901</v>
      </c>
      <c r="BF224" s="1417">
        <f t="shared" si="305"/>
        <v>12547.322108267941</v>
      </c>
      <c r="BG224" s="1417">
        <f t="shared" si="306"/>
        <v>15008.839547054089</v>
      </c>
      <c r="BH224" s="1417">
        <f t="shared" si="307"/>
        <v>13029.89905380492</v>
      </c>
      <c r="BI224" s="1417">
        <f t="shared" si="308"/>
        <v>12742.095923656352</v>
      </c>
      <c r="BJ224" s="1417">
        <f t="shared" si="309"/>
        <v>13941.558969096201</v>
      </c>
      <c r="BK224" s="1417">
        <f t="shared" si="310"/>
        <v>16518.396750468255</v>
      </c>
      <c r="BL224" s="1417">
        <f t="shared" si="311"/>
        <v>13079.240300033973</v>
      </c>
      <c r="BM224" s="1417">
        <f>AVERAGE(AM224:AP224)</f>
        <v>13104.353704180236</v>
      </c>
      <c r="BN224" s="1417">
        <f t="shared" si="312"/>
        <v>16043.04308954794</v>
      </c>
      <c r="BO224" s="1417">
        <f t="shared" si="313"/>
        <v>16061.910272628145</v>
      </c>
      <c r="BP224" s="1417">
        <f t="shared" si="314"/>
        <v>15734.240273020474</v>
      </c>
      <c r="BQ224" s="949"/>
      <c r="BR224" s="950"/>
      <c r="BU224" s="922"/>
      <c r="BV224" s="921"/>
      <c r="BW224" s="921"/>
      <c r="BX224" s="921"/>
    </row>
    <row r="225" spans="2:76" ht="12.75" customHeight="1">
      <c r="B225" s="1080"/>
      <c r="C225" s="1457" t="s">
        <v>678</v>
      </c>
      <c r="D225" s="1189"/>
      <c r="E225" s="1189"/>
      <c r="F225" s="1190"/>
      <c r="G225" s="1612">
        <v>7982.4119503554102</v>
      </c>
      <c r="H225" s="1613">
        <v>11041.103779988538</v>
      </c>
      <c r="I225" s="1613">
        <v>14228.587132037725</v>
      </c>
      <c r="J225" s="1614">
        <v>9383.2805134876544</v>
      </c>
      <c r="K225" s="1612">
        <v>8427.5939587936628</v>
      </c>
      <c r="L225" s="1613">
        <v>12841.345055255759</v>
      </c>
      <c r="M225" s="1613">
        <v>13053.181206760597</v>
      </c>
      <c r="N225" s="1614">
        <v>10988.427298979313</v>
      </c>
      <c r="O225" s="1612">
        <v>12399.269052277541</v>
      </c>
      <c r="P225" s="1613">
        <v>15811.917941469588</v>
      </c>
      <c r="Q225" s="1613">
        <v>16066.421494696588</v>
      </c>
      <c r="R225" s="1613">
        <v>11326.798880136883</v>
      </c>
      <c r="S225" s="1612">
        <v>9769.8876086014934</v>
      </c>
      <c r="T225" s="1613">
        <v>10989.280048611789</v>
      </c>
      <c r="U225" s="1613">
        <v>13580.3682962901</v>
      </c>
      <c r="V225" s="1613">
        <v>10104.935635805112</v>
      </c>
      <c r="W225" s="1612">
        <v>8947.0994834564881</v>
      </c>
      <c r="X225" s="1613">
        <v>13598.639044134061</v>
      </c>
      <c r="Y225" s="1613">
        <v>16362.499285784888</v>
      </c>
      <c r="Z225" s="1614">
        <v>14636.185295017334</v>
      </c>
      <c r="AA225" s="1612">
        <v>8819.9510291713868</v>
      </c>
      <c r="AB225" s="1613">
        <v>24123.141529550368</v>
      </c>
      <c r="AC225" s="1613">
        <v>28747.430408517044</v>
      </c>
      <c r="AD225" s="1614">
        <v>24735.597244755765</v>
      </c>
      <c r="AE225" s="1612">
        <v>16416.865442427312</v>
      </c>
      <c r="AF225" s="1613">
        <v>20663.424419465664</v>
      </c>
      <c r="AG225" s="1615">
        <v>28889.206582791372</v>
      </c>
      <c r="AH225" s="1616">
        <v>14896.780177793647</v>
      </c>
      <c r="AI225" s="1615">
        <v>10739.7501298603</v>
      </c>
      <c r="AJ225" s="1615">
        <v>13045.335901964805</v>
      </c>
      <c r="AK225" s="1615">
        <v>20361.658997618648</v>
      </c>
      <c r="AL225" s="1616">
        <v>13616.365420376185</v>
      </c>
      <c r="AM225" s="1615">
        <v>7345.4940065431902</v>
      </c>
      <c r="AN225" s="1615">
        <v>15566.250563994585</v>
      </c>
      <c r="AO225" s="1615">
        <v>16621.62162162162</v>
      </c>
      <c r="AP225" s="1616">
        <v>12917.442582247049</v>
      </c>
      <c r="AQ225" s="1615">
        <v>11104.548723888633</v>
      </c>
      <c r="AR225" s="1615">
        <v>16674.490418195121</v>
      </c>
      <c r="AS225" s="1615">
        <v>17885.095700846545</v>
      </c>
      <c r="AT225" s="1616">
        <v>10165.322792411107</v>
      </c>
      <c r="AU225" s="1615">
        <v>11252.137629199777</v>
      </c>
      <c r="AV225" s="1615">
        <v>16896.108590048279</v>
      </c>
      <c r="AW225" s="1615">
        <v>18122.803847436458</v>
      </c>
      <c r="AX225" s="1616">
        <v>10300.428585574848</v>
      </c>
      <c r="AY225" s="1615">
        <v>11109.283737185371</v>
      </c>
      <c r="AZ225" s="1615">
        <v>16681.6004715444</v>
      </c>
      <c r="BA225" s="1615">
        <v>17892.721959964558</v>
      </c>
      <c r="BB225" s="1847">
        <v>10169.657316918545</v>
      </c>
      <c r="BC225" s="974"/>
      <c r="BD225" s="974"/>
      <c r="BE225" s="1417">
        <f t="shared" si="304"/>
        <v>10658.845843967332</v>
      </c>
      <c r="BF225" s="1417">
        <f t="shared" si="305"/>
        <v>11327.636879947331</v>
      </c>
      <c r="BG225" s="1417">
        <f t="shared" si="306"/>
        <v>13901.10184214515</v>
      </c>
      <c r="BH225" s="1417">
        <f t="shared" si="307"/>
        <v>11111.117897327124</v>
      </c>
      <c r="BI225" s="1417">
        <f t="shared" si="308"/>
        <v>13386.105777098193</v>
      </c>
      <c r="BJ225" s="1417">
        <f t="shared" si="309"/>
        <v>21606.530052998642</v>
      </c>
      <c r="BK225" s="1417">
        <f t="shared" si="310"/>
        <v>20216.569155619502</v>
      </c>
      <c r="BL225" s="1417">
        <f t="shared" si="311"/>
        <v>14440.777612454986</v>
      </c>
      <c r="BM225" s="1417">
        <f>AVERAGE(AM225:AP225)</f>
        <v>13112.702193601612</v>
      </c>
      <c r="BN225" s="1417">
        <f t="shared" si="312"/>
        <v>13957.364408835352</v>
      </c>
      <c r="BO225" s="1417">
        <f t="shared" si="313"/>
        <v>14142.869663064841</v>
      </c>
      <c r="BP225" s="1417">
        <f t="shared" si="314"/>
        <v>13963.315871403218</v>
      </c>
      <c r="BQ225" s="949"/>
      <c r="BR225" s="950"/>
      <c r="BU225" s="922"/>
      <c r="BV225" s="921"/>
      <c r="BW225" s="921"/>
      <c r="BX225" s="921"/>
    </row>
    <row r="226" spans="2:76" ht="12.75" customHeight="1">
      <c r="B226" s="1080"/>
      <c r="C226" s="1457" t="s">
        <v>601</v>
      </c>
      <c r="D226" s="1189"/>
      <c r="E226" s="1189"/>
      <c r="F226" s="1190"/>
      <c r="G226" s="1612">
        <v>8711.9060675020501</v>
      </c>
      <c r="H226" s="1613">
        <v>12152.629284719847</v>
      </c>
      <c r="I226" s="1613">
        <v>17173.13306743103</v>
      </c>
      <c r="J226" s="1614">
        <v>10120.881701897726</v>
      </c>
      <c r="K226" s="1612">
        <v>9486.4861275515559</v>
      </c>
      <c r="L226" s="1613">
        <v>14083.274067213015</v>
      </c>
      <c r="M226" s="1613">
        <v>15184.902828423206</v>
      </c>
      <c r="N226" s="1614">
        <v>11452.068410464995</v>
      </c>
      <c r="O226" s="1612">
        <v>13882.378537887873</v>
      </c>
      <c r="P226" s="1613">
        <v>15168.285590046735</v>
      </c>
      <c r="Q226" s="1613">
        <v>18341.98697135222</v>
      </c>
      <c r="R226" s="1613">
        <v>12596.345207299488</v>
      </c>
      <c r="S226" s="1612">
        <v>9911.8076792134689</v>
      </c>
      <c r="T226" s="1613">
        <v>11384.147247720264</v>
      </c>
      <c r="U226" s="1613">
        <v>15573.185234756584</v>
      </c>
      <c r="V226" s="1613">
        <v>10607.460008072527</v>
      </c>
      <c r="W226" s="1612">
        <v>10425.452124530333</v>
      </c>
      <c r="X226" s="1613">
        <v>14513.982866861383</v>
      </c>
      <c r="Y226" s="1613">
        <v>17923.159637116962</v>
      </c>
      <c r="Z226" s="1614">
        <v>17808.177795314739</v>
      </c>
      <c r="AA226" s="1612">
        <v>10435.739406819961</v>
      </c>
      <c r="AB226" s="1613">
        <v>22688.465601410513</v>
      </c>
      <c r="AC226" s="1613">
        <v>29063.334258348081</v>
      </c>
      <c r="AD226" s="1614">
        <v>23298.162468780309</v>
      </c>
      <c r="AE226" s="1612">
        <v>17051.205582715174</v>
      </c>
      <c r="AF226" s="1613">
        <v>18139.264256659353</v>
      </c>
      <c r="AG226" s="1615">
        <v>30127.615946596885</v>
      </c>
      <c r="AH226" s="1616">
        <v>12908.049102170644</v>
      </c>
      <c r="AI226" s="1615">
        <v>11111.448318537523</v>
      </c>
      <c r="AJ226" s="1615">
        <v>12879.867308086643</v>
      </c>
      <c r="AK226" s="1615">
        <v>19709.573082387014</v>
      </c>
      <c r="AL226" s="1616">
        <v>14197.025620468919</v>
      </c>
      <c r="AM226" s="1615">
        <v>7552.144985638347</v>
      </c>
      <c r="AN226" s="1615">
        <v>15508.196721311475</v>
      </c>
      <c r="AO226" s="1615">
        <v>17145.420420420422</v>
      </c>
      <c r="AP226" s="1616">
        <v>12891.744258224702</v>
      </c>
      <c r="AQ226" s="1615">
        <v>12752.248157113403</v>
      </c>
      <c r="AR226" s="1615">
        <v>17021.585855808447</v>
      </c>
      <c r="AS226" s="1615">
        <v>18914.044155281495</v>
      </c>
      <c r="AT226" s="1616">
        <v>9489.5496195419528</v>
      </c>
      <c r="AU226" s="1615">
        <v>12943.493840954505</v>
      </c>
      <c r="AV226" s="1615">
        <v>17276.858870177937</v>
      </c>
      <c r="AW226" s="1615">
        <v>19197.698399153764</v>
      </c>
      <c r="AX226" s="1616">
        <v>9631.864557580624</v>
      </c>
      <c r="AY226" s="1615">
        <v>12841.205970069279</v>
      </c>
      <c r="AZ226" s="1615">
        <v>17140.325942428291</v>
      </c>
      <c r="BA226" s="1615">
        <v>19045.985753458921</v>
      </c>
      <c r="BB226" s="1847">
        <v>9555.7473259926228</v>
      </c>
      <c r="BC226" s="974"/>
      <c r="BD226" s="974"/>
      <c r="BE226" s="1417">
        <f t="shared" si="304"/>
        <v>12039.637530387663</v>
      </c>
      <c r="BF226" s="1417">
        <f t="shared" si="305"/>
        <v>12551.682858413194</v>
      </c>
      <c r="BG226" s="1417">
        <f t="shared" si="306"/>
        <v>14997.249076646578</v>
      </c>
      <c r="BH226" s="1417">
        <f t="shared" si="307"/>
        <v>11869.150042440711</v>
      </c>
      <c r="BI226" s="1417">
        <f t="shared" si="308"/>
        <v>15167.693105955856</v>
      </c>
      <c r="BJ226" s="1417">
        <f t="shared" si="309"/>
        <v>21371.425433839719</v>
      </c>
      <c r="BK226" s="1417">
        <f t="shared" si="310"/>
        <v>19556.533722035514</v>
      </c>
      <c r="BL226" s="1417">
        <f t="shared" si="311"/>
        <v>14474.478582370026</v>
      </c>
      <c r="BM226" s="1417">
        <f t="shared" ref="BM226:BM233" si="315">AVERAGE(AM226:AP226)</f>
        <v>13274.376596398735</v>
      </c>
      <c r="BN226" s="1417">
        <f t="shared" si="312"/>
        <v>14544.356946936325</v>
      </c>
      <c r="BO226" s="1417">
        <f t="shared" si="313"/>
        <v>14762.478916966707</v>
      </c>
      <c r="BP226" s="1417">
        <f t="shared" si="314"/>
        <v>14645.816247987277</v>
      </c>
      <c r="BQ226" s="949"/>
      <c r="BR226" s="950"/>
      <c r="BU226" s="922"/>
      <c r="BV226" s="921"/>
      <c r="BW226" s="921"/>
      <c r="BX226" s="921"/>
    </row>
    <row r="227" spans="2:76" ht="12.75" customHeight="1">
      <c r="B227" s="1080"/>
      <c r="C227" s="1457" t="s">
        <v>679</v>
      </c>
      <c r="D227" s="1189"/>
      <c r="E227" s="1189"/>
      <c r="F227" s="1190"/>
      <c r="G227" s="1612">
        <v>7034.5564560522225</v>
      </c>
      <c r="H227" s="1613">
        <v>9219.5630628076833</v>
      </c>
      <c r="I227" s="1613">
        <v>11045.187830976916</v>
      </c>
      <c r="J227" s="1614">
        <v>7381.5895861529834</v>
      </c>
      <c r="K227" s="1612">
        <v>6978.2974668560619</v>
      </c>
      <c r="L227" s="1613">
        <v>10974.737677781584</v>
      </c>
      <c r="M227" s="1613">
        <v>11488.370939644137</v>
      </c>
      <c r="N227" s="1614">
        <v>10454.753259779891</v>
      </c>
      <c r="O227" s="1612">
        <v>11590.193568861898</v>
      </c>
      <c r="P227" s="1613">
        <v>14239.168969349786</v>
      </c>
      <c r="Q227" s="1613">
        <v>14649.640167203261</v>
      </c>
      <c r="R227" s="1613">
        <v>10401.683528262198</v>
      </c>
      <c r="S227" s="1612">
        <v>8843.8741816001238</v>
      </c>
      <c r="T227" s="1613">
        <v>10090.605702834497</v>
      </c>
      <c r="U227" s="1613">
        <v>11784.929103005486</v>
      </c>
      <c r="V227" s="1613">
        <v>9055.3075246398785</v>
      </c>
      <c r="W227" s="1612">
        <v>6250.8834115149521</v>
      </c>
      <c r="X227" s="1613">
        <v>13598.445413206973</v>
      </c>
      <c r="Y227" s="1613">
        <v>15115.206481521522</v>
      </c>
      <c r="Z227" s="1614">
        <v>14526.341739741243</v>
      </c>
      <c r="AA227" s="1612">
        <v>6685.8777350899572</v>
      </c>
      <c r="AB227" s="1613">
        <v>22536.074157139941</v>
      </c>
      <c r="AC227" s="1613">
        <v>26155.148246335953</v>
      </c>
      <c r="AD227" s="1614">
        <v>23909.989823722273</v>
      </c>
      <c r="AE227" s="1612">
        <v>14978.836309235272</v>
      </c>
      <c r="AF227" s="1613">
        <v>19797.287168266088</v>
      </c>
      <c r="AG227" s="1615">
        <v>28019.254671976272</v>
      </c>
      <c r="AH227" s="1616">
        <v>14526.175995021027</v>
      </c>
      <c r="AI227" s="1615">
        <v>10353.203493698842</v>
      </c>
      <c r="AJ227" s="1615">
        <v>13146.418491195038</v>
      </c>
      <c r="AK227" s="1615">
        <v>20992.620308985443</v>
      </c>
      <c r="AL227" s="1616">
        <v>11673.338698911291</v>
      </c>
      <c r="AM227" s="1615">
        <v>6038.4727262704982</v>
      </c>
      <c r="AN227" s="1615">
        <v>13216.818012190572</v>
      </c>
      <c r="AO227" s="1615">
        <v>13392.53996447602</v>
      </c>
      <c r="AP227" s="1616">
        <v>11740.379092475589</v>
      </c>
      <c r="AQ227" s="1615">
        <v>12782.858661912423</v>
      </c>
      <c r="AR227" s="1615">
        <v>12270.005904552587</v>
      </c>
      <c r="AS227" s="1615">
        <v>13129.877577825491</v>
      </c>
      <c r="AT227" s="1616">
        <v>11979.669391553554</v>
      </c>
      <c r="AU227" s="1615">
        <v>12476.88178267494</v>
      </c>
      <c r="AV227" s="1615">
        <v>11976.304924654652</v>
      </c>
      <c r="AW227" s="1615">
        <v>12815.594280772109</v>
      </c>
      <c r="AX227" s="1616">
        <v>11692.918051210097</v>
      </c>
      <c r="AY227" s="1615">
        <v>12273.714143985671</v>
      </c>
      <c r="AZ227" s="1615">
        <v>11781.288442640418</v>
      </c>
      <c r="BA227" s="1615">
        <v>12606.911208047992</v>
      </c>
      <c r="BB227" s="1847">
        <v>11502.516106939836</v>
      </c>
      <c r="BC227" s="974"/>
      <c r="BD227" s="974"/>
      <c r="BE227" s="1417">
        <f t="shared" si="304"/>
        <v>8670.2242339974509</v>
      </c>
      <c r="BF227" s="1417">
        <f t="shared" si="305"/>
        <v>9974.0398360154177</v>
      </c>
      <c r="BG227" s="1417">
        <f t="shared" si="306"/>
        <v>12720.171558419286</v>
      </c>
      <c r="BH227" s="1417">
        <f t="shared" si="307"/>
        <v>9943.6791280199977</v>
      </c>
      <c r="BI227" s="1417">
        <f t="shared" si="308"/>
        <v>12372.719261496171</v>
      </c>
      <c r="BJ227" s="1417">
        <f t="shared" si="309"/>
        <v>19821.772490572032</v>
      </c>
      <c r="BK227" s="1417">
        <f t="shared" si="310"/>
        <v>19330.388536124665</v>
      </c>
      <c r="BL227" s="1417">
        <f t="shared" si="311"/>
        <v>14041.395248197652</v>
      </c>
      <c r="BM227" s="1417">
        <f t="shared" si="315"/>
        <v>11097.05244885317</v>
      </c>
      <c r="BN227" s="1417">
        <f t="shared" si="312"/>
        <v>12540.602883961015</v>
      </c>
      <c r="BO227" s="1417">
        <f t="shared" si="313"/>
        <v>12240.424759827951</v>
      </c>
      <c r="BP227" s="1417">
        <f t="shared" si="314"/>
        <v>12041.10747540348</v>
      </c>
      <c r="BQ227" s="949"/>
      <c r="BR227" s="950"/>
      <c r="BU227" s="922"/>
      <c r="BV227" s="921"/>
      <c r="BW227" s="921"/>
      <c r="BX227" s="921"/>
    </row>
    <row r="228" spans="2:76" ht="12.75" customHeight="1">
      <c r="B228" s="1080"/>
      <c r="C228" s="1457" t="s">
        <v>680</v>
      </c>
      <c r="D228" s="1189"/>
      <c r="E228" s="1189"/>
      <c r="F228" s="1190"/>
      <c r="G228" s="1612">
        <v>8259.8996262013297</v>
      </c>
      <c r="H228" s="1613">
        <v>10003.549383125364</v>
      </c>
      <c r="I228" s="1613">
        <v>12028.047815312115</v>
      </c>
      <c r="J228" s="1614">
        <v>10227.868758263019</v>
      </c>
      <c r="K228" s="1612">
        <v>9936.5439224208931</v>
      </c>
      <c r="L228" s="1613">
        <v>11672.791950011986</v>
      </c>
      <c r="M228" s="1613">
        <v>12186.105777662253</v>
      </c>
      <c r="N228" s="1614">
        <v>11252.850685073325</v>
      </c>
      <c r="O228" s="1612">
        <v>13099.854320578041</v>
      </c>
      <c r="P228" s="1613">
        <v>15290.619466270606</v>
      </c>
      <c r="Q228" s="1613">
        <v>15612.213249244409</v>
      </c>
      <c r="R228" s="1613">
        <v>11258.478019599537</v>
      </c>
      <c r="S228" s="1612">
        <v>10840.629181716851</v>
      </c>
      <c r="T228" s="1613">
        <v>10433.524268414367</v>
      </c>
      <c r="U228" s="1613">
        <v>11783.624476286885</v>
      </c>
      <c r="V228" s="1613">
        <v>9410.7450433957438</v>
      </c>
      <c r="W228" s="1612">
        <v>15318.186620328099</v>
      </c>
      <c r="X228" s="1613">
        <v>10985.588769221897</v>
      </c>
      <c r="Y228" s="1613">
        <v>9630.6910356468015</v>
      </c>
      <c r="Z228" s="1614">
        <v>10341.789794005559</v>
      </c>
      <c r="AA228" s="1612">
        <v>14856.332241024871</v>
      </c>
      <c r="AB228" s="1613">
        <v>12927.939921820258</v>
      </c>
      <c r="AC228" s="1613">
        <v>12745.79802165131</v>
      </c>
      <c r="AD228" s="1614">
        <v>14436.141757625302</v>
      </c>
      <c r="AE228" s="1612">
        <v>13712.372915511156</v>
      </c>
      <c r="AF228" s="1613">
        <v>14788.269551509478</v>
      </c>
      <c r="AG228" s="1615">
        <v>13349.72491644476</v>
      </c>
      <c r="AH228" s="1616">
        <v>10706.4109123743</v>
      </c>
      <c r="AI228" s="1615">
        <v>10324.076252256546</v>
      </c>
      <c r="AJ228" s="1615">
        <v>10803.742971428574</v>
      </c>
      <c r="AK228" s="1615">
        <v>12479.580188793305</v>
      </c>
      <c r="AL228" s="1616">
        <v>11085.597339180495</v>
      </c>
      <c r="AM228" s="1615">
        <v>12354.403745497164</v>
      </c>
      <c r="AN228" s="1615">
        <v>12625.948501057348</v>
      </c>
      <c r="AO228" s="1615">
        <v>12901.124925991713</v>
      </c>
      <c r="AP228" s="1616">
        <v>11585.295807007466</v>
      </c>
      <c r="AQ228" s="1615">
        <v>11887.424379313399</v>
      </c>
      <c r="AR228" s="1615">
        <v>11870.343784498289</v>
      </c>
      <c r="AS228" s="1615">
        <v>12919.05721085627</v>
      </c>
      <c r="AT228" s="1616">
        <v>12181.915144547824</v>
      </c>
      <c r="AU228" s="1615">
        <v>11741.640116388797</v>
      </c>
      <c r="AV228" s="1615">
        <v>11724.768993520336</v>
      </c>
      <c r="AW228" s="1615">
        <v>12760.621272753231</v>
      </c>
      <c r="AX228" s="1616">
        <v>12032.519323915016</v>
      </c>
      <c r="AY228" s="1615">
        <v>11591.847999052185</v>
      </c>
      <c r="AZ228" s="1615">
        <v>11575.192106866258</v>
      </c>
      <c r="BA228" s="1615">
        <v>12597.829664423458</v>
      </c>
      <c r="BB228" s="1847">
        <v>11879.016361078739</v>
      </c>
      <c r="BC228" s="974"/>
      <c r="BD228" s="974"/>
      <c r="BE228" s="1417">
        <f t="shared" si="304"/>
        <v>10129.841395725456</v>
      </c>
      <c r="BF228" s="1417">
        <f t="shared" si="305"/>
        <v>11262.073083792115</v>
      </c>
      <c r="BG228" s="1417">
        <f t="shared" si="306"/>
        <v>13815.291263923147</v>
      </c>
      <c r="BH228" s="1417">
        <f t="shared" si="307"/>
        <v>10617.130742453461</v>
      </c>
      <c r="BI228" s="1417">
        <f t="shared" si="308"/>
        <v>11569.06405480059</v>
      </c>
      <c r="BJ228" s="1417">
        <f t="shared" si="309"/>
        <v>13741.552985530434</v>
      </c>
      <c r="BK228" s="1417">
        <f t="shared" si="310"/>
        <v>13139.194573959921</v>
      </c>
      <c r="BL228" s="1417">
        <f t="shared" si="311"/>
        <v>11173.249187914729</v>
      </c>
      <c r="BM228" s="1417">
        <f t="shared" si="315"/>
        <v>12366.693244888422</v>
      </c>
      <c r="BN228" s="1417">
        <f t="shared" si="312"/>
        <v>12214.685129803944</v>
      </c>
      <c r="BO228" s="1417">
        <f t="shared" si="313"/>
        <v>12064.887426644345</v>
      </c>
      <c r="BP228" s="1417">
        <f t="shared" si="314"/>
        <v>11910.971532855161</v>
      </c>
      <c r="BQ228" s="949"/>
      <c r="BR228" s="950"/>
      <c r="BU228" s="922"/>
      <c r="BV228" s="921"/>
      <c r="BW228" s="921"/>
      <c r="BX228" s="921"/>
    </row>
    <row r="229" spans="2:76" ht="12.75" customHeight="1">
      <c r="B229" s="1080"/>
      <c r="C229" s="1457" t="s">
        <v>681</v>
      </c>
      <c r="D229" s="1189"/>
      <c r="E229" s="1189"/>
      <c r="F229" s="1190"/>
      <c r="G229" s="1612">
        <v>7879.0781844521443</v>
      </c>
      <c r="H229" s="1613">
        <v>9492.1346187852487</v>
      </c>
      <c r="I229" s="1613">
        <v>11670.518647143224</v>
      </c>
      <c r="J229" s="1614">
        <v>9043.648694139978</v>
      </c>
      <c r="K229" s="1612">
        <v>9487.2668594512506</v>
      </c>
      <c r="L229" s="1613">
        <v>10409.06834561809</v>
      </c>
      <c r="M229" s="1613">
        <v>11468.42132683538</v>
      </c>
      <c r="N229" s="1614">
        <v>9514.2850054382216</v>
      </c>
      <c r="O229" s="1612">
        <v>12376.233457669894</v>
      </c>
      <c r="P229" s="1613">
        <v>14387.401369304029</v>
      </c>
      <c r="Q229" s="1613">
        <v>15593.259988776501</v>
      </c>
      <c r="R229" s="1613">
        <v>10321.248406616682</v>
      </c>
      <c r="S229" s="1612">
        <v>10013.535130755854</v>
      </c>
      <c r="T229" s="1613">
        <v>9797.5059785309622</v>
      </c>
      <c r="U229" s="1613">
        <v>11556.783290642117</v>
      </c>
      <c r="V229" s="1613">
        <v>8955.14579243558</v>
      </c>
      <c r="W229" s="1612">
        <v>14102.021173316958</v>
      </c>
      <c r="X229" s="1613">
        <v>10515.051888952205</v>
      </c>
      <c r="Y229" s="1613">
        <v>9329.8105397704876</v>
      </c>
      <c r="Z229" s="1614">
        <v>10242.15556320529</v>
      </c>
      <c r="AA229" s="1612">
        <v>13812.6485828859</v>
      </c>
      <c r="AB229" s="1613">
        <v>11166.919578014331</v>
      </c>
      <c r="AC229" s="1613">
        <v>12281.123997010438</v>
      </c>
      <c r="AD229" s="1614">
        <v>14039.404430911989</v>
      </c>
      <c r="AE229" s="1612">
        <v>13452.093034820135</v>
      </c>
      <c r="AF229" s="1613">
        <v>13851.754927196182</v>
      </c>
      <c r="AG229" s="1615">
        <v>13069.487986386619</v>
      </c>
      <c r="AH229" s="1616">
        <v>10415.320938137747</v>
      </c>
      <c r="AI229" s="1615">
        <v>9752.8895345008495</v>
      </c>
      <c r="AJ229" s="1615">
        <v>10932.723139999998</v>
      </c>
      <c r="AK229" s="1615">
        <v>11696.829462716889</v>
      </c>
      <c r="AL229" s="1616">
        <v>10483.05478949106</v>
      </c>
      <c r="AM229" s="1615">
        <v>10268.572478822029</v>
      </c>
      <c r="AN229" s="1615">
        <v>11220.301032466725</v>
      </c>
      <c r="AO229" s="1615">
        <v>12291.296625222027</v>
      </c>
      <c r="AP229" s="1616">
        <v>10396.323951751867</v>
      </c>
      <c r="AQ229" s="1615">
        <v>11688.854504578794</v>
      </c>
      <c r="AR229" s="1615">
        <v>11265.073570860448</v>
      </c>
      <c r="AS229" s="1615">
        <v>12554.63520359593</v>
      </c>
      <c r="AT229" s="1616">
        <v>9606.3783866369322</v>
      </c>
      <c r="AU229" s="1615">
        <v>11517.869933034026</v>
      </c>
      <c r="AV229" s="1615">
        <v>11100.28806709878</v>
      </c>
      <c r="AW229" s="1615">
        <v>12370.985991404368</v>
      </c>
      <c r="AX229" s="1616">
        <v>9465.8562771442867</v>
      </c>
      <c r="AY229" s="1615">
        <v>11377.488041924906</v>
      </c>
      <c r="AZ229" s="1615">
        <v>10964.995739630653</v>
      </c>
      <c r="BA229" s="1615">
        <v>12220.206166796617</v>
      </c>
      <c r="BB229" s="1847">
        <v>9350.4847012471237</v>
      </c>
      <c r="BC229" s="974"/>
      <c r="BD229" s="974"/>
      <c r="BE229" s="1417">
        <f t="shared" si="304"/>
        <v>9521.3450361301493</v>
      </c>
      <c r="BF229" s="1417">
        <f t="shared" si="305"/>
        <v>10219.760384335736</v>
      </c>
      <c r="BG229" s="1417">
        <f t="shared" si="306"/>
        <v>13169.535805591777</v>
      </c>
      <c r="BH229" s="1417">
        <f t="shared" si="307"/>
        <v>10080.742548091128</v>
      </c>
      <c r="BI229" s="1417">
        <f t="shared" si="308"/>
        <v>11047.259791311235</v>
      </c>
      <c r="BJ229" s="1417">
        <f t="shared" si="309"/>
        <v>12825.024147205666</v>
      </c>
      <c r="BK229" s="1417">
        <f t="shared" si="310"/>
        <v>12697.16422163517</v>
      </c>
      <c r="BL229" s="1417">
        <f t="shared" si="311"/>
        <v>10716.3742316772</v>
      </c>
      <c r="BM229" s="1417">
        <f t="shared" si="315"/>
        <v>11044.123522065662</v>
      </c>
      <c r="BN229" s="1417">
        <f t="shared" si="312"/>
        <v>11278.735416418027</v>
      </c>
      <c r="BO229" s="1417">
        <f t="shared" si="313"/>
        <v>11113.750067170366</v>
      </c>
      <c r="BP229" s="1417">
        <f t="shared" si="314"/>
        <v>10978.293662399825</v>
      </c>
      <c r="BQ229" s="949"/>
      <c r="BR229" s="950"/>
      <c r="BU229" s="922"/>
      <c r="BV229" s="921"/>
      <c r="BW229" s="921"/>
      <c r="BX229" s="921"/>
    </row>
    <row r="230" spans="2:76" ht="12.75" customHeight="1">
      <c r="B230" s="1080"/>
      <c r="C230" s="1457" t="s">
        <v>682</v>
      </c>
      <c r="D230" s="1189"/>
      <c r="E230" s="1189"/>
      <c r="F230" s="1190"/>
      <c r="G230" s="1612">
        <v>8067.5859433413843</v>
      </c>
      <c r="H230" s="1613">
        <v>9108.0848492485366</v>
      </c>
      <c r="I230" s="1613">
        <v>11390.781083275977</v>
      </c>
      <c r="J230" s="1614">
        <v>8539.6099607496708</v>
      </c>
      <c r="K230" s="1612">
        <v>11901.725588831843</v>
      </c>
      <c r="L230" s="1613">
        <v>9599.6827009411682</v>
      </c>
      <c r="M230" s="1613">
        <v>26908.502434603772</v>
      </c>
      <c r="N230" s="1614">
        <v>8859.7893372745511</v>
      </c>
      <c r="O230" s="1612">
        <v>10308.713276672239</v>
      </c>
      <c r="P230" s="1613">
        <v>13533.712435401714</v>
      </c>
      <c r="Q230" s="1613">
        <v>10986.165899589667</v>
      </c>
      <c r="R230" s="1613">
        <v>8231.0646137657277</v>
      </c>
      <c r="S230" s="1612">
        <v>8288.1335792918544</v>
      </c>
      <c r="T230" s="1613">
        <v>9101.2420308902474</v>
      </c>
      <c r="U230" s="1613">
        <v>12127.883029718798</v>
      </c>
      <c r="V230" s="1613">
        <v>9584.0310133954554</v>
      </c>
      <c r="W230" s="1612">
        <v>11152.119574375303</v>
      </c>
      <c r="X230" s="1613">
        <v>9729.5722809534491</v>
      </c>
      <c r="Y230" s="1613">
        <v>9717.3949147704898</v>
      </c>
      <c r="Z230" s="1614">
        <v>8918.234962157112</v>
      </c>
      <c r="AA230" s="1612">
        <v>9169.9242686486396</v>
      </c>
      <c r="AB230" s="1613">
        <v>10170.713295240166</v>
      </c>
      <c r="AC230" s="1613">
        <v>12578.254164458334</v>
      </c>
      <c r="AD230" s="1614">
        <v>10933.409709833057</v>
      </c>
      <c r="AE230" s="1612">
        <v>10328.87726941304</v>
      </c>
      <c r="AF230" s="1613">
        <v>11427.537023693696</v>
      </c>
      <c r="AG230" s="1615">
        <v>11549.861420574975</v>
      </c>
      <c r="AH230" s="1616">
        <v>9815.8983124706374</v>
      </c>
      <c r="AI230" s="1615">
        <v>9203.2418044317055</v>
      </c>
      <c r="AJ230" s="1615">
        <v>15003.296031746037</v>
      </c>
      <c r="AK230" s="1615">
        <v>11185.979672546924</v>
      </c>
      <c r="AL230" s="1616">
        <v>10103.434985375012</v>
      </c>
      <c r="AM230" s="1615">
        <v>10702.474722563386</v>
      </c>
      <c r="AN230" s="1615">
        <v>13950.242567483521</v>
      </c>
      <c r="AO230" s="1615">
        <v>42227.750148016574</v>
      </c>
      <c r="AP230" s="1616">
        <v>9375.9103963239504</v>
      </c>
      <c r="AQ230" s="1615">
        <v>8449.0783547043502</v>
      </c>
      <c r="AR230" s="1615">
        <v>10350.829814619823</v>
      </c>
      <c r="AS230" s="1615">
        <v>27931.411143747304</v>
      </c>
      <c r="AT230" s="1616">
        <v>15077.400848592317</v>
      </c>
      <c r="AU230" s="1615">
        <v>7649.6148048687883</v>
      </c>
      <c r="AV230" s="1615">
        <v>9371.419895580284</v>
      </c>
      <c r="AW230" s="1615">
        <v>25288.502158004081</v>
      </c>
      <c r="AX230" s="1616">
        <v>13650.756201842432</v>
      </c>
      <c r="AY230" s="1615">
        <v>7140.7975020316026</v>
      </c>
      <c r="AZ230" s="1615">
        <v>8748.076012697582</v>
      </c>
      <c r="BA230" s="1615">
        <v>23606.426943885024</v>
      </c>
      <c r="BB230" s="1847">
        <v>12742.770488903179</v>
      </c>
      <c r="BC230" s="974"/>
      <c r="BD230" s="974"/>
      <c r="BE230" s="1417">
        <f t="shared" si="304"/>
        <v>9276.5154591538922</v>
      </c>
      <c r="BF230" s="1417">
        <f t="shared" si="305"/>
        <v>14317.425015412833</v>
      </c>
      <c r="BG230" s="1417">
        <f t="shared" si="306"/>
        <v>10764.914056357338</v>
      </c>
      <c r="BH230" s="1417">
        <f t="shared" si="307"/>
        <v>9775.3224133240892</v>
      </c>
      <c r="BI230" s="1417">
        <f t="shared" si="308"/>
        <v>9879.3304330640894</v>
      </c>
      <c r="BJ230" s="1417">
        <f t="shared" si="309"/>
        <v>10713.075359545048</v>
      </c>
      <c r="BK230" s="1417">
        <f t="shared" si="310"/>
        <v>10780.543506538086</v>
      </c>
      <c r="BL230" s="1417">
        <f t="shared" si="311"/>
        <v>11373.988123524918</v>
      </c>
      <c r="BM230" s="1417">
        <f t="shared" si="315"/>
        <v>19064.094458596857</v>
      </c>
      <c r="BN230" s="1417">
        <f t="shared" si="312"/>
        <v>15452.180040415949</v>
      </c>
      <c r="BO230" s="1417">
        <f t="shared" si="313"/>
        <v>13990.073265073897</v>
      </c>
      <c r="BP230" s="1417">
        <f t="shared" si="314"/>
        <v>13059.517736879347</v>
      </c>
      <c r="BQ230" s="949"/>
      <c r="BR230" s="950"/>
      <c r="BU230" s="922"/>
      <c r="BV230" s="921"/>
      <c r="BW230" s="921"/>
      <c r="BX230" s="921"/>
    </row>
    <row r="231" spans="2:76" ht="12.75" customHeight="1">
      <c r="B231" s="1080"/>
      <c r="C231" s="1457" t="s">
        <v>683</v>
      </c>
      <c r="D231" s="1189"/>
      <c r="E231" s="1189"/>
      <c r="F231" s="1190"/>
      <c r="G231" s="1612">
        <v>8091.7737343918488</v>
      </c>
      <c r="H231" s="1613">
        <v>9071.6445094720693</v>
      </c>
      <c r="I231" s="1613">
        <v>11366.418321843603</v>
      </c>
      <c r="J231" s="1614">
        <v>8613.7018460944528</v>
      </c>
      <c r="K231" s="1612">
        <v>12155.959864196333</v>
      </c>
      <c r="L231" s="1613">
        <v>9203.9559760970442</v>
      </c>
      <c r="M231" s="1613">
        <v>25900.934188048766</v>
      </c>
      <c r="N231" s="1614">
        <v>8685.0849291008017</v>
      </c>
      <c r="O231" s="1612">
        <v>10275.170594208994</v>
      </c>
      <c r="P231" s="1613">
        <v>13744.748394706701</v>
      </c>
      <c r="Q231" s="1613">
        <v>11197.401049824619</v>
      </c>
      <c r="R231" s="1613">
        <v>8328.7852639674329</v>
      </c>
      <c r="S231" s="1612">
        <v>8348.2723136297336</v>
      </c>
      <c r="T231" s="1613">
        <v>8745.2844176240596</v>
      </c>
      <c r="U231" s="1613">
        <v>10802.091476322017</v>
      </c>
      <c r="V231" s="1613">
        <v>9346.0347165938329</v>
      </c>
      <c r="W231" s="1612">
        <v>11627.729500479627</v>
      </c>
      <c r="X231" s="1613">
        <v>8807.1484775102963</v>
      </c>
      <c r="Y231" s="1613">
        <v>9558.6137410440133</v>
      </c>
      <c r="Z231" s="1614">
        <v>9127.0058129911431</v>
      </c>
      <c r="AA231" s="1612">
        <v>9202.2654654879479</v>
      </c>
      <c r="AB231" s="1613">
        <v>10105.637756293225</v>
      </c>
      <c r="AC231" s="1613">
        <v>12701.782913818659</v>
      </c>
      <c r="AD231" s="1614">
        <v>9778.5805528245146</v>
      </c>
      <c r="AE231" s="1612">
        <v>9897.4409429729876</v>
      </c>
      <c r="AF231" s="1613">
        <v>10464.020312282828</v>
      </c>
      <c r="AG231" s="1615">
        <v>10646.473017770773</v>
      </c>
      <c r="AH231" s="1616">
        <v>8485.0446654235948</v>
      </c>
      <c r="AI231" s="1615">
        <v>7557.3594798727981</v>
      </c>
      <c r="AJ231" s="1615">
        <v>9066.5579365079357</v>
      </c>
      <c r="AK231" s="1615">
        <v>9959.2555936766203</v>
      </c>
      <c r="AL231" s="1616">
        <v>8152.0371878580636</v>
      </c>
      <c r="AM231" s="1615">
        <v>10217.942265440148</v>
      </c>
      <c r="AN231" s="1615">
        <v>13185.222042542606</v>
      </c>
      <c r="AO231" s="1615">
        <v>42121.178211959741</v>
      </c>
      <c r="AP231" s="1616">
        <v>9054.2561746122919</v>
      </c>
      <c r="AQ231" s="1615">
        <v>8124.4846766764404</v>
      </c>
      <c r="AR231" s="1615">
        <v>9664.2180564318169</v>
      </c>
      <c r="AS231" s="1615">
        <v>27348.703499911488</v>
      </c>
      <c r="AT231" s="1616">
        <v>14449.467045874115</v>
      </c>
      <c r="AU231" s="1615">
        <v>7249.1447994286054</v>
      </c>
      <c r="AV231" s="1615">
        <v>8622.9858080039758</v>
      </c>
      <c r="AW231" s="1615">
        <v>24402.127597906943</v>
      </c>
      <c r="AX231" s="1616">
        <v>12892.66741936461</v>
      </c>
      <c r="AY231" s="1615">
        <v>6710.1011029636156</v>
      </c>
      <c r="AZ231" s="1615">
        <v>7981.783807889703</v>
      </c>
      <c r="BA231" s="1615">
        <v>22587.594514911703</v>
      </c>
      <c r="BB231" s="1847">
        <v>11933.973491278659</v>
      </c>
      <c r="BC231" s="974"/>
      <c r="BD231" s="974"/>
      <c r="BE231" s="1417">
        <f t="shared" si="304"/>
        <v>9285.884602950493</v>
      </c>
      <c r="BF231" s="1417">
        <f t="shared" si="305"/>
        <v>13986.483739360738</v>
      </c>
      <c r="BG231" s="1417">
        <f t="shared" si="306"/>
        <v>10886.526325676936</v>
      </c>
      <c r="BH231" s="1417">
        <f t="shared" si="307"/>
        <v>9310.4207310424099</v>
      </c>
      <c r="BI231" s="1417">
        <f t="shared" si="308"/>
        <v>9780.1243830062704</v>
      </c>
      <c r="BJ231" s="1417">
        <f t="shared" si="309"/>
        <v>10447.066672106088</v>
      </c>
      <c r="BK231" s="1417">
        <f t="shared" si="310"/>
        <v>9873.2447346125464</v>
      </c>
      <c r="BL231" s="1417">
        <f t="shared" si="311"/>
        <v>8683.8025494788544</v>
      </c>
      <c r="BM231" s="1417">
        <f t="shared" si="315"/>
        <v>18644.649673638698</v>
      </c>
      <c r="BN231" s="1417">
        <f t="shared" si="312"/>
        <v>14896.718319723466</v>
      </c>
      <c r="BO231" s="1417">
        <f t="shared" si="313"/>
        <v>13291.731406176033</v>
      </c>
      <c r="BP231" s="1417">
        <f t="shared" si="314"/>
        <v>12303.36322926092</v>
      </c>
      <c r="BQ231" s="949"/>
      <c r="BR231" s="950"/>
      <c r="BU231" s="922"/>
      <c r="BV231" s="921"/>
      <c r="BW231" s="921"/>
      <c r="BX231" s="921"/>
    </row>
    <row r="232" spans="2:76" ht="12.75" customHeight="1">
      <c r="B232" s="1080"/>
      <c r="C232" s="1457" t="s">
        <v>684</v>
      </c>
      <c r="D232" s="1189"/>
      <c r="E232" s="1189"/>
      <c r="F232" s="1190"/>
      <c r="G232" s="1612">
        <v>8041.7960553910534</v>
      </c>
      <c r="H232" s="1613">
        <v>9062.2667008499466</v>
      </c>
      <c r="I232" s="1613">
        <v>11356.87806590117</v>
      </c>
      <c r="J232" s="1614">
        <v>8347.9637882575953</v>
      </c>
      <c r="K232" s="1612">
        <v>13250.060693463165</v>
      </c>
      <c r="L232" s="1613">
        <v>9071.8879562291859</v>
      </c>
      <c r="M232" s="1613">
        <v>25893.818464353088</v>
      </c>
      <c r="N232" s="1614">
        <v>8802.8017856887855</v>
      </c>
      <c r="O232" s="1612">
        <v>10427.411930587574</v>
      </c>
      <c r="P232" s="1613">
        <v>13149.847473997354</v>
      </c>
      <c r="Q232" s="1613">
        <v>10844.312381422489</v>
      </c>
      <c r="R232" s="1613">
        <v>8425.2985003315698</v>
      </c>
      <c r="S232" s="1612">
        <v>8251.6765077448854</v>
      </c>
      <c r="T232" s="1613">
        <v>9002.9603883800482</v>
      </c>
      <c r="U232" s="1613">
        <v>11341.851539958103</v>
      </c>
      <c r="V232" s="1613">
        <v>9463.0903276979279</v>
      </c>
      <c r="W232" s="1612">
        <v>11411.501790347942</v>
      </c>
      <c r="X232" s="1613">
        <v>9045.8599574014897</v>
      </c>
      <c r="Y232" s="1613">
        <v>9605.4610611369171</v>
      </c>
      <c r="Z232" s="1614">
        <v>9120.4883109117491</v>
      </c>
      <c r="AA232" s="1612">
        <v>9136.8775797345152</v>
      </c>
      <c r="AB232" s="1613">
        <v>10167.155492757694</v>
      </c>
      <c r="AC232" s="1613">
        <v>12511.457613677228</v>
      </c>
      <c r="AD232" s="1614">
        <v>10876.683448674665</v>
      </c>
      <c r="AE232" s="1612">
        <v>10196.657106772524</v>
      </c>
      <c r="AF232" s="1613">
        <v>10689.109099653992</v>
      </c>
      <c r="AG232" s="1615">
        <v>10773.277437367538</v>
      </c>
      <c r="AH232" s="1616">
        <v>9535.7355641636423</v>
      </c>
      <c r="AI232" s="1615">
        <v>8034.3920235132791</v>
      </c>
      <c r="AJ232" s="1615">
        <v>11540.407142857141</v>
      </c>
      <c r="AK232" s="1615">
        <v>10385.636582967496</v>
      </c>
      <c r="AL232" s="1616">
        <v>9183.4832108958926</v>
      </c>
      <c r="AM232" s="1615">
        <v>10634.225607691036</v>
      </c>
      <c r="AN232" s="1615">
        <v>14236.347804453289</v>
      </c>
      <c r="AO232" s="1615">
        <v>42547.465956187094</v>
      </c>
      <c r="AP232" s="1616">
        <v>9496.5307294658251</v>
      </c>
      <c r="AQ232" s="1615">
        <v>8720.1192578699338</v>
      </c>
      <c r="AR232" s="1615">
        <v>10430.226716582347</v>
      </c>
      <c r="AS232" s="1615">
        <v>28181.026283720643</v>
      </c>
      <c r="AT232" s="1616">
        <v>14900.784624033387</v>
      </c>
      <c r="AU232" s="1615">
        <v>7855.5760409850509</v>
      </c>
      <c r="AV232" s="1615">
        <v>9396.1374465010304</v>
      </c>
      <c r="AW232" s="1615">
        <v>25387.06046766177</v>
      </c>
      <c r="AX232" s="1616">
        <v>13423.468558505469</v>
      </c>
      <c r="AY232" s="1615">
        <v>7313.7196348895295</v>
      </c>
      <c r="AZ232" s="1615">
        <v>8748.0172779255663</v>
      </c>
      <c r="BA232" s="1615">
        <v>23635.929643573669</v>
      </c>
      <c r="BB232" s="1847">
        <v>12497.553973438842</v>
      </c>
      <c r="BC232" s="974"/>
      <c r="BD232" s="974"/>
      <c r="BE232" s="1417">
        <f t="shared" si="304"/>
        <v>9202.226152599942</v>
      </c>
      <c r="BF232" s="1417">
        <f t="shared" si="305"/>
        <v>14254.642224933556</v>
      </c>
      <c r="BG232" s="1417">
        <f t="shared" si="306"/>
        <v>10711.717571584746</v>
      </c>
      <c r="BH232" s="1417">
        <f t="shared" si="307"/>
        <v>9514.8946909452407</v>
      </c>
      <c r="BI232" s="1417">
        <f t="shared" si="308"/>
        <v>9795.8277799495245</v>
      </c>
      <c r="BJ232" s="1417">
        <f t="shared" si="309"/>
        <v>10673.043533711027</v>
      </c>
      <c r="BK232" s="1417">
        <f t="shared" si="310"/>
        <v>10298.694801989424</v>
      </c>
      <c r="BL232" s="1417">
        <f t="shared" si="311"/>
        <v>9785.9797400584521</v>
      </c>
      <c r="BM232" s="1417">
        <f t="shared" si="315"/>
        <v>19228.642524449311</v>
      </c>
      <c r="BN232" s="1417">
        <f t="shared" si="312"/>
        <v>15558.039220551578</v>
      </c>
      <c r="BO232" s="1417">
        <f t="shared" si="313"/>
        <v>14015.56062841333</v>
      </c>
      <c r="BP232" s="1417">
        <f t="shared" si="314"/>
        <v>13048.805132456902</v>
      </c>
      <c r="BQ232" s="949"/>
      <c r="BR232" s="950"/>
      <c r="BU232" s="922"/>
      <c r="BV232" s="921"/>
      <c r="BW232" s="921"/>
      <c r="BX232" s="921"/>
    </row>
    <row r="233" spans="2:76" ht="12.75" customHeight="1">
      <c r="B233" s="1080"/>
      <c r="C233" s="1457" t="s">
        <v>685</v>
      </c>
      <c r="D233" s="1189"/>
      <c r="E233" s="1189"/>
      <c r="F233" s="1190"/>
      <c r="G233" s="1612">
        <v>8775.1623905256511</v>
      </c>
      <c r="H233" s="1613">
        <v>8621.9499063828898</v>
      </c>
      <c r="I233" s="1613">
        <v>10207.705218967056</v>
      </c>
      <c r="J233" s="1614">
        <v>8941.757526174677</v>
      </c>
      <c r="K233" s="1612">
        <v>7843.2743322702108</v>
      </c>
      <c r="L233" s="1613">
        <v>8392.0085932164784</v>
      </c>
      <c r="M233" s="1613">
        <v>10046.833347980197</v>
      </c>
      <c r="N233" s="1614">
        <v>9235.6105140044056</v>
      </c>
      <c r="O233" s="1612">
        <v>9126.4511339092878</v>
      </c>
      <c r="P233" s="1613">
        <v>10134.401783568745</v>
      </c>
      <c r="Q233" s="1613">
        <v>11754.765674803102</v>
      </c>
      <c r="R233" s="1613">
        <v>8337.2335194144489</v>
      </c>
      <c r="S233" s="1612">
        <v>8672.5647979371352</v>
      </c>
      <c r="T233" s="1613">
        <v>9118.2506926640854</v>
      </c>
      <c r="U233" s="1613">
        <v>11096.928780874063</v>
      </c>
      <c r="V233" s="1613">
        <v>9096.6925445307006</v>
      </c>
      <c r="W233" s="1612">
        <v>8683.9376258463581</v>
      </c>
      <c r="X233" s="1613">
        <v>8703.3115203962152</v>
      </c>
      <c r="Y233" s="1613">
        <v>9652.6653325011466</v>
      </c>
      <c r="Z233" s="1614">
        <v>8969.1141558179552</v>
      </c>
      <c r="AA233" s="1612">
        <v>8901.1780605231725</v>
      </c>
      <c r="AB233" s="1613">
        <v>9551.0277881366437</v>
      </c>
      <c r="AC233" s="1613">
        <v>10951.734672288083</v>
      </c>
      <c r="AD233" s="1614">
        <v>9622.1211658004722</v>
      </c>
      <c r="AE233" s="1612">
        <v>9084.1070239354394</v>
      </c>
      <c r="AF233" s="1613">
        <v>10170.034204309035</v>
      </c>
      <c r="AG233" s="1615">
        <v>11984.899139776866</v>
      </c>
      <c r="AH233" s="1616">
        <v>8184.3072380613366</v>
      </c>
      <c r="AI233" s="1615">
        <v>7389.8139328772922</v>
      </c>
      <c r="AJ233" s="1615">
        <v>10342.646878449652</v>
      </c>
      <c r="AK233" s="1615">
        <v>13770.107900873485</v>
      </c>
      <c r="AL233" s="1616">
        <v>7056.5902948086296</v>
      </c>
      <c r="AM233" s="1615">
        <v>6781.1777196375069</v>
      </c>
      <c r="AN233" s="1615">
        <v>13492.720052945069</v>
      </c>
      <c r="AO233" s="1615">
        <v>17437.576749897667</v>
      </c>
      <c r="AP233" s="1616">
        <v>10429.362880886429</v>
      </c>
      <c r="AQ233" s="1615">
        <v>10014.399767955705</v>
      </c>
      <c r="AR233" s="1615">
        <v>14267.477999292238</v>
      </c>
      <c r="AS233" s="1615">
        <v>19740.487786195776</v>
      </c>
      <c r="AT233" s="1616">
        <v>10827.913239907981</v>
      </c>
      <c r="AU233" s="1615">
        <v>10617.254547706931</v>
      </c>
      <c r="AV233" s="1615">
        <v>15126.362955572005</v>
      </c>
      <c r="AW233" s="1615">
        <v>20928.841326325935</v>
      </c>
      <c r="AX233" s="1616">
        <v>11479.740548849391</v>
      </c>
      <c r="AY233" s="1615">
        <v>10827.965041019528</v>
      </c>
      <c r="AZ233" s="1615">
        <v>15426.561409520005</v>
      </c>
      <c r="BA233" s="1615">
        <v>21344.196017175243</v>
      </c>
      <c r="BB233" s="1847">
        <v>11707.567976672637</v>
      </c>
      <c r="BC233" s="974"/>
      <c r="BD233" s="974"/>
      <c r="BE233" s="1417">
        <f t="shared" si="304"/>
        <v>9136.6437605125684</v>
      </c>
      <c r="BF233" s="1417">
        <f t="shared" si="305"/>
        <v>8879.4316968678213</v>
      </c>
      <c r="BG233" s="1417">
        <f t="shared" si="306"/>
        <v>9838.2130279238954</v>
      </c>
      <c r="BH233" s="1417">
        <f t="shared" si="307"/>
        <v>9496.1092040014955</v>
      </c>
      <c r="BI233" s="1417">
        <f t="shared" si="308"/>
        <v>9002.2571586404192</v>
      </c>
      <c r="BJ233" s="1417">
        <f t="shared" si="309"/>
        <v>9756.5154216870942</v>
      </c>
      <c r="BK233" s="1417">
        <f t="shared" si="310"/>
        <v>9855.8369015206681</v>
      </c>
      <c r="BL233" s="1417">
        <f t="shared" si="311"/>
        <v>9639.7897517522651</v>
      </c>
      <c r="BM233" s="1417">
        <f t="shared" si="315"/>
        <v>12035.209350841669</v>
      </c>
      <c r="BN233" s="1417">
        <f t="shared" si="312"/>
        <v>13712.569698337924</v>
      </c>
      <c r="BO233" s="1417">
        <f t="shared" si="313"/>
        <v>14538.049844613566</v>
      </c>
      <c r="BP233" s="1417">
        <f t="shared" si="314"/>
        <v>14826.572611096854</v>
      </c>
      <c r="BQ233" s="949"/>
      <c r="BR233" s="950"/>
      <c r="BU233" s="922"/>
      <c r="BV233" s="921"/>
      <c r="BW233" s="921"/>
      <c r="BX233" s="921"/>
    </row>
    <row r="234" spans="2:76" ht="12.75" customHeight="1">
      <c r="B234" s="1080"/>
      <c r="C234" s="1457" t="s">
        <v>686</v>
      </c>
      <c r="D234" s="1189"/>
      <c r="E234" s="1189"/>
      <c r="F234" s="1190"/>
      <c r="G234" s="1612">
        <v>11748.084932868991</v>
      </c>
      <c r="H234" s="1613">
        <v>7677.8064845469125</v>
      </c>
      <c r="I234" s="1613">
        <v>9417.3479567810555</v>
      </c>
      <c r="J234" s="1614">
        <v>8861.4285224737796</v>
      </c>
      <c r="K234" s="1612">
        <v>7380.0484170231503</v>
      </c>
      <c r="L234" s="1613">
        <v>7514.6167798312563</v>
      </c>
      <c r="M234" s="1613">
        <v>9858.7607644940235</v>
      </c>
      <c r="N234" s="1614">
        <v>9067.8163253889288</v>
      </c>
      <c r="O234" s="1612">
        <v>9110.09482114807</v>
      </c>
      <c r="P234" s="1613">
        <v>8904.2289277994641</v>
      </c>
      <c r="Q234" s="1613">
        <v>11626.092314450982</v>
      </c>
      <c r="R234" s="1613">
        <v>11418.003440809496</v>
      </c>
      <c r="S234" s="1612">
        <v>11446.755519845941</v>
      </c>
      <c r="T234" s="1613">
        <v>10899.370648108434</v>
      </c>
      <c r="U234" s="1613">
        <v>12691.456396801643</v>
      </c>
      <c r="V234" s="1613">
        <v>10961.734784397329</v>
      </c>
      <c r="W234" s="1612">
        <v>9780.5118738082929</v>
      </c>
      <c r="X234" s="1613">
        <v>8324.2136157281893</v>
      </c>
      <c r="Y234" s="1613">
        <v>10316.639645621897</v>
      </c>
      <c r="Z234" s="1614">
        <v>10289.620298252388</v>
      </c>
      <c r="AA234" s="1612">
        <v>10095.511697752157</v>
      </c>
      <c r="AB234" s="1613">
        <v>10336.636771049025</v>
      </c>
      <c r="AC234" s="1613">
        <v>11870.802114159645</v>
      </c>
      <c r="AD234" s="1614">
        <v>12988.979109047015</v>
      </c>
      <c r="AE234" s="1612">
        <v>10470.96990745581</v>
      </c>
      <c r="AF234" s="1613">
        <v>9544.9231897338559</v>
      </c>
      <c r="AG234" s="1615">
        <v>12095.15192624512</v>
      </c>
      <c r="AH234" s="1616">
        <v>10647.652335388861</v>
      </c>
      <c r="AI234" s="1615">
        <v>8571.6422127332826</v>
      </c>
      <c r="AJ234" s="1615">
        <v>10073.898611437213</v>
      </c>
      <c r="AK234" s="1615">
        <v>13498.819391065657</v>
      </c>
      <c r="AL234" s="1616">
        <v>11005.243762763848</v>
      </c>
      <c r="AM234" s="1615">
        <v>8859.7525685270448</v>
      </c>
      <c r="AN234" s="1615">
        <v>13716.08206485771</v>
      </c>
      <c r="AO234" s="1615">
        <v>18972.574703233728</v>
      </c>
      <c r="AP234" s="1616">
        <v>16516.620498614961</v>
      </c>
      <c r="AQ234" s="1615">
        <v>13499.713741880851</v>
      </c>
      <c r="AR234" s="1615">
        <v>14061.965375588867</v>
      </c>
      <c r="AS234" s="1615">
        <v>19672.051621639861</v>
      </c>
      <c r="AT234" s="1616">
        <v>15045.105469581529</v>
      </c>
      <c r="AU234" s="1615">
        <v>14061.523642976674</v>
      </c>
      <c r="AV234" s="1615">
        <v>14647.174182821826</v>
      </c>
      <c r="AW234" s="1615">
        <v>20490.732194222554</v>
      </c>
      <c r="AX234" s="1616">
        <v>15671.229058381727</v>
      </c>
      <c r="AY234" s="1615">
        <v>13906.632702001074</v>
      </c>
      <c r="AZ234" s="1615">
        <v>14485.832165454884</v>
      </c>
      <c r="BA234" s="1615">
        <v>20265.02203141047</v>
      </c>
      <c r="BB234" s="1847">
        <v>15498.606839287475</v>
      </c>
      <c r="BC234" s="974"/>
      <c r="BD234" s="974"/>
      <c r="BE234" s="1417">
        <f t="shared" si="304"/>
        <v>9426.1669741676851</v>
      </c>
      <c r="BF234" s="1417">
        <f t="shared" si="305"/>
        <v>8455.3105716843402</v>
      </c>
      <c r="BG234" s="1417">
        <f t="shared" si="306"/>
        <v>10264.604876052003</v>
      </c>
      <c r="BH234" s="1417">
        <f t="shared" si="307"/>
        <v>11499.829337288338</v>
      </c>
      <c r="BI234" s="1417">
        <f t="shared" si="308"/>
        <v>9677.7463583526915</v>
      </c>
      <c r="BJ234" s="1417">
        <f t="shared" si="309"/>
        <v>11322.982423001962</v>
      </c>
      <c r="BK234" s="1417">
        <f t="shared" si="310"/>
        <v>10689.674339705913</v>
      </c>
      <c r="BL234" s="1417">
        <f t="shared" si="311"/>
        <v>10787.4009945</v>
      </c>
      <c r="BM234" s="1417">
        <f>AVERAGE(AM234:AP234)</f>
        <v>14516.257458808361</v>
      </c>
      <c r="BN234" s="1417">
        <f t="shared" si="312"/>
        <v>15569.709052172777</v>
      </c>
      <c r="BO234" s="1417">
        <f t="shared" si="313"/>
        <v>16217.664769600695</v>
      </c>
      <c r="BP234" s="1417">
        <f t="shared" si="314"/>
        <v>16039.023434538474</v>
      </c>
      <c r="BQ234" s="949"/>
      <c r="BR234" s="950"/>
      <c r="BU234" s="922"/>
      <c r="BV234" s="921"/>
      <c r="BW234" s="921"/>
      <c r="BX234" s="921"/>
    </row>
    <row r="235" spans="2:76" ht="12.75" customHeight="1">
      <c r="B235" s="1080"/>
      <c r="C235" s="1457" t="s">
        <v>687</v>
      </c>
      <c r="D235" s="1189"/>
      <c r="E235" s="1189"/>
      <c r="F235" s="1190"/>
      <c r="G235" s="1612">
        <v>8818.9270982303533</v>
      </c>
      <c r="H235" s="1613">
        <v>7516.769717405763</v>
      </c>
      <c r="I235" s="1613">
        <v>9030.4493391427277</v>
      </c>
      <c r="J235" s="1614">
        <v>8952.3408360904396</v>
      </c>
      <c r="K235" s="1612">
        <v>7313.7886058323793</v>
      </c>
      <c r="L235" s="1613">
        <v>7216.4963764112617</v>
      </c>
      <c r="M235" s="1613">
        <v>9638.9175401523808</v>
      </c>
      <c r="N235" s="1614">
        <v>9023.6993277436741</v>
      </c>
      <c r="O235" s="1612">
        <v>9302.9595264683994</v>
      </c>
      <c r="P235" s="1613">
        <v>10497.69497247698</v>
      </c>
      <c r="Q235" s="1613">
        <v>10394.090269805383</v>
      </c>
      <c r="R235" s="1613">
        <v>9503.8147240986618</v>
      </c>
      <c r="S235" s="1612">
        <v>10227.558514001141</v>
      </c>
      <c r="T235" s="1613">
        <v>12726.79042355791</v>
      </c>
      <c r="U235" s="1613">
        <v>11380.821957728594</v>
      </c>
      <c r="V235" s="1613">
        <v>11365.162652273772</v>
      </c>
      <c r="W235" s="1612">
        <v>9936.1125151956894</v>
      </c>
      <c r="X235" s="1613">
        <v>8914.437491759827</v>
      </c>
      <c r="Y235" s="1613">
        <v>10324.753615972111</v>
      </c>
      <c r="Z235" s="1614">
        <v>10613.533213405261</v>
      </c>
      <c r="AA235" s="1612">
        <v>10794.686554329206</v>
      </c>
      <c r="AB235" s="1613">
        <v>13050.491884183193</v>
      </c>
      <c r="AC235" s="1613">
        <v>11947.399352794859</v>
      </c>
      <c r="AD235" s="1614">
        <v>12563.163583983367</v>
      </c>
      <c r="AE235" s="1612">
        <v>11106.232529645211</v>
      </c>
      <c r="AF235" s="1613">
        <v>11716.347808318487</v>
      </c>
      <c r="AG235" s="1615">
        <v>12357.27579637696</v>
      </c>
      <c r="AH235" s="1616">
        <v>11990.682866775438</v>
      </c>
      <c r="AI235" s="1615">
        <v>9449.9884488374046</v>
      </c>
      <c r="AJ235" s="1615">
        <v>11403.16250934641</v>
      </c>
      <c r="AK235" s="1615">
        <v>14923.468157166129</v>
      </c>
      <c r="AL235" s="1616">
        <v>11110.096130842672</v>
      </c>
      <c r="AM235" s="1615">
        <v>8835.3985409444631</v>
      </c>
      <c r="AN235" s="1615">
        <v>14377.895433487756</v>
      </c>
      <c r="AO235" s="1615">
        <v>18051.575931232092</v>
      </c>
      <c r="AP235" s="1616">
        <v>16724.376731301942</v>
      </c>
      <c r="AQ235" s="1615">
        <v>14738.837139255675</v>
      </c>
      <c r="AR235" s="1615">
        <v>16182.133515390124</v>
      </c>
      <c r="AS235" s="1615">
        <v>20299.089540990994</v>
      </c>
      <c r="AT235" s="1616">
        <v>14937.966413316562</v>
      </c>
      <c r="AU235" s="1615">
        <v>15408.24352602746</v>
      </c>
      <c r="AV235" s="1615">
        <v>16917.091329527619</v>
      </c>
      <c r="AW235" s="1615">
        <v>21221.030672167504</v>
      </c>
      <c r="AX235" s="1616">
        <v>15616.416824836715</v>
      </c>
      <c r="AY235" s="1615">
        <v>15207.123389084334</v>
      </c>
      <c r="AZ235" s="1615">
        <v>16696.27656117802</v>
      </c>
      <c r="BA235" s="1615">
        <v>20944.037607536149</v>
      </c>
      <c r="BB235" s="1847">
        <v>15412.579451351106</v>
      </c>
      <c r="BC235" s="974"/>
      <c r="BD235" s="974"/>
      <c r="BE235" s="1417">
        <f t="shared" si="304"/>
        <v>8579.6217477173195</v>
      </c>
      <c r="BF235" s="1417">
        <f t="shared" si="305"/>
        <v>8298.2254625349233</v>
      </c>
      <c r="BG235" s="1417">
        <f t="shared" si="306"/>
        <v>9924.6398732123562</v>
      </c>
      <c r="BH235" s="1417">
        <f t="shared" si="307"/>
        <v>11425.083386890354</v>
      </c>
      <c r="BI235" s="1417">
        <f t="shared" si="308"/>
        <v>9947.2092090832211</v>
      </c>
      <c r="BJ235" s="1417">
        <f t="shared" si="309"/>
        <v>12088.935343822655</v>
      </c>
      <c r="BK235" s="1417">
        <f t="shared" si="310"/>
        <v>11792.634750279025</v>
      </c>
      <c r="BL235" s="1417">
        <f t="shared" si="311"/>
        <v>11721.678811548154</v>
      </c>
      <c r="BM235" s="1417">
        <f>AVERAGE(AM235:AP235)</f>
        <v>14497.311659241563</v>
      </c>
      <c r="BN235" s="1417">
        <f t="shared" si="312"/>
        <v>16539.506652238339</v>
      </c>
      <c r="BO235" s="1417">
        <f t="shared" si="313"/>
        <v>17290.695588139824</v>
      </c>
      <c r="BP235" s="1417">
        <f t="shared" si="314"/>
        <v>17065.004252287403</v>
      </c>
      <c r="BQ235" s="949"/>
      <c r="BR235" s="950"/>
      <c r="BU235" s="922"/>
      <c r="BV235" s="921"/>
      <c r="BW235" s="921"/>
      <c r="BX235" s="921"/>
    </row>
    <row r="236" spans="2:76" ht="12.75" customHeight="1">
      <c r="B236" s="1080"/>
      <c r="C236" s="1457" t="s">
        <v>688</v>
      </c>
      <c r="D236" s="1189"/>
      <c r="E236" s="1189"/>
      <c r="F236" s="1190"/>
      <c r="G236" s="1612">
        <v>8563.562822424461</v>
      </c>
      <c r="H236" s="1613">
        <v>6860.4941925393041</v>
      </c>
      <c r="I236" s="1613">
        <v>9589.8568783682331</v>
      </c>
      <c r="J236" s="1614">
        <v>8761.3924824907463</v>
      </c>
      <c r="K236" s="1612">
        <v>6370.4143174569617</v>
      </c>
      <c r="L236" s="1613">
        <v>6211.3020714773484</v>
      </c>
      <c r="M236" s="1613">
        <v>7826.6983038931385</v>
      </c>
      <c r="N236" s="1614">
        <v>8505.2239404965749</v>
      </c>
      <c r="O236" s="1612">
        <v>8361.8498020158422</v>
      </c>
      <c r="P236" s="1613">
        <v>4692.7816196299354</v>
      </c>
      <c r="Q236" s="1613">
        <v>8714.24458656358</v>
      </c>
      <c r="R236" s="1613">
        <v>7915.5249031846197</v>
      </c>
      <c r="S236" s="1612">
        <v>8087.8495531943299</v>
      </c>
      <c r="T236" s="1613">
        <v>7996.3027258199882</v>
      </c>
      <c r="U236" s="1613">
        <v>11211.620071182011</v>
      </c>
      <c r="V236" s="1613">
        <v>10542.452919287505</v>
      </c>
      <c r="W236" s="1612">
        <v>8657.5971567442921</v>
      </c>
      <c r="X236" s="1613">
        <v>6886.9565387563089</v>
      </c>
      <c r="Y236" s="1613">
        <v>9018.6289233419629</v>
      </c>
      <c r="Z236" s="1614">
        <v>8128.1906062345806</v>
      </c>
      <c r="AA236" s="1612">
        <v>7254.6062172011279</v>
      </c>
      <c r="AB236" s="1613">
        <v>10198.607768021606</v>
      </c>
      <c r="AC236" s="1613">
        <v>11012.575922552551</v>
      </c>
      <c r="AD236" s="1614">
        <v>8791.3991643737936</v>
      </c>
      <c r="AE236" s="1612">
        <v>8374.7404708739778</v>
      </c>
      <c r="AF236" s="1613">
        <v>7523.2554039282049</v>
      </c>
      <c r="AG236" s="1615">
        <v>10999.855109017048</v>
      </c>
      <c r="AH236" s="1616">
        <v>8339.4758609136315</v>
      </c>
      <c r="AI236" s="1615">
        <v>7363.9896702949682</v>
      </c>
      <c r="AJ236" s="1615">
        <v>5110.2170980007359</v>
      </c>
      <c r="AK236" s="1615">
        <v>11913.659539148653</v>
      </c>
      <c r="AL236" s="1616">
        <v>6198.0513024458141</v>
      </c>
      <c r="AM236" s="1615">
        <v>5605.4382217503589</v>
      </c>
      <c r="AN236" s="1615">
        <v>6543.6796823295826</v>
      </c>
      <c r="AO236" s="1615">
        <v>11727.384363487512</v>
      </c>
      <c r="AP236" s="1616">
        <v>9868.4210526315801</v>
      </c>
      <c r="AQ236" s="1615">
        <v>10559.234578577465</v>
      </c>
      <c r="AR236" s="1615">
        <v>10219.421198025182</v>
      </c>
      <c r="AS236" s="1615">
        <v>15787.035019442665</v>
      </c>
      <c r="AT236" s="1616">
        <v>7959.8436172566526</v>
      </c>
      <c r="AU236" s="1615">
        <v>11509.813054563114</v>
      </c>
      <c r="AV236" s="1615">
        <v>11139.408509187173</v>
      </c>
      <c r="AW236" s="1615">
        <v>17208.238003185412</v>
      </c>
      <c r="AX236" s="1616">
        <v>8676.4160125822291</v>
      </c>
      <c r="AY236" s="1615">
        <v>11745.513775169822</v>
      </c>
      <c r="AZ236" s="1615">
        <v>11367.523996406751</v>
      </c>
      <c r="BA236" s="1615">
        <v>17560.632440740112</v>
      </c>
      <c r="BB236" s="1847">
        <v>8854.0937469428645</v>
      </c>
      <c r="BC236" s="974"/>
      <c r="BD236" s="974"/>
      <c r="BE236" s="1417">
        <f t="shared" si="304"/>
        <v>8443.8265939556859</v>
      </c>
      <c r="BF236" s="1417">
        <f t="shared" si="305"/>
        <v>7228.4096583310056</v>
      </c>
      <c r="BG236" s="1417">
        <f t="shared" si="306"/>
        <v>7421.1002278484939</v>
      </c>
      <c r="BH236" s="1417">
        <f t="shared" si="307"/>
        <v>9459.5563173709579</v>
      </c>
      <c r="BI236" s="1417">
        <f t="shared" si="308"/>
        <v>8172.8433062692857</v>
      </c>
      <c r="BJ236" s="1417">
        <f t="shared" si="309"/>
        <v>9314.2972680372695</v>
      </c>
      <c r="BK236" s="1417">
        <f t="shared" si="310"/>
        <v>8809.3317111832148</v>
      </c>
      <c r="BL236" s="1417">
        <f t="shared" si="311"/>
        <v>7646.4794024725434</v>
      </c>
      <c r="BM236" s="1417">
        <f>AVERAGE(AM236:AP236)</f>
        <v>8436.2308300497589</v>
      </c>
      <c r="BN236" s="1417">
        <f t="shared" si="312"/>
        <v>11131.38360332549</v>
      </c>
      <c r="BO236" s="1417">
        <f t="shared" si="313"/>
        <v>12133.468894879483</v>
      </c>
      <c r="BP236" s="1417">
        <f t="shared" si="314"/>
        <v>12381.940989814888</v>
      </c>
      <c r="BQ236" s="949"/>
      <c r="BR236" s="950"/>
      <c r="BU236" s="922"/>
      <c r="BV236" s="921"/>
      <c r="BW236" s="921"/>
      <c r="BX236" s="921"/>
    </row>
    <row r="237" spans="2:76" ht="12.75" customHeight="1">
      <c r="B237" s="1080"/>
      <c r="C237" s="1457"/>
      <c r="D237" s="1189"/>
      <c r="E237" s="1189"/>
      <c r="F237" s="1190"/>
      <c r="G237" s="1592">
        <v>0</v>
      </c>
      <c r="H237" s="1593">
        <v>0</v>
      </c>
      <c r="I237" s="1593">
        <v>0</v>
      </c>
      <c r="J237" s="1594">
        <v>7045.0118387558323</v>
      </c>
      <c r="K237" s="1592">
        <v>10647.814160821332</v>
      </c>
      <c r="L237" s="1593">
        <v>7643.6811086143116</v>
      </c>
      <c r="M237" s="1593">
        <v>26701.729930116137</v>
      </c>
      <c r="N237" s="1594">
        <v>7717.4624704002181</v>
      </c>
      <c r="O237" s="1592">
        <v>9345.1720004820509</v>
      </c>
      <c r="P237" s="1593">
        <v>13807.306134001437</v>
      </c>
      <c r="Q237" s="1593">
        <v>11418.664456046279</v>
      </c>
      <c r="R237" s="1593">
        <v>8673.5340286433238</v>
      </c>
      <c r="S237" s="1592">
        <v>7845.0122816990479</v>
      </c>
      <c r="T237" s="1595">
        <v>8620.1610645234541</v>
      </c>
      <c r="U237" s="1595">
        <v>11174.409787997261</v>
      </c>
      <c r="V237" s="1596">
        <v>9641.3794179416109</v>
      </c>
      <c r="W237" s="1595">
        <v>11434.96156525798</v>
      </c>
      <c r="X237" s="1595">
        <v>9116.0759733353843</v>
      </c>
      <c r="Y237" s="1595">
        <v>9563.9321770397437</v>
      </c>
      <c r="Z237" s="1596">
        <v>9368.9160620250805</v>
      </c>
      <c r="AA237" s="1595">
        <v>9823.1629948743193</v>
      </c>
      <c r="AB237" s="1595">
        <v>10996.392826599309</v>
      </c>
      <c r="AC237" s="1595">
        <v>13165.051909345491</v>
      </c>
      <c r="AD237" s="1596">
        <v>9966.0748691142107</v>
      </c>
      <c r="AE237" s="1595">
        <v>10081.840893466653</v>
      </c>
      <c r="AF237" s="1595">
        <v>10532.235866772089</v>
      </c>
      <c r="AG237" s="1595">
        <v>11115.580950912827</v>
      </c>
      <c r="AH237" s="1596">
        <v>9206.0011555017081</v>
      </c>
      <c r="AI237" s="1595">
        <v>7599.395244266987</v>
      </c>
      <c r="AJ237" s="1595">
        <v>9658.4255255059925</v>
      </c>
      <c r="AK237" s="1595">
        <v>10542.679719462296</v>
      </c>
      <c r="AL237" s="1596">
        <v>9173.459524044767</v>
      </c>
      <c r="AM237" s="1595">
        <v>11552.579721769785</v>
      </c>
      <c r="AN237" s="1595">
        <v>14542.898550724636</v>
      </c>
      <c r="AO237" s="1595">
        <v>48571.299862448417</v>
      </c>
      <c r="AP237" s="1596">
        <v>9541.1462450592899</v>
      </c>
      <c r="AQ237" s="1595">
        <v>8001.7503919318342</v>
      </c>
      <c r="AR237" s="1595">
        <v>10020.549611895432</v>
      </c>
      <c r="AS237" s="1595">
        <v>28583.139290052815</v>
      </c>
      <c r="AT237" s="1596">
        <v>16581.596089097558</v>
      </c>
      <c r="AU237" s="1595">
        <v>7062.8307008244701</v>
      </c>
      <c r="AV237" s="1595">
        <v>8715.8398035065438</v>
      </c>
      <c r="AW237" s="1595">
        <v>24761.304736514343</v>
      </c>
      <c r="AX237" s="1596">
        <v>14438.494039488984</v>
      </c>
      <c r="AY237" s="1595">
        <v>6423.7196260689134</v>
      </c>
      <c r="AZ237" s="1595">
        <v>7906.2276542927948</v>
      </c>
      <c r="BA237" s="1595">
        <v>22408.946307746035</v>
      </c>
      <c r="BB237" s="1844">
        <v>13065.522005420524</v>
      </c>
      <c r="BC237" s="974"/>
      <c r="BD237" s="974"/>
      <c r="BE237" s="1417"/>
      <c r="BF237" s="1417"/>
      <c r="BG237" s="1417"/>
      <c r="BH237" s="1417"/>
      <c r="BI237" s="1417"/>
      <c r="BJ237" s="1417"/>
      <c r="BK237" s="1417"/>
      <c r="BL237" s="1417"/>
      <c r="BM237" s="1417"/>
      <c r="BN237" s="1417"/>
      <c r="BO237" s="1417"/>
      <c r="BP237" s="1417"/>
      <c r="BQ237" s="949"/>
      <c r="BR237" s="950"/>
      <c r="BU237" s="922"/>
      <c r="BV237" s="921"/>
      <c r="BW237" s="921"/>
      <c r="BX237" s="921"/>
    </row>
    <row r="238" spans="2:76" ht="12.75" customHeight="1">
      <c r="B238" s="1080"/>
      <c r="C238" s="1460" t="s">
        <v>795</v>
      </c>
      <c r="D238" s="1133"/>
      <c r="E238" s="1133"/>
      <c r="F238" s="1134"/>
      <c r="G238" s="1598"/>
      <c r="H238" s="1599"/>
      <c r="I238" s="1599"/>
      <c r="J238" s="1600"/>
      <c r="K238" s="1612"/>
      <c r="L238" s="1599"/>
      <c r="M238" s="1599"/>
      <c r="N238" s="1600"/>
      <c r="O238" s="1598"/>
      <c r="P238" s="1599"/>
      <c r="Q238" s="1599"/>
      <c r="R238" s="1599"/>
      <c r="S238" s="1606"/>
      <c r="T238" s="1599"/>
      <c r="U238" s="1601"/>
      <c r="V238" s="1603"/>
      <c r="W238" s="1601"/>
      <c r="X238" s="1599"/>
      <c r="Y238" s="1599"/>
      <c r="Z238" s="1603"/>
      <c r="AA238" s="1604"/>
      <c r="AB238" s="1599"/>
      <c r="AC238" s="1599"/>
      <c r="AD238" s="1605"/>
      <c r="AE238" s="1604"/>
      <c r="AF238" s="1599"/>
      <c r="AG238" s="1604"/>
      <c r="AH238" s="1605"/>
      <c r="AI238" s="1604"/>
      <c r="AJ238" s="1604"/>
      <c r="AK238" s="1604"/>
      <c r="AL238" s="1605"/>
      <c r="AM238" s="1604"/>
      <c r="AN238" s="1604"/>
      <c r="AO238" s="1604"/>
      <c r="AP238" s="1605"/>
      <c r="AQ238" s="1604"/>
      <c r="AR238" s="1604"/>
      <c r="AS238" s="1604"/>
      <c r="AT238" s="1605"/>
      <c r="AU238" s="1604"/>
      <c r="AV238" s="1604"/>
      <c r="AW238" s="1604"/>
      <c r="AX238" s="1605"/>
      <c r="AY238" s="1604"/>
      <c r="AZ238" s="1604"/>
      <c r="BA238" s="1604"/>
      <c r="BB238" s="1845"/>
      <c r="BC238" s="961"/>
      <c r="BD238" s="962"/>
      <c r="BE238" s="1412"/>
      <c r="BF238" s="1412"/>
      <c r="BG238" s="1412"/>
      <c r="BH238" s="1412"/>
      <c r="BI238" s="1412"/>
      <c r="BJ238" s="1412"/>
      <c r="BK238" s="1412"/>
      <c r="BL238" s="1412"/>
      <c r="BM238" s="1412"/>
      <c r="BN238" s="1412"/>
      <c r="BO238" s="1412"/>
      <c r="BP238" s="1412"/>
      <c r="BQ238" s="949"/>
      <c r="BR238" s="950"/>
      <c r="BU238" s="922"/>
      <c r="BV238" s="921"/>
      <c r="BW238" s="921"/>
      <c r="BX238" s="921"/>
    </row>
    <row r="239" spans="2:76" ht="12.75" customHeight="1">
      <c r="B239" s="1080"/>
      <c r="C239" s="1457" t="s">
        <v>674</v>
      </c>
      <c r="D239" s="1189"/>
      <c r="E239" s="1189"/>
      <c r="F239" s="1190"/>
      <c r="G239" s="1612">
        <v>6909.3096327633702</v>
      </c>
      <c r="H239" s="1613">
        <v>8182.0786967062631</v>
      </c>
      <c r="I239" s="1613">
        <v>8843.0635104283465</v>
      </c>
      <c r="J239" s="1614">
        <v>7237.1775828593409</v>
      </c>
      <c r="K239" s="1612">
        <v>7371.9217492476137</v>
      </c>
      <c r="L239" s="1613">
        <v>7960.8997122438159</v>
      </c>
      <c r="M239" s="1613">
        <v>8379.919228064944</v>
      </c>
      <c r="N239" s="1614">
        <v>8819.7944279269213</v>
      </c>
      <c r="O239" s="1612">
        <v>8447.2140034917284</v>
      </c>
      <c r="P239" s="1613">
        <v>9230.5387992588858</v>
      </c>
      <c r="Q239" s="1613">
        <v>10110.347551066592</v>
      </c>
      <c r="R239" s="1613">
        <v>9797.5546476884065</v>
      </c>
      <c r="S239" s="1612">
        <v>9282.9445192863459</v>
      </c>
      <c r="T239" s="1613">
        <v>7879.1357555234736</v>
      </c>
      <c r="U239" s="1613">
        <v>8084.3226123072382</v>
      </c>
      <c r="V239" s="1613">
        <v>11842.479560862408</v>
      </c>
      <c r="W239" s="1612">
        <v>7345.0633802143266</v>
      </c>
      <c r="X239" s="1613">
        <v>8666.8096880078447</v>
      </c>
      <c r="Y239" s="1613">
        <v>10315.050379273025</v>
      </c>
      <c r="Z239" s="1614">
        <v>9714.574534358846</v>
      </c>
      <c r="AA239" s="1612">
        <v>8382.8453222230091</v>
      </c>
      <c r="AB239" s="1613">
        <v>7537.8738784383268</v>
      </c>
      <c r="AC239" s="1613">
        <v>9837.7064039165271</v>
      </c>
      <c r="AD239" s="1614">
        <v>10577.262881497305</v>
      </c>
      <c r="AE239" s="1612">
        <v>9019.4014549612002</v>
      </c>
      <c r="AF239" s="1613">
        <v>10967.114786064982</v>
      </c>
      <c r="AG239" s="1615">
        <v>11335.823461467095</v>
      </c>
      <c r="AH239" s="1616">
        <v>10726.933653066462</v>
      </c>
      <c r="AI239" s="1615">
        <v>9142.7185751590077</v>
      </c>
      <c r="AJ239" s="1615">
        <v>8545.6610120881614</v>
      </c>
      <c r="AK239" s="1615">
        <v>8055.4469835426908</v>
      </c>
      <c r="AL239" s="1616">
        <v>11859.057936160812</v>
      </c>
      <c r="AM239" s="1615">
        <v>7106.0534420152553</v>
      </c>
      <c r="AN239" s="1615">
        <v>9713.2904608788867</v>
      </c>
      <c r="AO239" s="1615">
        <v>9301.3972055888225</v>
      </c>
      <c r="AP239" s="1616">
        <v>10670.184696569921</v>
      </c>
      <c r="AQ239" s="1615">
        <v>12523.856192309457</v>
      </c>
      <c r="AR239" s="1615">
        <v>12126.37627431892</v>
      </c>
      <c r="AS239" s="1615">
        <v>13524.643202910216</v>
      </c>
      <c r="AT239" s="1616">
        <v>7225.3549785020023</v>
      </c>
      <c r="AU239" s="1615">
        <v>12284.65865189438</v>
      </c>
      <c r="AV239" s="1615">
        <v>11894.770342853019</v>
      </c>
      <c r="AW239" s="1615">
        <v>13266.331278894815</v>
      </c>
      <c r="AX239" s="1616">
        <v>7087.3553789421785</v>
      </c>
      <c r="AY239" s="1615">
        <v>11964.479552774072</v>
      </c>
      <c r="AZ239" s="1615">
        <v>11584.75303097351</v>
      </c>
      <c r="BA239" s="1615">
        <v>12920.56652320475</v>
      </c>
      <c r="BB239" s="1847">
        <v>6902.6353045243814</v>
      </c>
      <c r="BC239" s="974"/>
      <c r="BD239" s="974"/>
      <c r="BE239" s="1417">
        <f t="shared" ref="BE239:BE254" si="316">AVERAGE(G239:J239)</f>
        <v>7792.90735568933</v>
      </c>
      <c r="BF239" s="1417">
        <f t="shared" ref="BF239:BF254" si="317">AVERAGE(K239:N239)</f>
        <v>8133.1337793708235</v>
      </c>
      <c r="BG239" s="1417">
        <f t="shared" ref="BG239:BG254" si="318">AVERAGE(O239:R239)</f>
        <v>9396.4137503764032</v>
      </c>
      <c r="BH239" s="1417">
        <f t="shared" ref="BH239:BH254" si="319">AVERAGE(S239:V239)</f>
        <v>9272.2206119948678</v>
      </c>
      <c r="BI239" s="1417">
        <f t="shared" ref="BI239:BI254" si="320">AVERAGE(W239:Z239)</f>
        <v>9010.3744954635113</v>
      </c>
      <c r="BJ239" s="1417">
        <f t="shared" ref="BJ239:BJ254" si="321">AVERAGE(AA239:AD239)</f>
        <v>9083.9221215187918</v>
      </c>
      <c r="BK239" s="1417">
        <f t="shared" ref="BK239:BK254" si="322">AVERAGE(AE239:AH239)</f>
        <v>10512.318338889934</v>
      </c>
      <c r="BL239" s="1417">
        <f t="shared" ref="BL239:BL254" si="323">AVERAGE(AI239:AL239)</f>
        <v>9400.7211267376679</v>
      </c>
      <c r="BM239" s="1417">
        <f t="shared" ref="BM239:BM254" si="324">AVERAGE(AM239:AP239)</f>
        <v>9197.731451263222</v>
      </c>
      <c r="BN239" s="1417">
        <f t="shared" ref="BN239:BN254" si="325">AVERAGE(AQ239:AT239)</f>
        <v>11350.057662010147</v>
      </c>
      <c r="BO239" s="1417">
        <f t="shared" ref="BO239:BO254" si="326">AVERAGE(AU239:AX239)</f>
        <v>11133.278913146098</v>
      </c>
      <c r="BP239" s="1417">
        <f t="shared" ref="BP239:BP254" si="327">AVERAGE(AY239:BB239)</f>
        <v>10843.108602869177</v>
      </c>
      <c r="BQ239" s="949"/>
      <c r="BR239" s="950"/>
      <c r="BU239" s="922"/>
      <c r="BV239" s="921"/>
      <c r="BW239" s="921"/>
      <c r="BX239" s="921"/>
    </row>
    <row r="240" spans="2:76" ht="12.75" customHeight="1">
      <c r="B240" s="1080"/>
      <c r="C240" s="1457" t="s">
        <v>675</v>
      </c>
      <c r="D240" s="1189"/>
      <c r="E240" s="1189"/>
      <c r="F240" s="1190"/>
      <c r="G240" s="1612">
        <v>5088.54736817501</v>
      </c>
      <c r="H240" s="1613">
        <v>7028.1794383085698</v>
      </c>
      <c r="I240" s="1613">
        <v>8292.7749177879778</v>
      </c>
      <c r="J240" s="1614">
        <v>6485.8213553112255</v>
      </c>
      <c r="K240" s="1612">
        <v>6023.4534353193767</v>
      </c>
      <c r="L240" s="1613">
        <v>6697.9018560678951</v>
      </c>
      <c r="M240" s="1613">
        <v>7684.5603729599397</v>
      </c>
      <c r="N240" s="1614">
        <v>7744.4976746612501</v>
      </c>
      <c r="O240" s="1612">
        <v>8639.8374439110084</v>
      </c>
      <c r="P240" s="1613">
        <v>8438.5265301215695</v>
      </c>
      <c r="Q240" s="1613">
        <v>8950.6358841748479</v>
      </c>
      <c r="R240" s="1613">
        <v>8360.5518128974873</v>
      </c>
      <c r="S240" s="1612">
        <v>8283.8886860413586</v>
      </c>
      <c r="T240" s="1613">
        <v>6843.1719383213203</v>
      </c>
      <c r="U240" s="1613">
        <v>7359.8377490323146</v>
      </c>
      <c r="V240" s="1613">
        <v>7354.2240723278701</v>
      </c>
      <c r="W240" s="1612">
        <v>5887.49512865822</v>
      </c>
      <c r="X240" s="1613">
        <v>7342.5870896590586</v>
      </c>
      <c r="Y240" s="1613">
        <v>9428.2420655372098</v>
      </c>
      <c r="Z240" s="1614">
        <v>7903.1028409842911</v>
      </c>
      <c r="AA240" s="1612">
        <v>5838.4228171684554</v>
      </c>
      <c r="AB240" s="1613">
        <v>11231.838014387387</v>
      </c>
      <c r="AC240" s="1613">
        <v>14895.865292939685</v>
      </c>
      <c r="AD240" s="1614">
        <v>11088.680104153016</v>
      </c>
      <c r="AE240" s="1612">
        <v>7430.0572431015753</v>
      </c>
      <c r="AF240" s="1613">
        <v>9854.2125554743252</v>
      </c>
      <c r="AG240" s="1615">
        <v>14312.880773121604</v>
      </c>
      <c r="AH240" s="1616">
        <v>7721.1693236924348</v>
      </c>
      <c r="AI240" s="1615">
        <v>6476.9106982314634</v>
      </c>
      <c r="AJ240" s="1615">
        <v>5766.6546578633643</v>
      </c>
      <c r="AK240" s="1615">
        <v>9936.1248110884608</v>
      </c>
      <c r="AL240" s="1616">
        <v>7145.8747184646672</v>
      </c>
      <c r="AM240" s="1615">
        <v>4993.9723459738043</v>
      </c>
      <c r="AN240" s="1615">
        <v>14859.377349977438</v>
      </c>
      <c r="AO240" s="1615">
        <v>13198.198198198197</v>
      </c>
      <c r="AP240" s="1616">
        <v>12321.539416511485</v>
      </c>
      <c r="AQ240" s="1615">
        <v>13766.147964572425</v>
      </c>
      <c r="AR240" s="1615">
        <v>17987.083179969206</v>
      </c>
      <c r="AS240" s="1615">
        <v>15264.015012002199</v>
      </c>
      <c r="AT240" s="1616">
        <v>6334.5447057720257</v>
      </c>
      <c r="AU240" s="1615">
        <v>13835.817936941603</v>
      </c>
      <c r="AV240" s="1615">
        <v>18078.115151394733</v>
      </c>
      <c r="AW240" s="1615">
        <v>15341.265634824622</v>
      </c>
      <c r="AX240" s="1616">
        <v>6366.603605310097</v>
      </c>
      <c r="AY240" s="1615">
        <v>13642.039241588413</v>
      </c>
      <c r="AZ240" s="1615">
        <v>17824.920610642024</v>
      </c>
      <c r="BA240" s="1615">
        <v>15126.402266910129</v>
      </c>
      <c r="BB240" s="1847">
        <v>6277.4356106103478</v>
      </c>
      <c r="BC240" s="974"/>
      <c r="BD240" s="974"/>
      <c r="BE240" s="1417">
        <f t="shared" si="316"/>
        <v>6723.830769895696</v>
      </c>
      <c r="BF240" s="1417">
        <f t="shared" si="317"/>
        <v>7037.6033347521152</v>
      </c>
      <c r="BG240" s="1417">
        <f t="shared" si="318"/>
        <v>8597.3879177762283</v>
      </c>
      <c r="BH240" s="1417">
        <f t="shared" si="319"/>
        <v>7460.2806114307159</v>
      </c>
      <c r="BI240" s="1417">
        <f t="shared" si="320"/>
        <v>7640.3567812096953</v>
      </c>
      <c r="BJ240" s="1417">
        <f t="shared" si="321"/>
        <v>10763.701557162136</v>
      </c>
      <c r="BK240" s="1417">
        <f t="shared" si="322"/>
        <v>9829.5799738474852</v>
      </c>
      <c r="BL240" s="1417">
        <f t="shared" si="323"/>
        <v>7331.3912214119891</v>
      </c>
      <c r="BM240" s="1417">
        <f t="shared" si="324"/>
        <v>11343.27182766523</v>
      </c>
      <c r="BN240" s="1417">
        <f t="shared" si="325"/>
        <v>13337.947715578963</v>
      </c>
      <c r="BO240" s="1417">
        <f t="shared" si="326"/>
        <v>13405.450582117764</v>
      </c>
      <c r="BP240" s="1417">
        <f t="shared" si="327"/>
        <v>13217.69943243773</v>
      </c>
      <c r="BQ240" s="949"/>
      <c r="BR240" s="950"/>
      <c r="BU240" s="922"/>
      <c r="BV240" s="921"/>
      <c r="BW240" s="921"/>
      <c r="BX240" s="921"/>
    </row>
    <row r="241" spans="2:76" ht="12.75" customHeight="1">
      <c r="B241" s="1080"/>
      <c r="C241" s="1457" t="s">
        <v>676</v>
      </c>
      <c r="D241" s="1189"/>
      <c r="E241" s="1189"/>
      <c r="F241" s="1190"/>
      <c r="G241" s="1612">
        <v>6606.7874609416886</v>
      </c>
      <c r="H241" s="1613">
        <v>8306.5809607562096</v>
      </c>
      <c r="I241" s="1613">
        <v>9423.2283467435736</v>
      </c>
      <c r="J241" s="1614">
        <v>7028.9542841002922</v>
      </c>
      <c r="K241" s="1612">
        <v>7074.1943976919974</v>
      </c>
      <c r="L241" s="1613">
        <v>7547.8657501188482</v>
      </c>
      <c r="M241" s="1613">
        <v>8439.3885162200022</v>
      </c>
      <c r="N241" s="1614">
        <v>8268.6653113423945</v>
      </c>
      <c r="O241" s="1612">
        <v>8437.495171565226</v>
      </c>
      <c r="P241" s="1613">
        <v>8970.6692026012824</v>
      </c>
      <c r="Q241" s="1613">
        <v>10076.119613780258</v>
      </c>
      <c r="R241" s="1613">
        <v>9230.9471653996989</v>
      </c>
      <c r="S241" s="1612">
        <v>7249.062381710246</v>
      </c>
      <c r="T241" s="1613">
        <v>7720.0856088085848</v>
      </c>
      <c r="U241" s="1613">
        <v>8293.4171259897885</v>
      </c>
      <c r="V241" s="1613">
        <v>8457.6272733481783</v>
      </c>
      <c r="W241" s="1612">
        <v>6117.7451995103747</v>
      </c>
      <c r="X241" s="1613">
        <v>8147.412648795138</v>
      </c>
      <c r="Y241" s="1613">
        <v>9952.2595955805282</v>
      </c>
      <c r="Z241" s="1614">
        <v>8215.7123443567598</v>
      </c>
      <c r="AA241" s="1612">
        <v>6590.0424387770508</v>
      </c>
      <c r="AB241" s="1613">
        <v>7771.3067261298047</v>
      </c>
      <c r="AC241" s="1613">
        <v>9737.8690075852119</v>
      </c>
      <c r="AD241" s="1614">
        <v>9049.3951916015685</v>
      </c>
      <c r="AE241" s="1612">
        <v>8212.0800442138498</v>
      </c>
      <c r="AF241" s="1613">
        <v>11384.80330532701</v>
      </c>
      <c r="AG241" s="1615">
        <v>11578.755646993332</v>
      </c>
      <c r="AH241" s="1616">
        <v>9606.9455878853478</v>
      </c>
      <c r="AI241" s="1615">
        <v>8859.0498337299687</v>
      </c>
      <c r="AJ241" s="1615">
        <v>7917.1918496624576</v>
      </c>
      <c r="AK241" s="1615">
        <v>7966.5045898410899</v>
      </c>
      <c r="AL241" s="1616">
        <v>8139.7228227011701</v>
      </c>
      <c r="AM241" s="1615">
        <v>5720.6374459995504</v>
      </c>
      <c r="AN241" s="1615">
        <v>15353.697749196142</v>
      </c>
      <c r="AO241" s="1615">
        <v>13013.972055888224</v>
      </c>
      <c r="AP241" s="1616">
        <v>13234.828496042217</v>
      </c>
      <c r="AQ241" s="1615">
        <v>14914.155984907466</v>
      </c>
      <c r="AR241" s="1615">
        <v>20592.143562519603</v>
      </c>
      <c r="AS241" s="1615">
        <v>17789.229705526392</v>
      </c>
      <c r="AT241" s="1616">
        <v>6358.814301275911</v>
      </c>
      <c r="AU241" s="1615">
        <v>14783.03187245478</v>
      </c>
      <c r="AV241" s="1615">
        <v>20411.099019947695</v>
      </c>
      <c r="AW241" s="1615">
        <v>17632.828166028303</v>
      </c>
      <c r="AX241" s="1616">
        <v>6302.9080949609152</v>
      </c>
      <c r="AY241" s="1615">
        <v>14415.982411492447</v>
      </c>
      <c r="AZ241" s="1615">
        <v>19904.309684880362</v>
      </c>
      <c r="BA241" s="1615">
        <v>17195.020811662678</v>
      </c>
      <c r="BB241" s="1847">
        <v>6146.4125236389573</v>
      </c>
      <c r="BC241" s="974"/>
      <c r="BD241" s="974"/>
      <c r="BE241" s="1417">
        <f t="shared" si="316"/>
        <v>7841.3877631354408</v>
      </c>
      <c r="BF241" s="1417">
        <f t="shared" si="317"/>
        <v>7832.5284938433106</v>
      </c>
      <c r="BG241" s="1417">
        <f t="shared" si="318"/>
        <v>9178.8077883366168</v>
      </c>
      <c r="BH241" s="1417">
        <f t="shared" si="319"/>
        <v>7930.0480974641996</v>
      </c>
      <c r="BI241" s="1417">
        <f t="shared" si="320"/>
        <v>8108.2824470607011</v>
      </c>
      <c r="BJ241" s="1417">
        <f t="shared" si="321"/>
        <v>8287.1533410234078</v>
      </c>
      <c r="BK241" s="1417">
        <f t="shared" si="322"/>
        <v>10195.646146104886</v>
      </c>
      <c r="BL241" s="1417">
        <f t="shared" si="323"/>
        <v>8220.6172739836711</v>
      </c>
      <c r="BM241" s="1417">
        <f t="shared" si="324"/>
        <v>11830.783936781534</v>
      </c>
      <c r="BN241" s="1417">
        <f t="shared" si="325"/>
        <v>14913.585888557343</v>
      </c>
      <c r="BO241" s="1417">
        <f t="shared" si="326"/>
        <v>14782.466788347923</v>
      </c>
      <c r="BP241" s="1417">
        <f t="shared" si="327"/>
        <v>14415.431357918611</v>
      </c>
      <c r="BQ241" s="949"/>
      <c r="BR241" s="950"/>
      <c r="BU241" s="922"/>
      <c r="BV241" s="921"/>
      <c r="BW241" s="921"/>
      <c r="BX241" s="921"/>
    </row>
    <row r="242" spans="2:76" ht="12.75" customHeight="1">
      <c r="B242" s="1080"/>
      <c r="C242" s="1457" t="s">
        <v>677</v>
      </c>
      <c r="D242" s="1189"/>
      <c r="E242" s="1189"/>
      <c r="F242" s="1190"/>
      <c r="G242" s="1612">
        <v>6748.7681006218027</v>
      </c>
      <c r="H242" s="1613">
        <v>8884.2082613828734</v>
      </c>
      <c r="I242" s="1613">
        <v>10083.180834408246</v>
      </c>
      <c r="J242" s="1614">
        <v>7087.3029977862207</v>
      </c>
      <c r="K242" s="1612">
        <v>7340.2263410942887</v>
      </c>
      <c r="L242" s="1613">
        <v>7798.9509690638888</v>
      </c>
      <c r="M242" s="1613">
        <v>8927.1882569122845</v>
      </c>
      <c r="N242" s="1614">
        <v>8345.6002027089799</v>
      </c>
      <c r="O242" s="1612">
        <v>8645.3846646133316</v>
      </c>
      <c r="P242" s="1613">
        <v>9156.0025011957878</v>
      </c>
      <c r="Q242" s="1613">
        <v>10477.185224637948</v>
      </c>
      <c r="R242" s="1613">
        <v>9423.1828285744832</v>
      </c>
      <c r="S242" s="1612">
        <v>7423.784925032689</v>
      </c>
      <c r="T242" s="1613">
        <v>7850.7305463093289</v>
      </c>
      <c r="U242" s="1613">
        <v>8892.078482518069</v>
      </c>
      <c r="V242" s="1613">
        <v>8316.9515771291517</v>
      </c>
      <c r="W242" s="1612">
        <v>6133.6490987913385</v>
      </c>
      <c r="X242" s="1613">
        <v>8213.4148493595476</v>
      </c>
      <c r="Y242" s="1613">
        <v>10122.829083489969</v>
      </c>
      <c r="Z242" s="1614">
        <v>8243.0500509012982</v>
      </c>
      <c r="AA242" s="1612">
        <v>6629.8219138086515</v>
      </c>
      <c r="AB242" s="1613">
        <v>7973.4326856799471</v>
      </c>
      <c r="AC242" s="1613">
        <v>10477.845810963989</v>
      </c>
      <c r="AD242" s="1614">
        <v>9160.039878142039</v>
      </c>
      <c r="AE242" s="1612">
        <v>8558.8324115569685</v>
      </c>
      <c r="AF242" s="1613">
        <v>12102.625348797468</v>
      </c>
      <c r="AG242" s="1615">
        <v>12591.843997641919</v>
      </c>
      <c r="AH242" s="1616">
        <v>9646.0234098480669</v>
      </c>
      <c r="AI242" s="1615">
        <v>8902.6133060085667</v>
      </c>
      <c r="AJ242" s="1615">
        <v>8502.4785656129588</v>
      </c>
      <c r="AK242" s="1615">
        <v>8317.9199339646766</v>
      </c>
      <c r="AL242" s="1616">
        <v>8247.7510387057664</v>
      </c>
      <c r="AM242" s="1615">
        <v>6014.3501087297491</v>
      </c>
      <c r="AN242" s="1615">
        <v>16016.881028938908</v>
      </c>
      <c r="AO242" s="1615">
        <v>13685.961410512306</v>
      </c>
      <c r="AP242" s="1616">
        <v>13635.883905013192</v>
      </c>
      <c r="AQ242" s="1615">
        <v>15581.860761896291</v>
      </c>
      <c r="AR242" s="1615">
        <v>21684.767581360513</v>
      </c>
      <c r="AS242" s="1615">
        <v>18977.134817803846</v>
      </c>
      <c r="AT242" s="1616">
        <v>6534.6362240548142</v>
      </c>
      <c r="AU242" s="1615">
        <v>15474.866268858676</v>
      </c>
      <c r="AV242" s="1615">
        <v>21535.866833917054</v>
      </c>
      <c r="AW242" s="1615">
        <v>18846.826316774066</v>
      </c>
      <c r="AX242" s="1616">
        <v>6489.7654540831209</v>
      </c>
      <c r="AY242" s="1615">
        <v>15153.832115448648</v>
      </c>
      <c r="AZ242" s="1615">
        <v>21089.09406981953</v>
      </c>
      <c r="BA242" s="1615">
        <v>18455.83909750179</v>
      </c>
      <c r="BB242" s="1847">
        <v>6355.1318926562371</v>
      </c>
      <c r="BC242" s="974"/>
      <c r="BD242" s="974"/>
      <c r="BE242" s="1417">
        <f t="shared" si="316"/>
        <v>8200.8650485497856</v>
      </c>
      <c r="BF242" s="1417">
        <f t="shared" si="317"/>
        <v>8102.9914424448598</v>
      </c>
      <c r="BG242" s="1417">
        <f t="shared" si="318"/>
        <v>9425.4388047553875</v>
      </c>
      <c r="BH242" s="1417">
        <f t="shared" si="319"/>
        <v>8120.8863827473097</v>
      </c>
      <c r="BI242" s="1417">
        <f t="shared" si="320"/>
        <v>8178.2357706355378</v>
      </c>
      <c r="BJ242" s="1417">
        <f t="shared" si="321"/>
        <v>8560.2850721486557</v>
      </c>
      <c r="BK242" s="1417">
        <f t="shared" si="322"/>
        <v>10724.831291961105</v>
      </c>
      <c r="BL242" s="1417">
        <f t="shared" si="323"/>
        <v>8492.6907110729917</v>
      </c>
      <c r="BM242" s="1417">
        <f t="shared" si="324"/>
        <v>12338.269113298538</v>
      </c>
      <c r="BN242" s="1417">
        <f t="shared" si="325"/>
        <v>15694.599846278865</v>
      </c>
      <c r="BO242" s="1417">
        <f t="shared" si="326"/>
        <v>15586.83121840823</v>
      </c>
      <c r="BP242" s="1417">
        <f t="shared" si="327"/>
        <v>15263.474293856552</v>
      </c>
      <c r="BQ242" s="949"/>
      <c r="BR242" s="950"/>
      <c r="BU242" s="922"/>
      <c r="BV242" s="921"/>
      <c r="BW242" s="921"/>
      <c r="BX242" s="921"/>
    </row>
    <row r="243" spans="2:76" ht="12.75" customHeight="1">
      <c r="B243" s="1080"/>
      <c r="C243" s="1457" t="s">
        <v>678</v>
      </c>
      <c r="D243" s="1189"/>
      <c r="E243" s="1189"/>
      <c r="F243" s="1190"/>
      <c r="G243" s="1612">
        <v>6557.38700888317</v>
      </c>
      <c r="H243" s="1613">
        <v>7054.57307272854</v>
      </c>
      <c r="I243" s="1613">
        <v>8131.2298382658046</v>
      </c>
      <c r="J243" s="1614">
        <v>7228.7968443687932</v>
      </c>
      <c r="K243" s="1612">
        <v>6878.6075683160079</v>
      </c>
      <c r="L243" s="1613">
        <v>7284.5320546195644</v>
      </c>
      <c r="M243" s="1613">
        <v>7779.5784938790375</v>
      </c>
      <c r="N243" s="1614">
        <v>8695.2045434184238</v>
      </c>
      <c r="O243" s="1612">
        <v>9841.700334411802</v>
      </c>
      <c r="P243" s="1613">
        <v>9039.2719380663311</v>
      </c>
      <c r="Q243" s="1613">
        <v>8835.1893477360536</v>
      </c>
      <c r="R243" s="1613">
        <v>8429.9253921288018</v>
      </c>
      <c r="S243" s="1612">
        <v>7789.8114136442509</v>
      </c>
      <c r="T243" s="1613">
        <v>7147.248796830625</v>
      </c>
      <c r="U243" s="1613">
        <v>8031.1736003835267</v>
      </c>
      <c r="V243" s="1613">
        <v>7795.107694833674</v>
      </c>
      <c r="W243" s="1612">
        <v>6166.530696296164</v>
      </c>
      <c r="X243" s="1613">
        <v>8263.5632022788723</v>
      </c>
      <c r="Y243" s="1613">
        <v>10837.129084616699</v>
      </c>
      <c r="Z243" s="1614">
        <v>10859.130824743526</v>
      </c>
      <c r="AA243" s="1612">
        <v>6858.1083928038697</v>
      </c>
      <c r="AB243" s="1613">
        <v>15422.985685691838</v>
      </c>
      <c r="AC243" s="1613">
        <v>16917.689223633119</v>
      </c>
      <c r="AD243" s="1614">
        <v>17146.191788467313</v>
      </c>
      <c r="AE243" s="1612">
        <v>13082.44971352325</v>
      </c>
      <c r="AF243" s="1613">
        <v>13437.831424583155</v>
      </c>
      <c r="AG243" s="1615">
        <v>16998.184607495699</v>
      </c>
      <c r="AH243" s="1616">
        <v>11310.225430871806</v>
      </c>
      <c r="AI243" s="1615">
        <v>9046.2979187077945</v>
      </c>
      <c r="AJ243" s="1615">
        <v>8797.2641070890259</v>
      </c>
      <c r="AK243" s="1615">
        <v>12592.415236425988</v>
      </c>
      <c r="AL243" s="1616">
        <v>10428.152314932511</v>
      </c>
      <c r="AM243" s="1615">
        <v>6682.4698912828535</v>
      </c>
      <c r="AN243" s="1615">
        <v>11257.331929613474</v>
      </c>
      <c r="AO243" s="1615">
        <v>11163.663663663663</v>
      </c>
      <c r="AP243" s="1616">
        <v>9565.4872749844817</v>
      </c>
      <c r="AQ243" s="1615">
        <v>8968.4071460360283</v>
      </c>
      <c r="AR243" s="1615">
        <v>11591.660811253709</v>
      </c>
      <c r="AS243" s="1615">
        <v>11437.093284386061</v>
      </c>
      <c r="AT243" s="1616">
        <v>8324.117177218186</v>
      </c>
      <c r="AU243" s="1615">
        <v>9005.6896599988304</v>
      </c>
      <c r="AV243" s="1615">
        <v>11639.848437998402</v>
      </c>
      <c r="AW243" s="1615">
        <v>11484.6383593504</v>
      </c>
      <c r="AX243" s="1616">
        <v>8358.7213170430405</v>
      </c>
      <c r="AY243" s="1615">
        <v>8883.1264622192248</v>
      </c>
      <c r="AZ243" s="1615">
        <v>11481.435579006858</v>
      </c>
      <c r="BA243" s="1615">
        <v>11328.337836480232</v>
      </c>
      <c r="BB243" s="1847">
        <v>8244.9630539179179</v>
      </c>
      <c r="BC243" s="974"/>
      <c r="BD243" s="974"/>
      <c r="BE243" s="1417">
        <f t="shared" si="316"/>
        <v>7242.9966910615767</v>
      </c>
      <c r="BF243" s="1417">
        <f t="shared" si="317"/>
        <v>7659.4806650582577</v>
      </c>
      <c r="BG243" s="1417">
        <f t="shared" si="318"/>
        <v>9036.5217530857462</v>
      </c>
      <c r="BH243" s="1417">
        <f t="shared" si="319"/>
        <v>7690.8353764230187</v>
      </c>
      <c r="BI243" s="1417">
        <f t="shared" si="320"/>
        <v>9031.5884519838146</v>
      </c>
      <c r="BJ243" s="1417">
        <f t="shared" si="321"/>
        <v>14086.243772649035</v>
      </c>
      <c r="BK243" s="1417">
        <f t="shared" si="322"/>
        <v>13707.172794118478</v>
      </c>
      <c r="BL243" s="1417">
        <f t="shared" si="323"/>
        <v>10216.032394288828</v>
      </c>
      <c r="BM243" s="1417">
        <f t="shared" si="324"/>
        <v>9667.2381898861167</v>
      </c>
      <c r="BN243" s="1417">
        <f t="shared" si="325"/>
        <v>10080.319604723496</v>
      </c>
      <c r="BO243" s="1417">
        <f t="shared" si="326"/>
        <v>10122.224443597668</v>
      </c>
      <c r="BP243" s="1417">
        <f t="shared" si="327"/>
        <v>9984.4657329060592</v>
      </c>
      <c r="BQ243" s="949"/>
      <c r="BR243" s="950"/>
      <c r="BU243" s="922"/>
      <c r="BV243" s="921"/>
      <c r="BW243" s="921"/>
      <c r="BX243" s="921"/>
    </row>
    <row r="244" spans="2:76" ht="12.75" customHeight="1">
      <c r="B244" s="1080"/>
      <c r="C244" s="1457" t="s">
        <v>601</v>
      </c>
      <c r="D244" s="1189"/>
      <c r="E244" s="1189"/>
      <c r="F244" s="1190"/>
      <c r="G244" s="1612">
        <v>7169.0554409439437</v>
      </c>
      <c r="H244" s="1613">
        <v>7640.4485499059529</v>
      </c>
      <c r="I244" s="1613">
        <v>9025.3869993302178</v>
      </c>
      <c r="J244" s="1614">
        <v>7413.0740656652906</v>
      </c>
      <c r="K244" s="1612">
        <v>7669.8052364764089</v>
      </c>
      <c r="L244" s="1613">
        <v>7622.3652447041277</v>
      </c>
      <c r="M244" s="1613">
        <v>8474.1679552486985</v>
      </c>
      <c r="N244" s="1614">
        <v>8622.2045860397502</v>
      </c>
      <c r="O244" s="1612">
        <v>10395.317989886589</v>
      </c>
      <c r="P244" s="1613">
        <v>8857.6301713450721</v>
      </c>
      <c r="Q244" s="1613">
        <v>9886.5109657382072</v>
      </c>
      <c r="R244" s="1613">
        <v>8860.9682958716039</v>
      </c>
      <c r="S244" s="1612">
        <v>8039.5762260747151</v>
      </c>
      <c r="T244" s="1613">
        <v>7560.6867566728806</v>
      </c>
      <c r="U244" s="1613">
        <v>8465.7345865797197</v>
      </c>
      <c r="V244" s="1613">
        <v>8094.5011996556996</v>
      </c>
      <c r="W244" s="1612">
        <v>7151.6799340099105</v>
      </c>
      <c r="X244" s="1613">
        <v>8251.2040516581637</v>
      </c>
      <c r="Y244" s="1613">
        <v>10479.170149283662</v>
      </c>
      <c r="Z244" s="1614">
        <v>13653.53156496323</v>
      </c>
      <c r="AA244" s="1612">
        <v>8207.0387690658226</v>
      </c>
      <c r="AB244" s="1613">
        <v>15499.45605967582</v>
      </c>
      <c r="AC244" s="1613">
        <v>15178.412461854665</v>
      </c>
      <c r="AD244" s="1614">
        <v>19658.072019603624</v>
      </c>
      <c r="AE244" s="1612">
        <v>13822.547494014379</v>
      </c>
      <c r="AF244" s="1613">
        <v>12166.262278237393</v>
      </c>
      <c r="AG244" s="1615">
        <v>15635.007649191331</v>
      </c>
      <c r="AH244" s="1616">
        <v>9544.6541456185332</v>
      </c>
      <c r="AI244" s="1615">
        <v>9801.7076446894607</v>
      </c>
      <c r="AJ244" s="1615">
        <v>8644.1370259993801</v>
      </c>
      <c r="AK244" s="1615">
        <v>11004.438339609598</v>
      </c>
      <c r="AL244" s="1616">
        <v>12310.44340491018</v>
      </c>
      <c r="AM244" s="1615">
        <v>7116.8692303849139</v>
      </c>
      <c r="AN244" s="1615">
        <v>11351.481425778313</v>
      </c>
      <c r="AO244" s="1615">
        <v>11381.381381381379</v>
      </c>
      <c r="AP244" s="1616">
        <v>9497.1446306641828</v>
      </c>
      <c r="AQ244" s="1615">
        <v>10240.121890620401</v>
      </c>
      <c r="AR244" s="1615">
        <v>11655.324608823219</v>
      </c>
      <c r="AS244" s="1615">
        <v>11808.620980409776</v>
      </c>
      <c r="AT244" s="1616">
        <v>8077.2747597348434</v>
      </c>
      <c r="AU244" s="1615">
        <v>10309.484579678321</v>
      </c>
      <c r="AV244" s="1615">
        <v>11734.273342573297</v>
      </c>
      <c r="AW244" s="1615">
        <v>11888.608085447777</v>
      </c>
      <c r="AX244" s="1616">
        <v>8131.9871453469759</v>
      </c>
      <c r="AY244" s="1615">
        <v>10242.624743435623</v>
      </c>
      <c r="AZ244" s="1615">
        <v>11658.173360265939</v>
      </c>
      <c r="BA244" s="1615">
        <v>11811.507199986107</v>
      </c>
      <c r="BB244" s="1847">
        <v>8079.2489774333872</v>
      </c>
      <c r="BC244" s="974"/>
      <c r="BD244" s="974"/>
      <c r="BE244" s="1417">
        <f t="shared" si="316"/>
        <v>7811.9912639613522</v>
      </c>
      <c r="BF244" s="1417">
        <f t="shared" si="317"/>
        <v>8097.1357556172461</v>
      </c>
      <c r="BG244" s="1417">
        <f t="shared" si="318"/>
        <v>9500.1068557103681</v>
      </c>
      <c r="BH244" s="1417">
        <f t="shared" si="319"/>
        <v>8040.124692245754</v>
      </c>
      <c r="BI244" s="1417">
        <f t="shared" si="320"/>
        <v>9883.8964249787423</v>
      </c>
      <c r="BJ244" s="1417">
        <f t="shared" si="321"/>
        <v>14635.744827549981</v>
      </c>
      <c r="BK244" s="1417">
        <f t="shared" si="322"/>
        <v>12792.117891765411</v>
      </c>
      <c r="BL244" s="1417">
        <f t="shared" si="323"/>
        <v>10440.181603802155</v>
      </c>
      <c r="BM244" s="1417">
        <f t="shared" si="324"/>
        <v>9836.719167052197</v>
      </c>
      <c r="BN244" s="1417">
        <f t="shared" si="325"/>
        <v>10445.335559897059</v>
      </c>
      <c r="BO244" s="1417">
        <f t="shared" si="326"/>
        <v>10516.088288261593</v>
      </c>
      <c r="BP244" s="1417">
        <f t="shared" si="327"/>
        <v>10447.888570280264</v>
      </c>
      <c r="BQ244" s="949"/>
      <c r="BR244" s="950"/>
      <c r="BU244" s="922"/>
      <c r="BV244" s="921"/>
      <c r="BW244" s="921"/>
      <c r="BX244" s="921"/>
    </row>
    <row r="245" spans="2:76" ht="12.75" customHeight="1">
      <c r="B245" s="1080"/>
      <c r="C245" s="1457" t="s">
        <v>679</v>
      </c>
      <c r="D245" s="1189"/>
      <c r="E245" s="1189"/>
      <c r="F245" s="1190"/>
      <c r="G245" s="1612">
        <v>5594.4105258064828</v>
      </c>
      <c r="H245" s="1613">
        <v>5980.4576806649147</v>
      </c>
      <c r="I245" s="1613">
        <v>6684.7232199578648</v>
      </c>
      <c r="J245" s="1614">
        <v>5911.4648985987124</v>
      </c>
      <c r="K245" s="1612">
        <v>5617.3159739843395</v>
      </c>
      <c r="L245" s="1613">
        <v>6655.7582528218209</v>
      </c>
      <c r="M245" s="1613">
        <v>7303.4594565022162</v>
      </c>
      <c r="N245" s="1614">
        <v>8538.4108780017341</v>
      </c>
      <c r="O245" s="1612">
        <v>9256.1029733562991</v>
      </c>
      <c r="P245" s="1613">
        <v>8884.5574896313938</v>
      </c>
      <c r="Q245" s="1613">
        <v>8401.9636033328952</v>
      </c>
      <c r="R245" s="1613">
        <v>8108.3969931427564</v>
      </c>
      <c r="S245" s="1612">
        <v>7144.68170956227</v>
      </c>
      <c r="T245" s="1613">
        <v>6923.1901425772967</v>
      </c>
      <c r="U245" s="1613">
        <v>7416.937285038297</v>
      </c>
      <c r="V245" s="1613">
        <v>7186.3638244491658</v>
      </c>
      <c r="W245" s="1612">
        <v>4378.4476589144797</v>
      </c>
      <c r="X245" s="1613">
        <v>8308.8842312669221</v>
      </c>
      <c r="Y245" s="1613">
        <v>10465.996871575519</v>
      </c>
      <c r="Z245" s="1614">
        <v>10914.824746114929</v>
      </c>
      <c r="AA245" s="1612">
        <v>5222.5069289009616</v>
      </c>
      <c r="AB245" s="1613">
        <v>15040.786920718157</v>
      </c>
      <c r="AC245" s="1613">
        <v>16577.780229416356</v>
      </c>
      <c r="AD245" s="1614">
        <v>17065.861366193356</v>
      </c>
      <c r="AE245" s="1612">
        <v>11965.339455583016</v>
      </c>
      <c r="AF245" s="1613">
        <v>13392.335283854029</v>
      </c>
      <c r="AG245" s="1615">
        <v>16617.582565885587</v>
      </c>
      <c r="AH245" s="1616">
        <v>11247.328225526811</v>
      </c>
      <c r="AI245" s="1615">
        <v>8556.6131079873394</v>
      </c>
      <c r="AJ245" s="1615">
        <v>8971.0519258287495</v>
      </c>
      <c r="AK245" s="1615">
        <v>13054.147515117875</v>
      </c>
      <c r="AL245" s="1616">
        <v>9524.2185088378228</v>
      </c>
      <c r="AM245" s="1615">
        <v>5253.5008504221041</v>
      </c>
      <c r="AN245" s="1615">
        <v>9534.7680059708928</v>
      </c>
      <c r="AO245" s="1615">
        <v>8957.9632918886928</v>
      </c>
      <c r="AP245" s="1616">
        <v>8724.870763928775</v>
      </c>
      <c r="AQ245" s="1615">
        <v>10357.798701457919</v>
      </c>
      <c r="AR245" s="1615">
        <v>8488.7960907604192</v>
      </c>
      <c r="AS245" s="1615">
        <v>8528.2593221072202</v>
      </c>
      <c r="AT245" s="1616">
        <v>9517.0351924681836</v>
      </c>
      <c r="AU245" s="1615">
        <v>10049.931204538312</v>
      </c>
      <c r="AV245" s="1615">
        <v>8236.4814359143529</v>
      </c>
      <c r="AW245" s="1615">
        <v>8274.7716915541296</v>
      </c>
      <c r="AX245" s="1616">
        <v>9234.1579241168911</v>
      </c>
      <c r="AY245" s="1615">
        <v>9861.0170236466547</v>
      </c>
      <c r="AZ245" s="1615">
        <v>8081.6556851477762</v>
      </c>
      <c r="BA245" s="1615">
        <v>8119.2261774246881</v>
      </c>
      <c r="BB245" s="1847">
        <v>9060.5782900920312</v>
      </c>
      <c r="BC245" s="974"/>
      <c r="BD245" s="974"/>
      <c r="BE245" s="1417">
        <f t="shared" si="316"/>
        <v>6042.7640812569934</v>
      </c>
      <c r="BF245" s="1417">
        <f t="shared" si="317"/>
        <v>7028.7361403275281</v>
      </c>
      <c r="BG245" s="1417">
        <f t="shared" si="318"/>
        <v>8662.7552648658366</v>
      </c>
      <c r="BH245" s="1417">
        <f t="shared" si="319"/>
        <v>7167.7932404067578</v>
      </c>
      <c r="BI245" s="1417">
        <f t="shared" si="320"/>
        <v>8517.0383769679629</v>
      </c>
      <c r="BJ245" s="1417">
        <f t="shared" si="321"/>
        <v>13476.733861307208</v>
      </c>
      <c r="BK245" s="1417">
        <f t="shared" si="322"/>
        <v>13305.646382712363</v>
      </c>
      <c r="BL245" s="1417">
        <f t="shared" si="323"/>
        <v>10026.507764442948</v>
      </c>
      <c r="BM245" s="1417">
        <f t="shared" si="324"/>
        <v>8117.7757280526166</v>
      </c>
      <c r="BN245" s="1417">
        <f t="shared" si="325"/>
        <v>9222.9723266984365</v>
      </c>
      <c r="BO245" s="1417">
        <f t="shared" si="326"/>
        <v>8948.8355640309201</v>
      </c>
      <c r="BP245" s="1417">
        <f t="shared" si="327"/>
        <v>8780.6192940777873</v>
      </c>
      <c r="BQ245" s="949"/>
      <c r="BR245" s="950"/>
      <c r="BU245" s="922"/>
      <c r="BV245" s="921"/>
      <c r="BW245" s="921"/>
      <c r="BX245" s="921"/>
    </row>
    <row r="246" spans="2:76" ht="12.75" customHeight="1">
      <c r="B246" s="1080"/>
      <c r="C246" s="1457" t="s">
        <v>680</v>
      </c>
      <c r="D246" s="1189"/>
      <c r="E246" s="1189"/>
      <c r="F246" s="1190"/>
      <c r="G246" s="1612">
        <v>6552.7674043199286</v>
      </c>
      <c r="H246" s="1613">
        <v>6476.0723404537666</v>
      </c>
      <c r="I246" s="1613">
        <v>7271.6763952678921</v>
      </c>
      <c r="J246" s="1614">
        <v>8220.4093352115033</v>
      </c>
      <c r="K246" s="1612">
        <v>7979.1747211275315</v>
      </c>
      <c r="L246" s="1613">
        <v>7104.9821374667526</v>
      </c>
      <c r="M246" s="1613">
        <v>7790.7372328055353</v>
      </c>
      <c r="N246" s="1614">
        <v>9201.0167150006782</v>
      </c>
      <c r="O246" s="1612">
        <v>10440.014917886665</v>
      </c>
      <c r="P246" s="1613">
        <v>9560.11803419846</v>
      </c>
      <c r="Q246" s="1613">
        <v>8935.6748974826023</v>
      </c>
      <c r="R246" s="1613">
        <v>8777.6380248240494</v>
      </c>
      <c r="S246" s="1612">
        <v>8794.3099226617105</v>
      </c>
      <c r="T246" s="1613">
        <v>7170.3250164574647</v>
      </c>
      <c r="U246" s="1613">
        <v>7427.6377278135369</v>
      </c>
      <c r="V246" s="1613">
        <v>7463.0119522202085</v>
      </c>
      <c r="W246" s="1612">
        <v>10672.862043942654</v>
      </c>
      <c r="X246" s="1613">
        <v>6748.9575207808848</v>
      </c>
      <c r="Y246" s="1613">
        <v>6693.0721564774667</v>
      </c>
      <c r="Z246" s="1614">
        <v>7928.0928377524915</v>
      </c>
      <c r="AA246" s="1612">
        <v>11594.576778630564</v>
      </c>
      <c r="AB246" s="1613">
        <v>8884.7428686240874</v>
      </c>
      <c r="AC246" s="1613">
        <v>8259.4626536542146</v>
      </c>
      <c r="AD246" s="1614">
        <v>10311.27373307398</v>
      </c>
      <c r="AE246" s="1612">
        <v>11099.393407137786</v>
      </c>
      <c r="AF246" s="1613">
        <v>9992.6370455412834</v>
      </c>
      <c r="AG246" s="1615">
        <v>7829.6864609595132</v>
      </c>
      <c r="AH246" s="1616">
        <v>8265.1158346907469</v>
      </c>
      <c r="AI246" s="1615">
        <v>8517.9614097697577</v>
      </c>
      <c r="AJ246" s="1615">
        <v>7365.7185946531754</v>
      </c>
      <c r="AK246" s="1615">
        <v>7744.3815502968346</v>
      </c>
      <c r="AL246" s="1616">
        <v>9032.4298573449232</v>
      </c>
      <c r="AM246" s="1615">
        <v>10767.751699666062</v>
      </c>
      <c r="AN246" s="1615">
        <v>9068.2920761288733</v>
      </c>
      <c r="AO246" s="1615">
        <v>8780.343398460629</v>
      </c>
      <c r="AP246" s="1616">
        <v>8558.2998276852377</v>
      </c>
      <c r="AQ246" s="1615">
        <v>9141.5772569286164</v>
      </c>
      <c r="AR246" s="1615">
        <v>8061.5434396640903</v>
      </c>
      <c r="AS246" s="1615">
        <v>8098.0895888361283</v>
      </c>
      <c r="AT246" s="1616">
        <v>9879.7162281589626</v>
      </c>
      <c r="AU246" s="1615">
        <v>8972.5976330324702</v>
      </c>
      <c r="AV246" s="1615">
        <v>7912.5279535865184</v>
      </c>
      <c r="AW246" s="1615">
        <v>7948.3985569125425</v>
      </c>
      <c r="AX246" s="1616">
        <v>9697.0923017277073</v>
      </c>
      <c r="AY246" s="1615">
        <v>8822.1145485094949</v>
      </c>
      <c r="AZ246" s="1615">
        <v>7779.8237288426817</v>
      </c>
      <c r="BA246" s="1615">
        <v>7815.092731689896</v>
      </c>
      <c r="BB246" s="1847">
        <v>9534.4584224266036</v>
      </c>
      <c r="BC246" s="974"/>
      <c r="BD246" s="974"/>
      <c r="BE246" s="1417">
        <f t="shared" si="316"/>
        <v>7130.2313688132726</v>
      </c>
      <c r="BF246" s="1417">
        <f t="shared" si="317"/>
        <v>8018.9777016001244</v>
      </c>
      <c r="BG246" s="1417">
        <f t="shared" si="318"/>
        <v>9428.3614685979446</v>
      </c>
      <c r="BH246" s="1417">
        <f t="shared" si="319"/>
        <v>7713.8211547882302</v>
      </c>
      <c r="BI246" s="1417">
        <f t="shared" si="320"/>
        <v>8010.746139738374</v>
      </c>
      <c r="BJ246" s="1417">
        <f t="shared" si="321"/>
        <v>9762.5140084957129</v>
      </c>
      <c r="BK246" s="1417">
        <f t="shared" si="322"/>
        <v>9296.7081870823331</v>
      </c>
      <c r="BL246" s="1417">
        <f t="shared" si="323"/>
        <v>8165.1228530161725</v>
      </c>
      <c r="BM246" s="1417">
        <f t="shared" si="324"/>
        <v>9293.6717504852004</v>
      </c>
      <c r="BN246" s="1417">
        <f t="shared" si="325"/>
        <v>8795.2316283969485</v>
      </c>
      <c r="BO246" s="1417">
        <f t="shared" si="326"/>
        <v>8632.6541113148105</v>
      </c>
      <c r="BP246" s="1417">
        <f t="shared" si="327"/>
        <v>8487.8723578671688</v>
      </c>
      <c r="BQ246" s="949"/>
      <c r="BR246" s="950"/>
      <c r="BU246" s="922"/>
      <c r="BV246" s="921"/>
      <c r="BW246" s="921"/>
      <c r="BX246" s="921"/>
    </row>
    <row r="247" spans="2:76" ht="12.75" customHeight="1">
      <c r="B247" s="1080"/>
      <c r="C247" s="1457" t="s">
        <v>681</v>
      </c>
      <c r="D247" s="1189"/>
      <c r="E247" s="1189"/>
      <c r="F247" s="1190"/>
      <c r="G247" s="1612">
        <v>5395.6504855170397</v>
      </c>
      <c r="H247" s="1613">
        <v>5100.5900565632073</v>
      </c>
      <c r="I247" s="1613">
        <v>6006.74992147799</v>
      </c>
      <c r="J247" s="1614">
        <v>5317.3518126357339</v>
      </c>
      <c r="K247" s="1612">
        <v>6734.0496191414031</v>
      </c>
      <c r="L247" s="1613">
        <v>5501.4743918965405</v>
      </c>
      <c r="M247" s="1613">
        <v>6268.4758752189118</v>
      </c>
      <c r="N247" s="1614">
        <v>5985.7267911888366</v>
      </c>
      <c r="O247" s="1612">
        <v>9477.3896272805832</v>
      </c>
      <c r="P247" s="1613">
        <v>8173.946883501706</v>
      </c>
      <c r="Q247" s="1613">
        <v>8259.4192392880977</v>
      </c>
      <c r="R247" s="1613">
        <v>6410.7661597259648</v>
      </c>
      <c r="S247" s="1612">
        <v>7790.1968554542191</v>
      </c>
      <c r="T247" s="1613">
        <v>5959.6264930636416</v>
      </c>
      <c r="U247" s="1613">
        <v>6840.5607736665088</v>
      </c>
      <c r="V247" s="1613">
        <v>6525.372318959221</v>
      </c>
      <c r="W247" s="1612">
        <v>9013.981977331181</v>
      </c>
      <c r="X247" s="1613">
        <v>5435.4274567969042</v>
      </c>
      <c r="Y247" s="1613">
        <v>6191.277648456301</v>
      </c>
      <c r="Z247" s="1614">
        <v>6850.9884407370319</v>
      </c>
      <c r="AA247" s="1612">
        <v>10265.602875410354</v>
      </c>
      <c r="AB247" s="1613">
        <v>6715.6093086897836</v>
      </c>
      <c r="AC247" s="1613">
        <v>7664.0265319712089</v>
      </c>
      <c r="AD247" s="1614">
        <v>9225.6308062235858</v>
      </c>
      <c r="AE247" s="1612">
        <v>9673.625167828357</v>
      </c>
      <c r="AF247" s="1613">
        <v>8570.6534203356659</v>
      </c>
      <c r="AG247" s="1615">
        <v>7452.1855165401403</v>
      </c>
      <c r="AH247" s="1616">
        <v>7408.3223776683062</v>
      </c>
      <c r="AI247" s="1615">
        <v>7667.4563966200603</v>
      </c>
      <c r="AJ247" s="1615">
        <v>6356.9074135752089</v>
      </c>
      <c r="AK247" s="1615">
        <v>6365.0018649239109</v>
      </c>
      <c r="AL247" s="1616">
        <v>7895.7944693923155</v>
      </c>
      <c r="AM247" s="1615">
        <v>8227.0666796054647</v>
      </c>
      <c r="AN247" s="1615">
        <v>7395.1984077621601</v>
      </c>
      <c r="AO247" s="1615">
        <v>7619.8934280639423</v>
      </c>
      <c r="AP247" s="1616">
        <v>7070.6490522688118</v>
      </c>
      <c r="AQ247" s="1615">
        <v>9417.0466461005399</v>
      </c>
      <c r="AR247" s="1615">
        <v>7556.0461755771757</v>
      </c>
      <c r="AS247" s="1615">
        <v>7734.2070510855065</v>
      </c>
      <c r="AT247" s="1616">
        <v>6746.2524824277207</v>
      </c>
      <c r="AU247" s="1615">
        <v>9420.6351919674853</v>
      </c>
      <c r="AV247" s="1615">
        <v>7558.9255515952455</v>
      </c>
      <c r="AW247" s="1615">
        <v>7737.1543187151901</v>
      </c>
      <c r="AX247" s="1616">
        <v>6748.8232710595485</v>
      </c>
      <c r="AY247" s="1615">
        <v>9243.941182160137</v>
      </c>
      <c r="AZ247" s="1615">
        <v>7417.1498816610774</v>
      </c>
      <c r="BA247" s="1615">
        <v>7592.0357791248134</v>
      </c>
      <c r="BB247" s="1847">
        <v>6622.2419290433099</v>
      </c>
      <c r="BC247" s="974"/>
      <c r="BD247" s="974"/>
      <c r="BE247" s="1417">
        <f t="shared" si="316"/>
        <v>5455.0855690484923</v>
      </c>
      <c r="BF247" s="1417">
        <f t="shared" si="317"/>
        <v>6122.4316693614228</v>
      </c>
      <c r="BG247" s="1417">
        <f t="shared" si="318"/>
        <v>8080.3804774490882</v>
      </c>
      <c r="BH247" s="1417">
        <f t="shared" si="319"/>
        <v>6778.9391102858972</v>
      </c>
      <c r="BI247" s="1417">
        <f t="shared" si="320"/>
        <v>6872.9188808303552</v>
      </c>
      <c r="BJ247" s="1417">
        <f t="shared" si="321"/>
        <v>8467.717380573733</v>
      </c>
      <c r="BK247" s="1417">
        <f t="shared" si="322"/>
        <v>8276.1966205931167</v>
      </c>
      <c r="BL247" s="1417">
        <f t="shared" si="323"/>
        <v>7071.2900361278744</v>
      </c>
      <c r="BM247" s="1417">
        <f t="shared" si="324"/>
        <v>7578.201891925095</v>
      </c>
      <c r="BN247" s="1417">
        <f t="shared" si="325"/>
        <v>7863.3880887977357</v>
      </c>
      <c r="BO247" s="1417">
        <f t="shared" si="326"/>
        <v>7866.3845833343676</v>
      </c>
      <c r="BP247" s="1417">
        <f t="shared" si="327"/>
        <v>7718.8421929973347</v>
      </c>
      <c r="BQ247" s="949"/>
      <c r="BR247" s="950"/>
      <c r="BU247" s="922"/>
      <c r="BV247" s="921"/>
      <c r="BW247" s="921"/>
      <c r="BX247" s="921"/>
    </row>
    <row r="248" spans="2:76" ht="12.75" customHeight="1">
      <c r="B248" s="1080"/>
      <c r="C248" s="1457" t="s">
        <v>682</v>
      </c>
      <c r="D248" s="1189"/>
      <c r="E248" s="1189"/>
      <c r="F248" s="1190"/>
      <c r="G248" s="1612">
        <v>6850.7817272711591</v>
      </c>
      <c r="H248" s="1613">
        <v>6621.032095301849</v>
      </c>
      <c r="I248" s="1613">
        <v>7456.0304454809211</v>
      </c>
      <c r="J248" s="1614">
        <v>6786.9757708018869</v>
      </c>
      <c r="K248" s="1612">
        <v>7103.6316586257462</v>
      </c>
      <c r="L248" s="1613">
        <v>6489.3612351463817</v>
      </c>
      <c r="M248" s="1613">
        <v>7652.9516182493453</v>
      </c>
      <c r="N248" s="1614">
        <v>7018.4711655947503</v>
      </c>
      <c r="O248" s="1612">
        <v>7952.8432404796031</v>
      </c>
      <c r="P248" s="1613">
        <v>7515.6719478298664</v>
      </c>
      <c r="Q248" s="1613">
        <v>7355.2985870752173</v>
      </c>
      <c r="R248" s="1613">
        <v>6558.0613022094312</v>
      </c>
      <c r="S248" s="1612">
        <v>6674.9226754832425</v>
      </c>
      <c r="T248" s="1613">
        <v>6638.422412018157</v>
      </c>
      <c r="U248" s="1613">
        <v>7223.9917476319215</v>
      </c>
      <c r="V248" s="1613">
        <v>7084.8548714796698</v>
      </c>
      <c r="W248" s="1612">
        <v>6140.4918444926798</v>
      </c>
      <c r="X248" s="1613">
        <v>6818.4558455411725</v>
      </c>
      <c r="Y248" s="1613">
        <v>7269.96105521761</v>
      </c>
      <c r="Z248" s="1614">
        <v>6682.661837208123</v>
      </c>
      <c r="AA248" s="1612">
        <v>7652.4945449900451</v>
      </c>
      <c r="AB248" s="1613">
        <v>7888.8594888397292</v>
      </c>
      <c r="AC248" s="1613">
        <v>7345.5237671149316</v>
      </c>
      <c r="AD248" s="1614">
        <v>7529.6000602417816</v>
      </c>
      <c r="AE248" s="1612">
        <v>6964.2929599013441</v>
      </c>
      <c r="AF248" s="1613">
        <v>6980.8570592020815</v>
      </c>
      <c r="AG248" s="1615">
        <v>8164.8402063845024</v>
      </c>
      <c r="AH248" s="1616">
        <v>6140.7448147131954</v>
      </c>
      <c r="AI248" s="1615">
        <v>6430.7867145184991</v>
      </c>
      <c r="AJ248" s="1615">
        <v>7962.6791325077083</v>
      </c>
      <c r="AK248" s="1615">
        <v>7713.7262070746765</v>
      </c>
      <c r="AL248" s="1616">
        <v>6923.2312215922902</v>
      </c>
      <c r="AM248" s="1615">
        <v>6480.3957229260004</v>
      </c>
      <c r="AN248" s="1615">
        <v>8543.5526806816761</v>
      </c>
      <c r="AO248" s="1615">
        <v>10269.102427471877</v>
      </c>
      <c r="AP248" s="1616">
        <v>6963.1533601378515</v>
      </c>
      <c r="AQ248" s="1615">
        <v>7207.7953169845769</v>
      </c>
      <c r="AR248" s="1615">
        <v>7543.9435635063273</v>
      </c>
      <c r="AS248" s="1615">
        <v>9213.4837628008991</v>
      </c>
      <c r="AT248" s="1616">
        <v>6685.4577110965065</v>
      </c>
      <c r="AU248" s="1615">
        <v>7169.198552229147</v>
      </c>
      <c r="AV248" s="1615">
        <v>7503.5467705559522</v>
      </c>
      <c r="AW248" s="1615">
        <v>9164.1468088875699</v>
      </c>
      <c r="AX248" s="1616">
        <v>6649.6579932619125</v>
      </c>
      <c r="AY248" s="1615">
        <v>6934.3630362278864</v>
      </c>
      <c r="AZ248" s="1615">
        <v>7257.7592861020321</v>
      </c>
      <c r="BA248" s="1615">
        <v>8863.9644204520755</v>
      </c>
      <c r="BB248" s="1847">
        <v>6431.8406382670464</v>
      </c>
      <c r="BC248" s="974"/>
      <c r="BD248" s="974"/>
      <c r="BE248" s="1417">
        <f t="shared" si="316"/>
        <v>6928.7050097139545</v>
      </c>
      <c r="BF248" s="1417">
        <f t="shared" si="317"/>
        <v>7066.1039194040559</v>
      </c>
      <c r="BG248" s="1417">
        <f t="shared" si="318"/>
        <v>7345.4687693985288</v>
      </c>
      <c r="BH248" s="1417">
        <f t="shared" si="319"/>
        <v>6905.5479266532475</v>
      </c>
      <c r="BI248" s="1417">
        <f t="shared" si="320"/>
        <v>6727.8926456148965</v>
      </c>
      <c r="BJ248" s="1417">
        <f t="shared" si="321"/>
        <v>7604.1194652966215</v>
      </c>
      <c r="BK248" s="1417">
        <f t="shared" si="322"/>
        <v>7062.6837600502804</v>
      </c>
      <c r="BL248" s="1417">
        <f t="shared" si="323"/>
        <v>7257.6058189232936</v>
      </c>
      <c r="BM248" s="1417">
        <f t="shared" si="324"/>
        <v>8064.0510478043507</v>
      </c>
      <c r="BN248" s="1417">
        <f t="shared" si="325"/>
        <v>7662.6700885970777</v>
      </c>
      <c r="BO248" s="1417">
        <f t="shared" si="326"/>
        <v>7621.6375312336459</v>
      </c>
      <c r="BP248" s="1417">
        <f t="shared" si="327"/>
        <v>7371.9818452622603</v>
      </c>
      <c r="BQ248" s="949"/>
      <c r="BR248" s="950"/>
      <c r="BU248" s="922"/>
      <c r="BV248" s="921"/>
      <c r="BW248" s="921"/>
      <c r="BX248" s="921"/>
    </row>
    <row r="249" spans="2:76" ht="12.75" customHeight="1">
      <c r="B249" s="1080"/>
      <c r="C249" s="1457" t="s">
        <v>683</v>
      </c>
      <c r="D249" s="1189"/>
      <c r="E249" s="1189"/>
      <c r="F249" s="1190"/>
      <c r="G249" s="1612">
        <v>6846.1079969549173</v>
      </c>
      <c r="H249" s="1613">
        <v>6579.7184516400084</v>
      </c>
      <c r="I249" s="1613">
        <v>7383.37060324907</v>
      </c>
      <c r="J249" s="1614">
        <v>6769.6404409553197</v>
      </c>
      <c r="K249" s="1612">
        <v>7202.0850094799453</v>
      </c>
      <c r="L249" s="1613">
        <v>6420.214829248016</v>
      </c>
      <c r="M249" s="1613">
        <v>7575.5365463257504</v>
      </c>
      <c r="N249" s="1614">
        <v>7086.1451129407897</v>
      </c>
      <c r="O249" s="1612">
        <v>7943.4548333544453</v>
      </c>
      <c r="P249" s="1613">
        <v>7525.8237354826097</v>
      </c>
      <c r="Q249" s="1613">
        <v>7232.7025992394247</v>
      </c>
      <c r="R249" s="1613">
        <v>6745.6184695244247</v>
      </c>
      <c r="S249" s="1612">
        <v>6668.1229270336653</v>
      </c>
      <c r="T249" s="1613">
        <v>6535.4293137657605</v>
      </c>
      <c r="U249" s="1613">
        <v>7147.865663393176</v>
      </c>
      <c r="V249" s="1613">
        <v>6981.8886000345046</v>
      </c>
      <c r="W249" s="1612">
        <v>6182.9907384190228</v>
      </c>
      <c r="X249" s="1613">
        <v>6785.8365945503001</v>
      </c>
      <c r="Y249" s="1613">
        <v>7136.6442103725694</v>
      </c>
      <c r="Z249" s="1614">
        <v>6702.3457070216837</v>
      </c>
      <c r="AA249" s="1612">
        <v>7664.6160360806507</v>
      </c>
      <c r="AB249" s="1613">
        <v>7048.9520285495655</v>
      </c>
      <c r="AC249" s="1613">
        <v>7197.670615244313</v>
      </c>
      <c r="AD249" s="1614">
        <v>7101.8354351902599</v>
      </c>
      <c r="AE249" s="1612">
        <v>6945.1239071268637</v>
      </c>
      <c r="AF249" s="1613">
        <v>6861.101172272105</v>
      </c>
      <c r="AG249" s="1615">
        <v>7251.121749054284</v>
      </c>
      <c r="AH249" s="1616">
        <v>6022.5093589603321</v>
      </c>
      <c r="AI249" s="1615">
        <v>5878.8543969869743</v>
      </c>
      <c r="AJ249" s="1615">
        <v>6363.7110064538647</v>
      </c>
      <c r="AK249" s="1615">
        <v>7360.8455434858543</v>
      </c>
      <c r="AL249" s="1616">
        <v>6251.0403871722756</v>
      </c>
      <c r="AM249" s="1615">
        <v>6199.6866590289592</v>
      </c>
      <c r="AN249" s="1615">
        <v>7716.3353650951622</v>
      </c>
      <c r="AO249" s="1615">
        <v>10174.371817643576</v>
      </c>
      <c r="AP249" s="1616">
        <v>6681.7059161401476</v>
      </c>
      <c r="AQ249" s="1615">
        <v>6960.4803932414106</v>
      </c>
      <c r="AR249" s="1615">
        <v>7040.2791244410537</v>
      </c>
      <c r="AS249" s="1615">
        <v>8992.7280873911477</v>
      </c>
      <c r="AT249" s="1616">
        <v>6121.8589841224284</v>
      </c>
      <c r="AU249" s="1615">
        <v>6833.8195343448451</v>
      </c>
      <c r="AV249" s="1615">
        <v>6912.1661566006269</v>
      </c>
      <c r="AW249" s="1615">
        <v>8829.0861260578167</v>
      </c>
      <c r="AX249" s="1616">
        <v>6010.4586391511948</v>
      </c>
      <c r="AY249" s="1615">
        <v>6536.1986425108153</v>
      </c>
      <c r="AZ249" s="1615">
        <v>6611.1331770650186</v>
      </c>
      <c r="BA249" s="1615">
        <v>8444.5690234754893</v>
      </c>
      <c r="BB249" s="1847">
        <v>5748.6960843272727</v>
      </c>
      <c r="BC249" s="974"/>
      <c r="BD249" s="974"/>
      <c r="BE249" s="1417">
        <f t="shared" si="316"/>
        <v>6894.7093731998284</v>
      </c>
      <c r="BF249" s="1417">
        <f t="shared" si="317"/>
        <v>7070.995374498626</v>
      </c>
      <c r="BG249" s="1417">
        <f t="shared" si="318"/>
        <v>7361.8999094002265</v>
      </c>
      <c r="BH249" s="1417">
        <f t="shared" si="319"/>
        <v>6833.3266260567761</v>
      </c>
      <c r="BI249" s="1417">
        <f t="shared" si="320"/>
        <v>6701.9543125908931</v>
      </c>
      <c r="BJ249" s="1417">
        <f t="shared" si="321"/>
        <v>7253.2685287661971</v>
      </c>
      <c r="BK249" s="1417">
        <f t="shared" si="322"/>
        <v>6769.9640468533962</v>
      </c>
      <c r="BL249" s="1417">
        <f t="shared" si="323"/>
        <v>6463.6128335247431</v>
      </c>
      <c r="BM249" s="1417">
        <f t="shared" si="324"/>
        <v>7693.0249394769617</v>
      </c>
      <c r="BN249" s="1417">
        <f t="shared" si="325"/>
        <v>7278.8366472990101</v>
      </c>
      <c r="BO249" s="1417">
        <f t="shared" si="326"/>
        <v>7146.3826140386209</v>
      </c>
      <c r="BP249" s="1417">
        <f t="shared" si="327"/>
        <v>6835.1492318446481</v>
      </c>
      <c r="BQ249" s="949"/>
      <c r="BR249" s="950"/>
      <c r="BU249" s="922"/>
      <c r="BV249" s="921"/>
      <c r="BW249" s="921"/>
      <c r="BX249" s="921"/>
    </row>
    <row r="250" spans="2:76" ht="12.75" customHeight="1">
      <c r="B250" s="1080"/>
      <c r="C250" s="1457" t="s">
        <v>684</v>
      </c>
      <c r="D250" s="1189"/>
      <c r="E250" s="1189"/>
      <c r="F250" s="1190"/>
      <c r="G250" s="1612">
        <v>6830.6037324407944</v>
      </c>
      <c r="H250" s="1613">
        <v>6562.8970251557994</v>
      </c>
      <c r="I250" s="1613">
        <v>7414.7110582687419</v>
      </c>
      <c r="J250" s="1614">
        <v>6679.1141503791168</v>
      </c>
      <c r="K250" s="1612">
        <v>7138.8046808257704</v>
      </c>
      <c r="L250" s="1613">
        <v>6258.087014167384</v>
      </c>
      <c r="M250" s="1613">
        <v>7523.249636289559</v>
      </c>
      <c r="N250" s="1614">
        <v>7174.579060258885</v>
      </c>
      <c r="O250" s="1612">
        <v>7873.2744080347829</v>
      </c>
      <c r="P250" s="1613">
        <v>7431.2884796307553</v>
      </c>
      <c r="Q250" s="1613">
        <v>7334.1288032927387</v>
      </c>
      <c r="R250" s="1613">
        <v>6585.3989518402341</v>
      </c>
      <c r="S250" s="1612">
        <v>6652.2606369130135</v>
      </c>
      <c r="T250" s="1613">
        <v>6539.4547394260053</v>
      </c>
      <c r="U250" s="1613">
        <v>7184.9101755550391</v>
      </c>
      <c r="V250" s="1613">
        <v>6986.060144475985</v>
      </c>
      <c r="W250" s="1612">
        <v>6142.7701878695543</v>
      </c>
      <c r="X250" s="1613">
        <v>6706.9196289195888</v>
      </c>
      <c r="Y250" s="1613">
        <v>7191.2801571027721</v>
      </c>
      <c r="Z250" s="1614">
        <v>6691.3524756882343</v>
      </c>
      <c r="AA250" s="1612">
        <v>7683.5517405383844</v>
      </c>
      <c r="AB250" s="1613">
        <v>7477.9551606525392</v>
      </c>
      <c r="AC250" s="1613">
        <v>7273.2045800322394</v>
      </c>
      <c r="AD250" s="1614">
        <v>7297.8688266327545</v>
      </c>
      <c r="AE250" s="1612">
        <v>6825.5682022125657</v>
      </c>
      <c r="AF250" s="1613">
        <v>6812.7741649171348</v>
      </c>
      <c r="AG250" s="1615">
        <v>7454.9666094076501</v>
      </c>
      <c r="AH250" s="1616">
        <v>6130.1227783855711</v>
      </c>
      <c r="AI250" s="1615">
        <v>5895.9354557555907</v>
      </c>
      <c r="AJ250" s="1615">
        <v>7064.5603116460243</v>
      </c>
      <c r="AK250" s="1615">
        <v>7856.3102926990641</v>
      </c>
      <c r="AL250" s="1616">
        <v>6693.0932220303657</v>
      </c>
      <c r="AM250" s="1615">
        <v>6308.6390155305817</v>
      </c>
      <c r="AN250" s="1615">
        <v>8300.9851971638291</v>
      </c>
      <c r="AO250" s="1615">
        <v>10559.214920071048</v>
      </c>
      <c r="AP250" s="1616">
        <v>6991.8724870763926</v>
      </c>
      <c r="AQ250" s="1615">
        <v>7308.293740592273</v>
      </c>
      <c r="AR250" s="1615">
        <v>7573.1759724842441</v>
      </c>
      <c r="AS250" s="1615">
        <v>9344.5082187459211</v>
      </c>
      <c r="AT250" s="1616">
        <v>6521.5722220472508</v>
      </c>
      <c r="AU250" s="1615">
        <v>7193.750633657809</v>
      </c>
      <c r="AV250" s="1615">
        <v>7454.4813583868809</v>
      </c>
      <c r="AW250" s="1615">
        <v>9198.0514612397492</v>
      </c>
      <c r="AX250" s="1616">
        <v>6419.3594250626784</v>
      </c>
      <c r="AY250" s="1615">
        <v>6930.4910839990544</v>
      </c>
      <c r="AZ250" s="1615">
        <v>7181.6802139926585</v>
      </c>
      <c r="BA250" s="1615">
        <v>8861.4433400053931</v>
      </c>
      <c r="BB250" s="1847">
        <v>6184.4391786709302</v>
      </c>
      <c r="BC250" s="974"/>
      <c r="BD250" s="974"/>
      <c r="BE250" s="1417">
        <f t="shared" si="316"/>
        <v>6871.8314915611136</v>
      </c>
      <c r="BF250" s="1417">
        <f t="shared" si="317"/>
        <v>7023.6800978853998</v>
      </c>
      <c r="BG250" s="1417">
        <f t="shared" si="318"/>
        <v>7306.0226606996284</v>
      </c>
      <c r="BH250" s="1417">
        <f t="shared" si="319"/>
        <v>6840.6714240925112</v>
      </c>
      <c r="BI250" s="1417">
        <f t="shared" si="320"/>
        <v>6683.080612395037</v>
      </c>
      <c r="BJ250" s="1417">
        <f t="shared" si="321"/>
        <v>7433.1450769639796</v>
      </c>
      <c r="BK250" s="1417">
        <f t="shared" si="322"/>
        <v>6805.8579387307309</v>
      </c>
      <c r="BL250" s="1417">
        <f t="shared" si="323"/>
        <v>6877.4748205327614</v>
      </c>
      <c r="BM250" s="1417">
        <f t="shared" si="324"/>
        <v>8040.1779049604629</v>
      </c>
      <c r="BN250" s="1417">
        <f t="shared" si="325"/>
        <v>7686.8875384674229</v>
      </c>
      <c r="BO250" s="1417">
        <f t="shared" si="326"/>
        <v>7566.4107195867791</v>
      </c>
      <c r="BP250" s="1417">
        <f t="shared" si="327"/>
        <v>7289.5134541670095</v>
      </c>
      <c r="BQ250" s="949"/>
      <c r="BR250" s="950"/>
      <c r="BU250" s="922"/>
      <c r="BV250" s="921"/>
      <c r="BW250" s="921"/>
      <c r="BX250" s="921"/>
    </row>
    <row r="251" spans="2:76" ht="12.75" customHeight="1">
      <c r="B251" s="1080"/>
      <c r="C251" s="1457" t="s">
        <v>685</v>
      </c>
      <c r="D251" s="1189"/>
      <c r="E251" s="1189"/>
      <c r="F251" s="1190"/>
      <c r="G251" s="1612">
        <v>6551.2481776158975</v>
      </c>
      <c r="H251" s="1613">
        <v>6271.3601770080304</v>
      </c>
      <c r="I251" s="1613">
        <v>7021.4112476857217</v>
      </c>
      <c r="J251" s="1614">
        <v>6733.6908270051736</v>
      </c>
      <c r="K251" s="1612">
        <v>4947.8024200898235</v>
      </c>
      <c r="L251" s="1613">
        <v>3639.4677482772172</v>
      </c>
      <c r="M251" s="1613">
        <v>5747.6866885726586</v>
      </c>
      <c r="N251" s="1614">
        <v>6628.5228267586781</v>
      </c>
      <c r="O251" s="1612">
        <v>7140.6532375369161</v>
      </c>
      <c r="P251" s="1613">
        <v>6382.371966804455</v>
      </c>
      <c r="Q251" s="1613">
        <v>6483.5540521088269</v>
      </c>
      <c r="R251" s="1613">
        <v>6726.4830833685282</v>
      </c>
      <c r="S251" s="1612">
        <v>7205.7973591784121</v>
      </c>
      <c r="T251" s="1613">
        <v>6357.537844012214</v>
      </c>
      <c r="U251" s="1613">
        <v>6423.4820897102254</v>
      </c>
      <c r="V251" s="1613">
        <v>7229.6977497861471</v>
      </c>
      <c r="W251" s="1612">
        <v>6790.8520186587984</v>
      </c>
      <c r="X251" s="1613">
        <v>6349.6655319918109</v>
      </c>
      <c r="Y251" s="1613">
        <v>7036.4214757575519</v>
      </c>
      <c r="Z251" s="1614">
        <v>6665.5421283905716</v>
      </c>
      <c r="AA251" s="1612">
        <v>7686.8419302083648</v>
      </c>
      <c r="AB251" s="1613">
        <v>7549.5235262753986</v>
      </c>
      <c r="AC251" s="1613">
        <v>7870.964586340303</v>
      </c>
      <c r="AD251" s="1614">
        <v>7947.0472842148192</v>
      </c>
      <c r="AE251" s="1612">
        <v>8041.4196020612753</v>
      </c>
      <c r="AF251" s="1613">
        <v>7252.5359380326045</v>
      </c>
      <c r="AG251" s="1615">
        <v>7589.9916495196767</v>
      </c>
      <c r="AH251" s="1616">
        <v>7054.7193373314476</v>
      </c>
      <c r="AI251" s="1615">
        <v>6592.9726251884122</v>
      </c>
      <c r="AJ251" s="1615">
        <v>6874.6729901740318</v>
      </c>
      <c r="AK251" s="1615">
        <v>7377.5104880100744</v>
      </c>
      <c r="AL251" s="1616">
        <v>5402.5632811176656</v>
      </c>
      <c r="AM251" s="1615">
        <v>6081.509077044283</v>
      </c>
      <c r="AN251" s="1615">
        <v>10853.739245532757</v>
      </c>
      <c r="AO251" s="1615">
        <v>10437.986082685222</v>
      </c>
      <c r="AP251" s="1616">
        <v>8954.2936288088658</v>
      </c>
      <c r="AQ251" s="1615">
        <v>9568.8121647134849</v>
      </c>
      <c r="AR251" s="1615">
        <v>12135.565714038688</v>
      </c>
      <c r="AS251" s="1615">
        <v>12432.237568226872</v>
      </c>
      <c r="AT251" s="1616">
        <v>9155.3108828586155</v>
      </c>
      <c r="AU251" s="1615">
        <v>10477.444338766418</v>
      </c>
      <c r="AV251" s="1615">
        <v>13287.930842363825</v>
      </c>
      <c r="AW251" s="1615">
        <v>13612.773966633513</v>
      </c>
      <c r="AX251" s="1616">
        <v>10024.677935782822</v>
      </c>
      <c r="AY251" s="1615">
        <v>10870.28187437005</v>
      </c>
      <c r="AZ251" s="1615">
        <v>13786.143749691979</v>
      </c>
      <c r="BA251" s="1615">
        <v>14123.166425412372</v>
      </c>
      <c r="BB251" s="1847">
        <v>10400.539610460706</v>
      </c>
      <c r="BC251" s="974"/>
      <c r="BD251" s="974"/>
      <c r="BE251" s="1417">
        <f t="shared" si="316"/>
        <v>6644.4276073287056</v>
      </c>
      <c r="BF251" s="1417">
        <f t="shared" si="317"/>
        <v>5240.8699209245942</v>
      </c>
      <c r="BG251" s="1417">
        <f t="shared" si="318"/>
        <v>6683.2655849546809</v>
      </c>
      <c r="BH251" s="1417">
        <f t="shared" si="319"/>
        <v>6804.1287606717497</v>
      </c>
      <c r="BI251" s="1417">
        <f t="shared" si="320"/>
        <v>6710.6202886996825</v>
      </c>
      <c r="BJ251" s="1417">
        <f t="shared" si="321"/>
        <v>7763.5943317597212</v>
      </c>
      <c r="BK251" s="1417">
        <f t="shared" si="322"/>
        <v>7484.6666317362515</v>
      </c>
      <c r="BL251" s="1417">
        <f t="shared" si="323"/>
        <v>6561.9298461225462</v>
      </c>
      <c r="BM251" s="1417">
        <f t="shared" si="324"/>
        <v>9081.8820085177831</v>
      </c>
      <c r="BN251" s="1417">
        <f t="shared" si="325"/>
        <v>10822.981582459415</v>
      </c>
      <c r="BO251" s="1417">
        <f t="shared" si="326"/>
        <v>11850.706770886643</v>
      </c>
      <c r="BP251" s="1417">
        <f t="shared" si="327"/>
        <v>12295.032914983778</v>
      </c>
      <c r="BQ251" s="949"/>
      <c r="BR251" s="950"/>
      <c r="BU251" s="922"/>
      <c r="BV251" s="921"/>
      <c r="BW251" s="921"/>
      <c r="BX251" s="921"/>
    </row>
    <row r="252" spans="2:76" ht="12.75" customHeight="1">
      <c r="B252" s="1080"/>
      <c r="C252" s="1457" t="s">
        <v>686</v>
      </c>
      <c r="D252" s="1189"/>
      <c r="E252" s="1189"/>
      <c r="F252" s="1190"/>
      <c r="G252" s="1612">
        <v>7774.7039121401549</v>
      </c>
      <c r="H252" s="1613">
        <v>4421.426097331675</v>
      </c>
      <c r="I252" s="1613">
        <v>6156.2722201020406</v>
      </c>
      <c r="J252" s="1614">
        <v>7002.5167489617788</v>
      </c>
      <c r="K252" s="1612">
        <v>4589.0510511069697</v>
      </c>
      <c r="L252" s="1613">
        <v>2411.1346788076098</v>
      </c>
      <c r="M252" s="1613">
        <v>5490.4974244869181</v>
      </c>
      <c r="N252" s="1614">
        <v>6615.8727095483928</v>
      </c>
      <c r="O252" s="1612">
        <v>7046.3802040246701</v>
      </c>
      <c r="P252" s="1613">
        <v>5518.5767411822817</v>
      </c>
      <c r="Q252" s="1613">
        <v>6377.5206167201122</v>
      </c>
      <c r="R252" s="1613">
        <v>7344.081803590022</v>
      </c>
      <c r="S252" s="1612">
        <v>9311.2686731067824</v>
      </c>
      <c r="T252" s="1613">
        <v>7056.6794179267672</v>
      </c>
      <c r="U252" s="1613">
        <v>8597.9551187672805</v>
      </c>
      <c r="V252" s="1613">
        <v>9033.2153415300436</v>
      </c>
      <c r="W252" s="1612">
        <v>7778.1824249044994</v>
      </c>
      <c r="X252" s="1613">
        <v>4321.8647012602933</v>
      </c>
      <c r="Y252" s="1613">
        <v>7399.6643648541531</v>
      </c>
      <c r="Z252" s="1614">
        <v>8079.6050793482691</v>
      </c>
      <c r="AA252" s="1612">
        <v>8597.8421847930604</v>
      </c>
      <c r="AB252" s="1613">
        <v>9043.6082365961338</v>
      </c>
      <c r="AC252" s="1613">
        <v>9384.1581076756538</v>
      </c>
      <c r="AD252" s="1614">
        <v>10244.540848251741</v>
      </c>
      <c r="AE252" s="1612">
        <v>9931.6699639321978</v>
      </c>
      <c r="AF252" s="1613">
        <v>8322.9072817939832</v>
      </c>
      <c r="AG252" s="1615">
        <v>9519.3024094689408</v>
      </c>
      <c r="AH252" s="1616">
        <v>8836.9259337879703</v>
      </c>
      <c r="AI252" s="1615">
        <v>7422.1179080352858</v>
      </c>
      <c r="AJ252" s="1615">
        <v>6926.4056548853769</v>
      </c>
      <c r="AK252" s="1615">
        <v>9076.9846765896473</v>
      </c>
      <c r="AL252" s="1616">
        <v>7115.4623612168161</v>
      </c>
      <c r="AM252" s="1615">
        <v>7142.1403365965198</v>
      </c>
      <c r="AN252" s="1615">
        <v>11846.45929847783</v>
      </c>
      <c r="AO252" s="1615">
        <v>13262.382316823576</v>
      </c>
      <c r="AP252" s="1616">
        <v>13234.072022160666</v>
      </c>
      <c r="AQ252" s="1615">
        <v>12329.48172551779</v>
      </c>
      <c r="AR252" s="1615">
        <v>13082.874702863712</v>
      </c>
      <c r="AS252" s="1615">
        <v>15543.273890119144</v>
      </c>
      <c r="AT252" s="1616">
        <v>12131.723236546579</v>
      </c>
      <c r="AU252" s="1615">
        <v>13058.427446074731</v>
      </c>
      <c r="AV252" s="1615">
        <v>13856.36265146884</v>
      </c>
      <c r="AW252" s="1615">
        <v>16462.225978932187</v>
      </c>
      <c r="AX252" s="1616">
        <v>12848.977046003884</v>
      </c>
      <c r="AY252" s="1615">
        <v>13044.817446046907</v>
      </c>
      <c r="AZ252" s="1615">
        <v>13841.92101239317</v>
      </c>
      <c r="BA252" s="1615">
        <v>16445.068407933952</v>
      </c>
      <c r="BB252" s="1847">
        <v>12835.585343314124</v>
      </c>
      <c r="BC252" s="974"/>
      <c r="BD252" s="974"/>
      <c r="BE252" s="1417">
        <f t="shared" si="316"/>
        <v>6338.7297446339117</v>
      </c>
      <c r="BF252" s="1417">
        <f t="shared" si="317"/>
        <v>4776.6389659874721</v>
      </c>
      <c r="BG252" s="1417">
        <f t="shared" si="318"/>
        <v>6571.6398413792722</v>
      </c>
      <c r="BH252" s="1417">
        <f t="shared" si="319"/>
        <v>8499.7796378327184</v>
      </c>
      <c r="BI252" s="1417">
        <f t="shared" si="320"/>
        <v>6894.8291425918032</v>
      </c>
      <c r="BJ252" s="1417">
        <f t="shared" si="321"/>
        <v>9317.5373443291464</v>
      </c>
      <c r="BK252" s="1417">
        <f t="shared" si="322"/>
        <v>9152.7013972457735</v>
      </c>
      <c r="BL252" s="1417">
        <f t="shared" si="323"/>
        <v>7635.2426501817808</v>
      </c>
      <c r="BM252" s="1417">
        <f t="shared" si="324"/>
        <v>11371.263493514649</v>
      </c>
      <c r="BN252" s="1417">
        <f t="shared" si="325"/>
        <v>13271.838388761804</v>
      </c>
      <c r="BO252" s="1417">
        <f t="shared" si="326"/>
        <v>14056.498280619911</v>
      </c>
      <c r="BP252" s="1417">
        <f t="shared" si="327"/>
        <v>14041.848052422038</v>
      </c>
      <c r="BQ252" s="949"/>
      <c r="BR252" s="950"/>
      <c r="BU252" s="922"/>
      <c r="BV252" s="921"/>
      <c r="BW252" s="921"/>
      <c r="BX252" s="921"/>
    </row>
    <row r="253" spans="2:76" ht="12.75" customHeight="1">
      <c r="B253" s="1080"/>
      <c r="C253" s="1457" t="s">
        <v>687</v>
      </c>
      <c r="D253" s="1189"/>
      <c r="E253" s="1189"/>
      <c r="F253" s="1190"/>
      <c r="G253" s="1612">
        <v>7252.1393102577795</v>
      </c>
      <c r="H253" s="1613">
        <v>4593.567349875505</v>
      </c>
      <c r="I253" s="1613">
        <v>6427.0806799498041</v>
      </c>
      <c r="J253" s="1614">
        <v>7240.3857070656832</v>
      </c>
      <c r="K253" s="1612">
        <v>4527.9726426404268</v>
      </c>
      <c r="L253" s="1613">
        <v>2139.4239164830151</v>
      </c>
      <c r="M253" s="1613">
        <v>5540.0381805538027</v>
      </c>
      <c r="N253" s="1614">
        <v>6922.8867412093605</v>
      </c>
      <c r="O253" s="1612">
        <v>7288.8165261279782</v>
      </c>
      <c r="P253" s="1613">
        <v>4935.209035652063</v>
      </c>
      <c r="Q253" s="1613">
        <v>6004.1600044308707</v>
      </c>
      <c r="R253" s="1613">
        <v>7422.4345820566759</v>
      </c>
      <c r="S253" s="1612">
        <v>8678.8668853041981</v>
      </c>
      <c r="T253" s="1613">
        <v>7027.7276846105133</v>
      </c>
      <c r="U253" s="1613">
        <v>8817.9649843376701</v>
      </c>
      <c r="V253" s="1613">
        <v>9456.2247970327371</v>
      </c>
      <c r="W253" s="1612">
        <v>7950.7893476766221</v>
      </c>
      <c r="X253" s="1613">
        <v>5115.2173055428402</v>
      </c>
      <c r="Y253" s="1613">
        <v>7521.7861132026201</v>
      </c>
      <c r="Z253" s="1614">
        <v>8141.7125084036306</v>
      </c>
      <c r="AA253" s="1612">
        <v>9101.9308944914155</v>
      </c>
      <c r="AB253" s="1613">
        <v>9671.1886124478242</v>
      </c>
      <c r="AC253" s="1613">
        <v>9120.2470401114297</v>
      </c>
      <c r="AD253" s="1614">
        <v>10477.07621910588</v>
      </c>
      <c r="AE253" s="1612">
        <v>9611.7445703524172</v>
      </c>
      <c r="AF253" s="1613">
        <v>9580.9697078732752</v>
      </c>
      <c r="AG253" s="1615">
        <v>10025.134228924268</v>
      </c>
      <c r="AH253" s="1616">
        <v>9232.644929535496</v>
      </c>
      <c r="AI253" s="1615">
        <v>7618.1564331858617</v>
      </c>
      <c r="AJ253" s="1615">
        <v>6565.829016583225</v>
      </c>
      <c r="AK253" s="1615">
        <v>9399.4393190765804</v>
      </c>
      <c r="AL253" s="1616">
        <v>7066.9504901112114</v>
      </c>
      <c r="AM253" s="1615">
        <v>7616.7891957904303</v>
      </c>
      <c r="AN253" s="1615">
        <v>12260.09265387161</v>
      </c>
      <c r="AO253" s="1615">
        <v>13180.515759312319</v>
      </c>
      <c r="AP253" s="1616">
        <v>13337.950138504159</v>
      </c>
      <c r="AQ253" s="1615">
        <v>12476.166964736271</v>
      </c>
      <c r="AR253" s="1615">
        <v>13453.482204801772</v>
      </c>
      <c r="AS253" s="1615">
        <v>15729.035256212897</v>
      </c>
      <c r="AT253" s="1616">
        <v>12833.726601162503</v>
      </c>
      <c r="AU253" s="1615">
        <v>13182.832885276595</v>
      </c>
      <c r="AV253" s="1615">
        <v>14215.504500078907</v>
      </c>
      <c r="AW253" s="1615">
        <v>16619.947762430536</v>
      </c>
      <c r="AX253" s="1616">
        <v>13560.64515300677</v>
      </c>
      <c r="AY253" s="1615">
        <v>13153.941016853727</v>
      </c>
      <c r="AZ253" s="1615">
        <v>14184.349399414645</v>
      </c>
      <c r="BA253" s="1615">
        <v>16583.523016086117</v>
      </c>
      <c r="BB253" s="1847">
        <v>13530.925260560325</v>
      </c>
      <c r="BC253" s="974"/>
      <c r="BD253" s="974"/>
      <c r="BE253" s="1417">
        <f t="shared" si="316"/>
        <v>6378.293261787192</v>
      </c>
      <c r="BF253" s="1417">
        <f t="shared" si="317"/>
        <v>4782.5803702216508</v>
      </c>
      <c r="BG253" s="1417">
        <f t="shared" si="318"/>
        <v>6412.6550370668974</v>
      </c>
      <c r="BH253" s="1417">
        <f t="shared" si="319"/>
        <v>8495.1960878212794</v>
      </c>
      <c r="BI253" s="1417">
        <f t="shared" si="320"/>
        <v>7182.3763187064278</v>
      </c>
      <c r="BJ253" s="1417">
        <f t="shared" si="321"/>
        <v>9592.6106915391374</v>
      </c>
      <c r="BK253" s="1417">
        <f t="shared" si="322"/>
        <v>9612.6233591713644</v>
      </c>
      <c r="BL253" s="1417">
        <f t="shared" si="323"/>
        <v>7662.5938147392199</v>
      </c>
      <c r="BM253" s="1417">
        <f t="shared" si="324"/>
        <v>11598.836936869629</v>
      </c>
      <c r="BN253" s="1417">
        <f t="shared" si="325"/>
        <v>13623.10275672836</v>
      </c>
      <c r="BO253" s="1417">
        <f t="shared" si="326"/>
        <v>14394.732575198203</v>
      </c>
      <c r="BP253" s="1417">
        <f t="shared" si="327"/>
        <v>14363.184673228703</v>
      </c>
      <c r="BQ253" s="949"/>
      <c r="BR253" s="950"/>
      <c r="BU253" s="922"/>
      <c r="BV253" s="921"/>
      <c r="BW253" s="921"/>
      <c r="BX253" s="921"/>
    </row>
    <row r="254" spans="2:76" ht="12.75" customHeight="1">
      <c r="B254" s="1080"/>
      <c r="C254" s="1457" t="s">
        <v>688</v>
      </c>
      <c r="D254" s="1189"/>
      <c r="E254" s="1189"/>
      <c r="F254" s="1190"/>
      <c r="G254" s="1612">
        <v>7403.8228607986066</v>
      </c>
      <c r="H254" s="1613">
        <v>5010.1388926342906</v>
      </c>
      <c r="I254" s="1613">
        <v>6534.2814502677575</v>
      </c>
      <c r="J254" s="1614">
        <v>7663.4892753526874</v>
      </c>
      <c r="K254" s="1612">
        <v>3929.5845308814478</v>
      </c>
      <c r="L254" s="1613">
        <v>2019.2783189557053</v>
      </c>
      <c r="M254" s="1613">
        <v>4670.8573279366547</v>
      </c>
      <c r="N254" s="1614">
        <v>7514.4082343612945</v>
      </c>
      <c r="O254" s="1612">
        <v>6973.3021358291335</v>
      </c>
      <c r="P254" s="1613">
        <v>28.782848697248738</v>
      </c>
      <c r="Q254" s="1613">
        <v>4227.0980279257255</v>
      </c>
      <c r="R254" s="1613">
        <v>6727.2801290828729</v>
      </c>
      <c r="S254" s="1612">
        <v>7153.2681962593506</v>
      </c>
      <c r="T254" s="1613">
        <v>4191.4647898805733</v>
      </c>
      <c r="U254" s="1613">
        <v>6208.3880299897546</v>
      </c>
      <c r="V254" s="1613">
        <v>9165.8261083092457</v>
      </c>
      <c r="W254" s="1612">
        <v>4535.3497131161557</v>
      </c>
      <c r="X254" s="1613">
        <v>2842.1256826512813</v>
      </c>
      <c r="Y254" s="1613">
        <v>6174.4647234642125</v>
      </c>
      <c r="Z254" s="1614">
        <v>6739.3189580413173</v>
      </c>
      <c r="AA254" s="1612">
        <v>5272.3423493712744</v>
      </c>
      <c r="AB254" s="1613">
        <v>8070.6412815660206</v>
      </c>
      <c r="AC254" s="1613">
        <v>7444.7534957486841</v>
      </c>
      <c r="AD254" s="1614">
        <v>7741.2731719518661</v>
      </c>
      <c r="AE254" s="1612">
        <v>7078.7259123138783</v>
      </c>
      <c r="AF254" s="1613">
        <v>4819.6778604479841</v>
      </c>
      <c r="AG254" s="1615">
        <v>8065.3674973948418</v>
      </c>
      <c r="AH254" s="1616">
        <v>6021.0210358521981</v>
      </c>
      <c r="AI254" s="1615">
        <v>5379.6174287968361</v>
      </c>
      <c r="AJ254" s="1615">
        <v>1169.9251809150007</v>
      </c>
      <c r="AK254" s="1615">
        <v>7370.4596656258645</v>
      </c>
      <c r="AL254" s="1616">
        <v>5207.6474963728888</v>
      </c>
      <c r="AM254" s="1615">
        <v>4481.8108025744623</v>
      </c>
      <c r="AN254" s="1615">
        <v>2680.344142951687</v>
      </c>
      <c r="AO254" s="1615">
        <v>7122.3905034793297</v>
      </c>
      <c r="AP254" s="1616">
        <v>8538.7811634349055</v>
      </c>
      <c r="AQ254" s="1615">
        <v>9294.2311509543069</v>
      </c>
      <c r="AR254" s="1615">
        <v>5469.5978144865967</v>
      </c>
      <c r="AS254" s="1615">
        <v>11009.808729651124</v>
      </c>
      <c r="AT254" s="1616">
        <v>7014.3272150574057</v>
      </c>
      <c r="AU254" s="1615">
        <v>10558.398782517217</v>
      </c>
      <c r="AV254" s="1615">
        <v>6213.5526830968138</v>
      </c>
      <c r="AW254" s="1615">
        <v>12507.32300486846</v>
      </c>
      <c r="AX254" s="1616">
        <v>7968.3905774212635</v>
      </c>
      <c r="AY254" s="1615">
        <v>11008.480327842066</v>
      </c>
      <c r="AZ254" s="1615">
        <v>6478.4229016943764</v>
      </c>
      <c r="BA254" s="1615">
        <v>13040.482945297053</v>
      </c>
      <c r="BB254" s="1847">
        <v>8308.0657136527334</v>
      </c>
      <c r="BC254" s="974"/>
      <c r="BD254" s="974"/>
      <c r="BE254" s="1417">
        <f t="shared" si="316"/>
        <v>6652.9331197633355</v>
      </c>
      <c r="BF254" s="1417">
        <f t="shared" si="317"/>
        <v>4533.5321030337755</v>
      </c>
      <c r="BG254" s="1417">
        <f t="shared" si="318"/>
        <v>4489.1157853837449</v>
      </c>
      <c r="BH254" s="1417">
        <f t="shared" si="319"/>
        <v>6679.7367811097301</v>
      </c>
      <c r="BI254" s="1417">
        <f t="shared" si="320"/>
        <v>5072.8147693182418</v>
      </c>
      <c r="BJ254" s="1417">
        <f t="shared" si="321"/>
        <v>7132.2525746594611</v>
      </c>
      <c r="BK254" s="1417">
        <f t="shared" si="322"/>
        <v>6496.1980765022263</v>
      </c>
      <c r="BL254" s="1417">
        <f t="shared" si="323"/>
        <v>4781.9124429276471</v>
      </c>
      <c r="BM254" s="1417">
        <f t="shared" si="324"/>
        <v>5705.8316531100963</v>
      </c>
      <c r="BN254" s="1417">
        <f t="shared" si="325"/>
        <v>8196.991227537359</v>
      </c>
      <c r="BO254" s="1417">
        <f t="shared" si="326"/>
        <v>9311.9162619759391</v>
      </c>
      <c r="BP254" s="1417">
        <f t="shared" si="327"/>
        <v>9708.8629721215584</v>
      </c>
      <c r="BQ254" s="949"/>
      <c r="BR254" s="950"/>
      <c r="BU254" s="922"/>
      <c r="BV254" s="921"/>
      <c r="BW254" s="921"/>
      <c r="BX254" s="921"/>
    </row>
    <row r="255" spans="2:76" ht="12.75" customHeight="1">
      <c r="B255" s="1080"/>
      <c r="C255" s="1457"/>
      <c r="D255" s="1189"/>
      <c r="E255" s="1189"/>
      <c r="F255" s="1190"/>
      <c r="G255" s="1592">
        <v>0</v>
      </c>
      <c r="H255" s="1593">
        <v>0</v>
      </c>
      <c r="I255" s="1593">
        <v>0</v>
      </c>
      <c r="J255" s="1594">
        <v>5127.6255850361686</v>
      </c>
      <c r="K255" s="1592">
        <v>5240.9261466320195</v>
      </c>
      <c r="L255" s="1593">
        <v>3623.7222932969935</v>
      </c>
      <c r="M255" s="1593">
        <v>7637.5478537222789</v>
      </c>
      <c r="N255" s="1594">
        <v>5145.6041120023128</v>
      </c>
      <c r="O255" s="1592">
        <v>5809.5791548366151</v>
      </c>
      <c r="P255" s="1593">
        <v>5954.1949848390959</v>
      </c>
      <c r="Q255" s="1593">
        <v>6888.4287903141694</v>
      </c>
      <c r="R255" s="1593">
        <v>6233.7685965003757</v>
      </c>
      <c r="S255" s="1592">
        <v>5988.0913357535692</v>
      </c>
      <c r="T255" s="1595">
        <v>6007.9038515154725</v>
      </c>
      <c r="U255" s="1595">
        <v>7349.2540806565275</v>
      </c>
      <c r="V255" s="1596">
        <v>6994.6325194419514</v>
      </c>
      <c r="W255" s="1595">
        <v>6080.7198049477747</v>
      </c>
      <c r="X255" s="1595">
        <v>6970.9778782114672</v>
      </c>
      <c r="Y255" s="1595">
        <v>7239.820470198154</v>
      </c>
      <c r="Z255" s="1596">
        <v>6868.5436968988715</v>
      </c>
      <c r="AA255" s="1595">
        <v>8226.1888723536613</v>
      </c>
      <c r="AB255" s="1595">
        <v>7516.0998993134817</v>
      </c>
      <c r="AC255" s="1595">
        <v>7447.7740060088181</v>
      </c>
      <c r="AD255" s="1596">
        <v>7059.7639774892332</v>
      </c>
      <c r="AE255" s="1595">
        <v>7250.2204400046912</v>
      </c>
      <c r="AF255" s="1595">
        <v>6926.0052986481123</v>
      </c>
      <c r="AG255" s="1595">
        <v>7584.2582143532491</v>
      </c>
      <c r="AH255" s="1596">
        <v>6265.3734073086953</v>
      </c>
      <c r="AI255" s="1595">
        <v>5413.0436677824982</v>
      </c>
      <c r="AJ255" s="1595">
        <v>6726.7779529208856</v>
      </c>
      <c r="AK255" s="1595">
        <v>7976.1185813343263</v>
      </c>
      <c r="AL255" s="1596">
        <v>6750.161788693903</v>
      </c>
      <c r="AM255" s="1595">
        <v>6422.2133266124401</v>
      </c>
      <c r="AN255" s="1595">
        <v>8048.0608695652172</v>
      </c>
      <c r="AO255" s="1595">
        <v>11474.906464924346</v>
      </c>
      <c r="AP255" s="1596">
        <v>6852.997364953887</v>
      </c>
      <c r="AQ255" s="1595">
        <v>6265.0137776610345</v>
      </c>
      <c r="AR255" s="1595">
        <v>6530.144494614603</v>
      </c>
      <c r="AS255" s="1595">
        <v>8725.0995759322941</v>
      </c>
      <c r="AT255" s="1596">
        <v>6597.9020800638746</v>
      </c>
      <c r="AU255" s="1595">
        <v>6031.9099537832089</v>
      </c>
      <c r="AV255" s="1595">
        <v>6195.5449296090837</v>
      </c>
      <c r="AW255" s="1595">
        <v>8244.6650067023384</v>
      </c>
      <c r="AX255" s="1596">
        <v>6266.7223668496872</v>
      </c>
      <c r="AY255" s="1595">
        <v>5639.6195767479512</v>
      </c>
      <c r="AZ255" s="1595">
        <v>5777.3245530193408</v>
      </c>
      <c r="BA255" s="1595">
        <v>7670.2250040588715</v>
      </c>
      <c r="BB255" s="1844">
        <v>5829.5160354141863</v>
      </c>
      <c r="BC255" s="974"/>
      <c r="BD255" s="974"/>
      <c r="BE255" s="1417"/>
      <c r="BF255" s="1417"/>
      <c r="BG255" s="1417"/>
      <c r="BH255" s="1417"/>
      <c r="BI255" s="1417"/>
      <c r="BJ255" s="1417"/>
      <c r="BK255" s="1417"/>
      <c r="BL255" s="1417"/>
      <c r="BM255" s="1417"/>
      <c r="BN255" s="1417"/>
      <c r="BO255" s="1417"/>
      <c r="BP255" s="1417"/>
      <c r="BQ255" s="949"/>
      <c r="BR255" s="950"/>
      <c r="BU255" s="922"/>
      <c r="BV255" s="921"/>
      <c r="BW255" s="921"/>
      <c r="BX255" s="921"/>
    </row>
    <row r="256" spans="2:76" ht="12.75" customHeight="1">
      <c r="B256" s="1080"/>
      <c r="C256" s="1460" t="s">
        <v>796</v>
      </c>
      <c r="D256" s="1133"/>
      <c r="E256" s="1133"/>
      <c r="F256" s="1134"/>
      <c r="G256" s="1183"/>
      <c r="H256" s="1184"/>
      <c r="I256" s="1184"/>
      <c r="J256" s="1185"/>
      <c r="K256" s="1183"/>
      <c r="L256" s="1184"/>
      <c r="M256" s="1184"/>
      <c r="N256" s="1185"/>
      <c r="O256" s="1183"/>
      <c r="P256" s="1184"/>
      <c r="Q256" s="1184"/>
      <c r="R256" s="1174"/>
      <c r="S256" s="1173"/>
      <c r="T256" s="1172"/>
      <c r="U256" s="1172"/>
      <c r="V256" s="1174"/>
      <c r="W256" s="1172"/>
      <c r="X256" s="1172"/>
      <c r="Y256" s="1172"/>
      <c r="Z256" s="1175"/>
      <c r="AA256" s="1176"/>
      <c r="AB256" s="1176"/>
      <c r="AC256" s="1176"/>
      <c r="AD256" s="1175"/>
      <c r="AE256" s="1176"/>
      <c r="AF256" s="1176"/>
      <c r="AG256" s="1176"/>
      <c r="AH256" s="1175"/>
      <c r="AI256" s="1176"/>
      <c r="AJ256" s="1176"/>
      <c r="AK256" s="1176"/>
      <c r="AL256" s="1175"/>
      <c r="AM256" s="1176"/>
      <c r="AN256" s="1176"/>
      <c r="AO256" s="1176"/>
      <c r="AP256" s="1175"/>
      <c r="AQ256" s="1176"/>
      <c r="AR256" s="1176"/>
      <c r="AS256" s="1176"/>
      <c r="AT256" s="1175"/>
      <c r="AU256" s="1176"/>
      <c r="AV256" s="1176"/>
      <c r="AW256" s="1176"/>
      <c r="AX256" s="933"/>
      <c r="AY256" s="1173"/>
      <c r="AZ256" s="1176"/>
      <c r="BA256" s="1176"/>
      <c r="BB256" s="1431"/>
      <c r="BC256" s="961"/>
      <c r="BD256" s="962"/>
      <c r="BE256" s="1412"/>
      <c r="BF256" s="1412"/>
      <c r="BG256" s="1412"/>
      <c r="BH256" s="1412"/>
      <c r="BI256" s="1412"/>
      <c r="BJ256" s="1412"/>
      <c r="BK256" s="1412"/>
      <c r="BL256" s="1412"/>
      <c r="BM256" s="1412"/>
      <c r="BN256" s="1412"/>
      <c r="BO256" s="1412"/>
      <c r="BP256" s="1412"/>
      <c r="BQ256" s="949"/>
      <c r="BR256" s="950"/>
      <c r="BU256" s="922"/>
      <c r="BV256" s="921"/>
      <c r="BW256" s="921"/>
      <c r="BX256" s="921"/>
    </row>
    <row r="257" spans="2:76" ht="12.75" customHeight="1">
      <c r="B257" s="1080"/>
      <c r="C257" s="1457" t="s">
        <v>457</v>
      </c>
      <c r="D257" s="1189"/>
      <c r="E257" s="1189"/>
      <c r="F257" s="1191"/>
      <c r="G257" s="1183"/>
      <c r="H257" s="1184"/>
      <c r="I257" s="1184"/>
      <c r="J257" s="1185"/>
      <c r="K257" s="1181"/>
      <c r="L257" s="1184"/>
      <c r="M257" s="1184"/>
      <c r="N257" s="1185"/>
      <c r="O257" s="1193">
        <v>102.54</v>
      </c>
      <c r="P257" s="1194">
        <v>95.373333333333335</v>
      </c>
      <c r="Q257" s="1194">
        <v>81.040000000000006</v>
      </c>
      <c r="R257" s="1195">
        <v>81.040000000000006</v>
      </c>
      <c r="S257" s="1193">
        <v>81.040000000000006</v>
      </c>
      <c r="T257" s="1194">
        <v>79.626666666666665</v>
      </c>
      <c r="U257" s="1194">
        <v>76.8</v>
      </c>
      <c r="V257" s="1195">
        <v>76.8</v>
      </c>
      <c r="W257" s="1194">
        <v>76.8</v>
      </c>
      <c r="X257" s="1194">
        <v>82.486666666666665</v>
      </c>
      <c r="Y257" s="1194">
        <v>93.86</v>
      </c>
      <c r="Z257" s="1195">
        <v>93.86</v>
      </c>
      <c r="AA257" s="1194">
        <v>93.86</v>
      </c>
      <c r="AB257" s="1194">
        <v>96.874703196347028</v>
      </c>
      <c r="AC257" s="1194">
        <v>102.9041095890411</v>
      </c>
      <c r="AD257" s="1195">
        <v>102.9041095890411</v>
      </c>
      <c r="AE257" s="1194">
        <v>103</v>
      </c>
      <c r="AF257" s="1194">
        <v>98.736666666666665</v>
      </c>
      <c r="AG257" s="1194">
        <v>90.21</v>
      </c>
      <c r="AH257" s="1195">
        <v>90.21</v>
      </c>
      <c r="AI257" s="1200">
        <v>90.21</v>
      </c>
      <c r="AJ257" s="1200">
        <v>137.126301369863</v>
      </c>
      <c r="AK257" s="1200">
        <v>230.95890410958907</v>
      </c>
      <c r="AL257" s="1201">
        <v>230.95890410958907</v>
      </c>
      <c r="AM257" s="1200">
        <v>230.95890410958907</v>
      </c>
      <c r="AN257" s="1200">
        <v>258.63013698630141</v>
      </c>
      <c r="AO257" s="1200">
        <v>313.97260273972609</v>
      </c>
      <c r="AP257" s="1201">
        <v>313.97260273972609</v>
      </c>
      <c r="AQ257" s="1200">
        <v>313.97260273972609</v>
      </c>
      <c r="AR257" s="1200">
        <v>286.35616438356169</v>
      </c>
      <c r="AS257" s="1200">
        <v>231.12328767123287</v>
      </c>
      <c r="AT257" s="1201">
        <v>231.12328767123287</v>
      </c>
      <c r="AU257" s="1200">
        <v>231.12328767123287</v>
      </c>
      <c r="AV257" s="1200">
        <v>231.12328767123287</v>
      </c>
      <c r="AW257" s="1200">
        <v>231.12328767123287</v>
      </c>
      <c r="AX257" s="1201">
        <v>231.12328767123287</v>
      </c>
      <c r="AY257" s="1848">
        <v>231.12328767123287</v>
      </c>
      <c r="AZ257" s="1200">
        <v>231.12328767123287</v>
      </c>
      <c r="BA257" s="1200">
        <v>231.12328767123287</v>
      </c>
      <c r="BB257" s="1450">
        <v>231.12328767123287</v>
      </c>
      <c r="BC257" s="961"/>
      <c r="BD257" s="962"/>
      <c r="BE257" s="1417"/>
      <c r="BF257" s="1417"/>
      <c r="BG257" s="1417">
        <f t="shared" ref="BG257:BG271" si="328">AVERAGE(O257:R257)</f>
        <v>89.998333333333349</v>
      </c>
      <c r="BH257" s="1417">
        <f t="shared" ref="BH257:BH271" si="329">AVERAGE(S257:V257)</f>
        <v>78.566666666666677</v>
      </c>
      <c r="BI257" s="1417">
        <f t="shared" ref="BI257:BI271" si="330">AVERAGE(W257:Z257)</f>
        <v>86.751666666666665</v>
      </c>
      <c r="BJ257" s="1417">
        <f t="shared" ref="BJ257:BJ271" si="331">AVERAGE(AA257:AD257)</f>
        <v>99.13573059360732</v>
      </c>
      <c r="BK257" s="1417">
        <f t="shared" ref="BK257:BK271" si="332">AVERAGE(AE257:AH257)</f>
        <v>95.539166666666659</v>
      </c>
      <c r="BL257" s="1417">
        <f t="shared" ref="BL257:BL271" si="333">AVERAGE(AI257:AL257)</f>
        <v>172.31352739726029</v>
      </c>
      <c r="BM257" s="1417">
        <f t="shared" ref="BM257:BM271" si="334">AVERAGE(AM257:AP257)</f>
        <v>279.38356164383566</v>
      </c>
      <c r="BN257" s="1417">
        <f t="shared" ref="BN257:BN271" si="335">AVERAGE(AQ257:AT257)</f>
        <v>265.64383561643837</v>
      </c>
      <c r="BO257" s="1417">
        <f t="shared" ref="BO257:BO271" si="336">AVERAGE(AU257:AX257)</f>
        <v>231.12328767123287</v>
      </c>
      <c r="BP257" s="1417">
        <f t="shared" ref="BP257:BP271" si="337">AVERAGE(AY257:BB257)</f>
        <v>231.12328767123287</v>
      </c>
      <c r="BQ257" s="949"/>
      <c r="BR257" s="950"/>
      <c r="BU257" s="922"/>
      <c r="BV257" s="921"/>
      <c r="BW257" s="921"/>
      <c r="BX257" s="921"/>
    </row>
    <row r="258" spans="2:76" ht="12.75" customHeight="1">
      <c r="B258" s="1080"/>
      <c r="C258" s="1457" t="s">
        <v>702</v>
      </c>
      <c r="D258" s="1189"/>
      <c r="E258" s="1189"/>
      <c r="F258" s="1190"/>
      <c r="G258" s="1181"/>
      <c r="H258" s="1177"/>
      <c r="I258" s="1177"/>
      <c r="J258" s="1182"/>
      <c r="K258" s="1181"/>
      <c r="L258" s="1177"/>
      <c r="M258" s="1177"/>
      <c r="N258" s="1182"/>
      <c r="O258" s="1193">
        <v>102.54</v>
      </c>
      <c r="P258" s="1194">
        <v>96.14</v>
      </c>
      <c r="Q258" s="1194">
        <v>83.34</v>
      </c>
      <c r="R258" s="1195">
        <v>83.34</v>
      </c>
      <c r="S258" s="1193">
        <v>83.34</v>
      </c>
      <c r="T258" s="1194">
        <v>83.13333333333334</v>
      </c>
      <c r="U258" s="1194">
        <v>82.72</v>
      </c>
      <c r="V258" s="1195">
        <v>82.72</v>
      </c>
      <c r="W258" s="1194">
        <v>82.72</v>
      </c>
      <c r="X258" s="1194">
        <v>86.433333333333337</v>
      </c>
      <c r="Y258" s="1194">
        <v>93.86</v>
      </c>
      <c r="Z258" s="1195">
        <v>93.86</v>
      </c>
      <c r="AA258" s="1194">
        <v>93.86</v>
      </c>
      <c r="AB258" s="1194">
        <v>96.874703196347028</v>
      </c>
      <c r="AC258" s="1194">
        <v>102.9041095890411</v>
      </c>
      <c r="AD258" s="1195">
        <v>102.9041095890411</v>
      </c>
      <c r="AE258" s="1194">
        <v>103</v>
      </c>
      <c r="AF258" s="1194">
        <v>98.736666666666665</v>
      </c>
      <c r="AG258" s="1194">
        <v>90.21</v>
      </c>
      <c r="AH258" s="1195">
        <v>90.21</v>
      </c>
      <c r="AI258" s="1200">
        <v>90.21</v>
      </c>
      <c r="AJ258" s="1200">
        <v>137.126301369863</v>
      </c>
      <c r="AK258" s="1200">
        <v>230.95890410958907</v>
      </c>
      <c r="AL258" s="1201">
        <v>230.95890410958907</v>
      </c>
      <c r="AM258" s="1200">
        <v>230.95890410958907</v>
      </c>
      <c r="AN258" s="1200">
        <v>258.63013698630141</v>
      </c>
      <c r="AO258" s="1200">
        <v>313.97260273972609</v>
      </c>
      <c r="AP258" s="1201">
        <v>313.97260273972609</v>
      </c>
      <c r="AQ258" s="1200">
        <v>313.97260273972609</v>
      </c>
      <c r="AR258" s="1200">
        <v>286.35616438356169</v>
      </c>
      <c r="AS258" s="1200">
        <v>231.12328767123287</v>
      </c>
      <c r="AT258" s="1201">
        <v>231.12328767123287</v>
      </c>
      <c r="AU258" s="1200">
        <v>231.12328767123287</v>
      </c>
      <c r="AV258" s="1200">
        <v>231.12328767123287</v>
      </c>
      <c r="AW258" s="1200">
        <v>231.12328767123287</v>
      </c>
      <c r="AX258" s="1201">
        <v>231.12328767123287</v>
      </c>
      <c r="AY258" s="1848">
        <v>231.12328767123287</v>
      </c>
      <c r="AZ258" s="1200">
        <v>231.12328767123287</v>
      </c>
      <c r="BA258" s="1200">
        <v>231.12328767123287</v>
      </c>
      <c r="BB258" s="1450">
        <v>231.12328767123287</v>
      </c>
      <c r="BC258" s="961"/>
      <c r="BD258" s="974"/>
      <c r="BE258" s="1417"/>
      <c r="BF258" s="1417"/>
      <c r="BG258" s="1417">
        <f t="shared" si="328"/>
        <v>91.34</v>
      </c>
      <c r="BH258" s="1417">
        <f t="shared" si="329"/>
        <v>82.978333333333339</v>
      </c>
      <c r="BI258" s="1417">
        <f t="shared" si="330"/>
        <v>89.218333333333334</v>
      </c>
      <c r="BJ258" s="1417">
        <f t="shared" si="331"/>
        <v>99.13573059360732</v>
      </c>
      <c r="BK258" s="1417">
        <f t="shared" si="332"/>
        <v>95.539166666666659</v>
      </c>
      <c r="BL258" s="1417">
        <f t="shared" si="333"/>
        <v>172.31352739726029</v>
      </c>
      <c r="BM258" s="1417">
        <f t="shared" si="334"/>
        <v>279.38356164383566</v>
      </c>
      <c r="BN258" s="1417">
        <f t="shared" si="335"/>
        <v>265.64383561643837</v>
      </c>
      <c r="BO258" s="1417">
        <f t="shared" si="336"/>
        <v>231.12328767123287</v>
      </c>
      <c r="BP258" s="1417">
        <f t="shared" si="337"/>
        <v>231.12328767123287</v>
      </c>
      <c r="BQ258" s="949"/>
      <c r="BR258" s="950"/>
      <c r="BU258" s="922"/>
      <c r="BV258" s="921"/>
      <c r="BW258" s="921"/>
      <c r="BX258" s="921"/>
    </row>
    <row r="259" spans="2:76" ht="12.75" customHeight="1">
      <c r="B259" s="1080"/>
      <c r="C259" s="1457" t="s">
        <v>703</v>
      </c>
      <c r="D259" s="1189"/>
      <c r="E259" s="1189"/>
      <c r="F259" s="1190"/>
      <c r="G259" s="1181"/>
      <c r="H259" s="1177"/>
      <c r="I259" s="1177"/>
      <c r="J259" s="1182"/>
      <c r="K259" s="1181"/>
      <c r="L259" s="1177"/>
      <c r="M259" s="1177"/>
      <c r="N259" s="1182"/>
      <c r="O259" s="1193">
        <v>110</v>
      </c>
      <c r="P259" s="1194">
        <v>78.819999999999993</v>
      </c>
      <c r="Q259" s="1194">
        <v>16.46</v>
      </c>
      <c r="R259" s="1195">
        <v>16.46</v>
      </c>
      <c r="S259" s="1193">
        <v>16.46</v>
      </c>
      <c r="T259" s="1194">
        <v>20.216666666666669</v>
      </c>
      <c r="U259" s="1194">
        <v>27.73</v>
      </c>
      <c r="V259" s="1195">
        <v>27.73</v>
      </c>
      <c r="W259" s="1194">
        <v>27.73</v>
      </c>
      <c r="X259" s="1194">
        <v>60.483333333333327</v>
      </c>
      <c r="Y259" s="1194">
        <v>125.99</v>
      </c>
      <c r="Z259" s="1195">
        <v>125.99</v>
      </c>
      <c r="AA259" s="1194">
        <v>125.99</v>
      </c>
      <c r="AB259" s="1194">
        <v>129.32666666666668</v>
      </c>
      <c r="AC259" s="1194">
        <v>136</v>
      </c>
      <c r="AD259" s="1195">
        <v>136</v>
      </c>
      <c r="AE259" s="1194">
        <v>136</v>
      </c>
      <c r="AF259" s="1194">
        <v>110.45666666666666</v>
      </c>
      <c r="AG259" s="1194">
        <v>59.37</v>
      </c>
      <c r="AH259" s="1195">
        <v>59.37</v>
      </c>
      <c r="AI259" s="1200">
        <v>59.37</v>
      </c>
      <c r="AJ259" s="1200">
        <v>79.58</v>
      </c>
      <c r="AK259" s="1200">
        <v>120</v>
      </c>
      <c r="AL259" s="1201">
        <v>120</v>
      </c>
      <c r="AM259" s="1200">
        <v>120</v>
      </c>
      <c r="AN259" s="1200">
        <v>134.92333333333335</v>
      </c>
      <c r="AO259" s="1200">
        <v>164.77</v>
      </c>
      <c r="AP259" s="1201">
        <v>164.77</v>
      </c>
      <c r="AQ259" s="1200">
        <v>164.77</v>
      </c>
      <c r="AR259" s="1200">
        <v>143.18</v>
      </c>
      <c r="AS259" s="1200">
        <v>100</v>
      </c>
      <c r="AT259" s="1201">
        <v>100</v>
      </c>
      <c r="AU259" s="1200">
        <v>100</v>
      </c>
      <c r="AV259" s="1200">
        <v>100</v>
      </c>
      <c r="AW259" s="1200">
        <v>76.53</v>
      </c>
      <c r="AX259" s="1201">
        <v>76.53</v>
      </c>
      <c r="AY259" s="1848">
        <v>76.53</v>
      </c>
      <c r="AZ259" s="1200">
        <v>76.53</v>
      </c>
      <c r="BA259" s="1200">
        <v>76.53</v>
      </c>
      <c r="BB259" s="1450">
        <v>76.53</v>
      </c>
      <c r="BC259" s="961"/>
      <c r="BD259" s="974"/>
      <c r="BE259" s="1417"/>
      <c r="BF259" s="1417"/>
      <c r="BG259" s="1417">
        <f t="shared" si="328"/>
        <v>55.435000000000002</v>
      </c>
      <c r="BH259" s="1417">
        <f t="shared" si="329"/>
        <v>23.034166666666668</v>
      </c>
      <c r="BI259" s="1417">
        <f t="shared" si="330"/>
        <v>85.048333333333332</v>
      </c>
      <c r="BJ259" s="1417">
        <f t="shared" si="331"/>
        <v>131.82916666666665</v>
      </c>
      <c r="BK259" s="1417">
        <f t="shared" si="332"/>
        <v>91.299166666666665</v>
      </c>
      <c r="BL259" s="1417">
        <f t="shared" si="333"/>
        <v>94.737499999999997</v>
      </c>
      <c r="BM259" s="1417">
        <f t="shared" si="334"/>
        <v>146.11583333333334</v>
      </c>
      <c r="BN259" s="1417">
        <f t="shared" si="335"/>
        <v>126.98750000000001</v>
      </c>
      <c r="BO259" s="1417">
        <f t="shared" si="336"/>
        <v>88.264999999999986</v>
      </c>
      <c r="BP259" s="1417">
        <f t="shared" si="337"/>
        <v>76.53</v>
      </c>
      <c r="BQ259" s="949"/>
      <c r="BR259" s="950"/>
      <c r="BU259" s="922"/>
      <c r="BV259" s="921"/>
      <c r="BW259" s="921"/>
      <c r="BX259" s="921"/>
    </row>
    <row r="260" spans="2:76" ht="12.75" customHeight="1">
      <c r="B260" s="1080"/>
      <c r="C260" s="1457" t="s">
        <v>704</v>
      </c>
      <c r="D260" s="1189"/>
      <c r="E260" s="1189"/>
      <c r="F260" s="1190"/>
      <c r="G260" s="1181"/>
      <c r="H260" s="1177"/>
      <c r="I260" s="1177"/>
      <c r="J260" s="1182"/>
      <c r="K260" s="1181"/>
      <c r="L260" s="1177"/>
      <c r="M260" s="1177"/>
      <c r="N260" s="1182"/>
      <c r="O260" s="1193">
        <v>110</v>
      </c>
      <c r="P260" s="1194">
        <v>117.79</v>
      </c>
      <c r="Q260" s="1194">
        <v>133.37</v>
      </c>
      <c r="R260" s="1195">
        <v>133.37</v>
      </c>
      <c r="S260" s="1193">
        <v>133.37</v>
      </c>
      <c r="T260" s="1194">
        <v>164.29666666666665</v>
      </c>
      <c r="U260" s="1194">
        <v>226.15</v>
      </c>
      <c r="V260" s="1195">
        <v>226.15</v>
      </c>
      <c r="W260" s="1194">
        <v>226.15</v>
      </c>
      <c r="X260" s="1194">
        <v>196.26666666666665</v>
      </c>
      <c r="Y260" s="1194">
        <v>136.5</v>
      </c>
      <c r="Z260" s="1195">
        <v>136.5</v>
      </c>
      <c r="AA260" s="1194">
        <v>136.5</v>
      </c>
      <c r="AB260" s="1194">
        <v>146.82</v>
      </c>
      <c r="AC260" s="1194">
        <v>167.46</v>
      </c>
      <c r="AD260" s="1195">
        <v>167.46</v>
      </c>
      <c r="AE260" s="1194">
        <v>167.46</v>
      </c>
      <c r="AF260" s="1194">
        <v>151.35</v>
      </c>
      <c r="AG260" s="1194">
        <v>119.13</v>
      </c>
      <c r="AH260" s="1195">
        <v>119.13</v>
      </c>
      <c r="AI260" s="1200">
        <v>119.13</v>
      </c>
      <c r="AJ260" s="1200">
        <v>119.41999999999999</v>
      </c>
      <c r="AK260" s="1200">
        <v>120</v>
      </c>
      <c r="AL260" s="1201">
        <v>120</v>
      </c>
      <c r="AM260" s="1200">
        <v>120</v>
      </c>
      <c r="AN260" s="1200">
        <v>134.92333333333335</v>
      </c>
      <c r="AO260" s="1200">
        <v>164.77</v>
      </c>
      <c r="AP260" s="1201">
        <v>164.77</v>
      </c>
      <c r="AQ260" s="1200">
        <v>164.77</v>
      </c>
      <c r="AR260" s="1200">
        <v>143.18</v>
      </c>
      <c r="AS260" s="1200">
        <v>100</v>
      </c>
      <c r="AT260" s="1201">
        <v>100</v>
      </c>
      <c r="AU260" s="1200">
        <v>100</v>
      </c>
      <c r="AV260" s="1200">
        <v>100</v>
      </c>
      <c r="AW260" s="1200">
        <v>86.04</v>
      </c>
      <c r="AX260" s="1201">
        <v>86.04</v>
      </c>
      <c r="AY260" s="1848">
        <v>86.04</v>
      </c>
      <c r="AZ260" s="1200">
        <v>86.04</v>
      </c>
      <c r="BA260" s="1200">
        <v>86.04</v>
      </c>
      <c r="BB260" s="1450">
        <v>86.04</v>
      </c>
      <c r="BC260" s="961"/>
      <c r="BD260" s="974"/>
      <c r="BE260" s="1417"/>
      <c r="BF260" s="1417"/>
      <c r="BG260" s="1417">
        <f t="shared" si="328"/>
        <v>123.63250000000001</v>
      </c>
      <c r="BH260" s="1417">
        <f t="shared" si="329"/>
        <v>187.49166666666665</v>
      </c>
      <c r="BI260" s="1417">
        <f t="shared" si="330"/>
        <v>173.85416666666666</v>
      </c>
      <c r="BJ260" s="1417">
        <f t="shared" si="331"/>
        <v>154.56</v>
      </c>
      <c r="BK260" s="1417">
        <f t="shared" si="332"/>
        <v>139.26749999999998</v>
      </c>
      <c r="BL260" s="1417">
        <f t="shared" si="333"/>
        <v>119.63749999999999</v>
      </c>
      <c r="BM260" s="1417">
        <f t="shared" si="334"/>
        <v>146.11583333333334</v>
      </c>
      <c r="BN260" s="1417">
        <f t="shared" si="335"/>
        <v>126.98750000000001</v>
      </c>
      <c r="BO260" s="1417">
        <f t="shared" si="336"/>
        <v>93.02000000000001</v>
      </c>
      <c r="BP260" s="1417">
        <f t="shared" si="337"/>
        <v>86.04</v>
      </c>
      <c r="BQ260" s="949"/>
      <c r="BR260" s="950"/>
      <c r="BU260" s="922"/>
      <c r="BV260" s="921"/>
      <c r="BW260" s="921"/>
      <c r="BX260" s="921"/>
    </row>
    <row r="261" spans="2:76" ht="12.75" customHeight="1">
      <c r="B261" s="1080"/>
      <c r="C261" s="1457" t="s">
        <v>705</v>
      </c>
      <c r="D261" s="1189"/>
      <c r="E261" s="1189"/>
      <c r="F261" s="1190"/>
      <c r="G261" s="1181"/>
      <c r="H261" s="1177"/>
      <c r="I261" s="1177"/>
      <c r="J261" s="1182"/>
      <c r="K261" s="1181"/>
      <c r="L261" s="1177"/>
      <c r="M261" s="1177"/>
      <c r="N261" s="1182"/>
      <c r="O261" s="1193">
        <v>110</v>
      </c>
      <c r="P261" s="1194">
        <v>117.79</v>
      </c>
      <c r="Q261" s="1194">
        <v>133.37</v>
      </c>
      <c r="R261" s="1195">
        <v>133.37</v>
      </c>
      <c r="S261" s="1193">
        <v>133.37</v>
      </c>
      <c r="T261" s="1194">
        <v>164.29666666666665</v>
      </c>
      <c r="U261" s="1194">
        <v>226.15</v>
      </c>
      <c r="V261" s="1195">
        <v>226.15</v>
      </c>
      <c r="W261" s="1194">
        <v>226.15</v>
      </c>
      <c r="X261" s="1194">
        <v>196.26666666666665</v>
      </c>
      <c r="Y261" s="1194">
        <v>136.5</v>
      </c>
      <c r="Z261" s="1195">
        <v>136.5</v>
      </c>
      <c r="AA261" s="1194">
        <v>136.5</v>
      </c>
      <c r="AB261" s="1194">
        <v>146.82</v>
      </c>
      <c r="AC261" s="1194">
        <v>167.46</v>
      </c>
      <c r="AD261" s="1195">
        <v>167.46</v>
      </c>
      <c r="AE261" s="1194">
        <v>167.46</v>
      </c>
      <c r="AF261" s="1194">
        <v>151.35</v>
      </c>
      <c r="AG261" s="1194">
        <v>119.13</v>
      </c>
      <c r="AH261" s="1195">
        <v>119.13</v>
      </c>
      <c r="AI261" s="1200">
        <v>119.13</v>
      </c>
      <c r="AJ261" s="1200">
        <v>119.41999999999999</v>
      </c>
      <c r="AK261" s="1200">
        <v>120</v>
      </c>
      <c r="AL261" s="1201">
        <v>120</v>
      </c>
      <c r="AM261" s="1200">
        <v>120</v>
      </c>
      <c r="AN261" s="1200">
        <v>134.92333333333335</v>
      </c>
      <c r="AO261" s="1200">
        <v>164.77</v>
      </c>
      <c r="AP261" s="1201">
        <v>164.77</v>
      </c>
      <c r="AQ261" s="1200">
        <v>164.77</v>
      </c>
      <c r="AR261" s="1200">
        <v>143.18</v>
      </c>
      <c r="AS261" s="1200">
        <v>100</v>
      </c>
      <c r="AT261" s="1201">
        <v>100</v>
      </c>
      <c r="AU261" s="1200">
        <v>100</v>
      </c>
      <c r="AV261" s="1200">
        <v>100</v>
      </c>
      <c r="AW261" s="1200">
        <v>86.04</v>
      </c>
      <c r="AX261" s="1201">
        <v>86.04</v>
      </c>
      <c r="AY261" s="1848">
        <v>86.04</v>
      </c>
      <c r="AZ261" s="1200">
        <v>86.04</v>
      </c>
      <c r="BA261" s="1200">
        <v>86.04</v>
      </c>
      <c r="BB261" s="1450">
        <v>86.04</v>
      </c>
      <c r="BC261" s="961"/>
      <c r="BD261" s="974"/>
      <c r="BE261" s="1417"/>
      <c r="BF261" s="1417"/>
      <c r="BG261" s="1417">
        <f t="shared" si="328"/>
        <v>123.63250000000001</v>
      </c>
      <c r="BH261" s="1417">
        <f t="shared" si="329"/>
        <v>187.49166666666665</v>
      </c>
      <c r="BI261" s="1417">
        <f t="shared" si="330"/>
        <v>173.85416666666666</v>
      </c>
      <c r="BJ261" s="1417">
        <f t="shared" si="331"/>
        <v>154.56</v>
      </c>
      <c r="BK261" s="1417">
        <f t="shared" si="332"/>
        <v>139.26749999999998</v>
      </c>
      <c r="BL261" s="1417">
        <f t="shared" si="333"/>
        <v>119.63749999999999</v>
      </c>
      <c r="BM261" s="1417">
        <f t="shared" si="334"/>
        <v>146.11583333333334</v>
      </c>
      <c r="BN261" s="1417">
        <f t="shared" si="335"/>
        <v>126.98750000000001</v>
      </c>
      <c r="BO261" s="1417">
        <f t="shared" si="336"/>
        <v>93.02000000000001</v>
      </c>
      <c r="BP261" s="1417">
        <f t="shared" si="337"/>
        <v>86.04</v>
      </c>
      <c r="BQ261" s="949"/>
      <c r="BR261" s="950"/>
      <c r="BU261" s="922"/>
      <c r="BV261" s="921"/>
      <c r="BW261" s="921"/>
      <c r="BX261" s="921"/>
    </row>
    <row r="262" spans="2:76" ht="12.75" customHeight="1">
      <c r="B262" s="1080"/>
      <c r="C262" s="1457" t="s">
        <v>706</v>
      </c>
      <c r="D262" s="1189"/>
      <c r="E262" s="1189"/>
      <c r="F262" s="1190"/>
      <c r="G262" s="1181"/>
      <c r="H262" s="1177"/>
      <c r="I262" s="1177"/>
      <c r="J262" s="1182"/>
      <c r="K262" s="1181"/>
      <c r="L262" s="1177"/>
      <c r="M262" s="1177"/>
      <c r="N262" s="1182"/>
      <c r="O262" s="1193">
        <v>110</v>
      </c>
      <c r="P262" s="1194">
        <v>119.91</v>
      </c>
      <c r="Q262" s="1194">
        <v>139.72999999999999</v>
      </c>
      <c r="R262" s="1195">
        <v>139.72999999999999</v>
      </c>
      <c r="S262" s="1193">
        <v>139.72999999999999</v>
      </c>
      <c r="T262" s="1194">
        <v>174.82</v>
      </c>
      <c r="U262" s="1194">
        <v>245</v>
      </c>
      <c r="V262" s="1195">
        <v>245</v>
      </c>
      <c r="W262" s="1194">
        <v>245</v>
      </c>
      <c r="X262" s="1194">
        <v>208.83333333333334</v>
      </c>
      <c r="Y262" s="1194">
        <v>136.5</v>
      </c>
      <c r="Z262" s="1195">
        <v>136.5</v>
      </c>
      <c r="AA262" s="1194">
        <v>136.5</v>
      </c>
      <c r="AB262" s="1194">
        <v>146.82</v>
      </c>
      <c r="AC262" s="1194">
        <v>167.46</v>
      </c>
      <c r="AD262" s="1195">
        <v>167.46</v>
      </c>
      <c r="AE262" s="1194">
        <v>167.46</v>
      </c>
      <c r="AF262" s="1194">
        <v>151.35</v>
      </c>
      <c r="AG262" s="1194">
        <v>119.13</v>
      </c>
      <c r="AH262" s="1195">
        <v>119.13</v>
      </c>
      <c r="AI262" s="1200">
        <v>119.13</v>
      </c>
      <c r="AJ262" s="1200">
        <v>119.41999999999999</v>
      </c>
      <c r="AK262" s="1200">
        <v>120</v>
      </c>
      <c r="AL262" s="1201">
        <v>120</v>
      </c>
      <c r="AM262" s="1200">
        <v>120</v>
      </c>
      <c r="AN262" s="1200">
        <v>155.13999999999999</v>
      </c>
      <c r="AO262" s="1200">
        <v>225.42</v>
      </c>
      <c r="AP262" s="1201">
        <v>225.42</v>
      </c>
      <c r="AQ262" s="1200">
        <v>225.42</v>
      </c>
      <c r="AR262" s="1200">
        <v>190.27999999999997</v>
      </c>
      <c r="AS262" s="1200">
        <v>120</v>
      </c>
      <c r="AT262" s="1201">
        <v>120</v>
      </c>
      <c r="AU262" s="1200">
        <v>120</v>
      </c>
      <c r="AV262" s="1200">
        <v>142.62333333333333</v>
      </c>
      <c r="AW262" s="1200">
        <v>187.87</v>
      </c>
      <c r="AX262" s="1201">
        <v>187.87</v>
      </c>
      <c r="AY262" s="1848">
        <v>187.87</v>
      </c>
      <c r="AZ262" s="1200">
        <v>187.87</v>
      </c>
      <c r="BA262" s="1200">
        <v>187.87</v>
      </c>
      <c r="BB262" s="1450">
        <v>187.87</v>
      </c>
      <c r="BC262" s="974"/>
      <c r="BD262" s="974"/>
      <c r="BE262" s="1417"/>
      <c r="BF262" s="1417"/>
      <c r="BG262" s="1417">
        <f t="shared" si="328"/>
        <v>127.3425</v>
      </c>
      <c r="BH262" s="1417">
        <f t="shared" si="329"/>
        <v>201.13749999999999</v>
      </c>
      <c r="BI262" s="1417">
        <f t="shared" si="330"/>
        <v>181.70833333333334</v>
      </c>
      <c r="BJ262" s="1417">
        <f t="shared" si="331"/>
        <v>154.56</v>
      </c>
      <c r="BK262" s="1417">
        <f t="shared" si="332"/>
        <v>139.26749999999998</v>
      </c>
      <c r="BL262" s="1417">
        <f t="shared" si="333"/>
        <v>119.63749999999999</v>
      </c>
      <c r="BM262" s="1417">
        <f t="shared" si="334"/>
        <v>181.49499999999998</v>
      </c>
      <c r="BN262" s="1417">
        <f t="shared" si="335"/>
        <v>163.92499999999998</v>
      </c>
      <c r="BO262" s="1417">
        <f t="shared" si="336"/>
        <v>159.59083333333334</v>
      </c>
      <c r="BP262" s="1417">
        <f t="shared" si="337"/>
        <v>187.87</v>
      </c>
      <c r="BQ262" s="949"/>
      <c r="BR262" s="950"/>
      <c r="BU262" s="922"/>
      <c r="BV262" s="921"/>
      <c r="BW262" s="921"/>
      <c r="BX262" s="921"/>
    </row>
    <row r="263" spans="2:76" ht="12.75" customHeight="1">
      <c r="B263" s="1080"/>
      <c r="C263" s="1457" t="s">
        <v>707</v>
      </c>
      <c r="D263" s="1189"/>
      <c r="E263" s="1189"/>
      <c r="F263" s="1190"/>
      <c r="G263" s="1181"/>
      <c r="H263" s="1177"/>
      <c r="I263" s="1177"/>
      <c r="J263" s="1182"/>
      <c r="K263" s="1181"/>
      <c r="L263" s="1177"/>
      <c r="M263" s="1177"/>
      <c r="N263" s="1182"/>
      <c r="O263" s="1193">
        <v>110</v>
      </c>
      <c r="P263" s="1194">
        <v>119.91</v>
      </c>
      <c r="Q263" s="1194">
        <v>139.72999999999999</v>
      </c>
      <c r="R263" s="1195">
        <v>139.72999999999999</v>
      </c>
      <c r="S263" s="1193">
        <v>139.72999999999999</v>
      </c>
      <c r="T263" s="1194">
        <v>174.82</v>
      </c>
      <c r="U263" s="1194">
        <v>245</v>
      </c>
      <c r="V263" s="1195">
        <v>245</v>
      </c>
      <c r="W263" s="1194">
        <v>245</v>
      </c>
      <c r="X263" s="1194">
        <v>208.83333333333334</v>
      </c>
      <c r="Y263" s="1194">
        <v>136.5</v>
      </c>
      <c r="Z263" s="1195">
        <v>136.5</v>
      </c>
      <c r="AA263" s="1194">
        <v>136.5</v>
      </c>
      <c r="AB263" s="1194">
        <v>146.82</v>
      </c>
      <c r="AC263" s="1194">
        <v>167.46</v>
      </c>
      <c r="AD263" s="1195">
        <v>167.46</v>
      </c>
      <c r="AE263" s="1194">
        <v>167.46</v>
      </c>
      <c r="AF263" s="1194">
        <v>151.35</v>
      </c>
      <c r="AG263" s="1194">
        <v>119.13</v>
      </c>
      <c r="AH263" s="1195">
        <v>119.13</v>
      </c>
      <c r="AI263" s="1200">
        <v>119.13</v>
      </c>
      <c r="AJ263" s="1200">
        <v>119.41999999999999</v>
      </c>
      <c r="AK263" s="1200">
        <v>120</v>
      </c>
      <c r="AL263" s="1201">
        <v>120</v>
      </c>
      <c r="AM263" s="1200">
        <v>120</v>
      </c>
      <c r="AN263" s="1200">
        <v>155.13999999999999</v>
      </c>
      <c r="AO263" s="1200">
        <v>225.42</v>
      </c>
      <c r="AP263" s="1201">
        <v>225.42</v>
      </c>
      <c r="AQ263" s="1200">
        <v>225.42</v>
      </c>
      <c r="AR263" s="1200">
        <v>190.20333333333332</v>
      </c>
      <c r="AS263" s="1200">
        <v>119.77</v>
      </c>
      <c r="AT263" s="1201">
        <v>119.77</v>
      </c>
      <c r="AU263" s="1200">
        <v>119.77</v>
      </c>
      <c r="AV263" s="1200">
        <v>119.77</v>
      </c>
      <c r="AW263" s="1200">
        <v>187.87</v>
      </c>
      <c r="AX263" s="1201">
        <v>187.87</v>
      </c>
      <c r="AY263" s="1848">
        <v>187.87</v>
      </c>
      <c r="AZ263" s="1200">
        <v>187.87</v>
      </c>
      <c r="BA263" s="1200">
        <v>187.87</v>
      </c>
      <c r="BB263" s="1450">
        <v>187.87</v>
      </c>
      <c r="BC263" s="974"/>
      <c r="BD263" s="974"/>
      <c r="BE263" s="1417"/>
      <c r="BF263" s="1417"/>
      <c r="BG263" s="1417">
        <f t="shared" si="328"/>
        <v>127.3425</v>
      </c>
      <c r="BH263" s="1417">
        <f t="shared" si="329"/>
        <v>201.13749999999999</v>
      </c>
      <c r="BI263" s="1417">
        <f t="shared" si="330"/>
        <v>181.70833333333334</v>
      </c>
      <c r="BJ263" s="1417">
        <f t="shared" si="331"/>
        <v>154.56</v>
      </c>
      <c r="BK263" s="1417">
        <f t="shared" si="332"/>
        <v>139.26749999999998</v>
      </c>
      <c r="BL263" s="1417">
        <f t="shared" si="333"/>
        <v>119.63749999999999</v>
      </c>
      <c r="BM263" s="1417">
        <f t="shared" si="334"/>
        <v>181.49499999999998</v>
      </c>
      <c r="BN263" s="1417">
        <f t="shared" si="335"/>
        <v>163.79083333333332</v>
      </c>
      <c r="BO263" s="1417">
        <f t="shared" si="336"/>
        <v>153.82</v>
      </c>
      <c r="BP263" s="1417">
        <f t="shared" si="337"/>
        <v>187.87</v>
      </c>
      <c r="BQ263" s="949"/>
      <c r="BR263" s="950"/>
      <c r="BU263" s="922"/>
      <c r="BV263" s="921"/>
      <c r="BW263" s="921"/>
      <c r="BX263" s="921"/>
    </row>
    <row r="264" spans="2:76" ht="12.75" customHeight="1">
      <c r="B264" s="1080"/>
      <c r="C264" s="1457" t="s">
        <v>708</v>
      </c>
      <c r="D264" s="1189"/>
      <c r="E264" s="1189"/>
      <c r="F264" s="1190"/>
      <c r="G264" s="1181"/>
      <c r="H264" s="1177"/>
      <c r="I264" s="1177"/>
      <c r="J264" s="1182"/>
      <c r="K264" s="1181"/>
      <c r="L264" s="1177"/>
      <c r="M264" s="1177"/>
      <c r="N264" s="1182"/>
      <c r="O264" s="1193">
        <v>110</v>
      </c>
      <c r="P264" s="1194">
        <v>78.819999999999993</v>
      </c>
      <c r="Q264" s="1194">
        <v>16.46</v>
      </c>
      <c r="R264" s="1195">
        <v>16.46</v>
      </c>
      <c r="S264" s="1193">
        <v>16.46</v>
      </c>
      <c r="T264" s="1194">
        <v>20.216666666666669</v>
      </c>
      <c r="U264" s="1194">
        <v>27.73</v>
      </c>
      <c r="V264" s="1195">
        <v>27.73</v>
      </c>
      <c r="W264" s="1194">
        <v>27.73</v>
      </c>
      <c r="X264" s="1194">
        <v>60.483333333333327</v>
      </c>
      <c r="Y264" s="1194">
        <v>125.99</v>
      </c>
      <c r="Z264" s="1195">
        <v>125.99</v>
      </c>
      <c r="AA264" s="1194">
        <v>125.99</v>
      </c>
      <c r="AB264" s="1194">
        <v>129.32666666666668</v>
      </c>
      <c r="AC264" s="1194">
        <v>136</v>
      </c>
      <c r="AD264" s="1195">
        <v>136</v>
      </c>
      <c r="AE264" s="1194">
        <v>136</v>
      </c>
      <c r="AF264" s="1194">
        <v>110.45666666666666</v>
      </c>
      <c r="AG264" s="1194">
        <v>59.37</v>
      </c>
      <c r="AH264" s="1195">
        <v>59.37</v>
      </c>
      <c r="AI264" s="1200">
        <v>59.37</v>
      </c>
      <c r="AJ264" s="1200">
        <v>79.58</v>
      </c>
      <c r="AK264" s="1200">
        <v>120</v>
      </c>
      <c r="AL264" s="1201">
        <v>120</v>
      </c>
      <c r="AM264" s="1200">
        <v>120</v>
      </c>
      <c r="AN264" s="1200">
        <v>151.66666666666666</v>
      </c>
      <c r="AO264" s="1200">
        <v>215</v>
      </c>
      <c r="AP264" s="1201">
        <v>215</v>
      </c>
      <c r="AQ264" s="1200">
        <v>215</v>
      </c>
      <c r="AR264" s="1200">
        <v>210.92333333333332</v>
      </c>
      <c r="AS264" s="1200">
        <v>202.77</v>
      </c>
      <c r="AT264" s="1201">
        <v>202.77</v>
      </c>
      <c r="AU264" s="1200">
        <v>202.77</v>
      </c>
      <c r="AV264" s="1200">
        <v>202.77</v>
      </c>
      <c r="AW264" s="1200">
        <v>188.12</v>
      </c>
      <c r="AX264" s="1201">
        <v>188.12</v>
      </c>
      <c r="AY264" s="1848">
        <v>188.12</v>
      </c>
      <c r="AZ264" s="1200">
        <v>188.12</v>
      </c>
      <c r="BA264" s="1200">
        <v>188.12</v>
      </c>
      <c r="BB264" s="1450">
        <v>188.12</v>
      </c>
      <c r="BC264" s="974"/>
      <c r="BD264" s="974"/>
      <c r="BE264" s="1417"/>
      <c r="BF264" s="1417"/>
      <c r="BG264" s="1417">
        <f t="shared" si="328"/>
        <v>55.435000000000002</v>
      </c>
      <c r="BH264" s="1417">
        <f t="shared" si="329"/>
        <v>23.034166666666668</v>
      </c>
      <c r="BI264" s="1417">
        <f t="shared" si="330"/>
        <v>85.048333333333332</v>
      </c>
      <c r="BJ264" s="1417">
        <f t="shared" si="331"/>
        <v>131.82916666666665</v>
      </c>
      <c r="BK264" s="1417">
        <f t="shared" si="332"/>
        <v>91.299166666666665</v>
      </c>
      <c r="BL264" s="1417">
        <f t="shared" si="333"/>
        <v>94.737499999999997</v>
      </c>
      <c r="BM264" s="1417">
        <f t="shared" si="334"/>
        <v>175.41666666666666</v>
      </c>
      <c r="BN264" s="1417">
        <f t="shared" si="335"/>
        <v>207.86583333333331</v>
      </c>
      <c r="BO264" s="1417">
        <f t="shared" si="336"/>
        <v>195.44500000000002</v>
      </c>
      <c r="BP264" s="1417">
        <f t="shared" si="337"/>
        <v>188.12</v>
      </c>
      <c r="BQ264" s="949"/>
      <c r="BR264" s="950"/>
      <c r="BU264" s="922"/>
      <c r="BV264" s="921"/>
      <c r="BW264" s="921"/>
      <c r="BX264" s="921"/>
    </row>
    <row r="265" spans="2:76" ht="12.75" customHeight="1">
      <c r="B265" s="1080"/>
      <c r="C265" s="1457" t="s">
        <v>709</v>
      </c>
      <c r="D265" s="1189"/>
      <c r="E265" s="1189"/>
      <c r="F265" s="1190"/>
      <c r="G265" s="1181"/>
      <c r="H265" s="1177"/>
      <c r="I265" s="1177"/>
      <c r="J265" s="1182"/>
      <c r="K265" s="1181"/>
      <c r="L265" s="1177"/>
      <c r="M265" s="1177"/>
      <c r="N265" s="1182"/>
      <c r="O265" s="1193">
        <v>110</v>
      </c>
      <c r="P265" s="1194">
        <v>135</v>
      </c>
      <c r="Q265" s="1194">
        <v>185</v>
      </c>
      <c r="R265" s="1195">
        <v>185</v>
      </c>
      <c r="S265" s="1193">
        <v>185</v>
      </c>
      <c r="T265" s="1194">
        <v>205</v>
      </c>
      <c r="U265" s="1194">
        <v>245</v>
      </c>
      <c r="V265" s="1195">
        <v>245</v>
      </c>
      <c r="W265" s="1194">
        <v>245</v>
      </c>
      <c r="X265" s="1194">
        <v>238.33333333333334</v>
      </c>
      <c r="Y265" s="1194">
        <v>225</v>
      </c>
      <c r="Z265" s="1195">
        <v>225</v>
      </c>
      <c r="AA265" s="1194">
        <v>225</v>
      </c>
      <c r="AB265" s="1194">
        <v>205.82</v>
      </c>
      <c r="AC265" s="1194">
        <v>167.46</v>
      </c>
      <c r="AD265" s="1195">
        <v>167.46</v>
      </c>
      <c r="AE265" s="1194">
        <v>167.46</v>
      </c>
      <c r="AF265" s="1194">
        <v>184.64</v>
      </c>
      <c r="AG265" s="1194">
        <v>219</v>
      </c>
      <c r="AH265" s="1195">
        <v>219</v>
      </c>
      <c r="AI265" s="1200">
        <v>219</v>
      </c>
      <c r="AJ265" s="1200">
        <v>217.66666666666666</v>
      </c>
      <c r="AK265" s="1200">
        <v>215</v>
      </c>
      <c r="AL265" s="1201">
        <v>215</v>
      </c>
      <c r="AM265" s="1200">
        <v>215</v>
      </c>
      <c r="AN265" s="1200">
        <v>218.4733333333333</v>
      </c>
      <c r="AO265" s="1200">
        <v>225.42</v>
      </c>
      <c r="AP265" s="1201">
        <v>225.42</v>
      </c>
      <c r="AQ265" s="1200">
        <v>225.42</v>
      </c>
      <c r="AR265" s="1200">
        <v>190.27999999999997</v>
      </c>
      <c r="AS265" s="1200">
        <v>120</v>
      </c>
      <c r="AT265" s="1201">
        <v>120</v>
      </c>
      <c r="AU265" s="1200">
        <v>120</v>
      </c>
      <c r="AV265" s="1200">
        <v>142.62333333333333</v>
      </c>
      <c r="AW265" s="1200">
        <v>187.87</v>
      </c>
      <c r="AX265" s="1201">
        <v>187.87</v>
      </c>
      <c r="AY265" s="1848">
        <v>187.87</v>
      </c>
      <c r="AZ265" s="1200">
        <v>187.87</v>
      </c>
      <c r="BA265" s="1200">
        <v>187.87</v>
      </c>
      <c r="BB265" s="1450">
        <v>187.87</v>
      </c>
      <c r="BC265" s="974"/>
      <c r="BD265" s="974"/>
      <c r="BE265" s="1417"/>
      <c r="BF265" s="1417"/>
      <c r="BG265" s="1417">
        <f t="shared" si="328"/>
        <v>153.75</v>
      </c>
      <c r="BH265" s="1417">
        <f t="shared" si="329"/>
        <v>220</v>
      </c>
      <c r="BI265" s="1417">
        <f t="shared" si="330"/>
        <v>233.33333333333334</v>
      </c>
      <c r="BJ265" s="1417">
        <f t="shared" si="331"/>
        <v>191.435</v>
      </c>
      <c r="BK265" s="1417">
        <f t="shared" si="332"/>
        <v>197.52500000000001</v>
      </c>
      <c r="BL265" s="1417">
        <f t="shared" si="333"/>
        <v>216.66666666666666</v>
      </c>
      <c r="BM265" s="1417">
        <f t="shared" si="334"/>
        <v>221.07833333333332</v>
      </c>
      <c r="BN265" s="1417">
        <f t="shared" si="335"/>
        <v>163.92499999999998</v>
      </c>
      <c r="BO265" s="1417">
        <f t="shared" si="336"/>
        <v>159.59083333333334</v>
      </c>
      <c r="BP265" s="1417">
        <f t="shared" si="337"/>
        <v>187.87</v>
      </c>
      <c r="BQ265" s="949"/>
      <c r="BR265" s="950"/>
      <c r="BU265" s="922"/>
      <c r="BV265" s="921"/>
      <c r="BW265" s="921"/>
      <c r="BX265" s="921"/>
    </row>
    <row r="266" spans="2:76" ht="12.75" customHeight="1">
      <c r="B266" s="1080"/>
      <c r="C266" s="1457" t="s">
        <v>710</v>
      </c>
      <c r="D266" s="1189"/>
      <c r="E266" s="1189"/>
      <c r="F266" s="1190"/>
      <c r="G266" s="1181"/>
      <c r="H266" s="1177"/>
      <c r="I266" s="1177"/>
      <c r="J266" s="1182"/>
      <c r="K266" s="1181"/>
      <c r="L266" s="1177"/>
      <c r="M266" s="1177"/>
      <c r="N266" s="1182"/>
      <c r="O266" s="1193">
        <v>5</v>
      </c>
      <c r="P266" s="1194">
        <v>29</v>
      </c>
      <c r="Q266" s="1194">
        <v>41</v>
      </c>
      <c r="R266" s="1195">
        <v>31.666666666666668</v>
      </c>
      <c r="S266" s="1193">
        <v>27</v>
      </c>
      <c r="T266" s="1194">
        <v>101</v>
      </c>
      <c r="U266" s="1194">
        <v>138</v>
      </c>
      <c r="V266" s="1195">
        <v>108.66666666666667</v>
      </c>
      <c r="W266" s="1194">
        <v>94</v>
      </c>
      <c r="X266" s="1186">
        <v>144</v>
      </c>
      <c r="Y266" s="1186">
        <v>169</v>
      </c>
      <c r="Z266" s="1180">
        <v>108.38812785388127</v>
      </c>
      <c r="AA266" s="1178">
        <v>78.082191780821915</v>
      </c>
      <c r="AB266" s="1178">
        <v>103.83561643835614</v>
      </c>
      <c r="AC266" s="1178">
        <v>116.71232876712327</v>
      </c>
      <c r="AD266" s="1180">
        <v>63.452054794520535</v>
      </c>
      <c r="AE266" s="1171">
        <v>36.821917808219183</v>
      </c>
      <c r="AF266" s="1171">
        <v>91.61643835616438</v>
      </c>
      <c r="AG266" s="1171">
        <v>119.01369863013699</v>
      </c>
      <c r="AH266" s="1170">
        <v>56.109589041095887</v>
      </c>
      <c r="AI266" s="1197">
        <v>24.657534246575342</v>
      </c>
      <c r="AJ266" s="1197">
        <v>101.36986301369862</v>
      </c>
      <c r="AK266" s="1197">
        <v>139.72602739726028</v>
      </c>
      <c r="AL266" s="1196">
        <v>75.06849315068493</v>
      </c>
      <c r="AM266" s="1197">
        <v>42.739726027397268</v>
      </c>
      <c r="AN266" s="1197">
        <v>123.83561643835615</v>
      </c>
      <c r="AO266" s="1197">
        <v>164.38356164383561</v>
      </c>
      <c r="AP266" s="1196">
        <v>83.287671232876704</v>
      </c>
      <c r="AQ266" s="1197">
        <v>42.739726027397268</v>
      </c>
      <c r="AR266" s="1197">
        <v>123.83561643835615</v>
      </c>
      <c r="AS266" s="1197">
        <v>164.38356164383561</v>
      </c>
      <c r="AT266" s="1196">
        <v>83.287671232876704</v>
      </c>
      <c r="AU266" s="1197">
        <v>42.739726027397268</v>
      </c>
      <c r="AV266" s="1197">
        <v>123.83561643835615</v>
      </c>
      <c r="AW266" s="1197">
        <v>164.38356164383561</v>
      </c>
      <c r="AX266" s="1196">
        <v>83.287671232876704</v>
      </c>
      <c r="AY266" s="1849">
        <v>42.739726027397268</v>
      </c>
      <c r="AZ266" s="1197">
        <v>123.83561643835615</v>
      </c>
      <c r="BA266" s="1197">
        <v>164.38356164383561</v>
      </c>
      <c r="BB266" s="1451">
        <v>83.287671232876704</v>
      </c>
      <c r="BC266" s="974"/>
      <c r="BD266" s="974"/>
      <c r="BE266" s="1417"/>
      <c r="BF266" s="1417"/>
      <c r="BG266" s="1417">
        <f t="shared" si="328"/>
        <v>26.666666666666668</v>
      </c>
      <c r="BH266" s="1417">
        <f t="shared" si="329"/>
        <v>93.666666666666671</v>
      </c>
      <c r="BI266" s="1417">
        <f t="shared" si="330"/>
        <v>128.84703196347033</v>
      </c>
      <c r="BJ266" s="1417">
        <f t="shared" si="331"/>
        <v>90.520547945205465</v>
      </c>
      <c r="BK266" s="1417">
        <f t="shared" si="332"/>
        <v>75.890410958904113</v>
      </c>
      <c r="BL266" s="1417">
        <f t="shared" si="333"/>
        <v>85.205479452054789</v>
      </c>
      <c r="BM266" s="1417">
        <f t="shared" si="334"/>
        <v>103.56164383561642</v>
      </c>
      <c r="BN266" s="1417">
        <f t="shared" si="335"/>
        <v>103.56164383561642</v>
      </c>
      <c r="BO266" s="1417">
        <f t="shared" si="336"/>
        <v>103.56164383561642</v>
      </c>
      <c r="BP266" s="1417">
        <f t="shared" si="337"/>
        <v>103.56164383561642</v>
      </c>
      <c r="BQ266" s="949"/>
      <c r="BR266" s="950"/>
      <c r="BU266" s="922"/>
      <c r="BV266" s="921"/>
      <c r="BW266" s="921"/>
      <c r="BX266" s="921"/>
    </row>
    <row r="267" spans="2:76" ht="12.75" customHeight="1">
      <c r="B267" s="1080"/>
      <c r="C267" s="1457" t="s">
        <v>711</v>
      </c>
      <c r="D267" s="1189"/>
      <c r="E267" s="1189"/>
      <c r="F267" s="1190"/>
      <c r="G267" s="1181"/>
      <c r="H267" s="1177"/>
      <c r="I267" s="1177"/>
      <c r="J267" s="1182"/>
      <c r="K267" s="1181"/>
      <c r="L267" s="1177"/>
      <c r="M267" s="1177"/>
      <c r="N267" s="1182"/>
      <c r="O267" s="1193">
        <v>89</v>
      </c>
      <c r="P267" s="1194">
        <v>286.33333333333331</v>
      </c>
      <c r="Q267" s="1194">
        <v>385</v>
      </c>
      <c r="R267" s="1195">
        <v>227</v>
      </c>
      <c r="S267" s="1193">
        <v>148</v>
      </c>
      <c r="T267" s="1194">
        <v>374</v>
      </c>
      <c r="U267" s="1194">
        <v>487</v>
      </c>
      <c r="V267" s="1195">
        <v>326.33333333333331</v>
      </c>
      <c r="W267" s="1194">
        <v>246</v>
      </c>
      <c r="X267" s="1186">
        <v>437.33333333333331</v>
      </c>
      <c r="Y267" s="1186">
        <v>533</v>
      </c>
      <c r="Z267" s="1180">
        <v>374.05022831050229</v>
      </c>
      <c r="AA267" s="1178">
        <v>294.57534246575347</v>
      </c>
      <c r="AB267" s="1178">
        <v>441.20547945205482</v>
      </c>
      <c r="AC267" s="1178">
        <v>514.52054794520552</v>
      </c>
      <c r="AD267" s="1180">
        <v>299.28767123287673</v>
      </c>
      <c r="AE267" s="1171">
        <v>191.67123287671237</v>
      </c>
      <c r="AF267" s="1171">
        <v>304.76712328767127</v>
      </c>
      <c r="AG267" s="1171">
        <v>361.3150684931507</v>
      </c>
      <c r="AH267" s="1170">
        <v>197.15068493150685</v>
      </c>
      <c r="AI267" s="1197">
        <v>115.06849315068493</v>
      </c>
      <c r="AJ267" s="1197">
        <v>306.84931506849313</v>
      </c>
      <c r="AK267" s="1197">
        <v>402.73972602739724</v>
      </c>
      <c r="AL267" s="1196">
        <v>240.10958904109589</v>
      </c>
      <c r="AM267" s="1197">
        <v>158.79452054794521</v>
      </c>
      <c r="AN267" s="1197">
        <v>321.42465753424653</v>
      </c>
      <c r="AO267" s="1197">
        <v>402.73972602739724</v>
      </c>
      <c r="AP267" s="1196">
        <v>240.10958904109589</v>
      </c>
      <c r="AQ267" s="1197">
        <v>158.79452054794521</v>
      </c>
      <c r="AR267" s="1197">
        <v>321.42465753424653</v>
      </c>
      <c r="AS267" s="1197">
        <v>402.73972602739724</v>
      </c>
      <c r="AT267" s="1196">
        <v>240.10958904109589</v>
      </c>
      <c r="AU267" s="1197">
        <v>158.79452054794521</v>
      </c>
      <c r="AV267" s="1197">
        <v>321.42465753424653</v>
      </c>
      <c r="AW267" s="1197">
        <v>402.73972602739724</v>
      </c>
      <c r="AX267" s="1196">
        <v>240.10958904109589</v>
      </c>
      <c r="AY267" s="1849">
        <v>158.79452054794521</v>
      </c>
      <c r="AZ267" s="1197">
        <v>321.42465753424653</v>
      </c>
      <c r="BA267" s="1197">
        <v>402.73972602739724</v>
      </c>
      <c r="BB267" s="1451">
        <v>240.10958904109589</v>
      </c>
      <c r="BC267" s="974"/>
      <c r="BD267" s="974"/>
      <c r="BE267" s="1417"/>
      <c r="BF267" s="1417"/>
      <c r="BG267" s="1417">
        <f t="shared" si="328"/>
        <v>246.83333333333331</v>
      </c>
      <c r="BH267" s="1417">
        <f t="shared" si="329"/>
        <v>333.83333333333331</v>
      </c>
      <c r="BI267" s="1417">
        <f t="shared" si="330"/>
        <v>397.59589041095887</v>
      </c>
      <c r="BJ267" s="1417">
        <f t="shared" si="331"/>
        <v>387.39726027397262</v>
      </c>
      <c r="BK267" s="1417">
        <f t="shared" si="332"/>
        <v>263.72602739726034</v>
      </c>
      <c r="BL267" s="1417">
        <f t="shared" si="333"/>
        <v>266.1917808219178</v>
      </c>
      <c r="BM267" s="1417">
        <f t="shared" si="334"/>
        <v>280.76712328767121</v>
      </c>
      <c r="BN267" s="1417">
        <f t="shared" si="335"/>
        <v>280.76712328767121</v>
      </c>
      <c r="BO267" s="1417">
        <f t="shared" si="336"/>
        <v>280.76712328767121</v>
      </c>
      <c r="BP267" s="1417">
        <f t="shared" si="337"/>
        <v>280.76712328767121</v>
      </c>
      <c r="BQ267" s="949"/>
      <c r="BR267" s="950"/>
      <c r="BU267" s="922"/>
      <c r="BV267" s="921"/>
      <c r="BW267" s="921"/>
      <c r="BX267" s="921"/>
    </row>
    <row r="268" spans="2:76" ht="12.75" customHeight="1">
      <c r="B268" s="1080"/>
      <c r="C268" s="1457" t="s">
        <v>603</v>
      </c>
      <c r="D268" s="1189"/>
      <c r="E268" s="1189"/>
      <c r="F268" s="1190"/>
      <c r="G268" s="1181"/>
      <c r="H268" s="1177"/>
      <c r="I268" s="1177"/>
      <c r="J268" s="1182"/>
      <c r="K268" s="1181"/>
      <c r="L268" s="1177"/>
      <c r="M268" s="1177"/>
      <c r="N268" s="1182"/>
      <c r="O268" s="1193">
        <v>110</v>
      </c>
      <c r="P268" s="1194">
        <v>78.819999999999993</v>
      </c>
      <c r="Q268" s="1194">
        <v>16.46</v>
      </c>
      <c r="R268" s="1195">
        <v>16.46</v>
      </c>
      <c r="S268" s="1193">
        <v>16.46</v>
      </c>
      <c r="T268" s="1194">
        <v>20.216666666666669</v>
      </c>
      <c r="U268" s="1194">
        <v>27.73</v>
      </c>
      <c r="V268" s="1195">
        <v>27.73</v>
      </c>
      <c r="W268" s="1194">
        <v>27.73</v>
      </c>
      <c r="X268" s="1194">
        <v>60.483333333333327</v>
      </c>
      <c r="Y268" s="1194">
        <v>125.99</v>
      </c>
      <c r="Z268" s="1195">
        <v>125.99</v>
      </c>
      <c r="AA268" s="1194">
        <v>125.99</v>
      </c>
      <c r="AB268" s="1194">
        <v>129.32666666666668</v>
      </c>
      <c r="AC268" s="1194">
        <v>357</v>
      </c>
      <c r="AD268" s="1195">
        <v>357</v>
      </c>
      <c r="AE268" s="1194">
        <v>357</v>
      </c>
      <c r="AF268" s="1194">
        <v>276.07666666666665</v>
      </c>
      <c r="AG268" s="1194">
        <v>114.23</v>
      </c>
      <c r="AH268" s="1195">
        <v>114.23</v>
      </c>
      <c r="AI268" s="1200">
        <v>114.23</v>
      </c>
      <c r="AJ268" s="1200">
        <v>116.15333333333334</v>
      </c>
      <c r="AK268" s="1200">
        <v>120</v>
      </c>
      <c r="AL268" s="1201">
        <v>120</v>
      </c>
      <c r="AM268" s="1200">
        <v>120</v>
      </c>
      <c r="AN268" s="1200">
        <v>134.92333333333335</v>
      </c>
      <c r="AO268" s="1200">
        <v>164.77</v>
      </c>
      <c r="AP268" s="1201">
        <v>164.77</v>
      </c>
      <c r="AQ268" s="1200">
        <v>164.77</v>
      </c>
      <c r="AR268" s="1200">
        <v>143.18</v>
      </c>
      <c r="AS268" s="1200">
        <v>100</v>
      </c>
      <c r="AT268" s="1201">
        <v>100</v>
      </c>
      <c r="AU268" s="1200">
        <v>100</v>
      </c>
      <c r="AV268" s="1200">
        <v>100</v>
      </c>
      <c r="AW268" s="1200">
        <v>76.53</v>
      </c>
      <c r="AX268" s="1201">
        <v>76.53</v>
      </c>
      <c r="AY268" s="1848">
        <v>76.53</v>
      </c>
      <c r="AZ268" s="1200">
        <v>76.53</v>
      </c>
      <c r="BA268" s="1200">
        <v>76.53</v>
      </c>
      <c r="BB268" s="1450">
        <v>76.53</v>
      </c>
      <c r="BC268" s="974"/>
      <c r="BD268" s="974"/>
      <c r="BE268" s="1417"/>
      <c r="BF268" s="1417"/>
      <c r="BG268" s="1417">
        <f t="shared" si="328"/>
        <v>55.435000000000002</v>
      </c>
      <c r="BH268" s="1417">
        <f t="shared" si="329"/>
        <v>23.034166666666668</v>
      </c>
      <c r="BI268" s="1417">
        <f t="shared" si="330"/>
        <v>85.048333333333332</v>
      </c>
      <c r="BJ268" s="1417">
        <f t="shared" si="331"/>
        <v>242.32916666666665</v>
      </c>
      <c r="BK268" s="1417">
        <f t="shared" si="332"/>
        <v>215.38416666666666</v>
      </c>
      <c r="BL268" s="1417">
        <f t="shared" si="333"/>
        <v>117.59583333333333</v>
      </c>
      <c r="BM268" s="1417">
        <f t="shared" si="334"/>
        <v>146.11583333333334</v>
      </c>
      <c r="BN268" s="1417">
        <f t="shared" si="335"/>
        <v>126.98750000000001</v>
      </c>
      <c r="BO268" s="1417">
        <f t="shared" si="336"/>
        <v>88.264999999999986</v>
      </c>
      <c r="BP268" s="1417">
        <f t="shared" si="337"/>
        <v>76.53</v>
      </c>
      <c r="BQ268" s="949"/>
      <c r="BR268" s="950"/>
      <c r="BU268" s="922"/>
      <c r="BV268" s="921"/>
      <c r="BW268" s="921"/>
      <c r="BX268" s="921"/>
    </row>
    <row r="269" spans="2:76" ht="12.75" customHeight="1">
      <c r="B269" s="1080"/>
      <c r="C269" s="1457" t="s">
        <v>458</v>
      </c>
      <c r="D269" s="1189"/>
      <c r="E269" s="1189"/>
      <c r="F269" s="1190"/>
      <c r="G269" s="1181"/>
      <c r="H269" s="1177"/>
      <c r="I269" s="1177"/>
      <c r="J269" s="1182"/>
      <c r="K269" s="1181"/>
      <c r="L269" s="1177"/>
      <c r="M269" s="1177"/>
      <c r="N269" s="1182"/>
      <c r="O269" s="1193">
        <v>0</v>
      </c>
      <c r="P269" s="1194">
        <v>0</v>
      </c>
      <c r="Q269" s="1194">
        <v>0</v>
      </c>
      <c r="R269" s="1195">
        <v>0</v>
      </c>
      <c r="S269" s="1193">
        <v>0.1</v>
      </c>
      <c r="T269" s="1194">
        <v>0.41666666666666669</v>
      </c>
      <c r="U269" s="1194">
        <v>1.05</v>
      </c>
      <c r="V269" s="1195">
        <v>1.05</v>
      </c>
      <c r="W269" s="1194">
        <v>1.05</v>
      </c>
      <c r="X269" s="1194">
        <v>11.516666666666666</v>
      </c>
      <c r="Y269" s="1178">
        <v>16.75</v>
      </c>
      <c r="Z269" s="1180">
        <v>16.75</v>
      </c>
      <c r="AA269" s="1178">
        <v>16.75</v>
      </c>
      <c r="AB269" s="1178">
        <v>105.58333333333333</v>
      </c>
      <c r="AC269" s="1178">
        <v>150</v>
      </c>
      <c r="AD269" s="1180">
        <v>150</v>
      </c>
      <c r="AE269" s="1178">
        <v>150</v>
      </c>
      <c r="AF269" s="1178">
        <v>150</v>
      </c>
      <c r="AG269" s="1178">
        <v>150</v>
      </c>
      <c r="AH269" s="1180">
        <v>150</v>
      </c>
      <c r="AI269" s="1198">
        <v>150</v>
      </c>
      <c r="AJ269" s="1198">
        <v>150</v>
      </c>
      <c r="AK269" s="1198">
        <v>150</v>
      </c>
      <c r="AL269" s="1199">
        <v>150</v>
      </c>
      <c r="AM269" s="1198">
        <v>150</v>
      </c>
      <c r="AN269" s="1198">
        <v>150</v>
      </c>
      <c r="AO269" s="1198">
        <v>150</v>
      </c>
      <c r="AP269" s="1199">
        <v>150</v>
      </c>
      <c r="AQ269" s="1198">
        <v>150</v>
      </c>
      <c r="AR269" s="1198">
        <v>150</v>
      </c>
      <c r="AS269" s="1198">
        <v>150</v>
      </c>
      <c r="AT269" s="1199">
        <v>150</v>
      </c>
      <c r="AU269" s="1198">
        <v>150</v>
      </c>
      <c r="AV269" s="1198">
        <v>150</v>
      </c>
      <c r="AW269" s="1198">
        <v>150</v>
      </c>
      <c r="AX269" s="1199">
        <v>150</v>
      </c>
      <c r="AY269" s="1850">
        <v>150</v>
      </c>
      <c r="AZ269" s="1198">
        <v>150</v>
      </c>
      <c r="BA269" s="1198">
        <v>150</v>
      </c>
      <c r="BB269" s="1452">
        <v>150</v>
      </c>
      <c r="BC269" s="974"/>
      <c r="BD269" s="974"/>
      <c r="BE269" s="1417"/>
      <c r="BF269" s="1417"/>
      <c r="BG269" s="1417">
        <f t="shared" si="328"/>
        <v>0</v>
      </c>
      <c r="BH269" s="1417">
        <f t="shared" si="329"/>
        <v>0.65416666666666679</v>
      </c>
      <c r="BI269" s="1417">
        <f t="shared" si="330"/>
        <v>11.516666666666666</v>
      </c>
      <c r="BJ269" s="1417">
        <f t="shared" si="331"/>
        <v>105.58333333333333</v>
      </c>
      <c r="BK269" s="1417">
        <f t="shared" si="332"/>
        <v>150</v>
      </c>
      <c r="BL269" s="1417">
        <f t="shared" si="333"/>
        <v>150</v>
      </c>
      <c r="BM269" s="1417">
        <f t="shared" si="334"/>
        <v>150</v>
      </c>
      <c r="BN269" s="1417">
        <f t="shared" si="335"/>
        <v>150</v>
      </c>
      <c r="BO269" s="1417">
        <f t="shared" si="336"/>
        <v>150</v>
      </c>
      <c r="BP269" s="1417">
        <f t="shared" si="337"/>
        <v>150</v>
      </c>
      <c r="BQ269" s="949"/>
      <c r="BR269" s="950"/>
      <c r="BU269" s="922"/>
      <c r="BV269" s="921"/>
      <c r="BW269" s="921"/>
      <c r="BX269" s="921"/>
    </row>
    <row r="270" spans="2:76" ht="12.75" customHeight="1">
      <c r="B270" s="1080"/>
      <c r="C270" s="1457" t="s">
        <v>459</v>
      </c>
      <c r="D270" s="1189"/>
      <c r="E270" s="1189"/>
      <c r="F270" s="1190"/>
      <c r="G270" s="1181"/>
      <c r="H270" s="1177"/>
      <c r="I270" s="1177"/>
      <c r="J270" s="1182"/>
      <c r="K270" s="1181"/>
      <c r="L270" s="1177"/>
      <c r="M270" s="1177"/>
      <c r="N270" s="1182"/>
      <c r="O270" s="1193">
        <v>102.54</v>
      </c>
      <c r="P270" s="1194">
        <v>96.14</v>
      </c>
      <c r="Q270" s="1194">
        <v>83.34</v>
      </c>
      <c r="R270" s="1195">
        <v>83.34</v>
      </c>
      <c r="S270" s="1193">
        <v>83.34</v>
      </c>
      <c r="T270" s="1194">
        <v>83.13333333333334</v>
      </c>
      <c r="U270" s="1194">
        <v>82.72</v>
      </c>
      <c r="V270" s="1195">
        <v>82.72</v>
      </c>
      <c r="W270" s="1194">
        <v>82.72</v>
      </c>
      <c r="X270" s="1194">
        <v>86.433333333333337</v>
      </c>
      <c r="Y270" s="1194">
        <v>93.86</v>
      </c>
      <c r="Z270" s="1195">
        <v>93.86</v>
      </c>
      <c r="AA270" s="1194">
        <v>93.86</v>
      </c>
      <c r="AB270" s="1194">
        <v>96.874703196347028</v>
      </c>
      <c r="AC270" s="1194">
        <v>102.9041095890411</v>
      </c>
      <c r="AD270" s="1195">
        <v>102.9041095890411</v>
      </c>
      <c r="AE270" s="1194">
        <v>103</v>
      </c>
      <c r="AF270" s="1194">
        <v>98.89</v>
      </c>
      <c r="AG270" s="1194">
        <v>94.78</v>
      </c>
      <c r="AH270" s="1195">
        <v>94.78</v>
      </c>
      <c r="AI270" s="1200">
        <v>94.78</v>
      </c>
      <c r="AJ270" s="1200">
        <v>140.17296803652968</v>
      </c>
      <c r="AK270" s="1200">
        <v>230.95890410958907</v>
      </c>
      <c r="AL270" s="1201">
        <v>230.95890410958907</v>
      </c>
      <c r="AM270" s="1200">
        <v>230.95890410958907</v>
      </c>
      <c r="AN270" s="1200">
        <v>258.63013698630141</v>
      </c>
      <c r="AO270" s="1200">
        <v>313.97260273972609</v>
      </c>
      <c r="AP270" s="1201">
        <v>313.97260273972609</v>
      </c>
      <c r="AQ270" s="1200">
        <v>313.97260273972609</v>
      </c>
      <c r="AR270" s="1200">
        <v>286.35616438356169</v>
      </c>
      <c r="AS270" s="1200">
        <v>231.12328767123287</v>
      </c>
      <c r="AT270" s="1201">
        <v>231.12328767123287</v>
      </c>
      <c r="AU270" s="1200">
        <v>231.12328767123287</v>
      </c>
      <c r="AV270" s="1200">
        <v>212.13150684931506</v>
      </c>
      <c r="AW270" s="1200">
        <v>174.14794520547943</v>
      </c>
      <c r="AX270" s="1201">
        <v>174.14794520547943</v>
      </c>
      <c r="AY270" s="1848">
        <v>174.14794520547943</v>
      </c>
      <c r="AZ270" s="1200">
        <v>174.14794520547943</v>
      </c>
      <c r="BA270" s="1200">
        <v>174.14794520547943</v>
      </c>
      <c r="BB270" s="1450">
        <v>174.14794520547943</v>
      </c>
      <c r="BC270" s="974"/>
      <c r="BD270" s="974"/>
      <c r="BE270" s="1417"/>
      <c r="BF270" s="1417"/>
      <c r="BG270" s="1417">
        <f t="shared" si="328"/>
        <v>91.34</v>
      </c>
      <c r="BH270" s="1417">
        <f t="shared" si="329"/>
        <v>82.978333333333339</v>
      </c>
      <c r="BI270" s="1417">
        <f t="shared" si="330"/>
        <v>89.218333333333334</v>
      </c>
      <c r="BJ270" s="1417">
        <f t="shared" si="331"/>
        <v>99.13573059360732</v>
      </c>
      <c r="BK270" s="1417">
        <f t="shared" si="332"/>
        <v>97.862499999999983</v>
      </c>
      <c r="BL270" s="1417">
        <f t="shared" si="333"/>
        <v>174.21769406392696</v>
      </c>
      <c r="BM270" s="1417">
        <f t="shared" si="334"/>
        <v>279.38356164383566</v>
      </c>
      <c r="BN270" s="1417">
        <f t="shared" si="335"/>
        <v>265.64383561643837</v>
      </c>
      <c r="BO270" s="1417">
        <f t="shared" si="336"/>
        <v>197.8876712328767</v>
      </c>
      <c r="BP270" s="1417">
        <f t="shared" si="337"/>
        <v>174.14794520547943</v>
      </c>
      <c r="BQ270" s="949"/>
      <c r="BR270" s="950"/>
      <c r="BU270" s="922"/>
      <c r="BV270" s="921"/>
      <c r="BW270" s="921"/>
      <c r="BX270" s="921"/>
    </row>
    <row r="271" spans="2:76" ht="12.75" customHeight="1">
      <c r="B271" s="1080"/>
      <c r="C271" s="1457" t="s">
        <v>460</v>
      </c>
      <c r="D271" s="1189"/>
      <c r="E271" s="1189"/>
      <c r="F271" s="1190"/>
      <c r="G271" s="1181"/>
      <c r="H271" s="1177"/>
      <c r="I271" s="1177"/>
      <c r="J271" s="1182"/>
      <c r="K271" s="1181"/>
      <c r="L271" s="1177"/>
      <c r="M271" s="1177"/>
      <c r="N271" s="1182"/>
      <c r="O271" s="1193">
        <v>102.54</v>
      </c>
      <c r="P271" s="1194">
        <v>96.14</v>
      </c>
      <c r="Q271" s="1194">
        <v>83.34</v>
      </c>
      <c r="R271" s="1195">
        <v>83.34</v>
      </c>
      <c r="S271" s="1193">
        <v>83.34</v>
      </c>
      <c r="T271" s="1194">
        <v>83.13333333333334</v>
      </c>
      <c r="U271" s="1194">
        <v>82.72</v>
      </c>
      <c r="V271" s="1195">
        <v>82.72</v>
      </c>
      <c r="W271" s="1194">
        <v>82.72</v>
      </c>
      <c r="X271" s="1194">
        <v>86.433333333333337</v>
      </c>
      <c r="Y271" s="1194">
        <v>93.86</v>
      </c>
      <c r="Z271" s="1195">
        <v>93.86</v>
      </c>
      <c r="AA271" s="1194">
        <v>93.86</v>
      </c>
      <c r="AB271" s="1194">
        <v>96.874703196347028</v>
      </c>
      <c r="AC271" s="1194">
        <v>102.9041095890411</v>
      </c>
      <c r="AD271" s="1195">
        <v>102.9041095890411</v>
      </c>
      <c r="AE271" s="1194">
        <v>103</v>
      </c>
      <c r="AF271" s="1194">
        <v>161</v>
      </c>
      <c r="AG271" s="1194">
        <v>219</v>
      </c>
      <c r="AH271" s="1195">
        <v>219</v>
      </c>
      <c r="AI271" s="1200">
        <v>219</v>
      </c>
      <c r="AJ271" s="1200">
        <v>310.38356164383561</v>
      </c>
      <c r="AK271" s="1200">
        <v>493.15068493150687</v>
      </c>
      <c r="AL271" s="1201">
        <v>493.15068493150687</v>
      </c>
      <c r="AM271" s="1200">
        <v>493.15068493150687</v>
      </c>
      <c r="AN271" s="1200">
        <v>433.42465753424653</v>
      </c>
      <c r="AO271" s="1200">
        <v>313.97260273972609</v>
      </c>
      <c r="AP271" s="1201">
        <v>313.97260273972609</v>
      </c>
      <c r="AQ271" s="1200">
        <v>313.97260273972609</v>
      </c>
      <c r="AR271" s="1200">
        <v>286.35616438356169</v>
      </c>
      <c r="AS271" s="1200">
        <v>231.12328767123287</v>
      </c>
      <c r="AT271" s="1201">
        <v>231.12328767123287</v>
      </c>
      <c r="AU271" s="1200">
        <v>231.12328767123287</v>
      </c>
      <c r="AV271" s="1200">
        <v>212.13150684931506</v>
      </c>
      <c r="AW271" s="1200">
        <v>174.14794520547943</v>
      </c>
      <c r="AX271" s="1201">
        <v>174.14794520547943</v>
      </c>
      <c r="AY271" s="1848">
        <v>174.14794520547943</v>
      </c>
      <c r="AZ271" s="1200">
        <v>174.14794520547943</v>
      </c>
      <c r="BA271" s="1200">
        <v>174.14794520547943</v>
      </c>
      <c r="BB271" s="1450">
        <v>174.14794520547943</v>
      </c>
      <c r="BC271" s="974"/>
      <c r="BD271" s="974"/>
      <c r="BE271" s="1417"/>
      <c r="BF271" s="1417"/>
      <c r="BG271" s="1417">
        <f t="shared" si="328"/>
        <v>91.34</v>
      </c>
      <c r="BH271" s="1417">
        <f t="shared" si="329"/>
        <v>82.978333333333339</v>
      </c>
      <c r="BI271" s="1417">
        <f t="shared" si="330"/>
        <v>89.218333333333334</v>
      </c>
      <c r="BJ271" s="1417">
        <f t="shared" si="331"/>
        <v>99.13573059360732</v>
      </c>
      <c r="BK271" s="1417">
        <f t="shared" si="332"/>
        <v>175.5</v>
      </c>
      <c r="BL271" s="1417">
        <f t="shared" si="333"/>
        <v>378.92123287671234</v>
      </c>
      <c r="BM271" s="1417">
        <f t="shared" si="334"/>
        <v>388.63013698630141</v>
      </c>
      <c r="BN271" s="1417">
        <f t="shared" si="335"/>
        <v>265.64383561643837</v>
      </c>
      <c r="BO271" s="1417">
        <f t="shared" si="336"/>
        <v>197.8876712328767</v>
      </c>
      <c r="BP271" s="1417">
        <f t="shared" si="337"/>
        <v>174.14794520547943</v>
      </c>
      <c r="BQ271" s="949"/>
      <c r="BR271" s="950"/>
      <c r="BU271" s="922"/>
      <c r="BV271" s="921"/>
      <c r="BW271" s="921"/>
      <c r="BX271" s="921"/>
    </row>
    <row r="272" spans="2:76" ht="12.75" customHeight="1">
      <c r="B272" s="1080"/>
      <c r="C272" s="1457" t="s">
        <v>1041</v>
      </c>
      <c r="D272" s="1189"/>
      <c r="E272" s="1189"/>
      <c r="F272" s="1190"/>
      <c r="G272" s="1181"/>
      <c r="H272" s="1177"/>
      <c r="I272" s="1177"/>
      <c r="J272" s="1182"/>
      <c r="K272" s="1183"/>
      <c r="L272" s="1177"/>
      <c r="M272" s="1177"/>
      <c r="N272" s="1182"/>
      <c r="O272" s="1181">
        <v>5</v>
      </c>
      <c r="P272" s="1177">
        <v>29</v>
      </c>
      <c r="Q272" s="1177">
        <v>41</v>
      </c>
      <c r="R272" s="1180">
        <v>31.666666666666668</v>
      </c>
      <c r="S272" s="1179">
        <v>27</v>
      </c>
      <c r="T272" s="1178">
        <v>101</v>
      </c>
      <c r="U272" s="1178">
        <v>138</v>
      </c>
      <c r="V272" s="1180">
        <v>108.66666666666667</v>
      </c>
      <c r="W272" s="1178">
        <v>246</v>
      </c>
      <c r="X272" s="1178">
        <v>300.30136986301369</v>
      </c>
      <c r="Y272" s="1178">
        <v>327.45205479452056</v>
      </c>
      <c r="Z272" s="1180">
        <v>238.46575342465755</v>
      </c>
      <c r="AA272" s="1178">
        <v>193.97260273972606</v>
      </c>
      <c r="AB272" s="1178">
        <v>250.95890410958904</v>
      </c>
      <c r="AC272" s="1178">
        <v>279.45205479452056</v>
      </c>
      <c r="AD272" s="1180">
        <v>174.90410958904107</v>
      </c>
      <c r="AE272" s="1178">
        <v>122.63013698630137</v>
      </c>
      <c r="AF272" s="1178">
        <v>221.69863013698631</v>
      </c>
      <c r="AG272" s="1188">
        <v>271.23287671232879</v>
      </c>
      <c r="AH272" s="1180">
        <v>167.12328767123287</v>
      </c>
      <c r="AI272" s="1186">
        <v>115.06849315068493</v>
      </c>
      <c r="AJ272" s="1186">
        <v>219.17808219178082</v>
      </c>
      <c r="AK272" s="1186">
        <v>271.23287671232879</v>
      </c>
      <c r="AL272" s="1187">
        <v>167.12328767123287</v>
      </c>
      <c r="AM272" s="1186">
        <v>115.06849315068493</v>
      </c>
      <c r="AN272" s="1186">
        <v>219.17808219178082</v>
      </c>
      <c r="AO272" s="1186">
        <v>271.23287671232879</v>
      </c>
      <c r="AP272" s="1187">
        <v>167.12328767123287</v>
      </c>
      <c r="AQ272" s="1186">
        <v>115.06849315068493</v>
      </c>
      <c r="AR272" s="1186">
        <v>219.17808219178082</v>
      </c>
      <c r="AS272" s="1186">
        <v>271.23287671232879</v>
      </c>
      <c r="AT272" s="1187">
        <v>167.12328767123287</v>
      </c>
      <c r="AU272" s="1186">
        <v>115.06849315068493</v>
      </c>
      <c r="AV272" s="1186">
        <v>219.17808219178082</v>
      </c>
      <c r="AW272" s="1186">
        <v>271.23287671232879</v>
      </c>
      <c r="AX272" s="1187">
        <v>167.12328767123287</v>
      </c>
      <c r="AY272" s="1851">
        <v>115.06849315068493</v>
      </c>
      <c r="AZ272" s="1186">
        <v>219.17808219178082</v>
      </c>
      <c r="BA272" s="1186">
        <v>271.23287671232879</v>
      </c>
      <c r="BB272" s="1453">
        <v>167.12328767123287</v>
      </c>
      <c r="BC272" s="974"/>
      <c r="BD272" s="974"/>
      <c r="BE272" s="1417"/>
      <c r="BF272" s="1417"/>
      <c r="BG272" s="1417"/>
      <c r="BH272" s="1417"/>
      <c r="BI272" s="1417"/>
      <c r="BJ272" s="1417"/>
      <c r="BK272" s="1417"/>
      <c r="BL272" s="1417"/>
      <c r="BM272" s="1417"/>
      <c r="BN272" s="1417"/>
      <c r="BO272" s="1417"/>
      <c r="BP272" s="1417"/>
      <c r="BQ272" s="949"/>
      <c r="BR272" s="950"/>
      <c r="BU272" s="922"/>
      <c r="BV272" s="921"/>
      <c r="BW272" s="921"/>
      <c r="BX272" s="921"/>
    </row>
    <row r="273" spans="2:78" ht="12.75" customHeight="1">
      <c r="B273" s="1080"/>
      <c r="C273" s="1457" t="s">
        <v>1042</v>
      </c>
      <c r="D273" s="1189"/>
      <c r="E273" s="1189"/>
      <c r="F273" s="1190"/>
      <c r="G273" s="1181"/>
      <c r="H273" s="1177"/>
      <c r="I273" s="1177"/>
      <c r="J273" s="1182"/>
      <c r="K273" s="1183"/>
      <c r="L273" s="1177"/>
      <c r="M273" s="1177"/>
      <c r="N273" s="1182"/>
      <c r="O273" s="1181">
        <v>102.54</v>
      </c>
      <c r="P273" s="1177">
        <v>96.14</v>
      </c>
      <c r="Q273" s="1177">
        <v>83.34</v>
      </c>
      <c r="R273" s="1180">
        <v>83.34</v>
      </c>
      <c r="S273" s="1179">
        <v>83.34</v>
      </c>
      <c r="T273" s="1178">
        <v>83.13333333333334</v>
      </c>
      <c r="U273" s="1178">
        <v>82.72</v>
      </c>
      <c r="V273" s="1180">
        <v>82.72</v>
      </c>
      <c r="W273" s="1178">
        <v>82.72</v>
      </c>
      <c r="X273" s="1178">
        <v>86.433333333333337</v>
      </c>
      <c r="Y273" s="1178">
        <v>93.86</v>
      </c>
      <c r="Z273" s="1180">
        <v>93.86</v>
      </c>
      <c r="AA273" s="1178">
        <v>93.86</v>
      </c>
      <c r="AB273" s="1178">
        <v>96.874703196347028</v>
      </c>
      <c r="AC273" s="1178">
        <v>102.9041095890411</v>
      </c>
      <c r="AD273" s="1180">
        <v>102.9041095890411</v>
      </c>
      <c r="AE273" s="1178">
        <v>103</v>
      </c>
      <c r="AF273" s="1178">
        <v>98.736666666666665</v>
      </c>
      <c r="AG273" s="1188">
        <v>90.21</v>
      </c>
      <c r="AH273" s="1180">
        <v>90.21</v>
      </c>
      <c r="AI273" s="1186">
        <v>90.21</v>
      </c>
      <c r="AJ273" s="1186">
        <v>137.126301369863</v>
      </c>
      <c r="AK273" s="1186">
        <v>230.95890410958907</v>
      </c>
      <c r="AL273" s="1187">
        <v>230.95890410958907</v>
      </c>
      <c r="AM273" s="1186">
        <v>230.95890410958907</v>
      </c>
      <c r="AN273" s="1186">
        <v>275.39726027397262</v>
      </c>
      <c r="AO273" s="1186">
        <v>364.27397260273972</v>
      </c>
      <c r="AP273" s="1187">
        <v>364.27397260273972</v>
      </c>
      <c r="AQ273" s="1186">
        <v>364.27397260273972</v>
      </c>
      <c r="AR273" s="1186">
        <v>319.89041095890411</v>
      </c>
      <c r="AS273" s="1186">
        <v>231.12328767123287</v>
      </c>
      <c r="AT273" s="1187">
        <v>231.12328767123287</v>
      </c>
      <c r="AU273" s="1186">
        <v>231.12328767123287</v>
      </c>
      <c r="AV273" s="1186">
        <v>212.13150684931506</v>
      </c>
      <c r="AW273" s="1186">
        <v>174.14794520547943</v>
      </c>
      <c r="AX273" s="1187">
        <v>174.14794520547943</v>
      </c>
      <c r="AY273" s="1851">
        <v>174.14794520547943</v>
      </c>
      <c r="AZ273" s="1186">
        <v>174.14794520547943</v>
      </c>
      <c r="BA273" s="1186">
        <v>174.14794520547943</v>
      </c>
      <c r="BB273" s="1453">
        <v>174.14794520547943</v>
      </c>
      <c r="BC273" s="974"/>
      <c r="BD273" s="974"/>
      <c r="BE273" s="1417"/>
      <c r="BF273" s="1417"/>
      <c r="BG273" s="1417"/>
      <c r="BH273" s="1417"/>
      <c r="BI273" s="1417"/>
      <c r="BJ273" s="1417"/>
      <c r="BK273" s="1417"/>
      <c r="BL273" s="1417"/>
      <c r="BM273" s="1417"/>
      <c r="BN273" s="1417"/>
      <c r="BO273" s="1417"/>
      <c r="BP273" s="1417"/>
      <c r="BQ273" s="949"/>
      <c r="BR273" s="950"/>
      <c r="BU273" s="922"/>
      <c r="BV273" s="921"/>
      <c r="BW273" s="921"/>
      <c r="BX273" s="921"/>
    </row>
    <row r="274" spans="2:78" ht="12.75" customHeight="1">
      <c r="B274" s="1080"/>
      <c r="C274" s="1458" t="s">
        <v>797</v>
      </c>
      <c r="D274" s="1133"/>
      <c r="E274" s="1133"/>
      <c r="F274" s="1134"/>
      <c r="G274" s="1181"/>
      <c r="H274" s="1177"/>
      <c r="I274" s="1177"/>
      <c r="J274" s="1182"/>
      <c r="K274" s="1181"/>
      <c r="L274" s="1177"/>
      <c r="M274" s="1177"/>
      <c r="N274" s="1182"/>
      <c r="O274" s="1181"/>
      <c r="P274" s="1177"/>
      <c r="Q274" s="1177"/>
      <c r="R274" s="1180"/>
      <c r="S274" s="1179"/>
      <c r="T274" s="1178"/>
      <c r="U274" s="1178"/>
      <c r="V274" s="1180"/>
      <c r="W274" s="1178"/>
      <c r="X274" s="1178"/>
      <c r="Y274" s="1178"/>
      <c r="Z274" s="1180"/>
      <c r="AA274" s="1178"/>
      <c r="AB274" s="1178"/>
      <c r="AC274" s="1178"/>
      <c r="AD274" s="1180"/>
      <c r="AE274" s="1178"/>
      <c r="AF274" s="1178"/>
      <c r="AG274" s="1178"/>
      <c r="AH274" s="1180"/>
      <c r="AI274" s="1186"/>
      <c r="AJ274" s="1186"/>
      <c r="AK274" s="1186"/>
      <c r="AL274" s="1187"/>
      <c r="AM274" s="1186"/>
      <c r="AN274" s="1186"/>
      <c r="AO274" s="1186"/>
      <c r="AP274" s="1187"/>
      <c r="AQ274" s="1186"/>
      <c r="AR274" s="1186"/>
      <c r="AS274" s="1186"/>
      <c r="AT274" s="1187"/>
      <c r="AU274" s="1186"/>
      <c r="AV274" s="1186"/>
      <c r="AW274" s="1186"/>
      <c r="AX274" s="1187"/>
      <c r="AY274" s="1851"/>
      <c r="AZ274" s="1186"/>
      <c r="BA274" s="1186"/>
      <c r="BB274" s="1453"/>
      <c r="BC274" s="974"/>
      <c r="BD274" s="974"/>
      <c r="BE274" s="1417"/>
      <c r="BF274" s="1417"/>
      <c r="BG274" s="1417"/>
      <c r="BH274" s="1417"/>
      <c r="BI274" s="1417"/>
      <c r="BJ274" s="1417"/>
      <c r="BK274" s="1417"/>
      <c r="BL274" s="1417"/>
      <c r="BM274" s="1417"/>
      <c r="BN274" s="1417"/>
      <c r="BO274" s="1417"/>
      <c r="BP274" s="1417"/>
      <c r="BQ274" s="949"/>
      <c r="BR274" s="950"/>
      <c r="BU274" s="922"/>
      <c r="BV274" s="921"/>
      <c r="BW274" s="921"/>
      <c r="BX274" s="921"/>
    </row>
    <row r="275" spans="2:78" ht="12.75" customHeight="1">
      <c r="B275" s="1080"/>
      <c r="C275" s="1457" t="s">
        <v>712</v>
      </c>
      <c r="D275" s="1189"/>
      <c r="E275" s="1189"/>
      <c r="F275" s="1190"/>
      <c r="G275" s="1181"/>
      <c r="H275" s="1177"/>
      <c r="I275" s="1177"/>
      <c r="J275" s="1182"/>
      <c r="K275" s="1181"/>
      <c r="L275" s="1178"/>
      <c r="M275" s="1178"/>
      <c r="N275" s="1180"/>
      <c r="O275" s="1179"/>
      <c r="P275" s="1178"/>
      <c r="Q275" s="1178"/>
      <c r="R275" s="1180"/>
      <c r="S275" s="1179">
        <v>0</v>
      </c>
      <c r="T275" s="1178">
        <v>0</v>
      </c>
      <c r="U275" s="1178">
        <v>0</v>
      </c>
      <c r="V275" s="1180">
        <v>0</v>
      </c>
      <c r="W275" s="1178">
        <v>0</v>
      </c>
      <c r="X275" s="1178">
        <v>0</v>
      </c>
      <c r="Y275" s="1178">
        <v>0</v>
      </c>
      <c r="Z275" s="1180">
        <v>0</v>
      </c>
      <c r="AA275" s="1178">
        <v>0</v>
      </c>
      <c r="AB275" s="1178">
        <v>0</v>
      </c>
      <c r="AC275" s="1178">
        <v>0</v>
      </c>
      <c r="AD275" s="1180">
        <v>0</v>
      </c>
      <c r="AE275" s="1178">
        <v>0</v>
      </c>
      <c r="AF275" s="1178">
        <v>0</v>
      </c>
      <c r="AG275" s="1178">
        <v>0</v>
      </c>
      <c r="AH275" s="1180">
        <v>0</v>
      </c>
      <c r="AI275" s="1178">
        <v>0</v>
      </c>
      <c r="AJ275" s="1178">
        <v>0</v>
      </c>
      <c r="AK275" s="1178">
        <v>0</v>
      </c>
      <c r="AL275" s="1180">
        <v>0</v>
      </c>
      <c r="AM275" s="1178">
        <v>0</v>
      </c>
      <c r="AN275" s="1178">
        <v>0</v>
      </c>
      <c r="AO275" s="1178">
        <v>0</v>
      </c>
      <c r="AP275" s="1180">
        <v>0</v>
      </c>
      <c r="AQ275" s="1178">
        <v>0</v>
      </c>
      <c r="AR275" s="1178">
        <v>0</v>
      </c>
      <c r="AS275" s="1178">
        <v>0</v>
      </c>
      <c r="AT275" s="1180">
        <v>0</v>
      </c>
      <c r="AU275" s="1178">
        <v>0</v>
      </c>
      <c r="AV275" s="1178">
        <v>0</v>
      </c>
      <c r="AW275" s="1178">
        <v>0</v>
      </c>
      <c r="AX275" s="1180">
        <v>0</v>
      </c>
      <c r="AY275" s="1179">
        <v>0</v>
      </c>
      <c r="AZ275" s="1178">
        <v>0</v>
      </c>
      <c r="BA275" s="1178">
        <v>0</v>
      </c>
      <c r="BB275" s="1447">
        <v>0</v>
      </c>
      <c r="BC275" s="974"/>
      <c r="BD275" s="974"/>
      <c r="BE275" s="1417"/>
      <c r="BF275" s="1417"/>
      <c r="BG275" s="1417"/>
      <c r="BH275" s="1417">
        <f t="shared" ref="BH275:BH281" si="338">AVERAGE(S275:V275)</f>
        <v>0</v>
      </c>
      <c r="BI275" s="1417">
        <f t="shared" ref="BI275:BI281" si="339">AVERAGE(W275:Z275)</f>
        <v>0</v>
      </c>
      <c r="BJ275" s="1417">
        <f t="shared" ref="BJ275:BJ281" si="340">AVERAGE(AA275:AD275)</f>
        <v>0</v>
      </c>
      <c r="BK275" s="1417">
        <f t="shared" ref="BK275:BK281" si="341">AVERAGE(AE275:AH275)</f>
        <v>0</v>
      </c>
      <c r="BL275" s="1417">
        <f t="shared" ref="BL275:BL281" si="342">AVERAGE(AI275:AL275)</f>
        <v>0</v>
      </c>
      <c r="BM275" s="1417">
        <f t="shared" ref="BM275:BM280" si="343">AVERAGE(AM275:AP275)</f>
        <v>0</v>
      </c>
      <c r="BN275" s="1417">
        <f t="shared" ref="BN275:BN281" si="344">AVERAGE(AQ275:AT275)</f>
        <v>0</v>
      </c>
      <c r="BO275" s="1417">
        <f t="shared" ref="BO275:BO281" si="345">AVERAGE(AU275:AX275)</f>
        <v>0</v>
      </c>
      <c r="BP275" s="1417">
        <f t="shared" ref="BP275:BP281" si="346">AVERAGE(AY275:BB275)</f>
        <v>0</v>
      </c>
      <c r="BQ275" s="949"/>
      <c r="BR275" s="950"/>
      <c r="BU275" s="922"/>
      <c r="BV275" s="921"/>
      <c r="BW275" s="921"/>
      <c r="BX275" s="921"/>
    </row>
    <row r="276" spans="2:78" ht="12.75" customHeight="1">
      <c r="B276" s="1080"/>
      <c r="C276" s="1457" t="s">
        <v>713</v>
      </c>
      <c r="D276" s="1189"/>
      <c r="E276" s="1189"/>
      <c r="F276" s="1190"/>
      <c r="G276" s="1181"/>
      <c r="H276" s="1177"/>
      <c r="I276" s="1177"/>
      <c r="J276" s="1182"/>
      <c r="K276" s="1181"/>
      <c r="L276" s="1178"/>
      <c r="M276" s="1178"/>
      <c r="N276" s="1180"/>
      <c r="O276" s="1179"/>
      <c r="P276" s="1178"/>
      <c r="Q276" s="1178"/>
      <c r="R276" s="1180"/>
      <c r="S276" s="1179">
        <v>1.97</v>
      </c>
      <c r="T276" s="1178">
        <v>1.97</v>
      </c>
      <c r="U276" s="1178">
        <v>1.97</v>
      </c>
      <c r="V276" s="1180">
        <v>1.97</v>
      </c>
      <c r="W276" s="1178">
        <v>4</v>
      </c>
      <c r="X276" s="1178">
        <v>4</v>
      </c>
      <c r="Y276" s="1178">
        <v>4</v>
      </c>
      <c r="Z276" s="1180">
        <v>4</v>
      </c>
      <c r="AA276" s="1178">
        <v>6</v>
      </c>
      <c r="AB276" s="1178">
        <v>6</v>
      </c>
      <c r="AC276" s="1178">
        <v>6</v>
      </c>
      <c r="AD276" s="1180">
        <v>6</v>
      </c>
      <c r="AE276" s="1178">
        <v>8</v>
      </c>
      <c r="AF276" s="1178">
        <v>8</v>
      </c>
      <c r="AG276" s="1178">
        <v>8</v>
      </c>
      <c r="AH276" s="1180">
        <v>8</v>
      </c>
      <c r="AI276" s="1178">
        <v>10</v>
      </c>
      <c r="AJ276" s="1178">
        <v>10</v>
      </c>
      <c r="AK276" s="1178">
        <v>10</v>
      </c>
      <c r="AL276" s="1180">
        <v>10</v>
      </c>
      <c r="AM276" s="1178">
        <v>10</v>
      </c>
      <c r="AN276" s="1178">
        <v>10</v>
      </c>
      <c r="AO276" s="1178">
        <v>10</v>
      </c>
      <c r="AP276" s="1180">
        <v>10</v>
      </c>
      <c r="AQ276" s="1178">
        <v>10</v>
      </c>
      <c r="AR276" s="1178">
        <v>10</v>
      </c>
      <c r="AS276" s="1178">
        <v>10</v>
      </c>
      <c r="AT276" s="1180">
        <v>10</v>
      </c>
      <c r="AU276" s="1178">
        <v>10</v>
      </c>
      <c r="AV276" s="1178">
        <v>10</v>
      </c>
      <c r="AW276" s="1178">
        <v>10</v>
      </c>
      <c r="AX276" s="1180">
        <v>10</v>
      </c>
      <c r="AY276" s="1179">
        <v>10</v>
      </c>
      <c r="AZ276" s="1178">
        <v>10</v>
      </c>
      <c r="BA276" s="1178">
        <v>10</v>
      </c>
      <c r="BB276" s="1447">
        <v>10</v>
      </c>
      <c r="BC276" s="974"/>
      <c r="BD276" s="974"/>
      <c r="BE276" s="1417"/>
      <c r="BF276" s="1417"/>
      <c r="BG276" s="1417"/>
      <c r="BH276" s="1417">
        <f t="shared" si="338"/>
        <v>1.97</v>
      </c>
      <c r="BI276" s="1417">
        <f t="shared" si="339"/>
        <v>4</v>
      </c>
      <c r="BJ276" s="1417">
        <f t="shared" si="340"/>
        <v>6</v>
      </c>
      <c r="BK276" s="1417">
        <f t="shared" si="341"/>
        <v>8</v>
      </c>
      <c r="BL276" s="1417">
        <f t="shared" si="342"/>
        <v>10</v>
      </c>
      <c r="BM276" s="1417">
        <f t="shared" si="343"/>
        <v>10</v>
      </c>
      <c r="BN276" s="1417">
        <f t="shared" si="344"/>
        <v>10</v>
      </c>
      <c r="BO276" s="1417">
        <f t="shared" si="345"/>
        <v>10</v>
      </c>
      <c r="BP276" s="1417">
        <f t="shared" si="346"/>
        <v>10</v>
      </c>
      <c r="BQ276" s="949"/>
      <c r="BR276" s="950"/>
      <c r="BU276" s="922"/>
      <c r="BV276" s="921"/>
      <c r="BW276" s="921"/>
      <c r="BX276" s="921"/>
    </row>
    <row r="277" spans="2:78" ht="12.75" customHeight="1">
      <c r="B277" s="1084"/>
      <c r="C277" s="1457" t="s">
        <v>714</v>
      </c>
      <c r="D277" s="1189"/>
      <c r="E277" s="1189"/>
      <c r="F277" s="1190"/>
      <c r="G277" s="1181"/>
      <c r="H277" s="1177"/>
      <c r="I277" s="1177"/>
      <c r="J277" s="1182"/>
      <c r="K277" s="1181"/>
      <c r="L277" s="1178"/>
      <c r="M277" s="1178"/>
      <c r="N277" s="1180"/>
      <c r="O277" s="1179"/>
      <c r="P277" s="1178"/>
      <c r="Q277" s="1178"/>
      <c r="R277" s="1180"/>
      <c r="S277" s="1179">
        <v>0</v>
      </c>
      <c r="T277" s="1178">
        <v>0</v>
      </c>
      <c r="U277" s="1178">
        <v>0</v>
      </c>
      <c r="V277" s="1180">
        <v>0</v>
      </c>
      <c r="W277" s="1178">
        <v>0</v>
      </c>
      <c r="X277" s="1178">
        <v>0</v>
      </c>
      <c r="Y277" s="1178">
        <v>0</v>
      </c>
      <c r="Z277" s="1180">
        <v>0</v>
      </c>
      <c r="AA277" s="1178">
        <v>0</v>
      </c>
      <c r="AB277" s="1178">
        <v>0</v>
      </c>
      <c r="AC277" s="1178">
        <v>0</v>
      </c>
      <c r="AD277" s="1180">
        <v>0</v>
      </c>
      <c r="AE277" s="1178">
        <v>0</v>
      </c>
      <c r="AF277" s="1178">
        <v>0</v>
      </c>
      <c r="AG277" s="1178">
        <v>0</v>
      </c>
      <c r="AH277" s="1180">
        <v>0</v>
      </c>
      <c r="AI277" s="1178">
        <v>0</v>
      </c>
      <c r="AJ277" s="1178">
        <v>0</v>
      </c>
      <c r="AK277" s="1178">
        <v>0</v>
      </c>
      <c r="AL277" s="1180">
        <v>0</v>
      </c>
      <c r="AM277" s="1178">
        <v>0</v>
      </c>
      <c r="AN277" s="1178">
        <v>0</v>
      </c>
      <c r="AO277" s="1178">
        <v>0</v>
      </c>
      <c r="AP277" s="1180">
        <v>0</v>
      </c>
      <c r="AQ277" s="1178">
        <v>0</v>
      </c>
      <c r="AR277" s="1178">
        <v>0</v>
      </c>
      <c r="AS277" s="1178">
        <v>0</v>
      </c>
      <c r="AT277" s="1180">
        <v>0</v>
      </c>
      <c r="AU277" s="1178">
        <v>0</v>
      </c>
      <c r="AV277" s="1178">
        <v>0</v>
      </c>
      <c r="AW277" s="1178">
        <v>0</v>
      </c>
      <c r="AX277" s="1180">
        <v>0</v>
      </c>
      <c r="AY277" s="1179">
        <v>0</v>
      </c>
      <c r="AZ277" s="1178">
        <v>0</v>
      </c>
      <c r="BA277" s="1178">
        <v>0</v>
      </c>
      <c r="BB277" s="1447">
        <v>0</v>
      </c>
      <c r="BC277" s="974"/>
      <c r="BD277" s="974"/>
      <c r="BE277" s="1417"/>
      <c r="BF277" s="1417"/>
      <c r="BG277" s="1417"/>
      <c r="BH277" s="1417">
        <f t="shared" si="338"/>
        <v>0</v>
      </c>
      <c r="BI277" s="1417">
        <f t="shared" si="339"/>
        <v>0</v>
      </c>
      <c r="BJ277" s="1417">
        <f t="shared" si="340"/>
        <v>0</v>
      </c>
      <c r="BK277" s="1417">
        <f t="shared" si="341"/>
        <v>0</v>
      </c>
      <c r="BL277" s="1417">
        <f t="shared" si="342"/>
        <v>0</v>
      </c>
      <c r="BM277" s="1417">
        <f t="shared" si="343"/>
        <v>0</v>
      </c>
      <c r="BN277" s="1417">
        <f t="shared" si="344"/>
        <v>0</v>
      </c>
      <c r="BO277" s="1417">
        <f t="shared" si="345"/>
        <v>0</v>
      </c>
      <c r="BP277" s="1417">
        <f t="shared" si="346"/>
        <v>0</v>
      </c>
      <c r="BQ277" s="949"/>
      <c r="BR277" s="950"/>
      <c r="BU277" s="922"/>
      <c r="BV277" s="921"/>
      <c r="BW277" s="921"/>
      <c r="BX277" s="921"/>
    </row>
    <row r="278" spans="2:78" ht="12.75" customHeight="1">
      <c r="B278" s="1085"/>
      <c r="C278" s="1457" t="s">
        <v>715</v>
      </c>
      <c r="D278" s="1189"/>
      <c r="E278" s="1189"/>
      <c r="F278" s="1190"/>
      <c r="G278" s="1181"/>
      <c r="H278" s="1177"/>
      <c r="I278" s="1177"/>
      <c r="J278" s="1182"/>
      <c r="K278" s="1181"/>
      <c r="L278" s="1178"/>
      <c r="M278" s="1178"/>
      <c r="N278" s="1180"/>
      <c r="O278" s="1179"/>
      <c r="P278" s="1178"/>
      <c r="Q278" s="1178"/>
      <c r="R278" s="1180"/>
      <c r="S278" s="1179">
        <v>0</v>
      </c>
      <c r="T278" s="1178">
        <v>0</v>
      </c>
      <c r="U278" s="1178">
        <v>0</v>
      </c>
      <c r="V278" s="1180">
        <v>0</v>
      </c>
      <c r="W278" s="1178">
        <v>0</v>
      </c>
      <c r="X278" s="1178">
        <v>0</v>
      </c>
      <c r="Y278" s="1178">
        <v>0</v>
      </c>
      <c r="Z278" s="1180">
        <v>0</v>
      </c>
      <c r="AA278" s="1178">
        <v>0</v>
      </c>
      <c r="AB278" s="1178">
        <v>0</v>
      </c>
      <c r="AC278" s="1178">
        <v>0</v>
      </c>
      <c r="AD278" s="1180">
        <v>0</v>
      </c>
      <c r="AE278" s="1178">
        <v>0</v>
      </c>
      <c r="AF278" s="1178">
        <v>0</v>
      </c>
      <c r="AG278" s="1178">
        <v>0</v>
      </c>
      <c r="AH278" s="1180">
        <v>0</v>
      </c>
      <c r="AI278" s="1178">
        <v>0</v>
      </c>
      <c r="AJ278" s="1178">
        <v>0</v>
      </c>
      <c r="AK278" s="1178">
        <v>0</v>
      </c>
      <c r="AL278" s="1180">
        <v>0</v>
      </c>
      <c r="AM278" s="1178">
        <v>0</v>
      </c>
      <c r="AN278" s="1178">
        <v>0</v>
      </c>
      <c r="AO278" s="1178">
        <v>0</v>
      </c>
      <c r="AP278" s="1180">
        <v>0</v>
      </c>
      <c r="AQ278" s="1178">
        <v>0</v>
      </c>
      <c r="AR278" s="1178">
        <v>0</v>
      </c>
      <c r="AS278" s="1178">
        <v>0</v>
      </c>
      <c r="AT278" s="1180">
        <v>0</v>
      </c>
      <c r="AU278" s="1178">
        <v>0</v>
      </c>
      <c r="AV278" s="1178">
        <v>0</v>
      </c>
      <c r="AW278" s="1178">
        <v>0</v>
      </c>
      <c r="AX278" s="1180">
        <v>0</v>
      </c>
      <c r="AY278" s="1179">
        <v>0</v>
      </c>
      <c r="AZ278" s="1178">
        <v>0</v>
      </c>
      <c r="BA278" s="1178">
        <v>0</v>
      </c>
      <c r="BB278" s="1447">
        <v>0</v>
      </c>
      <c r="BC278" s="974"/>
      <c r="BD278" s="974"/>
      <c r="BE278" s="1417"/>
      <c r="BF278" s="1417"/>
      <c r="BG278" s="1417"/>
      <c r="BH278" s="1417">
        <f t="shared" si="338"/>
        <v>0</v>
      </c>
      <c r="BI278" s="1417">
        <f t="shared" si="339"/>
        <v>0</v>
      </c>
      <c r="BJ278" s="1417">
        <f t="shared" si="340"/>
        <v>0</v>
      </c>
      <c r="BK278" s="1417">
        <f t="shared" si="341"/>
        <v>0</v>
      </c>
      <c r="BL278" s="1417">
        <f t="shared" si="342"/>
        <v>0</v>
      </c>
      <c r="BM278" s="1417">
        <f t="shared" si="343"/>
        <v>0</v>
      </c>
      <c r="BN278" s="1417">
        <f t="shared" si="344"/>
        <v>0</v>
      </c>
      <c r="BO278" s="1417">
        <f t="shared" si="345"/>
        <v>0</v>
      </c>
      <c r="BP278" s="1417">
        <f t="shared" si="346"/>
        <v>0</v>
      </c>
      <c r="BQ278" s="949"/>
      <c r="BR278" s="950"/>
      <c r="BU278" s="922"/>
      <c r="BV278" s="921"/>
      <c r="BW278" s="921"/>
      <c r="BX278" s="921"/>
    </row>
    <row r="279" spans="2:78" ht="12.75" customHeight="1">
      <c r="B279" s="1085"/>
      <c r="C279" s="1457" t="s">
        <v>741</v>
      </c>
      <c r="D279" s="1189"/>
      <c r="E279" s="1189"/>
      <c r="F279" s="1190"/>
      <c r="G279" s="1181"/>
      <c r="H279" s="1177"/>
      <c r="I279" s="1177"/>
      <c r="J279" s="1182"/>
      <c r="K279" s="1181"/>
      <c r="L279" s="1178"/>
      <c r="M279" s="1178"/>
      <c r="N279" s="1180"/>
      <c r="O279" s="1179"/>
      <c r="P279" s="1178"/>
      <c r="Q279" s="1178"/>
      <c r="R279" s="1180"/>
      <c r="S279" s="1179">
        <v>0</v>
      </c>
      <c r="T279" s="1178">
        <v>0</v>
      </c>
      <c r="U279" s="1178">
        <v>0</v>
      </c>
      <c r="V279" s="1180">
        <v>0</v>
      </c>
      <c r="W279" s="1178">
        <v>0</v>
      </c>
      <c r="X279" s="1178">
        <v>0</v>
      </c>
      <c r="Y279" s="1178">
        <v>0</v>
      </c>
      <c r="Z279" s="1180">
        <v>0</v>
      </c>
      <c r="AA279" s="1178">
        <v>0</v>
      </c>
      <c r="AB279" s="1178">
        <v>0</v>
      </c>
      <c r="AC279" s="1178">
        <v>0</v>
      </c>
      <c r="AD279" s="1180">
        <v>0</v>
      </c>
      <c r="AE279" s="1178">
        <v>0</v>
      </c>
      <c r="AF279" s="1178">
        <v>0</v>
      </c>
      <c r="AG279" s="1178">
        <v>0</v>
      </c>
      <c r="AH279" s="1180">
        <v>0</v>
      </c>
      <c r="AI279" s="1178">
        <v>0</v>
      </c>
      <c r="AJ279" s="1178">
        <v>0</v>
      </c>
      <c r="AK279" s="1178">
        <v>0</v>
      </c>
      <c r="AL279" s="1180">
        <v>0</v>
      </c>
      <c r="AM279" s="1178">
        <v>0</v>
      </c>
      <c r="AN279" s="1178">
        <v>0</v>
      </c>
      <c r="AO279" s="1178">
        <v>0</v>
      </c>
      <c r="AP279" s="1180">
        <v>0</v>
      </c>
      <c r="AQ279" s="1178">
        <v>0</v>
      </c>
      <c r="AR279" s="1178">
        <v>0</v>
      </c>
      <c r="AS279" s="1178">
        <v>0</v>
      </c>
      <c r="AT279" s="1180">
        <v>0</v>
      </c>
      <c r="AU279" s="1178">
        <v>0</v>
      </c>
      <c r="AV279" s="1178">
        <v>0</v>
      </c>
      <c r="AW279" s="1178">
        <v>0</v>
      </c>
      <c r="AX279" s="1180">
        <v>0</v>
      </c>
      <c r="AY279" s="1179">
        <v>0</v>
      </c>
      <c r="AZ279" s="1178">
        <v>0</v>
      </c>
      <c r="BA279" s="1178">
        <v>0</v>
      </c>
      <c r="BB279" s="1447">
        <v>0</v>
      </c>
      <c r="BC279" s="974"/>
      <c r="BD279" s="974"/>
      <c r="BE279" s="1417"/>
      <c r="BF279" s="1417"/>
      <c r="BG279" s="1417"/>
      <c r="BH279" s="1417">
        <f t="shared" si="338"/>
        <v>0</v>
      </c>
      <c r="BI279" s="1417">
        <f t="shared" si="339"/>
        <v>0</v>
      </c>
      <c r="BJ279" s="1417">
        <f t="shared" si="340"/>
        <v>0</v>
      </c>
      <c r="BK279" s="1417">
        <f t="shared" si="341"/>
        <v>0</v>
      </c>
      <c r="BL279" s="1417">
        <f t="shared" si="342"/>
        <v>0</v>
      </c>
      <c r="BM279" s="1417">
        <f t="shared" si="343"/>
        <v>0</v>
      </c>
      <c r="BN279" s="1417">
        <f t="shared" si="344"/>
        <v>0</v>
      </c>
      <c r="BO279" s="1417">
        <f t="shared" si="345"/>
        <v>0</v>
      </c>
      <c r="BP279" s="1417">
        <f t="shared" si="346"/>
        <v>0</v>
      </c>
      <c r="BQ279" s="949"/>
      <c r="BR279" s="950"/>
      <c r="BU279" s="922"/>
      <c r="BV279" s="921"/>
      <c r="BW279" s="921"/>
      <c r="BX279" s="921"/>
    </row>
    <row r="280" spans="2:78" ht="12.75" customHeight="1">
      <c r="B280" s="1085"/>
      <c r="C280" s="1457" t="s">
        <v>742</v>
      </c>
      <c r="D280" s="1189"/>
      <c r="E280" s="1189"/>
      <c r="F280" s="1190"/>
      <c r="G280" s="1181"/>
      <c r="H280" s="1177"/>
      <c r="I280" s="1177"/>
      <c r="J280" s="1182"/>
      <c r="K280" s="1181"/>
      <c r="L280" s="1178"/>
      <c r="M280" s="1178"/>
      <c r="N280" s="1180"/>
      <c r="O280" s="1179"/>
      <c r="P280" s="1178"/>
      <c r="Q280" s="1178"/>
      <c r="R280" s="1180"/>
      <c r="S280" s="1179">
        <v>0</v>
      </c>
      <c r="T280" s="1178">
        <v>0</v>
      </c>
      <c r="U280" s="1178">
        <v>0</v>
      </c>
      <c r="V280" s="1180">
        <v>0</v>
      </c>
      <c r="W280" s="1178">
        <v>0</v>
      </c>
      <c r="X280" s="1178">
        <v>0</v>
      </c>
      <c r="Y280" s="1178">
        <v>0</v>
      </c>
      <c r="Z280" s="1180">
        <v>0</v>
      </c>
      <c r="AA280" s="1178">
        <v>0</v>
      </c>
      <c r="AB280" s="1178">
        <v>0</v>
      </c>
      <c r="AC280" s="1178">
        <v>0</v>
      </c>
      <c r="AD280" s="1180">
        <v>0</v>
      </c>
      <c r="AE280" s="1178">
        <v>0</v>
      </c>
      <c r="AF280" s="1178">
        <v>0</v>
      </c>
      <c r="AG280" s="1178">
        <v>0</v>
      </c>
      <c r="AH280" s="1180">
        <v>0</v>
      </c>
      <c r="AI280" s="1178">
        <v>0</v>
      </c>
      <c r="AJ280" s="1178">
        <v>0</v>
      </c>
      <c r="AK280" s="1178">
        <v>0</v>
      </c>
      <c r="AL280" s="1180">
        <v>0</v>
      </c>
      <c r="AM280" s="1178">
        <v>0</v>
      </c>
      <c r="AN280" s="1178">
        <v>0</v>
      </c>
      <c r="AO280" s="1178">
        <v>0</v>
      </c>
      <c r="AP280" s="1180">
        <v>0</v>
      </c>
      <c r="AQ280" s="1178">
        <v>0</v>
      </c>
      <c r="AR280" s="1178">
        <v>0</v>
      </c>
      <c r="AS280" s="1178">
        <v>0</v>
      </c>
      <c r="AT280" s="1180">
        <v>0</v>
      </c>
      <c r="AU280" s="1178">
        <v>0</v>
      </c>
      <c r="AV280" s="1178">
        <v>0</v>
      </c>
      <c r="AW280" s="1178">
        <v>0</v>
      </c>
      <c r="AX280" s="1180">
        <v>0</v>
      </c>
      <c r="AY280" s="1179">
        <v>0</v>
      </c>
      <c r="AZ280" s="1178">
        <v>0</v>
      </c>
      <c r="BA280" s="1178">
        <v>0</v>
      </c>
      <c r="BB280" s="1447">
        <v>0</v>
      </c>
      <c r="BC280" s="974"/>
      <c r="BD280" s="974"/>
      <c r="BE280" s="1417"/>
      <c r="BF280" s="1417"/>
      <c r="BG280" s="1417"/>
      <c r="BH280" s="1417">
        <f t="shared" si="338"/>
        <v>0</v>
      </c>
      <c r="BI280" s="1417">
        <f t="shared" si="339"/>
        <v>0</v>
      </c>
      <c r="BJ280" s="1417">
        <f t="shared" si="340"/>
        <v>0</v>
      </c>
      <c r="BK280" s="1417">
        <f t="shared" si="341"/>
        <v>0</v>
      </c>
      <c r="BL280" s="1417">
        <f t="shared" si="342"/>
        <v>0</v>
      </c>
      <c r="BM280" s="1417">
        <f t="shared" si="343"/>
        <v>0</v>
      </c>
      <c r="BN280" s="1417">
        <f t="shared" si="344"/>
        <v>0</v>
      </c>
      <c r="BO280" s="1417">
        <f t="shared" si="345"/>
        <v>0</v>
      </c>
      <c r="BP280" s="1417">
        <f t="shared" si="346"/>
        <v>0</v>
      </c>
      <c r="BQ280" s="949"/>
      <c r="BR280" s="950"/>
      <c r="BU280" s="922"/>
      <c r="BV280" s="921"/>
      <c r="BW280" s="921"/>
      <c r="BX280" s="921"/>
    </row>
    <row r="281" spans="2:78" ht="12.75" customHeight="1">
      <c r="B281" s="1085"/>
      <c r="C281" s="1457" t="s">
        <v>743</v>
      </c>
      <c r="D281" s="1189"/>
      <c r="E281" s="1189"/>
      <c r="F281" s="1190"/>
      <c r="G281" s="1181"/>
      <c r="H281" s="1177"/>
      <c r="I281" s="1177"/>
      <c r="J281" s="1182"/>
      <c r="K281" s="1181"/>
      <c r="L281" s="1178"/>
      <c r="M281" s="1178"/>
      <c r="N281" s="1180"/>
      <c r="O281" s="1179"/>
      <c r="P281" s="1178"/>
      <c r="Q281" s="1178"/>
      <c r="R281" s="1180"/>
      <c r="S281" s="1179">
        <v>0</v>
      </c>
      <c r="T281" s="1178">
        <v>0</v>
      </c>
      <c r="U281" s="1178">
        <v>0</v>
      </c>
      <c r="V281" s="1180">
        <v>0</v>
      </c>
      <c r="W281" s="1178">
        <v>0</v>
      </c>
      <c r="X281" s="1178">
        <v>0</v>
      </c>
      <c r="Y281" s="1178">
        <v>0</v>
      </c>
      <c r="Z281" s="1180">
        <v>0</v>
      </c>
      <c r="AA281" s="1178">
        <v>0</v>
      </c>
      <c r="AB281" s="1178">
        <v>0</v>
      </c>
      <c r="AC281" s="1178">
        <v>0</v>
      </c>
      <c r="AD281" s="1180">
        <v>0</v>
      </c>
      <c r="AE281" s="1178">
        <v>0</v>
      </c>
      <c r="AF281" s="1178">
        <v>0</v>
      </c>
      <c r="AG281" s="1178">
        <v>0</v>
      </c>
      <c r="AH281" s="1180">
        <v>0</v>
      </c>
      <c r="AI281" s="1178">
        <v>0</v>
      </c>
      <c r="AJ281" s="1178">
        <v>0</v>
      </c>
      <c r="AK281" s="1178">
        <v>0</v>
      </c>
      <c r="AL281" s="1180">
        <v>0</v>
      </c>
      <c r="AM281" s="1178">
        <v>0</v>
      </c>
      <c r="AN281" s="1178">
        <v>0</v>
      </c>
      <c r="AO281" s="1178">
        <v>0</v>
      </c>
      <c r="AP281" s="1180">
        <v>0</v>
      </c>
      <c r="AQ281" s="1178">
        <v>0</v>
      </c>
      <c r="AR281" s="1178">
        <v>0</v>
      </c>
      <c r="AS281" s="1178">
        <v>0</v>
      </c>
      <c r="AT281" s="1180">
        <v>0</v>
      </c>
      <c r="AU281" s="1178">
        <v>0</v>
      </c>
      <c r="AV281" s="1178">
        <v>0</v>
      </c>
      <c r="AW281" s="1178">
        <v>0</v>
      </c>
      <c r="AX281" s="1180">
        <v>0</v>
      </c>
      <c r="AY281" s="1179">
        <v>0</v>
      </c>
      <c r="AZ281" s="1178">
        <v>0</v>
      </c>
      <c r="BA281" s="1178">
        <v>0</v>
      </c>
      <c r="BB281" s="1447">
        <v>0</v>
      </c>
      <c r="BC281" s="974"/>
      <c r="BD281" s="974"/>
      <c r="BE281" s="1417"/>
      <c r="BF281" s="1417"/>
      <c r="BG281" s="1417"/>
      <c r="BH281" s="1417">
        <f t="shared" si="338"/>
        <v>0</v>
      </c>
      <c r="BI281" s="1417">
        <f t="shared" si="339"/>
        <v>0</v>
      </c>
      <c r="BJ281" s="1417">
        <f t="shared" si="340"/>
        <v>0</v>
      </c>
      <c r="BK281" s="1417">
        <f t="shared" si="341"/>
        <v>0</v>
      </c>
      <c r="BL281" s="1417">
        <f t="shared" si="342"/>
        <v>0</v>
      </c>
      <c r="BM281" s="1417">
        <f>AVERAGE(AM281:AP281)</f>
        <v>0</v>
      </c>
      <c r="BN281" s="1417">
        <f t="shared" si="344"/>
        <v>0</v>
      </c>
      <c r="BO281" s="1417">
        <f t="shared" si="345"/>
        <v>0</v>
      </c>
      <c r="BP281" s="1417">
        <f t="shared" si="346"/>
        <v>0</v>
      </c>
      <c r="BQ281" s="949"/>
      <c r="BR281" s="950"/>
      <c r="BU281" s="922"/>
      <c r="BV281" s="921"/>
      <c r="BW281" s="921"/>
      <c r="BX281" s="921"/>
    </row>
    <row r="282" spans="2:78" ht="12.75" customHeight="1">
      <c r="B282" s="1085"/>
      <c r="C282" s="998"/>
      <c r="D282" s="967"/>
      <c r="E282" s="967"/>
      <c r="F282" s="957"/>
      <c r="G282" s="1081"/>
      <c r="H282" s="1082"/>
      <c r="I282" s="1082"/>
      <c r="J282" s="1083"/>
      <c r="K282" s="1086"/>
      <c r="L282" s="1082"/>
      <c r="M282" s="1082"/>
      <c r="N282" s="1083"/>
      <c r="O282" s="1081"/>
      <c r="P282" s="1082"/>
      <c r="Q282" s="1082"/>
      <c r="R282" s="1083"/>
      <c r="S282" s="1081"/>
      <c r="T282" s="1082"/>
      <c r="U282" s="1082"/>
      <c r="V282" s="1083"/>
      <c r="W282" s="1082"/>
      <c r="X282" s="1082"/>
      <c r="Y282" s="1082"/>
      <c r="Z282" s="1083"/>
      <c r="AA282" s="1082"/>
      <c r="AB282" s="1082"/>
      <c r="AC282" s="1082"/>
      <c r="AD282" s="1083"/>
      <c r="AE282" s="1082"/>
      <c r="AF282" s="1082"/>
      <c r="AG282" s="1082"/>
      <c r="AH282" s="1083"/>
      <c r="AI282" s="1082"/>
      <c r="AJ282" s="1082"/>
      <c r="AK282" s="1082"/>
      <c r="AL282" s="1083"/>
      <c r="AM282" s="1082"/>
      <c r="AN282" s="1082"/>
      <c r="AO282" s="1082"/>
      <c r="AP282" s="1083"/>
      <c r="AQ282" s="1082"/>
      <c r="AR282" s="1082"/>
      <c r="AS282" s="1082"/>
      <c r="AT282" s="1083"/>
      <c r="AU282" s="1082"/>
      <c r="AV282" s="1082"/>
      <c r="AW282" s="1082"/>
      <c r="AX282" s="1083"/>
      <c r="AY282" s="1081"/>
      <c r="AZ282" s="1082"/>
      <c r="BA282" s="1082"/>
      <c r="BB282" s="1454"/>
      <c r="BC282" s="976"/>
      <c r="BD282" s="977"/>
      <c r="BE282" s="977"/>
      <c r="BF282" s="977"/>
      <c r="BG282" s="977"/>
      <c r="BH282" s="977"/>
      <c r="BI282" s="977"/>
      <c r="BJ282" s="977"/>
      <c r="BK282" s="977"/>
      <c r="BL282" s="977"/>
      <c r="BM282" s="977"/>
      <c r="BN282" s="977"/>
      <c r="BO282" s="977"/>
      <c r="BP282" s="977"/>
      <c r="BQ282" s="949"/>
      <c r="BR282" s="950"/>
      <c r="BU282" s="922"/>
      <c r="BV282" s="921"/>
      <c r="BW282" s="921"/>
      <c r="BX282" s="921"/>
    </row>
    <row r="283" spans="2:78" ht="12.75" customHeight="1">
      <c r="B283" s="1087"/>
      <c r="C283" s="998"/>
      <c r="D283" s="967"/>
      <c r="E283" s="967"/>
      <c r="F283" s="1065"/>
      <c r="G283" s="951"/>
      <c r="H283" s="952"/>
      <c r="I283" s="952"/>
      <c r="J283" s="953"/>
      <c r="K283" s="979"/>
      <c r="L283" s="952"/>
      <c r="M283" s="952"/>
      <c r="N283" s="953"/>
      <c r="O283" s="951"/>
      <c r="P283" s="952"/>
      <c r="Q283" s="952"/>
      <c r="R283" s="953"/>
      <c r="S283" s="951"/>
      <c r="T283" s="952"/>
      <c r="U283" s="952"/>
      <c r="V283" s="953"/>
      <c r="W283" s="952"/>
      <c r="X283" s="952"/>
      <c r="Y283" s="952"/>
      <c r="Z283" s="953"/>
      <c r="AA283" s="952"/>
      <c r="AB283" s="952"/>
      <c r="AC283" s="952"/>
      <c r="AD283" s="953"/>
      <c r="AE283" s="952"/>
      <c r="AF283" s="952"/>
      <c r="AG283" s="952"/>
      <c r="AH283" s="953"/>
      <c r="AI283" s="952"/>
      <c r="AJ283" s="952"/>
      <c r="AK283" s="952"/>
      <c r="AL283" s="953"/>
      <c r="AM283" s="952"/>
      <c r="AN283" s="952"/>
      <c r="AO283" s="952"/>
      <c r="AP283" s="953"/>
      <c r="AQ283" s="952"/>
      <c r="AR283" s="952"/>
      <c r="AS283" s="952"/>
      <c r="AT283" s="953"/>
      <c r="AU283" s="952"/>
      <c r="AV283" s="952"/>
      <c r="AW283" s="952"/>
      <c r="AX283" s="933"/>
      <c r="AY283" s="951"/>
      <c r="AZ283" s="952"/>
      <c r="BA283" s="952"/>
      <c r="BB283" s="1431"/>
      <c r="BC283" s="980"/>
      <c r="BD283" s="980"/>
      <c r="BE283" s="980"/>
      <c r="BF283" s="980"/>
      <c r="BG283" s="980"/>
      <c r="BH283" s="980"/>
      <c r="BI283" s="980"/>
      <c r="BJ283" s="980"/>
      <c r="BK283" s="980"/>
      <c r="BL283" s="980"/>
      <c r="BM283" s="980"/>
      <c r="BN283" s="980"/>
      <c r="BO283" s="980"/>
      <c r="BP283" s="980"/>
      <c r="BQ283" s="949"/>
      <c r="BR283" s="968"/>
      <c r="BU283" s="922"/>
      <c r="BV283" s="921"/>
      <c r="BW283" s="921"/>
      <c r="BX283" s="921"/>
    </row>
    <row r="284" spans="2:78" ht="12.75" customHeight="1">
      <c r="B284" s="1088"/>
      <c r="C284" s="1089"/>
      <c r="D284" s="1075"/>
      <c r="E284" s="1075"/>
      <c r="F284" s="1077"/>
      <c r="G284" s="979"/>
      <c r="H284" s="982"/>
      <c r="I284" s="982"/>
      <c r="J284" s="983"/>
      <c r="K284" s="982"/>
      <c r="L284" s="982"/>
      <c r="M284" s="982"/>
      <c r="N284" s="983"/>
      <c r="O284" s="979"/>
      <c r="P284" s="982"/>
      <c r="Q284" s="982"/>
      <c r="R284" s="983"/>
      <c r="S284" s="979"/>
      <c r="T284" s="982"/>
      <c r="U284" s="982"/>
      <c r="V284" s="983"/>
      <c r="W284" s="982"/>
      <c r="X284" s="982"/>
      <c r="Y284" s="982"/>
      <c r="Z284" s="983"/>
      <c r="AA284" s="982"/>
      <c r="AB284" s="982"/>
      <c r="AC284" s="982"/>
      <c r="AD284" s="983"/>
      <c r="AE284" s="982"/>
      <c r="AF284" s="982"/>
      <c r="AG284" s="982"/>
      <c r="AH284" s="983"/>
      <c r="AI284" s="982"/>
      <c r="AJ284" s="982"/>
      <c r="AK284" s="982"/>
      <c r="AL284" s="983"/>
      <c r="AM284" s="982"/>
      <c r="AN284" s="982"/>
      <c r="AO284" s="982"/>
      <c r="AP284" s="983"/>
      <c r="AQ284" s="982"/>
      <c r="AR284" s="982"/>
      <c r="AS284" s="982"/>
      <c r="AT284" s="983"/>
      <c r="AU284" s="982"/>
      <c r="AV284" s="982"/>
      <c r="AW284" s="982"/>
      <c r="AX284" s="933"/>
      <c r="AY284" s="979"/>
      <c r="AZ284" s="982"/>
      <c r="BA284" s="982"/>
      <c r="BB284" s="1431"/>
      <c r="BC284" s="967"/>
      <c r="BD284" s="967"/>
      <c r="BE284" s="967"/>
      <c r="BF284" s="967"/>
      <c r="BG284" s="967"/>
      <c r="BH284" s="967"/>
      <c r="BI284" s="967"/>
      <c r="BJ284" s="967"/>
      <c r="BK284" s="967"/>
      <c r="BL284" s="967"/>
      <c r="BM284" s="967"/>
      <c r="BN284" s="967"/>
      <c r="BO284" s="967"/>
      <c r="BP284" s="967"/>
      <c r="BQ284" s="949"/>
      <c r="BR284" s="968"/>
      <c r="BU284" s="922"/>
      <c r="BV284" s="921"/>
      <c r="BW284" s="921"/>
      <c r="BX284" s="921"/>
    </row>
    <row r="285" spans="2:78" ht="12.75" customHeight="1" thickBot="1">
      <c r="B285" s="1090"/>
      <c r="C285" s="999"/>
      <c r="D285" s="1000"/>
      <c r="E285" s="1000"/>
      <c r="F285" s="1091"/>
      <c r="G285" s="1001"/>
      <c r="H285" s="1000"/>
      <c r="I285" s="1002"/>
      <c r="J285" s="1002"/>
      <c r="K285" s="1002"/>
      <c r="L285" s="1002"/>
      <c r="M285" s="1002"/>
      <c r="N285" s="1002"/>
      <c r="O285" s="1002"/>
      <c r="P285" s="1002"/>
      <c r="Q285" s="1002"/>
      <c r="R285" s="1002"/>
      <c r="S285" s="1001"/>
      <c r="T285" s="1002"/>
      <c r="U285" s="1002"/>
      <c r="V285" s="1002"/>
      <c r="W285" s="1002"/>
      <c r="X285" s="1002"/>
      <c r="Y285" s="1002"/>
      <c r="Z285" s="1001"/>
      <c r="AA285" s="1002"/>
      <c r="AB285" s="1002"/>
      <c r="AC285" s="1002"/>
      <c r="AD285" s="1002"/>
      <c r="AE285" s="1002"/>
      <c r="AF285" s="1002"/>
      <c r="AG285" s="1002"/>
      <c r="AH285" s="1002"/>
      <c r="AI285" s="1002"/>
      <c r="AJ285" s="1002"/>
      <c r="AK285" s="1002"/>
      <c r="AL285" s="1002"/>
      <c r="AM285" s="1002"/>
      <c r="AN285" s="1002"/>
      <c r="AO285" s="1002"/>
      <c r="AP285" s="1002"/>
      <c r="AQ285" s="1002"/>
      <c r="AR285" s="1002"/>
      <c r="AS285" s="1002"/>
      <c r="AT285" s="1002"/>
      <c r="AU285" s="1002"/>
      <c r="AV285" s="1002"/>
      <c r="AW285" s="1002"/>
      <c r="AX285" s="1852"/>
      <c r="AY285" s="1853"/>
      <c r="AZ285" s="1002"/>
      <c r="BA285" s="1002"/>
      <c r="BB285" s="1003"/>
      <c r="BC285" s="987"/>
      <c r="BD285" s="987"/>
      <c r="BE285" s="987"/>
      <c r="BF285" s="987"/>
      <c r="BG285" s="987"/>
      <c r="BH285" s="987"/>
      <c r="BI285" s="987"/>
      <c r="BJ285" s="987"/>
      <c r="BK285" s="987"/>
      <c r="BL285" s="987"/>
      <c r="BM285" s="987"/>
      <c r="BN285" s="987"/>
      <c r="BO285" s="987"/>
      <c r="BP285" s="987"/>
      <c r="BQ285" s="988"/>
      <c r="BR285" s="968"/>
      <c r="BU285" s="922"/>
      <c r="BV285" s="921"/>
      <c r="BW285" s="921"/>
      <c r="BX285" s="921"/>
    </row>
    <row r="286" spans="2:78" ht="12.75" customHeight="1">
      <c r="G286" s="895"/>
      <c r="H286" s="895"/>
      <c r="I286" s="895"/>
      <c r="J286" s="895"/>
      <c r="BG286" s="895"/>
      <c r="BH286" s="895"/>
      <c r="BI286" s="895"/>
      <c r="BJ286" s="895"/>
      <c r="BK286" s="895"/>
      <c r="BL286" s="895"/>
      <c r="BM286" s="895"/>
      <c r="BN286" s="895"/>
      <c r="BO286" s="895"/>
      <c r="BP286" s="895"/>
      <c r="BQ286" s="895"/>
      <c r="BU286" s="922"/>
      <c r="BV286" s="921"/>
      <c r="BW286" s="921"/>
      <c r="BX286" s="921"/>
    </row>
    <row r="287" spans="2:78" ht="12.75" customHeight="1">
      <c r="B287" s="1085"/>
      <c r="C287" s="1092"/>
      <c r="D287" s="1092"/>
      <c r="E287" s="1092"/>
      <c r="F287" s="1093"/>
      <c r="G287" s="1094"/>
      <c r="H287" s="1094"/>
      <c r="I287" s="1094"/>
      <c r="J287" s="1094"/>
      <c r="K287" s="1092"/>
      <c r="L287" s="1092"/>
      <c r="M287" s="1092"/>
      <c r="N287" s="1092"/>
      <c r="O287" s="1092"/>
      <c r="P287" s="1092"/>
      <c r="Q287" s="1092"/>
      <c r="R287" s="1092"/>
      <c r="S287" s="1092"/>
      <c r="T287" s="1092"/>
      <c r="U287" s="1092"/>
      <c r="V287" s="1092"/>
      <c r="W287" s="1092"/>
      <c r="X287" s="1092"/>
      <c r="Y287" s="1092"/>
      <c r="Z287" s="1092"/>
      <c r="AA287" s="1092"/>
      <c r="AB287" s="1092"/>
      <c r="AC287" s="1092"/>
      <c r="AD287" s="1092"/>
      <c r="AE287" s="1092"/>
      <c r="AF287" s="1092"/>
      <c r="AG287" s="1092"/>
      <c r="AH287" s="1092"/>
      <c r="AI287" s="1092"/>
      <c r="AJ287" s="1092"/>
      <c r="AK287" s="1092"/>
      <c r="AL287" s="1092"/>
      <c r="AM287" s="1092"/>
      <c r="AN287" s="1092"/>
      <c r="AO287" s="1092"/>
      <c r="AP287" s="1092"/>
      <c r="AQ287" s="1092"/>
      <c r="AR287" s="1092"/>
      <c r="AS287" s="1092"/>
      <c r="AT287" s="1092"/>
      <c r="AU287" s="1092"/>
      <c r="AV287" s="1092"/>
      <c r="AW287" s="1092"/>
      <c r="AX287" s="1092"/>
      <c r="AY287" s="1092"/>
      <c r="AZ287" s="1092"/>
      <c r="BA287" s="1092"/>
      <c r="BB287" s="1092"/>
      <c r="BC287" s="1092"/>
      <c r="BD287" s="1092"/>
      <c r="BE287" s="1092"/>
      <c r="BF287" s="1092"/>
      <c r="BR287" s="1092"/>
      <c r="BS287" s="1092"/>
      <c r="BT287" s="1092"/>
      <c r="BU287" s="922"/>
      <c r="BV287" s="921"/>
      <c r="BW287" s="921"/>
      <c r="BX287" s="921"/>
      <c r="BY287" s="1092"/>
      <c r="BZ287" s="1092"/>
    </row>
    <row r="288" spans="2:78" ht="12.75" customHeight="1">
      <c r="B288" s="1085"/>
      <c r="C288" s="1092"/>
      <c r="D288" s="1092"/>
      <c r="E288" s="1092"/>
      <c r="F288" s="1093"/>
      <c r="G288" s="1094"/>
      <c r="H288" s="1094"/>
      <c r="I288" s="1094"/>
      <c r="J288" s="1094"/>
      <c r="K288" s="1092"/>
      <c r="L288" s="1092"/>
      <c r="M288" s="1092"/>
      <c r="N288" s="1092"/>
      <c r="O288" s="1092"/>
      <c r="P288" s="1092"/>
      <c r="Q288" s="1092"/>
      <c r="R288" s="1092"/>
      <c r="S288" s="1092"/>
      <c r="T288" s="1092"/>
      <c r="U288" s="1092"/>
      <c r="V288" s="1092"/>
      <c r="W288" s="1092"/>
      <c r="X288" s="1092"/>
      <c r="Y288" s="1092"/>
      <c r="Z288" s="1092"/>
      <c r="AA288" s="1092"/>
      <c r="AB288" s="1092"/>
      <c r="AC288" s="1092"/>
      <c r="AD288" s="1092"/>
      <c r="AE288" s="1092"/>
      <c r="AF288" s="1092"/>
      <c r="AG288" s="1092"/>
      <c r="AH288" s="1092"/>
      <c r="AI288" s="1092"/>
      <c r="AJ288" s="1092"/>
      <c r="AK288" s="1092"/>
      <c r="AL288" s="1092"/>
      <c r="AM288" s="1092"/>
      <c r="AN288" s="1092"/>
      <c r="AO288" s="1092"/>
      <c r="AP288" s="1092"/>
      <c r="AQ288" s="1092"/>
      <c r="AR288" s="1092"/>
      <c r="AS288" s="1092"/>
      <c r="AT288" s="1092"/>
      <c r="AU288" s="1092"/>
      <c r="AV288" s="1092"/>
      <c r="AW288" s="1092"/>
      <c r="AX288" s="1092"/>
      <c r="AY288" s="1092"/>
      <c r="AZ288" s="1092"/>
      <c r="BA288" s="1092"/>
      <c r="BB288" s="1092"/>
      <c r="BC288" s="1092"/>
      <c r="BD288" s="1092"/>
      <c r="BE288" s="1092"/>
      <c r="BF288" s="1092"/>
      <c r="BR288" s="1092"/>
      <c r="BS288" s="1092"/>
      <c r="BT288" s="1092"/>
      <c r="BU288" s="922"/>
      <c r="BV288" s="921"/>
      <c r="BW288" s="921"/>
      <c r="BX288" s="921"/>
      <c r="BY288" s="1092"/>
      <c r="BZ288" s="1092"/>
    </row>
    <row r="289" spans="2:78" ht="12.75" customHeight="1">
      <c r="B289" s="1085"/>
      <c r="C289" s="1092"/>
      <c r="D289" s="1092"/>
      <c r="E289" s="1092"/>
      <c r="F289" s="1093"/>
      <c r="G289" s="1094"/>
      <c r="H289" s="1094"/>
      <c r="I289" s="1094"/>
      <c r="J289" s="1094"/>
      <c r="K289" s="1092"/>
      <c r="L289" s="1092"/>
      <c r="M289" s="1092"/>
      <c r="N289" s="1092"/>
      <c r="O289" s="1092"/>
      <c r="P289" s="1092"/>
      <c r="Q289" s="1092"/>
      <c r="R289" s="1092"/>
      <c r="S289" s="1092"/>
      <c r="T289" s="1092"/>
      <c r="U289" s="1092"/>
      <c r="V289" s="1092"/>
      <c r="W289" s="1092"/>
      <c r="X289" s="1092"/>
      <c r="Y289" s="1092"/>
      <c r="Z289" s="1092"/>
      <c r="AA289" s="1092"/>
      <c r="AB289" s="1092"/>
      <c r="AC289" s="1092"/>
      <c r="AD289" s="1092"/>
      <c r="AE289" s="1092"/>
      <c r="AF289" s="1092"/>
      <c r="AG289" s="1092"/>
      <c r="AH289" s="1092"/>
      <c r="AI289" s="1092"/>
      <c r="AJ289" s="1092"/>
      <c r="AK289" s="1092"/>
      <c r="AL289" s="1092"/>
      <c r="AM289" s="1092"/>
      <c r="AN289" s="1092"/>
      <c r="AO289" s="1092"/>
      <c r="AP289" s="1092"/>
      <c r="AQ289" s="1092"/>
      <c r="AR289" s="1092"/>
      <c r="AS289" s="1092"/>
      <c r="AT289" s="1092"/>
      <c r="AU289" s="1092"/>
      <c r="AV289" s="1092"/>
      <c r="AW289" s="1092"/>
      <c r="AX289" s="1092"/>
      <c r="AY289" s="1092"/>
      <c r="AZ289" s="1092"/>
      <c r="BA289" s="1092"/>
      <c r="BB289" s="1092"/>
      <c r="BC289" s="1092"/>
      <c r="BD289" s="1092"/>
      <c r="BE289" s="1092"/>
      <c r="BF289" s="1092"/>
      <c r="BR289" s="1092"/>
      <c r="BS289" s="1092"/>
      <c r="BT289" s="1092"/>
      <c r="BU289" s="922"/>
      <c r="BV289" s="921"/>
      <c r="BW289" s="921"/>
      <c r="BX289" s="921"/>
      <c r="BY289" s="1092"/>
      <c r="BZ289" s="1092"/>
    </row>
    <row r="290" spans="2:78" ht="12.75" customHeight="1">
      <c r="B290" s="1085"/>
      <c r="C290" s="1092"/>
      <c r="D290" s="1092"/>
      <c r="E290" s="1092"/>
      <c r="F290" s="1093"/>
      <c r="G290" s="1094"/>
      <c r="H290" s="1094"/>
      <c r="I290" s="1094"/>
      <c r="J290" s="1094"/>
      <c r="K290" s="1092"/>
      <c r="L290" s="1092"/>
      <c r="M290" s="1092"/>
      <c r="N290" s="1092"/>
      <c r="O290" s="1092"/>
      <c r="P290" s="1092"/>
      <c r="Q290" s="1092"/>
      <c r="R290" s="1092"/>
      <c r="S290" s="1092"/>
      <c r="T290" s="1092"/>
      <c r="U290" s="1092"/>
      <c r="V290" s="1092"/>
      <c r="W290" s="1092"/>
      <c r="X290" s="1092"/>
      <c r="Y290" s="1092"/>
      <c r="Z290" s="1092"/>
      <c r="AA290" s="1092"/>
      <c r="AB290" s="1092"/>
      <c r="AC290" s="1092"/>
      <c r="AD290" s="1092"/>
      <c r="AE290" s="1092"/>
      <c r="AF290" s="1092"/>
      <c r="AG290" s="1092"/>
      <c r="AH290" s="1092"/>
      <c r="AI290" s="1092"/>
      <c r="AJ290" s="1092"/>
      <c r="AK290" s="1092"/>
      <c r="AL290" s="1092"/>
      <c r="AM290" s="1092"/>
      <c r="AN290" s="1092"/>
      <c r="AO290" s="1092"/>
      <c r="AP290" s="1092"/>
      <c r="AQ290" s="1092"/>
      <c r="AR290" s="1092"/>
      <c r="AS290" s="1092"/>
      <c r="AT290" s="1092"/>
      <c r="AU290" s="1092"/>
      <c r="AV290" s="1092"/>
      <c r="AW290" s="1092"/>
      <c r="AX290" s="1092"/>
      <c r="AY290" s="1092"/>
      <c r="AZ290" s="1092"/>
      <c r="BA290" s="1092"/>
      <c r="BB290" s="1092"/>
      <c r="BC290" s="1092"/>
      <c r="BD290" s="1092"/>
      <c r="BE290" s="1092"/>
      <c r="BF290" s="1092"/>
      <c r="BR290" s="1092"/>
      <c r="BS290" s="1092"/>
      <c r="BT290" s="1092"/>
      <c r="BU290" s="922"/>
      <c r="BV290" s="921"/>
      <c r="BW290" s="921"/>
      <c r="BX290" s="921"/>
      <c r="BY290" s="1092"/>
      <c r="BZ290" s="1092"/>
    </row>
    <row r="291" spans="2:78" ht="12.75" customHeight="1">
      <c r="B291" s="1085"/>
      <c r="C291" s="1092"/>
      <c r="D291" s="1092"/>
      <c r="E291" s="1092"/>
      <c r="F291" s="1093"/>
      <c r="G291" s="1094"/>
      <c r="H291" s="1094"/>
      <c r="I291" s="1094"/>
      <c r="J291" s="1094"/>
      <c r="K291" s="1092"/>
      <c r="L291" s="1092"/>
      <c r="M291" s="1092"/>
      <c r="N291" s="1092"/>
      <c r="O291" s="1092"/>
      <c r="P291" s="1092"/>
      <c r="Q291" s="1092"/>
      <c r="R291" s="1092"/>
      <c r="S291" s="1092"/>
      <c r="T291" s="1092"/>
      <c r="U291" s="1092"/>
      <c r="V291" s="1092"/>
      <c r="W291" s="1092"/>
      <c r="X291" s="1092"/>
      <c r="Y291" s="1092"/>
      <c r="Z291" s="1092"/>
      <c r="AA291" s="1092"/>
      <c r="AB291" s="1092"/>
      <c r="AC291" s="1092"/>
      <c r="AD291" s="1092"/>
      <c r="AE291" s="1092"/>
      <c r="AF291" s="1092"/>
      <c r="AG291" s="1092"/>
      <c r="AH291" s="1092"/>
      <c r="AI291" s="1092"/>
      <c r="AJ291" s="1092"/>
      <c r="AK291" s="1092"/>
      <c r="AL291" s="1092"/>
      <c r="AM291" s="1092"/>
      <c r="AN291" s="1092"/>
      <c r="AO291" s="1092"/>
      <c r="AP291" s="1092"/>
      <c r="AQ291" s="1092"/>
      <c r="AR291" s="1092"/>
      <c r="AS291" s="1092"/>
      <c r="AT291" s="1092"/>
      <c r="AU291" s="1092"/>
      <c r="AV291" s="1092"/>
      <c r="AW291" s="1092"/>
      <c r="AX291" s="1092"/>
      <c r="AY291" s="1092"/>
      <c r="AZ291" s="1092"/>
      <c r="BA291" s="1092"/>
      <c r="BB291" s="1092"/>
      <c r="BC291" s="1092"/>
      <c r="BD291" s="1092"/>
      <c r="BE291" s="1092"/>
      <c r="BF291" s="1092"/>
      <c r="BR291" s="1092"/>
      <c r="BS291" s="1092"/>
      <c r="BT291" s="1092"/>
      <c r="BU291" s="922"/>
      <c r="BV291" s="921"/>
      <c r="BW291" s="921"/>
      <c r="BX291" s="921"/>
      <c r="BY291" s="1092"/>
      <c r="BZ291" s="1092"/>
    </row>
    <row r="292" spans="2:78" ht="12.75" customHeight="1">
      <c r="B292" s="1085"/>
      <c r="C292" s="1092"/>
      <c r="D292" s="1092"/>
      <c r="E292" s="1092"/>
      <c r="F292" s="1093"/>
      <c r="G292" s="1094"/>
      <c r="H292" s="1094"/>
      <c r="I292" s="1094"/>
      <c r="J292" s="1094"/>
      <c r="K292" s="1092"/>
      <c r="L292" s="1092"/>
      <c r="M292" s="1092"/>
      <c r="N292" s="1092"/>
      <c r="O292" s="1092"/>
      <c r="P292" s="1092"/>
      <c r="Q292" s="1092"/>
      <c r="R292" s="1092"/>
      <c r="S292" s="1092"/>
      <c r="T292" s="1092"/>
      <c r="U292" s="1092"/>
      <c r="V292" s="1092"/>
      <c r="W292" s="1092"/>
      <c r="X292" s="1092"/>
      <c r="Y292" s="1092"/>
      <c r="Z292" s="1092"/>
      <c r="AA292" s="1092"/>
      <c r="AB292" s="1092"/>
      <c r="AC292" s="1092"/>
      <c r="AD292" s="1092"/>
      <c r="AE292" s="1092"/>
      <c r="AF292" s="1092"/>
      <c r="AG292" s="1092"/>
      <c r="AH292" s="1092"/>
      <c r="AI292" s="1092"/>
      <c r="AJ292" s="1092"/>
      <c r="AK292" s="1092"/>
      <c r="AL292" s="1092"/>
      <c r="AM292" s="1092"/>
      <c r="AN292" s="1092"/>
      <c r="AO292" s="1092"/>
      <c r="AP292" s="1092"/>
      <c r="AQ292" s="1092"/>
      <c r="AR292" s="1092"/>
      <c r="AS292" s="1092"/>
      <c r="AT292" s="1092"/>
      <c r="AU292" s="1092"/>
      <c r="AV292" s="1092"/>
      <c r="AW292" s="1092"/>
      <c r="AX292" s="1092"/>
      <c r="AY292" s="1092"/>
      <c r="AZ292" s="1092"/>
      <c r="BA292" s="1092"/>
      <c r="BB292" s="1092"/>
      <c r="BC292" s="1092"/>
      <c r="BD292" s="1092"/>
      <c r="BE292" s="1092"/>
      <c r="BF292" s="1092"/>
      <c r="BR292" s="1092"/>
      <c r="BS292" s="1092"/>
      <c r="BT292" s="1092"/>
      <c r="BU292" s="922"/>
      <c r="BV292" s="921"/>
      <c r="BW292" s="921"/>
      <c r="BX292" s="921"/>
      <c r="BY292" s="1092"/>
      <c r="BZ292" s="1092"/>
    </row>
    <row r="293" spans="2:78" ht="12.75" customHeight="1">
      <c r="B293" s="1085"/>
      <c r="C293" s="1092"/>
      <c r="D293" s="1092"/>
      <c r="E293" s="1092"/>
      <c r="F293" s="1093"/>
      <c r="G293" s="1094"/>
      <c r="H293" s="1094"/>
      <c r="I293" s="1094"/>
      <c r="J293" s="1094"/>
      <c r="K293" s="1092"/>
      <c r="L293" s="1092"/>
      <c r="M293" s="1092"/>
      <c r="N293" s="1092"/>
      <c r="O293" s="1092"/>
      <c r="P293" s="1092"/>
      <c r="Q293" s="1092"/>
      <c r="R293" s="1092"/>
      <c r="S293" s="1092"/>
      <c r="T293" s="1092"/>
      <c r="U293" s="1092"/>
      <c r="V293" s="1092"/>
      <c r="W293" s="1092"/>
      <c r="X293" s="1092"/>
      <c r="Y293" s="1092"/>
      <c r="Z293" s="1092"/>
      <c r="AA293" s="1092"/>
      <c r="AB293" s="1092"/>
      <c r="AC293" s="1092"/>
      <c r="AD293" s="1092"/>
      <c r="AE293" s="1092"/>
      <c r="AF293" s="1092"/>
      <c r="AG293" s="1092"/>
      <c r="AH293" s="1092"/>
      <c r="AI293" s="1092"/>
      <c r="AJ293" s="1092"/>
      <c r="AK293" s="1092"/>
      <c r="AL293" s="1092"/>
      <c r="AM293" s="1092"/>
      <c r="AN293" s="1092"/>
      <c r="AO293" s="1092"/>
      <c r="AP293" s="1092"/>
      <c r="AQ293" s="1092"/>
      <c r="AR293" s="1092"/>
      <c r="AS293" s="1092"/>
      <c r="AT293" s="1092"/>
      <c r="AU293" s="1092"/>
      <c r="AV293" s="1092"/>
      <c r="AW293" s="1092"/>
      <c r="AX293" s="1092"/>
      <c r="AY293" s="1092"/>
      <c r="AZ293" s="1092"/>
      <c r="BA293" s="1092"/>
      <c r="BB293" s="1092"/>
      <c r="BC293" s="1092"/>
      <c r="BD293" s="1092"/>
      <c r="BE293" s="1092"/>
      <c r="BF293" s="1092"/>
      <c r="BR293" s="1092"/>
      <c r="BS293" s="1092"/>
      <c r="BT293" s="1092"/>
      <c r="BU293" s="922"/>
      <c r="BV293" s="921"/>
      <c r="BW293" s="921"/>
      <c r="BX293" s="921"/>
      <c r="BY293" s="1092"/>
      <c r="BZ293" s="1092"/>
    </row>
    <row r="294" spans="2:78" ht="12.75" customHeight="1">
      <c r="B294" s="1085"/>
      <c r="C294" s="1092"/>
      <c r="D294" s="1092"/>
      <c r="E294" s="1092"/>
      <c r="F294" s="1093"/>
      <c r="G294" s="1094"/>
      <c r="H294" s="1094"/>
      <c r="I294" s="1094"/>
      <c r="J294" s="1094"/>
      <c r="K294" s="1092"/>
      <c r="L294" s="1092"/>
      <c r="M294" s="1092"/>
      <c r="N294" s="1092"/>
      <c r="O294" s="1092"/>
      <c r="P294" s="1092"/>
      <c r="Q294" s="1092"/>
      <c r="R294" s="1092"/>
      <c r="S294" s="1092"/>
      <c r="T294" s="1092"/>
      <c r="U294" s="1092"/>
      <c r="V294" s="1092"/>
      <c r="W294" s="1092"/>
      <c r="X294" s="1092"/>
      <c r="Y294" s="1092"/>
      <c r="Z294" s="1092"/>
      <c r="AA294" s="1092"/>
      <c r="AB294" s="1092"/>
      <c r="AC294" s="1092"/>
      <c r="AD294" s="1092"/>
      <c r="AE294" s="1092"/>
      <c r="AF294" s="1092"/>
      <c r="AG294" s="1092"/>
      <c r="AH294" s="1092"/>
      <c r="AI294" s="1092"/>
      <c r="AJ294" s="1092"/>
      <c r="AK294" s="1092"/>
      <c r="AL294" s="1092"/>
      <c r="AM294" s="1092"/>
      <c r="AN294" s="1092"/>
      <c r="AO294" s="1092"/>
      <c r="AP294" s="1092"/>
      <c r="AQ294" s="1092"/>
      <c r="AR294" s="1092"/>
      <c r="AS294" s="1092"/>
      <c r="AT294" s="1092"/>
      <c r="AU294" s="1092"/>
      <c r="AV294" s="1092"/>
      <c r="AW294" s="1092"/>
      <c r="AX294" s="1092"/>
      <c r="AY294" s="1092"/>
      <c r="AZ294" s="1092"/>
      <c r="BA294" s="1092"/>
      <c r="BB294" s="1092"/>
      <c r="BC294" s="1092"/>
      <c r="BD294" s="1092"/>
      <c r="BE294" s="1092"/>
      <c r="BF294" s="1092"/>
      <c r="BR294" s="1092"/>
      <c r="BS294" s="1092"/>
      <c r="BT294" s="1092"/>
      <c r="BU294" s="922"/>
      <c r="BV294" s="921"/>
      <c r="BW294" s="921"/>
      <c r="BX294" s="921"/>
      <c r="BY294" s="1092"/>
      <c r="BZ294" s="1092"/>
    </row>
    <row r="295" spans="2:78" ht="12.75" customHeight="1">
      <c r="B295" s="1085"/>
      <c r="C295" s="1092"/>
      <c r="D295" s="1092"/>
      <c r="E295" s="1092"/>
      <c r="F295" s="1093"/>
      <c r="G295" s="1094"/>
      <c r="H295" s="1094"/>
      <c r="I295" s="1094"/>
      <c r="J295" s="1094"/>
      <c r="K295" s="1092"/>
      <c r="L295" s="1092"/>
      <c r="M295" s="1092"/>
      <c r="N295" s="1092"/>
      <c r="O295" s="1092"/>
      <c r="P295" s="1092"/>
      <c r="Q295" s="1092"/>
      <c r="R295" s="1092"/>
      <c r="S295" s="1092"/>
      <c r="T295" s="1092"/>
      <c r="U295" s="1092"/>
      <c r="V295" s="1092"/>
      <c r="W295" s="1092"/>
      <c r="X295" s="1092"/>
      <c r="Y295" s="1092"/>
      <c r="Z295" s="1092"/>
      <c r="AA295" s="1092"/>
      <c r="AB295" s="1092"/>
      <c r="AC295" s="1092"/>
      <c r="AD295" s="1092"/>
      <c r="AE295" s="1092"/>
      <c r="AF295" s="1092"/>
      <c r="AG295" s="1092"/>
      <c r="AH295" s="1092"/>
      <c r="AI295" s="1092"/>
      <c r="AJ295" s="1092"/>
      <c r="AK295" s="1092"/>
      <c r="AL295" s="1092"/>
      <c r="AM295" s="1092"/>
      <c r="AN295" s="1092"/>
      <c r="AO295" s="1092"/>
      <c r="AP295" s="1092"/>
      <c r="AQ295" s="1092"/>
      <c r="AR295" s="1092"/>
      <c r="AS295" s="1092"/>
      <c r="AT295" s="1092"/>
      <c r="AU295" s="1092"/>
      <c r="AV295" s="1092"/>
      <c r="AW295" s="1092"/>
      <c r="AX295" s="1092"/>
      <c r="AY295" s="1092"/>
      <c r="AZ295" s="1092"/>
      <c r="BA295" s="1092"/>
      <c r="BB295" s="1092"/>
      <c r="BC295" s="1092"/>
      <c r="BD295" s="1092"/>
      <c r="BE295" s="1092"/>
      <c r="BF295" s="1092"/>
      <c r="BR295" s="1092"/>
      <c r="BS295" s="1092"/>
      <c r="BT295" s="1092"/>
      <c r="BU295" s="922"/>
      <c r="BV295" s="921"/>
      <c r="BW295" s="921"/>
      <c r="BX295" s="921"/>
      <c r="BY295" s="1092"/>
      <c r="BZ295" s="1092"/>
    </row>
    <row r="296" spans="2:78" ht="12.75" customHeight="1">
      <c r="B296" s="1085"/>
      <c r="C296" s="1092"/>
      <c r="D296" s="1092"/>
      <c r="E296" s="1092"/>
      <c r="F296" s="1093"/>
      <c r="G296" s="1094"/>
      <c r="H296" s="1094"/>
      <c r="I296" s="1094"/>
      <c r="J296" s="1094"/>
      <c r="K296" s="1092"/>
      <c r="L296" s="1092"/>
      <c r="M296" s="1092"/>
      <c r="N296" s="1092"/>
      <c r="O296" s="1092"/>
      <c r="P296" s="1092"/>
      <c r="Q296" s="1092"/>
      <c r="R296" s="1092"/>
      <c r="S296" s="1092"/>
      <c r="T296" s="1092"/>
      <c r="U296" s="1092"/>
      <c r="V296" s="1092"/>
      <c r="W296" s="1092"/>
      <c r="X296" s="1092"/>
      <c r="Y296" s="1092"/>
      <c r="Z296" s="1092"/>
      <c r="AA296" s="1092"/>
      <c r="AB296" s="1092"/>
      <c r="AC296" s="1092"/>
      <c r="AD296" s="1092"/>
      <c r="AE296" s="1092"/>
      <c r="AF296" s="1092"/>
      <c r="AG296" s="1092"/>
      <c r="AH296" s="1092"/>
      <c r="AI296" s="1092"/>
      <c r="AJ296" s="1092"/>
      <c r="AK296" s="1092"/>
      <c r="AL296" s="1092"/>
      <c r="AM296" s="1092"/>
      <c r="AN296" s="1092"/>
      <c r="AO296" s="1092"/>
      <c r="AP296" s="1092"/>
      <c r="AQ296" s="1092"/>
      <c r="AR296" s="1092"/>
      <c r="AS296" s="1092"/>
      <c r="AT296" s="1092"/>
      <c r="AU296" s="1092"/>
      <c r="AV296" s="1092"/>
      <c r="AW296" s="1092"/>
      <c r="AX296" s="1092"/>
      <c r="AY296" s="1092"/>
      <c r="AZ296" s="1092"/>
      <c r="BA296" s="1092"/>
      <c r="BB296" s="1092"/>
      <c r="BC296" s="1092"/>
      <c r="BD296" s="1092"/>
      <c r="BE296" s="1092"/>
      <c r="BF296" s="1092"/>
      <c r="BR296" s="1092"/>
      <c r="BS296" s="1092"/>
      <c r="BT296" s="1092"/>
      <c r="BU296" s="922"/>
      <c r="BV296" s="921"/>
      <c r="BW296" s="921"/>
      <c r="BX296" s="921"/>
      <c r="BY296" s="1092"/>
      <c r="BZ296" s="1092"/>
    </row>
    <row r="297" spans="2:78" ht="12.75" customHeight="1">
      <c r="B297" s="1085"/>
      <c r="C297" s="1092"/>
      <c r="D297" s="1092"/>
      <c r="E297" s="1092"/>
      <c r="F297" s="1093"/>
      <c r="G297" s="1094"/>
      <c r="H297" s="1094"/>
      <c r="I297" s="1094"/>
      <c r="J297" s="1094"/>
      <c r="K297" s="1092"/>
      <c r="L297" s="1092"/>
      <c r="M297" s="1092"/>
      <c r="N297" s="1092"/>
      <c r="O297" s="1092"/>
      <c r="P297" s="1092"/>
      <c r="Q297" s="1092"/>
      <c r="R297" s="1092"/>
      <c r="S297" s="1092"/>
      <c r="T297" s="1092"/>
      <c r="U297" s="1092"/>
      <c r="V297" s="1092"/>
      <c r="W297" s="1092"/>
      <c r="X297" s="1092"/>
      <c r="Y297" s="1092"/>
      <c r="Z297" s="1092"/>
      <c r="AA297" s="1092"/>
      <c r="AB297" s="1092"/>
      <c r="AC297" s="1092"/>
      <c r="AD297" s="1092"/>
      <c r="AE297" s="1092"/>
      <c r="AF297" s="1092"/>
      <c r="AG297" s="1092"/>
      <c r="AH297" s="1092"/>
      <c r="AI297" s="1092"/>
      <c r="AJ297" s="1092"/>
      <c r="AK297" s="1092"/>
      <c r="AL297" s="1092"/>
      <c r="AM297" s="1092"/>
      <c r="AN297" s="1092"/>
      <c r="AO297" s="1092"/>
      <c r="AP297" s="1092"/>
      <c r="AQ297" s="1092"/>
      <c r="AR297" s="1092"/>
      <c r="AS297" s="1092"/>
      <c r="AT297" s="1092"/>
      <c r="AU297" s="1092"/>
      <c r="AV297" s="1092"/>
      <c r="AW297" s="1092"/>
      <c r="AX297" s="1092"/>
      <c r="AY297" s="1092"/>
      <c r="AZ297" s="1092"/>
      <c r="BA297" s="1092"/>
      <c r="BB297" s="1092"/>
      <c r="BC297" s="1092"/>
      <c r="BD297" s="1092"/>
      <c r="BE297" s="1092"/>
      <c r="BF297" s="1092"/>
      <c r="BR297" s="1092"/>
      <c r="BS297" s="1092"/>
      <c r="BT297" s="1092"/>
      <c r="BU297" s="922"/>
      <c r="BV297" s="921"/>
      <c r="BW297" s="921"/>
      <c r="BX297" s="921"/>
      <c r="BY297" s="1092"/>
      <c r="BZ297" s="1092"/>
    </row>
    <row r="298" spans="2:78" ht="12.75" customHeight="1">
      <c r="B298" s="1085"/>
      <c r="C298" s="1092"/>
      <c r="D298" s="1092"/>
      <c r="E298" s="1092"/>
      <c r="F298" s="1093"/>
      <c r="G298" s="1094"/>
      <c r="H298" s="1094"/>
      <c r="I298" s="1094"/>
      <c r="J298" s="1094"/>
      <c r="K298" s="1092"/>
      <c r="L298" s="1092"/>
      <c r="M298" s="1092"/>
      <c r="N298" s="1092"/>
      <c r="O298" s="1092"/>
      <c r="P298" s="1092"/>
      <c r="Q298" s="1092"/>
      <c r="R298" s="1092"/>
      <c r="S298" s="1092"/>
      <c r="T298" s="1092"/>
      <c r="U298" s="1092"/>
      <c r="V298" s="1092"/>
      <c r="W298" s="1092"/>
      <c r="X298" s="1092"/>
      <c r="Y298" s="1092"/>
      <c r="Z298" s="1092"/>
      <c r="AA298" s="1092"/>
      <c r="AB298" s="1092"/>
      <c r="AC298" s="1092"/>
      <c r="AD298" s="1092"/>
      <c r="AE298" s="1092"/>
      <c r="AF298" s="1092"/>
      <c r="AG298" s="1092"/>
      <c r="AH298" s="1092"/>
      <c r="AI298" s="1092"/>
      <c r="AJ298" s="1092"/>
      <c r="AK298" s="1092"/>
      <c r="AL298" s="1092"/>
      <c r="AM298" s="1092"/>
      <c r="AN298" s="1092"/>
      <c r="AO298" s="1092"/>
      <c r="AP298" s="1092"/>
      <c r="AQ298" s="1092"/>
      <c r="AR298" s="1092"/>
      <c r="AS298" s="1092"/>
      <c r="AT298" s="1092"/>
      <c r="AU298" s="1092"/>
      <c r="AV298" s="1092"/>
      <c r="AW298" s="1092"/>
      <c r="AX298" s="1092"/>
      <c r="AY298" s="1092"/>
      <c r="AZ298" s="1092"/>
      <c r="BA298" s="1092"/>
      <c r="BB298" s="1092"/>
      <c r="BC298" s="1092"/>
      <c r="BD298" s="1092"/>
      <c r="BE298" s="1092"/>
      <c r="BF298" s="1092"/>
      <c r="BR298" s="1092"/>
      <c r="BS298" s="1092"/>
      <c r="BT298" s="1092"/>
      <c r="BU298" s="922"/>
      <c r="BV298" s="921"/>
      <c r="BW298" s="921"/>
      <c r="BX298" s="921"/>
      <c r="BY298" s="1092"/>
      <c r="BZ298" s="1092"/>
    </row>
    <row r="299" spans="2:78" ht="12.75" customHeight="1">
      <c r="B299" s="1085"/>
      <c r="C299" s="1092"/>
      <c r="D299" s="1092"/>
      <c r="E299" s="1092"/>
      <c r="F299" s="1093"/>
      <c r="G299" s="1094"/>
      <c r="H299" s="1094"/>
      <c r="I299" s="1094"/>
      <c r="J299" s="1094"/>
      <c r="K299" s="1092"/>
      <c r="L299" s="1092"/>
      <c r="M299" s="1092"/>
      <c r="N299" s="1092"/>
      <c r="O299" s="1092"/>
      <c r="P299" s="1092"/>
      <c r="Q299" s="1092"/>
      <c r="R299" s="1092"/>
      <c r="S299" s="1092"/>
      <c r="T299" s="1092"/>
      <c r="U299" s="1092"/>
      <c r="V299" s="1092"/>
      <c r="W299" s="1092"/>
      <c r="X299" s="1092"/>
      <c r="Y299" s="1092"/>
      <c r="Z299" s="1092"/>
      <c r="AA299" s="1092"/>
      <c r="AB299" s="1092"/>
      <c r="AC299" s="1092"/>
      <c r="AD299" s="1092"/>
      <c r="AE299" s="1092"/>
      <c r="AF299" s="1092"/>
      <c r="AG299" s="1092"/>
      <c r="AH299" s="1092"/>
      <c r="AI299" s="1092"/>
      <c r="AJ299" s="1092"/>
      <c r="AK299" s="1092"/>
      <c r="AL299" s="1092"/>
      <c r="AM299" s="1092"/>
      <c r="AN299" s="1092"/>
      <c r="AO299" s="1092"/>
      <c r="AP299" s="1092"/>
      <c r="AQ299" s="1092"/>
      <c r="AR299" s="1092"/>
      <c r="AS299" s="1092"/>
      <c r="AT299" s="1092"/>
      <c r="AU299" s="1092"/>
      <c r="AV299" s="1092"/>
      <c r="AW299" s="1092"/>
      <c r="AX299" s="1092"/>
      <c r="AY299" s="1092"/>
      <c r="AZ299" s="1092"/>
      <c r="BA299" s="1092"/>
      <c r="BB299" s="1092"/>
      <c r="BC299" s="1092"/>
      <c r="BD299" s="1092"/>
      <c r="BE299" s="1092"/>
      <c r="BF299" s="1092"/>
      <c r="BR299" s="1092"/>
      <c r="BS299" s="1092"/>
      <c r="BT299" s="1092"/>
      <c r="BU299" s="922"/>
      <c r="BV299" s="921"/>
      <c r="BW299" s="921"/>
      <c r="BX299" s="921"/>
      <c r="BY299" s="1092"/>
      <c r="BZ299" s="1092"/>
    </row>
    <row r="300" spans="2:78" ht="12.75" customHeight="1">
      <c r="B300" s="1085"/>
      <c r="C300" s="1092"/>
      <c r="D300" s="1092"/>
      <c r="E300" s="1092"/>
      <c r="F300" s="1093"/>
      <c r="G300" s="1094"/>
      <c r="H300" s="1094"/>
      <c r="I300" s="1094"/>
      <c r="J300" s="1094"/>
      <c r="K300" s="1092"/>
      <c r="L300" s="1092"/>
      <c r="M300" s="1092"/>
      <c r="N300" s="1092"/>
      <c r="O300" s="1092"/>
      <c r="P300" s="1092"/>
      <c r="Q300" s="1092"/>
      <c r="R300" s="1092"/>
      <c r="S300" s="1092"/>
      <c r="T300" s="1092"/>
      <c r="U300" s="1092"/>
      <c r="V300" s="1092"/>
      <c r="W300" s="1092"/>
      <c r="X300" s="1092"/>
      <c r="Y300" s="1092"/>
      <c r="Z300" s="1092"/>
      <c r="AA300" s="1092"/>
      <c r="AB300" s="1092"/>
      <c r="AC300" s="1092"/>
      <c r="AD300" s="1092"/>
      <c r="AE300" s="1092"/>
      <c r="AF300" s="1092"/>
      <c r="AG300" s="1092"/>
      <c r="AH300" s="1092"/>
      <c r="AI300" s="1092"/>
      <c r="AJ300" s="1092"/>
      <c r="AK300" s="1092"/>
      <c r="AL300" s="1092"/>
      <c r="AM300" s="1092"/>
      <c r="AN300" s="1092"/>
      <c r="AO300" s="1092"/>
      <c r="AP300" s="1092"/>
      <c r="AQ300" s="1092"/>
      <c r="AR300" s="1092"/>
      <c r="AS300" s="1092"/>
      <c r="AT300" s="1092"/>
      <c r="AU300" s="1092"/>
      <c r="AV300" s="1092"/>
      <c r="AW300" s="1092"/>
      <c r="AX300" s="1092"/>
      <c r="AY300" s="1092"/>
      <c r="AZ300" s="1092"/>
      <c r="BA300" s="1092"/>
      <c r="BB300" s="1092"/>
      <c r="BC300" s="1092"/>
      <c r="BD300" s="1092"/>
      <c r="BE300" s="1092"/>
      <c r="BF300" s="1092"/>
      <c r="BR300" s="1092"/>
      <c r="BS300" s="1092"/>
      <c r="BT300" s="1092"/>
      <c r="BU300" s="922"/>
      <c r="BV300" s="921"/>
      <c r="BW300" s="921"/>
      <c r="BX300" s="921"/>
      <c r="BY300" s="1092"/>
      <c r="BZ300" s="1092"/>
    </row>
    <row r="301" spans="2:78" ht="12.75" customHeight="1">
      <c r="B301" s="1085"/>
      <c r="C301" s="1092"/>
      <c r="D301" s="1092"/>
      <c r="E301" s="1092"/>
      <c r="F301" s="1093"/>
      <c r="G301" s="1094"/>
      <c r="H301" s="1094"/>
      <c r="I301" s="1094"/>
      <c r="J301" s="1094"/>
      <c r="K301" s="1092"/>
      <c r="L301" s="1092"/>
      <c r="M301" s="1092"/>
      <c r="N301" s="1092"/>
      <c r="O301" s="1092"/>
      <c r="P301" s="1092"/>
      <c r="Q301" s="1092"/>
      <c r="R301" s="1092"/>
      <c r="S301" s="1092"/>
      <c r="T301" s="1092"/>
      <c r="U301" s="1092"/>
      <c r="V301" s="1092"/>
      <c r="W301" s="1092"/>
      <c r="X301" s="1092"/>
      <c r="Y301" s="1092"/>
      <c r="Z301" s="1092"/>
      <c r="AA301" s="1092"/>
      <c r="AB301" s="1092"/>
      <c r="AC301" s="1092"/>
      <c r="AD301" s="1092"/>
      <c r="AE301" s="1092"/>
      <c r="AF301" s="1092"/>
      <c r="AG301" s="1092"/>
      <c r="AH301" s="1092"/>
      <c r="AI301" s="1092"/>
      <c r="AJ301" s="1092"/>
      <c r="AK301" s="1092"/>
      <c r="AL301" s="1092"/>
      <c r="AM301" s="1092"/>
      <c r="AN301" s="1092"/>
      <c r="AO301" s="1092"/>
      <c r="AP301" s="1092"/>
      <c r="AQ301" s="1092"/>
      <c r="AR301" s="1092"/>
      <c r="AS301" s="1092"/>
      <c r="AT301" s="1092"/>
      <c r="AU301" s="1092"/>
      <c r="AV301" s="1092"/>
      <c r="AW301" s="1092"/>
      <c r="AX301" s="1092"/>
      <c r="AY301" s="1092"/>
      <c r="AZ301" s="1092"/>
      <c r="BA301" s="1092"/>
      <c r="BB301" s="1092"/>
      <c r="BC301" s="1092"/>
      <c r="BD301" s="1092"/>
      <c r="BE301" s="1092"/>
      <c r="BF301" s="1092"/>
      <c r="BR301" s="1092"/>
      <c r="BS301" s="1092"/>
      <c r="BT301" s="1092"/>
      <c r="BU301" s="922"/>
      <c r="BV301" s="921"/>
      <c r="BW301" s="921"/>
      <c r="BX301" s="921"/>
      <c r="BY301" s="1092"/>
      <c r="BZ301" s="1092"/>
    </row>
    <row r="302" spans="2:78" ht="12.75" customHeight="1">
      <c r="B302" s="1085"/>
      <c r="C302" s="1092"/>
      <c r="D302" s="1092"/>
      <c r="E302" s="1092"/>
      <c r="F302" s="1093"/>
      <c r="G302" s="1094"/>
      <c r="H302" s="1094"/>
      <c r="I302" s="1094"/>
      <c r="J302" s="1094"/>
      <c r="K302" s="1092"/>
      <c r="L302" s="1092"/>
      <c r="M302" s="1092"/>
      <c r="N302" s="1092"/>
      <c r="O302" s="1092"/>
      <c r="P302" s="1092"/>
      <c r="Q302" s="1092"/>
      <c r="R302" s="1092"/>
      <c r="S302" s="1092"/>
      <c r="T302" s="1092"/>
      <c r="U302" s="1092"/>
      <c r="V302" s="1092"/>
      <c r="W302" s="1092"/>
      <c r="X302" s="1092"/>
      <c r="Y302" s="1092"/>
      <c r="Z302" s="1092"/>
      <c r="AA302" s="1092"/>
      <c r="AB302" s="1092"/>
      <c r="AC302" s="1092"/>
      <c r="AD302" s="1092"/>
      <c r="AE302" s="1092"/>
      <c r="AF302" s="1092"/>
      <c r="AG302" s="1092"/>
      <c r="AH302" s="1092"/>
      <c r="AI302" s="1092"/>
      <c r="AJ302" s="1092"/>
      <c r="AK302" s="1092"/>
      <c r="AL302" s="1092"/>
      <c r="AM302" s="1092"/>
      <c r="AN302" s="1092"/>
      <c r="AO302" s="1092"/>
      <c r="AP302" s="1092"/>
      <c r="AQ302" s="1092"/>
      <c r="AR302" s="1092"/>
      <c r="AS302" s="1092"/>
      <c r="AT302" s="1092"/>
      <c r="AU302" s="1092"/>
      <c r="AV302" s="1092"/>
      <c r="AW302" s="1092"/>
      <c r="AX302" s="1092"/>
      <c r="AY302" s="1092"/>
      <c r="AZ302" s="1092"/>
      <c r="BA302" s="1092"/>
      <c r="BB302" s="1092"/>
      <c r="BC302" s="1092"/>
      <c r="BD302" s="1092"/>
      <c r="BE302" s="1092"/>
      <c r="BF302" s="1092"/>
      <c r="BR302" s="1092"/>
      <c r="BS302" s="1092"/>
      <c r="BT302" s="1092"/>
      <c r="BU302" s="922"/>
      <c r="BV302" s="921"/>
      <c r="BW302" s="921"/>
      <c r="BX302" s="921"/>
      <c r="BY302" s="1092"/>
      <c r="BZ302" s="1092"/>
    </row>
    <row r="303" spans="2:78" ht="12.75" customHeight="1">
      <c r="B303" s="1085"/>
      <c r="C303" s="1092"/>
      <c r="D303" s="1092"/>
      <c r="E303" s="1092"/>
      <c r="F303" s="1093"/>
      <c r="G303" s="1094"/>
      <c r="H303" s="1094"/>
      <c r="I303" s="1094"/>
      <c r="J303" s="1094"/>
      <c r="K303" s="1092"/>
      <c r="L303" s="1092"/>
      <c r="M303" s="1092"/>
      <c r="N303" s="1092"/>
      <c r="O303" s="1092"/>
      <c r="P303" s="1092"/>
      <c r="Q303" s="1092"/>
      <c r="R303" s="1092"/>
      <c r="S303" s="1092"/>
      <c r="T303" s="1092"/>
      <c r="U303" s="1092"/>
      <c r="V303" s="1092"/>
      <c r="W303" s="1092"/>
      <c r="X303" s="1092"/>
      <c r="Y303" s="1092"/>
      <c r="Z303" s="1092"/>
      <c r="AA303" s="1092"/>
      <c r="AB303" s="1092"/>
      <c r="AC303" s="1092"/>
      <c r="AD303" s="1092"/>
      <c r="AE303" s="1092"/>
      <c r="AF303" s="1092"/>
      <c r="AG303" s="1092"/>
      <c r="AH303" s="1092"/>
      <c r="AI303" s="1092"/>
      <c r="AJ303" s="1092"/>
      <c r="AK303" s="1092"/>
      <c r="AL303" s="1092"/>
      <c r="AM303" s="1092"/>
      <c r="AN303" s="1092"/>
      <c r="AO303" s="1092"/>
      <c r="AP303" s="1092"/>
      <c r="AQ303" s="1092"/>
      <c r="AR303" s="1092"/>
      <c r="AS303" s="1092"/>
      <c r="AT303" s="1092"/>
      <c r="AU303" s="1092"/>
      <c r="AV303" s="1092"/>
      <c r="AW303" s="1092"/>
      <c r="AX303" s="1092"/>
      <c r="AY303" s="1092"/>
      <c r="AZ303" s="1092"/>
      <c r="BA303" s="1092"/>
      <c r="BB303" s="1092"/>
      <c r="BC303" s="1092"/>
      <c r="BD303" s="1092"/>
      <c r="BE303" s="1092"/>
      <c r="BF303" s="1092"/>
      <c r="BR303" s="1092"/>
      <c r="BS303" s="1092"/>
      <c r="BT303" s="1092"/>
      <c r="BU303" s="922"/>
      <c r="BV303" s="921"/>
      <c r="BW303" s="921"/>
      <c r="BX303" s="921"/>
      <c r="BY303" s="1092"/>
      <c r="BZ303" s="1092"/>
    </row>
    <row r="304" spans="2:78" ht="12.75" customHeight="1">
      <c r="B304" s="1085"/>
      <c r="C304" s="1092"/>
      <c r="D304" s="1092"/>
      <c r="E304" s="1092"/>
      <c r="F304" s="1093"/>
      <c r="G304" s="1094"/>
      <c r="H304" s="1094"/>
      <c r="I304" s="1094"/>
      <c r="J304" s="1094"/>
      <c r="K304" s="1092"/>
      <c r="L304" s="1092"/>
      <c r="M304" s="1092"/>
      <c r="N304" s="1092"/>
      <c r="O304" s="1092"/>
      <c r="P304" s="1092"/>
      <c r="Q304" s="1092"/>
      <c r="R304" s="1092"/>
      <c r="S304" s="1092"/>
      <c r="T304" s="1092"/>
      <c r="U304" s="1092"/>
      <c r="V304" s="1092"/>
      <c r="W304" s="1092"/>
      <c r="X304" s="1092"/>
      <c r="Y304" s="1092"/>
      <c r="Z304" s="1092"/>
      <c r="AA304" s="1092"/>
      <c r="AB304" s="1092"/>
      <c r="AC304" s="1092"/>
      <c r="AD304" s="1092"/>
      <c r="AE304" s="1092"/>
      <c r="AF304" s="1092"/>
      <c r="AG304" s="1092"/>
      <c r="AH304" s="1092"/>
      <c r="AI304" s="1092"/>
      <c r="AJ304" s="1092"/>
      <c r="AK304" s="1092"/>
      <c r="AL304" s="1092"/>
      <c r="AM304" s="1092"/>
      <c r="AN304" s="1092"/>
      <c r="AO304" s="1092"/>
      <c r="AP304" s="1092"/>
      <c r="AQ304" s="1092"/>
      <c r="AR304" s="1092"/>
      <c r="AS304" s="1092"/>
      <c r="AT304" s="1092"/>
      <c r="AU304" s="1092"/>
      <c r="AV304" s="1092"/>
      <c r="AW304" s="1092"/>
      <c r="AX304" s="1092"/>
      <c r="AY304" s="1092"/>
      <c r="AZ304" s="1092"/>
      <c r="BA304" s="1092"/>
      <c r="BB304" s="1092"/>
      <c r="BC304" s="1092"/>
      <c r="BD304" s="1092"/>
      <c r="BE304" s="1092"/>
      <c r="BF304" s="1092"/>
      <c r="BR304" s="1092"/>
      <c r="BS304" s="1092"/>
      <c r="BT304" s="1092"/>
      <c r="BU304" s="922"/>
      <c r="BV304" s="921"/>
      <c r="BW304" s="921"/>
      <c r="BX304" s="921"/>
      <c r="BY304" s="1092"/>
      <c r="BZ304" s="1092"/>
    </row>
    <row r="305" spans="2:78" ht="12.75" customHeight="1">
      <c r="B305" s="1085"/>
      <c r="C305" s="1092"/>
      <c r="D305" s="1092"/>
      <c r="E305" s="1092"/>
      <c r="F305" s="1093"/>
      <c r="G305" s="1094"/>
      <c r="H305" s="1094"/>
      <c r="I305" s="1094"/>
      <c r="J305" s="1094"/>
      <c r="K305" s="1092"/>
      <c r="L305" s="1092"/>
      <c r="M305" s="1092"/>
      <c r="N305" s="1092"/>
      <c r="O305" s="1092"/>
      <c r="P305" s="1092"/>
      <c r="Q305" s="1092"/>
      <c r="R305" s="1092"/>
      <c r="S305" s="1092"/>
      <c r="T305" s="1092"/>
      <c r="U305" s="1092"/>
      <c r="V305" s="1092"/>
      <c r="W305" s="1092"/>
      <c r="X305" s="1092"/>
      <c r="Y305" s="1092"/>
      <c r="Z305" s="1092"/>
      <c r="AA305" s="1092"/>
      <c r="AB305" s="1092"/>
      <c r="AC305" s="1092"/>
      <c r="AD305" s="1092"/>
      <c r="AE305" s="1092"/>
      <c r="AF305" s="1092"/>
      <c r="AG305" s="1092"/>
      <c r="AH305" s="1092"/>
      <c r="AI305" s="1092"/>
      <c r="AJ305" s="1092"/>
      <c r="AK305" s="1092"/>
      <c r="AL305" s="1092"/>
      <c r="AM305" s="1092"/>
      <c r="AN305" s="1092"/>
      <c r="AO305" s="1092"/>
      <c r="AP305" s="1092"/>
      <c r="AQ305" s="1092"/>
      <c r="AR305" s="1092"/>
      <c r="AS305" s="1092"/>
      <c r="AT305" s="1092"/>
      <c r="AU305" s="1092"/>
      <c r="AV305" s="1092"/>
      <c r="AW305" s="1092"/>
      <c r="AX305" s="1092"/>
      <c r="AY305" s="1092"/>
      <c r="AZ305" s="1092"/>
      <c r="BA305" s="1092"/>
      <c r="BB305" s="1092"/>
      <c r="BC305" s="1092"/>
      <c r="BD305" s="1092"/>
      <c r="BE305" s="1092"/>
      <c r="BF305" s="1092"/>
      <c r="BR305" s="1092"/>
      <c r="BS305" s="1092"/>
      <c r="BT305" s="1092"/>
      <c r="BU305" s="922"/>
      <c r="BV305" s="921"/>
      <c r="BW305" s="921"/>
      <c r="BX305" s="921"/>
      <c r="BY305" s="1092"/>
      <c r="BZ305" s="1092"/>
    </row>
    <row r="306" spans="2:78" ht="12.75" customHeight="1">
      <c r="B306" s="1085"/>
      <c r="C306" s="1092"/>
      <c r="D306" s="1092"/>
      <c r="E306" s="1092"/>
      <c r="F306" s="1093"/>
      <c r="G306" s="1094"/>
      <c r="H306" s="1094"/>
      <c r="I306" s="1094"/>
      <c r="J306" s="1094"/>
      <c r="K306" s="1092"/>
      <c r="L306" s="1092"/>
      <c r="M306" s="1092"/>
      <c r="N306" s="1092"/>
      <c r="O306" s="1092"/>
      <c r="P306" s="1092"/>
      <c r="Q306" s="1092"/>
      <c r="R306" s="1092"/>
      <c r="S306" s="1092"/>
      <c r="T306" s="1092"/>
      <c r="U306" s="1092"/>
      <c r="V306" s="1092"/>
      <c r="W306" s="1092"/>
      <c r="X306" s="1092"/>
      <c r="Y306" s="1092"/>
      <c r="Z306" s="1092"/>
      <c r="AA306" s="1092"/>
      <c r="AB306" s="1092"/>
      <c r="AC306" s="1092"/>
      <c r="AD306" s="1092"/>
      <c r="AE306" s="1092"/>
      <c r="AF306" s="1092"/>
      <c r="AG306" s="1092"/>
      <c r="AH306" s="1092"/>
      <c r="AI306" s="1092"/>
      <c r="AJ306" s="1092"/>
      <c r="AK306" s="1092"/>
      <c r="AL306" s="1092"/>
      <c r="AM306" s="1092"/>
      <c r="AN306" s="1092"/>
      <c r="AO306" s="1092"/>
      <c r="AP306" s="1092"/>
      <c r="AQ306" s="1092"/>
      <c r="AR306" s="1092"/>
      <c r="AS306" s="1092"/>
      <c r="AT306" s="1092"/>
      <c r="AU306" s="1092"/>
      <c r="AV306" s="1092"/>
      <c r="AW306" s="1092"/>
      <c r="AX306" s="1092"/>
      <c r="AY306" s="1092"/>
      <c r="AZ306" s="1092"/>
      <c r="BA306" s="1092"/>
      <c r="BB306" s="1092"/>
      <c r="BC306" s="1092"/>
      <c r="BD306" s="1092"/>
      <c r="BE306" s="1092"/>
      <c r="BF306" s="1092"/>
      <c r="BR306" s="1092"/>
      <c r="BS306" s="1092"/>
      <c r="BT306" s="1092"/>
      <c r="BU306" s="922"/>
      <c r="BV306" s="921"/>
      <c r="BW306" s="921"/>
      <c r="BX306" s="921"/>
      <c r="BY306" s="1092"/>
      <c r="BZ306" s="1092"/>
    </row>
    <row r="307" spans="2:78" ht="12.75" customHeight="1">
      <c r="B307" s="1085"/>
      <c r="C307" s="1092"/>
      <c r="D307" s="1092"/>
      <c r="E307" s="1092"/>
      <c r="F307" s="1093"/>
      <c r="G307" s="1094"/>
      <c r="H307" s="1094"/>
      <c r="I307" s="1094"/>
      <c r="J307" s="1094"/>
      <c r="K307" s="1092"/>
      <c r="L307" s="1092"/>
      <c r="M307" s="1092"/>
      <c r="N307" s="1092"/>
      <c r="O307" s="1092"/>
      <c r="P307" s="1092"/>
      <c r="Q307" s="1092"/>
      <c r="R307" s="1092"/>
      <c r="S307" s="1092"/>
      <c r="T307" s="1092"/>
      <c r="U307" s="1092"/>
      <c r="V307" s="1092"/>
      <c r="W307" s="1092"/>
      <c r="X307" s="1092"/>
      <c r="Y307" s="1092"/>
      <c r="Z307" s="1092"/>
      <c r="AA307" s="1092"/>
      <c r="AB307" s="1092"/>
      <c r="AC307" s="1092"/>
      <c r="AD307" s="1092"/>
      <c r="AE307" s="1092"/>
      <c r="AF307" s="1092"/>
      <c r="AG307" s="1092"/>
      <c r="AH307" s="1092"/>
      <c r="AI307" s="1092"/>
      <c r="AJ307" s="1092"/>
      <c r="AK307" s="1092"/>
      <c r="AL307" s="1092"/>
      <c r="AM307" s="1092"/>
      <c r="AN307" s="1092"/>
      <c r="AO307" s="1092"/>
      <c r="AP307" s="1092"/>
      <c r="AQ307" s="1092"/>
      <c r="AR307" s="1092"/>
      <c r="AS307" s="1092"/>
      <c r="AT307" s="1092"/>
      <c r="AU307" s="1092"/>
      <c r="AV307" s="1092"/>
      <c r="AW307" s="1092"/>
      <c r="AX307" s="1092"/>
      <c r="AY307" s="1092"/>
      <c r="AZ307" s="1092"/>
      <c r="BA307" s="1092"/>
      <c r="BB307" s="1092"/>
      <c r="BC307" s="1092"/>
      <c r="BD307" s="1092"/>
      <c r="BE307" s="1092"/>
      <c r="BF307" s="1092"/>
      <c r="BR307" s="1092"/>
      <c r="BS307" s="1092"/>
      <c r="BT307" s="1092"/>
      <c r="BU307" s="922"/>
      <c r="BV307" s="921"/>
      <c r="BW307" s="921"/>
      <c r="BX307" s="921"/>
      <c r="BY307" s="1092"/>
      <c r="BZ307" s="1092"/>
    </row>
    <row r="308" spans="2:78" ht="12.75" customHeight="1">
      <c r="B308" s="1085"/>
      <c r="C308" s="1092"/>
      <c r="D308" s="1092"/>
      <c r="E308" s="1092"/>
      <c r="F308" s="1093"/>
      <c r="G308" s="1094"/>
      <c r="H308" s="1094"/>
      <c r="I308" s="1094"/>
      <c r="J308" s="1094"/>
      <c r="K308" s="1092"/>
      <c r="L308" s="1092"/>
      <c r="M308" s="1092"/>
      <c r="N308" s="1092"/>
      <c r="O308" s="1092"/>
      <c r="P308" s="1092"/>
      <c r="Q308" s="1092"/>
      <c r="R308" s="1092"/>
      <c r="S308" s="1092"/>
      <c r="T308" s="1092"/>
      <c r="U308" s="1092"/>
      <c r="V308" s="1092"/>
      <c r="W308" s="1092"/>
      <c r="X308" s="1092"/>
      <c r="Y308" s="1092"/>
      <c r="Z308" s="1092"/>
      <c r="AA308" s="1092"/>
      <c r="AB308" s="1092"/>
      <c r="AC308" s="1092"/>
      <c r="AD308" s="1092"/>
      <c r="AE308" s="1092"/>
      <c r="AF308" s="1092"/>
      <c r="AG308" s="1092"/>
      <c r="AH308" s="1092"/>
      <c r="AI308" s="1092"/>
      <c r="AJ308" s="1092"/>
      <c r="AK308" s="1092"/>
      <c r="AL308" s="1092"/>
      <c r="AM308" s="1092"/>
      <c r="AN308" s="1092"/>
      <c r="AO308" s="1092"/>
      <c r="AP308" s="1092"/>
      <c r="AQ308" s="1092"/>
      <c r="AR308" s="1092"/>
      <c r="AS308" s="1092"/>
      <c r="AT308" s="1092"/>
      <c r="AU308" s="1092"/>
      <c r="AV308" s="1092"/>
      <c r="AW308" s="1092"/>
      <c r="AX308" s="1092"/>
      <c r="AY308" s="1092"/>
      <c r="AZ308" s="1092"/>
      <c r="BA308" s="1092"/>
      <c r="BB308" s="1092"/>
      <c r="BC308" s="1092"/>
      <c r="BD308" s="1092"/>
      <c r="BE308" s="1092"/>
      <c r="BF308" s="1092"/>
      <c r="BR308" s="1092"/>
      <c r="BS308" s="1092"/>
      <c r="BT308" s="1092"/>
      <c r="BU308" s="922"/>
      <c r="BV308" s="921"/>
      <c r="BW308" s="921"/>
      <c r="BX308" s="921"/>
      <c r="BY308" s="1092"/>
      <c r="BZ308" s="1092"/>
    </row>
    <row r="309" spans="2:78" ht="12.75" customHeight="1">
      <c r="B309" s="1085"/>
      <c r="C309" s="1092"/>
      <c r="D309" s="1092"/>
      <c r="E309" s="1092"/>
      <c r="F309" s="1093"/>
      <c r="G309" s="1094"/>
      <c r="H309" s="1094"/>
      <c r="I309" s="1094"/>
      <c r="J309" s="1094"/>
      <c r="K309" s="1092"/>
      <c r="L309" s="1092"/>
      <c r="M309" s="1092"/>
      <c r="N309" s="1092"/>
      <c r="O309" s="1092"/>
      <c r="P309" s="1092"/>
      <c r="Q309" s="1092"/>
      <c r="R309" s="1092"/>
      <c r="S309" s="1092"/>
      <c r="T309" s="1092"/>
      <c r="U309" s="1092"/>
      <c r="V309" s="1092"/>
      <c r="W309" s="1092"/>
      <c r="X309" s="1092"/>
      <c r="Y309" s="1092"/>
      <c r="Z309" s="1092"/>
      <c r="AA309" s="1092"/>
      <c r="AB309" s="1092"/>
      <c r="AC309" s="1092"/>
      <c r="AD309" s="1092"/>
      <c r="AE309" s="1092"/>
      <c r="AF309" s="1092"/>
      <c r="AG309" s="1092"/>
      <c r="AH309" s="1092"/>
      <c r="AI309" s="1092"/>
      <c r="AJ309" s="1092"/>
      <c r="AK309" s="1092"/>
      <c r="AL309" s="1092"/>
      <c r="AM309" s="1092"/>
      <c r="AN309" s="1092"/>
      <c r="AO309" s="1092"/>
      <c r="AP309" s="1092"/>
      <c r="AQ309" s="1092"/>
      <c r="AR309" s="1092"/>
      <c r="AS309" s="1092"/>
      <c r="AT309" s="1092"/>
      <c r="AU309" s="1092"/>
      <c r="AV309" s="1092"/>
      <c r="AW309" s="1092"/>
      <c r="AX309" s="1092"/>
      <c r="AY309" s="1092"/>
      <c r="AZ309" s="1092"/>
      <c r="BA309" s="1092"/>
      <c r="BB309" s="1092"/>
      <c r="BC309" s="1092"/>
      <c r="BD309" s="1092"/>
      <c r="BE309" s="1092"/>
      <c r="BF309" s="1092"/>
      <c r="BR309" s="1092"/>
      <c r="BS309" s="1092"/>
      <c r="BT309" s="1092"/>
      <c r="BU309" s="922"/>
      <c r="BV309" s="921"/>
      <c r="BW309" s="921"/>
      <c r="BX309" s="921"/>
      <c r="BY309" s="1092"/>
      <c r="BZ309" s="1092"/>
    </row>
    <row r="310" spans="2:78" ht="12.75" customHeight="1">
      <c r="B310" s="1085"/>
      <c r="C310" s="1092"/>
      <c r="D310" s="1092"/>
      <c r="E310" s="1092"/>
      <c r="F310" s="1093"/>
      <c r="G310" s="1094"/>
      <c r="H310" s="1094"/>
      <c r="I310" s="1094"/>
      <c r="J310" s="1094"/>
      <c r="K310" s="1092"/>
      <c r="L310" s="1092"/>
      <c r="M310" s="1092"/>
      <c r="N310" s="1092"/>
      <c r="O310" s="1092"/>
      <c r="P310" s="1092"/>
      <c r="Q310" s="1092"/>
      <c r="R310" s="1092"/>
      <c r="S310" s="1092"/>
      <c r="T310" s="1092"/>
      <c r="U310" s="1092"/>
      <c r="V310" s="1092"/>
      <c r="W310" s="1092"/>
      <c r="X310" s="1092"/>
      <c r="Y310" s="1092"/>
      <c r="Z310" s="1092"/>
      <c r="AA310" s="1092"/>
      <c r="AB310" s="1092"/>
      <c r="AC310" s="1092"/>
      <c r="AD310" s="1092"/>
      <c r="AE310" s="1092"/>
      <c r="AF310" s="1092"/>
      <c r="AG310" s="1092"/>
      <c r="AH310" s="1092"/>
      <c r="AI310" s="1092"/>
      <c r="AJ310" s="1092"/>
      <c r="AK310" s="1092"/>
      <c r="AL310" s="1092"/>
      <c r="AM310" s="1092"/>
      <c r="AN310" s="1092"/>
      <c r="AO310" s="1092"/>
      <c r="AP310" s="1092"/>
      <c r="AQ310" s="1092"/>
      <c r="AR310" s="1092"/>
      <c r="AS310" s="1092"/>
      <c r="AT310" s="1092"/>
      <c r="AU310" s="1092"/>
      <c r="AV310" s="1092"/>
      <c r="AW310" s="1092"/>
      <c r="AX310" s="1092"/>
      <c r="AY310" s="1092"/>
      <c r="AZ310" s="1092"/>
      <c r="BA310" s="1092"/>
      <c r="BB310" s="1092"/>
      <c r="BC310" s="1092"/>
      <c r="BD310" s="1092"/>
      <c r="BE310" s="1092"/>
      <c r="BF310" s="1092"/>
      <c r="BR310" s="1092"/>
      <c r="BS310" s="1092"/>
      <c r="BT310" s="1092"/>
      <c r="BU310" s="922"/>
      <c r="BV310" s="921"/>
      <c r="BW310" s="921"/>
      <c r="BX310" s="921"/>
      <c r="BY310" s="1092"/>
      <c r="BZ310" s="1092"/>
    </row>
    <row r="311" spans="2:78" ht="12.75" customHeight="1">
      <c r="B311" s="1085"/>
      <c r="C311" s="1092"/>
      <c r="D311" s="1092"/>
      <c r="E311" s="1092"/>
      <c r="F311" s="1093"/>
      <c r="G311" s="1094"/>
      <c r="H311" s="1094"/>
      <c r="I311" s="1094"/>
      <c r="J311" s="1094"/>
      <c r="K311" s="1092"/>
      <c r="L311" s="1092"/>
      <c r="M311" s="1092"/>
      <c r="N311" s="1092"/>
      <c r="O311" s="1092"/>
      <c r="P311" s="1092"/>
      <c r="Q311" s="1092"/>
      <c r="R311" s="1092"/>
      <c r="S311" s="1092"/>
      <c r="T311" s="1092"/>
      <c r="U311" s="1092"/>
      <c r="V311" s="1092"/>
      <c r="W311" s="1092"/>
      <c r="X311" s="1092"/>
      <c r="Y311" s="1092"/>
      <c r="Z311" s="1092"/>
      <c r="AA311" s="1092"/>
      <c r="AB311" s="1092"/>
      <c r="AC311" s="1092"/>
      <c r="AD311" s="1092"/>
      <c r="AE311" s="1092"/>
      <c r="AF311" s="1092"/>
      <c r="AG311" s="1092"/>
      <c r="AH311" s="1092"/>
      <c r="AI311" s="1092"/>
      <c r="AJ311" s="1092"/>
      <c r="AK311" s="1092"/>
      <c r="AL311" s="1092"/>
      <c r="AM311" s="1092"/>
      <c r="AN311" s="1092"/>
      <c r="AO311" s="1092"/>
      <c r="AP311" s="1092"/>
      <c r="AQ311" s="1092"/>
      <c r="AR311" s="1092"/>
      <c r="AS311" s="1092"/>
      <c r="AT311" s="1092"/>
      <c r="AU311" s="1092"/>
      <c r="AV311" s="1092"/>
      <c r="AW311" s="1092"/>
      <c r="AX311" s="1092"/>
      <c r="AY311" s="1092"/>
      <c r="AZ311" s="1092"/>
      <c r="BA311" s="1092"/>
      <c r="BB311" s="1092"/>
      <c r="BC311" s="1092"/>
      <c r="BD311" s="1092"/>
      <c r="BE311" s="1092"/>
      <c r="BF311" s="1092"/>
      <c r="BR311" s="1092"/>
      <c r="BS311" s="1092"/>
      <c r="BT311" s="1092"/>
      <c r="BU311" s="922"/>
      <c r="BV311" s="921"/>
      <c r="BW311" s="921"/>
      <c r="BX311" s="921"/>
      <c r="BY311" s="1092"/>
      <c r="BZ311" s="1092"/>
    </row>
    <row r="312" spans="2:78" ht="12.75" customHeight="1">
      <c r="B312" s="1085"/>
      <c r="C312" s="1092"/>
      <c r="D312" s="1092"/>
      <c r="E312" s="1092"/>
      <c r="F312" s="1093"/>
      <c r="G312" s="1094"/>
      <c r="H312" s="1094"/>
      <c r="I312" s="1094"/>
      <c r="J312" s="1094"/>
      <c r="K312" s="1092"/>
      <c r="L312" s="1092"/>
      <c r="M312" s="1092"/>
      <c r="N312" s="1092"/>
      <c r="O312" s="1092"/>
      <c r="P312" s="1092"/>
      <c r="Q312" s="1092"/>
      <c r="R312" s="1092"/>
      <c r="S312" s="1092"/>
      <c r="T312" s="1092"/>
      <c r="U312" s="1092"/>
      <c r="V312" s="1092"/>
      <c r="W312" s="1092"/>
      <c r="X312" s="1092"/>
      <c r="Y312" s="1092"/>
      <c r="Z312" s="1092"/>
      <c r="AA312" s="1092"/>
      <c r="AB312" s="1092"/>
      <c r="AC312" s="1092"/>
      <c r="AD312" s="1092"/>
      <c r="AE312" s="1092"/>
      <c r="AF312" s="1092"/>
      <c r="AG312" s="1092"/>
      <c r="AH312" s="1092"/>
      <c r="AI312" s="1092"/>
      <c r="AJ312" s="1092"/>
      <c r="AK312" s="1092"/>
      <c r="AL312" s="1092"/>
      <c r="AM312" s="1092"/>
      <c r="AN312" s="1092"/>
      <c r="AO312" s="1092"/>
      <c r="AP312" s="1092"/>
      <c r="AQ312" s="1092"/>
      <c r="AR312" s="1092"/>
      <c r="AS312" s="1092"/>
      <c r="AT312" s="1092"/>
      <c r="AU312" s="1092"/>
      <c r="AV312" s="1092"/>
      <c r="AW312" s="1092"/>
      <c r="AX312" s="1092"/>
      <c r="AY312" s="1092"/>
      <c r="AZ312" s="1092"/>
      <c r="BA312" s="1092"/>
      <c r="BB312" s="1092"/>
      <c r="BC312" s="1092"/>
      <c r="BD312" s="1092"/>
      <c r="BE312" s="1092"/>
      <c r="BF312" s="1092"/>
      <c r="BR312" s="1092"/>
      <c r="BS312" s="1092"/>
      <c r="BT312" s="1092"/>
      <c r="BU312" s="922"/>
      <c r="BV312" s="921"/>
      <c r="BW312" s="921"/>
      <c r="BX312" s="921"/>
      <c r="BY312" s="1092"/>
      <c r="BZ312" s="1092"/>
    </row>
    <row r="313" spans="2:78" ht="12.75" customHeight="1">
      <c r="B313" s="1085"/>
      <c r="C313" s="1092"/>
      <c r="D313" s="1092"/>
      <c r="E313" s="1092"/>
      <c r="F313" s="1093"/>
      <c r="G313" s="1094"/>
      <c r="H313" s="1094"/>
      <c r="I313" s="1094"/>
      <c r="J313" s="1094"/>
      <c r="K313" s="1092"/>
      <c r="L313" s="1092"/>
      <c r="M313" s="1092"/>
      <c r="N313" s="1092"/>
      <c r="O313" s="1092"/>
      <c r="P313" s="1092"/>
      <c r="Q313" s="1092"/>
      <c r="R313" s="1092"/>
      <c r="S313" s="1092"/>
      <c r="T313" s="1092"/>
      <c r="U313" s="1092"/>
      <c r="V313" s="1092"/>
      <c r="W313" s="1092"/>
      <c r="X313" s="1092"/>
      <c r="Y313" s="1092"/>
      <c r="Z313" s="1092"/>
      <c r="AA313" s="1092"/>
      <c r="AB313" s="1092"/>
      <c r="AC313" s="1092"/>
      <c r="AD313" s="1092"/>
      <c r="AE313" s="1092"/>
      <c r="AF313" s="1092"/>
      <c r="AG313" s="1092"/>
      <c r="AH313" s="1092"/>
      <c r="AI313" s="1092"/>
      <c r="AJ313" s="1092"/>
      <c r="AK313" s="1092"/>
      <c r="AL313" s="1092"/>
      <c r="AM313" s="1092"/>
      <c r="AN313" s="1092"/>
      <c r="AO313" s="1092"/>
      <c r="AP313" s="1092"/>
      <c r="AQ313" s="1092"/>
      <c r="AR313" s="1092"/>
      <c r="AS313" s="1092"/>
      <c r="AT313" s="1092"/>
      <c r="AU313" s="1092"/>
      <c r="AV313" s="1092"/>
      <c r="AW313" s="1092"/>
      <c r="AX313" s="1092"/>
      <c r="AY313" s="1092"/>
      <c r="AZ313" s="1092"/>
      <c r="BA313" s="1092"/>
      <c r="BB313" s="1092"/>
      <c r="BC313" s="1092"/>
      <c r="BD313" s="1092"/>
      <c r="BE313" s="1092"/>
      <c r="BF313" s="1092"/>
      <c r="BR313" s="1092"/>
      <c r="BS313" s="1092"/>
      <c r="BT313" s="1092"/>
      <c r="BU313" s="922"/>
      <c r="BV313" s="921"/>
      <c r="BW313" s="921"/>
      <c r="BX313" s="921"/>
      <c r="BY313" s="1092"/>
      <c r="BZ313" s="1092"/>
    </row>
    <row r="314" spans="2:78" ht="12.75" customHeight="1">
      <c r="B314" s="1085"/>
      <c r="C314" s="1092"/>
      <c r="D314" s="1092"/>
      <c r="E314" s="1092"/>
      <c r="F314" s="1093"/>
      <c r="G314" s="1094"/>
      <c r="H314" s="1094"/>
      <c r="I314" s="1094"/>
      <c r="J314" s="1094"/>
      <c r="K314" s="1092"/>
      <c r="L314" s="1092"/>
      <c r="M314" s="1092"/>
      <c r="N314" s="1092"/>
      <c r="O314" s="1092"/>
      <c r="P314" s="1092"/>
      <c r="Q314" s="1092"/>
      <c r="R314" s="1092"/>
      <c r="S314" s="1092"/>
      <c r="T314" s="1092"/>
      <c r="U314" s="1092"/>
      <c r="V314" s="1092"/>
      <c r="W314" s="1092"/>
      <c r="X314" s="1092"/>
      <c r="Y314" s="1092"/>
      <c r="Z314" s="1092"/>
      <c r="AA314" s="1092"/>
      <c r="AB314" s="1092"/>
      <c r="AC314" s="1092"/>
      <c r="AD314" s="1092"/>
      <c r="AE314" s="1092"/>
      <c r="AF314" s="1092"/>
      <c r="AG314" s="1092"/>
      <c r="AH314" s="1092"/>
      <c r="AI314" s="1092"/>
      <c r="AJ314" s="1092"/>
      <c r="AK314" s="1092"/>
      <c r="AL314" s="1092"/>
      <c r="AM314" s="1092"/>
      <c r="AN314" s="1092"/>
      <c r="AO314" s="1092"/>
      <c r="AP314" s="1092"/>
      <c r="AQ314" s="1092"/>
      <c r="AR314" s="1092"/>
      <c r="AS314" s="1092"/>
      <c r="AT314" s="1092"/>
      <c r="AU314" s="1092"/>
      <c r="AV314" s="1092"/>
      <c r="AW314" s="1092"/>
      <c r="AX314" s="1092"/>
      <c r="AY314" s="1092"/>
      <c r="AZ314" s="1092"/>
      <c r="BA314" s="1092"/>
      <c r="BB314" s="1092"/>
      <c r="BC314" s="1092"/>
      <c r="BD314" s="1092"/>
      <c r="BE314" s="1092"/>
      <c r="BF314" s="1092"/>
      <c r="BR314" s="1092"/>
      <c r="BS314" s="1092"/>
      <c r="BT314" s="1092"/>
      <c r="BU314" s="922"/>
      <c r="BV314" s="921"/>
      <c r="BW314" s="921"/>
      <c r="BX314" s="921"/>
      <c r="BY314" s="1092"/>
      <c r="BZ314" s="1092"/>
    </row>
    <row r="315" spans="2:78" ht="12.75" customHeight="1">
      <c r="B315" s="1085"/>
      <c r="C315" s="1092"/>
      <c r="D315" s="1092"/>
      <c r="E315" s="1092"/>
      <c r="F315" s="1093"/>
      <c r="G315" s="1094"/>
      <c r="H315" s="1094"/>
      <c r="I315" s="1094"/>
      <c r="J315" s="1094"/>
      <c r="K315" s="1092"/>
      <c r="L315" s="1092"/>
      <c r="M315" s="1092"/>
      <c r="N315" s="1092"/>
      <c r="O315" s="1092"/>
      <c r="P315" s="1092"/>
      <c r="Q315" s="1092"/>
      <c r="R315" s="1092"/>
      <c r="S315" s="1092"/>
      <c r="T315" s="1092"/>
      <c r="U315" s="1092"/>
      <c r="V315" s="1092"/>
      <c r="W315" s="1092"/>
      <c r="X315" s="1092"/>
      <c r="Y315" s="1092"/>
      <c r="Z315" s="1092"/>
      <c r="AA315" s="1092"/>
      <c r="AB315" s="1092"/>
      <c r="AC315" s="1092"/>
      <c r="AD315" s="1092"/>
      <c r="AE315" s="1092"/>
      <c r="AF315" s="1092"/>
      <c r="AG315" s="1092"/>
      <c r="AH315" s="1092"/>
      <c r="AI315" s="1092"/>
      <c r="AJ315" s="1092"/>
      <c r="AK315" s="1092"/>
      <c r="AL315" s="1092"/>
      <c r="AM315" s="1092"/>
      <c r="AN315" s="1092"/>
      <c r="AO315" s="1092"/>
      <c r="AP315" s="1092"/>
      <c r="AQ315" s="1092"/>
      <c r="AR315" s="1092"/>
      <c r="AS315" s="1092"/>
      <c r="AT315" s="1092"/>
      <c r="AU315" s="1092"/>
      <c r="AV315" s="1092"/>
      <c r="AW315" s="1092"/>
      <c r="AX315" s="1092"/>
      <c r="AY315" s="1092"/>
      <c r="AZ315" s="1092"/>
      <c r="BA315" s="1092"/>
      <c r="BB315" s="1092"/>
      <c r="BC315" s="1092"/>
      <c r="BD315" s="1092"/>
      <c r="BE315" s="1092"/>
      <c r="BF315" s="1092"/>
      <c r="BR315" s="1092"/>
      <c r="BS315" s="1092"/>
      <c r="BT315" s="1092"/>
      <c r="BU315" s="922"/>
      <c r="BV315" s="921"/>
      <c r="BW315" s="921"/>
      <c r="BX315" s="921"/>
      <c r="BY315" s="1092"/>
      <c r="BZ315" s="1092"/>
    </row>
    <row r="316" spans="2:78" ht="12.75" customHeight="1">
      <c r="B316" s="1085"/>
      <c r="C316" s="1092"/>
      <c r="D316" s="1092"/>
      <c r="E316" s="1092"/>
      <c r="F316" s="1093"/>
      <c r="G316" s="1094"/>
      <c r="H316" s="1094"/>
      <c r="I316" s="1094"/>
      <c r="J316" s="1094"/>
      <c r="K316" s="1092"/>
      <c r="L316" s="1092"/>
      <c r="M316" s="1092"/>
      <c r="N316" s="1092"/>
      <c r="O316" s="1092"/>
      <c r="P316" s="1092"/>
      <c r="Q316" s="1092"/>
      <c r="R316" s="1092"/>
      <c r="S316" s="1092"/>
      <c r="T316" s="1092"/>
      <c r="U316" s="1092"/>
      <c r="V316" s="1092"/>
      <c r="W316" s="1092"/>
      <c r="X316" s="1092"/>
      <c r="Y316" s="1092"/>
      <c r="Z316" s="1092"/>
      <c r="AA316" s="1092"/>
      <c r="AB316" s="1092"/>
      <c r="AC316" s="1092"/>
      <c r="AD316" s="1092"/>
      <c r="AE316" s="1092"/>
      <c r="AF316" s="1092"/>
      <c r="AG316" s="1092"/>
      <c r="AH316" s="1092"/>
      <c r="AI316" s="1092"/>
      <c r="AJ316" s="1092"/>
      <c r="AK316" s="1092"/>
      <c r="AL316" s="1092"/>
      <c r="AM316" s="1092"/>
      <c r="AN316" s="1092"/>
      <c r="AO316" s="1092"/>
      <c r="AP316" s="1092"/>
      <c r="AQ316" s="1092"/>
      <c r="AR316" s="1092"/>
      <c r="AS316" s="1092"/>
      <c r="AT316" s="1092"/>
      <c r="AU316" s="1092"/>
      <c r="AV316" s="1092"/>
      <c r="AW316" s="1092"/>
      <c r="AX316" s="1092"/>
      <c r="AY316" s="1092"/>
      <c r="AZ316" s="1092"/>
      <c r="BA316" s="1092"/>
      <c r="BB316" s="1092"/>
      <c r="BC316" s="1092"/>
      <c r="BD316" s="1092"/>
      <c r="BE316" s="1092"/>
      <c r="BF316" s="1092"/>
      <c r="BR316" s="1092"/>
      <c r="BS316" s="1092"/>
      <c r="BT316" s="1092"/>
      <c r="BU316" s="922"/>
      <c r="BV316" s="921"/>
      <c r="BW316" s="921"/>
      <c r="BX316" s="921"/>
      <c r="BY316" s="1092"/>
      <c r="BZ316" s="1092"/>
    </row>
    <row r="317" spans="2:78" ht="12.75" customHeight="1">
      <c r="B317" s="1085"/>
      <c r="C317" s="1092"/>
      <c r="D317" s="1092"/>
      <c r="E317" s="1092"/>
      <c r="F317" s="1093"/>
      <c r="G317" s="1094"/>
      <c r="H317" s="1094"/>
      <c r="I317" s="1094"/>
      <c r="J317" s="1094"/>
      <c r="K317" s="1092"/>
      <c r="L317" s="1092"/>
      <c r="M317" s="1092"/>
      <c r="N317" s="1092"/>
      <c r="O317" s="1092"/>
      <c r="P317" s="1092"/>
      <c r="Q317" s="1092"/>
      <c r="R317" s="1092"/>
      <c r="S317" s="1092"/>
      <c r="T317" s="1092"/>
      <c r="U317" s="1092"/>
      <c r="V317" s="1092"/>
      <c r="W317" s="1092"/>
      <c r="X317" s="1092"/>
      <c r="Y317" s="1092"/>
      <c r="Z317" s="1092"/>
      <c r="AA317" s="1092"/>
      <c r="AB317" s="1092"/>
      <c r="AC317" s="1092"/>
      <c r="AD317" s="1092"/>
      <c r="AE317" s="1092"/>
      <c r="AF317" s="1092"/>
      <c r="AG317" s="1092"/>
      <c r="AH317" s="1092"/>
      <c r="AI317" s="1092"/>
      <c r="AJ317" s="1092"/>
      <c r="AK317" s="1092"/>
      <c r="AL317" s="1092"/>
      <c r="AM317" s="1092"/>
      <c r="AN317" s="1092"/>
      <c r="AO317" s="1092"/>
      <c r="AP317" s="1092"/>
      <c r="AQ317" s="1092"/>
      <c r="AR317" s="1092"/>
      <c r="AS317" s="1092"/>
      <c r="AT317" s="1092"/>
      <c r="AU317" s="1092"/>
      <c r="AV317" s="1092"/>
      <c r="AW317" s="1092"/>
      <c r="AX317" s="1092"/>
      <c r="AY317" s="1092"/>
      <c r="AZ317" s="1092"/>
      <c r="BA317" s="1092"/>
      <c r="BB317" s="1092"/>
      <c r="BC317" s="1092"/>
      <c r="BD317" s="1092"/>
      <c r="BE317" s="1092"/>
      <c r="BF317" s="1092"/>
      <c r="BR317" s="1092"/>
      <c r="BS317" s="1092"/>
      <c r="BT317" s="1092"/>
      <c r="BU317" s="922"/>
      <c r="BV317" s="921"/>
      <c r="BW317" s="921"/>
      <c r="BX317" s="921"/>
      <c r="BY317" s="1092"/>
      <c r="BZ317" s="1092"/>
    </row>
    <row r="318" spans="2:78" ht="12.75" customHeight="1">
      <c r="B318" s="1085"/>
      <c r="C318" s="1092"/>
      <c r="D318" s="1092"/>
      <c r="E318" s="1092"/>
      <c r="F318" s="1093"/>
      <c r="G318" s="1094"/>
      <c r="H318" s="1094"/>
      <c r="I318" s="1094"/>
      <c r="J318" s="1094"/>
      <c r="K318" s="1092"/>
      <c r="L318" s="1092"/>
      <c r="M318" s="1092"/>
      <c r="N318" s="1092"/>
      <c r="O318" s="1092"/>
      <c r="P318" s="1092"/>
      <c r="Q318" s="1092"/>
      <c r="R318" s="1092"/>
      <c r="S318" s="1092"/>
      <c r="T318" s="1092"/>
      <c r="U318" s="1092"/>
      <c r="V318" s="1092"/>
      <c r="W318" s="1092"/>
      <c r="X318" s="1092"/>
      <c r="Y318" s="1092"/>
      <c r="Z318" s="1092"/>
      <c r="AA318" s="1092"/>
      <c r="AB318" s="1092"/>
      <c r="AC318" s="1092"/>
      <c r="AD318" s="1092"/>
      <c r="AE318" s="1092"/>
      <c r="AF318" s="1092"/>
      <c r="AG318" s="1092"/>
      <c r="AH318" s="1092"/>
      <c r="AI318" s="1092"/>
      <c r="AJ318" s="1092"/>
      <c r="AK318" s="1092"/>
      <c r="AL318" s="1092"/>
      <c r="AM318" s="1092"/>
      <c r="AN318" s="1092"/>
      <c r="AO318" s="1092"/>
      <c r="AP318" s="1092"/>
      <c r="AQ318" s="1092"/>
      <c r="AR318" s="1092"/>
      <c r="AS318" s="1092"/>
      <c r="AT318" s="1092"/>
      <c r="AU318" s="1092"/>
      <c r="AV318" s="1092"/>
      <c r="AW318" s="1092"/>
      <c r="AX318" s="1092"/>
      <c r="AY318" s="1092"/>
      <c r="AZ318" s="1092"/>
      <c r="BA318" s="1092"/>
      <c r="BB318" s="1092"/>
      <c r="BC318" s="1092"/>
      <c r="BD318" s="1092"/>
      <c r="BE318" s="1092"/>
      <c r="BF318" s="1092"/>
      <c r="BR318" s="1092"/>
      <c r="BS318" s="1092"/>
      <c r="BT318" s="1092"/>
      <c r="BU318" s="922"/>
      <c r="BV318" s="921"/>
      <c r="BW318" s="921"/>
      <c r="BX318" s="921"/>
      <c r="BY318" s="1092"/>
      <c r="BZ318" s="1092"/>
    </row>
    <row r="319" spans="2:78" ht="12.75" customHeight="1">
      <c r="B319" s="1085"/>
      <c r="C319" s="1092"/>
      <c r="D319" s="1092"/>
      <c r="E319" s="1092"/>
      <c r="F319" s="1093"/>
      <c r="G319" s="1094"/>
      <c r="H319" s="1094"/>
      <c r="I319" s="1094"/>
      <c r="J319" s="1094"/>
      <c r="K319" s="1092"/>
      <c r="L319" s="1092"/>
      <c r="M319" s="1092"/>
      <c r="N319" s="1092"/>
      <c r="O319" s="1092"/>
      <c r="P319" s="1092"/>
      <c r="Q319" s="1092"/>
      <c r="R319" s="1092"/>
      <c r="S319" s="1092"/>
      <c r="T319" s="1092"/>
      <c r="U319" s="1092"/>
      <c r="V319" s="1092"/>
      <c r="W319" s="1092"/>
      <c r="X319" s="1092"/>
      <c r="Y319" s="1092"/>
      <c r="Z319" s="1092"/>
      <c r="AA319" s="1092"/>
      <c r="AB319" s="1092"/>
      <c r="AC319" s="1092"/>
      <c r="AD319" s="1092"/>
      <c r="AE319" s="1092"/>
      <c r="AF319" s="1092"/>
      <c r="AG319" s="1092"/>
      <c r="AH319" s="1092"/>
      <c r="AI319" s="1092"/>
      <c r="AJ319" s="1092"/>
      <c r="AK319" s="1092"/>
      <c r="AL319" s="1092"/>
      <c r="AM319" s="1092"/>
      <c r="AN319" s="1092"/>
      <c r="AO319" s="1092"/>
      <c r="AP319" s="1092"/>
      <c r="AQ319" s="1092"/>
      <c r="AR319" s="1092"/>
      <c r="AS319" s="1092"/>
      <c r="AT319" s="1092"/>
      <c r="AU319" s="1092"/>
      <c r="AV319" s="1092"/>
      <c r="AW319" s="1092"/>
      <c r="AX319" s="1092"/>
      <c r="AY319" s="1092"/>
      <c r="AZ319" s="1092"/>
      <c r="BA319" s="1092"/>
      <c r="BB319" s="1092"/>
      <c r="BC319" s="1092"/>
      <c r="BD319" s="1092"/>
      <c r="BE319" s="1092"/>
      <c r="BF319" s="1092"/>
      <c r="BR319" s="1092"/>
      <c r="BS319" s="1092"/>
      <c r="BT319" s="1092"/>
      <c r="BU319" s="922"/>
      <c r="BV319" s="921"/>
      <c r="BW319" s="921"/>
      <c r="BX319" s="921"/>
      <c r="BY319" s="1092"/>
      <c r="BZ319" s="1092"/>
    </row>
    <row r="320" spans="2:78" ht="12.75" customHeight="1">
      <c r="B320" s="1085"/>
      <c r="C320" s="1092"/>
      <c r="D320" s="1092"/>
      <c r="E320" s="1092"/>
      <c r="F320" s="1093"/>
      <c r="G320" s="1094"/>
      <c r="H320" s="1094"/>
      <c r="I320" s="1094"/>
      <c r="J320" s="1094"/>
      <c r="K320" s="1092"/>
      <c r="L320" s="1092"/>
      <c r="M320" s="1092"/>
      <c r="N320" s="1092"/>
      <c r="O320" s="1092"/>
      <c r="P320" s="1092"/>
      <c r="Q320" s="1092"/>
      <c r="R320" s="1092"/>
      <c r="S320" s="1092"/>
      <c r="T320" s="1092"/>
      <c r="U320" s="1092"/>
      <c r="V320" s="1092"/>
      <c r="W320" s="1092"/>
      <c r="X320" s="1092"/>
      <c r="Y320" s="1092"/>
      <c r="Z320" s="1092"/>
      <c r="AA320" s="1092"/>
      <c r="AB320" s="1092"/>
      <c r="AC320" s="1092"/>
      <c r="AD320" s="1092"/>
      <c r="AE320" s="1092"/>
      <c r="AF320" s="1092"/>
      <c r="AG320" s="1092"/>
      <c r="AH320" s="1092"/>
      <c r="AI320" s="1092"/>
      <c r="AJ320" s="1092"/>
      <c r="AK320" s="1092"/>
      <c r="AL320" s="1092"/>
      <c r="AM320" s="1092"/>
      <c r="AN320" s="1092"/>
      <c r="AO320" s="1092"/>
      <c r="AP320" s="1092"/>
      <c r="AQ320" s="1092"/>
      <c r="AR320" s="1092"/>
      <c r="AS320" s="1092"/>
      <c r="AT320" s="1092"/>
      <c r="AU320" s="1092"/>
      <c r="AV320" s="1092"/>
      <c r="AW320" s="1092"/>
      <c r="AX320" s="1092"/>
      <c r="AY320" s="1092"/>
      <c r="AZ320" s="1092"/>
      <c r="BA320" s="1092"/>
      <c r="BB320" s="1092"/>
      <c r="BC320" s="1092"/>
      <c r="BD320" s="1092"/>
      <c r="BE320" s="1092"/>
      <c r="BF320" s="1092"/>
      <c r="BR320" s="1092"/>
      <c r="BS320" s="1092"/>
      <c r="BT320" s="1092"/>
      <c r="BU320" s="922"/>
      <c r="BV320" s="921"/>
      <c r="BW320" s="921"/>
      <c r="BX320" s="921"/>
      <c r="BY320" s="1092"/>
      <c r="BZ320" s="1092"/>
    </row>
    <row r="321" spans="2:78" ht="12.75" customHeight="1">
      <c r="B321" s="1085"/>
      <c r="C321" s="1092"/>
      <c r="D321" s="1092"/>
      <c r="E321" s="1092"/>
      <c r="F321" s="1093"/>
      <c r="G321" s="1094"/>
      <c r="H321" s="1094"/>
      <c r="I321" s="1094"/>
      <c r="J321" s="1094"/>
      <c r="K321" s="1092"/>
      <c r="L321" s="1092"/>
      <c r="M321" s="1092"/>
      <c r="N321" s="1092"/>
      <c r="O321" s="1092"/>
      <c r="P321" s="1092"/>
      <c r="Q321" s="1092"/>
      <c r="R321" s="1092"/>
      <c r="S321" s="1092"/>
      <c r="T321" s="1092"/>
      <c r="U321" s="1092"/>
      <c r="V321" s="1092"/>
      <c r="W321" s="1092"/>
      <c r="X321" s="1092"/>
      <c r="Y321" s="1092"/>
      <c r="Z321" s="1092"/>
      <c r="AA321" s="1092"/>
      <c r="AB321" s="1092"/>
      <c r="AC321" s="1092"/>
      <c r="AD321" s="1092"/>
      <c r="AE321" s="1092"/>
      <c r="AF321" s="1092"/>
      <c r="AG321" s="1092"/>
      <c r="AH321" s="1092"/>
      <c r="AI321" s="1092"/>
      <c r="AJ321" s="1092"/>
      <c r="AK321" s="1092"/>
      <c r="AL321" s="1092"/>
      <c r="AM321" s="1092"/>
      <c r="AN321" s="1092"/>
      <c r="AO321" s="1092"/>
      <c r="AP321" s="1092"/>
      <c r="AQ321" s="1092"/>
      <c r="AR321" s="1092"/>
      <c r="AS321" s="1092"/>
      <c r="AT321" s="1092"/>
      <c r="AU321" s="1092"/>
      <c r="AV321" s="1092"/>
      <c r="AW321" s="1092"/>
      <c r="AX321" s="1092"/>
      <c r="AY321" s="1092"/>
      <c r="AZ321" s="1092"/>
      <c r="BA321" s="1092"/>
      <c r="BB321" s="1092"/>
      <c r="BC321" s="1092"/>
      <c r="BD321" s="1092"/>
      <c r="BE321" s="1092"/>
      <c r="BF321" s="1092"/>
      <c r="BR321" s="1092"/>
      <c r="BS321" s="1092"/>
      <c r="BT321" s="1092"/>
      <c r="BU321" s="922"/>
      <c r="BV321" s="921"/>
      <c r="BW321" s="921"/>
      <c r="BX321" s="921"/>
      <c r="BY321" s="1092"/>
      <c r="BZ321" s="1092"/>
    </row>
    <row r="322" spans="2:78" ht="12.75" customHeight="1">
      <c r="B322" s="1085"/>
      <c r="C322" s="1092"/>
      <c r="D322" s="1092"/>
      <c r="E322" s="1092"/>
      <c r="F322" s="1093"/>
      <c r="G322" s="1094"/>
      <c r="H322" s="1094"/>
      <c r="I322" s="1094"/>
      <c r="J322" s="1094"/>
      <c r="K322" s="1092"/>
      <c r="L322" s="1092"/>
      <c r="M322" s="1092"/>
      <c r="N322" s="1092"/>
      <c r="O322" s="1092"/>
      <c r="P322" s="1092"/>
      <c r="Q322" s="1092"/>
      <c r="R322" s="1092"/>
      <c r="S322" s="1092"/>
      <c r="T322" s="1092"/>
      <c r="U322" s="1092"/>
      <c r="V322" s="1092"/>
      <c r="W322" s="1092"/>
      <c r="X322" s="1092"/>
      <c r="Y322" s="1092"/>
      <c r="Z322" s="1092"/>
      <c r="AA322" s="1092"/>
      <c r="AB322" s="1092"/>
      <c r="AC322" s="1092"/>
      <c r="AD322" s="1092"/>
      <c r="AE322" s="1092"/>
      <c r="AF322" s="1092"/>
      <c r="AG322" s="1092"/>
      <c r="AH322" s="1092"/>
      <c r="AI322" s="1092"/>
      <c r="AJ322" s="1092"/>
      <c r="AK322" s="1092"/>
      <c r="AL322" s="1092"/>
      <c r="AM322" s="1092"/>
      <c r="AN322" s="1092"/>
      <c r="AO322" s="1092"/>
      <c r="AP322" s="1092"/>
      <c r="AQ322" s="1092"/>
      <c r="AR322" s="1092"/>
      <c r="AS322" s="1092"/>
      <c r="AT322" s="1092"/>
      <c r="AU322" s="1092"/>
      <c r="AV322" s="1092"/>
      <c r="AW322" s="1092"/>
      <c r="AX322" s="1092"/>
      <c r="AY322" s="1092"/>
      <c r="AZ322" s="1092"/>
      <c r="BA322" s="1092"/>
      <c r="BB322" s="1092"/>
      <c r="BC322" s="1092"/>
      <c r="BD322" s="1092"/>
      <c r="BE322" s="1092"/>
      <c r="BF322" s="1092"/>
      <c r="BR322" s="1092"/>
      <c r="BS322" s="1092"/>
      <c r="BT322" s="1092"/>
      <c r="BU322" s="922"/>
      <c r="BV322" s="921"/>
      <c r="BW322" s="921"/>
      <c r="BX322" s="921"/>
      <c r="BY322" s="1092"/>
      <c r="BZ322" s="1092"/>
    </row>
    <row r="323" spans="2:78" ht="12.75" customHeight="1">
      <c r="B323" s="1085"/>
      <c r="C323" s="1092"/>
      <c r="D323" s="1092"/>
      <c r="E323" s="1092"/>
      <c r="F323" s="1093"/>
      <c r="G323" s="1094"/>
      <c r="H323" s="1094"/>
      <c r="I323" s="1094"/>
      <c r="J323" s="1094"/>
      <c r="K323" s="1092"/>
      <c r="L323" s="1092"/>
      <c r="M323" s="1092"/>
      <c r="N323" s="1092"/>
      <c r="O323" s="1092"/>
      <c r="P323" s="1092"/>
      <c r="Q323" s="1092"/>
      <c r="R323" s="1092"/>
      <c r="S323" s="1092"/>
      <c r="T323" s="1092"/>
      <c r="U323" s="1092"/>
      <c r="V323" s="1092"/>
      <c r="W323" s="1092"/>
      <c r="X323" s="1092"/>
      <c r="Y323" s="1092"/>
      <c r="Z323" s="1092"/>
      <c r="AA323" s="1092"/>
      <c r="AB323" s="1092"/>
      <c r="AC323" s="1092"/>
      <c r="AD323" s="1092"/>
      <c r="AE323" s="1092"/>
      <c r="AF323" s="1092"/>
      <c r="AG323" s="1092"/>
      <c r="AH323" s="1092"/>
      <c r="AI323" s="1092"/>
      <c r="AJ323" s="1092"/>
      <c r="AK323" s="1092"/>
      <c r="AL323" s="1092"/>
      <c r="AM323" s="1092"/>
      <c r="AN323" s="1092"/>
      <c r="AO323" s="1092"/>
      <c r="AP323" s="1092"/>
      <c r="AQ323" s="1092"/>
      <c r="AR323" s="1092"/>
      <c r="AS323" s="1092"/>
      <c r="AT323" s="1092"/>
      <c r="AU323" s="1092"/>
      <c r="AV323" s="1092"/>
      <c r="AW323" s="1092"/>
      <c r="AX323" s="1092"/>
      <c r="AY323" s="1092"/>
      <c r="AZ323" s="1092"/>
      <c r="BA323" s="1092"/>
      <c r="BB323" s="1092"/>
      <c r="BC323" s="1092"/>
      <c r="BD323" s="1092"/>
      <c r="BE323" s="1092"/>
      <c r="BF323" s="1092"/>
      <c r="BR323" s="1092"/>
      <c r="BS323" s="1092"/>
      <c r="BT323" s="1092"/>
      <c r="BU323" s="922"/>
      <c r="BV323" s="921"/>
      <c r="BW323" s="921"/>
      <c r="BX323" s="921"/>
      <c r="BY323" s="1092"/>
      <c r="BZ323" s="1092"/>
    </row>
    <row r="324" spans="2:78" ht="12.75" customHeight="1">
      <c r="B324" s="1085"/>
      <c r="C324" s="1092"/>
      <c r="D324" s="1092"/>
      <c r="E324" s="1092"/>
      <c r="F324" s="1093"/>
      <c r="G324" s="1094"/>
      <c r="H324" s="1094"/>
      <c r="I324" s="1094"/>
      <c r="J324" s="1094"/>
      <c r="K324" s="1092"/>
      <c r="L324" s="1092"/>
      <c r="M324" s="1092"/>
      <c r="N324" s="1092"/>
      <c r="O324" s="1092"/>
      <c r="P324" s="1092"/>
      <c r="Q324" s="1092"/>
      <c r="R324" s="1092"/>
      <c r="S324" s="1092"/>
      <c r="T324" s="1092"/>
      <c r="U324" s="1092"/>
      <c r="V324" s="1092"/>
      <c r="W324" s="1092"/>
      <c r="X324" s="1092"/>
      <c r="Y324" s="1092"/>
      <c r="Z324" s="1092"/>
      <c r="AA324" s="1092"/>
      <c r="AB324" s="1092"/>
      <c r="AC324" s="1092"/>
      <c r="AD324" s="1092"/>
      <c r="AE324" s="1092"/>
      <c r="AF324" s="1092"/>
      <c r="AG324" s="1092"/>
      <c r="AH324" s="1092"/>
      <c r="AI324" s="1092"/>
      <c r="AJ324" s="1092"/>
      <c r="AK324" s="1092"/>
      <c r="AL324" s="1092"/>
      <c r="AM324" s="1092"/>
      <c r="AN324" s="1092"/>
      <c r="AO324" s="1092"/>
      <c r="AP324" s="1092"/>
      <c r="AQ324" s="1092"/>
      <c r="AR324" s="1092"/>
      <c r="AS324" s="1092"/>
      <c r="AT324" s="1092"/>
      <c r="AU324" s="1092"/>
      <c r="AV324" s="1092"/>
      <c r="AW324" s="1092"/>
      <c r="AX324" s="1092"/>
      <c r="AY324" s="1092"/>
      <c r="AZ324" s="1092"/>
      <c r="BA324" s="1092"/>
      <c r="BB324" s="1092"/>
      <c r="BC324" s="1092"/>
      <c r="BD324" s="1092"/>
      <c r="BE324" s="1092"/>
      <c r="BF324" s="1092"/>
      <c r="BR324" s="1092"/>
      <c r="BS324" s="1092"/>
      <c r="BT324" s="1092"/>
      <c r="BU324" s="922"/>
      <c r="BV324" s="921"/>
      <c r="BW324" s="921"/>
      <c r="BX324" s="921"/>
      <c r="BY324" s="1092"/>
      <c r="BZ324" s="1092"/>
    </row>
    <row r="325" spans="2:78" ht="12.75" customHeight="1">
      <c r="B325" s="1085"/>
      <c r="C325" s="1092"/>
      <c r="D325" s="1092"/>
      <c r="E325" s="1092"/>
      <c r="F325" s="1093"/>
      <c r="G325" s="1094"/>
      <c r="H325" s="1094"/>
      <c r="I325" s="1094"/>
      <c r="J325" s="1094"/>
      <c r="K325" s="1092"/>
      <c r="L325" s="1092"/>
      <c r="M325" s="1092"/>
      <c r="N325" s="1092"/>
      <c r="O325" s="1092"/>
      <c r="P325" s="1092"/>
      <c r="Q325" s="1092"/>
      <c r="R325" s="1092"/>
      <c r="S325" s="1092"/>
      <c r="T325" s="1092"/>
      <c r="U325" s="1092"/>
      <c r="V325" s="1092"/>
      <c r="W325" s="1092"/>
      <c r="X325" s="1092"/>
      <c r="Y325" s="1092"/>
      <c r="Z325" s="1092"/>
      <c r="AA325" s="1092"/>
      <c r="AB325" s="1092"/>
      <c r="AC325" s="1092"/>
      <c r="AD325" s="1092"/>
      <c r="AE325" s="1092"/>
      <c r="AF325" s="1092"/>
      <c r="AG325" s="1092"/>
      <c r="AH325" s="1092"/>
      <c r="AI325" s="1092"/>
      <c r="AJ325" s="1092"/>
      <c r="AK325" s="1092"/>
      <c r="AL325" s="1092"/>
      <c r="AM325" s="1092"/>
      <c r="AN325" s="1092"/>
      <c r="AO325" s="1092"/>
      <c r="AP325" s="1092"/>
      <c r="AQ325" s="1092"/>
      <c r="AR325" s="1092"/>
      <c r="AS325" s="1092"/>
      <c r="AT325" s="1092"/>
      <c r="AU325" s="1092"/>
      <c r="AV325" s="1092"/>
      <c r="AW325" s="1092"/>
      <c r="AX325" s="1092"/>
      <c r="AY325" s="1092"/>
      <c r="AZ325" s="1092"/>
      <c r="BA325" s="1092"/>
      <c r="BB325" s="1092"/>
      <c r="BC325" s="1092"/>
      <c r="BD325" s="1092"/>
      <c r="BE325" s="1092"/>
      <c r="BF325" s="1092"/>
      <c r="BR325" s="1092"/>
      <c r="BS325" s="1092"/>
      <c r="BT325" s="1092"/>
      <c r="BU325" s="922"/>
      <c r="BV325" s="921"/>
      <c r="BW325" s="921"/>
      <c r="BX325" s="921"/>
      <c r="BY325" s="1092"/>
      <c r="BZ325" s="1092"/>
    </row>
    <row r="326" spans="2:78" ht="12.75" customHeight="1">
      <c r="B326" s="1085"/>
      <c r="C326" s="1092"/>
      <c r="D326" s="1092"/>
      <c r="E326" s="1092"/>
      <c r="F326" s="1093"/>
      <c r="G326" s="1094"/>
      <c r="H326" s="1094"/>
      <c r="I326" s="1094"/>
      <c r="J326" s="1094"/>
      <c r="K326" s="1092"/>
      <c r="L326" s="1092"/>
      <c r="M326" s="1092"/>
      <c r="N326" s="1092"/>
      <c r="O326" s="1092"/>
      <c r="P326" s="1092"/>
      <c r="Q326" s="1092"/>
      <c r="R326" s="1092"/>
      <c r="S326" s="1092"/>
      <c r="T326" s="1092"/>
      <c r="U326" s="1092"/>
      <c r="V326" s="1092"/>
      <c r="W326" s="1092"/>
      <c r="X326" s="1092"/>
      <c r="Y326" s="1092"/>
      <c r="Z326" s="1092"/>
      <c r="AA326" s="1092"/>
      <c r="AB326" s="1092"/>
      <c r="AC326" s="1092"/>
      <c r="AD326" s="1092"/>
      <c r="AE326" s="1092"/>
      <c r="AF326" s="1092"/>
      <c r="AG326" s="1092"/>
      <c r="AH326" s="1092"/>
      <c r="AI326" s="1092"/>
      <c r="AJ326" s="1092"/>
      <c r="AK326" s="1092"/>
      <c r="AL326" s="1092"/>
      <c r="AM326" s="1092"/>
      <c r="AN326" s="1092"/>
      <c r="AO326" s="1092"/>
      <c r="AP326" s="1092"/>
      <c r="AQ326" s="1092"/>
      <c r="AR326" s="1092"/>
      <c r="AS326" s="1092"/>
      <c r="AT326" s="1092"/>
      <c r="AU326" s="1092"/>
      <c r="AV326" s="1092"/>
      <c r="AW326" s="1092"/>
      <c r="AX326" s="1092"/>
      <c r="AY326" s="1092"/>
      <c r="AZ326" s="1092"/>
      <c r="BA326" s="1092"/>
      <c r="BB326" s="1092"/>
      <c r="BC326" s="1092"/>
      <c r="BD326" s="1092"/>
      <c r="BE326" s="1092"/>
      <c r="BF326" s="1092"/>
      <c r="BR326" s="1092"/>
      <c r="BS326" s="1092"/>
      <c r="BT326" s="1092"/>
      <c r="BU326" s="922"/>
      <c r="BV326" s="921"/>
      <c r="BW326" s="921"/>
      <c r="BX326" s="921"/>
      <c r="BY326" s="1092"/>
      <c r="BZ326" s="1092"/>
    </row>
    <row r="327" spans="2:78" ht="12.75" customHeight="1">
      <c r="B327" s="1085"/>
      <c r="C327" s="1092"/>
      <c r="D327" s="1092"/>
      <c r="E327" s="1092"/>
      <c r="F327" s="1093"/>
      <c r="G327" s="1094"/>
      <c r="H327" s="1094"/>
      <c r="I327" s="1094"/>
      <c r="J327" s="1094"/>
      <c r="K327" s="1092"/>
      <c r="L327" s="1092"/>
      <c r="M327" s="1092"/>
      <c r="N327" s="1092"/>
      <c r="O327" s="1092"/>
      <c r="P327" s="1092"/>
      <c r="Q327" s="1092"/>
      <c r="R327" s="1092"/>
      <c r="S327" s="1092"/>
      <c r="T327" s="1092"/>
      <c r="U327" s="1092"/>
      <c r="V327" s="1092"/>
      <c r="W327" s="1092"/>
      <c r="X327" s="1092"/>
      <c r="Y327" s="1092"/>
      <c r="Z327" s="1092"/>
      <c r="AA327" s="1092"/>
      <c r="AB327" s="1092"/>
      <c r="AC327" s="1092"/>
      <c r="AD327" s="1092"/>
      <c r="AE327" s="1092"/>
      <c r="AF327" s="1092"/>
      <c r="AG327" s="1092"/>
      <c r="AH327" s="1092"/>
      <c r="AI327" s="1092"/>
      <c r="AJ327" s="1092"/>
      <c r="AK327" s="1092"/>
      <c r="AL327" s="1092"/>
      <c r="AM327" s="1092"/>
      <c r="AN327" s="1092"/>
      <c r="AO327" s="1092"/>
      <c r="AP327" s="1092"/>
      <c r="AQ327" s="1092"/>
      <c r="AR327" s="1092"/>
      <c r="AS327" s="1092"/>
      <c r="AT327" s="1092"/>
      <c r="AU327" s="1092"/>
      <c r="AV327" s="1092"/>
      <c r="AW327" s="1092"/>
      <c r="AX327" s="1092"/>
      <c r="AY327" s="1092"/>
      <c r="AZ327" s="1092"/>
      <c r="BA327" s="1092"/>
      <c r="BB327" s="1092"/>
      <c r="BC327" s="1092"/>
      <c r="BD327" s="1092"/>
      <c r="BE327" s="1092"/>
      <c r="BF327" s="1092"/>
      <c r="BR327" s="1092"/>
      <c r="BS327" s="1092"/>
      <c r="BT327" s="1092"/>
      <c r="BU327" s="922"/>
      <c r="BV327" s="921"/>
      <c r="BW327" s="921"/>
      <c r="BX327" s="921"/>
      <c r="BY327" s="1092"/>
      <c r="BZ327" s="1092"/>
    </row>
    <row r="328" spans="2:78" ht="12.75" customHeight="1">
      <c r="B328" s="1085"/>
      <c r="C328" s="1092"/>
      <c r="D328" s="1092"/>
      <c r="E328" s="1092"/>
      <c r="F328" s="1093"/>
      <c r="G328" s="1094"/>
      <c r="H328" s="1094"/>
      <c r="I328" s="1094"/>
      <c r="J328" s="1094"/>
      <c r="K328" s="1092"/>
      <c r="L328" s="1092"/>
      <c r="M328" s="1092"/>
      <c r="N328" s="1092"/>
      <c r="O328" s="1092"/>
      <c r="P328" s="1092"/>
      <c r="Q328" s="1092"/>
      <c r="R328" s="1092"/>
      <c r="S328" s="1092"/>
      <c r="T328" s="1092"/>
      <c r="U328" s="1092"/>
      <c r="V328" s="1092"/>
      <c r="W328" s="1092"/>
      <c r="X328" s="1092"/>
      <c r="Y328" s="1092"/>
      <c r="Z328" s="1092"/>
      <c r="AA328" s="1092"/>
      <c r="AB328" s="1092"/>
      <c r="AC328" s="1092"/>
      <c r="AD328" s="1092"/>
      <c r="AE328" s="1092"/>
      <c r="AF328" s="1092"/>
      <c r="AG328" s="1092"/>
      <c r="AH328" s="1092"/>
      <c r="AI328" s="1092"/>
      <c r="AJ328" s="1092"/>
      <c r="AK328" s="1092"/>
      <c r="AL328" s="1092"/>
      <c r="AM328" s="1092"/>
      <c r="AN328" s="1092"/>
      <c r="AO328" s="1092"/>
      <c r="AP328" s="1092"/>
      <c r="AQ328" s="1092"/>
      <c r="AR328" s="1092"/>
      <c r="AS328" s="1092"/>
      <c r="AT328" s="1092"/>
      <c r="AU328" s="1092"/>
      <c r="AV328" s="1092"/>
      <c r="AW328" s="1092"/>
      <c r="AX328" s="1092"/>
      <c r="AY328" s="1092"/>
      <c r="AZ328" s="1092"/>
      <c r="BA328" s="1092"/>
      <c r="BB328" s="1092"/>
      <c r="BC328" s="1092"/>
      <c r="BD328" s="1092"/>
      <c r="BE328" s="1092"/>
      <c r="BF328" s="1092"/>
      <c r="BR328" s="1092"/>
      <c r="BS328" s="1092"/>
      <c r="BT328" s="1092"/>
      <c r="BU328" s="922"/>
      <c r="BV328" s="921"/>
      <c r="BW328" s="921"/>
      <c r="BX328" s="921"/>
      <c r="BY328" s="1092"/>
      <c r="BZ328" s="1092"/>
    </row>
    <row r="329" spans="2:78" ht="12.75" customHeight="1">
      <c r="B329" s="1085"/>
      <c r="C329" s="1092"/>
      <c r="D329" s="1092"/>
      <c r="E329" s="1092"/>
      <c r="F329" s="1093"/>
      <c r="G329" s="1094"/>
      <c r="H329" s="1094"/>
      <c r="I329" s="1094"/>
      <c r="J329" s="1094"/>
      <c r="K329" s="1092"/>
      <c r="L329" s="1092"/>
      <c r="M329" s="1092"/>
      <c r="N329" s="1092"/>
      <c r="O329" s="1092"/>
      <c r="P329" s="1092"/>
      <c r="Q329" s="1092"/>
      <c r="R329" s="1092"/>
      <c r="S329" s="1092"/>
      <c r="T329" s="1092"/>
      <c r="U329" s="1092"/>
      <c r="V329" s="1092"/>
      <c r="W329" s="1092"/>
      <c r="X329" s="1092"/>
      <c r="Y329" s="1092"/>
      <c r="Z329" s="1092"/>
      <c r="AA329" s="1092"/>
      <c r="AB329" s="1092"/>
      <c r="AC329" s="1092"/>
      <c r="AD329" s="1092"/>
      <c r="AE329" s="1092"/>
      <c r="AF329" s="1092"/>
      <c r="AG329" s="1092"/>
      <c r="AH329" s="1092"/>
      <c r="AI329" s="1092"/>
      <c r="AJ329" s="1092"/>
      <c r="AK329" s="1092"/>
      <c r="AL329" s="1092"/>
      <c r="AM329" s="1092"/>
      <c r="AN329" s="1092"/>
      <c r="AO329" s="1092"/>
      <c r="AP329" s="1092"/>
      <c r="AQ329" s="1092"/>
      <c r="AR329" s="1092"/>
      <c r="AS329" s="1092"/>
      <c r="AT329" s="1092"/>
      <c r="AU329" s="1092"/>
      <c r="AV329" s="1092"/>
      <c r="AW329" s="1092"/>
      <c r="AX329" s="1092"/>
      <c r="AY329" s="1092"/>
      <c r="AZ329" s="1092"/>
      <c r="BA329" s="1092"/>
      <c r="BB329" s="1092"/>
      <c r="BC329" s="1092"/>
      <c r="BD329" s="1092"/>
      <c r="BE329" s="1092"/>
      <c r="BF329" s="1092"/>
      <c r="BR329" s="1092"/>
      <c r="BS329" s="1092"/>
      <c r="BT329" s="1092"/>
      <c r="BU329" s="922"/>
      <c r="BV329" s="921"/>
      <c r="BW329" s="921"/>
      <c r="BX329" s="921"/>
      <c r="BY329" s="1092"/>
      <c r="BZ329" s="1092"/>
    </row>
    <row r="330" spans="2:78" ht="12.75" customHeight="1">
      <c r="B330" s="1085"/>
      <c r="C330" s="1092"/>
      <c r="D330" s="1092"/>
      <c r="E330" s="1092"/>
      <c r="F330" s="1093"/>
      <c r="G330" s="1094"/>
      <c r="H330" s="1094"/>
      <c r="I330" s="1094"/>
      <c r="J330" s="1094"/>
      <c r="K330" s="1092"/>
      <c r="L330" s="1092"/>
      <c r="M330" s="1092"/>
      <c r="N330" s="1092"/>
      <c r="O330" s="1092"/>
      <c r="P330" s="1092"/>
      <c r="Q330" s="1092"/>
      <c r="R330" s="1092"/>
      <c r="S330" s="1092"/>
      <c r="T330" s="1092"/>
      <c r="U330" s="1092"/>
      <c r="V330" s="1092"/>
      <c r="W330" s="1092"/>
      <c r="X330" s="1092"/>
      <c r="Y330" s="1092"/>
      <c r="Z330" s="1092"/>
      <c r="AA330" s="1092"/>
      <c r="AB330" s="1092"/>
      <c r="AC330" s="1092"/>
      <c r="AD330" s="1092"/>
      <c r="AE330" s="1092"/>
      <c r="AF330" s="1092"/>
      <c r="AG330" s="1092"/>
      <c r="AH330" s="1092"/>
      <c r="AI330" s="1092"/>
      <c r="AJ330" s="1092"/>
      <c r="AK330" s="1092"/>
      <c r="AL330" s="1092"/>
      <c r="AM330" s="1092"/>
      <c r="AN330" s="1092"/>
      <c r="AO330" s="1092"/>
      <c r="AP330" s="1092"/>
      <c r="AQ330" s="1092"/>
      <c r="AR330" s="1092"/>
      <c r="AS330" s="1092"/>
      <c r="AT330" s="1092"/>
      <c r="AU330" s="1092"/>
      <c r="AV330" s="1092"/>
      <c r="AW330" s="1092"/>
      <c r="AX330" s="1092"/>
      <c r="AY330" s="1092"/>
      <c r="AZ330" s="1092"/>
      <c r="BA330" s="1092"/>
      <c r="BB330" s="1092"/>
      <c r="BC330" s="1092"/>
      <c r="BD330" s="1092"/>
      <c r="BE330" s="1092"/>
      <c r="BF330" s="1092"/>
      <c r="BR330" s="1092"/>
      <c r="BS330" s="1092"/>
      <c r="BT330" s="1092"/>
      <c r="BU330" s="922"/>
      <c r="BV330" s="921"/>
      <c r="BW330" s="921"/>
      <c r="BX330" s="921"/>
      <c r="BY330" s="1092"/>
      <c r="BZ330" s="1092"/>
    </row>
    <row r="331" spans="2:78" ht="12.75" customHeight="1">
      <c r="B331" s="1085"/>
      <c r="C331" s="1092"/>
      <c r="D331" s="1092"/>
      <c r="E331" s="1092"/>
      <c r="F331" s="1093"/>
      <c r="G331" s="1094"/>
      <c r="H331" s="1094"/>
      <c r="I331" s="1094"/>
      <c r="J331" s="1094"/>
      <c r="K331" s="1092"/>
      <c r="L331" s="1092"/>
      <c r="M331" s="1092"/>
      <c r="N331" s="1092"/>
      <c r="O331" s="1092"/>
      <c r="P331" s="1092"/>
      <c r="Q331" s="1092"/>
      <c r="R331" s="1092"/>
      <c r="S331" s="1092"/>
      <c r="T331" s="1092"/>
      <c r="U331" s="1092"/>
      <c r="V331" s="1092"/>
      <c r="W331" s="1092"/>
      <c r="X331" s="1092"/>
      <c r="Y331" s="1092"/>
      <c r="Z331" s="1092"/>
      <c r="AA331" s="1092"/>
      <c r="AB331" s="1092"/>
      <c r="AC331" s="1092"/>
      <c r="AD331" s="1092"/>
      <c r="AE331" s="1092"/>
      <c r="AF331" s="1092"/>
      <c r="AG331" s="1092"/>
      <c r="AH331" s="1092"/>
      <c r="AI331" s="1092"/>
      <c r="AJ331" s="1092"/>
      <c r="AK331" s="1092"/>
      <c r="AL331" s="1092"/>
      <c r="AM331" s="1092"/>
      <c r="AN331" s="1092"/>
      <c r="AO331" s="1092"/>
      <c r="AP331" s="1092"/>
      <c r="AQ331" s="1092"/>
      <c r="AR331" s="1092"/>
      <c r="AS331" s="1092"/>
      <c r="AT331" s="1092"/>
      <c r="AU331" s="1092"/>
      <c r="AV331" s="1092"/>
      <c r="AW331" s="1092"/>
      <c r="AX331" s="1092"/>
      <c r="AY331" s="1092"/>
      <c r="AZ331" s="1092"/>
      <c r="BA331" s="1092"/>
      <c r="BB331" s="1092"/>
      <c r="BC331" s="1092"/>
      <c r="BD331" s="1092"/>
      <c r="BE331" s="1092"/>
      <c r="BF331" s="1092"/>
      <c r="BR331" s="1092"/>
      <c r="BS331" s="1092"/>
      <c r="BT331" s="1092"/>
      <c r="BU331" s="922"/>
      <c r="BV331" s="921"/>
      <c r="BW331" s="921"/>
      <c r="BX331" s="921"/>
      <c r="BY331" s="1092"/>
      <c r="BZ331" s="1092"/>
    </row>
    <row r="332" spans="2:78" ht="12.75" customHeight="1">
      <c r="B332" s="1085"/>
      <c r="C332" s="1092"/>
      <c r="D332" s="1092"/>
      <c r="E332" s="1092"/>
      <c r="F332" s="1093"/>
      <c r="G332" s="1094"/>
      <c r="H332" s="1094"/>
      <c r="I332" s="1094"/>
      <c r="J332" s="1094"/>
      <c r="K332" s="1092"/>
      <c r="L332" s="1092"/>
      <c r="M332" s="1092"/>
      <c r="N332" s="1092"/>
      <c r="O332" s="1092"/>
      <c r="P332" s="1092"/>
      <c r="Q332" s="1092"/>
      <c r="R332" s="1092"/>
      <c r="S332" s="1092"/>
      <c r="T332" s="1092"/>
      <c r="U332" s="1092"/>
      <c r="V332" s="1092"/>
      <c r="W332" s="1092"/>
      <c r="X332" s="1092"/>
      <c r="Y332" s="1092"/>
      <c r="Z332" s="1092"/>
      <c r="AA332" s="1092"/>
      <c r="AB332" s="1092"/>
      <c r="AC332" s="1092"/>
      <c r="AD332" s="1092"/>
      <c r="AE332" s="1092"/>
      <c r="AF332" s="1092"/>
      <c r="AG332" s="1092"/>
      <c r="AH332" s="1092"/>
      <c r="AI332" s="1092"/>
      <c r="AJ332" s="1092"/>
      <c r="AK332" s="1092"/>
      <c r="AL332" s="1092"/>
      <c r="AM332" s="1092"/>
      <c r="AN332" s="1092"/>
      <c r="AO332" s="1092"/>
      <c r="AP332" s="1092"/>
      <c r="AQ332" s="1092"/>
      <c r="AR332" s="1092"/>
      <c r="AS332" s="1092"/>
      <c r="AT332" s="1092"/>
      <c r="AU332" s="1092"/>
      <c r="AV332" s="1092"/>
      <c r="AW332" s="1092"/>
      <c r="AX332" s="1092"/>
      <c r="AY332" s="1092"/>
      <c r="AZ332" s="1092"/>
      <c r="BA332" s="1092"/>
      <c r="BB332" s="1092"/>
      <c r="BC332" s="1092"/>
      <c r="BD332" s="1092"/>
      <c r="BE332" s="1092"/>
      <c r="BF332" s="1092"/>
      <c r="BR332" s="1092"/>
      <c r="BS332" s="1092"/>
      <c r="BT332" s="1092"/>
      <c r="BU332" s="922"/>
      <c r="BV332" s="921"/>
      <c r="BW332" s="921"/>
      <c r="BX332" s="921"/>
      <c r="BY332" s="1092"/>
      <c r="BZ332" s="1092"/>
    </row>
    <row r="333" spans="2:78" ht="12.75" customHeight="1">
      <c r="B333" s="1085"/>
      <c r="C333" s="1092"/>
      <c r="D333" s="1092"/>
      <c r="E333" s="1092"/>
      <c r="F333" s="1093"/>
      <c r="G333" s="1094"/>
      <c r="H333" s="1094"/>
      <c r="I333" s="1094"/>
      <c r="J333" s="1094"/>
      <c r="K333" s="1092"/>
      <c r="L333" s="1092"/>
      <c r="M333" s="1092"/>
      <c r="N333" s="1092"/>
      <c r="O333" s="1092"/>
      <c r="P333" s="1092"/>
      <c r="Q333" s="1092"/>
      <c r="R333" s="1092"/>
      <c r="S333" s="1092"/>
      <c r="T333" s="1092"/>
      <c r="U333" s="1092"/>
      <c r="V333" s="1092"/>
      <c r="W333" s="1092"/>
      <c r="X333" s="1092"/>
      <c r="Y333" s="1092"/>
      <c r="Z333" s="1092"/>
      <c r="AA333" s="1092"/>
      <c r="AB333" s="1092"/>
      <c r="AC333" s="1092"/>
      <c r="AD333" s="1092"/>
      <c r="AE333" s="1092"/>
      <c r="AF333" s="1092"/>
      <c r="AG333" s="1092"/>
      <c r="AH333" s="1092"/>
      <c r="AI333" s="1092"/>
      <c r="AJ333" s="1092"/>
      <c r="AK333" s="1092"/>
      <c r="AL333" s="1092"/>
      <c r="AM333" s="1092"/>
      <c r="AN333" s="1092"/>
      <c r="AO333" s="1092"/>
      <c r="AP333" s="1092"/>
      <c r="AQ333" s="1092"/>
      <c r="AR333" s="1092"/>
      <c r="AS333" s="1092"/>
      <c r="AT333" s="1092"/>
      <c r="AU333" s="1092"/>
      <c r="AV333" s="1092"/>
      <c r="AW333" s="1092"/>
      <c r="AX333" s="1092"/>
      <c r="AY333" s="1092"/>
      <c r="AZ333" s="1092"/>
      <c r="BA333" s="1092"/>
      <c r="BB333" s="1092"/>
      <c r="BC333" s="1092"/>
      <c r="BD333" s="1092"/>
      <c r="BE333" s="1092"/>
      <c r="BF333" s="1092"/>
      <c r="BR333" s="1092"/>
      <c r="BS333" s="1092"/>
      <c r="BT333" s="1092"/>
      <c r="BU333" s="922"/>
      <c r="BV333" s="921"/>
      <c r="BW333" s="921"/>
      <c r="BX333" s="921"/>
      <c r="BY333" s="1092"/>
      <c r="BZ333" s="1092"/>
    </row>
    <row r="334" spans="2:78" ht="12.75" customHeight="1">
      <c r="B334" s="1085"/>
      <c r="C334" s="1092"/>
      <c r="D334" s="1092"/>
      <c r="E334" s="1092"/>
      <c r="F334" s="1093"/>
      <c r="G334" s="1094"/>
      <c r="H334" s="1094"/>
      <c r="I334" s="1094"/>
      <c r="J334" s="1094"/>
      <c r="K334" s="1092"/>
      <c r="L334" s="1092"/>
      <c r="M334" s="1092"/>
      <c r="N334" s="1092"/>
      <c r="O334" s="1092"/>
      <c r="P334" s="1092"/>
      <c r="Q334" s="1092"/>
      <c r="R334" s="1092"/>
      <c r="S334" s="1092"/>
      <c r="T334" s="1092"/>
      <c r="U334" s="1092"/>
      <c r="V334" s="1092"/>
      <c r="W334" s="1092"/>
      <c r="X334" s="1092"/>
      <c r="Y334" s="1092"/>
      <c r="Z334" s="1092"/>
      <c r="AA334" s="1092"/>
      <c r="AB334" s="1092"/>
      <c r="AC334" s="1092"/>
      <c r="AD334" s="1092"/>
      <c r="AE334" s="1092"/>
      <c r="AF334" s="1092"/>
      <c r="AG334" s="1092"/>
      <c r="AH334" s="1092"/>
      <c r="AI334" s="1092"/>
      <c r="AJ334" s="1092"/>
      <c r="AK334" s="1092"/>
      <c r="AL334" s="1092"/>
      <c r="AM334" s="1092"/>
      <c r="AN334" s="1092"/>
      <c r="AO334" s="1092"/>
      <c r="AP334" s="1092"/>
      <c r="AQ334" s="1092"/>
      <c r="AR334" s="1092"/>
      <c r="AS334" s="1092"/>
      <c r="AT334" s="1092"/>
      <c r="AU334" s="1092"/>
      <c r="AV334" s="1092"/>
      <c r="AW334" s="1092"/>
      <c r="AX334" s="1092"/>
      <c r="AY334" s="1092"/>
      <c r="AZ334" s="1092"/>
      <c r="BA334" s="1092"/>
      <c r="BB334" s="1092"/>
      <c r="BC334" s="1092"/>
      <c r="BD334" s="1092"/>
      <c r="BE334" s="1092"/>
      <c r="BF334" s="1092"/>
      <c r="BR334" s="1092"/>
      <c r="BS334" s="1092"/>
      <c r="BT334" s="1092"/>
      <c r="BU334" s="922"/>
      <c r="BV334" s="921"/>
      <c r="BW334" s="921"/>
      <c r="BX334" s="921"/>
      <c r="BY334" s="1092"/>
      <c r="BZ334" s="1092"/>
    </row>
    <row r="335" spans="2:78" ht="12.75" customHeight="1">
      <c r="B335" s="1085"/>
      <c r="C335" s="1092"/>
      <c r="D335" s="1092"/>
      <c r="E335" s="1092"/>
      <c r="F335" s="1093"/>
      <c r="G335" s="1094"/>
      <c r="H335" s="1094"/>
      <c r="I335" s="1094"/>
      <c r="J335" s="1094"/>
      <c r="K335" s="1092"/>
      <c r="L335" s="1092"/>
      <c r="M335" s="1092"/>
      <c r="N335" s="1092"/>
      <c r="O335" s="1092"/>
      <c r="P335" s="1092"/>
      <c r="Q335" s="1092"/>
      <c r="R335" s="1092"/>
      <c r="S335" s="1092"/>
      <c r="T335" s="1092"/>
      <c r="U335" s="1092"/>
      <c r="V335" s="1092"/>
      <c r="W335" s="1092"/>
      <c r="X335" s="1092"/>
      <c r="Y335" s="1092"/>
      <c r="Z335" s="1092"/>
      <c r="AA335" s="1092"/>
      <c r="AB335" s="1092"/>
      <c r="AC335" s="1092"/>
      <c r="AD335" s="1092"/>
      <c r="AE335" s="1092"/>
      <c r="AF335" s="1092"/>
      <c r="AG335" s="1092"/>
      <c r="AH335" s="1092"/>
      <c r="AI335" s="1092"/>
      <c r="AJ335" s="1092"/>
      <c r="AK335" s="1092"/>
      <c r="AL335" s="1092"/>
      <c r="AM335" s="1092"/>
      <c r="AN335" s="1092"/>
      <c r="AO335" s="1092"/>
      <c r="AP335" s="1092"/>
      <c r="AQ335" s="1092"/>
      <c r="AR335" s="1092"/>
      <c r="AS335" s="1092"/>
      <c r="AT335" s="1092"/>
      <c r="AU335" s="1092"/>
      <c r="AV335" s="1092"/>
      <c r="AW335" s="1092"/>
      <c r="AX335" s="1092"/>
      <c r="AY335" s="1092"/>
      <c r="AZ335" s="1092"/>
      <c r="BA335" s="1092"/>
      <c r="BB335" s="1092"/>
      <c r="BC335" s="1092"/>
      <c r="BD335" s="1092"/>
      <c r="BE335" s="1092"/>
      <c r="BF335" s="1092"/>
      <c r="BR335" s="1092"/>
      <c r="BS335" s="1092"/>
      <c r="BT335" s="1092"/>
      <c r="BU335" s="922"/>
      <c r="BV335" s="921"/>
      <c r="BW335" s="921"/>
      <c r="BX335" s="921"/>
      <c r="BY335" s="1092"/>
      <c r="BZ335" s="1092"/>
    </row>
    <row r="336" spans="2:78" ht="12.75" customHeight="1">
      <c r="B336" s="1085"/>
      <c r="C336" s="1092"/>
      <c r="D336" s="1092"/>
      <c r="E336" s="1092"/>
      <c r="F336" s="1093"/>
      <c r="G336" s="1094"/>
      <c r="H336" s="1094"/>
      <c r="I336" s="1094"/>
      <c r="J336" s="1094"/>
      <c r="K336" s="1092"/>
      <c r="L336" s="1092"/>
      <c r="M336" s="1092"/>
      <c r="N336" s="1092"/>
      <c r="O336" s="1092"/>
      <c r="P336" s="1092"/>
      <c r="Q336" s="1092"/>
      <c r="R336" s="1092"/>
      <c r="S336" s="1092"/>
      <c r="T336" s="1092"/>
      <c r="U336" s="1092"/>
      <c r="V336" s="1092"/>
      <c r="W336" s="1092"/>
      <c r="X336" s="1092"/>
      <c r="Y336" s="1092"/>
      <c r="Z336" s="1092"/>
      <c r="AA336" s="1092"/>
      <c r="AB336" s="1092"/>
      <c r="AC336" s="1092"/>
      <c r="AD336" s="1092"/>
      <c r="AE336" s="1092"/>
      <c r="AF336" s="1092"/>
      <c r="AG336" s="1092"/>
      <c r="AH336" s="1092"/>
      <c r="AI336" s="1092"/>
      <c r="AJ336" s="1092"/>
      <c r="AK336" s="1092"/>
      <c r="AL336" s="1092"/>
      <c r="AM336" s="1092"/>
      <c r="AN336" s="1092"/>
      <c r="AO336" s="1092"/>
      <c r="AP336" s="1092"/>
      <c r="AQ336" s="1092"/>
      <c r="AR336" s="1092"/>
      <c r="AS336" s="1092"/>
      <c r="AT336" s="1092"/>
      <c r="AU336" s="1092"/>
      <c r="AV336" s="1092"/>
      <c r="AW336" s="1092"/>
      <c r="AX336" s="1092"/>
      <c r="AY336" s="1092"/>
      <c r="AZ336" s="1092"/>
      <c r="BA336" s="1092"/>
      <c r="BB336" s="1092"/>
      <c r="BC336" s="1092"/>
      <c r="BD336" s="1092"/>
      <c r="BE336" s="1092"/>
      <c r="BF336" s="1092"/>
      <c r="BR336" s="1092"/>
      <c r="BS336" s="1092"/>
      <c r="BT336" s="1092"/>
      <c r="BU336" s="922"/>
      <c r="BV336" s="921"/>
      <c r="BW336" s="921"/>
      <c r="BX336" s="921"/>
      <c r="BY336" s="1092"/>
      <c r="BZ336" s="1092"/>
    </row>
    <row r="337" spans="2:78" ht="12.75" customHeight="1">
      <c r="B337" s="1085"/>
      <c r="C337" s="1092"/>
      <c r="D337" s="1092"/>
      <c r="E337" s="1092"/>
      <c r="F337" s="1093"/>
      <c r="G337" s="1094"/>
      <c r="H337" s="1094"/>
      <c r="I337" s="1094"/>
      <c r="J337" s="1094"/>
      <c r="K337" s="1092"/>
      <c r="L337" s="1092"/>
      <c r="M337" s="1092"/>
      <c r="N337" s="1092"/>
      <c r="O337" s="1092"/>
      <c r="P337" s="1092"/>
      <c r="Q337" s="1092"/>
      <c r="R337" s="1092"/>
      <c r="S337" s="1092"/>
      <c r="T337" s="1092"/>
      <c r="U337" s="1092"/>
      <c r="V337" s="1092"/>
      <c r="W337" s="1092"/>
      <c r="X337" s="1092"/>
      <c r="Y337" s="1092"/>
      <c r="Z337" s="1092"/>
      <c r="AA337" s="1092"/>
      <c r="AB337" s="1092"/>
      <c r="AC337" s="1092"/>
      <c r="AD337" s="1092"/>
      <c r="AE337" s="1092"/>
      <c r="AF337" s="1092"/>
      <c r="AG337" s="1092"/>
      <c r="AH337" s="1092"/>
      <c r="AI337" s="1092"/>
      <c r="AJ337" s="1092"/>
      <c r="AK337" s="1092"/>
      <c r="AL337" s="1092"/>
      <c r="AM337" s="1092"/>
      <c r="AN337" s="1092"/>
      <c r="AO337" s="1092"/>
      <c r="AP337" s="1092"/>
      <c r="AQ337" s="1092"/>
      <c r="AR337" s="1092"/>
      <c r="AS337" s="1092"/>
      <c r="AT337" s="1092"/>
      <c r="AU337" s="1092"/>
      <c r="AV337" s="1092"/>
      <c r="AW337" s="1092"/>
      <c r="AX337" s="1092"/>
      <c r="AY337" s="1092"/>
      <c r="AZ337" s="1092"/>
      <c r="BA337" s="1092"/>
      <c r="BB337" s="1092"/>
      <c r="BC337" s="1092"/>
      <c r="BD337" s="1092"/>
      <c r="BE337" s="1092"/>
      <c r="BF337" s="1092"/>
      <c r="BR337" s="1092"/>
      <c r="BS337" s="1092"/>
      <c r="BT337" s="1092"/>
      <c r="BU337" s="922"/>
      <c r="BV337" s="921"/>
      <c r="BW337" s="921"/>
      <c r="BX337" s="921"/>
      <c r="BY337" s="1092"/>
      <c r="BZ337" s="1092"/>
    </row>
    <row r="338" spans="2:78" ht="12.75" customHeight="1">
      <c r="B338" s="1085"/>
      <c r="C338" s="1092"/>
      <c r="D338" s="1092"/>
      <c r="E338" s="1092"/>
      <c r="F338" s="1093"/>
      <c r="G338" s="1094"/>
      <c r="H338" s="1094"/>
      <c r="I338" s="1094"/>
      <c r="J338" s="1094"/>
      <c r="K338" s="1092"/>
      <c r="L338" s="1092"/>
      <c r="M338" s="1092"/>
      <c r="N338" s="1092"/>
      <c r="O338" s="1092"/>
      <c r="P338" s="1092"/>
      <c r="Q338" s="1092"/>
      <c r="R338" s="1092"/>
      <c r="S338" s="1092"/>
      <c r="T338" s="1092"/>
      <c r="U338" s="1092"/>
      <c r="V338" s="1092"/>
      <c r="W338" s="1092"/>
      <c r="X338" s="1092"/>
      <c r="Y338" s="1092"/>
      <c r="Z338" s="1092"/>
      <c r="AA338" s="1092"/>
      <c r="AB338" s="1092"/>
      <c r="AC338" s="1092"/>
      <c r="AD338" s="1092"/>
      <c r="AE338" s="1092"/>
      <c r="AF338" s="1092"/>
      <c r="AG338" s="1092"/>
      <c r="AH338" s="1092"/>
      <c r="AI338" s="1092"/>
      <c r="AJ338" s="1092"/>
      <c r="AK338" s="1092"/>
      <c r="AL338" s="1092"/>
      <c r="AM338" s="1092"/>
      <c r="AN338" s="1092"/>
      <c r="AO338" s="1092"/>
      <c r="AP338" s="1092"/>
      <c r="AQ338" s="1092"/>
      <c r="AR338" s="1092"/>
      <c r="AS338" s="1092"/>
      <c r="AT338" s="1092"/>
      <c r="AU338" s="1092"/>
      <c r="AV338" s="1092"/>
      <c r="AW338" s="1092"/>
      <c r="AX338" s="1092"/>
      <c r="AY338" s="1092"/>
      <c r="AZ338" s="1092"/>
      <c r="BA338" s="1092"/>
      <c r="BB338" s="1092"/>
      <c r="BC338" s="1092"/>
      <c r="BD338" s="1092"/>
      <c r="BE338" s="1092"/>
      <c r="BF338" s="1092"/>
      <c r="BR338" s="1092"/>
      <c r="BS338" s="1092"/>
      <c r="BT338" s="1092"/>
      <c r="BU338" s="922"/>
      <c r="BV338" s="921"/>
      <c r="BW338" s="921"/>
      <c r="BX338" s="921"/>
      <c r="BY338" s="1092"/>
      <c r="BZ338" s="1092"/>
    </row>
    <row r="339" spans="2:78" ht="12.75" customHeight="1">
      <c r="B339" s="1085"/>
      <c r="C339" s="1092"/>
      <c r="D339" s="1092"/>
      <c r="E339" s="1092"/>
      <c r="F339" s="1093"/>
      <c r="G339" s="1094"/>
      <c r="H339" s="1094"/>
      <c r="I339" s="1094"/>
      <c r="J339" s="1094"/>
      <c r="K339" s="1092"/>
      <c r="L339" s="1092"/>
      <c r="M339" s="1092"/>
      <c r="N339" s="1092"/>
      <c r="O339" s="1092"/>
      <c r="P339" s="1092"/>
      <c r="Q339" s="1092"/>
      <c r="R339" s="1092"/>
      <c r="S339" s="1092"/>
      <c r="T339" s="1092"/>
      <c r="U339" s="1092"/>
      <c r="V339" s="1092"/>
      <c r="W339" s="1092"/>
      <c r="X339" s="1092"/>
      <c r="Y339" s="1092"/>
      <c r="Z339" s="1092"/>
      <c r="AA339" s="1092"/>
      <c r="AB339" s="1092"/>
      <c r="AC339" s="1092"/>
      <c r="AD339" s="1092"/>
      <c r="AE339" s="1092"/>
      <c r="AF339" s="1092"/>
      <c r="AG339" s="1092"/>
      <c r="AH339" s="1092"/>
      <c r="AI339" s="1092"/>
      <c r="AJ339" s="1092"/>
      <c r="AK339" s="1092"/>
      <c r="AL339" s="1092"/>
      <c r="AM339" s="1092"/>
      <c r="AN339" s="1092"/>
      <c r="AO339" s="1092"/>
      <c r="AP339" s="1092"/>
      <c r="AQ339" s="1092"/>
      <c r="AR339" s="1092"/>
      <c r="AS339" s="1092"/>
      <c r="AT339" s="1092"/>
      <c r="AU339" s="1092"/>
      <c r="AV339" s="1092"/>
      <c r="AW339" s="1092"/>
      <c r="AX339" s="1092"/>
      <c r="AY339" s="1092"/>
      <c r="AZ339" s="1092"/>
      <c r="BA339" s="1092"/>
      <c r="BB339" s="1092"/>
      <c r="BC339" s="1092"/>
      <c r="BD339" s="1092"/>
      <c r="BE339" s="1092"/>
      <c r="BF339" s="1092"/>
      <c r="BR339" s="1092"/>
      <c r="BS339" s="1092"/>
      <c r="BT339" s="1092"/>
      <c r="BU339" s="922"/>
      <c r="BV339" s="921"/>
      <c r="BW339" s="921"/>
      <c r="BX339" s="921"/>
      <c r="BY339" s="1092"/>
      <c r="BZ339" s="1092"/>
    </row>
    <row r="340" spans="2:78" ht="12.75" customHeight="1">
      <c r="B340" s="1085"/>
      <c r="C340" s="1092"/>
      <c r="D340" s="1092"/>
      <c r="E340" s="1092"/>
      <c r="F340" s="1093"/>
      <c r="G340" s="1094"/>
      <c r="H340" s="1094"/>
      <c r="I340" s="1094"/>
      <c r="J340" s="1094"/>
      <c r="K340" s="1092"/>
      <c r="L340" s="1092"/>
      <c r="M340" s="1092"/>
      <c r="N340" s="1092"/>
      <c r="O340" s="1092"/>
      <c r="P340" s="1092"/>
      <c r="Q340" s="1092"/>
      <c r="R340" s="1092"/>
      <c r="S340" s="1092"/>
      <c r="T340" s="1092"/>
      <c r="U340" s="1092"/>
      <c r="V340" s="1092"/>
      <c r="W340" s="1092"/>
      <c r="X340" s="1092"/>
      <c r="Y340" s="1092"/>
      <c r="Z340" s="1092"/>
      <c r="AA340" s="1092"/>
      <c r="AB340" s="1092"/>
      <c r="AC340" s="1092"/>
      <c r="AD340" s="1092"/>
      <c r="AE340" s="1092"/>
      <c r="AF340" s="1092"/>
      <c r="AG340" s="1092"/>
      <c r="AH340" s="1092"/>
      <c r="AI340" s="1092"/>
      <c r="AJ340" s="1092"/>
      <c r="AK340" s="1092"/>
      <c r="AL340" s="1092"/>
      <c r="AM340" s="1092"/>
      <c r="AN340" s="1092"/>
      <c r="AO340" s="1092"/>
      <c r="AP340" s="1092"/>
      <c r="AQ340" s="1092"/>
      <c r="AR340" s="1092"/>
      <c r="AS340" s="1092"/>
      <c r="AT340" s="1092"/>
      <c r="AU340" s="1092"/>
      <c r="AV340" s="1092"/>
      <c r="AW340" s="1092"/>
      <c r="AX340" s="1092"/>
      <c r="AY340" s="1092"/>
      <c r="AZ340" s="1092"/>
      <c r="BA340" s="1092"/>
      <c r="BB340" s="1092"/>
      <c r="BC340" s="1092"/>
      <c r="BD340" s="1092"/>
      <c r="BE340" s="1092"/>
      <c r="BF340" s="1092"/>
      <c r="BR340" s="1092"/>
      <c r="BS340" s="1092"/>
      <c r="BT340" s="1092"/>
      <c r="BU340" s="922"/>
      <c r="BV340" s="921"/>
      <c r="BW340" s="921"/>
      <c r="BX340" s="921"/>
      <c r="BY340" s="1092"/>
      <c r="BZ340" s="1092"/>
    </row>
    <row r="341" spans="2:78" ht="12.75" customHeight="1">
      <c r="B341" s="1085"/>
      <c r="C341" s="1092"/>
      <c r="D341" s="1092"/>
      <c r="E341" s="1092"/>
      <c r="F341" s="1093"/>
      <c r="G341" s="1094"/>
      <c r="H341" s="1094"/>
      <c r="I341" s="1094"/>
      <c r="J341" s="1094"/>
      <c r="K341" s="1092"/>
      <c r="L341" s="1092"/>
      <c r="M341" s="1092"/>
      <c r="N341" s="1092"/>
      <c r="O341" s="1092"/>
      <c r="P341" s="1092"/>
      <c r="Q341" s="1092"/>
      <c r="R341" s="1092"/>
      <c r="S341" s="1092"/>
      <c r="T341" s="1092"/>
      <c r="U341" s="1092"/>
      <c r="V341" s="1092"/>
      <c r="W341" s="1092"/>
      <c r="X341" s="1092"/>
      <c r="Y341" s="1092"/>
      <c r="Z341" s="1092"/>
      <c r="AA341" s="1092"/>
      <c r="AB341" s="1092"/>
      <c r="AC341" s="1092"/>
      <c r="AD341" s="1092"/>
      <c r="AE341" s="1092"/>
      <c r="AF341" s="1092"/>
      <c r="AG341" s="1092"/>
      <c r="AH341" s="1092"/>
      <c r="AI341" s="1092"/>
      <c r="AJ341" s="1092"/>
      <c r="AK341" s="1092"/>
      <c r="AL341" s="1092"/>
      <c r="AM341" s="1092"/>
      <c r="AN341" s="1092"/>
      <c r="AO341" s="1092"/>
      <c r="AP341" s="1092"/>
      <c r="AQ341" s="1092"/>
      <c r="AR341" s="1092"/>
      <c r="AS341" s="1092"/>
      <c r="AT341" s="1092"/>
      <c r="AU341" s="1092"/>
      <c r="AV341" s="1092"/>
      <c r="AW341" s="1092"/>
      <c r="AX341" s="1092"/>
      <c r="AY341" s="1092"/>
      <c r="AZ341" s="1092"/>
      <c r="BA341" s="1092"/>
      <c r="BB341" s="1092"/>
      <c r="BC341" s="1092"/>
      <c r="BD341" s="1092"/>
      <c r="BE341" s="1092"/>
      <c r="BF341" s="1092"/>
      <c r="BR341" s="1092"/>
      <c r="BS341" s="1092"/>
      <c r="BT341" s="1092"/>
      <c r="BU341" s="922"/>
      <c r="BV341" s="921"/>
      <c r="BW341" s="921"/>
      <c r="BX341" s="921"/>
      <c r="BY341" s="1092"/>
      <c r="BZ341" s="1092"/>
    </row>
    <row r="342" spans="2:78" ht="12.75" customHeight="1">
      <c r="B342" s="1085"/>
      <c r="C342" s="1092"/>
      <c r="D342" s="1092"/>
      <c r="E342" s="1092"/>
      <c r="F342" s="1093"/>
      <c r="G342" s="1094"/>
      <c r="H342" s="1094"/>
      <c r="I342" s="1094"/>
      <c r="J342" s="1094"/>
      <c r="K342" s="1092"/>
      <c r="L342" s="1092"/>
      <c r="M342" s="1092"/>
      <c r="N342" s="1092"/>
      <c r="O342" s="1092"/>
      <c r="P342" s="1092"/>
      <c r="Q342" s="1092"/>
      <c r="R342" s="1092"/>
      <c r="S342" s="1092"/>
      <c r="T342" s="1092"/>
      <c r="U342" s="1092"/>
      <c r="V342" s="1092"/>
      <c r="W342" s="1092"/>
      <c r="X342" s="1092"/>
      <c r="Y342" s="1092"/>
      <c r="Z342" s="1092"/>
      <c r="AA342" s="1092"/>
      <c r="AB342" s="1092"/>
      <c r="AC342" s="1092"/>
      <c r="AD342" s="1092"/>
      <c r="AE342" s="1092"/>
      <c r="AF342" s="1092"/>
      <c r="AG342" s="1092"/>
      <c r="AH342" s="1092"/>
      <c r="AI342" s="1092"/>
      <c r="AJ342" s="1092"/>
      <c r="AK342" s="1092"/>
      <c r="AL342" s="1092"/>
      <c r="AM342" s="1092"/>
      <c r="AN342" s="1092"/>
      <c r="AO342" s="1092"/>
      <c r="AP342" s="1092"/>
      <c r="AQ342" s="1092"/>
      <c r="AR342" s="1092"/>
      <c r="AS342" s="1092"/>
      <c r="AT342" s="1092"/>
      <c r="AU342" s="1092"/>
      <c r="AV342" s="1092"/>
      <c r="AW342" s="1092"/>
      <c r="AX342" s="1092"/>
      <c r="AY342" s="1092"/>
      <c r="AZ342" s="1092"/>
      <c r="BA342" s="1092"/>
      <c r="BB342" s="1092"/>
      <c r="BC342" s="1092"/>
      <c r="BD342" s="1092"/>
      <c r="BE342" s="1092"/>
      <c r="BF342" s="1092"/>
      <c r="BR342" s="1092"/>
      <c r="BS342" s="1092"/>
      <c r="BT342" s="1092"/>
      <c r="BU342" s="922"/>
      <c r="BV342" s="921"/>
      <c r="BW342" s="921"/>
      <c r="BX342" s="921"/>
      <c r="BY342" s="1092"/>
      <c r="BZ342" s="1092"/>
    </row>
    <row r="343" spans="2:78" ht="12.75" customHeight="1">
      <c r="B343" s="1085"/>
      <c r="C343" s="1092"/>
      <c r="D343" s="1092"/>
      <c r="E343" s="1092"/>
      <c r="F343" s="1093"/>
      <c r="G343" s="1094"/>
      <c r="H343" s="1094"/>
      <c r="I343" s="1094"/>
      <c r="J343" s="1094"/>
      <c r="K343" s="1092"/>
      <c r="L343" s="1092"/>
      <c r="M343" s="1092"/>
      <c r="N343" s="1092"/>
      <c r="O343" s="1092"/>
      <c r="P343" s="1092"/>
      <c r="Q343" s="1092"/>
      <c r="R343" s="1092"/>
      <c r="S343" s="1092"/>
      <c r="T343" s="1092"/>
      <c r="U343" s="1092"/>
      <c r="V343" s="1092"/>
      <c r="W343" s="1092"/>
      <c r="X343" s="1092"/>
      <c r="Y343" s="1092"/>
      <c r="Z343" s="1092"/>
      <c r="AA343" s="1092"/>
      <c r="AB343" s="1092"/>
      <c r="AC343" s="1092"/>
      <c r="AD343" s="1092"/>
      <c r="AE343" s="1092"/>
      <c r="AF343" s="1092"/>
      <c r="AG343" s="1092"/>
      <c r="AH343" s="1092"/>
      <c r="AI343" s="1092"/>
      <c r="AJ343" s="1092"/>
      <c r="AK343" s="1092"/>
      <c r="AL343" s="1092"/>
      <c r="AM343" s="1092"/>
      <c r="AN343" s="1092"/>
      <c r="AO343" s="1092"/>
      <c r="AP343" s="1092"/>
      <c r="AQ343" s="1092"/>
      <c r="AR343" s="1092"/>
      <c r="AS343" s="1092"/>
      <c r="AT343" s="1092"/>
      <c r="AU343" s="1092"/>
      <c r="AV343" s="1092"/>
      <c r="AW343" s="1092"/>
      <c r="AX343" s="1092"/>
      <c r="AY343" s="1092"/>
      <c r="AZ343" s="1092"/>
      <c r="BA343" s="1092"/>
      <c r="BB343" s="1092"/>
      <c r="BC343" s="1092"/>
      <c r="BD343" s="1092"/>
      <c r="BE343" s="1092"/>
      <c r="BF343" s="1092"/>
      <c r="BR343" s="1092"/>
      <c r="BS343" s="1092"/>
      <c r="BT343" s="1092"/>
      <c r="BU343" s="922"/>
      <c r="BV343" s="921"/>
      <c r="BW343" s="921"/>
      <c r="BX343" s="921"/>
      <c r="BY343" s="1092"/>
      <c r="BZ343" s="1092"/>
    </row>
    <row r="344" spans="2:78" ht="12.75" customHeight="1">
      <c r="B344" s="1085"/>
      <c r="C344" s="1092"/>
      <c r="D344" s="1092"/>
      <c r="E344" s="1092"/>
      <c r="F344" s="1093"/>
      <c r="G344" s="1094"/>
      <c r="H344" s="1094"/>
      <c r="I344" s="1094"/>
      <c r="J344" s="1094"/>
      <c r="K344" s="1092"/>
      <c r="L344" s="1092"/>
      <c r="M344" s="1092"/>
      <c r="N344" s="1092"/>
      <c r="O344" s="1092"/>
      <c r="P344" s="1092"/>
      <c r="Q344" s="1092"/>
      <c r="R344" s="1092"/>
      <c r="S344" s="1092"/>
      <c r="T344" s="1092"/>
      <c r="U344" s="1092"/>
      <c r="V344" s="1092"/>
      <c r="W344" s="1092"/>
      <c r="X344" s="1092"/>
      <c r="Y344" s="1092"/>
      <c r="Z344" s="1092"/>
      <c r="AA344" s="1092"/>
      <c r="AB344" s="1092"/>
      <c r="AC344" s="1092"/>
      <c r="AD344" s="1092"/>
      <c r="AE344" s="1092"/>
      <c r="AF344" s="1092"/>
      <c r="AG344" s="1092"/>
      <c r="AH344" s="1092"/>
      <c r="AI344" s="1092"/>
      <c r="AJ344" s="1092"/>
      <c r="AK344" s="1092"/>
      <c r="AL344" s="1092"/>
      <c r="AM344" s="1092"/>
      <c r="AN344" s="1092"/>
      <c r="AO344" s="1092"/>
      <c r="AP344" s="1092"/>
      <c r="AQ344" s="1092"/>
      <c r="AR344" s="1092"/>
      <c r="AS344" s="1092"/>
      <c r="AT344" s="1092"/>
      <c r="AU344" s="1092"/>
      <c r="AV344" s="1092"/>
      <c r="AW344" s="1092"/>
      <c r="AX344" s="1092"/>
      <c r="AY344" s="1092"/>
      <c r="AZ344" s="1092"/>
      <c r="BA344" s="1092"/>
      <c r="BB344" s="1092"/>
      <c r="BC344" s="1092"/>
      <c r="BD344" s="1092"/>
      <c r="BE344" s="1092"/>
      <c r="BF344" s="1092"/>
      <c r="BR344" s="1092"/>
      <c r="BS344" s="1092"/>
      <c r="BT344" s="1092"/>
      <c r="BU344" s="922"/>
      <c r="BV344" s="921"/>
      <c r="BW344" s="921"/>
      <c r="BX344" s="921"/>
      <c r="BY344" s="1092"/>
      <c r="BZ344" s="1092"/>
    </row>
    <row r="345" spans="2:78" ht="12.75" customHeight="1">
      <c r="B345" s="1085"/>
      <c r="C345" s="1092"/>
      <c r="D345" s="1092"/>
      <c r="E345" s="1092"/>
      <c r="F345" s="1093"/>
      <c r="G345" s="1094"/>
      <c r="H345" s="1094"/>
      <c r="I345" s="1094"/>
      <c r="J345" s="1094"/>
      <c r="K345" s="1092"/>
      <c r="L345" s="1092"/>
      <c r="M345" s="1092"/>
      <c r="N345" s="1092"/>
      <c r="O345" s="1092"/>
      <c r="P345" s="1092"/>
      <c r="Q345" s="1092"/>
      <c r="R345" s="1092"/>
      <c r="S345" s="1092"/>
      <c r="T345" s="1092"/>
      <c r="U345" s="1092"/>
      <c r="V345" s="1092"/>
      <c r="W345" s="1092"/>
      <c r="X345" s="1092"/>
      <c r="Y345" s="1092"/>
      <c r="Z345" s="1092"/>
      <c r="AA345" s="1092"/>
      <c r="AB345" s="1092"/>
      <c r="AC345" s="1092"/>
      <c r="AD345" s="1092"/>
      <c r="AE345" s="1092"/>
      <c r="AF345" s="1092"/>
      <c r="AG345" s="1092"/>
      <c r="AH345" s="1092"/>
      <c r="AI345" s="1092"/>
      <c r="AJ345" s="1092"/>
      <c r="AK345" s="1092"/>
      <c r="AL345" s="1092"/>
      <c r="AM345" s="1092"/>
      <c r="AN345" s="1092"/>
      <c r="AO345" s="1092"/>
      <c r="AP345" s="1092"/>
      <c r="AQ345" s="1092"/>
      <c r="AR345" s="1092"/>
      <c r="AS345" s="1092"/>
      <c r="AT345" s="1092"/>
      <c r="AU345" s="1092"/>
      <c r="AV345" s="1092"/>
      <c r="AW345" s="1092"/>
      <c r="AX345" s="1092"/>
      <c r="AY345" s="1092"/>
      <c r="AZ345" s="1092"/>
      <c r="BA345" s="1092"/>
      <c r="BB345" s="1092"/>
      <c r="BC345" s="1092"/>
      <c r="BD345" s="1092"/>
      <c r="BE345" s="1092"/>
      <c r="BF345" s="1092"/>
      <c r="BR345" s="1092"/>
      <c r="BS345" s="1092"/>
      <c r="BT345" s="1092"/>
      <c r="BU345" s="922"/>
      <c r="BV345" s="921"/>
      <c r="BW345" s="921"/>
      <c r="BX345" s="921"/>
      <c r="BY345" s="1092"/>
      <c r="BZ345" s="1092"/>
    </row>
    <row r="346" spans="2:78" ht="12.75" customHeight="1">
      <c r="B346" s="1085"/>
      <c r="C346" s="1092"/>
      <c r="D346" s="1092"/>
      <c r="E346" s="1092"/>
      <c r="F346" s="1093"/>
      <c r="G346" s="1094"/>
      <c r="H346" s="1094"/>
      <c r="I346" s="1094"/>
      <c r="J346" s="1094"/>
      <c r="K346" s="1092"/>
      <c r="L346" s="1092"/>
      <c r="M346" s="1092"/>
      <c r="N346" s="1092"/>
      <c r="O346" s="1092"/>
      <c r="P346" s="1092"/>
      <c r="Q346" s="1092"/>
      <c r="R346" s="1092"/>
      <c r="S346" s="1092"/>
      <c r="T346" s="1092"/>
      <c r="U346" s="1092"/>
      <c r="V346" s="1092"/>
      <c r="W346" s="1092"/>
      <c r="X346" s="1092"/>
      <c r="Y346" s="1092"/>
      <c r="Z346" s="1092"/>
      <c r="AA346" s="1092"/>
      <c r="AB346" s="1092"/>
      <c r="AC346" s="1092"/>
      <c r="AD346" s="1092"/>
      <c r="AE346" s="1092"/>
      <c r="AF346" s="1092"/>
      <c r="AG346" s="1092"/>
      <c r="AH346" s="1092"/>
      <c r="AI346" s="1092"/>
      <c r="AJ346" s="1092"/>
      <c r="AK346" s="1092"/>
      <c r="AL346" s="1092"/>
      <c r="AM346" s="1092"/>
      <c r="AN346" s="1092"/>
      <c r="AO346" s="1092"/>
      <c r="AP346" s="1092"/>
      <c r="AQ346" s="1092"/>
      <c r="AR346" s="1092"/>
      <c r="AS346" s="1092"/>
      <c r="AT346" s="1092"/>
      <c r="AU346" s="1092"/>
      <c r="AV346" s="1092"/>
      <c r="AW346" s="1092"/>
      <c r="AX346" s="1092"/>
      <c r="AY346" s="1092"/>
      <c r="AZ346" s="1092"/>
      <c r="BA346" s="1092"/>
      <c r="BB346" s="1092"/>
      <c r="BC346" s="1092"/>
      <c r="BD346" s="1092"/>
      <c r="BE346" s="1092"/>
      <c r="BF346" s="1092"/>
      <c r="BR346" s="1092"/>
      <c r="BS346" s="1092"/>
      <c r="BT346" s="1092"/>
      <c r="BU346" s="922"/>
      <c r="BV346" s="921"/>
      <c r="BW346" s="921"/>
      <c r="BX346" s="921"/>
      <c r="BY346" s="1092"/>
      <c r="BZ346" s="1092"/>
    </row>
    <row r="347" spans="2:78" ht="12.75" customHeight="1">
      <c r="B347" s="1085"/>
      <c r="C347" s="1092"/>
      <c r="D347" s="1092"/>
      <c r="E347" s="1092"/>
      <c r="F347" s="1093"/>
      <c r="G347" s="1094"/>
      <c r="H347" s="1094"/>
      <c r="I347" s="1094"/>
      <c r="J347" s="1094"/>
      <c r="K347" s="1092"/>
      <c r="L347" s="1092"/>
      <c r="M347" s="1092"/>
      <c r="N347" s="1092"/>
      <c r="O347" s="1092"/>
      <c r="P347" s="1092"/>
      <c r="Q347" s="1092"/>
      <c r="R347" s="1092"/>
      <c r="S347" s="1092"/>
      <c r="T347" s="1092"/>
      <c r="U347" s="1092"/>
      <c r="V347" s="1092"/>
      <c r="W347" s="1092"/>
      <c r="X347" s="1092"/>
      <c r="Y347" s="1092"/>
      <c r="Z347" s="1092"/>
      <c r="AA347" s="1092"/>
      <c r="AB347" s="1092"/>
      <c r="AC347" s="1092"/>
      <c r="AD347" s="1092"/>
      <c r="AE347" s="1092"/>
      <c r="AF347" s="1092"/>
      <c r="AG347" s="1092"/>
      <c r="AH347" s="1092"/>
      <c r="AI347" s="1092"/>
      <c r="AJ347" s="1092"/>
      <c r="AK347" s="1092"/>
      <c r="AL347" s="1092"/>
      <c r="AM347" s="1092"/>
      <c r="AN347" s="1092"/>
      <c r="AO347" s="1092"/>
      <c r="AP347" s="1092"/>
      <c r="AQ347" s="1092"/>
      <c r="AR347" s="1092"/>
      <c r="AS347" s="1092"/>
      <c r="AT347" s="1092"/>
      <c r="AU347" s="1092"/>
      <c r="AV347" s="1092"/>
      <c r="AW347" s="1092"/>
      <c r="AX347" s="1092"/>
      <c r="AY347" s="1092"/>
      <c r="AZ347" s="1092"/>
      <c r="BA347" s="1092"/>
      <c r="BB347" s="1092"/>
      <c r="BC347" s="1092"/>
      <c r="BD347" s="1092"/>
      <c r="BE347" s="1092"/>
      <c r="BF347" s="1092"/>
      <c r="BR347" s="1092"/>
      <c r="BS347" s="1092"/>
      <c r="BT347" s="1092"/>
      <c r="BU347" s="922"/>
      <c r="BV347" s="921"/>
      <c r="BW347" s="921"/>
      <c r="BX347" s="921"/>
      <c r="BY347" s="1092"/>
      <c r="BZ347" s="1092"/>
    </row>
    <row r="348" spans="2:78" ht="12.75" customHeight="1">
      <c r="B348" s="1085"/>
      <c r="C348" s="1092"/>
      <c r="D348" s="1092"/>
      <c r="E348" s="1092"/>
      <c r="F348" s="1093"/>
      <c r="G348" s="1094"/>
      <c r="H348" s="1094"/>
      <c r="I348" s="1094"/>
      <c r="J348" s="1094"/>
      <c r="K348" s="1092"/>
      <c r="L348" s="1092"/>
      <c r="M348" s="1092"/>
      <c r="N348" s="1092"/>
      <c r="O348" s="1092"/>
      <c r="P348" s="1092"/>
      <c r="Q348" s="1092"/>
      <c r="R348" s="1092"/>
      <c r="S348" s="1092"/>
      <c r="T348" s="1092"/>
      <c r="U348" s="1092"/>
      <c r="V348" s="1092"/>
      <c r="W348" s="1092"/>
      <c r="X348" s="1092"/>
      <c r="Y348" s="1092"/>
      <c r="Z348" s="1092"/>
      <c r="AA348" s="1092"/>
      <c r="AB348" s="1092"/>
      <c r="AC348" s="1092"/>
      <c r="AD348" s="1092"/>
      <c r="AE348" s="1092"/>
      <c r="AF348" s="1092"/>
      <c r="AG348" s="1092"/>
      <c r="AH348" s="1092"/>
      <c r="AI348" s="1092"/>
      <c r="AJ348" s="1092"/>
      <c r="AK348" s="1092"/>
      <c r="AL348" s="1092"/>
      <c r="AM348" s="1092"/>
      <c r="AN348" s="1092"/>
      <c r="AO348" s="1092"/>
      <c r="AP348" s="1092"/>
      <c r="AQ348" s="1092"/>
      <c r="AR348" s="1092"/>
      <c r="AS348" s="1092"/>
      <c r="AT348" s="1092"/>
      <c r="AU348" s="1092"/>
      <c r="AV348" s="1092"/>
      <c r="AW348" s="1092"/>
      <c r="AX348" s="1092"/>
      <c r="AY348" s="1092"/>
      <c r="AZ348" s="1092"/>
      <c r="BA348" s="1092"/>
      <c r="BB348" s="1092"/>
      <c r="BC348" s="1092"/>
      <c r="BD348" s="1092"/>
      <c r="BE348" s="1092"/>
      <c r="BF348" s="1092"/>
      <c r="BR348" s="1092"/>
      <c r="BS348" s="1092"/>
      <c r="BT348" s="1092"/>
      <c r="BU348" s="922"/>
      <c r="BV348" s="921"/>
      <c r="BW348" s="921"/>
      <c r="BX348" s="921"/>
      <c r="BY348" s="1092"/>
      <c r="BZ348" s="1092"/>
    </row>
    <row r="349" spans="2:78" ht="12.75" customHeight="1">
      <c r="B349" s="1085"/>
      <c r="C349" s="1092"/>
      <c r="D349" s="1092"/>
      <c r="E349" s="1092"/>
      <c r="F349" s="1093"/>
      <c r="G349" s="1094"/>
      <c r="H349" s="1094"/>
      <c r="I349" s="1094"/>
      <c r="J349" s="1094"/>
      <c r="K349" s="1092"/>
      <c r="L349" s="1092"/>
      <c r="M349" s="1092"/>
      <c r="N349" s="1092"/>
      <c r="O349" s="1092"/>
      <c r="P349" s="1092"/>
      <c r="Q349" s="1092"/>
      <c r="R349" s="1092"/>
      <c r="S349" s="1092"/>
      <c r="T349" s="1092"/>
      <c r="U349" s="1092"/>
      <c r="V349" s="1092"/>
      <c r="W349" s="1092"/>
      <c r="X349" s="1092"/>
      <c r="Y349" s="1092"/>
      <c r="Z349" s="1092"/>
      <c r="AA349" s="1092"/>
      <c r="AB349" s="1092"/>
      <c r="AC349" s="1092"/>
      <c r="AD349" s="1092"/>
      <c r="AE349" s="1092"/>
      <c r="AF349" s="1092"/>
      <c r="AG349" s="1092"/>
      <c r="AH349" s="1092"/>
      <c r="AI349" s="1092"/>
      <c r="AJ349" s="1092"/>
      <c r="AK349" s="1092"/>
      <c r="AL349" s="1092"/>
      <c r="AM349" s="1092"/>
      <c r="AN349" s="1092"/>
      <c r="AO349" s="1092"/>
      <c r="AP349" s="1092"/>
      <c r="AQ349" s="1092"/>
      <c r="AR349" s="1092"/>
      <c r="AS349" s="1092"/>
      <c r="AT349" s="1092"/>
      <c r="AU349" s="1092"/>
      <c r="AV349" s="1092"/>
      <c r="AW349" s="1092"/>
      <c r="AX349" s="1092"/>
      <c r="AY349" s="1092"/>
      <c r="AZ349" s="1092"/>
      <c r="BA349" s="1092"/>
      <c r="BB349" s="1092"/>
      <c r="BC349" s="1092"/>
      <c r="BD349" s="1092"/>
      <c r="BE349" s="1092"/>
      <c r="BF349" s="1092"/>
      <c r="BR349" s="1092"/>
      <c r="BS349" s="1092"/>
      <c r="BT349" s="1092"/>
      <c r="BU349" s="922"/>
      <c r="BV349" s="921"/>
      <c r="BW349" s="921"/>
      <c r="BX349" s="921"/>
      <c r="BY349" s="1092"/>
      <c r="BZ349" s="1092"/>
    </row>
    <row r="350" spans="2:78" ht="12.75" customHeight="1">
      <c r="B350" s="1085"/>
      <c r="C350" s="1092"/>
      <c r="D350" s="1092"/>
      <c r="E350" s="1092"/>
      <c r="F350" s="1093"/>
      <c r="G350" s="1094"/>
      <c r="H350" s="1094"/>
      <c r="I350" s="1094"/>
      <c r="J350" s="1094"/>
      <c r="K350" s="1092"/>
      <c r="L350" s="1092"/>
      <c r="M350" s="1092"/>
      <c r="N350" s="1092"/>
      <c r="O350" s="1092"/>
      <c r="P350" s="1092"/>
      <c r="Q350" s="1092"/>
      <c r="R350" s="1092"/>
      <c r="S350" s="1092"/>
      <c r="T350" s="1092"/>
      <c r="U350" s="1092"/>
      <c r="V350" s="1092"/>
      <c r="W350" s="1092"/>
      <c r="X350" s="1092"/>
      <c r="Y350" s="1092"/>
      <c r="Z350" s="1092"/>
      <c r="AA350" s="1092"/>
      <c r="AB350" s="1092"/>
      <c r="AC350" s="1092"/>
      <c r="AD350" s="1092"/>
      <c r="AE350" s="1092"/>
      <c r="AF350" s="1092"/>
      <c r="AG350" s="1092"/>
      <c r="AH350" s="1092"/>
      <c r="AI350" s="1092"/>
      <c r="AJ350" s="1092"/>
      <c r="AK350" s="1092"/>
      <c r="AL350" s="1092"/>
      <c r="AM350" s="1092"/>
      <c r="AN350" s="1092"/>
      <c r="AO350" s="1092"/>
      <c r="AP350" s="1092"/>
      <c r="AQ350" s="1092"/>
      <c r="AR350" s="1092"/>
      <c r="AS350" s="1092"/>
      <c r="AT350" s="1092"/>
      <c r="AU350" s="1092"/>
      <c r="AV350" s="1092"/>
      <c r="AW350" s="1092"/>
      <c r="AX350" s="1092"/>
      <c r="AY350" s="1092"/>
      <c r="AZ350" s="1092"/>
      <c r="BA350" s="1092"/>
      <c r="BB350" s="1092"/>
      <c r="BC350" s="1092"/>
      <c r="BD350" s="1092"/>
      <c r="BE350" s="1092"/>
      <c r="BF350" s="1092"/>
      <c r="BR350" s="1092"/>
      <c r="BS350" s="1092"/>
      <c r="BT350" s="1092"/>
      <c r="BU350" s="922"/>
      <c r="BV350" s="921"/>
      <c r="BW350" s="921"/>
      <c r="BX350" s="921"/>
      <c r="BY350" s="1092"/>
      <c r="BZ350" s="1092"/>
    </row>
    <row r="351" spans="2:78" ht="12.75" customHeight="1">
      <c r="B351" s="1085"/>
      <c r="C351" s="1092"/>
      <c r="D351" s="1092"/>
      <c r="E351" s="1092"/>
      <c r="F351" s="1093"/>
      <c r="G351" s="1094"/>
      <c r="H351" s="1094"/>
      <c r="I351" s="1094"/>
      <c r="J351" s="1094"/>
      <c r="K351" s="1092"/>
      <c r="L351" s="1092"/>
      <c r="M351" s="1092"/>
      <c r="N351" s="1092"/>
      <c r="O351" s="1092"/>
      <c r="P351" s="1092"/>
      <c r="Q351" s="1092"/>
      <c r="R351" s="1092"/>
      <c r="S351" s="1092"/>
      <c r="T351" s="1092"/>
      <c r="U351" s="1092"/>
      <c r="V351" s="1092"/>
      <c r="W351" s="1092"/>
      <c r="X351" s="1092"/>
      <c r="Y351" s="1092"/>
      <c r="Z351" s="1092"/>
      <c r="AA351" s="1092"/>
      <c r="AB351" s="1092"/>
      <c r="AC351" s="1092"/>
      <c r="AD351" s="1092"/>
      <c r="AE351" s="1092"/>
      <c r="AF351" s="1092"/>
      <c r="AG351" s="1092"/>
      <c r="AH351" s="1092"/>
      <c r="AI351" s="1092"/>
      <c r="AJ351" s="1092"/>
      <c r="AK351" s="1092"/>
      <c r="AL351" s="1092"/>
      <c r="AM351" s="1092"/>
      <c r="AN351" s="1092"/>
      <c r="AO351" s="1092"/>
      <c r="AP351" s="1092"/>
      <c r="AQ351" s="1092"/>
      <c r="AR351" s="1092"/>
      <c r="AS351" s="1092"/>
      <c r="AT351" s="1092"/>
      <c r="AU351" s="1092"/>
      <c r="AV351" s="1092"/>
      <c r="AW351" s="1092"/>
      <c r="AX351" s="1092"/>
      <c r="AY351" s="1092"/>
      <c r="AZ351" s="1092"/>
      <c r="BA351" s="1092"/>
      <c r="BB351" s="1092"/>
      <c r="BC351" s="1092"/>
      <c r="BD351" s="1092"/>
      <c r="BE351" s="1092"/>
      <c r="BF351" s="1092"/>
      <c r="BR351" s="1092"/>
      <c r="BS351" s="1092"/>
      <c r="BT351" s="1092"/>
      <c r="BU351" s="922"/>
      <c r="BV351" s="921"/>
      <c r="BW351" s="921"/>
      <c r="BX351" s="921"/>
      <c r="BY351" s="1092"/>
      <c r="BZ351" s="1092"/>
    </row>
    <row r="352" spans="2:78" ht="12.75" customHeight="1">
      <c r="B352" s="1085"/>
      <c r="C352" s="1092"/>
      <c r="D352" s="1092"/>
      <c r="E352" s="1092"/>
      <c r="F352" s="1093"/>
      <c r="G352" s="1094"/>
      <c r="H352" s="1094"/>
      <c r="I352" s="1094"/>
      <c r="J352" s="1094"/>
      <c r="K352" s="1092"/>
      <c r="L352" s="1092"/>
      <c r="M352" s="1092"/>
      <c r="N352" s="1092"/>
      <c r="O352" s="1092"/>
      <c r="P352" s="1092"/>
      <c r="Q352" s="1092"/>
      <c r="R352" s="1092"/>
      <c r="S352" s="1092"/>
      <c r="T352" s="1092"/>
      <c r="U352" s="1092"/>
      <c r="V352" s="1092"/>
      <c r="W352" s="1092"/>
      <c r="X352" s="1092"/>
      <c r="Y352" s="1092"/>
      <c r="Z352" s="1092"/>
      <c r="AA352" s="1092"/>
      <c r="AB352" s="1092"/>
      <c r="AC352" s="1092"/>
      <c r="AD352" s="1092"/>
      <c r="AE352" s="1092"/>
      <c r="AF352" s="1092"/>
      <c r="AG352" s="1092"/>
      <c r="AH352" s="1092"/>
      <c r="AI352" s="1092"/>
      <c r="AJ352" s="1092"/>
      <c r="AK352" s="1092"/>
      <c r="AL352" s="1092"/>
      <c r="AM352" s="1092"/>
      <c r="AN352" s="1092"/>
      <c r="AO352" s="1092"/>
      <c r="AP352" s="1092"/>
      <c r="AQ352" s="1092"/>
      <c r="AR352" s="1092"/>
      <c r="AS352" s="1092"/>
      <c r="AT352" s="1092"/>
      <c r="AU352" s="1092"/>
      <c r="AV352" s="1092"/>
      <c r="AW352" s="1092"/>
      <c r="AX352" s="1092"/>
      <c r="AY352" s="1092"/>
      <c r="AZ352" s="1092"/>
      <c r="BA352" s="1092"/>
      <c r="BB352" s="1092"/>
      <c r="BC352" s="1092"/>
      <c r="BD352" s="1092"/>
      <c r="BE352" s="1092"/>
      <c r="BF352" s="1092"/>
      <c r="BR352" s="1092"/>
      <c r="BS352" s="1092"/>
      <c r="BT352" s="1092"/>
      <c r="BU352" s="922"/>
      <c r="BV352" s="921"/>
      <c r="BW352" s="921"/>
      <c r="BX352" s="921"/>
      <c r="BY352" s="1092"/>
      <c r="BZ352" s="1092"/>
    </row>
    <row r="353" spans="2:78" ht="12.75" customHeight="1">
      <c r="B353" s="1085"/>
      <c r="C353" s="1092"/>
      <c r="D353" s="1092"/>
      <c r="E353" s="1092"/>
      <c r="F353" s="1093"/>
      <c r="G353" s="1094"/>
      <c r="H353" s="1094"/>
      <c r="I353" s="1094"/>
      <c r="J353" s="1094"/>
      <c r="K353" s="1092"/>
      <c r="L353" s="1092"/>
      <c r="M353" s="1092"/>
      <c r="N353" s="1092"/>
      <c r="O353" s="1092"/>
      <c r="P353" s="1092"/>
      <c r="Q353" s="1092"/>
      <c r="R353" s="1092"/>
      <c r="S353" s="1092"/>
      <c r="T353" s="1092"/>
      <c r="U353" s="1092"/>
      <c r="V353" s="1092"/>
      <c r="W353" s="1092"/>
      <c r="X353" s="1092"/>
      <c r="Y353" s="1092"/>
      <c r="Z353" s="1092"/>
      <c r="AA353" s="1092"/>
      <c r="AB353" s="1092"/>
      <c r="AC353" s="1092"/>
      <c r="AD353" s="1092"/>
      <c r="AE353" s="1092"/>
      <c r="AF353" s="1092"/>
      <c r="AG353" s="1092"/>
      <c r="AH353" s="1092"/>
      <c r="AI353" s="1092"/>
      <c r="AJ353" s="1092"/>
      <c r="AK353" s="1092"/>
      <c r="AL353" s="1092"/>
      <c r="AM353" s="1092"/>
      <c r="AN353" s="1092"/>
      <c r="AO353" s="1092"/>
      <c r="AP353" s="1092"/>
      <c r="AQ353" s="1092"/>
      <c r="AR353" s="1092"/>
      <c r="AS353" s="1092"/>
      <c r="AT353" s="1092"/>
      <c r="AU353" s="1092"/>
      <c r="AV353" s="1092"/>
      <c r="AW353" s="1092"/>
      <c r="AX353" s="1092"/>
      <c r="AY353" s="1092"/>
      <c r="AZ353" s="1092"/>
      <c r="BA353" s="1092"/>
      <c r="BB353" s="1092"/>
      <c r="BC353" s="1092"/>
      <c r="BD353" s="1092"/>
      <c r="BE353" s="1092"/>
      <c r="BF353" s="1092"/>
      <c r="BR353" s="1092"/>
      <c r="BS353" s="1092"/>
      <c r="BT353" s="1092"/>
      <c r="BU353" s="922"/>
      <c r="BV353" s="921"/>
      <c r="BW353" s="921"/>
      <c r="BX353" s="921"/>
      <c r="BY353" s="1092"/>
      <c r="BZ353" s="1092"/>
    </row>
    <row r="354" spans="2:78" ht="12.75" customHeight="1">
      <c r="B354" s="1085"/>
      <c r="C354" s="1092"/>
      <c r="D354" s="1092"/>
      <c r="E354" s="1092"/>
      <c r="F354" s="1093"/>
      <c r="G354" s="1094"/>
      <c r="H354" s="1094"/>
      <c r="I354" s="1094"/>
      <c r="J354" s="1094"/>
      <c r="K354" s="1092"/>
      <c r="L354" s="1092"/>
      <c r="M354" s="1092"/>
      <c r="N354" s="1092"/>
      <c r="O354" s="1092"/>
      <c r="P354" s="1092"/>
      <c r="Q354" s="1092"/>
      <c r="R354" s="1092"/>
      <c r="S354" s="1092"/>
      <c r="T354" s="1092"/>
      <c r="U354" s="1092"/>
      <c r="V354" s="1092"/>
      <c r="W354" s="1092"/>
      <c r="X354" s="1092"/>
      <c r="Y354" s="1092"/>
      <c r="Z354" s="1092"/>
      <c r="AA354" s="1092"/>
      <c r="AB354" s="1092"/>
      <c r="AC354" s="1092"/>
      <c r="AD354" s="1092"/>
      <c r="AE354" s="1092"/>
      <c r="AF354" s="1092"/>
      <c r="AG354" s="1092"/>
      <c r="AH354" s="1092"/>
      <c r="AI354" s="1092"/>
      <c r="AJ354" s="1092"/>
      <c r="AK354" s="1092"/>
      <c r="AL354" s="1092"/>
      <c r="AM354" s="1092"/>
      <c r="AN354" s="1092"/>
      <c r="AO354" s="1092"/>
      <c r="AP354" s="1092"/>
      <c r="AQ354" s="1092"/>
      <c r="AR354" s="1092"/>
      <c r="AS354" s="1092"/>
      <c r="AT354" s="1092"/>
      <c r="AU354" s="1092"/>
      <c r="AV354" s="1092"/>
      <c r="AW354" s="1092"/>
      <c r="AX354" s="1092"/>
      <c r="AY354" s="1092"/>
      <c r="AZ354" s="1092"/>
      <c r="BA354" s="1092"/>
      <c r="BB354" s="1092"/>
      <c r="BC354" s="1092"/>
      <c r="BD354" s="1092"/>
      <c r="BE354" s="1092"/>
      <c r="BF354" s="1092"/>
      <c r="BR354" s="1092"/>
      <c r="BS354" s="1092"/>
      <c r="BT354" s="1092"/>
      <c r="BU354" s="922"/>
      <c r="BV354" s="921"/>
      <c r="BW354" s="921"/>
      <c r="BX354" s="921"/>
      <c r="BY354" s="1092"/>
      <c r="BZ354" s="1092"/>
    </row>
    <row r="355" spans="2:78" ht="12.75" customHeight="1">
      <c r="B355" s="1085"/>
      <c r="C355" s="1092"/>
      <c r="D355" s="1092"/>
      <c r="E355" s="1092"/>
      <c r="F355" s="1093"/>
      <c r="G355" s="1094"/>
      <c r="H355" s="1094"/>
      <c r="I355" s="1094"/>
      <c r="J355" s="1094"/>
      <c r="K355" s="1092"/>
      <c r="L355" s="1092"/>
      <c r="M355" s="1092"/>
      <c r="N355" s="1092"/>
      <c r="O355" s="1092"/>
      <c r="P355" s="1092"/>
      <c r="Q355" s="1092"/>
      <c r="R355" s="1092"/>
      <c r="S355" s="1092"/>
      <c r="T355" s="1092"/>
      <c r="U355" s="1092"/>
      <c r="V355" s="1092"/>
      <c r="W355" s="1092"/>
      <c r="X355" s="1092"/>
      <c r="Y355" s="1092"/>
      <c r="Z355" s="1092"/>
      <c r="AA355" s="1092"/>
      <c r="AB355" s="1092"/>
      <c r="AC355" s="1092"/>
      <c r="AD355" s="1092"/>
      <c r="AE355" s="1092"/>
      <c r="AF355" s="1092"/>
      <c r="AG355" s="1092"/>
      <c r="AH355" s="1092"/>
      <c r="AI355" s="1092"/>
      <c r="AJ355" s="1092"/>
      <c r="AK355" s="1092"/>
      <c r="AL355" s="1092"/>
      <c r="AM355" s="1092"/>
      <c r="AN355" s="1092"/>
      <c r="AO355" s="1092"/>
      <c r="AP355" s="1092"/>
      <c r="AQ355" s="1092"/>
      <c r="AR355" s="1092"/>
      <c r="AS355" s="1092"/>
      <c r="AT355" s="1092"/>
      <c r="AU355" s="1092"/>
      <c r="AV355" s="1092"/>
      <c r="AW355" s="1092"/>
      <c r="AX355" s="1092"/>
      <c r="AY355" s="1092"/>
      <c r="AZ355" s="1092"/>
      <c r="BA355" s="1092"/>
      <c r="BB355" s="1092"/>
      <c r="BC355" s="1092"/>
      <c r="BD355" s="1092"/>
      <c r="BE355" s="1092"/>
      <c r="BF355" s="1092"/>
      <c r="BR355" s="1092"/>
      <c r="BS355" s="1092"/>
      <c r="BT355" s="1092"/>
      <c r="BU355" s="922"/>
      <c r="BV355" s="921"/>
      <c r="BW355" s="921"/>
      <c r="BX355" s="921"/>
      <c r="BY355" s="1092"/>
      <c r="BZ355" s="1092"/>
    </row>
    <row r="356" spans="2:78" ht="12.75" customHeight="1">
      <c r="B356" s="1085"/>
      <c r="C356" s="1092"/>
      <c r="D356" s="1092"/>
      <c r="E356" s="1092"/>
      <c r="F356" s="1093"/>
      <c r="G356" s="1094"/>
      <c r="H356" s="1094"/>
      <c r="I356" s="1094"/>
      <c r="J356" s="1094"/>
      <c r="K356" s="1092"/>
      <c r="L356" s="1092"/>
      <c r="M356" s="1092"/>
      <c r="N356" s="1092"/>
      <c r="O356" s="1092"/>
      <c r="P356" s="1092"/>
      <c r="Q356" s="1092"/>
      <c r="R356" s="1092"/>
      <c r="S356" s="1092"/>
      <c r="T356" s="1092"/>
      <c r="U356" s="1092"/>
      <c r="V356" s="1092"/>
      <c r="W356" s="1092"/>
      <c r="X356" s="1092"/>
      <c r="Y356" s="1092"/>
      <c r="Z356" s="1092"/>
      <c r="AA356" s="1092"/>
      <c r="AB356" s="1092"/>
      <c r="AC356" s="1092"/>
      <c r="AD356" s="1092"/>
      <c r="AE356" s="1092"/>
      <c r="AF356" s="1092"/>
      <c r="AG356" s="1092"/>
      <c r="AH356" s="1092"/>
      <c r="AI356" s="1092"/>
      <c r="AJ356" s="1092"/>
      <c r="AK356" s="1092"/>
      <c r="AL356" s="1092"/>
      <c r="AM356" s="1092"/>
      <c r="AN356" s="1092"/>
      <c r="AO356" s="1092"/>
      <c r="AP356" s="1092"/>
      <c r="AQ356" s="1092"/>
      <c r="AR356" s="1092"/>
      <c r="AS356" s="1092"/>
      <c r="AT356" s="1092"/>
      <c r="AU356" s="1092"/>
      <c r="AV356" s="1092"/>
      <c r="AW356" s="1092"/>
      <c r="AX356" s="1092"/>
      <c r="AY356" s="1092"/>
      <c r="AZ356" s="1092"/>
      <c r="BA356" s="1092"/>
      <c r="BB356" s="1092"/>
      <c r="BC356" s="1092"/>
      <c r="BD356" s="1092"/>
      <c r="BE356" s="1092"/>
      <c r="BF356" s="1092"/>
      <c r="BR356" s="1092"/>
      <c r="BS356" s="1092"/>
      <c r="BT356" s="1092"/>
      <c r="BU356" s="922"/>
      <c r="BV356" s="921"/>
      <c r="BW356" s="921"/>
      <c r="BX356" s="921"/>
      <c r="BY356" s="1092"/>
      <c r="BZ356" s="1092"/>
    </row>
    <row r="357" spans="2:78" ht="12.75" customHeight="1">
      <c r="B357" s="1085"/>
      <c r="C357" s="1092"/>
      <c r="D357" s="1092"/>
      <c r="E357" s="1092"/>
      <c r="F357" s="1093"/>
      <c r="G357" s="1094"/>
      <c r="H357" s="1094"/>
      <c r="I357" s="1094"/>
      <c r="J357" s="1094"/>
      <c r="K357" s="1092"/>
      <c r="L357" s="1092"/>
      <c r="M357" s="1092"/>
      <c r="N357" s="1092"/>
      <c r="O357" s="1092"/>
      <c r="P357" s="1092"/>
      <c r="Q357" s="1092"/>
      <c r="R357" s="1092"/>
      <c r="S357" s="1092"/>
      <c r="T357" s="1092"/>
      <c r="U357" s="1092"/>
      <c r="V357" s="1092"/>
      <c r="W357" s="1092"/>
      <c r="X357" s="1092"/>
      <c r="Y357" s="1092"/>
      <c r="Z357" s="1092"/>
      <c r="AA357" s="1092"/>
      <c r="AB357" s="1092"/>
      <c r="AC357" s="1092"/>
      <c r="AD357" s="1092"/>
      <c r="AE357" s="1092"/>
      <c r="AF357" s="1092"/>
      <c r="AG357" s="1092"/>
      <c r="AH357" s="1092"/>
      <c r="AI357" s="1092"/>
      <c r="AJ357" s="1092"/>
      <c r="AK357" s="1092"/>
      <c r="AL357" s="1092"/>
      <c r="AM357" s="1092"/>
      <c r="AN357" s="1092"/>
      <c r="AO357" s="1092"/>
      <c r="AP357" s="1092"/>
      <c r="AQ357" s="1092"/>
      <c r="AR357" s="1092"/>
      <c r="AS357" s="1092"/>
      <c r="AT357" s="1092"/>
      <c r="AU357" s="1092"/>
      <c r="AV357" s="1092"/>
      <c r="AW357" s="1092"/>
      <c r="AX357" s="1092"/>
      <c r="AY357" s="1092"/>
      <c r="AZ357" s="1092"/>
      <c r="BA357" s="1092"/>
      <c r="BB357" s="1092"/>
      <c r="BC357" s="1092"/>
      <c r="BD357" s="1092"/>
      <c r="BE357" s="1092"/>
      <c r="BF357" s="1092"/>
      <c r="BR357" s="1092"/>
      <c r="BS357" s="1092"/>
      <c r="BT357" s="1092"/>
      <c r="BU357" s="922"/>
      <c r="BV357" s="921"/>
      <c r="BW357" s="921"/>
      <c r="BX357" s="921"/>
      <c r="BY357" s="1092"/>
      <c r="BZ357" s="1092"/>
    </row>
    <row r="358" spans="2:78" ht="12.75" customHeight="1">
      <c r="B358" s="1085"/>
      <c r="C358" s="1092"/>
      <c r="D358" s="1092"/>
      <c r="E358" s="1092"/>
      <c r="F358" s="1093"/>
      <c r="G358" s="1094"/>
      <c r="H358" s="1094"/>
      <c r="I358" s="1094"/>
      <c r="J358" s="1094"/>
      <c r="K358" s="1092"/>
      <c r="L358" s="1092"/>
      <c r="M358" s="1092"/>
      <c r="N358" s="1092"/>
      <c r="O358" s="1092"/>
      <c r="P358" s="1092"/>
      <c r="Q358" s="1092"/>
      <c r="R358" s="1092"/>
      <c r="S358" s="1092"/>
      <c r="T358" s="1092"/>
      <c r="U358" s="1092"/>
      <c r="V358" s="1092"/>
      <c r="W358" s="1092"/>
      <c r="X358" s="1092"/>
      <c r="Y358" s="1092"/>
      <c r="Z358" s="1092"/>
      <c r="AA358" s="1092"/>
      <c r="AB358" s="1092"/>
      <c r="AC358" s="1092"/>
      <c r="AD358" s="1092"/>
      <c r="AE358" s="1092"/>
      <c r="AF358" s="1092"/>
      <c r="AG358" s="1092"/>
      <c r="AH358" s="1092"/>
      <c r="AI358" s="1092"/>
      <c r="AJ358" s="1092"/>
      <c r="AK358" s="1092"/>
      <c r="AL358" s="1092"/>
      <c r="AM358" s="1092"/>
      <c r="AN358" s="1092"/>
      <c r="AO358" s="1092"/>
      <c r="AP358" s="1092"/>
      <c r="AQ358" s="1092"/>
      <c r="AR358" s="1092"/>
      <c r="AS358" s="1092"/>
      <c r="AT358" s="1092"/>
      <c r="AU358" s="1092"/>
      <c r="AV358" s="1092"/>
      <c r="AW358" s="1092"/>
      <c r="AX358" s="1092"/>
      <c r="AY358" s="1092"/>
      <c r="AZ358" s="1092"/>
      <c r="BA358" s="1092"/>
      <c r="BB358" s="1092"/>
      <c r="BC358" s="1092"/>
      <c r="BD358" s="1092"/>
      <c r="BE358" s="1092"/>
      <c r="BF358" s="1092"/>
      <c r="BR358" s="1092"/>
      <c r="BS358" s="1092"/>
      <c r="BT358" s="1092"/>
      <c r="BU358" s="922"/>
      <c r="BV358" s="921"/>
      <c r="BW358" s="921"/>
      <c r="BX358" s="921"/>
      <c r="BY358" s="1092"/>
      <c r="BZ358" s="1092"/>
    </row>
    <row r="359" spans="2:78" ht="12.75" customHeight="1">
      <c r="B359" s="1085"/>
      <c r="C359" s="1092"/>
      <c r="D359" s="1092"/>
      <c r="E359" s="1092"/>
      <c r="F359" s="1093"/>
      <c r="G359" s="1094"/>
      <c r="H359" s="1094"/>
      <c r="I359" s="1094"/>
      <c r="J359" s="1094"/>
      <c r="K359" s="1092"/>
      <c r="L359" s="1092"/>
      <c r="M359" s="1092"/>
      <c r="N359" s="1092"/>
      <c r="O359" s="1092"/>
      <c r="P359" s="1092"/>
      <c r="Q359" s="1092"/>
      <c r="R359" s="1092"/>
      <c r="S359" s="1092"/>
      <c r="T359" s="1092"/>
      <c r="U359" s="1092"/>
      <c r="V359" s="1092"/>
      <c r="W359" s="1092"/>
      <c r="X359" s="1092"/>
      <c r="Y359" s="1092"/>
      <c r="Z359" s="1092"/>
      <c r="AA359" s="1092"/>
      <c r="AB359" s="1092"/>
      <c r="AC359" s="1092"/>
      <c r="AD359" s="1092"/>
      <c r="AE359" s="1092"/>
      <c r="AF359" s="1092"/>
      <c r="AG359" s="1092"/>
      <c r="AH359" s="1092"/>
      <c r="AI359" s="1092"/>
      <c r="AJ359" s="1092"/>
      <c r="AK359" s="1092"/>
      <c r="AL359" s="1092"/>
      <c r="AM359" s="1092"/>
      <c r="AN359" s="1092"/>
      <c r="AO359" s="1092"/>
      <c r="AP359" s="1092"/>
      <c r="AQ359" s="1092"/>
      <c r="AR359" s="1092"/>
      <c r="AS359" s="1092"/>
      <c r="AT359" s="1092"/>
      <c r="AU359" s="1092"/>
      <c r="AV359" s="1092"/>
      <c r="AW359" s="1092"/>
      <c r="AX359" s="1092"/>
      <c r="AY359" s="1092"/>
      <c r="AZ359" s="1092"/>
      <c r="BA359" s="1092"/>
      <c r="BB359" s="1092"/>
      <c r="BC359" s="1092"/>
      <c r="BD359" s="1092"/>
      <c r="BE359" s="1092"/>
      <c r="BF359" s="1092"/>
      <c r="BR359" s="1092"/>
      <c r="BS359" s="1092"/>
      <c r="BT359" s="1092"/>
      <c r="BU359" s="922"/>
      <c r="BV359" s="1092"/>
      <c r="BW359" s="1092"/>
      <c r="BX359" s="1092"/>
      <c r="BY359" s="1092"/>
      <c r="BZ359" s="1092"/>
    </row>
    <row r="360" spans="2:78" ht="12.75" customHeight="1">
      <c r="B360" s="1085"/>
      <c r="C360" s="1092"/>
      <c r="D360" s="1092"/>
      <c r="E360" s="1092"/>
      <c r="F360" s="1093"/>
      <c r="G360" s="1094"/>
      <c r="H360" s="1094"/>
      <c r="I360" s="1094"/>
      <c r="J360" s="1094"/>
      <c r="K360" s="1092"/>
      <c r="L360" s="1092"/>
      <c r="M360" s="1092"/>
      <c r="N360" s="1092"/>
      <c r="O360" s="1092"/>
      <c r="P360" s="1092"/>
      <c r="Q360" s="1092"/>
      <c r="R360" s="1092"/>
      <c r="S360" s="1092"/>
      <c r="T360" s="1092"/>
      <c r="U360" s="1092"/>
      <c r="V360" s="1092"/>
      <c r="W360" s="1092"/>
      <c r="X360" s="1092"/>
      <c r="Y360" s="1092"/>
      <c r="Z360" s="1092"/>
      <c r="AA360" s="1092"/>
      <c r="AB360" s="1092"/>
      <c r="AC360" s="1092"/>
      <c r="AD360" s="1092"/>
      <c r="AE360" s="1092"/>
      <c r="AF360" s="1092"/>
      <c r="AG360" s="1092"/>
      <c r="AH360" s="1092"/>
      <c r="AI360" s="1092"/>
      <c r="AJ360" s="1092"/>
      <c r="AK360" s="1092"/>
      <c r="AL360" s="1092"/>
      <c r="AM360" s="1092"/>
      <c r="AN360" s="1092"/>
      <c r="AO360" s="1092"/>
      <c r="AP360" s="1092"/>
      <c r="AQ360" s="1092"/>
      <c r="AR360" s="1092"/>
      <c r="AS360" s="1092"/>
      <c r="AT360" s="1092"/>
      <c r="AU360" s="1092"/>
      <c r="AV360" s="1092"/>
      <c r="AW360" s="1092"/>
      <c r="AX360" s="1092"/>
      <c r="AY360" s="1092"/>
      <c r="AZ360" s="1092"/>
      <c r="BA360" s="1092"/>
      <c r="BB360" s="1092"/>
      <c r="BC360" s="1092"/>
      <c r="BD360" s="1092"/>
      <c r="BE360" s="1092"/>
      <c r="BF360" s="1092"/>
      <c r="BR360" s="1092"/>
      <c r="BS360" s="1092"/>
      <c r="BT360" s="1092"/>
      <c r="BU360" s="922"/>
      <c r="BV360" s="1092"/>
      <c r="BW360" s="1092"/>
      <c r="BX360" s="1092"/>
      <c r="BY360" s="1092"/>
      <c r="BZ360" s="1092"/>
    </row>
    <row r="361" spans="2:78" ht="12.75" customHeight="1">
      <c r="B361" s="1085"/>
      <c r="C361" s="1092"/>
      <c r="D361" s="1092"/>
      <c r="E361" s="1092"/>
      <c r="F361" s="1093"/>
      <c r="G361" s="1094"/>
      <c r="H361" s="1094"/>
      <c r="I361" s="1094"/>
      <c r="J361" s="1094"/>
      <c r="K361" s="1092"/>
      <c r="L361" s="1092"/>
      <c r="M361" s="1092"/>
      <c r="N361" s="1092"/>
      <c r="O361" s="1092"/>
      <c r="P361" s="1092"/>
      <c r="Q361" s="1092"/>
      <c r="R361" s="1092"/>
      <c r="S361" s="1092"/>
      <c r="T361" s="1092"/>
      <c r="U361" s="1092"/>
      <c r="V361" s="1092"/>
      <c r="W361" s="1092"/>
      <c r="X361" s="1092"/>
      <c r="Y361" s="1092"/>
      <c r="Z361" s="1092"/>
      <c r="AA361" s="1092"/>
      <c r="AB361" s="1092"/>
      <c r="AC361" s="1092"/>
      <c r="AD361" s="1092"/>
      <c r="AE361" s="1092"/>
      <c r="AF361" s="1092"/>
      <c r="AG361" s="1092"/>
      <c r="AH361" s="1092"/>
      <c r="AI361" s="1092"/>
      <c r="AJ361" s="1092"/>
      <c r="AK361" s="1092"/>
      <c r="AL361" s="1092"/>
      <c r="AM361" s="1092"/>
      <c r="AN361" s="1092"/>
      <c r="AO361" s="1092"/>
      <c r="AP361" s="1092"/>
      <c r="AQ361" s="1092"/>
      <c r="AR361" s="1092"/>
      <c r="AS361" s="1092"/>
      <c r="AT361" s="1092"/>
      <c r="AU361" s="1092"/>
      <c r="AV361" s="1092"/>
      <c r="AW361" s="1092"/>
      <c r="AX361" s="1092"/>
      <c r="AY361" s="1092"/>
      <c r="AZ361" s="1092"/>
      <c r="BA361" s="1092"/>
      <c r="BB361" s="1092"/>
      <c r="BC361" s="1092"/>
      <c r="BD361" s="1092"/>
      <c r="BE361" s="1092"/>
      <c r="BF361" s="1092"/>
      <c r="BR361" s="1092"/>
      <c r="BS361" s="1092"/>
      <c r="BT361" s="1092"/>
      <c r="BU361" s="922"/>
      <c r="BV361" s="1092"/>
      <c r="BW361" s="1092"/>
      <c r="BX361" s="1092"/>
      <c r="BY361" s="1092"/>
      <c r="BZ361" s="1092"/>
    </row>
    <row r="362" spans="2:78" ht="12.75" customHeight="1">
      <c r="B362" s="1085"/>
      <c r="C362" s="1092"/>
      <c r="D362" s="1092"/>
      <c r="E362" s="1092"/>
      <c r="F362" s="1093"/>
      <c r="G362" s="1094"/>
      <c r="H362" s="1094"/>
      <c r="I362" s="1094"/>
      <c r="J362" s="1094"/>
      <c r="K362" s="1092"/>
      <c r="L362" s="1092"/>
      <c r="M362" s="1092"/>
      <c r="N362" s="1092"/>
      <c r="O362" s="1092"/>
      <c r="P362" s="1092"/>
      <c r="Q362" s="1092"/>
      <c r="R362" s="1092"/>
      <c r="S362" s="1092"/>
      <c r="T362" s="1092"/>
      <c r="U362" s="1092"/>
      <c r="V362" s="1092"/>
      <c r="W362" s="1092"/>
      <c r="X362" s="1092"/>
      <c r="Y362" s="1092"/>
      <c r="Z362" s="1092"/>
      <c r="AA362" s="1092"/>
      <c r="AB362" s="1092"/>
      <c r="AC362" s="1092"/>
      <c r="AD362" s="1092"/>
      <c r="AE362" s="1092"/>
      <c r="AF362" s="1092"/>
      <c r="AG362" s="1092"/>
      <c r="AH362" s="1092"/>
      <c r="AI362" s="1092"/>
      <c r="AJ362" s="1092"/>
      <c r="AK362" s="1092"/>
      <c r="AL362" s="1092"/>
      <c r="AM362" s="1092"/>
      <c r="AN362" s="1092"/>
      <c r="AO362" s="1092"/>
      <c r="AP362" s="1092"/>
      <c r="AQ362" s="1092"/>
      <c r="AR362" s="1092"/>
      <c r="AS362" s="1092"/>
      <c r="AT362" s="1092"/>
      <c r="AU362" s="1092"/>
      <c r="AV362" s="1092"/>
      <c r="AW362" s="1092"/>
      <c r="AX362" s="1092"/>
      <c r="AY362" s="1092"/>
      <c r="AZ362" s="1092"/>
      <c r="BA362" s="1092"/>
      <c r="BB362" s="1092"/>
      <c r="BC362" s="1092"/>
      <c r="BD362" s="1092"/>
      <c r="BE362" s="1092"/>
      <c r="BF362" s="1092"/>
      <c r="BR362" s="1092"/>
      <c r="BS362" s="1092"/>
      <c r="BT362" s="1092"/>
      <c r="BU362" s="922"/>
      <c r="BV362" s="1092"/>
      <c r="BW362" s="1092"/>
      <c r="BX362" s="1092"/>
      <c r="BY362" s="1092"/>
      <c r="BZ362" s="1092"/>
    </row>
    <row r="363" spans="2:78" ht="12.75" customHeight="1">
      <c r="B363" s="1085"/>
      <c r="C363" s="1092"/>
      <c r="D363" s="1092"/>
      <c r="E363" s="1092"/>
      <c r="F363" s="1093"/>
      <c r="G363" s="1094"/>
      <c r="H363" s="1094"/>
      <c r="I363" s="1094"/>
      <c r="J363" s="1094"/>
      <c r="K363" s="1092"/>
      <c r="L363" s="1092"/>
      <c r="M363" s="1092"/>
      <c r="N363" s="1092"/>
      <c r="O363" s="1092"/>
      <c r="P363" s="1092"/>
      <c r="Q363" s="1092"/>
      <c r="R363" s="1092"/>
      <c r="S363" s="1092"/>
      <c r="T363" s="1092"/>
      <c r="U363" s="1092"/>
      <c r="V363" s="1092"/>
      <c r="W363" s="1092"/>
      <c r="X363" s="1092"/>
      <c r="Y363" s="1092"/>
      <c r="Z363" s="1092"/>
      <c r="AA363" s="1092"/>
      <c r="AB363" s="1092"/>
      <c r="AC363" s="1092"/>
      <c r="AD363" s="1092"/>
      <c r="AE363" s="1092"/>
      <c r="AF363" s="1092"/>
      <c r="AG363" s="1092"/>
      <c r="AH363" s="1092"/>
      <c r="AI363" s="1092"/>
      <c r="AJ363" s="1092"/>
      <c r="AK363" s="1092"/>
      <c r="AL363" s="1092"/>
      <c r="AM363" s="1092"/>
      <c r="AN363" s="1092"/>
      <c r="AO363" s="1092"/>
      <c r="AP363" s="1092"/>
      <c r="AQ363" s="1092"/>
      <c r="AR363" s="1092"/>
      <c r="AS363" s="1092"/>
      <c r="AT363" s="1092"/>
      <c r="AU363" s="1092"/>
      <c r="AV363" s="1092"/>
      <c r="AW363" s="1092"/>
      <c r="AX363" s="1092"/>
      <c r="AY363" s="1092"/>
      <c r="AZ363" s="1092"/>
      <c r="BA363" s="1092"/>
      <c r="BB363" s="1092"/>
      <c r="BC363" s="1092"/>
      <c r="BD363" s="1092"/>
      <c r="BE363" s="1092"/>
      <c r="BF363" s="1092"/>
      <c r="BR363" s="1092"/>
      <c r="BS363" s="1092"/>
      <c r="BT363" s="1092"/>
      <c r="BU363" s="922"/>
      <c r="BV363" s="1092"/>
      <c r="BW363" s="1092"/>
      <c r="BX363" s="1092"/>
      <c r="BY363" s="1092"/>
      <c r="BZ363" s="1092"/>
    </row>
    <row r="364" spans="2:78" ht="12.75" customHeight="1">
      <c r="B364" s="1085"/>
      <c r="C364" s="1092"/>
      <c r="D364" s="1092"/>
      <c r="E364" s="1092"/>
      <c r="F364" s="1093"/>
      <c r="G364" s="1094"/>
      <c r="H364" s="1094"/>
      <c r="I364" s="1094"/>
      <c r="J364" s="1094"/>
      <c r="K364" s="1092"/>
      <c r="L364" s="1092"/>
      <c r="M364" s="1092"/>
      <c r="N364" s="1092"/>
      <c r="O364" s="1092"/>
      <c r="P364" s="1092"/>
      <c r="Q364" s="1092"/>
      <c r="R364" s="1092"/>
      <c r="S364" s="1092"/>
      <c r="T364" s="1092"/>
      <c r="U364" s="1092"/>
      <c r="V364" s="1092"/>
      <c r="W364" s="1092"/>
      <c r="X364" s="1092"/>
      <c r="Y364" s="1092"/>
      <c r="Z364" s="1092"/>
      <c r="AA364" s="1092"/>
      <c r="AB364" s="1092"/>
      <c r="AC364" s="1092"/>
      <c r="AD364" s="1092"/>
      <c r="AE364" s="1092"/>
      <c r="AF364" s="1092"/>
      <c r="AG364" s="1092"/>
      <c r="AH364" s="1092"/>
      <c r="AI364" s="1092"/>
      <c r="AJ364" s="1092"/>
      <c r="AK364" s="1092"/>
      <c r="AL364" s="1092"/>
      <c r="AM364" s="1092"/>
      <c r="AN364" s="1092"/>
      <c r="AO364" s="1092"/>
      <c r="AP364" s="1092"/>
      <c r="AQ364" s="1092"/>
      <c r="AR364" s="1092"/>
      <c r="AS364" s="1092"/>
      <c r="AT364" s="1092"/>
      <c r="AU364" s="1092"/>
      <c r="AV364" s="1092"/>
      <c r="AW364" s="1092"/>
      <c r="AX364" s="1092"/>
      <c r="AY364" s="1092"/>
      <c r="AZ364" s="1092"/>
      <c r="BA364" s="1092"/>
      <c r="BB364" s="1092"/>
      <c r="BC364" s="1092"/>
      <c r="BD364" s="1092"/>
      <c r="BE364" s="1092"/>
      <c r="BF364" s="1092"/>
      <c r="BR364" s="1092"/>
      <c r="BS364" s="1092"/>
      <c r="BT364" s="1092"/>
      <c r="BU364" s="922"/>
      <c r="BV364" s="1092"/>
      <c r="BW364" s="1092"/>
      <c r="BX364" s="1092"/>
      <c r="BY364" s="1092"/>
      <c r="BZ364" s="1092"/>
    </row>
    <row r="365" spans="2:78" ht="12.75" customHeight="1">
      <c r="B365" s="1085"/>
      <c r="C365" s="1092"/>
      <c r="D365" s="1092"/>
      <c r="E365" s="1092"/>
      <c r="F365" s="1093"/>
      <c r="G365" s="1094"/>
      <c r="H365" s="1094"/>
      <c r="I365" s="1094"/>
      <c r="J365" s="1094"/>
      <c r="K365" s="1092"/>
      <c r="L365" s="1092"/>
      <c r="M365" s="1092"/>
      <c r="N365" s="1092"/>
      <c r="O365" s="1092"/>
      <c r="P365" s="1092"/>
      <c r="Q365" s="1092"/>
      <c r="R365" s="1092"/>
      <c r="S365" s="1092"/>
      <c r="T365" s="1092"/>
      <c r="U365" s="1092"/>
      <c r="V365" s="1092"/>
      <c r="W365" s="1092"/>
      <c r="X365" s="1092"/>
      <c r="Y365" s="1092"/>
      <c r="Z365" s="1092"/>
      <c r="AA365" s="1092"/>
      <c r="AB365" s="1092"/>
      <c r="AC365" s="1092"/>
      <c r="AD365" s="1092"/>
      <c r="AE365" s="1092"/>
      <c r="AF365" s="1092"/>
      <c r="AG365" s="1092"/>
      <c r="AH365" s="1092"/>
      <c r="AI365" s="1092"/>
      <c r="AJ365" s="1092"/>
      <c r="AK365" s="1092"/>
      <c r="AL365" s="1092"/>
      <c r="AM365" s="1092"/>
      <c r="AN365" s="1092"/>
      <c r="AO365" s="1092"/>
      <c r="AP365" s="1092"/>
      <c r="AQ365" s="1092"/>
      <c r="AR365" s="1092"/>
      <c r="AS365" s="1092"/>
      <c r="AT365" s="1092"/>
      <c r="AU365" s="1092"/>
      <c r="AV365" s="1092"/>
      <c r="AW365" s="1092"/>
      <c r="AX365" s="1092"/>
      <c r="AY365" s="1092"/>
      <c r="AZ365" s="1092"/>
      <c r="BA365" s="1092"/>
      <c r="BB365" s="1092"/>
      <c r="BC365" s="1092"/>
      <c r="BD365" s="1092"/>
      <c r="BE365" s="1092"/>
      <c r="BF365" s="1092"/>
      <c r="BR365" s="1092"/>
      <c r="BS365" s="1092"/>
      <c r="BT365" s="1092"/>
      <c r="BU365" s="922"/>
      <c r="BV365" s="1092"/>
      <c r="BW365" s="1092"/>
      <c r="BX365" s="1092"/>
      <c r="BY365" s="1092"/>
      <c r="BZ365" s="1092"/>
    </row>
    <row r="366" spans="2:78" ht="12.75" customHeight="1">
      <c r="B366" s="1085"/>
      <c r="C366" s="1092"/>
      <c r="D366" s="1092"/>
      <c r="E366" s="1092"/>
      <c r="F366" s="1093"/>
      <c r="G366" s="1094"/>
      <c r="H366" s="1094"/>
      <c r="I366" s="1094"/>
      <c r="J366" s="1094"/>
      <c r="K366" s="1092"/>
      <c r="L366" s="1092"/>
      <c r="M366" s="1092"/>
      <c r="N366" s="1092"/>
      <c r="O366" s="1092"/>
      <c r="P366" s="1092"/>
      <c r="Q366" s="1092"/>
      <c r="R366" s="1092"/>
      <c r="S366" s="1092"/>
      <c r="T366" s="1092"/>
      <c r="U366" s="1092"/>
      <c r="V366" s="1092"/>
      <c r="W366" s="1092"/>
      <c r="X366" s="1092"/>
      <c r="Y366" s="1092"/>
      <c r="Z366" s="1092"/>
      <c r="AA366" s="1092"/>
      <c r="AB366" s="1092"/>
      <c r="AC366" s="1092"/>
      <c r="AD366" s="1092"/>
      <c r="AE366" s="1092"/>
      <c r="AF366" s="1092"/>
      <c r="AG366" s="1092"/>
      <c r="AH366" s="1092"/>
      <c r="AI366" s="1092"/>
      <c r="AJ366" s="1092"/>
      <c r="AK366" s="1092"/>
      <c r="AL366" s="1092"/>
      <c r="AM366" s="1092"/>
      <c r="AN366" s="1092"/>
      <c r="AO366" s="1092"/>
      <c r="AP366" s="1092"/>
      <c r="AQ366" s="1092"/>
      <c r="AR366" s="1092"/>
      <c r="AS366" s="1092"/>
      <c r="AT366" s="1092"/>
      <c r="AU366" s="1092"/>
      <c r="AV366" s="1092"/>
      <c r="AW366" s="1092"/>
      <c r="AX366" s="1092"/>
      <c r="AY366" s="1092"/>
      <c r="AZ366" s="1092"/>
      <c r="BA366" s="1092"/>
      <c r="BB366" s="1092"/>
      <c r="BC366" s="1092"/>
      <c r="BD366" s="1092"/>
      <c r="BE366" s="1092"/>
      <c r="BF366" s="1092"/>
      <c r="BR366" s="1092"/>
      <c r="BS366" s="1092"/>
      <c r="BT366" s="1092"/>
      <c r="BU366" s="922"/>
      <c r="BV366" s="1092"/>
      <c r="BW366" s="1092"/>
      <c r="BX366" s="1092"/>
      <c r="BY366" s="1092"/>
      <c r="BZ366" s="1092"/>
    </row>
    <row r="367" spans="2:78" ht="12.75" customHeight="1">
      <c r="B367" s="1085"/>
      <c r="C367" s="1092"/>
      <c r="D367" s="1092"/>
      <c r="E367" s="1092"/>
      <c r="F367" s="1093"/>
      <c r="G367" s="1094"/>
      <c r="H367" s="1094"/>
      <c r="I367" s="1094"/>
      <c r="J367" s="1094"/>
      <c r="K367" s="1092"/>
      <c r="L367" s="1092"/>
      <c r="M367" s="1092"/>
      <c r="N367" s="1092"/>
      <c r="O367" s="1092"/>
      <c r="P367" s="1092"/>
      <c r="Q367" s="1092"/>
      <c r="R367" s="1092"/>
      <c r="S367" s="1092"/>
      <c r="T367" s="1092"/>
      <c r="U367" s="1092"/>
      <c r="V367" s="1092"/>
      <c r="W367" s="1092"/>
      <c r="X367" s="1092"/>
      <c r="Y367" s="1092"/>
      <c r="Z367" s="1092"/>
      <c r="AA367" s="1092"/>
      <c r="AB367" s="1092"/>
      <c r="AC367" s="1092"/>
      <c r="AD367" s="1092"/>
      <c r="AE367" s="1092"/>
      <c r="AF367" s="1092"/>
      <c r="AG367" s="1092"/>
      <c r="AH367" s="1092"/>
      <c r="AI367" s="1092"/>
      <c r="AJ367" s="1092"/>
      <c r="AK367" s="1092"/>
      <c r="AL367" s="1092"/>
      <c r="AM367" s="1092"/>
      <c r="AN367" s="1092"/>
      <c r="AO367" s="1092"/>
      <c r="AP367" s="1092"/>
      <c r="AQ367" s="1092"/>
      <c r="AR367" s="1092"/>
      <c r="AS367" s="1092"/>
      <c r="AT367" s="1092"/>
      <c r="AU367" s="1092"/>
      <c r="AV367" s="1092"/>
      <c r="AW367" s="1092"/>
      <c r="AX367" s="1092"/>
      <c r="AY367" s="1092"/>
      <c r="AZ367" s="1092"/>
      <c r="BA367" s="1092"/>
      <c r="BB367" s="1092"/>
      <c r="BC367" s="1092"/>
      <c r="BD367" s="1092"/>
      <c r="BE367" s="1092"/>
      <c r="BF367" s="1092"/>
      <c r="BR367" s="1092"/>
      <c r="BS367" s="1092"/>
      <c r="BT367" s="1092"/>
      <c r="BU367" s="922"/>
      <c r="BV367" s="1092"/>
      <c r="BW367" s="1092"/>
      <c r="BX367" s="1092"/>
      <c r="BY367" s="1092"/>
      <c r="BZ367" s="1092"/>
    </row>
    <row r="368" spans="2:78" ht="12.75" customHeight="1">
      <c r="B368" s="1085"/>
      <c r="C368" s="1092"/>
      <c r="D368" s="1092"/>
      <c r="E368" s="1092"/>
      <c r="F368" s="1093"/>
      <c r="G368" s="1094"/>
      <c r="H368" s="1094"/>
      <c r="I368" s="1094"/>
      <c r="J368" s="1094"/>
      <c r="K368" s="1092"/>
      <c r="L368" s="1092"/>
      <c r="M368" s="1092"/>
      <c r="N368" s="1092"/>
      <c r="O368" s="1092"/>
      <c r="P368" s="1092"/>
      <c r="Q368" s="1092"/>
      <c r="R368" s="1092"/>
      <c r="S368" s="1092"/>
      <c r="T368" s="1092"/>
      <c r="U368" s="1092"/>
      <c r="V368" s="1092"/>
      <c r="W368" s="1092"/>
      <c r="X368" s="1092"/>
      <c r="Y368" s="1092"/>
      <c r="Z368" s="1092"/>
      <c r="AA368" s="1092"/>
      <c r="AB368" s="1092"/>
      <c r="AC368" s="1092"/>
      <c r="AD368" s="1092"/>
      <c r="AE368" s="1092"/>
      <c r="AF368" s="1092"/>
      <c r="AG368" s="1092"/>
      <c r="AH368" s="1092"/>
      <c r="AI368" s="1092"/>
      <c r="AJ368" s="1092"/>
      <c r="AK368" s="1092"/>
      <c r="AL368" s="1092"/>
      <c r="AM368" s="1092"/>
      <c r="AN368" s="1092"/>
      <c r="AO368" s="1092"/>
      <c r="AP368" s="1092"/>
      <c r="AQ368" s="1092"/>
      <c r="AR368" s="1092"/>
      <c r="AS368" s="1092"/>
      <c r="AT368" s="1092"/>
      <c r="AU368" s="1092"/>
      <c r="AV368" s="1092"/>
      <c r="AW368" s="1092"/>
      <c r="AX368" s="1092"/>
      <c r="AY368" s="1092"/>
      <c r="AZ368" s="1092"/>
      <c r="BA368" s="1092"/>
      <c r="BB368" s="1092"/>
      <c r="BC368" s="1092"/>
      <c r="BD368" s="1092"/>
      <c r="BE368" s="1092"/>
      <c r="BF368" s="1092"/>
      <c r="BR368" s="1092"/>
      <c r="BS368" s="1092"/>
      <c r="BT368" s="1092"/>
      <c r="BU368" s="922"/>
      <c r="BV368" s="1092"/>
      <c r="BW368" s="1092"/>
      <c r="BX368" s="1092"/>
      <c r="BY368" s="1092"/>
      <c r="BZ368" s="1092"/>
    </row>
    <row r="369" spans="2:78" ht="12.75" customHeight="1">
      <c r="B369" s="1085"/>
      <c r="C369" s="1092"/>
      <c r="D369" s="1092"/>
      <c r="E369" s="1092"/>
      <c r="F369" s="1093"/>
      <c r="G369" s="1094"/>
      <c r="H369" s="1094"/>
      <c r="I369" s="1094"/>
      <c r="J369" s="1094"/>
      <c r="K369" s="1092"/>
      <c r="L369" s="1092"/>
      <c r="M369" s="1092"/>
      <c r="N369" s="1092"/>
      <c r="O369" s="1092"/>
      <c r="P369" s="1092"/>
      <c r="Q369" s="1092"/>
      <c r="R369" s="1092"/>
      <c r="S369" s="1092"/>
      <c r="T369" s="1092"/>
      <c r="U369" s="1092"/>
      <c r="V369" s="1092"/>
      <c r="W369" s="1092"/>
      <c r="X369" s="1092"/>
      <c r="Y369" s="1092"/>
      <c r="Z369" s="1092"/>
      <c r="AA369" s="1092"/>
      <c r="AB369" s="1092"/>
      <c r="AC369" s="1092"/>
      <c r="AD369" s="1092"/>
      <c r="AE369" s="1092"/>
      <c r="AF369" s="1092"/>
      <c r="AG369" s="1092"/>
      <c r="AH369" s="1092"/>
      <c r="AI369" s="1092"/>
      <c r="AJ369" s="1092"/>
      <c r="AK369" s="1092"/>
      <c r="AL369" s="1092"/>
      <c r="AM369" s="1092"/>
      <c r="AN369" s="1092"/>
      <c r="AO369" s="1092"/>
      <c r="AP369" s="1092"/>
      <c r="AQ369" s="1092"/>
      <c r="AR369" s="1092"/>
      <c r="AS369" s="1092"/>
      <c r="AT369" s="1092"/>
      <c r="AU369" s="1092"/>
      <c r="AV369" s="1092"/>
      <c r="AW369" s="1092"/>
      <c r="AX369" s="1092"/>
      <c r="AY369" s="1092"/>
      <c r="AZ369" s="1092"/>
      <c r="BA369" s="1092"/>
      <c r="BB369" s="1092"/>
      <c r="BC369" s="1092"/>
      <c r="BD369" s="1092"/>
      <c r="BE369" s="1092"/>
      <c r="BF369" s="1092"/>
      <c r="BR369" s="1092"/>
      <c r="BS369" s="1092"/>
      <c r="BT369" s="1092"/>
      <c r="BU369" s="922"/>
      <c r="BV369" s="1092"/>
      <c r="BW369" s="1092"/>
      <c r="BX369" s="1092"/>
      <c r="BY369" s="1092"/>
      <c r="BZ369" s="1092"/>
    </row>
    <row r="370" spans="2:78" ht="12.75" customHeight="1">
      <c r="B370" s="1085"/>
      <c r="C370" s="1092"/>
      <c r="D370" s="1092"/>
      <c r="E370" s="1092"/>
      <c r="F370" s="1093"/>
      <c r="G370" s="1094"/>
      <c r="H370" s="1094"/>
      <c r="I370" s="1094"/>
      <c r="J370" s="1094"/>
      <c r="K370" s="1092"/>
      <c r="L370" s="1092"/>
      <c r="M370" s="1092"/>
      <c r="N370" s="1092"/>
      <c r="O370" s="1092"/>
      <c r="P370" s="1092"/>
      <c r="Q370" s="1092"/>
      <c r="R370" s="1092"/>
      <c r="S370" s="1092"/>
      <c r="T370" s="1092"/>
      <c r="U370" s="1092"/>
      <c r="V370" s="1092"/>
      <c r="W370" s="1092"/>
      <c r="X370" s="1092"/>
      <c r="Y370" s="1092"/>
      <c r="Z370" s="1092"/>
      <c r="AA370" s="1092"/>
      <c r="AB370" s="1092"/>
      <c r="AC370" s="1092"/>
      <c r="AD370" s="1092"/>
      <c r="AE370" s="1092"/>
      <c r="AF370" s="1092"/>
      <c r="AG370" s="1092"/>
      <c r="AH370" s="1092"/>
      <c r="AI370" s="1092"/>
      <c r="AJ370" s="1092"/>
      <c r="AK370" s="1092"/>
      <c r="AL370" s="1092"/>
      <c r="AM370" s="1092"/>
      <c r="AN370" s="1092"/>
      <c r="AO370" s="1092"/>
      <c r="AP370" s="1092"/>
      <c r="AQ370" s="1092"/>
      <c r="AR370" s="1092"/>
      <c r="AS370" s="1092"/>
      <c r="AT370" s="1092"/>
      <c r="AU370" s="1092"/>
      <c r="AV370" s="1092"/>
      <c r="AW370" s="1092"/>
      <c r="AX370" s="1092"/>
      <c r="AY370" s="1092"/>
      <c r="AZ370" s="1092"/>
      <c r="BA370" s="1092"/>
      <c r="BB370" s="1092"/>
      <c r="BC370" s="1092"/>
      <c r="BD370" s="1092"/>
      <c r="BE370" s="1092"/>
      <c r="BF370" s="1092"/>
      <c r="BR370" s="1092"/>
      <c r="BS370" s="1092"/>
      <c r="BT370" s="1092"/>
      <c r="BU370" s="922"/>
      <c r="BV370" s="1092"/>
      <c r="BW370" s="1092"/>
      <c r="BX370" s="1092"/>
      <c r="BY370" s="1092"/>
      <c r="BZ370" s="1092"/>
    </row>
    <row r="371" spans="2:78" ht="12.75" customHeight="1">
      <c r="B371" s="1085"/>
      <c r="C371" s="1092"/>
      <c r="D371" s="1092"/>
      <c r="E371" s="1092"/>
      <c r="F371" s="1093"/>
      <c r="G371" s="1094"/>
      <c r="H371" s="1094"/>
      <c r="I371" s="1094"/>
      <c r="J371" s="1094"/>
      <c r="K371" s="1092"/>
      <c r="L371" s="1092"/>
      <c r="M371" s="1092"/>
      <c r="N371" s="1092"/>
      <c r="O371" s="1092"/>
      <c r="P371" s="1092"/>
      <c r="Q371" s="1092"/>
      <c r="R371" s="1092"/>
      <c r="S371" s="1092"/>
      <c r="T371" s="1092"/>
      <c r="U371" s="1092"/>
      <c r="V371" s="1092"/>
      <c r="W371" s="1092"/>
      <c r="X371" s="1092"/>
      <c r="Y371" s="1092"/>
      <c r="Z371" s="1092"/>
      <c r="AA371" s="1092"/>
      <c r="AB371" s="1092"/>
      <c r="AC371" s="1092"/>
      <c r="AD371" s="1092"/>
      <c r="AE371" s="1092"/>
      <c r="AF371" s="1092"/>
      <c r="AG371" s="1092"/>
      <c r="AH371" s="1092"/>
      <c r="AI371" s="1092"/>
      <c r="AJ371" s="1092"/>
      <c r="AK371" s="1092"/>
      <c r="AL371" s="1092"/>
      <c r="AM371" s="1092"/>
      <c r="AN371" s="1092"/>
      <c r="AO371" s="1092"/>
      <c r="AP371" s="1092"/>
      <c r="AQ371" s="1092"/>
      <c r="AR371" s="1092"/>
      <c r="AS371" s="1092"/>
      <c r="AT371" s="1092"/>
      <c r="AU371" s="1092"/>
      <c r="AV371" s="1092"/>
      <c r="AW371" s="1092"/>
      <c r="AX371" s="1092"/>
      <c r="AY371" s="1092"/>
      <c r="AZ371" s="1092"/>
      <c r="BA371" s="1092"/>
      <c r="BB371" s="1092"/>
      <c r="BC371" s="1092"/>
      <c r="BD371" s="1092"/>
      <c r="BE371" s="1092"/>
      <c r="BF371" s="1092"/>
      <c r="BR371" s="1092"/>
      <c r="BS371" s="1092"/>
      <c r="BT371" s="1092"/>
      <c r="BU371" s="922"/>
      <c r="BV371" s="1092"/>
      <c r="BW371" s="1092"/>
      <c r="BX371" s="1092"/>
      <c r="BY371" s="1092"/>
      <c r="BZ371" s="1092"/>
    </row>
    <row r="372" spans="2:78" ht="12.75" customHeight="1">
      <c r="B372" s="1085"/>
      <c r="C372" s="1092"/>
      <c r="D372" s="1092"/>
      <c r="E372" s="1092"/>
      <c r="F372" s="1093"/>
      <c r="G372" s="1094"/>
      <c r="H372" s="1094"/>
      <c r="I372" s="1094"/>
      <c r="J372" s="1094"/>
      <c r="K372" s="1092"/>
      <c r="L372" s="1092"/>
      <c r="M372" s="1092"/>
      <c r="N372" s="1092"/>
      <c r="O372" s="1092"/>
      <c r="P372" s="1092"/>
      <c r="Q372" s="1092"/>
      <c r="R372" s="1092"/>
      <c r="S372" s="1092"/>
      <c r="T372" s="1092"/>
      <c r="U372" s="1092"/>
      <c r="V372" s="1092"/>
      <c r="W372" s="1092"/>
      <c r="X372" s="1092"/>
      <c r="Y372" s="1092"/>
      <c r="Z372" s="1092"/>
      <c r="AA372" s="1092"/>
      <c r="AB372" s="1092"/>
      <c r="AC372" s="1092"/>
      <c r="AD372" s="1092"/>
      <c r="AE372" s="1092"/>
      <c r="AF372" s="1092"/>
      <c r="AG372" s="1092"/>
      <c r="AH372" s="1092"/>
      <c r="AI372" s="1092"/>
      <c r="AJ372" s="1092"/>
      <c r="AK372" s="1092"/>
      <c r="AL372" s="1092"/>
      <c r="AM372" s="1092"/>
      <c r="AN372" s="1092"/>
      <c r="AO372" s="1092"/>
      <c r="AP372" s="1092"/>
      <c r="AQ372" s="1092"/>
      <c r="AR372" s="1092"/>
      <c r="AS372" s="1092"/>
      <c r="AT372" s="1092"/>
      <c r="AU372" s="1092"/>
      <c r="AV372" s="1092"/>
      <c r="AW372" s="1092"/>
      <c r="AX372" s="1092"/>
      <c r="AY372" s="1092"/>
      <c r="AZ372" s="1092"/>
      <c r="BA372" s="1092"/>
      <c r="BB372" s="1092"/>
      <c r="BC372" s="1092"/>
      <c r="BD372" s="1092"/>
      <c r="BE372" s="1092"/>
      <c r="BF372" s="1092"/>
      <c r="BR372" s="1092"/>
      <c r="BS372" s="1092"/>
      <c r="BT372" s="1092"/>
      <c r="BU372" s="922"/>
      <c r="BV372" s="1092"/>
      <c r="BW372" s="1092"/>
      <c r="BX372" s="1092"/>
      <c r="BY372" s="1092"/>
      <c r="BZ372" s="1092"/>
    </row>
    <row r="373" spans="2:78" ht="12.75" customHeight="1">
      <c r="B373" s="1085"/>
      <c r="C373" s="1092"/>
      <c r="D373" s="1092"/>
      <c r="E373" s="1092"/>
      <c r="F373" s="1093"/>
      <c r="G373" s="1094"/>
      <c r="H373" s="1094"/>
      <c r="I373" s="1094"/>
      <c r="J373" s="1094"/>
      <c r="K373" s="1092"/>
      <c r="L373" s="1092"/>
      <c r="M373" s="1092"/>
      <c r="N373" s="1092"/>
      <c r="O373" s="1092"/>
      <c r="P373" s="1092"/>
      <c r="Q373" s="1092"/>
      <c r="R373" s="1092"/>
      <c r="S373" s="1092"/>
      <c r="T373" s="1092"/>
      <c r="U373" s="1092"/>
      <c r="V373" s="1092"/>
      <c r="W373" s="1092"/>
      <c r="X373" s="1092"/>
      <c r="Y373" s="1092"/>
      <c r="Z373" s="1092"/>
      <c r="AA373" s="1092"/>
      <c r="AB373" s="1092"/>
      <c r="AC373" s="1092"/>
      <c r="AD373" s="1092"/>
      <c r="AE373" s="1092"/>
      <c r="AF373" s="1092"/>
      <c r="AG373" s="1092"/>
      <c r="AH373" s="1092"/>
      <c r="AI373" s="1092"/>
      <c r="AJ373" s="1092"/>
      <c r="AK373" s="1092"/>
      <c r="AL373" s="1092"/>
      <c r="AM373" s="1092"/>
      <c r="AN373" s="1092"/>
      <c r="AO373" s="1092"/>
      <c r="AP373" s="1092"/>
      <c r="AQ373" s="1092"/>
      <c r="AR373" s="1092"/>
      <c r="AS373" s="1092"/>
      <c r="AT373" s="1092"/>
      <c r="AU373" s="1092"/>
      <c r="AV373" s="1092"/>
      <c r="AW373" s="1092"/>
      <c r="AX373" s="1092"/>
      <c r="AY373" s="1092"/>
      <c r="AZ373" s="1092"/>
      <c r="BA373" s="1092"/>
      <c r="BB373" s="1092"/>
      <c r="BC373" s="1092"/>
      <c r="BD373" s="1092"/>
      <c r="BE373" s="1092"/>
      <c r="BF373" s="1092"/>
      <c r="BR373" s="1092"/>
      <c r="BS373" s="1092"/>
      <c r="BT373" s="1092"/>
      <c r="BU373" s="922"/>
      <c r="BV373" s="1092"/>
      <c r="BW373" s="1092"/>
      <c r="BX373" s="1092"/>
      <c r="BY373" s="1092"/>
      <c r="BZ373" s="1092"/>
    </row>
    <row r="374" spans="2:78" ht="12.75" customHeight="1">
      <c r="B374" s="1085"/>
      <c r="C374" s="1092"/>
      <c r="D374" s="1092"/>
      <c r="E374" s="1092"/>
      <c r="F374" s="1093"/>
      <c r="G374" s="1094"/>
      <c r="H374" s="1094"/>
      <c r="I374" s="1094"/>
      <c r="J374" s="1094"/>
      <c r="K374" s="1092"/>
      <c r="L374" s="1092"/>
      <c r="M374" s="1092"/>
      <c r="N374" s="1092"/>
      <c r="O374" s="1092"/>
      <c r="P374" s="1092"/>
      <c r="Q374" s="1092"/>
      <c r="R374" s="1092"/>
      <c r="S374" s="1092"/>
      <c r="T374" s="1092"/>
      <c r="U374" s="1092"/>
      <c r="V374" s="1092"/>
      <c r="W374" s="1092"/>
      <c r="X374" s="1092"/>
      <c r="Y374" s="1092"/>
      <c r="Z374" s="1092"/>
      <c r="AA374" s="1092"/>
      <c r="AB374" s="1092"/>
      <c r="AC374" s="1092"/>
      <c r="AD374" s="1092"/>
      <c r="AE374" s="1092"/>
      <c r="AF374" s="1092"/>
      <c r="AG374" s="1092"/>
      <c r="AH374" s="1092"/>
      <c r="AI374" s="1092"/>
      <c r="AJ374" s="1092"/>
      <c r="AK374" s="1092"/>
      <c r="AL374" s="1092"/>
      <c r="AM374" s="1092"/>
      <c r="AN374" s="1092"/>
      <c r="AO374" s="1092"/>
      <c r="AP374" s="1092"/>
      <c r="AQ374" s="1092"/>
      <c r="AR374" s="1092"/>
      <c r="AS374" s="1092"/>
      <c r="AT374" s="1092"/>
      <c r="AU374" s="1092"/>
      <c r="AV374" s="1092"/>
      <c r="AW374" s="1092"/>
      <c r="AX374" s="1092"/>
      <c r="AY374" s="1092"/>
      <c r="AZ374" s="1092"/>
      <c r="BA374" s="1092"/>
      <c r="BB374" s="1092"/>
      <c r="BC374" s="1092"/>
      <c r="BD374" s="1092"/>
      <c r="BE374" s="1092"/>
      <c r="BF374" s="1092"/>
      <c r="BR374" s="1092"/>
      <c r="BS374" s="1092"/>
      <c r="BT374" s="1092"/>
      <c r="BU374" s="922"/>
      <c r="BV374" s="1092"/>
      <c r="BW374" s="1092"/>
      <c r="BX374" s="1092"/>
      <c r="BY374" s="1092"/>
      <c r="BZ374" s="1092"/>
    </row>
    <row r="375" spans="2:78" ht="12.75" customHeight="1">
      <c r="B375" s="1085"/>
      <c r="C375" s="1092"/>
      <c r="D375" s="1092"/>
      <c r="E375" s="1092"/>
      <c r="F375" s="1093"/>
      <c r="G375" s="1094"/>
      <c r="H375" s="1094"/>
      <c r="I375" s="1094"/>
      <c r="J375" s="1094"/>
      <c r="K375" s="1092"/>
      <c r="L375" s="1092"/>
      <c r="M375" s="1092"/>
      <c r="N375" s="1092"/>
      <c r="O375" s="1092"/>
      <c r="P375" s="1092"/>
      <c r="Q375" s="1092"/>
      <c r="R375" s="1092"/>
      <c r="S375" s="1092"/>
      <c r="T375" s="1092"/>
      <c r="U375" s="1092"/>
      <c r="V375" s="1092"/>
      <c r="W375" s="1092"/>
      <c r="X375" s="1092"/>
      <c r="Y375" s="1092"/>
      <c r="Z375" s="1092"/>
      <c r="AA375" s="1092"/>
      <c r="AB375" s="1092"/>
      <c r="AC375" s="1092"/>
      <c r="AD375" s="1092"/>
      <c r="AE375" s="1092"/>
      <c r="AF375" s="1092"/>
      <c r="AG375" s="1092"/>
      <c r="AH375" s="1092"/>
      <c r="AI375" s="1092"/>
      <c r="AJ375" s="1092"/>
      <c r="AK375" s="1092"/>
      <c r="AL375" s="1092"/>
      <c r="AM375" s="1092"/>
      <c r="AN375" s="1092"/>
      <c r="AO375" s="1092"/>
      <c r="AP375" s="1092"/>
      <c r="AQ375" s="1092"/>
      <c r="AR375" s="1092"/>
      <c r="AS375" s="1092"/>
      <c r="AT375" s="1092"/>
      <c r="AU375" s="1092"/>
      <c r="AV375" s="1092"/>
      <c r="AW375" s="1092"/>
      <c r="AX375" s="1092"/>
      <c r="AY375" s="1092"/>
      <c r="AZ375" s="1092"/>
      <c r="BA375" s="1092"/>
      <c r="BB375" s="1092"/>
      <c r="BC375" s="1092"/>
      <c r="BD375" s="1092"/>
      <c r="BE375" s="1092"/>
      <c r="BF375" s="1092"/>
      <c r="BR375" s="1092"/>
      <c r="BS375" s="1092"/>
      <c r="BT375" s="1092"/>
      <c r="BU375" s="922"/>
      <c r="BV375" s="1092"/>
      <c r="BW375" s="1092"/>
      <c r="BX375" s="1092"/>
      <c r="BY375" s="1092"/>
      <c r="BZ375" s="1092"/>
    </row>
    <row r="376" spans="2:78" ht="12.75" customHeight="1">
      <c r="B376" s="1085"/>
      <c r="C376" s="1092"/>
      <c r="D376" s="1092"/>
      <c r="E376" s="1092"/>
      <c r="F376" s="1093"/>
      <c r="G376" s="1094"/>
      <c r="H376" s="1094"/>
      <c r="I376" s="1094"/>
      <c r="J376" s="1094"/>
      <c r="K376" s="1092"/>
      <c r="L376" s="1092"/>
      <c r="M376" s="1092"/>
      <c r="N376" s="1092"/>
      <c r="O376" s="1092"/>
      <c r="P376" s="1092"/>
      <c r="Q376" s="1092"/>
      <c r="R376" s="1092"/>
      <c r="S376" s="1092"/>
      <c r="T376" s="1092"/>
      <c r="U376" s="1092"/>
      <c r="V376" s="1092"/>
      <c r="W376" s="1092"/>
      <c r="X376" s="1092"/>
      <c r="Y376" s="1092"/>
      <c r="Z376" s="1092"/>
      <c r="AA376" s="1092"/>
      <c r="AB376" s="1092"/>
      <c r="AC376" s="1092"/>
      <c r="AD376" s="1092"/>
      <c r="AE376" s="1092"/>
      <c r="AF376" s="1092"/>
      <c r="AG376" s="1092"/>
      <c r="AH376" s="1092"/>
      <c r="AI376" s="1092"/>
      <c r="AJ376" s="1092"/>
      <c r="AK376" s="1092"/>
      <c r="AL376" s="1092"/>
      <c r="AM376" s="1092"/>
      <c r="AN376" s="1092"/>
      <c r="AO376" s="1092"/>
      <c r="AP376" s="1092"/>
      <c r="AQ376" s="1092"/>
      <c r="AR376" s="1092"/>
      <c r="AS376" s="1092"/>
      <c r="AT376" s="1092"/>
      <c r="AU376" s="1092"/>
      <c r="AV376" s="1092"/>
      <c r="AW376" s="1092"/>
      <c r="AX376" s="1092"/>
      <c r="AY376" s="1092"/>
      <c r="AZ376" s="1092"/>
      <c r="BA376" s="1092"/>
      <c r="BB376" s="1092"/>
      <c r="BC376" s="1092"/>
      <c r="BD376" s="1092"/>
      <c r="BE376" s="1092"/>
      <c r="BF376" s="1092"/>
      <c r="BR376" s="1092"/>
      <c r="BS376" s="1092"/>
      <c r="BT376" s="1092"/>
      <c r="BU376" s="922"/>
      <c r="BV376" s="1092"/>
      <c r="BW376" s="1092"/>
      <c r="BX376" s="1092"/>
      <c r="BY376" s="1092"/>
      <c r="BZ376" s="1092"/>
    </row>
    <row r="377" spans="2:78" ht="12.75" customHeight="1">
      <c r="B377" s="1085"/>
      <c r="C377" s="1092"/>
      <c r="D377" s="1092"/>
      <c r="E377" s="1092"/>
      <c r="F377" s="1093"/>
      <c r="G377" s="1094"/>
      <c r="H377" s="1094"/>
      <c r="I377" s="1094"/>
      <c r="J377" s="1094"/>
      <c r="K377" s="1092"/>
      <c r="L377" s="1092"/>
      <c r="M377" s="1092"/>
      <c r="N377" s="1092"/>
      <c r="O377" s="1092"/>
      <c r="P377" s="1092"/>
      <c r="Q377" s="1092"/>
      <c r="R377" s="1092"/>
      <c r="S377" s="1092"/>
      <c r="T377" s="1092"/>
      <c r="U377" s="1092"/>
      <c r="V377" s="1092"/>
      <c r="W377" s="1092"/>
      <c r="X377" s="1092"/>
      <c r="Y377" s="1092"/>
      <c r="Z377" s="1092"/>
      <c r="AA377" s="1092"/>
      <c r="AB377" s="1092"/>
      <c r="AC377" s="1092"/>
      <c r="AD377" s="1092"/>
      <c r="AE377" s="1092"/>
      <c r="AF377" s="1092"/>
      <c r="AG377" s="1092"/>
      <c r="AH377" s="1092"/>
      <c r="AI377" s="1092"/>
      <c r="AJ377" s="1092"/>
      <c r="AK377" s="1092"/>
      <c r="AL377" s="1092"/>
      <c r="AM377" s="1092"/>
      <c r="AN377" s="1092"/>
      <c r="AO377" s="1092"/>
      <c r="AP377" s="1092"/>
      <c r="AQ377" s="1092"/>
      <c r="AR377" s="1092"/>
      <c r="AS377" s="1092"/>
      <c r="AT377" s="1092"/>
      <c r="AU377" s="1092"/>
      <c r="AV377" s="1092"/>
      <c r="AW377" s="1092"/>
      <c r="AX377" s="1092"/>
      <c r="AY377" s="1092"/>
      <c r="AZ377" s="1092"/>
      <c r="BA377" s="1092"/>
      <c r="BB377" s="1092"/>
      <c r="BC377" s="1092"/>
      <c r="BD377" s="1092"/>
      <c r="BE377" s="1092"/>
      <c r="BF377" s="1092"/>
      <c r="BR377" s="1092"/>
      <c r="BS377" s="1092"/>
      <c r="BT377" s="1092"/>
      <c r="BU377" s="922"/>
      <c r="BV377" s="1092"/>
      <c r="BW377" s="1092"/>
      <c r="BX377" s="1092"/>
      <c r="BY377" s="1092"/>
      <c r="BZ377" s="1092"/>
    </row>
    <row r="378" spans="2:78" ht="12.75" customHeight="1">
      <c r="B378" s="1085"/>
      <c r="C378" s="1092"/>
      <c r="D378" s="1092"/>
      <c r="E378" s="1092"/>
      <c r="F378" s="1093"/>
      <c r="G378" s="1094"/>
      <c r="H378" s="1094"/>
      <c r="I378" s="1094"/>
      <c r="J378" s="1094"/>
      <c r="K378" s="1092"/>
      <c r="L378" s="1092"/>
      <c r="M378" s="1092"/>
      <c r="N378" s="1092"/>
      <c r="O378" s="1092"/>
      <c r="P378" s="1092"/>
      <c r="Q378" s="1092"/>
      <c r="R378" s="1092"/>
      <c r="S378" s="1092"/>
      <c r="T378" s="1092"/>
      <c r="U378" s="1092"/>
      <c r="V378" s="1092"/>
      <c r="W378" s="1092"/>
      <c r="X378" s="1092"/>
      <c r="Y378" s="1092"/>
      <c r="Z378" s="1092"/>
      <c r="AA378" s="1092"/>
      <c r="AB378" s="1092"/>
      <c r="AC378" s="1092"/>
      <c r="AD378" s="1092"/>
      <c r="AE378" s="1092"/>
      <c r="AF378" s="1092"/>
      <c r="AG378" s="1092"/>
      <c r="AH378" s="1092"/>
      <c r="AI378" s="1092"/>
      <c r="AJ378" s="1092"/>
      <c r="AK378" s="1092"/>
      <c r="AL378" s="1092"/>
      <c r="AM378" s="1092"/>
      <c r="AN378" s="1092"/>
      <c r="AO378" s="1092"/>
      <c r="AP378" s="1092"/>
      <c r="AQ378" s="1092"/>
      <c r="AR378" s="1092"/>
      <c r="AS378" s="1092"/>
      <c r="AT378" s="1092"/>
      <c r="AU378" s="1092"/>
      <c r="AV378" s="1092"/>
      <c r="AW378" s="1092"/>
      <c r="AX378" s="1092"/>
      <c r="AY378" s="1092"/>
      <c r="AZ378" s="1092"/>
      <c r="BA378" s="1092"/>
      <c r="BB378" s="1092"/>
      <c r="BC378" s="1092"/>
      <c r="BD378" s="1092"/>
      <c r="BE378" s="1092"/>
      <c r="BF378" s="1092"/>
      <c r="BR378" s="1092"/>
      <c r="BS378" s="1092"/>
      <c r="BT378" s="1092"/>
      <c r="BU378" s="922"/>
      <c r="BV378" s="1092"/>
      <c r="BW378" s="1092"/>
      <c r="BX378" s="1092"/>
      <c r="BY378" s="1092"/>
      <c r="BZ378" s="1092"/>
    </row>
    <row r="379" spans="2:78" ht="12.75" customHeight="1">
      <c r="B379" s="1085"/>
      <c r="C379" s="1092"/>
      <c r="D379" s="1092"/>
      <c r="E379" s="1092"/>
      <c r="F379" s="1093"/>
      <c r="G379" s="1094"/>
      <c r="H379" s="1094"/>
      <c r="I379" s="1094"/>
      <c r="J379" s="1094"/>
      <c r="K379" s="1092"/>
      <c r="L379" s="1092"/>
      <c r="M379" s="1092"/>
      <c r="N379" s="1092"/>
      <c r="O379" s="1092"/>
      <c r="P379" s="1092"/>
      <c r="Q379" s="1092"/>
      <c r="R379" s="1092"/>
      <c r="S379" s="1092"/>
      <c r="T379" s="1092"/>
      <c r="U379" s="1092"/>
      <c r="V379" s="1092"/>
      <c r="W379" s="1092"/>
      <c r="X379" s="1092"/>
      <c r="Y379" s="1092"/>
      <c r="Z379" s="1092"/>
      <c r="AA379" s="1092"/>
      <c r="AB379" s="1092"/>
      <c r="AC379" s="1092"/>
      <c r="AD379" s="1092"/>
      <c r="AE379" s="1092"/>
      <c r="AF379" s="1092"/>
      <c r="AG379" s="1092"/>
      <c r="AH379" s="1092"/>
      <c r="AI379" s="1092"/>
      <c r="AJ379" s="1092"/>
      <c r="AK379" s="1092"/>
      <c r="AL379" s="1092"/>
      <c r="AM379" s="1092"/>
      <c r="AN379" s="1092"/>
      <c r="AO379" s="1092"/>
      <c r="AP379" s="1092"/>
      <c r="AQ379" s="1092"/>
      <c r="AR379" s="1092"/>
      <c r="AS379" s="1092"/>
      <c r="AT379" s="1092"/>
      <c r="AU379" s="1092"/>
      <c r="AV379" s="1092"/>
      <c r="AW379" s="1092"/>
      <c r="AX379" s="1092"/>
      <c r="AY379" s="1092"/>
      <c r="AZ379" s="1092"/>
      <c r="BA379" s="1092"/>
      <c r="BB379" s="1092"/>
      <c r="BC379" s="1092"/>
      <c r="BD379" s="1092"/>
      <c r="BE379" s="1092"/>
      <c r="BF379" s="1092"/>
      <c r="BR379" s="1092"/>
      <c r="BS379" s="1092"/>
      <c r="BT379" s="1092"/>
      <c r="BU379" s="922"/>
      <c r="BV379" s="1092"/>
      <c r="BW379" s="1092"/>
      <c r="BX379" s="1092"/>
      <c r="BY379" s="1092"/>
      <c r="BZ379" s="1092"/>
    </row>
    <row r="380" spans="2:78" ht="12.75" customHeight="1">
      <c r="B380" s="1085"/>
      <c r="C380" s="1092"/>
      <c r="D380" s="1092"/>
      <c r="E380" s="1092"/>
      <c r="F380" s="1093"/>
      <c r="G380" s="1094"/>
      <c r="H380" s="1094"/>
      <c r="I380" s="1094"/>
      <c r="J380" s="1094"/>
      <c r="K380" s="1092"/>
      <c r="L380" s="1092"/>
      <c r="M380" s="1092"/>
      <c r="N380" s="1092"/>
      <c r="O380" s="1092"/>
      <c r="P380" s="1092"/>
      <c r="Q380" s="1092"/>
      <c r="R380" s="1092"/>
      <c r="S380" s="1092"/>
      <c r="T380" s="1092"/>
      <c r="U380" s="1092"/>
      <c r="V380" s="1092"/>
      <c r="W380" s="1092"/>
      <c r="X380" s="1092"/>
      <c r="Y380" s="1092"/>
      <c r="Z380" s="1092"/>
      <c r="AA380" s="1092"/>
      <c r="AB380" s="1092"/>
      <c r="AC380" s="1092"/>
      <c r="AD380" s="1092"/>
      <c r="AE380" s="1092"/>
      <c r="AF380" s="1092"/>
      <c r="AG380" s="1092"/>
      <c r="AH380" s="1092"/>
      <c r="AI380" s="1092"/>
      <c r="AJ380" s="1092"/>
      <c r="AK380" s="1092"/>
      <c r="AL380" s="1092"/>
      <c r="AM380" s="1092"/>
      <c r="AN380" s="1092"/>
      <c r="AO380" s="1092"/>
      <c r="AP380" s="1092"/>
      <c r="AQ380" s="1092"/>
      <c r="AR380" s="1092"/>
      <c r="AS380" s="1092"/>
      <c r="AT380" s="1092"/>
      <c r="AU380" s="1092"/>
      <c r="AV380" s="1092"/>
      <c r="AW380" s="1092"/>
      <c r="AX380" s="1092"/>
      <c r="AY380" s="1092"/>
      <c r="AZ380" s="1092"/>
      <c r="BA380" s="1092"/>
      <c r="BB380" s="1092"/>
      <c r="BC380" s="1092"/>
      <c r="BD380" s="1092"/>
      <c r="BE380" s="1092"/>
      <c r="BF380" s="1092"/>
      <c r="BR380" s="1092"/>
      <c r="BS380" s="1092"/>
      <c r="BT380" s="1092"/>
      <c r="BU380" s="922"/>
      <c r="BV380" s="1092"/>
      <c r="BW380" s="1092"/>
      <c r="BX380" s="1092"/>
      <c r="BY380" s="1092"/>
      <c r="BZ380" s="1092"/>
    </row>
    <row r="381" spans="2:78" ht="12.75" customHeight="1">
      <c r="B381" s="1085"/>
      <c r="C381" s="1092"/>
      <c r="D381" s="1092"/>
      <c r="E381" s="1092"/>
      <c r="F381" s="1093"/>
      <c r="G381" s="1094"/>
      <c r="H381" s="1094"/>
      <c r="I381" s="1094"/>
      <c r="J381" s="1094"/>
      <c r="K381" s="1092"/>
      <c r="L381" s="1092"/>
      <c r="M381" s="1092"/>
      <c r="N381" s="1092"/>
      <c r="O381" s="1092"/>
      <c r="P381" s="1092"/>
      <c r="Q381" s="1092"/>
      <c r="R381" s="1092"/>
      <c r="S381" s="1092"/>
      <c r="T381" s="1092"/>
      <c r="U381" s="1092"/>
      <c r="V381" s="1092"/>
      <c r="W381" s="1092"/>
      <c r="X381" s="1092"/>
      <c r="Y381" s="1092"/>
      <c r="Z381" s="1092"/>
      <c r="AA381" s="1092"/>
      <c r="AB381" s="1092"/>
      <c r="AC381" s="1092"/>
      <c r="AD381" s="1092"/>
      <c r="AE381" s="1092"/>
      <c r="AF381" s="1092"/>
      <c r="AG381" s="1092"/>
      <c r="AH381" s="1092"/>
      <c r="AI381" s="1092"/>
      <c r="AJ381" s="1092"/>
      <c r="AK381" s="1092"/>
      <c r="AL381" s="1092"/>
      <c r="AM381" s="1092"/>
      <c r="AN381" s="1092"/>
      <c r="AO381" s="1092"/>
      <c r="AP381" s="1092"/>
      <c r="AQ381" s="1092"/>
      <c r="AR381" s="1092"/>
      <c r="AS381" s="1092"/>
      <c r="AT381" s="1092"/>
      <c r="AU381" s="1092"/>
      <c r="AV381" s="1092"/>
      <c r="AW381" s="1092"/>
      <c r="AX381" s="1092"/>
      <c r="AY381" s="1092"/>
      <c r="AZ381" s="1092"/>
      <c r="BA381" s="1092"/>
      <c r="BB381" s="1092"/>
      <c r="BC381" s="1092"/>
      <c r="BD381" s="1092"/>
      <c r="BE381" s="1092"/>
      <c r="BF381" s="1092"/>
      <c r="BR381" s="1092"/>
      <c r="BS381" s="1092"/>
      <c r="BT381" s="1092"/>
      <c r="BU381" s="922"/>
      <c r="BV381" s="1092"/>
      <c r="BW381" s="1092"/>
      <c r="BX381" s="1092"/>
      <c r="BY381" s="1092"/>
      <c r="BZ381" s="1092"/>
    </row>
    <row r="382" spans="2:78" ht="12.75" customHeight="1">
      <c r="B382" s="1085"/>
      <c r="C382" s="1092"/>
      <c r="D382" s="1092"/>
      <c r="E382" s="1092"/>
      <c r="F382" s="1093"/>
      <c r="G382" s="1094"/>
      <c r="H382" s="1094"/>
      <c r="I382" s="1094"/>
      <c r="J382" s="1094"/>
      <c r="K382" s="1092"/>
      <c r="L382" s="1092"/>
      <c r="M382" s="1092"/>
      <c r="N382" s="1092"/>
      <c r="O382" s="1092"/>
      <c r="P382" s="1092"/>
      <c r="Q382" s="1092"/>
      <c r="R382" s="1092"/>
      <c r="S382" s="1092"/>
      <c r="T382" s="1092"/>
      <c r="U382" s="1092"/>
      <c r="V382" s="1092"/>
      <c r="W382" s="1092"/>
      <c r="X382" s="1092"/>
      <c r="Y382" s="1092"/>
      <c r="Z382" s="1092"/>
      <c r="AA382" s="1092"/>
      <c r="AB382" s="1092"/>
      <c r="AC382" s="1092"/>
      <c r="AD382" s="1092"/>
      <c r="AE382" s="1092"/>
      <c r="AF382" s="1092"/>
      <c r="AG382" s="1092"/>
      <c r="AH382" s="1092"/>
      <c r="AI382" s="1092"/>
      <c r="AJ382" s="1092"/>
      <c r="AK382" s="1092"/>
      <c r="AL382" s="1092"/>
      <c r="AM382" s="1092"/>
      <c r="AN382" s="1092"/>
      <c r="AO382" s="1092"/>
      <c r="AP382" s="1092"/>
      <c r="AQ382" s="1092"/>
      <c r="AR382" s="1092"/>
      <c r="AS382" s="1092"/>
      <c r="AT382" s="1092"/>
      <c r="AU382" s="1092"/>
      <c r="AV382" s="1092"/>
      <c r="AW382" s="1092"/>
      <c r="AX382" s="1092"/>
      <c r="AY382" s="1092"/>
      <c r="AZ382" s="1092"/>
      <c r="BA382" s="1092"/>
      <c r="BB382" s="1092"/>
      <c r="BC382" s="1092"/>
      <c r="BD382" s="1092"/>
      <c r="BE382" s="1092"/>
      <c r="BF382" s="1092"/>
      <c r="BR382" s="1092"/>
      <c r="BS382" s="1092"/>
      <c r="BT382" s="1092"/>
      <c r="BU382" s="922"/>
      <c r="BV382" s="1092"/>
      <c r="BW382" s="1092"/>
      <c r="BX382" s="1092"/>
      <c r="BY382" s="1092"/>
      <c r="BZ382" s="1092"/>
    </row>
    <row r="383" spans="2:78" ht="12.75" customHeight="1">
      <c r="B383" s="1085"/>
      <c r="C383" s="1092"/>
      <c r="D383" s="1092"/>
      <c r="E383" s="1092"/>
      <c r="F383" s="1093"/>
      <c r="G383" s="1094"/>
      <c r="H383" s="1094"/>
      <c r="I383" s="1094"/>
      <c r="J383" s="1094"/>
      <c r="K383" s="1092"/>
      <c r="L383" s="1092"/>
      <c r="M383" s="1092"/>
      <c r="N383" s="1092"/>
      <c r="O383" s="1092"/>
      <c r="P383" s="1092"/>
      <c r="Q383" s="1092"/>
      <c r="R383" s="1092"/>
      <c r="S383" s="1092"/>
      <c r="T383" s="1092"/>
      <c r="U383" s="1092"/>
      <c r="V383" s="1092"/>
      <c r="W383" s="1092"/>
      <c r="X383" s="1092"/>
      <c r="Y383" s="1092"/>
      <c r="Z383" s="1092"/>
      <c r="AA383" s="1092"/>
      <c r="AB383" s="1092"/>
      <c r="AC383" s="1092"/>
      <c r="AD383" s="1092"/>
      <c r="AE383" s="1092"/>
      <c r="AF383" s="1092"/>
      <c r="AG383" s="1092"/>
      <c r="AH383" s="1092"/>
      <c r="AI383" s="1092"/>
      <c r="AJ383" s="1092"/>
      <c r="AK383" s="1092"/>
      <c r="AL383" s="1092"/>
      <c r="AM383" s="1092"/>
      <c r="AN383" s="1092"/>
      <c r="AO383" s="1092"/>
      <c r="AP383" s="1092"/>
      <c r="AQ383" s="1092"/>
      <c r="AR383" s="1092"/>
      <c r="AS383" s="1092"/>
      <c r="AT383" s="1092"/>
      <c r="AU383" s="1092"/>
      <c r="AV383" s="1092"/>
      <c r="AW383" s="1092"/>
      <c r="AX383" s="1092"/>
      <c r="AY383" s="1092"/>
      <c r="AZ383" s="1092"/>
      <c r="BA383" s="1092"/>
      <c r="BB383" s="1092"/>
      <c r="BC383" s="1092"/>
      <c r="BD383" s="1092"/>
      <c r="BE383" s="1092"/>
      <c r="BF383" s="1092"/>
      <c r="BR383" s="1092"/>
      <c r="BS383" s="1092"/>
      <c r="BT383" s="1092"/>
      <c r="BU383" s="922"/>
      <c r="BV383" s="1092"/>
      <c r="BW383" s="1092"/>
      <c r="BX383" s="1092"/>
      <c r="BY383" s="1092"/>
      <c r="BZ383" s="1092"/>
    </row>
    <row r="384" spans="2:78" ht="12.75" customHeight="1">
      <c r="B384" s="1085"/>
      <c r="C384" s="1092"/>
      <c r="D384" s="1092"/>
      <c r="E384" s="1092"/>
      <c r="F384" s="1093"/>
      <c r="G384" s="1094"/>
      <c r="H384" s="1094"/>
      <c r="I384" s="1094"/>
      <c r="J384" s="1094"/>
      <c r="K384" s="1092"/>
      <c r="L384" s="1092"/>
      <c r="M384" s="1092"/>
      <c r="N384" s="1092"/>
      <c r="O384" s="1092"/>
      <c r="P384" s="1092"/>
      <c r="Q384" s="1092"/>
      <c r="R384" s="1092"/>
      <c r="S384" s="1092"/>
      <c r="T384" s="1092"/>
      <c r="U384" s="1092"/>
      <c r="V384" s="1092"/>
      <c r="W384" s="1092"/>
      <c r="X384" s="1092"/>
      <c r="Y384" s="1092"/>
      <c r="Z384" s="1092"/>
      <c r="AA384" s="1092"/>
      <c r="AB384" s="1092"/>
      <c r="AC384" s="1092"/>
      <c r="AD384" s="1092"/>
      <c r="AE384" s="1092"/>
      <c r="AF384" s="1092"/>
      <c r="AG384" s="1092"/>
      <c r="AH384" s="1092"/>
      <c r="AI384" s="1092"/>
      <c r="AJ384" s="1092"/>
      <c r="AK384" s="1092"/>
      <c r="AL384" s="1092"/>
      <c r="AM384" s="1092"/>
      <c r="AN384" s="1092"/>
      <c r="AO384" s="1092"/>
      <c r="AP384" s="1092"/>
      <c r="AQ384" s="1092"/>
      <c r="AR384" s="1092"/>
      <c r="AS384" s="1092"/>
      <c r="AT384" s="1092"/>
      <c r="AU384" s="1092"/>
      <c r="AV384" s="1092"/>
      <c r="AW384" s="1092"/>
      <c r="AX384" s="1092"/>
      <c r="AY384" s="1092"/>
      <c r="AZ384" s="1092"/>
      <c r="BA384" s="1092"/>
      <c r="BB384" s="1092"/>
      <c r="BC384" s="1092"/>
      <c r="BD384" s="1092"/>
      <c r="BE384" s="1092"/>
      <c r="BF384" s="1092"/>
      <c r="BR384" s="1092"/>
      <c r="BS384" s="1092"/>
      <c r="BT384" s="1092"/>
      <c r="BU384" s="922"/>
      <c r="BV384" s="1092"/>
      <c r="BW384" s="1092"/>
      <c r="BX384" s="1092"/>
      <c r="BY384" s="1092"/>
      <c r="BZ384" s="1092"/>
    </row>
    <row r="385" spans="2:78" ht="12.75" customHeight="1">
      <c r="B385" s="1085"/>
      <c r="C385" s="1092"/>
      <c r="D385" s="1092"/>
      <c r="E385" s="1092"/>
      <c r="F385" s="1093"/>
      <c r="G385" s="1094"/>
      <c r="H385" s="1094"/>
      <c r="I385" s="1094"/>
      <c r="J385" s="1094"/>
      <c r="K385" s="1092"/>
      <c r="L385" s="1092"/>
      <c r="M385" s="1092"/>
      <c r="N385" s="1092"/>
      <c r="O385" s="1092"/>
      <c r="P385" s="1092"/>
      <c r="Q385" s="1092"/>
      <c r="R385" s="1092"/>
      <c r="S385" s="1092"/>
      <c r="T385" s="1092"/>
      <c r="U385" s="1092"/>
      <c r="V385" s="1092"/>
      <c r="W385" s="1092"/>
      <c r="X385" s="1092"/>
      <c r="Y385" s="1092"/>
      <c r="Z385" s="1092"/>
      <c r="AA385" s="1092"/>
      <c r="AB385" s="1092"/>
      <c r="AC385" s="1092"/>
      <c r="AD385" s="1092"/>
      <c r="AE385" s="1092"/>
      <c r="AF385" s="1092"/>
      <c r="AG385" s="1092"/>
      <c r="AH385" s="1092"/>
      <c r="AI385" s="1092"/>
      <c r="AJ385" s="1092"/>
      <c r="AK385" s="1092"/>
      <c r="AL385" s="1092"/>
      <c r="AM385" s="1092"/>
      <c r="AN385" s="1092"/>
      <c r="AO385" s="1092"/>
      <c r="AP385" s="1092"/>
      <c r="AQ385" s="1092"/>
      <c r="AR385" s="1092"/>
      <c r="AS385" s="1092"/>
      <c r="AT385" s="1092"/>
      <c r="AU385" s="1092"/>
      <c r="AV385" s="1092"/>
      <c r="AW385" s="1092"/>
      <c r="AX385" s="1092"/>
      <c r="AY385" s="1092"/>
      <c r="AZ385" s="1092"/>
      <c r="BA385" s="1092"/>
      <c r="BB385" s="1092"/>
      <c r="BC385" s="1092"/>
      <c r="BD385" s="1092"/>
      <c r="BE385" s="1092"/>
      <c r="BF385" s="1092"/>
      <c r="BR385" s="1092"/>
      <c r="BS385" s="1092"/>
      <c r="BT385" s="1092"/>
      <c r="BU385" s="922"/>
      <c r="BV385" s="1092"/>
      <c r="BW385" s="1092"/>
      <c r="BX385" s="1092"/>
      <c r="BY385" s="1092"/>
      <c r="BZ385" s="1092"/>
    </row>
    <row r="386" spans="2:78" ht="12.75" customHeight="1">
      <c r="B386" s="1085"/>
      <c r="C386" s="1092"/>
      <c r="D386" s="1092"/>
      <c r="E386" s="1092"/>
      <c r="F386" s="1093"/>
      <c r="G386" s="1094"/>
      <c r="H386" s="1094"/>
      <c r="I386" s="1094"/>
      <c r="J386" s="1094"/>
      <c r="K386" s="1092"/>
      <c r="L386" s="1092"/>
      <c r="M386" s="1092"/>
      <c r="N386" s="1092"/>
      <c r="O386" s="1092"/>
      <c r="P386" s="1092"/>
      <c r="Q386" s="1092"/>
      <c r="R386" s="1092"/>
      <c r="S386" s="1092"/>
      <c r="T386" s="1092"/>
      <c r="U386" s="1092"/>
      <c r="V386" s="1092"/>
      <c r="W386" s="1092"/>
      <c r="X386" s="1092"/>
      <c r="Y386" s="1092"/>
      <c r="Z386" s="1092"/>
      <c r="AA386" s="1092"/>
      <c r="AB386" s="1092"/>
      <c r="AC386" s="1092"/>
      <c r="AD386" s="1092"/>
      <c r="AE386" s="1092"/>
      <c r="AF386" s="1092"/>
      <c r="AG386" s="1092"/>
      <c r="AH386" s="1092"/>
      <c r="AI386" s="1092"/>
      <c r="AJ386" s="1092"/>
      <c r="AK386" s="1092"/>
      <c r="AL386" s="1092"/>
      <c r="AM386" s="1092"/>
      <c r="AN386" s="1092"/>
      <c r="AO386" s="1092"/>
      <c r="AP386" s="1092"/>
      <c r="AQ386" s="1092"/>
      <c r="AR386" s="1092"/>
      <c r="AS386" s="1092"/>
      <c r="AT386" s="1092"/>
      <c r="AU386" s="1092"/>
      <c r="AV386" s="1092"/>
      <c r="AW386" s="1092"/>
      <c r="AX386" s="1092"/>
      <c r="AY386" s="1092"/>
      <c r="AZ386" s="1092"/>
      <c r="BA386" s="1092"/>
      <c r="BB386" s="1092"/>
      <c r="BC386" s="1092"/>
      <c r="BD386" s="1092"/>
      <c r="BE386" s="1092"/>
      <c r="BF386" s="1092"/>
      <c r="BR386" s="1092"/>
      <c r="BS386" s="1092"/>
      <c r="BT386" s="1092"/>
      <c r="BU386" s="922"/>
      <c r="BV386" s="1092"/>
      <c r="BW386" s="1092"/>
      <c r="BX386" s="1092"/>
      <c r="BY386" s="1092"/>
      <c r="BZ386" s="1092"/>
    </row>
    <row r="387" spans="2:78" ht="12.75" customHeight="1">
      <c r="B387" s="1085"/>
      <c r="C387" s="1092"/>
      <c r="D387" s="1092"/>
      <c r="E387" s="1092"/>
      <c r="F387" s="1093"/>
      <c r="G387" s="1094"/>
      <c r="H387" s="1094"/>
      <c r="I387" s="1094"/>
      <c r="J387" s="1094"/>
      <c r="K387" s="1092"/>
      <c r="L387" s="1092"/>
      <c r="M387" s="1092"/>
      <c r="N387" s="1092"/>
      <c r="O387" s="1092"/>
      <c r="P387" s="1092"/>
      <c r="Q387" s="1092"/>
      <c r="R387" s="1092"/>
      <c r="S387" s="1092"/>
      <c r="T387" s="1092"/>
      <c r="U387" s="1092"/>
      <c r="V387" s="1092"/>
      <c r="W387" s="1092"/>
      <c r="X387" s="1092"/>
      <c r="Y387" s="1092"/>
      <c r="Z387" s="1092"/>
      <c r="AA387" s="1092"/>
      <c r="AB387" s="1092"/>
      <c r="AC387" s="1092"/>
      <c r="AD387" s="1092"/>
      <c r="AE387" s="1092"/>
      <c r="AF387" s="1092"/>
      <c r="AG387" s="1092"/>
      <c r="AH387" s="1092"/>
      <c r="AI387" s="1092"/>
      <c r="AJ387" s="1092"/>
      <c r="AK387" s="1092"/>
      <c r="AL387" s="1092"/>
      <c r="AM387" s="1092"/>
      <c r="AN387" s="1092"/>
      <c r="AO387" s="1092"/>
      <c r="AP387" s="1092"/>
      <c r="AQ387" s="1092"/>
      <c r="AR387" s="1092"/>
      <c r="AS387" s="1092"/>
      <c r="AT387" s="1092"/>
      <c r="AU387" s="1092"/>
      <c r="AV387" s="1092"/>
      <c r="AW387" s="1092"/>
      <c r="AX387" s="1092"/>
      <c r="AY387" s="1092"/>
      <c r="AZ387" s="1092"/>
      <c r="BA387" s="1092"/>
      <c r="BB387" s="1092"/>
      <c r="BC387" s="1092"/>
      <c r="BD387" s="1092"/>
      <c r="BE387" s="1092"/>
      <c r="BF387" s="1092"/>
      <c r="BR387" s="1092"/>
      <c r="BS387" s="1092"/>
      <c r="BT387" s="1092"/>
      <c r="BU387" s="922"/>
      <c r="BV387" s="1092"/>
      <c r="BW387" s="1092"/>
      <c r="BX387" s="1092"/>
      <c r="BY387" s="1092"/>
      <c r="BZ387" s="1092"/>
    </row>
    <row r="388" spans="2:78" ht="12.75" customHeight="1">
      <c r="B388" s="1085"/>
      <c r="C388" s="1092"/>
      <c r="D388" s="1092"/>
      <c r="E388" s="1092"/>
      <c r="F388" s="1093"/>
      <c r="G388" s="1094"/>
      <c r="H388" s="1094"/>
      <c r="I388" s="1094"/>
      <c r="J388" s="1094"/>
      <c r="K388" s="1092"/>
      <c r="L388" s="1092"/>
      <c r="M388" s="1092"/>
      <c r="N388" s="1092"/>
      <c r="O388" s="1092"/>
      <c r="P388" s="1092"/>
      <c r="Q388" s="1092"/>
      <c r="R388" s="1092"/>
      <c r="S388" s="1092"/>
      <c r="T388" s="1092"/>
      <c r="U388" s="1092"/>
      <c r="V388" s="1092"/>
      <c r="W388" s="1092"/>
      <c r="X388" s="1092"/>
      <c r="Y388" s="1092"/>
      <c r="Z388" s="1092"/>
      <c r="AA388" s="1092"/>
      <c r="AB388" s="1092"/>
      <c r="AC388" s="1092"/>
      <c r="AD388" s="1092"/>
      <c r="AE388" s="1092"/>
      <c r="AF388" s="1092"/>
      <c r="AG388" s="1092"/>
      <c r="AH388" s="1092"/>
      <c r="AI388" s="1092"/>
      <c r="AJ388" s="1092"/>
      <c r="AK388" s="1092"/>
      <c r="AL388" s="1092"/>
      <c r="AM388" s="1092"/>
      <c r="AN388" s="1092"/>
      <c r="AO388" s="1092"/>
      <c r="AP388" s="1092"/>
      <c r="AQ388" s="1092"/>
      <c r="AR388" s="1092"/>
      <c r="AS388" s="1092"/>
      <c r="AT388" s="1092"/>
      <c r="AU388" s="1092"/>
      <c r="AV388" s="1092"/>
      <c r="AW388" s="1092"/>
      <c r="AX388" s="1092"/>
      <c r="AY388" s="1092"/>
      <c r="AZ388" s="1092"/>
      <c r="BA388" s="1092"/>
      <c r="BB388" s="1092"/>
      <c r="BC388" s="1092"/>
      <c r="BD388" s="1092"/>
      <c r="BE388" s="1092"/>
      <c r="BF388" s="1092"/>
      <c r="BR388" s="1092"/>
      <c r="BS388" s="1092"/>
      <c r="BT388" s="1092"/>
      <c r="BU388" s="922"/>
      <c r="BV388" s="1092"/>
      <c r="BW388" s="1092"/>
      <c r="BX388" s="1092"/>
      <c r="BY388" s="1092"/>
      <c r="BZ388" s="1092"/>
    </row>
    <row r="389" spans="2:78" ht="12.75" customHeight="1">
      <c r="B389" s="1085"/>
      <c r="C389" s="1092"/>
      <c r="D389" s="1092"/>
      <c r="E389" s="1092"/>
      <c r="F389" s="1093"/>
      <c r="G389" s="1094"/>
      <c r="H389" s="1094"/>
      <c r="I389" s="1094"/>
      <c r="J389" s="1094"/>
      <c r="K389" s="1092"/>
      <c r="L389" s="1092"/>
      <c r="M389" s="1092"/>
      <c r="N389" s="1092"/>
      <c r="O389" s="1092"/>
      <c r="P389" s="1092"/>
      <c r="Q389" s="1092"/>
      <c r="R389" s="1092"/>
      <c r="S389" s="1092"/>
      <c r="T389" s="1092"/>
      <c r="U389" s="1092"/>
      <c r="V389" s="1092"/>
      <c r="W389" s="1092"/>
      <c r="X389" s="1092"/>
      <c r="Y389" s="1092"/>
      <c r="Z389" s="1092"/>
      <c r="AA389" s="1092"/>
      <c r="AB389" s="1092"/>
      <c r="AC389" s="1092"/>
      <c r="AD389" s="1092"/>
      <c r="AE389" s="1092"/>
      <c r="AF389" s="1092"/>
      <c r="AG389" s="1092"/>
      <c r="AH389" s="1092"/>
      <c r="AI389" s="1092"/>
      <c r="AJ389" s="1092"/>
      <c r="AK389" s="1092"/>
      <c r="AL389" s="1092"/>
      <c r="AM389" s="1092"/>
      <c r="AN389" s="1092"/>
      <c r="AO389" s="1092"/>
      <c r="AP389" s="1092"/>
      <c r="AQ389" s="1092"/>
      <c r="AR389" s="1092"/>
      <c r="AS389" s="1092"/>
      <c r="AT389" s="1092"/>
      <c r="AU389" s="1092"/>
      <c r="AV389" s="1092"/>
      <c r="AW389" s="1092"/>
      <c r="AX389" s="1092"/>
      <c r="AY389" s="1092"/>
      <c r="AZ389" s="1092"/>
      <c r="BA389" s="1092"/>
      <c r="BB389" s="1092"/>
      <c r="BC389" s="1092"/>
      <c r="BD389" s="1092"/>
      <c r="BE389" s="1092"/>
      <c r="BF389" s="1092"/>
      <c r="BR389" s="1092"/>
      <c r="BS389" s="1092"/>
      <c r="BT389" s="1092"/>
      <c r="BU389" s="922"/>
      <c r="BV389" s="1092"/>
      <c r="BW389" s="1092"/>
      <c r="BX389" s="1092"/>
      <c r="BY389" s="1092"/>
      <c r="BZ389" s="1092"/>
    </row>
    <row r="390" spans="2:78" ht="12.75" customHeight="1">
      <c r="B390" s="1085"/>
      <c r="C390" s="1092"/>
      <c r="D390" s="1092"/>
      <c r="E390" s="1092"/>
      <c r="F390" s="1093"/>
      <c r="G390" s="1094"/>
      <c r="H390" s="1094"/>
      <c r="I390" s="1094"/>
      <c r="J390" s="1094"/>
      <c r="K390" s="1092"/>
      <c r="L390" s="1092"/>
      <c r="M390" s="1092"/>
      <c r="N390" s="1092"/>
      <c r="O390" s="1092"/>
      <c r="P390" s="1092"/>
      <c r="Q390" s="1092"/>
      <c r="R390" s="1092"/>
      <c r="S390" s="1092"/>
      <c r="T390" s="1092"/>
      <c r="U390" s="1092"/>
      <c r="V390" s="1092"/>
      <c r="W390" s="1092"/>
      <c r="X390" s="1092"/>
      <c r="Y390" s="1092"/>
      <c r="Z390" s="1092"/>
      <c r="AA390" s="1092"/>
      <c r="AB390" s="1092"/>
      <c r="AC390" s="1092"/>
      <c r="AD390" s="1092"/>
      <c r="AE390" s="1092"/>
      <c r="AF390" s="1092"/>
      <c r="AG390" s="1092"/>
      <c r="AH390" s="1092"/>
      <c r="AI390" s="1092"/>
      <c r="AJ390" s="1092"/>
      <c r="AK390" s="1092"/>
      <c r="AL390" s="1092"/>
      <c r="AM390" s="1092"/>
      <c r="AN390" s="1092"/>
      <c r="AO390" s="1092"/>
      <c r="AP390" s="1092"/>
      <c r="AQ390" s="1092"/>
      <c r="AR390" s="1092"/>
      <c r="AS390" s="1092"/>
      <c r="AT390" s="1092"/>
      <c r="AU390" s="1092"/>
      <c r="AV390" s="1092"/>
      <c r="AW390" s="1092"/>
      <c r="AX390" s="1092"/>
      <c r="AY390" s="1092"/>
      <c r="AZ390" s="1092"/>
      <c r="BA390" s="1092"/>
      <c r="BB390" s="1092"/>
      <c r="BC390" s="1092"/>
      <c r="BD390" s="1092"/>
      <c r="BE390" s="1092"/>
      <c r="BF390" s="1092"/>
      <c r="BR390" s="1092"/>
      <c r="BS390" s="1092"/>
      <c r="BT390" s="1092"/>
      <c r="BU390" s="922"/>
      <c r="BV390" s="1092"/>
      <c r="BW390" s="1092"/>
      <c r="BX390" s="1092"/>
      <c r="BY390" s="1092"/>
      <c r="BZ390" s="1092"/>
    </row>
    <row r="391" spans="2:78" ht="12.75" customHeight="1">
      <c r="B391" s="1085"/>
      <c r="C391" s="1092"/>
      <c r="D391" s="1092"/>
      <c r="E391" s="1092"/>
      <c r="F391" s="1093"/>
      <c r="G391" s="1094"/>
      <c r="H391" s="1094"/>
      <c r="I391" s="1094"/>
      <c r="J391" s="1094"/>
      <c r="K391" s="1092"/>
      <c r="L391" s="1092"/>
      <c r="M391" s="1092"/>
      <c r="N391" s="1092"/>
      <c r="O391" s="1092"/>
      <c r="P391" s="1092"/>
      <c r="Q391" s="1092"/>
      <c r="R391" s="1092"/>
      <c r="S391" s="1092"/>
      <c r="T391" s="1092"/>
      <c r="U391" s="1092"/>
      <c r="V391" s="1092"/>
      <c r="W391" s="1092"/>
      <c r="X391" s="1092"/>
      <c r="Y391" s="1092"/>
      <c r="Z391" s="1092"/>
      <c r="AA391" s="1092"/>
      <c r="AB391" s="1092"/>
      <c r="AC391" s="1092"/>
      <c r="AD391" s="1092"/>
      <c r="AE391" s="1092"/>
      <c r="AF391" s="1092"/>
      <c r="AG391" s="1092"/>
      <c r="AH391" s="1092"/>
      <c r="AI391" s="1092"/>
      <c r="AJ391" s="1092"/>
      <c r="AK391" s="1092"/>
      <c r="AL391" s="1092"/>
      <c r="AM391" s="1092"/>
      <c r="AN391" s="1092"/>
      <c r="AO391" s="1092"/>
      <c r="AP391" s="1092"/>
      <c r="AQ391" s="1092"/>
      <c r="AR391" s="1092"/>
      <c r="AS391" s="1092"/>
      <c r="AT391" s="1092"/>
      <c r="AU391" s="1092"/>
      <c r="AV391" s="1092"/>
      <c r="AW391" s="1092"/>
      <c r="AX391" s="1092"/>
      <c r="AY391" s="1092"/>
      <c r="AZ391" s="1092"/>
      <c r="BA391" s="1092"/>
      <c r="BB391" s="1092"/>
      <c r="BC391" s="1092"/>
      <c r="BD391" s="1092"/>
      <c r="BE391" s="1092"/>
      <c r="BF391" s="1092"/>
      <c r="BR391" s="1092"/>
      <c r="BS391" s="1092"/>
      <c r="BT391" s="1092"/>
      <c r="BU391" s="922"/>
      <c r="BV391" s="1092"/>
      <c r="BW391" s="1092"/>
      <c r="BX391" s="1092"/>
      <c r="BY391" s="1092"/>
      <c r="BZ391" s="1092"/>
    </row>
    <row r="392" spans="2:78" ht="12.75" customHeight="1">
      <c r="BR392" s="1092"/>
      <c r="BU392" s="922"/>
    </row>
    <row r="393" spans="2:78" ht="12.75" customHeight="1">
      <c r="BR393" s="1092"/>
      <c r="BU393" s="922"/>
    </row>
    <row r="394" spans="2:78" ht="12.75" customHeight="1">
      <c r="BR394" s="1092"/>
      <c r="BU394" s="922"/>
    </row>
    <row r="395" spans="2:78" ht="12.75" customHeight="1">
      <c r="BR395" s="1092"/>
      <c r="BU395" s="922"/>
    </row>
    <row r="396" spans="2:78" ht="12.75" customHeight="1">
      <c r="BR396" s="1092"/>
      <c r="BU396" s="922"/>
    </row>
    <row r="397" spans="2:78" ht="12.75" customHeight="1">
      <c r="BR397" s="1092"/>
      <c r="BU397" s="922"/>
    </row>
    <row r="398" spans="2:78" ht="12.75" customHeight="1">
      <c r="BR398" s="1092"/>
      <c r="BU398" s="922"/>
    </row>
    <row r="399" spans="2:78" ht="12.75" customHeight="1">
      <c r="BR399" s="1092"/>
      <c r="BU399" s="922"/>
    </row>
    <row r="400" spans="2:78" ht="12.75" customHeight="1">
      <c r="BR400" s="1092"/>
      <c r="BU400" s="922"/>
    </row>
    <row r="401" spans="70:73" ht="12.75" customHeight="1">
      <c r="BR401" s="1092"/>
      <c r="BU401" s="922"/>
    </row>
    <row r="402" spans="70:73" ht="12.75" customHeight="1">
      <c r="BR402" s="1092"/>
      <c r="BU402" s="922"/>
    </row>
    <row r="403" spans="70:73" ht="12.75" customHeight="1">
      <c r="BR403" s="1092"/>
      <c r="BU403" s="922"/>
    </row>
    <row r="404" spans="70:73" ht="12.75" customHeight="1">
      <c r="BR404" s="1092"/>
      <c r="BU404" s="922"/>
    </row>
    <row r="405" spans="70:73" ht="12.75" customHeight="1">
      <c r="BR405" s="1092"/>
      <c r="BU405" s="922"/>
    </row>
    <row r="406" spans="70:73" ht="12.75" customHeight="1">
      <c r="BR406" s="1092"/>
      <c r="BU406" s="922"/>
    </row>
    <row r="407" spans="70:73" ht="12.75" customHeight="1">
      <c r="BR407" s="1092"/>
      <c r="BU407" s="922"/>
    </row>
    <row r="408" spans="70:73" ht="12.75" customHeight="1">
      <c r="BU408" s="922"/>
    </row>
    <row r="409" spans="70:73" ht="12.75" customHeight="1">
      <c r="BU409" s="922"/>
    </row>
    <row r="410" spans="70:73" ht="12.75" customHeight="1">
      <c r="BU410" s="922"/>
    </row>
    <row r="411" spans="70:73" ht="12.75" customHeight="1">
      <c r="BU411" s="922"/>
    </row>
    <row r="412" spans="70:73" ht="12.75" customHeight="1">
      <c r="BU412" s="922"/>
    </row>
    <row r="413" spans="70:73" ht="12.75" customHeight="1">
      <c r="BU413" s="922"/>
    </row>
    <row r="414" spans="70:73" ht="12.75" customHeight="1">
      <c r="BU414" s="922"/>
    </row>
    <row r="415" spans="70:73" ht="12.75" customHeight="1">
      <c r="BU415" s="922"/>
    </row>
    <row r="416" spans="70:73" ht="12.75" customHeight="1">
      <c r="BU416" s="922"/>
    </row>
    <row r="417" spans="73:73" ht="12.75" customHeight="1">
      <c r="BU417" s="922"/>
    </row>
    <row r="418" spans="73:73" ht="12.75" customHeight="1">
      <c r="BU418" s="922"/>
    </row>
    <row r="419" spans="73:73" ht="12.75" customHeight="1">
      <c r="BU419" s="922"/>
    </row>
    <row r="420" spans="73:73" ht="12.75" customHeight="1">
      <c r="BU420" s="922"/>
    </row>
    <row r="421" spans="73:73" ht="12.75" customHeight="1">
      <c r="BU421" s="922"/>
    </row>
    <row r="422" spans="73:73" ht="12.75" customHeight="1">
      <c r="BU422" s="922"/>
    </row>
    <row r="423" spans="73:73" ht="12.75" customHeight="1">
      <c r="BU423" s="922"/>
    </row>
    <row r="424" spans="73:73" ht="12.75" customHeight="1">
      <c r="BU424" s="922"/>
    </row>
    <row r="425" spans="73:73" ht="12.75" customHeight="1">
      <c r="BU425" s="922"/>
    </row>
    <row r="426" spans="73:73" ht="12.75" customHeight="1">
      <c r="BU426" s="922"/>
    </row>
    <row r="427" spans="73:73" ht="12.75" customHeight="1">
      <c r="BU427" s="922"/>
    </row>
    <row r="428" spans="73:73" ht="12.75" customHeight="1">
      <c r="BU428" s="922"/>
    </row>
    <row r="429" spans="73:73" ht="12.75" customHeight="1">
      <c r="BU429" s="922"/>
    </row>
    <row r="430" spans="73:73" ht="12.75" customHeight="1">
      <c r="BU430" s="922"/>
    </row>
    <row r="431" spans="73:73" ht="12.75" customHeight="1">
      <c r="BU431" s="922"/>
    </row>
    <row r="432" spans="73:73" ht="12.75" customHeight="1">
      <c r="BU432" s="922"/>
    </row>
    <row r="433" spans="73:73" ht="12.75" customHeight="1">
      <c r="BU433" s="922"/>
    </row>
    <row r="434" spans="73:73" ht="12.75" customHeight="1">
      <c r="BU434" s="922"/>
    </row>
    <row r="435" spans="73:73" ht="12.75" customHeight="1">
      <c r="BU435" s="922"/>
    </row>
    <row r="436" spans="73:73" ht="12.75" customHeight="1">
      <c r="BU436" s="922"/>
    </row>
    <row r="437" spans="73:73" ht="12.75" customHeight="1">
      <c r="BU437" s="922"/>
    </row>
    <row r="438" spans="73:73" ht="12.75" customHeight="1">
      <c r="BU438" s="922"/>
    </row>
    <row r="439" spans="73:73" ht="12.75" customHeight="1">
      <c r="BU439" s="922"/>
    </row>
    <row r="440" spans="73:73" ht="12.75" customHeight="1">
      <c r="BU440" s="922"/>
    </row>
    <row r="441" spans="73:73" ht="12.75" customHeight="1">
      <c r="BU441" s="922"/>
    </row>
    <row r="442" spans="73:73" ht="12.75" customHeight="1">
      <c r="BU442" s="922"/>
    </row>
    <row r="443" spans="73:73" ht="12.75" customHeight="1">
      <c r="BU443" s="922"/>
    </row>
    <row r="444" spans="73:73" ht="12.75" customHeight="1">
      <c r="BU444" s="922"/>
    </row>
    <row r="445" spans="73:73" ht="12.75" customHeight="1">
      <c r="BU445" s="922"/>
    </row>
    <row r="446" spans="73:73" ht="12.75" customHeight="1">
      <c r="BU446" s="922"/>
    </row>
    <row r="447" spans="73:73" ht="12.75" customHeight="1">
      <c r="BU447" s="922"/>
    </row>
    <row r="448" spans="73:73" ht="12.75" customHeight="1">
      <c r="BU448" s="922"/>
    </row>
    <row r="449" spans="73:73" ht="12.75" customHeight="1">
      <c r="BU449" s="922"/>
    </row>
    <row r="450" spans="73:73" ht="12.75" customHeight="1">
      <c r="BU450" s="922"/>
    </row>
    <row r="451" spans="73:73" ht="12.75" customHeight="1"/>
    <row r="452" spans="73:73" ht="12.75" customHeight="1"/>
    <row r="453" spans="73:73" ht="12.75" customHeight="1"/>
    <row r="454" spans="73:73" ht="12.75" customHeight="1"/>
    <row r="455" spans="73:73" ht="12.75" customHeight="1"/>
    <row r="456" spans="73:73" ht="12.75" customHeight="1"/>
    <row r="457" spans="73:73" ht="12.75" customHeight="1"/>
    <row r="458" spans="73:73" ht="12.75" customHeight="1"/>
    <row r="459" spans="73:73" ht="12.75" customHeight="1"/>
    <row r="460" spans="73:73" ht="12.75" customHeight="1"/>
    <row r="461" spans="73:73" ht="12.75" customHeight="1"/>
    <row r="462" spans="73:73" ht="12.75" customHeight="1"/>
    <row r="463" spans="73:73" ht="12.75" customHeight="1"/>
    <row r="464" spans="73:73"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sheetData>
  <phoneticPr fontId="21" type="noConversion"/>
  <pageMargins left="0.75" right="0.75" top="1" bottom="1" header="0.5" footer="0.5"/>
  <pageSetup orientation="portrait" r:id="rId1"/>
  <headerFooter alignWithMargins="0"/>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I3943"/>
  <sheetViews>
    <sheetView zoomScale="80" workbookViewId="0">
      <pane xSplit="3" ySplit="6" topLeftCell="D7" activePane="bottomRight" state="frozen"/>
      <selection activeCell="D6" sqref="D6"/>
      <selection pane="topRight" activeCell="D6" sqref="D6"/>
      <selection pane="bottomLeft" activeCell="D6" sqref="D6"/>
      <selection pane="bottomRight" activeCell="D7" sqref="D7"/>
    </sheetView>
  </sheetViews>
  <sheetFormatPr defaultColWidth="10.28515625" defaultRowHeight="11.25"/>
  <cols>
    <col min="1" max="2" width="2.7109375" style="1720" customWidth="1"/>
    <col min="3" max="3" width="42.28515625" style="1720" customWidth="1"/>
    <col min="4" max="4" width="20.140625" style="1719" customWidth="1"/>
    <col min="5" max="5" width="12" style="1719" customWidth="1"/>
    <col min="6" max="6" width="9.7109375" style="1719" customWidth="1"/>
    <col min="7" max="7" width="18.7109375" style="1719" bestFit="1" customWidth="1"/>
    <col min="8" max="8" width="12.85546875" style="1719" bestFit="1" customWidth="1"/>
    <col min="9" max="9" width="17.28515625" style="1719" customWidth="1"/>
    <col min="10" max="10" width="9" style="1719" customWidth="1"/>
    <col min="11" max="11" width="25.7109375" style="1719" bestFit="1" customWidth="1"/>
    <col min="12" max="12" width="9.5703125" style="1719" customWidth="1"/>
    <col min="13" max="13" width="13.7109375" style="1719" bestFit="1" customWidth="1"/>
    <col min="14" max="14" width="21.7109375" style="1719" bestFit="1" customWidth="1"/>
    <col min="15" max="15" width="14" style="1719" customWidth="1"/>
    <col min="16" max="16" width="17.85546875" style="1719" customWidth="1"/>
    <col min="17" max="17" width="13" style="1719" customWidth="1"/>
    <col min="18" max="18" width="9.140625" style="1719" customWidth="1"/>
    <col min="19" max="19" width="5.85546875" style="1720" customWidth="1"/>
    <col min="20" max="20" width="25.5703125" style="1720" customWidth="1"/>
    <col min="21" max="21" width="19.28515625" style="1720" customWidth="1"/>
    <col min="22" max="22" width="8.7109375" style="1720" customWidth="1"/>
    <col min="23" max="23" width="18.85546875" style="1720" customWidth="1"/>
    <col min="24" max="27" width="16.85546875" style="1720" customWidth="1"/>
    <col min="28" max="28" width="10.5703125" style="1720" customWidth="1"/>
    <col min="29" max="16384" width="10.28515625" style="1720"/>
  </cols>
  <sheetData>
    <row r="1" spans="1:87" s="1679" customFormat="1" ht="15" customHeight="1">
      <c r="A1" s="1675"/>
      <c r="B1" s="1675"/>
      <c r="C1" s="1675"/>
      <c r="D1" s="1676"/>
      <c r="E1" s="1677"/>
      <c r="F1" s="1676"/>
      <c r="G1" s="1676"/>
      <c r="H1" s="1677"/>
      <c r="I1" s="1677"/>
      <c r="J1" s="1677"/>
      <c r="K1" s="1677"/>
      <c r="L1" s="1677"/>
      <c r="M1" s="1677"/>
      <c r="N1" s="1677"/>
      <c r="O1" s="1678"/>
      <c r="P1" s="1678"/>
      <c r="Q1" s="1678"/>
      <c r="R1" s="1678"/>
      <c r="S1" s="1678"/>
      <c r="T1" s="1678"/>
      <c r="U1" s="1678"/>
      <c r="V1" s="1678"/>
      <c r="W1" s="1678"/>
      <c r="X1" s="1678"/>
      <c r="Y1" s="1678"/>
      <c r="Z1" s="1678"/>
      <c r="AA1" s="1678"/>
      <c r="AB1" s="1678"/>
      <c r="AC1" s="1678"/>
      <c r="AD1" s="1678"/>
      <c r="AE1" s="1678"/>
      <c r="AF1" s="1678"/>
      <c r="AG1" s="1678"/>
      <c r="AH1" s="1678"/>
      <c r="AI1" s="1678"/>
      <c r="AJ1" s="1678"/>
      <c r="AK1" s="1678"/>
      <c r="AL1" s="1678"/>
      <c r="AM1" s="1678"/>
      <c r="AN1" s="1678"/>
      <c r="AO1" s="1678"/>
      <c r="AP1" s="1678"/>
      <c r="AQ1" s="1678"/>
      <c r="AR1" s="1678"/>
      <c r="AS1" s="1678"/>
      <c r="AT1" s="1678"/>
      <c r="AU1" s="1678"/>
      <c r="AV1" s="1678"/>
      <c r="AW1" s="1678"/>
      <c r="AX1" s="1678"/>
      <c r="AY1" s="1678"/>
      <c r="AZ1" s="1678"/>
      <c r="BA1" s="1678"/>
      <c r="BB1" s="1678"/>
      <c r="BC1" s="1678"/>
      <c r="BD1" s="1678"/>
      <c r="BE1" s="1678"/>
      <c r="BF1" s="1678"/>
      <c r="BG1" s="1678"/>
      <c r="BH1" s="1678"/>
      <c r="BI1" s="1678"/>
      <c r="BJ1" s="1678"/>
      <c r="BK1" s="1678"/>
      <c r="BL1" s="1678"/>
      <c r="BM1" s="1678"/>
      <c r="BN1" s="1678"/>
      <c r="BO1" s="1678"/>
      <c r="BP1" s="1678"/>
      <c r="BQ1" s="1678"/>
      <c r="BR1" s="1678"/>
      <c r="BS1" s="1678"/>
      <c r="BT1" s="1678"/>
      <c r="BU1" s="1678"/>
      <c r="BV1" s="1678"/>
      <c r="BW1" s="1678"/>
      <c r="BX1" s="1678"/>
      <c r="BY1" s="1678"/>
      <c r="BZ1" s="1678"/>
      <c r="CA1" s="1678"/>
      <c r="CB1" s="1678"/>
      <c r="CC1" s="1678"/>
      <c r="CD1" s="1678"/>
      <c r="CE1" s="1678"/>
      <c r="CF1" s="1678"/>
      <c r="CG1" s="1678"/>
      <c r="CH1" s="1678"/>
      <c r="CI1" s="1678"/>
    </row>
    <row r="2" spans="1:87" s="1679" customFormat="1" ht="15" customHeight="1">
      <c r="A2" s="1675"/>
      <c r="B2" s="1680" t="s">
        <v>1175</v>
      </c>
      <c r="C2" s="1675"/>
      <c r="D2" s="1676"/>
      <c r="E2" s="1677"/>
      <c r="F2" s="1676"/>
      <c r="G2" s="1676"/>
      <c r="H2" s="1677"/>
      <c r="I2" s="1677"/>
      <c r="J2" s="1677"/>
      <c r="K2" s="1677"/>
      <c r="L2" s="1677"/>
      <c r="M2" s="1677"/>
      <c r="N2" s="1677"/>
      <c r="O2" s="1678"/>
      <c r="P2" s="1678"/>
      <c r="Q2" s="1678"/>
      <c r="R2" s="1678"/>
      <c r="S2" s="1678"/>
      <c r="T2" s="1678"/>
      <c r="U2" s="1678"/>
      <c r="V2" s="1678"/>
      <c r="W2" s="1678"/>
      <c r="X2" s="1678"/>
      <c r="Y2" s="1678"/>
      <c r="Z2" s="1678"/>
      <c r="AA2" s="1678"/>
      <c r="AB2" s="1678"/>
      <c r="AC2" s="1678"/>
      <c r="AD2" s="1678"/>
      <c r="AE2" s="1678"/>
      <c r="AF2" s="1678"/>
      <c r="AG2" s="1678"/>
      <c r="AH2" s="1678"/>
      <c r="AI2" s="1678"/>
      <c r="AJ2" s="1678"/>
      <c r="AK2" s="1678"/>
      <c r="AL2" s="1678"/>
      <c r="AM2" s="1678"/>
      <c r="AN2" s="1678"/>
      <c r="AO2" s="1678"/>
      <c r="AP2" s="1678"/>
      <c r="AQ2" s="1678"/>
      <c r="AR2" s="1678"/>
      <c r="AS2" s="1678"/>
      <c r="AT2" s="1678"/>
      <c r="AU2" s="1678"/>
      <c r="AV2" s="1678"/>
      <c r="AW2" s="1678"/>
      <c r="AX2" s="1678"/>
      <c r="AY2" s="1678"/>
      <c r="AZ2" s="1678"/>
      <c r="BA2" s="1678"/>
      <c r="BB2" s="1678"/>
      <c r="BC2" s="1678"/>
      <c r="BD2" s="1678"/>
      <c r="BE2" s="1678"/>
      <c r="BF2" s="1678"/>
      <c r="BG2" s="1678"/>
      <c r="BH2" s="1678"/>
      <c r="BI2" s="1678"/>
      <c r="BJ2" s="1678"/>
      <c r="BK2" s="1678"/>
      <c r="BL2" s="1678"/>
      <c r="BM2" s="1678"/>
      <c r="BN2" s="1678"/>
      <c r="BO2" s="1678"/>
      <c r="BP2" s="1678"/>
      <c r="BQ2" s="1678"/>
      <c r="BR2" s="1678"/>
      <c r="BS2" s="1678"/>
      <c r="BT2" s="1678"/>
      <c r="BU2" s="1678"/>
      <c r="BV2" s="1678"/>
      <c r="BW2" s="1678"/>
      <c r="BX2" s="1678"/>
      <c r="BY2" s="1678"/>
      <c r="BZ2" s="1678"/>
      <c r="CA2" s="1678"/>
      <c r="CB2" s="1678"/>
      <c r="CC2" s="1678"/>
      <c r="CD2" s="1678"/>
      <c r="CE2" s="1678"/>
      <c r="CF2" s="1678"/>
      <c r="CG2" s="1678"/>
      <c r="CH2" s="1678"/>
      <c r="CI2" s="1678"/>
    </row>
    <row r="3" spans="1:87" s="1679" customFormat="1" ht="15" customHeight="1">
      <c r="A3" s="1681"/>
      <c r="B3" s="1682" t="s">
        <v>1160</v>
      </c>
      <c r="C3" s="1681"/>
      <c r="D3" s="1676"/>
      <c r="E3" s="1677"/>
      <c r="F3" s="1676"/>
      <c r="G3" s="1676"/>
      <c r="H3" s="1677"/>
      <c r="I3" s="1677"/>
      <c r="J3" s="1677"/>
      <c r="K3" s="1677"/>
      <c r="L3" s="1677"/>
      <c r="M3" s="1677"/>
      <c r="N3" s="1677"/>
      <c r="O3" s="1678"/>
      <c r="P3" s="1678"/>
      <c r="Q3" s="1678"/>
      <c r="R3" s="1678"/>
      <c r="S3" s="1678"/>
      <c r="T3" s="1678"/>
      <c r="U3" s="1678"/>
      <c r="V3" s="1678"/>
      <c r="W3" s="1678"/>
      <c r="X3" s="1678"/>
      <c r="Y3" s="1678"/>
      <c r="Z3" s="1678"/>
      <c r="AA3" s="1678"/>
      <c r="AB3" s="1678"/>
      <c r="AC3" s="1678"/>
      <c r="AD3" s="1678"/>
      <c r="AE3" s="1678"/>
      <c r="AF3" s="1678"/>
      <c r="AG3" s="1678"/>
      <c r="AH3" s="1678"/>
      <c r="AI3" s="1678"/>
      <c r="AJ3" s="1678"/>
      <c r="AK3" s="1678"/>
      <c r="AL3" s="1678"/>
      <c r="AM3" s="1678"/>
      <c r="AN3" s="1678"/>
      <c r="AO3" s="1678"/>
      <c r="AP3" s="1678"/>
      <c r="AQ3" s="1678"/>
      <c r="AR3" s="1678"/>
      <c r="AS3" s="1678"/>
      <c r="AT3" s="1678"/>
      <c r="AU3" s="1678"/>
      <c r="AV3" s="1678"/>
      <c r="AW3" s="1678"/>
      <c r="AX3" s="1678"/>
      <c r="AY3" s="1678"/>
      <c r="AZ3" s="1678"/>
      <c r="BA3" s="1678"/>
      <c r="BB3" s="1678"/>
      <c r="BC3" s="1678"/>
      <c r="BD3" s="1678"/>
      <c r="BE3" s="1678"/>
      <c r="BF3" s="1678"/>
      <c r="BG3" s="1678"/>
      <c r="BH3" s="1678"/>
      <c r="BI3" s="1678"/>
      <c r="BJ3" s="1678"/>
      <c r="BK3" s="1678"/>
      <c r="BL3" s="1678"/>
      <c r="BM3" s="1678"/>
      <c r="BN3" s="1678"/>
      <c r="BO3" s="1678"/>
      <c r="BP3" s="1678"/>
      <c r="BQ3" s="1678"/>
      <c r="BR3" s="1678"/>
      <c r="BS3" s="1678"/>
      <c r="BT3" s="1678"/>
      <c r="BU3" s="1678"/>
      <c r="BV3" s="1678"/>
      <c r="BW3" s="1678"/>
      <c r="BX3" s="1678"/>
      <c r="BY3" s="1678"/>
      <c r="BZ3" s="1678"/>
      <c r="CA3" s="1678"/>
      <c r="CB3" s="1678"/>
      <c r="CC3" s="1678"/>
      <c r="CD3" s="1678"/>
      <c r="CE3" s="1678"/>
      <c r="CF3" s="1678"/>
      <c r="CG3" s="1678"/>
      <c r="CH3" s="1678"/>
      <c r="CI3" s="1678"/>
    </row>
    <row r="4" spans="1:87" s="1679" customFormat="1" ht="12.75" customHeight="1">
      <c r="A4" s="1683"/>
      <c r="B4" s="1684"/>
      <c r="C4" s="1683"/>
      <c r="D4" s="1685"/>
      <c r="E4" s="1686"/>
      <c r="F4" s="1685"/>
      <c r="G4" s="1685"/>
      <c r="H4" s="1686"/>
      <c r="I4" s="1686"/>
      <c r="J4" s="1686"/>
      <c r="K4" s="1686"/>
      <c r="L4" s="1686"/>
      <c r="M4" s="1686"/>
      <c r="N4" s="1686"/>
      <c r="O4" s="1687"/>
      <c r="P4" s="1687"/>
      <c r="Q4" s="1687"/>
      <c r="R4" s="1687"/>
      <c r="S4" s="1687"/>
      <c r="T4" s="1687"/>
      <c r="U4" s="1687"/>
      <c r="V4" s="1687"/>
      <c r="W4" s="1687"/>
      <c r="X4" s="1687"/>
      <c r="Y4" s="1687"/>
      <c r="Z4" s="1687"/>
      <c r="AA4" s="1687"/>
      <c r="AB4" s="1687"/>
      <c r="AC4" s="1687"/>
      <c r="AD4" s="1687"/>
      <c r="AE4" s="1687"/>
      <c r="AF4" s="1687"/>
      <c r="AG4" s="1687"/>
      <c r="AH4" s="1687"/>
      <c r="AI4" s="1687"/>
      <c r="AJ4" s="1687"/>
      <c r="AK4" s="1687"/>
      <c r="AL4" s="1687"/>
      <c r="AM4" s="1687"/>
      <c r="AN4" s="1687"/>
      <c r="AO4" s="1687"/>
      <c r="AP4" s="1687"/>
      <c r="AQ4" s="1687"/>
      <c r="AR4" s="1687"/>
      <c r="AS4" s="1687"/>
      <c r="AT4" s="1687"/>
      <c r="AU4" s="1687"/>
      <c r="AV4" s="1687"/>
      <c r="AW4" s="1687"/>
      <c r="AX4" s="1687"/>
      <c r="AY4" s="1687"/>
      <c r="AZ4" s="1687"/>
      <c r="BA4" s="1687"/>
      <c r="BB4" s="1687"/>
      <c r="BC4" s="1687"/>
      <c r="BD4" s="1687"/>
      <c r="BE4" s="1687"/>
      <c r="BF4" s="1687"/>
      <c r="BG4" s="1687"/>
      <c r="BH4" s="1687"/>
      <c r="BI4" s="1687"/>
      <c r="BJ4" s="1687"/>
      <c r="BK4" s="1687"/>
      <c r="BL4" s="1687"/>
      <c r="BM4" s="1687"/>
      <c r="BN4" s="1687"/>
      <c r="BO4" s="1687"/>
      <c r="BP4" s="1687"/>
      <c r="BQ4" s="1687"/>
      <c r="BR4" s="1687"/>
      <c r="BS4" s="1687"/>
      <c r="BT4" s="1687"/>
      <c r="BU4" s="1687"/>
      <c r="BV4" s="1687"/>
      <c r="BW4" s="1687"/>
      <c r="BX4" s="1687"/>
      <c r="BY4" s="1687"/>
      <c r="BZ4" s="1687"/>
      <c r="CA4" s="1687"/>
      <c r="CB4" s="1687"/>
      <c r="CC4" s="1687"/>
      <c r="CD4" s="1687"/>
      <c r="CE4" s="1687"/>
      <c r="CF4" s="1687"/>
      <c r="CG4" s="1687"/>
      <c r="CH4" s="1687"/>
      <c r="CI4" s="1687"/>
    </row>
    <row r="5" spans="1:87" s="1688" customFormat="1" ht="12.75" customHeight="1">
      <c r="D5" s="1689"/>
      <c r="E5" s="1689"/>
      <c r="F5" s="1689"/>
      <c r="G5" s="1689"/>
      <c r="H5" s="1689"/>
      <c r="I5" s="1689"/>
      <c r="J5" s="1689"/>
      <c r="K5" s="1689"/>
      <c r="L5" s="1689"/>
      <c r="M5" s="1689"/>
      <c r="N5" s="1689"/>
      <c r="O5" s="1689"/>
      <c r="P5" s="1689"/>
      <c r="Q5" s="1689"/>
      <c r="R5" s="1689"/>
    </row>
    <row r="6" spans="1:87" s="1690" customFormat="1" ht="12.75" customHeight="1">
      <c r="C6" s="1691" t="s">
        <v>1161</v>
      </c>
      <c r="D6" s="1692" t="s">
        <v>1162</v>
      </c>
      <c r="E6" s="1692" t="s">
        <v>1163</v>
      </c>
      <c r="F6" s="1693" t="s">
        <v>350</v>
      </c>
      <c r="G6" s="1693" t="s">
        <v>1192</v>
      </c>
      <c r="H6" s="1694" t="s">
        <v>1164</v>
      </c>
      <c r="I6" s="1693" t="s">
        <v>1165</v>
      </c>
      <c r="J6" s="1693" t="s">
        <v>1166</v>
      </c>
      <c r="K6" s="1693" t="s">
        <v>1189</v>
      </c>
      <c r="L6" s="1693" t="s">
        <v>1167</v>
      </c>
      <c r="M6" s="1693" t="s">
        <v>1191</v>
      </c>
      <c r="N6" s="1695" t="s">
        <v>1369</v>
      </c>
      <c r="O6" s="1692" t="s">
        <v>1168</v>
      </c>
      <c r="P6" s="1692" t="s">
        <v>1169</v>
      </c>
      <c r="Q6" s="1692" t="s">
        <v>1170</v>
      </c>
      <c r="R6" s="1696" t="s">
        <v>1171</v>
      </c>
      <c r="S6" s="1690" t="s">
        <v>1172</v>
      </c>
      <c r="T6" s="1690" t="s">
        <v>1190</v>
      </c>
    </row>
    <row r="7" spans="1:87" s="1690" customFormat="1" ht="12.75" customHeight="1">
      <c r="B7" s="46" t="s">
        <v>1185</v>
      </c>
      <c r="C7" s="46"/>
      <c r="D7" s="46"/>
      <c r="E7" s="46"/>
      <c r="F7" s="46"/>
      <c r="G7" s="46"/>
      <c r="H7" s="46"/>
      <c r="I7" s="46"/>
      <c r="J7" s="46"/>
      <c r="K7" s="46"/>
      <c r="L7" s="46"/>
      <c r="M7" s="46"/>
      <c r="N7" s="46"/>
      <c r="O7" s="46"/>
      <c r="P7" s="46"/>
      <c r="Q7" s="46"/>
      <c r="R7" s="46"/>
      <c r="S7" s="46"/>
      <c r="T7" s="46"/>
    </row>
    <row r="8" spans="1:87" s="1688" customFormat="1" ht="12.75" customHeight="1">
      <c r="C8" s="1784" t="s">
        <v>1200</v>
      </c>
      <c r="D8" s="1698"/>
      <c r="E8" s="1698"/>
      <c r="F8" s="1698" t="s">
        <v>533</v>
      </c>
      <c r="G8" s="1698" t="s">
        <v>1193</v>
      </c>
      <c r="H8" s="1699"/>
      <c r="I8" s="1698" t="s">
        <v>1174</v>
      </c>
      <c r="J8" s="1698"/>
      <c r="K8" s="1698">
        <v>2665</v>
      </c>
      <c r="L8" s="1700">
        <v>1</v>
      </c>
      <c r="M8"/>
      <c r="N8" s="1701">
        <f>(M8*R8*8760)/1000</f>
        <v>0</v>
      </c>
      <c r="O8" s="1703">
        <v>9904</v>
      </c>
      <c r="P8" s="1689"/>
      <c r="Q8" s="1689"/>
      <c r="R8" s="1785">
        <v>0.62270000000000003</v>
      </c>
      <c r="T8" s="1688">
        <v>29.12</v>
      </c>
    </row>
    <row r="9" spans="1:87" s="1688" customFormat="1" ht="12.75" customHeight="1">
      <c r="C9" s="1697" t="s">
        <v>1195</v>
      </c>
      <c r="D9" s="1698"/>
      <c r="E9" s="1698"/>
      <c r="F9" s="1698" t="s">
        <v>533</v>
      </c>
      <c r="G9" s="1698" t="s">
        <v>1193</v>
      </c>
      <c r="H9" s="1699"/>
      <c r="I9" s="1698" t="s">
        <v>1174</v>
      </c>
      <c r="J9" s="1698"/>
      <c r="K9" s="1698">
        <v>1847</v>
      </c>
      <c r="L9" s="1700">
        <v>0.32219999999999999</v>
      </c>
      <c r="M9" s="1787">
        <f>L9*K9</f>
        <v>595.10339999999997</v>
      </c>
      <c r="N9" s="1701">
        <f t="shared" ref="N9:N21" si="0">(M9*R9*8760)/1000</f>
        <v>2920.9031707751997</v>
      </c>
      <c r="O9" s="1703">
        <v>9893</v>
      </c>
      <c r="P9" s="1689"/>
      <c r="Q9" s="1689"/>
      <c r="R9" s="1785">
        <v>0.56030000000000002</v>
      </c>
      <c r="T9" s="1688">
        <v>30.73</v>
      </c>
    </row>
    <row r="10" spans="1:87" s="1688" customFormat="1" ht="12.75" customHeight="1">
      <c r="C10" s="1697" t="s">
        <v>1196</v>
      </c>
      <c r="D10" s="1698"/>
      <c r="E10" s="1698"/>
      <c r="F10" s="1698" t="s">
        <v>533</v>
      </c>
      <c r="G10" s="1698" t="s">
        <v>1194</v>
      </c>
      <c r="H10" s="1699"/>
      <c r="I10" s="1698" t="s">
        <v>1174</v>
      </c>
      <c r="J10" s="1698"/>
      <c r="K10" s="1698">
        <f>405+405</f>
        <v>810</v>
      </c>
      <c r="L10" s="1700">
        <v>1</v>
      </c>
      <c r="M10">
        <f>K10*L10</f>
        <v>810</v>
      </c>
      <c r="N10" s="1701">
        <f t="shared" si="0"/>
        <v>2633.1771600000002</v>
      </c>
      <c r="O10" s="1703">
        <v>10747</v>
      </c>
      <c r="P10" s="1689"/>
      <c r="Q10" s="1689"/>
      <c r="R10" s="1785">
        <v>0.37109999999999999</v>
      </c>
      <c r="T10" s="1688">
        <v>40.78</v>
      </c>
    </row>
    <row r="11" spans="1:87" s="1688" customFormat="1" ht="12.75" customHeight="1">
      <c r="C11" s="1784" t="s">
        <v>1208</v>
      </c>
      <c r="D11" s="1698"/>
      <c r="E11" s="1698"/>
      <c r="F11" s="1698" t="s">
        <v>1173</v>
      </c>
      <c r="G11" s="1698" t="s">
        <v>1206</v>
      </c>
      <c r="H11" s="1699"/>
      <c r="I11" s="1698" t="s">
        <v>1174</v>
      </c>
      <c r="J11" s="1698"/>
      <c r="K11" s="1698">
        <v>840</v>
      </c>
      <c r="L11" s="1700">
        <v>1</v>
      </c>
      <c r="M11"/>
      <c r="N11" s="1701">
        <f t="shared" si="0"/>
        <v>0</v>
      </c>
      <c r="O11" s="1703">
        <v>7064</v>
      </c>
      <c r="P11" s="1689"/>
      <c r="Q11" s="1689"/>
      <c r="R11" s="1785">
        <v>0.82620000000000005</v>
      </c>
      <c r="T11" s="1688">
        <v>17.98</v>
      </c>
    </row>
    <row r="12" spans="1:87" s="1688" customFormat="1" ht="12.75" customHeight="1">
      <c r="C12" s="1784" t="s">
        <v>1199</v>
      </c>
      <c r="D12" s="1698"/>
      <c r="E12" s="1698"/>
      <c r="F12" s="1698" t="s">
        <v>1173</v>
      </c>
      <c r="G12" s="1698" t="s">
        <v>1198</v>
      </c>
      <c r="H12" s="1699"/>
      <c r="I12" s="1698" t="s">
        <v>1174</v>
      </c>
      <c r="J12" s="1698"/>
      <c r="K12" s="1698">
        <v>507</v>
      </c>
      <c r="L12" s="1700">
        <v>1</v>
      </c>
      <c r="M12"/>
      <c r="N12" s="1701">
        <f t="shared" si="0"/>
        <v>0</v>
      </c>
      <c r="O12" s="1703">
        <v>12170</v>
      </c>
      <c r="P12" s="1689"/>
      <c r="Q12" s="1689"/>
      <c r="R12" s="1785">
        <v>1.3100000000000001E-2</v>
      </c>
      <c r="T12" s="1688">
        <v>77.650000000000006</v>
      </c>
    </row>
    <row r="13" spans="1:87" s="1688" customFormat="1" ht="12.75" customHeight="1">
      <c r="C13" s="1697" t="s">
        <v>1203</v>
      </c>
      <c r="D13" s="1698"/>
      <c r="E13" s="1698"/>
      <c r="F13" s="1698" t="s">
        <v>1204</v>
      </c>
      <c r="G13" s="1698" t="s">
        <v>631</v>
      </c>
      <c r="H13" s="1699"/>
      <c r="I13" s="1698" t="s">
        <v>1174</v>
      </c>
      <c r="J13" s="1698"/>
      <c r="K13" s="1698">
        <v>47.4</v>
      </c>
      <c r="L13" s="1700">
        <v>1</v>
      </c>
      <c r="M13" s="1787">
        <f>K13*L13</f>
        <v>47.4</v>
      </c>
      <c r="N13" s="1701" t="s">
        <v>1205</v>
      </c>
      <c r="O13" s="1703" t="s">
        <v>1205</v>
      </c>
      <c r="P13" s="1689"/>
      <c r="Q13" s="1689"/>
      <c r="R13" s="1689" t="s">
        <v>1205</v>
      </c>
      <c r="T13" s="1688">
        <v>3.84</v>
      </c>
    </row>
    <row r="14" spans="1:87" s="1688" customFormat="1" ht="12.75" customHeight="1">
      <c r="C14" s="1697"/>
      <c r="D14" s="1698"/>
      <c r="E14" s="1698"/>
      <c r="F14" s="1698"/>
      <c r="G14" s="1698"/>
      <c r="H14" s="1699"/>
      <c r="I14" s="1698"/>
      <c r="J14" s="1698"/>
      <c r="K14" s="1698"/>
      <c r="L14" s="1700"/>
      <c r="M14" s="1700"/>
      <c r="N14" s="1701"/>
      <c r="O14" s="1703"/>
      <c r="P14" s="1689"/>
      <c r="Q14" s="1689"/>
      <c r="R14" s="1689"/>
    </row>
    <row r="15" spans="1:87" s="1688" customFormat="1" ht="12.75" customHeight="1">
      <c r="B15" s="46" t="s">
        <v>1186</v>
      </c>
      <c r="C15" s="46"/>
      <c r="D15" s="46"/>
      <c r="E15" s="46"/>
      <c r="F15" s="46"/>
      <c r="G15" s="46"/>
      <c r="H15" s="46"/>
      <c r="I15" s="46"/>
      <c r="J15" s="46"/>
      <c r="K15" s="46"/>
      <c r="L15" s="46"/>
      <c r="M15" s="46"/>
      <c r="N15" s="46"/>
      <c r="O15" s="46"/>
      <c r="P15" s="46"/>
      <c r="Q15" s="46"/>
      <c r="R15" s="46"/>
      <c r="S15" s="46"/>
      <c r="T15" s="46"/>
    </row>
    <row r="16" spans="1:87" s="1688" customFormat="1" ht="12.75" customHeight="1">
      <c r="C16" s="1697" t="s">
        <v>1197</v>
      </c>
      <c r="D16" s="1698"/>
      <c r="E16" s="1698"/>
      <c r="F16" s="1698" t="s">
        <v>533</v>
      </c>
      <c r="G16" s="1698" t="s">
        <v>1193</v>
      </c>
      <c r="H16" s="1699"/>
      <c r="I16" s="1698" t="s">
        <v>1174</v>
      </c>
      <c r="J16" s="1698"/>
      <c r="K16" s="1698">
        <v>780</v>
      </c>
      <c r="L16" s="1700">
        <v>0.83499999999999996</v>
      </c>
      <c r="M16" s="1787">
        <f>K16*L16</f>
        <v>651.29999999999995</v>
      </c>
      <c r="N16" s="1701">
        <f t="shared" si="0"/>
        <v>2117.2694867999994</v>
      </c>
      <c r="O16" s="1703">
        <v>10747</v>
      </c>
      <c r="P16" s="1689"/>
      <c r="Q16" s="1689"/>
      <c r="R16" s="1785">
        <v>0.37109999999999999</v>
      </c>
      <c r="T16" s="1688">
        <v>40.78</v>
      </c>
    </row>
    <row r="17" spans="2:29" s="1688" customFormat="1" ht="12.75" customHeight="1">
      <c r="C17" s="1697"/>
      <c r="D17" s="1698"/>
      <c r="E17" s="1698"/>
      <c r="F17" s="1698"/>
      <c r="G17" s="1698"/>
      <c r="H17" s="1699"/>
      <c r="I17" s="1698"/>
      <c r="J17" s="1698"/>
      <c r="K17" s="1698"/>
      <c r="L17" s="1700"/>
      <c r="M17" s="1700"/>
      <c r="N17" s="1701"/>
      <c r="O17" s="1703"/>
      <c r="P17" s="1689"/>
      <c r="Q17" s="1689"/>
      <c r="R17" s="1689"/>
    </row>
    <row r="18" spans="2:29" s="1688" customFormat="1" ht="12.75" customHeight="1">
      <c r="B18" s="46" t="s">
        <v>1187</v>
      </c>
      <c r="C18" s="46"/>
      <c r="D18" s="46"/>
      <c r="E18" s="46"/>
      <c r="F18" s="46"/>
      <c r="G18" s="46"/>
      <c r="H18" s="46"/>
      <c r="I18" s="46"/>
      <c r="J18" s="46"/>
      <c r="K18" s="46"/>
      <c r="L18" s="46"/>
      <c r="M18" s="46"/>
      <c r="N18" s="46"/>
      <c r="O18" s="46"/>
      <c r="P18" s="46"/>
      <c r="Q18" s="46"/>
      <c r="R18" s="46"/>
      <c r="S18" s="46"/>
      <c r="T18" s="46"/>
    </row>
    <row r="19" spans="2:29" s="1688" customFormat="1" ht="12.75" customHeight="1">
      <c r="C19" s="1784" t="s">
        <v>1207</v>
      </c>
      <c r="D19" s="1698"/>
      <c r="E19" s="1698"/>
      <c r="F19" s="1698" t="s">
        <v>533</v>
      </c>
      <c r="G19" s="1698" t="s">
        <v>1193</v>
      </c>
      <c r="H19" s="1699"/>
      <c r="I19" s="1698" t="s">
        <v>1174</v>
      </c>
      <c r="J19" s="1698"/>
      <c r="K19" s="1698">
        <v>1344</v>
      </c>
      <c r="L19" s="1700">
        <v>0.254</v>
      </c>
      <c r="M19" s="1787"/>
      <c r="N19" s="1701">
        <f t="shared" si="0"/>
        <v>0</v>
      </c>
      <c r="O19" s="1703">
        <v>9762</v>
      </c>
      <c r="P19" s="1689"/>
      <c r="Q19" s="1689"/>
      <c r="R19" s="1785">
        <v>0.50429999999999997</v>
      </c>
      <c r="T19" s="1688">
        <v>39.15</v>
      </c>
    </row>
    <row r="20" spans="2:29" s="1688" customFormat="1" ht="12.75" customHeight="1">
      <c r="C20" s="1784" t="s">
        <v>1201</v>
      </c>
      <c r="D20" s="1698"/>
      <c r="E20" s="1698"/>
      <c r="F20" s="1698" t="s">
        <v>533</v>
      </c>
      <c r="G20" s="1698" t="s">
        <v>1193</v>
      </c>
      <c r="H20" s="1699"/>
      <c r="I20" s="1698" t="s">
        <v>1174</v>
      </c>
      <c r="J20" s="1698"/>
      <c r="K20" s="1698">
        <v>1731</v>
      </c>
      <c r="L20" s="1700">
        <v>0.26</v>
      </c>
      <c r="M20" s="1787">
        <f>K20*L20</f>
        <v>450.06</v>
      </c>
      <c r="N20" s="1701">
        <f t="shared" si="0"/>
        <v>1920.4042197599997</v>
      </c>
      <c r="O20" s="1703">
        <v>10302</v>
      </c>
      <c r="P20" s="1689"/>
      <c r="Q20" s="1689"/>
      <c r="R20" s="1785">
        <v>0.48709999999999998</v>
      </c>
      <c r="T20" s="1688">
        <v>37.35</v>
      </c>
    </row>
    <row r="21" spans="2:29" s="1688" customFormat="1" ht="12.75" customHeight="1">
      <c r="C21" s="1691" t="s">
        <v>1202</v>
      </c>
      <c r="D21" s="1698"/>
      <c r="E21" s="1698"/>
      <c r="F21" s="1698" t="s">
        <v>489</v>
      </c>
      <c r="G21" s="1698"/>
      <c r="H21" s="1699"/>
      <c r="I21" s="1698" t="s">
        <v>1174</v>
      </c>
      <c r="J21" s="1698"/>
      <c r="K21" s="1698">
        <v>8.8000000000000007</v>
      </c>
      <c r="L21" s="1700">
        <v>0.26</v>
      </c>
      <c r="M21" s="1787">
        <f>K21*L21</f>
        <v>2.2880000000000003</v>
      </c>
      <c r="N21" s="1701">
        <f t="shared" si="0"/>
        <v>0.25454457600000002</v>
      </c>
      <c r="O21" s="1703">
        <v>11499</v>
      </c>
      <c r="P21" s="1689"/>
      <c r="Q21" s="1689"/>
      <c r="R21" s="1785">
        <v>1.2699999999999999E-2</v>
      </c>
      <c r="T21" s="1688">
        <v>313.33999999999997</v>
      </c>
    </row>
    <row r="22" spans="2:29" s="1688" customFormat="1" ht="12.75" customHeight="1">
      <c r="C22" s="1691" t="s">
        <v>1215</v>
      </c>
      <c r="D22" s="1698"/>
      <c r="E22" s="1698"/>
      <c r="F22" s="1698" t="s">
        <v>533</v>
      </c>
      <c r="G22" s="1698"/>
      <c r="H22" s="1699"/>
      <c r="I22" s="1698" t="s">
        <v>1174</v>
      </c>
      <c r="J22" s="1698"/>
      <c r="K22" s="1698">
        <v>2400</v>
      </c>
      <c r="L22" s="1700">
        <v>0.17624999999999999</v>
      </c>
      <c r="M22" s="1787">
        <f>K22*L22</f>
        <v>423</v>
      </c>
      <c r="N22" s="1701"/>
      <c r="O22" s="1703"/>
      <c r="P22" s="1689"/>
      <c r="Q22" s="1689"/>
      <c r="R22" s="1785"/>
    </row>
    <row r="23" spans="2:29" s="1688" customFormat="1" ht="12.75" customHeight="1">
      <c r="C23" s="1697"/>
      <c r="D23" s="1698"/>
      <c r="E23" s="1698"/>
      <c r="F23" s="1698"/>
      <c r="G23" s="1698"/>
      <c r="H23" s="1699"/>
      <c r="I23" s="1698"/>
      <c r="J23" s="1698"/>
      <c r="K23" s="1698"/>
      <c r="L23" s="1700"/>
      <c r="M23" s="1700"/>
      <c r="N23" s="1701"/>
      <c r="O23" s="1703"/>
      <c r="P23" s="1689"/>
      <c r="Q23" s="1689"/>
      <c r="R23" s="1689"/>
    </row>
    <row r="24" spans="2:29" s="1688" customFormat="1" ht="12.75" customHeight="1">
      <c r="B24" s="46" t="s">
        <v>1188</v>
      </c>
      <c r="C24" s="46"/>
      <c r="D24" s="46"/>
      <c r="E24" s="46"/>
      <c r="F24" s="46"/>
      <c r="G24" s="46"/>
      <c r="H24" s="46"/>
      <c r="I24" s="46"/>
      <c r="J24" s="46"/>
      <c r="K24" s="46"/>
      <c r="L24" s="46"/>
      <c r="M24" s="46"/>
      <c r="N24" s="46"/>
      <c r="O24" s="46"/>
      <c r="P24" s="46"/>
      <c r="Q24" s="46"/>
      <c r="R24" s="46"/>
      <c r="S24" s="46"/>
      <c r="T24" s="46"/>
    </row>
    <row r="25" spans="2:29" s="1688" customFormat="1" ht="12.75" customHeight="1" thickBot="1">
      <c r="B25" s="1796"/>
      <c r="C25" s="1801" t="s">
        <v>1216</v>
      </c>
      <c r="D25" s="1796"/>
      <c r="E25" s="1796"/>
      <c r="F25" s="1796" t="s">
        <v>1173</v>
      </c>
      <c r="G25" s="1796" t="s">
        <v>1206</v>
      </c>
      <c r="H25" s="1796"/>
      <c r="I25" s="1796" t="s">
        <v>1174</v>
      </c>
      <c r="J25" s="1796"/>
      <c r="K25" s="1796">
        <v>1186</v>
      </c>
      <c r="L25" s="1799">
        <v>1</v>
      </c>
      <c r="M25" s="1796"/>
      <c r="N25" s="1797">
        <f>(M25*R25*8760)/1000</f>
        <v>0</v>
      </c>
      <c r="O25" s="1796">
        <v>7037</v>
      </c>
      <c r="P25" s="1796"/>
      <c r="Q25" s="1796"/>
      <c r="R25" s="1798">
        <v>0.68369999999999997</v>
      </c>
      <c r="S25" s="1796"/>
      <c r="T25" s="1796">
        <v>23.5</v>
      </c>
    </row>
    <row r="26" spans="2:29" s="1688" customFormat="1" ht="12.75" customHeight="1">
      <c r="C26" s="1697"/>
      <c r="D26" s="1698"/>
      <c r="E26" s="1698"/>
      <c r="F26" s="1698"/>
      <c r="G26" s="1698"/>
      <c r="H26" s="1699"/>
      <c r="I26" s="1698"/>
      <c r="J26" s="1698"/>
      <c r="K26" s="1698"/>
      <c r="L26" s="1700"/>
      <c r="M26" s="1787">
        <f>SUM(M7:M25)</f>
        <v>2979.1513999999997</v>
      </c>
      <c r="N26" s="1701"/>
      <c r="O26" s="1703"/>
      <c r="P26" s="1689"/>
      <c r="Q26" s="1689"/>
      <c r="R26" s="1689"/>
    </row>
    <row r="27" spans="2:29" s="1688" customFormat="1" ht="12.75" customHeight="1">
      <c r="C27" s="1462"/>
      <c r="D27" s="1698"/>
      <c r="E27" s="1698"/>
      <c r="F27" s="1698"/>
      <c r="G27" s="1698"/>
      <c r="H27" s="1699"/>
      <c r="I27" s="1698"/>
      <c r="J27" s="1698"/>
      <c r="K27" s="1698"/>
      <c r="L27" s="1700"/>
      <c r="M27" s="1786"/>
      <c r="N27" s="1701"/>
      <c r="O27" s="1703"/>
      <c r="P27" s="1689"/>
      <c r="Q27" s="1689"/>
      <c r="R27" s="1689"/>
    </row>
    <row r="28" spans="2:29" s="1688" customFormat="1" ht="12.75" customHeight="1">
      <c r="C28" s="1462"/>
      <c r="D28" s="1698"/>
      <c r="E28" s="1698"/>
      <c r="F28" s="1698"/>
      <c r="G28" s="1698"/>
      <c r="H28" s="1699"/>
      <c r="I28" s="1698"/>
      <c r="J28" s="1698"/>
      <c r="K28" s="1698"/>
      <c r="L28" s="1700"/>
      <c r="M28" s="1700"/>
      <c r="N28" s="1701"/>
      <c r="O28" s="1703"/>
      <c r="P28" s="1689"/>
      <c r="Q28" s="1689"/>
      <c r="R28" s="1689"/>
    </row>
    <row r="29" spans="2:29" s="1688" customFormat="1" ht="12.75" customHeight="1">
      <c r="C29" s="1697"/>
      <c r="D29" s="1698"/>
      <c r="E29" s="1698"/>
      <c r="F29" s="1698"/>
      <c r="G29" s="1698"/>
      <c r="H29" s="1699"/>
      <c r="I29" s="1698"/>
      <c r="J29" s="1698"/>
      <c r="K29" s="1693"/>
      <c r="L29" s="1700"/>
      <c r="M29" s="1786"/>
      <c r="N29" s="1701"/>
      <c r="O29" s="1702"/>
      <c r="P29" s="1689"/>
      <c r="Q29" s="1689"/>
      <c r="R29" s="1689"/>
    </row>
    <row r="30" spans="2:29" s="1688" customFormat="1" ht="12.75" customHeight="1">
      <c r="C30" s="1697"/>
      <c r="D30" s="1698"/>
      <c r="E30" s="1698"/>
      <c r="F30" s="1698"/>
      <c r="G30" s="1698"/>
      <c r="H30" s="1699"/>
      <c r="I30" s="1698"/>
      <c r="J30" s="1698"/>
      <c r="K30" s="1698"/>
      <c r="L30" s="1700"/>
      <c r="M30" s="1700"/>
      <c r="N30" s="1701"/>
      <c r="O30" s="1702"/>
      <c r="P30" s="1689"/>
      <c r="Q30" s="1689"/>
      <c r="R30" s="1689"/>
    </row>
    <row r="31" spans="2:29" s="1688" customFormat="1" ht="12.75" customHeight="1">
      <c r="C31" s="1697"/>
      <c r="D31" s="1698"/>
      <c r="E31" s="1698"/>
      <c r="F31" s="1698"/>
      <c r="G31" s="1698"/>
      <c r="H31" s="1699"/>
      <c r="I31" s="1698"/>
      <c r="J31" s="1698"/>
      <c r="K31" s="1698"/>
      <c r="L31" s="1700"/>
      <c r="M31" s="1700"/>
      <c r="N31" s="1701"/>
      <c r="O31" s="1702"/>
      <c r="P31" s="1689"/>
      <c r="Q31" s="1689"/>
      <c r="R31" s="1689"/>
    </row>
    <row r="32" spans="2:29" s="1688" customFormat="1" ht="12.75" customHeight="1">
      <c r="C32" s="1697"/>
      <c r="D32" s="1698"/>
      <c r="E32" s="1698"/>
      <c r="F32" s="1698"/>
      <c r="G32" s="1698"/>
      <c r="H32" s="1699"/>
      <c r="I32" s="1698"/>
      <c r="J32" s="1698"/>
      <c r="K32" s="1698"/>
      <c r="L32" s="1700"/>
      <c r="M32" s="1700"/>
      <c r="N32" s="1701"/>
      <c r="O32" s="1702"/>
      <c r="P32" s="1689"/>
      <c r="Q32" s="1689"/>
      <c r="R32" s="1689"/>
      <c r="T32" s="1462"/>
      <c r="U32" s="1462"/>
      <c r="V32" s="1462"/>
      <c r="W32" s="1462"/>
      <c r="X32" s="1462"/>
      <c r="Y32" s="1462"/>
      <c r="Z32" s="1462"/>
      <c r="AA32" s="1462"/>
      <c r="AB32" s="1462"/>
      <c r="AC32" s="1462"/>
    </row>
    <row r="33" spans="3:29" s="1688" customFormat="1" ht="12.75" customHeight="1">
      <c r="C33" s="1697"/>
      <c r="D33" s="1704"/>
      <c r="E33" s="1698"/>
      <c r="F33" s="1698"/>
      <c r="G33" s="1698"/>
      <c r="H33" s="1699"/>
      <c r="I33" s="1698"/>
      <c r="J33" s="1698"/>
      <c r="K33" s="1698"/>
      <c r="L33" s="1700"/>
      <c r="M33" s="1700"/>
      <c r="N33" s="1701"/>
      <c r="O33" s="1702"/>
      <c r="P33" s="1689"/>
      <c r="Q33" s="1689"/>
      <c r="R33" s="1689"/>
      <c r="T33" s="1462"/>
      <c r="U33" s="1462"/>
      <c r="V33" s="1462"/>
      <c r="W33" s="1462"/>
      <c r="X33" s="1462"/>
      <c r="Y33" s="1462"/>
      <c r="Z33" s="1462"/>
      <c r="AA33" s="1462"/>
      <c r="AB33" s="1462"/>
      <c r="AC33" s="1462"/>
    </row>
    <row r="34" spans="3:29" s="1688" customFormat="1" ht="12.75" customHeight="1">
      <c r="C34" s="1697"/>
      <c r="D34" s="1698"/>
      <c r="E34" s="1698"/>
      <c r="F34" s="1698"/>
      <c r="G34" s="1698"/>
      <c r="H34" s="1699"/>
      <c r="I34" s="1698"/>
      <c r="J34" s="1705"/>
      <c r="K34" s="1705"/>
      <c r="L34" s="1706"/>
      <c r="M34" s="1706"/>
      <c r="N34" s="1701"/>
      <c r="O34" s="1702"/>
      <c r="P34" s="1689"/>
      <c r="Q34" s="1689"/>
      <c r="R34" s="1689"/>
      <c r="T34" s="1462"/>
      <c r="U34" s="1462"/>
      <c r="V34" s="1462"/>
      <c r="W34" s="1462"/>
      <c r="X34" s="1462"/>
      <c r="Y34" s="1462"/>
      <c r="Z34" s="1462"/>
      <c r="AA34" s="1462"/>
      <c r="AB34" s="1462"/>
      <c r="AC34" s="1462"/>
    </row>
    <row r="35" spans="3:29" s="1688" customFormat="1" ht="12.75" customHeight="1">
      <c r="C35" s="1697"/>
      <c r="D35" s="1698"/>
      <c r="E35" s="1698"/>
      <c r="F35" s="1698"/>
      <c r="G35" s="1698"/>
      <c r="H35" s="1699"/>
      <c r="I35" s="1698"/>
      <c r="J35" s="1705"/>
      <c r="K35" s="1705"/>
      <c r="L35" s="1706"/>
      <c r="M35" s="1706"/>
      <c r="N35" s="1701"/>
      <c r="O35" s="1702"/>
      <c r="P35" s="1689"/>
      <c r="Q35" s="1689"/>
      <c r="R35" s="1689"/>
      <c r="T35" s="1462"/>
      <c r="U35" s="1462"/>
      <c r="V35" s="1462"/>
      <c r="W35" s="1462"/>
      <c r="X35" s="1462"/>
      <c r="Y35" s="1462"/>
      <c r="Z35" s="1462"/>
      <c r="AA35" s="1462"/>
      <c r="AB35" s="1462"/>
      <c r="AC35" s="1462"/>
    </row>
    <row r="36" spans="3:29" s="1688" customFormat="1" ht="12.75" customHeight="1">
      <c r="C36" s="1697"/>
      <c r="D36" s="1704"/>
      <c r="E36" s="1698"/>
      <c r="F36" s="1698"/>
      <c r="G36" s="1698"/>
      <c r="H36" s="1699"/>
      <c r="I36" s="1698"/>
      <c r="J36" s="1698"/>
      <c r="K36" s="1698"/>
      <c r="L36" s="1706"/>
      <c r="M36" s="1706"/>
      <c r="N36" s="1701"/>
      <c r="O36" s="1702"/>
      <c r="P36" s="1689"/>
      <c r="Q36" s="1689"/>
      <c r="R36" s="1689"/>
      <c r="T36" s="1462"/>
      <c r="U36" s="1462"/>
      <c r="V36" s="1462"/>
      <c r="W36" s="1462"/>
      <c r="X36" s="1462"/>
      <c r="Y36" s="1462"/>
      <c r="Z36" s="1462"/>
      <c r="AA36" s="1462"/>
      <c r="AB36" s="1462"/>
      <c r="AC36" s="1462"/>
    </row>
    <row r="37" spans="3:29" s="1688" customFormat="1" ht="12.75" customHeight="1">
      <c r="C37" s="1697"/>
      <c r="D37" s="1704"/>
      <c r="E37" s="1698"/>
      <c r="F37" s="1698"/>
      <c r="G37" s="1698"/>
      <c r="H37" s="1699"/>
      <c r="I37" s="1698"/>
      <c r="J37" s="1698"/>
      <c r="K37" s="1698"/>
      <c r="L37" s="1700"/>
      <c r="M37" s="1700"/>
      <c r="N37" s="1701"/>
      <c r="O37" s="1702"/>
      <c r="P37" s="1689"/>
      <c r="Q37" s="1689"/>
      <c r="R37" s="1689"/>
      <c r="T37" s="1462"/>
      <c r="U37" s="1462"/>
      <c r="V37" s="1462"/>
      <c r="W37" s="1462"/>
      <c r="X37" s="1462"/>
      <c r="Y37" s="1462"/>
      <c r="Z37" s="1462"/>
      <c r="AA37" s="1462"/>
      <c r="AB37" s="1462"/>
      <c r="AC37" s="1462"/>
    </row>
    <row r="38" spans="3:29" s="1688" customFormat="1" ht="12.75" customHeight="1">
      <c r="C38" s="1697"/>
      <c r="D38" s="1704"/>
      <c r="E38" s="1698"/>
      <c r="F38" s="1698"/>
      <c r="G38" s="1698"/>
      <c r="H38" s="1699"/>
      <c r="I38" s="1698"/>
      <c r="J38" s="1698"/>
      <c r="K38" s="1698"/>
      <c r="L38" s="1700"/>
      <c r="M38" s="1700"/>
      <c r="N38" s="1701"/>
      <c r="O38" s="1702"/>
      <c r="P38" s="1689"/>
      <c r="Q38" s="1689"/>
      <c r="R38" s="1689"/>
      <c r="T38" s="1462"/>
      <c r="U38" s="1462"/>
      <c r="V38" s="1462"/>
      <c r="W38" s="1462"/>
      <c r="X38" s="1462"/>
      <c r="Y38" s="1462"/>
      <c r="Z38" s="1462"/>
      <c r="AA38" s="1462"/>
      <c r="AB38" s="1462"/>
      <c r="AC38" s="1462"/>
    </row>
    <row r="39" spans="3:29" s="1688" customFormat="1" ht="12.75" customHeight="1">
      <c r="C39" s="1697"/>
      <c r="D39" s="1704"/>
      <c r="E39" s="1698"/>
      <c r="F39" s="1698"/>
      <c r="G39" s="1698"/>
      <c r="H39" s="1699"/>
      <c r="I39" s="1698"/>
      <c r="J39" s="1698"/>
      <c r="K39" s="1698"/>
      <c r="L39" s="1700"/>
      <c r="M39" s="1700"/>
      <c r="N39" s="1701"/>
      <c r="O39" s="1702"/>
      <c r="P39" s="1689"/>
      <c r="Q39" s="1689"/>
      <c r="R39" s="1689"/>
      <c r="T39" s="1462"/>
      <c r="U39" s="1462"/>
      <c r="V39" s="1462"/>
      <c r="W39" s="1462"/>
      <c r="X39" s="1462"/>
      <c r="Y39" s="1462"/>
      <c r="Z39" s="1462"/>
      <c r="AA39" s="1462"/>
      <c r="AB39" s="1462"/>
      <c r="AC39" s="1462"/>
    </row>
    <row r="40" spans="3:29" s="1688" customFormat="1" ht="12.75" customHeight="1">
      <c r="C40" s="1697"/>
      <c r="D40" s="1704"/>
      <c r="E40" s="1698"/>
      <c r="F40" s="1698"/>
      <c r="G40" s="1698"/>
      <c r="H40" s="1699"/>
      <c r="I40" s="1698"/>
      <c r="J40" s="1698"/>
      <c r="K40" s="1698"/>
      <c r="L40" s="1700"/>
      <c r="M40" s="1700"/>
      <c r="N40" s="1701"/>
      <c r="O40" s="1702"/>
      <c r="P40" s="1689"/>
      <c r="Q40" s="1689"/>
      <c r="R40" s="1689"/>
      <c r="T40" s="1462"/>
      <c r="U40" s="1462"/>
      <c r="V40" s="1462"/>
      <c r="W40" s="1462"/>
      <c r="X40" s="1462"/>
      <c r="Y40" s="1462"/>
      <c r="Z40" s="1462"/>
      <c r="AA40" s="1462"/>
      <c r="AB40" s="1462"/>
      <c r="AC40" s="1462"/>
    </row>
    <row r="41" spans="3:29" s="1688" customFormat="1" ht="12.75" customHeight="1">
      <c r="C41" s="1697"/>
      <c r="D41" s="1704"/>
      <c r="E41" s="1698"/>
      <c r="F41" s="1698"/>
      <c r="G41" s="1698"/>
      <c r="H41" s="1699"/>
      <c r="I41" s="1698"/>
      <c r="J41" s="1698"/>
      <c r="K41" s="1698"/>
      <c r="L41" s="1700"/>
      <c r="M41" s="1700"/>
      <c r="N41" s="1701"/>
      <c r="O41" s="1702"/>
      <c r="P41" s="1689"/>
      <c r="Q41" s="1689"/>
      <c r="R41" s="1689"/>
      <c r="T41" s="1462"/>
      <c r="U41" s="1462"/>
      <c r="V41" s="1462"/>
      <c r="W41" s="1462"/>
      <c r="X41" s="1462"/>
      <c r="Y41" s="1462"/>
      <c r="Z41" s="1462"/>
      <c r="AA41" s="1462"/>
      <c r="AB41" s="1462"/>
      <c r="AC41" s="1462"/>
    </row>
    <row r="42" spans="3:29" s="1688" customFormat="1" ht="12.75" customHeight="1">
      <c r="C42" s="1697"/>
      <c r="D42" s="1698"/>
      <c r="E42" s="1698"/>
      <c r="F42" s="1698"/>
      <c r="G42" s="1698"/>
      <c r="H42" s="1699"/>
      <c r="I42" s="1698"/>
      <c r="J42" s="1698"/>
      <c r="K42" s="1698"/>
      <c r="L42" s="1700"/>
      <c r="M42" s="1700"/>
      <c r="N42" s="1701"/>
      <c r="O42" s="1702"/>
      <c r="P42" s="1689"/>
      <c r="Q42" s="1689"/>
      <c r="R42" s="1689"/>
      <c r="T42" s="1462"/>
      <c r="U42" s="1462"/>
      <c r="V42" s="1462"/>
      <c r="W42" s="1462"/>
      <c r="X42" s="1462"/>
      <c r="Y42" s="1462"/>
      <c r="Z42" s="1462"/>
      <c r="AA42" s="1462"/>
      <c r="AB42" s="1462"/>
      <c r="AC42" s="1462"/>
    </row>
    <row r="43" spans="3:29" s="1688" customFormat="1" ht="12.75" customHeight="1">
      <c r="C43" s="1697"/>
      <c r="D43" s="1698"/>
      <c r="E43" s="1698"/>
      <c r="F43" s="1698"/>
      <c r="G43" s="1698"/>
      <c r="H43" s="1699"/>
      <c r="I43" s="1698"/>
      <c r="J43" s="1705"/>
      <c r="K43" s="1705"/>
      <c r="L43" s="1700"/>
      <c r="M43" s="1700"/>
      <c r="N43" s="1701"/>
      <c r="O43" s="1702"/>
      <c r="P43" s="1689"/>
      <c r="Q43" s="1689"/>
      <c r="R43" s="1689"/>
      <c r="T43" s="1462"/>
      <c r="U43" s="1462"/>
      <c r="V43" s="1462"/>
      <c r="W43" s="1462"/>
      <c r="X43" s="1462"/>
      <c r="Y43" s="1462"/>
      <c r="Z43" s="1462"/>
      <c r="AA43" s="1462"/>
      <c r="AB43" s="1462"/>
      <c r="AC43" s="1462"/>
    </row>
    <row r="44" spans="3:29" s="1688" customFormat="1" ht="12.75" customHeight="1">
      <c r="C44" s="1697"/>
      <c r="D44" s="1704"/>
      <c r="E44" s="1698"/>
      <c r="F44" s="1698"/>
      <c r="G44" s="1698"/>
      <c r="H44" s="1699"/>
      <c r="I44" s="1698"/>
      <c r="J44" s="1698"/>
      <c r="K44" s="1698"/>
      <c r="L44" s="1700"/>
      <c r="M44" s="1700"/>
      <c r="N44" s="1701"/>
      <c r="O44" s="1702"/>
      <c r="P44" s="1689"/>
      <c r="Q44" s="1689"/>
      <c r="R44" s="1689"/>
      <c r="T44" s="1462"/>
      <c r="U44" s="1462"/>
      <c r="V44" s="1462"/>
      <c r="W44" s="1462"/>
      <c r="X44" s="1462"/>
      <c r="Y44" s="1462"/>
      <c r="Z44" s="1462"/>
      <c r="AA44" s="1462"/>
      <c r="AB44" s="1462"/>
      <c r="AC44" s="1462"/>
    </row>
    <row r="45" spans="3:29" s="1688" customFormat="1" ht="12.75" customHeight="1">
      <c r="C45" s="1697"/>
      <c r="D45" s="1704"/>
      <c r="E45" s="1698"/>
      <c r="F45" s="1698"/>
      <c r="G45" s="1698"/>
      <c r="H45" s="1699"/>
      <c r="I45" s="1698"/>
      <c r="J45" s="1698"/>
      <c r="K45" s="1698"/>
      <c r="L45" s="1700"/>
      <c r="M45" s="1700"/>
      <c r="N45" s="1701"/>
      <c r="O45" s="1702"/>
      <c r="P45" s="1689"/>
      <c r="Q45" s="1689"/>
      <c r="R45" s="1689"/>
      <c r="T45" s="1462"/>
      <c r="U45" s="1462"/>
      <c r="V45" s="1462"/>
      <c r="W45" s="1462"/>
      <c r="X45" s="1462"/>
      <c r="Y45" s="1462"/>
      <c r="Z45" s="1462"/>
      <c r="AA45" s="1462"/>
      <c r="AB45" s="1462"/>
      <c r="AC45" s="1462"/>
    </row>
    <row r="46" spans="3:29" s="1688" customFormat="1" ht="12.75" customHeight="1">
      <c r="C46" s="1707"/>
      <c r="D46" s="1699"/>
      <c r="E46" s="1699"/>
      <c r="F46" s="1705"/>
      <c r="G46" s="1705"/>
      <c r="H46" s="1699"/>
      <c r="I46" s="1705"/>
      <c r="J46" s="1705"/>
      <c r="K46" s="1705"/>
      <c r="L46" s="1708"/>
      <c r="M46" s="1708"/>
      <c r="N46" s="1709"/>
      <c r="O46" s="1703"/>
      <c r="P46" s="1710"/>
      <c r="Q46" s="1705"/>
      <c r="R46" s="1689"/>
      <c r="T46" s="1462"/>
      <c r="U46" s="1462"/>
      <c r="V46" s="1462"/>
      <c r="W46" s="1462"/>
      <c r="X46" s="1462"/>
      <c r="Y46" s="1462"/>
      <c r="Z46" s="1462"/>
      <c r="AA46" s="1462"/>
      <c r="AB46" s="1462"/>
      <c r="AC46" s="1462"/>
    </row>
    <row r="47" spans="3:29" s="1688" customFormat="1" ht="12.75" customHeight="1">
      <c r="C47" s="1707"/>
      <c r="D47" s="1699"/>
      <c r="E47" s="1699"/>
      <c r="F47" s="1705"/>
      <c r="G47" s="1705"/>
      <c r="H47" s="1699"/>
      <c r="I47" s="1705"/>
      <c r="J47" s="1705"/>
      <c r="K47" s="1705"/>
      <c r="L47" s="1708"/>
      <c r="M47" s="1708"/>
      <c r="N47" s="1709"/>
      <c r="O47" s="1703"/>
      <c r="P47" s="1710"/>
      <c r="Q47" s="1705"/>
      <c r="R47" s="1689"/>
      <c r="T47" s="1462"/>
      <c r="U47" s="1462"/>
      <c r="V47" s="1462"/>
      <c r="W47" s="1462"/>
      <c r="X47" s="1462"/>
      <c r="Y47" s="1462"/>
      <c r="Z47" s="1462"/>
      <c r="AA47" s="1462"/>
      <c r="AB47" s="1462"/>
      <c r="AC47" s="1462"/>
    </row>
    <row r="48" spans="3:29" s="1688" customFormat="1" ht="12.75" customHeight="1">
      <c r="C48" s="1707"/>
      <c r="D48" s="1699"/>
      <c r="E48" s="1699"/>
      <c r="F48" s="1705"/>
      <c r="G48" s="1705"/>
      <c r="H48" s="1699"/>
      <c r="I48" s="1705"/>
      <c r="J48" s="1705"/>
      <c r="K48" s="1705"/>
      <c r="L48" s="1708"/>
      <c r="M48" s="1708"/>
      <c r="N48" s="1709"/>
      <c r="O48" s="1703"/>
      <c r="P48" s="1710"/>
      <c r="Q48" s="1705"/>
      <c r="R48" s="1689"/>
      <c r="T48" s="1462"/>
      <c r="U48" s="1462"/>
      <c r="V48" s="1462"/>
      <c r="W48" s="1462"/>
      <c r="X48" s="1462"/>
      <c r="Y48" s="1462"/>
      <c r="Z48" s="1462"/>
      <c r="AA48" s="1462"/>
      <c r="AB48" s="1462"/>
      <c r="AC48" s="1462"/>
    </row>
    <row r="49" spans="3:29" s="1688" customFormat="1" ht="12.75" customHeight="1">
      <c r="C49" s="1707"/>
      <c r="D49" s="1704"/>
      <c r="E49" s="1699"/>
      <c r="F49" s="1705"/>
      <c r="G49" s="1705"/>
      <c r="H49" s="1699"/>
      <c r="I49" s="1698"/>
      <c r="J49" s="1698"/>
      <c r="K49" s="1698"/>
      <c r="L49" s="1708"/>
      <c r="M49" s="1708"/>
      <c r="N49" s="1709"/>
      <c r="O49" s="1703"/>
      <c r="P49" s="1710"/>
      <c r="Q49" s="1705"/>
      <c r="R49" s="1689"/>
      <c r="T49" s="1462"/>
      <c r="U49" s="1462"/>
      <c r="V49" s="1462"/>
      <c r="W49" s="1462"/>
      <c r="X49" s="1462"/>
      <c r="Y49" s="1462"/>
      <c r="Z49" s="1462"/>
      <c r="AA49" s="1462"/>
      <c r="AB49" s="1462"/>
      <c r="AC49" s="1462"/>
    </row>
    <row r="50" spans="3:29" s="1688" customFormat="1" ht="12.75" customHeight="1">
      <c r="C50" s="1707"/>
      <c r="D50" s="1704"/>
      <c r="E50" s="1699"/>
      <c r="F50" s="1705"/>
      <c r="G50" s="1705"/>
      <c r="H50" s="1699"/>
      <c r="I50" s="1698"/>
      <c r="J50" s="1698"/>
      <c r="K50" s="1698"/>
      <c r="L50" s="1708"/>
      <c r="M50" s="1708"/>
      <c r="N50" s="1709"/>
      <c r="O50" s="1703"/>
      <c r="P50" s="1710"/>
      <c r="Q50" s="1705"/>
      <c r="R50" s="1689"/>
      <c r="T50" s="1462"/>
      <c r="U50" s="1462"/>
      <c r="V50" s="1462"/>
      <c r="W50" s="1462"/>
      <c r="X50" s="1462"/>
      <c r="Y50" s="1462"/>
      <c r="Z50" s="1462"/>
      <c r="AA50" s="1462"/>
      <c r="AB50" s="1462"/>
      <c r="AC50" s="1462"/>
    </row>
    <row r="51" spans="3:29" s="1688" customFormat="1" ht="12.75" customHeight="1">
      <c r="C51" s="1707"/>
      <c r="D51" s="1704"/>
      <c r="E51" s="1699"/>
      <c r="F51" s="1705"/>
      <c r="G51" s="1705"/>
      <c r="H51" s="1699"/>
      <c r="I51" s="1698"/>
      <c r="J51" s="1698"/>
      <c r="K51" s="1698"/>
      <c r="L51" s="1708"/>
      <c r="M51" s="1708"/>
      <c r="N51" s="1709"/>
      <c r="O51" s="1703"/>
      <c r="P51" s="1689"/>
      <c r="Q51" s="1705"/>
      <c r="R51" s="1689"/>
      <c r="T51" s="1462"/>
      <c r="U51" s="1462"/>
      <c r="V51" s="1462"/>
      <c r="W51" s="1462"/>
      <c r="X51" s="1462"/>
      <c r="Y51" s="1462"/>
      <c r="Z51" s="1462"/>
      <c r="AA51" s="1462"/>
      <c r="AB51" s="1462"/>
      <c r="AC51" s="1462"/>
    </row>
    <row r="52" spans="3:29" s="1688" customFormat="1" ht="12.75" customHeight="1">
      <c r="C52" s="1707"/>
      <c r="D52" s="1704"/>
      <c r="E52" s="1698"/>
      <c r="F52" s="1698"/>
      <c r="G52" s="1698"/>
      <c r="H52" s="1699"/>
      <c r="I52" s="1698"/>
      <c r="J52" s="1705"/>
      <c r="K52" s="1705"/>
      <c r="L52" s="1708"/>
      <c r="M52" s="1708"/>
      <c r="N52" s="1709"/>
      <c r="O52" s="1703"/>
      <c r="P52" s="1689"/>
      <c r="Q52" s="1705"/>
      <c r="R52" s="1689"/>
      <c r="T52" s="1462"/>
      <c r="U52" s="1462"/>
      <c r="V52" s="1462"/>
      <c r="W52" s="1462"/>
      <c r="X52" s="1462"/>
      <c r="Y52" s="1462"/>
      <c r="Z52" s="1462"/>
      <c r="AA52" s="1462"/>
      <c r="AB52" s="1462"/>
      <c r="AC52" s="1462"/>
    </row>
    <row r="53" spans="3:29" s="1688" customFormat="1" ht="12.75" customHeight="1">
      <c r="C53" s="1707"/>
      <c r="D53" s="1704"/>
      <c r="E53" s="1699"/>
      <c r="F53" s="1705"/>
      <c r="G53" s="1705"/>
      <c r="H53" s="1699"/>
      <c r="I53" s="1698"/>
      <c r="J53" s="1698"/>
      <c r="K53" s="1698"/>
      <c r="L53" s="1708"/>
      <c r="M53" s="1708"/>
      <c r="N53" s="1709"/>
      <c r="O53" s="1703"/>
      <c r="P53" s="1710"/>
      <c r="Q53" s="1705"/>
      <c r="R53" s="1689"/>
      <c r="T53" s="1462"/>
      <c r="U53" s="1462"/>
      <c r="V53" s="1462"/>
      <c r="W53" s="1462"/>
      <c r="X53" s="1462"/>
      <c r="Y53" s="1462"/>
      <c r="Z53" s="1462"/>
      <c r="AA53" s="1462"/>
      <c r="AB53" s="1462"/>
      <c r="AC53" s="1462"/>
    </row>
    <row r="54" spans="3:29" s="1688" customFormat="1" ht="12.75" customHeight="1">
      <c r="C54" s="1707"/>
      <c r="D54" s="1704"/>
      <c r="E54" s="1699"/>
      <c r="F54" s="1705"/>
      <c r="G54" s="1705"/>
      <c r="H54" s="1699"/>
      <c r="I54" s="1698"/>
      <c r="J54" s="1698"/>
      <c r="K54" s="1698"/>
      <c r="L54" s="1708"/>
      <c r="M54" s="1708"/>
      <c r="N54" s="1709"/>
      <c r="O54" s="1703"/>
      <c r="P54" s="1710"/>
      <c r="Q54" s="1705"/>
      <c r="R54" s="1689"/>
      <c r="T54" s="1462"/>
      <c r="U54" s="1462"/>
      <c r="V54" s="1462"/>
      <c r="W54" s="1462"/>
      <c r="X54" s="1462"/>
      <c r="Y54" s="1462"/>
      <c r="Z54" s="1462"/>
      <c r="AA54" s="1462"/>
      <c r="AB54" s="1462"/>
      <c r="AC54" s="1462"/>
    </row>
    <row r="55" spans="3:29" s="1688" customFormat="1" ht="12.75" customHeight="1">
      <c r="C55" s="1707"/>
      <c r="D55" s="1699"/>
      <c r="E55" s="1699"/>
      <c r="F55" s="1705"/>
      <c r="G55" s="1705"/>
      <c r="H55" s="1699"/>
      <c r="I55" s="1705"/>
      <c r="J55" s="1705"/>
      <c r="K55" s="1705"/>
      <c r="L55" s="1708"/>
      <c r="M55" s="1708"/>
      <c r="N55" s="1709"/>
      <c r="O55" s="1703"/>
      <c r="P55" s="1689"/>
      <c r="Q55" s="1705"/>
      <c r="R55" s="1689"/>
      <c r="T55" s="1462"/>
      <c r="U55" s="1462"/>
      <c r="V55" s="1462"/>
      <c r="W55" s="1462"/>
      <c r="X55" s="1462"/>
      <c r="Y55" s="1462"/>
      <c r="Z55" s="1462"/>
      <c r="AA55" s="1462"/>
      <c r="AB55" s="1462"/>
      <c r="AC55" s="1462"/>
    </row>
    <row r="56" spans="3:29" s="1688" customFormat="1" ht="12.75" customHeight="1">
      <c r="C56" s="1707"/>
      <c r="D56" s="1699"/>
      <c r="E56" s="1699"/>
      <c r="F56" s="1705"/>
      <c r="G56" s="1705"/>
      <c r="H56" s="1699"/>
      <c r="I56" s="1705"/>
      <c r="J56" s="1705"/>
      <c r="K56" s="1705"/>
      <c r="L56" s="1708"/>
      <c r="M56" s="1708"/>
      <c r="N56" s="1709"/>
      <c r="O56" s="1703"/>
      <c r="P56" s="1689"/>
      <c r="Q56" s="1705"/>
      <c r="R56" s="1689"/>
      <c r="T56" s="1462"/>
      <c r="U56" s="1462"/>
      <c r="V56" s="1462"/>
      <c r="W56" s="1462"/>
      <c r="X56" s="1462"/>
      <c r="Y56" s="1462"/>
      <c r="Z56" s="1462"/>
      <c r="AA56" s="1462"/>
      <c r="AB56" s="1462"/>
      <c r="AC56" s="1462"/>
    </row>
    <row r="57" spans="3:29" s="1688" customFormat="1" ht="12.75" customHeight="1">
      <c r="C57" s="1707"/>
      <c r="D57" s="1699"/>
      <c r="E57" s="1699"/>
      <c r="F57" s="1705"/>
      <c r="G57" s="1705"/>
      <c r="H57" s="1699"/>
      <c r="I57" s="1705"/>
      <c r="J57" s="1705"/>
      <c r="K57" s="1705"/>
      <c r="L57" s="1708"/>
      <c r="M57" s="1708"/>
      <c r="N57" s="1709"/>
      <c r="O57" s="1703"/>
      <c r="P57" s="1689"/>
      <c r="Q57" s="1705"/>
      <c r="R57" s="1689"/>
      <c r="T57" s="1462"/>
      <c r="U57" s="1462"/>
      <c r="V57" s="1462"/>
      <c r="W57" s="1462"/>
      <c r="X57" s="1462"/>
      <c r="Y57" s="1462"/>
      <c r="Z57" s="1462"/>
      <c r="AA57" s="1462"/>
      <c r="AB57" s="1462"/>
      <c r="AC57" s="1462"/>
    </row>
    <row r="58" spans="3:29" s="1688" customFormat="1" ht="12.75" customHeight="1">
      <c r="C58" s="1707"/>
      <c r="D58" s="1704"/>
      <c r="E58" s="1698"/>
      <c r="F58" s="1698"/>
      <c r="G58" s="1698"/>
      <c r="H58" s="1699"/>
      <c r="I58" s="1698"/>
      <c r="J58" s="1698"/>
      <c r="K58" s="1698"/>
      <c r="L58" s="1708"/>
      <c r="M58" s="1708"/>
      <c r="N58" s="1709"/>
      <c r="O58" s="1703"/>
      <c r="P58" s="1689"/>
      <c r="Q58" s="1705"/>
      <c r="R58" s="1689"/>
      <c r="T58" s="1462"/>
      <c r="U58" s="1462"/>
      <c r="V58" s="1462"/>
      <c r="W58" s="1462"/>
      <c r="X58" s="1462"/>
      <c r="Y58" s="1462"/>
      <c r="Z58" s="1462"/>
      <c r="AA58" s="1462"/>
      <c r="AB58" s="1462"/>
      <c r="AC58" s="1462"/>
    </row>
    <row r="59" spans="3:29" s="1688" customFormat="1" ht="12.75" customHeight="1">
      <c r="C59" s="1707"/>
      <c r="D59" s="1704"/>
      <c r="E59" s="1698"/>
      <c r="F59" s="1698"/>
      <c r="G59" s="1698"/>
      <c r="H59" s="1699"/>
      <c r="I59" s="1698"/>
      <c r="J59" s="1698"/>
      <c r="K59" s="1698"/>
      <c r="L59" s="1708"/>
      <c r="M59" s="1708"/>
      <c r="N59" s="1709"/>
      <c r="O59" s="1703"/>
      <c r="P59" s="1689"/>
      <c r="Q59" s="1705"/>
      <c r="R59" s="1689"/>
      <c r="T59" s="1462"/>
      <c r="U59" s="1462"/>
      <c r="V59" s="1462"/>
      <c r="W59" s="1462"/>
      <c r="X59" s="1462"/>
      <c r="Y59" s="1462"/>
      <c r="Z59" s="1462"/>
      <c r="AA59" s="1462"/>
      <c r="AB59" s="1462"/>
      <c r="AC59" s="1462"/>
    </row>
    <row r="60" spans="3:29" s="1688" customFormat="1" ht="12.75" customHeight="1">
      <c r="C60" s="1707"/>
      <c r="D60" s="1699"/>
      <c r="E60" s="1698"/>
      <c r="F60" s="1698"/>
      <c r="G60" s="1698"/>
      <c r="H60" s="1699"/>
      <c r="I60" s="1698"/>
      <c r="J60" s="1698"/>
      <c r="K60" s="1698"/>
      <c r="L60" s="1708"/>
      <c r="M60" s="1708"/>
      <c r="N60" s="1709"/>
      <c r="O60" s="1703"/>
      <c r="P60" s="1689"/>
      <c r="Q60" s="1705"/>
      <c r="R60" s="1689"/>
      <c r="T60" s="1462"/>
      <c r="U60" s="1462"/>
      <c r="V60" s="1462"/>
      <c r="W60" s="1462"/>
      <c r="X60" s="1462"/>
      <c r="Y60" s="1462"/>
      <c r="Z60" s="1462"/>
      <c r="AA60" s="1462"/>
      <c r="AB60" s="1462"/>
      <c r="AC60" s="1462"/>
    </row>
    <row r="61" spans="3:29" s="1688" customFormat="1" ht="12.75" customHeight="1">
      <c r="C61" s="1707"/>
      <c r="D61" s="1704"/>
      <c r="E61" s="1698"/>
      <c r="F61" s="1698"/>
      <c r="G61" s="1698"/>
      <c r="H61" s="1699"/>
      <c r="I61" s="1698"/>
      <c r="J61" s="1698"/>
      <c r="K61" s="1698"/>
      <c r="L61" s="1708"/>
      <c r="M61" s="1708"/>
      <c r="N61" s="1709"/>
      <c r="O61" s="1703"/>
      <c r="P61" s="1689"/>
      <c r="Q61" s="1705"/>
      <c r="R61" s="1689"/>
      <c r="T61" s="1462"/>
      <c r="U61" s="1462"/>
      <c r="V61" s="1462"/>
      <c r="W61" s="1462"/>
      <c r="X61" s="1462"/>
      <c r="Y61" s="1462"/>
      <c r="Z61" s="1462"/>
      <c r="AA61" s="1462"/>
      <c r="AB61" s="1462"/>
      <c r="AC61" s="1462"/>
    </row>
    <row r="62" spans="3:29" s="1688" customFormat="1" ht="12.75" customHeight="1">
      <c r="C62" s="1707"/>
      <c r="D62" s="1704"/>
      <c r="E62" s="1699"/>
      <c r="F62" s="1705"/>
      <c r="G62" s="1705"/>
      <c r="H62" s="1699"/>
      <c r="I62" s="1698"/>
      <c r="J62" s="1698"/>
      <c r="K62" s="1698"/>
      <c r="L62" s="1708"/>
      <c r="M62" s="1708"/>
      <c r="N62" s="1709"/>
      <c r="O62" s="1703"/>
      <c r="P62" s="1710"/>
      <c r="Q62" s="1705"/>
      <c r="R62" s="1689"/>
      <c r="T62" s="1462"/>
      <c r="U62" s="1462"/>
      <c r="V62" s="1462"/>
      <c r="W62" s="1462"/>
      <c r="X62" s="1462"/>
      <c r="Y62" s="1462"/>
      <c r="Z62" s="1462"/>
      <c r="AA62" s="1462"/>
      <c r="AB62" s="1462"/>
      <c r="AC62" s="1462"/>
    </row>
    <row r="63" spans="3:29" s="1688" customFormat="1" ht="12.75" customHeight="1">
      <c r="C63" s="1707"/>
      <c r="D63" s="1699"/>
      <c r="E63" s="1699"/>
      <c r="F63" s="1705"/>
      <c r="G63" s="1705"/>
      <c r="H63" s="1699"/>
      <c r="I63" s="1705"/>
      <c r="J63" s="1705"/>
      <c r="K63" s="1705"/>
      <c r="L63" s="1711"/>
      <c r="M63" s="1711"/>
      <c r="N63" s="1709"/>
      <c r="O63" s="1703"/>
      <c r="P63" s="1710"/>
      <c r="Q63" s="1705"/>
      <c r="R63" s="1689"/>
      <c r="T63" s="1462"/>
      <c r="U63" s="1462"/>
      <c r="V63" s="1462"/>
      <c r="W63" s="1462"/>
      <c r="X63" s="1462"/>
      <c r="Y63" s="1462"/>
      <c r="Z63" s="1462"/>
      <c r="AA63" s="1462"/>
      <c r="AB63" s="1462"/>
      <c r="AC63" s="1462"/>
    </row>
    <row r="64" spans="3:29" s="1688" customFormat="1" ht="12.75" customHeight="1">
      <c r="C64" s="1707"/>
      <c r="D64" s="1699"/>
      <c r="E64" s="1699"/>
      <c r="F64" s="1705"/>
      <c r="G64" s="1705"/>
      <c r="H64" s="1699"/>
      <c r="I64" s="1705"/>
      <c r="J64" s="1705"/>
      <c r="K64" s="1705"/>
      <c r="L64" s="1711"/>
      <c r="M64" s="1711"/>
      <c r="N64" s="1709"/>
      <c r="O64" s="1703"/>
      <c r="P64" s="1710"/>
      <c r="Q64" s="1705"/>
      <c r="R64" s="1689"/>
      <c r="T64" s="1462"/>
      <c r="U64" s="1462"/>
      <c r="V64" s="1462"/>
      <c r="W64" s="1462"/>
      <c r="X64" s="1462"/>
      <c r="Y64" s="1462"/>
      <c r="Z64" s="1462"/>
      <c r="AA64" s="1462"/>
      <c r="AB64" s="1462"/>
      <c r="AC64" s="1462"/>
    </row>
    <row r="65" spans="3:29" s="1688" customFormat="1" ht="12.75" customHeight="1">
      <c r="C65" s="1707"/>
      <c r="D65" s="1699"/>
      <c r="E65" s="1699"/>
      <c r="F65" s="1705"/>
      <c r="G65" s="1705"/>
      <c r="H65" s="1699"/>
      <c r="I65" s="1705"/>
      <c r="J65" s="1705"/>
      <c r="K65" s="1705"/>
      <c r="L65" s="1711"/>
      <c r="M65" s="1711"/>
      <c r="N65" s="1709"/>
      <c r="O65" s="1703"/>
      <c r="P65" s="1710"/>
      <c r="Q65" s="1705"/>
      <c r="R65" s="1689"/>
      <c r="T65" s="1462"/>
      <c r="U65" s="1462"/>
      <c r="V65" s="1462"/>
      <c r="W65" s="1462"/>
      <c r="X65" s="1462"/>
      <c r="Y65" s="1462"/>
      <c r="Z65" s="1462"/>
      <c r="AA65" s="1462"/>
      <c r="AB65" s="1462"/>
      <c r="AC65" s="1462"/>
    </row>
    <row r="66" spans="3:29" s="1688" customFormat="1" ht="12.75" customHeight="1">
      <c r="C66" s="1707"/>
      <c r="D66" s="1699"/>
      <c r="E66" s="1699"/>
      <c r="F66" s="1705"/>
      <c r="G66" s="1705"/>
      <c r="H66" s="1699"/>
      <c r="I66" s="1705"/>
      <c r="J66" s="1705"/>
      <c r="K66" s="1705"/>
      <c r="L66" s="1711"/>
      <c r="M66" s="1711"/>
      <c r="N66" s="1709"/>
      <c r="O66" s="1703"/>
      <c r="P66" s="1710"/>
      <c r="Q66" s="1705"/>
      <c r="R66" s="1689"/>
      <c r="T66" s="1462"/>
      <c r="U66" s="1462"/>
      <c r="V66" s="1462"/>
      <c r="W66" s="1462"/>
      <c r="X66" s="1462"/>
      <c r="Y66" s="1462"/>
      <c r="Z66" s="1462"/>
      <c r="AA66" s="1462"/>
      <c r="AB66" s="1462"/>
      <c r="AC66" s="1462"/>
    </row>
    <row r="67" spans="3:29" s="1688" customFormat="1" ht="12.75" customHeight="1">
      <c r="C67" s="1707"/>
      <c r="D67" s="1699"/>
      <c r="E67" s="1699"/>
      <c r="F67" s="1705"/>
      <c r="G67" s="1705"/>
      <c r="H67" s="1699"/>
      <c r="I67" s="1705"/>
      <c r="J67" s="1705"/>
      <c r="K67" s="1705"/>
      <c r="L67" s="1711"/>
      <c r="M67" s="1711"/>
      <c r="N67" s="1709"/>
      <c r="O67" s="1703"/>
      <c r="P67" s="1710"/>
      <c r="Q67" s="1705"/>
      <c r="R67" s="1689"/>
      <c r="T67" s="1462"/>
      <c r="U67" s="1462"/>
      <c r="V67" s="1462"/>
      <c r="W67" s="1462"/>
      <c r="X67" s="1462"/>
      <c r="Y67" s="1462"/>
      <c r="Z67" s="1462"/>
      <c r="AA67" s="1462"/>
      <c r="AB67" s="1462"/>
      <c r="AC67" s="1462"/>
    </row>
    <row r="68" spans="3:29" s="1688" customFormat="1" ht="12.75" customHeight="1">
      <c r="C68" s="1707"/>
      <c r="D68" s="1699"/>
      <c r="E68" s="1699"/>
      <c r="F68" s="1705"/>
      <c r="G68" s="1705"/>
      <c r="H68" s="1699"/>
      <c r="I68" s="1705"/>
      <c r="J68" s="1705"/>
      <c r="K68" s="1705"/>
      <c r="L68" s="1711"/>
      <c r="M68" s="1711"/>
      <c r="N68" s="1709"/>
      <c r="O68" s="1703"/>
      <c r="P68" s="1689"/>
      <c r="Q68" s="1705"/>
      <c r="R68" s="1689"/>
      <c r="T68" s="1462"/>
      <c r="U68" s="1462"/>
      <c r="V68" s="1462"/>
      <c r="W68" s="1462"/>
      <c r="X68" s="1462"/>
      <c r="Y68" s="1462"/>
      <c r="Z68" s="1462"/>
      <c r="AA68" s="1462"/>
      <c r="AB68" s="1462"/>
      <c r="AC68" s="1462"/>
    </row>
    <row r="69" spans="3:29" s="1688" customFormat="1" ht="12.75" customHeight="1">
      <c r="C69" s="1707"/>
      <c r="D69" s="1699"/>
      <c r="E69" s="1699"/>
      <c r="F69" s="1705"/>
      <c r="G69" s="1705"/>
      <c r="H69" s="1699"/>
      <c r="I69" s="1705"/>
      <c r="J69" s="1705"/>
      <c r="K69" s="1705"/>
      <c r="L69" s="1711"/>
      <c r="M69" s="1711"/>
      <c r="N69" s="1709"/>
      <c r="O69" s="1703"/>
      <c r="P69" s="1689"/>
      <c r="Q69" s="1705"/>
      <c r="R69" s="1689"/>
      <c r="T69" s="1462"/>
      <c r="U69" s="1462"/>
      <c r="V69" s="1462"/>
      <c r="W69" s="1462"/>
      <c r="X69" s="1462"/>
      <c r="Y69" s="1462"/>
      <c r="Z69" s="1462"/>
      <c r="AA69" s="1462"/>
      <c r="AB69" s="1462"/>
      <c r="AC69" s="1462"/>
    </row>
    <row r="70" spans="3:29" s="1688" customFormat="1" ht="12.75" customHeight="1">
      <c r="C70" s="1707"/>
      <c r="D70" s="1699"/>
      <c r="E70" s="1699"/>
      <c r="F70" s="1705"/>
      <c r="G70" s="1705"/>
      <c r="H70" s="1699"/>
      <c r="I70" s="1705"/>
      <c r="J70" s="1705"/>
      <c r="K70" s="1705"/>
      <c r="L70" s="1711"/>
      <c r="M70" s="1711"/>
      <c r="N70" s="1709"/>
      <c r="O70" s="1703"/>
      <c r="P70" s="1689"/>
      <c r="Q70" s="1705"/>
      <c r="R70" s="1689"/>
      <c r="T70" s="1462"/>
      <c r="U70" s="1462"/>
      <c r="V70" s="1462"/>
      <c r="W70" s="1462"/>
      <c r="X70" s="1462"/>
      <c r="Y70" s="1462"/>
      <c r="Z70" s="1462"/>
      <c r="AA70" s="1462"/>
      <c r="AB70" s="1462"/>
      <c r="AC70" s="1462"/>
    </row>
    <row r="71" spans="3:29" s="1688" customFormat="1" ht="12.75" customHeight="1">
      <c r="C71" s="1707"/>
      <c r="D71" s="1699"/>
      <c r="E71" s="1699"/>
      <c r="F71" s="1705"/>
      <c r="G71" s="1705"/>
      <c r="H71" s="1699"/>
      <c r="I71" s="1705"/>
      <c r="J71" s="1705"/>
      <c r="K71" s="1705"/>
      <c r="L71" s="1711"/>
      <c r="M71" s="1711"/>
      <c r="N71" s="1709"/>
      <c r="O71" s="1703"/>
      <c r="P71" s="1689"/>
      <c r="Q71" s="1705"/>
      <c r="R71" s="1689"/>
      <c r="T71" s="1462"/>
      <c r="U71" s="1462"/>
      <c r="V71" s="1462"/>
      <c r="W71" s="1462"/>
      <c r="X71" s="1462"/>
      <c r="Y71" s="1462"/>
      <c r="Z71" s="1462"/>
      <c r="AA71" s="1462"/>
      <c r="AB71" s="1462"/>
      <c r="AC71" s="1462"/>
    </row>
    <row r="72" spans="3:29" s="1688" customFormat="1" ht="12.75" customHeight="1">
      <c r="C72" s="1707"/>
      <c r="D72" s="1699"/>
      <c r="E72" s="1699"/>
      <c r="F72" s="1705"/>
      <c r="G72" s="1705"/>
      <c r="H72" s="1699"/>
      <c r="I72" s="1705"/>
      <c r="J72" s="1705"/>
      <c r="K72" s="1705"/>
      <c r="L72" s="1711"/>
      <c r="M72" s="1711"/>
      <c r="N72" s="1709"/>
      <c r="O72" s="1703"/>
      <c r="P72" s="1689"/>
      <c r="Q72" s="1705"/>
      <c r="R72" s="1689"/>
      <c r="T72" s="1462"/>
      <c r="U72" s="1462"/>
      <c r="V72" s="1462"/>
      <c r="W72" s="1462"/>
      <c r="X72" s="1462"/>
      <c r="Y72" s="1462"/>
      <c r="Z72" s="1462"/>
      <c r="AA72" s="1462"/>
      <c r="AB72" s="1462"/>
      <c r="AC72" s="1462"/>
    </row>
    <row r="73" spans="3:29" s="1688" customFormat="1" ht="12.75" customHeight="1">
      <c r="C73" s="1707"/>
      <c r="D73" s="1699"/>
      <c r="E73" s="1699"/>
      <c r="F73" s="1705"/>
      <c r="G73" s="1705"/>
      <c r="H73" s="1699"/>
      <c r="I73" s="1705"/>
      <c r="J73" s="1705"/>
      <c r="K73" s="1705"/>
      <c r="L73" s="1711"/>
      <c r="M73" s="1711"/>
      <c r="N73" s="1709"/>
      <c r="O73" s="1703"/>
      <c r="P73" s="1689"/>
      <c r="Q73" s="1705"/>
      <c r="R73" s="1689"/>
      <c r="T73" s="1462"/>
      <c r="U73" s="1462"/>
      <c r="V73" s="1462"/>
      <c r="W73" s="1462"/>
      <c r="X73" s="1462"/>
      <c r="Y73" s="1462"/>
      <c r="Z73" s="1462"/>
      <c r="AA73" s="1462"/>
      <c r="AB73" s="1462"/>
      <c r="AC73" s="1462"/>
    </row>
    <row r="74" spans="3:29" s="1688" customFormat="1" ht="12.75" customHeight="1">
      <c r="C74" s="1707"/>
      <c r="D74" s="1699"/>
      <c r="E74" s="1699"/>
      <c r="F74" s="1705"/>
      <c r="G74" s="1705"/>
      <c r="H74" s="1699"/>
      <c r="I74" s="1705"/>
      <c r="J74" s="1705"/>
      <c r="K74" s="1705"/>
      <c r="L74" s="1711"/>
      <c r="M74" s="1711"/>
      <c r="N74" s="1709"/>
      <c r="O74" s="1703"/>
      <c r="P74" s="1689"/>
      <c r="Q74" s="1705"/>
      <c r="R74" s="1689"/>
      <c r="T74" s="1462"/>
      <c r="U74" s="1462"/>
      <c r="V74" s="1462"/>
      <c r="W74" s="1462"/>
      <c r="X74" s="1462"/>
      <c r="Y74" s="1462"/>
      <c r="Z74" s="1462"/>
      <c r="AA74" s="1462"/>
      <c r="AB74" s="1462"/>
      <c r="AC74" s="1462"/>
    </row>
    <row r="75" spans="3:29" s="1688" customFormat="1" ht="12.75" customHeight="1">
      <c r="C75" s="1707"/>
      <c r="D75" s="1699"/>
      <c r="E75" s="1699"/>
      <c r="F75" s="1705"/>
      <c r="G75" s="1705"/>
      <c r="H75" s="1699"/>
      <c r="I75" s="1705"/>
      <c r="J75" s="1705"/>
      <c r="K75" s="1705"/>
      <c r="L75" s="1711"/>
      <c r="M75" s="1711"/>
      <c r="N75" s="1709"/>
      <c r="O75" s="1703"/>
      <c r="P75" s="1689"/>
      <c r="Q75" s="1705"/>
      <c r="R75" s="1689"/>
      <c r="T75" s="1462"/>
      <c r="U75" s="1462"/>
      <c r="V75" s="1462"/>
      <c r="W75" s="1462"/>
      <c r="X75" s="1462"/>
      <c r="Y75" s="1462"/>
      <c r="Z75" s="1462"/>
      <c r="AA75" s="1462"/>
      <c r="AB75" s="1462"/>
      <c r="AC75" s="1462"/>
    </row>
    <row r="76" spans="3:29" s="1688" customFormat="1" ht="12.75" customHeight="1">
      <c r="C76" s="1707"/>
      <c r="D76" s="1699"/>
      <c r="E76" s="1699"/>
      <c r="F76" s="1705"/>
      <c r="G76" s="1705"/>
      <c r="H76" s="1699"/>
      <c r="I76" s="1705"/>
      <c r="J76" s="1705"/>
      <c r="K76" s="1705"/>
      <c r="L76" s="1711"/>
      <c r="M76" s="1711"/>
      <c r="N76" s="1709"/>
      <c r="O76" s="1703"/>
      <c r="P76" s="1689"/>
      <c r="Q76" s="1705"/>
      <c r="R76" s="1689"/>
      <c r="T76" s="1462"/>
      <c r="U76" s="1462"/>
      <c r="V76" s="1462"/>
      <c r="W76" s="1462"/>
      <c r="X76" s="1462"/>
      <c r="Y76" s="1462"/>
      <c r="Z76" s="1462"/>
      <c r="AA76" s="1462"/>
      <c r="AB76" s="1462"/>
      <c r="AC76" s="1462"/>
    </row>
    <row r="77" spans="3:29" s="1688" customFormat="1" ht="12.75" customHeight="1">
      <c r="C77" s="1707"/>
      <c r="D77" s="1699"/>
      <c r="E77" s="1699"/>
      <c r="F77" s="1705"/>
      <c r="G77" s="1705"/>
      <c r="H77" s="1699"/>
      <c r="I77" s="1705"/>
      <c r="J77" s="1705"/>
      <c r="K77" s="1705"/>
      <c r="L77" s="1711"/>
      <c r="M77" s="1711"/>
      <c r="N77" s="1709"/>
      <c r="O77" s="1703"/>
      <c r="P77" s="1689"/>
      <c r="Q77" s="1705"/>
      <c r="R77" s="1689"/>
      <c r="T77" s="1462"/>
      <c r="U77" s="1462"/>
      <c r="V77" s="1462"/>
      <c r="W77" s="1462"/>
      <c r="X77" s="1462"/>
      <c r="Y77" s="1462"/>
      <c r="Z77" s="1462"/>
      <c r="AA77" s="1462"/>
      <c r="AB77" s="1462"/>
      <c r="AC77" s="1462"/>
    </row>
    <row r="78" spans="3:29" s="1688" customFormat="1" ht="12.75" customHeight="1">
      <c r="C78" s="1707"/>
      <c r="D78" s="1699"/>
      <c r="E78" s="1699"/>
      <c r="F78" s="1705"/>
      <c r="G78" s="1705"/>
      <c r="H78" s="1699"/>
      <c r="I78" s="1705"/>
      <c r="J78" s="1705"/>
      <c r="K78" s="1705"/>
      <c r="L78" s="1711"/>
      <c r="M78" s="1711"/>
      <c r="N78" s="1709"/>
      <c r="O78" s="1703"/>
      <c r="P78" s="1689"/>
      <c r="Q78" s="1705"/>
      <c r="R78" s="1689"/>
      <c r="T78" s="1462"/>
      <c r="U78" s="1462"/>
      <c r="V78" s="1462"/>
      <c r="W78" s="1462"/>
      <c r="X78" s="1462"/>
      <c r="Y78" s="1462"/>
      <c r="Z78" s="1462"/>
      <c r="AA78" s="1462"/>
      <c r="AB78" s="1462"/>
      <c r="AC78" s="1462"/>
    </row>
    <row r="79" spans="3:29" s="1688" customFormat="1" ht="12.75" customHeight="1">
      <c r="C79" s="1707"/>
      <c r="D79" s="1699"/>
      <c r="E79" s="1699"/>
      <c r="F79" s="1705"/>
      <c r="G79" s="1705"/>
      <c r="H79" s="1699"/>
      <c r="I79" s="1705"/>
      <c r="J79" s="1705"/>
      <c r="K79" s="1705"/>
      <c r="L79" s="1711"/>
      <c r="M79" s="1711"/>
      <c r="N79" s="1709"/>
      <c r="O79" s="1703"/>
      <c r="P79" s="1689"/>
      <c r="Q79" s="1705"/>
      <c r="R79" s="1689"/>
      <c r="T79" s="1462"/>
      <c r="U79" s="1462"/>
      <c r="V79" s="1462"/>
      <c r="W79" s="1462"/>
      <c r="X79" s="1462"/>
      <c r="Y79" s="1462"/>
      <c r="Z79" s="1462"/>
      <c r="AA79" s="1462"/>
      <c r="AB79" s="1462"/>
      <c r="AC79" s="1462"/>
    </row>
    <row r="80" spans="3:29" s="1688" customFormat="1" ht="12.75" customHeight="1">
      <c r="C80" s="1707"/>
      <c r="D80" s="1699"/>
      <c r="E80" s="1699"/>
      <c r="F80" s="1705"/>
      <c r="G80" s="1705"/>
      <c r="H80" s="1699"/>
      <c r="I80" s="1705"/>
      <c r="J80" s="1705"/>
      <c r="K80" s="1705"/>
      <c r="L80" s="1711"/>
      <c r="M80" s="1711"/>
      <c r="N80" s="1709"/>
      <c r="O80" s="1703"/>
      <c r="P80" s="1710"/>
      <c r="Q80" s="1705"/>
      <c r="R80" s="1689"/>
      <c r="T80" s="1462"/>
      <c r="U80" s="1462"/>
      <c r="V80" s="1462"/>
      <c r="W80" s="1462"/>
      <c r="X80" s="1462"/>
      <c r="Y80" s="1462"/>
      <c r="Z80" s="1462"/>
      <c r="AA80" s="1462"/>
      <c r="AB80" s="1462"/>
      <c r="AC80" s="1462"/>
    </row>
    <row r="81" spans="3:29" s="1688" customFormat="1" ht="12.75" customHeight="1">
      <c r="C81" s="1707"/>
      <c r="D81" s="1699"/>
      <c r="E81" s="1699"/>
      <c r="F81" s="1705"/>
      <c r="G81" s="1705"/>
      <c r="H81" s="1699"/>
      <c r="I81" s="1705"/>
      <c r="J81" s="1705"/>
      <c r="K81" s="1705"/>
      <c r="L81" s="1711"/>
      <c r="M81" s="1711"/>
      <c r="N81" s="1709"/>
      <c r="O81" s="1703"/>
      <c r="P81" s="1710"/>
      <c r="Q81" s="1705"/>
      <c r="R81" s="1689"/>
      <c r="T81" s="1462"/>
      <c r="U81" s="1462"/>
      <c r="V81" s="1462"/>
      <c r="W81" s="1462"/>
      <c r="X81" s="1462"/>
      <c r="Y81" s="1462"/>
      <c r="Z81" s="1462"/>
      <c r="AA81" s="1462"/>
      <c r="AB81" s="1462"/>
      <c r="AC81" s="1462"/>
    </row>
    <row r="82" spans="3:29" s="1688" customFormat="1" ht="12.75" customHeight="1">
      <c r="C82" s="1707"/>
      <c r="D82" s="1699"/>
      <c r="E82" s="1699"/>
      <c r="F82" s="1705"/>
      <c r="G82" s="1705"/>
      <c r="H82" s="1699"/>
      <c r="I82" s="1705"/>
      <c r="J82" s="1705"/>
      <c r="K82" s="1705"/>
      <c r="L82" s="1711"/>
      <c r="M82" s="1711"/>
      <c r="N82" s="1709"/>
      <c r="O82" s="1703"/>
      <c r="P82" s="1710"/>
      <c r="Q82" s="1705"/>
      <c r="R82" s="1689"/>
      <c r="T82" s="1462"/>
      <c r="U82" s="1462"/>
      <c r="V82" s="1462"/>
      <c r="W82" s="1462"/>
      <c r="X82" s="1462"/>
      <c r="Y82" s="1462"/>
      <c r="Z82" s="1462"/>
      <c r="AA82" s="1462"/>
      <c r="AB82" s="1462"/>
      <c r="AC82" s="1462"/>
    </row>
    <row r="83" spans="3:29" s="1688" customFormat="1" ht="12.75" customHeight="1">
      <c r="C83" s="1707"/>
      <c r="D83" s="1699"/>
      <c r="E83" s="1699"/>
      <c r="F83" s="1705"/>
      <c r="G83" s="1705"/>
      <c r="H83" s="1699"/>
      <c r="I83" s="1705"/>
      <c r="J83" s="1705"/>
      <c r="K83" s="1705"/>
      <c r="L83" s="1711"/>
      <c r="M83" s="1711"/>
      <c r="N83" s="1709"/>
      <c r="O83" s="1703"/>
      <c r="P83" s="1710"/>
      <c r="Q83" s="1705"/>
      <c r="R83" s="1689"/>
      <c r="T83" s="1462"/>
      <c r="U83" s="1462"/>
      <c r="V83" s="1462"/>
      <c r="W83" s="1462"/>
      <c r="X83" s="1462"/>
      <c r="Y83" s="1462"/>
      <c r="Z83" s="1462"/>
      <c r="AA83" s="1462"/>
      <c r="AB83" s="1462"/>
      <c r="AC83" s="1462"/>
    </row>
    <row r="84" spans="3:29" s="1688" customFormat="1" ht="12.75" customHeight="1">
      <c r="C84" s="1707"/>
      <c r="D84" s="1699"/>
      <c r="E84" s="1699"/>
      <c r="F84" s="1705"/>
      <c r="G84" s="1705"/>
      <c r="H84" s="1699"/>
      <c r="I84" s="1705"/>
      <c r="J84" s="1705"/>
      <c r="K84" s="1705"/>
      <c r="L84" s="1711"/>
      <c r="M84" s="1711"/>
      <c r="N84" s="1709"/>
      <c r="O84" s="1703"/>
      <c r="P84" s="1710"/>
      <c r="Q84" s="1705"/>
      <c r="R84" s="1689"/>
      <c r="T84" s="1462"/>
      <c r="U84" s="1462"/>
      <c r="V84" s="1462"/>
      <c r="W84" s="1462"/>
      <c r="X84" s="1462"/>
      <c r="Y84" s="1462"/>
      <c r="Z84" s="1462"/>
      <c r="AA84" s="1462"/>
      <c r="AB84" s="1462"/>
      <c r="AC84" s="1462"/>
    </row>
    <row r="85" spans="3:29" s="1688" customFormat="1" ht="12.75" customHeight="1">
      <c r="C85" s="1707"/>
      <c r="D85" s="1699"/>
      <c r="E85" s="1699"/>
      <c r="F85" s="1705"/>
      <c r="G85" s="1705"/>
      <c r="H85" s="1699"/>
      <c r="I85" s="1705"/>
      <c r="J85" s="1705"/>
      <c r="K85" s="1705"/>
      <c r="L85" s="1711"/>
      <c r="M85" s="1711"/>
      <c r="N85" s="1709"/>
      <c r="O85" s="1703"/>
      <c r="P85" s="1710"/>
      <c r="Q85" s="1705"/>
      <c r="R85" s="1689"/>
      <c r="T85" s="1712"/>
      <c r="U85" s="1712"/>
      <c r="V85" s="1712"/>
      <c r="W85" s="1712"/>
      <c r="X85" s="1712"/>
      <c r="Y85" s="1712"/>
      <c r="Z85" s="1712"/>
      <c r="AA85" s="1712"/>
      <c r="AB85" s="1712"/>
    </row>
    <row r="86" spans="3:29" s="1688" customFormat="1" ht="12.75" customHeight="1">
      <c r="C86" s="1707"/>
      <c r="D86" s="1699"/>
      <c r="E86" s="1699"/>
      <c r="F86" s="1705"/>
      <c r="G86" s="1705"/>
      <c r="H86" s="1705"/>
      <c r="I86" s="1705"/>
      <c r="J86" s="1705"/>
      <c r="K86" s="1705"/>
      <c r="L86" s="1711"/>
      <c r="M86" s="1711"/>
      <c r="N86" s="1709"/>
      <c r="O86" s="1703"/>
      <c r="P86" s="1710"/>
      <c r="Q86" s="1705"/>
      <c r="R86" s="1689"/>
      <c r="T86" s="1712"/>
      <c r="U86" s="1712"/>
      <c r="V86" s="1712"/>
      <c r="W86" s="1712"/>
      <c r="X86" s="1712"/>
      <c r="Y86" s="1712"/>
      <c r="Z86" s="1712"/>
      <c r="AA86" s="1712"/>
      <c r="AB86" s="1712"/>
    </row>
    <row r="87" spans="3:29" s="1688" customFormat="1" ht="12.75" customHeight="1">
      <c r="C87" s="1707"/>
      <c r="D87" s="1698"/>
      <c r="E87" s="1699"/>
      <c r="F87" s="1705"/>
      <c r="G87" s="1705"/>
      <c r="H87" s="1705"/>
      <c r="I87" s="1705"/>
      <c r="J87" s="1705"/>
      <c r="K87" s="1705"/>
      <c r="L87" s="1711"/>
      <c r="M87" s="1711"/>
      <c r="N87" s="1709"/>
      <c r="O87" s="1703"/>
      <c r="P87" s="1710"/>
      <c r="Q87" s="1705"/>
      <c r="R87" s="1689"/>
      <c r="T87" s="1712"/>
      <c r="U87" s="1712"/>
      <c r="V87" s="1712"/>
      <c r="W87" s="1712"/>
      <c r="X87" s="1712"/>
      <c r="Y87" s="1712"/>
      <c r="Z87" s="1712"/>
      <c r="AA87" s="1712"/>
      <c r="AB87" s="1712"/>
    </row>
    <row r="88" spans="3:29" s="1688" customFormat="1" ht="12.75" customHeight="1">
      <c r="C88" s="1707"/>
      <c r="D88" s="1698"/>
      <c r="E88" s="1699"/>
      <c r="F88" s="1705"/>
      <c r="G88" s="1705"/>
      <c r="H88" s="1705"/>
      <c r="I88" s="1705"/>
      <c r="J88" s="1705"/>
      <c r="K88" s="1705"/>
      <c r="L88" s="1711"/>
      <c r="M88" s="1711"/>
      <c r="N88" s="1709"/>
      <c r="O88" s="1703"/>
      <c r="P88" s="1710"/>
      <c r="Q88" s="1705"/>
      <c r="R88" s="1689"/>
      <c r="T88" s="1712"/>
      <c r="U88" s="1712"/>
      <c r="V88" s="1712"/>
      <c r="W88" s="1712"/>
      <c r="X88" s="1712"/>
      <c r="Y88" s="1712"/>
      <c r="Z88" s="1712"/>
      <c r="AA88" s="1712"/>
      <c r="AB88" s="1712"/>
    </row>
    <row r="89" spans="3:29" s="1688" customFormat="1" ht="12.75" customHeight="1">
      <c r="C89" s="1707"/>
      <c r="D89" s="1698"/>
      <c r="E89" s="1699"/>
      <c r="F89" s="1705"/>
      <c r="G89" s="1705"/>
      <c r="H89" s="1705"/>
      <c r="I89" s="1705"/>
      <c r="J89" s="1705"/>
      <c r="K89" s="1705"/>
      <c r="L89" s="1711"/>
      <c r="M89" s="1711"/>
      <c r="N89" s="1709"/>
      <c r="O89" s="1703"/>
      <c r="P89" s="1710"/>
      <c r="Q89" s="1705"/>
      <c r="R89" s="1689"/>
      <c r="T89" s="1712"/>
      <c r="U89" s="1712"/>
      <c r="V89" s="1712"/>
      <c r="W89" s="1712"/>
      <c r="X89" s="1712"/>
      <c r="Y89" s="1712"/>
      <c r="Z89" s="1712"/>
      <c r="AA89" s="1712"/>
      <c r="AB89" s="1712"/>
    </row>
    <row r="90" spans="3:29" s="1688" customFormat="1" ht="12.75" customHeight="1">
      <c r="C90" s="1707"/>
      <c r="D90" s="1699"/>
      <c r="E90" s="1699"/>
      <c r="F90" s="1705"/>
      <c r="G90" s="1705"/>
      <c r="H90" s="1705"/>
      <c r="I90" s="1705"/>
      <c r="J90" s="1705"/>
      <c r="K90" s="1705"/>
      <c r="L90" s="1711"/>
      <c r="M90" s="1711"/>
      <c r="N90" s="1709"/>
      <c r="O90" s="1703"/>
      <c r="P90" s="1710"/>
      <c r="Q90" s="1689"/>
      <c r="R90" s="1689"/>
      <c r="T90" s="1712"/>
      <c r="U90" s="1712"/>
      <c r="V90" s="1712"/>
      <c r="W90" s="1712"/>
      <c r="X90" s="1712"/>
      <c r="Y90" s="1712"/>
      <c r="Z90" s="1712"/>
      <c r="AA90" s="1712"/>
      <c r="AB90" s="1712"/>
    </row>
    <row r="91" spans="3:29" s="1688" customFormat="1" ht="12.75" customHeight="1">
      <c r="C91" s="1697"/>
      <c r="D91" s="1704"/>
      <c r="E91" s="1698"/>
      <c r="F91" s="1698"/>
      <c r="G91" s="1698"/>
      <c r="H91" s="1699"/>
      <c r="I91" s="1698"/>
      <c r="J91" s="1698"/>
      <c r="K91" s="1698"/>
      <c r="L91" s="1706"/>
      <c r="M91" s="1706"/>
      <c r="N91" s="1701"/>
      <c r="O91" s="1702"/>
      <c r="P91" s="1689"/>
      <c r="Q91" s="1689"/>
      <c r="R91" s="1689"/>
      <c r="T91" s="1712"/>
      <c r="U91" s="1712"/>
      <c r="V91" s="1712"/>
      <c r="W91" s="1712"/>
      <c r="X91" s="1712"/>
      <c r="Y91" s="1712"/>
      <c r="Z91" s="1712"/>
      <c r="AA91" s="1712"/>
      <c r="AB91" s="1712"/>
    </row>
    <row r="92" spans="3:29" s="1688" customFormat="1" ht="12.75" customHeight="1">
      <c r="C92" s="1697"/>
      <c r="D92" s="1704"/>
      <c r="E92" s="1698"/>
      <c r="F92" s="1698"/>
      <c r="G92" s="1698"/>
      <c r="H92" s="1699"/>
      <c r="I92" s="1698"/>
      <c r="J92" s="1698"/>
      <c r="K92" s="1698"/>
      <c r="L92" s="1706"/>
      <c r="M92" s="1706"/>
      <c r="N92" s="1701"/>
      <c r="O92" s="1702"/>
      <c r="P92" s="1689"/>
      <c r="Q92" s="1689"/>
      <c r="R92" s="1689"/>
      <c r="T92" s="1712"/>
      <c r="U92" s="1712"/>
      <c r="V92" s="1712"/>
      <c r="W92" s="1712"/>
      <c r="X92" s="1712"/>
      <c r="Y92" s="1712"/>
      <c r="Z92" s="1712"/>
      <c r="AA92" s="1712"/>
      <c r="AB92" s="1712"/>
    </row>
    <row r="93" spans="3:29" s="1688" customFormat="1" ht="12.75" customHeight="1">
      <c r="C93" s="1697"/>
      <c r="D93" s="1704"/>
      <c r="E93" s="1698"/>
      <c r="F93" s="1698"/>
      <c r="G93" s="1698"/>
      <c r="H93" s="1699"/>
      <c r="I93" s="1698"/>
      <c r="J93" s="1698"/>
      <c r="K93" s="1698"/>
      <c r="L93" s="1706"/>
      <c r="M93" s="1706"/>
      <c r="N93" s="1701"/>
      <c r="O93" s="1702"/>
      <c r="P93" s="1689"/>
      <c r="Q93" s="1689"/>
      <c r="R93" s="1689"/>
      <c r="T93" s="1712"/>
      <c r="U93" s="1712"/>
      <c r="V93" s="1712"/>
      <c r="W93" s="1712"/>
      <c r="X93" s="1712"/>
      <c r="Y93" s="1712"/>
      <c r="Z93" s="1712"/>
      <c r="AA93" s="1712"/>
      <c r="AB93" s="1712"/>
    </row>
    <row r="94" spans="3:29" s="1688" customFormat="1" ht="12.75" customHeight="1">
      <c r="C94" s="1462"/>
      <c r="D94" s="1704"/>
      <c r="E94" s="1698"/>
      <c r="F94" s="1698"/>
      <c r="G94" s="1698"/>
      <c r="H94" s="1699"/>
      <c r="I94" s="1698"/>
      <c r="J94" s="1698"/>
      <c r="K94" s="1698"/>
      <c r="L94" s="1706"/>
      <c r="M94" s="1706"/>
      <c r="N94" s="1701"/>
      <c r="O94" s="1702"/>
      <c r="P94" s="1689"/>
      <c r="Q94" s="1689"/>
      <c r="R94" s="1689"/>
      <c r="T94" s="1712"/>
      <c r="U94" s="1712"/>
      <c r="V94" s="1712"/>
      <c r="W94" s="1712"/>
      <c r="X94" s="1712"/>
      <c r="Y94" s="1712"/>
      <c r="Z94" s="1712"/>
      <c r="AA94" s="1712"/>
      <c r="AB94" s="1712"/>
    </row>
    <row r="95" spans="3:29" s="1688" customFormat="1" ht="12.75" customHeight="1">
      <c r="C95" s="1462"/>
      <c r="D95" s="1704"/>
      <c r="E95" s="1698"/>
      <c r="F95" s="1698"/>
      <c r="G95" s="1698"/>
      <c r="H95" s="1699"/>
      <c r="I95" s="1698"/>
      <c r="J95" s="1698"/>
      <c r="K95" s="1698"/>
      <c r="L95" s="1706"/>
      <c r="M95" s="1706"/>
      <c r="N95" s="1701"/>
      <c r="O95" s="1702"/>
      <c r="P95" s="1689"/>
      <c r="Q95" s="1689"/>
      <c r="R95" s="1689"/>
      <c r="T95" s="1712"/>
      <c r="U95" s="1712"/>
      <c r="V95" s="1712"/>
      <c r="W95" s="1712"/>
      <c r="X95" s="1712"/>
      <c r="Y95" s="1712"/>
      <c r="Z95" s="1712"/>
      <c r="AA95" s="1712"/>
      <c r="AB95" s="1712"/>
    </row>
    <row r="96" spans="3:29" s="1688" customFormat="1" ht="12.75" customHeight="1">
      <c r="C96" s="1462"/>
      <c r="D96" s="1704"/>
      <c r="E96" s="1699"/>
      <c r="F96" s="1705"/>
      <c r="G96" s="1705"/>
      <c r="H96" s="1699"/>
      <c r="I96" s="1705"/>
      <c r="J96" s="1698"/>
      <c r="K96" s="1698"/>
      <c r="L96" s="1711"/>
      <c r="M96" s="1711"/>
      <c r="N96" s="1709"/>
      <c r="O96" s="1703"/>
      <c r="P96" s="1689"/>
      <c r="Q96" s="1689"/>
      <c r="R96" s="1689"/>
      <c r="T96" s="1712"/>
      <c r="U96" s="1712"/>
      <c r="V96" s="1712"/>
      <c r="W96" s="1712"/>
      <c r="X96" s="1712"/>
      <c r="Y96" s="1712"/>
      <c r="Z96" s="1712"/>
      <c r="AA96" s="1712"/>
      <c r="AB96" s="1712"/>
    </row>
    <row r="97" spans="3:28" s="1688" customFormat="1" ht="12.75" customHeight="1">
      <c r="C97" s="1462"/>
      <c r="D97" s="1704"/>
      <c r="E97" s="1699"/>
      <c r="F97" s="1705"/>
      <c r="G97" s="1705"/>
      <c r="H97" s="1699"/>
      <c r="I97" s="1705"/>
      <c r="J97" s="1705"/>
      <c r="K97" s="1705"/>
      <c r="L97" s="1711"/>
      <c r="M97" s="1711"/>
      <c r="N97" s="1709"/>
      <c r="O97" s="1703"/>
      <c r="P97" s="1689"/>
      <c r="Q97" s="1689"/>
      <c r="R97" s="1689"/>
      <c r="T97" s="1712"/>
      <c r="U97" s="1712"/>
      <c r="V97" s="1712"/>
      <c r="W97" s="1712"/>
      <c r="X97" s="1712"/>
      <c r="Y97" s="1712"/>
      <c r="Z97" s="1712"/>
      <c r="AA97" s="1712"/>
      <c r="AB97" s="1712"/>
    </row>
    <row r="98" spans="3:28" s="1688" customFormat="1" ht="12.75" customHeight="1">
      <c r="C98" s="1462"/>
      <c r="D98" s="1713"/>
      <c r="E98" s="1689"/>
      <c r="F98" s="1689"/>
      <c r="G98" s="1689"/>
      <c r="H98" s="1689"/>
      <c r="I98" s="1689"/>
      <c r="J98" s="1689"/>
      <c r="K98" s="1689"/>
      <c r="L98" s="1713"/>
      <c r="M98" s="1713"/>
      <c r="N98" s="1714"/>
      <c r="O98" s="1703"/>
      <c r="P98" s="1689"/>
      <c r="Q98" s="1705"/>
      <c r="R98" s="1689"/>
      <c r="T98" s="1712"/>
      <c r="U98" s="1712"/>
      <c r="V98" s="1712"/>
      <c r="W98" s="1712"/>
      <c r="X98" s="1712"/>
      <c r="Y98" s="1712"/>
      <c r="Z98" s="1712"/>
      <c r="AA98" s="1712"/>
      <c r="AB98" s="1712"/>
    </row>
    <row r="99" spans="3:28" s="1688" customFormat="1" ht="12.75" customHeight="1">
      <c r="C99" s="1462"/>
      <c r="D99" s="1699"/>
      <c r="E99" s="1699"/>
      <c r="F99" s="1705"/>
      <c r="G99" s="1705"/>
      <c r="H99" s="1705"/>
      <c r="I99" s="1705"/>
      <c r="J99" s="1705"/>
      <c r="K99" s="1705"/>
      <c r="L99" s="1711"/>
      <c r="M99" s="1711"/>
      <c r="N99" s="1709"/>
      <c r="O99" s="1703"/>
      <c r="P99" s="1710"/>
      <c r="Q99" s="1705"/>
      <c r="R99" s="1689"/>
      <c r="T99" s="1712"/>
      <c r="U99" s="1712"/>
      <c r="V99" s="1712"/>
      <c r="W99" s="1712"/>
      <c r="X99" s="1712"/>
      <c r="Y99" s="1712"/>
      <c r="Z99" s="1712"/>
      <c r="AA99" s="1712"/>
      <c r="AB99" s="1712"/>
    </row>
    <row r="100" spans="3:28" s="1688" customFormat="1" ht="12.75" customHeight="1">
      <c r="C100" s="1462"/>
      <c r="D100" s="1699"/>
      <c r="E100" s="1699"/>
      <c r="F100" s="1705"/>
      <c r="G100" s="1705"/>
      <c r="H100" s="1705"/>
      <c r="I100" s="1705"/>
      <c r="J100" s="1705"/>
      <c r="K100" s="1705"/>
      <c r="L100" s="1711"/>
      <c r="M100" s="1711"/>
      <c r="N100" s="1709"/>
      <c r="O100" s="1703"/>
      <c r="P100" s="1710"/>
      <c r="Q100" s="1705"/>
      <c r="R100" s="1689"/>
      <c r="T100" s="1712"/>
      <c r="U100" s="1712"/>
      <c r="V100" s="1712"/>
      <c r="W100" s="1712"/>
      <c r="X100" s="1712"/>
      <c r="Y100" s="1712"/>
      <c r="Z100" s="1712"/>
      <c r="AA100" s="1712"/>
      <c r="AB100" s="1712"/>
    </row>
    <row r="101" spans="3:28" s="1688" customFormat="1" ht="12.75" customHeight="1">
      <c r="C101" s="1462"/>
      <c r="D101" s="1699"/>
      <c r="E101" s="1699"/>
      <c r="F101" s="1705"/>
      <c r="G101" s="1705"/>
      <c r="H101" s="1705"/>
      <c r="I101" s="1705"/>
      <c r="J101" s="1705"/>
      <c r="K101" s="1705"/>
      <c r="L101" s="1711"/>
      <c r="M101" s="1711"/>
      <c r="N101" s="1709"/>
      <c r="O101" s="1703"/>
      <c r="P101" s="1710"/>
      <c r="Q101" s="1705"/>
      <c r="R101" s="1689"/>
      <c r="T101" s="1712"/>
      <c r="U101" s="1712"/>
      <c r="V101" s="1712"/>
      <c r="W101" s="1712"/>
      <c r="X101" s="1712"/>
      <c r="Y101" s="1712"/>
      <c r="Z101" s="1712"/>
      <c r="AA101" s="1712"/>
      <c r="AB101" s="1712"/>
    </row>
    <row r="102" spans="3:28" s="1688" customFormat="1" ht="12.75" customHeight="1">
      <c r="C102" s="1462"/>
      <c r="D102" s="1699"/>
      <c r="E102" s="1699"/>
      <c r="F102" s="1705"/>
      <c r="G102" s="1705"/>
      <c r="H102" s="1705"/>
      <c r="I102" s="1705"/>
      <c r="J102" s="1705"/>
      <c r="K102" s="1705"/>
      <c r="L102" s="1711"/>
      <c r="M102" s="1711"/>
      <c r="N102" s="1709"/>
      <c r="O102" s="1703"/>
      <c r="P102" s="1710"/>
      <c r="Q102" s="1705"/>
      <c r="R102" s="1689"/>
      <c r="T102" s="1712"/>
      <c r="U102" s="1712"/>
      <c r="V102" s="1712"/>
      <c r="W102" s="1712"/>
      <c r="X102" s="1712"/>
      <c r="Y102" s="1712"/>
      <c r="Z102" s="1712"/>
      <c r="AA102" s="1712"/>
      <c r="AB102" s="1712"/>
    </row>
    <row r="103" spans="3:28" s="1688" customFormat="1" ht="12.75" customHeight="1">
      <c r="C103" s="1462"/>
      <c r="D103" s="1699"/>
      <c r="E103" s="1699"/>
      <c r="F103" s="1705"/>
      <c r="G103" s="1705"/>
      <c r="H103" s="1705"/>
      <c r="I103" s="1705"/>
      <c r="J103" s="1705"/>
      <c r="K103" s="1705"/>
      <c r="L103" s="1711"/>
      <c r="M103" s="1711"/>
      <c r="N103" s="1709"/>
      <c r="O103" s="1703"/>
      <c r="P103" s="1710"/>
      <c r="Q103" s="1705"/>
      <c r="R103" s="1689"/>
      <c r="T103" s="1712"/>
      <c r="U103" s="1712"/>
      <c r="V103" s="1712"/>
      <c r="W103" s="1712"/>
      <c r="X103" s="1712"/>
      <c r="Y103" s="1712"/>
      <c r="Z103" s="1712"/>
      <c r="AA103" s="1712"/>
      <c r="AB103" s="1712"/>
    </row>
    <row r="104" spans="3:28" s="1688" customFormat="1" ht="12.75" customHeight="1">
      <c r="C104" s="1462"/>
      <c r="D104" s="1699"/>
      <c r="E104" s="1699"/>
      <c r="F104" s="1705"/>
      <c r="G104" s="1705"/>
      <c r="H104" s="1705"/>
      <c r="I104" s="1705"/>
      <c r="J104" s="1705"/>
      <c r="K104" s="1705"/>
      <c r="L104" s="1711"/>
      <c r="M104" s="1711"/>
      <c r="N104" s="1709"/>
      <c r="O104" s="1703"/>
      <c r="P104" s="1710"/>
      <c r="Q104" s="1705"/>
      <c r="R104" s="1689"/>
      <c r="T104" s="1712"/>
      <c r="U104" s="1712"/>
      <c r="V104" s="1712"/>
      <c r="W104" s="1712"/>
      <c r="X104" s="1712"/>
      <c r="Y104" s="1712"/>
      <c r="Z104" s="1712"/>
      <c r="AA104" s="1712"/>
      <c r="AB104" s="1712"/>
    </row>
    <row r="105" spans="3:28" s="1688" customFormat="1" ht="12.75" customHeight="1">
      <c r="C105" s="1462"/>
      <c r="D105" s="1699"/>
      <c r="E105" s="1699"/>
      <c r="F105" s="1705"/>
      <c r="G105" s="1705"/>
      <c r="H105" s="1705"/>
      <c r="I105" s="1705"/>
      <c r="J105" s="1705"/>
      <c r="K105" s="1705"/>
      <c r="L105" s="1711"/>
      <c r="M105" s="1711"/>
      <c r="N105" s="1709"/>
      <c r="O105" s="1703"/>
      <c r="P105" s="1710"/>
      <c r="Q105" s="1705"/>
      <c r="R105" s="1689"/>
      <c r="T105" s="1712"/>
      <c r="U105" s="1712"/>
      <c r="V105" s="1712"/>
      <c r="W105" s="1712"/>
      <c r="X105" s="1712"/>
      <c r="Y105" s="1712"/>
      <c r="Z105" s="1712"/>
      <c r="AA105" s="1712"/>
      <c r="AB105" s="1712"/>
    </row>
    <row r="106" spans="3:28" s="1688" customFormat="1" ht="12.75" customHeight="1">
      <c r="C106" s="1462"/>
      <c r="D106" s="1699"/>
      <c r="E106" s="1699"/>
      <c r="F106" s="1705"/>
      <c r="G106" s="1705"/>
      <c r="H106" s="1705"/>
      <c r="I106" s="1705"/>
      <c r="J106" s="1705"/>
      <c r="K106" s="1705"/>
      <c r="L106" s="1711"/>
      <c r="M106" s="1711"/>
      <c r="N106" s="1709"/>
      <c r="O106" s="1703"/>
      <c r="P106" s="1710"/>
      <c r="Q106" s="1705"/>
      <c r="R106" s="1689"/>
      <c r="T106" s="1712"/>
      <c r="U106" s="1712"/>
      <c r="V106" s="1712"/>
      <c r="W106" s="1712"/>
      <c r="X106" s="1712"/>
      <c r="Y106" s="1712"/>
      <c r="Z106" s="1712"/>
      <c r="AA106" s="1712"/>
      <c r="AB106" s="1712"/>
    </row>
    <row r="107" spans="3:28" s="1688" customFormat="1" ht="12.75" customHeight="1">
      <c r="C107" s="1462"/>
      <c r="D107" s="1699"/>
      <c r="E107" s="1699"/>
      <c r="F107" s="1705"/>
      <c r="G107" s="1705"/>
      <c r="H107" s="1705"/>
      <c r="I107" s="1705"/>
      <c r="J107" s="1705"/>
      <c r="K107" s="1705"/>
      <c r="L107" s="1711"/>
      <c r="M107" s="1711"/>
      <c r="N107" s="1709"/>
      <c r="O107" s="1703"/>
      <c r="P107" s="1710"/>
      <c r="Q107" s="1715"/>
      <c r="R107" s="1689"/>
      <c r="T107" s="1712"/>
      <c r="U107" s="1712"/>
      <c r="V107" s="1712"/>
      <c r="W107" s="1712"/>
      <c r="X107" s="1712"/>
      <c r="Y107" s="1712"/>
      <c r="Z107" s="1712"/>
      <c r="AA107" s="1712"/>
      <c r="AB107" s="1712"/>
    </row>
    <row r="108" spans="3:28" s="1688" customFormat="1" ht="12.75" customHeight="1">
      <c r="C108" s="1462"/>
      <c r="D108" s="1699"/>
      <c r="E108" s="1699"/>
      <c r="F108" s="1705"/>
      <c r="G108" s="1705"/>
      <c r="H108" s="1705"/>
      <c r="I108" s="1705"/>
      <c r="J108" s="1705"/>
      <c r="K108" s="1705"/>
      <c r="L108" s="1711"/>
      <c r="M108" s="1711"/>
      <c r="N108" s="1709"/>
      <c r="O108" s="1703"/>
      <c r="P108" s="1689"/>
      <c r="Q108" s="1715"/>
      <c r="R108" s="1689"/>
      <c r="T108" s="1712"/>
      <c r="U108" s="1712"/>
      <c r="V108" s="1712"/>
      <c r="W108" s="1712"/>
      <c r="X108" s="1712"/>
      <c r="Y108" s="1712"/>
      <c r="Z108" s="1712"/>
      <c r="AA108" s="1712"/>
      <c r="AB108" s="1712"/>
    </row>
    <row r="109" spans="3:28" s="1688" customFormat="1" ht="12.75" customHeight="1">
      <c r="C109" s="1462"/>
      <c r="D109" s="1699"/>
      <c r="E109" s="1699"/>
      <c r="F109" s="1705"/>
      <c r="G109" s="1705"/>
      <c r="H109" s="1705"/>
      <c r="I109" s="1705"/>
      <c r="J109" s="1705"/>
      <c r="K109" s="1705"/>
      <c r="L109" s="1711"/>
      <c r="M109" s="1711"/>
      <c r="N109" s="1709"/>
      <c r="O109" s="1703"/>
      <c r="P109" s="1689"/>
      <c r="Q109" s="1715"/>
      <c r="R109" s="1689"/>
      <c r="T109" s="1712"/>
      <c r="U109" s="1712"/>
      <c r="V109" s="1712"/>
      <c r="W109" s="1712"/>
      <c r="X109" s="1712"/>
      <c r="Y109" s="1712"/>
      <c r="Z109" s="1712"/>
      <c r="AA109" s="1712"/>
      <c r="AB109" s="1712"/>
    </row>
    <row r="110" spans="3:28" s="1688" customFormat="1" ht="12.75" customHeight="1">
      <c r="C110" s="1462"/>
      <c r="D110" s="1716"/>
      <c r="E110" s="1699"/>
      <c r="F110" s="1705"/>
      <c r="G110" s="1705"/>
      <c r="H110" s="1705"/>
      <c r="I110" s="1705"/>
      <c r="J110" s="1705"/>
      <c r="K110" s="1705"/>
      <c r="L110" s="1711"/>
      <c r="M110" s="1711"/>
      <c r="N110" s="1709"/>
      <c r="O110" s="1703"/>
      <c r="P110" s="1689"/>
      <c r="Q110" s="1715"/>
      <c r="R110" s="1689"/>
      <c r="T110" s="1712"/>
      <c r="U110" s="1712"/>
      <c r="V110" s="1712"/>
      <c r="W110" s="1712"/>
      <c r="X110" s="1712"/>
      <c r="Y110" s="1712"/>
      <c r="Z110" s="1712"/>
      <c r="AA110" s="1712"/>
      <c r="AB110" s="1712"/>
    </row>
    <row r="111" spans="3:28" s="1688" customFormat="1" ht="12.75" customHeight="1">
      <c r="C111" s="1462"/>
      <c r="D111" s="1716"/>
      <c r="E111" s="1699"/>
      <c r="F111" s="1705"/>
      <c r="G111" s="1705"/>
      <c r="H111" s="1705"/>
      <c r="I111" s="1705"/>
      <c r="J111" s="1705"/>
      <c r="K111" s="1705"/>
      <c r="L111" s="1711"/>
      <c r="M111" s="1711"/>
      <c r="N111" s="1709"/>
      <c r="O111" s="1703"/>
      <c r="P111" s="1689"/>
      <c r="Q111" s="1715"/>
      <c r="R111" s="1689"/>
      <c r="T111" s="1712"/>
      <c r="U111" s="1712"/>
      <c r="V111" s="1712"/>
      <c r="W111" s="1712"/>
      <c r="X111" s="1712"/>
      <c r="Y111" s="1712"/>
      <c r="Z111" s="1712"/>
      <c r="AA111" s="1712"/>
      <c r="AB111" s="1712"/>
    </row>
    <row r="112" spans="3:28" s="1688" customFormat="1" ht="12.75" customHeight="1">
      <c r="C112" s="1462"/>
      <c r="D112" s="1716"/>
      <c r="E112" s="1699"/>
      <c r="F112" s="1705"/>
      <c r="G112" s="1705"/>
      <c r="H112" s="1705"/>
      <c r="I112" s="1705"/>
      <c r="J112" s="1705"/>
      <c r="K112" s="1705"/>
      <c r="L112" s="1711"/>
      <c r="M112" s="1711"/>
      <c r="N112" s="1709"/>
      <c r="O112" s="1703"/>
      <c r="P112" s="1689"/>
      <c r="Q112" s="1715"/>
      <c r="R112" s="1689"/>
      <c r="T112" s="1712"/>
      <c r="U112" s="1712"/>
      <c r="V112" s="1712"/>
      <c r="W112" s="1712"/>
      <c r="X112" s="1712"/>
      <c r="Y112" s="1712"/>
      <c r="Z112" s="1712"/>
      <c r="AA112" s="1712"/>
      <c r="AB112" s="1712"/>
    </row>
    <row r="113" spans="3:28" s="1688" customFormat="1" ht="12.75" customHeight="1">
      <c r="C113" s="1462"/>
      <c r="D113" s="1716"/>
      <c r="E113" s="1699"/>
      <c r="F113" s="1705"/>
      <c r="G113" s="1705"/>
      <c r="H113" s="1705"/>
      <c r="I113" s="1705"/>
      <c r="J113" s="1705"/>
      <c r="K113" s="1705"/>
      <c r="L113" s="1711"/>
      <c r="M113" s="1711"/>
      <c r="N113" s="1709"/>
      <c r="O113" s="1703"/>
      <c r="P113" s="1689"/>
      <c r="Q113" s="1715"/>
      <c r="R113" s="1689"/>
      <c r="T113" s="1712"/>
      <c r="U113" s="1712"/>
      <c r="V113" s="1712"/>
      <c r="W113" s="1712"/>
      <c r="X113" s="1712"/>
      <c r="Y113" s="1712"/>
      <c r="Z113" s="1712"/>
      <c r="AA113" s="1712"/>
      <c r="AB113" s="1712"/>
    </row>
    <row r="114" spans="3:28" s="1688" customFormat="1" ht="12.75" customHeight="1">
      <c r="C114" s="1462"/>
      <c r="D114" s="1716"/>
      <c r="E114" s="1699"/>
      <c r="F114" s="1705"/>
      <c r="G114" s="1705"/>
      <c r="H114" s="1705"/>
      <c r="I114" s="1705"/>
      <c r="J114" s="1705"/>
      <c r="K114" s="1705"/>
      <c r="L114" s="1711"/>
      <c r="M114" s="1711"/>
      <c r="N114" s="1709"/>
      <c r="O114" s="1703"/>
      <c r="P114" s="1689"/>
      <c r="Q114" s="1715"/>
      <c r="R114" s="1689"/>
      <c r="T114" s="1712"/>
      <c r="U114" s="1712"/>
      <c r="V114" s="1712"/>
      <c r="W114" s="1712"/>
      <c r="X114" s="1712"/>
      <c r="Y114" s="1712"/>
      <c r="Z114" s="1712"/>
      <c r="AA114" s="1712"/>
      <c r="AB114" s="1712"/>
    </row>
    <row r="115" spans="3:28" s="1688" customFormat="1" ht="12.75" customHeight="1">
      <c r="C115" s="1462"/>
      <c r="D115" s="1716"/>
      <c r="E115" s="1699"/>
      <c r="F115" s="1705"/>
      <c r="G115" s="1705"/>
      <c r="H115" s="1705"/>
      <c r="I115" s="1705"/>
      <c r="J115" s="1705"/>
      <c r="K115" s="1705"/>
      <c r="L115" s="1711"/>
      <c r="M115" s="1711"/>
      <c r="N115" s="1709"/>
      <c r="O115" s="1703"/>
      <c r="P115" s="1689"/>
      <c r="Q115" s="1689"/>
      <c r="R115" s="1689"/>
      <c r="T115" s="1712"/>
      <c r="U115" s="1712"/>
      <c r="V115" s="1712"/>
      <c r="W115" s="1712"/>
      <c r="X115" s="1712"/>
      <c r="Y115" s="1712"/>
      <c r="Z115" s="1712"/>
      <c r="AA115" s="1712"/>
      <c r="AB115" s="1712"/>
    </row>
    <row r="116" spans="3:28" s="1688" customFormat="1" ht="12.75" customHeight="1">
      <c r="C116" s="1462"/>
      <c r="D116" s="1713"/>
      <c r="E116" s="1689"/>
      <c r="F116" s="1689"/>
      <c r="G116" s="1689"/>
      <c r="H116" s="1689"/>
      <c r="I116" s="1689"/>
      <c r="J116" s="1689"/>
      <c r="K116" s="1689"/>
      <c r="L116" s="1711"/>
      <c r="M116" s="1711"/>
      <c r="N116" s="1714"/>
      <c r="O116" s="1703"/>
      <c r="P116" s="1689"/>
      <c r="Q116" s="1689"/>
      <c r="R116" s="1689"/>
      <c r="T116" s="1712"/>
      <c r="U116" s="1712"/>
      <c r="V116" s="1712"/>
      <c r="W116" s="1712"/>
      <c r="X116" s="1712"/>
      <c r="Y116" s="1712"/>
      <c r="Z116" s="1712"/>
      <c r="AA116" s="1712"/>
      <c r="AB116" s="1712"/>
    </row>
    <row r="117" spans="3:28" s="1688" customFormat="1" ht="12.75" customHeight="1">
      <c r="C117" s="1717"/>
      <c r="D117" s="1713"/>
      <c r="E117" s="1689"/>
      <c r="F117" s="1689"/>
      <c r="G117" s="1689"/>
      <c r="H117" s="1705"/>
      <c r="I117" s="1689"/>
      <c r="J117" s="1689"/>
      <c r="K117" s="1689"/>
      <c r="L117" s="1711"/>
      <c r="M117" s="1711"/>
      <c r="N117" s="1714"/>
      <c r="O117" s="1703"/>
      <c r="P117" s="1689"/>
      <c r="Q117" s="1715"/>
      <c r="R117" s="1689"/>
      <c r="T117" s="1712"/>
      <c r="U117" s="1712"/>
      <c r="V117" s="1712"/>
      <c r="W117" s="1712"/>
      <c r="X117" s="1712"/>
      <c r="Y117" s="1712"/>
      <c r="Z117" s="1712"/>
      <c r="AA117" s="1712"/>
      <c r="AB117" s="1712"/>
    </row>
    <row r="118" spans="3:28" s="1688" customFormat="1" ht="12.75" customHeight="1">
      <c r="C118" s="1707"/>
      <c r="D118" s="1716"/>
      <c r="E118" s="1699"/>
      <c r="F118" s="1705"/>
      <c r="G118" s="1705"/>
      <c r="H118" s="1705"/>
      <c r="I118" s="1705"/>
      <c r="J118" s="1705"/>
      <c r="K118" s="1705"/>
      <c r="L118" s="1711"/>
      <c r="M118" s="1711"/>
      <c r="N118" s="1709"/>
      <c r="O118" s="1703"/>
      <c r="P118" s="1689"/>
      <c r="Q118" s="1715"/>
      <c r="R118" s="1689"/>
      <c r="T118" s="1712"/>
      <c r="U118" s="1712"/>
      <c r="V118" s="1712"/>
      <c r="W118" s="1712"/>
      <c r="X118" s="1712"/>
      <c r="Y118" s="1712"/>
      <c r="Z118" s="1712"/>
      <c r="AA118" s="1712"/>
      <c r="AB118" s="1712"/>
    </row>
    <row r="119" spans="3:28" s="1688" customFormat="1" ht="12.75" customHeight="1">
      <c r="C119" s="1707"/>
      <c r="D119" s="1716"/>
      <c r="E119" s="1699"/>
      <c r="F119" s="1705"/>
      <c r="G119" s="1705"/>
      <c r="H119" s="1705"/>
      <c r="I119" s="1705"/>
      <c r="J119" s="1705"/>
      <c r="K119" s="1705"/>
      <c r="L119" s="1711"/>
      <c r="M119" s="1711"/>
      <c r="N119" s="1709"/>
      <c r="O119" s="1703"/>
      <c r="P119" s="1689"/>
      <c r="Q119" s="1715"/>
      <c r="R119" s="1689"/>
      <c r="T119" s="1712"/>
      <c r="U119" s="1712"/>
      <c r="V119" s="1712"/>
      <c r="W119" s="1712"/>
      <c r="X119" s="1712"/>
      <c r="Y119" s="1712"/>
      <c r="Z119" s="1712"/>
      <c r="AA119" s="1712"/>
      <c r="AB119" s="1712"/>
    </row>
    <row r="120" spans="3:28" s="1688" customFormat="1" ht="12.75" customHeight="1">
      <c r="C120" s="1707"/>
      <c r="D120" s="1699"/>
      <c r="E120" s="1699"/>
      <c r="F120" s="1705"/>
      <c r="G120" s="1705"/>
      <c r="H120" s="1705"/>
      <c r="I120" s="1705"/>
      <c r="J120" s="1705"/>
      <c r="K120" s="1705"/>
      <c r="L120" s="1711"/>
      <c r="M120" s="1711"/>
      <c r="N120" s="1709"/>
      <c r="O120" s="1703"/>
      <c r="P120" s="1689"/>
      <c r="Q120" s="1715"/>
      <c r="R120" s="1689"/>
      <c r="T120" s="1712"/>
      <c r="U120" s="1712"/>
      <c r="V120" s="1712"/>
      <c r="W120" s="1712"/>
      <c r="X120" s="1712"/>
      <c r="Y120" s="1712"/>
      <c r="Z120" s="1712"/>
      <c r="AA120" s="1712"/>
      <c r="AB120" s="1712"/>
    </row>
    <row r="121" spans="3:28" s="1688" customFormat="1" ht="12.75" customHeight="1">
      <c r="C121" s="1707"/>
      <c r="D121" s="1699"/>
      <c r="E121" s="1699"/>
      <c r="F121" s="1705"/>
      <c r="G121" s="1705"/>
      <c r="H121" s="1705"/>
      <c r="I121" s="1705"/>
      <c r="J121" s="1705"/>
      <c r="K121" s="1705"/>
      <c r="L121" s="1711"/>
      <c r="M121" s="1711"/>
      <c r="N121" s="1709"/>
      <c r="O121" s="1703"/>
      <c r="P121" s="1689"/>
      <c r="Q121" s="1715"/>
      <c r="R121" s="1689"/>
      <c r="T121" s="1712"/>
      <c r="U121" s="1712"/>
      <c r="V121" s="1712"/>
      <c r="W121" s="1712"/>
      <c r="X121" s="1712"/>
      <c r="Y121" s="1712"/>
      <c r="Z121" s="1712"/>
      <c r="AA121" s="1712"/>
      <c r="AB121" s="1712"/>
    </row>
    <row r="122" spans="3:28" s="1688" customFormat="1" ht="12.75" customHeight="1">
      <c r="C122" s="1707"/>
      <c r="D122" s="1699"/>
      <c r="E122" s="1699"/>
      <c r="F122" s="1705"/>
      <c r="G122" s="1705"/>
      <c r="H122" s="1705"/>
      <c r="I122" s="1705"/>
      <c r="J122" s="1705"/>
      <c r="K122" s="1705"/>
      <c r="L122" s="1711"/>
      <c r="M122" s="1711"/>
      <c r="N122" s="1709"/>
      <c r="O122" s="1703"/>
      <c r="P122" s="1689"/>
      <c r="Q122" s="1715"/>
      <c r="R122" s="1689"/>
    </row>
    <row r="123" spans="3:28" s="1688" customFormat="1" ht="12.75" customHeight="1">
      <c r="C123" s="1707"/>
      <c r="D123" s="1699"/>
      <c r="E123" s="1699"/>
      <c r="F123" s="1705"/>
      <c r="G123" s="1705"/>
      <c r="H123" s="1705"/>
      <c r="I123" s="1705"/>
      <c r="J123" s="1705"/>
      <c r="K123" s="1705"/>
      <c r="L123" s="1711"/>
      <c r="M123" s="1711"/>
      <c r="N123" s="1709"/>
      <c r="O123" s="1703"/>
      <c r="P123" s="1710"/>
      <c r="Q123" s="1715"/>
      <c r="R123" s="1689"/>
    </row>
    <row r="124" spans="3:28" s="1688" customFormat="1" ht="12.75" customHeight="1">
      <c r="C124" s="1707"/>
      <c r="D124" s="1699"/>
      <c r="E124" s="1699"/>
      <c r="F124" s="1705"/>
      <c r="G124" s="1705"/>
      <c r="H124" s="1705"/>
      <c r="I124" s="1705"/>
      <c r="J124" s="1705"/>
      <c r="K124" s="1705"/>
      <c r="L124" s="1711"/>
      <c r="M124" s="1711"/>
      <c r="N124" s="1709"/>
      <c r="O124" s="1703"/>
      <c r="P124" s="1689"/>
      <c r="Q124" s="1715"/>
      <c r="R124" s="1689"/>
    </row>
    <row r="125" spans="3:28" s="1688" customFormat="1" ht="12.75" customHeight="1">
      <c r="C125" s="1707"/>
      <c r="D125" s="1699"/>
      <c r="E125" s="1699"/>
      <c r="F125" s="1705"/>
      <c r="G125" s="1705"/>
      <c r="H125" s="1705"/>
      <c r="I125" s="1705"/>
      <c r="J125" s="1705"/>
      <c r="K125" s="1705"/>
      <c r="L125" s="1711"/>
      <c r="M125" s="1711"/>
      <c r="N125" s="1709"/>
      <c r="O125" s="1703"/>
      <c r="P125" s="1689"/>
      <c r="Q125" s="1715"/>
      <c r="R125" s="1689"/>
    </row>
    <row r="126" spans="3:28" s="1688" customFormat="1" ht="12.75" customHeight="1">
      <c r="C126" s="1707"/>
      <c r="D126" s="1699"/>
      <c r="E126" s="1699"/>
      <c r="F126" s="1705"/>
      <c r="G126" s="1705"/>
      <c r="H126" s="1705"/>
      <c r="I126" s="1705"/>
      <c r="J126" s="1705"/>
      <c r="K126" s="1705"/>
      <c r="L126" s="1711"/>
      <c r="M126" s="1711"/>
      <c r="N126" s="1709"/>
      <c r="O126" s="1703"/>
      <c r="P126" s="1689"/>
      <c r="Q126" s="1715"/>
      <c r="R126" s="1689"/>
    </row>
    <row r="127" spans="3:28" s="1688" customFormat="1" ht="12.75" customHeight="1">
      <c r="C127" s="1707"/>
      <c r="D127" s="1699"/>
      <c r="E127" s="1699"/>
      <c r="F127" s="1705"/>
      <c r="G127" s="1705"/>
      <c r="H127" s="1705"/>
      <c r="I127" s="1705"/>
      <c r="J127" s="1705"/>
      <c r="K127" s="1705"/>
      <c r="L127" s="1711"/>
      <c r="M127" s="1711"/>
      <c r="N127" s="1709"/>
      <c r="O127" s="1703"/>
      <c r="P127" s="1689"/>
      <c r="Q127" s="1715"/>
      <c r="R127" s="1689"/>
    </row>
    <row r="128" spans="3:28" s="1688" customFormat="1" ht="12.75" customHeight="1">
      <c r="C128" s="1707"/>
      <c r="D128" s="1699"/>
      <c r="E128" s="1699"/>
      <c r="F128" s="1705"/>
      <c r="G128" s="1705"/>
      <c r="H128" s="1705"/>
      <c r="I128" s="1705"/>
      <c r="J128" s="1705"/>
      <c r="K128" s="1705"/>
      <c r="L128" s="1711"/>
      <c r="M128" s="1711"/>
      <c r="N128" s="1709"/>
      <c r="O128" s="1703"/>
      <c r="P128" s="1689"/>
      <c r="Q128" s="1715"/>
      <c r="R128" s="1689"/>
    </row>
    <row r="129" spans="3:18" s="1688" customFormat="1" ht="12.75" customHeight="1">
      <c r="C129" s="1707"/>
      <c r="D129" s="1699"/>
      <c r="E129" s="1699"/>
      <c r="F129" s="1705"/>
      <c r="G129" s="1705"/>
      <c r="H129" s="1705"/>
      <c r="I129" s="1705"/>
      <c r="J129" s="1705"/>
      <c r="K129" s="1705"/>
      <c r="L129" s="1711"/>
      <c r="M129" s="1711"/>
      <c r="N129" s="1709"/>
      <c r="O129" s="1703"/>
      <c r="P129" s="1689"/>
      <c r="Q129" s="1715"/>
      <c r="R129" s="1689"/>
    </row>
    <row r="130" spans="3:18" s="1688" customFormat="1" ht="12.75" customHeight="1">
      <c r="C130" s="1707"/>
      <c r="D130" s="1699"/>
      <c r="E130" s="1699"/>
      <c r="F130" s="1705"/>
      <c r="G130" s="1705"/>
      <c r="H130" s="1705"/>
      <c r="I130" s="1705"/>
      <c r="J130" s="1705"/>
      <c r="K130" s="1705"/>
      <c r="L130" s="1711"/>
      <c r="M130" s="1711"/>
      <c r="N130" s="1709"/>
      <c r="O130" s="1703"/>
      <c r="P130" s="1689"/>
      <c r="Q130" s="1715"/>
      <c r="R130" s="1689"/>
    </row>
    <row r="131" spans="3:18" s="1688" customFormat="1" ht="12.75" customHeight="1">
      <c r="C131" s="1707"/>
      <c r="D131" s="1699"/>
      <c r="E131" s="1699"/>
      <c r="F131" s="1705"/>
      <c r="G131" s="1705"/>
      <c r="H131" s="1705"/>
      <c r="I131" s="1705"/>
      <c r="J131" s="1705"/>
      <c r="K131" s="1705"/>
      <c r="L131" s="1711"/>
      <c r="M131" s="1711"/>
      <c r="N131" s="1709"/>
      <c r="O131" s="1703"/>
      <c r="P131" s="1689"/>
      <c r="Q131" s="1715"/>
      <c r="R131" s="1689"/>
    </row>
    <row r="132" spans="3:18" s="1688" customFormat="1" ht="12.75" customHeight="1">
      <c r="C132" s="1707"/>
      <c r="D132" s="1699"/>
      <c r="E132" s="1699"/>
      <c r="F132" s="1705"/>
      <c r="G132" s="1705"/>
      <c r="H132" s="1705"/>
      <c r="I132" s="1705"/>
      <c r="J132" s="1705"/>
      <c r="K132" s="1705"/>
      <c r="L132" s="1711"/>
      <c r="M132" s="1711"/>
      <c r="N132" s="1709"/>
      <c r="O132" s="1703"/>
      <c r="P132" s="1689"/>
      <c r="Q132" s="1689"/>
      <c r="R132" s="1689"/>
    </row>
    <row r="133" spans="3:18" s="1688" customFormat="1" ht="12.75" customHeight="1">
      <c r="D133" s="1689"/>
      <c r="E133" s="1689"/>
      <c r="F133" s="1689"/>
      <c r="G133" s="1689"/>
      <c r="H133" s="1689"/>
      <c r="I133" s="1689"/>
      <c r="J133" s="1689"/>
      <c r="K133" s="1689"/>
      <c r="L133" s="1689"/>
      <c r="M133" s="1689"/>
      <c r="N133" s="1689"/>
      <c r="O133" s="1718"/>
      <c r="P133" s="1689"/>
      <c r="Q133" s="1689"/>
      <c r="R133" s="1689"/>
    </row>
    <row r="134" spans="3:18" s="1688" customFormat="1" ht="12.75" customHeight="1">
      <c r="D134" s="1689"/>
      <c r="E134" s="1689"/>
      <c r="F134" s="1689"/>
      <c r="G134" s="1689"/>
      <c r="H134" s="1689"/>
      <c r="I134" s="1689"/>
      <c r="J134" s="1689"/>
      <c r="K134" s="1689"/>
      <c r="L134" s="1689"/>
      <c r="M134" s="1689"/>
      <c r="N134" s="1689"/>
      <c r="O134" s="1718"/>
      <c r="P134" s="1689"/>
      <c r="Q134" s="1689"/>
      <c r="R134" s="1689"/>
    </row>
    <row r="135" spans="3:18" s="1688" customFormat="1" ht="12.75" customHeight="1">
      <c r="D135" s="1689"/>
      <c r="E135" s="1689"/>
      <c r="F135" s="1689"/>
      <c r="G135" s="1689"/>
      <c r="H135" s="1689"/>
      <c r="I135" s="1689"/>
      <c r="J135" s="1689"/>
      <c r="K135" s="1689"/>
      <c r="L135" s="1689"/>
      <c r="M135" s="1689"/>
      <c r="N135" s="1689"/>
      <c r="O135" s="1718"/>
      <c r="P135" s="1689"/>
      <c r="Q135" s="1689"/>
      <c r="R135" s="1689"/>
    </row>
    <row r="136" spans="3:18" s="1688" customFormat="1" ht="12.75" customHeight="1">
      <c r="D136" s="1689"/>
      <c r="E136" s="1689"/>
      <c r="F136" s="1689"/>
      <c r="G136" s="1689"/>
      <c r="H136" s="1689"/>
      <c r="I136" s="1689"/>
      <c r="J136" s="1689"/>
      <c r="K136" s="1689"/>
      <c r="L136" s="1689"/>
      <c r="M136" s="1689"/>
      <c r="N136" s="1689"/>
      <c r="O136" s="1718"/>
      <c r="P136" s="1689"/>
      <c r="Q136" s="1689"/>
      <c r="R136" s="1689"/>
    </row>
    <row r="137" spans="3:18" s="1688" customFormat="1" ht="12.75" customHeight="1">
      <c r="D137" s="1689"/>
      <c r="E137" s="1689"/>
      <c r="F137" s="1689"/>
      <c r="G137" s="1689"/>
      <c r="H137" s="1689"/>
      <c r="I137" s="1689"/>
      <c r="J137" s="1689"/>
      <c r="K137" s="1689"/>
      <c r="L137" s="1689"/>
      <c r="M137" s="1689"/>
      <c r="N137" s="1689"/>
      <c r="O137" s="1718"/>
      <c r="P137" s="1689"/>
      <c r="Q137" s="1689"/>
      <c r="R137" s="1689"/>
    </row>
    <row r="138" spans="3:18" s="1688" customFormat="1" ht="12.75" customHeight="1">
      <c r="D138" s="1689"/>
      <c r="E138" s="1689"/>
      <c r="F138" s="1689"/>
      <c r="G138" s="1689"/>
      <c r="H138" s="1689"/>
      <c r="I138" s="1689"/>
      <c r="J138" s="1689"/>
      <c r="K138" s="1689"/>
      <c r="L138" s="1689"/>
      <c r="M138" s="1689"/>
      <c r="N138" s="1689"/>
      <c r="O138" s="1718"/>
      <c r="P138" s="1689"/>
      <c r="Q138" s="1689"/>
      <c r="R138" s="1689"/>
    </row>
    <row r="139" spans="3:18" s="1688" customFormat="1" ht="12.75" customHeight="1">
      <c r="D139" s="1689"/>
      <c r="E139" s="1689"/>
      <c r="F139" s="1689"/>
      <c r="G139" s="1689"/>
      <c r="H139" s="1689"/>
      <c r="I139" s="1689"/>
      <c r="J139" s="1689"/>
      <c r="K139" s="1689"/>
      <c r="L139" s="1689"/>
      <c r="M139" s="1689"/>
      <c r="N139" s="1689"/>
      <c r="O139" s="1718"/>
      <c r="P139" s="1689"/>
      <c r="Q139" s="1689"/>
      <c r="R139" s="1689"/>
    </row>
    <row r="140" spans="3:18" s="1688" customFormat="1" ht="12.75" customHeight="1">
      <c r="D140" s="1689"/>
      <c r="E140" s="1689"/>
      <c r="F140" s="1689"/>
      <c r="G140" s="1689"/>
      <c r="H140" s="1689"/>
      <c r="I140" s="1689"/>
      <c r="J140" s="1689"/>
      <c r="K140" s="1689"/>
      <c r="L140" s="1689"/>
      <c r="M140" s="1689"/>
      <c r="N140" s="1689"/>
      <c r="O140" s="1718"/>
      <c r="P140" s="1689"/>
      <c r="Q140" s="1689"/>
      <c r="R140" s="1689"/>
    </row>
    <row r="141" spans="3:18" s="1688" customFormat="1" ht="12.75" customHeight="1">
      <c r="D141" s="1689"/>
      <c r="E141" s="1689"/>
      <c r="F141" s="1689"/>
      <c r="G141" s="1689"/>
      <c r="H141" s="1689"/>
      <c r="I141" s="1689"/>
      <c r="J141" s="1689"/>
      <c r="K141" s="1689"/>
      <c r="L141" s="1689"/>
      <c r="M141" s="1689"/>
      <c r="N141" s="1689"/>
      <c r="O141" s="1718"/>
      <c r="P141" s="1689"/>
      <c r="Q141" s="1689"/>
      <c r="R141" s="1689"/>
    </row>
    <row r="142" spans="3:18" s="1688" customFormat="1" ht="12.75" customHeight="1">
      <c r="D142" s="1689"/>
      <c r="E142" s="1689"/>
      <c r="F142" s="1689"/>
      <c r="G142" s="1689"/>
      <c r="H142" s="1689"/>
      <c r="I142" s="1689"/>
      <c r="J142" s="1689"/>
      <c r="K142" s="1689"/>
      <c r="L142" s="1689"/>
      <c r="M142" s="1689"/>
      <c r="N142" s="1689"/>
      <c r="O142" s="1718"/>
      <c r="P142" s="1689"/>
      <c r="Q142" s="1689"/>
      <c r="R142" s="1689"/>
    </row>
    <row r="143" spans="3:18" s="1688" customFormat="1" ht="12.75" customHeight="1">
      <c r="D143" s="1689"/>
      <c r="E143" s="1689"/>
      <c r="F143" s="1689"/>
      <c r="G143" s="1689"/>
      <c r="H143" s="1689"/>
      <c r="I143" s="1689"/>
      <c r="J143" s="1689"/>
      <c r="K143" s="1689"/>
      <c r="L143" s="1689"/>
      <c r="M143" s="1689"/>
      <c r="N143" s="1689"/>
      <c r="O143" s="1718"/>
      <c r="P143" s="1689"/>
      <c r="Q143" s="1689"/>
      <c r="R143" s="1689"/>
    </row>
    <row r="144" spans="3:18" s="1688" customFormat="1" ht="12.75" customHeight="1">
      <c r="D144" s="1689"/>
      <c r="E144" s="1689"/>
      <c r="F144" s="1689"/>
      <c r="G144" s="1689"/>
      <c r="H144" s="1689"/>
      <c r="I144" s="1689"/>
      <c r="J144" s="1689"/>
      <c r="K144" s="1689"/>
      <c r="L144" s="1689"/>
      <c r="M144" s="1689"/>
      <c r="N144" s="1689"/>
      <c r="O144" s="1718"/>
      <c r="P144" s="1689"/>
      <c r="Q144" s="1689"/>
      <c r="R144" s="1689"/>
    </row>
    <row r="145" spans="4:18" s="1688" customFormat="1" ht="12.75" customHeight="1">
      <c r="D145" s="1689"/>
      <c r="E145" s="1689"/>
      <c r="F145" s="1689"/>
      <c r="G145" s="1689"/>
      <c r="H145" s="1689"/>
      <c r="I145" s="1689"/>
      <c r="J145" s="1689"/>
      <c r="K145" s="1689"/>
      <c r="L145" s="1689"/>
      <c r="M145" s="1689"/>
      <c r="N145" s="1689"/>
      <c r="O145" s="1718"/>
      <c r="P145" s="1689"/>
      <c r="Q145" s="1689"/>
      <c r="R145" s="1689"/>
    </row>
    <row r="146" spans="4:18" s="1688" customFormat="1" ht="12.75" customHeight="1">
      <c r="D146" s="1689"/>
      <c r="E146" s="1689"/>
      <c r="F146" s="1689"/>
      <c r="G146" s="1689"/>
      <c r="H146" s="1689"/>
      <c r="I146" s="1689"/>
      <c r="J146" s="1689"/>
      <c r="K146" s="1689"/>
      <c r="L146" s="1689"/>
      <c r="M146" s="1689"/>
      <c r="N146" s="1689"/>
      <c r="O146" s="1718"/>
      <c r="P146" s="1689"/>
      <c r="Q146" s="1689"/>
      <c r="R146" s="1689"/>
    </row>
    <row r="147" spans="4:18" s="1688" customFormat="1" ht="12.75" customHeight="1">
      <c r="D147" s="1689"/>
      <c r="E147" s="1689"/>
      <c r="F147" s="1689"/>
      <c r="G147" s="1689"/>
      <c r="H147" s="1689"/>
      <c r="I147" s="1689"/>
      <c r="J147" s="1689"/>
      <c r="K147" s="1689"/>
      <c r="L147" s="1689"/>
      <c r="M147" s="1689"/>
      <c r="N147" s="1689"/>
      <c r="O147" s="1718"/>
      <c r="P147" s="1689"/>
      <c r="Q147" s="1689"/>
      <c r="R147" s="1689"/>
    </row>
    <row r="148" spans="4:18" s="1688" customFormat="1" ht="12.75" customHeight="1">
      <c r="D148" s="1689"/>
      <c r="E148" s="1689"/>
      <c r="F148" s="1689"/>
      <c r="G148" s="1689"/>
      <c r="H148" s="1689"/>
      <c r="I148" s="1689"/>
      <c r="J148" s="1689"/>
      <c r="K148" s="1689"/>
      <c r="L148" s="1689"/>
      <c r="M148" s="1689"/>
      <c r="N148" s="1689"/>
      <c r="O148" s="1689"/>
      <c r="P148" s="1689"/>
      <c r="Q148" s="1689"/>
      <c r="R148" s="1689"/>
    </row>
    <row r="149" spans="4:18" s="1688" customFormat="1" ht="12.75" customHeight="1">
      <c r="D149" s="1689"/>
      <c r="E149" s="1689"/>
      <c r="F149" s="1689"/>
      <c r="G149" s="1689"/>
      <c r="H149" s="1689"/>
      <c r="I149" s="1689"/>
      <c r="J149" s="1689"/>
      <c r="K149" s="1689"/>
      <c r="L149" s="1689"/>
      <c r="M149" s="1689"/>
      <c r="N149" s="1689"/>
      <c r="O149" s="1689"/>
      <c r="P149" s="1689"/>
      <c r="Q149" s="1689"/>
      <c r="R149" s="1689"/>
    </row>
    <row r="150" spans="4:18" s="1688" customFormat="1" ht="12.75" customHeight="1">
      <c r="D150" s="1689"/>
      <c r="E150" s="1689"/>
      <c r="F150" s="1689"/>
      <c r="G150" s="1689"/>
      <c r="H150" s="1689"/>
      <c r="I150" s="1689"/>
      <c r="J150" s="1689"/>
      <c r="K150" s="1689"/>
      <c r="L150" s="1689"/>
      <c r="M150" s="1689"/>
      <c r="N150" s="1689"/>
      <c r="O150" s="1689"/>
      <c r="P150" s="1689"/>
      <c r="Q150" s="1689"/>
      <c r="R150" s="1689"/>
    </row>
    <row r="151" spans="4:18" s="1688" customFormat="1" ht="12.75" customHeight="1">
      <c r="D151" s="1689"/>
      <c r="E151" s="1689"/>
      <c r="F151" s="1689"/>
      <c r="G151" s="1689"/>
      <c r="H151" s="1689"/>
      <c r="I151" s="1689"/>
      <c r="J151" s="1689"/>
      <c r="K151" s="1689"/>
      <c r="L151" s="1689"/>
      <c r="M151" s="1689"/>
      <c r="N151" s="1689"/>
      <c r="O151" s="1689"/>
      <c r="P151" s="1689"/>
      <c r="Q151" s="1689"/>
      <c r="R151" s="1689"/>
    </row>
    <row r="152" spans="4:18" s="1688" customFormat="1" ht="12.75" customHeight="1">
      <c r="D152" s="1689"/>
      <c r="E152" s="1689"/>
      <c r="F152" s="1689"/>
      <c r="G152" s="1689"/>
      <c r="H152" s="1689"/>
      <c r="I152" s="1689"/>
      <c r="J152" s="1689"/>
      <c r="K152" s="1689"/>
      <c r="L152" s="1689"/>
      <c r="M152" s="1689"/>
      <c r="N152" s="1689"/>
      <c r="O152" s="1689"/>
      <c r="P152" s="1689"/>
      <c r="Q152" s="1689"/>
      <c r="R152" s="1689"/>
    </row>
    <row r="153" spans="4:18" s="1688" customFormat="1" ht="12.75" customHeight="1">
      <c r="D153" s="1689"/>
      <c r="E153" s="1689"/>
      <c r="F153" s="1689"/>
      <c r="G153" s="1689"/>
      <c r="H153" s="1689"/>
      <c r="I153" s="1689"/>
      <c r="J153" s="1689"/>
      <c r="K153" s="1689"/>
      <c r="L153" s="1689"/>
      <c r="M153" s="1689"/>
      <c r="N153" s="1689"/>
      <c r="O153" s="1689"/>
      <c r="P153" s="1689"/>
      <c r="Q153" s="1689"/>
      <c r="R153" s="1689"/>
    </row>
    <row r="154" spans="4:18" s="1688" customFormat="1" ht="12.75" customHeight="1">
      <c r="D154" s="1689"/>
      <c r="E154" s="1689"/>
      <c r="F154" s="1689"/>
      <c r="G154" s="1689"/>
      <c r="H154" s="1689"/>
      <c r="I154" s="1689"/>
      <c r="J154" s="1689"/>
      <c r="K154" s="1689"/>
      <c r="L154" s="1689"/>
      <c r="M154" s="1689"/>
      <c r="N154" s="1689"/>
      <c r="O154" s="1689"/>
      <c r="P154" s="1689"/>
      <c r="Q154" s="1689"/>
      <c r="R154" s="1689"/>
    </row>
    <row r="155" spans="4:18" s="1688" customFormat="1" ht="12.75" customHeight="1">
      <c r="D155" s="1689"/>
      <c r="E155" s="1689"/>
      <c r="F155" s="1689"/>
      <c r="G155" s="1689"/>
      <c r="H155" s="1689"/>
      <c r="I155" s="1689"/>
      <c r="J155" s="1689"/>
      <c r="K155" s="1689"/>
      <c r="L155" s="1689"/>
      <c r="M155" s="1689"/>
      <c r="N155" s="1689"/>
      <c r="O155" s="1689"/>
      <c r="P155" s="1689"/>
      <c r="Q155" s="1689"/>
      <c r="R155" s="1689"/>
    </row>
    <row r="156" spans="4:18" s="1688" customFormat="1" ht="12.75" customHeight="1">
      <c r="D156" s="1689"/>
      <c r="E156" s="1689"/>
      <c r="F156" s="1689"/>
      <c r="G156" s="1689"/>
      <c r="H156" s="1689"/>
      <c r="I156" s="1689"/>
      <c r="J156" s="1689"/>
      <c r="K156" s="1689"/>
      <c r="L156" s="1689"/>
      <c r="M156" s="1689"/>
      <c r="N156" s="1689"/>
      <c r="O156" s="1689"/>
      <c r="P156" s="1689"/>
      <c r="Q156" s="1689"/>
      <c r="R156" s="1689"/>
    </row>
    <row r="157" spans="4:18" s="1688" customFormat="1" ht="12.75" customHeight="1">
      <c r="D157" s="1689"/>
      <c r="E157" s="1689"/>
      <c r="F157" s="1689"/>
      <c r="G157" s="1689"/>
      <c r="H157" s="1689"/>
      <c r="I157" s="1689"/>
      <c r="J157" s="1689"/>
      <c r="K157" s="1689"/>
      <c r="L157" s="1689"/>
      <c r="M157" s="1689"/>
      <c r="N157" s="1689"/>
      <c r="O157" s="1689"/>
      <c r="P157" s="1689"/>
      <c r="Q157" s="1689"/>
      <c r="R157" s="1689"/>
    </row>
    <row r="158" spans="4:18" s="1688" customFormat="1" ht="12.75" customHeight="1">
      <c r="D158" s="1689"/>
      <c r="E158" s="1689"/>
      <c r="F158" s="1689"/>
      <c r="G158" s="1689"/>
      <c r="H158" s="1689"/>
      <c r="I158" s="1689"/>
      <c r="J158" s="1689"/>
      <c r="K158" s="1689"/>
      <c r="L158" s="1689"/>
      <c r="M158" s="1689"/>
      <c r="N158" s="1689"/>
      <c r="O158" s="1689"/>
      <c r="P158" s="1689"/>
      <c r="Q158" s="1689"/>
      <c r="R158" s="1689"/>
    </row>
    <row r="159" spans="4:18" s="1688" customFormat="1" ht="12.75" customHeight="1">
      <c r="D159" s="1689"/>
      <c r="E159" s="1689"/>
      <c r="F159" s="1689"/>
      <c r="G159" s="1689"/>
      <c r="H159" s="1689"/>
      <c r="I159" s="1689"/>
      <c r="J159" s="1689"/>
      <c r="K159" s="1689"/>
      <c r="L159" s="1689"/>
      <c r="M159" s="1689"/>
      <c r="N159" s="1689"/>
      <c r="O159" s="1689"/>
      <c r="P159" s="1689"/>
      <c r="Q159" s="1689"/>
      <c r="R159" s="1689"/>
    </row>
    <row r="160" spans="4:18" s="1688" customFormat="1" ht="12.75" customHeight="1">
      <c r="D160" s="1689"/>
      <c r="E160" s="1689"/>
      <c r="F160" s="1689"/>
      <c r="G160" s="1689"/>
      <c r="H160" s="1689"/>
      <c r="I160" s="1689"/>
      <c r="J160" s="1689"/>
      <c r="K160" s="1689"/>
      <c r="L160" s="1689"/>
      <c r="M160" s="1689"/>
      <c r="N160" s="1689"/>
      <c r="O160" s="1689"/>
      <c r="P160" s="1689"/>
      <c r="Q160" s="1689"/>
      <c r="R160" s="1689"/>
    </row>
    <row r="161" spans="4:18" s="1688" customFormat="1" ht="12.75" customHeight="1">
      <c r="D161" s="1689"/>
      <c r="E161" s="1689"/>
      <c r="F161" s="1689"/>
      <c r="G161" s="1689"/>
      <c r="H161" s="1689"/>
      <c r="I161" s="1689"/>
      <c r="J161" s="1689"/>
      <c r="K161" s="1689"/>
      <c r="L161" s="1689"/>
      <c r="M161" s="1689"/>
      <c r="N161" s="1689"/>
      <c r="O161" s="1689"/>
      <c r="P161" s="1689"/>
      <c r="Q161" s="1689"/>
      <c r="R161" s="1689"/>
    </row>
    <row r="162" spans="4:18" s="1688" customFormat="1" ht="12.75" customHeight="1">
      <c r="D162" s="1689"/>
      <c r="E162" s="1689"/>
      <c r="F162" s="1689"/>
      <c r="G162" s="1689"/>
      <c r="H162" s="1689"/>
      <c r="I162" s="1689"/>
      <c r="J162" s="1689"/>
      <c r="K162" s="1689"/>
      <c r="L162" s="1689"/>
      <c r="M162" s="1689"/>
      <c r="N162" s="1689"/>
      <c r="O162" s="1689"/>
      <c r="P162" s="1689"/>
      <c r="Q162" s="1689"/>
      <c r="R162" s="1689"/>
    </row>
    <row r="163" spans="4:18" s="1688" customFormat="1" ht="12.75" customHeight="1">
      <c r="D163" s="1689"/>
      <c r="E163" s="1689"/>
      <c r="F163" s="1689"/>
      <c r="G163" s="1689"/>
      <c r="H163" s="1689"/>
      <c r="I163" s="1689"/>
      <c r="J163" s="1689"/>
      <c r="K163" s="1689"/>
      <c r="L163" s="1689"/>
      <c r="M163" s="1689"/>
      <c r="N163" s="1689"/>
      <c r="O163" s="1689"/>
      <c r="P163" s="1689"/>
      <c r="Q163" s="1689"/>
      <c r="R163" s="1689"/>
    </row>
    <row r="164" spans="4:18" s="1688" customFormat="1" ht="12.75" customHeight="1">
      <c r="D164" s="1689"/>
      <c r="E164" s="1689"/>
      <c r="F164" s="1689"/>
      <c r="G164" s="1689"/>
      <c r="H164" s="1689"/>
      <c r="I164" s="1689"/>
      <c r="J164" s="1689"/>
      <c r="K164" s="1689"/>
      <c r="L164" s="1689"/>
      <c r="M164" s="1689"/>
      <c r="N164" s="1689"/>
      <c r="O164" s="1689"/>
      <c r="P164" s="1689"/>
      <c r="Q164" s="1689"/>
      <c r="R164" s="1689"/>
    </row>
    <row r="165" spans="4:18" s="1688" customFormat="1" ht="12.75" customHeight="1">
      <c r="D165" s="1689"/>
      <c r="E165" s="1689"/>
      <c r="F165" s="1689"/>
      <c r="G165" s="1689"/>
      <c r="H165" s="1689"/>
      <c r="I165" s="1689"/>
      <c r="J165" s="1689"/>
      <c r="K165" s="1689"/>
      <c r="L165" s="1689"/>
      <c r="M165" s="1689"/>
      <c r="N165" s="1689"/>
      <c r="O165" s="1689"/>
      <c r="P165" s="1689"/>
      <c r="Q165" s="1689"/>
      <c r="R165" s="1689"/>
    </row>
    <row r="166" spans="4:18" s="1688" customFormat="1" ht="12.75" customHeight="1">
      <c r="D166" s="1689"/>
      <c r="E166" s="1689"/>
      <c r="F166" s="1689"/>
      <c r="G166" s="1689"/>
      <c r="H166" s="1689"/>
      <c r="I166" s="1689"/>
      <c r="J166" s="1689"/>
      <c r="K166" s="1689"/>
      <c r="L166" s="1689"/>
      <c r="M166" s="1689"/>
      <c r="N166" s="1689"/>
      <c r="O166" s="1689"/>
      <c r="P166" s="1689"/>
      <c r="Q166" s="1689"/>
      <c r="R166" s="1689"/>
    </row>
    <row r="167" spans="4:18" s="1688" customFormat="1" ht="12.75" customHeight="1">
      <c r="D167" s="1689"/>
      <c r="E167" s="1689"/>
      <c r="F167" s="1689"/>
      <c r="G167" s="1689"/>
      <c r="H167" s="1689"/>
      <c r="I167" s="1689"/>
      <c r="J167" s="1689"/>
      <c r="K167" s="1689"/>
      <c r="L167" s="1689"/>
      <c r="M167" s="1689"/>
      <c r="N167" s="1689"/>
      <c r="O167" s="1689"/>
      <c r="P167" s="1689"/>
      <c r="Q167" s="1689"/>
      <c r="R167" s="1689"/>
    </row>
    <row r="168" spans="4:18" s="1688" customFormat="1" ht="12.75" customHeight="1">
      <c r="D168" s="1689"/>
      <c r="E168" s="1689"/>
      <c r="F168" s="1689"/>
      <c r="G168" s="1689"/>
      <c r="H168" s="1689"/>
      <c r="I168" s="1689"/>
      <c r="J168" s="1689"/>
      <c r="K168" s="1689"/>
      <c r="L168" s="1689"/>
      <c r="M168" s="1689"/>
      <c r="N168" s="1689"/>
      <c r="O168" s="1689"/>
      <c r="P168" s="1689"/>
      <c r="Q168" s="1689"/>
      <c r="R168" s="1689"/>
    </row>
    <row r="169" spans="4:18" s="1688" customFormat="1" ht="12.75" customHeight="1">
      <c r="D169" s="1689"/>
      <c r="E169" s="1689"/>
      <c r="F169" s="1689"/>
      <c r="G169" s="1689"/>
      <c r="H169" s="1689"/>
      <c r="I169" s="1689"/>
      <c r="J169" s="1689"/>
      <c r="K169" s="1689"/>
      <c r="L169" s="1689"/>
      <c r="M169" s="1689"/>
      <c r="N169" s="1689"/>
      <c r="O169" s="1689"/>
      <c r="P169" s="1689"/>
      <c r="Q169" s="1689"/>
      <c r="R169" s="1689"/>
    </row>
    <row r="170" spans="4:18" s="1688" customFormat="1" ht="12.75" customHeight="1">
      <c r="D170" s="1689"/>
      <c r="E170" s="1689"/>
      <c r="F170" s="1689"/>
      <c r="G170" s="1689"/>
      <c r="H170" s="1689"/>
      <c r="I170" s="1689"/>
      <c r="J170" s="1689"/>
      <c r="K170" s="1689"/>
      <c r="L170" s="1689"/>
      <c r="M170" s="1689"/>
      <c r="N170" s="1689"/>
      <c r="O170" s="1689"/>
      <c r="P170" s="1689"/>
      <c r="Q170" s="1689"/>
      <c r="R170" s="1689"/>
    </row>
    <row r="171" spans="4:18" s="1688" customFormat="1" ht="12.75" customHeight="1">
      <c r="D171" s="1689"/>
      <c r="E171" s="1689"/>
      <c r="F171" s="1689"/>
      <c r="G171" s="1689"/>
      <c r="H171" s="1689"/>
      <c r="I171" s="1689"/>
      <c r="J171" s="1689"/>
      <c r="K171" s="1689"/>
      <c r="L171" s="1689"/>
      <c r="M171" s="1689"/>
      <c r="N171" s="1689"/>
      <c r="O171" s="1689"/>
      <c r="P171" s="1689"/>
      <c r="Q171" s="1689"/>
      <c r="R171" s="1689"/>
    </row>
    <row r="172" spans="4:18" s="1688" customFormat="1" ht="12.75" customHeight="1">
      <c r="D172" s="1689"/>
      <c r="E172" s="1689"/>
      <c r="F172" s="1689"/>
      <c r="G172" s="1689"/>
      <c r="H172" s="1689"/>
      <c r="I172" s="1689"/>
      <c r="J172" s="1689"/>
      <c r="K172" s="1689"/>
      <c r="L172" s="1689"/>
      <c r="M172" s="1689"/>
      <c r="N172" s="1689"/>
      <c r="O172" s="1689"/>
      <c r="P172" s="1689"/>
      <c r="Q172" s="1689"/>
      <c r="R172" s="1689"/>
    </row>
    <row r="173" spans="4:18" s="1688" customFormat="1" ht="12.75" customHeight="1">
      <c r="D173" s="1689"/>
      <c r="E173" s="1689"/>
      <c r="F173" s="1689"/>
      <c r="G173" s="1689"/>
      <c r="H173" s="1689"/>
      <c r="I173" s="1689"/>
      <c r="J173" s="1689"/>
      <c r="K173" s="1689"/>
      <c r="L173" s="1689"/>
      <c r="M173" s="1689"/>
      <c r="N173" s="1689"/>
      <c r="O173" s="1689"/>
      <c r="P173" s="1689"/>
      <c r="Q173" s="1689"/>
      <c r="R173" s="1689"/>
    </row>
    <row r="174" spans="4:18" s="1688" customFormat="1" ht="12.75" customHeight="1">
      <c r="D174" s="1689"/>
      <c r="E174" s="1689"/>
      <c r="F174" s="1689"/>
      <c r="G174" s="1689"/>
      <c r="H174" s="1689"/>
      <c r="I174" s="1689"/>
      <c r="J174" s="1689"/>
      <c r="K174" s="1689"/>
      <c r="L174" s="1689"/>
      <c r="M174" s="1689"/>
      <c r="N174" s="1689"/>
      <c r="O174" s="1689"/>
      <c r="P174" s="1689"/>
      <c r="Q174" s="1689"/>
      <c r="R174" s="1689"/>
    </row>
    <row r="175" spans="4:18" s="1688" customFormat="1" ht="12.75" customHeight="1">
      <c r="D175" s="1689"/>
      <c r="E175" s="1689"/>
      <c r="F175" s="1689"/>
      <c r="G175" s="1689"/>
      <c r="H175" s="1689"/>
      <c r="I175" s="1689"/>
      <c r="J175" s="1689"/>
      <c r="K175" s="1689"/>
      <c r="L175" s="1689"/>
      <c r="M175" s="1689"/>
      <c r="N175" s="1689"/>
      <c r="O175" s="1689"/>
      <c r="P175" s="1689"/>
      <c r="Q175" s="1689"/>
      <c r="R175" s="1689"/>
    </row>
    <row r="176" spans="4:18" s="1688" customFormat="1" ht="12.75" customHeight="1">
      <c r="D176" s="1689"/>
      <c r="E176" s="1689"/>
      <c r="F176" s="1689"/>
      <c r="G176" s="1689"/>
      <c r="H176" s="1689"/>
      <c r="I176" s="1689"/>
      <c r="J176" s="1689"/>
      <c r="K176" s="1689"/>
      <c r="L176" s="1689"/>
      <c r="M176" s="1689"/>
      <c r="N176" s="1689"/>
      <c r="O176" s="1689"/>
      <c r="P176" s="1689"/>
      <c r="Q176" s="1689"/>
      <c r="R176" s="1689"/>
    </row>
    <row r="177" spans="4:18" s="1688" customFormat="1" ht="12.75" customHeight="1">
      <c r="D177" s="1689"/>
      <c r="E177" s="1689"/>
      <c r="F177" s="1689"/>
      <c r="G177" s="1689"/>
      <c r="H177" s="1689"/>
      <c r="I177" s="1689"/>
      <c r="J177" s="1689"/>
      <c r="K177" s="1689"/>
      <c r="L177" s="1689"/>
      <c r="M177" s="1689"/>
      <c r="N177" s="1689"/>
      <c r="O177" s="1689"/>
      <c r="P177" s="1689"/>
      <c r="Q177" s="1689"/>
      <c r="R177" s="1689"/>
    </row>
    <row r="178" spans="4:18" s="1688" customFormat="1" ht="12.75" customHeight="1">
      <c r="D178" s="1689"/>
      <c r="E178" s="1689"/>
      <c r="F178" s="1689"/>
      <c r="G178" s="1689"/>
      <c r="H178" s="1689"/>
      <c r="I178" s="1689"/>
      <c r="J178" s="1689"/>
      <c r="K178" s="1689"/>
      <c r="L178" s="1689"/>
      <c r="M178" s="1689"/>
      <c r="N178" s="1689"/>
      <c r="O178" s="1689"/>
      <c r="P178" s="1689"/>
      <c r="Q178" s="1689"/>
      <c r="R178" s="1689"/>
    </row>
    <row r="179" spans="4:18" s="1688" customFormat="1" ht="12.75" customHeight="1">
      <c r="D179" s="1689"/>
      <c r="E179" s="1689"/>
      <c r="F179" s="1689"/>
      <c r="G179" s="1689"/>
      <c r="H179" s="1689"/>
      <c r="I179" s="1689"/>
      <c r="J179" s="1689"/>
      <c r="K179" s="1689"/>
      <c r="L179" s="1689"/>
      <c r="M179" s="1689"/>
      <c r="N179" s="1689"/>
      <c r="O179" s="1689"/>
      <c r="P179" s="1689"/>
      <c r="Q179" s="1689"/>
      <c r="R179" s="1689"/>
    </row>
    <row r="180" spans="4:18" s="1688" customFormat="1" ht="12.75" customHeight="1">
      <c r="D180" s="1689"/>
      <c r="E180" s="1689"/>
      <c r="F180" s="1689"/>
      <c r="G180" s="1689"/>
      <c r="H180" s="1689"/>
      <c r="I180" s="1689"/>
      <c r="J180" s="1689"/>
      <c r="K180" s="1689"/>
      <c r="L180" s="1689"/>
      <c r="M180" s="1689"/>
      <c r="N180" s="1689"/>
      <c r="O180" s="1689"/>
      <c r="P180" s="1689"/>
      <c r="Q180" s="1689"/>
      <c r="R180" s="1689"/>
    </row>
    <row r="181" spans="4:18" s="1688" customFormat="1" ht="12.75" customHeight="1">
      <c r="D181" s="1689"/>
      <c r="E181" s="1689"/>
      <c r="F181" s="1689"/>
      <c r="G181" s="1689"/>
      <c r="H181" s="1689"/>
      <c r="I181" s="1689"/>
      <c r="J181" s="1689"/>
      <c r="K181" s="1689"/>
      <c r="L181" s="1689"/>
      <c r="M181" s="1689"/>
      <c r="N181" s="1689"/>
      <c r="O181" s="1689"/>
      <c r="P181" s="1689"/>
      <c r="Q181" s="1689"/>
      <c r="R181" s="1689"/>
    </row>
    <row r="182" spans="4:18" s="1688" customFormat="1" ht="12.75" customHeight="1">
      <c r="D182" s="1689"/>
      <c r="E182" s="1689"/>
      <c r="F182" s="1689"/>
      <c r="G182" s="1689"/>
      <c r="H182" s="1689"/>
      <c r="I182" s="1689"/>
      <c r="J182" s="1689"/>
      <c r="K182" s="1689"/>
      <c r="L182" s="1689"/>
      <c r="M182" s="1689"/>
      <c r="N182" s="1689"/>
      <c r="O182" s="1689"/>
      <c r="P182" s="1689"/>
      <c r="Q182" s="1689"/>
      <c r="R182" s="1689"/>
    </row>
    <row r="183" spans="4:18" s="1688" customFormat="1" ht="12.75" customHeight="1">
      <c r="D183" s="1689"/>
      <c r="E183" s="1689"/>
      <c r="F183" s="1689"/>
      <c r="G183" s="1689"/>
      <c r="H183" s="1689"/>
      <c r="I183" s="1689"/>
      <c r="J183" s="1689"/>
      <c r="K183" s="1689"/>
      <c r="L183" s="1689"/>
      <c r="M183" s="1689"/>
      <c r="N183" s="1689"/>
      <c r="O183" s="1689"/>
      <c r="P183" s="1689"/>
      <c r="Q183" s="1689"/>
      <c r="R183" s="1689"/>
    </row>
    <row r="184" spans="4:18" s="1688" customFormat="1" ht="12.75" customHeight="1">
      <c r="D184" s="1689"/>
      <c r="E184" s="1689"/>
      <c r="F184" s="1689"/>
      <c r="G184" s="1689"/>
      <c r="H184" s="1689"/>
      <c r="I184" s="1689"/>
      <c r="J184" s="1689"/>
      <c r="K184" s="1689"/>
      <c r="L184" s="1689"/>
      <c r="M184" s="1689"/>
      <c r="N184" s="1689"/>
      <c r="O184" s="1689"/>
      <c r="P184" s="1689"/>
      <c r="Q184" s="1689"/>
      <c r="R184" s="1689"/>
    </row>
    <row r="185" spans="4:18" s="1688" customFormat="1" ht="12.75" customHeight="1">
      <c r="D185" s="1689"/>
      <c r="E185" s="1689"/>
      <c r="F185" s="1689"/>
      <c r="G185" s="1689"/>
      <c r="H185" s="1689"/>
      <c r="I185" s="1689"/>
      <c r="J185" s="1689"/>
      <c r="K185" s="1689"/>
      <c r="L185" s="1689"/>
      <c r="M185" s="1689"/>
      <c r="N185" s="1689"/>
      <c r="O185" s="1689"/>
      <c r="P185" s="1689"/>
      <c r="Q185" s="1689"/>
      <c r="R185" s="1689"/>
    </row>
    <row r="186" spans="4:18" s="1688" customFormat="1" ht="12.75" customHeight="1">
      <c r="D186" s="1689"/>
      <c r="E186" s="1689"/>
      <c r="F186" s="1689"/>
      <c r="G186" s="1689"/>
      <c r="H186" s="1689"/>
      <c r="I186" s="1689"/>
      <c r="J186" s="1689"/>
      <c r="K186" s="1689"/>
      <c r="L186" s="1689"/>
      <c r="M186" s="1689"/>
      <c r="N186" s="1689"/>
      <c r="O186" s="1689"/>
      <c r="P186" s="1689"/>
      <c r="Q186" s="1689"/>
      <c r="R186" s="1689"/>
    </row>
    <row r="187" spans="4:18" s="1688" customFormat="1" ht="12.75" customHeight="1">
      <c r="D187" s="1689"/>
      <c r="E187" s="1689"/>
      <c r="F187" s="1689"/>
      <c r="G187" s="1689"/>
      <c r="H187" s="1689"/>
      <c r="I187" s="1689"/>
      <c r="J187" s="1689"/>
      <c r="K187" s="1689"/>
      <c r="L187" s="1689"/>
      <c r="M187" s="1689"/>
      <c r="N187" s="1689"/>
      <c r="O187" s="1689"/>
      <c r="P187" s="1689"/>
      <c r="Q187" s="1689"/>
      <c r="R187" s="1689"/>
    </row>
    <row r="188" spans="4:18" s="1688" customFormat="1" ht="12.75" customHeight="1">
      <c r="D188" s="1689"/>
      <c r="E188" s="1689"/>
      <c r="F188" s="1689"/>
      <c r="G188" s="1689"/>
      <c r="H188" s="1689"/>
      <c r="I188" s="1689"/>
      <c r="J188" s="1689"/>
      <c r="K188" s="1689"/>
      <c r="L188" s="1689"/>
      <c r="M188" s="1689"/>
      <c r="N188" s="1689"/>
      <c r="O188" s="1689"/>
      <c r="P188" s="1689"/>
      <c r="Q188" s="1689"/>
      <c r="R188" s="1689"/>
    </row>
    <row r="189" spans="4:18" s="1688" customFormat="1" ht="12.75" customHeight="1">
      <c r="D189" s="1689"/>
      <c r="E189" s="1689"/>
      <c r="F189" s="1689"/>
      <c r="G189" s="1689"/>
      <c r="H189" s="1689"/>
      <c r="I189" s="1689"/>
      <c r="J189" s="1689"/>
      <c r="K189" s="1689"/>
      <c r="L189" s="1689"/>
      <c r="M189" s="1689"/>
      <c r="N189" s="1689"/>
      <c r="O189" s="1689"/>
      <c r="P189" s="1689"/>
      <c r="Q189" s="1689"/>
      <c r="R189" s="1689"/>
    </row>
    <row r="190" spans="4:18" s="1688" customFormat="1" ht="12.75" customHeight="1">
      <c r="D190" s="1689"/>
      <c r="E190" s="1689"/>
      <c r="F190" s="1689"/>
      <c r="G190" s="1689"/>
      <c r="H190" s="1689"/>
      <c r="I190" s="1689"/>
      <c r="J190" s="1689"/>
      <c r="K190" s="1689"/>
      <c r="L190" s="1689"/>
      <c r="M190" s="1689"/>
      <c r="N190" s="1689"/>
      <c r="O190" s="1689"/>
      <c r="P190" s="1689"/>
      <c r="Q190" s="1689"/>
      <c r="R190" s="1689"/>
    </row>
    <row r="191" spans="4:18" s="1688" customFormat="1" ht="12.75" customHeight="1">
      <c r="D191" s="1689"/>
      <c r="E191" s="1689"/>
      <c r="F191" s="1689"/>
      <c r="G191" s="1689"/>
      <c r="H191" s="1689"/>
      <c r="I191" s="1689"/>
      <c r="J191" s="1689"/>
      <c r="K191" s="1689"/>
      <c r="L191" s="1689"/>
      <c r="M191" s="1689"/>
      <c r="N191" s="1689"/>
      <c r="O191" s="1689"/>
      <c r="P191" s="1689"/>
      <c r="Q191" s="1689"/>
      <c r="R191" s="1689"/>
    </row>
    <row r="192" spans="4:18" s="1688" customFormat="1" ht="12.75" customHeight="1">
      <c r="D192" s="1689"/>
      <c r="E192" s="1689"/>
      <c r="F192" s="1689"/>
      <c r="G192" s="1689"/>
      <c r="H192" s="1689"/>
      <c r="I192" s="1689"/>
      <c r="J192" s="1689"/>
      <c r="K192" s="1689"/>
      <c r="L192" s="1689"/>
      <c r="M192" s="1689"/>
      <c r="N192" s="1689"/>
      <c r="O192" s="1689"/>
      <c r="P192" s="1689"/>
      <c r="Q192" s="1689"/>
      <c r="R192" s="1689"/>
    </row>
    <row r="193" spans="4:18" s="1688" customFormat="1" ht="12.75" customHeight="1">
      <c r="D193" s="1689"/>
      <c r="E193" s="1689"/>
      <c r="F193" s="1689"/>
      <c r="G193" s="1689"/>
      <c r="H193" s="1689"/>
      <c r="I193" s="1689"/>
      <c r="J193" s="1689"/>
      <c r="K193" s="1689"/>
      <c r="L193" s="1689"/>
      <c r="M193" s="1689"/>
      <c r="N193" s="1689"/>
      <c r="O193" s="1689"/>
      <c r="P193" s="1689"/>
      <c r="Q193" s="1689"/>
      <c r="R193" s="1689"/>
    </row>
    <row r="194" spans="4:18" s="1688" customFormat="1" ht="12.75" customHeight="1">
      <c r="D194" s="1689"/>
      <c r="E194" s="1689"/>
      <c r="F194" s="1689"/>
      <c r="G194" s="1689"/>
      <c r="H194" s="1689"/>
      <c r="I194" s="1689"/>
      <c r="J194" s="1689"/>
      <c r="K194" s="1689"/>
      <c r="L194" s="1689"/>
      <c r="M194" s="1689"/>
      <c r="N194" s="1689"/>
      <c r="O194" s="1689"/>
      <c r="P194" s="1689"/>
      <c r="Q194" s="1689"/>
      <c r="R194" s="1689"/>
    </row>
    <row r="195" spans="4:18" s="1688" customFormat="1" ht="12.75" customHeight="1">
      <c r="D195" s="1689"/>
      <c r="E195" s="1689"/>
      <c r="F195" s="1689"/>
      <c r="G195" s="1689"/>
      <c r="H195" s="1689"/>
      <c r="I195" s="1689"/>
      <c r="J195" s="1689"/>
      <c r="K195" s="1689"/>
      <c r="L195" s="1689"/>
      <c r="M195" s="1689"/>
      <c r="N195" s="1689"/>
      <c r="O195" s="1689"/>
      <c r="P195" s="1689"/>
      <c r="Q195" s="1689"/>
      <c r="R195" s="1689"/>
    </row>
    <row r="196" spans="4:18" s="1688" customFormat="1" ht="12.75" customHeight="1">
      <c r="D196" s="1689"/>
      <c r="E196" s="1689"/>
      <c r="F196" s="1689"/>
      <c r="G196" s="1689"/>
      <c r="H196" s="1689"/>
      <c r="I196" s="1689"/>
      <c r="J196" s="1689"/>
      <c r="K196" s="1689"/>
      <c r="L196" s="1689"/>
      <c r="M196" s="1689"/>
      <c r="N196" s="1689"/>
      <c r="O196" s="1689"/>
      <c r="P196" s="1689"/>
      <c r="Q196" s="1689"/>
      <c r="R196" s="1689"/>
    </row>
    <row r="197" spans="4:18" s="1688" customFormat="1" ht="12.75" customHeight="1">
      <c r="D197" s="1689"/>
      <c r="E197" s="1689"/>
      <c r="F197" s="1689"/>
      <c r="G197" s="1689"/>
      <c r="H197" s="1689"/>
      <c r="I197" s="1689"/>
      <c r="J197" s="1689"/>
      <c r="K197" s="1689"/>
      <c r="L197" s="1689"/>
      <c r="M197" s="1689"/>
      <c r="N197" s="1689"/>
      <c r="O197" s="1689"/>
      <c r="P197" s="1689"/>
      <c r="Q197" s="1689"/>
      <c r="R197" s="1689"/>
    </row>
    <row r="198" spans="4:18" s="1688" customFormat="1" ht="12.75" customHeight="1">
      <c r="D198" s="1689"/>
      <c r="E198" s="1689"/>
      <c r="F198" s="1689"/>
      <c r="G198" s="1689"/>
      <c r="H198" s="1689"/>
      <c r="I198" s="1689"/>
      <c r="J198" s="1689"/>
      <c r="K198" s="1689"/>
      <c r="L198" s="1689"/>
      <c r="M198" s="1689"/>
      <c r="N198" s="1689"/>
      <c r="O198" s="1689"/>
      <c r="P198" s="1689"/>
      <c r="Q198" s="1689"/>
      <c r="R198" s="1689"/>
    </row>
    <row r="199" spans="4:18" s="1688" customFormat="1" ht="12.75" customHeight="1">
      <c r="D199" s="1689"/>
      <c r="E199" s="1689"/>
      <c r="F199" s="1689"/>
      <c r="G199" s="1689"/>
      <c r="H199" s="1689"/>
      <c r="I199" s="1689"/>
      <c r="J199" s="1689"/>
      <c r="K199" s="1689"/>
      <c r="L199" s="1689"/>
      <c r="M199" s="1689"/>
      <c r="N199" s="1689"/>
      <c r="O199" s="1689"/>
      <c r="P199" s="1689"/>
      <c r="Q199" s="1689"/>
      <c r="R199" s="1689"/>
    </row>
    <row r="200" spans="4:18" s="1688" customFormat="1" ht="12.75" customHeight="1">
      <c r="D200" s="1689"/>
      <c r="E200" s="1689"/>
      <c r="F200" s="1689"/>
      <c r="G200" s="1689"/>
      <c r="H200" s="1689"/>
      <c r="I200" s="1689"/>
      <c r="J200" s="1689"/>
      <c r="K200" s="1689"/>
      <c r="L200" s="1689"/>
      <c r="M200" s="1689"/>
      <c r="N200" s="1689"/>
      <c r="O200" s="1689"/>
      <c r="P200" s="1689"/>
      <c r="Q200" s="1689"/>
      <c r="R200" s="1689"/>
    </row>
    <row r="201" spans="4:18" s="1688" customFormat="1" ht="12.75" customHeight="1">
      <c r="D201" s="1689"/>
      <c r="E201" s="1689"/>
      <c r="F201" s="1689"/>
      <c r="G201" s="1689"/>
      <c r="H201" s="1689"/>
      <c r="I201" s="1689"/>
      <c r="J201" s="1689"/>
      <c r="K201" s="1689"/>
      <c r="L201" s="1689"/>
      <c r="M201" s="1689"/>
      <c r="N201" s="1689"/>
      <c r="O201" s="1689"/>
      <c r="P201" s="1689"/>
      <c r="Q201" s="1689"/>
      <c r="R201" s="1689"/>
    </row>
    <row r="202" spans="4:18" s="1688" customFormat="1" ht="12.75" customHeight="1">
      <c r="D202" s="1689"/>
      <c r="E202" s="1689"/>
      <c r="F202" s="1689"/>
      <c r="G202" s="1689"/>
      <c r="H202" s="1689"/>
      <c r="I202" s="1689"/>
      <c r="J202" s="1689"/>
      <c r="K202" s="1689"/>
      <c r="L202" s="1689"/>
      <c r="M202" s="1689"/>
      <c r="N202" s="1689"/>
      <c r="O202" s="1689"/>
      <c r="P202" s="1689"/>
      <c r="Q202" s="1689"/>
      <c r="R202" s="1689"/>
    </row>
    <row r="203" spans="4:18" s="1688" customFormat="1" ht="12.75" customHeight="1">
      <c r="D203" s="1689"/>
      <c r="E203" s="1689"/>
      <c r="F203" s="1689"/>
      <c r="G203" s="1689"/>
      <c r="H203" s="1689"/>
      <c r="I203" s="1689"/>
      <c r="J203" s="1689"/>
      <c r="K203" s="1689"/>
      <c r="L203" s="1689"/>
      <c r="M203" s="1689"/>
      <c r="N203" s="1689"/>
      <c r="O203" s="1689"/>
      <c r="P203" s="1689"/>
      <c r="Q203" s="1689"/>
      <c r="R203" s="1689"/>
    </row>
    <row r="204" spans="4:18" s="1688" customFormat="1" ht="12.75" customHeight="1">
      <c r="D204" s="1689"/>
      <c r="E204" s="1689"/>
      <c r="F204" s="1689"/>
      <c r="G204" s="1689"/>
      <c r="H204" s="1689"/>
      <c r="I204" s="1689"/>
      <c r="J204" s="1689"/>
      <c r="K204" s="1689"/>
      <c r="L204" s="1689"/>
      <c r="M204" s="1689"/>
      <c r="N204" s="1689"/>
      <c r="O204" s="1689"/>
      <c r="P204" s="1689"/>
      <c r="Q204" s="1689"/>
      <c r="R204" s="1689"/>
    </row>
    <row r="205" spans="4:18" s="1688" customFormat="1" ht="12.75" customHeight="1">
      <c r="D205" s="1689"/>
      <c r="E205" s="1689"/>
      <c r="F205" s="1689"/>
      <c r="G205" s="1689"/>
      <c r="H205" s="1689"/>
      <c r="I205" s="1689"/>
      <c r="J205" s="1689"/>
      <c r="K205" s="1689"/>
      <c r="L205" s="1689"/>
      <c r="M205" s="1689"/>
      <c r="N205" s="1689"/>
      <c r="O205" s="1689"/>
      <c r="P205" s="1689"/>
      <c r="Q205" s="1689"/>
      <c r="R205" s="1689"/>
    </row>
    <row r="206" spans="4:18" s="1688" customFormat="1" ht="12.75" customHeight="1">
      <c r="D206" s="1689"/>
      <c r="E206" s="1689"/>
      <c r="F206" s="1689"/>
      <c r="G206" s="1689"/>
      <c r="H206" s="1689"/>
      <c r="I206" s="1689"/>
      <c r="J206" s="1689"/>
      <c r="K206" s="1689"/>
      <c r="L206" s="1689"/>
      <c r="M206" s="1689"/>
      <c r="N206" s="1689"/>
      <c r="O206" s="1689"/>
      <c r="P206" s="1689"/>
      <c r="Q206" s="1689"/>
      <c r="R206" s="1689"/>
    </row>
    <row r="207" spans="4:18" s="1688" customFormat="1" ht="12.75" customHeight="1">
      <c r="D207" s="1689"/>
      <c r="E207" s="1689"/>
      <c r="F207" s="1689"/>
      <c r="G207" s="1689"/>
      <c r="H207" s="1689"/>
      <c r="I207" s="1689"/>
      <c r="J207" s="1689"/>
      <c r="K207" s="1689"/>
      <c r="L207" s="1689"/>
      <c r="M207" s="1689"/>
      <c r="N207" s="1689"/>
      <c r="O207" s="1689"/>
      <c r="P207" s="1689"/>
      <c r="Q207" s="1689"/>
      <c r="R207" s="1689"/>
    </row>
    <row r="208" spans="4:18" s="1688" customFormat="1" ht="12.75" customHeight="1">
      <c r="D208" s="1689"/>
      <c r="E208" s="1689"/>
      <c r="F208" s="1689"/>
      <c r="G208" s="1689"/>
      <c r="H208" s="1689"/>
      <c r="I208" s="1689"/>
      <c r="J208" s="1689"/>
      <c r="K208" s="1689"/>
      <c r="L208" s="1689"/>
      <c r="M208" s="1689"/>
      <c r="N208" s="1689"/>
      <c r="O208" s="1689"/>
      <c r="P208" s="1689"/>
      <c r="Q208" s="1689"/>
      <c r="R208" s="1689"/>
    </row>
    <row r="209" spans="4:18" s="1688" customFormat="1" ht="12.75" customHeight="1">
      <c r="D209" s="1689"/>
      <c r="E209" s="1689"/>
      <c r="F209" s="1689"/>
      <c r="G209" s="1689"/>
      <c r="H209" s="1689"/>
      <c r="I209" s="1689"/>
      <c r="J209" s="1689"/>
      <c r="K209" s="1689"/>
      <c r="L209" s="1689"/>
      <c r="M209" s="1689"/>
      <c r="N209" s="1689"/>
      <c r="O209" s="1689"/>
      <c r="P209" s="1689"/>
      <c r="Q209" s="1689"/>
      <c r="R209" s="1689"/>
    </row>
    <row r="210" spans="4:18" s="1688" customFormat="1" ht="12.75" customHeight="1">
      <c r="D210" s="1689"/>
      <c r="E210" s="1689"/>
      <c r="F210" s="1689"/>
      <c r="G210" s="1689"/>
      <c r="H210" s="1689"/>
      <c r="I210" s="1689"/>
      <c r="J210" s="1689"/>
      <c r="K210" s="1689"/>
      <c r="L210" s="1689"/>
      <c r="M210" s="1689"/>
      <c r="N210" s="1689"/>
      <c r="O210" s="1689"/>
      <c r="P210" s="1689"/>
      <c r="Q210" s="1689"/>
      <c r="R210" s="1689"/>
    </row>
    <row r="211" spans="4:18" s="1688" customFormat="1" ht="12.75" customHeight="1">
      <c r="D211" s="1689"/>
      <c r="E211" s="1689"/>
      <c r="F211" s="1689"/>
      <c r="G211" s="1689"/>
      <c r="H211" s="1689"/>
      <c r="I211" s="1689"/>
      <c r="J211" s="1689"/>
      <c r="K211" s="1689"/>
      <c r="L211" s="1689"/>
      <c r="M211" s="1689"/>
      <c r="N211" s="1689"/>
      <c r="O211" s="1689"/>
      <c r="P211" s="1689"/>
      <c r="Q211" s="1689"/>
      <c r="R211" s="1689"/>
    </row>
    <row r="212" spans="4:18" s="1688" customFormat="1" ht="12.75" customHeight="1">
      <c r="D212" s="1689"/>
      <c r="E212" s="1689"/>
      <c r="F212" s="1689"/>
      <c r="G212" s="1689"/>
      <c r="H212" s="1689"/>
      <c r="I212" s="1689"/>
      <c r="J212" s="1689"/>
      <c r="K212" s="1689"/>
      <c r="L212" s="1689"/>
      <c r="M212" s="1689"/>
      <c r="N212" s="1689"/>
      <c r="O212" s="1689"/>
      <c r="P212" s="1689"/>
      <c r="Q212" s="1689"/>
      <c r="R212" s="1689"/>
    </row>
    <row r="213" spans="4:18" s="1688" customFormat="1" ht="12.75" customHeight="1">
      <c r="D213" s="1689"/>
      <c r="E213" s="1689"/>
      <c r="F213" s="1689"/>
      <c r="G213" s="1689"/>
      <c r="H213" s="1689"/>
      <c r="I213" s="1689"/>
      <c r="J213" s="1689"/>
      <c r="K213" s="1689"/>
      <c r="L213" s="1689"/>
      <c r="M213" s="1689"/>
      <c r="N213" s="1689"/>
      <c r="O213" s="1689"/>
      <c r="P213" s="1689"/>
      <c r="Q213" s="1689"/>
      <c r="R213" s="1689"/>
    </row>
    <row r="214" spans="4:18" s="1688" customFormat="1" ht="12.75" customHeight="1">
      <c r="D214" s="1689"/>
      <c r="E214" s="1689"/>
      <c r="F214" s="1689"/>
      <c r="G214" s="1689"/>
      <c r="H214" s="1689"/>
      <c r="I214" s="1689"/>
      <c r="J214" s="1689"/>
      <c r="K214" s="1689"/>
      <c r="L214" s="1689"/>
      <c r="M214" s="1689"/>
      <c r="N214" s="1689"/>
      <c r="O214" s="1689"/>
      <c r="P214" s="1689"/>
      <c r="Q214" s="1689"/>
      <c r="R214" s="1689"/>
    </row>
    <row r="215" spans="4:18" s="1688" customFormat="1" ht="12.75" customHeight="1">
      <c r="D215" s="1689"/>
      <c r="E215" s="1689"/>
      <c r="F215" s="1689"/>
      <c r="G215" s="1689"/>
      <c r="H215" s="1689"/>
      <c r="I215" s="1689"/>
      <c r="J215" s="1689"/>
      <c r="K215" s="1689"/>
      <c r="L215" s="1689"/>
      <c r="M215" s="1689"/>
      <c r="N215" s="1689"/>
      <c r="O215" s="1689"/>
      <c r="P215" s="1689"/>
      <c r="Q215" s="1689"/>
      <c r="R215" s="1689"/>
    </row>
    <row r="216" spans="4:18" s="1688" customFormat="1" ht="12.75" customHeight="1">
      <c r="D216" s="1689"/>
      <c r="E216" s="1689"/>
      <c r="F216" s="1689"/>
      <c r="G216" s="1689"/>
      <c r="H216" s="1689"/>
      <c r="I216" s="1689"/>
      <c r="J216" s="1689"/>
      <c r="K216" s="1689"/>
      <c r="L216" s="1689"/>
      <c r="M216" s="1689"/>
      <c r="N216" s="1689"/>
      <c r="O216" s="1689"/>
      <c r="P216" s="1689"/>
      <c r="Q216" s="1689"/>
      <c r="R216" s="1689"/>
    </row>
    <row r="217" spans="4:18" s="1688" customFormat="1" ht="12.75" customHeight="1">
      <c r="D217" s="1689"/>
      <c r="E217" s="1689"/>
      <c r="F217" s="1689"/>
      <c r="G217" s="1689"/>
      <c r="H217" s="1689"/>
      <c r="I217" s="1689"/>
      <c r="J217" s="1689"/>
      <c r="K217" s="1689"/>
      <c r="L217" s="1689"/>
      <c r="M217" s="1689"/>
      <c r="N217" s="1689"/>
      <c r="O217" s="1689"/>
      <c r="P217" s="1689"/>
      <c r="Q217" s="1689"/>
      <c r="R217" s="1689"/>
    </row>
    <row r="218" spans="4:18" s="1688" customFormat="1" ht="12.75" customHeight="1">
      <c r="D218" s="1689"/>
      <c r="E218" s="1689"/>
      <c r="F218" s="1689"/>
      <c r="G218" s="1689"/>
      <c r="H218" s="1689"/>
      <c r="I218" s="1689"/>
      <c r="J218" s="1689"/>
      <c r="K218" s="1689"/>
      <c r="L218" s="1689"/>
      <c r="M218" s="1689"/>
      <c r="N218" s="1689"/>
      <c r="O218" s="1689"/>
      <c r="P218" s="1689"/>
      <c r="Q218" s="1689"/>
      <c r="R218" s="1689"/>
    </row>
    <row r="219" spans="4:18" s="1688" customFormat="1" ht="12.75" customHeight="1">
      <c r="D219" s="1689"/>
      <c r="E219" s="1689"/>
      <c r="F219" s="1689"/>
      <c r="G219" s="1689"/>
      <c r="H219" s="1689"/>
      <c r="I219" s="1689"/>
      <c r="J219" s="1689"/>
      <c r="K219" s="1689"/>
      <c r="L219" s="1689"/>
      <c r="M219" s="1689"/>
      <c r="N219" s="1689"/>
      <c r="O219" s="1689"/>
      <c r="P219" s="1689"/>
      <c r="Q219" s="1689"/>
      <c r="R219" s="1689"/>
    </row>
    <row r="220" spans="4:18" s="1688" customFormat="1" ht="12.75" customHeight="1">
      <c r="D220" s="1689"/>
      <c r="E220" s="1689"/>
      <c r="F220" s="1689"/>
      <c r="G220" s="1689"/>
      <c r="H220" s="1689"/>
      <c r="I220" s="1689"/>
      <c r="J220" s="1689"/>
      <c r="K220" s="1689"/>
      <c r="L220" s="1689"/>
      <c r="M220" s="1689"/>
      <c r="N220" s="1689"/>
      <c r="O220" s="1689"/>
      <c r="P220" s="1689"/>
      <c r="Q220" s="1689"/>
      <c r="R220" s="1689"/>
    </row>
    <row r="221" spans="4:18" s="1688" customFormat="1" ht="12.75" customHeight="1">
      <c r="D221" s="1689"/>
      <c r="E221" s="1689"/>
      <c r="F221" s="1689"/>
      <c r="G221" s="1689"/>
      <c r="H221" s="1689"/>
      <c r="I221" s="1689"/>
      <c r="J221" s="1689"/>
      <c r="K221" s="1689"/>
      <c r="L221" s="1689"/>
      <c r="M221" s="1689"/>
      <c r="N221" s="1689"/>
      <c r="O221" s="1689"/>
      <c r="P221" s="1689"/>
      <c r="Q221" s="1689"/>
      <c r="R221" s="1689"/>
    </row>
    <row r="222" spans="4:18" s="1688" customFormat="1" ht="12.75" customHeight="1">
      <c r="D222" s="1689"/>
      <c r="E222" s="1689"/>
      <c r="F222" s="1689"/>
      <c r="G222" s="1689"/>
      <c r="H222" s="1689"/>
      <c r="I222" s="1689"/>
      <c r="J222" s="1689"/>
      <c r="K222" s="1689"/>
      <c r="L222" s="1689"/>
      <c r="M222" s="1689"/>
      <c r="N222" s="1689"/>
      <c r="O222" s="1689"/>
      <c r="P222" s="1689"/>
      <c r="Q222" s="1689"/>
      <c r="R222" s="1689"/>
    </row>
    <row r="223" spans="4:18" s="1688" customFormat="1" ht="12.75" customHeight="1">
      <c r="D223" s="1689"/>
      <c r="E223" s="1689"/>
      <c r="F223" s="1689"/>
      <c r="G223" s="1689"/>
      <c r="H223" s="1689"/>
      <c r="I223" s="1689"/>
      <c r="J223" s="1689"/>
      <c r="K223" s="1689"/>
      <c r="L223" s="1689"/>
      <c r="M223" s="1689"/>
      <c r="N223" s="1689"/>
      <c r="O223" s="1689"/>
      <c r="P223" s="1689"/>
      <c r="Q223" s="1689"/>
      <c r="R223" s="1689"/>
    </row>
    <row r="224" spans="4:18" s="1688" customFormat="1" ht="12.75" customHeight="1">
      <c r="D224" s="1689"/>
      <c r="E224" s="1689"/>
      <c r="F224" s="1689"/>
      <c r="G224" s="1689"/>
      <c r="H224" s="1689"/>
      <c r="I224" s="1689"/>
      <c r="J224" s="1689"/>
      <c r="K224" s="1689"/>
      <c r="L224" s="1689"/>
      <c r="M224" s="1689"/>
      <c r="N224" s="1689"/>
      <c r="O224" s="1689"/>
      <c r="P224" s="1689"/>
      <c r="Q224" s="1689"/>
      <c r="R224" s="1689"/>
    </row>
    <row r="225" spans="4:18" s="1688" customFormat="1" ht="12.75" customHeight="1">
      <c r="D225" s="1689"/>
      <c r="E225" s="1689"/>
      <c r="F225" s="1689"/>
      <c r="G225" s="1689"/>
      <c r="H225" s="1689"/>
      <c r="I225" s="1689"/>
      <c r="J225" s="1689"/>
      <c r="K225" s="1689"/>
      <c r="L225" s="1689"/>
      <c r="M225" s="1689"/>
      <c r="N225" s="1689"/>
      <c r="O225" s="1689"/>
      <c r="P225" s="1689"/>
      <c r="Q225" s="1689"/>
      <c r="R225" s="1689"/>
    </row>
    <row r="226" spans="4:18" s="1688" customFormat="1" ht="12.75" customHeight="1">
      <c r="D226" s="1689"/>
      <c r="E226" s="1689"/>
      <c r="F226" s="1689"/>
      <c r="G226" s="1689"/>
      <c r="H226" s="1689"/>
      <c r="I226" s="1689"/>
      <c r="J226" s="1689"/>
      <c r="K226" s="1689"/>
      <c r="L226" s="1689"/>
      <c r="M226" s="1689"/>
      <c r="N226" s="1689"/>
      <c r="O226" s="1689"/>
      <c r="P226" s="1689"/>
      <c r="Q226" s="1689"/>
      <c r="R226" s="1689"/>
    </row>
    <row r="227" spans="4:18" s="1688" customFormat="1" ht="12.75" customHeight="1">
      <c r="D227" s="1689"/>
      <c r="E227" s="1689"/>
      <c r="F227" s="1689"/>
      <c r="G227" s="1689"/>
      <c r="H227" s="1689"/>
      <c r="I227" s="1689"/>
      <c r="J227" s="1689"/>
      <c r="K227" s="1689"/>
      <c r="L227" s="1689"/>
      <c r="M227" s="1689"/>
      <c r="N227" s="1689"/>
      <c r="O227" s="1689"/>
      <c r="P227" s="1689"/>
      <c r="Q227" s="1689"/>
      <c r="R227" s="1689"/>
    </row>
    <row r="228" spans="4:18" s="1688" customFormat="1" ht="12.75" customHeight="1">
      <c r="D228" s="1689"/>
      <c r="E228" s="1689"/>
      <c r="F228" s="1689"/>
      <c r="G228" s="1689"/>
      <c r="H228" s="1689"/>
      <c r="I228" s="1689"/>
      <c r="J228" s="1689"/>
      <c r="K228" s="1689"/>
      <c r="L228" s="1689"/>
      <c r="M228" s="1689"/>
      <c r="N228" s="1689"/>
      <c r="O228" s="1689"/>
      <c r="P228" s="1689"/>
      <c r="Q228" s="1689"/>
      <c r="R228" s="1689"/>
    </row>
    <row r="229" spans="4:18" s="1688" customFormat="1" ht="12.75" customHeight="1">
      <c r="D229" s="1689"/>
      <c r="E229" s="1689"/>
      <c r="F229" s="1689"/>
      <c r="G229" s="1689"/>
      <c r="H229" s="1689"/>
      <c r="I229" s="1689"/>
      <c r="J229" s="1689"/>
      <c r="K229" s="1689"/>
      <c r="L229" s="1689"/>
      <c r="M229" s="1689"/>
      <c r="N229" s="1689"/>
      <c r="O229" s="1689"/>
      <c r="P229" s="1689"/>
      <c r="Q229" s="1689"/>
      <c r="R229" s="1689"/>
    </row>
    <row r="230" spans="4:18" s="1688" customFormat="1" ht="12.75" customHeight="1">
      <c r="D230" s="1689"/>
      <c r="E230" s="1689"/>
      <c r="F230" s="1689"/>
      <c r="G230" s="1689"/>
      <c r="H230" s="1689"/>
      <c r="I230" s="1689"/>
      <c r="J230" s="1689"/>
      <c r="K230" s="1689"/>
      <c r="L230" s="1689"/>
      <c r="M230" s="1689"/>
      <c r="N230" s="1689"/>
      <c r="O230" s="1689"/>
      <c r="P230" s="1689"/>
      <c r="Q230" s="1689"/>
      <c r="R230" s="1689"/>
    </row>
    <row r="231" spans="4:18" s="1688" customFormat="1" ht="12.75" customHeight="1">
      <c r="D231" s="1689"/>
      <c r="E231" s="1689"/>
      <c r="F231" s="1689"/>
      <c r="G231" s="1689"/>
      <c r="H231" s="1689"/>
      <c r="I231" s="1689"/>
      <c r="J231" s="1689"/>
      <c r="K231" s="1689"/>
      <c r="L231" s="1689"/>
      <c r="M231" s="1689"/>
      <c r="N231" s="1689"/>
      <c r="O231" s="1689"/>
      <c r="P231" s="1689"/>
      <c r="Q231" s="1689"/>
      <c r="R231" s="1689"/>
    </row>
    <row r="232" spans="4:18" s="1688" customFormat="1" ht="12.75" customHeight="1">
      <c r="D232" s="1689"/>
      <c r="E232" s="1689"/>
      <c r="F232" s="1689"/>
      <c r="G232" s="1689"/>
      <c r="H232" s="1689"/>
      <c r="I232" s="1689"/>
      <c r="J232" s="1689"/>
      <c r="K232" s="1689"/>
      <c r="L232" s="1689"/>
      <c r="M232" s="1689"/>
      <c r="N232" s="1689"/>
      <c r="O232" s="1689"/>
      <c r="P232" s="1689"/>
      <c r="Q232" s="1689"/>
      <c r="R232" s="1689"/>
    </row>
    <row r="233" spans="4:18" s="1688" customFormat="1" ht="12.75" customHeight="1">
      <c r="D233" s="1689"/>
      <c r="E233" s="1689"/>
      <c r="F233" s="1689"/>
      <c r="G233" s="1689"/>
      <c r="H233" s="1689"/>
      <c r="I233" s="1689"/>
      <c r="J233" s="1689"/>
      <c r="K233" s="1689"/>
      <c r="L233" s="1689"/>
      <c r="M233" s="1689"/>
      <c r="N233" s="1689"/>
      <c r="O233" s="1689"/>
      <c r="P233" s="1689"/>
      <c r="Q233" s="1689"/>
      <c r="R233" s="1689"/>
    </row>
    <row r="234" spans="4:18" s="1688" customFormat="1" ht="12.75" customHeight="1">
      <c r="D234" s="1689"/>
      <c r="E234" s="1689"/>
      <c r="F234" s="1689"/>
      <c r="G234" s="1689"/>
      <c r="H234" s="1689"/>
      <c r="I234" s="1689"/>
      <c r="J234" s="1689"/>
      <c r="K234" s="1689"/>
      <c r="L234" s="1689"/>
      <c r="M234" s="1689"/>
      <c r="N234" s="1689"/>
      <c r="O234" s="1689"/>
      <c r="P234" s="1689"/>
      <c r="Q234" s="1689"/>
      <c r="R234" s="1689"/>
    </row>
    <row r="235" spans="4:18" s="1688" customFormat="1" ht="12.75" customHeight="1">
      <c r="D235" s="1689"/>
      <c r="E235" s="1689"/>
      <c r="F235" s="1689"/>
      <c r="G235" s="1689"/>
      <c r="H235" s="1689"/>
      <c r="I235" s="1689"/>
      <c r="J235" s="1689"/>
      <c r="K235" s="1689"/>
      <c r="L235" s="1689"/>
      <c r="M235" s="1689"/>
      <c r="N235" s="1689"/>
      <c r="O235" s="1689"/>
      <c r="P235" s="1689"/>
      <c r="Q235" s="1689"/>
      <c r="R235" s="1689"/>
    </row>
    <row r="236" spans="4:18" s="1688" customFormat="1" ht="12.75" customHeight="1">
      <c r="D236" s="1689"/>
      <c r="E236" s="1689"/>
      <c r="F236" s="1689"/>
      <c r="G236" s="1689"/>
      <c r="H236" s="1689"/>
      <c r="I236" s="1689"/>
      <c r="J236" s="1689"/>
      <c r="K236" s="1689"/>
      <c r="L236" s="1689"/>
      <c r="M236" s="1689"/>
      <c r="N236" s="1689"/>
      <c r="O236" s="1689"/>
      <c r="P236" s="1689"/>
      <c r="Q236" s="1689"/>
      <c r="R236" s="1689"/>
    </row>
    <row r="237" spans="4:18" s="1688" customFormat="1" ht="12.75" customHeight="1">
      <c r="D237" s="1689"/>
      <c r="E237" s="1689"/>
      <c r="F237" s="1689"/>
      <c r="G237" s="1689"/>
      <c r="H237" s="1689"/>
      <c r="I237" s="1689"/>
      <c r="J237" s="1689"/>
      <c r="K237" s="1689"/>
      <c r="L237" s="1689"/>
      <c r="M237" s="1689"/>
      <c r="N237" s="1689"/>
      <c r="O237" s="1689"/>
      <c r="P237" s="1689"/>
      <c r="Q237" s="1689"/>
      <c r="R237" s="1689"/>
    </row>
    <row r="238" spans="4:18" s="1688" customFormat="1" ht="12.75" customHeight="1">
      <c r="D238" s="1689"/>
      <c r="E238" s="1689"/>
      <c r="F238" s="1689"/>
      <c r="G238" s="1689"/>
      <c r="H238" s="1689"/>
      <c r="I238" s="1689"/>
      <c r="J238" s="1689"/>
      <c r="K238" s="1689"/>
      <c r="L238" s="1689"/>
      <c r="M238" s="1689"/>
      <c r="N238" s="1689"/>
      <c r="O238" s="1689"/>
      <c r="P238" s="1689"/>
      <c r="Q238" s="1689"/>
      <c r="R238" s="1689"/>
    </row>
    <row r="239" spans="4:18" s="1688" customFormat="1" ht="12.75" customHeight="1">
      <c r="D239" s="1689"/>
      <c r="E239" s="1689"/>
      <c r="F239" s="1689"/>
      <c r="G239" s="1689"/>
      <c r="H239" s="1689"/>
      <c r="I239" s="1689"/>
      <c r="J239" s="1689"/>
      <c r="K239" s="1689"/>
      <c r="L239" s="1689"/>
      <c r="M239" s="1689"/>
      <c r="N239" s="1689"/>
      <c r="O239" s="1689"/>
      <c r="P239" s="1689"/>
      <c r="Q239" s="1689"/>
      <c r="R239" s="1689"/>
    </row>
    <row r="240" spans="4:18" s="1688" customFormat="1" ht="12.75" customHeight="1">
      <c r="D240" s="1689"/>
      <c r="E240" s="1689"/>
      <c r="F240" s="1689"/>
      <c r="G240" s="1689"/>
      <c r="H240" s="1689"/>
      <c r="I240" s="1689"/>
      <c r="J240" s="1689"/>
      <c r="K240" s="1689"/>
      <c r="L240" s="1689"/>
      <c r="M240" s="1689"/>
      <c r="N240" s="1689"/>
      <c r="O240" s="1689"/>
      <c r="P240" s="1689"/>
      <c r="Q240" s="1689"/>
      <c r="R240" s="1689"/>
    </row>
    <row r="241" spans="3:18" s="1688" customFormat="1" ht="12.75" customHeight="1">
      <c r="D241" s="1689"/>
      <c r="E241" s="1689"/>
      <c r="F241" s="1689"/>
      <c r="G241" s="1689"/>
      <c r="H241" s="1689"/>
      <c r="I241" s="1689"/>
      <c r="J241" s="1689"/>
      <c r="K241" s="1689"/>
      <c r="L241" s="1689"/>
      <c r="M241" s="1689"/>
      <c r="N241" s="1689"/>
      <c r="O241" s="1689"/>
      <c r="P241" s="1689"/>
      <c r="Q241" s="1689"/>
      <c r="R241" s="1689"/>
    </row>
    <row r="242" spans="3:18" s="1688" customFormat="1" ht="12.75" customHeight="1">
      <c r="D242" s="1689"/>
      <c r="E242" s="1689"/>
      <c r="F242" s="1689"/>
      <c r="G242" s="1689"/>
      <c r="H242" s="1689"/>
      <c r="I242" s="1689"/>
      <c r="J242" s="1689"/>
      <c r="K242" s="1689"/>
      <c r="L242" s="1689"/>
      <c r="M242" s="1689"/>
      <c r="N242" s="1689"/>
      <c r="O242" s="1689"/>
      <c r="P242" s="1689"/>
      <c r="Q242" s="1689"/>
      <c r="R242" s="1689"/>
    </row>
    <row r="243" spans="3:18" s="1688" customFormat="1" ht="12.75" customHeight="1">
      <c r="D243" s="1689"/>
      <c r="E243" s="1689"/>
      <c r="F243" s="1689"/>
      <c r="G243" s="1689"/>
      <c r="H243" s="1689"/>
      <c r="I243" s="1689"/>
      <c r="J243" s="1689"/>
      <c r="K243" s="1689"/>
      <c r="L243" s="1689"/>
      <c r="M243" s="1689"/>
      <c r="N243" s="1689"/>
      <c r="O243" s="1689"/>
      <c r="P243" s="1689"/>
      <c r="Q243" s="1689"/>
      <c r="R243" s="1689"/>
    </row>
    <row r="244" spans="3:18" s="1688" customFormat="1" ht="12.75" customHeight="1">
      <c r="D244" s="1689"/>
      <c r="E244" s="1689"/>
      <c r="F244" s="1689"/>
      <c r="G244" s="1689"/>
      <c r="H244" s="1689"/>
      <c r="I244" s="1689"/>
      <c r="J244" s="1689"/>
      <c r="K244" s="1689"/>
      <c r="L244" s="1689"/>
      <c r="M244" s="1689"/>
      <c r="N244" s="1689"/>
      <c r="O244" s="1689"/>
      <c r="P244" s="1689"/>
      <c r="Q244" s="1689"/>
      <c r="R244" s="1689"/>
    </row>
    <row r="245" spans="3:18" s="1688" customFormat="1" ht="12.75" customHeight="1">
      <c r="D245" s="1689"/>
      <c r="E245" s="1689"/>
      <c r="F245" s="1689"/>
      <c r="G245" s="1689"/>
      <c r="H245" s="1689"/>
      <c r="I245" s="1689"/>
      <c r="J245" s="1689"/>
      <c r="K245" s="1689"/>
      <c r="L245" s="1689"/>
      <c r="M245" s="1689"/>
      <c r="N245" s="1689"/>
      <c r="O245" s="1689"/>
      <c r="P245" s="1689"/>
      <c r="Q245" s="1689"/>
      <c r="R245" s="1689"/>
    </row>
    <row r="246" spans="3:18" s="1688" customFormat="1" ht="12.75" customHeight="1">
      <c r="D246" s="1689"/>
      <c r="E246" s="1689"/>
      <c r="F246" s="1689"/>
      <c r="G246" s="1689"/>
      <c r="H246" s="1689"/>
      <c r="I246" s="1689"/>
      <c r="J246" s="1689"/>
      <c r="K246" s="1689"/>
      <c r="L246" s="1689"/>
      <c r="M246" s="1689"/>
      <c r="N246" s="1689"/>
      <c r="O246" s="1689"/>
      <c r="P246" s="1689"/>
      <c r="Q246" s="1689"/>
      <c r="R246" s="1689"/>
    </row>
    <row r="247" spans="3:18" s="1688" customFormat="1" ht="12.75" customHeight="1">
      <c r="D247" s="1689"/>
      <c r="E247" s="1689"/>
      <c r="F247" s="1689"/>
      <c r="G247" s="1689"/>
      <c r="H247" s="1689"/>
      <c r="I247" s="1689"/>
      <c r="J247" s="1689"/>
      <c r="K247" s="1689"/>
      <c r="L247" s="1689"/>
      <c r="M247" s="1689"/>
      <c r="N247" s="1689"/>
      <c r="O247" s="1689"/>
      <c r="P247" s="1689"/>
      <c r="Q247" s="1689"/>
      <c r="R247" s="1689"/>
    </row>
    <row r="248" spans="3:18" s="1688" customFormat="1" ht="12.75" customHeight="1">
      <c r="D248" s="1689"/>
      <c r="E248" s="1689"/>
      <c r="F248" s="1689"/>
      <c r="G248" s="1689"/>
      <c r="H248" s="1689"/>
      <c r="I248" s="1689"/>
      <c r="J248" s="1689"/>
      <c r="K248" s="1689"/>
      <c r="L248" s="1689"/>
      <c r="M248" s="1689"/>
      <c r="N248" s="1689"/>
      <c r="O248" s="1689"/>
      <c r="P248" s="1689"/>
      <c r="Q248" s="1689"/>
      <c r="R248" s="1689"/>
    </row>
    <row r="249" spans="3:18" s="1688" customFormat="1" ht="12.75" customHeight="1">
      <c r="D249" s="1689"/>
      <c r="E249" s="1689"/>
      <c r="F249" s="1689"/>
      <c r="G249" s="1689"/>
      <c r="H249" s="1689"/>
      <c r="I249" s="1689"/>
      <c r="J249" s="1689"/>
      <c r="K249" s="1689"/>
      <c r="L249" s="1689"/>
      <c r="M249" s="1689"/>
      <c r="N249" s="1689"/>
      <c r="O249" s="1689"/>
      <c r="P249" s="1689"/>
      <c r="Q249" s="1689"/>
      <c r="R249" s="1689"/>
    </row>
    <row r="250" spans="3:18" s="1688" customFormat="1" ht="12.75" customHeight="1">
      <c r="D250" s="1689"/>
      <c r="E250" s="1689"/>
      <c r="F250" s="1689"/>
      <c r="G250" s="1689"/>
      <c r="H250" s="1689"/>
      <c r="I250" s="1689"/>
      <c r="J250" s="1689"/>
      <c r="K250" s="1689"/>
      <c r="L250" s="1689"/>
      <c r="M250" s="1689"/>
      <c r="N250" s="1689"/>
      <c r="O250" s="1689"/>
      <c r="P250" s="1689"/>
      <c r="Q250" s="1689"/>
      <c r="R250" s="1689"/>
    </row>
    <row r="251" spans="3:18" ht="12.75" customHeight="1">
      <c r="C251" s="1688"/>
      <c r="D251" s="1689"/>
      <c r="E251" s="1689"/>
      <c r="F251" s="1689"/>
      <c r="G251" s="1689"/>
      <c r="H251" s="1689"/>
      <c r="I251" s="1689"/>
      <c r="J251" s="1689"/>
      <c r="K251" s="1689"/>
      <c r="L251" s="1689"/>
      <c r="M251" s="1689"/>
      <c r="N251" s="1689"/>
      <c r="O251" s="1689"/>
      <c r="P251" s="1689"/>
    </row>
    <row r="252" spans="3:18" ht="12.75" customHeight="1"/>
    <row r="253" spans="3:18" ht="12.75" customHeight="1"/>
    <row r="254" spans="3:18" ht="12.75" customHeight="1"/>
    <row r="255" spans="3:18" ht="12.75" customHeight="1"/>
    <row r="256" spans="3:18"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row r="1001" ht="12.75" customHeight="1"/>
    <row r="1002" ht="12.75" customHeight="1"/>
    <row r="1003" ht="12.75" customHeight="1"/>
    <row r="1004" ht="12.75" customHeight="1"/>
    <row r="1005" ht="12.75" customHeight="1"/>
    <row r="1006" ht="12.75" customHeight="1"/>
    <row r="1007" ht="12.75" customHeight="1"/>
    <row r="1008" ht="12.75" customHeight="1"/>
    <row r="1009" ht="12.75" customHeight="1"/>
    <row r="1010" ht="12.75" customHeight="1"/>
    <row r="1011" ht="12.75" customHeight="1"/>
    <row r="1012" ht="12.75" customHeight="1"/>
    <row r="1013" ht="12.75" customHeight="1"/>
    <row r="1014" ht="12.75" customHeight="1"/>
    <row r="1015" ht="12.75" customHeight="1"/>
    <row r="1016" ht="12.75" customHeight="1"/>
    <row r="1017" ht="12.75" customHeight="1"/>
    <row r="1018" ht="12.75" customHeight="1"/>
    <row r="1019" ht="12.75" customHeight="1"/>
    <row r="1020" ht="12.75" customHeight="1"/>
    <row r="1021" ht="12.75" customHeight="1"/>
    <row r="1022" ht="12.75" customHeight="1"/>
    <row r="1023" ht="12.75" customHeight="1"/>
    <row r="1024" ht="12.75" customHeight="1"/>
    <row r="1025" ht="12.75" customHeight="1"/>
    <row r="1026" ht="12.75" customHeight="1"/>
    <row r="1027" ht="12.75" customHeight="1"/>
    <row r="1028" ht="12.75" customHeight="1"/>
    <row r="1029" ht="12.75" customHeight="1"/>
    <row r="1030" ht="12.75" customHeight="1"/>
    <row r="1031" ht="12.75" customHeight="1"/>
    <row r="1032" ht="12.75" customHeight="1"/>
    <row r="1033" ht="12.75" customHeight="1"/>
    <row r="1034" ht="12.75" customHeight="1"/>
    <row r="1035" ht="12.75" customHeight="1"/>
    <row r="1036" ht="12.75" customHeight="1"/>
    <row r="1037" ht="12.75" customHeight="1"/>
    <row r="1038" ht="12.75" customHeight="1"/>
    <row r="1039" ht="12.75" customHeight="1"/>
    <row r="1040" ht="12.75" customHeight="1"/>
    <row r="1041" ht="12.75" customHeight="1"/>
    <row r="1042" ht="12.75" customHeight="1"/>
    <row r="1043" ht="12.75" customHeight="1"/>
    <row r="1044" ht="12.75" customHeight="1"/>
    <row r="1045" ht="12.75" customHeight="1"/>
    <row r="1046" ht="12.75" customHeight="1"/>
    <row r="1047" ht="12.75" customHeight="1"/>
    <row r="1048" ht="12.75" customHeight="1"/>
    <row r="1049" ht="12.75" customHeight="1"/>
    <row r="1050" ht="12.75" customHeight="1"/>
    <row r="1051" ht="12.75" customHeight="1"/>
    <row r="1052" ht="12.75" customHeight="1"/>
    <row r="1053" ht="12.75" customHeight="1"/>
    <row r="1054" ht="12.75" customHeight="1"/>
    <row r="1055" ht="12.75" customHeight="1"/>
    <row r="1056" ht="12.75" customHeight="1"/>
    <row r="1057" ht="12.75" customHeight="1"/>
    <row r="1058" ht="12.75" customHeight="1"/>
    <row r="1059" ht="12.75" customHeight="1"/>
    <row r="1060" ht="12.75" customHeight="1"/>
    <row r="1061" ht="12.75" customHeight="1"/>
    <row r="1062" ht="12.75" customHeight="1"/>
    <row r="1063" ht="12.75" customHeight="1"/>
    <row r="1064" ht="12.75" customHeight="1"/>
    <row r="1065" ht="12.75" customHeight="1"/>
    <row r="1066" ht="12.75" customHeight="1"/>
    <row r="1067" ht="12.75" customHeight="1"/>
    <row r="1068" ht="12.75" customHeight="1"/>
    <row r="1069" ht="12.75" customHeight="1"/>
    <row r="1070" ht="12.75" customHeight="1"/>
    <row r="1071" ht="12.75" customHeight="1"/>
    <row r="1072" ht="12.75" customHeight="1"/>
    <row r="1073" ht="12.75" customHeight="1"/>
    <row r="1074" ht="12.75" customHeight="1"/>
    <row r="1075" ht="12.75" customHeight="1"/>
    <row r="1076" ht="12.75" customHeight="1"/>
    <row r="1077" ht="12.75" customHeight="1"/>
    <row r="1078" ht="12.75" customHeight="1"/>
    <row r="1079" ht="12.75" customHeight="1"/>
    <row r="1080" ht="12.75" customHeight="1"/>
    <row r="1081" ht="12.75" customHeight="1"/>
    <row r="1082" ht="12.75" customHeight="1"/>
    <row r="1083" ht="12.75" customHeight="1"/>
    <row r="1084" ht="12.75" customHeight="1"/>
    <row r="1085" ht="12.75" customHeight="1"/>
    <row r="1086" ht="12.75" customHeight="1"/>
    <row r="1087" ht="12.75" customHeight="1"/>
    <row r="1088" ht="12.75" customHeight="1"/>
    <row r="1089" ht="12.75" customHeight="1"/>
    <row r="1090" ht="12.75" customHeight="1"/>
    <row r="1091" ht="12.75" customHeight="1"/>
    <row r="1092" ht="12.75" customHeight="1"/>
    <row r="1093" ht="12.75" customHeight="1"/>
    <row r="1094" ht="12.75" customHeight="1"/>
    <row r="1095" ht="12.75" customHeight="1"/>
    <row r="1096" ht="12.75" customHeight="1"/>
    <row r="1097" ht="12.75" customHeight="1"/>
    <row r="1098" ht="12.75" customHeight="1"/>
    <row r="1099" ht="12.75" customHeight="1"/>
    <row r="1100" ht="12.75" customHeight="1"/>
    <row r="1101" ht="12.75" customHeight="1"/>
    <row r="1102" ht="12.75" customHeight="1"/>
    <row r="1103" ht="12.75" customHeight="1"/>
    <row r="1104" ht="12.75" customHeight="1"/>
    <row r="1105" ht="12.75" customHeight="1"/>
    <row r="1106" ht="12.75" customHeight="1"/>
    <row r="1107" ht="12.75" customHeight="1"/>
    <row r="1108" ht="12.75" customHeight="1"/>
    <row r="1109" ht="12.75" customHeight="1"/>
    <row r="1110" ht="12.75" customHeight="1"/>
    <row r="1111" ht="12.75" customHeight="1"/>
    <row r="1112" ht="12.75" customHeight="1"/>
    <row r="1113" ht="12.75" customHeight="1"/>
    <row r="1114" ht="12.75" customHeight="1"/>
    <row r="1115" ht="12.75" customHeight="1"/>
    <row r="1116" ht="12.75" customHeight="1"/>
    <row r="1117" ht="12.75" customHeight="1"/>
    <row r="1118" ht="12.75" customHeight="1"/>
    <row r="1119" ht="12.75" customHeight="1"/>
    <row r="1120" ht="12.75" customHeight="1"/>
    <row r="1121" ht="12.75" customHeight="1"/>
    <row r="1122" ht="12.75" customHeight="1"/>
    <row r="1123" ht="12.75" customHeight="1"/>
    <row r="1124" ht="12.75" customHeight="1"/>
    <row r="1125" ht="12.75" customHeight="1"/>
    <row r="1126" ht="12.75" customHeight="1"/>
    <row r="1127" ht="12.75" customHeight="1"/>
    <row r="1128" ht="12.75" customHeight="1"/>
    <row r="1129" ht="12.75" customHeight="1"/>
    <row r="1130" ht="12.75" customHeight="1"/>
    <row r="1131" ht="12.75" customHeight="1"/>
    <row r="1132" ht="12.75" customHeight="1"/>
    <row r="1133" ht="12.75" customHeight="1"/>
    <row r="1134" ht="12.75" customHeight="1"/>
    <row r="1135" ht="12.75" customHeight="1"/>
    <row r="1136" ht="12.75" customHeight="1"/>
    <row r="1137" ht="12.75" customHeight="1"/>
    <row r="1138" ht="12.75" customHeight="1"/>
    <row r="1139" ht="12.75" customHeight="1"/>
    <row r="1140" ht="12.75" customHeight="1"/>
    <row r="1141" ht="12.75" customHeight="1"/>
    <row r="1142" ht="12.75" customHeight="1"/>
    <row r="1143" ht="12.75" customHeight="1"/>
    <row r="1144" ht="12.75" customHeight="1"/>
    <row r="1145" ht="12.75" customHeight="1"/>
    <row r="1146" ht="12.75" customHeight="1"/>
    <row r="1147" ht="12.75" customHeight="1"/>
    <row r="1148" ht="12.75" customHeight="1"/>
    <row r="1149" ht="12.75" customHeight="1"/>
    <row r="1150" ht="12.75" customHeight="1"/>
    <row r="1151" ht="12.75" customHeight="1"/>
    <row r="1152" ht="12.75" customHeight="1"/>
    <row r="1153" ht="12.75" customHeight="1"/>
    <row r="1154" ht="12.75" customHeight="1"/>
    <row r="1155" ht="12.75" customHeight="1"/>
    <row r="1156" ht="12.75" customHeight="1"/>
    <row r="1157" ht="12.75" customHeight="1"/>
    <row r="1158" ht="12.75" customHeight="1"/>
    <row r="1159" ht="12.75" customHeight="1"/>
    <row r="1160" ht="12.75" customHeight="1"/>
    <row r="1161" ht="12.75" customHeight="1"/>
    <row r="1162" ht="12.75" customHeight="1"/>
    <row r="1163" ht="12.75" customHeight="1"/>
    <row r="1164" ht="12.75" customHeight="1"/>
    <row r="1165" ht="12.75" customHeight="1"/>
    <row r="1166" ht="12.75" customHeight="1"/>
    <row r="1167" ht="12.75" customHeight="1"/>
    <row r="1168" ht="12.75" customHeight="1"/>
    <row r="1169" ht="12.75" customHeight="1"/>
    <row r="1170" ht="12.75" customHeight="1"/>
    <row r="1171" ht="12.75" customHeight="1"/>
    <row r="1172" ht="12.75" customHeight="1"/>
    <row r="1173" ht="12.75" customHeight="1"/>
    <row r="1174" ht="12.75" customHeight="1"/>
    <row r="1175" ht="12.75" customHeight="1"/>
    <row r="1176" ht="12.75" customHeight="1"/>
    <row r="1177" ht="12.75" customHeight="1"/>
    <row r="1178" ht="12.75" customHeight="1"/>
    <row r="1179" ht="12.75" customHeight="1"/>
    <row r="1180" ht="12.75" customHeight="1"/>
    <row r="1181" ht="12.75" customHeight="1"/>
    <row r="1182" ht="12.75" customHeight="1"/>
    <row r="1183" ht="12.75" customHeight="1"/>
    <row r="1184" ht="12.75" customHeight="1"/>
    <row r="1185" ht="12.75" customHeight="1"/>
    <row r="1186" ht="12.75" customHeight="1"/>
    <row r="1187" ht="12.75" customHeight="1"/>
    <row r="1188" ht="12.75" customHeight="1"/>
    <row r="1189" ht="12.75" customHeight="1"/>
    <row r="1190" ht="12.75" customHeight="1"/>
    <row r="1191" ht="12.75" customHeight="1"/>
    <row r="1192" ht="12.75" customHeight="1"/>
    <row r="1193" ht="12.75" customHeight="1"/>
    <row r="1194" ht="12.75" customHeight="1"/>
    <row r="1195" ht="12.75" customHeight="1"/>
    <row r="1196" ht="12.75" customHeight="1"/>
    <row r="1197" ht="12.75" customHeight="1"/>
    <row r="1198" ht="12.75" customHeight="1"/>
    <row r="1199" ht="12.75" customHeight="1"/>
    <row r="1200" ht="12.75" customHeight="1"/>
    <row r="1201" ht="12.75" customHeight="1"/>
    <row r="1202" ht="12.75" customHeight="1"/>
    <row r="1203" ht="12.75" customHeight="1"/>
    <row r="1204" ht="12.75" customHeight="1"/>
    <row r="1205" ht="12.75" customHeight="1"/>
    <row r="1206" ht="12.75" customHeight="1"/>
    <row r="1207" ht="12.75" customHeight="1"/>
    <row r="1208" ht="12.75" customHeight="1"/>
    <row r="1209" ht="12.75" customHeight="1"/>
    <row r="1210" ht="12.75" customHeight="1"/>
    <row r="1211" ht="12.75" customHeight="1"/>
    <row r="1212" ht="12.75" customHeight="1"/>
    <row r="1213" ht="12.75" customHeight="1"/>
    <row r="1214" ht="12.75" customHeight="1"/>
    <row r="1215" ht="12.75" customHeight="1"/>
    <row r="1216" ht="12.75" customHeight="1"/>
    <row r="1217" ht="12.75" customHeight="1"/>
    <row r="1218" ht="12.75" customHeight="1"/>
    <row r="1219" ht="12.75" customHeight="1"/>
    <row r="1220" ht="12.75" customHeight="1"/>
    <row r="1221" ht="12.75" customHeight="1"/>
    <row r="1222" ht="12.75" customHeight="1"/>
    <row r="1223" ht="12.75" customHeight="1"/>
    <row r="1224" ht="12.75" customHeight="1"/>
    <row r="1225" ht="12.75" customHeight="1"/>
    <row r="1226" ht="12.75" customHeight="1"/>
    <row r="1227" ht="12.75" customHeight="1"/>
    <row r="1228" ht="12.75" customHeight="1"/>
    <row r="1229" ht="12.75" customHeight="1"/>
    <row r="1230" ht="12.75" customHeight="1"/>
    <row r="1231" ht="12.75" customHeight="1"/>
    <row r="1232" ht="12.75" customHeight="1"/>
    <row r="1233" ht="12.75" customHeight="1"/>
    <row r="1234" ht="12.75" customHeight="1"/>
    <row r="1235" ht="12.75" customHeight="1"/>
    <row r="1236" ht="12.75" customHeight="1"/>
    <row r="1237" ht="12.75" customHeight="1"/>
    <row r="1238" ht="12.75" customHeight="1"/>
    <row r="1239" ht="12.75" customHeight="1"/>
    <row r="1240" ht="12.75" customHeight="1"/>
    <row r="1241" ht="12.75" customHeight="1"/>
    <row r="1242" ht="12.75" customHeight="1"/>
    <row r="1243" ht="12.75" customHeight="1"/>
    <row r="1244" ht="12.75" customHeight="1"/>
    <row r="1245" ht="12.75" customHeight="1"/>
    <row r="1246" ht="12.75" customHeight="1"/>
    <row r="1247" ht="12.75" customHeight="1"/>
    <row r="1248" ht="12.75" customHeight="1"/>
    <row r="1249" ht="12.75" customHeight="1"/>
    <row r="1250" ht="12.75" customHeight="1"/>
    <row r="1251" ht="12.75" customHeight="1"/>
    <row r="1252" ht="12.75" customHeight="1"/>
    <row r="1253" ht="12.75" customHeight="1"/>
    <row r="1254" ht="12.75" customHeight="1"/>
    <row r="1255" ht="12.75" customHeight="1"/>
    <row r="1256" ht="12.75" customHeight="1"/>
    <row r="1257" ht="12.75" customHeight="1"/>
    <row r="1258" ht="12.75" customHeight="1"/>
    <row r="1259" ht="12.75" customHeight="1"/>
    <row r="1260" ht="12.75" customHeight="1"/>
    <row r="1261" ht="12.75" customHeight="1"/>
    <row r="1262" ht="12.75" customHeight="1"/>
    <row r="1263" ht="12.75" customHeight="1"/>
    <row r="1264" ht="12.75" customHeight="1"/>
    <row r="1265" ht="12.75" customHeight="1"/>
    <row r="1266" ht="12.75" customHeight="1"/>
    <row r="1267" ht="12.75" customHeight="1"/>
    <row r="1268" ht="12.75" customHeight="1"/>
    <row r="1269" ht="12.75" customHeight="1"/>
    <row r="1270" ht="12.75" customHeight="1"/>
    <row r="1271" ht="12.75" customHeight="1"/>
    <row r="1272" ht="12.75" customHeight="1"/>
    <row r="1273" ht="12.75" customHeight="1"/>
    <row r="1274" ht="12.75" customHeight="1"/>
    <row r="1275" ht="12.75" customHeight="1"/>
    <row r="1276" ht="12.75" customHeight="1"/>
    <row r="1277" ht="12.75" customHeight="1"/>
    <row r="1278" ht="12.75" customHeight="1"/>
    <row r="1279" ht="12.75" customHeight="1"/>
    <row r="1280" ht="12.75" customHeight="1"/>
    <row r="1281" ht="12.75" customHeight="1"/>
    <row r="1282" ht="12.75" customHeight="1"/>
    <row r="1283" ht="12.75" customHeight="1"/>
    <row r="1284" ht="12.75" customHeight="1"/>
    <row r="1285" ht="12.75" customHeight="1"/>
    <row r="1286" ht="12.75" customHeight="1"/>
    <row r="1287" ht="12.75" customHeight="1"/>
    <row r="1288" ht="12.75" customHeight="1"/>
    <row r="1289" ht="12.75" customHeight="1"/>
    <row r="1290" ht="12.75" customHeight="1"/>
    <row r="1291" ht="12.75" customHeight="1"/>
    <row r="1292" ht="12.75" customHeight="1"/>
    <row r="1293" ht="12.75" customHeight="1"/>
    <row r="1294" ht="12.75" customHeight="1"/>
    <row r="1295" ht="12.75" customHeight="1"/>
    <row r="1296" ht="12.75" customHeight="1"/>
    <row r="1297" ht="12.75" customHeight="1"/>
    <row r="1298" ht="12.75" customHeight="1"/>
    <row r="1299" ht="12.75" customHeight="1"/>
    <row r="1300" ht="12.75" customHeight="1"/>
    <row r="1301" ht="12.75" customHeight="1"/>
    <row r="1302" ht="12.75" customHeight="1"/>
    <row r="1303" ht="12.75" customHeight="1"/>
    <row r="1304" ht="12.75" customHeight="1"/>
    <row r="1305" ht="12.75" customHeight="1"/>
    <row r="1306" ht="12.75" customHeight="1"/>
    <row r="1307" ht="12.75" customHeight="1"/>
    <row r="1308" ht="12.75" customHeight="1"/>
    <row r="1309" ht="12.75" customHeight="1"/>
    <row r="1310" ht="12.75" customHeight="1"/>
    <row r="1311" ht="12.75" customHeight="1"/>
    <row r="1312" ht="12.75" customHeight="1"/>
    <row r="1313" ht="12.75" customHeight="1"/>
    <row r="1314" ht="12.75" customHeight="1"/>
    <row r="1315" ht="12.75" customHeight="1"/>
    <row r="1316" ht="12.75" customHeight="1"/>
    <row r="1317" ht="12.75" customHeight="1"/>
    <row r="1318" ht="12.75" customHeight="1"/>
    <row r="1319" ht="12.75" customHeight="1"/>
    <row r="1320" ht="12.75" customHeight="1"/>
    <row r="1321" ht="12.75" customHeight="1"/>
    <row r="1322" ht="12.75" customHeight="1"/>
    <row r="1323" ht="12.75" customHeight="1"/>
    <row r="1324" ht="12.75" customHeight="1"/>
    <row r="1325" ht="12.75" customHeight="1"/>
    <row r="1326" ht="12.75" customHeight="1"/>
    <row r="1327" ht="12.75" customHeight="1"/>
    <row r="1328" ht="12.75" customHeight="1"/>
    <row r="1329" ht="12.75" customHeight="1"/>
    <row r="1330" ht="12.75" customHeight="1"/>
    <row r="1331" ht="12.75" customHeight="1"/>
    <row r="1332" ht="12.75" customHeight="1"/>
    <row r="1333" ht="12.75" customHeight="1"/>
    <row r="1334" ht="12.75" customHeight="1"/>
    <row r="1335" ht="12.75" customHeight="1"/>
    <row r="1336" ht="12.75" customHeight="1"/>
    <row r="1337" ht="12.75" customHeight="1"/>
    <row r="1338" ht="12.75" customHeight="1"/>
    <row r="1339" ht="12.75" customHeight="1"/>
    <row r="1340" ht="12.75" customHeight="1"/>
    <row r="1341" ht="12.75" customHeight="1"/>
    <row r="1342" ht="12.75" customHeight="1"/>
    <row r="1343" ht="12.75" customHeight="1"/>
    <row r="1344" ht="12.75" customHeight="1"/>
    <row r="1345" ht="12.75" customHeight="1"/>
    <row r="1346" ht="12.75" customHeight="1"/>
    <row r="1347" ht="12.75" customHeight="1"/>
    <row r="1348" ht="12.75" customHeight="1"/>
    <row r="1349" ht="12.75" customHeight="1"/>
    <row r="1350" ht="12.75" customHeight="1"/>
    <row r="1351" ht="12.75" customHeight="1"/>
    <row r="1352" ht="12.75" customHeight="1"/>
    <row r="1353" ht="12.75" customHeight="1"/>
    <row r="1354" ht="12.75" customHeight="1"/>
    <row r="1355" ht="12.75" customHeight="1"/>
    <row r="1356" ht="12.75" customHeight="1"/>
    <row r="1357" ht="12.75" customHeight="1"/>
    <row r="1358" ht="12.75" customHeight="1"/>
    <row r="1359" ht="12.75" customHeight="1"/>
    <row r="1360" ht="12.75" customHeight="1"/>
    <row r="1361" ht="12.75" customHeight="1"/>
    <row r="1362" ht="12.75" customHeight="1"/>
    <row r="1363" ht="12.75" customHeight="1"/>
    <row r="1364" ht="12.75" customHeight="1"/>
    <row r="1365" ht="12.75" customHeight="1"/>
    <row r="1366" ht="12.75" customHeight="1"/>
    <row r="1367" ht="12.75" customHeight="1"/>
    <row r="1368" ht="12.75" customHeight="1"/>
    <row r="1369" ht="12.75" customHeight="1"/>
    <row r="1370" ht="12.75" customHeight="1"/>
    <row r="1371" ht="12.75" customHeight="1"/>
    <row r="1372" ht="12.75" customHeight="1"/>
    <row r="1373" ht="12.75" customHeight="1"/>
    <row r="1374" ht="12.75" customHeight="1"/>
    <row r="1375" ht="12.75" customHeight="1"/>
    <row r="1376" ht="12.75" customHeight="1"/>
    <row r="1377" ht="12.75" customHeight="1"/>
    <row r="1378" ht="12.75" customHeight="1"/>
    <row r="1379" ht="12.75" customHeight="1"/>
    <row r="1380" ht="12.75" customHeight="1"/>
    <row r="1381" ht="12.75" customHeight="1"/>
    <row r="1382" ht="12.75" customHeight="1"/>
    <row r="1383" ht="12.75" customHeight="1"/>
    <row r="1384" ht="12.75" customHeight="1"/>
    <row r="1385" ht="12.75" customHeight="1"/>
    <row r="1386" ht="12.75" customHeight="1"/>
    <row r="1387" ht="12.75" customHeight="1"/>
    <row r="1388" ht="12.75" customHeight="1"/>
    <row r="1389" ht="12.75" customHeight="1"/>
    <row r="1390" ht="12.75" customHeight="1"/>
    <row r="1391" ht="12.75" customHeight="1"/>
    <row r="1392" ht="12.75" customHeight="1"/>
    <row r="1393" ht="12.75" customHeight="1"/>
    <row r="1394" ht="12.75" customHeight="1"/>
    <row r="1395" ht="12.75" customHeight="1"/>
    <row r="1396" ht="12.75" customHeight="1"/>
    <row r="1397" ht="12.75" customHeight="1"/>
    <row r="1398" ht="12.75" customHeight="1"/>
    <row r="1399" ht="12.75" customHeight="1"/>
    <row r="1400" ht="12.75" customHeight="1"/>
    <row r="1401" ht="12.75" customHeight="1"/>
    <row r="1402" ht="12.75" customHeight="1"/>
    <row r="1403" ht="12.75" customHeight="1"/>
    <row r="1404" ht="12.75" customHeight="1"/>
    <row r="1405" ht="12.75" customHeight="1"/>
    <row r="1406" ht="12.75" customHeight="1"/>
    <row r="1407" ht="12.75" customHeight="1"/>
    <row r="1408" ht="12.75" customHeight="1"/>
    <row r="1409" ht="12.75" customHeight="1"/>
    <row r="1410" ht="12.75" customHeight="1"/>
    <row r="1411" ht="12.75" customHeight="1"/>
    <row r="1412" ht="12.75" customHeight="1"/>
    <row r="1413" ht="12.75" customHeight="1"/>
    <row r="1414" ht="12.75" customHeight="1"/>
    <row r="1415" ht="12.75" customHeight="1"/>
    <row r="1416" ht="12.75" customHeight="1"/>
    <row r="1417" ht="12.75" customHeight="1"/>
    <row r="1418" ht="12.75" customHeight="1"/>
    <row r="1419" ht="12.75" customHeight="1"/>
    <row r="1420" ht="12.75" customHeight="1"/>
    <row r="1421" ht="12.75" customHeight="1"/>
    <row r="1422" ht="12.75" customHeight="1"/>
    <row r="1423" ht="12.75" customHeight="1"/>
    <row r="1424" ht="12.75" customHeight="1"/>
    <row r="1425" ht="12.75" customHeight="1"/>
    <row r="1426" ht="12.75" customHeight="1"/>
    <row r="1427" ht="12.75" customHeight="1"/>
    <row r="1428" ht="12.75" customHeight="1"/>
    <row r="1429" ht="12.75" customHeight="1"/>
    <row r="1430" ht="12.75" customHeight="1"/>
    <row r="1431" ht="12.75" customHeight="1"/>
    <row r="1432" ht="12.75" customHeight="1"/>
    <row r="1433" ht="12.75" customHeight="1"/>
    <row r="1434" ht="12.75" customHeight="1"/>
    <row r="1435" ht="12.75" customHeight="1"/>
    <row r="1436" ht="12.75" customHeight="1"/>
    <row r="1437" ht="12.75" customHeight="1"/>
    <row r="1438" ht="12.75" customHeight="1"/>
    <row r="1439" ht="12.75" customHeight="1"/>
    <row r="1440" ht="12.75" customHeight="1"/>
    <row r="1441" ht="12.75" customHeight="1"/>
    <row r="1442" ht="12.75" customHeight="1"/>
    <row r="1443" ht="12.75" customHeight="1"/>
    <row r="1444" ht="12.75" customHeight="1"/>
    <row r="1445" ht="12.75" customHeight="1"/>
    <row r="1446" ht="12.75" customHeight="1"/>
    <row r="1447" ht="12.75" customHeight="1"/>
    <row r="1448" ht="12.75" customHeight="1"/>
    <row r="1449" ht="12.75" customHeight="1"/>
    <row r="1450" ht="12.75" customHeight="1"/>
    <row r="1451" ht="12.75" customHeight="1"/>
    <row r="1452" ht="12.75" customHeight="1"/>
    <row r="1453" ht="12.75" customHeight="1"/>
    <row r="1454" ht="12.75" customHeight="1"/>
    <row r="1455" ht="12.75" customHeight="1"/>
    <row r="1456" ht="12.75" customHeight="1"/>
    <row r="1457" ht="12.75" customHeight="1"/>
    <row r="1458" ht="12.75" customHeight="1"/>
    <row r="1459" ht="12.75" customHeight="1"/>
    <row r="1460" ht="12.75" customHeight="1"/>
    <row r="1461" ht="12.75" customHeight="1"/>
    <row r="1462" ht="12.75" customHeight="1"/>
    <row r="1463" ht="12.75" customHeight="1"/>
    <row r="1464" ht="12.75" customHeight="1"/>
    <row r="1465" ht="12.75" customHeight="1"/>
    <row r="1466" ht="12.75" customHeight="1"/>
    <row r="1467" ht="12.75" customHeight="1"/>
    <row r="1468" ht="12.75" customHeight="1"/>
    <row r="1469" ht="12.75" customHeight="1"/>
    <row r="1470" ht="12.75" customHeight="1"/>
    <row r="1471" ht="12.75" customHeight="1"/>
    <row r="1472" ht="12.75" customHeight="1"/>
    <row r="1473" ht="12.75" customHeight="1"/>
    <row r="1474" ht="12.75" customHeight="1"/>
    <row r="1475" ht="12.75" customHeight="1"/>
    <row r="1476" ht="12.75" customHeight="1"/>
    <row r="1477" ht="12.75" customHeight="1"/>
    <row r="1478" ht="12.75" customHeight="1"/>
    <row r="1479" ht="12.75" customHeight="1"/>
    <row r="1480" ht="12.75" customHeight="1"/>
    <row r="1481" ht="12.75" customHeight="1"/>
    <row r="1482" ht="12.75" customHeight="1"/>
    <row r="1483" ht="12.75" customHeight="1"/>
    <row r="1484" ht="12.75" customHeight="1"/>
    <row r="1485" ht="12.75" customHeight="1"/>
    <row r="1486" ht="12.75" customHeight="1"/>
    <row r="1487" ht="12.75" customHeight="1"/>
    <row r="1488" ht="12.75" customHeight="1"/>
    <row r="1489" ht="12.75" customHeight="1"/>
    <row r="1490" ht="12.75" customHeight="1"/>
    <row r="1491" ht="12.75" customHeight="1"/>
    <row r="1492" ht="12.75" customHeight="1"/>
    <row r="1493" ht="12.75" customHeight="1"/>
    <row r="1494" ht="12.75" customHeight="1"/>
    <row r="1495" ht="12.75" customHeight="1"/>
    <row r="1496" ht="12.75" customHeight="1"/>
    <row r="1497" ht="12.75" customHeight="1"/>
    <row r="1498" ht="12.75" customHeight="1"/>
    <row r="1499" ht="12.75" customHeight="1"/>
    <row r="1500" ht="12.75" customHeight="1"/>
    <row r="1501" ht="12.75" customHeight="1"/>
    <row r="1502" ht="12.75" customHeight="1"/>
    <row r="1503" ht="12.75" customHeight="1"/>
    <row r="1504" ht="12.75" customHeight="1"/>
    <row r="1505" ht="12.75" customHeight="1"/>
    <row r="1506" ht="12.75" customHeight="1"/>
    <row r="1507" ht="12.75" customHeight="1"/>
    <row r="1508" ht="12.75" customHeight="1"/>
    <row r="1509" ht="12.75" customHeight="1"/>
    <row r="1510" ht="12.75" customHeight="1"/>
    <row r="1511" ht="12.75" customHeight="1"/>
    <row r="1512" ht="12.75" customHeight="1"/>
    <row r="1513" ht="12.75" customHeight="1"/>
    <row r="1514" ht="12.75" customHeight="1"/>
    <row r="1515" ht="12.75" customHeight="1"/>
    <row r="1516" ht="12.75" customHeight="1"/>
    <row r="1517" ht="12.75" customHeight="1"/>
    <row r="1518" ht="12.75" customHeight="1"/>
    <row r="1519" ht="12.75" customHeight="1"/>
    <row r="1520" ht="12.75" customHeight="1"/>
    <row r="1521" ht="12.75" customHeight="1"/>
    <row r="1522" ht="12.75" customHeight="1"/>
    <row r="1523" ht="12.75" customHeight="1"/>
    <row r="1524" ht="12.75" customHeight="1"/>
    <row r="1525" ht="12.75" customHeight="1"/>
    <row r="1526" ht="12.75" customHeight="1"/>
    <row r="1527" ht="12.75" customHeight="1"/>
    <row r="1528" ht="12.75" customHeight="1"/>
    <row r="1529" ht="12.75" customHeight="1"/>
    <row r="1530" ht="12.75" customHeight="1"/>
    <row r="1531" ht="12.75" customHeight="1"/>
    <row r="1532" ht="12.75" customHeight="1"/>
    <row r="1533" ht="12.75" customHeight="1"/>
    <row r="1534" ht="12.75" customHeight="1"/>
    <row r="1535" ht="12.75" customHeight="1"/>
    <row r="1536" ht="12.75" customHeight="1"/>
    <row r="1537" ht="12.75" customHeight="1"/>
    <row r="1538" ht="12.75" customHeight="1"/>
    <row r="1539" ht="12.75" customHeight="1"/>
    <row r="1540" ht="12.75" customHeight="1"/>
    <row r="1541" ht="12.75" customHeight="1"/>
    <row r="1542" ht="12.75" customHeight="1"/>
    <row r="1543" ht="12.75" customHeight="1"/>
    <row r="1544" ht="12.75" customHeight="1"/>
    <row r="1545" ht="12.75" customHeight="1"/>
    <row r="1546" ht="12.75" customHeight="1"/>
    <row r="1547" ht="12.75" customHeight="1"/>
    <row r="1548" ht="12.75" customHeight="1"/>
    <row r="1549" ht="12.75" customHeight="1"/>
    <row r="1550" ht="12.75" customHeight="1"/>
    <row r="1551" ht="12.75" customHeight="1"/>
    <row r="1552" ht="12.75" customHeight="1"/>
    <row r="1553" ht="12.75" customHeight="1"/>
    <row r="1554" ht="12.75" customHeight="1"/>
    <row r="1555" ht="12.75" customHeight="1"/>
    <row r="1556" ht="12.75" customHeight="1"/>
    <row r="1557" ht="12.75" customHeight="1"/>
    <row r="1558" ht="12.75" customHeight="1"/>
    <row r="1559" ht="12.75" customHeight="1"/>
    <row r="1560" ht="12.75" customHeight="1"/>
    <row r="1561" ht="12.75" customHeight="1"/>
    <row r="1562" ht="12.75" customHeight="1"/>
    <row r="1563" ht="12.75" customHeight="1"/>
    <row r="1564" ht="12.75" customHeight="1"/>
    <row r="1565" ht="12.75" customHeight="1"/>
    <row r="1566" ht="12.75" customHeight="1"/>
    <row r="1567" ht="12.75" customHeight="1"/>
    <row r="1568" ht="12.75" customHeight="1"/>
    <row r="1569" ht="12.75" customHeight="1"/>
    <row r="1570" ht="12.75" customHeight="1"/>
    <row r="1571" ht="12.75" customHeight="1"/>
    <row r="1572" ht="12.75" customHeight="1"/>
    <row r="1573" ht="12.75" customHeight="1"/>
    <row r="1574" ht="12.75" customHeight="1"/>
    <row r="1575" ht="12.75" customHeight="1"/>
    <row r="1576" ht="12.75" customHeight="1"/>
    <row r="1577" ht="12.75" customHeight="1"/>
    <row r="1578" ht="12.75" customHeight="1"/>
    <row r="1579" ht="12.75" customHeight="1"/>
    <row r="1580" ht="12.75" customHeight="1"/>
    <row r="1581" ht="12.75" customHeight="1"/>
    <row r="1582" ht="12.75" customHeight="1"/>
    <row r="1583" ht="12.75" customHeight="1"/>
    <row r="1584" ht="12.75" customHeight="1"/>
    <row r="1585" ht="12.75" customHeight="1"/>
    <row r="1586" ht="12.75" customHeight="1"/>
    <row r="1587" ht="12.75" customHeight="1"/>
    <row r="1588" ht="12.75" customHeight="1"/>
    <row r="1589" ht="12.75" customHeight="1"/>
    <row r="1590" ht="12.75" customHeight="1"/>
    <row r="1591" ht="12.75" customHeight="1"/>
    <row r="1592" ht="12.75" customHeight="1"/>
    <row r="1593" ht="12.75" customHeight="1"/>
    <row r="1594" ht="12.75" customHeight="1"/>
    <row r="1595" ht="12.75" customHeight="1"/>
    <row r="1596" ht="12.75" customHeight="1"/>
    <row r="1597" ht="12.75" customHeight="1"/>
    <row r="1598" ht="12.75" customHeight="1"/>
    <row r="1599" ht="12.75" customHeight="1"/>
    <row r="1600" ht="12.75" customHeight="1"/>
    <row r="1601" ht="12.75" customHeight="1"/>
    <row r="1602" ht="12.75" customHeight="1"/>
    <row r="1603" ht="12.75" customHeight="1"/>
    <row r="1604" ht="12.75" customHeight="1"/>
    <row r="1605" ht="12.75" customHeight="1"/>
    <row r="1606" ht="12.75" customHeight="1"/>
    <row r="1607" ht="12.75" customHeight="1"/>
    <row r="1608" ht="12.75" customHeight="1"/>
    <row r="1609" ht="12.75" customHeight="1"/>
    <row r="1610" ht="12.75" customHeight="1"/>
    <row r="1611" ht="12.75" customHeight="1"/>
    <row r="1612" ht="12.75" customHeight="1"/>
    <row r="1613" ht="12.75" customHeight="1"/>
    <row r="1614" ht="12.75" customHeight="1"/>
    <row r="1615" ht="12.75" customHeight="1"/>
    <row r="1616" ht="12.75" customHeight="1"/>
    <row r="1617" ht="12.75" customHeight="1"/>
    <row r="1618" ht="12.75" customHeight="1"/>
    <row r="1619" ht="12.75" customHeight="1"/>
    <row r="1620" ht="12.75" customHeight="1"/>
    <row r="1621" ht="12.75" customHeight="1"/>
    <row r="1622" ht="12.75" customHeight="1"/>
    <row r="1623" ht="12.75" customHeight="1"/>
    <row r="1624" ht="12.75" customHeight="1"/>
    <row r="1625" ht="12.75" customHeight="1"/>
    <row r="1626" ht="12.75" customHeight="1"/>
    <row r="1627" ht="12.75" customHeight="1"/>
    <row r="1628" ht="12.75" customHeight="1"/>
    <row r="1629" ht="12.75" customHeight="1"/>
    <row r="1630" ht="12.75" customHeight="1"/>
    <row r="1631" ht="12.75" customHeight="1"/>
    <row r="1632" ht="12.75" customHeight="1"/>
    <row r="1633" ht="12.75" customHeight="1"/>
    <row r="1634" ht="12.75" customHeight="1"/>
    <row r="1635" ht="12.75" customHeight="1"/>
    <row r="1636" ht="12.75" customHeight="1"/>
    <row r="1637" ht="12.75" customHeight="1"/>
    <row r="1638" ht="12.75" customHeight="1"/>
    <row r="1639" ht="12.75" customHeight="1"/>
    <row r="1640" ht="12.75" customHeight="1"/>
    <row r="1641" ht="12.75" customHeight="1"/>
    <row r="1642" ht="12.75" customHeight="1"/>
    <row r="1643" ht="12.75" customHeight="1"/>
    <row r="1644" ht="12.75" customHeight="1"/>
    <row r="1645" ht="12.75" customHeight="1"/>
    <row r="1646" ht="12.75" customHeight="1"/>
    <row r="1647" ht="12.75" customHeight="1"/>
    <row r="1648" ht="12.75" customHeight="1"/>
    <row r="1649" ht="12.75" customHeight="1"/>
    <row r="1650" ht="12.75" customHeight="1"/>
    <row r="1651" ht="12.75" customHeight="1"/>
    <row r="1652" ht="12.75" customHeight="1"/>
    <row r="1653" ht="12.75" customHeight="1"/>
    <row r="1654" ht="12.75" customHeight="1"/>
    <row r="1655" ht="12.75" customHeight="1"/>
    <row r="1656" ht="12.75" customHeight="1"/>
    <row r="1657" ht="12.75" customHeight="1"/>
    <row r="1658" ht="12.75" customHeight="1"/>
    <row r="1659" ht="12.75" customHeight="1"/>
    <row r="1660" ht="12.75" customHeight="1"/>
    <row r="1661" ht="12.75" customHeight="1"/>
    <row r="1662" ht="12.75" customHeight="1"/>
    <row r="1663" ht="12.75" customHeight="1"/>
    <row r="1664" ht="12.75" customHeight="1"/>
    <row r="1665" ht="12.75" customHeight="1"/>
    <row r="1666" ht="12.75" customHeight="1"/>
    <row r="1667" ht="12.75" customHeight="1"/>
    <row r="1668" ht="12.75" customHeight="1"/>
    <row r="1669" ht="12.75" customHeight="1"/>
    <row r="1670" ht="12.75" customHeight="1"/>
    <row r="1671" ht="12.75" customHeight="1"/>
    <row r="1672" ht="12.75" customHeight="1"/>
    <row r="1673" ht="12.75" customHeight="1"/>
    <row r="1674" ht="12.75" customHeight="1"/>
    <row r="1675" ht="12.75" customHeight="1"/>
    <row r="1676" ht="12.75" customHeight="1"/>
    <row r="1677" ht="12.75" customHeight="1"/>
    <row r="1678" ht="12.75" customHeight="1"/>
    <row r="1679" ht="12.75" customHeight="1"/>
    <row r="1680" ht="12.75" customHeight="1"/>
    <row r="1681" ht="12.75" customHeight="1"/>
    <row r="1682" ht="12.75" customHeight="1"/>
    <row r="1683" ht="12.75" customHeight="1"/>
    <row r="1684" ht="12.75" customHeight="1"/>
    <row r="1685" ht="12.75" customHeight="1"/>
    <row r="1686" ht="12.75" customHeight="1"/>
    <row r="1687" ht="12.75" customHeight="1"/>
    <row r="1688" ht="12.75" customHeight="1"/>
    <row r="1689" ht="12.75" customHeight="1"/>
    <row r="1690" ht="12.75" customHeight="1"/>
    <row r="1691" ht="12.75" customHeight="1"/>
    <row r="1692" ht="12.75" customHeight="1"/>
    <row r="1693" ht="12.75" customHeight="1"/>
    <row r="1694" ht="12.75" customHeight="1"/>
    <row r="1695" ht="12.75" customHeight="1"/>
    <row r="1696" ht="12.75" customHeight="1"/>
    <row r="1697" ht="12.75" customHeight="1"/>
    <row r="1698" ht="12.75" customHeight="1"/>
    <row r="1699" ht="12.75" customHeight="1"/>
    <row r="1700" ht="12.75" customHeight="1"/>
    <row r="1701" ht="12.75" customHeight="1"/>
    <row r="1702" ht="12.75" customHeight="1"/>
    <row r="1703" ht="12.75" customHeight="1"/>
    <row r="1704" ht="12.75" customHeight="1"/>
    <row r="1705" ht="12.75" customHeight="1"/>
    <row r="1706" ht="12.75" customHeight="1"/>
    <row r="1707" ht="12.75" customHeight="1"/>
    <row r="1708" ht="12.75" customHeight="1"/>
    <row r="1709" ht="12.75" customHeight="1"/>
    <row r="1710" ht="12.75" customHeight="1"/>
    <row r="1711" ht="12.75" customHeight="1"/>
    <row r="1712" ht="12.75" customHeight="1"/>
    <row r="1713" ht="12.75" customHeight="1"/>
    <row r="1714" ht="12.75" customHeight="1"/>
    <row r="1715" ht="12.75" customHeight="1"/>
    <row r="1716" ht="12.75" customHeight="1"/>
    <row r="1717" ht="12.75" customHeight="1"/>
    <row r="1718" ht="12.75" customHeight="1"/>
    <row r="1719" ht="12.75" customHeight="1"/>
    <row r="1720" ht="12.75" customHeight="1"/>
    <row r="1721" ht="12.75" customHeight="1"/>
    <row r="1722" ht="12.75" customHeight="1"/>
    <row r="1723" ht="12.75" customHeight="1"/>
    <row r="1724" ht="12.75" customHeight="1"/>
    <row r="1725" ht="12.75" customHeight="1"/>
    <row r="1726" ht="12.75" customHeight="1"/>
    <row r="1727" ht="12.75" customHeight="1"/>
    <row r="1728" ht="12.75" customHeight="1"/>
    <row r="1729" ht="12.75" customHeight="1"/>
    <row r="1730" ht="12.75" customHeight="1"/>
    <row r="1731" ht="12.75" customHeight="1"/>
    <row r="1732" ht="12.75" customHeight="1"/>
    <row r="1733" ht="12.75" customHeight="1"/>
    <row r="1734" ht="12.75" customHeight="1"/>
    <row r="1735" ht="12.75" customHeight="1"/>
    <row r="1736" ht="12.75" customHeight="1"/>
    <row r="1737" ht="12.75" customHeight="1"/>
    <row r="1738" ht="12.75" customHeight="1"/>
    <row r="1739" ht="12.75" customHeight="1"/>
    <row r="1740" ht="12.75" customHeight="1"/>
    <row r="1741" ht="12.75" customHeight="1"/>
    <row r="1742" ht="12.75" customHeight="1"/>
    <row r="1743" ht="12.75" customHeight="1"/>
    <row r="1744" ht="12.75" customHeight="1"/>
    <row r="1745" ht="12.75" customHeight="1"/>
    <row r="1746" ht="12.75" customHeight="1"/>
    <row r="1747" ht="12.75" customHeight="1"/>
    <row r="1748" ht="12.75" customHeight="1"/>
    <row r="1749" ht="12.75" customHeight="1"/>
    <row r="1750" ht="12.75" customHeight="1"/>
    <row r="1751" ht="12.75" customHeight="1"/>
    <row r="1752" ht="12.75" customHeight="1"/>
    <row r="1753" ht="12.75" customHeight="1"/>
    <row r="1754" ht="12.75" customHeight="1"/>
    <row r="1755" ht="12.75" customHeight="1"/>
    <row r="1756" ht="12.75" customHeight="1"/>
    <row r="1757" ht="12.75" customHeight="1"/>
    <row r="1758" ht="12.75" customHeight="1"/>
    <row r="1759" ht="12.75" customHeight="1"/>
    <row r="1760" ht="12.75" customHeight="1"/>
    <row r="1761" ht="12.75" customHeight="1"/>
    <row r="1762" ht="12.75" customHeight="1"/>
    <row r="1763" ht="12.75" customHeight="1"/>
    <row r="1764" ht="12.75" customHeight="1"/>
    <row r="1765" ht="12.75" customHeight="1"/>
    <row r="1766" ht="12.75" customHeight="1"/>
    <row r="1767" ht="12.75" customHeight="1"/>
    <row r="1768" ht="12.75" customHeight="1"/>
    <row r="1769" ht="12.75" customHeight="1"/>
    <row r="1770" ht="12.75" customHeight="1"/>
    <row r="1771" ht="12.75" customHeight="1"/>
    <row r="1772" ht="12.75" customHeight="1"/>
    <row r="1773" ht="12.75" customHeight="1"/>
    <row r="1774" ht="12.75" customHeight="1"/>
    <row r="1775" ht="12.75" customHeight="1"/>
    <row r="1776" ht="12.75" customHeight="1"/>
    <row r="1777" ht="12.75" customHeight="1"/>
    <row r="1778" ht="12.75" customHeight="1"/>
    <row r="1779" ht="12.75" customHeight="1"/>
    <row r="1780" ht="12.75" customHeight="1"/>
    <row r="1781" ht="12.75" customHeight="1"/>
    <row r="1782" ht="12.75" customHeight="1"/>
    <row r="1783" ht="12.75" customHeight="1"/>
    <row r="1784" ht="12.75" customHeight="1"/>
    <row r="1785" ht="12.75" customHeight="1"/>
    <row r="1786" ht="12.75" customHeight="1"/>
    <row r="1787" ht="12.75" customHeight="1"/>
    <row r="1788" ht="12.75" customHeight="1"/>
    <row r="1789" ht="12.75" customHeight="1"/>
    <row r="1790" ht="12.75" customHeight="1"/>
    <row r="1791" ht="12.75" customHeight="1"/>
    <row r="1792" ht="12.75" customHeight="1"/>
    <row r="1793" ht="12.75" customHeight="1"/>
    <row r="1794" ht="12.75" customHeight="1"/>
    <row r="1795" ht="12.75" customHeight="1"/>
    <row r="1796" ht="12.75" customHeight="1"/>
    <row r="1797" ht="12.75" customHeight="1"/>
    <row r="1798" ht="12.75" customHeight="1"/>
    <row r="1799" ht="12.75" customHeight="1"/>
    <row r="1800" ht="12.75" customHeight="1"/>
    <row r="1801" ht="12.75" customHeight="1"/>
    <row r="1802" ht="12.75" customHeight="1"/>
    <row r="1803" ht="12.75" customHeight="1"/>
    <row r="1804" ht="12.75" customHeight="1"/>
    <row r="1805" ht="12.75" customHeight="1"/>
    <row r="1806" ht="12.75" customHeight="1"/>
    <row r="1807" ht="12.75" customHeight="1"/>
    <row r="1808" ht="12.75" customHeight="1"/>
    <row r="1809" ht="12.75" customHeight="1"/>
    <row r="1810" ht="12.75" customHeight="1"/>
    <row r="1811" ht="12.75" customHeight="1"/>
    <row r="1812" ht="12.75" customHeight="1"/>
    <row r="1813" ht="12.75" customHeight="1"/>
    <row r="1814" ht="12.75" customHeight="1"/>
    <row r="1815" ht="12.75" customHeight="1"/>
    <row r="1816" ht="12.75" customHeight="1"/>
    <row r="1817" ht="12.75" customHeight="1"/>
    <row r="1818" ht="12.75" customHeight="1"/>
    <row r="1819" ht="12.75" customHeight="1"/>
    <row r="1820" ht="12.75" customHeight="1"/>
    <row r="1821" ht="12.75" customHeight="1"/>
    <row r="1822" ht="12.75" customHeight="1"/>
    <row r="1823" ht="12.75" customHeight="1"/>
    <row r="1824" ht="12.75" customHeight="1"/>
    <row r="1825" ht="12.75" customHeight="1"/>
    <row r="1826" ht="12.75" customHeight="1"/>
    <row r="1827" ht="12.75" customHeight="1"/>
    <row r="1828" ht="12.75" customHeight="1"/>
    <row r="1829" ht="12.75" customHeight="1"/>
    <row r="1830" ht="12.75" customHeight="1"/>
    <row r="1831" ht="12.75" customHeight="1"/>
    <row r="1832" ht="12.75" customHeight="1"/>
    <row r="1833" ht="12.75" customHeight="1"/>
    <row r="1834" ht="12.75" customHeight="1"/>
    <row r="1835" ht="12.75" customHeight="1"/>
    <row r="1836" ht="12.75" customHeight="1"/>
    <row r="1837" ht="12.75" customHeight="1"/>
    <row r="1838" ht="12.75" customHeight="1"/>
    <row r="1839" ht="12.75" customHeight="1"/>
    <row r="1840" ht="12.75" customHeight="1"/>
    <row r="1841" ht="12.75" customHeight="1"/>
    <row r="1842" ht="12.75" customHeight="1"/>
    <row r="1843" ht="12.75" customHeight="1"/>
    <row r="1844" ht="12.75" customHeight="1"/>
    <row r="1845" ht="12.75" customHeight="1"/>
    <row r="1846" ht="12.75" customHeight="1"/>
    <row r="1847" ht="12.75" customHeight="1"/>
    <row r="1848" ht="12.75" customHeight="1"/>
    <row r="1849" ht="12.75" customHeight="1"/>
    <row r="1850" ht="12.75" customHeight="1"/>
    <row r="1851" ht="12.75" customHeight="1"/>
    <row r="1852" ht="12.75" customHeight="1"/>
    <row r="1853" ht="12.75" customHeight="1"/>
    <row r="1854" ht="12.75" customHeight="1"/>
    <row r="1855" ht="12.75" customHeight="1"/>
    <row r="1856" ht="12.75" customHeight="1"/>
    <row r="1857" ht="12.75" customHeight="1"/>
    <row r="1858" ht="12.75" customHeight="1"/>
    <row r="1859" ht="12.75" customHeight="1"/>
    <row r="1860" ht="12.75" customHeight="1"/>
    <row r="1861" ht="12.75" customHeight="1"/>
    <row r="1862" ht="12.75" customHeight="1"/>
    <row r="1863" ht="12.75" customHeight="1"/>
    <row r="1864" ht="12.75" customHeight="1"/>
    <row r="1865" ht="12.75" customHeight="1"/>
    <row r="1866" ht="12.75" customHeight="1"/>
    <row r="1867" ht="12.75" customHeight="1"/>
    <row r="1868" ht="12.75" customHeight="1"/>
    <row r="1869" ht="12.75" customHeight="1"/>
    <row r="1870" ht="12.75" customHeight="1"/>
    <row r="1871" ht="12.75" customHeight="1"/>
    <row r="1872" ht="12.75" customHeight="1"/>
    <row r="1873" ht="12.75" customHeight="1"/>
    <row r="1874" ht="12.75" customHeight="1"/>
    <row r="1875" ht="12.75" customHeight="1"/>
    <row r="1876" ht="12.75" customHeight="1"/>
    <row r="1877" ht="12.75" customHeight="1"/>
    <row r="1878" ht="12.75" customHeight="1"/>
    <row r="1879" ht="12.75" customHeight="1"/>
    <row r="1880" ht="12.75" customHeight="1"/>
    <row r="1881" ht="12.75" customHeight="1"/>
    <row r="1882" ht="12.75" customHeight="1"/>
    <row r="1883" ht="12.75" customHeight="1"/>
    <row r="1884" ht="12.75" customHeight="1"/>
    <row r="1885" ht="12.75" customHeight="1"/>
    <row r="1886" ht="12.75" customHeight="1"/>
    <row r="1887" ht="12.75" customHeight="1"/>
    <row r="1888" ht="12.75" customHeight="1"/>
    <row r="1889" ht="12.75" customHeight="1"/>
    <row r="1890" ht="12.75" customHeight="1"/>
    <row r="1891" ht="12.75" customHeight="1"/>
    <row r="1892" ht="12.75" customHeight="1"/>
    <row r="1893" ht="12.75" customHeight="1"/>
    <row r="1894" ht="12.75" customHeight="1"/>
    <row r="1895" ht="12.75" customHeight="1"/>
    <row r="1896" ht="12.75" customHeight="1"/>
    <row r="1897" ht="12.75" customHeight="1"/>
    <row r="1898" ht="12.75" customHeight="1"/>
    <row r="1899" ht="12.75" customHeight="1"/>
    <row r="1900" ht="12.75" customHeight="1"/>
    <row r="1901" ht="12.75" customHeight="1"/>
    <row r="1902" ht="12.75" customHeight="1"/>
    <row r="1903" ht="12.75" customHeight="1"/>
    <row r="1904" ht="12.75" customHeight="1"/>
    <row r="1905" ht="12.75" customHeight="1"/>
    <row r="1906" ht="12.75" customHeight="1"/>
    <row r="1907" ht="12.75" customHeight="1"/>
    <row r="1908" ht="12.75" customHeight="1"/>
    <row r="1909" ht="12.75" customHeight="1"/>
    <row r="1910" ht="12.75" customHeight="1"/>
    <row r="1911" ht="12.75" customHeight="1"/>
    <row r="1912" ht="12.75" customHeight="1"/>
    <row r="1913" ht="12.75" customHeight="1"/>
    <row r="1914" ht="12.75" customHeight="1"/>
    <row r="1915" ht="12.75" customHeight="1"/>
    <row r="1916" ht="12.75" customHeight="1"/>
    <row r="1917" ht="12.75" customHeight="1"/>
    <row r="1918" ht="12.75" customHeight="1"/>
    <row r="1919" ht="12.75" customHeight="1"/>
    <row r="1920" ht="12.75" customHeight="1"/>
    <row r="1921" ht="12.75" customHeight="1"/>
    <row r="1922" ht="12.75" customHeight="1"/>
    <row r="1923" ht="12.75" customHeight="1"/>
    <row r="1924" ht="12.75" customHeight="1"/>
    <row r="1925" ht="12.75" customHeight="1"/>
    <row r="1926" ht="12.75" customHeight="1"/>
    <row r="1927" ht="12.75" customHeight="1"/>
    <row r="1928" ht="12.75" customHeight="1"/>
    <row r="1929" ht="12.75" customHeight="1"/>
    <row r="1930" ht="12.75" customHeight="1"/>
    <row r="1931" ht="12.75" customHeight="1"/>
    <row r="1932" ht="12.75" customHeight="1"/>
    <row r="1933" ht="12.75" customHeight="1"/>
    <row r="1934" ht="12.75" customHeight="1"/>
    <row r="1935" ht="12.75" customHeight="1"/>
    <row r="1936" ht="12.75" customHeight="1"/>
    <row r="1937" ht="12.75" customHeight="1"/>
    <row r="1938" ht="12.75" customHeight="1"/>
    <row r="1939" ht="12.75" customHeight="1"/>
    <row r="1940" ht="12.75" customHeight="1"/>
    <row r="1941" ht="12.75" customHeight="1"/>
    <row r="1942" ht="12.75" customHeight="1"/>
    <row r="1943" ht="12.75" customHeight="1"/>
    <row r="1944" ht="12.75" customHeight="1"/>
    <row r="1945" ht="12.75" customHeight="1"/>
    <row r="1946" ht="12.75" customHeight="1"/>
    <row r="1947" ht="12.75" customHeight="1"/>
    <row r="1948" ht="12.75" customHeight="1"/>
    <row r="1949" ht="12.75" customHeight="1"/>
    <row r="1950" ht="12.75" customHeight="1"/>
    <row r="1951" ht="12.75" customHeight="1"/>
    <row r="1952" ht="12.75" customHeight="1"/>
    <row r="1953" ht="12.75" customHeight="1"/>
    <row r="1954" ht="12.75" customHeight="1"/>
    <row r="1955" ht="12.75" customHeight="1"/>
    <row r="1956" ht="12.75" customHeight="1"/>
    <row r="1957" ht="12.75" customHeight="1"/>
    <row r="1958" ht="12.75" customHeight="1"/>
    <row r="1959" ht="12.75" customHeight="1"/>
    <row r="1960" ht="12.75" customHeight="1"/>
    <row r="1961" ht="12.75" customHeight="1"/>
    <row r="1962" ht="12.75" customHeight="1"/>
    <row r="1963" ht="12.75" customHeight="1"/>
    <row r="1964" ht="12.75" customHeight="1"/>
    <row r="1965" ht="12.75" customHeight="1"/>
    <row r="1966" ht="12.75" customHeight="1"/>
    <row r="1967" ht="12.75" customHeight="1"/>
    <row r="1968" ht="12.75" customHeight="1"/>
    <row r="1969" ht="12.75" customHeight="1"/>
    <row r="1970" ht="12.75" customHeight="1"/>
    <row r="1971" ht="12.75" customHeight="1"/>
    <row r="1972" ht="12.75" customHeight="1"/>
    <row r="1973" ht="12.75" customHeight="1"/>
    <row r="1974" ht="12.75" customHeight="1"/>
    <row r="1975" ht="12.75" customHeight="1"/>
    <row r="1976" ht="12.75" customHeight="1"/>
    <row r="1977" ht="12.75" customHeight="1"/>
    <row r="1978" ht="12.75" customHeight="1"/>
    <row r="1979" ht="12.75" customHeight="1"/>
    <row r="1980" ht="12.75" customHeight="1"/>
    <row r="1981" ht="12.75" customHeight="1"/>
    <row r="1982" ht="12.75" customHeight="1"/>
    <row r="1983" ht="12.75" customHeight="1"/>
    <row r="1984" ht="12.75" customHeight="1"/>
    <row r="1985" ht="12.75" customHeight="1"/>
    <row r="1986" ht="12.75" customHeight="1"/>
    <row r="1987" ht="12.75" customHeight="1"/>
    <row r="1988" ht="12.75" customHeight="1"/>
    <row r="1989" ht="12.75" customHeight="1"/>
    <row r="1990" ht="12.75" customHeight="1"/>
    <row r="1991" ht="12.75" customHeight="1"/>
    <row r="1992" ht="12.75" customHeight="1"/>
    <row r="1993" ht="12.75" customHeight="1"/>
    <row r="1994" ht="12.75" customHeight="1"/>
    <row r="1995" ht="12.75" customHeight="1"/>
    <row r="1996" ht="12.75" customHeight="1"/>
    <row r="1997" ht="12.75" customHeight="1"/>
    <row r="1998" ht="12.75" customHeight="1"/>
    <row r="1999" ht="12.75" customHeight="1"/>
    <row r="2000" ht="12.75" customHeight="1"/>
    <row r="2001" ht="12.75" customHeight="1"/>
    <row r="2002" ht="12.75" customHeight="1"/>
    <row r="2003" ht="12.75" customHeight="1"/>
    <row r="2004" ht="12.75" customHeight="1"/>
    <row r="2005" ht="12.75" customHeight="1"/>
    <row r="2006" ht="12.75" customHeight="1"/>
    <row r="2007" ht="12.75" customHeight="1"/>
    <row r="2008" ht="12.75" customHeight="1"/>
    <row r="2009" ht="12.75" customHeight="1"/>
    <row r="2010" ht="12.75" customHeight="1"/>
    <row r="2011" ht="12.75" customHeight="1"/>
    <row r="2012" ht="12.75" customHeight="1"/>
    <row r="2013" ht="12.75" customHeight="1"/>
    <row r="2014" ht="12.75" customHeight="1"/>
    <row r="2015" ht="12.75" customHeight="1"/>
    <row r="2016" ht="12.75" customHeight="1"/>
    <row r="2017" ht="12.75" customHeight="1"/>
    <row r="2018" ht="12.75" customHeight="1"/>
    <row r="2019" ht="12.75" customHeight="1"/>
    <row r="2020" ht="12.75" customHeight="1"/>
    <row r="2021" ht="12.75" customHeight="1"/>
    <row r="2022" ht="12.75" customHeight="1"/>
    <row r="2023" ht="12.75" customHeight="1"/>
    <row r="2024" ht="12.75" customHeight="1"/>
    <row r="2025" ht="12.75" customHeight="1"/>
    <row r="2026" ht="12.75" customHeight="1"/>
    <row r="2027" ht="12.75" customHeight="1"/>
    <row r="2028" ht="12.75" customHeight="1"/>
    <row r="2029" ht="12.75" customHeight="1"/>
    <row r="2030" ht="12.75" customHeight="1"/>
    <row r="2031" ht="12.75" customHeight="1"/>
    <row r="2032" ht="12.75" customHeight="1"/>
    <row r="2033" ht="12.75" customHeight="1"/>
    <row r="2034" ht="12.75" customHeight="1"/>
    <row r="2035" ht="12.75" customHeight="1"/>
    <row r="2036" ht="12.75" customHeight="1"/>
    <row r="2037" ht="12.75" customHeight="1"/>
    <row r="2038" ht="12.75" customHeight="1"/>
    <row r="2039" ht="12.75" customHeight="1"/>
    <row r="2040" ht="12.75" customHeight="1"/>
    <row r="2041" ht="12.75" customHeight="1"/>
    <row r="2042" ht="12.75" customHeight="1"/>
    <row r="2043" ht="12.75" customHeight="1"/>
    <row r="2044" ht="12.75" customHeight="1"/>
    <row r="2045" ht="12.75" customHeight="1"/>
    <row r="2046" ht="12.75" customHeight="1"/>
    <row r="2047" ht="12.75" customHeight="1"/>
    <row r="2048" ht="12.75" customHeight="1"/>
    <row r="2049" ht="12.75" customHeight="1"/>
    <row r="2050" ht="12.75" customHeight="1"/>
    <row r="2051" ht="12.75" customHeight="1"/>
    <row r="2052" ht="12.75" customHeight="1"/>
    <row r="2053" ht="12.75" customHeight="1"/>
    <row r="2054" ht="12.75" customHeight="1"/>
    <row r="2055" ht="12.75" customHeight="1"/>
    <row r="2056" ht="12.75" customHeight="1"/>
    <row r="2057" ht="12.75" customHeight="1"/>
    <row r="2058" ht="12.75" customHeight="1"/>
    <row r="2059" ht="12.75" customHeight="1"/>
    <row r="2060" ht="12.75" customHeight="1"/>
    <row r="2061" ht="12.75" customHeight="1"/>
    <row r="2062" ht="12.75" customHeight="1"/>
    <row r="2063" ht="12.75" customHeight="1"/>
    <row r="2064" ht="12.75" customHeight="1"/>
    <row r="2065" ht="12.75" customHeight="1"/>
    <row r="2066" ht="12.75" customHeight="1"/>
    <row r="2067" ht="12.75" customHeight="1"/>
    <row r="2068" ht="12.75" customHeight="1"/>
    <row r="2069" ht="12.75" customHeight="1"/>
    <row r="2070" ht="12.75" customHeight="1"/>
    <row r="2071" ht="12.75" customHeight="1"/>
    <row r="2072" ht="12.75" customHeight="1"/>
    <row r="2073" ht="12.75" customHeight="1"/>
    <row r="2074" ht="12.75" customHeight="1"/>
    <row r="2075" ht="12.75" customHeight="1"/>
    <row r="2076" ht="12.75" customHeight="1"/>
    <row r="2077" ht="12.75" customHeight="1"/>
    <row r="2078" ht="12.75" customHeight="1"/>
    <row r="2079" ht="12.75" customHeight="1"/>
    <row r="2080" ht="12.75" customHeight="1"/>
    <row r="2081" ht="12.75" customHeight="1"/>
    <row r="2082" ht="12.75" customHeight="1"/>
    <row r="2083" ht="12.75" customHeight="1"/>
    <row r="2084" ht="12.75" customHeight="1"/>
    <row r="2085" ht="12.75" customHeight="1"/>
    <row r="2086" ht="12.75" customHeight="1"/>
    <row r="2087" ht="12.75" customHeight="1"/>
    <row r="2088" ht="12.75" customHeight="1"/>
    <row r="2089" ht="12.75" customHeight="1"/>
    <row r="2090" ht="12.75" customHeight="1"/>
    <row r="2091" ht="12.75" customHeight="1"/>
    <row r="2092" ht="12.75" customHeight="1"/>
    <row r="2093" ht="12.75" customHeight="1"/>
    <row r="2094" ht="12.75" customHeight="1"/>
    <row r="2095" ht="12.75" customHeight="1"/>
    <row r="2096" ht="12.75" customHeight="1"/>
    <row r="2097" ht="12.75" customHeight="1"/>
    <row r="2098" ht="12.75" customHeight="1"/>
    <row r="2099" ht="12.75" customHeight="1"/>
    <row r="2100" ht="12.75" customHeight="1"/>
    <row r="2101" ht="12.75" customHeight="1"/>
    <row r="2102" ht="12.75" customHeight="1"/>
    <row r="2103" ht="12.75" customHeight="1"/>
    <row r="2104" ht="12.75" customHeight="1"/>
    <row r="2105" ht="12.75" customHeight="1"/>
    <row r="2106" ht="12.75" customHeight="1"/>
    <row r="2107" ht="12.75" customHeight="1"/>
    <row r="2108" ht="12.75" customHeight="1"/>
    <row r="2109" ht="12.75" customHeight="1"/>
    <row r="2110" ht="12.75" customHeight="1"/>
    <row r="2111" ht="12.75" customHeight="1"/>
    <row r="2112" ht="12.75" customHeight="1"/>
    <row r="2113" ht="12.75" customHeight="1"/>
    <row r="2114" ht="12.75" customHeight="1"/>
    <row r="2115" ht="12.75" customHeight="1"/>
    <row r="2116" ht="12.75" customHeight="1"/>
    <row r="2117" ht="12.75" customHeight="1"/>
    <row r="2118" ht="12.75" customHeight="1"/>
    <row r="2119" ht="12.75" customHeight="1"/>
    <row r="2120" ht="12.75" customHeight="1"/>
    <row r="2121" ht="12.75" customHeight="1"/>
    <row r="2122" ht="12.75" customHeight="1"/>
    <row r="2123" ht="12.75" customHeight="1"/>
    <row r="2124" ht="12.75" customHeight="1"/>
    <row r="2125" ht="12.75" customHeight="1"/>
    <row r="2126" ht="12.75" customHeight="1"/>
    <row r="2127" ht="12.75" customHeight="1"/>
    <row r="2128" ht="12.75" customHeight="1"/>
    <row r="2129" ht="12.75" customHeight="1"/>
    <row r="2130" ht="12.75" customHeight="1"/>
    <row r="2131" ht="12.75" customHeight="1"/>
    <row r="2132" ht="12.75" customHeight="1"/>
    <row r="2133" ht="12.75" customHeight="1"/>
    <row r="2134" ht="12.75" customHeight="1"/>
    <row r="2135" ht="12.75" customHeight="1"/>
    <row r="2136" ht="12.75" customHeight="1"/>
    <row r="2137" ht="12.75" customHeight="1"/>
    <row r="2138" ht="12.75" customHeight="1"/>
    <row r="2139" ht="12.75" customHeight="1"/>
    <row r="2140" ht="12.75" customHeight="1"/>
    <row r="2141" ht="12.75" customHeight="1"/>
    <row r="2142" ht="12.75" customHeight="1"/>
    <row r="2143" ht="12.75" customHeight="1"/>
    <row r="2144" ht="12.75" customHeight="1"/>
    <row r="2145" ht="12.75" customHeight="1"/>
    <row r="2146" ht="12.75" customHeight="1"/>
    <row r="2147" ht="12.75" customHeight="1"/>
    <row r="2148" ht="12.75" customHeight="1"/>
    <row r="2149" ht="12.75" customHeight="1"/>
    <row r="2150" ht="12.75" customHeight="1"/>
    <row r="2151" ht="12.75" customHeight="1"/>
    <row r="2152" ht="12.75" customHeight="1"/>
    <row r="2153" ht="12.75" customHeight="1"/>
    <row r="2154" ht="12.75" customHeight="1"/>
    <row r="2155" ht="12.75" customHeight="1"/>
    <row r="2156" ht="12.75" customHeight="1"/>
    <row r="2157" ht="12.75" customHeight="1"/>
    <row r="2158" ht="12.75" customHeight="1"/>
    <row r="2159" ht="12.75" customHeight="1"/>
    <row r="2160" ht="12.75" customHeight="1"/>
    <row r="2161" ht="12.75" customHeight="1"/>
    <row r="2162" ht="12.75" customHeight="1"/>
    <row r="2163" ht="12.75" customHeight="1"/>
    <row r="2164" ht="12.75" customHeight="1"/>
    <row r="2165" ht="12.75" customHeight="1"/>
    <row r="2166" ht="12.75" customHeight="1"/>
    <row r="2167" ht="12.75" customHeight="1"/>
    <row r="2168" ht="12.75" customHeight="1"/>
    <row r="2169" ht="12.75" customHeight="1"/>
    <row r="2170" ht="12.75" customHeight="1"/>
    <row r="2171" ht="12.75" customHeight="1"/>
    <row r="2172" ht="12.75" customHeight="1"/>
    <row r="2173" ht="12.75" customHeight="1"/>
    <row r="2174" ht="12.75" customHeight="1"/>
    <row r="2175" ht="12.75" customHeight="1"/>
    <row r="2176" ht="12.75" customHeight="1"/>
    <row r="2177" ht="12.75" customHeight="1"/>
    <row r="2178" ht="12.75" customHeight="1"/>
    <row r="2179" ht="12.75" customHeight="1"/>
    <row r="2180" ht="12.75" customHeight="1"/>
    <row r="2181" ht="12.75" customHeight="1"/>
    <row r="2182" ht="12.75" customHeight="1"/>
    <row r="2183" ht="12.75" customHeight="1"/>
    <row r="2184" ht="12.75" customHeight="1"/>
    <row r="2185" ht="12.75" customHeight="1"/>
    <row r="2186" ht="12.75" customHeight="1"/>
    <row r="2187" ht="12.75" customHeight="1"/>
    <row r="2188" ht="12.75" customHeight="1"/>
    <row r="2189" ht="12.75" customHeight="1"/>
    <row r="2190" ht="12.75" customHeight="1"/>
    <row r="2191" ht="12.75" customHeight="1"/>
    <row r="2192" ht="12.75" customHeight="1"/>
    <row r="2193" ht="12.75" customHeight="1"/>
    <row r="2194" ht="12.75" customHeight="1"/>
    <row r="2195" ht="12.75" customHeight="1"/>
    <row r="2196" ht="12.75" customHeight="1"/>
    <row r="2197" ht="12.75" customHeight="1"/>
    <row r="2198" ht="12.75" customHeight="1"/>
    <row r="2199" ht="12.75" customHeight="1"/>
    <row r="2200" ht="12.75" customHeight="1"/>
    <row r="2201" ht="12.75" customHeight="1"/>
    <row r="2202" ht="12.75" customHeight="1"/>
    <row r="2203" ht="12.75" customHeight="1"/>
    <row r="2204" ht="12.75" customHeight="1"/>
    <row r="2205" ht="12.75" customHeight="1"/>
    <row r="2206" ht="12.75" customHeight="1"/>
    <row r="2207" ht="12.75" customHeight="1"/>
    <row r="2208" ht="12.75" customHeight="1"/>
    <row r="2209" ht="12.75" customHeight="1"/>
    <row r="2210" ht="12.75" customHeight="1"/>
    <row r="2211" ht="12.75" customHeight="1"/>
    <row r="2212" ht="12.75" customHeight="1"/>
    <row r="2213" ht="12.75" customHeight="1"/>
    <row r="2214" ht="12.75" customHeight="1"/>
    <row r="2215" ht="12.75" customHeight="1"/>
    <row r="2216" ht="12.75" customHeight="1"/>
    <row r="2217" ht="12.75" customHeight="1"/>
    <row r="2218" ht="12.75" customHeight="1"/>
    <row r="2219" ht="12.75" customHeight="1"/>
    <row r="2220" ht="12.75" customHeight="1"/>
    <row r="2221" ht="12.75" customHeight="1"/>
    <row r="2222" ht="12.75" customHeight="1"/>
    <row r="2223" ht="12.75" customHeight="1"/>
    <row r="2224" ht="12.75" customHeight="1"/>
    <row r="2225" ht="12.75" customHeight="1"/>
    <row r="2226" ht="12.75" customHeight="1"/>
    <row r="2227" ht="12.75" customHeight="1"/>
    <row r="2228" ht="12.75" customHeight="1"/>
    <row r="2229" ht="12.75" customHeight="1"/>
    <row r="2230" ht="12.75" customHeight="1"/>
    <row r="2231" ht="12.75" customHeight="1"/>
    <row r="2232" ht="12.75" customHeight="1"/>
    <row r="2233" ht="12.75" customHeight="1"/>
    <row r="2234" ht="12.75" customHeight="1"/>
    <row r="2235" ht="12.75" customHeight="1"/>
    <row r="2236" ht="12.75" customHeight="1"/>
    <row r="2237" ht="12.75" customHeight="1"/>
    <row r="2238" ht="12.75" customHeight="1"/>
    <row r="2239" ht="12.75" customHeight="1"/>
    <row r="2240" ht="12.75" customHeight="1"/>
    <row r="2241" ht="12.75" customHeight="1"/>
    <row r="2242" ht="12.75" customHeight="1"/>
    <row r="2243" ht="12.75" customHeight="1"/>
    <row r="2244" ht="12.75" customHeight="1"/>
    <row r="2245" ht="12.75" customHeight="1"/>
    <row r="2246" ht="12.75" customHeight="1"/>
    <row r="2247" ht="12.75" customHeight="1"/>
    <row r="2248" ht="12.75" customHeight="1"/>
    <row r="2249" ht="12.75" customHeight="1"/>
    <row r="2250" ht="12.75" customHeight="1"/>
    <row r="2251" ht="12.75" customHeight="1"/>
    <row r="2252" ht="12.75" customHeight="1"/>
    <row r="2253" ht="12.75" customHeight="1"/>
    <row r="2254" ht="12.75" customHeight="1"/>
    <row r="2255" ht="12.75" customHeight="1"/>
    <row r="2256" ht="12.75" customHeight="1"/>
    <row r="2257" ht="12.75" customHeight="1"/>
    <row r="2258" ht="12.75" customHeight="1"/>
    <row r="2259" ht="12.75" customHeight="1"/>
    <row r="2260" ht="12.75" customHeight="1"/>
    <row r="2261" ht="12.75" customHeight="1"/>
    <row r="2262" ht="12.75" customHeight="1"/>
    <row r="2263" ht="12.75" customHeight="1"/>
    <row r="2264" ht="12.75" customHeight="1"/>
    <row r="2265" ht="12.75" customHeight="1"/>
    <row r="2266" ht="12.75" customHeight="1"/>
    <row r="2267" ht="12.75" customHeight="1"/>
    <row r="2268" ht="12.75" customHeight="1"/>
    <row r="2269" ht="12.75" customHeight="1"/>
    <row r="2270" ht="12.75" customHeight="1"/>
    <row r="2271" ht="12.75" customHeight="1"/>
    <row r="2272" ht="12.75" customHeight="1"/>
    <row r="2273" ht="12.75" customHeight="1"/>
    <row r="2274" ht="12.75" customHeight="1"/>
    <row r="2275" ht="12.75" customHeight="1"/>
    <row r="2276" ht="12.75" customHeight="1"/>
    <row r="2277" ht="12.75" customHeight="1"/>
    <row r="2278" ht="12.75" customHeight="1"/>
    <row r="2279" ht="12.75" customHeight="1"/>
    <row r="2280" ht="12.75" customHeight="1"/>
    <row r="2281" ht="12.75" customHeight="1"/>
    <row r="2282" ht="12.75" customHeight="1"/>
    <row r="2283" ht="12.75" customHeight="1"/>
    <row r="2284" ht="12.75" customHeight="1"/>
    <row r="2285" ht="12.75" customHeight="1"/>
    <row r="2286" ht="12.75" customHeight="1"/>
    <row r="2287" ht="12.75" customHeight="1"/>
    <row r="2288" ht="12.75" customHeight="1"/>
    <row r="2289" ht="12.75" customHeight="1"/>
    <row r="2290" ht="12.75" customHeight="1"/>
    <row r="2291" ht="12.75" customHeight="1"/>
    <row r="2292" ht="12.75" customHeight="1"/>
    <row r="2293" ht="12.75" customHeight="1"/>
    <row r="2294" ht="12.75" customHeight="1"/>
    <row r="2295" ht="12.75" customHeight="1"/>
    <row r="2296" ht="12.75" customHeight="1"/>
    <row r="2297" ht="12.75" customHeight="1"/>
    <row r="2298" ht="12.75" customHeight="1"/>
    <row r="2299" ht="12.75" customHeight="1"/>
    <row r="2300" ht="12.75" customHeight="1"/>
    <row r="2301" ht="12.75" customHeight="1"/>
    <row r="2302" ht="12.75" customHeight="1"/>
    <row r="2303" ht="12.75" customHeight="1"/>
    <row r="2304" ht="12.75" customHeight="1"/>
    <row r="2305" ht="12.75" customHeight="1"/>
    <row r="2306" ht="12.75" customHeight="1"/>
    <row r="2307" ht="12.75" customHeight="1"/>
    <row r="2308" ht="12.75" customHeight="1"/>
    <row r="2309" ht="12.75" customHeight="1"/>
    <row r="2310" ht="12.75" customHeight="1"/>
    <row r="2311" ht="12.75" customHeight="1"/>
    <row r="2312" ht="12.75" customHeight="1"/>
    <row r="2313" ht="12.75" customHeight="1"/>
    <row r="2314" ht="12.75" customHeight="1"/>
    <row r="2315" ht="12.75" customHeight="1"/>
    <row r="2316" ht="12.75" customHeight="1"/>
    <row r="2317" ht="12.75" customHeight="1"/>
    <row r="2318" ht="12.75" customHeight="1"/>
    <row r="2319" ht="12.75" customHeight="1"/>
    <row r="2320" ht="12.75" customHeight="1"/>
    <row r="2321" ht="12.75" customHeight="1"/>
    <row r="2322" ht="12.75" customHeight="1"/>
    <row r="2323" ht="12.75" customHeight="1"/>
    <row r="2324" ht="12.75" customHeight="1"/>
    <row r="2325" ht="12.75" customHeight="1"/>
    <row r="2326" ht="12.75" customHeight="1"/>
    <row r="2327" ht="12.75" customHeight="1"/>
    <row r="2328" ht="12.75" customHeight="1"/>
    <row r="2329" ht="12.75" customHeight="1"/>
    <row r="2330" ht="12.75" customHeight="1"/>
    <row r="2331" ht="12.75" customHeight="1"/>
    <row r="2332" ht="12.75" customHeight="1"/>
    <row r="2333" ht="12.75" customHeight="1"/>
    <row r="2334" ht="12.75" customHeight="1"/>
    <row r="2335" ht="12.75" customHeight="1"/>
    <row r="2336" ht="12.75" customHeight="1"/>
    <row r="2337" ht="12.75" customHeight="1"/>
    <row r="2338" ht="12.75" customHeight="1"/>
    <row r="2339" ht="12.75" customHeight="1"/>
    <row r="2340" ht="12.75" customHeight="1"/>
    <row r="2341" ht="12.75" customHeight="1"/>
    <row r="2342" ht="12.75" customHeight="1"/>
    <row r="2343" ht="12.75" customHeight="1"/>
    <row r="2344" ht="12.75" customHeight="1"/>
    <row r="2345" ht="12.75" customHeight="1"/>
    <row r="2346" ht="12.75" customHeight="1"/>
    <row r="2347" ht="12.75" customHeight="1"/>
    <row r="2348" ht="12.75" customHeight="1"/>
    <row r="2349" ht="12.75" customHeight="1"/>
    <row r="2350" ht="12.75" customHeight="1"/>
    <row r="2351" ht="12.75" customHeight="1"/>
    <row r="2352" ht="12.75" customHeight="1"/>
    <row r="2353" ht="12.75" customHeight="1"/>
    <row r="2354" ht="12.75" customHeight="1"/>
    <row r="2355" ht="12.75" customHeight="1"/>
    <row r="2356" ht="12.75" customHeight="1"/>
    <row r="2357" ht="12.75" customHeight="1"/>
    <row r="2358" ht="12.75" customHeight="1"/>
    <row r="2359" ht="12.75" customHeight="1"/>
    <row r="2360" ht="12.75" customHeight="1"/>
    <row r="2361" ht="12.75" customHeight="1"/>
    <row r="2362" ht="12.75" customHeight="1"/>
    <row r="2363" ht="12.75" customHeight="1"/>
    <row r="2364" ht="12.75" customHeight="1"/>
    <row r="2365" ht="12.75" customHeight="1"/>
    <row r="2366" ht="12.75" customHeight="1"/>
    <row r="2367" ht="12.75" customHeight="1"/>
    <row r="2368" ht="12.75" customHeight="1"/>
    <row r="2369" ht="12.75" customHeight="1"/>
    <row r="2370" ht="12.75" customHeight="1"/>
    <row r="2371" ht="12.75" customHeight="1"/>
    <row r="2372" ht="12.75" customHeight="1"/>
    <row r="2373" ht="12.75" customHeight="1"/>
    <row r="2374" ht="12.75" customHeight="1"/>
    <row r="2375" ht="12.75" customHeight="1"/>
    <row r="2376" ht="12.75" customHeight="1"/>
    <row r="2377" ht="12.75" customHeight="1"/>
    <row r="2378" ht="12.75" customHeight="1"/>
    <row r="2379" ht="12.75" customHeight="1"/>
    <row r="2380" ht="12.75" customHeight="1"/>
    <row r="2381" ht="12.75" customHeight="1"/>
    <row r="2382" ht="12.75" customHeight="1"/>
    <row r="2383" ht="12.75" customHeight="1"/>
    <row r="2384" ht="12.75" customHeight="1"/>
    <row r="2385" ht="12.75" customHeight="1"/>
    <row r="2386" ht="12.75" customHeight="1"/>
    <row r="2387" ht="12.75" customHeight="1"/>
    <row r="2388" ht="12.75" customHeight="1"/>
    <row r="2389" ht="12.75" customHeight="1"/>
    <row r="2390" ht="12.75" customHeight="1"/>
    <row r="2391" ht="12.75" customHeight="1"/>
    <row r="2392" ht="12.75" customHeight="1"/>
    <row r="2393" ht="12.75" customHeight="1"/>
    <row r="2394" ht="12.75" customHeight="1"/>
    <row r="2395" ht="12.75" customHeight="1"/>
    <row r="2396" ht="12.75" customHeight="1"/>
    <row r="2397" ht="12.75" customHeight="1"/>
    <row r="2398" ht="12.75" customHeight="1"/>
    <row r="2399" ht="12.75" customHeight="1"/>
    <row r="2400" ht="12.75" customHeight="1"/>
    <row r="2401" ht="12.75" customHeight="1"/>
    <row r="2402" ht="12.75" customHeight="1"/>
    <row r="2403" ht="12.75" customHeight="1"/>
    <row r="2404" ht="12.75" customHeight="1"/>
    <row r="2405" ht="12.75" customHeight="1"/>
    <row r="2406" ht="12.75" customHeight="1"/>
    <row r="2407" ht="12.75" customHeight="1"/>
    <row r="2408" ht="12.75" customHeight="1"/>
    <row r="2409" ht="12.75" customHeight="1"/>
    <row r="2410" ht="12.75" customHeight="1"/>
    <row r="2411" ht="12.75" customHeight="1"/>
    <row r="2412" ht="12.75" customHeight="1"/>
    <row r="2413" ht="12.75" customHeight="1"/>
    <row r="2414" ht="12.75" customHeight="1"/>
    <row r="2415" ht="12.75" customHeight="1"/>
    <row r="2416" ht="12.75" customHeight="1"/>
    <row r="2417" ht="12.75" customHeight="1"/>
    <row r="2418" ht="12.75" customHeight="1"/>
    <row r="2419" ht="12.75" customHeight="1"/>
    <row r="2420" ht="12.75" customHeight="1"/>
    <row r="2421" ht="12.75" customHeight="1"/>
    <row r="2422" ht="12.75" customHeight="1"/>
    <row r="2423" ht="12.75" customHeight="1"/>
    <row r="2424" ht="12.75" customHeight="1"/>
    <row r="2425" ht="12.75" customHeight="1"/>
    <row r="2426" ht="12.75" customHeight="1"/>
    <row r="2427" ht="12.75" customHeight="1"/>
    <row r="2428" ht="12.75" customHeight="1"/>
    <row r="2429" ht="12.75" customHeight="1"/>
    <row r="2430" ht="12.75" customHeight="1"/>
    <row r="2431" ht="12.75" customHeight="1"/>
    <row r="2432" ht="12.75" customHeight="1"/>
    <row r="2433" ht="12.75" customHeight="1"/>
    <row r="2434" ht="12.75" customHeight="1"/>
    <row r="2435" ht="12.75" customHeight="1"/>
    <row r="2436" ht="12.75" customHeight="1"/>
    <row r="2437" ht="12.75" customHeight="1"/>
    <row r="2438" ht="12.75" customHeight="1"/>
    <row r="2439" ht="12.75" customHeight="1"/>
    <row r="2440" ht="12.75" customHeight="1"/>
    <row r="2441" ht="12.75" customHeight="1"/>
    <row r="2442" ht="12.75" customHeight="1"/>
    <row r="2443" ht="12.75" customHeight="1"/>
    <row r="2444" ht="12.75" customHeight="1"/>
    <row r="2445" ht="12.75" customHeight="1"/>
    <row r="2446" ht="12.75" customHeight="1"/>
    <row r="2447" ht="12.75" customHeight="1"/>
    <row r="2448" ht="12.75" customHeight="1"/>
    <row r="2449" ht="12.75" customHeight="1"/>
    <row r="2450" ht="12.75" customHeight="1"/>
    <row r="2451" ht="12.75" customHeight="1"/>
    <row r="2452" ht="12.75" customHeight="1"/>
    <row r="2453" ht="12.75" customHeight="1"/>
    <row r="2454" ht="12.75" customHeight="1"/>
    <row r="2455" ht="12.75" customHeight="1"/>
    <row r="2456" ht="12.75" customHeight="1"/>
    <row r="2457" ht="12.75" customHeight="1"/>
    <row r="2458" ht="12.75" customHeight="1"/>
    <row r="2459" ht="12.75" customHeight="1"/>
    <row r="2460" ht="12.75" customHeight="1"/>
    <row r="2461" ht="12.75" customHeight="1"/>
    <row r="2462" ht="12.75" customHeight="1"/>
    <row r="2463" ht="12.75" customHeight="1"/>
    <row r="2464" ht="12.75" customHeight="1"/>
    <row r="2465" ht="12.75" customHeight="1"/>
    <row r="2466" ht="12.75" customHeight="1"/>
    <row r="2467" ht="12.75" customHeight="1"/>
    <row r="2468" ht="12.75" customHeight="1"/>
    <row r="2469" ht="12.75" customHeight="1"/>
    <row r="2470" ht="12.75" customHeight="1"/>
    <row r="2471" ht="12.75" customHeight="1"/>
    <row r="2472" ht="12.75" customHeight="1"/>
    <row r="2473" ht="12.75" customHeight="1"/>
    <row r="2474" ht="12.75" customHeight="1"/>
    <row r="2475" ht="12.75" customHeight="1"/>
    <row r="2476" ht="12.75" customHeight="1"/>
    <row r="2477" ht="12.75" customHeight="1"/>
    <row r="2478" ht="12.75" customHeight="1"/>
    <row r="2479" ht="12.75" customHeight="1"/>
    <row r="2480" ht="12.75" customHeight="1"/>
    <row r="2481" ht="12.75" customHeight="1"/>
    <row r="2482" ht="12.75" customHeight="1"/>
    <row r="2483" ht="12.75" customHeight="1"/>
    <row r="2484" ht="12.75" customHeight="1"/>
    <row r="2485" ht="12.75" customHeight="1"/>
    <row r="2486" ht="12.75" customHeight="1"/>
    <row r="2487" ht="12.75" customHeight="1"/>
    <row r="2488" ht="12.75" customHeight="1"/>
    <row r="2489" ht="12.75" customHeight="1"/>
    <row r="2490" ht="12.75" customHeight="1"/>
    <row r="2491" ht="12.75" customHeight="1"/>
    <row r="2492" ht="12.75" customHeight="1"/>
    <row r="2493" ht="12.75" customHeight="1"/>
    <row r="2494" ht="12.75" customHeight="1"/>
    <row r="2495" ht="12.75" customHeight="1"/>
    <row r="2496" ht="12.75" customHeight="1"/>
    <row r="2497" ht="12.75" customHeight="1"/>
    <row r="2498" ht="12.75" customHeight="1"/>
    <row r="2499" ht="12.75" customHeight="1"/>
    <row r="2500" ht="12.75" customHeight="1"/>
    <row r="2501" ht="12.75" customHeight="1"/>
    <row r="2502" ht="12.75" customHeight="1"/>
    <row r="2503" ht="12.75" customHeight="1"/>
    <row r="2504" ht="12.75" customHeight="1"/>
    <row r="2505" ht="12.75" customHeight="1"/>
    <row r="2506" ht="12.75" customHeight="1"/>
    <row r="2507" ht="12.75" customHeight="1"/>
    <row r="2508" ht="12.75" customHeight="1"/>
    <row r="2509" ht="12.75" customHeight="1"/>
    <row r="2510" ht="12.75" customHeight="1"/>
    <row r="2511" ht="12.75" customHeight="1"/>
    <row r="2512" ht="12.75" customHeight="1"/>
    <row r="2513" ht="12.75" customHeight="1"/>
    <row r="2514" ht="12.75" customHeight="1"/>
    <row r="2515" ht="12.75" customHeight="1"/>
    <row r="2516" ht="12.75" customHeight="1"/>
    <row r="2517" ht="12.75" customHeight="1"/>
    <row r="2518" ht="12.75" customHeight="1"/>
    <row r="2519" ht="12.75" customHeight="1"/>
    <row r="2520" ht="12.75" customHeight="1"/>
    <row r="2521" ht="12.75" customHeight="1"/>
    <row r="2522" ht="12.75" customHeight="1"/>
    <row r="2523" ht="12.75" customHeight="1"/>
    <row r="2524" ht="12.75" customHeight="1"/>
    <row r="2525" ht="12.75" customHeight="1"/>
    <row r="2526" ht="12.75" customHeight="1"/>
    <row r="2527" ht="12.75" customHeight="1"/>
    <row r="2528" ht="12.75" customHeight="1"/>
    <row r="2529" ht="12.75" customHeight="1"/>
    <row r="2530" ht="12.75" customHeight="1"/>
    <row r="2531" ht="12.75" customHeight="1"/>
    <row r="2532" ht="12.75" customHeight="1"/>
    <row r="2533" ht="12.75" customHeight="1"/>
    <row r="2534" ht="12.75" customHeight="1"/>
    <row r="2535" ht="12.75" customHeight="1"/>
    <row r="2536" ht="12.75" customHeight="1"/>
    <row r="2537" ht="12.75" customHeight="1"/>
    <row r="2538" ht="12.75" customHeight="1"/>
    <row r="2539" ht="12.75" customHeight="1"/>
    <row r="2540" ht="12.75" customHeight="1"/>
    <row r="2541" ht="12.75" customHeight="1"/>
    <row r="2542" ht="12.75" customHeight="1"/>
    <row r="2543" ht="12.75" customHeight="1"/>
    <row r="2544" ht="12.75" customHeight="1"/>
    <row r="2545" ht="12.75" customHeight="1"/>
    <row r="2546" ht="12.75" customHeight="1"/>
    <row r="2547" ht="12.75" customHeight="1"/>
    <row r="2548" ht="12.75" customHeight="1"/>
    <row r="2549" ht="12.75" customHeight="1"/>
    <row r="2550" ht="12.75" customHeight="1"/>
    <row r="2551" ht="12.75" customHeight="1"/>
    <row r="2552" ht="12.75" customHeight="1"/>
    <row r="2553" ht="12.75" customHeight="1"/>
    <row r="2554" ht="12.75" customHeight="1"/>
    <row r="2555" ht="12.75" customHeight="1"/>
    <row r="2556" ht="12.75" customHeight="1"/>
    <row r="2557" ht="12.75" customHeight="1"/>
    <row r="2558" ht="12.75" customHeight="1"/>
    <row r="2559" ht="12.75" customHeight="1"/>
    <row r="2560" ht="12.75" customHeight="1"/>
    <row r="2561" ht="12.75" customHeight="1"/>
    <row r="2562" ht="12.75" customHeight="1"/>
    <row r="2563" ht="12.75" customHeight="1"/>
    <row r="2564" ht="12.75" customHeight="1"/>
    <row r="2565" ht="12.75" customHeight="1"/>
    <row r="2566" ht="12.75" customHeight="1"/>
    <row r="2567" ht="12.75" customHeight="1"/>
    <row r="2568" ht="12.75" customHeight="1"/>
    <row r="2569" ht="12.75" customHeight="1"/>
    <row r="2570" ht="12.75" customHeight="1"/>
    <row r="2571" ht="12.75" customHeight="1"/>
    <row r="2572" ht="12.75" customHeight="1"/>
    <row r="2573" ht="12.75" customHeight="1"/>
    <row r="2574" ht="12.75" customHeight="1"/>
    <row r="2575" ht="12.75" customHeight="1"/>
    <row r="2576" ht="12.75" customHeight="1"/>
    <row r="2577" ht="12.75" customHeight="1"/>
    <row r="2578" ht="12.75" customHeight="1"/>
    <row r="2579" ht="12.75" customHeight="1"/>
    <row r="2580" ht="12.75" customHeight="1"/>
    <row r="2581" ht="12.75" customHeight="1"/>
    <row r="2582" ht="12.75" customHeight="1"/>
    <row r="2583" ht="12.75" customHeight="1"/>
    <row r="2584" ht="12.75" customHeight="1"/>
    <row r="2585" ht="12.75" customHeight="1"/>
    <row r="2586" ht="12.75" customHeight="1"/>
    <row r="2587" ht="12.75" customHeight="1"/>
    <row r="2588" ht="12.75" customHeight="1"/>
    <row r="2589" ht="12.75" customHeight="1"/>
    <row r="2590" ht="12.75" customHeight="1"/>
    <row r="2591" ht="12.75" customHeight="1"/>
    <row r="2592" ht="12.75" customHeight="1"/>
    <row r="2593" ht="12.75" customHeight="1"/>
    <row r="2594" ht="12.75" customHeight="1"/>
    <row r="2595" ht="12.75" customHeight="1"/>
    <row r="2596" ht="12.75" customHeight="1"/>
    <row r="2597" ht="12.75" customHeight="1"/>
    <row r="2598" ht="12.75" customHeight="1"/>
    <row r="2599" ht="12.75" customHeight="1"/>
    <row r="2600" ht="12.75" customHeight="1"/>
    <row r="2601" ht="12.75" customHeight="1"/>
    <row r="2602" ht="12.75" customHeight="1"/>
    <row r="2603" ht="12.75" customHeight="1"/>
    <row r="2604" ht="12.75" customHeight="1"/>
    <row r="2605" ht="12.75" customHeight="1"/>
    <row r="2606" ht="12.75" customHeight="1"/>
    <row r="2607" ht="12.75" customHeight="1"/>
    <row r="2608" ht="12.75" customHeight="1"/>
    <row r="2609" ht="12.75" customHeight="1"/>
    <row r="2610" ht="12.75" customHeight="1"/>
    <row r="2611" ht="12.75" customHeight="1"/>
    <row r="2612" ht="12.75" customHeight="1"/>
    <row r="2613" ht="12.75" customHeight="1"/>
    <row r="2614" ht="12.75" customHeight="1"/>
    <row r="2615" ht="12.75" customHeight="1"/>
    <row r="2616" ht="12.75" customHeight="1"/>
    <row r="2617" ht="12.75" customHeight="1"/>
    <row r="2618" ht="12.75" customHeight="1"/>
    <row r="2619" ht="12.75" customHeight="1"/>
    <row r="2620" ht="12.75" customHeight="1"/>
    <row r="2621" ht="12.75" customHeight="1"/>
    <row r="2622" ht="12.75" customHeight="1"/>
    <row r="2623" ht="12.75" customHeight="1"/>
    <row r="2624" ht="12.75" customHeight="1"/>
    <row r="2625" ht="12.75" customHeight="1"/>
    <row r="2626" ht="12.75" customHeight="1"/>
    <row r="2627" ht="12.75" customHeight="1"/>
    <row r="2628" ht="12.75" customHeight="1"/>
    <row r="2629" ht="12.75" customHeight="1"/>
    <row r="2630" ht="12.75" customHeight="1"/>
    <row r="2631" ht="12.75" customHeight="1"/>
    <row r="2632" ht="12.75" customHeight="1"/>
    <row r="2633" ht="12.75" customHeight="1"/>
    <row r="2634" ht="12.75" customHeight="1"/>
    <row r="2635" ht="12.75" customHeight="1"/>
    <row r="2636" ht="12.75" customHeight="1"/>
    <row r="2637" ht="12.75" customHeight="1"/>
    <row r="2638" ht="12.75" customHeight="1"/>
    <row r="2639" ht="12.75" customHeight="1"/>
    <row r="2640" ht="12.75" customHeight="1"/>
    <row r="2641" ht="12.75" customHeight="1"/>
    <row r="2642" ht="12.75" customHeight="1"/>
    <row r="2643" ht="12.75" customHeight="1"/>
    <row r="2644" ht="12.75" customHeight="1"/>
    <row r="2645" ht="12.75" customHeight="1"/>
    <row r="2646" ht="12.75" customHeight="1"/>
    <row r="2647" ht="12.75" customHeight="1"/>
    <row r="2648" ht="12.75" customHeight="1"/>
    <row r="2649" ht="12.75" customHeight="1"/>
    <row r="2650" ht="12.75" customHeight="1"/>
    <row r="2651" ht="12.75" customHeight="1"/>
    <row r="2652" ht="12.75" customHeight="1"/>
    <row r="2653" ht="12.75" customHeight="1"/>
    <row r="2654" ht="12.75" customHeight="1"/>
    <row r="2655" ht="12.75" customHeight="1"/>
    <row r="2656" ht="12.75" customHeight="1"/>
    <row r="2657" ht="12.75" customHeight="1"/>
    <row r="2658" ht="12.75" customHeight="1"/>
    <row r="2659" ht="12.75" customHeight="1"/>
    <row r="2660" ht="12.75" customHeight="1"/>
    <row r="2661" ht="12.75" customHeight="1"/>
    <row r="2662" ht="12.75" customHeight="1"/>
    <row r="2663" ht="12.75" customHeight="1"/>
    <row r="2664" ht="12.75" customHeight="1"/>
    <row r="2665" ht="12.75" customHeight="1"/>
    <row r="2666" ht="12.75" customHeight="1"/>
    <row r="2667" ht="12.75" customHeight="1"/>
    <row r="2668" ht="12.75" customHeight="1"/>
    <row r="2669" ht="12.75" customHeight="1"/>
    <row r="2670" ht="12.75" customHeight="1"/>
    <row r="2671" ht="12.75" customHeight="1"/>
    <row r="2672" ht="12.75" customHeight="1"/>
    <row r="2673" ht="12.75" customHeight="1"/>
    <row r="2674" ht="12.75" customHeight="1"/>
    <row r="2675" ht="12.75" customHeight="1"/>
    <row r="2676" ht="12.75" customHeight="1"/>
    <row r="2677" ht="12.75" customHeight="1"/>
    <row r="2678" ht="12.75" customHeight="1"/>
    <row r="2679" ht="12.75" customHeight="1"/>
    <row r="2680" ht="12.75" customHeight="1"/>
    <row r="2681" ht="12.75" customHeight="1"/>
    <row r="2682" ht="12.75" customHeight="1"/>
    <row r="2683" ht="12.75" customHeight="1"/>
    <row r="2684" ht="12.75" customHeight="1"/>
    <row r="2685" ht="12.75" customHeight="1"/>
    <row r="2686" ht="12.75" customHeight="1"/>
    <row r="2687" ht="12.75" customHeight="1"/>
    <row r="2688" ht="12.75" customHeight="1"/>
    <row r="2689" ht="12.75" customHeight="1"/>
    <row r="2690" ht="12.75" customHeight="1"/>
    <row r="2691" ht="12.75" customHeight="1"/>
    <row r="2692" ht="12.75" customHeight="1"/>
    <row r="2693" ht="12.75" customHeight="1"/>
    <row r="2694" ht="12.75" customHeight="1"/>
    <row r="2695" ht="12.75" customHeight="1"/>
    <row r="2696" ht="12.75" customHeight="1"/>
    <row r="2697" ht="12.75" customHeight="1"/>
    <row r="2698" ht="12.75" customHeight="1"/>
    <row r="2699" ht="12.75" customHeight="1"/>
    <row r="2700" ht="12.75" customHeight="1"/>
    <row r="2701" ht="12.75" customHeight="1"/>
    <row r="2702" ht="12.75" customHeight="1"/>
    <row r="2703" ht="12.75" customHeight="1"/>
    <row r="2704" ht="12.75" customHeight="1"/>
    <row r="2705" ht="12.75" customHeight="1"/>
    <row r="2706" ht="12.75" customHeight="1"/>
    <row r="2707" ht="12.75" customHeight="1"/>
    <row r="2708" ht="12.75" customHeight="1"/>
    <row r="2709" ht="12.75" customHeight="1"/>
    <row r="2710" ht="12.75" customHeight="1"/>
    <row r="2711" ht="12.75" customHeight="1"/>
    <row r="2712" ht="12.75" customHeight="1"/>
    <row r="2713" ht="12.75" customHeight="1"/>
    <row r="2714" ht="12.75" customHeight="1"/>
    <row r="2715" ht="12.75" customHeight="1"/>
    <row r="2716" ht="12.75" customHeight="1"/>
    <row r="2717" ht="12.75" customHeight="1"/>
    <row r="2718" ht="12.75" customHeight="1"/>
    <row r="2719" ht="12.75" customHeight="1"/>
    <row r="2720" ht="12.75" customHeight="1"/>
    <row r="2721" ht="12.75" customHeight="1"/>
    <row r="2722" ht="12.75" customHeight="1"/>
    <row r="2723" ht="12.75" customHeight="1"/>
    <row r="2724" ht="12.75" customHeight="1"/>
    <row r="2725" ht="12.75" customHeight="1"/>
    <row r="2726" ht="12.75" customHeight="1"/>
    <row r="2727" ht="12.75" customHeight="1"/>
    <row r="2728" ht="12.75" customHeight="1"/>
    <row r="2729" ht="12.75" customHeight="1"/>
    <row r="2730" ht="12.75" customHeight="1"/>
    <row r="2731" ht="12.75" customHeight="1"/>
    <row r="2732" ht="12.75" customHeight="1"/>
    <row r="2733" ht="12.75" customHeight="1"/>
    <row r="2734" ht="12.75" customHeight="1"/>
    <row r="2735" ht="12.75" customHeight="1"/>
    <row r="2736" ht="12.75" customHeight="1"/>
    <row r="2737" ht="12.75" customHeight="1"/>
    <row r="2738" ht="12.75" customHeight="1"/>
    <row r="2739" ht="12.75" customHeight="1"/>
    <row r="2740" ht="12.75" customHeight="1"/>
    <row r="2741" ht="12.75" customHeight="1"/>
    <row r="2742" ht="12.75" customHeight="1"/>
    <row r="2743" ht="12.75" customHeight="1"/>
    <row r="2744" ht="12.75" customHeight="1"/>
    <row r="2745" ht="12.75" customHeight="1"/>
    <row r="2746" ht="12.75" customHeight="1"/>
    <row r="2747" ht="12.75" customHeight="1"/>
    <row r="2748" ht="12.75" customHeight="1"/>
    <row r="2749" ht="12.75" customHeight="1"/>
    <row r="2750" ht="12.75" customHeight="1"/>
    <row r="2751" ht="12.75" customHeight="1"/>
    <row r="2752" ht="12.75" customHeight="1"/>
    <row r="2753" ht="12.75" customHeight="1"/>
    <row r="2754" ht="12.75" customHeight="1"/>
    <row r="2755" ht="12.75" customHeight="1"/>
    <row r="2756" ht="12.75" customHeight="1"/>
    <row r="2757" ht="12.75" customHeight="1"/>
    <row r="2758" ht="12.75" customHeight="1"/>
    <row r="2759" ht="12.75" customHeight="1"/>
    <row r="2760" ht="12.75" customHeight="1"/>
    <row r="2761" ht="12.75" customHeight="1"/>
    <row r="2762" ht="12.75" customHeight="1"/>
    <row r="2763" ht="12.75" customHeight="1"/>
    <row r="2764" ht="12.75" customHeight="1"/>
    <row r="2765" ht="12.75" customHeight="1"/>
    <row r="2766" ht="12.75" customHeight="1"/>
    <row r="2767" ht="12.75" customHeight="1"/>
    <row r="2768" ht="12.75" customHeight="1"/>
    <row r="2769" ht="12.75" customHeight="1"/>
    <row r="2770" ht="12.75" customHeight="1"/>
    <row r="2771" ht="12.75" customHeight="1"/>
    <row r="2772" ht="12.75" customHeight="1"/>
    <row r="2773" ht="12.75" customHeight="1"/>
    <row r="2774" ht="12.75" customHeight="1"/>
    <row r="2775" ht="12.75" customHeight="1"/>
    <row r="2776" ht="12.75" customHeight="1"/>
    <row r="2777" ht="12.75" customHeight="1"/>
    <row r="2778" ht="12.75" customHeight="1"/>
    <row r="2779" ht="12.75" customHeight="1"/>
    <row r="2780" ht="12.75" customHeight="1"/>
    <row r="2781" ht="12.75" customHeight="1"/>
    <row r="2782" ht="12.75" customHeight="1"/>
    <row r="2783" ht="12.75" customHeight="1"/>
    <row r="2784" ht="12.75" customHeight="1"/>
    <row r="2785" ht="12.75" customHeight="1"/>
    <row r="2786" ht="12.75" customHeight="1"/>
    <row r="2787" ht="12.75" customHeight="1"/>
    <row r="2788" ht="12.75" customHeight="1"/>
    <row r="2789" ht="12.75" customHeight="1"/>
    <row r="2790" ht="12.75" customHeight="1"/>
    <row r="2791" ht="12.75" customHeight="1"/>
    <row r="2792" ht="12.75" customHeight="1"/>
    <row r="2793" ht="12.75" customHeight="1"/>
    <row r="2794" ht="12.75" customHeight="1"/>
    <row r="2795" ht="12.75" customHeight="1"/>
    <row r="2796" ht="12.75" customHeight="1"/>
    <row r="2797" ht="12.75" customHeight="1"/>
    <row r="2798" ht="12.75" customHeight="1"/>
    <row r="2799" ht="12.75" customHeight="1"/>
    <row r="2800" ht="12.75" customHeight="1"/>
    <row r="2801" ht="12.75" customHeight="1"/>
    <row r="2802" ht="12.75" customHeight="1"/>
    <row r="2803" ht="12.75" customHeight="1"/>
    <row r="2804" ht="12.75" customHeight="1"/>
    <row r="2805" ht="12.75" customHeight="1"/>
    <row r="2806" ht="12.75" customHeight="1"/>
    <row r="2807" ht="12.75" customHeight="1"/>
    <row r="2808" ht="12.75" customHeight="1"/>
    <row r="2809" ht="12.75" customHeight="1"/>
    <row r="2810" ht="12.75" customHeight="1"/>
    <row r="2811" ht="12.75" customHeight="1"/>
    <row r="2812" ht="12.75" customHeight="1"/>
    <row r="2813" ht="12.75" customHeight="1"/>
    <row r="2814" ht="12.75" customHeight="1"/>
    <row r="2815" ht="12.75" customHeight="1"/>
    <row r="2816" ht="12.75" customHeight="1"/>
    <row r="2817" ht="12.75" customHeight="1"/>
    <row r="2818" ht="12.75" customHeight="1"/>
    <row r="2819" ht="12.75" customHeight="1"/>
    <row r="2820" ht="12.75" customHeight="1"/>
    <row r="2821" ht="12.75" customHeight="1"/>
    <row r="2822" ht="12.75" customHeight="1"/>
    <row r="2823" ht="12.75" customHeight="1"/>
    <row r="2824" ht="12.75" customHeight="1"/>
    <row r="2825" ht="12.75" customHeight="1"/>
    <row r="2826" ht="12.75" customHeight="1"/>
    <row r="2827" ht="12.75" customHeight="1"/>
    <row r="2828" ht="12.75" customHeight="1"/>
    <row r="2829" ht="12.75" customHeight="1"/>
    <row r="2830" ht="12.75" customHeight="1"/>
    <row r="2831" ht="12.75" customHeight="1"/>
    <row r="2832" ht="12.75" customHeight="1"/>
    <row r="2833" ht="12.75" customHeight="1"/>
    <row r="2834" ht="12.75" customHeight="1"/>
    <row r="2835" ht="12.75" customHeight="1"/>
    <row r="2836" ht="12.75" customHeight="1"/>
    <row r="2837" ht="12.75" customHeight="1"/>
    <row r="2838" ht="12.75" customHeight="1"/>
    <row r="2839" ht="12.75" customHeight="1"/>
    <row r="2840" ht="12.75" customHeight="1"/>
    <row r="2841" ht="12.75" customHeight="1"/>
    <row r="2842" ht="12.75" customHeight="1"/>
    <row r="2843" ht="12.75" customHeight="1"/>
    <row r="2844" ht="12.75" customHeight="1"/>
    <row r="2845" ht="12.75" customHeight="1"/>
    <row r="2846" ht="12.75" customHeight="1"/>
    <row r="2847" ht="12.75" customHeight="1"/>
    <row r="2848" ht="12.75" customHeight="1"/>
    <row r="2849" ht="12.75" customHeight="1"/>
    <row r="2850" ht="12.75" customHeight="1"/>
    <row r="2851" ht="12.75" customHeight="1"/>
    <row r="2852" ht="12.75" customHeight="1"/>
    <row r="2853" ht="12.75" customHeight="1"/>
    <row r="2854" ht="12.75" customHeight="1"/>
    <row r="2855" ht="12.75" customHeight="1"/>
    <row r="2856" ht="12.75" customHeight="1"/>
    <row r="2857" ht="12.75" customHeight="1"/>
    <row r="2858" ht="12.75" customHeight="1"/>
    <row r="2859" ht="12.75" customHeight="1"/>
    <row r="2860" ht="12.75" customHeight="1"/>
    <row r="2861" ht="12.75" customHeight="1"/>
    <row r="2862" ht="12.75" customHeight="1"/>
    <row r="2863" ht="12.75" customHeight="1"/>
    <row r="2864" ht="12.75" customHeight="1"/>
    <row r="2865" ht="12.75" customHeight="1"/>
    <row r="2866" ht="12.75" customHeight="1"/>
    <row r="2867" ht="12.75" customHeight="1"/>
    <row r="2868" ht="12.75" customHeight="1"/>
    <row r="2869" ht="12.75" customHeight="1"/>
    <row r="2870" ht="12.75" customHeight="1"/>
    <row r="2871" ht="12.75" customHeight="1"/>
    <row r="2872" ht="12.75" customHeight="1"/>
    <row r="2873" ht="12.75" customHeight="1"/>
    <row r="2874" ht="12.75" customHeight="1"/>
    <row r="2875" ht="12.75" customHeight="1"/>
    <row r="2876" ht="12.75" customHeight="1"/>
    <row r="2877" ht="12.75" customHeight="1"/>
    <row r="2878" ht="12.75" customHeight="1"/>
    <row r="2879" ht="12.75" customHeight="1"/>
    <row r="2880" ht="12.75" customHeight="1"/>
    <row r="2881" ht="12.75" customHeight="1"/>
    <row r="2882" ht="12.75" customHeight="1"/>
    <row r="2883" ht="12.75" customHeight="1"/>
    <row r="2884" ht="12.75" customHeight="1"/>
    <row r="2885" ht="12.75" customHeight="1"/>
    <row r="2886" ht="12.75" customHeight="1"/>
    <row r="2887" ht="12.75" customHeight="1"/>
    <row r="2888" ht="12.75" customHeight="1"/>
    <row r="2889" ht="12.75" customHeight="1"/>
    <row r="2890" ht="12.75" customHeight="1"/>
    <row r="2891" ht="12.75" customHeight="1"/>
    <row r="2892" ht="12.75" customHeight="1"/>
    <row r="2893" ht="12.75" customHeight="1"/>
    <row r="2894" ht="12.75" customHeight="1"/>
    <row r="2895" ht="12.75" customHeight="1"/>
    <row r="2896" ht="12.75" customHeight="1"/>
    <row r="2897" ht="12.75" customHeight="1"/>
    <row r="2898" ht="12.75" customHeight="1"/>
    <row r="2899" ht="12.75" customHeight="1"/>
    <row r="2900" ht="12.75" customHeight="1"/>
    <row r="2901" ht="12.75" customHeight="1"/>
    <row r="2902" ht="12.75" customHeight="1"/>
    <row r="2903" ht="12.75" customHeight="1"/>
    <row r="2904" ht="12.75" customHeight="1"/>
    <row r="2905" ht="12.75" customHeight="1"/>
    <row r="2906" ht="12.75" customHeight="1"/>
    <row r="2907" ht="12.75" customHeight="1"/>
    <row r="2908" ht="12.75" customHeight="1"/>
    <row r="2909" ht="12.75" customHeight="1"/>
    <row r="2910" ht="12.75" customHeight="1"/>
    <row r="2911" ht="12.75" customHeight="1"/>
    <row r="2912" ht="12.75" customHeight="1"/>
    <row r="2913" ht="12.75" customHeight="1"/>
    <row r="2914" ht="12.75" customHeight="1"/>
    <row r="2915" ht="12.75" customHeight="1"/>
    <row r="2916" ht="12.75" customHeight="1"/>
    <row r="2917" ht="12.75" customHeight="1"/>
    <row r="2918" ht="12.75" customHeight="1"/>
    <row r="2919" ht="12.75" customHeight="1"/>
    <row r="2920" ht="12.75" customHeight="1"/>
    <row r="2921" ht="12.75" customHeight="1"/>
    <row r="2922" ht="12.75" customHeight="1"/>
    <row r="2923" ht="12.75" customHeight="1"/>
    <row r="2924" ht="12.75" customHeight="1"/>
    <row r="2925" ht="12.75" customHeight="1"/>
    <row r="2926" ht="12.75" customHeight="1"/>
    <row r="2927" ht="12.75" customHeight="1"/>
    <row r="2928" ht="12.75" customHeight="1"/>
    <row r="2929" ht="12.75" customHeight="1"/>
    <row r="2930" ht="12.75" customHeight="1"/>
    <row r="2931" ht="12.75" customHeight="1"/>
    <row r="2932" ht="12.75" customHeight="1"/>
    <row r="2933" ht="12.75" customHeight="1"/>
    <row r="2934" ht="12.75" customHeight="1"/>
    <row r="2935" ht="12.75" customHeight="1"/>
    <row r="2936" ht="12.75" customHeight="1"/>
    <row r="2937" ht="12.75" customHeight="1"/>
    <row r="2938" ht="12.75" customHeight="1"/>
    <row r="2939" ht="12.75" customHeight="1"/>
    <row r="2940" ht="12.75" customHeight="1"/>
    <row r="2941" ht="12.75" customHeight="1"/>
    <row r="2942" ht="12.75" customHeight="1"/>
    <row r="2943" ht="12.75" customHeight="1"/>
    <row r="2944" ht="12.75" customHeight="1"/>
    <row r="2945" ht="12.75" customHeight="1"/>
    <row r="2946" ht="12.75" customHeight="1"/>
    <row r="2947" ht="12.75" customHeight="1"/>
    <row r="2948" ht="12.75" customHeight="1"/>
    <row r="2949" ht="12.75" customHeight="1"/>
    <row r="2950" ht="12.75" customHeight="1"/>
    <row r="2951" ht="12.75" customHeight="1"/>
    <row r="2952" ht="12.75" customHeight="1"/>
    <row r="2953" ht="12.75" customHeight="1"/>
    <row r="2954" ht="12.75" customHeight="1"/>
    <row r="2955" ht="12.75" customHeight="1"/>
    <row r="2956" ht="12.75" customHeight="1"/>
    <row r="2957" ht="12.75" customHeight="1"/>
    <row r="2958" ht="12.75" customHeight="1"/>
    <row r="2959" ht="12.75" customHeight="1"/>
    <row r="2960" ht="12.75" customHeight="1"/>
    <row r="2961" ht="12.75" customHeight="1"/>
    <row r="2962" ht="12.75" customHeight="1"/>
    <row r="2963" ht="12.75" customHeight="1"/>
    <row r="2964" ht="12.75" customHeight="1"/>
    <row r="2965" ht="12.75" customHeight="1"/>
    <row r="2966" ht="12.75" customHeight="1"/>
    <row r="2967" ht="12.75" customHeight="1"/>
    <row r="2968" ht="12.75" customHeight="1"/>
    <row r="2969" ht="12.75" customHeight="1"/>
    <row r="2970" ht="12.75" customHeight="1"/>
    <row r="2971" ht="12.75" customHeight="1"/>
    <row r="2972" ht="12.75" customHeight="1"/>
    <row r="2973" ht="12.75" customHeight="1"/>
    <row r="2974" ht="12.75" customHeight="1"/>
    <row r="2975" ht="12.75" customHeight="1"/>
    <row r="2976" ht="12.75" customHeight="1"/>
    <row r="2977" ht="12.75" customHeight="1"/>
    <row r="2978" ht="12.75" customHeight="1"/>
    <row r="2979" ht="12.75" customHeight="1"/>
    <row r="2980" ht="12.75" customHeight="1"/>
    <row r="2981" ht="12.75" customHeight="1"/>
    <row r="2982" ht="12.75" customHeight="1"/>
    <row r="2983" ht="12.75" customHeight="1"/>
    <row r="2984" ht="12.75" customHeight="1"/>
    <row r="2985" ht="12.75" customHeight="1"/>
    <row r="2986" ht="12.75" customHeight="1"/>
    <row r="2987" ht="12.75" customHeight="1"/>
    <row r="2988" ht="12.75" customHeight="1"/>
    <row r="2989" ht="12.75" customHeight="1"/>
    <row r="2990" ht="12.75" customHeight="1"/>
    <row r="2991" ht="12.75" customHeight="1"/>
    <row r="2992" ht="12.75" customHeight="1"/>
    <row r="2993" ht="12.75" customHeight="1"/>
    <row r="2994" ht="12.75" customHeight="1"/>
    <row r="2995" ht="12.75" customHeight="1"/>
    <row r="2996" ht="12.75" customHeight="1"/>
    <row r="2997" ht="12.75" customHeight="1"/>
    <row r="2998" ht="12.75" customHeight="1"/>
    <row r="2999" ht="12.75" customHeight="1"/>
    <row r="3000" ht="12.75" customHeight="1"/>
    <row r="3001" ht="12.75" customHeight="1"/>
    <row r="3002" ht="12.75" customHeight="1"/>
    <row r="3003" ht="12.75" customHeight="1"/>
    <row r="3004" ht="12.75" customHeight="1"/>
    <row r="3005" ht="12.75" customHeight="1"/>
    <row r="3006" ht="12.75" customHeight="1"/>
    <row r="3007" ht="12.75" customHeight="1"/>
    <row r="3008" ht="12.75" customHeight="1"/>
    <row r="3009" ht="12.75" customHeight="1"/>
    <row r="3010" ht="12.75" customHeight="1"/>
    <row r="3011" ht="12.75" customHeight="1"/>
    <row r="3012" ht="12.75" customHeight="1"/>
    <row r="3013" ht="12.75" customHeight="1"/>
    <row r="3014" ht="12.75" customHeight="1"/>
    <row r="3015" ht="12.75" customHeight="1"/>
    <row r="3016" ht="12.75" customHeight="1"/>
    <row r="3017" ht="12.75" customHeight="1"/>
    <row r="3018" ht="12.75" customHeight="1"/>
    <row r="3019" ht="12.75" customHeight="1"/>
    <row r="3020" ht="12.75" customHeight="1"/>
    <row r="3021" ht="12.75" customHeight="1"/>
    <row r="3022" ht="12.75" customHeight="1"/>
    <row r="3023" ht="12.75" customHeight="1"/>
    <row r="3024" ht="12.75" customHeight="1"/>
    <row r="3025" ht="12.75" customHeight="1"/>
    <row r="3026" ht="12.75" customHeight="1"/>
    <row r="3027" ht="12.75" customHeight="1"/>
    <row r="3028" ht="12.75" customHeight="1"/>
    <row r="3029" ht="12.75" customHeight="1"/>
    <row r="3030" ht="12.75" customHeight="1"/>
    <row r="3031" ht="12.75" customHeight="1"/>
    <row r="3032" ht="12.75" customHeight="1"/>
    <row r="3033" ht="12.75" customHeight="1"/>
    <row r="3034" ht="12.75" customHeight="1"/>
    <row r="3035" ht="12.75" customHeight="1"/>
    <row r="3036" ht="12.75" customHeight="1"/>
    <row r="3037" ht="12.75" customHeight="1"/>
    <row r="3038" ht="12.75" customHeight="1"/>
    <row r="3039" ht="12.75" customHeight="1"/>
    <row r="3040" ht="12.75" customHeight="1"/>
    <row r="3041" ht="12.75" customHeight="1"/>
    <row r="3042" ht="12.75" customHeight="1"/>
    <row r="3043" ht="12.75" customHeight="1"/>
    <row r="3044" ht="12.75" customHeight="1"/>
    <row r="3045" ht="12.75" customHeight="1"/>
    <row r="3046" ht="12.75" customHeight="1"/>
    <row r="3047" ht="12.75" customHeight="1"/>
    <row r="3048" ht="12.75" customHeight="1"/>
    <row r="3049" ht="12.75" customHeight="1"/>
    <row r="3050" ht="12.75" customHeight="1"/>
    <row r="3051" ht="12.75" customHeight="1"/>
    <row r="3052" ht="12.75" customHeight="1"/>
    <row r="3053" ht="12.75" customHeight="1"/>
    <row r="3054" ht="12.75" customHeight="1"/>
    <row r="3055" ht="12.75" customHeight="1"/>
    <row r="3056" ht="12.75" customHeight="1"/>
    <row r="3057" ht="12.75" customHeight="1"/>
    <row r="3058" ht="12.75" customHeight="1"/>
    <row r="3059" ht="12.75" customHeight="1"/>
    <row r="3060" ht="12.75" customHeight="1"/>
    <row r="3061" ht="12.75" customHeight="1"/>
    <row r="3062" ht="12.75" customHeight="1"/>
    <row r="3063" ht="12.75" customHeight="1"/>
    <row r="3064" ht="12.75" customHeight="1"/>
    <row r="3065" ht="12.75" customHeight="1"/>
    <row r="3066" ht="12.75" customHeight="1"/>
    <row r="3067" ht="12.75" customHeight="1"/>
    <row r="3068" ht="12.75" customHeight="1"/>
    <row r="3069" ht="12.75" customHeight="1"/>
    <row r="3070" ht="12.75" customHeight="1"/>
    <row r="3071" ht="12.75" customHeight="1"/>
    <row r="3072" ht="12.75" customHeight="1"/>
    <row r="3073" ht="12.75" customHeight="1"/>
    <row r="3074" ht="12.75" customHeight="1"/>
    <row r="3075" ht="12.75" customHeight="1"/>
    <row r="3076" ht="12.75" customHeight="1"/>
    <row r="3077" ht="12.75" customHeight="1"/>
    <row r="3078" ht="12.75" customHeight="1"/>
    <row r="3079" ht="12.75" customHeight="1"/>
    <row r="3080" ht="12.75" customHeight="1"/>
    <row r="3081" ht="12.75" customHeight="1"/>
    <row r="3082" ht="12.75" customHeight="1"/>
    <row r="3083" ht="12.75" customHeight="1"/>
    <row r="3084" ht="12.75" customHeight="1"/>
    <row r="3085" ht="12.75" customHeight="1"/>
    <row r="3086" ht="12.75" customHeight="1"/>
    <row r="3087" ht="12.75" customHeight="1"/>
    <row r="3088" ht="12.75" customHeight="1"/>
    <row r="3089" ht="12.75" customHeight="1"/>
    <row r="3090" ht="12.75" customHeight="1"/>
    <row r="3091" ht="12.75" customHeight="1"/>
    <row r="3092" ht="12.75" customHeight="1"/>
    <row r="3093" ht="12.75" customHeight="1"/>
    <row r="3094" ht="12.75" customHeight="1"/>
    <row r="3095" ht="12.75" customHeight="1"/>
    <row r="3096" ht="12.75" customHeight="1"/>
    <row r="3097" ht="12.75" customHeight="1"/>
    <row r="3098" ht="12.75" customHeight="1"/>
    <row r="3099" ht="12.75" customHeight="1"/>
    <row r="3100" ht="12.75" customHeight="1"/>
    <row r="3101" ht="12.75" customHeight="1"/>
    <row r="3102" ht="12.75" customHeight="1"/>
    <row r="3103" ht="12.75" customHeight="1"/>
    <row r="3104" ht="12.75" customHeight="1"/>
    <row r="3105" ht="12.75" customHeight="1"/>
    <row r="3106" ht="12.75" customHeight="1"/>
    <row r="3107" ht="12.75" customHeight="1"/>
    <row r="3108" ht="12.75" customHeight="1"/>
    <row r="3109" ht="12.75" customHeight="1"/>
    <row r="3110" ht="12.75" customHeight="1"/>
    <row r="3111" ht="12.75" customHeight="1"/>
    <row r="3112" ht="12.75" customHeight="1"/>
    <row r="3113" ht="12.75" customHeight="1"/>
    <row r="3114" ht="12.75" customHeight="1"/>
    <row r="3115" ht="12.75" customHeight="1"/>
    <row r="3116" ht="12.75" customHeight="1"/>
    <row r="3117" ht="12.75" customHeight="1"/>
    <row r="3118" ht="12.75" customHeight="1"/>
    <row r="3119" ht="12.75" customHeight="1"/>
    <row r="3120" ht="12.75" customHeight="1"/>
    <row r="3121" ht="12.75" customHeight="1"/>
    <row r="3122" ht="12.75" customHeight="1"/>
    <row r="3123" ht="12.75" customHeight="1"/>
    <row r="3124" ht="12.75" customHeight="1"/>
    <row r="3125" ht="12.75" customHeight="1"/>
    <row r="3126" ht="12.75" customHeight="1"/>
    <row r="3127" ht="12.75" customHeight="1"/>
    <row r="3128" ht="12.75" customHeight="1"/>
    <row r="3129" ht="12.75" customHeight="1"/>
    <row r="3130" ht="12.75" customHeight="1"/>
    <row r="3131" ht="12.75" customHeight="1"/>
    <row r="3132" ht="12.75" customHeight="1"/>
    <row r="3133" ht="12.75" customHeight="1"/>
    <row r="3134" ht="12.75" customHeight="1"/>
    <row r="3135" ht="12.75" customHeight="1"/>
    <row r="3136" ht="12.75" customHeight="1"/>
    <row r="3137" ht="12.75" customHeight="1"/>
    <row r="3138" ht="12.75" customHeight="1"/>
    <row r="3139" ht="12.75" customHeight="1"/>
    <row r="3140" ht="12.75" customHeight="1"/>
    <row r="3141" ht="12.75" customHeight="1"/>
    <row r="3142" ht="12.75" customHeight="1"/>
    <row r="3143" ht="12.75" customHeight="1"/>
    <row r="3144" ht="12.75" customHeight="1"/>
    <row r="3145" ht="12.75" customHeight="1"/>
    <row r="3146" ht="12.75" customHeight="1"/>
    <row r="3147" ht="12.75" customHeight="1"/>
    <row r="3148" ht="12.75" customHeight="1"/>
    <row r="3149" ht="12.75" customHeight="1"/>
    <row r="3150" ht="12.75" customHeight="1"/>
    <row r="3151" ht="12.75" customHeight="1"/>
    <row r="3152" ht="12.75" customHeight="1"/>
    <row r="3153" ht="12.75" customHeight="1"/>
    <row r="3154" ht="12.75" customHeight="1"/>
    <row r="3155" ht="12.75" customHeight="1"/>
    <row r="3156" ht="12.75" customHeight="1"/>
    <row r="3157" ht="12.75" customHeight="1"/>
    <row r="3158" ht="12.75" customHeight="1"/>
    <row r="3159" ht="12.75" customHeight="1"/>
    <row r="3160" ht="12.75" customHeight="1"/>
    <row r="3161" ht="12.75" customHeight="1"/>
    <row r="3162" ht="12.75" customHeight="1"/>
    <row r="3163" ht="12.75" customHeight="1"/>
    <row r="3164" ht="12.75" customHeight="1"/>
    <row r="3165" ht="12.75" customHeight="1"/>
    <row r="3166" ht="12.75" customHeight="1"/>
    <row r="3167" ht="12.75" customHeight="1"/>
    <row r="3168" ht="12.75" customHeight="1"/>
    <row r="3169" ht="12.75" customHeight="1"/>
    <row r="3170" ht="12.75" customHeight="1"/>
    <row r="3171" ht="12.75" customHeight="1"/>
    <row r="3172" ht="12.75" customHeight="1"/>
    <row r="3173" ht="12.75" customHeight="1"/>
    <row r="3174" ht="12.75" customHeight="1"/>
    <row r="3175" ht="12.75" customHeight="1"/>
    <row r="3176" ht="12.75" customHeight="1"/>
    <row r="3177" ht="12.75" customHeight="1"/>
    <row r="3178" ht="12.75" customHeight="1"/>
    <row r="3179" ht="12.75" customHeight="1"/>
    <row r="3180" ht="12.75" customHeight="1"/>
    <row r="3181" ht="12.75" customHeight="1"/>
    <row r="3182" ht="12.75" customHeight="1"/>
    <row r="3183" ht="12.75" customHeight="1"/>
    <row r="3184" ht="12.75" customHeight="1"/>
    <row r="3185" ht="12.75" customHeight="1"/>
    <row r="3186" ht="12.75" customHeight="1"/>
    <row r="3187" ht="12.75" customHeight="1"/>
    <row r="3188" ht="12.75" customHeight="1"/>
    <row r="3189" ht="12.75" customHeight="1"/>
    <row r="3190" ht="12.75" customHeight="1"/>
    <row r="3191" ht="12.75" customHeight="1"/>
    <row r="3192" ht="12.75" customHeight="1"/>
    <row r="3193" ht="12.75" customHeight="1"/>
    <row r="3194" ht="12.75" customHeight="1"/>
    <row r="3195" ht="12.75" customHeight="1"/>
    <row r="3196" ht="12.75" customHeight="1"/>
    <row r="3197" ht="12.75" customHeight="1"/>
    <row r="3198" ht="12.75" customHeight="1"/>
    <row r="3199" ht="12.75" customHeight="1"/>
    <row r="3200" ht="12.75" customHeight="1"/>
    <row r="3201" ht="12.75" customHeight="1"/>
    <row r="3202" ht="12.75" customHeight="1"/>
    <row r="3203" ht="12.75" customHeight="1"/>
    <row r="3204" ht="12.75" customHeight="1"/>
    <row r="3205" ht="12.75" customHeight="1"/>
    <row r="3206" ht="12.75" customHeight="1"/>
    <row r="3207" ht="12.75" customHeight="1"/>
    <row r="3208" ht="12.75" customHeight="1"/>
    <row r="3209" ht="12.75" customHeight="1"/>
    <row r="3210" ht="12.75" customHeight="1"/>
    <row r="3211" ht="12.75" customHeight="1"/>
    <row r="3212" ht="12.75" customHeight="1"/>
    <row r="3213" ht="12.75" customHeight="1"/>
    <row r="3214" ht="12.75" customHeight="1"/>
    <row r="3215" ht="12.75" customHeight="1"/>
    <row r="3216" ht="12.75" customHeight="1"/>
    <row r="3217" ht="12.75" customHeight="1"/>
    <row r="3218" ht="12.75" customHeight="1"/>
    <row r="3219" ht="12.75" customHeight="1"/>
    <row r="3220" ht="12.75" customHeight="1"/>
    <row r="3221" ht="12.75" customHeight="1"/>
    <row r="3222" ht="12.75" customHeight="1"/>
    <row r="3223" ht="12.75" customHeight="1"/>
    <row r="3224" ht="12.75" customHeight="1"/>
    <row r="3225" ht="12.75" customHeight="1"/>
    <row r="3226" ht="12.75" customHeight="1"/>
    <row r="3227" ht="12.75" customHeight="1"/>
    <row r="3228" ht="12.75" customHeight="1"/>
    <row r="3229" ht="12.75" customHeight="1"/>
    <row r="3230" ht="12.75" customHeight="1"/>
    <row r="3231" ht="12.75" customHeight="1"/>
    <row r="3232" ht="12.75" customHeight="1"/>
    <row r="3233" ht="12.75" customHeight="1"/>
    <row r="3234" ht="12.75" customHeight="1"/>
    <row r="3235" ht="12.75" customHeight="1"/>
    <row r="3236" ht="12.75" customHeight="1"/>
    <row r="3237" ht="12.75" customHeight="1"/>
    <row r="3238" ht="12.75" customHeight="1"/>
    <row r="3239" ht="12.75" customHeight="1"/>
    <row r="3240" ht="12.75" customHeight="1"/>
    <row r="3241" ht="12.75" customHeight="1"/>
    <row r="3242" ht="12.75" customHeight="1"/>
    <row r="3243" ht="12.75" customHeight="1"/>
    <row r="3244" ht="12.75" customHeight="1"/>
    <row r="3245" ht="12.75" customHeight="1"/>
    <row r="3246" ht="12.75" customHeight="1"/>
    <row r="3247" ht="12.75" customHeight="1"/>
    <row r="3248" ht="12.75" customHeight="1"/>
    <row r="3249" ht="12.75" customHeight="1"/>
    <row r="3250" ht="12.75" customHeight="1"/>
    <row r="3251" ht="12.75" customHeight="1"/>
    <row r="3252" ht="12.75" customHeight="1"/>
    <row r="3253" ht="12.75" customHeight="1"/>
    <row r="3254" ht="12.75" customHeight="1"/>
    <row r="3255" ht="12.75" customHeight="1"/>
    <row r="3256" ht="12.75" customHeight="1"/>
    <row r="3257" ht="12.75" customHeight="1"/>
    <row r="3258" ht="12.75" customHeight="1"/>
    <row r="3259" ht="12.75" customHeight="1"/>
    <row r="3260" ht="12.75" customHeight="1"/>
    <row r="3261" ht="12.75" customHeight="1"/>
    <row r="3262" ht="12.75" customHeight="1"/>
    <row r="3263" ht="12.75" customHeight="1"/>
    <row r="3264" ht="12.75" customHeight="1"/>
    <row r="3265" ht="12.75" customHeight="1"/>
    <row r="3266" ht="12.75" customHeight="1"/>
    <row r="3267" ht="12.75" customHeight="1"/>
    <row r="3268" ht="12.75" customHeight="1"/>
    <row r="3269" ht="12.75" customHeight="1"/>
    <row r="3270" ht="12.75" customHeight="1"/>
    <row r="3271" ht="12.75" customHeight="1"/>
    <row r="3272" ht="12.75" customHeight="1"/>
    <row r="3273" ht="12.75" customHeight="1"/>
    <row r="3274" ht="12.75" customHeight="1"/>
    <row r="3275" ht="12.75" customHeight="1"/>
    <row r="3276" ht="12.75" customHeight="1"/>
    <row r="3277" ht="12.75" customHeight="1"/>
    <row r="3278" ht="12.75" customHeight="1"/>
    <row r="3279" ht="12.75" customHeight="1"/>
    <row r="3280" ht="12.75" customHeight="1"/>
    <row r="3281" ht="12.75" customHeight="1"/>
    <row r="3282" ht="12.75" customHeight="1"/>
    <row r="3283" ht="12.75" customHeight="1"/>
    <row r="3284" ht="12.75" customHeight="1"/>
    <row r="3285" ht="12.75" customHeight="1"/>
    <row r="3286" ht="12.75" customHeight="1"/>
    <row r="3287" ht="12.75" customHeight="1"/>
    <row r="3288" ht="12.75" customHeight="1"/>
    <row r="3289" ht="12.75" customHeight="1"/>
    <row r="3290" ht="12.75" customHeight="1"/>
    <row r="3291" ht="12.75" customHeight="1"/>
    <row r="3292" ht="12.75" customHeight="1"/>
    <row r="3293" ht="12.75" customHeight="1"/>
    <row r="3294" ht="12.75" customHeight="1"/>
    <row r="3295" ht="12.75" customHeight="1"/>
    <row r="3296" ht="12.75" customHeight="1"/>
    <row r="3297" ht="12.75" customHeight="1"/>
    <row r="3298" ht="12.75" customHeight="1"/>
    <row r="3299" ht="12.75" customHeight="1"/>
    <row r="3300" ht="12.75" customHeight="1"/>
    <row r="3301" ht="12.75" customHeight="1"/>
    <row r="3302" ht="12.75" customHeight="1"/>
    <row r="3303" ht="12.75" customHeight="1"/>
    <row r="3304" ht="12.75" customHeight="1"/>
    <row r="3305" ht="12.75" customHeight="1"/>
    <row r="3306" ht="12.75" customHeight="1"/>
    <row r="3307" ht="12.75" customHeight="1"/>
    <row r="3308" ht="12.75" customHeight="1"/>
    <row r="3309" ht="12.75" customHeight="1"/>
    <row r="3310" ht="12.75" customHeight="1"/>
    <row r="3311" ht="12.75" customHeight="1"/>
    <row r="3312" ht="12.75" customHeight="1"/>
    <row r="3313" ht="12.75" customHeight="1"/>
    <row r="3314" ht="12.75" customHeight="1"/>
    <row r="3315" ht="12.75" customHeight="1"/>
    <row r="3316" ht="12.75" customHeight="1"/>
    <row r="3317" ht="12.75" customHeight="1"/>
    <row r="3318" ht="12.75" customHeight="1"/>
    <row r="3319" ht="12.75" customHeight="1"/>
    <row r="3320" ht="12.75" customHeight="1"/>
    <row r="3321" ht="12.75" customHeight="1"/>
    <row r="3322" ht="12.75" customHeight="1"/>
    <row r="3323" ht="12.75" customHeight="1"/>
    <row r="3324" ht="12.75" customHeight="1"/>
    <row r="3325" ht="12.75" customHeight="1"/>
    <row r="3326" ht="12.75" customHeight="1"/>
    <row r="3327" ht="12.75" customHeight="1"/>
    <row r="3328" ht="12.75" customHeight="1"/>
    <row r="3329" ht="12.75" customHeight="1"/>
    <row r="3330" ht="12.75" customHeight="1"/>
    <row r="3331" ht="12.75" customHeight="1"/>
    <row r="3332" ht="12.75" customHeight="1"/>
    <row r="3333" ht="12.75" customHeight="1"/>
    <row r="3334" ht="12.75" customHeight="1"/>
    <row r="3335" ht="12.75" customHeight="1"/>
    <row r="3336" ht="12.75" customHeight="1"/>
    <row r="3337" ht="12.75" customHeight="1"/>
    <row r="3338" ht="12.75" customHeight="1"/>
    <row r="3339" ht="12.75" customHeight="1"/>
    <row r="3340" ht="12.75" customHeight="1"/>
    <row r="3341" ht="12.75" customHeight="1"/>
    <row r="3342" ht="12.75" customHeight="1"/>
    <row r="3343" ht="12.75" customHeight="1"/>
    <row r="3344" ht="12.75" customHeight="1"/>
    <row r="3345" ht="12.75" customHeight="1"/>
    <row r="3346" ht="12.75" customHeight="1"/>
    <row r="3347" ht="12.75" customHeight="1"/>
    <row r="3348" ht="12.75" customHeight="1"/>
    <row r="3349" ht="12.75" customHeight="1"/>
    <row r="3350" ht="12.75" customHeight="1"/>
    <row r="3351" ht="12.75" customHeight="1"/>
    <row r="3352" ht="12.75" customHeight="1"/>
    <row r="3353" ht="12.75" customHeight="1"/>
    <row r="3354" ht="12.75" customHeight="1"/>
    <row r="3355" ht="12.75" customHeight="1"/>
    <row r="3356" ht="12.75" customHeight="1"/>
    <row r="3357" ht="12.75" customHeight="1"/>
    <row r="3358" ht="12.75" customHeight="1"/>
    <row r="3359" ht="12.75" customHeight="1"/>
    <row r="3360" ht="12.75" customHeight="1"/>
    <row r="3361" ht="12.75" customHeight="1"/>
    <row r="3362" ht="12.75" customHeight="1"/>
    <row r="3363" ht="12.75" customHeight="1"/>
    <row r="3364" ht="12.75" customHeight="1"/>
    <row r="3365" ht="12.75" customHeight="1"/>
    <row r="3366" ht="12.75" customHeight="1"/>
    <row r="3367" ht="12.75" customHeight="1"/>
    <row r="3368" ht="12.75" customHeight="1"/>
    <row r="3369" ht="12.75" customHeight="1"/>
    <row r="3370" ht="12.75" customHeight="1"/>
    <row r="3371" ht="12.75" customHeight="1"/>
    <row r="3372" ht="12.75" customHeight="1"/>
    <row r="3373" ht="12.75" customHeight="1"/>
    <row r="3374" ht="12.75" customHeight="1"/>
    <row r="3375" ht="12.75" customHeight="1"/>
    <row r="3376" ht="12.75" customHeight="1"/>
    <row r="3377" ht="12.75" customHeight="1"/>
    <row r="3378" ht="12.75" customHeight="1"/>
    <row r="3379" ht="12.75" customHeight="1"/>
    <row r="3380" ht="12.75" customHeight="1"/>
    <row r="3381" ht="12.75" customHeight="1"/>
    <row r="3382" ht="12.75" customHeight="1"/>
    <row r="3383" ht="12.75" customHeight="1"/>
    <row r="3384" ht="12.75" customHeight="1"/>
    <row r="3385" ht="12.75" customHeight="1"/>
    <row r="3386" ht="12.75" customHeight="1"/>
    <row r="3387" ht="12.75" customHeight="1"/>
    <row r="3388" ht="12.75" customHeight="1"/>
    <row r="3389" ht="12.75" customHeight="1"/>
    <row r="3390" ht="12.75" customHeight="1"/>
    <row r="3391" ht="12.75" customHeight="1"/>
    <row r="3392" ht="12.75" customHeight="1"/>
    <row r="3393" ht="12.75" customHeight="1"/>
    <row r="3394" ht="12.75" customHeight="1"/>
    <row r="3395" ht="12.75" customHeight="1"/>
    <row r="3396" ht="12.75" customHeight="1"/>
    <row r="3397" ht="12.75" customHeight="1"/>
    <row r="3398" ht="12.75" customHeight="1"/>
    <row r="3399" ht="12.75" customHeight="1"/>
    <row r="3400" ht="12.75" customHeight="1"/>
    <row r="3401" ht="12.75" customHeight="1"/>
    <row r="3402" ht="12.75" customHeight="1"/>
    <row r="3403" ht="12.75" customHeight="1"/>
    <row r="3404" ht="12.75" customHeight="1"/>
    <row r="3405" ht="12.75" customHeight="1"/>
    <row r="3406" ht="12.75" customHeight="1"/>
    <row r="3407" ht="12.75" customHeight="1"/>
    <row r="3408" ht="12.75" customHeight="1"/>
    <row r="3409" ht="12.75" customHeight="1"/>
    <row r="3410" ht="12.75" customHeight="1"/>
    <row r="3411" ht="12.75" customHeight="1"/>
    <row r="3412" ht="12.75" customHeight="1"/>
    <row r="3413" ht="12.75" customHeight="1"/>
    <row r="3414" ht="12.75" customHeight="1"/>
    <row r="3415" ht="12.75" customHeight="1"/>
    <row r="3416" ht="12.75" customHeight="1"/>
    <row r="3417" ht="12.75" customHeight="1"/>
    <row r="3418" ht="12.75" customHeight="1"/>
    <row r="3419" ht="12.75" customHeight="1"/>
    <row r="3420" ht="12.75" customHeight="1"/>
    <row r="3421" ht="12.75" customHeight="1"/>
    <row r="3422" ht="12.75" customHeight="1"/>
    <row r="3423" ht="12.75" customHeight="1"/>
    <row r="3424" ht="12.75" customHeight="1"/>
    <row r="3425" ht="12.75" customHeight="1"/>
    <row r="3426" ht="12.75" customHeight="1"/>
    <row r="3427" ht="12.75" customHeight="1"/>
    <row r="3428" ht="12.75" customHeight="1"/>
    <row r="3429" ht="12.75" customHeight="1"/>
    <row r="3430" ht="12.75" customHeight="1"/>
    <row r="3431" ht="12.75" customHeight="1"/>
    <row r="3432" ht="12.75" customHeight="1"/>
    <row r="3433" ht="12.75" customHeight="1"/>
    <row r="3434" ht="12.75" customHeight="1"/>
    <row r="3435" ht="12.75" customHeight="1"/>
    <row r="3436" ht="12.75" customHeight="1"/>
    <row r="3437" ht="12.75" customHeight="1"/>
    <row r="3438" ht="12.75" customHeight="1"/>
    <row r="3439" ht="12.75" customHeight="1"/>
    <row r="3440" ht="12.75" customHeight="1"/>
    <row r="3441" ht="12.75" customHeight="1"/>
    <row r="3442" ht="12.75" customHeight="1"/>
    <row r="3443" ht="12.75" customHeight="1"/>
    <row r="3444" ht="12.75" customHeight="1"/>
    <row r="3445" ht="12.75" customHeight="1"/>
    <row r="3446" ht="12.75" customHeight="1"/>
    <row r="3447" ht="12.75" customHeight="1"/>
    <row r="3448" ht="12.75" customHeight="1"/>
    <row r="3449" ht="12.75" customHeight="1"/>
    <row r="3450" ht="12.75" customHeight="1"/>
    <row r="3451" ht="12.75" customHeight="1"/>
    <row r="3452" ht="12.75" customHeight="1"/>
    <row r="3453" ht="12.75" customHeight="1"/>
    <row r="3454" ht="12.75" customHeight="1"/>
    <row r="3455" ht="12.75" customHeight="1"/>
    <row r="3456" ht="12.75" customHeight="1"/>
    <row r="3457" ht="12.75" customHeight="1"/>
    <row r="3458" ht="12.75" customHeight="1"/>
    <row r="3459" ht="12.75" customHeight="1"/>
    <row r="3460" ht="12.75" customHeight="1"/>
    <row r="3461" ht="12.75" customHeight="1"/>
    <row r="3462" ht="12.75" customHeight="1"/>
    <row r="3463" ht="12.75" customHeight="1"/>
    <row r="3464" ht="12.75" customHeight="1"/>
    <row r="3465" ht="12.75" customHeight="1"/>
    <row r="3466" ht="12.75" customHeight="1"/>
    <row r="3467" ht="12.75" customHeight="1"/>
    <row r="3468" ht="12.75" customHeight="1"/>
    <row r="3469" ht="12.75" customHeight="1"/>
    <row r="3470" ht="12.75" customHeight="1"/>
    <row r="3471" ht="12.75" customHeight="1"/>
    <row r="3472" ht="12.75" customHeight="1"/>
    <row r="3473" ht="12.75" customHeight="1"/>
    <row r="3474" ht="12.75" customHeight="1"/>
    <row r="3475" ht="12.75" customHeight="1"/>
    <row r="3476" ht="12.75" customHeight="1"/>
    <row r="3477" ht="12.75" customHeight="1"/>
    <row r="3478" ht="12.75" customHeight="1"/>
    <row r="3479" ht="12.75" customHeight="1"/>
    <row r="3480" ht="12.75" customHeight="1"/>
    <row r="3481" ht="12.75" customHeight="1"/>
    <row r="3482" ht="12.75" customHeight="1"/>
    <row r="3483" ht="12.75" customHeight="1"/>
    <row r="3484" ht="12.75" customHeight="1"/>
    <row r="3485" ht="12.75" customHeight="1"/>
    <row r="3486" ht="12.75" customHeight="1"/>
    <row r="3487" ht="12.75" customHeight="1"/>
    <row r="3488" ht="12.75" customHeight="1"/>
    <row r="3489" ht="12.75" customHeight="1"/>
    <row r="3490" ht="12.75" customHeight="1"/>
    <row r="3491" ht="12.75" customHeight="1"/>
    <row r="3492" ht="12.75" customHeight="1"/>
    <row r="3493" ht="12.75" customHeight="1"/>
    <row r="3494" ht="12.75" customHeight="1"/>
    <row r="3495" ht="12.75" customHeight="1"/>
    <row r="3496" ht="12.75" customHeight="1"/>
    <row r="3497" ht="12.75" customHeight="1"/>
    <row r="3498" ht="12.75" customHeight="1"/>
    <row r="3499" ht="12.75" customHeight="1"/>
    <row r="3500" ht="12.75" customHeight="1"/>
    <row r="3501" ht="12.75" customHeight="1"/>
    <row r="3502" ht="12.75" customHeight="1"/>
    <row r="3503" ht="12.75" customHeight="1"/>
    <row r="3504" ht="12.75" customHeight="1"/>
    <row r="3505" ht="12.75" customHeight="1"/>
    <row r="3506" ht="12.75" customHeight="1"/>
    <row r="3507" ht="12.75" customHeight="1"/>
    <row r="3508" ht="12.75" customHeight="1"/>
    <row r="3509" ht="12.75" customHeight="1"/>
    <row r="3510" ht="12.75" customHeight="1"/>
    <row r="3511" ht="12.75" customHeight="1"/>
    <row r="3512" ht="12.75" customHeight="1"/>
    <row r="3513" ht="12.75" customHeight="1"/>
    <row r="3514" ht="12.75" customHeight="1"/>
    <row r="3515" ht="12.75" customHeight="1"/>
    <row r="3516" ht="12.75" customHeight="1"/>
    <row r="3517" ht="12.75" customHeight="1"/>
    <row r="3518" ht="12.75" customHeight="1"/>
    <row r="3519" ht="12.75" customHeight="1"/>
    <row r="3520" ht="12.75" customHeight="1"/>
    <row r="3521" ht="12.75" customHeight="1"/>
    <row r="3522" ht="12.75" customHeight="1"/>
    <row r="3523" ht="12.75" customHeight="1"/>
    <row r="3524" ht="12.75" customHeight="1"/>
    <row r="3525" ht="12.75" customHeight="1"/>
    <row r="3526" ht="12.75" customHeight="1"/>
    <row r="3527" ht="12.75" customHeight="1"/>
    <row r="3528" ht="12.75" customHeight="1"/>
    <row r="3529" ht="12.75" customHeight="1"/>
    <row r="3530" ht="12.75" customHeight="1"/>
    <row r="3531" ht="12.75" customHeight="1"/>
    <row r="3532" ht="12.75" customHeight="1"/>
    <row r="3533" ht="12.75" customHeight="1"/>
    <row r="3534" ht="12.75" customHeight="1"/>
    <row r="3535" ht="12.75" customHeight="1"/>
    <row r="3536" ht="12.75" customHeight="1"/>
    <row r="3537" ht="12.75" customHeight="1"/>
    <row r="3538" ht="12.75" customHeight="1"/>
    <row r="3539" ht="12.75" customHeight="1"/>
    <row r="3540" ht="12.75" customHeight="1"/>
    <row r="3541" ht="12.75" customHeight="1"/>
    <row r="3542" ht="12.75" customHeight="1"/>
    <row r="3543" ht="12.75" customHeight="1"/>
    <row r="3544" ht="12.75" customHeight="1"/>
    <row r="3545" ht="12.75" customHeight="1"/>
    <row r="3546" ht="12.75" customHeight="1"/>
    <row r="3547" ht="12.75" customHeight="1"/>
    <row r="3548" ht="12.75" customHeight="1"/>
    <row r="3549" ht="12.75" customHeight="1"/>
    <row r="3550" ht="12.75" customHeight="1"/>
    <row r="3551" ht="12.75" customHeight="1"/>
    <row r="3552" ht="12.75" customHeight="1"/>
    <row r="3553" ht="12.75" customHeight="1"/>
    <row r="3554" ht="12.75" customHeight="1"/>
    <row r="3555" ht="12.75" customHeight="1"/>
    <row r="3556" ht="12.75" customHeight="1"/>
    <row r="3557" ht="12.75" customHeight="1"/>
    <row r="3558" ht="12.75" customHeight="1"/>
    <row r="3559" ht="12.75" customHeight="1"/>
    <row r="3560" ht="12.75" customHeight="1"/>
    <row r="3561" ht="12.75" customHeight="1"/>
    <row r="3562" ht="12.75" customHeight="1"/>
    <row r="3563" ht="12.75" customHeight="1"/>
    <row r="3564" ht="12.75" customHeight="1"/>
    <row r="3565" ht="12.75" customHeight="1"/>
    <row r="3566" ht="12.75" customHeight="1"/>
    <row r="3567" ht="12.75" customHeight="1"/>
    <row r="3568" ht="12.75" customHeight="1"/>
    <row r="3569" ht="12.75" customHeight="1"/>
    <row r="3570" ht="12.75" customHeight="1"/>
    <row r="3571" ht="12.75" customHeight="1"/>
    <row r="3572" ht="12.75" customHeight="1"/>
    <row r="3573" ht="12.75" customHeight="1"/>
    <row r="3574" ht="12.75" customHeight="1"/>
    <row r="3575" ht="12.75" customHeight="1"/>
    <row r="3576" ht="12.75" customHeight="1"/>
    <row r="3577" ht="12.75" customHeight="1"/>
    <row r="3578" ht="12.75" customHeight="1"/>
    <row r="3579" ht="12.75" customHeight="1"/>
    <row r="3580" ht="12.75" customHeight="1"/>
    <row r="3581" ht="12.75" customHeight="1"/>
    <row r="3582" ht="12.75" customHeight="1"/>
    <row r="3583" ht="12.75" customHeight="1"/>
    <row r="3584" ht="12.75" customHeight="1"/>
    <row r="3585" ht="12.75" customHeight="1"/>
    <row r="3586" ht="12.75" customHeight="1"/>
    <row r="3587" ht="12.75" customHeight="1"/>
    <row r="3588" ht="12.75" customHeight="1"/>
    <row r="3589" ht="12.75" customHeight="1"/>
    <row r="3590" ht="12.75" customHeight="1"/>
    <row r="3591" ht="12.75" customHeight="1"/>
    <row r="3592" ht="12.75" customHeight="1"/>
    <row r="3593" ht="12.75" customHeight="1"/>
    <row r="3594" ht="12.75" customHeight="1"/>
    <row r="3595" ht="12.75" customHeight="1"/>
    <row r="3596" ht="12.75" customHeight="1"/>
    <row r="3597" ht="12.75" customHeight="1"/>
    <row r="3598" ht="12.75" customHeight="1"/>
    <row r="3599" ht="12.75" customHeight="1"/>
    <row r="3600" ht="12.75" customHeight="1"/>
    <row r="3601" ht="12.75" customHeight="1"/>
    <row r="3602" ht="12.75" customHeight="1"/>
    <row r="3603" ht="12.75" customHeight="1"/>
    <row r="3604" ht="12.75" customHeight="1"/>
    <row r="3605" ht="12.75" customHeight="1"/>
    <row r="3606" ht="12.75" customHeight="1"/>
    <row r="3607" ht="12.75" customHeight="1"/>
    <row r="3608" ht="12.75" customHeight="1"/>
    <row r="3609" ht="12.75" customHeight="1"/>
    <row r="3610" ht="12.75" customHeight="1"/>
    <row r="3611" ht="12.75" customHeight="1"/>
    <row r="3612" ht="12.75" customHeight="1"/>
    <row r="3613" ht="12.75" customHeight="1"/>
    <row r="3614" ht="12.75" customHeight="1"/>
    <row r="3615" ht="12.75" customHeight="1"/>
    <row r="3616" ht="12.75" customHeight="1"/>
    <row r="3617" ht="12.75" customHeight="1"/>
    <row r="3618" ht="12.75" customHeight="1"/>
    <row r="3619" ht="12.75" customHeight="1"/>
    <row r="3620" ht="12.75" customHeight="1"/>
    <row r="3621" ht="12.75" customHeight="1"/>
    <row r="3622" ht="12.75" customHeight="1"/>
    <row r="3623" ht="12.75" customHeight="1"/>
    <row r="3624" ht="12.75" customHeight="1"/>
    <row r="3625" ht="12.75" customHeight="1"/>
    <row r="3626" ht="12.75" customHeight="1"/>
    <row r="3627" ht="12.75" customHeight="1"/>
    <row r="3628" ht="12.75" customHeight="1"/>
    <row r="3629" ht="12.75" customHeight="1"/>
    <row r="3630" ht="12.75" customHeight="1"/>
    <row r="3631" ht="12.75" customHeight="1"/>
    <row r="3632" ht="12.75" customHeight="1"/>
    <row r="3633" ht="12.75" customHeight="1"/>
    <row r="3634" ht="12.75" customHeight="1"/>
    <row r="3635" ht="12.75" customHeight="1"/>
    <row r="3636" ht="12.75" customHeight="1"/>
    <row r="3637" ht="12.75" customHeight="1"/>
    <row r="3638" ht="12.75" customHeight="1"/>
    <row r="3639" ht="12.75" customHeight="1"/>
    <row r="3640" ht="12.75" customHeight="1"/>
    <row r="3641" ht="12.75" customHeight="1"/>
    <row r="3642" ht="12.75" customHeight="1"/>
    <row r="3643" ht="12.75" customHeight="1"/>
    <row r="3644" ht="12.75" customHeight="1"/>
    <row r="3645" ht="12.75" customHeight="1"/>
    <row r="3646" ht="12.75" customHeight="1"/>
    <row r="3647" ht="12.75" customHeight="1"/>
    <row r="3648" ht="12.75" customHeight="1"/>
    <row r="3649" ht="12.75" customHeight="1"/>
    <row r="3650" ht="12.75" customHeight="1"/>
    <row r="3651" ht="12.75" customHeight="1"/>
    <row r="3652" ht="12.75" customHeight="1"/>
    <row r="3653" ht="12.75" customHeight="1"/>
    <row r="3654" ht="12.75" customHeight="1"/>
    <row r="3655" ht="12.75" customHeight="1"/>
    <row r="3656" ht="12.75" customHeight="1"/>
    <row r="3657" ht="12.75" customHeight="1"/>
    <row r="3658" ht="12.75" customHeight="1"/>
    <row r="3659" ht="12.75" customHeight="1"/>
    <row r="3660" ht="12.75" customHeight="1"/>
    <row r="3661" ht="12.75" customHeight="1"/>
    <row r="3662" ht="12.75" customHeight="1"/>
    <row r="3663" ht="12.75" customHeight="1"/>
    <row r="3664" ht="12.75" customHeight="1"/>
    <row r="3665" ht="12.75" customHeight="1"/>
    <row r="3666" ht="12.75" customHeight="1"/>
    <row r="3667" ht="12.75" customHeight="1"/>
    <row r="3668" ht="12.75" customHeight="1"/>
    <row r="3669" ht="12.75" customHeight="1"/>
    <row r="3670" ht="12.75" customHeight="1"/>
    <row r="3671" ht="12.75" customHeight="1"/>
    <row r="3672" ht="12.75" customHeight="1"/>
    <row r="3673" ht="12.75" customHeight="1"/>
    <row r="3674" ht="12.75" customHeight="1"/>
    <row r="3675" ht="12.75" customHeight="1"/>
    <row r="3676" ht="12.75" customHeight="1"/>
    <row r="3677" ht="12.75" customHeight="1"/>
    <row r="3678" ht="12.75" customHeight="1"/>
    <row r="3679" ht="12.75" customHeight="1"/>
    <row r="3680" ht="12.75" customHeight="1"/>
    <row r="3681" ht="12.75" customHeight="1"/>
    <row r="3682" ht="12.75" customHeight="1"/>
    <row r="3683" ht="12.75" customHeight="1"/>
    <row r="3684" ht="12.75" customHeight="1"/>
    <row r="3685" ht="12.75" customHeight="1"/>
    <row r="3686" ht="12.75" customHeight="1"/>
    <row r="3687" ht="12.75" customHeight="1"/>
    <row r="3688" ht="12.75" customHeight="1"/>
    <row r="3689" ht="12.75" customHeight="1"/>
    <row r="3690" ht="12.75" customHeight="1"/>
    <row r="3691" ht="12.75" customHeight="1"/>
    <row r="3692" ht="12.75" customHeight="1"/>
    <row r="3693" ht="12.75" customHeight="1"/>
    <row r="3694" ht="12.75" customHeight="1"/>
    <row r="3695" ht="12.75" customHeight="1"/>
    <row r="3696" ht="12.75" customHeight="1"/>
    <row r="3697" ht="12.75" customHeight="1"/>
    <row r="3698" ht="12.75" customHeight="1"/>
    <row r="3699" ht="12.75" customHeight="1"/>
    <row r="3700" ht="12.75" customHeight="1"/>
    <row r="3701" ht="12.75" customHeight="1"/>
    <row r="3702" ht="12.75" customHeight="1"/>
    <row r="3703" ht="12.75" customHeight="1"/>
    <row r="3704" ht="12.75" customHeight="1"/>
    <row r="3705" ht="12.75" customHeight="1"/>
    <row r="3706" ht="12.75" customHeight="1"/>
    <row r="3707" ht="12.75" customHeight="1"/>
    <row r="3708" ht="12.75" customHeight="1"/>
    <row r="3709" ht="12.75" customHeight="1"/>
    <row r="3710" ht="12.75" customHeight="1"/>
    <row r="3711" ht="12.75" customHeight="1"/>
    <row r="3712" ht="12.75" customHeight="1"/>
    <row r="3713" ht="12.75" customHeight="1"/>
    <row r="3714" ht="12.75" customHeight="1"/>
    <row r="3715" ht="12.75" customHeight="1"/>
    <row r="3716" ht="12.75" customHeight="1"/>
    <row r="3717" ht="12.75" customHeight="1"/>
    <row r="3718" ht="12.75" customHeight="1"/>
    <row r="3719" ht="12.75" customHeight="1"/>
    <row r="3720" ht="12.75" customHeight="1"/>
    <row r="3721" ht="12.75" customHeight="1"/>
    <row r="3722" ht="12.75" customHeight="1"/>
    <row r="3723" ht="12.75" customHeight="1"/>
    <row r="3724" ht="12.75" customHeight="1"/>
    <row r="3725" ht="12.75" customHeight="1"/>
    <row r="3726" ht="12.75" customHeight="1"/>
    <row r="3727" ht="12.75" customHeight="1"/>
    <row r="3728" ht="12.75" customHeight="1"/>
    <row r="3729" ht="12.75" customHeight="1"/>
    <row r="3730" ht="12.75" customHeight="1"/>
    <row r="3731" ht="12.75" customHeight="1"/>
    <row r="3732" ht="12.75" customHeight="1"/>
    <row r="3733" ht="12.75" customHeight="1"/>
    <row r="3734" ht="12.75" customHeight="1"/>
    <row r="3735" ht="12.75" customHeight="1"/>
    <row r="3736" ht="12.75" customHeight="1"/>
    <row r="3737" ht="12.75" customHeight="1"/>
    <row r="3738" ht="12.75" customHeight="1"/>
    <row r="3739" ht="12.75" customHeight="1"/>
    <row r="3740" ht="12.75" customHeight="1"/>
    <row r="3741" ht="12.75" customHeight="1"/>
    <row r="3742" ht="12.75" customHeight="1"/>
    <row r="3743" ht="12.75" customHeight="1"/>
    <row r="3744" ht="12.75" customHeight="1"/>
    <row r="3745" ht="12.75" customHeight="1"/>
    <row r="3746" ht="12.75" customHeight="1"/>
    <row r="3747" ht="12.75" customHeight="1"/>
    <row r="3748" ht="12.75" customHeight="1"/>
    <row r="3749" ht="12.75" customHeight="1"/>
    <row r="3750" ht="12.75" customHeight="1"/>
    <row r="3751" ht="12.75" customHeight="1"/>
    <row r="3752" ht="12.75" customHeight="1"/>
    <row r="3753" ht="12.75" customHeight="1"/>
    <row r="3754" ht="12.75" customHeight="1"/>
    <row r="3755" ht="12.75" customHeight="1"/>
    <row r="3756" ht="12.75" customHeight="1"/>
    <row r="3757" ht="12.75" customHeight="1"/>
    <row r="3758" ht="12.75" customHeight="1"/>
    <row r="3759" ht="12.75" customHeight="1"/>
    <row r="3760" ht="12.75" customHeight="1"/>
    <row r="3761" ht="12.75" customHeight="1"/>
    <row r="3762" ht="12.75" customHeight="1"/>
    <row r="3763" ht="12.75" customHeight="1"/>
    <row r="3764" ht="12.75" customHeight="1"/>
    <row r="3765" ht="12.75" customHeight="1"/>
    <row r="3766" ht="12.75" customHeight="1"/>
    <row r="3767" ht="12.75" customHeight="1"/>
    <row r="3768" ht="12.75" customHeight="1"/>
    <row r="3769" ht="12.75" customHeight="1"/>
    <row r="3770" ht="12.75" customHeight="1"/>
    <row r="3771" ht="12.75" customHeight="1"/>
    <row r="3772" ht="12.75" customHeight="1"/>
    <row r="3773" ht="12.75" customHeight="1"/>
    <row r="3774" ht="12.75" customHeight="1"/>
    <row r="3775" ht="12.75" customHeight="1"/>
    <row r="3776" ht="12.75" customHeight="1"/>
    <row r="3777" ht="12.75" customHeight="1"/>
    <row r="3778" ht="12.75" customHeight="1"/>
    <row r="3779" ht="12.75" customHeight="1"/>
    <row r="3780" ht="12.75" customHeight="1"/>
    <row r="3781" ht="12.75" customHeight="1"/>
    <row r="3782" ht="12.75" customHeight="1"/>
    <row r="3783" ht="12.75" customHeight="1"/>
    <row r="3784" ht="12.75" customHeight="1"/>
    <row r="3785" ht="12.75" customHeight="1"/>
    <row r="3786" ht="12.75" customHeight="1"/>
    <row r="3787" ht="12.75" customHeight="1"/>
    <row r="3788" ht="12.75" customHeight="1"/>
    <row r="3789" ht="12.75" customHeight="1"/>
    <row r="3790" ht="12.75" customHeight="1"/>
    <row r="3791" ht="12.75" customHeight="1"/>
    <row r="3792" ht="12.75" customHeight="1"/>
    <row r="3793" ht="12.75" customHeight="1"/>
    <row r="3794" ht="12.75" customHeight="1"/>
    <row r="3795" ht="12.75" customHeight="1"/>
    <row r="3796" ht="12.75" customHeight="1"/>
    <row r="3797" ht="12.75" customHeight="1"/>
    <row r="3798" ht="12.75" customHeight="1"/>
    <row r="3799" ht="12.75" customHeight="1"/>
    <row r="3800" ht="12.75" customHeight="1"/>
    <row r="3801" ht="12.75" customHeight="1"/>
    <row r="3802" ht="12.75" customHeight="1"/>
    <row r="3803" ht="12.75" customHeight="1"/>
    <row r="3804" ht="12.75" customHeight="1"/>
    <row r="3805" ht="12.75" customHeight="1"/>
    <row r="3806" ht="12.75" customHeight="1"/>
    <row r="3807" ht="12.75" customHeight="1"/>
    <row r="3808" ht="12.75" customHeight="1"/>
    <row r="3809" ht="12.75" customHeight="1"/>
    <row r="3810" ht="12.75" customHeight="1"/>
    <row r="3811" ht="12.75" customHeight="1"/>
    <row r="3812" ht="12.75" customHeight="1"/>
    <row r="3813" ht="12.75" customHeight="1"/>
    <row r="3814" ht="12.75" customHeight="1"/>
    <row r="3815" ht="12.75" customHeight="1"/>
    <row r="3816" ht="12.75" customHeight="1"/>
    <row r="3817" ht="12.75" customHeight="1"/>
    <row r="3818" ht="12.75" customHeight="1"/>
    <row r="3819" ht="12.75" customHeight="1"/>
    <row r="3820" ht="12.75" customHeight="1"/>
    <row r="3821" ht="12.75" customHeight="1"/>
    <row r="3822" ht="12.75" customHeight="1"/>
    <row r="3823" ht="12.75" customHeight="1"/>
    <row r="3824" ht="12.75" customHeight="1"/>
    <row r="3825" ht="12.75" customHeight="1"/>
    <row r="3826" ht="12.75" customHeight="1"/>
    <row r="3827" ht="12.75" customHeight="1"/>
    <row r="3828" ht="12.75" customHeight="1"/>
    <row r="3829" ht="12.75" customHeight="1"/>
    <row r="3830" ht="12.75" customHeight="1"/>
    <row r="3831" ht="12.75" customHeight="1"/>
    <row r="3832" ht="12.75" customHeight="1"/>
    <row r="3833" ht="12.75" customHeight="1"/>
    <row r="3834" ht="12.75" customHeight="1"/>
    <row r="3835" ht="12.75" customHeight="1"/>
    <row r="3836" ht="12.75" customHeight="1"/>
    <row r="3837" ht="12.75" customHeight="1"/>
    <row r="3838" ht="12.75" customHeight="1"/>
    <row r="3839" ht="12.75" customHeight="1"/>
    <row r="3840" ht="12.75" customHeight="1"/>
    <row r="3841" ht="12.75" customHeight="1"/>
    <row r="3842" ht="12.75" customHeight="1"/>
    <row r="3843" ht="12.75" customHeight="1"/>
    <row r="3844" ht="12.75" customHeight="1"/>
    <row r="3845" ht="12.75" customHeight="1"/>
    <row r="3846" ht="12.75" customHeight="1"/>
    <row r="3847" ht="12.75" customHeight="1"/>
    <row r="3848" ht="12.75" customHeight="1"/>
    <row r="3849" ht="12.75" customHeight="1"/>
    <row r="3850" ht="12.75" customHeight="1"/>
    <row r="3851" ht="12.75" customHeight="1"/>
    <row r="3852" ht="12.75" customHeight="1"/>
    <row r="3853" ht="12.75" customHeight="1"/>
    <row r="3854" ht="12.75" customHeight="1"/>
    <row r="3855" ht="12.75" customHeight="1"/>
    <row r="3856" ht="12.75" customHeight="1"/>
    <row r="3857" ht="12.75" customHeight="1"/>
    <row r="3858" ht="12.75" customHeight="1"/>
    <row r="3859" ht="12.75" customHeight="1"/>
    <row r="3860" ht="12.75" customHeight="1"/>
    <row r="3861" ht="12.75" customHeight="1"/>
    <row r="3862" ht="12.75" customHeight="1"/>
    <row r="3863" ht="12.75" customHeight="1"/>
    <row r="3864" ht="12.75" customHeight="1"/>
    <row r="3865" ht="12.75" customHeight="1"/>
    <row r="3866" ht="12.75" customHeight="1"/>
    <row r="3867" ht="12.75" customHeight="1"/>
    <row r="3868" ht="12.75" customHeight="1"/>
    <row r="3869" ht="12.75" customHeight="1"/>
    <row r="3870" ht="12.75" customHeight="1"/>
    <row r="3871" ht="12.75" customHeight="1"/>
    <row r="3872" ht="12.75" customHeight="1"/>
    <row r="3873" ht="12.75" customHeight="1"/>
    <row r="3874" ht="12.75" customHeight="1"/>
    <row r="3875" ht="12.75" customHeight="1"/>
    <row r="3876" ht="12.75" customHeight="1"/>
    <row r="3877" ht="12.75" customHeight="1"/>
    <row r="3878" ht="12.75" customHeight="1"/>
    <row r="3879" ht="12.75" customHeight="1"/>
    <row r="3880" ht="12.75" customHeight="1"/>
    <row r="3881" ht="12.75" customHeight="1"/>
    <row r="3882" ht="12.75" customHeight="1"/>
    <row r="3883" ht="12.75" customHeight="1"/>
    <row r="3884" ht="12.75" customHeight="1"/>
    <row r="3885" ht="12.75" customHeight="1"/>
    <row r="3886" ht="12.75" customHeight="1"/>
    <row r="3887" ht="12.75" customHeight="1"/>
    <row r="3888" ht="12.75" customHeight="1"/>
    <row r="3889" ht="12.75" customHeight="1"/>
    <row r="3890" ht="12.75" customHeight="1"/>
    <row r="3891" ht="12.75" customHeight="1"/>
    <row r="3892" ht="12.75" customHeight="1"/>
    <row r="3893" ht="12.75" customHeight="1"/>
    <row r="3894" ht="12.75" customHeight="1"/>
    <row r="3895" ht="12.75" customHeight="1"/>
    <row r="3896" ht="12.75" customHeight="1"/>
    <row r="3897" ht="12.75" customHeight="1"/>
    <row r="3898" ht="12.75" customHeight="1"/>
    <row r="3899" ht="12.75" customHeight="1"/>
    <row r="3900" ht="12.75" customHeight="1"/>
    <row r="3901" ht="12.75" customHeight="1"/>
    <row r="3902" ht="12.75" customHeight="1"/>
    <row r="3903" ht="12.75" customHeight="1"/>
    <row r="3904" ht="12.75" customHeight="1"/>
    <row r="3905" ht="12.75" customHeight="1"/>
    <row r="3906" ht="12.75" customHeight="1"/>
    <row r="3907" ht="12.75" customHeight="1"/>
    <row r="3908" ht="12.75" customHeight="1"/>
    <row r="3909" ht="12.75" customHeight="1"/>
    <row r="3910" ht="12.75" customHeight="1"/>
    <row r="3911" ht="12.75" customHeight="1"/>
    <row r="3912" ht="12.75" customHeight="1"/>
    <row r="3913" ht="12.75" customHeight="1"/>
    <row r="3914" ht="12.75" customHeight="1"/>
    <row r="3915" ht="12.75" customHeight="1"/>
    <row r="3916" ht="12.75" customHeight="1"/>
    <row r="3917" ht="12.75" customHeight="1"/>
    <row r="3918" ht="12.75" customHeight="1"/>
    <row r="3919" ht="12.75" customHeight="1"/>
    <row r="3920" ht="12.75" customHeight="1"/>
    <row r="3921" ht="12.75" customHeight="1"/>
    <row r="3922" ht="12.75" customHeight="1"/>
    <row r="3923" ht="12.75" customHeight="1"/>
    <row r="3924" ht="12.75" customHeight="1"/>
    <row r="3925" ht="12.75" customHeight="1"/>
    <row r="3926" ht="12.75" customHeight="1"/>
    <row r="3927" ht="12.75" customHeight="1"/>
    <row r="3928" ht="12.75" customHeight="1"/>
    <row r="3929" ht="12.75" customHeight="1"/>
    <row r="3930" ht="12.75" customHeight="1"/>
    <row r="3931" ht="12.75" customHeight="1"/>
    <row r="3932" ht="12.75" customHeight="1"/>
    <row r="3933" ht="12.75" customHeight="1"/>
    <row r="3934" ht="12.75" customHeight="1"/>
    <row r="3935" ht="12.75" customHeight="1"/>
    <row r="3936" ht="12.75" customHeight="1"/>
    <row r="3937" ht="12.75" customHeight="1"/>
    <row r="3938" ht="12.75" customHeight="1"/>
    <row r="3939" ht="12.75" customHeight="1"/>
    <row r="3940" ht="12.75" customHeight="1"/>
    <row r="3941" ht="12.75" customHeight="1"/>
    <row r="3942" ht="12.75" customHeight="1"/>
    <row r="3943" ht="12.75" customHeight="1"/>
  </sheetData>
  <pageMargins left="0.39370100000000002" right="0.39370100000000002" top="0.39370100000000002" bottom="0.39370100000000002" header="0.5" footer="0.5"/>
  <pageSetup orientation="portrait" r:id="rId1"/>
  <headerFooter alignWithMargins="0"/>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CV115"/>
  <sheetViews>
    <sheetView zoomScale="85" zoomScaleNormal="85" workbookViewId="0">
      <pane xSplit="4" ySplit="5" topLeftCell="X6" activePane="bottomRight" state="frozen"/>
      <selection activeCell="D7" sqref="D7"/>
      <selection pane="topRight" activeCell="D7" sqref="D7"/>
      <selection pane="bottomLeft" activeCell="D7" sqref="D7"/>
      <selection pane="bottomRight" activeCell="X6" sqref="X6"/>
    </sheetView>
  </sheetViews>
  <sheetFormatPr defaultRowHeight="12.75" outlineLevelCol="1"/>
  <cols>
    <col min="1" max="2" width="2.7109375" customWidth="1"/>
    <col min="3" max="3" width="41.42578125" customWidth="1"/>
    <col min="4" max="4" width="4.28515625" customWidth="1"/>
    <col min="5" max="8" width="9" hidden="1" customWidth="1" outlineLevel="1"/>
    <col min="9" max="9" width="9" hidden="1" customWidth="1" outlineLevel="1" collapsed="1"/>
    <col min="10" max="13" width="9" hidden="1" customWidth="1" outlineLevel="1"/>
    <col min="14" max="14" width="9" hidden="1" customWidth="1" outlineLevel="1" collapsed="1"/>
    <col min="15" max="18" width="9" hidden="1" customWidth="1" outlineLevel="1"/>
    <col min="19" max="19" width="9" hidden="1" customWidth="1" outlineLevel="1" collapsed="1"/>
    <col min="20" max="23" width="9" hidden="1" customWidth="1" outlineLevel="1"/>
    <col min="24" max="24" width="9" customWidth="1" collapsed="1"/>
    <col min="25" max="28" width="9" hidden="1" customWidth="1" outlineLevel="1"/>
    <col min="29" max="29" width="9" customWidth="1" collapsed="1"/>
    <col min="30" max="33" width="9" hidden="1" customWidth="1" outlineLevel="1"/>
    <col min="34" max="34" width="9" customWidth="1" collapsed="1"/>
    <col min="35" max="38" width="9" hidden="1" customWidth="1" outlineLevel="1"/>
    <col min="39" max="39" width="9" customWidth="1" collapsed="1"/>
    <col min="40" max="43" width="9" hidden="1" customWidth="1" outlineLevel="1"/>
    <col min="44" max="44" width="9" customWidth="1" collapsed="1"/>
    <col min="45" max="48" width="9" hidden="1" customWidth="1" outlineLevel="1"/>
    <col min="49" max="49" width="9" customWidth="1" collapsed="1"/>
    <col min="50" max="53" width="9" hidden="1" customWidth="1" outlineLevel="1"/>
    <col min="54" max="54" width="9" customWidth="1" collapsed="1"/>
    <col min="55" max="58" width="9" hidden="1" customWidth="1" outlineLevel="1"/>
    <col min="59" max="59" width="9" customWidth="1" collapsed="1"/>
    <col min="60" max="63" width="9" hidden="1" customWidth="1" outlineLevel="1"/>
    <col min="64" max="64" width="9" customWidth="1" collapsed="1"/>
    <col min="65" max="68" width="9" hidden="1" customWidth="1" outlineLevel="1"/>
    <col min="69" max="69" width="9" customWidth="1" collapsed="1"/>
    <col min="70" max="70" width="9" customWidth="1"/>
    <col min="92" max="92" width="9" customWidth="1"/>
    <col min="110" max="111" width="11.28515625" bestFit="1" customWidth="1"/>
    <col min="112" max="112" width="10.28515625" bestFit="1" customWidth="1"/>
  </cols>
  <sheetData>
    <row r="1" spans="1:100" ht="15" customHeight="1">
      <c r="A1" s="32"/>
      <c r="B1" s="32"/>
      <c r="C1" s="32"/>
      <c r="D1" s="33"/>
      <c r="E1" s="34"/>
      <c r="F1" s="34"/>
      <c r="G1" s="34"/>
      <c r="H1" s="34"/>
      <c r="I1" s="34"/>
      <c r="J1" s="34"/>
      <c r="K1" s="34"/>
      <c r="L1" s="34"/>
      <c r="M1" s="34"/>
      <c r="N1" s="644"/>
      <c r="O1" s="644"/>
      <c r="P1" s="644"/>
      <c r="Q1" s="644"/>
      <c r="R1" s="644"/>
      <c r="S1" s="644"/>
      <c r="T1" s="644"/>
      <c r="U1" s="644"/>
      <c r="V1" s="644"/>
      <c r="W1" s="644"/>
      <c r="X1" s="644"/>
      <c r="Y1" s="644"/>
      <c r="Z1" s="644"/>
      <c r="AA1" s="644"/>
      <c r="AB1" s="644"/>
      <c r="AC1" s="644"/>
      <c r="AD1" s="644"/>
      <c r="AE1" s="644"/>
      <c r="AF1" s="644"/>
      <c r="AG1" s="644"/>
      <c r="AH1" s="644"/>
      <c r="AI1" s="644"/>
      <c r="AJ1" s="644"/>
      <c r="AK1" s="644"/>
      <c r="AL1" s="644"/>
      <c r="AM1" s="644"/>
      <c r="AN1" s="644"/>
      <c r="AO1" s="644"/>
      <c r="AP1" s="644"/>
      <c r="AQ1" s="644"/>
      <c r="AR1" s="644"/>
      <c r="AS1" s="644"/>
      <c r="AT1" s="644"/>
      <c r="AU1" s="644"/>
      <c r="AV1" s="644"/>
      <c r="AW1" s="644"/>
      <c r="AX1" s="644"/>
      <c r="AY1" s="644"/>
      <c r="AZ1" s="644"/>
      <c r="BA1" s="644"/>
      <c r="BB1" s="644"/>
      <c r="BC1" s="644"/>
      <c r="BD1" s="644"/>
      <c r="BE1" s="644"/>
      <c r="BF1" s="644"/>
      <c r="BG1" s="644"/>
      <c r="BH1" s="644"/>
      <c r="BI1" s="644"/>
      <c r="BJ1" s="644"/>
      <c r="BK1" s="644"/>
      <c r="BL1" s="644"/>
      <c r="BM1" s="644"/>
      <c r="BN1" s="644"/>
      <c r="BO1" s="644"/>
      <c r="BP1" s="644"/>
      <c r="BQ1" s="644"/>
      <c r="BR1" s="121"/>
      <c r="BS1" s="121"/>
      <c r="BT1" s="121"/>
      <c r="BU1" s="121"/>
      <c r="BV1" s="121"/>
      <c r="BW1" s="121"/>
      <c r="BX1" s="121"/>
      <c r="BY1" s="121"/>
      <c r="BZ1" s="121"/>
      <c r="CA1" s="121"/>
      <c r="CB1" s="121"/>
      <c r="CC1" s="121"/>
      <c r="CD1" s="121"/>
      <c r="CE1" s="121"/>
      <c r="CF1" s="121"/>
      <c r="CG1" s="121"/>
      <c r="CH1" s="121"/>
      <c r="CI1" s="121"/>
      <c r="CJ1" s="121"/>
      <c r="CK1" s="121"/>
      <c r="CL1" s="121"/>
      <c r="CM1" s="121"/>
      <c r="CN1" s="121"/>
      <c r="CO1" s="121"/>
      <c r="CP1" s="121"/>
      <c r="CQ1" s="121"/>
      <c r="CR1" s="121"/>
      <c r="CS1" s="121"/>
      <c r="CT1" s="121"/>
      <c r="CU1" s="121"/>
      <c r="CV1" s="121"/>
    </row>
    <row r="2" spans="1:100" ht="15" customHeight="1">
      <c r="A2" s="32"/>
      <c r="B2" s="32" t="str">
        <f>Cover!$B$2</f>
        <v>American Electric Power Company</v>
      </c>
      <c r="C2" s="32"/>
      <c r="D2" s="33"/>
      <c r="E2" s="34"/>
      <c r="F2" s="34"/>
      <c r="G2" s="34"/>
      <c r="H2" s="34"/>
      <c r="I2" s="34"/>
      <c r="J2" s="34"/>
      <c r="K2" s="34"/>
      <c r="L2" s="34"/>
      <c r="M2" s="34"/>
      <c r="N2" s="34"/>
      <c r="O2" s="34"/>
      <c r="P2" s="34"/>
      <c r="Q2" s="34"/>
      <c r="R2" s="34"/>
      <c r="S2" s="34"/>
      <c r="T2" s="34"/>
      <c r="U2" s="34"/>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c r="AW2" s="34"/>
      <c r="AX2" s="34"/>
      <c r="AY2" s="34"/>
      <c r="AZ2" s="34"/>
      <c r="BA2" s="34"/>
      <c r="BB2" s="34"/>
      <c r="BC2" s="34"/>
      <c r="BD2" s="34"/>
      <c r="BE2" s="34"/>
      <c r="BF2" s="34"/>
      <c r="BG2" s="34"/>
      <c r="BH2" s="34"/>
      <c r="BI2" s="34"/>
      <c r="BJ2" s="34"/>
      <c r="BK2" s="34"/>
      <c r="BL2" s="34"/>
      <c r="BM2" s="34"/>
      <c r="BN2" s="34"/>
      <c r="BO2" s="34"/>
      <c r="BP2" s="34"/>
      <c r="BQ2" s="34"/>
      <c r="BR2" s="121"/>
      <c r="BS2" s="121"/>
      <c r="BT2" s="121"/>
      <c r="BU2" s="121"/>
      <c r="BV2" s="121"/>
      <c r="BW2" s="121"/>
      <c r="BX2" s="121"/>
      <c r="BY2" s="121"/>
      <c r="BZ2" s="121"/>
      <c r="CA2" s="121"/>
      <c r="CB2" s="121"/>
      <c r="CC2" s="121"/>
      <c r="CD2" s="121"/>
      <c r="CE2" s="121"/>
      <c r="CF2" s="121"/>
      <c r="CG2" s="121"/>
      <c r="CH2" s="121"/>
      <c r="CI2" s="121"/>
      <c r="CJ2" s="121"/>
      <c r="CK2" s="121"/>
      <c r="CL2" s="121"/>
      <c r="CM2" s="121"/>
      <c r="CN2" s="121"/>
      <c r="CO2" s="121"/>
      <c r="CP2" s="121"/>
      <c r="CQ2" s="121"/>
      <c r="CR2" s="121"/>
      <c r="CS2" s="121"/>
      <c r="CT2" s="121"/>
      <c r="CU2" s="121"/>
      <c r="CV2" s="121"/>
    </row>
    <row r="3" spans="1:100" ht="15" customHeight="1">
      <c r="A3" s="35"/>
      <c r="B3" s="1504" t="s">
        <v>1111</v>
      </c>
      <c r="C3" s="36"/>
      <c r="D3" s="3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c r="AW3" s="34"/>
      <c r="AX3" s="34"/>
      <c r="AY3" s="34"/>
      <c r="AZ3" s="34"/>
      <c r="BA3" s="34"/>
      <c r="BB3" s="34"/>
      <c r="BC3" s="34"/>
      <c r="BD3" s="34"/>
      <c r="BE3" s="34"/>
      <c r="BF3" s="34"/>
      <c r="BG3" s="34"/>
      <c r="BH3" s="34"/>
      <c r="BI3" s="34"/>
      <c r="BJ3" s="34"/>
      <c r="BK3" s="34"/>
      <c r="BL3" s="34"/>
      <c r="BM3" s="34"/>
      <c r="BN3" s="34"/>
      <c r="BO3" s="34"/>
      <c r="BP3" s="34"/>
      <c r="BQ3" s="34"/>
      <c r="BR3" s="121"/>
      <c r="BS3" s="121"/>
      <c r="BT3" s="121"/>
      <c r="BU3" s="121"/>
      <c r="BV3" s="121"/>
      <c r="BW3" s="121"/>
      <c r="BX3" s="121"/>
      <c r="BY3" s="121"/>
      <c r="BZ3" s="121"/>
      <c r="CA3" s="121"/>
      <c r="CB3" s="121"/>
      <c r="CC3" s="121"/>
      <c r="CD3" s="121"/>
      <c r="CE3" s="121"/>
      <c r="CF3" s="121"/>
      <c r="CG3" s="121"/>
      <c r="CH3" s="121"/>
      <c r="CI3" s="121"/>
      <c r="CJ3" s="121"/>
      <c r="CK3" s="121"/>
      <c r="CL3" s="121"/>
      <c r="CM3" s="121"/>
      <c r="CN3" s="121"/>
      <c r="CO3" s="121"/>
      <c r="CP3" s="121"/>
      <c r="CQ3" s="121"/>
      <c r="CR3" s="121"/>
      <c r="CS3" s="121"/>
      <c r="CT3" s="121"/>
      <c r="CU3" s="121"/>
      <c r="CV3" s="121"/>
    </row>
    <row r="4" spans="1:100">
      <c r="A4" s="38"/>
      <c r="B4" s="39" t="s">
        <v>828</v>
      </c>
      <c r="C4" s="39"/>
      <c r="D4" s="280"/>
      <c r="E4" s="41"/>
      <c r="F4" s="41"/>
      <c r="G4" s="41"/>
      <c r="H4" s="41"/>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c r="BA4" s="41"/>
      <c r="BB4" s="41"/>
      <c r="BC4" s="41"/>
      <c r="BD4" s="41"/>
      <c r="BE4" s="41"/>
      <c r="BF4" s="41"/>
      <c r="BG4" s="41"/>
      <c r="BH4" s="41"/>
      <c r="BI4" s="41"/>
      <c r="BJ4" s="41"/>
      <c r="BK4" s="41"/>
      <c r="BL4" s="41"/>
      <c r="BM4" s="41"/>
      <c r="BN4" s="41"/>
      <c r="BO4" s="41"/>
      <c r="BP4" s="41"/>
      <c r="BQ4" s="41"/>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c r="CV4" s="122"/>
    </row>
    <row r="5" spans="1:100">
      <c r="B5" s="281" t="s">
        <v>859</v>
      </c>
      <c r="C5" s="281"/>
      <c r="D5" s="282"/>
      <c r="E5" s="131" t="s">
        <v>937</v>
      </c>
      <c r="F5" s="132" t="s">
        <v>938</v>
      </c>
      <c r="G5" s="132" t="s">
        <v>939</v>
      </c>
      <c r="H5" s="133" t="s">
        <v>940</v>
      </c>
      <c r="I5" s="283">
        <v>2009</v>
      </c>
      <c r="J5" s="131" t="s">
        <v>941</v>
      </c>
      <c r="K5" s="132" t="s">
        <v>942</v>
      </c>
      <c r="L5" s="132" t="s">
        <v>943</v>
      </c>
      <c r="M5" s="133" t="s">
        <v>944</v>
      </c>
      <c r="N5" s="283" t="s">
        <v>829</v>
      </c>
      <c r="O5" s="131" t="s">
        <v>945</v>
      </c>
      <c r="P5" s="132" t="s">
        <v>946</v>
      </c>
      <c r="Q5" s="132" t="s">
        <v>353</v>
      </c>
      <c r="R5" s="133" t="s">
        <v>76</v>
      </c>
      <c r="S5" s="283">
        <v>2011</v>
      </c>
      <c r="T5" s="131" t="s">
        <v>91</v>
      </c>
      <c r="U5" s="132" t="s">
        <v>92</v>
      </c>
      <c r="V5" s="132" t="s">
        <v>790</v>
      </c>
      <c r="W5" s="133" t="s">
        <v>644</v>
      </c>
      <c r="X5" s="284" t="s">
        <v>645</v>
      </c>
      <c r="Y5" s="131" t="s">
        <v>646</v>
      </c>
      <c r="Z5" s="132" t="s">
        <v>619</v>
      </c>
      <c r="AA5" s="132" t="s">
        <v>620</v>
      </c>
      <c r="AB5" s="133" t="s">
        <v>246</v>
      </c>
      <c r="AC5" s="284" t="s">
        <v>247</v>
      </c>
      <c r="AD5" s="131" t="s">
        <v>274</v>
      </c>
      <c r="AE5" s="132" t="s">
        <v>275</v>
      </c>
      <c r="AF5" s="132" t="s">
        <v>276</v>
      </c>
      <c r="AG5" s="133" t="s">
        <v>1060</v>
      </c>
      <c r="AH5" s="284" t="s">
        <v>1061</v>
      </c>
      <c r="AI5" s="131" t="s">
        <v>1062</v>
      </c>
      <c r="AJ5" s="132" t="s">
        <v>1063</v>
      </c>
      <c r="AK5" s="132" t="s">
        <v>1122</v>
      </c>
      <c r="AL5" s="133" t="s">
        <v>1123</v>
      </c>
      <c r="AM5" s="284" t="s">
        <v>1124</v>
      </c>
      <c r="AN5" s="131" t="s">
        <v>1131</v>
      </c>
      <c r="AO5" s="132" t="s">
        <v>1137</v>
      </c>
      <c r="AP5" s="132" t="s">
        <v>1274</v>
      </c>
      <c r="AQ5" s="133" t="s">
        <v>1291</v>
      </c>
      <c r="AR5" s="284" t="s">
        <v>1292</v>
      </c>
      <c r="AS5" s="131" t="s">
        <v>1320</v>
      </c>
      <c r="AT5" s="132" t="s">
        <v>1324</v>
      </c>
      <c r="AU5" s="132" t="s">
        <v>1330</v>
      </c>
      <c r="AV5" s="133" t="s">
        <v>1354</v>
      </c>
      <c r="AW5" s="284" t="s">
        <v>1353</v>
      </c>
      <c r="AX5" s="131" t="s">
        <v>69</v>
      </c>
      <c r="AY5" s="132" t="s">
        <v>70</v>
      </c>
      <c r="AZ5" s="132" t="s">
        <v>71</v>
      </c>
      <c r="BA5" s="133" t="s">
        <v>72</v>
      </c>
      <c r="BB5" s="284" t="s">
        <v>73</v>
      </c>
      <c r="BC5" s="126" t="s">
        <v>1067</v>
      </c>
      <c r="BD5" s="127" t="s">
        <v>1068</v>
      </c>
      <c r="BE5" s="127" t="s">
        <v>1069</v>
      </c>
      <c r="BF5" s="128" t="s">
        <v>1070</v>
      </c>
      <c r="BG5" s="130" t="s">
        <v>1065</v>
      </c>
      <c r="BH5" s="126" t="s">
        <v>1071</v>
      </c>
      <c r="BI5" s="127" t="s">
        <v>1072</v>
      </c>
      <c r="BJ5" s="127" t="s">
        <v>1073</v>
      </c>
      <c r="BK5" s="128" t="s">
        <v>1074</v>
      </c>
      <c r="BL5" s="130" t="s">
        <v>1066</v>
      </c>
      <c r="BM5" s="126" t="s">
        <v>1278</v>
      </c>
      <c r="BN5" s="127" t="s">
        <v>1279</v>
      </c>
      <c r="BO5" s="127" t="s">
        <v>1280</v>
      </c>
      <c r="BP5" s="128" t="s">
        <v>1281</v>
      </c>
      <c r="BQ5" s="130" t="s">
        <v>1282</v>
      </c>
      <c r="BR5" s="285"/>
      <c r="BS5" s="285"/>
      <c r="BT5" s="285"/>
      <c r="BU5" s="285"/>
      <c r="BV5" s="285"/>
      <c r="BW5" s="285"/>
      <c r="BX5" s="285"/>
      <c r="BY5" s="285"/>
      <c r="BZ5" s="285"/>
      <c r="CA5" s="285"/>
      <c r="CB5" s="285"/>
      <c r="CC5" s="285"/>
      <c r="CD5" s="285"/>
      <c r="CE5" s="285"/>
      <c r="CF5" s="285"/>
      <c r="CG5" s="285"/>
      <c r="CH5" s="285"/>
      <c r="CI5" s="285"/>
      <c r="CJ5" s="285"/>
      <c r="CK5" s="285"/>
      <c r="CL5" s="285"/>
      <c r="CM5" s="285"/>
      <c r="CN5" s="285"/>
      <c r="CO5" s="285"/>
      <c r="CP5" s="285"/>
      <c r="CQ5" s="285"/>
      <c r="CR5" s="285"/>
      <c r="CS5" s="285"/>
      <c r="CT5" s="285"/>
      <c r="CU5" s="285"/>
      <c r="CV5" s="285"/>
    </row>
    <row r="6" spans="1:100">
      <c r="A6" s="541"/>
      <c r="B6" s="541"/>
      <c r="C6" s="541"/>
      <c r="D6" s="541"/>
      <c r="E6" s="578"/>
      <c r="F6" s="579"/>
      <c r="G6" s="579"/>
      <c r="H6" s="580"/>
      <c r="I6" s="568"/>
      <c r="J6" s="578"/>
      <c r="K6" s="579"/>
      <c r="L6" s="579"/>
      <c r="M6" s="580"/>
      <c r="N6" s="496"/>
      <c r="O6" s="578"/>
      <c r="P6" s="579"/>
      <c r="Q6" s="579"/>
      <c r="R6" s="580"/>
      <c r="S6" s="496"/>
      <c r="T6" s="578"/>
      <c r="U6" s="579"/>
      <c r="V6" s="579"/>
      <c r="W6" s="580"/>
      <c r="X6" s="496"/>
      <c r="Y6" s="578"/>
      <c r="Z6" s="579"/>
      <c r="AA6" s="579"/>
      <c r="AB6" s="580"/>
      <c r="AC6" s="496"/>
      <c r="AD6" s="578"/>
      <c r="AE6" s="579"/>
      <c r="AF6" s="579"/>
      <c r="AG6" s="580"/>
      <c r="AH6" s="496"/>
      <c r="AI6" s="578"/>
      <c r="AJ6" s="579"/>
      <c r="AK6" s="579"/>
      <c r="AL6" s="580"/>
      <c r="AM6" s="496"/>
      <c r="AN6" s="578"/>
      <c r="AO6" s="579"/>
      <c r="AP6" s="579"/>
      <c r="AQ6" s="580"/>
      <c r="AR6" s="496"/>
      <c r="AS6" s="578"/>
      <c r="AT6" s="579"/>
      <c r="AU6" s="579"/>
      <c r="AV6" s="580"/>
      <c r="AW6" s="496"/>
      <c r="AX6" s="578"/>
      <c r="AY6" s="579"/>
      <c r="AZ6" s="579"/>
      <c r="BA6" s="580"/>
      <c r="BB6" s="496"/>
      <c r="BC6" s="578"/>
      <c r="BD6" s="579"/>
      <c r="BE6" s="579"/>
      <c r="BF6" s="580"/>
      <c r="BG6" s="496"/>
      <c r="BH6" s="578"/>
      <c r="BI6" s="579"/>
      <c r="BJ6" s="579"/>
      <c r="BK6" s="580"/>
      <c r="BL6" s="496"/>
      <c r="BM6" s="578"/>
      <c r="BN6" s="579"/>
      <c r="BO6" s="579"/>
      <c r="BP6" s="580"/>
      <c r="BQ6" s="496"/>
      <c r="BR6" s="600"/>
      <c r="BS6" s="600"/>
      <c r="BT6" s="600"/>
      <c r="BU6" s="600"/>
      <c r="BV6" s="600"/>
      <c r="BW6" s="600"/>
      <c r="BX6" s="600"/>
      <c r="BY6" s="600"/>
      <c r="BZ6" s="600"/>
      <c r="CA6" s="600"/>
      <c r="CB6" s="600"/>
      <c r="CC6" s="600"/>
      <c r="CD6" s="600"/>
      <c r="CE6" s="600"/>
      <c r="CF6" s="600"/>
      <c r="CG6" s="600"/>
      <c r="CH6" s="600"/>
      <c r="CI6" s="600"/>
      <c r="CJ6" s="600"/>
      <c r="CK6" s="600"/>
      <c r="CL6" s="600"/>
      <c r="CM6" s="600"/>
      <c r="CN6" s="600"/>
      <c r="CO6" s="600"/>
      <c r="CP6" s="600"/>
      <c r="CQ6" s="600"/>
      <c r="CR6" s="600"/>
      <c r="CS6" s="600"/>
      <c r="CT6" s="600"/>
      <c r="CU6" s="600"/>
      <c r="CV6" s="600"/>
    </row>
    <row r="7" spans="1:100">
      <c r="A7" s="541"/>
      <c r="B7" s="554" t="s">
        <v>947</v>
      </c>
      <c r="C7" s="555"/>
      <c r="D7" s="645"/>
      <c r="E7" s="578"/>
      <c r="F7" s="579"/>
      <c r="G7" s="579"/>
      <c r="H7" s="580"/>
      <c r="I7" s="568"/>
      <c r="J7" s="578"/>
      <c r="K7" s="579"/>
      <c r="L7" s="579"/>
      <c r="M7" s="580"/>
      <c r="N7" s="568"/>
      <c r="O7" s="578"/>
      <c r="P7" s="579"/>
      <c r="Q7" s="579"/>
      <c r="R7" s="580"/>
      <c r="S7" s="496"/>
      <c r="T7" s="578"/>
      <c r="U7" s="579"/>
      <c r="V7" s="579"/>
      <c r="W7" s="580"/>
      <c r="X7" s="496"/>
      <c r="Y7" s="578"/>
      <c r="Z7" s="579"/>
      <c r="AA7" s="579"/>
      <c r="AB7" s="580"/>
      <c r="AC7" s="496"/>
      <c r="AD7" s="578"/>
      <c r="AE7" s="579"/>
      <c r="AF7" s="579"/>
      <c r="AG7" s="580"/>
      <c r="AH7" s="496"/>
      <c r="AI7" s="578"/>
      <c r="AJ7" s="579"/>
      <c r="AK7" s="579"/>
      <c r="AL7" s="580"/>
      <c r="AM7" s="496"/>
      <c r="AN7" s="578"/>
      <c r="AO7" s="579"/>
      <c r="AP7" s="579"/>
      <c r="AQ7" s="580"/>
      <c r="AR7" s="496"/>
      <c r="AS7" s="578"/>
      <c r="AT7" s="579"/>
      <c r="AU7" s="579"/>
      <c r="AV7" s="580"/>
      <c r="AW7" s="496"/>
      <c r="AX7" s="578"/>
      <c r="AY7" s="579"/>
      <c r="AZ7" s="579"/>
      <c r="BA7" s="580"/>
      <c r="BB7" s="496"/>
      <c r="BC7" s="578"/>
      <c r="BD7" s="579"/>
      <c r="BE7" s="579"/>
      <c r="BF7" s="580"/>
      <c r="BG7" s="496"/>
      <c r="BH7" s="578"/>
      <c r="BI7" s="579"/>
      <c r="BJ7" s="579"/>
      <c r="BK7" s="580"/>
      <c r="BL7" s="496"/>
      <c r="BM7" s="578"/>
      <c r="BN7" s="579"/>
      <c r="BO7" s="579"/>
      <c r="BP7" s="580"/>
      <c r="BQ7" s="496"/>
      <c r="BR7" s="600"/>
      <c r="BS7" s="600"/>
      <c r="BT7" s="600"/>
      <c r="BU7" s="600"/>
      <c r="BV7" s="600"/>
      <c r="BW7" s="600"/>
      <c r="BX7" s="600"/>
      <c r="BY7" s="600"/>
      <c r="BZ7" s="600"/>
      <c r="CA7" s="600"/>
      <c r="CB7" s="600"/>
      <c r="CC7" s="600"/>
      <c r="CD7" s="600"/>
      <c r="CE7" s="600"/>
      <c r="CF7" s="600"/>
      <c r="CG7" s="600"/>
      <c r="CH7" s="600"/>
      <c r="CI7" s="600"/>
      <c r="CJ7" s="600"/>
      <c r="CK7" s="600"/>
      <c r="CL7" s="600"/>
      <c r="CM7" s="600"/>
      <c r="CN7" s="600"/>
      <c r="CO7" s="600"/>
      <c r="CP7" s="600"/>
      <c r="CQ7" s="600"/>
      <c r="CR7" s="600"/>
      <c r="CS7" s="600"/>
      <c r="CT7" s="600"/>
      <c r="CU7" s="600"/>
      <c r="CV7" s="600"/>
    </row>
    <row r="8" spans="1:100" s="50" customFormat="1">
      <c r="A8" s="546"/>
      <c r="B8" s="546"/>
      <c r="C8" s="553" t="s">
        <v>948</v>
      </c>
      <c r="D8" s="546"/>
      <c r="E8" s="142"/>
      <c r="F8" s="159"/>
      <c r="G8" s="159"/>
      <c r="H8" s="157"/>
      <c r="I8" s="544"/>
      <c r="J8" s="142"/>
      <c r="K8" s="159"/>
      <c r="L8" s="159"/>
      <c r="M8" s="157"/>
      <c r="N8" s="544"/>
      <c r="O8" s="142"/>
      <c r="P8" s="159"/>
      <c r="Q8" s="159"/>
      <c r="R8" s="157"/>
      <c r="S8" s="544"/>
      <c r="T8" s="142"/>
      <c r="U8" s="159"/>
      <c r="V8" s="159"/>
      <c r="W8" s="157"/>
      <c r="X8" s="544">
        <v>667</v>
      </c>
      <c r="Y8" s="142">
        <v>133</v>
      </c>
      <c r="Z8" s="159">
        <v>117</v>
      </c>
      <c r="AA8" s="159">
        <v>130</v>
      </c>
      <c r="AB8" s="157">
        <f>AC8-Y8-Z8-AA8</f>
        <v>183</v>
      </c>
      <c r="AC8" s="544">
        <v>563</v>
      </c>
      <c r="AD8" s="142">
        <v>165</v>
      </c>
      <c r="AE8" s="159">
        <v>160</v>
      </c>
      <c r="AF8" s="159">
        <v>155</v>
      </c>
      <c r="AG8" s="157">
        <f>AH8-AD8-AE8-AF8</f>
        <v>220</v>
      </c>
      <c r="AH8" s="544">
        <v>700</v>
      </c>
      <c r="AI8" s="142">
        <v>139</v>
      </c>
      <c r="AJ8" s="159">
        <v>128</v>
      </c>
      <c r="AK8" s="159">
        <v>0</v>
      </c>
      <c r="AL8" s="157">
        <f>AM8-AI8-AJ8-AK8</f>
        <v>-267</v>
      </c>
      <c r="AM8" s="544">
        <v>0</v>
      </c>
      <c r="AN8" s="1503">
        <v>0</v>
      </c>
      <c r="AO8" s="162">
        <v>0</v>
      </c>
      <c r="AP8" s="162">
        <v>0</v>
      </c>
      <c r="AQ8" s="144">
        <v>0</v>
      </c>
      <c r="AR8" s="546">
        <f>SUM(AN8:AQ8)</f>
        <v>0</v>
      </c>
      <c r="AS8" s="1503">
        <v>0</v>
      </c>
      <c r="AT8" s="162">
        <v>0</v>
      </c>
      <c r="AU8" s="162">
        <v>0</v>
      </c>
      <c r="AV8" s="144">
        <v>0</v>
      </c>
      <c r="AW8" s="546">
        <f>SUM(AS8:AV8)</f>
        <v>0</v>
      </c>
      <c r="AX8" s="1503">
        <v>0</v>
      </c>
      <c r="AY8" s="162">
        <v>0</v>
      </c>
      <c r="AZ8" s="162">
        <v>0</v>
      </c>
      <c r="BA8" s="144">
        <v>0</v>
      </c>
      <c r="BB8" s="546">
        <f>SUM(AX8:BA8)</f>
        <v>0</v>
      </c>
      <c r="BC8" s="1503">
        <v>0</v>
      </c>
      <c r="BD8" s="162">
        <v>0</v>
      </c>
      <c r="BE8" s="162">
        <v>0</v>
      </c>
      <c r="BF8" s="144">
        <v>0</v>
      </c>
      <c r="BG8" s="546">
        <f>SUM(BC8:BF8)</f>
        <v>0</v>
      </c>
      <c r="BH8" s="1503">
        <v>0</v>
      </c>
      <c r="BI8" s="162">
        <v>0</v>
      </c>
      <c r="BJ8" s="162">
        <v>0</v>
      </c>
      <c r="BK8" s="144">
        <v>0</v>
      </c>
      <c r="BL8" s="546">
        <f>SUM(BH8:BK8)</f>
        <v>0</v>
      </c>
      <c r="BM8" s="1503">
        <v>0</v>
      </c>
      <c r="BN8" s="162">
        <v>0</v>
      </c>
      <c r="BO8" s="162">
        <v>0</v>
      </c>
      <c r="BP8" s="144">
        <v>0</v>
      </c>
      <c r="BQ8" s="546">
        <f>SUM(BM8:BP8)</f>
        <v>0</v>
      </c>
      <c r="BR8" s="546"/>
      <c r="BS8" s="546"/>
      <c r="BT8" s="546"/>
      <c r="BU8" s="546"/>
      <c r="BV8" s="546"/>
      <c r="BW8" s="546"/>
      <c r="BX8" s="546"/>
      <c r="BY8" s="546"/>
      <c r="BZ8" s="546"/>
      <c r="CA8" s="546"/>
      <c r="CB8" s="546"/>
      <c r="CC8" s="546"/>
      <c r="CD8" s="546"/>
      <c r="CE8" s="546"/>
      <c r="CF8" s="546"/>
      <c r="CG8" s="546"/>
      <c r="CH8" s="546"/>
      <c r="CI8" s="546"/>
      <c r="CJ8" s="546"/>
      <c r="CK8" s="546"/>
      <c r="CL8" s="546"/>
      <c r="CM8" s="546"/>
      <c r="CN8" s="546"/>
      <c r="CO8" s="546"/>
      <c r="CP8" s="546"/>
      <c r="CQ8" s="546"/>
      <c r="CR8" s="546"/>
      <c r="CS8" s="546"/>
      <c r="CT8" s="546"/>
      <c r="CU8" s="546"/>
      <c r="CV8" s="546"/>
    </row>
    <row r="9" spans="1:100" s="50" customFormat="1">
      <c r="A9" s="546"/>
      <c r="B9" s="546"/>
      <c r="C9" s="553" t="s">
        <v>350</v>
      </c>
      <c r="D9" s="546"/>
      <c r="E9" s="142"/>
      <c r="F9" s="159"/>
      <c r="G9" s="159"/>
      <c r="H9" s="157"/>
      <c r="I9" s="544"/>
      <c r="J9" s="142"/>
      <c r="K9" s="159"/>
      <c r="L9" s="159"/>
      <c r="M9" s="157"/>
      <c r="N9" s="544"/>
      <c r="O9" s="142"/>
      <c r="P9" s="159"/>
      <c r="Q9" s="159"/>
      <c r="R9" s="157"/>
      <c r="S9" s="544"/>
      <c r="T9" s="142"/>
      <c r="U9" s="159"/>
      <c r="V9" s="159"/>
      <c r="W9" s="157"/>
      <c r="X9" s="544">
        <v>0</v>
      </c>
      <c r="Y9" s="1202">
        <f>AC9/4</f>
        <v>0</v>
      </c>
      <c r="Z9" s="1203">
        <f>AC9/4</f>
        <v>0</v>
      </c>
      <c r="AA9" s="1203">
        <f>AC9/4</f>
        <v>0</v>
      </c>
      <c r="AB9" s="1205">
        <f>AC9/4</f>
        <v>0</v>
      </c>
      <c r="AC9" s="544">
        <v>0</v>
      </c>
      <c r="AD9" s="1202">
        <f>Y9</f>
        <v>0</v>
      </c>
      <c r="AE9" s="1203">
        <f>Z9</f>
        <v>0</v>
      </c>
      <c r="AF9" s="1203">
        <f>AA9</f>
        <v>0</v>
      </c>
      <c r="AG9" s="1205">
        <f>AH9/4</f>
        <v>0</v>
      </c>
      <c r="AH9" s="544">
        <v>0</v>
      </c>
      <c r="AI9" s="161">
        <f>AM9/4</f>
        <v>0</v>
      </c>
      <c r="AJ9" s="1203">
        <f>(AM9-AI9)/3</f>
        <v>0</v>
      </c>
      <c r="AK9" s="1203">
        <f>(AM9-SUM(AI9:AJ9))/2</f>
        <v>0</v>
      </c>
      <c r="AL9" s="1205">
        <f>(AM9-SUM(AI9:AK9))/1</f>
        <v>0</v>
      </c>
      <c r="AM9" s="1216">
        <f>+AH9</f>
        <v>0</v>
      </c>
      <c r="AN9" s="161">
        <v>0</v>
      </c>
      <c r="AO9" s="162">
        <v>0</v>
      </c>
      <c r="AP9" s="162">
        <v>0</v>
      </c>
      <c r="AQ9" s="144">
        <v>0</v>
      </c>
      <c r="AR9" s="546">
        <f>SUM(AN9:AQ9)</f>
        <v>0</v>
      </c>
      <c r="AS9" s="161">
        <v>0</v>
      </c>
      <c r="AT9" s="162">
        <v>0</v>
      </c>
      <c r="AU9" s="162">
        <v>0</v>
      </c>
      <c r="AV9" s="144">
        <v>0</v>
      </c>
      <c r="AW9" s="546">
        <f>SUM(AS9:AV9)</f>
        <v>0</v>
      </c>
      <c r="AX9" s="161">
        <v>0</v>
      </c>
      <c r="AY9" s="162">
        <v>0</v>
      </c>
      <c r="AZ9" s="162">
        <v>0</v>
      </c>
      <c r="BA9" s="144">
        <v>0</v>
      </c>
      <c r="BB9" s="546">
        <f>SUM(AX9:BA9)</f>
        <v>0</v>
      </c>
      <c r="BC9" s="161">
        <v>0</v>
      </c>
      <c r="BD9" s="162">
        <v>0</v>
      </c>
      <c r="BE9" s="162">
        <v>0</v>
      </c>
      <c r="BF9" s="144">
        <v>0</v>
      </c>
      <c r="BG9" s="546">
        <f>SUM(BC9:BF9)</f>
        <v>0</v>
      </c>
      <c r="BH9" s="161">
        <v>0</v>
      </c>
      <c r="BI9" s="162">
        <v>0</v>
      </c>
      <c r="BJ9" s="162">
        <v>0</v>
      </c>
      <c r="BK9" s="144">
        <v>0</v>
      </c>
      <c r="BL9" s="546">
        <f>SUM(BH9:BK9)</f>
        <v>0</v>
      </c>
      <c r="BM9" s="161">
        <v>0</v>
      </c>
      <c r="BN9" s="162">
        <v>0</v>
      </c>
      <c r="BO9" s="162">
        <v>0</v>
      </c>
      <c r="BP9" s="144">
        <v>0</v>
      </c>
      <c r="BQ9" s="546">
        <f>SUM(BM9:BP9)</f>
        <v>0</v>
      </c>
      <c r="BR9" s="546"/>
      <c r="BS9" s="546"/>
      <c r="BT9" s="546"/>
      <c r="BU9" s="546"/>
      <c r="BV9" s="546"/>
      <c r="BW9" s="546"/>
      <c r="BX9" s="546"/>
      <c r="BY9" s="546"/>
      <c r="BZ9" s="546"/>
      <c r="CA9" s="546"/>
      <c r="CB9" s="546"/>
      <c r="CC9" s="546"/>
      <c r="CD9" s="546"/>
      <c r="CE9" s="546"/>
      <c r="CF9" s="546"/>
      <c r="CG9" s="546"/>
      <c r="CH9" s="546"/>
      <c r="CI9" s="546"/>
      <c r="CJ9" s="546"/>
      <c r="CK9" s="546"/>
      <c r="CL9" s="546"/>
      <c r="CM9" s="546"/>
      <c r="CN9" s="546"/>
      <c r="CO9" s="546"/>
      <c r="CP9" s="546"/>
      <c r="CQ9" s="546"/>
      <c r="CR9" s="546"/>
      <c r="CS9" s="546"/>
      <c r="CT9" s="546"/>
      <c r="CU9" s="546"/>
      <c r="CV9" s="546"/>
    </row>
    <row r="10" spans="1:100">
      <c r="A10" s="489"/>
      <c r="B10" s="489"/>
      <c r="C10" s="545" t="s">
        <v>950</v>
      </c>
      <c r="D10" s="489"/>
      <c r="E10" s="149"/>
      <c r="F10" s="156"/>
      <c r="G10" s="156"/>
      <c r="H10" s="151"/>
      <c r="I10" s="489"/>
      <c r="J10" s="149"/>
      <c r="K10" s="156"/>
      <c r="L10" s="156"/>
      <c r="M10" s="151"/>
      <c r="N10" s="489"/>
      <c r="O10" s="149"/>
      <c r="P10" s="156"/>
      <c r="Q10" s="156"/>
      <c r="R10" s="151"/>
      <c r="S10" s="489"/>
      <c r="T10" s="149"/>
      <c r="U10" s="156"/>
      <c r="V10" s="156"/>
      <c r="W10" s="151"/>
      <c r="X10" s="489">
        <f t="shared" ref="X10:AJ10" si="0">+X8-X9</f>
        <v>667</v>
      </c>
      <c r="Y10" s="149">
        <f t="shared" si="0"/>
        <v>133</v>
      </c>
      <c r="Z10" s="156">
        <f t="shared" si="0"/>
        <v>117</v>
      </c>
      <c r="AA10" s="156">
        <f t="shared" si="0"/>
        <v>130</v>
      </c>
      <c r="AB10" s="151">
        <f t="shared" si="0"/>
        <v>183</v>
      </c>
      <c r="AC10" s="489">
        <f t="shared" si="0"/>
        <v>563</v>
      </c>
      <c r="AD10" s="149">
        <f t="shared" si="0"/>
        <v>165</v>
      </c>
      <c r="AE10" s="156">
        <f t="shared" si="0"/>
        <v>160</v>
      </c>
      <c r="AF10" s="156">
        <f t="shared" si="0"/>
        <v>155</v>
      </c>
      <c r="AG10" s="151">
        <f t="shared" si="0"/>
        <v>220</v>
      </c>
      <c r="AH10" s="489">
        <f t="shared" si="0"/>
        <v>700</v>
      </c>
      <c r="AI10" s="149">
        <f t="shared" si="0"/>
        <v>139</v>
      </c>
      <c r="AJ10" s="156">
        <f t="shared" si="0"/>
        <v>128</v>
      </c>
      <c r="AK10" s="156">
        <f>+AK8-AK9</f>
        <v>0</v>
      </c>
      <c r="AL10" s="151">
        <f>+AL8-AL9</f>
        <v>-267</v>
      </c>
      <c r="AM10" s="489">
        <f>+AM8-AM9</f>
        <v>0</v>
      </c>
      <c r="AN10" s="149">
        <v>0</v>
      </c>
      <c r="AO10" s="156">
        <v>0</v>
      </c>
      <c r="AP10" s="156">
        <v>0</v>
      </c>
      <c r="AQ10" s="151">
        <v>0</v>
      </c>
      <c r="AR10" s="489">
        <f>+AR8-AR9</f>
        <v>0</v>
      </c>
      <c r="AS10" s="149">
        <v>0</v>
      </c>
      <c r="AT10" s="156">
        <v>0</v>
      </c>
      <c r="AU10" s="156">
        <v>0</v>
      </c>
      <c r="AV10" s="151">
        <v>0</v>
      </c>
      <c r="AW10" s="489">
        <f>+AW8-AW9</f>
        <v>0</v>
      </c>
      <c r="AX10" s="149">
        <v>0</v>
      </c>
      <c r="AY10" s="156">
        <v>0</v>
      </c>
      <c r="AZ10" s="156">
        <v>0</v>
      </c>
      <c r="BA10" s="151">
        <v>0</v>
      </c>
      <c r="BB10" s="489">
        <f>+BB8-BB9</f>
        <v>0</v>
      </c>
      <c r="BC10" s="149">
        <v>0</v>
      </c>
      <c r="BD10" s="156">
        <v>0</v>
      </c>
      <c r="BE10" s="156">
        <v>0</v>
      </c>
      <c r="BF10" s="151">
        <v>0</v>
      </c>
      <c r="BG10" s="489">
        <f>+BG8-BG9</f>
        <v>0</v>
      </c>
      <c r="BH10" s="149">
        <v>0</v>
      </c>
      <c r="BI10" s="156">
        <v>0</v>
      </c>
      <c r="BJ10" s="156">
        <v>0</v>
      </c>
      <c r="BK10" s="151">
        <v>0</v>
      </c>
      <c r="BL10" s="489">
        <f>+BL8-BL9</f>
        <v>0</v>
      </c>
      <c r="BM10" s="149">
        <v>0</v>
      </c>
      <c r="BN10" s="156">
        <v>0</v>
      </c>
      <c r="BO10" s="156">
        <v>0</v>
      </c>
      <c r="BP10" s="151">
        <v>0</v>
      </c>
      <c r="BQ10" s="489">
        <f>+BQ8-BQ9</f>
        <v>0</v>
      </c>
      <c r="BR10" s="489"/>
      <c r="BS10" s="489"/>
      <c r="BT10" s="489"/>
      <c r="BU10" s="489"/>
      <c r="BV10" s="489"/>
      <c r="BW10" s="489"/>
      <c r="BX10" s="489"/>
      <c r="BY10" s="489"/>
      <c r="BZ10" s="489"/>
      <c r="CA10" s="489"/>
      <c r="CB10" s="489"/>
      <c r="CC10" s="489"/>
      <c r="CD10" s="489"/>
      <c r="CE10" s="489"/>
      <c r="CF10" s="489"/>
      <c r="CG10" s="489"/>
      <c r="CH10" s="489"/>
      <c r="CI10" s="489"/>
      <c r="CJ10" s="489"/>
      <c r="CK10" s="489"/>
      <c r="CL10" s="489"/>
      <c r="CM10" s="489"/>
      <c r="CN10" s="489"/>
      <c r="CO10" s="489"/>
      <c r="CP10" s="489"/>
      <c r="CQ10" s="489"/>
      <c r="CR10" s="489"/>
      <c r="CS10" s="489"/>
      <c r="CT10" s="489"/>
      <c r="CU10" s="489"/>
      <c r="CV10" s="489"/>
    </row>
    <row r="11" spans="1:100">
      <c r="A11" s="489"/>
      <c r="B11" s="489"/>
      <c r="C11" s="545"/>
      <c r="D11" s="489"/>
      <c r="E11" s="149"/>
      <c r="F11" s="156"/>
      <c r="G11" s="156"/>
      <c r="H11" s="151"/>
      <c r="I11" s="489"/>
      <c r="J11" s="149"/>
      <c r="K11" s="156"/>
      <c r="L11" s="156"/>
      <c r="M11" s="151"/>
      <c r="N11" s="489"/>
      <c r="O11" s="149"/>
      <c r="P11" s="156"/>
      <c r="Q11" s="156"/>
      <c r="R11" s="151"/>
      <c r="S11" s="489"/>
      <c r="T11" s="149"/>
      <c r="U11" s="156"/>
      <c r="V11" s="156"/>
      <c r="W11" s="151"/>
      <c r="X11" s="489"/>
      <c r="Y11" s="149"/>
      <c r="Z11" s="156"/>
      <c r="AA11" s="156"/>
      <c r="AB11" s="151"/>
      <c r="AC11" s="489"/>
      <c r="AD11" s="149"/>
      <c r="AE11" s="156"/>
      <c r="AF11" s="156"/>
      <c r="AG11" s="151"/>
      <c r="AH11" s="489"/>
      <c r="AI11" s="149"/>
      <c r="AJ11" s="156"/>
      <c r="AK11" s="156"/>
      <c r="AL11" s="151"/>
      <c r="AM11" s="489"/>
      <c r="AN11" s="149">
        <v>0</v>
      </c>
      <c r="AO11" s="156">
        <v>0</v>
      </c>
      <c r="AP11" s="156">
        <v>0</v>
      </c>
      <c r="AQ11" s="151">
        <v>0</v>
      </c>
      <c r="AR11" s="489"/>
      <c r="AS11" s="149">
        <v>0</v>
      </c>
      <c r="AT11" s="156">
        <v>0</v>
      </c>
      <c r="AU11" s="156">
        <v>0</v>
      </c>
      <c r="AV11" s="151">
        <v>0</v>
      </c>
      <c r="AW11" s="489"/>
      <c r="AX11" s="149">
        <v>0</v>
      </c>
      <c r="AY11" s="156">
        <v>0</v>
      </c>
      <c r="AZ11" s="156">
        <v>0</v>
      </c>
      <c r="BA11" s="151">
        <v>0</v>
      </c>
      <c r="BB11" s="489"/>
      <c r="BC11" s="149">
        <v>0</v>
      </c>
      <c r="BD11" s="156">
        <v>0</v>
      </c>
      <c r="BE11" s="156">
        <v>0</v>
      </c>
      <c r="BF11" s="151">
        <v>0</v>
      </c>
      <c r="BG11" s="489"/>
      <c r="BH11" s="149">
        <v>0</v>
      </c>
      <c r="BI11" s="156">
        <v>0</v>
      </c>
      <c r="BJ11" s="156">
        <v>0</v>
      </c>
      <c r="BK11" s="151">
        <v>0</v>
      </c>
      <c r="BL11" s="489"/>
      <c r="BM11" s="149">
        <v>0</v>
      </c>
      <c r="BN11" s="156">
        <v>0</v>
      </c>
      <c r="BO11" s="156">
        <v>0</v>
      </c>
      <c r="BP11" s="151">
        <v>0</v>
      </c>
      <c r="BQ11" s="489"/>
      <c r="BR11" s="489"/>
      <c r="BS11" s="489"/>
      <c r="BT11" s="489"/>
      <c r="BU11" s="489"/>
      <c r="BV11" s="489"/>
      <c r="BW11" s="489"/>
      <c r="BX11" s="489"/>
      <c r="BY11" s="489"/>
      <c r="BZ11" s="489"/>
      <c r="CA11" s="489"/>
      <c r="CB11" s="489"/>
      <c r="CC11" s="489"/>
      <c r="CD11" s="489"/>
      <c r="CE11" s="489"/>
      <c r="CF11" s="489"/>
      <c r="CG11" s="489"/>
      <c r="CH11" s="489"/>
      <c r="CI11" s="489"/>
      <c r="CJ11" s="489"/>
      <c r="CK11" s="489"/>
      <c r="CL11" s="489"/>
      <c r="CM11" s="489"/>
      <c r="CN11" s="489"/>
      <c r="CO11" s="489"/>
      <c r="CP11" s="489"/>
      <c r="CQ11" s="489"/>
      <c r="CR11" s="489"/>
      <c r="CS11" s="489"/>
      <c r="CT11" s="489"/>
      <c r="CU11" s="489"/>
      <c r="CV11" s="489"/>
    </row>
    <row r="12" spans="1:100">
      <c r="A12" s="568"/>
      <c r="B12" s="568"/>
      <c r="C12" s="553" t="s">
        <v>1010</v>
      </c>
      <c r="D12" s="568"/>
      <c r="E12" s="142"/>
      <c r="F12" s="159"/>
      <c r="G12" s="159"/>
      <c r="H12" s="157"/>
      <c r="I12" s="544"/>
      <c r="J12" s="142"/>
      <c r="K12" s="159"/>
      <c r="L12" s="159"/>
      <c r="M12" s="157"/>
      <c r="N12" s="544"/>
      <c r="O12" s="142"/>
      <c r="P12" s="159"/>
      <c r="Q12" s="159"/>
      <c r="R12" s="157"/>
      <c r="S12" s="544"/>
      <c r="T12" s="142"/>
      <c r="U12" s="159"/>
      <c r="V12" s="159"/>
      <c r="W12" s="157"/>
      <c r="X12" s="1216">
        <f t="shared" ref="X12:AF12" si="1">X10-X13+X19-X24-X28-X30-X14</f>
        <v>599</v>
      </c>
      <c r="Y12" s="1202">
        <f t="shared" si="1"/>
        <v>121.25</v>
      </c>
      <c r="Z12" s="1203">
        <f t="shared" si="1"/>
        <v>112.25</v>
      </c>
      <c r="AA12" s="1203">
        <f t="shared" si="1"/>
        <v>117.25</v>
      </c>
      <c r="AB12" s="1205">
        <f t="shared" si="1"/>
        <v>145.25</v>
      </c>
      <c r="AC12" s="1216">
        <f t="shared" si="1"/>
        <v>496</v>
      </c>
      <c r="AD12" s="1202">
        <f t="shared" si="1"/>
        <v>148.25</v>
      </c>
      <c r="AE12" s="1203">
        <f t="shared" si="1"/>
        <v>143.25</v>
      </c>
      <c r="AF12" s="1203">
        <f t="shared" si="1"/>
        <v>130.25</v>
      </c>
      <c r="AG12" s="1205">
        <f t="shared" ref="AG12:AM12" si="2">AG10-AG13+AG19-AG24-AG28-AG30-AG14</f>
        <v>166</v>
      </c>
      <c r="AH12" s="1216">
        <f t="shared" si="2"/>
        <v>563</v>
      </c>
      <c r="AI12" s="1202">
        <f t="shared" si="2"/>
        <v>135.15</v>
      </c>
      <c r="AJ12" s="1203">
        <f t="shared" si="2"/>
        <v>134.15</v>
      </c>
      <c r="AK12" s="1203">
        <f t="shared" si="2"/>
        <v>3.1500000000000004</v>
      </c>
      <c r="AL12" s="1205">
        <f t="shared" si="2"/>
        <v>-272.45000000000005</v>
      </c>
      <c r="AM12" s="1216">
        <f t="shared" si="2"/>
        <v>0</v>
      </c>
      <c r="AN12" s="578">
        <v>0</v>
      </c>
      <c r="AO12" s="579">
        <v>0</v>
      </c>
      <c r="AP12" s="579">
        <v>0</v>
      </c>
      <c r="AQ12" s="580">
        <v>0</v>
      </c>
      <c r="AR12" s="546">
        <f>SUM(AN12:AQ12)</f>
        <v>0</v>
      </c>
      <c r="AS12" s="578">
        <v>0</v>
      </c>
      <c r="AT12" s="579">
        <v>0</v>
      </c>
      <c r="AU12" s="579">
        <v>0</v>
      </c>
      <c r="AV12" s="580">
        <v>0</v>
      </c>
      <c r="AW12" s="546">
        <f>SUM(AS12:AV12)</f>
        <v>0</v>
      </c>
      <c r="AX12" s="578">
        <v>0</v>
      </c>
      <c r="AY12" s="579">
        <v>0</v>
      </c>
      <c r="AZ12" s="579">
        <v>0</v>
      </c>
      <c r="BA12" s="580">
        <v>0</v>
      </c>
      <c r="BB12" s="546">
        <f>SUM(AX12:BA12)</f>
        <v>0</v>
      </c>
      <c r="BC12" s="578">
        <v>0</v>
      </c>
      <c r="BD12" s="579">
        <v>0</v>
      </c>
      <c r="BE12" s="579">
        <v>0</v>
      </c>
      <c r="BF12" s="580">
        <v>0</v>
      </c>
      <c r="BG12" s="546">
        <f>SUM(BC12:BF12)</f>
        <v>0</v>
      </c>
      <c r="BH12" s="578">
        <v>0</v>
      </c>
      <c r="BI12" s="579">
        <v>0</v>
      </c>
      <c r="BJ12" s="579">
        <v>0</v>
      </c>
      <c r="BK12" s="580">
        <v>0</v>
      </c>
      <c r="BL12" s="546">
        <f>SUM(BH12:BK12)</f>
        <v>0</v>
      </c>
      <c r="BM12" s="578">
        <v>0</v>
      </c>
      <c r="BN12" s="579">
        <v>0</v>
      </c>
      <c r="BO12" s="579">
        <v>0</v>
      </c>
      <c r="BP12" s="580">
        <v>0</v>
      </c>
      <c r="BQ12" s="546">
        <f>SUM(BM12:BP12)</f>
        <v>0</v>
      </c>
      <c r="BR12" s="568"/>
      <c r="BS12" s="568"/>
      <c r="BT12" s="568"/>
      <c r="BU12" s="568"/>
      <c r="BV12" s="568"/>
      <c r="BW12" s="568"/>
      <c r="BX12" s="568"/>
      <c r="BY12" s="568"/>
      <c r="BZ12" s="568"/>
      <c r="CA12" s="568"/>
      <c r="CB12" s="568"/>
      <c r="CC12" s="568"/>
      <c r="CD12" s="568"/>
      <c r="CE12" s="568"/>
      <c r="CF12" s="568"/>
      <c r="CG12" s="568"/>
      <c r="CH12" s="568"/>
      <c r="CI12" s="568"/>
      <c r="CJ12" s="568"/>
      <c r="CK12" s="568"/>
      <c r="CL12" s="568"/>
      <c r="CM12" s="568"/>
      <c r="CN12" s="568"/>
      <c r="CO12" s="568"/>
      <c r="CP12" s="568"/>
      <c r="CQ12" s="568"/>
      <c r="CR12" s="568"/>
      <c r="CS12" s="568"/>
      <c r="CT12" s="568"/>
      <c r="CU12" s="568"/>
      <c r="CV12" s="568"/>
    </row>
    <row r="13" spans="1:100">
      <c r="A13" s="568"/>
      <c r="B13" s="568"/>
      <c r="C13" s="50" t="s">
        <v>1016</v>
      </c>
      <c r="D13" s="568"/>
      <c r="E13" s="142"/>
      <c r="F13" s="159"/>
      <c r="G13" s="159"/>
      <c r="H13" s="157"/>
      <c r="I13" s="544"/>
      <c r="J13" s="142"/>
      <c r="K13" s="159"/>
      <c r="L13" s="159"/>
      <c r="M13" s="157"/>
      <c r="N13" s="544"/>
      <c r="O13" s="142"/>
      <c r="P13" s="159"/>
      <c r="Q13" s="159"/>
      <c r="R13" s="157"/>
      <c r="S13" s="544"/>
      <c r="T13" s="142"/>
      <c r="U13" s="159"/>
      <c r="V13" s="159"/>
      <c r="W13" s="157"/>
      <c r="X13" s="544">
        <v>29</v>
      </c>
      <c r="Y13" s="1202">
        <f>AC13/4</f>
        <v>7.75</v>
      </c>
      <c r="Z13" s="1203">
        <f>AC13/4</f>
        <v>7.75</v>
      </c>
      <c r="AA13" s="1203">
        <f>AC13/4</f>
        <v>7.75</v>
      </c>
      <c r="AB13" s="1205">
        <f>AC13/4</f>
        <v>7.75</v>
      </c>
      <c r="AC13" s="544">
        <v>31</v>
      </c>
      <c r="AD13" s="1202">
        <f t="shared" ref="AD13:AF14" si="3">Y13</f>
        <v>7.75</v>
      </c>
      <c r="AE13" s="1203">
        <f t="shared" si="3"/>
        <v>7.75</v>
      </c>
      <c r="AF13" s="1203">
        <f t="shared" si="3"/>
        <v>7.75</v>
      </c>
      <c r="AG13" s="1205">
        <f>AH13/4</f>
        <v>7.75</v>
      </c>
      <c r="AH13" s="544">
        <v>31</v>
      </c>
      <c r="AI13" s="578">
        <f>AM13/4</f>
        <v>0</v>
      </c>
      <c r="AJ13" s="1203">
        <f>(AM13-AI13)/3</f>
        <v>0</v>
      </c>
      <c r="AK13" s="1203">
        <f>(AM13-SUM(AI13:AJ13))/2</f>
        <v>0</v>
      </c>
      <c r="AL13" s="1205">
        <f>(AM13-SUM(AI13:AK13))/1</f>
        <v>0</v>
      </c>
      <c r="AM13" s="544">
        <v>0</v>
      </c>
      <c r="AN13" s="578">
        <v>0</v>
      </c>
      <c r="AO13" s="579">
        <v>0</v>
      </c>
      <c r="AP13" s="579">
        <v>0</v>
      </c>
      <c r="AQ13" s="580">
        <v>0</v>
      </c>
      <c r="AR13" s="546">
        <f>SUM(AN13:AQ13)</f>
        <v>0</v>
      </c>
      <c r="AS13" s="578">
        <v>0</v>
      </c>
      <c r="AT13" s="579">
        <v>0</v>
      </c>
      <c r="AU13" s="579">
        <v>0</v>
      </c>
      <c r="AV13" s="580">
        <v>0</v>
      </c>
      <c r="AW13" s="546">
        <f>SUM(AS13:AV13)</f>
        <v>0</v>
      </c>
      <c r="AX13" s="578">
        <v>0</v>
      </c>
      <c r="AY13" s="579">
        <v>0</v>
      </c>
      <c r="AZ13" s="579">
        <v>0</v>
      </c>
      <c r="BA13" s="580">
        <v>0</v>
      </c>
      <c r="BB13" s="546">
        <f>SUM(AX13:BA13)</f>
        <v>0</v>
      </c>
      <c r="BC13" s="578">
        <v>0</v>
      </c>
      <c r="BD13" s="579">
        <v>0</v>
      </c>
      <c r="BE13" s="579">
        <v>0</v>
      </c>
      <c r="BF13" s="580">
        <v>0</v>
      </c>
      <c r="BG13" s="546">
        <f>SUM(BC13:BF13)</f>
        <v>0</v>
      </c>
      <c r="BH13" s="578">
        <v>0</v>
      </c>
      <c r="BI13" s="579">
        <v>0</v>
      </c>
      <c r="BJ13" s="579">
        <v>0</v>
      </c>
      <c r="BK13" s="580">
        <v>0</v>
      </c>
      <c r="BL13" s="546">
        <f>SUM(BH13:BK13)</f>
        <v>0</v>
      </c>
      <c r="BM13" s="578">
        <v>0</v>
      </c>
      <c r="BN13" s="579">
        <v>0</v>
      </c>
      <c r="BO13" s="579">
        <v>0</v>
      </c>
      <c r="BP13" s="580">
        <v>0</v>
      </c>
      <c r="BQ13" s="546">
        <f>SUM(BM13:BP13)</f>
        <v>0</v>
      </c>
      <c r="BR13" s="568"/>
      <c r="BS13" s="568"/>
      <c r="BT13" s="568"/>
      <c r="BU13" s="568"/>
      <c r="BV13" s="568"/>
      <c r="BW13" s="568"/>
      <c r="BX13" s="568"/>
      <c r="BY13" s="568"/>
      <c r="BZ13" s="568"/>
      <c r="CA13" s="568"/>
      <c r="CB13" s="568"/>
      <c r="CC13" s="568"/>
      <c r="CD13" s="568"/>
      <c r="CE13" s="568"/>
      <c r="CF13" s="568"/>
      <c r="CG13" s="568"/>
      <c r="CH13" s="568"/>
      <c r="CI13" s="568"/>
      <c r="CJ13" s="568"/>
      <c r="CK13" s="568"/>
      <c r="CL13" s="568"/>
      <c r="CM13" s="568"/>
      <c r="CN13" s="568"/>
      <c r="CO13" s="568"/>
      <c r="CP13" s="568"/>
      <c r="CQ13" s="568"/>
      <c r="CR13" s="568"/>
      <c r="CS13" s="568"/>
      <c r="CT13" s="568"/>
      <c r="CU13" s="568"/>
      <c r="CV13" s="568"/>
    </row>
    <row r="14" spans="1:100">
      <c r="A14" s="568"/>
      <c r="B14" s="568"/>
      <c r="C14" s="541" t="s">
        <v>1017</v>
      </c>
      <c r="D14" s="568"/>
      <c r="E14" s="142"/>
      <c r="F14" s="159"/>
      <c r="G14" s="159"/>
      <c r="H14" s="157"/>
      <c r="I14" s="544"/>
      <c r="J14" s="142"/>
      <c r="K14" s="159"/>
      <c r="L14" s="159"/>
      <c r="M14" s="157"/>
      <c r="N14" s="544"/>
      <c r="O14" s="142"/>
      <c r="P14" s="159"/>
      <c r="Q14" s="159"/>
      <c r="R14" s="157"/>
      <c r="S14" s="544"/>
      <c r="T14" s="142"/>
      <c r="U14" s="159"/>
      <c r="V14" s="159"/>
      <c r="W14" s="157"/>
      <c r="X14" s="544">
        <v>0</v>
      </c>
      <c r="Y14" s="1202">
        <f>AC14/4</f>
        <v>0</v>
      </c>
      <c r="Z14" s="1203">
        <f>AC14/4</f>
        <v>0</v>
      </c>
      <c r="AA14" s="1203">
        <f>AC14/4</f>
        <v>0</v>
      </c>
      <c r="AB14" s="1205">
        <f>AC14/4</f>
        <v>0</v>
      </c>
      <c r="AC14" s="544">
        <v>0</v>
      </c>
      <c r="AD14" s="1202">
        <f t="shared" si="3"/>
        <v>0</v>
      </c>
      <c r="AE14" s="1203">
        <f t="shared" si="3"/>
        <v>0</v>
      </c>
      <c r="AF14" s="1203">
        <f t="shared" si="3"/>
        <v>0</v>
      </c>
      <c r="AG14" s="1205">
        <f>AH14/4</f>
        <v>0</v>
      </c>
      <c r="AH14" s="544">
        <v>0</v>
      </c>
      <c r="AI14" s="1202">
        <f>AM14/4</f>
        <v>0</v>
      </c>
      <c r="AJ14" s="1203">
        <f>(AM14-AI14)/3</f>
        <v>0</v>
      </c>
      <c r="AK14" s="1203">
        <f>(AM14-SUM(AI14:AJ14))/2</f>
        <v>0</v>
      </c>
      <c r="AL14" s="1205">
        <f>(AM14-SUM(AI14:AK14))/1</f>
        <v>0</v>
      </c>
      <c r="AM14" s="544">
        <v>0</v>
      </c>
      <c r="AN14" s="578">
        <v>0</v>
      </c>
      <c r="AO14" s="579">
        <v>0</v>
      </c>
      <c r="AP14" s="579">
        <v>0</v>
      </c>
      <c r="AQ14" s="580">
        <v>0</v>
      </c>
      <c r="AR14" s="546">
        <f>SUM(AN14:AQ14)</f>
        <v>0</v>
      </c>
      <c r="AS14" s="578">
        <v>0</v>
      </c>
      <c r="AT14" s="579">
        <v>0</v>
      </c>
      <c r="AU14" s="579">
        <v>0</v>
      </c>
      <c r="AV14" s="580">
        <v>0</v>
      </c>
      <c r="AW14" s="546">
        <f>SUM(AS14:AV14)</f>
        <v>0</v>
      </c>
      <c r="AX14" s="578">
        <v>0</v>
      </c>
      <c r="AY14" s="579">
        <v>0</v>
      </c>
      <c r="AZ14" s="579">
        <v>0</v>
      </c>
      <c r="BA14" s="580">
        <v>0</v>
      </c>
      <c r="BB14" s="546">
        <f>SUM(AX14:BA14)</f>
        <v>0</v>
      </c>
      <c r="BC14" s="578">
        <v>0</v>
      </c>
      <c r="BD14" s="579">
        <v>0</v>
      </c>
      <c r="BE14" s="579">
        <v>0</v>
      </c>
      <c r="BF14" s="580">
        <v>0</v>
      </c>
      <c r="BG14" s="546">
        <f>SUM(BC14:BF14)</f>
        <v>0</v>
      </c>
      <c r="BH14" s="578">
        <v>0</v>
      </c>
      <c r="BI14" s="579">
        <v>0</v>
      </c>
      <c r="BJ14" s="579">
        <v>0</v>
      </c>
      <c r="BK14" s="580">
        <v>0</v>
      </c>
      <c r="BL14" s="546">
        <f>SUM(BH14:BK14)</f>
        <v>0</v>
      </c>
      <c r="BM14" s="578">
        <v>0</v>
      </c>
      <c r="BN14" s="579">
        <v>0</v>
      </c>
      <c r="BO14" s="579">
        <v>0</v>
      </c>
      <c r="BP14" s="580">
        <v>0</v>
      </c>
      <c r="BQ14" s="546">
        <f>SUM(BM14:BP14)</f>
        <v>0</v>
      </c>
      <c r="BR14" s="568"/>
      <c r="BS14" s="568"/>
      <c r="BT14" s="568"/>
      <c r="BU14" s="568"/>
      <c r="BV14" s="568"/>
      <c r="BW14" s="568"/>
      <c r="BX14" s="568"/>
      <c r="BY14" s="568"/>
      <c r="BZ14" s="568"/>
      <c r="CA14" s="568"/>
      <c r="CB14" s="568"/>
      <c r="CC14" s="568"/>
      <c r="CD14" s="568"/>
      <c r="CE14" s="568"/>
      <c r="CF14" s="568"/>
      <c r="CG14" s="568"/>
      <c r="CH14" s="568"/>
      <c r="CI14" s="568"/>
      <c r="CJ14" s="568"/>
      <c r="CK14" s="568"/>
      <c r="CL14" s="568"/>
      <c r="CM14" s="568"/>
      <c r="CN14" s="568"/>
      <c r="CO14" s="568"/>
      <c r="CP14" s="568"/>
      <c r="CQ14" s="568"/>
      <c r="CR14" s="568"/>
      <c r="CS14" s="568"/>
      <c r="CT14" s="568"/>
      <c r="CU14" s="568"/>
      <c r="CV14" s="568"/>
    </row>
    <row r="15" spans="1:100">
      <c r="A15" s="568"/>
      <c r="B15" s="568"/>
      <c r="C15" s="545" t="s">
        <v>1018</v>
      </c>
      <c r="D15" s="568"/>
      <c r="E15" s="149"/>
      <c r="F15" s="156"/>
      <c r="G15" s="156"/>
      <c r="H15" s="151"/>
      <c r="I15" s="489"/>
      <c r="J15" s="149"/>
      <c r="K15" s="156"/>
      <c r="L15" s="156"/>
      <c r="M15" s="151"/>
      <c r="N15" s="489"/>
      <c r="O15" s="149"/>
      <c r="P15" s="156"/>
      <c r="Q15" s="156"/>
      <c r="R15" s="151"/>
      <c r="S15" s="489"/>
      <c r="T15" s="149"/>
      <c r="U15" s="156"/>
      <c r="V15" s="156"/>
      <c r="W15" s="151"/>
      <c r="X15" s="489">
        <f t="shared" ref="X15:AC15" si="4">SUM(X12:X14,X9)</f>
        <v>628</v>
      </c>
      <c r="Y15" s="149">
        <f t="shared" si="4"/>
        <v>129</v>
      </c>
      <c r="Z15" s="156">
        <f t="shared" si="4"/>
        <v>120</v>
      </c>
      <c r="AA15" s="156">
        <f t="shared" si="4"/>
        <v>125</v>
      </c>
      <c r="AB15" s="151">
        <f t="shared" si="4"/>
        <v>153</v>
      </c>
      <c r="AC15" s="489">
        <f t="shared" si="4"/>
        <v>527</v>
      </c>
      <c r="AD15" s="149">
        <f t="shared" ref="AD15:AJ15" si="5">SUM(AD12:AD14,AD9)</f>
        <v>156</v>
      </c>
      <c r="AE15" s="156">
        <f t="shared" si="5"/>
        <v>151</v>
      </c>
      <c r="AF15" s="156">
        <f t="shared" si="5"/>
        <v>138</v>
      </c>
      <c r="AG15" s="151">
        <f t="shared" si="5"/>
        <v>173.75</v>
      </c>
      <c r="AH15" s="489">
        <f t="shared" si="5"/>
        <v>594</v>
      </c>
      <c r="AI15" s="149">
        <f t="shared" si="5"/>
        <v>135.15</v>
      </c>
      <c r="AJ15" s="156">
        <f t="shared" si="5"/>
        <v>134.15</v>
      </c>
      <c r="AK15" s="156">
        <f>SUM(AK12:AK14,AK9)</f>
        <v>3.1500000000000004</v>
      </c>
      <c r="AL15" s="151">
        <f>SUM(AL12:AL14,AL9)</f>
        <v>-272.45000000000005</v>
      </c>
      <c r="AM15" s="489">
        <f>SUM(AM12:AM14,AM9)</f>
        <v>0</v>
      </c>
      <c r="AN15" s="149">
        <v>0</v>
      </c>
      <c r="AO15" s="156">
        <v>0</v>
      </c>
      <c r="AP15" s="156">
        <v>0</v>
      </c>
      <c r="AQ15" s="151">
        <v>0</v>
      </c>
      <c r="AR15" s="489">
        <f>SUM(AR12:AR14,AR9)</f>
        <v>0</v>
      </c>
      <c r="AS15" s="149">
        <v>0</v>
      </c>
      <c r="AT15" s="156">
        <v>0</v>
      </c>
      <c r="AU15" s="156">
        <v>0</v>
      </c>
      <c r="AV15" s="151">
        <v>0</v>
      </c>
      <c r="AW15" s="489">
        <f>SUM(AW12:AW14,AW9)</f>
        <v>0</v>
      </c>
      <c r="AX15" s="149">
        <v>0</v>
      </c>
      <c r="AY15" s="156">
        <v>0</v>
      </c>
      <c r="AZ15" s="156">
        <v>0</v>
      </c>
      <c r="BA15" s="151">
        <v>0</v>
      </c>
      <c r="BB15" s="489">
        <f>SUM(BB12:BB14,BB9)</f>
        <v>0</v>
      </c>
      <c r="BC15" s="149">
        <v>0</v>
      </c>
      <c r="BD15" s="156">
        <v>0</v>
      </c>
      <c r="BE15" s="156">
        <v>0</v>
      </c>
      <c r="BF15" s="151">
        <v>0</v>
      </c>
      <c r="BG15" s="489">
        <f>SUM(BG12:BG14,BG9)</f>
        <v>0</v>
      </c>
      <c r="BH15" s="149">
        <v>0</v>
      </c>
      <c r="BI15" s="156">
        <v>0</v>
      </c>
      <c r="BJ15" s="156">
        <v>0</v>
      </c>
      <c r="BK15" s="151">
        <v>0</v>
      </c>
      <c r="BL15" s="489">
        <f>SUM(BL12:BL14,BL9)</f>
        <v>0</v>
      </c>
      <c r="BM15" s="149">
        <v>0</v>
      </c>
      <c r="BN15" s="156">
        <v>0</v>
      </c>
      <c r="BO15" s="156">
        <v>0</v>
      </c>
      <c r="BP15" s="151">
        <v>0</v>
      </c>
      <c r="BQ15" s="489">
        <f>SUM(BQ12:BQ14,BQ9)</f>
        <v>0</v>
      </c>
      <c r="BR15" s="568"/>
      <c r="BS15" s="568"/>
      <c r="BT15" s="568"/>
      <c r="BU15" s="568"/>
      <c r="BV15" s="568"/>
      <c r="BW15" s="568"/>
      <c r="BX15" s="568"/>
      <c r="BY15" s="568"/>
      <c r="BZ15" s="568"/>
      <c r="CA15" s="568"/>
      <c r="CB15" s="568"/>
      <c r="CC15" s="568"/>
      <c r="CD15" s="568"/>
      <c r="CE15" s="568"/>
      <c r="CF15" s="568"/>
      <c r="CG15" s="568"/>
      <c r="CH15" s="568"/>
      <c r="CI15" s="568"/>
      <c r="CJ15" s="568"/>
      <c r="CK15" s="568"/>
      <c r="CL15" s="568"/>
      <c r="CM15" s="568"/>
      <c r="CN15" s="568"/>
      <c r="CO15" s="568"/>
      <c r="CP15" s="568"/>
      <c r="CQ15" s="568"/>
      <c r="CR15" s="568"/>
      <c r="CS15" s="568"/>
      <c r="CT15" s="568"/>
      <c r="CU15" s="568"/>
      <c r="CV15" s="568"/>
    </row>
    <row r="16" spans="1:100">
      <c r="A16" s="568"/>
      <c r="B16" s="568"/>
      <c r="C16" s="553"/>
      <c r="D16" s="568"/>
      <c r="E16" s="142"/>
      <c r="F16" s="159"/>
      <c r="G16" s="159"/>
      <c r="H16" s="144"/>
      <c r="I16" s="544"/>
      <c r="J16" s="142"/>
      <c r="K16" s="159"/>
      <c r="L16" s="159"/>
      <c r="M16" s="144"/>
      <c r="N16" s="544"/>
      <c r="O16" s="578"/>
      <c r="P16" s="579"/>
      <c r="Q16" s="579"/>
      <c r="R16" s="144"/>
      <c r="S16" s="544"/>
      <c r="T16" s="578"/>
      <c r="U16" s="579"/>
      <c r="V16" s="579"/>
      <c r="W16" s="144"/>
      <c r="X16" s="544"/>
      <c r="Y16" s="578"/>
      <c r="Z16" s="579"/>
      <c r="AA16" s="579"/>
      <c r="AB16" s="144"/>
      <c r="AC16" s="544"/>
      <c r="AD16" s="578"/>
      <c r="AE16" s="579"/>
      <c r="AF16" s="579"/>
      <c r="AG16" s="144"/>
      <c r="AH16" s="544"/>
      <c r="AI16" s="578"/>
      <c r="AJ16" s="579"/>
      <c r="AK16" s="579"/>
      <c r="AL16" s="144"/>
      <c r="AM16" s="544"/>
      <c r="AN16" s="578">
        <v>0</v>
      </c>
      <c r="AO16" s="579">
        <v>0</v>
      </c>
      <c r="AP16" s="579">
        <v>0</v>
      </c>
      <c r="AQ16" s="580">
        <v>0</v>
      </c>
      <c r="AR16" s="568"/>
      <c r="AS16" s="578">
        <v>0</v>
      </c>
      <c r="AT16" s="579">
        <v>0</v>
      </c>
      <c r="AU16" s="579">
        <v>0</v>
      </c>
      <c r="AV16" s="580">
        <v>0</v>
      </c>
      <c r="AW16" s="568"/>
      <c r="AX16" s="578">
        <v>0</v>
      </c>
      <c r="AY16" s="579">
        <v>0</v>
      </c>
      <c r="AZ16" s="579">
        <v>0</v>
      </c>
      <c r="BA16" s="580">
        <v>0</v>
      </c>
      <c r="BB16" s="568"/>
      <c r="BC16" s="578">
        <v>0</v>
      </c>
      <c r="BD16" s="579">
        <v>0</v>
      </c>
      <c r="BE16" s="579">
        <v>0</v>
      </c>
      <c r="BF16" s="580">
        <v>0</v>
      </c>
      <c r="BG16" s="568"/>
      <c r="BH16" s="578">
        <v>0</v>
      </c>
      <c r="BI16" s="579">
        <v>0</v>
      </c>
      <c r="BJ16" s="579">
        <v>0</v>
      </c>
      <c r="BK16" s="580">
        <v>0</v>
      </c>
      <c r="BL16" s="568"/>
      <c r="BM16" s="578">
        <v>0</v>
      </c>
      <c r="BN16" s="579">
        <v>0</v>
      </c>
      <c r="BO16" s="579">
        <v>0</v>
      </c>
      <c r="BP16" s="580">
        <v>0</v>
      </c>
      <c r="BQ16" s="568"/>
      <c r="BR16" s="568"/>
      <c r="BS16" s="568"/>
      <c r="BT16" s="568"/>
      <c r="BU16" s="568"/>
      <c r="BV16" s="568"/>
      <c r="BW16" s="568"/>
      <c r="BX16" s="568"/>
      <c r="BY16" s="568"/>
      <c r="BZ16" s="568"/>
      <c r="CA16" s="568"/>
      <c r="CB16" s="568"/>
      <c r="CC16" s="568"/>
      <c r="CD16" s="568"/>
      <c r="CE16" s="568"/>
      <c r="CF16" s="568"/>
      <c r="CG16" s="568"/>
      <c r="CH16" s="568"/>
      <c r="CI16" s="568"/>
      <c r="CJ16" s="568"/>
      <c r="CK16" s="568"/>
      <c r="CL16" s="568"/>
      <c r="CM16" s="568"/>
      <c r="CN16" s="568"/>
      <c r="CO16" s="568"/>
      <c r="CP16" s="568"/>
      <c r="CQ16" s="568"/>
      <c r="CR16" s="568"/>
      <c r="CS16" s="568"/>
      <c r="CT16" s="568"/>
      <c r="CU16" s="568"/>
      <c r="CV16" s="568"/>
    </row>
    <row r="17" spans="1:100">
      <c r="A17" s="568"/>
      <c r="B17" s="568"/>
      <c r="C17" s="545" t="s">
        <v>195</v>
      </c>
      <c r="D17" s="568"/>
      <c r="E17" s="149"/>
      <c r="F17" s="156"/>
      <c r="G17" s="156"/>
      <c r="H17" s="151"/>
      <c r="I17" s="489"/>
      <c r="J17" s="149"/>
      <c r="K17" s="156"/>
      <c r="L17" s="156"/>
      <c r="M17" s="151"/>
      <c r="N17" s="489"/>
      <c r="O17" s="149"/>
      <c r="P17" s="156"/>
      <c r="Q17" s="156"/>
      <c r="R17" s="151"/>
      <c r="S17" s="489"/>
      <c r="T17" s="149"/>
      <c r="U17" s="156"/>
      <c r="V17" s="156"/>
      <c r="W17" s="151"/>
      <c r="X17" s="489">
        <f>+X8-X15</f>
        <v>39</v>
      </c>
      <c r="Y17" s="149">
        <f>+Y8-Y15</f>
        <v>4</v>
      </c>
      <c r="Z17" s="156">
        <f>+Z8-Z15</f>
        <v>-3</v>
      </c>
      <c r="AA17" s="156">
        <f>+AA8-AA15</f>
        <v>5</v>
      </c>
      <c r="AB17" s="151">
        <f t="shared" ref="AB17:AH17" si="6">+AB8-AB15</f>
        <v>30</v>
      </c>
      <c r="AC17" s="489">
        <f t="shared" si="6"/>
        <v>36</v>
      </c>
      <c r="AD17" s="149">
        <f t="shared" si="6"/>
        <v>9</v>
      </c>
      <c r="AE17" s="156">
        <f t="shared" si="6"/>
        <v>9</v>
      </c>
      <c r="AF17" s="156">
        <f t="shared" si="6"/>
        <v>17</v>
      </c>
      <c r="AG17" s="151">
        <f t="shared" si="6"/>
        <v>46.25</v>
      </c>
      <c r="AH17" s="489">
        <f t="shared" si="6"/>
        <v>106</v>
      </c>
      <c r="AI17" s="149">
        <f>+AI8-AI15</f>
        <v>3.8499999999999943</v>
      </c>
      <c r="AJ17" s="156">
        <f>+AJ8-AJ15</f>
        <v>-6.1500000000000057</v>
      </c>
      <c r="AK17" s="156">
        <f>+AK8-AK15</f>
        <v>-3.1500000000000004</v>
      </c>
      <c r="AL17" s="151">
        <f>+AL8-AL15</f>
        <v>5.4500000000000455</v>
      </c>
      <c r="AM17" s="489">
        <f>+AM8-AM15</f>
        <v>0</v>
      </c>
      <c r="AN17" s="149">
        <v>0</v>
      </c>
      <c r="AO17" s="156">
        <v>0</v>
      </c>
      <c r="AP17" s="156">
        <v>0</v>
      </c>
      <c r="AQ17" s="151">
        <v>0</v>
      </c>
      <c r="AR17" s="489">
        <f>+AR8-AR15</f>
        <v>0</v>
      </c>
      <c r="AS17" s="149">
        <v>0</v>
      </c>
      <c r="AT17" s="156">
        <v>0</v>
      </c>
      <c r="AU17" s="156">
        <v>0</v>
      </c>
      <c r="AV17" s="151">
        <v>0</v>
      </c>
      <c r="AW17" s="489">
        <f>+AW8-AW15</f>
        <v>0</v>
      </c>
      <c r="AX17" s="149">
        <v>0</v>
      </c>
      <c r="AY17" s="156">
        <v>0</v>
      </c>
      <c r="AZ17" s="156">
        <v>0</v>
      </c>
      <c r="BA17" s="151">
        <v>0</v>
      </c>
      <c r="BB17" s="489">
        <f>+BB8-BB15</f>
        <v>0</v>
      </c>
      <c r="BC17" s="149">
        <v>0</v>
      </c>
      <c r="BD17" s="156">
        <v>0</v>
      </c>
      <c r="BE17" s="156">
        <v>0</v>
      </c>
      <c r="BF17" s="151">
        <v>0</v>
      </c>
      <c r="BG17" s="489">
        <f>+BG8-BG15</f>
        <v>0</v>
      </c>
      <c r="BH17" s="149">
        <v>0</v>
      </c>
      <c r="BI17" s="156">
        <v>0</v>
      </c>
      <c r="BJ17" s="156">
        <v>0</v>
      </c>
      <c r="BK17" s="151">
        <v>0</v>
      </c>
      <c r="BL17" s="489">
        <f>+BL8-BL15</f>
        <v>0</v>
      </c>
      <c r="BM17" s="149">
        <v>0</v>
      </c>
      <c r="BN17" s="156">
        <v>0</v>
      </c>
      <c r="BO17" s="156">
        <v>0</v>
      </c>
      <c r="BP17" s="151">
        <v>0</v>
      </c>
      <c r="BQ17" s="489">
        <f>+BQ8-BQ15</f>
        <v>0</v>
      </c>
      <c r="BR17" s="568"/>
      <c r="BS17" s="568"/>
      <c r="BT17" s="568"/>
      <c r="BU17" s="568"/>
      <c r="BV17" s="568"/>
      <c r="BW17" s="568"/>
      <c r="BX17" s="568"/>
      <c r="BY17" s="568"/>
      <c r="BZ17" s="568"/>
      <c r="CA17" s="568"/>
      <c r="CB17" s="568"/>
      <c r="CC17" s="568"/>
      <c r="CD17" s="568"/>
      <c r="CE17" s="568"/>
      <c r="CF17" s="568"/>
      <c r="CG17" s="568"/>
      <c r="CH17" s="568"/>
      <c r="CI17" s="568"/>
      <c r="CJ17" s="568"/>
      <c r="CK17" s="568"/>
      <c r="CL17" s="568"/>
      <c r="CM17" s="568"/>
      <c r="CN17" s="568"/>
      <c r="CO17" s="568"/>
      <c r="CP17" s="568"/>
      <c r="CQ17" s="568"/>
      <c r="CR17" s="568"/>
      <c r="CS17" s="568"/>
      <c r="CT17" s="568"/>
      <c r="CU17" s="568"/>
      <c r="CV17" s="568"/>
    </row>
    <row r="18" spans="1:100">
      <c r="A18" s="568"/>
      <c r="B18" s="568"/>
      <c r="C18" s="553"/>
      <c r="D18" s="568"/>
      <c r="E18" s="578"/>
      <c r="F18" s="579"/>
      <c r="G18" s="579"/>
      <c r="H18" s="580"/>
      <c r="I18" s="568"/>
      <c r="J18" s="578"/>
      <c r="K18" s="579"/>
      <c r="L18" s="579"/>
      <c r="M18" s="580"/>
      <c r="N18" s="568"/>
      <c r="O18" s="578"/>
      <c r="P18" s="579"/>
      <c r="Q18" s="579"/>
      <c r="R18" s="580"/>
      <c r="S18" s="568"/>
      <c r="T18" s="578"/>
      <c r="U18" s="579"/>
      <c r="V18" s="579"/>
      <c r="W18" s="580"/>
      <c r="X18" s="568"/>
      <c r="Y18" s="578"/>
      <c r="Z18" s="579"/>
      <c r="AA18" s="579"/>
      <c r="AB18" s="580"/>
      <c r="AC18" s="568"/>
      <c r="AD18" s="578"/>
      <c r="AE18" s="579"/>
      <c r="AF18" s="579"/>
      <c r="AG18" s="580"/>
      <c r="AH18" s="568"/>
      <c r="AI18" s="578"/>
      <c r="AJ18" s="579"/>
      <c r="AK18" s="579"/>
      <c r="AL18" s="580"/>
      <c r="AM18" s="568"/>
      <c r="AN18" s="578">
        <v>0</v>
      </c>
      <c r="AO18" s="579">
        <v>0</v>
      </c>
      <c r="AP18" s="579">
        <v>0</v>
      </c>
      <c r="AQ18" s="580">
        <v>0</v>
      </c>
      <c r="AR18" s="568"/>
      <c r="AS18" s="578">
        <v>0</v>
      </c>
      <c r="AT18" s="579">
        <v>0</v>
      </c>
      <c r="AU18" s="579">
        <v>0</v>
      </c>
      <c r="AV18" s="580">
        <v>0</v>
      </c>
      <c r="AW18" s="568"/>
      <c r="AX18" s="578">
        <v>0</v>
      </c>
      <c r="AY18" s="579">
        <v>0</v>
      </c>
      <c r="AZ18" s="579">
        <v>0</v>
      </c>
      <c r="BA18" s="580">
        <v>0</v>
      </c>
      <c r="BB18" s="568"/>
      <c r="BC18" s="578">
        <v>0</v>
      </c>
      <c r="BD18" s="579">
        <v>0</v>
      </c>
      <c r="BE18" s="579">
        <v>0</v>
      </c>
      <c r="BF18" s="580">
        <v>0</v>
      </c>
      <c r="BG18" s="568"/>
      <c r="BH18" s="578">
        <v>0</v>
      </c>
      <c r="BI18" s="579">
        <v>0</v>
      </c>
      <c r="BJ18" s="579">
        <v>0</v>
      </c>
      <c r="BK18" s="580">
        <v>0</v>
      </c>
      <c r="BL18" s="568"/>
      <c r="BM18" s="578">
        <v>0</v>
      </c>
      <c r="BN18" s="579">
        <v>0</v>
      </c>
      <c r="BO18" s="579">
        <v>0</v>
      </c>
      <c r="BP18" s="580">
        <v>0</v>
      </c>
      <c r="BQ18" s="568"/>
      <c r="BR18" s="568"/>
      <c r="BS18" s="568"/>
      <c r="BT18" s="568"/>
      <c r="BU18" s="568"/>
      <c r="BV18" s="568"/>
      <c r="BW18" s="568"/>
      <c r="BX18" s="568"/>
      <c r="BY18" s="568"/>
      <c r="BZ18" s="568"/>
      <c r="CA18" s="568"/>
      <c r="CB18" s="568"/>
      <c r="CC18" s="568"/>
      <c r="CD18" s="568"/>
      <c r="CE18" s="568"/>
      <c r="CF18" s="568"/>
      <c r="CG18" s="568"/>
      <c r="CH18" s="568"/>
      <c r="CI18" s="568"/>
      <c r="CJ18" s="568"/>
      <c r="CK18" s="568"/>
      <c r="CL18" s="568"/>
      <c r="CM18" s="568"/>
      <c r="CN18" s="568"/>
      <c r="CO18" s="568"/>
      <c r="CP18" s="568"/>
      <c r="CQ18" s="568"/>
      <c r="CR18" s="568"/>
      <c r="CS18" s="568"/>
      <c r="CT18" s="568"/>
      <c r="CU18" s="568"/>
      <c r="CV18" s="568"/>
    </row>
    <row r="19" spans="1:100" s="50" customFormat="1">
      <c r="A19" s="546"/>
      <c r="B19" s="546"/>
      <c r="C19" s="553" t="s">
        <v>121</v>
      </c>
      <c r="D19" s="546"/>
      <c r="E19" s="142"/>
      <c r="F19" s="159"/>
      <c r="G19" s="159"/>
      <c r="H19" s="144"/>
      <c r="I19" s="544"/>
      <c r="J19" s="142"/>
      <c r="K19" s="159"/>
      <c r="L19" s="159"/>
      <c r="M19" s="144"/>
      <c r="N19" s="544"/>
      <c r="O19" s="142"/>
      <c r="P19" s="159"/>
      <c r="Q19" s="159"/>
      <c r="R19" s="144"/>
      <c r="S19" s="544"/>
      <c r="T19" s="142"/>
      <c r="U19" s="159"/>
      <c r="V19" s="159"/>
      <c r="W19" s="144"/>
      <c r="X19" s="544">
        <v>0</v>
      </c>
      <c r="Y19" s="1202">
        <f>AC19/4</f>
        <v>0</v>
      </c>
      <c r="Z19" s="1203">
        <f>AC19/4</f>
        <v>0</v>
      </c>
      <c r="AA19" s="1203">
        <f>AC19/4</f>
        <v>0</v>
      </c>
      <c r="AB19" s="1205">
        <f>AC19/4</f>
        <v>0</v>
      </c>
      <c r="AC19" s="544">
        <v>0</v>
      </c>
      <c r="AD19" s="1202">
        <f>Y19</f>
        <v>0</v>
      </c>
      <c r="AE19" s="1203">
        <f>Z19</f>
        <v>0</v>
      </c>
      <c r="AF19" s="1203">
        <f>AA19</f>
        <v>0</v>
      </c>
      <c r="AG19" s="1205">
        <f>AH19/4</f>
        <v>0</v>
      </c>
      <c r="AH19" s="544">
        <v>0</v>
      </c>
      <c r="AI19" s="1202">
        <f>AM19/4</f>
        <v>0</v>
      </c>
      <c r="AJ19" s="1203">
        <f>(AM19-AI19)/3</f>
        <v>0</v>
      </c>
      <c r="AK19" s="1203">
        <f>(AM19-SUM(AI19:AJ19))/2</f>
        <v>0</v>
      </c>
      <c r="AL19" s="1205">
        <f>(AM19-SUM(AI19:AK19))/1</f>
        <v>0</v>
      </c>
      <c r="AM19" s="544">
        <v>0</v>
      </c>
      <c r="AN19" s="171">
        <v>0</v>
      </c>
      <c r="AO19" s="172">
        <v>0</v>
      </c>
      <c r="AP19" s="172">
        <v>0</v>
      </c>
      <c r="AQ19" s="173">
        <v>0</v>
      </c>
      <c r="AR19" s="546">
        <f>SUM(AN19:AQ19)</f>
        <v>0</v>
      </c>
      <c r="AS19" s="171">
        <v>0</v>
      </c>
      <c r="AT19" s="172">
        <v>0</v>
      </c>
      <c r="AU19" s="172">
        <v>0</v>
      </c>
      <c r="AV19" s="173">
        <v>0</v>
      </c>
      <c r="AW19" s="546">
        <f>SUM(AS19:AV19)</f>
        <v>0</v>
      </c>
      <c r="AX19" s="171">
        <v>0</v>
      </c>
      <c r="AY19" s="172">
        <v>0</v>
      </c>
      <c r="AZ19" s="172">
        <v>0</v>
      </c>
      <c r="BA19" s="173">
        <v>0</v>
      </c>
      <c r="BB19" s="546">
        <f>SUM(AX19:BA19)</f>
        <v>0</v>
      </c>
      <c r="BC19" s="171">
        <v>0</v>
      </c>
      <c r="BD19" s="172">
        <v>0</v>
      </c>
      <c r="BE19" s="172">
        <v>0</v>
      </c>
      <c r="BF19" s="173">
        <v>0</v>
      </c>
      <c r="BG19" s="546">
        <f>SUM(BC19:BF19)</f>
        <v>0</v>
      </c>
      <c r="BH19" s="171">
        <v>0</v>
      </c>
      <c r="BI19" s="172">
        <v>0</v>
      </c>
      <c r="BJ19" s="172">
        <v>0</v>
      </c>
      <c r="BK19" s="173">
        <v>0</v>
      </c>
      <c r="BL19" s="546">
        <f>SUM(BH19:BK19)</f>
        <v>0</v>
      </c>
      <c r="BM19" s="171">
        <v>0</v>
      </c>
      <c r="BN19" s="172">
        <v>0</v>
      </c>
      <c r="BO19" s="172">
        <v>0</v>
      </c>
      <c r="BP19" s="173">
        <v>0</v>
      </c>
      <c r="BQ19" s="546">
        <f>SUM(BM19:BP19)</f>
        <v>0</v>
      </c>
      <c r="BR19" s="546"/>
      <c r="BS19" s="546"/>
      <c r="BT19" s="546"/>
      <c r="BU19" s="546"/>
      <c r="BV19" s="546"/>
      <c r="BW19" s="546"/>
      <c r="BX19" s="546"/>
      <c r="BY19" s="546"/>
      <c r="BZ19" s="546"/>
      <c r="CA19" s="546"/>
      <c r="CB19" s="546"/>
      <c r="CC19" s="546"/>
      <c r="CD19" s="546"/>
      <c r="CE19" s="546"/>
      <c r="CF19" s="546"/>
      <c r="CG19" s="546"/>
      <c r="CH19" s="546"/>
      <c r="CI19" s="546"/>
      <c r="CJ19" s="546"/>
      <c r="CK19" s="546"/>
      <c r="CL19" s="546"/>
      <c r="CM19" s="546"/>
      <c r="CN19" s="546"/>
      <c r="CO19" s="546"/>
      <c r="CP19" s="546"/>
      <c r="CQ19" s="546"/>
      <c r="CR19" s="546"/>
      <c r="CS19" s="546"/>
      <c r="CT19" s="546"/>
      <c r="CU19" s="546"/>
      <c r="CV19" s="546"/>
    </row>
    <row r="20" spans="1:100">
      <c r="A20" s="568"/>
      <c r="B20" s="568"/>
      <c r="C20" s="553"/>
      <c r="D20" s="568"/>
      <c r="E20" s="171"/>
      <c r="F20" s="172"/>
      <c r="G20" s="172"/>
      <c r="H20" s="173"/>
      <c r="I20" s="577"/>
      <c r="J20" s="171"/>
      <c r="K20" s="172"/>
      <c r="L20" s="172"/>
      <c r="M20" s="173"/>
      <c r="N20" s="577"/>
      <c r="O20" s="171"/>
      <c r="P20" s="579"/>
      <c r="Q20" s="579"/>
      <c r="R20" s="173"/>
      <c r="S20" s="577"/>
      <c r="T20" s="171"/>
      <c r="U20" s="579"/>
      <c r="V20" s="579"/>
      <c r="W20" s="173"/>
      <c r="X20" s="577"/>
      <c r="Y20" s="171"/>
      <c r="Z20" s="579"/>
      <c r="AA20" s="579"/>
      <c r="AB20" s="173"/>
      <c r="AC20" s="577"/>
      <c r="AD20" s="171"/>
      <c r="AE20" s="579"/>
      <c r="AF20" s="579"/>
      <c r="AG20" s="173"/>
      <c r="AH20" s="577"/>
      <c r="AI20" s="578"/>
      <c r="AJ20" s="579"/>
      <c r="AK20" s="579"/>
      <c r="AL20" s="173"/>
      <c r="AM20" s="577"/>
      <c r="AN20" s="578">
        <v>0</v>
      </c>
      <c r="AO20" s="579">
        <v>0</v>
      </c>
      <c r="AP20" s="579">
        <v>0</v>
      </c>
      <c r="AQ20" s="580">
        <v>0</v>
      </c>
      <c r="AR20" s="568"/>
      <c r="AS20" s="578">
        <v>0</v>
      </c>
      <c r="AT20" s="579">
        <v>0</v>
      </c>
      <c r="AU20" s="579">
        <v>0</v>
      </c>
      <c r="AV20" s="580">
        <v>0</v>
      </c>
      <c r="AW20" s="568"/>
      <c r="AX20" s="578">
        <v>0</v>
      </c>
      <c r="AY20" s="579">
        <v>0</v>
      </c>
      <c r="AZ20" s="579">
        <v>0</v>
      </c>
      <c r="BA20" s="580">
        <v>0</v>
      </c>
      <c r="BB20" s="568"/>
      <c r="BC20" s="578">
        <v>0</v>
      </c>
      <c r="BD20" s="579">
        <v>0</v>
      </c>
      <c r="BE20" s="579">
        <v>0</v>
      </c>
      <c r="BF20" s="580">
        <v>0</v>
      </c>
      <c r="BG20" s="568"/>
      <c r="BH20" s="578">
        <v>0</v>
      </c>
      <c r="BI20" s="579">
        <v>0</v>
      </c>
      <c r="BJ20" s="579">
        <v>0</v>
      </c>
      <c r="BK20" s="580">
        <v>0</v>
      </c>
      <c r="BL20" s="568"/>
      <c r="BM20" s="578">
        <v>0</v>
      </c>
      <c r="BN20" s="579">
        <v>0</v>
      </c>
      <c r="BO20" s="579">
        <v>0</v>
      </c>
      <c r="BP20" s="580">
        <v>0</v>
      </c>
      <c r="BQ20" s="568"/>
      <c r="BR20" s="568"/>
      <c r="BS20" s="568"/>
      <c r="BT20" s="568"/>
      <c r="BU20" s="568"/>
      <c r="BV20" s="568"/>
      <c r="BW20" s="568"/>
      <c r="BX20" s="568"/>
      <c r="BY20" s="568"/>
      <c r="BZ20" s="568"/>
      <c r="CA20" s="568"/>
      <c r="CB20" s="568"/>
      <c r="CC20" s="568"/>
      <c r="CD20" s="568"/>
      <c r="CE20" s="568"/>
      <c r="CF20" s="568"/>
      <c r="CG20" s="568"/>
      <c r="CH20" s="568"/>
      <c r="CI20" s="568"/>
      <c r="CJ20" s="568"/>
      <c r="CK20" s="568"/>
      <c r="CL20" s="568"/>
      <c r="CM20" s="568"/>
      <c r="CN20" s="568"/>
      <c r="CO20" s="568"/>
      <c r="CP20" s="568"/>
      <c r="CQ20" s="568"/>
      <c r="CR20" s="568"/>
      <c r="CS20" s="568"/>
      <c r="CT20" s="568"/>
      <c r="CU20" s="568"/>
      <c r="CV20" s="568"/>
    </row>
    <row r="21" spans="1:100">
      <c r="A21" s="568"/>
      <c r="B21" s="568"/>
      <c r="C21" s="545" t="s">
        <v>3</v>
      </c>
      <c r="D21" s="568"/>
      <c r="E21" s="149"/>
      <c r="F21" s="156"/>
      <c r="G21" s="156"/>
      <c r="H21" s="151"/>
      <c r="I21" s="489"/>
      <c r="J21" s="149"/>
      <c r="K21" s="156"/>
      <c r="L21" s="156"/>
      <c r="M21" s="151"/>
      <c r="N21" s="489"/>
      <c r="O21" s="149"/>
      <c r="P21" s="156"/>
      <c r="Q21" s="156"/>
      <c r="R21" s="151"/>
      <c r="S21" s="489"/>
      <c r="T21" s="149"/>
      <c r="U21" s="156"/>
      <c r="V21" s="156"/>
      <c r="W21" s="151"/>
      <c r="X21" s="489">
        <f t="shared" ref="X21:AJ21" si="7">X17+X19</f>
        <v>39</v>
      </c>
      <c r="Y21" s="149">
        <f t="shared" si="7"/>
        <v>4</v>
      </c>
      <c r="Z21" s="156">
        <f t="shared" si="7"/>
        <v>-3</v>
      </c>
      <c r="AA21" s="156">
        <f t="shared" si="7"/>
        <v>5</v>
      </c>
      <c r="AB21" s="151">
        <f t="shared" si="7"/>
        <v>30</v>
      </c>
      <c r="AC21" s="489">
        <f t="shared" si="7"/>
        <v>36</v>
      </c>
      <c r="AD21" s="149">
        <f t="shared" si="7"/>
        <v>9</v>
      </c>
      <c r="AE21" s="156">
        <f t="shared" si="7"/>
        <v>9</v>
      </c>
      <c r="AF21" s="156">
        <f t="shared" si="7"/>
        <v>17</v>
      </c>
      <c r="AG21" s="151">
        <f t="shared" si="7"/>
        <v>46.25</v>
      </c>
      <c r="AH21" s="489">
        <f t="shared" si="7"/>
        <v>106</v>
      </c>
      <c r="AI21" s="149">
        <f t="shared" si="7"/>
        <v>3.8499999999999943</v>
      </c>
      <c r="AJ21" s="156">
        <f t="shared" si="7"/>
        <v>-6.1500000000000057</v>
      </c>
      <c r="AK21" s="156">
        <f>AK17+AK19</f>
        <v>-3.1500000000000004</v>
      </c>
      <c r="AL21" s="151">
        <f>AL17+AL19</f>
        <v>5.4500000000000455</v>
      </c>
      <c r="AM21" s="489">
        <f>AM17+AM19</f>
        <v>0</v>
      </c>
      <c r="AN21" s="149">
        <v>0</v>
      </c>
      <c r="AO21" s="156">
        <v>0</v>
      </c>
      <c r="AP21" s="156">
        <v>0</v>
      </c>
      <c r="AQ21" s="151">
        <v>0</v>
      </c>
      <c r="AR21" s="489">
        <f>AR17+AR19</f>
        <v>0</v>
      </c>
      <c r="AS21" s="149">
        <v>0</v>
      </c>
      <c r="AT21" s="156">
        <v>0</v>
      </c>
      <c r="AU21" s="156">
        <v>0</v>
      </c>
      <c r="AV21" s="151">
        <v>0</v>
      </c>
      <c r="AW21" s="489">
        <f>AW17+AW19</f>
        <v>0</v>
      </c>
      <c r="AX21" s="149">
        <v>0</v>
      </c>
      <c r="AY21" s="156">
        <v>0</v>
      </c>
      <c r="AZ21" s="156">
        <v>0</v>
      </c>
      <c r="BA21" s="151">
        <v>0</v>
      </c>
      <c r="BB21" s="489">
        <f>BB17+BB19</f>
        <v>0</v>
      </c>
      <c r="BC21" s="149">
        <v>0</v>
      </c>
      <c r="BD21" s="156">
        <v>0</v>
      </c>
      <c r="BE21" s="156">
        <v>0</v>
      </c>
      <c r="BF21" s="151">
        <v>0</v>
      </c>
      <c r="BG21" s="489">
        <f>BG17+BG19</f>
        <v>0</v>
      </c>
      <c r="BH21" s="149">
        <v>0</v>
      </c>
      <c r="BI21" s="156">
        <v>0</v>
      </c>
      <c r="BJ21" s="156">
        <v>0</v>
      </c>
      <c r="BK21" s="151">
        <v>0</v>
      </c>
      <c r="BL21" s="489">
        <f>BL17+BL19</f>
        <v>0</v>
      </c>
      <c r="BM21" s="149">
        <v>0</v>
      </c>
      <c r="BN21" s="156">
        <v>0</v>
      </c>
      <c r="BO21" s="156">
        <v>0</v>
      </c>
      <c r="BP21" s="151">
        <v>0</v>
      </c>
      <c r="BQ21" s="489">
        <f>BQ17+BQ19</f>
        <v>0</v>
      </c>
      <c r="BR21" s="568"/>
      <c r="BS21" s="568"/>
      <c r="BT21" s="568"/>
      <c r="BU21" s="568"/>
      <c r="BV21" s="568"/>
      <c r="BW21" s="568"/>
      <c r="BX21" s="568"/>
      <c r="BY21" s="568"/>
      <c r="BZ21" s="568"/>
      <c r="CA21" s="568"/>
      <c r="CB21" s="568"/>
      <c r="CC21" s="568"/>
      <c r="CD21" s="568"/>
      <c r="CE21" s="568"/>
      <c r="CF21" s="568"/>
      <c r="CG21" s="568"/>
      <c r="CH21" s="568"/>
      <c r="CI21" s="568"/>
      <c r="CJ21" s="568"/>
      <c r="CK21" s="568"/>
      <c r="CL21" s="568"/>
      <c r="CM21" s="568"/>
      <c r="CN21" s="568"/>
      <c r="CO21" s="568"/>
      <c r="CP21" s="568"/>
      <c r="CQ21" s="568"/>
      <c r="CR21" s="568"/>
      <c r="CS21" s="568"/>
      <c r="CT21" s="568"/>
      <c r="CU21" s="568"/>
      <c r="CV21" s="568"/>
    </row>
    <row r="22" spans="1:100">
      <c r="A22" s="568"/>
      <c r="B22" s="568"/>
      <c r="C22" s="545" t="s">
        <v>4</v>
      </c>
      <c r="D22" s="568"/>
      <c r="E22" s="149"/>
      <c r="F22" s="156"/>
      <c r="G22" s="156"/>
      <c r="H22" s="151"/>
      <c r="I22" s="489"/>
      <c r="J22" s="149"/>
      <c r="K22" s="156"/>
      <c r="L22" s="156"/>
      <c r="M22" s="151"/>
      <c r="N22" s="489"/>
      <c r="O22" s="149"/>
      <c r="P22" s="156"/>
      <c r="Q22" s="156"/>
      <c r="R22" s="151"/>
      <c r="S22" s="489"/>
      <c r="T22" s="149"/>
      <c r="U22" s="156"/>
      <c r="V22" s="156"/>
      <c r="W22" s="151"/>
      <c r="X22" s="489">
        <f t="shared" ref="X22:AJ22" si="8">+X21+X13</f>
        <v>68</v>
      </c>
      <c r="Y22" s="149">
        <f t="shared" si="8"/>
        <v>11.75</v>
      </c>
      <c r="Z22" s="156">
        <f t="shared" si="8"/>
        <v>4.75</v>
      </c>
      <c r="AA22" s="156">
        <f t="shared" si="8"/>
        <v>12.75</v>
      </c>
      <c r="AB22" s="151">
        <f t="shared" si="8"/>
        <v>37.75</v>
      </c>
      <c r="AC22" s="489">
        <f t="shared" si="8"/>
        <v>67</v>
      </c>
      <c r="AD22" s="149">
        <f t="shared" si="8"/>
        <v>16.75</v>
      </c>
      <c r="AE22" s="156">
        <f t="shared" si="8"/>
        <v>16.75</v>
      </c>
      <c r="AF22" s="156">
        <f t="shared" si="8"/>
        <v>24.75</v>
      </c>
      <c r="AG22" s="151">
        <f t="shared" si="8"/>
        <v>54</v>
      </c>
      <c r="AH22" s="489">
        <f t="shared" si="8"/>
        <v>137</v>
      </c>
      <c r="AI22" s="149">
        <f t="shared" si="8"/>
        <v>3.8499999999999943</v>
      </c>
      <c r="AJ22" s="156">
        <f t="shared" si="8"/>
        <v>-6.1500000000000057</v>
      </c>
      <c r="AK22" s="156">
        <f>+AK21+AK13</f>
        <v>-3.1500000000000004</v>
      </c>
      <c r="AL22" s="151">
        <f>+AL21+AL13</f>
        <v>5.4500000000000455</v>
      </c>
      <c r="AM22" s="489">
        <f>+AM21+AM13</f>
        <v>0</v>
      </c>
      <c r="AN22" s="149">
        <v>0</v>
      </c>
      <c r="AO22" s="156">
        <v>0</v>
      </c>
      <c r="AP22" s="156">
        <v>0</v>
      </c>
      <c r="AQ22" s="151">
        <v>0</v>
      </c>
      <c r="AR22" s="489">
        <f>+AR21+AR13</f>
        <v>0</v>
      </c>
      <c r="AS22" s="149">
        <v>0</v>
      </c>
      <c r="AT22" s="156">
        <v>0</v>
      </c>
      <c r="AU22" s="156">
        <v>0</v>
      </c>
      <c r="AV22" s="151">
        <v>0</v>
      </c>
      <c r="AW22" s="489">
        <f>+AW21+AW13</f>
        <v>0</v>
      </c>
      <c r="AX22" s="149">
        <v>0</v>
      </c>
      <c r="AY22" s="156">
        <v>0</v>
      </c>
      <c r="AZ22" s="156">
        <v>0</v>
      </c>
      <c r="BA22" s="151">
        <v>0</v>
      </c>
      <c r="BB22" s="489">
        <f>+BB21+BB13</f>
        <v>0</v>
      </c>
      <c r="BC22" s="149">
        <v>0</v>
      </c>
      <c r="BD22" s="156">
        <v>0</v>
      </c>
      <c r="BE22" s="156">
        <v>0</v>
      </c>
      <c r="BF22" s="151">
        <v>0</v>
      </c>
      <c r="BG22" s="489">
        <f>+BG21+BG13</f>
        <v>0</v>
      </c>
      <c r="BH22" s="149">
        <v>0</v>
      </c>
      <c r="BI22" s="156">
        <v>0</v>
      </c>
      <c r="BJ22" s="156">
        <v>0</v>
      </c>
      <c r="BK22" s="151">
        <v>0</v>
      </c>
      <c r="BL22" s="489">
        <f>+BL21+BL13</f>
        <v>0</v>
      </c>
      <c r="BM22" s="149">
        <v>0</v>
      </c>
      <c r="BN22" s="156">
        <v>0</v>
      </c>
      <c r="BO22" s="156">
        <v>0</v>
      </c>
      <c r="BP22" s="151">
        <v>0</v>
      </c>
      <c r="BQ22" s="489">
        <f>+BQ21+BQ13</f>
        <v>0</v>
      </c>
      <c r="BR22" s="568"/>
      <c r="BS22" s="568"/>
      <c r="BT22" s="568"/>
      <c r="BU22" s="568"/>
      <c r="BV22" s="568"/>
      <c r="BW22" s="568"/>
      <c r="BX22" s="568"/>
      <c r="BY22" s="568"/>
      <c r="BZ22" s="568"/>
      <c r="CA22" s="568"/>
      <c r="CB22" s="568"/>
      <c r="CC22" s="568"/>
      <c r="CD22" s="568"/>
      <c r="CE22" s="568"/>
      <c r="CF22" s="568"/>
      <c r="CG22" s="568"/>
      <c r="CH22" s="568"/>
      <c r="CI22" s="568"/>
      <c r="CJ22" s="568"/>
      <c r="CK22" s="568"/>
      <c r="CL22" s="568"/>
      <c r="CM22" s="568"/>
      <c r="CN22" s="568"/>
      <c r="CO22" s="568"/>
      <c r="CP22" s="568"/>
      <c r="CQ22" s="568"/>
      <c r="CR22" s="568"/>
      <c r="CS22" s="568"/>
      <c r="CT22" s="568"/>
      <c r="CU22" s="568"/>
      <c r="CV22" s="568"/>
    </row>
    <row r="23" spans="1:100">
      <c r="A23" s="568"/>
      <c r="B23" s="568"/>
      <c r="C23" s="553"/>
      <c r="D23" s="568"/>
      <c r="E23" s="171"/>
      <c r="F23" s="172"/>
      <c r="G23" s="172"/>
      <c r="H23" s="173"/>
      <c r="I23" s="568"/>
      <c r="J23" s="171"/>
      <c r="K23" s="172"/>
      <c r="L23" s="172"/>
      <c r="M23" s="173"/>
      <c r="N23" s="577"/>
      <c r="O23" s="171"/>
      <c r="P23" s="579"/>
      <c r="Q23" s="579"/>
      <c r="R23" s="173"/>
      <c r="S23" s="577"/>
      <c r="T23" s="171"/>
      <c r="U23" s="579"/>
      <c r="V23" s="579"/>
      <c r="W23" s="173"/>
      <c r="X23" s="577"/>
      <c r="Y23" s="171"/>
      <c r="Z23" s="579"/>
      <c r="AA23" s="579"/>
      <c r="AB23" s="173"/>
      <c r="AC23" s="577"/>
      <c r="AD23" s="171"/>
      <c r="AE23" s="579"/>
      <c r="AF23" s="579"/>
      <c r="AG23" s="173"/>
      <c r="AH23" s="577"/>
      <c r="AI23" s="578"/>
      <c r="AJ23" s="579"/>
      <c r="AK23" s="579"/>
      <c r="AL23" s="173"/>
      <c r="AM23" s="577"/>
      <c r="AN23" s="578">
        <v>0</v>
      </c>
      <c r="AO23" s="579">
        <v>0</v>
      </c>
      <c r="AP23" s="579">
        <v>0</v>
      </c>
      <c r="AQ23" s="580">
        <v>0</v>
      </c>
      <c r="AR23" s="568"/>
      <c r="AS23" s="578">
        <v>0</v>
      </c>
      <c r="AT23" s="579">
        <v>0</v>
      </c>
      <c r="AU23" s="579">
        <v>0</v>
      </c>
      <c r="AV23" s="580">
        <v>0</v>
      </c>
      <c r="AW23" s="568"/>
      <c r="AX23" s="578">
        <v>0</v>
      </c>
      <c r="AY23" s="579">
        <v>0</v>
      </c>
      <c r="AZ23" s="579">
        <v>0</v>
      </c>
      <c r="BA23" s="580">
        <v>0</v>
      </c>
      <c r="BB23" s="568"/>
      <c r="BC23" s="578">
        <v>0</v>
      </c>
      <c r="BD23" s="579">
        <v>0</v>
      </c>
      <c r="BE23" s="579">
        <v>0</v>
      </c>
      <c r="BF23" s="580">
        <v>0</v>
      </c>
      <c r="BG23" s="568"/>
      <c r="BH23" s="578">
        <v>0</v>
      </c>
      <c r="BI23" s="579">
        <v>0</v>
      </c>
      <c r="BJ23" s="579">
        <v>0</v>
      </c>
      <c r="BK23" s="580">
        <v>0</v>
      </c>
      <c r="BL23" s="568"/>
      <c r="BM23" s="578">
        <v>0</v>
      </c>
      <c r="BN23" s="579">
        <v>0</v>
      </c>
      <c r="BO23" s="579">
        <v>0</v>
      </c>
      <c r="BP23" s="580">
        <v>0</v>
      </c>
      <c r="BQ23" s="568"/>
      <c r="BR23" s="568"/>
      <c r="BS23" s="568"/>
      <c r="BT23" s="568"/>
      <c r="BU23" s="568"/>
      <c r="BV23" s="568"/>
      <c r="BW23" s="568"/>
      <c r="BX23" s="568"/>
      <c r="BY23" s="568"/>
      <c r="BZ23" s="568"/>
      <c r="CA23" s="568"/>
      <c r="CB23" s="568"/>
      <c r="CC23" s="568"/>
      <c r="CD23" s="568"/>
      <c r="CE23" s="568"/>
      <c r="CF23" s="568"/>
      <c r="CG23" s="568"/>
      <c r="CH23" s="568"/>
      <c r="CI23" s="568"/>
      <c r="CJ23" s="568"/>
      <c r="CK23" s="568"/>
      <c r="CL23" s="568"/>
      <c r="CM23" s="568"/>
      <c r="CN23" s="568"/>
      <c r="CO23" s="568"/>
      <c r="CP23" s="568"/>
      <c r="CQ23" s="568"/>
      <c r="CR23" s="568"/>
      <c r="CS23" s="568"/>
      <c r="CT23" s="568"/>
      <c r="CU23" s="568"/>
      <c r="CV23" s="568"/>
    </row>
    <row r="24" spans="1:100" s="50" customFormat="1">
      <c r="A24" s="546"/>
      <c r="B24" s="546"/>
      <c r="C24" s="553" t="s">
        <v>6</v>
      </c>
      <c r="D24" s="546"/>
      <c r="E24" s="142"/>
      <c r="F24" s="159"/>
      <c r="G24" s="159"/>
      <c r="H24" s="157"/>
      <c r="I24" s="544"/>
      <c r="J24" s="142"/>
      <c r="K24" s="159"/>
      <c r="L24" s="159"/>
      <c r="M24" s="157"/>
      <c r="N24" s="544"/>
      <c r="O24" s="142"/>
      <c r="P24" s="159"/>
      <c r="Q24" s="159"/>
      <c r="R24" s="157"/>
      <c r="S24" s="544"/>
      <c r="T24" s="142"/>
      <c r="U24" s="159"/>
      <c r="V24" s="159"/>
      <c r="W24" s="157"/>
      <c r="X24" s="544">
        <v>17</v>
      </c>
      <c r="Y24" s="1202">
        <f>AC24/4</f>
        <v>4.25</v>
      </c>
      <c r="Z24" s="1203">
        <f>AC24/4</f>
        <v>4.25</v>
      </c>
      <c r="AA24" s="1203">
        <f>AC24/4</f>
        <v>4.25</v>
      </c>
      <c r="AB24" s="1205">
        <f>AC24/4</f>
        <v>4.25</v>
      </c>
      <c r="AC24" s="544">
        <v>17</v>
      </c>
      <c r="AD24" s="1202">
        <f>Y24</f>
        <v>4.25</v>
      </c>
      <c r="AE24" s="1203">
        <f>Z24</f>
        <v>4.25</v>
      </c>
      <c r="AF24" s="1203">
        <f>AA24</f>
        <v>4.25</v>
      </c>
      <c r="AG24" s="1205">
        <f>AH24/4</f>
        <v>4.25</v>
      </c>
      <c r="AH24" s="544">
        <v>17</v>
      </c>
      <c r="AI24" s="161">
        <f>AM24/4</f>
        <v>0</v>
      </c>
      <c r="AJ24" s="1203">
        <f>(AM24-AI24)/3</f>
        <v>0</v>
      </c>
      <c r="AK24" s="1203">
        <f>(AM24-SUM(AI24:AJ24))/2</f>
        <v>0</v>
      </c>
      <c r="AL24" s="1205">
        <f>(AM24-SUM(AI24:AK24))/1</f>
        <v>0</v>
      </c>
      <c r="AM24" s="544">
        <v>0</v>
      </c>
      <c r="AN24" s="161">
        <v>0</v>
      </c>
      <c r="AO24" s="162">
        <v>0</v>
      </c>
      <c r="AP24" s="162">
        <v>0</v>
      </c>
      <c r="AQ24" s="144">
        <v>0</v>
      </c>
      <c r="AR24" s="546">
        <f>SUM(AN24:AQ24)</f>
        <v>0</v>
      </c>
      <c r="AS24" s="161">
        <v>0</v>
      </c>
      <c r="AT24" s="162">
        <v>0</v>
      </c>
      <c r="AU24" s="162">
        <v>0</v>
      </c>
      <c r="AV24" s="144">
        <v>0</v>
      </c>
      <c r="AW24" s="546">
        <f>SUM(AS24:AV24)</f>
        <v>0</v>
      </c>
      <c r="AX24" s="161">
        <v>0</v>
      </c>
      <c r="AY24" s="162">
        <v>0</v>
      </c>
      <c r="AZ24" s="162">
        <v>0</v>
      </c>
      <c r="BA24" s="144">
        <v>0</v>
      </c>
      <c r="BB24" s="546">
        <f>SUM(AX24:BA24)</f>
        <v>0</v>
      </c>
      <c r="BC24" s="161">
        <v>0</v>
      </c>
      <c r="BD24" s="162">
        <v>0</v>
      </c>
      <c r="BE24" s="162">
        <v>0</v>
      </c>
      <c r="BF24" s="144">
        <v>0</v>
      </c>
      <c r="BG24" s="546">
        <f>SUM(BC24:BF24)</f>
        <v>0</v>
      </c>
      <c r="BH24" s="161">
        <v>0</v>
      </c>
      <c r="BI24" s="162">
        <v>0</v>
      </c>
      <c r="BJ24" s="162">
        <v>0</v>
      </c>
      <c r="BK24" s="144">
        <v>0</v>
      </c>
      <c r="BL24" s="546">
        <f>SUM(BH24:BK24)</f>
        <v>0</v>
      </c>
      <c r="BM24" s="161">
        <v>0</v>
      </c>
      <c r="BN24" s="162">
        <v>0</v>
      </c>
      <c r="BO24" s="162">
        <v>0</v>
      </c>
      <c r="BP24" s="144">
        <v>0</v>
      </c>
      <c r="BQ24" s="546">
        <f>SUM(BM24:BP24)</f>
        <v>0</v>
      </c>
      <c r="BR24" s="546"/>
      <c r="BS24" s="546"/>
      <c r="BT24" s="546"/>
      <c r="BU24" s="546"/>
      <c r="BV24" s="546"/>
      <c r="BW24" s="546"/>
      <c r="BX24" s="546"/>
      <c r="BY24" s="546"/>
      <c r="BZ24" s="546"/>
      <c r="CA24" s="546"/>
      <c r="CB24" s="546"/>
      <c r="CC24" s="546"/>
      <c r="CD24" s="546"/>
      <c r="CE24" s="546"/>
      <c r="CF24" s="546"/>
      <c r="CG24" s="546"/>
      <c r="CH24" s="546"/>
      <c r="CI24" s="546"/>
      <c r="CJ24" s="546"/>
      <c r="CK24" s="546"/>
      <c r="CL24" s="546"/>
      <c r="CM24" s="546"/>
      <c r="CN24" s="546"/>
      <c r="CO24" s="546"/>
      <c r="CP24" s="546"/>
      <c r="CQ24" s="546"/>
      <c r="CR24" s="546"/>
      <c r="CS24" s="546"/>
      <c r="CT24" s="546"/>
      <c r="CU24" s="546"/>
      <c r="CV24" s="546"/>
    </row>
    <row r="25" spans="1:100">
      <c r="A25" s="568"/>
      <c r="B25" s="568"/>
      <c r="C25" s="553"/>
      <c r="D25" s="568"/>
      <c r="E25" s="171"/>
      <c r="F25" s="172"/>
      <c r="G25" s="172"/>
      <c r="H25" s="173"/>
      <c r="I25" s="577"/>
      <c r="J25" s="171"/>
      <c r="K25" s="172"/>
      <c r="L25" s="172"/>
      <c r="M25" s="173"/>
      <c r="N25" s="577"/>
      <c r="O25" s="171"/>
      <c r="P25" s="579"/>
      <c r="Q25" s="579"/>
      <c r="R25" s="173"/>
      <c r="S25" s="577"/>
      <c r="T25" s="171"/>
      <c r="U25" s="579"/>
      <c r="V25" s="579"/>
      <c r="W25" s="173"/>
      <c r="X25" s="577"/>
      <c r="Y25" s="171"/>
      <c r="Z25" s="579"/>
      <c r="AA25" s="579"/>
      <c r="AB25" s="173"/>
      <c r="AC25" s="577"/>
      <c r="AD25" s="171"/>
      <c r="AE25" s="579"/>
      <c r="AF25" s="579"/>
      <c r="AG25" s="173"/>
      <c r="AH25" s="577"/>
      <c r="AI25" s="578"/>
      <c r="AJ25" s="579"/>
      <c r="AK25" s="579"/>
      <c r="AL25" s="173"/>
      <c r="AM25" s="577"/>
      <c r="AN25" s="578">
        <v>0</v>
      </c>
      <c r="AO25" s="579">
        <v>0</v>
      </c>
      <c r="AP25" s="579">
        <v>0</v>
      </c>
      <c r="AQ25" s="580">
        <v>0</v>
      </c>
      <c r="AR25" s="568"/>
      <c r="AS25" s="578">
        <v>0</v>
      </c>
      <c r="AT25" s="579">
        <v>0</v>
      </c>
      <c r="AU25" s="579">
        <v>0</v>
      </c>
      <c r="AV25" s="580">
        <v>0</v>
      </c>
      <c r="AW25" s="568"/>
      <c r="AX25" s="578">
        <v>0</v>
      </c>
      <c r="AY25" s="579">
        <v>0</v>
      </c>
      <c r="AZ25" s="579">
        <v>0</v>
      </c>
      <c r="BA25" s="580">
        <v>0</v>
      </c>
      <c r="BB25" s="568"/>
      <c r="BC25" s="578">
        <v>0</v>
      </c>
      <c r="BD25" s="579">
        <v>0</v>
      </c>
      <c r="BE25" s="579">
        <v>0</v>
      </c>
      <c r="BF25" s="580">
        <v>0</v>
      </c>
      <c r="BG25" s="568"/>
      <c r="BH25" s="578">
        <v>0</v>
      </c>
      <c r="BI25" s="579">
        <v>0</v>
      </c>
      <c r="BJ25" s="579">
        <v>0</v>
      </c>
      <c r="BK25" s="580">
        <v>0</v>
      </c>
      <c r="BL25" s="568"/>
      <c r="BM25" s="578">
        <v>0</v>
      </c>
      <c r="BN25" s="579">
        <v>0</v>
      </c>
      <c r="BO25" s="579">
        <v>0</v>
      </c>
      <c r="BP25" s="580">
        <v>0</v>
      </c>
      <c r="BQ25" s="568"/>
      <c r="BR25" s="568"/>
      <c r="BS25" s="568"/>
      <c r="BT25" s="568"/>
      <c r="BU25" s="568"/>
      <c r="BV25" s="568"/>
      <c r="BW25" s="568"/>
      <c r="BX25" s="568"/>
      <c r="BY25" s="568"/>
      <c r="BZ25" s="568"/>
      <c r="CA25" s="568"/>
      <c r="CB25" s="568"/>
      <c r="CC25" s="568"/>
      <c r="CD25" s="568"/>
      <c r="CE25" s="568"/>
      <c r="CF25" s="568"/>
      <c r="CG25" s="568"/>
      <c r="CH25" s="568"/>
      <c r="CI25" s="568"/>
      <c r="CJ25" s="568"/>
      <c r="CK25" s="568"/>
      <c r="CL25" s="568"/>
      <c r="CM25" s="568"/>
      <c r="CN25" s="568"/>
      <c r="CO25" s="568"/>
      <c r="CP25" s="568"/>
      <c r="CQ25" s="568"/>
      <c r="CR25" s="568"/>
      <c r="CS25" s="568"/>
      <c r="CT25" s="568"/>
      <c r="CU25" s="568"/>
      <c r="CV25" s="568"/>
    </row>
    <row r="26" spans="1:100">
      <c r="A26" s="568"/>
      <c r="B26" s="568"/>
      <c r="C26" s="545" t="s">
        <v>7</v>
      </c>
      <c r="D26" s="546"/>
      <c r="E26" s="149"/>
      <c r="F26" s="156"/>
      <c r="G26" s="156"/>
      <c r="H26" s="151"/>
      <c r="I26" s="489"/>
      <c r="J26" s="149"/>
      <c r="K26" s="156"/>
      <c r="L26" s="156"/>
      <c r="M26" s="151"/>
      <c r="N26" s="489"/>
      <c r="O26" s="149"/>
      <c r="P26" s="156"/>
      <c r="Q26" s="156"/>
      <c r="R26" s="151"/>
      <c r="S26" s="489"/>
      <c r="T26" s="149"/>
      <c r="U26" s="156"/>
      <c r="V26" s="156"/>
      <c r="W26" s="151"/>
      <c r="X26" s="489">
        <f t="shared" ref="X26:AC26" si="9">+X21-X24</f>
        <v>22</v>
      </c>
      <c r="Y26" s="149">
        <f t="shared" si="9"/>
        <v>-0.25</v>
      </c>
      <c r="Z26" s="156">
        <f t="shared" si="9"/>
        <v>-7.25</v>
      </c>
      <c r="AA26" s="156">
        <f t="shared" si="9"/>
        <v>0.75</v>
      </c>
      <c r="AB26" s="151">
        <f t="shared" si="9"/>
        <v>25.75</v>
      </c>
      <c r="AC26" s="489">
        <f t="shared" si="9"/>
        <v>19</v>
      </c>
      <c r="AD26" s="149">
        <f t="shared" ref="AD26:AJ26" si="10">+AD21-AD24</f>
        <v>4.75</v>
      </c>
      <c r="AE26" s="156">
        <f t="shared" si="10"/>
        <v>4.75</v>
      </c>
      <c r="AF26" s="156">
        <f t="shared" si="10"/>
        <v>12.75</v>
      </c>
      <c r="AG26" s="151">
        <f t="shared" si="10"/>
        <v>42</v>
      </c>
      <c r="AH26" s="489">
        <f t="shared" si="10"/>
        <v>89</v>
      </c>
      <c r="AI26" s="149">
        <f t="shared" si="10"/>
        <v>3.8499999999999943</v>
      </c>
      <c r="AJ26" s="156">
        <f t="shared" si="10"/>
        <v>-6.1500000000000057</v>
      </c>
      <c r="AK26" s="156">
        <f>+AK21-AK24</f>
        <v>-3.1500000000000004</v>
      </c>
      <c r="AL26" s="151">
        <f>+AL21-AL24</f>
        <v>5.4500000000000455</v>
      </c>
      <c r="AM26" s="489">
        <f>+AM21-AM24</f>
        <v>0</v>
      </c>
      <c r="AN26" s="149">
        <v>0</v>
      </c>
      <c r="AO26" s="156">
        <v>0</v>
      </c>
      <c r="AP26" s="156">
        <v>0</v>
      </c>
      <c r="AQ26" s="151">
        <v>0</v>
      </c>
      <c r="AR26" s="489">
        <f>+AR21-AR24</f>
        <v>0</v>
      </c>
      <c r="AS26" s="149">
        <v>0</v>
      </c>
      <c r="AT26" s="156">
        <v>0</v>
      </c>
      <c r="AU26" s="156">
        <v>0</v>
      </c>
      <c r="AV26" s="151">
        <v>0</v>
      </c>
      <c r="AW26" s="489">
        <f>+AW21-AW24</f>
        <v>0</v>
      </c>
      <c r="AX26" s="149">
        <v>0</v>
      </c>
      <c r="AY26" s="156">
        <v>0</v>
      </c>
      <c r="AZ26" s="156">
        <v>0</v>
      </c>
      <c r="BA26" s="151">
        <v>0</v>
      </c>
      <c r="BB26" s="489">
        <f>+BB21-BB24</f>
        <v>0</v>
      </c>
      <c r="BC26" s="149">
        <v>0</v>
      </c>
      <c r="BD26" s="156">
        <v>0</v>
      </c>
      <c r="BE26" s="156">
        <v>0</v>
      </c>
      <c r="BF26" s="151">
        <v>0</v>
      </c>
      <c r="BG26" s="489">
        <f>+BG21-BG24</f>
        <v>0</v>
      </c>
      <c r="BH26" s="149">
        <v>0</v>
      </c>
      <c r="BI26" s="156">
        <v>0</v>
      </c>
      <c r="BJ26" s="156">
        <v>0</v>
      </c>
      <c r="BK26" s="151">
        <v>0</v>
      </c>
      <c r="BL26" s="489">
        <f>+BL21-BL24</f>
        <v>0</v>
      </c>
      <c r="BM26" s="149">
        <v>0</v>
      </c>
      <c r="BN26" s="156">
        <v>0</v>
      </c>
      <c r="BO26" s="156">
        <v>0</v>
      </c>
      <c r="BP26" s="151">
        <v>0</v>
      </c>
      <c r="BQ26" s="489">
        <f>+BQ21-BQ24</f>
        <v>0</v>
      </c>
      <c r="BR26" s="568"/>
      <c r="BS26" s="568"/>
      <c r="BT26" s="568"/>
      <c r="BU26" s="568"/>
      <c r="BV26" s="568"/>
      <c r="BW26" s="568"/>
      <c r="BX26" s="568"/>
      <c r="BY26" s="568"/>
      <c r="BZ26" s="568"/>
      <c r="CA26" s="568"/>
      <c r="CB26" s="568"/>
      <c r="CC26" s="568"/>
      <c r="CD26" s="568"/>
      <c r="CE26" s="568"/>
      <c r="CF26" s="568"/>
      <c r="CG26" s="568"/>
      <c r="CH26" s="568"/>
      <c r="CI26" s="568"/>
      <c r="CJ26" s="568"/>
      <c r="CK26" s="568"/>
      <c r="CL26" s="568"/>
      <c r="CM26" s="568"/>
      <c r="CN26" s="568"/>
      <c r="CO26" s="568"/>
      <c r="CP26" s="568"/>
      <c r="CQ26" s="568"/>
      <c r="CR26" s="568"/>
      <c r="CS26" s="568"/>
      <c r="CT26" s="568"/>
      <c r="CU26" s="568"/>
      <c r="CV26" s="568"/>
    </row>
    <row r="27" spans="1:100">
      <c r="A27" s="568"/>
      <c r="B27" s="568"/>
      <c r="C27" s="553"/>
      <c r="D27" s="568"/>
      <c r="E27" s="578"/>
      <c r="F27" s="579"/>
      <c r="G27" s="579"/>
      <c r="H27" s="580"/>
      <c r="I27" s="568"/>
      <c r="J27" s="578"/>
      <c r="K27" s="579"/>
      <c r="L27" s="579"/>
      <c r="M27" s="580"/>
      <c r="N27" s="568"/>
      <c r="O27" s="578"/>
      <c r="P27" s="579"/>
      <c r="Q27" s="579"/>
      <c r="R27" s="580"/>
      <c r="S27" s="568"/>
      <c r="T27" s="578"/>
      <c r="U27" s="579"/>
      <c r="V27" s="579"/>
      <c r="W27" s="580"/>
      <c r="X27" s="568"/>
      <c r="Y27" s="578"/>
      <c r="Z27" s="579"/>
      <c r="AA27" s="579"/>
      <c r="AB27" s="580"/>
      <c r="AC27" s="568"/>
      <c r="AD27" s="578"/>
      <c r="AE27" s="579"/>
      <c r="AF27" s="579"/>
      <c r="AG27" s="580"/>
      <c r="AH27" s="568"/>
      <c r="AI27" s="578"/>
      <c r="AJ27" s="579"/>
      <c r="AK27" s="579"/>
      <c r="AL27" s="580"/>
      <c r="AM27" s="568"/>
      <c r="AN27" s="578">
        <v>0</v>
      </c>
      <c r="AO27" s="579">
        <v>0</v>
      </c>
      <c r="AP27" s="579">
        <v>0</v>
      </c>
      <c r="AQ27" s="580">
        <v>0</v>
      </c>
      <c r="AR27" s="568"/>
      <c r="AS27" s="578">
        <v>0</v>
      </c>
      <c r="AT27" s="579">
        <v>0</v>
      </c>
      <c r="AU27" s="579">
        <v>0</v>
      </c>
      <c r="AV27" s="580">
        <v>0</v>
      </c>
      <c r="AW27" s="568"/>
      <c r="AX27" s="578">
        <v>0</v>
      </c>
      <c r="AY27" s="579">
        <v>0</v>
      </c>
      <c r="AZ27" s="579">
        <v>0</v>
      </c>
      <c r="BA27" s="580">
        <v>0</v>
      </c>
      <c r="BB27" s="568"/>
      <c r="BC27" s="578">
        <v>0</v>
      </c>
      <c r="BD27" s="579">
        <v>0</v>
      </c>
      <c r="BE27" s="579">
        <v>0</v>
      </c>
      <c r="BF27" s="580">
        <v>0</v>
      </c>
      <c r="BG27" s="568"/>
      <c r="BH27" s="578">
        <v>0</v>
      </c>
      <c r="BI27" s="579">
        <v>0</v>
      </c>
      <c r="BJ27" s="579">
        <v>0</v>
      </c>
      <c r="BK27" s="580">
        <v>0</v>
      </c>
      <c r="BL27" s="568"/>
      <c r="BM27" s="578">
        <v>0</v>
      </c>
      <c r="BN27" s="579">
        <v>0</v>
      </c>
      <c r="BO27" s="579">
        <v>0</v>
      </c>
      <c r="BP27" s="580">
        <v>0</v>
      </c>
      <c r="BQ27" s="568"/>
      <c r="BR27" s="568"/>
      <c r="BS27" s="568"/>
      <c r="BT27" s="568"/>
      <c r="BU27" s="568"/>
      <c r="BV27" s="568"/>
      <c r="BW27" s="568"/>
      <c r="BX27" s="568"/>
      <c r="BY27" s="568"/>
      <c r="BZ27" s="568"/>
      <c r="CA27" s="568"/>
      <c r="CB27" s="568"/>
      <c r="CC27" s="568"/>
      <c r="CD27" s="568"/>
      <c r="CE27" s="568"/>
      <c r="CF27" s="568"/>
      <c r="CG27" s="568"/>
      <c r="CH27" s="568"/>
      <c r="CI27" s="568"/>
      <c r="CJ27" s="568"/>
      <c r="CK27" s="568"/>
      <c r="CL27" s="568"/>
      <c r="CM27" s="568"/>
      <c r="CN27" s="568"/>
      <c r="CO27" s="568"/>
      <c r="CP27" s="568"/>
      <c r="CQ27" s="568"/>
      <c r="CR27" s="568"/>
      <c r="CS27" s="568"/>
      <c r="CT27" s="568"/>
      <c r="CU27" s="568"/>
      <c r="CV27" s="568"/>
    </row>
    <row r="28" spans="1:100">
      <c r="A28" s="568"/>
      <c r="B28" s="568"/>
      <c r="C28" s="553" t="s">
        <v>8</v>
      </c>
      <c r="D28" s="568"/>
      <c r="E28" s="142"/>
      <c r="F28" s="159"/>
      <c r="G28" s="159"/>
      <c r="H28" s="157"/>
      <c r="I28" s="544"/>
      <c r="J28" s="142"/>
      <c r="K28" s="159"/>
      <c r="L28" s="159"/>
      <c r="M28" s="157"/>
      <c r="N28" s="544"/>
      <c r="O28" s="142"/>
      <c r="P28" s="159"/>
      <c r="Q28" s="159"/>
      <c r="R28" s="157"/>
      <c r="S28" s="544"/>
      <c r="T28" s="142"/>
      <c r="U28" s="159"/>
      <c r="V28" s="159"/>
      <c r="W28" s="157"/>
      <c r="X28" s="544">
        <v>7</v>
      </c>
      <c r="Y28" s="1202">
        <f>AC28/4</f>
        <v>1.75</v>
      </c>
      <c r="Z28" s="1203">
        <f>AC28/4</f>
        <v>1.75</v>
      </c>
      <c r="AA28" s="1203">
        <f>AC28/4</f>
        <v>1.75</v>
      </c>
      <c r="AB28" s="1205">
        <f>AC28/4</f>
        <v>1.75</v>
      </c>
      <c r="AC28" s="544">
        <v>7</v>
      </c>
      <c r="AD28" s="1202">
        <f>Y28</f>
        <v>1.75</v>
      </c>
      <c r="AE28" s="1203">
        <f>Z28</f>
        <v>1.75</v>
      </c>
      <c r="AF28" s="1203">
        <f>AA28</f>
        <v>1.75</v>
      </c>
      <c r="AG28" s="1205">
        <f>AH28/4</f>
        <v>10</v>
      </c>
      <c r="AH28" s="544">
        <v>40</v>
      </c>
      <c r="AI28" s="578">
        <f>AM28/4</f>
        <v>-7.15</v>
      </c>
      <c r="AJ28" s="1203">
        <f>(AM28-AI28)/3</f>
        <v>-7.1500000000000012</v>
      </c>
      <c r="AK28" s="1203">
        <f>(AM28-SUM(AI28:AJ28))/2</f>
        <v>-7.15</v>
      </c>
      <c r="AL28" s="1205">
        <f>(AM28-SUM(AI28:AK28))/1</f>
        <v>-7.1499999999999986</v>
      </c>
      <c r="AM28" s="544">
        <f>-1.5+3.9-31</f>
        <v>-28.6</v>
      </c>
      <c r="AN28" s="578">
        <v>0</v>
      </c>
      <c r="AO28" s="579">
        <v>0</v>
      </c>
      <c r="AP28" s="579">
        <v>0</v>
      </c>
      <c r="AQ28" s="580">
        <v>0</v>
      </c>
      <c r="AR28" s="568">
        <f>SUM(AN28:AQ28)</f>
        <v>0</v>
      </c>
      <c r="AS28" s="578">
        <v>0</v>
      </c>
      <c r="AT28" s="579">
        <v>0</v>
      </c>
      <c r="AU28" s="579">
        <v>0</v>
      </c>
      <c r="AV28" s="580">
        <v>0</v>
      </c>
      <c r="AW28" s="568">
        <f>SUM(AS28:AV28)</f>
        <v>0</v>
      </c>
      <c r="AX28" s="578">
        <v>0</v>
      </c>
      <c r="AY28" s="579">
        <v>0</v>
      </c>
      <c r="AZ28" s="579">
        <v>0</v>
      </c>
      <c r="BA28" s="580">
        <v>0</v>
      </c>
      <c r="BB28" s="568">
        <f>SUM(AX28:BA28)</f>
        <v>0</v>
      </c>
      <c r="BC28" s="578">
        <v>0</v>
      </c>
      <c r="BD28" s="579">
        <v>0</v>
      </c>
      <c r="BE28" s="579">
        <v>0</v>
      </c>
      <c r="BF28" s="580">
        <v>0</v>
      </c>
      <c r="BG28" s="568">
        <f>SUM(BC28:BF28)</f>
        <v>0</v>
      </c>
      <c r="BH28" s="578">
        <v>0</v>
      </c>
      <c r="BI28" s="579">
        <v>0</v>
      </c>
      <c r="BJ28" s="579">
        <v>0</v>
      </c>
      <c r="BK28" s="580">
        <v>0</v>
      </c>
      <c r="BL28" s="568">
        <f>SUM(BH28:BK28)</f>
        <v>0</v>
      </c>
      <c r="BM28" s="578">
        <v>0</v>
      </c>
      <c r="BN28" s="579">
        <v>0</v>
      </c>
      <c r="BO28" s="579">
        <v>0</v>
      </c>
      <c r="BP28" s="580">
        <v>0</v>
      </c>
      <c r="BQ28" s="568">
        <f>SUM(BM28:BP28)</f>
        <v>0</v>
      </c>
      <c r="BR28" s="568"/>
      <c r="BS28" s="568"/>
      <c r="BT28" s="568"/>
      <c r="BU28" s="568"/>
      <c r="BV28" s="568"/>
      <c r="BW28" s="568"/>
      <c r="BX28" s="568"/>
      <c r="BY28" s="568"/>
      <c r="BZ28" s="568"/>
      <c r="CA28" s="568"/>
      <c r="CB28" s="568"/>
      <c r="CC28" s="568"/>
      <c r="CD28" s="568"/>
      <c r="CE28" s="568"/>
      <c r="CF28" s="568"/>
      <c r="CG28" s="568"/>
      <c r="CH28" s="568"/>
      <c r="CI28" s="568"/>
      <c r="CJ28" s="568"/>
      <c r="CK28" s="568"/>
      <c r="CL28" s="568"/>
      <c r="CM28" s="568"/>
      <c r="CN28" s="568"/>
      <c r="CO28" s="568"/>
      <c r="CP28" s="568"/>
      <c r="CQ28" s="568"/>
      <c r="CR28" s="568"/>
      <c r="CS28" s="568"/>
      <c r="CT28" s="568"/>
      <c r="CU28" s="568"/>
      <c r="CV28" s="568"/>
    </row>
    <row r="29" spans="1:100">
      <c r="A29" s="568"/>
      <c r="B29" s="568"/>
      <c r="C29" s="553"/>
      <c r="D29" s="568"/>
      <c r="E29" s="142"/>
      <c r="F29" s="159"/>
      <c r="G29" s="159"/>
      <c r="H29" s="158"/>
      <c r="I29" s="544"/>
      <c r="J29" s="142"/>
      <c r="K29" s="159"/>
      <c r="L29" s="159"/>
      <c r="M29" s="158"/>
      <c r="N29" s="544"/>
      <c r="O29" s="142"/>
      <c r="P29" s="159"/>
      <c r="Q29" s="159"/>
      <c r="R29" s="158"/>
      <c r="S29" s="544"/>
      <c r="T29" s="142"/>
      <c r="U29" s="159"/>
      <c r="V29" s="159"/>
      <c r="W29" s="158"/>
      <c r="X29" s="544"/>
      <c r="Y29" s="142"/>
      <c r="Z29" s="159"/>
      <c r="AA29" s="159"/>
      <c r="AB29" s="158"/>
      <c r="AC29" s="544"/>
      <c r="AD29" s="142"/>
      <c r="AE29" s="159"/>
      <c r="AF29" s="159"/>
      <c r="AG29" s="158"/>
      <c r="AH29" s="544"/>
      <c r="AI29" s="578"/>
      <c r="AJ29" s="159"/>
      <c r="AK29" s="159"/>
      <c r="AL29" s="158"/>
      <c r="AM29" s="544"/>
      <c r="AN29" s="578">
        <v>0</v>
      </c>
      <c r="AO29" s="579">
        <v>0</v>
      </c>
      <c r="AP29" s="579">
        <v>0</v>
      </c>
      <c r="AQ29" s="580">
        <v>0</v>
      </c>
      <c r="AR29" s="568"/>
      <c r="AS29" s="578">
        <v>0</v>
      </c>
      <c r="AT29" s="579">
        <v>0</v>
      </c>
      <c r="AU29" s="579">
        <v>0</v>
      </c>
      <c r="AV29" s="580">
        <v>0</v>
      </c>
      <c r="AW29" s="568"/>
      <c r="AX29" s="578">
        <v>0</v>
      </c>
      <c r="AY29" s="579">
        <v>0</v>
      </c>
      <c r="AZ29" s="579">
        <v>0</v>
      </c>
      <c r="BA29" s="580">
        <v>0</v>
      </c>
      <c r="BB29" s="568"/>
      <c r="BC29" s="578">
        <v>0</v>
      </c>
      <c r="BD29" s="579">
        <v>0</v>
      </c>
      <c r="BE29" s="579">
        <v>0</v>
      </c>
      <c r="BF29" s="580">
        <v>0</v>
      </c>
      <c r="BG29" s="568"/>
      <c r="BH29" s="578">
        <v>0</v>
      </c>
      <c r="BI29" s="579">
        <v>0</v>
      </c>
      <c r="BJ29" s="579">
        <v>0</v>
      </c>
      <c r="BK29" s="580">
        <v>0</v>
      </c>
      <c r="BL29" s="568"/>
      <c r="BM29" s="578">
        <v>0</v>
      </c>
      <c r="BN29" s="579">
        <v>0</v>
      </c>
      <c r="BO29" s="579">
        <v>0</v>
      </c>
      <c r="BP29" s="580">
        <v>0</v>
      </c>
      <c r="BQ29" s="568"/>
      <c r="BR29" s="568"/>
      <c r="BS29" s="568"/>
      <c r="BT29" s="568"/>
      <c r="BU29" s="568"/>
      <c r="BV29" s="568"/>
      <c r="BW29" s="568"/>
      <c r="BX29" s="568"/>
      <c r="BY29" s="568"/>
      <c r="BZ29" s="568"/>
      <c r="CA29" s="568"/>
      <c r="CB29" s="568"/>
      <c r="CC29" s="568"/>
      <c r="CD29" s="568"/>
      <c r="CE29" s="568"/>
      <c r="CF29" s="568"/>
      <c r="CG29" s="568"/>
      <c r="CH29" s="568"/>
      <c r="CI29" s="568"/>
      <c r="CJ29" s="568"/>
      <c r="CK29" s="568"/>
      <c r="CL29" s="568"/>
      <c r="CM29" s="568"/>
      <c r="CN29" s="568"/>
      <c r="CO29" s="568"/>
      <c r="CP29" s="568"/>
      <c r="CQ29" s="568"/>
      <c r="CR29" s="568"/>
      <c r="CS29" s="568"/>
      <c r="CT29" s="568"/>
      <c r="CU29" s="568"/>
      <c r="CV29" s="568"/>
    </row>
    <row r="30" spans="1:100">
      <c r="A30" s="489"/>
      <c r="B30" s="489"/>
      <c r="C30" s="545" t="s">
        <v>12</v>
      </c>
      <c r="D30" s="489"/>
      <c r="E30" s="152"/>
      <c r="F30" s="646"/>
      <c r="G30" s="646"/>
      <c r="H30" s="151"/>
      <c r="I30" s="489"/>
      <c r="J30" s="149"/>
      <c r="K30" s="156"/>
      <c r="L30" s="156"/>
      <c r="M30" s="151"/>
      <c r="N30" s="489"/>
      <c r="O30" s="149"/>
      <c r="P30" s="156"/>
      <c r="Q30" s="156"/>
      <c r="R30" s="151"/>
      <c r="S30" s="489"/>
      <c r="T30" s="149"/>
      <c r="U30" s="156"/>
      <c r="V30" s="156"/>
      <c r="W30" s="151"/>
      <c r="X30" s="573">
        <v>15</v>
      </c>
      <c r="Y30" s="256">
        <v>-2</v>
      </c>
      <c r="Z30" s="572">
        <v>-9</v>
      </c>
      <c r="AA30" s="572">
        <v>-1</v>
      </c>
      <c r="AB30" s="151">
        <f>AC30-Y30-Z30-AA30</f>
        <v>24</v>
      </c>
      <c r="AC30" s="573">
        <v>12</v>
      </c>
      <c r="AD30" s="256">
        <v>3</v>
      </c>
      <c r="AE30" s="572">
        <v>3</v>
      </c>
      <c r="AF30" s="572">
        <v>11</v>
      </c>
      <c r="AG30" s="151">
        <f>AH30-AD30-AE30-AF30</f>
        <v>32</v>
      </c>
      <c r="AH30" s="573">
        <v>49</v>
      </c>
      <c r="AI30" s="256">
        <v>11</v>
      </c>
      <c r="AJ30" s="572">
        <v>1</v>
      </c>
      <c r="AK30" s="572">
        <v>4</v>
      </c>
      <c r="AL30" s="151">
        <f>AM30-AI30-AJ30-AK30</f>
        <v>12.600000000000001</v>
      </c>
      <c r="AM30" s="573">
        <v>28.6</v>
      </c>
      <c r="AN30" s="149">
        <v>0</v>
      </c>
      <c r="AO30" s="156">
        <v>0</v>
      </c>
      <c r="AP30" s="156">
        <v>0</v>
      </c>
      <c r="AQ30" s="151">
        <v>0</v>
      </c>
      <c r="AR30" s="489">
        <f>AR26-AR28</f>
        <v>0</v>
      </c>
      <c r="AS30" s="149">
        <v>0</v>
      </c>
      <c r="AT30" s="156">
        <v>0</v>
      </c>
      <c r="AU30" s="156">
        <v>0</v>
      </c>
      <c r="AV30" s="151">
        <v>0</v>
      </c>
      <c r="AW30" s="489">
        <f>AW26-AW28</f>
        <v>0</v>
      </c>
      <c r="AX30" s="149">
        <v>0</v>
      </c>
      <c r="AY30" s="156">
        <v>0</v>
      </c>
      <c r="AZ30" s="156">
        <v>0</v>
      </c>
      <c r="BA30" s="151">
        <v>0</v>
      </c>
      <c r="BB30" s="489">
        <f>BB26-BB28</f>
        <v>0</v>
      </c>
      <c r="BC30" s="149">
        <v>0</v>
      </c>
      <c r="BD30" s="156">
        <v>0</v>
      </c>
      <c r="BE30" s="156">
        <v>0</v>
      </c>
      <c r="BF30" s="151">
        <v>0</v>
      </c>
      <c r="BG30" s="489">
        <f>BG26-BG28</f>
        <v>0</v>
      </c>
      <c r="BH30" s="149">
        <v>0</v>
      </c>
      <c r="BI30" s="156">
        <v>0</v>
      </c>
      <c r="BJ30" s="156">
        <v>0</v>
      </c>
      <c r="BK30" s="151">
        <v>0</v>
      </c>
      <c r="BL30" s="489">
        <f>BL26-BL28</f>
        <v>0</v>
      </c>
      <c r="BM30" s="149">
        <v>0</v>
      </c>
      <c r="BN30" s="156">
        <v>0</v>
      </c>
      <c r="BO30" s="156">
        <v>0</v>
      </c>
      <c r="BP30" s="151">
        <v>0</v>
      </c>
      <c r="BQ30" s="489">
        <f>BQ26-BQ28</f>
        <v>0</v>
      </c>
      <c r="BR30" s="489"/>
      <c r="BS30" s="489"/>
      <c r="BT30" s="489"/>
      <c r="BU30" s="489"/>
      <c r="BV30" s="489"/>
      <c r="BW30" s="489"/>
      <c r="BX30" s="489"/>
      <c r="BY30" s="489"/>
      <c r="BZ30" s="489"/>
      <c r="CA30" s="489"/>
      <c r="CB30" s="489"/>
      <c r="CC30" s="489"/>
      <c r="CD30" s="489"/>
      <c r="CE30" s="489"/>
      <c r="CF30" s="489"/>
      <c r="CG30" s="489"/>
      <c r="CH30" s="489"/>
      <c r="CI30" s="489"/>
      <c r="CJ30" s="489"/>
      <c r="CK30" s="489"/>
      <c r="CL30" s="489"/>
      <c r="CM30" s="489"/>
      <c r="CN30" s="489"/>
      <c r="CO30" s="489"/>
      <c r="CP30" s="489"/>
      <c r="CQ30" s="489"/>
    </row>
    <row r="31" spans="1:100">
      <c r="C31" s="50" t="s">
        <v>614</v>
      </c>
      <c r="E31" s="142"/>
      <c r="F31" s="159"/>
      <c r="G31" s="159"/>
      <c r="H31" s="144"/>
      <c r="I31" s="544"/>
      <c r="J31" s="142"/>
      <c r="K31" s="159"/>
      <c r="L31" s="159"/>
      <c r="M31" s="144"/>
      <c r="N31" s="544"/>
      <c r="O31" s="142"/>
      <c r="P31" s="159"/>
      <c r="Q31" s="159"/>
      <c r="R31" s="144"/>
      <c r="S31" s="544"/>
      <c r="T31" s="142"/>
      <c r="U31" s="159"/>
      <c r="V31" s="159"/>
      <c r="W31" s="144"/>
      <c r="X31" s="544">
        <v>0</v>
      </c>
      <c r="Y31" s="142">
        <v>0</v>
      </c>
      <c r="Z31" s="159">
        <v>0</v>
      </c>
      <c r="AA31" s="159">
        <v>0</v>
      </c>
      <c r="AB31" s="157">
        <f>AC31-SUM(Y31:AA31)</f>
        <v>0</v>
      </c>
      <c r="AC31" s="544">
        <v>0</v>
      </c>
      <c r="AD31" s="142">
        <v>0</v>
      </c>
      <c r="AE31" s="159">
        <v>0</v>
      </c>
      <c r="AF31" s="159">
        <v>0</v>
      </c>
      <c r="AG31" s="157">
        <f>AH31-SUM(AD31:AF31)</f>
        <v>0</v>
      </c>
      <c r="AH31" s="544">
        <v>0</v>
      </c>
      <c r="AI31" s="142">
        <v>0</v>
      </c>
      <c r="AJ31" s="159">
        <v>0</v>
      </c>
      <c r="AK31" s="159">
        <v>0</v>
      </c>
      <c r="AL31" s="157">
        <f>AM31-SUM(AI31:AK31)</f>
        <v>0</v>
      </c>
      <c r="AM31" s="544">
        <v>0</v>
      </c>
      <c r="AN31" s="171">
        <v>0</v>
      </c>
      <c r="AO31" s="243">
        <v>0</v>
      </c>
      <c r="AP31" s="243">
        <v>0</v>
      </c>
      <c r="AQ31" s="173">
        <v>0</v>
      </c>
      <c r="AR31" s="245">
        <f>SUM(AN31:AQ31)</f>
        <v>0</v>
      </c>
      <c r="AS31" s="171">
        <v>0</v>
      </c>
      <c r="AT31" s="243">
        <v>0</v>
      </c>
      <c r="AU31" s="243">
        <v>0</v>
      </c>
      <c r="AV31" s="173">
        <v>0</v>
      </c>
      <c r="AW31" s="245">
        <f>SUM(AS31:AV31)</f>
        <v>0</v>
      </c>
      <c r="AX31" s="171">
        <v>0</v>
      </c>
      <c r="AY31" s="243">
        <v>0</v>
      </c>
      <c r="AZ31" s="243">
        <v>0</v>
      </c>
      <c r="BA31" s="173">
        <v>0</v>
      </c>
      <c r="BB31" s="245">
        <f>SUM(AX31:BA31)</f>
        <v>0</v>
      </c>
      <c r="BC31" s="171">
        <v>0</v>
      </c>
      <c r="BD31" s="243">
        <v>0</v>
      </c>
      <c r="BE31" s="243">
        <v>0</v>
      </c>
      <c r="BF31" s="173">
        <v>0</v>
      </c>
      <c r="BG31" s="245">
        <f>SUM(BC31:BF31)</f>
        <v>0</v>
      </c>
      <c r="BH31" s="171">
        <v>0</v>
      </c>
      <c r="BI31" s="243">
        <v>0</v>
      </c>
      <c r="BJ31" s="243">
        <v>0</v>
      </c>
      <c r="BK31" s="173">
        <v>0</v>
      </c>
      <c r="BL31" s="245">
        <f>SUM(BH31:BK31)</f>
        <v>0</v>
      </c>
      <c r="BM31" s="171">
        <v>0</v>
      </c>
      <c r="BN31" s="243">
        <v>0</v>
      </c>
      <c r="BO31" s="243">
        <v>0</v>
      </c>
      <c r="BP31" s="173">
        <v>0</v>
      </c>
      <c r="BQ31" s="245">
        <f>SUM(BM31:BP31)</f>
        <v>0</v>
      </c>
    </row>
    <row r="32" spans="1:100">
      <c r="A32" s="568"/>
      <c r="B32" s="568"/>
      <c r="C32" s="545" t="s">
        <v>16</v>
      </c>
      <c r="D32" s="568"/>
      <c r="E32" s="149"/>
      <c r="F32" s="156"/>
      <c r="G32" s="156"/>
      <c r="H32" s="151"/>
      <c r="I32" s="489"/>
      <c r="J32" s="149"/>
      <c r="K32" s="156"/>
      <c r="L32" s="156"/>
      <c r="M32" s="151"/>
      <c r="N32" s="489"/>
      <c r="O32" s="149"/>
      <c r="P32" s="156"/>
      <c r="Q32" s="156"/>
      <c r="R32" s="151"/>
      <c r="S32" s="489"/>
      <c r="T32" s="149"/>
      <c r="U32" s="156"/>
      <c r="V32" s="156"/>
      <c r="W32" s="151"/>
      <c r="X32" s="489">
        <f t="shared" ref="X32:AC32" si="11">SUM(X30:X31)</f>
        <v>15</v>
      </c>
      <c r="Y32" s="149">
        <f t="shared" si="11"/>
        <v>-2</v>
      </c>
      <c r="Z32" s="156">
        <f t="shared" si="11"/>
        <v>-9</v>
      </c>
      <c r="AA32" s="156">
        <f t="shared" si="11"/>
        <v>-1</v>
      </c>
      <c r="AB32" s="151">
        <f t="shared" si="11"/>
        <v>24</v>
      </c>
      <c r="AC32" s="489">
        <f t="shared" si="11"/>
        <v>12</v>
      </c>
      <c r="AD32" s="149">
        <f t="shared" ref="AD32:AJ32" si="12">SUM(AD30:AD31)</f>
        <v>3</v>
      </c>
      <c r="AE32" s="156">
        <f t="shared" si="12"/>
        <v>3</v>
      </c>
      <c r="AF32" s="156">
        <f t="shared" si="12"/>
        <v>11</v>
      </c>
      <c r="AG32" s="151">
        <f t="shared" si="12"/>
        <v>32</v>
      </c>
      <c r="AH32" s="489">
        <f t="shared" si="12"/>
        <v>49</v>
      </c>
      <c r="AI32" s="149">
        <f t="shared" si="12"/>
        <v>11</v>
      </c>
      <c r="AJ32" s="156">
        <f t="shared" si="12"/>
        <v>1</v>
      </c>
      <c r="AK32" s="156">
        <f>SUM(AK30:AK31)</f>
        <v>4</v>
      </c>
      <c r="AL32" s="151">
        <f>SUM(AL30:AL31)</f>
        <v>12.600000000000001</v>
      </c>
      <c r="AM32" s="489">
        <f>SUM(AM30:AM31)</f>
        <v>28.6</v>
      </c>
      <c r="AN32" s="149">
        <v>0</v>
      </c>
      <c r="AO32" s="156">
        <v>0</v>
      </c>
      <c r="AP32" s="156">
        <v>0</v>
      </c>
      <c r="AQ32" s="151">
        <v>0</v>
      </c>
      <c r="AR32" s="489">
        <f>SUM(AR30:AR31)</f>
        <v>0</v>
      </c>
      <c r="AS32" s="149">
        <v>0</v>
      </c>
      <c r="AT32" s="156">
        <v>0</v>
      </c>
      <c r="AU32" s="156">
        <v>0</v>
      </c>
      <c r="AV32" s="151">
        <v>0</v>
      </c>
      <c r="AW32" s="489">
        <f>SUM(AW30:AW31)</f>
        <v>0</v>
      </c>
      <c r="AX32" s="149">
        <v>0</v>
      </c>
      <c r="AY32" s="156">
        <v>0</v>
      </c>
      <c r="AZ32" s="156">
        <v>0</v>
      </c>
      <c r="BA32" s="151">
        <v>0</v>
      </c>
      <c r="BB32" s="489">
        <f>SUM(BB30:BB31)</f>
        <v>0</v>
      </c>
      <c r="BC32" s="149">
        <v>0</v>
      </c>
      <c r="BD32" s="156">
        <v>0</v>
      </c>
      <c r="BE32" s="156">
        <v>0</v>
      </c>
      <c r="BF32" s="151">
        <v>0</v>
      </c>
      <c r="BG32" s="489">
        <f>SUM(BG30:BG31)</f>
        <v>0</v>
      </c>
      <c r="BH32" s="149">
        <v>0</v>
      </c>
      <c r="BI32" s="156">
        <v>0</v>
      </c>
      <c r="BJ32" s="156">
        <v>0</v>
      </c>
      <c r="BK32" s="151">
        <v>0</v>
      </c>
      <c r="BL32" s="489">
        <f>SUM(BL30:BL31)</f>
        <v>0</v>
      </c>
      <c r="BM32" s="149">
        <v>0</v>
      </c>
      <c r="BN32" s="156">
        <v>0</v>
      </c>
      <c r="BO32" s="156">
        <v>0</v>
      </c>
      <c r="BP32" s="151">
        <v>0</v>
      </c>
      <c r="BQ32" s="489">
        <f>SUM(BQ30:BQ31)</f>
        <v>0</v>
      </c>
      <c r="BR32" s="568"/>
      <c r="BS32" s="568"/>
      <c r="BT32" s="568"/>
      <c r="BU32" s="568"/>
      <c r="BV32" s="568"/>
      <c r="BW32" s="568"/>
      <c r="BX32" s="568"/>
      <c r="BY32" s="568"/>
      <c r="BZ32" s="568"/>
      <c r="CA32" s="568"/>
      <c r="CB32" s="568"/>
      <c r="CC32" s="568"/>
      <c r="CD32" s="568"/>
      <c r="CE32" s="568"/>
      <c r="CF32" s="568"/>
      <c r="CG32" s="568"/>
      <c r="CH32" s="568"/>
      <c r="CI32" s="568"/>
      <c r="CJ32" s="568"/>
      <c r="CK32" s="568"/>
      <c r="CL32" s="568"/>
      <c r="CM32" s="568"/>
      <c r="CN32" s="568"/>
      <c r="CO32" s="568"/>
      <c r="CP32" s="568"/>
      <c r="CQ32" s="568"/>
    </row>
    <row r="33" spans="1:100">
      <c r="A33" s="568"/>
      <c r="B33" s="568"/>
      <c r="C33" s="553"/>
      <c r="D33" s="568"/>
      <c r="E33" s="578"/>
      <c r="F33" s="579"/>
      <c r="G33" s="579"/>
      <c r="H33" s="580"/>
      <c r="I33" s="568"/>
      <c r="J33" s="578"/>
      <c r="K33" s="579"/>
      <c r="L33" s="579"/>
      <c r="M33" s="580"/>
      <c r="N33" s="568"/>
      <c r="O33" s="578"/>
      <c r="P33" s="579"/>
      <c r="Q33" s="579"/>
      <c r="R33" s="580"/>
      <c r="S33" s="568"/>
      <c r="T33" s="578"/>
      <c r="U33" s="579"/>
      <c r="V33" s="579"/>
      <c r="W33" s="580"/>
      <c r="X33" s="568"/>
      <c r="Y33" s="578"/>
      <c r="Z33" s="579"/>
      <c r="AA33" s="579"/>
      <c r="AB33" s="580"/>
      <c r="AC33" s="568"/>
      <c r="AD33" s="578"/>
      <c r="AE33" s="579"/>
      <c r="AF33" s="579"/>
      <c r="AG33" s="580"/>
      <c r="AH33" s="568"/>
      <c r="AI33" s="578"/>
      <c r="AJ33" s="579"/>
      <c r="AK33" s="579"/>
      <c r="AL33" s="580"/>
      <c r="AM33" s="568"/>
      <c r="AN33" s="578"/>
      <c r="AO33" s="579"/>
      <c r="AP33" s="579"/>
      <c r="AQ33" s="580"/>
      <c r="AR33" s="568"/>
      <c r="AS33" s="578"/>
      <c r="AT33" s="579"/>
      <c r="AU33" s="579"/>
      <c r="AV33" s="580"/>
      <c r="AW33" s="568"/>
      <c r="AX33" s="578"/>
      <c r="AY33" s="579"/>
      <c r="AZ33" s="579"/>
      <c r="BA33" s="580"/>
      <c r="BB33" s="568"/>
      <c r="BC33" s="578"/>
      <c r="BD33" s="579"/>
      <c r="BE33" s="579"/>
      <c r="BF33" s="580"/>
      <c r="BG33" s="568"/>
      <c r="BH33" s="578"/>
      <c r="BI33" s="579"/>
      <c r="BJ33" s="579"/>
      <c r="BK33" s="580"/>
      <c r="BL33" s="568"/>
      <c r="BM33" s="578"/>
      <c r="BN33" s="579"/>
      <c r="BO33" s="579"/>
      <c r="BP33" s="580"/>
      <c r="BQ33" s="568"/>
      <c r="BR33" s="568"/>
      <c r="BS33" s="568"/>
      <c r="BT33" s="568"/>
      <c r="BU33" s="568"/>
      <c r="BV33" s="568"/>
      <c r="BW33" s="568"/>
      <c r="BX33" s="568"/>
      <c r="BY33" s="568"/>
      <c r="BZ33" s="568"/>
      <c r="CA33" s="568"/>
      <c r="CB33" s="568"/>
      <c r="CC33" s="568"/>
      <c r="CD33" s="568"/>
      <c r="CE33" s="568"/>
      <c r="CF33" s="568"/>
      <c r="CG33" s="568"/>
      <c r="CH33" s="568"/>
      <c r="CI33" s="568"/>
      <c r="CJ33" s="568"/>
      <c r="CK33" s="568"/>
      <c r="CL33" s="568"/>
      <c r="CM33" s="568"/>
      <c r="CN33" s="568"/>
      <c r="CO33" s="568"/>
      <c r="CP33" s="568"/>
      <c r="CQ33" s="568"/>
      <c r="CR33" s="568"/>
      <c r="CS33" s="568"/>
      <c r="CT33" s="568"/>
      <c r="CU33" s="568"/>
      <c r="CV33" s="568"/>
    </row>
    <row r="34" spans="1:100">
      <c r="A34" s="568"/>
      <c r="B34" s="568"/>
      <c r="C34" s="553" t="s">
        <v>898</v>
      </c>
      <c r="D34" s="568"/>
      <c r="E34" s="161"/>
      <c r="F34" s="162"/>
      <c r="G34" s="162"/>
      <c r="H34" s="144"/>
      <c r="I34" s="546"/>
      <c r="J34" s="161"/>
      <c r="K34" s="162"/>
      <c r="L34" s="162"/>
      <c r="M34" s="144"/>
      <c r="N34" s="546"/>
      <c r="O34" s="161"/>
      <c r="P34" s="162"/>
      <c r="Q34" s="162"/>
      <c r="R34" s="144"/>
      <c r="S34" s="546"/>
      <c r="T34" s="161"/>
      <c r="U34" s="162"/>
      <c r="V34" s="162"/>
      <c r="W34" s="144"/>
      <c r="X34" s="546">
        <f>AEP!X51</f>
        <v>484.68246900000003</v>
      </c>
      <c r="Y34" s="161">
        <f>AEP!Y51</f>
        <v>485.823668</v>
      </c>
      <c r="Z34" s="162">
        <f>AEP!Z51</f>
        <v>486.293026</v>
      </c>
      <c r="AA34" s="162">
        <f>AEP!AA51</f>
        <v>486.93274700000001</v>
      </c>
      <c r="AB34" s="144">
        <f>AEP!AB51</f>
        <v>487</v>
      </c>
      <c r="AC34" s="546">
        <f>AEP!AC51</f>
        <v>486.61955499999999</v>
      </c>
      <c r="AD34" s="161">
        <f>AEP!AD51</f>
        <v>487.86708900000002</v>
      </c>
      <c r="AE34" s="162">
        <f>AEP!AE51</f>
        <v>488.29157600000002</v>
      </c>
      <c r="AF34" s="162">
        <f>AEP!AF51</f>
        <v>488.912892</v>
      </c>
      <c r="AG34" s="144">
        <f>AEP!AG51</f>
        <v>489</v>
      </c>
      <c r="AH34" s="546">
        <f>AEP!AH51</f>
        <v>488.59299700000003</v>
      </c>
      <c r="AI34" s="161">
        <f>AEP!AI51</f>
        <v>489.59798599999999</v>
      </c>
      <c r="AJ34" s="162">
        <f>AEP!AJ51</f>
        <v>490.20748200000003</v>
      </c>
      <c r="AK34" s="162">
        <f>AEP!AK51</f>
        <v>490.64892900000001</v>
      </c>
      <c r="AL34" s="144">
        <f>AEP!AL51</f>
        <v>491</v>
      </c>
      <c r="AM34" s="546">
        <f>AEP!AM51</f>
        <v>490.34052200000002</v>
      </c>
      <c r="AN34" s="161">
        <f>AEP!AN51</f>
        <v>491.10839199999998</v>
      </c>
      <c r="AO34" s="162">
        <f>AEP!AO51</f>
        <v>491.459541</v>
      </c>
      <c r="AP34" s="162">
        <f>AEP!AP51</f>
        <v>491.69780900000001</v>
      </c>
      <c r="AQ34" s="144">
        <f>AEP!AQ51</f>
        <v>492</v>
      </c>
      <c r="AR34" s="546">
        <f>AEP!AR51</f>
        <v>491.49545799999999</v>
      </c>
      <c r="AS34" s="161">
        <f>AEP!AS51</f>
        <v>491.712042</v>
      </c>
      <c r="AT34" s="162">
        <f>AEP!AT51</f>
        <v>491.790752</v>
      </c>
      <c r="AU34" s="162">
        <f>AEP!AU51</f>
        <v>491.84072200000003</v>
      </c>
      <c r="AV34" s="144">
        <f>AEP!AV51</f>
        <v>492</v>
      </c>
      <c r="AW34" s="546">
        <f>AEP!AW51</f>
        <v>491.81465100000003</v>
      </c>
      <c r="AX34" s="161">
        <f>AEP!AX51</f>
        <v>492.18707302903601</v>
      </c>
      <c r="AY34" s="162">
        <f>AEP!AY51</f>
        <v>492.550023087108</v>
      </c>
      <c r="AZ34" s="162">
        <f>AEP!AZ51</f>
        <v>492.91297314517999</v>
      </c>
      <c r="BA34" s="144">
        <f>AEP!BA51</f>
        <v>493.27592320325198</v>
      </c>
      <c r="BB34" s="546">
        <f>AEP!BB51</f>
        <v>492.731498116144</v>
      </c>
      <c r="BC34" s="161">
        <f>AEP!BC51</f>
        <v>493.63887326132397</v>
      </c>
      <c r="BD34" s="162">
        <f>AEP!BD51</f>
        <v>494.00182331939595</v>
      </c>
      <c r="BE34" s="162">
        <f>AEP!BE51</f>
        <v>494.36477337746794</v>
      </c>
      <c r="BF34" s="144">
        <f>AEP!BF51</f>
        <v>494.72772343553993</v>
      </c>
      <c r="BG34" s="546">
        <f>AEP!BG51</f>
        <v>494.18329834843195</v>
      </c>
      <c r="BH34" s="161">
        <f>AEP!BH51</f>
        <v>495.81657360975595</v>
      </c>
      <c r="BI34" s="162">
        <f>AEP!BI51</f>
        <v>497.631323900116</v>
      </c>
      <c r="BJ34" s="162">
        <f>AEP!BJ51</f>
        <v>499.44607419047605</v>
      </c>
      <c r="BK34" s="144">
        <f>AEP!BK51</f>
        <v>501.26082448083611</v>
      </c>
      <c r="BL34" s="546">
        <f>AEP!BL51</f>
        <v>498.53869904529603</v>
      </c>
      <c r="BM34" s="161">
        <f>AEP!BM51</f>
        <v>503.48389358652719</v>
      </c>
      <c r="BN34" s="162">
        <f>AEP!BN51</f>
        <v>506.11528150754918</v>
      </c>
      <c r="BO34" s="162">
        <f>AEP!BO51</f>
        <v>508.74666942857129</v>
      </c>
      <c r="BP34" s="144">
        <f>AEP!BP51</f>
        <v>511.37805734959335</v>
      </c>
      <c r="BQ34" s="546">
        <f>AEP!BQ51</f>
        <v>507.43097546806024</v>
      </c>
      <c r="BR34" s="568"/>
      <c r="BS34" s="568"/>
      <c r="BT34" s="568"/>
      <c r="BU34" s="568"/>
      <c r="BV34" s="568"/>
      <c r="BW34" s="568"/>
      <c r="BX34" s="568"/>
      <c r="BY34" s="568"/>
      <c r="BZ34" s="568"/>
      <c r="CA34" s="568"/>
      <c r="CB34" s="568"/>
      <c r="CC34" s="568"/>
      <c r="CD34" s="568"/>
      <c r="CE34" s="568"/>
      <c r="CF34" s="568"/>
      <c r="CG34" s="568"/>
      <c r="CH34" s="568"/>
      <c r="CI34" s="568"/>
      <c r="CJ34" s="568"/>
      <c r="CK34" s="568"/>
      <c r="CL34" s="568"/>
      <c r="CM34" s="568"/>
      <c r="CN34" s="568"/>
      <c r="CO34" s="568"/>
      <c r="CP34" s="568"/>
      <c r="CQ34" s="568"/>
      <c r="CR34" s="568"/>
      <c r="CS34" s="568"/>
      <c r="CT34" s="568"/>
      <c r="CU34" s="568"/>
      <c r="CV34" s="568"/>
    </row>
    <row r="35" spans="1:100">
      <c r="A35" s="568"/>
      <c r="B35" s="568"/>
      <c r="C35" s="553" t="s">
        <v>901</v>
      </c>
      <c r="D35" s="568"/>
      <c r="E35" s="161"/>
      <c r="F35" s="162"/>
      <c r="G35" s="162"/>
      <c r="H35" s="144"/>
      <c r="I35" s="546"/>
      <c r="J35" s="161"/>
      <c r="K35" s="162"/>
      <c r="L35" s="162"/>
      <c r="M35" s="144"/>
      <c r="N35" s="546"/>
      <c r="O35" s="161"/>
      <c r="P35" s="162"/>
      <c r="Q35" s="162"/>
      <c r="R35" s="144"/>
      <c r="S35" s="546"/>
      <c r="T35" s="161"/>
      <c r="U35" s="162"/>
      <c r="V35" s="162"/>
      <c r="W35" s="144"/>
      <c r="X35" s="546">
        <f>AEP!X52</f>
        <v>485.08469400000001</v>
      </c>
      <c r="Y35" s="161">
        <f>AEP!Y52</f>
        <v>486.34403600000002</v>
      </c>
      <c r="Z35" s="162">
        <f>AEP!Z52</f>
        <v>486.86361499999998</v>
      </c>
      <c r="AA35" s="162">
        <f>AEP!AA52</f>
        <v>487.25890500000003</v>
      </c>
      <c r="AB35" s="144">
        <f>AEP!AB52</f>
        <v>487</v>
      </c>
      <c r="AC35" s="546">
        <f>AEP!AC52</f>
        <v>487.04095599999999</v>
      </c>
      <c r="AD35" s="161">
        <f>AEP!AD52</f>
        <v>488.27116699999999</v>
      </c>
      <c r="AE35" s="162">
        <f>AEP!AE52</f>
        <v>488.53822700000001</v>
      </c>
      <c r="AF35" s="162">
        <f>AEP!AF52</f>
        <v>488.97064699999999</v>
      </c>
      <c r="AG35" s="144">
        <f>AEP!AG52</f>
        <v>489</v>
      </c>
      <c r="AH35" s="546">
        <f>AEP!AH52</f>
        <v>488.89983999999998</v>
      </c>
      <c r="AI35" s="161">
        <f>AEP!AI52</f>
        <v>489.93672600000002</v>
      </c>
      <c r="AJ35" s="162">
        <f>AEP!AJ52</f>
        <v>490.48444999999998</v>
      </c>
      <c r="AK35" s="162">
        <f>AEP!AK52</f>
        <v>490.80033500000002</v>
      </c>
      <c r="AL35" s="144">
        <f>AEP!AL52</f>
        <v>491</v>
      </c>
      <c r="AM35" s="546">
        <f>AEP!AM52</f>
        <v>490.574568</v>
      </c>
      <c r="AN35" s="161">
        <f>AEP!AN52</f>
        <v>491.33230500000002</v>
      </c>
      <c r="AO35" s="162">
        <f>AEP!AO52</f>
        <v>491.64139999999998</v>
      </c>
      <c r="AP35" s="162">
        <f>AEP!AP52</f>
        <v>491.81385799999998</v>
      </c>
      <c r="AQ35" s="144">
        <f>AEP!AQ52</f>
        <v>492</v>
      </c>
      <c r="AR35" s="546">
        <f>AEP!AR52</f>
        <v>491.66200700000002</v>
      </c>
      <c r="AS35" s="161">
        <f>AEP!AS52</f>
        <v>492.03197499999999</v>
      </c>
      <c r="AT35" s="162">
        <f>AEP!AT52</f>
        <v>492.64210000000003</v>
      </c>
      <c r="AU35" s="162">
        <f>AEP!AU52</f>
        <v>492.98630700000001</v>
      </c>
      <c r="AV35" s="144">
        <f>AEP!AV52</f>
        <v>492</v>
      </c>
      <c r="AW35" s="546">
        <f>AEP!AW52</f>
        <v>492.61106699999999</v>
      </c>
      <c r="AX35" s="161">
        <f>AEP!AX52</f>
        <v>492.18707302903601</v>
      </c>
      <c r="AY35" s="162">
        <f>AEP!AY52</f>
        <v>492.550023087108</v>
      </c>
      <c r="AZ35" s="162">
        <f>AEP!AZ52</f>
        <v>492.91297314517999</v>
      </c>
      <c r="BA35" s="144">
        <f>AEP!BA52</f>
        <v>493.27592320325198</v>
      </c>
      <c r="BB35" s="546">
        <f>AEP!BB52</f>
        <v>492.731498116144</v>
      </c>
      <c r="BC35" s="161">
        <f>AEP!BC52</f>
        <v>493.63887326132397</v>
      </c>
      <c r="BD35" s="162">
        <f>AEP!BD52</f>
        <v>494.00182331939595</v>
      </c>
      <c r="BE35" s="162">
        <f>AEP!BE52</f>
        <v>494.36477337746794</v>
      </c>
      <c r="BF35" s="144">
        <f>AEP!BF52</f>
        <v>494.72772343553993</v>
      </c>
      <c r="BG35" s="546">
        <f>AEP!BG52</f>
        <v>494.18329834843195</v>
      </c>
      <c r="BH35" s="161">
        <f>AEP!BH52</f>
        <v>495.81657360975595</v>
      </c>
      <c r="BI35" s="162">
        <f>AEP!BI52</f>
        <v>497.631323900116</v>
      </c>
      <c r="BJ35" s="162">
        <f>AEP!BJ52</f>
        <v>499.44607419047605</v>
      </c>
      <c r="BK35" s="144">
        <f>AEP!BK52</f>
        <v>501.26082448083611</v>
      </c>
      <c r="BL35" s="546">
        <f>AEP!BL52</f>
        <v>498.53869904529603</v>
      </c>
      <c r="BM35" s="161">
        <f>AEP!BM52</f>
        <v>503.48389358652719</v>
      </c>
      <c r="BN35" s="162">
        <f>AEP!BN52</f>
        <v>506.11528150754918</v>
      </c>
      <c r="BO35" s="162">
        <f>AEP!BO52</f>
        <v>508.74666942857129</v>
      </c>
      <c r="BP35" s="144">
        <f>AEP!BP52</f>
        <v>511.37805734959335</v>
      </c>
      <c r="BQ35" s="546">
        <f>AEP!BQ52</f>
        <v>507.43097546806024</v>
      </c>
      <c r="BR35" s="568"/>
      <c r="BS35" s="568"/>
      <c r="BT35" s="568"/>
      <c r="BU35" s="568"/>
      <c r="BV35" s="568"/>
      <c r="BW35" s="568"/>
      <c r="BX35" s="568"/>
      <c r="BY35" s="568"/>
      <c r="BZ35" s="568"/>
      <c r="CA35" s="568"/>
      <c r="CB35" s="568"/>
      <c r="CC35" s="568"/>
      <c r="CD35" s="568"/>
      <c r="CE35" s="568"/>
      <c r="CF35" s="568"/>
      <c r="CG35" s="568"/>
      <c r="CH35" s="568"/>
      <c r="CI35" s="568"/>
      <c r="CJ35" s="568"/>
      <c r="CK35" s="568"/>
      <c r="CL35" s="568"/>
      <c r="CM35" s="568"/>
      <c r="CN35" s="568"/>
      <c r="CO35" s="568"/>
      <c r="CP35" s="568"/>
      <c r="CQ35" s="568"/>
      <c r="CR35" s="568"/>
      <c r="CS35" s="568"/>
      <c r="CT35" s="568"/>
      <c r="CU35" s="568"/>
      <c r="CV35" s="568"/>
    </row>
    <row r="36" spans="1:100">
      <c r="A36" s="568"/>
      <c r="B36" s="568"/>
      <c r="C36" s="489"/>
      <c r="D36" s="568"/>
      <c r="E36" s="578"/>
      <c r="F36" s="579"/>
      <c r="G36" s="579"/>
      <c r="H36" s="580"/>
      <c r="I36" s="568"/>
      <c r="J36" s="578"/>
      <c r="K36" s="579"/>
      <c r="L36" s="579"/>
      <c r="M36" s="580"/>
      <c r="N36" s="568"/>
      <c r="O36" s="578"/>
      <c r="P36" s="579"/>
      <c r="Q36" s="579"/>
      <c r="R36" s="580"/>
      <c r="S36" s="568"/>
      <c r="T36" s="578"/>
      <c r="U36" s="579"/>
      <c r="V36" s="579"/>
      <c r="W36" s="580"/>
      <c r="X36" s="568"/>
      <c r="Y36" s="578"/>
      <c r="Z36" s="579"/>
      <c r="AA36" s="579"/>
      <c r="AB36" s="580"/>
      <c r="AC36" s="568"/>
      <c r="AD36" s="578"/>
      <c r="AE36" s="579"/>
      <c r="AF36" s="579"/>
      <c r="AG36" s="580"/>
      <c r="AH36" s="568"/>
      <c r="AI36" s="578"/>
      <c r="AJ36" s="579"/>
      <c r="AK36" s="579"/>
      <c r="AL36" s="580"/>
      <c r="AM36" s="568"/>
      <c r="AN36" s="578"/>
      <c r="AO36" s="579"/>
      <c r="AP36" s="579"/>
      <c r="AQ36" s="580"/>
      <c r="AR36" s="568"/>
      <c r="AS36" s="578"/>
      <c r="AT36" s="579"/>
      <c r="AU36" s="579"/>
      <c r="AV36" s="580"/>
      <c r="AW36" s="568"/>
      <c r="AX36" s="578"/>
      <c r="AY36" s="579"/>
      <c r="AZ36" s="579"/>
      <c r="BA36" s="580"/>
      <c r="BB36" s="568"/>
      <c r="BC36" s="578"/>
      <c r="BD36" s="579"/>
      <c r="BE36" s="579"/>
      <c r="BF36" s="580"/>
      <c r="BG36" s="568"/>
      <c r="BH36" s="578"/>
      <c r="BI36" s="579"/>
      <c r="BJ36" s="579"/>
      <c r="BK36" s="580"/>
      <c r="BL36" s="568"/>
      <c r="BM36" s="578"/>
      <c r="BN36" s="579"/>
      <c r="BO36" s="579"/>
      <c r="BP36" s="580"/>
      <c r="BQ36" s="568"/>
      <c r="BR36" s="568"/>
      <c r="BS36" s="568"/>
      <c r="BT36" s="568"/>
      <c r="BU36" s="568"/>
      <c r="BV36" s="568"/>
      <c r="BW36" s="568"/>
      <c r="BX36" s="568"/>
      <c r="BY36" s="568"/>
      <c r="BZ36" s="568"/>
      <c r="CA36" s="568"/>
      <c r="CB36" s="568"/>
      <c r="CC36" s="568"/>
      <c r="CD36" s="568"/>
      <c r="CE36" s="568"/>
      <c r="CF36" s="568"/>
      <c r="CG36" s="568"/>
      <c r="CH36" s="568"/>
      <c r="CI36" s="568"/>
      <c r="CJ36" s="568"/>
      <c r="CK36" s="568"/>
      <c r="CL36" s="568"/>
      <c r="CM36" s="568"/>
      <c r="CN36" s="568"/>
      <c r="CO36" s="568"/>
      <c r="CP36" s="568"/>
      <c r="CQ36" s="568"/>
      <c r="CR36" s="568"/>
      <c r="CS36" s="568"/>
      <c r="CT36" s="568"/>
      <c r="CU36" s="568"/>
      <c r="CV36" s="568"/>
    </row>
    <row r="37" spans="1:100">
      <c r="A37" s="553"/>
      <c r="B37" s="553"/>
      <c r="C37" s="553" t="s">
        <v>196</v>
      </c>
      <c r="D37" s="553"/>
      <c r="E37" s="174"/>
      <c r="F37" s="648"/>
      <c r="G37" s="648"/>
      <c r="H37" s="176"/>
      <c r="I37" s="649"/>
      <c r="J37" s="174"/>
      <c r="K37" s="648"/>
      <c r="L37" s="648"/>
      <c r="M37" s="176"/>
      <c r="N37" s="649"/>
      <c r="O37" s="174"/>
      <c r="P37" s="648"/>
      <c r="Q37" s="648"/>
      <c r="R37" s="176"/>
      <c r="S37" s="649"/>
      <c r="T37" s="174"/>
      <c r="U37" s="648"/>
      <c r="V37" s="648"/>
      <c r="W37" s="176"/>
      <c r="X37" s="649">
        <f t="shared" ref="X37:BB37" si="13">+X30/X35</f>
        <v>3.0922435165517712E-2</v>
      </c>
      <c r="Y37" s="174">
        <f t="shared" si="13"/>
        <v>-4.1123152582465301E-3</v>
      </c>
      <c r="Z37" s="648">
        <f t="shared" si="13"/>
        <v>-1.8485669749627932E-2</v>
      </c>
      <c r="AA37" s="648">
        <f t="shared" si="13"/>
        <v>-2.0522970226680617E-3</v>
      </c>
      <c r="AB37" s="176">
        <f t="shared" si="13"/>
        <v>4.9281314168377825E-2</v>
      </c>
      <c r="AC37" s="649">
        <f t="shared" si="13"/>
        <v>2.4638585014603989E-2</v>
      </c>
      <c r="AD37" s="174">
        <f t="shared" si="13"/>
        <v>6.1441268761216862E-3</v>
      </c>
      <c r="AE37" s="648">
        <f t="shared" si="13"/>
        <v>6.1407681818929595E-3</v>
      </c>
      <c r="AF37" s="648">
        <f t="shared" si="13"/>
        <v>2.2496237897895739E-2</v>
      </c>
      <c r="AG37" s="176">
        <f>+AG30/AG35</f>
        <v>6.5439672801635998E-2</v>
      </c>
      <c r="AH37" s="649">
        <f>+AH30/AH35</f>
        <v>0.10022502768665255</v>
      </c>
      <c r="AI37" s="174">
        <f>+AI30/AI35</f>
        <v>2.245187881669438E-2</v>
      </c>
      <c r="AJ37" s="648">
        <f>+AJ30/AJ35</f>
        <v>2.0388006184497796E-3</v>
      </c>
      <c r="AK37" s="648">
        <f>+AK30/AK35</f>
        <v>8.1499536873787994E-3</v>
      </c>
      <c r="AL37" s="176">
        <f t="shared" si="13"/>
        <v>2.5661914460285134E-2</v>
      </c>
      <c r="AM37" s="649">
        <f t="shared" si="13"/>
        <v>5.8298986261350591E-2</v>
      </c>
      <c r="AN37" s="174">
        <f t="shared" si="13"/>
        <v>0</v>
      </c>
      <c r="AO37" s="648">
        <f t="shared" si="13"/>
        <v>0</v>
      </c>
      <c r="AP37" s="648">
        <f t="shared" si="13"/>
        <v>0</v>
      </c>
      <c r="AQ37" s="176">
        <f t="shared" si="13"/>
        <v>0</v>
      </c>
      <c r="AR37" s="649">
        <f t="shared" si="13"/>
        <v>0</v>
      </c>
      <c r="AS37" s="174">
        <f t="shared" si="13"/>
        <v>0</v>
      </c>
      <c r="AT37" s="648">
        <f>+AT30/AT35</f>
        <v>0</v>
      </c>
      <c r="AU37" s="648">
        <f t="shared" si="13"/>
        <v>0</v>
      </c>
      <c r="AV37" s="176">
        <f t="shared" si="13"/>
        <v>0</v>
      </c>
      <c r="AW37" s="649">
        <f t="shared" si="13"/>
        <v>0</v>
      </c>
      <c r="AX37" s="174">
        <f t="shared" si="13"/>
        <v>0</v>
      </c>
      <c r="AY37" s="648">
        <f t="shared" si="13"/>
        <v>0</v>
      </c>
      <c r="AZ37" s="648">
        <f t="shared" si="13"/>
        <v>0</v>
      </c>
      <c r="BA37" s="176">
        <f t="shared" si="13"/>
        <v>0</v>
      </c>
      <c r="BB37" s="649">
        <f t="shared" si="13"/>
        <v>0</v>
      </c>
      <c r="BC37" s="174">
        <f t="shared" ref="BC37:BL37" si="14">+BC30/BC35</f>
        <v>0</v>
      </c>
      <c r="BD37" s="648">
        <f t="shared" si="14"/>
        <v>0</v>
      </c>
      <c r="BE37" s="648">
        <f t="shared" si="14"/>
        <v>0</v>
      </c>
      <c r="BF37" s="176">
        <f t="shared" si="14"/>
        <v>0</v>
      </c>
      <c r="BG37" s="649">
        <f t="shared" si="14"/>
        <v>0</v>
      </c>
      <c r="BH37" s="174">
        <f t="shared" si="14"/>
        <v>0</v>
      </c>
      <c r="BI37" s="648">
        <f t="shared" si="14"/>
        <v>0</v>
      </c>
      <c r="BJ37" s="648">
        <f t="shared" si="14"/>
        <v>0</v>
      </c>
      <c r="BK37" s="176">
        <f t="shared" si="14"/>
        <v>0</v>
      </c>
      <c r="BL37" s="649">
        <f t="shared" si="14"/>
        <v>0</v>
      </c>
      <c r="BM37" s="174">
        <f>+BM30/BM35</f>
        <v>0</v>
      </c>
      <c r="BN37" s="648">
        <f>+BN30/BN35</f>
        <v>0</v>
      </c>
      <c r="BO37" s="648">
        <f>+BO30/BO35</f>
        <v>0</v>
      </c>
      <c r="BP37" s="176">
        <f>+BP30/BP35</f>
        <v>0</v>
      </c>
      <c r="BQ37" s="649">
        <f>+BQ30/BQ35</f>
        <v>0</v>
      </c>
      <c r="BR37" s="553"/>
      <c r="BS37" s="553"/>
      <c r="BT37" s="553"/>
      <c r="BU37" s="553"/>
      <c r="BV37" s="553"/>
      <c r="BW37" s="553"/>
      <c r="BX37" s="553"/>
      <c r="BY37" s="553"/>
      <c r="BZ37" s="553"/>
      <c r="CA37" s="553"/>
      <c r="CB37" s="553"/>
      <c r="CC37" s="553"/>
      <c r="CD37" s="553"/>
      <c r="CE37" s="553"/>
      <c r="CF37" s="553"/>
      <c r="CG37" s="553"/>
      <c r="CH37" s="553"/>
      <c r="CI37" s="553"/>
      <c r="CJ37" s="553"/>
      <c r="CK37" s="553"/>
      <c r="CL37" s="553"/>
      <c r="CM37" s="553"/>
      <c r="CN37" s="553"/>
      <c r="CO37" s="553"/>
      <c r="CP37" s="553"/>
      <c r="CQ37" s="553"/>
      <c r="CR37" s="553"/>
      <c r="CS37" s="553"/>
      <c r="CT37" s="553"/>
      <c r="CU37" s="553"/>
      <c r="CV37" s="553"/>
    </row>
    <row r="38" spans="1:100">
      <c r="A38" s="553"/>
      <c r="B38" s="569"/>
      <c r="C38" s="178" t="s">
        <v>197</v>
      </c>
      <c r="D38" s="179"/>
      <c r="E38" s="180"/>
      <c r="F38" s="105"/>
      <c r="G38" s="105"/>
      <c r="H38" s="106"/>
      <c r="I38" s="181"/>
      <c r="J38" s="180"/>
      <c r="K38" s="105"/>
      <c r="L38" s="105"/>
      <c r="M38" s="106"/>
      <c r="N38" s="181"/>
      <c r="O38" s="180"/>
      <c r="P38" s="105"/>
      <c r="Q38" s="105"/>
      <c r="R38" s="106"/>
      <c r="S38" s="181"/>
      <c r="T38" s="180"/>
      <c r="U38" s="105"/>
      <c r="V38" s="105"/>
      <c r="W38" s="106"/>
      <c r="X38" s="181">
        <f t="shared" ref="X38:BB38" si="15">+X32/X35</f>
        <v>3.0922435165517712E-2</v>
      </c>
      <c r="Y38" s="180">
        <f t="shared" si="15"/>
        <v>-4.1123152582465301E-3</v>
      </c>
      <c r="Z38" s="105">
        <f t="shared" si="15"/>
        <v>-1.8485669749627932E-2</v>
      </c>
      <c r="AA38" s="105">
        <f t="shared" si="15"/>
        <v>-2.0522970226680617E-3</v>
      </c>
      <c r="AB38" s="106">
        <f t="shared" si="15"/>
        <v>4.9281314168377825E-2</v>
      </c>
      <c r="AC38" s="181">
        <f t="shared" si="15"/>
        <v>2.4638585014603989E-2</v>
      </c>
      <c r="AD38" s="180">
        <f t="shared" si="15"/>
        <v>6.1441268761216862E-3</v>
      </c>
      <c r="AE38" s="105">
        <f t="shared" si="15"/>
        <v>6.1407681818929595E-3</v>
      </c>
      <c r="AF38" s="105">
        <f t="shared" si="15"/>
        <v>2.2496237897895739E-2</v>
      </c>
      <c r="AG38" s="106">
        <f>+AG32/AG35</f>
        <v>6.5439672801635998E-2</v>
      </c>
      <c r="AH38" s="181">
        <f>+AH32/AH35</f>
        <v>0.10022502768665255</v>
      </c>
      <c r="AI38" s="180">
        <f>+AI32/AI35</f>
        <v>2.245187881669438E-2</v>
      </c>
      <c r="AJ38" s="105">
        <f>+AJ32/AJ35</f>
        <v>2.0388006184497796E-3</v>
      </c>
      <c r="AK38" s="105">
        <f>+AK32/AK35</f>
        <v>8.1499536873787994E-3</v>
      </c>
      <c r="AL38" s="106">
        <f t="shared" si="15"/>
        <v>2.5661914460285134E-2</v>
      </c>
      <c r="AM38" s="181">
        <f t="shared" si="15"/>
        <v>5.8298986261350591E-2</v>
      </c>
      <c r="AN38" s="180">
        <f t="shared" si="15"/>
        <v>0</v>
      </c>
      <c r="AO38" s="105">
        <f t="shared" si="15"/>
        <v>0</v>
      </c>
      <c r="AP38" s="105">
        <f t="shared" si="15"/>
        <v>0</v>
      </c>
      <c r="AQ38" s="106">
        <f t="shared" si="15"/>
        <v>0</v>
      </c>
      <c r="AR38" s="181">
        <f t="shared" si="15"/>
        <v>0</v>
      </c>
      <c r="AS38" s="180">
        <f t="shared" si="15"/>
        <v>0</v>
      </c>
      <c r="AT38" s="105">
        <f>+AT32/AT35</f>
        <v>0</v>
      </c>
      <c r="AU38" s="105">
        <f t="shared" si="15"/>
        <v>0</v>
      </c>
      <c r="AV38" s="106">
        <f t="shared" si="15"/>
        <v>0</v>
      </c>
      <c r="AW38" s="181">
        <f t="shared" si="15"/>
        <v>0</v>
      </c>
      <c r="AX38" s="180">
        <f t="shared" si="15"/>
        <v>0</v>
      </c>
      <c r="AY38" s="105">
        <f t="shared" si="15"/>
        <v>0</v>
      </c>
      <c r="AZ38" s="105">
        <f t="shared" si="15"/>
        <v>0</v>
      </c>
      <c r="BA38" s="106">
        <f t="shared" si="15"/>
        <v>0</v>
      </c>
      <c r="BB38" s="181">
        <f t="shared" si="15"/>
        <v>0</v>
      </c>
      <c r="BC38" s="180">
        <f t="shared" ref="BC38:BL38" si="16">+BC32/BC35</f>
        <v>0</v>
      </c>
      <c r="BD38" s="105">
        <f t="shared" si="16"/>
        <v>0</v>
      </c>
      <c r="BE38" s="105">
        <f t="shared" si="16"/>
        <v>0</v>
      </c>
      <c r="BF38" s="106">
        <f t="shared" si="16"/>
        <v>0</v>
      </c>
      <c r="BG38" s="181">
        <f t="shared" si="16"/>
        <v>0</v>
      </c>
      <c r="BH38" s="180">
        <f t="shared" si="16"/>
        <v>0</v>
      </c>
      <c r="BI38" s="105">
        <f t="shared" si="16"/>
        <v>0</v>
      </c>
      <c r="BJ38" s="105">
        <f t="shared" si="16"/>
        <v>0</v>
      </c>
      <c r="BK38" s="106">
        <f t="shared" si="16"/>
        <v>0</v>
      </c>
      <c r="BL38" s="181">
        <f t="shared" si="16"/>
        <v>0</v>
      </c>
      <c r="BM38" s="180">
        <f>+BM32/BM35</f>
        <v>0</v>
      </c>
      <c r="BN38" s="105">
        <f>+BN32/BN35</f>
        <v>0</v>
      </c>
      <c r="BO38" s="105">
        <f>+BO32/BO35</f>
        <v>0</v>
      </c>
      <c r="BP38" s="106">
        <f>+BP32/BP35</f>
        <v>0</v>
      </c>
      <c r="BQ38" s="772">
        <f>+BQ32/BQ35</f>
        <v>0</v>
      </c>
      <c r="BR38" s="553"/>
      <c r="BS38" s="553"/>
      <c r="BT38" s="553"/>
      <c r="BU38" s="553"/>
      <c r="BV38" s="553"/>
      <c r="BW38" s="553"/>
      <c r="BX38" s="553"/>
      <c r="BY38" s="553"/>
      <c r="BZ38" s="553"/>
      <c r="CA38" s="553"/>
      <c r="CB38" s="553"/>
      <c r="CC38" s="553"/>
      <c r="CD38" s="553"/>
      <c r="CE38" s="553"/>
      <c r="CF38" s="553"/>
      <c r="CG38" s="553"/>
      <c r="CH38" s="553"/>
      <c r="CI38" s="553"/>
      <c r="CJ38" s="553"/>
      <c r="CK38" s="553"/>
      <c r="CL38" s="553"/>
      <c r="CM38" s="553"/>
      <c r="CN38" s="553"/>
      <c r="CO38" s="553"/>
      <c r="CP38" s="553"/>
      <c r="CQ38" s="553"/>
      <c r="CR38" s="553"/>
      <c r="CS38" s="553"/>
      <c r="CT38" s="553"/>
      <c r="CU38" s="553"/>
      <c r="CV38" s="553"/>
    </row>
    <row r="39" spans="1:100">
      <c r="A39" s="525"/>
      <c r="B39" s="525"/>
      <c r="C39" s="650" t="s">
        <v>22</v>
      </c>
      <c r="D39" s="553"/>
      <c r="E39" s="274"/>
      <c r="F39" s="651"/>
      <c r="G39" s="651"/>
      <c r="H39" s="276"/>
      <c r="I39" s="652"/>
      <c r="J39" s="274"/>
      <c r="K39" s="651"/>
      <c r="L39" s="651"/>
      <c r="M39" s="276"/>
      <c r="N39" s="653"/>
      <c r="O39" s="274"/>
      <c r="P39" s="651"/>
      <c r="Q39" s="651"/>
      <c r="R39" s="276"/>
      <c r="S39" s="653"/>
      <c r="T39" s="274"/>
      <c r="U39" s="651"/>
      <c r="V39" s="651"/>
      <c r="W39" s="276"/>
      <c r="X39" s="653"/>
      <c r="Y39" s="274"/>
      <c r="Z39" s="651"/>
      <c r="AA39" s="651"/>
      <c r="AB39" s="276"/>
      <c r="AC39" s="653">
        <f>AC38/X38-1</f>
        <v>-0.20321330183985586</v>
      </c>
      <c r="AD39" s="274"/>
      <c r="AE39" s="651"/>
      <c r="AF39" s="651"/>
      <c r="AG39" s="276"/>
      <c r="AH39" s="653">
        <f>AH38/AC38-1</f>
        <v>3.0678077749694772</v>
      </c>
      <c r="AI39" s="274"/>
      <c r="AJ39" s="651"/>
      <c r="AK39" s="651">
        <f>AK38/AF38-1</f>
        <v>-0.6377192611329412</v>
      </c>
      <c r="AL39" s="276">
        <f>AL38/AG38-1</f>
        <v>-0.60785386965376786</v>
      </c>
      <c r="AM39" s="653">
        <f>AM38/AH38-1</f>
        <v>-0.41831908050333666</v>
      </c>
      <c r="AN39" s="274"/>
      <c r="AO39" s="651"/>
      <c r="AP39" s="651"/>
      <c r="AQ39" s="276"/>
      <c r="AR39" s="653"/>
      <c r="AS39" s="274"/>
      <c r="AT39" s="651"/>
      <c r="AU39" s="651"/>
      <c r="AV39" s="276"/>
      <c r="AW39" s="653"/>
      <c r="AX39" s="274"/>
      <c r="AY39" s="651"/>
      <c r="AZ39" s="651"/>
      <c r="BA39" s="276"/>
      <c r="BB39" s="653"/>
      <c r="BC39" s="274"/>
      <c r="BD39" s="651"/>
      <c r="BE39" s="651"/>
      <c r="BF39" s="276"/>
      <c r="BG39" s="653"/>
      <c r="BH39" s="274"/>
      <c r="BI39" s="651"/>
      <c r="BJ39" s="651"/>
      <c r="BK39" s="276"/>
      <c r="BL39" s="653"/>
      <c r="BM39" s="274"/>
      <c r="BN39" s="651"/>
      <c r="BO39" s="651"/>
      <c r="BP39" s="276"/>
      <c r="BQ39" s="653"/>
      <c r="BR39" s="525"/>
      <c r="BS39" s="525"/>
      <c r="BT39" s="525"/>
      <c r="BU39" s="525"/>
      <c r="BV39" s="525"/>
      <c r="BW39" s="525"/>
      <c r="BX39" s="525"/>
      <c r="BY39" s="525"/>
      <c r="BZ39" s="525"/>
      <c r="CA39" s="525"/>
      <c r="CB39" s="50"/>
      <c r="CC39" s="50"/>
      <c r="CD39" s="50"/>
      <c r="CE39" s="50"/>
      <c r="CF39" s="50"/>
      <c r="CG39" s="50"/>
      <c r="CH39" s="50"/>
      <c r="CI39" s="50"/>
      <c r="CJ39" s="50"/>
      <c r="CK39" s="50"/>
      <c r="CL39" s="50"/>
      <c r="CM39" s="50"/>
      <c r="CN39" s="50"/>
      <c r="CO39" s="50"/>
      <c r="CP39" s="50"/>
      <c r="CQ39" s="50"/>
      <c r="CR39" s="50"/>
      <c r="CS39" s="50"/>
      <c r="CT39" s="50"/>
      <c r="CU39" s="50"/>
      <c r="CV39" s="50"/>
    </row>
    <row r="40" spans="1:100">
      <c r="A40" s="541"/>
      <c r="B40" s="541"/>
      <c r="C40" s="545"/>
      <c r="D40" s="541"/>
      <c r="E40" s="289"/>
      <c r="F40" s="542"/>
      <c r="G40" s="542"/>
      <c r="H40" s="291"/>
      <c r="I40" s="543"/>
      <c r="J40" s="289"/>
      <c r="K40" s="542"/>
      <c r="L40" s="542"/>
      <c r="M40" s="291"/>
      <c r="N40" s="543"/>
      <c r="O40" s="289"/>
      <c r="P40" s="542"/>
      <c r="Q40" s="542"/>
      <c r="R40" s="291"/>
      <c r="S40" s="654"/>
      <c r="T40" s="289"/>
      <c r="U40" s="542"/>
      <c r="V40" s="542"/>
      <c r="W40" s="291"/>
      <c r="X40" s="543"/>
      <c r="Y40" s="289"/>
      <c r="Z40" s="542"/>
      <c r="AA40" s="542"/>
      <c r="AB40" s="291"/>
      <c r="AC40" s="543"/>
      <c r="AD40" s="289"/>
      <c r="AE40" s="542"/>
      <c r="AF40" s="542"/>
      <c r="AG40" s="291"/>
      <c r="AH40" s="543"/>
      <c r="AI40" s="289"/>
      <c r="AJ40" s="542"/>
      <c r="AK40" s="542"/>
      <c r="AL40" s="291"/>
      <c r="AM40" s="543"/>
      <c r="AN40" s="289"/>
      <c r="AO40" s="542"/>
      <c r="AP40" s="542"/>
      <c r="AQ40" s="291"/>
      <c r="AR40" s="543"/>
      <c r="AS40" s="289"/>
      <c r="AT40" s="542"/>
      <c r="AU40" s="542"/>
      <c r="AV40" s="291"/>
      <c r="AW40" s="543"/>
      <c r="AX40" s="289"/>
      <c r="AY40" s="542"/>
      <c r="AZ40" s="542"/>
      <c r="BA40" s="291"/>
      <c r="BB40" s="543"/>
      <c r="BC40" s="289"/>
      <c r="BD40" s="542"/>
      <c r="BE40" s="542"/>
      <c r="BF40" s="291"/>
      <c r="BG40" s="543"/>
      <c r="BH40" s="289"/>
      <c r="BI40" s="542"/>
      <c r="BJ40" s="542"/>
      <c r="BK40" s="291"/>
      <c r="BL40" s="543"/>
      <c r="BM40" s="289"/>
      <c r="BN40" s="542"/>
      <c r="BO40" s="542"/>
      <c r="BP40" s="291"/>
      <c r="BQ40" s="543"/>
      <c r="BR40" s="541"/>
      <c r="BS40" s="541"/>
      <c r="BT40" s="541"/>
      <c r="BU40" s="541"/>
      <c r="BV40" s="541"/>
      <c r="BW40" s="541"/>
      <c r="BX40" s="541"/>
      <c r="BY40" s="541"/>
      <c r="BZ40" s="541"/>
      <c r="CA40" s="541"/>
      <c r="CB40" s="541"/>
      <c r="CC40" s="541"/>
      <c r="CD40" s="541"/>
      <c r="CE40" s="541"/>
      <c r="CF40" s="541"/>
      <c r="CG40" s="541"/>
      <c r="CH40" s="541"/>
      <c r="CI40" s="541"/>
      <c r="CJ40" s="541"/>
      <c r="CK40" s="541"/>
      <c r="CL40" s="541"/>
      <c r="CM40" s="541"/>
      <c r="CN40" s="541"/>
      <c r="CO40" s="541"/>
      <c r="CP40" s="541"/>
      <c r="CQ40" s="541"/>
      <c r="CR40" s="541"/>
      <c r="CS40" s="541"/>
      <c r="CT40" s="541"/>
      <c r="CU40" s="541"/>
      <c r="CV40" s="541"/>
    </row>
    <row r="41" spans="1:100">
      <c r="B41" s="46" t="s">
        <v>198</v>
      </c>
      <c r="C41" s="46"/>
      <c r="D41" s="47"/>
      <c r="E41" s="289"/>
      <c r="F41" s="290"/>
      <c r="G41" s="290"/>
      <c r="H41" s="291"/>
      <c r="I41" s="191"/>
      <c r="J41" s="289"/>
      <c r="K41" s="290"/>
      <c r="L41" s="290"/>
      <c r="M41" s="291"/>
      <c r="N41" s="191"/>
      <c r="O41" s="289"/>
      <c r="P41" s="290"/>
      <c r="Q41" s="290"/>
      <c r="R41" s="291"/>
      <c r="S41" s="191"/>
      <c r="T41" s="289"/>
      <c r="U41" s="290"/>
      <c r="V41" s="290"/>
      <c r="W41" s="291"/>
      <c r="X41" s="191"/>
      <c r="Y41" s="289"/>
      <c r="Z41" s="290"/>
      <c r="AA41" s="290"/>
      <c r="AB41" s="291"/>
      <c r="AC41" s="191"/>
      <c r="AD41" s="289"/>
      <c r="AE41" s="290"/>
      <c r="AF41" s="290"/>
      <c r="AG41" s="291"/>
      <c r="AH41" s="191"/>
      <c r="AI41" s="289"/>
      <c r="AJ41" s="290"/>
      <c r="AK41" s="290"/>
      <c r="AL41" s="291"/>
      <c r="AM41" s="191"/>
      <c r="AN41" s="289"/>
      <c r="AO41" s="290"/>
      <c r="AP41" s="290"/>
      <c r="AQ41" s="291"/>
      <c r="AR41" s="191"/>
      <c r="AS41" s="289"/>
      <c r="AT41" s="290"/>
      <c r="AU41" s="290"/>
      <c r="AV41" s="291"/>
      <c r="AW41" s="191"/>
      <c r="AX41" s="289"/>
      <c r="AY41" s="290"/>
      <c r="AZ41" s="290"/>
      <c r="BA41" s="291"/>
      <c r="BB41" s="191"/>
      <c r="BC41" s="289"/>
      <c r="BD41" s="290"/>
      <c r="BE41" s="290"/>
      <c r="BF41" s="291"/>
      <c r="BG41" s="191"/>
      <c r="BH41" s="289"/>
      <c r="BI41" s="290"/>
      <c r="BJ41" s="290"/>
      <c r="BK41" s="291"/>
      <c r="BL41" s="191"/>
      <c r="BM41" s="289"/>
      <c r="BN41" s="290"/>
      <c r="BO41" s="290"/>
      <c r="BP41" s="291"/>
      <c r="BQ41" s="191"/>
    </row>
    <row r="42" spans="1:100">
      <c r="C42" s="1339" t="s">
        <v>199</v>
      </c>
      <c r="D42" s="293"/>
      <c r="E42" s="294"/>
      <c r="F42" s="295"/>
      <c r="G42" s="295"/>
      <c r="H42" s="296"/>
      <c r="I42" s="301"/>
      <c r="J42" s="298"/>
      <c r="K42" s="299"/>
      <c r="L42" s="299"/>
      <c r="M42" s="300"/>
      <c r="N42" s="301"/>
      <c r="O42" s="298"/>
      <c r="P42" s="299"/>
      <c r="Q42" s="299"/>
      <c r="R42" s="300"/>
      <c r="S42" s="301"/>
      <c r="T42" s="298"/>
      <c r="U42" s="299"/>
      <c r="V42" s="299"/>
      <c r="W42" s="300"/>
      <c r="X42" s="301"/>
      <c r="Y42" s="298"/>
      <c r="Z42" s="299"/>
      <c r="AA42" s="299"/>
      <c r="AB42" s="300"/>
      <c r="AC42" s="301">
        <f>+AC51</f>
        <v>-0.17195325542570949</v>
      </c>
      <c r="AD42" s="298"/>
      <c r="AE42" s="299"/>
      <c r="AF42" s="299"/>
      <c r="AG42" s="300"/>
      <c r="AH42" s="301">
        <f>+AH51</f>
        <v>0.13508064516129026</v>
      </c>
      <c r="AI42" s="298"/>
      <c r="AJ42" s="299"/>
      <c r="AK42" s="299"/>
      <c r="AL42" s="300">
        <f>+AM42</f>
        <v>-0.01</v>
      </c>
      <c r="AM42" s="301">
        <f>+'Utility Detail'!AM$10</f>
        <v>-0.01</v>
      </c>
      <c r="AN42" s="298">
        <f t="shared" ref="AN42:AQ43" si="17">+AO42</f>
        <v>-2.5000000000000001E-2</v>
      </c>
      <c r="AO42" s="299">
        <f t="shared" si="17"/>
        <v>-2.5000000000000001E-2</v>
      </c>
      <c r="AP42" s="299">
        <f t="shared" si="17"/>
        <v>-2.5000000000000001E-2</v>
      </c>
      <c r="AQ42" s="300">
        <f t="shared" si="17"/>
        <v>-2.5000000000000001E-2</v>
      </c>
      <c r="AR42" s="301">
        <f>+'Utility Detail'!AR$10</f>
        <v>-2.5000000000000001E-2</v>
      </c>
      <c r="AS42" s="298">
        <f t="shared" ref="AS42:AV43" si="18">+AT42</f>
        <v>0</v>
      </c>
      <c r="AT42" s="299">
        <f t="shared" si="18"/>
        <v>0</v>
      </c>
      <c r="AU42" s="299">
        <f t="shared" si="18"/>
        <v>0</v>
      </c>
      <c r="AV42" s="300">
        <f t="shared" si="18"/>
        <v>0</v>
      </c>
      <c r="AW42" s="301">
        <f>+'Utility Detail'!AW$10</f>
        <v>0</v>
      </c>
      <c r="AX42" s="298">
        <f t="shared" ref="AX42:BA43" si="19">+AY42</f>
        <v>5.0000000000000001E-3</v>
      </c>
      <c r="AY42" s="299">
        <f t="shared" si="19"/>
        <v>5.0000000000000001E-3</v>
      </c>
      <c r="AZ42" s="299">
        <f t="shared" si="19"/>
        <v>5.0000000000000001E-3</v>
      </c>
      <c r="BA42" s="300">
        <f t="shared" si="19"/>
        <v>5.0000000000000001E-3</v>
      </c>
      <c r="BB42" s="301">
        <f>+'Utility Detail'!BB$10</f>
        <v>5.0000000000000001E-3</v>
      </c>
      <c r="BC42" s="298">
        <f t="shared" ref="BC42:BF43" si="20">+BD42</f>
        <v>5.0000000000000001E-3</v>
      </c>
      <c r="BD42" s="299">
        <f t="shared" si="20"/>
        <v>5.0000000000000001E-3</v>
      </c>
      <c r="BE42" s="299">
        <f t="shared" si="20"/>
        <v>5.0000000000000001E-3</v>
      </c>
      <c r="BF42" s="300">
        <f t="shared" si="20"/>
        <v>5.0000000000000001E-3</v>
      </c>
      <c r="BG42" s="301">
        <f>+'Utility Detail'!BG$10</f>
        <v>5.0000000000000001E-3</v>
      </c>
      <c r="BH42" s="298">
        <f t="shared" ref="BH42:BK43" si="21">+BI42</f>
        <v>5.0000000000000001E-3</v>
      </c>
      <c r="BI42" s="299">
        <f t="shared" si="21"/>
        <v>5.0000000000000001E-3</v>
      </c>
      <c r="BJ42" s="299">
        <f t="shared" si="21"/>
        <v>5.0000000000000001E-3</v>
      </c>
      <c r="BK42" s="300">
        <f t="shared" si="21"/>
        <v>5.0000000000000001E-3</v>
      </c>
      <c r="BL42" s="301">
        <f>+'Utility Detail'!BL$10</f>
        <v>5.0000000000000001E-3</v>
      </c>
      <c r="BM42" s="298">
        <f t="shared" ref="BM42:BP43" si="22">+BN42</f>
        <v>5.0000000000000001E-3</v>
      </c>
      <c r="BN42" s="299">
        <f t="shared" si="22"/>
        <v>5.0000000000000001E-3</v>
      </c>
      <c r="BO42" s="299">
        <f t="shared" si="22"/>
        <v>5.0000000000000001E-3</v>
      </c>
      <c r="BP42" s="300">
        <f t="shared" si="22"/>
        <v>5.0000000000000001E-3</v>
      </c>
      <c r="BQ42" s="1340">
        <f>+'Utility Detail'!BQ$10</f>
        <v>5.0000000000000001E-3</v>
      </c>
    </row>
    <row r="43" spans="1:100">
      <c r="C43" s="313" t="s">
        <v>200</v>
      </c>
      <c r="D43" s="600"/>
      <c r="E43" s="289"/>
      <c r="F43" s="542"/>
      <c r="G43" s="542"/>
      <c r="H43" s="291"/>
      <c r="I43" s="763"/>
      <c r="J43" s="229"/>
      <c r="K43" s="671"/>
      <c r="L43" s="671"/>
      <c r="M43" s="231"/>
      <c r="N43" s="763"/>
      <c r="O43" s="229"/>
      <c r="P43" s="671"/>
      <c r="Q43" s="671"/>
      <c r="R43" s="231"/>
      <c r="S43" s="763"/>
      <c r="T43" s="229"/>
      <c r="U43" s="671"/>
      <c r="V43" s="671"/>
      <c r="W43" s="231"/>
      <c r="X43" s="763"/>
      <c r="Y43" s="229"/>
      <c r="Z43" s="671"/>
      <c r="AA43" s="671"/>
      <c r="AB43" s="231"/>
      <c r="AC43" s="763"/>
      <c r="AD43" s="229"/>
      <c r="AE43" s="671"/>
      <c r="AF43" s="671"/>
      <c r="AG43" s="231"/>
      <c r="AH43" s="763"/>
      <c r="AI43" s="229"/>
      <c r="AJ43" s="671"/>
      <c r="AK43" s="671"/>
      <c r="AL43" s="231">
        <f>+AM43</f>
        <v>0.02</v>
      </c>
      <c r="AM43" s="763">
        <f>+'Utility Detail'!AM$11</f>
        <v>0.02</v>
      </c>
      <c r="AN43" s="229">
        <f t="shared" si="17"/>
        <v>0.02</v>
      </c>
      <c r="AO43" s="671">
        <f t="shared" si="17"/>
        <v>0.02</v>
      </c>
      <c r="AP43" s="671">
        <f t="shared" si="17"/>
        <v>0.02</v>
      </c>
      <c r="AQ43" s="231">
        <f t="shared" si="17"/>
        <v>0.02</v>
      </c>
      <c r="AR43" s="763">
        <f>+'Utility Detail'!AR$11</f>
        <v>0.02</v>
      </c>
      <c r="AS43" s="229">
        <f t="shared" si="18"/>
        <v>0.02</v>
      </c>
      <c r="AT43" s="671">
        <f t="shared" si="18"/>
        <v>0.02</v>
      </c>
      <c r="AU43" s="671">
        <f t="shared" si="18"/>
        <v>0.02</v>
      </c>
      <c r="AV43" s="231">
        <f t="shared" si="18"/>
        <v>0.02</v>
      </c>
      <c r="AW43" s="763">
        <f>+'Utility Detail'!AW$11</f>
        <v>0.02</v>
      </c>
      <c r="AX43" s="229">
        <f t="shared" si="19"/>
        <v>0.02</v>
      </c>
      <c r="AY43" s="671">
        <f t="shared" si="19"/>
        <v>0.02</v>
      </c>
      <c r="AZ43" s="671">
        <f t="shared" si="19"/>
        <v>0.02</v>
      </c>
      <c r="BA43" s="231">
        <f t="shared" si="19"/>
        <v>0.02</v>
      </c>
      <c r="BB43" s="763">
        <f>+'Utility Detail'!BB$11</f>
        <v>0.02</v>
      </c>
      <c r="BC43" s="229">
        <f t="shared" si="20"/>
        <v>0.02</v>
      </c>
      <c r="BD43" s="671">
        <f t="shared" si="20"/>
        <v>0.02</v>
      </c>
      <c r="BE43" s="671">
        <f t="shared" si="20"/>
        <v>0.02</v>
      </c>
      <c r="BF43" s="231">
        <f t="shared" si="20"/>
        <v>0.02</v>
      </c>
      <c r="BG43" s="763">
        <f>+'Utility Detail'!BG$11</f>
        <v>0.02</v>
      </c>
      <c r="BH43" s="229">
        <f t="shared" si="21"/>
        <v>0.02</v>
      </c>
      <c r="BI43" s="671">
        <f t="shared" si="21"/>
        <v>0.02</v>
      </c>
      <c r="BJ43" s="671">
        <f t="shared" si="21"/>
        <v>0.02</v>
      </c>
      <c r="BK43" s="231">
        <f t="shared" si="21"/>
        <v>0.02</v>
      </c>
      <c r="BL43" s="763">
        <f>+'Utility Detail'!BL$11</f>
        <v>0.02</v>
      </c>
      <c r="BM43" s="229">
        <f t="shared" si="22"/>
        <v>0.02</v>
      </c>
      <c r="BN43" s="671">
        <f t="shared" si="22"/>
        <v>0.02</v>
      </c>
      <c r="BO43" s="671">
        <f t="shared" si="22"/>
        <v>0.02</v>
      </c>
      <c r="BP43" s="231">
        <f t="shared" si="22"/>
        <v>0.02</v>
      </c>
      <c r="BQ43" s="785">
        <f>+'Utility Detail'!BQ$11</f>
        <v>0.02</v>
      </c>
    </row>
    <row r="44" spans="1:100">
      <c r="C44" s="312"/>
      <c r="D44" s="600"/>
      <c r="E44" s="289"/>
      <c r="F44" s="542"/>
      <c r="G44" s="542"/>
      <c r="H44" s="291"/>
      <c r="I44" s="783"/>
      <c r="J44" s="289"/>
      <c r="K44" s="542"/>
      <c r="L44" s="542"/>
      <c r="M44" s="291"/>
      <c r="N44" s="783"/>
      <c r="O44" s="289"/>
      <c r="P44" s="542"/>
      <c r="Q44" s="542"/>
      <c r="R44" s="291"/>
      <c r="S44" s="783"/>
      <c r="T44" s="289"/>
      <c r="U44" s="542"/>
      <c r="V44" s="542"/>
      <c r="W44" s="291"/>
      <c r="X44" s="783"/>
      <c r="Y44" s="289"/>
      <c r="Z44" s="542"/>
      <c r="AA44" s="542"/>
      <c r="AB44" s="291"/>
      <c r="AC44" s="783"/>
      <c r="AD44" s="289"/>
      <c r="AE44" s="542"/>
      <c r="AF44" s="542"/>
      <c r="AG44" s="291"/>
      <c r="AH44" s="783"/>
      <c r="AI44" s="289"/>
      <c r="AJ44" s="542"/>
      <c r="AK44" s="542"/>
      <c r="AL44" s="291"/>
      <c r="AM44" s="783"/>
      <c r="AN44" s="289"/>
      <c r="AO44" s="542"/>
      <c r="AP44" s="542"/>
      <c r="AQ44" s="291"/>
      <c r="AR44" s="783"/>
      <c r="AS44" s="289"/>
      <c r="AT44" s="542"/>
      <c r="AU44" s="542"/>
      <c r="AV44" s="291"/>
      <c r="AW44" s="783"/>
      <c r="AX44" s="289"/>
      <c r="AY44" s="542"/>
      <c r="AZ44" s="542"/>
      <c r="BA44" s="291"/>
      <c r="BB44" s="783"/>
      <c r="BC44" s="289"/>
      <c r="BD44" s="542"/>
      <c r="BE44" s="542"/>
      <c r="BF44" s="291"/>
      <c r="BG44" s="783"/>
      <c r="BH44" s="289"/>
      <c r="BI44" s="542"/>
      <c r="BJ44" s="542"/>
      <c r="BK44" s="291"/>
      <c r="BL44" s="783"/>
      <c r="BM44" s="289"/>
      <c r="BN44" s="542"/>
      <c r="BO44" s="542"/>
      <c r="BP44" s="291"/>
      <c r="BQ44" s="784"/>
    </row>
    <row r="45" spans="1:100">
      <c r="C45" s="313" t="s">
        <v>285</v>
      </c>
      <c r="D45" s="600"/>
      <c r="E45" s="229"/>
      <c r="F45" s="671"/>
      <c r="G45" s="671"/>
      <c r="H45" s="231"/>
      <c r="I45" s="763"/>
      <c r="J45" s="229"/>
      <c r="K45" s="671"/>
      <c r="L45" s="671"/>
      <c r="M45" s="231"/>
      <c r="N45" s="763"/>
      <c r="O45" s="229"/>
      <c r="P45" s="671"/>
      <c r="Q45" s="671"/>
      <c r="R45" s="231"/>
      <c r="S45" s="763"/>
      <c r="T45" s="229"/>
      <c r="U45" s="671"/>
      <c r="V45" s="671"/>
      <c r="W45" s="231"/>
      <c r="X45" s="763">
        <f t="shared" ref="X45:AC45" si="23">X28/X26</f>
        <v>0.31818181818181818</v>
      </c>
      <c r="Y45" s="229">
        <f t="shared" si="23"/>
        <v>-7</v>
      </c>
      <c r="Z45" s="671">
        <f t="shared" si="23"/>
        <v>-0.2413793103448276</v>
      </c>
      <c r="AA45" s="671">
        <f t="shared" si="23"/>
        <v>2.3333333333333335</v>
      </c>
      <c r="AB45" s="231">
        <f t="shared" si="23"/>
        <v>6.7961165048543687E-2</v>
      </c>
      <c r="AC45" s="763">
        <f t="shared" si="23"/>
        <v>0.36842105263157893</v>
      </c>
      <c r="AD45" s="229">
        <f t="shared" ref="AD45:AK45" si="24">AD28/AD26</f>
        <v>0.36842105263157893</v>
      </c>
      <c r="AE45" s="671">
        <f t="shared" si="24"/>
        <v>0.36842105263157893</v>
      </c>
      <c r="AF45" s="671">
        <f t="shared" si="24"/>
        <v>0.13725490196078433</v>
      </c>
      <c r="AG45" s="231">
        <f t="shared" si="24"/>
        <v>0.23809523809523808</v>
      </c>
      <c r="AH45" s="763">
        <f t="shared" si="24"/>
        <v>0.449438202247191</v>
      </c>
      <c r="AI45" s="229">
        <f>AI28/AI26</f>
        <v>-1.8571428571428599</v>
      </c>
      <c r="AJ45" s="671">
        <f t="shared" si="24"/>
        <v>1.1626016260162593</v>
      </c>
      <c r="AK45" s="671">
        <f t="shared" si="24"/>
        <v>2.2698412698412698</v>
      </c>
      <c r="AL45" s="231">
        <f>+AM45</f>
        <v>0.38</v>
      </c>
      <c r="AM45" s="763">
        <f>+'Utility Detail'!AM$15</f>
        <v>0.38</v>
      </c>
      <c r="AN45" s="229">
        <f>+AO45</f>
        <v>0.38</v>
      </c>
      <c r="AO45" s="671">
        <f>+AP45</f>
        <v>0.38</v>
      </c>
      <c r="AP45" s="671">
        <f>+AQ45</f>
        <v>0.38</v>
      </c>
      <c r="AQ45" s="231">
        <f>+AR45</f>
        <v>0.38</v>
      </c>
      <c r="AR45" s="763">
        <f>+'Utility Detail'!AR$15</f>
        <v>0.38</v>
      </c>
      <c r="AS45" s="229">
        <f>+AT45</f>
        <v>0.38</v>
      </c>
      <c r="AT45" s="671">
        <f>+AU45</f>
        <v>0.38</v>
      </c>
      <c r="AU45" s="671">
        <f>+AV45</f>
        <v>0.38</v>
      </c>
      <c r="AV45" s="231">
        <f>+AW45</f>
        <v>0.38</v>
      </c>
      <c r="AW45" s="763">
        <f>+'Utility Detail'!AW$15</f>
        <v>0.38</v>
      </c>
      <c r="AX45" s="229">
        <f>+AY45</f>
        <v>0.24</v>
      </c>
      <c r="AY45" s="671">
        <f>+AZ45</f>
        <v>0.24</v>
      </c>
      <c r="AZ45" s="671">
        <f>+BA45</f>
        <v>0.24</v>
      </c>
      <c r="BA45" s="231">
        <f>+BB45</f>
        <v>0.24</v>
      </c>
      <c r="BB45" s="763">
        <f>+'Utility Detail'!BB$15</f>
        <v>0.24</v>
      </c>
      <c r="BC45" s="229">
        <f>+BD45</f>
        <v>0.24</v>
      </c>
      <c r="BD45" s="671">
        <f>+BE45</f>
        <v>0.24</v>
      </c>
      <c r="BE45" s="671">
        <f>+BF45</f>
        <v>0.24</v>
      </c>
      <c r="BF45" s="231">
        <f>+BG45</f>
        <v>0.24</v>
      </c>
      <c r="BG45" s="763">
        <f>+'Utility Detail'!BG$15</f>
        <v>0.24</v>
      </c>
      <c r="BH45" s="229">
        <f>+BI45</f>
        <v>0.24</v>
      </c>
      <c r="BI45" s="671">
        <f>+BJ45</f>
        <v>0.24</v>
      </c>
      <c r="BJ45" s="671">
        <f>+BK45</f>
        <v>0.24</v>
      </c>
      <c r="BK45" s="231">
        <f>+BL45</f>
        <v>0.24</v>
      </c>
      <c r="BL45" s="763">
        <f>+'Utility Detail'!BL$15</f>
        <v>0.24</v>
      </c>
      <c r="BM45" s="229">
        <f>+BN45</f>
        <v>0.24</v>
      </c>
      <c r="BN45" s="671">
        <f>+BO45</f>
        <v>0.24</v>
      </c>
      <c r="BO45" s="671">
        <f>+BP45</f>
        <v>0.24</v>
      </c>
      <c r="BP45" s="231">
        <f>+BQ45</f>
        <v>0.24</v>
      </c>
      <c r="BQ45" s="785">
        <f>+'Utility Detail'!BQ$15</f>
        <v>0.24</v>
      </c>
    </row>
    <row r="46" spans="1:100">
      <c r="C46" s="314"/>
      <c r="D46" s="315"/>
      <c r="E46" s="316"/>
      <c r="F46" s="317"/>
      <c r="G46" s="317"/>
      <c r="H46" s="318"/>
      <c r="I46" s="786"/>
      <c r="J46" s="316"/>
      <c r="K46" s="317"/>
      <c r="L46" s="317"/>
      <c r="M46" s="318"/>
      <c r="N46" s="786"/>
      <c r="O46" s="316"/>
      <c r="P46" s="317"/>
      <c r="Q46" s="317"/>
      <c r="R46" s="318"/>
      <c r="S46" s="786"/>
      <c r="T46" s="316"/>
      <c r="U46" s="317"/>
      <c r="V46" s="317"/>
      <c r="W46" s="318"/>
      <c r="X46" s="786"/>
      <c r="Y46" s="316"/>
      <c r="Z46" s="317"/>
      <c r="AA46" s="317"/>
      <c r="AB46" s="318"/>
      <c r="AC46" s="786"/>
      <c r="AD46" s="316"/>
      <c r="AE46" s="317"/>
      <c r="AF46" s="317"/>
      <c r="AG46" s="318"/>
      <c r="AH46" s="786"/>
      <c r="AI46" s="316"/>
      <c r="AJ46" s="317"/>
      <c r="AK46" s="317"/>
      <c r="AL46" s="318"/>
      <c r="AM46" s="786"/>
      <c r="AN46" s="316"/>
      <c r="AO46" s="317"/>
      <c r="AP46" s="317"/>
      <c r="AQ46" s="318"/>
      <c r="AR46" s="786"/>
      <c r="AS46" s="316"/>
      <c r="AT46" s="317"/>
      <c r="AU46" s="317"/>
      <c r="AV46" s="318"/>
      <c r="AW46" s="786"/>
      <c r="AX46" s="316"/>
      <c r="AY46" s="317"/>
      <c r="AZ46" s="317"/>
      <c r="BA46" s="318"/>
      <c r="BB46" s="786"/>
      <c r="BC46" s="316"/>
      <c r="BD46" s="317"/>
      <c r="BE46" s="317"/>
      <c r="BF46" s="318"/>
      <c r="BG46" s="786"/>
      <c r="BH46" s="316"/>
      <c r="BI46" s="317"/>
      <c r="BJ46" s="317"/>
      <c r="BK46" s="318"/>
      <c r="BL46" s="786"/>
      <c r="BM46" s="316"/>
      <c r="BN46" s="317"/>
      <c r="BO46" s="317"/>
      <c r="BP46" s="318"/>
      <c r="BQ46" s="787"/>
    </row>
    <row r="47" spans="1:100">
      <c r="C47" s="56"/>
      <c r="E47" s="289"/>
      <c r="F47" s="290"/>
      <c r="G47" s="290"/>
      <c r="H47" s="291"/>
      <c r="I47" s="191"/>
      <c r="J47" s="289"/>
      <c r="K47" s="290"/>
      <c r="L47" s="290"/>
      <c r="M47" s="291"/>
      <c r="N47" s="191"/>
      <c r="O47" s="289"/>
      <c r="P47" s="290"/>
      <c r="Q47" s="290"/>
      <c r="R47" s="291"/>
      <c r="S47" s="191"/>
      <c r="T47" s="289"/>
      <c r="U47" s="290"/>
      <c r="V47" s="290"/>
      <c r="W47" s="291"/>
      <c r="X47" s="191"/>
      <c r="Y47" s="289"/>
      <c r="Z47" s="290"/>
      <c r="AA47" s="290"/>
      <c r="AB47" s="291"/>
      <c r="AC47" s="191"/>
      <c r="AD47" s="289"/>
      <c r="AE47" s="290"/>
      <c r="AF47" s="290"/>
      <c r="AG47" s="291"/>
      <c r="AH47" s="191"/>
      <c r="AI47" s="289"/>
      <c r="AJ47" s="290"/>
      <c r="AK47" s="290"/>
      <c r="AL47" s="291"/>
      <c r="AM47" s="191"/>
      <c r="AN47" s="289"/>
      <c r="AO47" s="290"/>
      <c r="AP47" s="290"/>
      <c r="AQ47" s="291"/>
      <c r="AR47" s="191"/>
      <c r="AS47" s="289"/>
      <c r="AT47" s="290"/>
      <c r="AU47" s="290"/>
      <c r="AV47" s="291"/>
      <c r="AW47" s="191"/>
      <c r="AX47" s="289"/>
      <c r="AY47" s="290"/>
      <c r="AZ47" s="290"/>
      <c r="BA47" s="291"/>
      <c r="BB47" s="191"/>
      <c r="BC47" s="289"/>
      <c r="BD47" s="290"/>
      <c r="BE47" s="290"/>
      <c r="BF47" s="291"/>
      <c r="BG47" s="191"/>
      <c r="BH47" s="289"/>
      <c r="BI47" s="290"/>
      <c r="BJ47" s="290"/>
      <c r="BK47" s="291"/>
      <c r="BL47" s="191"/>
      <c r="BM47" s="289"/>
      <c r="BN47" s="290"/>
      <c r="BO47" s="290"/>
      <c r="BP47" s="291"/>
      <c r="BQ47" s="191"/>
    </row>
    <row r="48" spans="1:100">
      <c r="C48" s="56"/>
      <c r="E48" s="289"/>
      <c r="F48" s="290"/>
      <c r="G48" s="290"/>
      <c r="H48" s="291"/>
      <c r="I48" s="191"/>
      <c r="J48" s="289"/>
      <c r="K48" s="290"/>
      <c r="L48" s="290"/>
      <c r="M48" s="291"/>
      <c r="N48" s="191"/>
      <c r="O48" s="289"/>
      <c r="P48" s="290"/>
      <c r="Q48" s="290"/>
      <c r="R48" s="291"/>
      <c r="S48" s="191"/>
      <c r="T48" s="289"/>
      <c r="U48" s="290"/>
      <c r="V48" s="290"/>
      <c r="W48" s="291"/>
      <c r="X48" s="191"/>
      <c r="Y48" s="289"/>
      <c r="Z48" s="290"/>
      <c r="AA48" s="290"/>
      <c r="AB48" s="291"/>
      <c r="AC48" s="191"/>
      <c r="AD48" s="289"/>
      <c r="AE48" s="290"/>
      <c r="AF48" s="290"/>
      <c r="AG48" s="291"/>
      <c r="AH48" s="191"/>
      <c r="AI48" s="289"/>
      <c r="AJ48" s="290"/>
      <c r="AK48" s="290"/>
      <c r="AL48" s="291"/>
      <c r="AM48" s="191"/>
      <c r="AN48" s="289"/>
      <c r="AO48" s="290"/>
      <c r="AP48" s="290"/>
      <c r="AQ48" s="291"/>
      <c r="AR48" s="191"/>
      <c r="AS48" s="289"/>
      <c r="AT48" s="290"/>
      <c r="AU48" s="290"/>
      <c r="AV48" s="291"/>
      <c r="AW48" s="191"/>
      <c r="AX48" s="289"/>
      <c r="AY48" s="290"/>
      <c r="AZ48" s="290"/>
      <c r="BA48" s="291"/>
      <c r="BB48" s="191"/>
      <c r="BC48" s="289"/>
      <c r="BD48" s="290"/>
      <c r="BE48" s="290"/>
      <c r="BF48" s="291"/>
      <c r="BG48" s="191"/>
      <c r="BH48" s="289"/>
      <c r="BI48" s="290"/>
      <c r="BJ48" s="290"/>
      <c r="BK48" s="291"/>
      <c r="BL48" s="191"/>
      <c r="BM48" s="289"/>
      <c r="BN48" s="290"/>
      <c r="BO48" s="290"/>
      <c r="BP48" s="291"/>
      <c r="BQ48" s="191"/>
    </row>
    <row r="49" spans="1:100">
      <c r="B49" s="554" t="s">
        <v>633</v>
      </c>
      <c r="C49" s="46"/>
      <c r="D49" s="47"/>
      <c r="E49" s="289"/>
      <c r="F49" s="290"/>
      <c r="G49" s="290"/>
      <c r="H49" s="291"/>
      <c r="I49" s="191"/>
      <c r="J49" s="289"/>
      <c r="K49" s="290"/>
      <c r="L49" s="290"/>
      <c r="M49" s="291"/>
      <c r="N49" s="191"/>
      <c r="O49" s="289"/>
      <c r="P49" s="290"/>
      <c r="Q49" s="290"/>
      <c r="R49" s="291"/>
      <c r="S49" s="191"/>
      <c r="T49" s="289"/>
      <c r="U49" s="290"/>
      <c r="V49" s="290"/>
      <c r="W49" s="291"/>
      <c r="X49" s="191"/>
      <c r="Y49" s="289"/>
      <c r="Z49" s="290"/>
      <c r="AA49" s="290"/>
      <c r="AB49" s="291"/>
      <c r="AC49" s="191"/>
      <c r="AD49" s="289"/>
      <c r="AE49" s="290"/>
      <c r="AF49" s="290"/>
      <c r="AG49" s="291"/>
      <c r="AH49" s="191"/>
      <c r="AI49" s="289"/>
      <c r="AJ49" s="290"/>
      <c r="AK49" s="290"/>
      <c r="AL49" s="291"/>
      <c r="AM49" s="191"/>
      <c r="AN49" s="289"/>
      <c r="AO49" s="290"/>
      <c r="AP49" s="290"/>
      <c r="AQ49" s="291"/>
      <c r="AR49" s="191"/>
      <c r="AS49" s="289"/>
      <c r="AT49" s="290"/>
      <c r="AU49" s="290"/>
      <c r="AV49" s="291"/>
      <c r="AW49" s="191"/>
      <c r="AX49" s="289"/>
      <c r="AY49" s="290"/>
      <c r="AZ49" s="290"/>
      <c r="BA49" s="291"/>
      <c r="BB49" s="191"/>
      <c r="BC49" s="289"/>
      <c r="BD49" s="290"/>
      <c r="BE49" s="290"/>
      <c r="BF49" s="291"/>
      <c r="BG49" s="191"/>
      <c r="BH49" s="289"/>
      <c r="BI49" s="290"/>
      <c r="BJ49" s="290"/>
      <c r="BK49" s="291"/>
      <c r="BL49" s="191"/>
      <c r="BM49" s="289"/>
      <c r="BN49" s="290"/>
      <c r="BO49" s="290"/>
      <c r="BP49" s="291"/>
      <c r="BQ49" s="191"/>
    </row>
    <row r="50" spans="1:100" s="50" customFormat="1">
      <c r="A50" s="242"/>
      <c r="B50" s="242"/>
      <c r="C50" s="303" t="s">
        <v>217</v>
      </c>
      <c r="D50" s="109"/>
      <c r="E50" s="161"/>
      <c r="F50" s="160"/>
      <c r="G50" s="160"/>
      <c r="H50" s="144"/>
      <c r="I50" s="109"/>
      <c r="J50" s="161"/>
      <c r="K50" s="160"/>
      <c r="L50" s="160"/>
      <c r="M50" s="144"/>
      <c r="N50" s="109"/>
      <c r="O50" s="161"/>
      <c r="P50" s="160"/>
      <c r="Q50" s="160"/>
      <c r="R50" s="144"/>
      <c r="S50" s="109"/>
      <c r="T50" s="161"/>
      <c r="U50" s="160"/>
      <c r="V50" s="160"/>
      <c r="W50" s="144"/>
      <c r="X50" s="109">
        <f t="shared" ref="X50:AC50" si="25">+X12</f>
        <v>599</v>
      </c>
      <c r="Y50" s="161">
        <f t="shared" si="25"/>
        <v>121.25</v>
      </c>
      <c r="Z50" s="160">
        <f t="shared" si="25"/>
        <v>112.25</v>
      </c>
      <c r="AA50" s="160">
        <f t="shared" si="25"/>
        <v>117.25</v>
      </c>
      <c r="AB50" s="144">
        <f t="shared" si="25"/>
        <v>145.25</v>
      </c>
      <c r="AC50" s="109">
        <f t="shared" si="25"/>
        <v>496</v>
      </c>
      <c r="AD50" s="161">
        <f t="shared" ref="AD50:AJ50" si="26">+AD12</f>
        <v>148.25</v>
      </c>
      <c r="AE50" s="160">
        <f t="shared" si="26"/>
        <v>143.25</v>
      </c>
      <c r="AF50" s="160">
        <f t="shared" si="26"/>
        <v>130.25</v>
      </c>
      <c r="AG50" s="144">
        <f t="shared" si="26"/>
        <v>166</v>
      </c>
      <c r="AH50" s="109">
        <f t="shared" si="26"/>
        <v>563</v>
      </c>
      <c r="AI50" s="161">
        <f t="shared" si="26"/>
        <v>135.15</v>
      </c>
      <c r="AJ50" s="160">
        <f t="shared" si="26"/>
        <v>134.15</v>
      </c>
      <c r="AK50" s="160">
        <f>+AK12</f>
        <v>3.1500000000000004</v>
      </c>
      <c r="AL50" s="144">
        <f>AG50*(1+AL51)</f>
        <v>164.34</v>
      </c>
      <c r="AM50" s="109">
        <f>+SUM(AI50:AL50)</f>
        <v>436.78999999999996</v>
      </c>
      <c r="AN50" s="161"/>
      <c r="AO50" s="160"/>
      <c r="AP50" s="160"/>
      <c r="AQ50" s="144"/>
      <c r="AR50" s="109"/>
      <c r="AS50" s="161"/>
      <c r="AT50" s="160"/>
      <c r="AU50" s="160"/>
      <c r="AV50" s="144"/>
      <c r="AW50" s="109"/>
      <c r="AX50" s="161"/>
      <c r="AY50" s="160"/>
      <c r="AZ50" s="160"/>
      <c r="BA50" s="144"/>
      <c r="BB50" s="109"/>
      <c r="BC50" s="161"/>
      <c r="BD50" s="160"/>
      <c r="BE50" s="160"/>
      <c r="BF50" s="144"/>
      <c r="BG50" s="109"/>
      <c r="BH50" s="161"/>
      <c r="BI50" s="160"/>
      <c r="BJ50" s="160"/>
      <c r="BK50" s="144"/>
      <c r="BL50" s="109"/>
      <c r="BM50" s="161"/>
      <c r="BN50" s="160"/>
      <c r="BO50" s="160"/>
      <c r="BP50" s="144"/>
      <c r="BQ50" s="109"/>
      <c r="BR50" s="242"/>
      <c r="BS50" s="242"/>
      <c r="BT50" s="242"/>
      <c r="BU50" s="242"/>
      <c r="BV50" s="242"/>
      <c r="BW50" s="242"/>
      <c r="BX50" s="242"/>
      <c r="BY50" s="242"/>
      <c r="BZ50" s="242"/>
      <c r="CA50" s="242"/>
      <c r="CB50" s="242"/>
      <c r="CC50" s="242"/>
      <c r="CD50" s="242"/>
      <c r="CE50" s="242"/>
      <c r="CF50" s="242"/>
      <c r="CG50" s="242"/>
      <c r="CH50" s="242"/>
      <c r="CI50" s="242"/>
      <c r="CJ50" s="242"/>
      <c r="CK50" s="242"/>
      <c r="CL50" s="242"/>
      <c r="CM50" s="242"/>
      <c r="CN50" s="242"/>
      <c r="CO50" s="242"/>
      <c r="CP50" s="242"/>
    </row>
    <row r="51" spans="1:100">
      <c r="A51" s="75"/>
      <c r="B51" s="75"/>
      <c r="C51" s="349" t="s">
        <v>218</v>
      </c>
      <c r="D51" s="75"/>
      <c r="E51" s="350"/>
      <c r="F51" s="351"/>
      <c r="G51" s="351"/>
      <c r="H51" s="352"/>
      <c r="I51" s="273"/>
      <c r="J51" s="270"/>
      <c r="K51" s="271"/>
      <c r="L51" s="271"/>
      <c r="M51" s="272"/>
      <c r="N51" s="273"/>
      <c r="O51" s="270"/>
      <c r="P51" s="271"/>
      <c r="Q51" s="271"/>
      <c r="R51" s="272"/>
      <c r="S51" s="273"/>
      <c r="T51" s="270"/>
      <c r="U51" s="271"/>
      <c r="V51" s="271"/>
      <c r="W51" s="272"/>
      <c r="X51" s="273"/>
      <c r="Y51" s="270"/>
      <c r="Z51" s="271"/>
      <c r="AA51" s="271"/>
      <c r="AB51" s="272"/>
      <c r="AC51" s="273">
        <f>+AC50/X50-1</f>
        <v>-0.17195325542570949</v>
      </c>
      <c r="AD51" s="270"/>
      <c r="AE51" s="271"/>
      <c r="AF51" s="271"/>
      <c r="AG51" s="272"/>
      <c r="AH51" s="273">
        <f>+AH50/AC50-1</f>
        <v>0.13508064516129026</v>
      </c>
      <c r="AI51" s="270"/>
      <c r="AJ51" s="271"/>
      <c r="AK51" s="271"/>
      <c r="AL51" s="272">
        <f>+AL42</f>
        <v>-0.01</v>
      </c>
      <c r="AM51" s="273">
        <f>+AM50/AH50-1</f>
        <v>-0.22417406749555957</v>
      </c>
      <c r="AN51" s="270"/>
      <c r="AO51" s="271"/>
      <c r="AP51" s="271"/>
      <c r="AQ51" s="272"/>
      <c r="AR51" s="273"/>
      <c r="AS51" s="270"/>
      <c r="AT51" s="271"/>
      <c r="AU51" s="271"/>
      <c r="AV51" s="272"/>
      <c r="AW51" s="273"/>
      <c r="AX51" s="270"/>
      <c r="AY51" s="271"/>
      <c r="AZ51" s="271"/>
      <c r="BA51" s="272"/>
      <c r="BB51" s="273"/>
      <c r="BC51" s="270"/>
      <c r="BD51" s="271"/>
      <c r="BE51" s="271"/>
      <c r="BF51" s="272"/>
      <c r="BG51" s="273"/>
      <c r="BH51" s="270"/>
      <c r="BI51" s="271"/>
      <c r="BJ51" s="271"/>
      <c r="BK51" s="272"/>
      <c r="BL51" s="273"/>
      <c r="BM51" s="270"/>
      <c r="BN51" s="271"/>
      <c r="BO51" s="271"/>
      <c r="BP51" s="272"/>
      <c r="BQ51" s="273"/>
      <c r="BR51" s="75"/>
      <c r="BS51" s="75"/>
      <c r="BT51" s="75"/>
      <c r="BU51" s="75"/>
      <c r="BV51" s="75"/>
      <c r="BW51" s="75"/>
      <c r="BX51" s="75"/>
      <c r="BY51" s="75"/>
      <c r="BZ51" s="75"/>
      <c r="CA51" s="75"/>
      <c r="CB51" s="75"/>
      <c r="CC51" s="75"/>
      <c r="CD51" s="75"/>
      <c r="CE51" s="75"/>
      <c r="CF51" s="75"/>
      <c r="CG51" s="75"/>
      <c r="CH51" s="75"/>
      <c r="CI51" s="75"/>
      <c r="CJ51" s="75"/>
      <c r="CK51" s="75"/>
      <c r="CL51" s="75"/>
      <c r="CM51" s="75"/>
      <c r="CN51" s="75"/>
      <c r="CO51" s="75"/>
      <c r="CP51" s="75"/>
    </row>
    <row r="52" spans="1:100">
      <c r="A52" s="50"/>
      <c r="B52" s="50"/>
      <c r="C52" s="303"/>
      <c r="D52" s="50"/>
      <c r="E52" s="225"/>
      <c r="F52" s="226"/>
      <c r="G52" s="226"/>
      <c r="H52" s="227"/>
      <c r="I52" s="228"/>
      <c r="J52" s="225"/>
      <c r="K52" s="226"/>
      <c r="L52" s="226"/>
      <c r="M52" s="227"/>
      <c r="N52" s="228"/>
      <c r="O52" s="225"/>
      <c r="P52" s="226"/>
      <c r="Q52" s="226"/>
      <c r="R52" s="227"/>
      <c r="S52" s="228"/>
      <c r="T52" s="225"/>
      <c r="U52" s="226"/>
      <c r="V52" s="226"/>
      <c r="W52" s="227"/>
      <c r="X52" s="228"/>
      <c r="Y52" s="225"/>
      <c r="Z52" s="226"/>
      <c r="AA52" s="226"/>
      <c r="AB52" s="227"/>
      <c r="AC52" s="228"/>
      <c r="AD52" s="225"/>
      <c r="AE52" s="226"/>
      <c r="AF52" s="226"/>
      <c r="AG52" s="227"/>
      <c r="AH52" s="228"/>
      <c r="AI52" s="225"/>
      <c r="AJ52" s="226"/>
      <c r="AK52" s="226"/>
      <c r="AL52" s="227"/>
      <c r="AM52" s="228"/>
      <c r="AN52" s="225"/>
      <c r="AO52" s="226"/>
      <c r="AP52" s="226"/>
      <c r="AQ52" s="227"/>
      <c r="AR52" s="228"/>
      <c r="AS52" s="225"/>
      <c r="AT52" s="226"/>
      <c r="AU52" s="226"/>
      <c r="AV52" s="227"/>
      <c r="AW52" s="228"/>
      <c r="AX52" s="225"/>
      <c r="AY52" s="226"/>
      <c r="AZ52" s="226"/>
      <c r="BA52" s="227"/>
      <c r="BB52" s="228"/>
      <c r="BC52" s="225"/>
      <c r="BD52" s="226"/>
      <c r="BE52" s="226"/>
      <c r="BF52" s="227"/>
      <c r="BG52" s="228"/>
      <c r="BH52" s="225"/>
      <c r="BI52" s="226"/>
      <c r="BJ52" s="226"/>
      <c r="BK52" s="227"/>
      <c r="BL52" s="228"/>
      <c r="BM52" s="225"/>
      <c r="BN52" s="226"/>
      <c r="BO52" s="226"/>
      <c r="BP52" s="227"/>
      <c r="BQ52" s="228"/>
      <c r="BR52" s="50"/>
      <c r="BS52" s="50"/>
      <c r="BT52" s="50"/>
      <c r="BU52" s="50"/>
      <c r="BV52" s="50"/>
      <c r="BW52" s="50"/>
      <c r="BX52" s="50"/>
      <c r="BY52" s="50"/>
      <c r="BZ52" s="50"/>
      <c r="CA52" s="50"/>
      <c r="CB52" s="50"/>
      <c r="CC52" s="50"/>
      <c r="CD52" s="50"/>
      <c r="CE52" s="50"/>
      <c r="CF52" s="50"/>
      <c r="CG52" s="50"/>
      <c r="CH52" s="50"/>
      <c r="CI52" s="50"/>
      <c r="CJ52" s="50"/>
      <c r="CK52" s="50"/>
      <c r="CL52" s="50"/>
      <c r="CM52" s="50"/>
      <c r="CN52" s="50"/>
      <c r="CO52" s="50"/>
      <c r="CP52" s="50"/>
    </row>
    <row r="53" spans="1:100">
      <c r="A53" s="242"/>
      <c r="B53" s="242"/>
      <c r="C53" s="303" t="s">
        <v>1017</v>
      </c>
      <c r="D53" s="109"/>
      <c r="E53" s="161"/>
      <c r="F53" s="160"/>
      <c r="G53" s="160"/>
      <c r="H53" s="144"/>
      <c r="I53" s="109"/>
      <c r="J53" s="161"/>
      <c r="K53" s="160"/>
      <c r="L53" s="160"/>
      <c r="M53" s="144"/>
      <c r="N53" s="109"/>
      <c r="O53" s="161"/>
      <c r="P53" s="160"/>
      <c r="Q53" s="160"/>
      <c r="R53" s="144"/>
      <c r="S53" s="109"/>
      <c r="T53" s="161"/>
      <c r="U53" s="160"/>
      <c r="V53" s="160"/>
      <c r="W53" s="144"/>
      <c r="X53" s="109">
        <f t="shared" ref="X53:AC53" si="27">+X14</f>
        <v>0</v>
      </c>
      <c r="Y53" s="161">
        <f t="shared" si="27"/>
        <v>0</v>
      </c>
      <c r="Z53" s="160">
        <f t="shared" si="27"/>
        <v>0</v>
      </c>
      <c r="AA53" s="160">
        <f t="shared" si="27"/>
        <v>0</v>
      </c>
      <c r="AB53" s="144">
        <f t="shared" si="27"/>
        <v>0</v>
      </c>
      <c r="AC53" s="109">
        <f t="shared" si="27"/>
        <v>0</v>
      </c>
      <c r="AD53" s="161">
        <f t="shared" ref="AD53:AJ53" si="28">+AD14</f>
        <v>0</v>
      </c>
      <c r="AE53" s="160">
        <f t="shared" si="28"/>
        <v>0</v>
      </c>
      <c r="AF53" s="160">
        <f t="shared" si="28"/>
        <v>0</v>
      </c>
      <c r="AG53" s="144">
        <f t="shared" si="28"/>
        <v>0</v>
      </c>
      <c r="AH53" s="109">
        <f t="shared" si="28"/>
        <v>0</v>
      </c>
      <c r="AI53" s="161">
        <f t="shared" si="28"/>
        <v>0</v>
      </c>
      <c r="AJ53" s="160">
        <f t="shared" si="28"/>
        <v>0</v>
      </c>
      <c r="AK53" s="160">
        <f>+AK14</f>
        <v>0</v>
      </c>
      <c r="AL53" s="144">
        <f>AG53*(1+AL54)</f>
        <v>0</v>
      </c>
      <c r="AM53" s="109">
        <f>+SUM(AI53:AL53)</f>
        <v>0</v>
      </c>
      <c r="AN53" s="161"/>
      <c r="AO53" s="160"/>
      <c r="AP53" s="160"/>
      <c r="AQ53" s="144"/>
      <c r="AR53" s="109"/>
      <c r="AS53" s="161"/>
      <c r="AT53" s="160"/>
      <c r="AU53" s="160"/>
      <c r="AV53" s="144"/>
      <c r="AW53" s="109"/>
      <c r="AX53" s="161"/>
      <c r="AY53" s="160"/>
      <c r="AZ53" s="160"/>
      <c r="BA53" s="144"/>
      <c r="BB53" s="109"/>
      <c r="BC53" s="161"/>
      <c r="BD53" s="160"/>
      <c r="BE53" s="160"/>
      <c r="BF53" s="144"/>
      <c r="BG53" s="109"/>
      <c r="BH53" s="161"/>
      <c r="BI53" s="160"/>
      <c r="BJ53" s="160"/>
      <c r="BK53" s="144"/>
      <c r="BL53" s="109"/>
      <c r="BM53" s="161"/>
      <c r="BN53" s="160"/>
      <c r="BO53" s="160"/>
      <c r="BP53" s="144"/>
      <c r="BQ53" s="109"/>
      <c r="BR53" s="242"/>
      <c r="BS53" s="242"/>
      <c r="BT53" s="242"/>
      <c r="BU53" s="242"/>
      <c r="BV53" s="242"/>
      <c r="BW53" s="242"/>
      <c r="BX53" s="242"/>
      <c r="BY53" s="242"/>
      <c r="BZ53" s="242"/>
      <c r="CA53" s="242"/>
      <c r="CB53" s="242"/>
      <c r="CC53" s="242"/>
      <c r="CD53" s="242"/>
      <c r="CE53" s="242"/>
      <c r="CF53" s="242"/>
      <c r="CG53" s="242"/>
      <c r="CH53" s="242"/>
      <c r="CI53" s="242"/>
      <c r="CJ53" s="242"/>
      <c r="CK53" s="242"/>
      <c r="CL53" s="242"/>
      <c r="CM53" s="242"/>
      <c r="CN53" s="242"/>
      <c r="CO53" s="242"/>
      <c r="CP53" s="242"/>
    </row>
    <row r="54" spans="1:100">
      <c r="A54" s="75"/>
      <c r="B54" s="75"/>
      <c r="C54" s="349" t="s">
        <v>218</v>
      </c>
      <c r="D54" s="75"/>
      <c r="E54" s="350"/>
      <c r="F54" s="351"/>
      <c r="G54" s="351"/>
      <c r="H54" s="352"/>
      <c r="I54" s="273"/>
      <c r="J54" s="270"/>
      <c r="K54" s="271"/>
      <c r="L54" s="271"/>
      <c r="M54" s="272"/>
      <c r="N54" s="273"/>
      <c r="O54" s="270"/>
      <c r="P54" s="271"/>
      <c r="Q54" s="271"/>
      <c r="R54" s="272"/>
      <c r="S54" s="273"/>
      <c r="T54" s="270"/>
      <c r="U54" s="271"/>
      <c r="V54" s="271"/>
      <c r="W54" s="272"/>
      <c r="X54" s="273"/>
      <c r="Y54" s="270"/>
      <c r="Z54" s="271"/>
      <c r="AA54" s="271"/>
      <c r="AB54" s="272"/>
      <c r="AC54" s="273"/>
      <c r="AD54" s="270"/>
      <c r="AE54" s="271"/>
      <c r="AF54" s="271"/>
      <c r="AG54" s="272"/>
      <c r="AH54" s="273"/>
      <c r="AI54" s="270"/>
      <c r="AJ54" s="1304"/>
      <c r="AK54" s="1304"/>
      <c r="AL54" s="1301">
        <f>IF(ISERROR(+AL43),"NM",+AL43)</f>
        <v>0.02</v>
      </c>
      <c r="AM54" s="1302" t="str">
        <f>IF(ISERROR(+AM53/AH53-1),"NM",+AM53/AH53-1)</f>
        <v>NM</v>
      </c>
      <c r="AN54" s="1303"/>
      <c r="AO54" s="1304"/>
      <c r="AP54" s="1304"/>
      <c r="AQ54" s="1301"/>
      <c r="AR54" s="1302"/>
      <c r="AS54" s="1303"/>
      <c r="AT54" s="1304"/>
      <c r="AU54" s="1304"/>
      <c r="AV54" s="1301"/>
      <c r="AW54" s="1302"/>
      <c r="AX54" s="1303"/>
      <c r="AY54" s="1304"/>
      <c r="AZ54" s="1304"/>
      <c r="BA54" s="1301"/>
      <c r="BB54" s="1302"/>
      <c r="BC54" s="1303"/>
      <c r="BD54" s="1304"/>
      <c r="BE54" s="1304"/>
      <c r="BF54" s="1301"/>
      <c r="BG54" s="1302"/>
      <c r="BH54" s="1303"/>
      <c r="BI54" s="1304"/>
      <c r="BJ54" s="1304"/>
      <c r="BK54" s="1301"/>
      <c r="BL54" s="1302"/>
      <c r="BM54" s="1303"/>
      <c r="BN54" s="1304"/>
      <c r="BO54" s="1304"/>
      <c r="BP54" s="1301"/>
      <c r="BQ54" s="1302"/>
      <c r="BR54" s="75"/>
      <c r="BS54" s="75"/>
      <c r="BT54" s="75"/>
      <c r="BU54" s="75"/>
      <c r="BV54" s="75"/>
      <c r="BW54" s="75"/>
      <c r="BX54" s="75"/>
      <c r="BY54" s="75"/>
      <c r="BZ54" s="75"/>
      <c r="CA54" s="75"/>
      <c r="CB54" s="75"/>
      <c r="CC54" s="75"/>
      <c r="CD54" s="75"/>
      <c r="CE54" s="75"/>
      <c r="CF54" s="75"/>
      <c r="CG54" s="75"/>
      <c r="CH54" s="75"/>
      <c r="CI54" s="75"/>
      <c r="CJ54" s="75"/>
      <c r="CK54" s="75"/>
      <c r="CL54" s="75"/>
      <c r="CM54" s="75"/>
      <c r="CN54" s="75"/>
      <c r="CO54" s="75"/>
      <c r="CP54" s="75"/>
    </row>
    <row r="55" spans="1:100">
      <c r="A55" s="50"/>
      <c r="B55" s="50"/>
      <c r="C55" s="50"/>
      <c r="D55" s="50"/>
      <c r="E55" s="225"/>
      <c r="F55" s="226"/>
      <c r="G55" s="226"/>
      <c r="H55" s="227"/>
      <c r="I55" s="228"/>
      <c r="J55" s="225"/>
      <c r="K55" s="226"/>
      <c r="L55" s="226"/>
      <c r="M55" s="227"/>
      <c r="N55" s="228"/>
      <c r="O55" s="225"/>
      <c r="P55" s="226"/>
      <c r="Q55" s="226"/>
      <c r="R55" s="227"/>
      <c r="S55" s="228"/>
      <c r="T55" s="225"/>
      <c r="U55" s="226"/>
      <c r="V55" s="226"/>
      <c r="W55" s="227"/>
      <c r="X55" s="228"/>
      <c r="Y55" s="225"/>
      <c r="Z55" s="226"/>
      <c r="AA55" s="226"/>
      <c r="AB55" s="227"/>
      <c r="AC55" s="228"/>
      <c r="AD55" s="225"/>
      <c r="AE55" s="226"/>
      <c r="AF55" s="226"/>
      <c r="AG55" s="227"/>
      <c r="AH55" s="228"/>
      <c r="AI55" s="225"/>
      <c r="AJ55" s="226"/>
      <c r="AK55" s="226"/>
      <c r="AL55" s="227"/>
      <c r="AM55" s="228"/>
      <c r="AN55" s="225"/>
      <c r="AO55" s="226"/>
      <c r="AP55" s="226"/>
      <c r="AQ55" s="227"/>
      <c r="AR55" s="228"/>
      <c r="AS55" s="225"/>
      <c r="AT55" s="226"/>
      <c r="AU55" s="226"/>
      <c r="AV55" s="227"/>
      <c r="AW55" s="228"/>
      <c r="AX55" s="225"/>
      <c r="AY55" s="226"/>
      <c r="AZ55" s="226"/>
      <c r="BA55" s="227"/>
      <c r="BB55" s="228"/>
      <c r="BC55" s="225"/>
      <c r="BD55" s="226"/>
      <c r="BE55" s="226"/>
      <c r="BF55" s="227"/>
      <c r="BG55" s="228"/>
      <c r="BH55" s="225"/>
      <c r="BI55" s="226"/>
      <c r="BJ55" s="226"/>
      <c r="BK55" s="227"/>
      <c r="BL55" s="228"/>
      <c r="BM55" s="225"/>
      <c r="BN55" s="226"/>
      <c r="BO55" s="226"/>
      <c r="BP55" s="227"/>
      <c r="BQ55" s="228"/>
      <c r="BR55" s="50"/>
      <c r="BS55" s="50"/>
      <c r="BT55" s="50"/>
      <c r="BU55" s="50"/>
      <c r="BV55" s="50"/>
      <c r="BW55" s="50"/>
      <c r="BX55" s="50"/>
      <c r="BY55" s="50"/>
      <c r="BZ55" s="50"/>
      <c r="CA55" s="50"/>
      <c r="CB55" s="50"/>
      <c r="CC55" s="50"/>
      <c r="CD55" s="50"/>
      <c r="CE55" s="50"/>
      <c r="CF55" s="50"/>
      <c r="CG55" s="50"/>
      <c r="CH55" s="50"/>
      <c r="CI55" s="50"/>
      <c r="CJ55" s="50"/>
      <c r="CK55" s="50"/>
      <c r="CL55" s="50"/>
      <c r="CM55" s="50"/>
      <c r="CN55" s="50"/>
      <c r="CO55" s="50"/>
      <c r="CP55" s="50"/>
    </row>
    <row r="56" spans="1:100">
      <c r="A56" s="50"/>
      <c r="B56" s="50"/>
      <c r="C56" s="50"/>
      <c r="D56" s="50"/>
      <c r="E56" s="225"/>
      <c r="F56" s="226"/>
      <c r="G56" s="226"/>
      <c r="H56" s="227"/>
      <c r="I56" s="228"/>
      <c r="J56" s="225"/>
      <c r="K56" s="226"/>
      <c r="L56" s="226"/>
      <c r="M56" s="227"/>
      <c r="N56" s="228"/>
      <c r="O56" s="225"/>
      <c r="P56" s="226"/>
      <c r="Q56" s="226"/>
      <c r="R56" s="227"/>
      <c r="S56" s="228"/>
      <c r="T56" s="225"/>
      <c r="U56" s="226"/>
      <c r="V56" s="226"/>
      <c r="W56" s="227"/>
      <c r="X56" s="228"/>
      <c r="Y56" s="225"/>
      <c r="Z56" s="226"/>
      <c r="AA56" s="226"/>
      <c r="AB56" s="227"/>
      <c r="AC56" s="228"/>
      <c r="AD56" s="225"/>
      <c r="AE56" s="226"/>
      <c r="AF56" s="226"/>
      <c r="AG56" s="227"/>
      <c r="AH56" s="228"/>
      <c r="AI56" s="225"/>
      <c r="AJ56" s="226"/>
      <c r="AK56" s="226"/>
      <c r="AL56" s="227"/>
      <c r="AM56" s="228"/>
      <c r="AN56" s="225"/>
      <c r="AO56" s="226"/>
      <c r="AP56" s="226"/>
      <c r="AQ56" s="227"/>
      <c r="AR56" s="228"/>
      <c r="AS56" s="225"/>
      <c r="AT56" s="226"/>
      <c r="AU56" s="226"/>
      <c r="AV56" s="227"/>
      <c r="AW56" s="228"/>
      <c r="AX56" s="225"/>
      <c r="AY56" s="226"/>
      <c r="AZ56" s="226"/>
      <c r="BA56" s="227"/>
      <c r="BB56" s="228"/>
      <c r="BC56" s="225"/>
      <c r="BD56" s="226"/>
      <c r="BE56" s="226"/>
      <c r="BF56" s="227"/>
      <c r="BG56" s="228"/>
      <c r="BH56" s="225"/>
      <c r="BI56" s="226"/>
      <c r="BJ56" s="226"/>
      <c r="BK56" s="227"/>
      <c r="BL56" s="228"/>
      <c r="BM56" s="225"/>
      <c r="BN56" s="226"/>
      <c r="BO56" s="226"/>
      <c r="BP56" s="227"/>
      <c r="BQ56" s="228"/>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row>
    <row r="57" spans="1:100">
      <c r="A57" s="553"/>
      <c r="B57" s="554" t="s">
        <v>219</v>
      </c>
      <c r="C57" s="555"/>
      <c r="D57" s="645"/>
      <c r="E57" s="225"/>
      <c r="F57" s="604"/>
      <c r="G57" s="604"/>
      <c r="H57" s="227"/>
      <c r="I57" s="571"/>
      <c r="J57" s="225"/>
      <c r="K57" s="604"/>
      <c r="L57" s="604"/>
      <c r="M57" s="227"/>
      <c r="N57" s="571"/>
      <c r="O57" s="225"/>
      <c r="P57" s="604"/>
      <c r="Q57" s="604"/>
      <c r="R57" s="227"/>
      <c r="S57" s="571"/>
      <c r="T57" s="225"/>
      <c r="U57" s="604"/>
      <c r="V57" s="604"/>
      <c r="W57" s="227"/>
      <c r="X57" s="571"/>
      <c r="Y57" s="225"/>
      <c r="Z57" s="604"/>
      <c r="AA57" s="604"/>
      <c r="AB57" s="227"/>
      <c r="AC57" s="571"/>
      <c r="AD57" s="225"/>
      <c r="AE57" s="604"/>
      <c r="AF57" s="604"/>
      <c r="AG57" s="227"/>
      <c r="AH57" s="571"/>
      <c r="AI57" s="225"/>
      <c r="AJ57" s="604"/>
      <c r="AK57" s="604"/>
      <c r="AL57" s="227"/>
      <c r="AM57" s="571"/>
      <c r="AN57" s="225"/>
      <c r="AO57" s="604"/>
      <c r="AP57" s="604"/>
      <c r="AQ57" s="227"/>
      <c r="AR57" s="571"/>
      <c r="AS57" s="225"/>
      <c r="AT57" s="604"/>
      <c r="AU57" s="604"/>
      <c r="AV57" s="227"/>
      <c r="AW57" s="571"/>
      <c r="AX57" s="225"/>
      <c r="AY57" s="604"/>
      <c r="AZ57" s="604"/>
      <c r="BA57" s="227"/>
      <c r="BB57" s="571"/>
      <c r="BC57" s="225"/>
      <c r="BD57" s="604"/>
      <c r="BE57" s="604"/>
      <c r="BF57" s="227"/>
      <c r="BG57" s="571"/>
      <c r="BH57" s="225"/>
      <c r="BI57" s="604"/>
      <c r="BJ57" s="604"/>
      <c r="BK57" s="227"/>
      <c r="BL57" s="571"/>
      <c r="BM57" s="225"/>
      <c r="BN57" s="604"/>
      <c r="BO57" s="604"/>
      <c r="BP57" s="227"/>
      <c r="BQ57" s="571"/>
      <c r="BR57" s="553"/>
      <c r="BS57" s="553"/>
      <c r="BT57" s="553"/>
      <c r="BU57" s="553"/>
      <c r="BV57" s="553"/>
      <c r="BW57" s="553"/>
      <c r="BX57" s="553"/>
      <c r="BY57" s="553"/>
      <c r="BZ57" s="553"/>
      <c r="CA57" s="553"/>
      <c r="CB57" s="553"/>
      <c r="CC57" s="553"/>
      <c r="CD57" s="553"/>
      <c r="CE57" s="553"/>
      <c r="CF57" s="553"/>
      <c r="CG57" s="553"/>
      <c r="CH57" s="553"/>
      <c r="CI57" s="553"/>
      <c r="CJ57" s="553"/>
      <c r="CK57" s="553"/>
      <c r="CL57" s="553"/>
      <c r="CM57" s="553"/>
      <c r="CN57" s="553"/>
      <c r="CO57" s="553"/>
      <c r="CP57" s="553"/>
      <c r="CQ57" s="553"/>
      <c r="CR57" s="553"/>
      <c r="CS57" s="553"/>
      <c r="CT57" s="553"/>
      <c r="CU57" s="553"/>
      <c r="CV57" s="553"/>
    </row>
    <row r="58" spans="1:100">
      <c r="A58" s="553"/>
      <c r="B58" s="553"/>
      <c r="C58" s="553"/>
      <c r="D58" s="553"/>
      <c r="E58" s="225"/>
      <c r="F58" s="604"/>
      <c r="G58" s="604"/>
      <c r="H58" s="227"/>
      <c r="I58" s="571"/>
      <c r="J58" s="225"/>
      <c r="K58" s="604"/>
      <c r="L58" s="604"/>
      <c r="M58" s="227"/>
      <c r="N58" s="571"/>
      <c r="O58" s="225"/>
      <c r="P58" s="604"/>
      <c r="Q58" s="604"/>
      <c r="R58" s="227"/>
      <c r="S58" s="571"/>
      <c r="T58" s="225"/>
      <c r="U58" s="604"/>
      <c r="V58" s="604"/>
      <c r="W58" s="227"/>
      <c r="X58" s="571"/>
      <c r="Y58" s="225"/>
      <c r="Z58" s="604"/>
      <c r="AA58" s="604"/>
      <c r="AB58" s="227"/>
      <c r="AC58" s="571"/>
      <c r="AD58" s="225"/>
      <c r="AE58" s="604"/>
      <c r="AF58" s="604"/>
      <c r="AG58" s="227"/>
      <c r="AH58" s="571"/>
      <c r="AI58" s="225"/>
      <c r="AJ58" s="604"/>
      <c r="AK58" s="604"/>
      <c r="AL58" s="227"/>
      <c r="AM58" s="571"/>
      <c r="AN58" s="225"/>
      <c r="AO58" s="604"/>
      <c r="AP58" s="604"/>
      <c r="AQ58" s="227"/>
      <c r="AR58" s="571"/>
      <c r="AS58" s="225"/>
      <c r="AT58" s="604"/>
      <c r="AU58" s="604"/>
      <c r="AV58" s="227"/>
      <c r="AW58" s="571"/>
      <c r="AX58" s="225"/>
      <c r="AY58" s="604"/>
      <c r="AZ58" s="604"/>
      <c r="BA58" s="227"/>
      <c r="BB58" s="571"/>
      <c r="BC58" s="225"/>
      <c r="BD58" s="604"/>
      <c r="BE58" s="604"/>
      <c r="BF58" s="227"/>
      <c r="BG58" s="571"/>
      <c r="BH58" s="225"/>
      <c r="BI58" s="604"/>
      <c r="BJ58" s="604"/>
      <c r="BK58" s="227"/>
      <c r="BL58" s="571"/>
      <c r="BM58" s="225"/>
      <c r="BN58" s="604"/>
      <c r="BO58" s="604"/>
      <c r="BP58" s="227"/>
      <c r="BQ58" s="571"/>
      <c r="BR58" s="553"/>
      <c r="BS58" s="553"/>
      <c r="BT58" s="553"/>
      <c r="BU58" s="553"/>
      <c r="BV58" s="553"/>
      <c r="BW58" s="553"/>
      <c r="BX58" s="553"/>
      <c r="BY58" s="553"/>
      <c r="BZ58" s="553"/>
      <c r="CA58" s="553"/>
      <c r="CB58" s="553"/>
      <c r="CC58" s="553"/>
      <c r="CD58" s="553"/>
      <c r="CE58" s="553"/>
      <c r="CF58" s="553"/>
      <c r="CG58" s="553"/>
      <c r="CH58" s="553"/>
      <c r="CI58" s="553"/>
      <c r="CJ58" s="553"/>
      <c r="CK58" s="553"/>
      <c r="CL58" s="553"/>
      <c r="CM58" s="553"/>
      <c r="CN58" s="553"/>
      <c r="CO58" s="553"/>
      <c r="CP58" s="553"/>
      <c r="CQ58" s="553"/>
      <c r="CR58" s="553"/>
      <c r="CS58" s="553"/>
      <c r="CT58" s="553"/>
      <c r="CU58" s="553"/>
      <c r="CV58" s="553"/>
    </row>
    <row r="59" spans="1:100" s="56" customFormat="1">
      <c r="A59" s="489"/>
      <c r="B59" s="489"/>
      <c r="C59" s="697" t="s">
        <v>107</v>
      </c>
      <c r="D59" s="489"/>
      <c r="E59" s="256"/>
      <c r="F59" s="572"/>
      <c r="G59" s="572"/>
      <c r="H59" s="153"/>
      <c r="I59" s="573"/>
      <c r="J59" s="256"/>
      <c r="K59" s="572"/>
      <c r="L59" s="572"/>
      <c r="M59" s="153"/>
      <c r="N59" s="573"/>
      <c r="O59" s="256"/>
      <c r="P59" s="572"/>
      <c r="Q59" s="572"/>
      <c r="R59" s="153"/>
      <c r="S59" s="573"/>
      <c r="T59" s="256"/>
      <c r="U59" s="572"/>
      <c r="V59" s="572"/>
      <c r="W59" s="153"/>
      <c r="X59" s="573">
        <v>636</v>
      </c>
      <c r="Y59" s="256">
        <v>638</v>
      </c>
      <c r="Z59" s="572">
        <v>638</v>
      </c>
      <c r="AA59" s="572">
        <v>637</v>
      </c>
      <c r="AB59" s="153">
        <f>AC59</f>
        <v>638</v>
      </c>
      <c r="AC59" s="573">
        <v>638</v>
      </c>
      <c r="AD59" s="256">
        <v>639</v>
      </c>
      <c r="AE59" s="572">
        <v>640</v>
      </c>
      <c r="AF59" s="572">
        <v>673</v>
      </c>
      <c r="AG59" s="153">
        <f>AH59</f>
        <v>700</v>
      </c>
      <c r="AH59" s="573">
        <v>700</v>
      </c>
      <c r="AI59" s="256">
        <v>701</v>
      </c>
      <c r="AJ59" s="572">
        <v>726</v>
      </c>
      <c r="AK59" s="156">
        <f>AJ59+AK71-(AK63-AJ63)</f>
        <v>731</v>
      </c>
      <c r="AL59" s="151">
        <f>AK59+AL71-(AL63-AK63)</f>
        <v>336</v>
      </c>
      <c r="AM59" s="489">
        <f>AL59</f>
        <v>336</v>
      </c>
      <c r="AN59" s="149"/>
      <c r="AO59" s="156"/>
      <c r="AP59" s="156"/>
      <c r="AQ59" s="151"/>
      <c r="AR59" s="489"/>
      <c r="AS59" s="149"/>
      <c r="AT59" s="156"/>
      <c r="AU59" s="156"/>
      <c r="AV59" s="151"/>
      <c r="AW59" s="489"/>
      <c r="AX59" s="149"/>
      <c r="AY59" s="156"/>
      <c r="AZ59" s="156"/>
      <c r="BA59" s="151"/>
      <c r="BB59" s="489"/>
      <c r="BC59" s="149"/>
      <c r="BD59" s="156"/>
      <c r="BE59" s="156"/>
      <c r="BF59" s="151"/>
      <c r="BG59" s="489"/>
      <c r="BH59" s="149"/>
      <c r="BI59" s="156"/>
      <c r="BJ59" s="156"/>
      <c r="BK59" s="151"/>
      <c r="BL59" s="489"/>
      <c r="BM59" s="149"/>
      <c r="BN59" s="156"/>
      <c r="BO59" s="156"/>
      <c r="BP59" s="151"/>
      <c r="BQ59" s="489"/>
      <c r="BR59" s="489"/>
      <c r="BS59" s="489"/>
      <c r="BT59" s="489"/>
      <c r="BU59" s="489"/>
      <c r="BV59" s="489"/>
      <c r="BW59" s="489"/>
      <c r="BX59" s="489"/>
      <c r="BY59" s="489"/>
      <c r="BZ59" s="489"/>
      <c r="CA59" s="489"/>
      <c r="CB59" s="489"/>
      <c r="CC59" s="489"/>
      <c r="CD59" s="489"/>
      <c r="CE59" s="489"/>
      <c r="CF59" s="489"/>
      <c r="CG59" s="489"/>
      <c r="CH59" s="489"/>
      <c r="CI59" s="489"/>
      <c r="CJ59" s="489"/>
      <c r="CK59" s="489"/>
      <c r="CL59" s="489"/>
      <c r="CM59" s="489"/>
      <c r="CN59" s="489"/>
      <c r="CO59" s="489"/>
      <c r="CP59" s="489"/>
      <c r="CQ59" s="489"/>
    </row>
    <row r="60" spans="1:100">
      <c r="A60" s="546"/>
      <c r="B60" s="546"/>
      <c r="C60" s="696" t="s">
        <v>108</v>
      </c>
      <c r="D60" s="546"/>
      <c r="E60" s="142"/>
      <c r="F60" s="159"/>
      <c r="G60" s="159"/>
      <c r="H60" s="144"/>
      <c r="I60" s="241"/>
      <c r="J60" s="142"/>
      <c r="K60" s="159"/>
      <c r="L60" s="159"/>
      <c r="M60" s="157"/>
      <c r="N60" s="241"/>
      <c r="O60" s="142"/>
      <c r="P60" s="159"/>
      <c r="Q60" s="159"/>
      <c r="R60" s="157"/>
      <c r="S60" s="241"/>
      <c r="T60" s="142"/>
      <c r="U60" s="159"/>
      <c r="V60" s="159"/>
      <c r="W60" s="157"/>
      <c r="X60" s="241">
        <v>161</v>
      </c>
      <c r="Y60" s="142">
        <v>169</v>
      </c>
      <c r="Z60" s="159">
        <v>175</v>
      </c>
      <c r="AA60" s="159">
        <v>182</v>
      </c>
      <c r="AB60" s="157">
        <f>AC60</f>
        <v>189</v>
      </c>
      <c r="AC60" s="241">
        <v>189</v>
      </c>
      <c r="AD60" s="142">
        <v>197</v>
      </c>
      <c r="AE60" s="159">
        <v>204</v>
      </c>
      <c r="AF60" s="159">
        <v>212</v>
      </c>
      <c r="AG60" s="157">
        <f>AH60</f>
        <v>217</v>
      </c>
      <c r="AH60" s="241">
        <v>217</v>
      </c>
      <c r="AI60" s="142">
        <v>223</v>
      </c>
      <c r="AJ60" s="159">
        <v>227</v>
      </c>
      <c r="AK60" s="162">
        <f>AJ60+AK65</f>
        <v>227</v>
      </c>
      <c r="AL60" s="144">
        <f>AK60+AL65</f>
        <v>227</v>
      </c>
      <c r="AM60" s="546">
        <f>AL60</f>
        <v>227</v>
      </c>
      <c r="AN60" s="161"/>
      <c r="AO60" s="162"/>
      <c r="AP60" s="162"/>
      <c r="AQ60" s="144"/>
      <c r="AR60" s="546"/>
      <c r="AS60" s="161"/>
      <c r="AT60" s="162"/>
      <c r="AU60" s="162"/>
      <c r="AV60" s="144"/>
      <c r="AW60" s="546"/>
      <c r="AX60" s="161"/>
      <c r="AY60" s="162"/>
      <c r="AZ60" s="162"/>
      <c r="BA60" s="144"/>
      <c r="BB60" s="546"/>
      <c r="BC60" s="161"/>
      <c r="BD60" s="162"/>
      <c r="BE60" s="162"/>
      <c r="BF60" s="144"/>
      <c r="BG60" s="546"/>
      <c r="BH60" s="161"/>
      <c r="BI60" s="162"/>
      <c r="BJ60" s="162"/>
      <c r="BK60" s="144"/>
      <c r="BL60" s="546"/>
      <c r="BM60" s="161"/>
      <c r="BN60" s="162"/>
      <c r="BO60" s="162"/>
      <c r="BP60" s="144"/>
      <c r="BQ60" s="546"/>
      <c r="BR60" s="546"/>
      <c r="BS60" s="546"/>
      <c r="BT60" s="546"/>
      <c r="BU60" s="546"/>
      <c r="BV60" s="546"/>
      <c r="BW60" s="546"/>
      <c r="BX60" s="546"/>
      <c r="BY60" s="546"/>
      <c r="BZ60" s="546"/>
      <c r="CA60" s="546"/>
      <c r="CB60" s="546"/>
      <c r="CC60" s="546"/>
      <c r="CD60" s="546"/>
      <c r="CE60" s="546"/>
      <c r="CF60" s="546"/>
      <c r="CG60" s="546"/>
      <c r="CH60" s="546"/>
      <c r="CI60" s="546"/>
      <c r="CJ60" s="546"/>
      <c r="CK60" s="546"/>
      <c r="CL60" s="546"/>
      <c r="CM60" s="546"/>
      <c r="CN60" s="546"/>
      <c r="CO60" s="546"/>
      <c r="CP60" s="546"/>
      <c r="CQ60" s="546"/>
      <c r="CR60" s="546"/>
      <c r="CS60" s="546"/>
      <c r="CT60" s="546"/>
      <c r="CU60" s="546"/>
      <c r="CV60" s="546"/>
    </row>
    <row r="61" spans="1:100" s="56" customFormat="1">
      <c r="A61" s="489"/>
      <c r="B61" s="489"/>
      <c r="C61" s="697" t="s">
        <v>110</v>
      </c>
      <c r="D61" s="489"/>
      <c r="E61" s="149"/>
      <c r="F61" s="156"/>
      <c r="G61" s="156"/>
      <c r="H61" s="151"/>
      <c r="I61" s="489"/>
      <c r="J61" s="149"/>
      <c r="K61" s="156"/>
      <c r="L61" s="156"/>
      <c r="M61" s="151"/>
      <c r="N61" s="489"/>
      <c r="O61" s="149"/>
      <c r="P61" s="156"/>
      <c r="Q61" s="156"/>
      <c r="R61" s="151"/>
      <c r="S61" s="489"/>
      <c r="T61" s="149"/>
      <c r="U61" s="156"/>
      <c r="V61" s="156"/>
      <c r="W61" s="151"/>
      <c r="X61" s="489">
        <f>SUM(X59:X59)-X60</f>
        <v>475</v>
      </c>
      <c r="Y61" s="149">
        <f>SUM(Y59:Y59)-Y60</f>
        <v>469</v>
      </c>
      <c r="Z61" s="156">
        <f>SUM(Z59:Z59)-Z60</f>
        <v>463</v>
      </c>
      <c r="AA61" s="156">
        <f>AA59-AA60</f>
        <v>455</v>
      </c>
      <c r="AB61" s="151">
        <f>SUM(AB59:AB59)-AB60</f>
        <v>449</v>
      </c>
      <c r="AC61" s="489">
        <f>AC59-AC60</f>
        <v>449</v>
      </c>
      <c r="AD61" s="149">
        <f>AD59-AD60</f>
        <v>442</v>
      </c>
      <c r="AE61" s="156">
        <f>AE59-AE60</f>
        <v>436</v>
      </c>
      <c r="AF61" s="156">
        <f>AF59-AF60</f>
        <v>461</v>
      </c>
      <c r="AG61" s="151">
        <f>SUM(AG59:AG59)-AG60</f>
        <v>483</v>
      </c>
      <c r="AH61" s="489">
        <f t="shared" ref="AH61:AM61" si="29">AH59-AH60</f>
        <v>483</v>
      </c>
      <c r="AI61" s="149">
        <f t="shared" si="29"/>
        <v>478</v>
      </c>
      <c r="AJ61" s="156">
        <f t="shared" si="29"/>
        <v>499</v>
      </c>
      <c r="AK61" s="156">
        <f t="shared" si="29"/>
        <v>504</v>
      </c>
      <c r="AL61" s="151">
        <f t="shared" si="29"/>
        <v>109</v>
      </c>
      <c r="AM61" s="489">
        <f t="shared" si="29"/>
        <v>109</v>
      </c>
      <c r="AN61" s="149"/>
      <c r="AO61" s="156"/>
      <c r="AP61" s="156"/>
      <c r="AQ61" s="151"/>
      <c r="AR61" s="489"/>
      <c r="AS61" s="149"/>
      <c r="AT61" s="156"/>
      <c r="AU61" s="156"/>
      <c r="AV61" s="151"/>
      <c r="AW61" s="489"/>
      <c r="AX61" s="149"/>
      <c r="AY61" s="156"/>
      <c r="AZ61" s="156"/>
      <c r="BA61" s="151"/>
      <c r="BB61" s="489"/>
      <c r="BC61" s="149"/>
      <c r="BD61" s="156"/>
      <c r="BE61" s="156"/>
      <c r="BF61" s="151"/>
      <c r="BG61" s="489"/>
      <c r="BH61" s="149"/>
      <c r="BI61" s="156"/>
      <c r="BJ61" s="156"/>
      <c r="BK61" s="151"/>
      <c r="BL61" s="489"/>
      <c r="BM61" s="149"/>
      <c r="BN61" s="156"/>
      <c r="BO61" s="156"/>
      <c r="BP61" s="151"/>
      <c r="BQ61" s="489"/>
      <c r="BR61" s="489"/>
      <c r="BS61" s="489"/>
      <c r="BT61" s="489"/>
      <c r="BU61" s="489"/>
      <c r="BV61" s="489"/>
      <c r="BW61" s="489"/>
      <c r="BX61" s="489"/>
      <c r="BY61" s="489"/>
      <c r="BZ61" s="489"/>
      <c r="CA61" s="489"/>
      <c r="CB61" s="489"/>
      <c r="CC61" s="489"/>
      <c r="CD61" s="489"/>
      <c r="CE61" s="489"/>
      <c r="CF61" s="489"/>
      <c r="CG61" s="489"/>
      <c r="CH61" s="489"/>
      <c r="CI61" s="489"/>
      <c r="CJ61" s="489"/>
      <c r="CK61" s="489"/>
      <c r="CL61" s="489"/>
      <c r="CM61" s="489"/>
      <c r="CN61" s="489"/>
      <c r="CO61" s="489"/>
      <c r="CP61" s="489"/>
      <c r="CQ61" s="489"/>
      <c r="CR61" s="489"/>
      <c r="CS61" s="489"/>
      <c r="CT61" s="489"/>
      <c r="CU61" s="489"/>
      <c r="CV61" s="489"/>
    </row>
    <row r="62" spans="1:100">
      <c r="A62" s="242"/>
      <c r="B62" s="242"/>
      <c r="C62" s="710"/>
      <c r="D62" s="109"/>
      <c r="E62" s="161"/>
      <c r="F62" s="162"/>
      <c r="G62" s="162"/>
      <c r="H62" s="144"/>
      <c r="I62" s="109"/>
      <c r="J62" s="161"/>
      <c r="K62" s="162"/>
      <c r="L62" s="162"/>
      <c r="M62" s="144"/>
      <c r="N62" s="109"/>
      <c r="O62" s="161"/>
      <c r="P62" s="162"/>
      <c r="Q62" s="162"/>
      <c r="R62" s="144"/>
      <c r="S62" s="109"/>
      <c r="T62" s="161"/>
      <c r="U62" s="162"/>
      <c r="V62" s="162"/>
      <c r="W62" s="144"/>
      <c r="X62" s="109"/>
      <c r="Y62" s="161"/>
      <c r="Z62" s="162"/>
      <c r="AA62" s="162"/>
      <c r="AB62" s="144"/>
      <c r="AC62" s="109"/>
      <c r="AD62" s="161"/>
      <c r="AE62" s="162"/>
      <c r="AF62" s="162"/>
      <c r="AG62" s="144"/>
      <c r="AH62" s="109"/>
      <c r="AI62" s="161"/>
      <c r="AJ62" s="162"/>
      <c r="AK62" s="162"/>
      <c r="AL62" s="144"/>
      <c r="AM62" s="242"/>
      <c r="AN62" s="161"/>
      <c r="AO62" s="162"/>
      <c r="AP62" s="162"/>
      <c r="AQ62" s="144"/>
      <c r="AR62" s="242"/>
      <c r="AS62" s="161"/>
      <c r="AT62" s="162"/>
      <c r="AU62" s="162"/>
      <c r="AV62" s="144"/>
      <c r="AW62" s="242"/>
      <c r="AX62" s="161"/>
      <c r="AY62" s="162"/>
      <c r="AZ62" s="162"/>
      <c r="BA62" s="144"/>
      <c r="BB62" s="242"/>
      <c r="BC62" s="161"/>
      <c r="BD62" s="162"/>
      <c r="BE62" s="162"/>
      <c r="BF62" s="144"/>
      <c r="BG62" s="242"/>
      <c r="BH62" s="161"/>
      <c r="BI62" s="162"/>
      <c r="BJ62" s="162"/>
      <c r="BK62" s="144"/>
      <c r="BL62" s="242"/>
      <c r="BM62" s="161"/>
      <c r="BN62" s="162"/>
      <c r="BO62" s="162"/>
      <c r="BP62" s="144"/>
      <c r="BQ62" s="242"/>
      <c r="BR62" s="242"/>
      <c r="BS62" s="242"/>
      <c r="BT62" s="242"/>
      <c r="BU62" s="242"/>
      <c r="BV62" s="242"/>
      <c r="BW62" s="242"/>
      <c r="BX62" s="242"/>
      <c r="BY62" s="242"/>
      <c r="BZ62" s="242"/>
      <c r="CA62" s="242"/>
      <c r="CB62" s="242"/>
      <c r="CC62" s="242"/>
      <c r="CD62" s="242"/>
      <c r="CE62" s="242"/>
      <c r="CF62" s="242"/>
      <c r="CG62" s="242"/>
      <c r="CH62" s="242"/>
      <c r="CI62" s="242"/>
      <c r="CJ62" s="242"/>
      <c r="CK62" s="242"/>
      <c r="CL62" s="242"/>
      <c r="CM62" s="242"/>
      <c r="CN62" s="242"/>
      <c r="CO62" s="242"/>
      <c r="CP62" s="242"/>
    </row>
    <row r="63" spans="1:100" s="56" customFormat="1">
      <c r="A63" s="489"/>
      <c r="B63" s="489"/>
      <c r="C63" s="697" t="s">
        <v>109</v>
      </c>
      <c r="D63" s="489"/>
      <c r="E63" s="256"/>
      <c r="F63" s="572"/>
      <c r="G63" s="572"/>
      <c r="H63" s="151"/>
      <c r="I63" s="706"/>
      <c r="J63" s="256"/>
      <c r="K63" s="572"/>
      <c r="L63" s="572"/>
      <c r="M63" s="151"/>
      <c r="N63" s="706"/>
      <c r="O63" s="256"/>
      <c r="P63" s="572"/>
      <c r="Q63" s="572"/>
      <c r="R63" s="151"/>
      <c r="S63" s="706"/>
      <c r="T63" s="256"/>
      <c r="U63" s="572"/>
      <c r="V63" s="572"/>
      <c r="W63" s="151"/>
      <c r="X63" s="706"/>
      <c r="Y63" s="256"/>
      <c r="Z63" s="572"/>
      <c r="AA63" s="572"/>
      <c r="AB63" s="151"/>
      <c r="AC63" s="706"/>
      <c r="AD63" s="256"/>
      <c r="AE63" s="572"/>
      <c r="AF63" s="572"/>
      <c r="AG63" s="151"/>
      <c r="AH63" s="706"/>
      <c r="AI63" s="256"/>
      <c r="AJ63" s="572"/>
      <c r="AK63" s="155">
        <f>AK68*AM71</f>
        <v>0</v>
      </c>
      <c r="AL63" s="153">
        <f>+AL68*AM71</f>
        <v>0</v>
      </c>
      <c r="AM63" s="154">
        <f>AL63</f>
        <v>0</v>
      </c>
      <c r="AN63" s="152"/>
      <c r="AO63" s="155"/>
      <c r="AP63" s="155"/>
      <c r="AQ63" s="153"/>
      <c r="AR63" s="154"/>
      <c r="AS63" s="152"/>
      <c r="AT63" s="155"/>
      <c r="AU63" s="155"/>
      <c r="AV63" s="153"/>
      <c r="AW63" s="154"/>
      <c r="AX63" s="152"/>
      <c r="AY63" s="155"/>
      <c r="AZ63" s="155"/>
      <c r="BA63" s="153"/>
      <c r="BB63" s="154"/>
      <c r="BC63" s="152"/>
      <c r="BD63" s="155"/>
      <c r="BE63" s="155"/>
      <c r="BF63" s="153"/>
      <c r="BG63" s="154"/>
      <c r="BH63" s="152"/>
      <c r="BI63" s="155"/>
      <c r="BJ63" s="155"/>
      <c r="BK63" s="153"/>
      <c r="BL63" s="154"/>
      <c r="BM63" s="152"/>
      <c r="BN63" s="155"/>
      <c r="BO63" s="155"/>
      <c r="BP63" s="153"/>
      <c r="BQ63" s="154"/>
      <c r="BR63" s="489"/>
      <c r="BS63" s="489"/>
      <c r="BT63" s="489"/>
      <c r="BU63" s="489"/>
      <c r="BV63" s="489"/>
      <c r="BW63" s="489"/>
      <c r="BX63" s="489"/>
      <c r="BY63" s="489"/>
      <c r="BZ63" s="489"/>
      <c r="CA63" s="489"/>
      <c r="CB63" s="489"/>
      <c r="CC63" s="489"/>
      <c r="CD63" s="489"/>
      <c r="CE63" s="489"/>
      <c r="CF63" s="489"/>
      <c r="CG63" s="489"/>
      <c r="CH63" s="489"/>
      <c r="CI63" s="489"/>
      <c r="CJ63" s="489"/>
      <c r="CK63" s="489"/>
      <c r="CL63" s="489"/>
      <c r="CM63" s="489"/>
      <c r="CN63" s="489"/>
      <c r="CO63" s="489"/>
      <c r="CP63" s="489"/>
      <c r="CQ63" s="489"/>
      <c r="CR63" s="489"/>
      <c r="CS63" s="489"/>
      <c r="CT63" s="489"/>
      <c r="CU63" s="489"/>
      <c r="CV63" s="489"/>
    </row>
    <row r="64" spans="1:100">
      <c r="A64" s="546"/>
      <c r="B64" s="546"/>
      <c r="C64" s="696"/>
      <c r="D64" s="546"/>
      <c r="E64" s="161"/>
      <c r="F64" s="162"/>
      <c r="G64" s="162"/>
      <c r="H64" s="144"/>
      <c r="I64" s="546"/>
      <c r="J64" s="161"/>
      <c r="K64" s="162"/>
      <c r="L64" s="162"/>
      <c r="M64" s="144"/>
      <c r="N64" s="546"/>
      <c r="O64" s="161"/>
      <c r="P64" s="162"/>
      <c r="Q64" s="162"/>
      <c r="R64" s="144"/>
      <c r="S64" s="546"/>
      <c r="T64" s="161"/>
      <c r="U64" s="162"/>
      <c r="V64" s="162"/>
      <c r="W64" s="144"/>
      <c r="X64" s="546"/>
      <c r="Y64" s="161"/>
      <c r="Z64" s="162"/>
      <c r="AA64" s="162"/>
      <c r="AB64" s="144"/>
      <c r="AC64" s="546"/>
      <c r="AD64" s="161"/>
      <c r="AE64" s="162"/>
      <c r="AF64" s="162"/>
      <c r="AG64" s="144"/>
      <c r="AH64" s="546"/>
      <c r="AI64" s="161"/>
      <c r="AJ64" s="162"/>
      <c r="AK64" s="162"/>
      <c r="AL64" s="144"/>
      <c r="AM64" s="546"/>
      <c r="AN64" s="161"/>
      <c r="AO64" s="162"/>
      <c r="AP64" s="162"/>
      <c r="AQ64" s="144"/>
      <c r="AR64" s="546"/>
      <c r="AS64" s="161"/>
      <c r="AT64" s="162"/>
      <c r="AU64" s="162"/>
      <c r="AV64" s="144"/>
      <c r="AW64" s="546"/>
      <c r="AX64" s="161"/>
      <c r="AY64" s="162"/>
      <c r="AZ64" s="162"/>
      <c r="BA64" s="144"/>
      <c r="BB64" s="546"/>
      <c r="BC64" s="161"/>
      <c r="BD64" s="162"/>
      <c r="BE64" s="162"/>
      <c r="BF64" s="144"/>
      <c r="BG64" s="546"/>
      <c r="BH64" s="161"/>
      <c r="BI64" s="162"/>
      <c r="BJ64" s="162"/>
      <c r="BK64" s="144"/>
      <c r="BL64" s="546"/>
      <c r="BM64" s="161"/>
      <c r="BN64" s="162"/>
      <c r="BO64" s="162"/>
      <c r="BP64" s="144"/>
      <c r="BQ64" s="546"/>
      <c r="BR64" s="546"/>
      <c r="BS64" s="546"/>
      <c r="BT64" s="546"/>
      <c r="BU64" s="546"/>
      <c r="BV64" s="546"/>
      <c r="BW64" s="546"/>
      <c r="BX64" s="546"/>
      <c r="BY64" s="546"/>
      <c r="BZ64" s="546"/>
      <c r="CA64" s="546"/>
      <c r="CB64" s="546"/>
      <c r="CC64" s="546"/>
      <c r="CD64" s="546"/>
      <c r="CE64" s="546"/>
      <c r="CF64" s="546"/>
      <c r="CG64" s="546"/>
      <c r="CH64" s="546"/>
      <c r="CI64" s="546"/>
      <c r="CJ64" s="546"/>
      <c r="CK64" s="546"/>
      <c r="CL64" s="546"/>
      <c r="CM64" s="546"/>
      <c r="CN64" s="546"/>
      <c r="CO64" s="546"/>
      <c r="CP64" s="546"/>
      <c r="CQ64" s="546"/>
      <c r="CR64" s="546"/>
      <c r="CS64" s="546"/>
      <c r="CT64" s="546"/>
      <c r="CU64" s="546"/>
      <c r="CV64" s="546"/>
    </row>
    <row r="65" spans="1:100" s="56" customFormat="1">
      <c r="A65" s="489"/>
      <c r="B65" s="489"/>
      <c r="C65" s="697" t="s">
        <v>79</v>
      </c>
      <c r="D65" s="489"/>
      <c r="E65" s="149"/>
      <c r="F65" s="156"/>
      <c r="G65" s="156"/>
      <c r="H65" s="151"/>
      <c r="I65" s="489"/>
      <c r="J65" s="149"/>
      <c r="K65" s="156"/>
      <c r="L65" s="156"/>
      <c r="M65" s="151"/>
      <c r="N65" s="489"/>
      <c r="O65" s="149"/>
      <c r="P65" s="156"/>
      <c r="Q65" s="156"/>
      <c r="R65" s="151"/>
      <c r="S65" s="489"/>
      <c r="T65" s="149"/>
      <c r="U65" s="156"/>
      <c r="V65" s="156"/>
      <c r="W65" s="151"/>
      <c r="X65" s="489">
        <f t="shared" ref="X65:AF65" si="30">X13</f>
        <v>29</v>
      </c>
      <c r="Y65" s="149">
        <f t="shared" si="30"/>
        <v>7.75</v>
      </c>
      <c r="Z65" s="156">
        <f t="shared" si="30"/>
        <v>7.75</v>
      </c>
      <c r="AA65" s="156">
        <f t="shared" si="30"/>
        <v>7.75</v>
      </c>
      <c r="AB65" s="151">
        <f t="shared" si="30"/>
        <v>7.75</v>
      </c>
      <c r="AC65" s="489">
        <f t="shared" si="30"/>
        <v>31</v>
      </c>
      <c r="AD65" s="149">
        <f t="shared" si="30"/>
        <v>7.75</v>
      </c>
      <c r="AE65" s="156">
        <f t="shared" si="30"/>
        <v>7.75</v>
      </c>
      <c r="AF65" s="156">
        <f t="shared" si="30"/>
        <v>7.75</v>
      </c>
      <c r="AG65" s="151">
        <f>AG13</f>
        <v>7.75</v>
      </c>
      <c r="AH65" s="489">
        <f>AH13</f>
        <v>31</v>
      </c>
      <c r="AI65" s="149">
        <f>AI13</f>
        <v>0</v>
      </c>
      <c r="AJ65" s="156">
        <f>AJ13</f>
        <v>0</v>
      </c>
      <c r="AK65" s="156">
        <f>+AK67*AVERAGE(AJ61)/4</f>
        <v>0</v>
      </c>
      <c r="AL65" s="151">
        <f>+AL67*AVERAGE(AK61)/4</f>
        <v>0</v>
      </c>
      <c r="AM65" s="489">
        <f>SUM(AI65:AL65)</f>
        <v>0</v>
      </c>
      <c r="AN65" s="149"/>
      <c r="AO65" s="156"/>
      <c r="AP65" s="156"/>
      <c r="AQ65" s="151"/>
      <c r="AR65" s="489"/>
      <c r="AS65" s="149"/>
      <c r="AT65" s="156"/>
      <c r="AU65" s="156"/>
      <c r="AV65" s="151"/>
      <c r="AW65" s="489"/>
      <c r="AX65" s="149"/>
      <c r="AY65" s="156"/>
      <c r="AZ65" s="156"/>
      <c r="BA65" s="151"/>
      <c r="BB65" s="489"/>
      <c r="BC65" s="149"/>
      <c r="BD65" s="156"/>
      <c r="BE65" s="156"/>
      <c r="BF65" s="151"/>
      <c r="BG65" s="489"/>
      <c r="BH65" s="149"/>
      <c r="BI65" s="156"/>
      <c r="BJ65" s="156"/>
      <c r="BK65" s="151"/>
      <c r="BL65" s="489"/>
      <c r="BM65" s="149"/>
      <c r="BN65" s="156"/>
      <c r="BO65" s="156"/>
      <c r="BP65" s="151"/>
      <c r="BQ65" s="489"/>
      <c r="BR65" s="489"/>
      <c r="BS65" s="489"/>
      <c r="BT65" s="489"/>
      <c r="BU65" s="489"/>
      <c r="BV65" s="489"/>
      <c r="BW65" s="489"/>
      <c r="BX65" s="489"/>
      <c r="BY65" s="489"/>
      <c r="BZ65" s="489"/>
      <c r="CA65" s="489"/>
      <c r="CB65" s="489"/>
      <c r="CC65" s="489"/>
      <c r="CD65" s="489"/>
      <c r="CE65" s="489"/>
      <c r="CF65" s="489"/>
      <c r="CG65" s="489"/>
      <c r="CH65" s="489"/>
      <c r="CI65" s="489"/>
      <c r="CJ65" s="489"/>
      <c r="CK65" s="489"/>
      <c r="CL65" s="489"/>
      <c r="CM65" s="489"/>
      <c r="CN65" s="489"/>
      <c r="CO65" s="489"/>
      <c r="CP65" s="489"/>
      <c r="CQ65" s="489"/>
      <c r="CR65" s="489"/>
      <c r="CS65" s="489"/>
      <c r="CT65" s="489"/>
      <c r="CU65" s="489"/>
      <c r="CV65" s="489"/>
    </row>
    <row r="66" spans="1:100">
      <c r="A66" s="546"/>
      <c r="B66" s="546"/>
      <c r="C66" s="696"/>
      <c r="D66" s="546"/>
      <c r="E66" s="161"/>
      <c r="F66" s="162"/>
      <c r="G66" s="162"/>
      <c r="H66" s="144"/>
      <c r="I66" s="546"/>
      <c r="J66" s="161"/>
      <c r="K66" s="162"/>
      <c r="L66" s="162"/>
      <c r="M66" s="144"/>
      <c r="N66" s="546"/>
      <c r="O66" s="161"/>
      <c r="P66" s="162"/>
      <c r="Q66" s="162"/>
      <c r="R66" s="144"/>
      <c r="S66" s="546"/>
      <c r="T66" s="161"/>
      <c r="U66" s="162"/>
      <c r="V66" s="162"/>
      <c r="W66" s="144"/>
      <c r="X66" s="546"/>
      <c r="Y66" s="161"/>
      <c r="Z66" s="162"/>
      <c r="AA66" s="162"/>
      <c r="AB66" s="144"/>
      <c r="AC66" s="546"/>
      <c r="AD66" s="161"/>
      <c r="AE66" s="162"/>
      <c r="AF66" s="162"/>
      <c r="AG66" s="144"/>
      <c r="AH66" s="546"/>
      <c r="AI66" s="161"/>
      <c r="AJ66" s="162"/>
      <c r="AK66" s="162"/>
      <c r="AL66" s="144"/>
      <c r="AM66" s="546"/>
      <c r="AN66" s="161"/>
      <c r="AO66" s="162"/>
      <c r="AP66" s="162"/>
      <c r="AQ66" s="144"/>
      <c r="AR66" s="546"/>
      <c r="AS66" s="161"/>
      <c r="AT66" s="162"/>
      <c r="AU66" s="162"/>
      <c r="AV66" s="144"/>
      <c r="AW66" s="546"/>
      <c r="AX66" s="161"/>
      <c r="AY66" s="162"/>
      <c r="AZ66" s="162"/>
      <c r="BA66" s="144"/>
      <c r="BB66" s="546"/>
      <c r="BC66" s="161"/>
      <c r="BD66" s="162"/>
      <c r="BE66" s="162"/>
      <c r="BF66" s="144"/>
      <c r="BG66" s="546"/>
      <c r="BH66" s="161"/>
      <c r="BI66" s="162"/>
      <c r="BJ66" s="162"/>
      <c r="BK66" s="144"/>
      <c r="BL66" s="546"/>
      <c r="BM66" s="161"/>
      <c r="BN66" s="162"/>
      <c r="BO66" s="162"/>
      <c r="BP66" s="144"/>
      <c r="BQ66" s="546"/>
      <c r="BR66" s="546"/>
      <c r="BS66" s="546"/>
      <c r="BT66" s="546"/>
      <c r="BU66" s="546"/>
      <c r="BV66" s="546"/>
      <c r="BW66" s="546"/>
      <c r="BX66" s="546"/>
      <c r="BY66" s="546"/>
      <c r="BZ66" s="546"/>
      <c r="CA66" s="546"/>
      <c r="CB66" s="546"/>
      <c r="CC66" s="546"/>
      <c r="CD66" s="546"/>
      <c r="CE66" s="546"/>
      <c r="CF66" s="546"/>
      <c r="CG66" s="546"/>
      <c r="CH66" s="546"/>
      <c r="CI66" s="546"/>
      <c r="CJ66" s="546"/>
      <c r="CK66" s="546"/>
      <c r="CL66" s="546"/>
      <c r="CM66" s="546"/>
      <c r="CN66" s="546"/>
      <c r="CO66" s="546"/>
      <c r="CP66" s="546"/>
      <c r="CQ66" s="546"/>
      <c r="CR66" s="546"/>
      <c r="CS66" s="546"/>
      <c r="CT66" s="546"/>
      <c r="CU66" s="546"/>
      <c r="CV66" s="546"/>
    </row>
    <row r="67" spans="1:100">
      <c r="A67" s="553"/>
      <c r="B67" s="553"/>
      <c r="C67" s="696" t="s">
        <v>221</v>
      </c>
      <c r="D67" s="553"/>
      <c r="E67" s="229"/>
      <c r="F67" s="671"/>
      <c r="G67" s="671"/>
      <c r="H67" s="231"/>
      <c r="I67" s="674"/>
      <c r="J67" s="229"/>
      <c r="K67" s="671"/>
      <c r="L67" s="671"/>
      <c r="M67" s="231"/>
      <c r="N67" s="674"/>
      <c r="O67" s="229"/>
      <c r="P67" s="671"/>
      <c r="Q67" s="671"/>
      <c r="R67" s="231"/>
      <c r="S67" s="674"/>
      <c r="T67" s="229"/>
      <c r="U67" s="671"/>
      <c r="V67" s="671"/>
      <c r="W67" s="231"/>
      <c r="X67" s="674">
        <f>X65/AVERAGE(S61,X61)</f>
        <v>6.1052631578947365E-2</v>
      </c>
      <c r="Y67" s="229">
        <f>Y65/AVERAGE(X61:Y61)*4</f>
        <v>6.5677966101694921E-2</v>
      </c>
      <c r="Z67" s="671">
        <f>Z65/AVERAGE(Y61:Z61)*4</f>
        <v>6.652360515021459E-2</v>
      </c>
      <c r="AA67" s="671">
        <f>AA65/AVERAGE(Z61:AA61)*4</f>
        <v>6.7538126361655779E-2</v>
      </c>
      <c r="AB67" s="231">
        <f>AB65/AVERAGE(AA61:AB61)*4</f>
        <v>6.8584070796460173E-2</v>
      </c>
      <c r="AC67" s="674">
        <f>AC65/AVERAGE(X61,AC61)</f>
        <v>6.7099567099567103E-2</v>
      </c>
      <c r="AD67" s="229">
        <f>AD65/AVERAGE(AC61:AD61)*4</f>
        <v>6.9584736251402921E-2</v>
      </c>
      <c r="AE67" s="671">
        <f>AE65/AVERAGE(AD61:AE61)*4</f>
        <v>7.0615034168564919E-2</v>
      </c>
      <c r="AF67" s="671">
        <f>AF65/AVERAGE(AE61:AF61)*4</f>
        <v>6.9119286510590863E-2</v>
      </c>
      <c r="AG67" s="231">
        <f>AG65/AVERAGE(AF61:AG61)*4</f>
        <v>6.5677966101694921E-2</v>
      </c>
      <c r="AH67" s="674">
        <f>AH65/AVERAGE(AC61,AH61)</f>
        <v>6.652360515021459E-2</v>
      </c>
      <c r="AI67" s="229">
        <f>AI65/AVERAGE(AH61:AI61)*4</f>
        <v>0</v>
      </c>
      <c r="AJ67" s="671">
        <f>AJ65/AVERAGE(AI61:AJ61)*4</f>
        <v>0</v>
      </c>
      <c r="AK67" s="671">
        <f>AJ67</f>
        <v>0</v>
      </c>
      <c r="AL67" s="231">
        <f>AK67</f>
        <v>0</v>
      </c>
      <c r="AM67" s="674">
        <f>AL67</f>
        <v>0</v>
      </c>
      <c r="AN67" s="368"/>
      <c r="AO67" s="671"/>
      <c r="AP67" s="671"/>
      <c r="AQ67" s="231"/>
      <c r="AR67" s="674"/>
      <c r="AS67" s="368"/>
      <c r="AT67" s="671"/>
      <c r="AU67" s="671"/>
      <c r="AV67" s="231"/>
      <c r="AW67" s="674"/>
      <c r="AX67" s="368"/>
      <c r="AY67" s="671"/>
      <c r="AZ67" s="671"/>
      <c r="BA67" s="231"/>
      <c r="BB67" s="674"/>
      <c r="BC67" s="1215"/>
      <c r="BD67" s="671"/>
      <c r="BE67" s="671"/>
      <c r="BF67" s="231"/>
      <c r="BG67" s="674"/>
      <c r="BH67" s="1215"/>
      <c r="BI67" s="671"/>
      <c r="BJ67" s="671"/>
      <c r="BK67" s="231"/>
      <c r="BL67" s="674"/>
      <c r="BM67" s="1215"/>
      <c r="BN67" s="671"/>
      <c r="BO67" s="671"/>
      <c r="BP67" s="231"/>
      <c r="BQ67" s="674"/>
      <c r="BR67" s="553"/>
      <c r="BS67" s="553"/>
      <c r="BT67" s="553"/>
      <c r="BU67" s="553"/>
      <c r="BV67" s="553"/>
      <c r="BW67" s="553"/>
      <c r="BX67" s="553"/>
      <c r="BY67" s="553"/>
      <c r="BZ67" s="553"/>
      <c r="CA67" s="553"/>
      <c r="CB67" s="553"/>
      <c r="CC67" s="553"/>
      <c r="CD67" s="553"/>
      <c r="CE67" s="553"/>
      <c r="CF67" s="553"/>
      <c r="CG67" s="553"/>
      <c r="CH67" s="553"/>
      <c r="CI67" s="553"/>
      <c r="CJ67" s="553"/>
      <c r="CK67" s="553"/>
      <c r="CL67" s="553"/>
      <c r="CM67" s="553"/>
      <c r="CN67" s="553"/>
      <c r="CO67" s="553"/>
      <c r="CP67" s="553"/>
      <c r="CQ67" s="553"/>
      <c r="CR67" s="553"/>
      <c r="CS67" s="553"/>
      <c r="CT67" s="553"/>
      <c r="CU67" s="553"/>
      <c r="CV67" s="553"/>
    </row>
    <row r="68" spans="1:100">
      <c r="A68" s="303"/>
      <c r="B68" s="303"/>
      <c r="C68" s="303" t="s">
        <v>330</v>
      </c>
      <c r="D68" s="303"/>
      <c r="E68" s="274"/>
      <c r="F68" s="275"/>
      <c r="G68" s="275"/>
      <c r="H68" s="276"/>
      <c r="I68" s="107"/>
      <c r="J68" s="274"/>
      <c r="K68" s="275"/>
      <c r="L68" s="275"/>
      <c r="M68" s="276"/>
      <c r="N68" s="107"/>
      <c r="O68" s="274"/>
      <c r="P68" s="275"/>
      <c r="Q68" s="275"/>
      <c r="R68" s="276"/>
      <c r="S68" s="107"/>
      <c r="T68" s="274"/>
      <c r="U68" s="275"/>
      <c r="V68" s="275"/>
      <c r="W68" s="276"/>
      <c r="X68" s="107">
        <f>X63/X71</f>
        <v>0</v>
      </c>
      <c r="Y68" s="274">
        <f>Y63/AC71</f>
        <v>0</v>
      </c>
      <c r="Z68" s="275">
        <f>Z63/AC71</f>
        <v>0</v>
      </c>
      <c r="AA68" s="275">
        <f>AA63/AC71</f>
        <v>0</v>
      </c>
      <c r="AB68" s="276">
        <f>AB63/AC71</f>
        <v>0</v>
      </c>
      <c r="AC68" s="107">
        <f>AC63/AC71</f>
        <v>0</v>
      </c>
      <c r="AD68" s="274">
        <f>AD63/AH71</f>
        <v>0</v>
      </c>
      <c r="AE68" s="275">
        <f>AE63/AH71</f>
        <v>0</v>
      </c>
      <c r="AF68" s="275">
        <f>AF63/AH71</f>
        <v>0</v>
      </c>
      <c r="AG68" s="276">
        <f>AG63/AH71</f>
        <v>0</v>
      </c>
      <c r="AH68" s="107">
        <f>AH63/AH71</f>
        <v>0</v>
      </c>
      <c r="AI68" s="274">
        <f>AI63/AM71</f>
        <v>0</v>
      </c>
      <c r="AJ68" s="275">
        <f>AJ63/AM71</f>
        <v>0</v>
      </c>
      <c r="AK68" s="275">
        <f>+AJ68</f>
        <v>0</v>
      </c>
      <c r="AL68" s="276">
        <f>+AK68</f>
        <v>0</v>
      </c>
      <c r="AM68" s="107">
        <f>+AL68</f>
        <v>0</v>
      </c>
      <c r="AN68" s="274"/>
      <c r="AO68" s="275"/>
      <c r="AP68" s="275"/>
      <c r="AQ68" s="276"/>
      <c r="AR68" s="107"/>
      <c r="AS68" s="274"/>
      <c r="AT68" s="275"/>
      <c r="AU68" s="275"/>
      <c r="AV68" s="276"/>
      <c r="AW68" s="107"/>
      <c r="AX68" s="274"/>
      <c r="AY68" s="275"/>
      <c r="AZ68" s="275"/>
      <c r="BA68" s="276"/>
      <c r="BB68" s="107"/>
      <c r="BC68" s="274"/>
      <c r="BD68" s="275"/>
      <c r="BE68" s="275"/>
      <c r="BF68" s="276"/>
      <c r="BG68" s="107"/>
      <c r="BH68" s="274"/>
      <c r="BI68" s="275"/>
      <c r="BJ68" s="275"/>
      <c r="BK68" s="276"/>
      <c r="BL68" s="107"/>
      <c r="BM68" s="274"/>
      <c r="BN68" s="275"/>
      <c r="BO68" s="275"/>
      <c r="BP68" s="276"/>
      <c r="BQ68" s="107"/>
      <c r="BR68" s="303"/>
      <c r="BS68" s="303"/>
      <c r="BT68" s="303"/>
      <c r="BU68" s="303"/>
      <c r="BV68" s="303"/>
      <c r="BW68" s="303"/>
      <c r="BX68" s="303"/>
      <c r="BY68" s="303"/>
      <c r="BZ68" s="303"/>
      <c r="CA68" s="303"/>
      <c r="CB68" s="303"/>
      <c r="CC68" s="303"/>
      <c r="CD68" s="303"/>
      <c r="CE68" s="303"/>
      <c r="CF68" s="303"/>
      <c r="CG68" s="303"/>
      <c r="CH68" s="303"/>
      <c r="CI68" s="303"/>
      <c r="CJ68" s="303"/>
      <c r="CK68" s="303"/>
      <c r="CL68" s="303"/>
      <c r="CM68" s="303"/>
      <c r="CN68" s="303"/>
      <c r="CO68" s="303"/>
      <c r="CP68" s="303"/>
      <c r="CQ68" s="303"/>
    </row>
    <row r="69" spans="1:100">
      <c r="A69" s="553"/>
      <c r="B69" s="553"/>
      <c r="C69" s="696"/>
      <c r="D69" s="553"/>
      <c r="E69" s="229"/>
      <c r="F69" s="671"/>
      <c r="G69" s="671"/>
      <c r="H69" s="231"/>
      <c r="I69" s="674"/>
      <c r="J69" s="229"/>
      <c r="K69" s="671"/>
      <c r="L69" s="671"/>
      <c r="M69" s="231"/>
      <c r="N69" s="674"/>
      <c r="O69" s="229"/>
      <c r="P69" s="699"/>
      <c r="Q69" s="699"/>
      <c r="R69" s="354"/>
      <c r="S69" s="674"/>
      <c r="T69" s="229"/>
      <c r="U69" s="699"/>
      <c r="V69" s="699"/>
      <c r="W69" s="354"/>
      <c r="X69" s="674"/>
      <c r="Y69" s="229"/>
      <c r="Z69" s="699"/>
      <c r="AA69" s="699"/>
      <c r="AB69" s="354"/>
      <c r="AC69" s="674"/>
      <c r="AD69" s="355"/>
      <c r="AE69" s="699"/>
      <c r="AF69" s="699"/>
      <c r="AG69" s="354"/>
      <c r="AH69" s="674"/>
      <c r="AI69" s="355"/>
      <c r="AJ69" s="699"/>
      <c r="AK69" s="699"/>
      <c r="AL69" s="354"/>
      <c r="AM69" s="674"/>
      <c r="AN69" s="355"/>
      <c r="AO69" s="699"/>
      <c r="AP69" s="699"/>
      <c r="AQ69" s="354"/>
      <c r="AR69" s="674"/>
      <c r="AS69" s="355"/>
      <c r="AT69" s="699"/>
      <c r="AU69" s="699"/>
      <c r="AV69" s="354"/>
      <c r="AW69" s="674"/>
      <c r="AX69" s="355"/>
      <c r="AY69" s="699"/>
      <c r="AZ69" s="699"/>
      <c r="BA69" s="354"/>
      <c r="BB69" s="674"/>
      <c r="BC69" s="355"/>
      <c r="BD69" s="699"/>
      <c r="BE69" s="699"/>
      <c r="BF69" s="354"/>
      <c r="BG69" s="674"/>
      <c r="BH69" s="355"/>
      <c r="BI69" s="699"/>
      <c r="BJ69" s="699"/>
      <c r="BK69" s="354"/>
      <c r="BL69" s="674"/>
      <c r="BM69" s="355"/>
      <c r="BN69" s="699"/>
      <c r="BO69" s="699"/>
      <c r="BP69" s="354"/>
      <c r="BQ69" s="674"/>
      <c r="BR69" s="553"/>
      <c r="BS69" s="553"/>
      <c r="BT69" s="553"/>
      <c r="BU69" s="553"/>
      <c r="BV69" s="553"/>
      <c r="BW69" s="553"/>
      <c r="BX69" s="553"/>
      <c r="BY69" s="553"/>
      <c r="BZ69" s="553"/>
      <c r="CA69" s="553"/>
      <c r="CB69" s="553"/>
      <c r="CC69" s="553"/>
      <c r="CD69" s="553"/>
      <c r="CE69" s="553"/>
      <c r="CF69" s="553"/>
      <c r="CG69" s="553"/>
      <c r="CH69" s="553"/>
      <c r="CI69" s="553"/>
      <c r="CJ69" s="553"/>
      <c r="CK69" s="553"/>
      <c r="CL69" s="553"/>
      <c r="CM69" s="553"/>
      <c r="CN69" s="553"/>
      <c r="CO69" s="553"/>
      <c r="CP69" s="553"/>
      <c r="CQ69" s="553"/>
      <c r="CR69" s="553"/>
      <c r="CS69" s="553"/>
      <c r="CT69" s="553"/>
      <c r="CU69" s="553"/>
      <c r="CV69" s="553"/>
    </row>
    <row r="70" spans="1:100">
      <c r="A70" s="553"/>
      <c r="B70" s="553"/>
      <c r="C70" s="696" t="s">
        <v>626</v>
      </c>
      <c r="D70" s="553"/>
      <c r="E70" s="161"/>
      <c r="F70" s="162"/>
      <c r="G70" s="162"/>
      <c r="H70" s="144"/>
      <c r="I70" s="577"/>
      <c r="J70" s="161"/>
      <c r="K70" s="162"/>
      <c r="L70" s="162"/>
      <c r="M70" s="144"/>
      <c r="N70" s="577"/>
      <c r="O70" s="161"/>
      <c r="P70" s="162"/>
      <c r="Q70" s="162"/>
      <c r="R70" s="144"/>
      <c r="S70" s="577"/>
      <c r="T70" s="161"/>
      <c r="U70" s="162"/>
      <c r="V70" s="162"/>
      <c r="W70" s="144"/>
      <c r="X70" s="577"/>
      <c r="Y70" s="161"/>
      <c r="Z70" s="162"/>
      <c r="AA70" s="162"/>
      <c r="AB70" s="144"/>
      <c r="AC70" s="577"/>
      <c r="AD70" s="161"/>
      <c r="AE70" s="162"/>
      <c r="AF70" s="162"/>
      <c r="AG70" s="144"/>
      <c r="AH70" s="577"/>
      <c r="AI70" s="1503">
        <v>5</v>
      </c>
      <c r="AJ70" s="1505">
        <v>5</v>
      </c>
      <c r="AK70" s="1505">
        <v>5</v>
      </c>
      <c r="AL70" s="1367">
        <f>5-400</f>
        <v>-395</v>
      </c>
      <c r="AM70" s="1506">
        <f>SUM(AI70:AL70)</f>
        <v>-380</v>
      </c>
      <c r="AN70" s="161"/>
      <c r="AO70" s="162"/>
      <c r="AP70" s="162"/>
      <c r="AQ70" s="144"/>
      <c r="AR70" s="577"/>
      <c r="AS70" s="161"/>
      <c r="AT70" s="162"/>
      <c r="AU70" s="162"/>
      <c r="AV70" s="144"/>
      <c r="AW70" s="577"/>
      <c r="AX70" s="161"/>
      <c r="AY70" s="162"/>
      <c r="AZ70" s="162"/>
      <c r="BA70" s="144"/>
      <c r="BB70" s="577"/>
      <c r="BC70" s="161"/>
      <c r="BD70" s="162"/>
      <c r="BE70" s="162"/>
      <c r="BF70" s="144"/>
      <c r="BG70" s="577"/>
      <c r="BH70" s="161"/>
      <c r="BI70" s="162"/>
      <c r="BJ70" s="162"/>
      <c r="BK70" s="144"/>
      <c r="BL70" s="577"/>
      <c r="BM70" s="161"/>
      <c r="BN70" s="162"/>
      <c r="BO70" s="162"/>
      <c r="BP70" s="144"/>
      <c r="BQ70" s="577"/>
      <c r="BR70" s="553"/>
      <c r="BS70" s="553"/>
      <c r="BT70" s="553"/>
      <c r="BU70" s="553"/>
      <c r="BV70" s="553"/>
      <c r="BW70" s="553"/>
      <c r="BX70" s="553"/>
      <c r="BY70" s="553"/>
      <c r="BZ70" s="553"/>
      <c r="CA70" s="553"/>
      <c r="CB70" s="553"/>
      <c r="CC70" s="553"/>
      <c r="CD70" s="553"/>
      <c r="CE70" s="553"/>
      <c r="CF70" s="553"/>
      <c r="CG70" s="553"/>
      <c r="CH70" s="553"/>
      <c r="CI70" s="553"/>
      <c r="CJ70" s="553"/>
      <c r="CK70" s="553"/>
      <c r="CL70" s="553"/>
      <c r="CM70" s="553"/>
      <c r="CN70" s="553"/>
      <c r="CO70" s="553"/>
      <c r="CP70" s="553"/>
      <c r="CQ70" s="553"/>
      <c r="CR70" s="553"/>
      <c r="CS70" s="553"/>
      <c r="CT70" s="553"/>
      <c r="CU70" s="553"/>
      <c r="CV70" s="553"/>
    </row>
    <row r="71" spans="1:100">
      <c r="A71" s="489"/>
      <c r="B71" s="489"/>
      <c r="C71" s="697" t="s">
        <v>222</v>
      </c>
      <c r="D71" s="489"/>
      <c r="E71" s="152"/>
      <c r="F71" s="646"/>
      <c r="G71" s="646"/>
      <c r="H71" s="153"/>
      <c r="I71" s="647"/>
      <c r="J71" s="152"/>
      <c r="K71" s="646"/>
      <c r="L71" s="646"/>
      <c r="M71" s="153"/>
      <c r="N71" s="647"/>
      <c r="O71" s="152"/>
      <c r="P71" s="646"/>
      <c r="Q71" s="646"/>
      <c r="R71" s="153"/>
      <c r="S71" s="647"/>
      <c r="T71" s="152"/>
      <c r="U71" s="646"/>
      <c r="V71" s="646"/>
      <c r="W71" s="153"/>
      <c r="X71" s="573">
        <v>31</v>
      </c>
      <c r="Y71" s="152">
        <f>AC71/4</f>
        <v>1.75</v>
      </c>
      <c r="Z71" s="646">
        <f>(AC71-Y71)/3</f>
        <v>1.75</v>
      </c>
      <c r="AA71" s="646">
        <f>(AC71-Y71-Z71)/2</f>
        <v>1.75</v>
      </c>
      <c r="AB71" s="153">
        <f>AC71-Y71-Z71-AA71</f>
        <v>1.75</v>
      </c>
      <c r="AC71" s="573">
        <v>7</v>
      </c>
      <c r="AD71" s="152">
        <f>AH71/4</f>
        <v>1</v>
      </c>
      <c r="AE71" s="646">
        <f>(AH71-AD71)/3</f>
        <v>1</v>
      </c>
      <c r="AF71" s="646">
        <f>(AH71-AD71-AE71)/2</f>
        <v>1</v>
      </c>
      <c r="AG71" s="153">
        <f>AH71-AD71-AE71-AF71</f>
        <v>1</v>
      </c>
      <c r="AH71" s="573">
        <v>4</v>
      </c>
      <c r="AI71" s="149">
        <f>AI70</f>
        <v>5</v>
      </c>
      <c r="AJ71" s="646">
        <f>AJ70</f>
        <v>5</v>
      </c>
      <c r="AK71" s="156">
        <f>AK70</f>
        <v>5</v>
      </c>
      <c r="AL71" s="151">
        <f>AL70</f>
        <v>-395</v>
      </c>
      <c r="AM71" s="647">
        <f>SUM(AM70:AM70)</f>
        <v>-380</v>
      </c>
      <c r="AN71" s="149"/>
      <c r="AO71" s="156"/>
      <c r="AP71" s="156"/>
      <c r="AQ71" s="151"/>
      <c r="AR71" s="647"/>
      <c r="AS71" s="149"/>
      <c r="AT71" s="156"/>
      <c r="AU71" s="156"/>
      <c r="AV71" s="151"/>
      <c r="AW71" s="647"/>
      <c r="AX71" s="149"/>
      <c r="AY71" s="156"/>
      <c r="AZ71" s="156"/>
      <c r="BA71" s="151"/>
      <c r="BB71" s="647"/>
      <c r="BC71" s="149"/>
      <c r="BD71" s="156"/>
      <c r="BE71" s="156"/>
      <c r="BF71" s="151"/>
      <c r="BG71" s="647"/>
      <c r="BH71" s="149"/>
      <c r="BI71" s="156"/>
      <c r="BJ71" s="156"/>
      <c r="BK71" s="151"/>
      <c r="BL71" s="647"/>
      <c r="BM71" s="149"/>
      <c r="BN71" s="156"/>
      <c r="BO71" s="156"/>
      <c r="BP71" s="151"/>
      <c r="BQ71" s="647"/>
      <c r="BR71" s="489"/>
      <c r="BS71" s="489"/>
      <c r="BT71" s="489"/>
      <c r="BU71" s="489"/>
      <c r="BV71" s="489"/>
      <c r="BW71" s="489"/>
      <c r="BX71" s="489"/>
      <c r="BY71" s="489"/>
      <c r="BZ71" s="489"/>
      <c r="CA71" s="489"/>
      <c r="CB71" s="489"/>
      <c r="CC71" s="489"/>
      <c r="CD71" s="489"/>
      <c r="CE71" s="489"/>
      <c r="CF71" s="489"/>
      <c r="CG71" s="489"/>
      <c r="CH71" s="489"/>
      <c r="CI71" s="489"/>
      <c r="CJ71" s="489"/>
      <c r="CK71" s="489"/>
      <c r="CL71" s="489"/>
      <c r="CM71" s="489"/>
      <c r="CN71" s="489"/>
      <c r="CO71" s="489"/>
      <c r="CP71" s="489"/>
      <c r="CQ71" s="489"/>
      <c r="CR71" s="489"/>
      <c r="CS71" s="489"/>
      <c r="CT71" s="489"/>
      <c r="CU71" s="489"/>
      <c r="CV71" s="489"/>
    </row>
    <row r="72" spans="1:100">
      <c r="A72" s="696"/>
      <c r="B72" s="696"/>
      <c r="C72" s="696"/>
      <c r="D72" s="696"/>
      <c r="E72" s="308"/>
      <c r="F72" s="356"/>
      <c r="G72" s="356"/>
      <c r="H72" s="310"/>
      <c r="I72" s="700"/>
      <c r="J72" s="308"/>
      <c r="K72" s="356"/>
      <c r="L72" s="356"/>
      <c r="M72" s="310"/>
      <c r="N72" s="700"/>
      <c r="O72" s="305"/>
      <c r="P72" s="701"/>
      <c r="Q72" s="701"/>
      <c r="R72" s="307"/>
      <c r="S72" s="696"/>
      <c r="T72" s="305"/>
      <c r="U72" s="701"/>
      <c r="V72" s="701"/>
      <c r="W72" s="307"/>
      <c r="X72" s="696"/>
      <c r="Y72" s="305"/>
      <c r="Z72" s="701"/>
      <c r="AA72" s="701"/>
      <c r="AB72" s="307"/>
      <c r="AC72" s="696"/>
      <c r="AD72" s="305"/>
      <c r="AE72" s="701"/>
      <c r="AF72" s="701"/>
      <c r="AG72" s="307"/>
      <c r="AH72" s="696"/>
      <c r="AI72" s="305"/>
      <c r="AJ72" s="701"/>
      <c r="AK72" s="701"/>
      <c r="AL72" s="307"/>
      <c r="AM72" s="696"/>
      <c r="AN72" s="305"/>
      <c r="AO72" s="701"/>
      <c r="AP72" s="701"/>
      <c r="AQ72" s="307"/>
      <c r="AR72" s="696"/>
      <c r="AS72" s="305"/>
      <c r="AT72" s="701"/>
      <c r="AU72" s="701"/>
      <c r="AV72" s="307"/>
      <c r="AW72" s="696"/>
      <c r="AX72" s="305"/>
      <c r="AY72" s="701"/>
      <c r="AZ72" s="701"/>
      <c r="BA72" s="307"/>
      <c r="BB72" s="696"/>
      <c r="BC72" s="305"/>
      <c r="BD72" s="701"/>
      <c r="BE72" s="701"/>
      <c r="BF72" s="307"/>
      <c r="BG72" s="696"/>
      <c r="BH72" s="305"/>
      <c r="BI72" s="701"/>
      <c r="BJ72" s="701"/>
      <c r="BK72" s="307"/>
      <c r="BL72" s="696"/>
      <c r="BM72" s="305"/>
      <c r="BN72" s="701"/>
      <c r="BO72" s="701"/>
      <c r="BP72" s="307"/>
      <c r="BQ72" s="696"/>
      <c r="BR72" s="696"/>
      <c r="BS72" s="696"/>
      <c r="BT72" s="696"/>
      <c r="BU72" s="696"/>
      <c r="BV72" s="696"/>
      <c r="BW72" s="696"/>
      <c r="BX72" s="696"/>
      <c r="BY72" s="696"/>
      <c r="BZ72" s="696"/>
      <c r="CA72" s="696"/>
      <c r="CB72" s="696"/>
      <c r="CC72" s="696"/>
      <c r="CD72" s="696"/>
      <c r="CE72" s="696"/>
      <c r="CF72" s="696"/>
      <c r="CG72" s="696"/>
      <c r="CH72" s="696"/>
      <c r="CI72" s="696"/>
      <c r="CJ72" s="696"/>
      <c r="CK72" s="696"/>
      <c r="CL72" s="696"/>
      <c r="CM72" s="696"/>
      <c r="CN72" s="696"/>
      <c r="CO72" s="696"/>
      <c r="CP72" s="696"/>
      <c r="CQ72" s="696"/>
      <c r="CR72" s="696"/>
      <c r="CS72" s="696"/>
      <c r="CT72" s="696"/>
      <c r="CU72" s="696"/>
      <c r="CV72" s="696"/>
    </row>
    <row r="73" spans="1:100">
      <c r="A73" s="696"/>
      <c r="B73" s="696"/>
      <c r="C73" s="696"/>
      <c r="D73" s="696"/>
      <c r="E73" s="305"/>
      <c r="F73" s="701"/>
      <c r="G73" s="701"/>
      <c r="H73" s="307"/>
      <c r="I73" s="696"/>
      <c r="J73" s="305"/>
      <c r="K73" s="701"/>
      <c r="L73" s="701"/>
      <c r="M73" s="307"/>
      <c r="N73" s="696"/>
      <c r="O73" s="305"/>
      <c r="P73" s="701"/>
      <c r="Q73" s="701"/>
      <c r="R73" s="307"/>
      <c r="S73" s="696"/>
      <c r="T73" s="305"/>
      <c r="U73" s="701"/>
      <c r="V73" s="701"/>
      <c r="W73" s="307"/>
      <c r="X73" s="696"/>
      <c r="Y73" s="305"/>
      <c r="Z73" s="701"/>
      <c r="AA73" s="701"/>
      <c r="AB73" s="307"/>
      <c r="AC73" s="696"/>
      <c r="AD73" s="305"/>
      <c r="AE73" s="701"/>
      <c r="AF73" s="701"/>
      <c r="AG73" s="307"/>
      <c r="AH73" s="696"/>
      <c r="AI73" s="305"/>
      <c r="AJ73" s="701"/>
      <c r="AK73" s="701"/>
      <c r="AL73" s="307"/>
      <c r="AM73" s="696"/>
      <c r="AN73" s="305"/>
      <c r="AO73" s="701"/>
      <c r="AP73" s="701"/>
      <c r="AQ73" s="307"/>
      <c r="AR73" s="696"/>
      <c r="AS73" s="305"/>
      <c r="AT73" s="701"/>
      <c r="AU73" s="701"/>
      <c r="AV73" s="307"/>
      <c r="AW73" s="696"/>
      <c r="AX73" s="305"/>
      <c r="AY73" s="701"/>
      <c r="AZ73" s="701"/>
      <c r="BA73" s="307"/>
      <c r="BB73" s="696"/>
      <c r="BC73" s="305"/>
      <c r="BD73" s="701"/>
      <c r="BE73" s="701"/>
      <c r="BF73" s="307"/>
      <c r="BG73" s="696"/>
      <c r="BH73" s="305"/>
      <c r="BI73" s="701"/>
      <c r="BJ73" s="701"/>
      <c r="BK73" s="307"/>
      <c r="BL73" s="696"/>
      <c r="BM73" s="305"/>
      <c r="BN73" s="701"/>
      <c r="BO73" s="701"/>
      <c r="BP73" s="307"/>
      <c r="BQ73" s="696"/>
      <c r="BR73" s="696"/>
      <c r="BS73" s="696"/>
      <c r="BT73" s="696"/>
      <c r="BU73" s="696"/>
      <c r="BV73" s="696"/>
      <c r="BW73" s="696"/>
      <c r="BX73" s="696"/>
      <c r="BY73" s="696"/>
      <c r="BZ73" s="696"/>
      <c r="CA73" s="696"/>
      <c r="CB73" s="696"/>
      <c r="CC73" s="696"/>
      <c r="CD73" s="696"/>
      <c r="CE73" s="696"/>
      <c r="CF73" s="696"/>
      <c r="CG73" s="696"/>
      <c r="CH73" s="696"/>
      <c r="CI73" s="696"/>
      <c r="CJ73" s="696"/>
      <c r="CK73" s="696"/>
      <c r="CL73" s="696"/>
      <c r="CM73" s="696"/>
      <c r="CN73" s="696"/>
      <c r="CO73" s="696"/>
      <c r="CP73" s="696"/>
      <c r="CQ73" s="696"/>
      <c r="CR73" s="696"/>
      <c r="CS73" s="696"/>
      <c r="CT73" s="696"/>
      <c r="CU73" s="696"/>
      <c r="CV73" s="696"/>
    </row>
    <row r="74" spans="1:100">
      <c r="A74" s="696"/>
      <c r="B74" s="702" t="s">
        <v>225</v>
      </c>
      <c r="C74" s="703"/>
      <c r="D74" s="704"/>
      <c r="E74" s="305"/>
      <c r="F74" s="701"/>
      <c r="G74" s="701"/>
      <c r="H74" s="307"/>
      <c r="I74" s="696"/>
      <c r="J74" s="305"/>
      <c r="K74" s="701"/>
      <c r="L74" s="701"/>
      <c r="M74" s="307"/>
      <c r="N74" s="696"/>
      <c r="O74" s="305"/>
      <c r="P74" s="701"/>
      <c r="Q74" s="701"/>
      <c r="R74" s="307"/>
      <c r="S74" s="696"/>
      <c r="T74" s="305"/>
      <c r="U74" s="701"/>
      <c r="V74" s="701"/>
      <c r="W74" s="307"/>
      <c r="X74" s="696"/>
      <c r="Y74" s="305"/>
      <c r="Z74" s="701"/>
      <c r="AA74" s="701"/>
      <c r="AB74" s="307"/>
      <c r="AC74" s="696"/>
      <c r="AD74" s="305"/>
      <c r="AE74" s="701"/>
      <c r="AF74" s="701"/>
      <c r="AG74" s="307"/>
      <c r="AH74" s="696"/>
      <c r="AI74" s="305"/>
      <c r="AJ74" s="701"/>
      <c r="AK74" s="701"/>
      <c r="AL74" s="307"/>
      <c r="AM74" s="696"/>
      <c r="AN74" s="305"/>
      <c r="AO74" s="701"/>
      <c r="AP74" s="701"/>
      <c r="AQ74" s="307"/>
      <c r="AR74" s="696"/>
      <c r="AS74" s="305"/>
      <c r="AT74" s="701"/>
      <c r="AU74" s="701"/>
      <c r="AV74" s="307"/>
      <c r="AW74" s="696"/>
      <c r="AX74" s="305"/>
      <c r="AY74" s="701"/>
      <c r="AZ74" s="701"/>
      <c r="BA74" s="307"/>
      <c r="BB74" s="696"/>
      <c r="BC74" s="305"/>
      <c r="BD74" s="701"/>
      <c r="BE74" s="701"/>
      <c r="BF74" s="307"/>
      <c r="BG74" s="696"/>
      <c r="BH74" s="305"/>
      <c r="BI74" s="701"/>
      <c r="BJ74" s="701"/>
      <c r="BK74" s="307"/>
      <c r="BL74" s="696"/>
      <c r="BM74" s="305"/>
      <c r="BN74" s="701"/>
      <c r="BO74" s="701"/>
      <c r="BP74" s="307"/>
      <c r="BQ74" s="696"/>
      <c r="BR74" s="696"/>
      <c r="BS74" s="696"/>
      <c r="BT74" s="696"/>
      <c r="BU74" s="696"/>
      <c r="BV74" s="696"/>
      <c r="BW74" s="696"/>
      <c r="BX74" s="696"/>
      <c r="BY74" s="696"/>
      <c r="BZ74" s="696"/>
      <c r="CA74" s="696"/>
      <c r="CB74" s="696"/>
      <c r="CC74" s="696"/>
      <c r="CD74" s="696"/>
      <c r="CE74" s="696"/>
      <c r="CF74" s="696"/>
      <c r="CG74" s="696"/>
      <c r="CH74" s="696"/>
      <c r="CI74" s="696"/>
      <c r="CJ74" s="696"/>
      <c r="CK74" s="696"/>
      <c r="CL74" s="696"/>
      <c r="CM74" s="696"/>
      <c r="CN74" s="696"/>
      <c r="CO74" s="696"/>
      <c r="CP74" s="696"/>
      <c r="CQ74" s="696"/>
      <c r="CR74" s="696"/>
      <c r="CS74" s="696"/>
      <c r="CT74" s="696"/>
      <c r="CU74" s="696"/>
      <c r="CV74" s="696"/>
    </row>
    <row r="75" spans="1:100">
      <c r="A75" s="696"/>
      <c r="B75" s="696"/>
      <c r="C75" s="574" t="s">
        <v>35</v>
      </c>
      <c r="D75" s="696"/>
      <c r="E75" s="305"/>
      <c r="F75" s="701"/>
      <c r="G75" s="701"/>
      <c r="H75" s="307"/>
      <c r="I75" s="696"/>
      <c r="J75" s="305"/>
      <c r="K75" s="701"/>
      <c r="L75" s="701"/>
      <c r="M75" s="307"/>
      <c r="N75" s="696"/>
      <c r="O75" s="305"/>
      <c r="P75" s="701"/>
      <c r="Q75" s="701"/>
      <c r="R75" s="307"/>
      <c r="S75" s="696"/>
      <c r="T75" s="305"/>
      <c r="U75" s="701"/>
      <c r="V75" s="701"/>
      <c r="W75" s="307"/>
      <c r="X75" s="696"/>
      <c r="Y75" s="305"/>
      <c r="Z75" s="701"/>
      <c r="AA75" s="701"/>
      <c r="AB75" s="307"/>
      <c r="AC75" s="696"/>
      <c r="AD75" s="305"/>
      <c r="AE75" s="701"/>
      <c r="AF75" s="701"/>
      <c r="AG75" s="307"/>
      <c r="AH75" s="696"/>
      <c r="AI75" s="305"/>
      <c r="AJ75" s="701"/>
      <c r="AK75" s="701"/>
      <c r="AL75" s="307"/>
      <c r="AM75" s="696"/>
      <c r="AN75" s="305"/>
      <c r="AO75" s="701"/>
      <c r="AP75" s="701"/>
      <c r="AQ75" s="307"/>
      <c r="AR75" s="696"/>
      <c r="AS75" s="305"/>
      <c r="AT75" s="701"/>
      <c r="AU75" s="701"/>
      <c r="AV75" s="307"/>
      <c r="AW75" s="696"/>
      <c r="AX75" s="305"/>
      <c r="AY75" s="701"/>
      <c r="AZ75" s="701"/>
      <c r="BA75" s="307"/>
      <c r="BB75" s="696"/>
      <c r="BC75" s="305"/>
      <c r="BD75" s="701"/>
      <c r="BE75" s="701"/>
      <c r="BF75" s="307"/>
      <c r="BG75" s="696"/>
      <c r="BH75" s="305"/>
      <c r="BI75" s="701"/>
      <c r="BJ75" s="701"/>
      <c r="BK75" s="307"/>
      <c r="BL75" s="696"/>
      <c r="BM75" s="305"/>
      <c r="BN75" s="701"/>
      <c r="BO75" s="701"/>
      <c r="BP75" s="307"/>
      <c r="BQ75" s="696"/>
      <c r="BR75" s="696"/>
      <c r="BS75" s="696"/>
      <c r="BT75" s="696"/>
      <c r="BU75" s="696"/>
      <c r="BV75" s="696"/>
      <c r="BW75" s="696"/>
      <c r="BX75" s="696"/>
      <c r="BY75" s="696"/>
      <c r="BZ75" s="696"/>
      <c r="CA75" s="696"/>
      <c r="CB75" s="696"/>
      <c r="CC75" s="696"/>
      <c r="CD75" s="696"/>
      <c r="CE75" s="696"/>
      <c r="CF75" s="696"/>
      <c r="CG75" s="696"/>
      <c r="CH75" s="696"/>
      <c r="CI75" s="696"/>
      <c r="CJ75" s="696"/>
      <c r="CK75" s="696"/>
      <c r="CL75" s="696"/>
      <c r="CM75" s="696"/>
      <c r="CN75" s="696"/>
      <c r="CO75" s="696"/>
      <c r="CP75" s="696"/>
      <c r="CQ75" s="696"/>
      <c r="CR75" s="696"/>
      <c r="CS75" s="696"/>
      <c r="CT75" s="696"/>
      <c r="CU75" s="696"/>
      <c r="CV75" s="696"/>
    </row>
    <row r="76" spans="1:100">
      <c r="A76" s="546"/>
      <c r="B76" s="546"/>
      <c r="C76" s="576" t="s">
        <v>36</v>
      </c>
      <c r="D76" s="546"/>
      <c r="E76" s="161"/>
      <c r="F76" s="162"/>
      <c r="G76" s="162"/>
      <c r="H76" s="144"/>
      <c r="I76" s="546"/>
      <c r="J76" s="161"/>
      <c r="K76" s="162"/>
      <c r="L76" s="162"/>
      <c r="M76" s="144"/>
      <c r="N76" s="546"/>
      <c r="O76" s="161"/>
      <c r="P76" s="162"/>
      <c r="Q76" s="162"/>
      <c r="R76" s="144"/>
      <c r="S76" s="546"/>
      <c r="T76" s="161"/>
      <c r="U76" s="162"/>
      <c r="V76" s="162"/>
      <c r="W76" s="144"/>
      <c r="X76" s="546">
        <f>Debt!V328</f>
        <v>0</v>
      </c>
      <c r="Y76" s="1202">
        <f>Debt!W328</f>
        <v>0</v>
      </c>
      <c r="Z76" s="1203">
        <f>Debt!X328</f>
        <v>0</v>
      </c>
      <c r="AA76" s="1203">
        <f>Debt!Y328</f>
        <v>0</v>
      </c>
      <c r="AB76" s="1205">
        <f>Debt!Z328</f>
        <v>0</v>
      </c>
      <c r="AC76" s="1216">
        <f>Debt!AA328</f>
        <v>0</v>
      </c>
      <c r="AD76" s="1202">
        <f>Debt!AB328</f>
        <v>0</v>
      </c>
      <c r="AE76" s="1203">
        <f>Debt!AC328</f>
        <v>0</v>
      </c>
      <c r="AF76" s="1203">
        <f>Debt!AD328</f>
        <v>0</v>
      </c>
      <c r="AG76" s="1205">
        <f>Debt!AE328</f>
        <v>0</v>
      </c>
      <c r="AH76" s="1216">
        <f>Debt!AF328</f>
        <v>0</v>
      </c>
      <c r="AI76" s="1202">
        <f>Debt!AG328</f>
        <v>0</v>
      </c>
      <c r="AJ76" s="1203">
        <f>Debt!AH328</f>
        <v>0</v>
      </c>
      <c r="AK76" s="162">
        <f>Debt!AI328</f>
        <v>0</v>
      </c>
      <c r="AL76" s="144">
        <f>Debt!AJ328</f>
        <v>0</v>
      </c>
      <c r="AM76" s="64">
        <v>0</v>
      </c>
      <c r="AN76" s="161"/>
      <c r="AO76" s="162"/>
      <c r="AP76" s="162"/>
      <c r="AQ76" s="144"/>
      <c r="AR76" s="64"/>
      <c r="AS76" s="161"/>
      <c r="AT76" s="162"/>
      <c r="AU76" s="162"/>
      <c r="AV76" s="144"/>
      <c r="AW76" s="64"/>
      <c r="AX76" s="161"/>
      <c r="AY76" s="162"/>
      <c r="AZ76" s="162"/>
      <c r="BA76" s="144"/>
      <c r="BB76" s="64"/>
      <c r="BC76" s="161"/>
      <c r="BD76" s="162"/>
      <c r="BE76" s="162"/>
      <c r="BF76" s="144"/>
      <c r="BG76" s="64"/>
      <c r="BH76" s="161"/>
      <c r="BI76" s="162"/>
      <c r="BJ76" s="162"/>
      <c r="BK76" s="144"/>
      <c r="BL76" s="64"/>
      <c r="BM76" s="161"/>
      <c r="BN76" s="162"/>
      <c r="BO76" s="162"/>
      <c r="BP76" s="144"/>
      <c r="BQ76" s="64"/>
      <c r="BR76" s="546"/>
      <c r="BS76" s="546"/>
      <c r="BT76" s="546"/>
      <c r="BU76" s="546"/>
      <c r="BV76" s="546"/>
      <c r="BW76" s="546"/>
      <c r="BX76" s="546"/>
      <c r="BY76" s="546"/>
      <c r="BZ76" s="546"/>
      <c r="CA76" s="546"/>
      <c r="CB76" s="546"/>
      <c r="CC76" s="546"/>
      <c r="CD76" s="546"/>
      <c r="CE76" s="546"/>
      <c r="CF76" s="546"/>
      <c r="CG76" s="546"/>
      <c r="CH76" s="546"/>
      <c r="CI76" s="546"/>
      <c r="CJ76" s="546"/>
      <c r="CK76" s="546"/>
      <c r="CL76" s="546"/>
      <c r="CM76" s="546"/>
      <c r="CN76" s="546"/>
      <c r="CO76" s="546"/>
      <c r="CP76" s="546"/>
      <c r="CQ76" s="546"/>
      <c r="CR76" s="546"/>
      <c r="CS76" s="546"/>
      <c r="CT76" s="546"/>
      <c r="CU76" s="546"/>
      <c r="CV76" s="546"/>
    </row>
    <row r="77" spans="1:100">
      <c r="A77" s="546"/>
      <c r="B77" s="546"/>
      <c r="C77" s="576" t="s">
        <v>37</v>
      </c>
      <c r="D77" s="546"/>
      <c r="E77" s="161"/>
      <c r="F77" s="162"/>
      <c r="G77" s="162"/>
      <c r="H77" s="144"/>
      <c r="I77" s="546"/>
      <c r="J77" s="161"/>
      <c r="K77" s="162"/>
      <c r="L77" s="162"/>
      <c r="M77" s="144"/>
      <c r="N77" s="546"/>
      <c r="O77" s="161"/>
      <c r="P77" s="162"/>
      <c r="Q77" s="162"/>
      <c r="R77" s="144"/>
      <c r="S77" s="546"/>
      <c r="T77" s="161"/>
      <c r="U77" s="162"/>
      <c r="V77" s="162"/>
      <c r="W77" s="144"/>
      <c r="X77" s="546">
        <f>Debt!V322</f>
        <v>0</v>
      </c>
      <c r="Y77" s="1202">
        <f>Debt!W322</f>
        <v>0</v>
      </c>
      <c r="Z77" s="1203">
        <f>Debt!X322</f>
        <v>0</v>
      </c>
      <c r="AA77" s="1203">
        <f>Debt!Y322</f>
        <v>0</v>
      </c>
      <c r="AB77" s="1205">
        <f>Debt!Z322</f>
        <v>0</v>
      </c>
      <c r="AC77" s="1216">
        <f>Debt!AA322</f>
        <v>0</v>
      </c>
      <c r="AD77" s="1202">
        <f>Debt!AB322</f>
        <v>0</v>
      </c>
      <c r="AE77" s="1203">
        <f>Debt!AC322</f>
        <v>0</v>
      </c>
      <c r="AF77" s="1203">
        <f>Debt!AD322</f>
        <v>0</v>
      </c>
      <c r="AG77" s="1205">
        <f>Debt!AE322</f>
        <v>0</v>
      </c>
      <c r="AH77" s="1216">
        <f>Debt!AF322</f>
        <v>0</v>
      </c>
      <c r="AI77" s="1202">
        <f>Debt!AG322</f>
        <v>0</v>
      </c>
      <c r="AJ77" s="1203">
        <f>Debt!AH322</f>
        <v>0</v>
      </c>
      <c r="AK77" s="162">
        <f>Debt!AI322</f>
        <v>0</v>
      </c>
      <c r="AL77" s="144">
        <f>Debt!AJ322</f>
        <v>0</v>
      </c>
      <c r="AM77" s="546">
        <f>Debt!AK322</f>
        <v>0</v>
      </c>
      <c r="AN77" s="161"/>
      <c r="AO77" s="162"/>
      <c r="AP77" s="162"/>
      <c r="AQ77" s="144"/>
      <c r="AR77" s="546"/>
      <c r="AS77" s="161"/>
      <c r="AT77" s="162"/>
      <c r="AU77" s="162"/>
      <c r="AV77" s="144"/>
      <c r="AW77" s="546"/>
      <c r="AX77" s="161"/>
      <c r="AY77" s="162"/>
      <c r="AZ77" s="162"/>
      <c r="BA77" s="144"/>
      <c r="BB77" s="546"/>
      <c r="BC77" s="161"/>
      <c r="BD77" s="162"/>
      <c r="BE77" s="162"/>
      <c r="BF77" s="144"/>
      <c r="BG77" s="546"/>
      <c r="BH77" s="161"/>
      <c r="BI77" s="162"/>
      <c r="BJ77" s="162"/>
      <c r="BK77" s="144"/>
      <c r="BL77" s="546"/>
      <c r="BM77" s="161"/>
      <c r="BN77" s="162"/>
      <c r="BO77" s="162"/>
      <c r="BP77" s="144"/>
      <c r="BQ77" s="546"/>
      <c r="BR77" s="546"/>
      <c r="BS77" s="546"/>
      <c r="BT77" s="546"/>
      <c r="BU77" s="546"/>
      <c r="BV77" s="546"/>
      <c r="BW77" s="546"/>
      <c r="BX77" s="546"/>
      <c r="BY77" s="546"/>
      <c r="BZ77" s="546"/>
      <c r="CA77" s="546"/>
      <c r="CB77" s="546"/>
      <c r="CC77" s="546"/>
      <c r="CD77" s="546"/>
      <c r="CE77" s="546"/>
      <c r="CF77" s="546"/>
      <c r="CG77" s="546"/>
      <c r="CH77" s="546"/>
      <c r="CI77" s="546"/>
      <c r="CJ77" s="546"/>
      <c r="CK77" s="546"/>
      <c r="CL77" s="546"/>
      <c r="CM77" s="546"/>
      <c r="CN77" s="546"/>
      <c r="CO77" s="546"/>
      <c r="CP77" s="546"/>
      <c r="CQ77" s="546"/>
      <c r="CR77" s="546"/>
      <c r="CS77" s="546"/>
      <c r="CT77" s="546"/>
      <c r="CU77" s="546"/>
      <c r="CV77" s="546"/>
    </row>
    <row r="78" spans="1:100">
      <c r="A78" s="696"/>
      <c r="B78" s="696"/>
      <c r="C78" s="576"/>
      <c r="D78" s="696"/>
      <c r="E78" s="305"/>
      <c r="F78" s="701"/>
      <c r="G78" s="701"/>
      <c r="H78" s="307"/>
      <c r="I78" s="696"/>
      <c r="J78" s="305"/>
      <c r="K78" s="701"/>
      <c r="L78" s="701"/>
      <c r="M78" s="307"/>
      <c r="N78" s="696"/>
      <c r="O78" s="305"/>
      <c r="P78" s="701"/>
      <c r="Q78" s="162"/>
      <c r="R78" s="144"/>
      <c r="S78" s="546"/>
      <c r="T78" s="305"/>
      <c r="U78" s="701"/>
      <c r="V78" s="701"/>
      <c r="W78" s="144"/>
      <c r="X78" s="546"/>
      <c r="Y78" s="305"/>
      <c r="Z78" s="701"/>
      <c r="AA78" s="701"/>
      <c r="AB78" s="144"/>
      <c r="AC78" s="546"/>
      <c r="AD78" s="161"/>
      <c r="AE78" s="162"/>
      <c r="AF78" s="162"/>
      <c r="AG78" s="144"/>
      <c r="AH78" s="546"/>
      <c r="AI78" s="161"/>
      <c r="AJ78" s="162"/>
      <c r="AK78" s="162"/>
      <c r="AL78" s="144"/>
      <c r="AM78" s="546"/>
      <c r="AN78" s="161"/>
      <c r="AO78" s="162"/>
      <c r="AP78" s="162"/>
      <c r="AQ78" s="144"/>
      <c r="AR78" s="546"/>
      <c r="AS78" s="161"/>
      <c r="AT78" s="162"/>
      <c r="AU78" s="162"/>
      <c r="AV78" s="144"/>
      <c r="AW78" s="546"/>
      <c r="AX78" s="161"/>
      <c r="AY78" s="162"/>
      <c r="AZ78" s="162"/>
      <c r="BA78" s="144"/>
      <c r="BB78" s="546"/>
      <c r="BC78" s="161"/>
      <c r="BD78" s="162"/>
      <c r="BE78" s="162"/>
      <c r="BF78" s="144"/>
      <c r="BG78" s="546"/>
      <c r="BH78" s="161"/>
      <c r="BI78" s="162"/>
      <c r="BJ78" s="162"/>
      <c r="BK78" s="144"/>
      <c r="BL78" s="546"/>
      <c r="BM78" s="161"/>
      <c r="BN78" s="162"/>
      <c r="BO78" s="162"/>
      <c r="BP78" s="144"/>
      <c r="BQ78" s="546"/>
      <c r="BR78" s="696"/>
      <c r="BS78" s="696"/>
      <c r="BT78" s="696"/>
      <c r="BU78" s="696"/>
      <c r="BV78" s="696"/>
      <c r="BW78" s="696"/>
      <c r="BX78" s="696"/>
      <c r="BY78" s="696"/>
      <c r="BZ78" s="696"/>
      <c r="CA78" s="696"/>
      <c r="CB78" s="696"/>
      <c r="CC78" s="696"/>
      <c r="CD78" s="696"/>
      <c r="CE78" s="696"/>
      <c r="CF78" s="696"/>
      <c r="CG78" s="696"/>
      <c r="CH78" s="696"/>
      <c r="CI78" s="696"/>
      <c r="CJ78" s="696"/>
      <c r="CK78" s="696"/>
      <c r="CL78" s="696"/>
      <c r="CM78" s="696"/>
      <c r="CN78" s="696"/>
      <c r="CO78" s="696"/>
      <c r="CP78" s="696"/>
      <c r="CQ78" s="696"/>
      <c r="CR78" s="696"/>
      <c r="CS78" s="696"/>
      <c r="CT78" s="696"/>
      <c r="CU78" s="696"/>
      <c r="CV78" s="696"/>
    </row>
    <row r="79" spans="1:100">
      <c r="A79" s="696"/>
      <c r="B79" s="696"/>
      <c r="C79" s="574" t="s">
        <v>5</v>
      </c>
      <c r="D79" s="696"/>
      <c r="E79" s="305"/>
      <c r="F79" s="701"/>
      <c r="G79" s="701"/>
      <c r="H79" s="307"/>
      <c r="I79" s="696"/>
      <c r="J79" s="305"/>
      <c r="K79" s="701"/>
      <c r="L79" s="701"/>
      <c r="M79" s="307"/>
      <c r="N79" s="696"/>
      <c r="O79" s="305"/>
      <c r="P79" s="701"/>
      <c r="Q79" s="162"/>
      <c r="R79" s="144"/>
      <c r="S79" s="109"/>
      <c r="T79" s="305"/>
      <c r="U79" s="701"/>
      <c r="V79" s="701"/>
      <c r="W79" s="144"/>
      <c r="X79" s="109"/>
      <c r="Y79" s="305"/>
      <c r="Z79" s="701"/>
      <c r="AA79" s="701"/>
      <c r="AB79" s="144"/>
      <c r="AC79" s="109"/>
      <c r="AD79" s="161"/>
      <c r="AE79" s="160"/>
      <c r="AF79" s="160"/>
      <c r="AG79" s="144"/>
      <c r="AH79" s="109"/>
      <c r="AI79" s="161"/>
      <c r="AJ79" s="160"/>
      <c r="AK79" s="160"/>
      <c r="AL79" s="144"/>
      <c r="AM79" s="109"/>
      <c r="AN79" s="161"/>
      <c r="AO79" s="160"/>
      <c r="AP79" s="160"/>
      <c r="AQ79" s="144"/>
      <c r="AR79" s="109"/>
      <c r="AS79" s="161"/>
      <c r="AT79" s="160"/>
      <c r="AU79" s="160"/>
      <c r="AV79" s="144"/>
      <c r="AW79" s="109"/>
      <c r="AX79" s="161"/>
      <c r="AY79" s="160"/>
      <c r="AZ79" s="160"/>
      <c r="BA79" s="144"/>
      <c r="BB79" s="109"/>
      <c r="BC79" s="161"/>
      <c r="BD79" s="160"/>
      <c r="BE79" s="160"/>
      <c r="BF79" s="144"/>
      <c r="BG79" s="109"/>
      <c r="BH79" s="161"/>
      <c r="BI79" s="160"/>
      <c r="BJ79" s="160"/>
      <c r="BK79" s="144"/>
      <c r="BL79" s="109"/>
      <c r="BM79" s="161"/>
      <c r="BN79" s="160"/>
      <c r="BO79" s="160"/>
      <c r="BP79" s="144"/>
      <c r="BQ79" s="109"/>
      <c r="BR79" s="696"/>
      <c r="BS79" s="696"/>
      <c r="BT79" s="696"/>
      <c r="BU79" s="696"/>
      <c r="BV79" s="696"/>
      <c r="BW79" s="696"/>
      <c r="BX79" s="696"/>
      <c r="BY79" s="696"/>
      <c r="BZ79" s="696"/>
      <c r="CA79" s="696"/>
      <c r="CB79" s="696"/>
      <c r="CC79" s="696"/>
      <c r="CD79" s="696"/>
      <c r="CE79" s="696"/>
      <c r="CF79" s="696"/>
      <c r="CG79" s="696"/>
      <c r="CH79" s="696"/>
      <c r="CI79" s="696"/>
      <c r="CJ79" s="696"/>
      <c r="CK79" s="696"/>
      <c r="CL79" s="696"/>
      <c r="CM79" s="696"/>
      <c r="CN79" s="696"/>
      <c r="CO79" s="696"/>
      <c r="CP79" s="696"/>
      <c r="CQ79" s="696"/>
      <c r="CR79" s="696"/>
      <c r="CS79" s="696"/>
      <c r="CT79" s="696"/>
      <c r="CU79" s="696"/>
      <c r="CV79" s="696"/>
    </row>
    <row r="80" spans="1:100">
      <c r="A80" s="546"/>
      <c r="B80" s="546"/>
      <c r="C80" s="576" t="s">
        <v>38</v>
      </c>
      <c r="D80" s="546"/>
      <c r="E80" s="161"/>
      <c r="F80" s="162"/>
      <c r="G80" s="162"/>
      <c r="H80" s="144"/>
      <c r="I80" s="546"/>
      <c r="J80" s="161"/>
      <c r="K80" s="162"/>
      <c r="L80" s="162"/>
      <c r="M80" s="144"/>
      <c r="N80" s="546"/>
      <c r="O80" s="161"/>
      <c r="P80" s="162"/>
      <c r="Q80" s="162"/>
      <c r="R80" s="144"/>
      <c r="S80" s="109"/>
      <c r="T80" s="161"/>
      <c r="U80" s="162"/>
      <c r="V80" s="162"/>
      <c r="W80" s="144"/>
      <c r="X80" s="109"/>
      <c r="Y80" s="161"/>
      <c r="Z80" s="162"/>
      <c r="AA80" s="162"/>
      <c r="AB80" s="144"/>
      <c r="AC80" s="109"/>
      <c r="AD80" s="161"/>
      <c r="AE80" s="160"/>
      <c r="AF80" s="160"/>
      <c r="AG80" s="144"/>
      <c r="AH80" s="109"/>
      <c r="AI80" s="161"/>
      <c r="AJ80" s="160"/>
      <c r="AK80" s="160"/>
      <c r="AL80" s="144"/>
      <c r="AM80" s="109"/>
      <c r="AN80" s="161"/>
      <c r="AO80" s="160"/>
      <c r="AP80" s="160"/>
      <c r="AQ80" s="144"/>
      <c r="AR80" s="109"/>
      <c r="AS80" s="161"/>
      <c r="AT80" s="160"/>
      <c r="AU80" s="160"/>
      <c r="AV80" s="144"/>
      <c r="AW80" s="109"/>
      <c r="AX80" s="161"/>
      <c r="AY80" s="160"/>
      <c r="AZ80" s="160"/>
      <c r="BA80" s="144"/>
      <c r="BB80" s="109"/>
      <c r="BC80" s="161"/>
      <c r="BD80" s="160"/>
      <c r="BE80" s="160"/>
      <c r="BF80" s="144"/>
      <c r="BG80" s="109"/>
      <c r="BH80" s="161"/>
      <c r="BI80" s="160"/>
      <c r="BJ80" s="160"/>
      <c r="BK80" s="144"/>
      <c r="BL80" s="109"/>
      <c r="BM80" s="161"/>
      <c r="BN80" s="160"/>
      <c r="BO80" s="160"/>
      <c r="BP80" s="144"/>
      <c r="BQ80" s="109"/>
      <c r="BR80" s="546"/>
      <c r="BS80" s="546"/>
      <c r="BT80" s="546"/>
      <c r="BU80" s="546"/>
      <c r="BV80" s="546"/>
      <c r="BW80" s="546"/>
      <c r="BX80" s="546"/>
      <c r="BY80" s="546"/>
      <c r="BZ80" s="546"/>
      <c r="CA80" s="546"/>
      <c r="CB80" s="546"/>
      <c r="CC80" s="546"/>
      <c r="CD80" s="546"/>
      <c r="CE80" s="546"/>
      <c r="CF80" s="546"/>
      <c r="CG80" s="546"/>
      <c r="CH80" s="546"/>
      <c r="CI80" s="546"/>
      <c r="CJ80" s="546"/>
      <c r="CK80" s="546"/>
      <c r="CL80" s="546"/>
      <c r="CM80" s="546"/>
      <c r="CN80" s="546"/>
      <c r="CO80" s="546"/>
      <c r="CP80" s="546"/>
      <c r="CQ80" s="546"/>
      <c r="CR80" s="546"/>
      <c r="CS80" s="546"/>
      <c r="CT80" s="546"/>
      <c r="CU80" s="546"/>
      <c r="CV80" s="546"/>
    </row>
    <row r="81" spans="1:100">
      <c r="A81" s="546"/>
      <c r="B81" s="546"/>
      <c r="C81" s="576" t="s">
        <v>39</v>
      </c>
      <c r="D81" s="546"/>
      <c r="E81" s="161"/>
      <c r="F81" s="162"/>
      <c r="G81" s="162"/>
      <c r="H81" s="144"/>
      <c r="I81" s="546"/>
      <c r="J81" s="161"/>
      <c r="K81" s="162"/>
      <c r="L81" s="162"/>
      <c r="M81" s="144"/>
      <c r="N81" s="546"/>
      <c r="O81" s="161"/>
      <c r="P81" s="162"/>
      <c r="Q81" s="162"/>
      <c r="R81" s="144"/>
      <c r="S81" s="546"/>
      <c r="T81" s="161"/>
      <c r="U81" s="162"/>
      <c r="V81" s="162"/>
      <c r="W81" s="144"/>
      <c r="X81" s="546"/>
      <c r="Y81" s="161"/>
      <c r="Z81" s="162"/>
      <c r="AA81" s="162"/>
      <c r="AB81" s="144"/>
      <c r="AC81" s="546"/>
      <c r="AD81" s="161"/>
      <c r="AE81" s="162"/>
      <c r="AF81" s="162"/>
      <c r="AG81" s="144"/>
      <c r="AH81" s="546"/>
      <c r="AI81" s="161"/>
      <c r="AJ81" s="162"/>
      <c r="AK81" s="162">
        <f>Debt!CN328</f>
        <v>0</v>
      </c>
      <c r="AL81" s="144">
        <f>Debt!CO328</f>
        <v>0</v>
      </c>
      <c r="AM81" s="546">
        <f>Debt!CP328</f>
        <v>0</v>
      </c>
      <c r="AN81" s="161"/>
      <c r="AO81" s="162"/>
      <c r="AP81" s="162"/>
      <c r="AQ81" s="144"/>
      <c r="AR81" s="546"/>
      <c r="AS81" s="161"/>
      <c r="AT81" s="162"/>
      <c r="AU81" s="162"/>
      <c r="AV81" s="144"/>
      <c r="AW81" s="546"/>
      <c r="AX81" s="161"/>
      <c r="AY81" s="162"/>
      <c r="AZ81" s="162"/>
      <c r="BA81" s="144"/>
      <c r="BB81" s="546"/>
      <c r="BC81" s="161"/>
      <c r="BD81" s="162"/>
      <c r="BE81" s="162"/>
      <c r="BF81" s="144"/>
      <c r="BG81" s="546"/>
      <c r="BH81" s="161"/>
      <c r="BI81" s="162"/>
      <c r="BJ81" s="162"/>
      <c r="BK81" s="144"/>
      <c r="BL81" s="546"/>
      <c r="BM81" s="161"/>
      <c r="BN81" s="162"/>
      <c r="BO81" s="162"/>
      <c r="BP81" s="144"/>
      <c r="BQ81" s="546"/>
      <c r="BR81" s="546"/>
      <c r="BS81" s="546"/>
      <c r="BT81" s="546"/>
      <c r="BU81" s="546"/>
      <c r="BV81" s="546"/>
      <c r="BW81" s="546"/>
      <c r="BX81" s="546"/>
      <c r="BY81" s="546"/>
      <c r="BZ81" s="546"/>
      <c r="CA81" s="546"/>
      <c r="CB81" s="546"/>
      <c r="CC81" s="546"/>
      <c r="CD81" s="546"/>
      <c r="CE81" s="546"/>
      <c r="CF81" s="546"/>
      <c r="CG81" s="546"/>
      <c r="CH81" s="546"/>
      <c r="CI81" s="546"/>
      <c r="CJ81" s="546"/>
      <c r="CK81" s="546"/>
      <c r="CL81" s="546"/>
      <c r="CM81" s="546"/>
      <c r="CN81" s="546"/>
      <c r="CO81" s="546"/>
      <c r="CP81" s="546"/>
      <c r="CQ81" s="546"/>
      <c r="CR81" s="546"/>
      <c r="CS81" s="546"/>
      <c r="CT81" s="546"/>
      <c r="CU81" s="546"/>
      <c r="CV81" s="546"/>
    </row>
    <row r="82" spans="1:100">
      <c r="A82" s="546"/>
      <c r="B82" s="546"/>
      <c r="C82" s="576" t="s">
        <v>40</v>
      </c>
      <c r="D82" s="546"/>
      <c r="E82" s="161"/>
      <c r="F82" s="162"/>
      <c r="G82" s="162"/>
      <c r="H82" s="144"/>
      <c r="I82" s="546"/>
      <c r="J82" s="161"/>
      <c r="K82" s="162"/>
      <c r="L82" s="162"/>
      <c r="M82" s="144"/>
      <c r="N82" s="546"/>
      <c r="O82" s="161"/>
      <c r="P82" s="162"/>
      <c r="Q82" s="162"/>
      <c r="R82" s="144"/>
      <c r="S82" s="546"/>
      <c r="T82" s="161"/>
      <c r="U82" s="162"/>
      <c r="V82" s="162"/>
      <c r="W82" s="144"/>
      <c r="X82" s="546"/>
      <c r="Y82" s="161"/>
      <c r="Z82" s="162"/>
      <c r="AA82" s="162"/>
      <c r="AB82" s="144"/>
      <c r="AC82" s="546"/>
      <c r="AD82" s="161"/>
      <c r="AE82" s="162"/>
      <c r="AF82" s="162"/>
      <c r="AG82" s="144"/>
      <c r="AH82" s="546"/>
      <c r="AI82" s="161"/>
      <c r="AJ82" s="162"/>
      <c r="AK82" s="162">
        <f>Debt!CN322</f>
        <v>0</v>
      </c>
      <c r="AL82" s="144">
        <f>Debt!CO322</f>
        <v>0</v>
      </c>
      <c r="AM82" s="546">
        <f>Debt!CP322</f>
        <v>0</v>
      </c>
      <c r="AN82" s="161"/>
      <c r="AO82" s="162"/>
      <c r="AP82" s="162"/>
      <c r="AQ82" s="144"/>
      <c r="AR82" s="546"/>
      <c r="AS82" s="161"/>
      <c r="AT82" s="162"/>
      <c r="AU82" s="162"/>
      <c r="AV82" s="144"/>
      <c r="AW82" s="546"/>
      <c r="AX82" s="161"/>
      <c r="AY82" s="162"/>
      <c r="AZ82" s="162"/>
      <c r="BA82" s="144"/>
      <c r="BB82" s="546"/>
      <c r="BC82" s="161"/>
      <c r="BD82" s="162"/>
      <c r="BE82" s="162"/>
      <c r="BF82" s="144"/>
      <c r="BG82" s="546"/>
      <c r="BH82" s="161"/>
      <c r="BI82" s="162"/>
      <c r="BJ82" s="162"/>
      <c r="BK82" s="144"/>
      <c r="BL82" s="546"/>
      <c r="BM82" s="161"/>
      <c r="BN82" s="162"/>
      <c r="BO82" s="162"/>
      <c r="BP82" s="144"/>
      <c r="BQ82" s="546"/>
      <c r="BR82" s="546"/>
      <c r="BS82" s="546"/>
      <c r="BT82" s="546"/>
      <c r="BU82" s="546"/>
      <c r="BV82" s="546"/>
      <c r="BW82" s="546"/>
      <c r="BX82" s="546"/>
      <c r="BY82" s="546"/>
      <c r="BZ82" s="546"/>
      <c r="CA82" s="546"/>
      <c r="CB82" s="546"/>
      <c r="CC82" s="546"/>
      <c r="CD82" s="546"/>
      <c r="CE82" s="546"/>
      <c r="CF82" s="546"/>
      <c r="CG82" s="546"/>
      <c r="CH82" s="546"/>
      <c r="CI82" s="546"/>
      <c r="CJ82" s="546"/>
      <c r="CK82" s="546"/>
      <c r="CL82" s="546"/>
      <c r="CM82" s="546"/>
      <c r="CN82" s="546"/>
      <c r="CO82" s="546"/>
      <c r="CP82" s="546"/>
      <c r="CQ82" s="546"/>
      <c r="CR82" s="546"/>
      <c r="CS82" s="546"/>
      <c r="CT82" s="546"/>
      <c r="CU82" s="546"/>
      <c r="CV82" s="546"/>
    </row>
    <row r="83" spans="1:100">
      <c r="A83" s="696"/>
      <c r="B83" s="696"/>
      <c r="C83" s="553"/>
      <c r="D83" s="696"/>
      <c r="E83" s="305"/>
      <c r="F83" s="701"/>
      <c r="G83" s="701"/>
      <c r="H83" s="307"/>
      <c r="I83" s="696"/>
      <c r="J83" s="305"/>
      <c r="K83" s="701"/>
      <c r="L83" s="701"/>
      <c r="M83" s="307"/>
      <c r="N83" s="696"/>
      <c r="O83" s="305"/>
      <c r="P83" s="701"/>
      <c r="Q83" s="701"/>
      <c r="R83" s="307"/>
      <c r="S83" s="696"/>
      <c r="T83" s="305"/>
      <c r="U83" s="701"/>
      <c r="V83" s="701"/>
      <c r="W83" s="307"/>
      <c r="X83" s="696"/>
      <c r="Y83" s="305"/>
      <c r="Z83" s="701"/>
      <c r="AA83" s="701"/>
      <c r="AB83" s="307"/>
      <c r="AC83" s="696"/>
      <c r="AD83" s="305"/>
      <c r="AE83" s="701"/>
      <c r="AF83" s="701"/>
      <c r="AG83" s="307"/>
      <c r="AH83" s="696"/>
      <c r="AI83" s="305"/>
      <c r="AJ83" s="701"/>
      <c r="AK83" s="701"/>
      <c r="AL83" s="307"/>
      <c r="AM83" s="696"/>
      <c r="AN83" s="305"/>
      <c r="AO83" s="701"/>
      <c r="AP83" s="701"/>
      <c r="AQ83" s="307"/>
      <c r="AR83" s="696"/>
      <c r="AS83" s="305"/>
      <c r="AT83" s="701"/>
      <c r="AU83" s="701"/>
      <c r="AV83" s="307"/>
      <c r="AW83" s="696"/>
      <c r="AX83" s="305"/>
      <c r="AY83" s="701"/>
      <c r="AZ83" s="701"/>
      <c r="BA83" s="307"/>
      <c r="BB83" s="696"/>
      <c r="BC83" s="305"/>
      <c r="BD83" s="701"/>
      <c r="BE83" s="701"/>
      <c r="BF83" s="307"/>
      <c r="BG83" s="696"/>
      <c r="BH83" s="305"/>
      <c r="BI83" s="701"/>
      <c r="BJ83" s="701"/>
      <c r="BK83" s="307"/>
      <c r="BL83" s="696"/>
      <c r="BM83" s="305"/>
      <c r="BN83" s="701"/>
      <c r="BO83" s="701"/>
      <c r="BP83" s="307"/>
      <c r="BQ83" s="696"/>
      <c r="BR83" s="696"/>
      <c r="BS83" s="696"/>
      <c r="BT83" s="696"/>
      <c r="BU83" s="696"/>
      <c r="BV83" s="696"/>
      <c r="BW83" s="696"/>
      <c r="BX83" s="696"/>
      <c r="BY83" s="696"/>
      <c r="BZ83" s="696"/>
      <c r="CA83" s="696"/>
      <c r="CB83" s="696"/>
      <c r="CC83" s="696"/>
      <c r="CD83" s="696"/>
      <c r="CE83" s="696"/>
      <c r="CF83" s="696"/>
      <c r="CG83" s="696"/>
      <c r="CH83" s="696"/>
      <c r="CI83" s="696"/>
      <c r="CJ83" s="696"/>
      <c r="CK83" s="696"/>
      <c r="CL83" s="696"/>
      <c r="CM83" s="696"/>
      <c r="CN83" s="696"/>
      <c r="CO83" s="696"/>
      <c r="CP83" s="696"/>
      <c r="CQ83" s="696"/>
      <c r="CR83" s="696"/>
      <c r="CS83" s="696"/>
      <c r="CT83" s="696"/>
      <c r="CU83" s="696"/>
      <c r="CV83" s="696"/>
    </row>
    <row r="84" spans="1:100">
      <c r="A84" s="696"/>
      <c r="B84" s="696"/>
      <c r="C84" s="576" t="s">
        <v>42</v>
      </c>
      <c r="D84" s="696"/>
      <c r="E84" s="305"/>
      <c r="F84" s="701"/>
      <c r="G84" s="701"/>
      <c r="H84" s="307"/>
      <c r="I84" s="696"/>
      <c r="J84" s="305"/>
      <c r="K84" s="701"/>
      <c r="L84" s="701"/>
      <c r="M84" s="307"/>
      <c r="N84" s="696"/>
      <c r="O84" s="305"/>
      <c r="P84" s="701"/>
      <c r="Q84" s="671"/>
      <c r="R84" s="231"/>
      <c r="S84" s="674"/>
      <c r="T84" s="305"/>
      <c r="U84" s="701"/>
      <c r="V84" s="701"/>
      <c r="W84" s="231"/>
      <c r="X84" s="674"/>
      <c r="Y84" s="305"/>
      <c r="Z84" s="701"/>
      <c r="AA84" s="701"/>
      <c r="AB84" s="231"/>
      <c r="AC84" s="674"/>
      <c r="AD84" s="229"/>
      <c r="AE84" s="671"/>
      <c r="AF84" s="671"/>
      <c r="AG84" s="231"/>
      <c r="AH84" s="674"/>
      <c r="AI84" s="229"/>
      <c r="AJ84" s="671"/>
      <c r="AK84" s="671">
        <f>AEP!AK115</f>
        <v>0</v>
      </c>
      <c r="AL84" s="231">
        <f>AEP!AL115</f>
        <v>0</v>
      </c>
      <c r="AM84" s="674">
        <f>AEP!AM115</f>
        <v>0</v>
      </c>
      <c r="AN84" s="229"/>
      <c r="AO84" s="671"/>
      <c r="AP84" s="671"/>
      <c r="AQ84" s="231"/>
      <c r="AR84" s="674"/>
      <c r="AS84" s="229"/>
      <c r="AT84" s="671"/>
      <c r="AU84" s="671"/>
      <c r="AV84" s="231"/>
      <c r="AW84" s="674"/>
      <c r="AX84" s="229"/>
      <c r="AY84" s="671"/>
      <c r="AZ84" s="671"/>
      <c r="BA84" s="231"/>
      <c r="BB84" s="674"/>
      <c r="BC84" s="229"/>
      <c r="BD84" s="671"/>
      <c r="BE84" s="671"/>
      <c r="BF84" s="231"/>
      <c r="BG84" s="674"/>
      <c r="BH84" s="229"/>
      <c r="BI84" s="671"/>
      <c r="BJ84" s="671"/>
      <c r="BK84" s="231"/>
      <c r="BL84" s="674"/>
      <c r="BM84" s="229"/>
      <c r="BN84" s="671"/>
      <c r="BO84" s="671"/>
      <c r="BP84" s="231"/>
      <c r="BQ84" s="674"/>
      <c r="BR84" s="696"/>
      <c r="BS84" s="696"/>
      <c r="BT84" s="696"/>
      <c r="BU84" s="696"/>
      <c r="BV84" s="696"/>
      <c r="BW84" s="696"/>
      <c r="BX84" s="696"/>
      <c r="BY84" s="696"/>
      <c r="BZ84" s="696"/>
      <c r="CA84" s="696"/>
      <c r="CB84" s="696"/>
      <c r="CC84" s="696"/>
      <c r="CD84" s="696"/>
      <c r="CE84" s="696"/>
      <c r="CF84" s="696"/>
      <c r="CG84" s="696"/>
      <c r="CH84" s="696"/>
      <c r="CI84" s="696"/>
      <c r="CJ84" s="696"/>
      <c r="CK84" s="696"/>
      <c r="CL84" s="696"/>
      <c r="CM84" s="696"/>
      <c r="CN84" s="696"/>
      <c r="CO84" s="696"/>
      <c r="CP84" s="696"/>
      <c r="CQ84" s="696"/>
      <c r="CR84" s="696"/>
      <c r="CS84" s="696"/>
      <c r="CT84" s="696"/>
      <c r="CU84" s="696"/>
      <c r="CV84" s="696"/>
    </row>
    <row r="85" spans="1:100">
      <c r="A85" s="696"/>
      <c r="B85" s="696"/>
      <c r="C85" s="696"/>
      <c r="D85" s="696"/>
      <c r="E85" s="305"/>
      <c r="F85" s="701"/>
      <c r="G85" s="701"/>
      <c r="H85" s="307"/>
      <c r="I85" s="696"/>
      <c r="J85" s="305"/>
      <c r="K85" s="701"/>
      <c r="L85" s="701"/>
      <c r="M85" s="307"/>
      <c r="N85" s="696"/>
      <c r="O85" s="305"/>
      <c r="P85" s="701"/>
      <c r="Q85" s="701"/>
      <c r="R85" s="307"/>
      <c r="S85" s="696"/>
      <c r="T85" s="305"/>
      <c r="U85" s="701"/>
      <c r="V85" s="701"/>
      <c r="W85" s="307"/>
      <c r="X85" s="696"/>
      <c r="Y85" s="305"/>
      <c r="Z85" s="701"/>
      <c r="AA85" s="701"/>
      <c r="AB85" s="307"/>
      <c r="AC85" s="696"/>
      <c r="AD85" s="305"/>
      <c r="AE85" s="701"/>
      <c r="AF85" s="701"/>
      <c r="AG85" s="307"/>
      <c r="AH85" s="696"/>
      <c r="AI85" s="305"/>
      <c r="AJ85" s="701"/>
      <c r="AK85" s="701"/>
      <c r="AL85" s="307"/>
      <c r="AM85" s="696"/>
      <c r="AN85" s="305"/>
      <c r="AO85" s="701"/>
      <c r="AP85" s="701"/>
      <c r="AQ85" s="307"/>
      <c r="AR85" s="696"/>
      <c r="AS85" s="305"/>
      <c r="AT85" s="701"/>
      <c r="AU85" s="701"/>
      <c r="AV85" s="307"/>
      <c r="AW85" s="696"/>
      <c r="AX85" s="305"/>
      <c r="AY85" s="701"/>
      <c r="AZ85" s="701"/>
      <c r="BA85" s="307"/>
      <c r="BB85" s="696"/>
      <c r="BC85" s="305"/>
      <c r="BD85" s="701"/>
      <c r="BE85" s="701"/>
      <c r="BF85" s="307"/>
      <c r="BG85" s="696"/>
      <c r="BH85" s="305"/>
      <c r="BI85" s="701"/>
      <c r="BJ85" s="701"/>
      <c r="BK85" s="307"/>
      <c r="BL85" s="696"/>
      <c r="BM85" s="305"/>
      <c r="BN85" s="701"/>
      <c r="BO85" s="701"/>
      <c r="BP85" s="307"/>
      <c r="BQ85" s="696"/>
      <c r="BR85" s="696"/>
      <c r="BS85" s="696"/>
      <c r="BT85" s="696"/>
      <c r="BU85" s="696"/>
      <c r="BV85" s="696"/>
      <c r="BW85" s="696"/>
      <c r="BX85" s="696"/>
      <c r="BY85" s="696"/>
      <c r="BZ85" s="696"/>
      <c r="CA85" s="696"/>
      <c r="CB85" s="696"/>
      <c r="CC85" s="696"/>
      <c r="CD85" s="696"/>
      <c r="CE85" s="696"/>
      <c r="CF85" s="696"/>
      <c r="CG85" s="696"/>
      <c r="CH85" s="705"/>
      <c r="CI85" s="705"/>
      <c r="CJ85" s="705"/>
      <c r="CK85" s="700"/>
      <c r="CL85" s="705"/>
      <c r="CM85" s="705"/>
      <c r="CN85" s="705"/>
      <c r="CO85" s="705"/>
      <c r="CP85" s="700"/>
      <c r="CQ85" s="705"/>
      <c r="CR85" s="705"/>
      <c r="CS85" s="705"/>
      <c r="CT85" s="705"/>
      <c r="CU85" s="700"/>
      <c r="CV85" s="696"/>
    </row>
    <row r="86" spans="1:100">
      <c r="A86" s="553"/>
      <c r="B86" s="554" t="s">
        <v>187</v>
      </c>
      <c r="C86" s="555"/>
      <c r="D86" s="645"/>
      <c r="E86" s="225"/>
      <c r="F86" s="604"/>
      <c r="G86" s="604"/>
      <c r="H86" s="227"/>
      <c r="I86" s="571"/>
      <c r="J86" s="225"/>
      <c r="K86" s="604"/>
      <c r="L86" s="604"/>
      <c r="M86" s="227"/>
      <c r="N86" s="571"/>
      <c r="O86" s="225"/>
      <c r="P86" s="604"/>
      <c r="Q86" s="604"/>
      <c r="R86" s="227"/>
      <c r="S86" s="571"/>
      <c r="T86" s="225"/>
      <c r="U86" s="604"/>
      <c r="V86" s="604"/>
      <c r="W86" s="227"/>
      <c r="X86" s="571"/>
      <c r="Y86" s="225"/>
      <c r="Z86" s="604"/>
      <c r="AA86" s="604"/>
      <c r="AB86" s="227"/>
      <c r="AC86" s="571"/>
      <c r="AD86" s="225"/>
      <c r="AE86" s="604"/>
      <c r="AF86" s="604"/>
      <c r="AG86" s="227"/>
      <c r="AH86" s="571"/>
      <c r="AI86" s="225"/>
      <c r="AJ86" s="604"/>
      <c r="AK86" s="604"/>
      <c r="AL86" s="227"/>
      <c r="AM86" s="571"/>
      <c r="AN86" s="225"/>
      <c r="AO86" s="604"/>
      <c r="AP86" s="604"/>
      <c r="AQ86" s="227"/>
      <c r="AR86" s="571"/>
      <c r="AS86" s="225"/>
      <c r="AT86" s="604"/>
      <c r="AU86" s="604"/>
      <c r="AV86" s="227"/>
      <c r="AW86" s="571"/>
      <c r="AX86" s="225"/>
      <c r="AY86" s="604"/>
      <c r="AZ86" s="604"/>
      <c r="BA86" s="227"/>
      <c r="BB86" s="571"/>
      <c r="BC86" s="225"/>
      <c r="BD86" s="604"/>
      <c r="BE86" s="604"/>
      <c r="BF86" s="227"/>
      <c r="BG86" s="571"/>
      <c r="BH86" s="225"/>
      <c r="BI86" s="604"/>
      <c r="BJ86" s="604"/>
      <c r="BK86" s="227"/>
      <c r="BL86" s="571"/>
      <c r="BM86" s="225"/>
      <c r="BN86" s="604"/>
      <c r="BO86" s="604"/>
      <c r="BP86" s="227"/>
      <c r="BQ86" s="571"/>
      <c r="BR86" s="553"/>
      <c r="BS86" s="553"/>
      <c r="BT86" s="553"/>
      <c r="BU86" s="553"/>
      <c r="BV86" s="553"/>
      <c r="BW86" s="553"/>
      <c r="BX86" s="553"/>
      <c r="BY86" s="553"/>
      <c r="BZ86" s="553"/>
      <c r="CA86" s="553"/>
      <c r="CB86" s="553"/>
      <c r="CC86" s="553"/>
      <c r="CD86" s="553"/>
      <c r="CE86" s="553"/>
      <c r="CF86" s="553"/>
      <c r="CG86" s="553"/>
      <c r="CH86" s="553"/>
      <c r="CI86" s="553"/>
      <c r="CJ86" s="553"/>
      <c r="CK86" s="553"/>
      <c r="CL86" s="553"/>
      <c r="CM86" s="553"/>
      <c r="CN86" s="553"/>
      <c r="CO86" s="553"/>
      <c r="CP86" s="553"/>
      <c r="CQ86" s="553"/>
      <c r="CR86" s="553"/>
      <c r="CS86" s="553"/>
      <c r="CT86" s="553"/>
      <c r="CU86" s="553"/>
      <c r="CV86" s="553"/>
    </row>
    <row r="87" spans="1:100">
      <c r="A87" s="546"/>
      <c r="B87" s="546"/>
      <c r="C87" s="576" t="s">
        <v>188</v>
      </c>
      <c r="D87" s="546"/>
      <c r="E87" s="161"/>
      <c r="F87" s="162"/>
      <c r="G87" s="156"/>
      <c r="H87" s="144"/>
      <c r="I87" s="546"/>
      <c r="J87" s="161"/>
      <c r="K87" s="162"/>
      <c r="L87" s="162"/>
      <c r="M87" s="144"/>
      <c r="N87" s="546"/>
      <c r="O87" s="161"/>
      <c r="P87" s="162"/>
      <c r="Q87" s="162"/>
      <c r="R87" s="144"/>
      <c r="S87" s="546"/>
      <c r="T87" s="161"/>
      <c r="U87" s="162"/>
      <c r="V87" s="162"/>
      <c r="W87" s="144"/>
      <c r="X87" s="546">
        <f>X32+X13</f>
        <v>44</v>
      </c>
      <c r="Y87" s="161"/>
      <c r="Z87" s="162"/>
      <c r="AA87" s="162"/>
      <c r="AB87" s="144"/>
      <c r="AC87" s="546">
        <f>AC32+AC13</f>
        <v>43</v>
      </c>
      <c r="AD87" s="161">
        <f>SUM(AD32,Z32:AB32)+SUM(AD13,Z13:AB13)</f>
        <v>48</v>
      </c>
      <c r="AE87" s="162">
        <f>SUM(AD32:AE32,AA32:AB32)+SUM(AD13:AE13,AA13:AB13)</f>
        <v>60</v>
      </c>
      <c r="AF87" s="162">
        <f>SUM(AD32:AF32,AB32)+SUM(AD13:AF13,AB13)</f>
        <v>72</v>
      </c>
      <c r="AG87" s="144">
        <f>SUM(AD32:AG32)+SUM(AD13:AG13)</f>
        <v>80</v>
      </c>
      <c r="AH87" s="546">
        <f>AH32+AH13</f>
        <v>80</v>
      </c>
      <c r="AI87" s="161">
        <f>SUM(AI32,AE32:AG32)+SUM(AI13,AE13:AG13)</f>
        <v>80.25</v>
      </c>
      <c r="AJ87" s="162">
        <f>SUM(AI32:AJ32,AF32:AG32)+SUM(AI13:AJ13,AF13:AG13)</f>
        <v>70.5</v>
      </c>
      <c r="AK87" s="162">
        <f>SUM(AI32:AK32,AG32)+SUM(AI13:AK13,AG13)</f>
        <v>55.75</v>
      </c>
      <c r="AL87" s="144">
        <f>SUM(AI32:AL32)+SUM(AI13:AL13)</f>
        <v>28.6</v>
      </c>
      <c r="AM87" s="546">
        <f>AM32+AM13</f>
        <v>28.6</v>
      </c>
      <c r="AN87" s="161"/>
      <c r="AO87" s="162"/>
      <c r="AP87" s="162"/>
      <c r="AQ87" s="144"/>
      <c r="AR87" s="546"/>
      <c r="AS87" s="161"/>
      <c r="AT87" s="162"/>
      <c r="AU87" s="162"/>
      <c r="AV87" s="144"/>
      <c r="AW87" s="546"/>
      <c r="AX87" s="161"/>
      <c r="AY87" s="162"/>
      <c r="AZ87" s="162"/>
      <c r="BA87" s="144"/>
      <c r="BB87" s="546"/>
      <c r="BC87" s="161"/>
      <c r="BD87" s="162"/>
      <c r="BE87" s="162"/>
      <c r="BF87" s="144"/>
      <c r="BG87" s="546"/>
      <c r="BH87" s="161"/>
      <c r="BI87" s="162"/>
      <c r="BJ87" s="162"/>
      <c r="BK87" s="144"/>
      <c r="BL87" s="546"/>
      <c r="BM87" s="161"/>
      <c r="BN87" s="162"/>
      <c r="BO87" s="162"/>
      <c r="BP87" s="144"/>
      <c r="BQ87" s="546"/>
      <c r="BR87" s="546"/>
      <c r="BS87" s="546"/>
      <c r="BT87" s="546"/>
      <c r="BU87" s="546"/>
      <c r="BV87" s="546"/>
      <c r="BW87" s="546"/>
      <c r="BX87" s="546"/>
      <c r="BY87" s="546"/>
      <c r="BZ87" s="546"/>
      <c r="CA87" s="546"/>
      <c r="CB87" s="546"/>
      <c r="CC87" s="546"/>
      <c r="CD87" s="546"/>
      <c r="CE87" s="546"/>
      <c r="CF87" s="546"/>
      <c r="CG87" s="546"/>
      <c r="CH87" s="546"/>
      <c r="CI87" s="546"/>
      <c r="CJ87" s="546"/>
      <c r="CK87" s="546"/>
      <c r="CL87" s="546"/>
      <c r="CM87" s="546"/>
      <c r="CN87" s="546"/>
      <c r="CO87" s="546"/>
      <c r="CP87" s="546"/>
      <c r="CQ87" s="546"/>
      <c r="CR87" s="546"/>
      <c r="CS87" s="546"/>
      <c r="CT87" s="546"/>
      <c r="CU87" s="546"/>
      <c r="CV87" s="546"/>
    </row>
    <row r="88" spans="1:100">
      <c r="A88" s="546"/>
      <c r="B88" s="546"/>
      <c r="C88" s="576" t="s">
        <v>189</v>
      </c>
      <c r="D88" s="546"/>
      <c r="E88" s="161"/>
      <c r="F88" s="162"/>
      <c r="G88" s="156"/>
      <c r="H88" s="144"/>
      <c r="I88" s="546"/>
      <c r="J88" s="161"/>
      <c r="K88" s="162"/>
      <c r="L88" s="162"/>
      <c r="M88" s="144"/>
      <c r="N88" s="546"/>
      <c r="O88" s="161"/>
      <c r="P88" s="162"/>
      <c r="Q88" s="162"/>
      <c r="R88" s="144"/>
      <c r="S88" s="546"/>
      <c r="T88" s="161"/>
      <c r="U88" s="162"/>
      <c r="V88" s="162"/>
      <c r="W88" s="144"/>
      <c r="X88" s="546">
        <f>+X21</f>
        <v>39</v>
      </c>
      <c r="Y88" s="161"/>
      <c r="Z88" s="162"/>
      <c r="AA88" s="162"/>
      <c r="AB88" s="144"/>
      <c r="AC88" s="546">
        <f>+AC21</f>
        <v>36</v>
      </c>
      <c r="AD88" s="161">
        <f>SUM(AD21,Z21:AB21)</f>
        <v>41</v>
      </c>
      <c r="AE88" s="162">
        <f>SUM(AD21:AE21,AA21:AB21)</f>
        <v>53</v>
      </c>
      <c r="AF88" s="162">
        <f>SUM(AD21:AF21,AB21)</f>
        <v>65</v>
      </c>
      <c r="AG88" s="144">
        <f>SUM(AD21:AG21)</f>
        <v>81.25</v>
      </c>
      <c r="AH88" s="546">
        <f>+AH21</f>
        <v>106</v>
      </c>
      <c r="AI88" s="161">
        <f>SUM(AI21,AE21:AG21)</f>
        <v>76.099999999999994</v>
      </c>
      <c r="AJ88" s="162">
        <f>SUM(AI21:AJ21,AF21:AG21)</f>
        <v>60.949999999999989</v>
      </c>
      <c r="AK88" s="162">
        <f>SUM(AI21:AK21,AG21)</f>
        <v>40.79999999999999</v>
      </c>
      <c r="AL88" s="144">
        <f>SUM(AI21:AL21)</f>
        <v>3.3750779948604759E-14</v>
      </c>
      <c r="AM88" s="546">
        <f>+AM21</f>
        <v>0</v>
      </c>
      <c r="AN88" s="161"/>
      <c r="AO88" s="162"/>
      <c r="AP88" s="162"/>
      <c r="AQ88" s="144"/>
      <c r="AR88" s="546"/>
      <c r="AS88" s="161"/>
      <c r="AT88" s="162"/>
      <c r="AU88" s="162"/>
      <c r="AV88" s="144"/>
      <c r="AW88" s="546"/>
      <c r="AX88" s="161"/>
      <c r="AY88" s="162"/>
      <c r="AZ88" s="162"/>
      <c r="BA88" s="144"/>
      <c r="BB88" s="546"/>
      <c r="BC88" s="161"/>
      <c r="BD88" s="162"/>
      <c r="BE88" s="162"/>
      <c r="BF88" s="144"/>
      <c r="BG88" s="546"/>
      <c r="BH88" s="161"/>
      <c r="BI88" s="162"/>
      <c r="BJ88" s="162"/>
      <c r="BK88" s="144"/>
      <c r="BL88" s="546"/>
      <c r="BM88" s="161"/>
      <c r="BN88" s="162"/>
      <c r="BO88" s="162"/>
      <c r="BP88" s="144"/>
      <c r="BQ88" s="546"/>
      <c r="BR88" s="546"/>
      <c r="BS88" s="546"/>
      <c r="BT88" s="546"/>
      <c r="BU88" s="546"/>
      <c r="BV88" s="546"/>
      <c r="BW88" s="546"/>
      <c r="BX88" s="546"/>
      <c r="BY88" s="546"/>
      <c r="BZ88" s="546"/>
      <c r="CA88" s="546"/>
      <c r="CB88" s="546"/>
      <c r="CC88" s="546"/>
      <c r="CD88" s="546"/>
      <c r="CE88" s="546"/>
      <c r="CF88" s="546"/>
      <c r="CG88" s="546"/>
      <c r="CH88" s="546"/>
      <c r="CI88" s="546"/>
      <c r="CJ88" s="546"/>
      <c r="CK88" s="546"/>
      <c r="CL88" s="546"/>
      <c r="CM88" s="546"/>
      <c r="CN88" s="546"/>
      <c r="CO88" s="546"/>
      <c r="CP88" s="546"/>
      <c r="CQ88" s="546"/>
      <c r="CR88" s="546"/>
      <c r="CS88" s="546"/>
      <c r="CT88" s="546"/>
      <c r="CU88" s="546"/>
      <c r="CV88" s="546"/>
    </row>
    <row r="89" spans="1:100">
      <c r="A89" s="546"/>
      <c r="B89" s="546"/>
      <c r="C89" s="576" t="s">
        <v>190</v>
      </c>
      <c r="D89" s="546"/>
      <c r="E89" s="161"/>
      <c r="F89" s="162"/>
      <c r="G89" s="156"/>
      <c r="H89" s="144"/>
      <c r="I89" s="546"/>
      <c r="J89" s="161"/>
      <c r="K89" s="162"/>
      <c r="L89" s="162"/>
      <c r="M89" s="144"/>
      <c r="N89" s="546"/>
      <c r="O89" s="161"/>
      <c r="P89" s="162"/>
      <c r="Q89" s="162"/>
      <c r="R89" s="144"/>
      <c r="S89" s="546"/>
      <c r="T89" s="161"/>
      <c r="U89" s="162"/>
      <c r="V89" s="162"/>
      <c r="W89" s="144"/>
      <c r="X89" s="546">
        <f>+X22</f>
        <v>68</v>
      </c>
      <c r="Y89" s="161"/>
      <c r="Z89" s="162"/>
      <c r="AA89" s="162"/>
      <c r="AB89" s="144"/>
      <c r="AC89" s="546">
        <f>+AC22</f>
        <v>67</v>
      </c>
      <c r="AD89" s="161">
        <f>SUM(AD22,Z22:AB22)</f>
        <v>72</v>
      </c>
      <c r="AE89" s="162">
        <f>SUM(AD22:AE22,AA22:AB22)</f>
        <v>84</v>
      </c>
      <c r="AF89" s="162">
        <f>SUM(AD22:AF22,AB22)</f>
        <v>96</v>
      </c>
      <c r="AG89" s="144">
        <f>SUM(AD22:AG22)</f>
        <v>112.25</v>
      </c>
      <c r="AH89" s="546">
        <f>+AH22</f>
        <v>137</v>
      </c>
      <c r="AI89" s="161">
        <f>SUM(AI22,AE22:AG22)</f>
        <v>99.35</v>
      </c>
      <c r="AJ89" s="162">
        <f>SUM(AI22:AJ22,AF22:AG22)</f>
        <v>76.449999999999989</v>
      </c>
      <c r="AK89" s="162">
        <f>SUM(AI22:AK22,AG22)</f>
        <v>48.54999999999999</v>
      </c>
      <c r="AL89" s="144">
        <f>SUM(AI22:AL22)</f>
        <v>3.3750779948604759E-14</v>
      </c>
      <c r="AM89" s="546">
        <f>+AM22</f>
        <v>0</v>
      </c>
      <c r="AN89" s="161"/>
      <c r="AO89" s="162"/>
      <c r="AP89" s="162"/>
      <c r="AQ89" s="144"/>
      <c r="AR89" s="546"/>
      <c r="AS89" s="161"/>
      <c r="AT89" s="162"/>
      <c r="AU89" s="162"/>
      <c r="AV89" s="144"/>
      <c r="AW89" s="546"/>
      <c r="AX89" s="161"/>
      <c r="AY89" s="162"/>
      <c r="AZ89" s="162"/>
      <c r="BA89" s="144"/>
      <c r="BB89" s="546"/>
      <c r="BC89" s="161"/>
      <c r="BD89" s="162"/>
      <c r="BE89" s="162"/>
      <c r="BF89" s="144"/>
      <c r="BG89" s="546"/>
      <c r="BH89" s="161"/>
      <c r="BI89" s="162"/>
      <c r="BJ89" s="162"/>
      <c r="BK89" s="144"/>
      <c r="BL89" s="546"/>
      <c r="BM89" s="161"/>
      <c r="BN89" s="162"/>
      <c r="BO89" s="162"/>
      <c r="BP89" s="144"/>
      <c r="BQ89" s="546"/>
      <c r="BR89" s="546"/>
      <c r="BS89" s="546"/>
      <c r="BT89" s="546"/>
      <c r="BU89" s="546"/>
      <c r="BV89" s="546"/>
      <c r="BW89" s="546"/>
      <c r="BX89" s="546"/>
      <c r="BY89" s="546"/>
      <c r="BZ89" s="546"/>
      <c r="CA89" s="546"/>
      <c r="CB89" s="546"/>
      <c r="CC89" s="546"/>
      <c r="CD89" s="546"/>
      <c r="CE89" s="546"/>
      <c r="CF89" s="546"/>
      <c r="CG89" s="546"/>
      <c r="CH89" s="546"/>
      <c r="CI89" s="546"/>
      <c r="CJ89" s="546"/>
      <c r="CK89" s="546"/>
      <c r="CL89" s="546"/>
      <c r="CM89" s="546"/>
      <c r="CN89" s="546"/>
      <c r="CO89" s="546"/>
      <c r="CP89" s="546"/>
      <c r="CQ89" s="546"/>
      <c r="CR89" s="546"/>
      <c r="CS89" s="546"/>
      <c r="CT89" s="546"/>
      <c r="CU89" s="546"/>
      <c r="CV89" s="546"/>
    </row>
    <row r="90" spans="1:100">
      <c r="A90" s="546"/>
      <c r="B90" s="546"/>
      <c r="C90" s="576"/>
      <c r="D90" s="546"/>
      <c r="E90" s="161"/>
      <c r="F90" s="162"/>
      <c r="G90" s="156"/>
      <c r="H90" s="144"/>
      <c r="I90" s="546"/>
      <c r="J90" s="161"/>
      <c r="K90" s="162"/>
      <c r="L90" s="162"/>
      <c r="M90" s="144"/>
      <c r="N90" s="546"/>
      <c r="O90" s="161"/>
      <c r="P90" s="162"/>
      <c r="Q90" s="162"/>
      <c r="R90" s="144"/>
      <c r="S90" s="546"/>
      <c r="T90" s="161"/>
      <c r="U90" s="162"/>
      <c r="V90" s="162"/>
      <c r="W90" s="144"/>
      <c r="X90" s="546"/>
      <c r="Y90" s="161"/>
      <c r="Z90" s="162"/>
      <c r="AA90" s="162"/>
      <c r="AB90" s="144"/>
      <c r="AC90" s="546"/>
      <c r="AD90" s="161"/>
      <c r="AE90" s="162"/>
      <c r="AF90" s="162"/>
      <c r="AG90" s="144"/>
      <c r="AH90" s="546"/>
      <c r="AI90" s="161"/>
      <c r="AJ90" s="162"/>
      <c r="AK90" s="162"/>
      <c r="AL90" s="144"/>
      <c r="AM90" s="546"/>
      <c r="AN90" s="161"/>
      <c r="AO90" s="162"/>
      <c r="AP90" s="162"/>
      <c r="AQ90" s="144"/>
      <c r="AR90" s="546"/>
      <c r="AS90" s="161"/>
      <c r="AT90" s="162"/>
      <c r="AU90" s="162"/>
      <c r="AV90" s="144"/>
      <c r="AW90" s="546"/>
      <c r="AX90" s="161"/>
      <c r="AY90" s="162"/>
      <c r="AZ90" s="162"/>
      <c r="BA90" s="144"/>
      <c r="BB90" s="546"/>
      <c r="BC90" s="161"/>
      <c r="BD90" s="162"/>
      <c r="BE90" s="162"/>
      <c r="BF90" s="144"/>
      <c r="BG90" s="546"/>
      <c r="BH90" s="161"/>
      <c r="BI90" s="162"/>
      <c r="BJ90" s="162"/>
      <c r="BK90" s="144"/>
      <c r="BL90" s="546"/>
      <c r="BM90" s="161"/>
      <c r="BN90" s="162"/>
      <c r="BO90" s="162"/>
      <c r="BP90" s="144"/>
      <c r="BQ90" s="546"/>
      <c r="BR90" s="546"/>
      <c r="BS90" s="546"/>
      <c r="BT90" s="546"/>
      <c r="BU90" s="546"/>
      <c r="BV90" s="546"/>
      <c r="BW90" s="546"/>
      <c r="BX90" s="546"/>
      <c r="BY90" s="546"/>
      <c r="BZ90" s="546"/>
      <c r="CA90" s="546"/>
      <c r="CB90" s="546"/>
      <c r="CC90" s="546"/>
      <c r="CD90" s="546"/>
      <c r="CE90" s="546"/>
      <c r="CF90" s="546"/>
      <c r="CG90" s="546"/>
      <c r="CH90" s="546"/>
      <c r="CI90" s="546"/>
      <c r="CJ90" s="546"/>
      <c r="CK90" s="546"/>
      <c r="CL90" s="546"/>
      <c r="CM90" s="546"/>
      <c r="CN90" s="546"/>
      <c r="CO90" s="546"/>
      <c r="CP90" s="546"/>
      <c r="CQ90" s="546"/>
      <c r="CR90" s="546"/>
      <c r="CS90" s="546"/>
      <c r="CT90" s="546"/>
      <c r="CU90" s="546"/>
      <c r="CV90" s="546"/>
    </row>
    <row r="91" spans="1:100">
      <c r="A91" s="546"/>
      <c r="B91" s="546"/>
      <c r="C91" s="576" t="s">
        <v>191</v>
      </c>
      <c r="D91" s="546"/>
      <c r="E91" s="161"/>
      <c r="F91" s="162"/>
      <c r="G91" s="156"/>
      <c r="H91" s="144"/>
      <c r="I91" s="546"/>
      <c r="J91" s="161"/>
      <c r="K91" s="162"/>
      <c r="L91" s="162"/>
      <c r="M91" s="144"/>
      <c r="N91" s="546"/>
      <c r="O91" s="161"/>
      <c r="P91" s="162"/>
      <c r="Q91" s="162"/>
      <c r="R91" s="144"/>
      <c r="S91" s="546"/>
      <c r="T91" s="161"/>
      <c r="U91" s="162"/>
      <c r="V91" s="162"/>
      <c r="W91" s="144"/>
      <c r="X91" s="546">
        <f>+X24</f>
        <v>17</v>
      </c>
      <c r="Y91" s="161"/>
      <c r="Z91" s="162"/>
      <c r="AA91" s="162"/>
      <c r="AB91" s="144"/>
      <c r="AC91" s="546">
        <f>+AC24</f>
        <v>17</v>
      </c>
      <c r="AD91" s="161">
        <f>SUM(AD24,Z24:AB24)</f>
        <v>17</v>
      </c>
      <c r="AE91" s="162">
        <f>SUM(AD24:AE24,AA24:AB24)</f>
        <v>17</v>
      </c>
      <c r="AF91" s="162">
        <f>SUM(AD24:AF24,AB24)</f>
        <v>17</v>
      </c>
      <c r="AG91" s="144">
        <f>SUM(AD24:AG24)</f>
        <v>17</v>
      </c>
      <c r="AH91" s="546">
        <f>+AH24</f>
        <v>17</v>
      </c>
      <c r="AI91" s="161">
        <f>SUM(AI24,AE24:AG24)</f>
        <v>12.75</v>
      </c>
      <c r="AJ91" s="162">
        <f>SUM(AI24:AJ24,AF24:AG24)</f>
        <v>8.5</v>
      </c>
      <c r="AK91" s="162">
        <f>SUM(AI24:AK24,AG24)</f>
        <v>4.25</v>
      </c>
      <c r="AL91" s="144">
        <f>SUM(AI24:AL24)</f>
        <v>0</v>
      </c>
      <c r="AM91" s="546">
        <f>+AM24</f>
        <v>0</v>
      </c>
      <c r="AN91" s="161"/>
      <c r="AO91" s="162"/>
      <c r="AP91" s="162"/>
      <c r="AQ91" s="144"/>
      <c r="AR91" s="546"/>
      <c r="AS91" s="161"/>
      <c r="AT91" s="162"/>
      <c r="AU91" s="162"/>
      <c r="AV91" s="144"/>
      <c r="AW91" s="546"/>
      <c r="AX91" s="161"/>
      <c r="AY91" s="162"/>
      <c r="AZ91" s="162"/>
      <c r="BA91" s="144"/>
      <c r="BB91" s="546"/>
      <c r="BC91" s="161"/>
      <c r="BD91" s="162"/>
      <c r="BE91" s="162"/>
      <c r="BF91" s="144"/>
      <c r="BG91" s="546"/>
      <c r="BH91" s="161"/>
      <c r="BI91" s="162"/>
      <c r="BJ91" s="162"/>
      <c r="BK91" s="144"/>
      <c r="BL91" s="546"/>
      <c r="BM91" s="161"/>
      <c r="BN91" s="162"/>
      <c r="BO91" s="162"/>
      <c r="BP91" s="144"/>
      <c r="BQ91" s="546"/>
      <c r="BR91" s="546"/>
      <c r="BS91" s="546"/>
      <c r="BT91" s="546"/>
      <c r="BU91" s="546"/>
      <c r="BV91" s="546"/>
      <c r="BW91" s="546"/>
      <c r="BX91" s="546"/>
      <c r="BY91" s="546"/>
      <c r="BZ91" s="546"/>
      <c r="CA91" s="546"/>
      <c r="CB91" s="546"/>
      <c r="CC91" s="546"/>
      <c r="CD91" s="546"/>
      <c r="CE91" s="546"/>
      <c r="CF91" s="546"/>
      <c r="CG91" s="546"/>
      <c r="CH91" s="546"/>
      <c r="CI91" s="546"/>
      <c r="CJ91" s="546"/>
      <c r="CK91" s="546"/>
      <c r="CL91" s="546"/>
      <c r="CM91" s="546"/>
      <c r="CN91" s="546"/>
      <c r="CO91" s="546"/>
      <c r="CP91" s="546"/>
      <c r="CQ91" s="546"/>
      <c r="CR91" s="546"/>
      <c r="CS91" s="546"/>
      <c r="CT91" s="546"/>
      <c r="CU91" s="546"/>
      <c r="CV91" s="546"/>
    </row>
    <row r="92" spans="1:100">
      <c r="A92" s="546"/>
      <c r="B92" s="546"/>
      <c r="C92" s="576" t="s">
        <v>192</v>
      </c>
      <c r="D92" s="546"/>
      <c r="E92" s="161"/>
      <c r="F92" s="162"/>
      <c r="G92" s="156"/>
      <c r="H92" s="144"/>
      <c r="I92" s="546"/>
      <c r="J92" s="161"/>
      <c r="K92" s="162"/>
      <c r="L92" s="162"/>
      <c r="M92" s="144"/>
      <c r="N92" s="546"/>
      <c r="O92" s="161"/>
      <c r="P92" s="162"/>
      <c r="Q92" s="162"/>
      <c r="R92" s="144"/>
      <c r="S92" s="546"/>
      <c r="T92" s="161"/>
      <c r="U92" s="162"/>
      <c r="V92" s="162"/>
      <c r="W92" s="144"/>
      <c r="X92" s="546">
        <f>X32</f>
        <v>15</v>
      </c>
      <c r="Y92" s="161"/>
      <c r="Z92" s="162"/>
      <c r="AA92" s="162"/>
      <c r="AB92" s="144"/>
      <c r="AC92" s="546">
        <f>AC32</f>
        <v>12</v>
      </c>
      <c r="AD92" s="161">
        <f>SUM(AD32,Z32:AB32)</f>
        <v>17</v>
      </c>
      <c r="AE92" s="162">
        <f>SUM(AD32:AE32,AA32:AB32)</f>
        <v>29</v>
      </c>
      <c r="AF92" s="162">
        <f>SUM(AD32:AF32,AB32)</f>
        <v>41</v>
      </c>
      <c r="AG92" s="144">
        <f>SUM(AD32:AG32)</f>
        <v>49</v>
      </c>
      <c r="AH92" s="546">
        <f>AH32</f>
        <v>49</v>
      </c>
      <c r="AI92" s="161">
        <f>SUM(AI32,AE32:AG32)</f>
        <v>57</v>
      </c>
      <c r="AJ92" s="162">
        <f>SUM(AI32:AJ32,AF32:AG32)</f>
        <v>55</v>
      </c>
      <c r="AK92" s="162">
        <f>SUM(AI32:AK32,AG32)</f>
        <v>48</v>
      </c>
      <c r="AL92" s="144">
        <f>SUM(AI32:AL32)</f>
        <v>28.6</v>
      </c>
      <c r="AM92" s="546">
        <f>AM32</f>
        <v>28.6</v>
      </c>
      <c r="AN92" s="161"/>
      <c r="AO92" s="162"/>
      <c r="AP92" s="162"/>
      <c r="AQ92" s="144"/>
      <c r="AR92" s="546"/>
      <c r="AS92" s="161"/>
      <c r="AT92" s="162"/>
      <c r="AU92" s="162"/>
      <c r="AV92" s="144"/>
      <c r="AW92" s="546"/>
      <c r="AX92" s="161"/>
      <c r="AY92" s="162"/>
      <c r="AZ92" s="162"/>
      <c r="BA92" s="144"/>
      <c r="BB92" s="546"/>
      <c r="BC92" s="161"/>
      <c r="BD92" s="162"/>
      <c r="BE92" s="162"/>
      <c r="BF92" s="144"/>
      <c r="BG92" s="546"/>
      <c r="BH92" s="161"/>
      <c r="BI92" s="162"/>
      <c r="BJ92" s="162"/>
      <c r="BK92" s="144"/>
      <c r="BL92" s="546"/>
      <c r="BM92" s="161"/>
      <c r="BN92" s="162"/>
      <c r="BO92" s="162"/>
      <c r="BP92" s="144"/>
      <c r="BQ92" s="546"/>
      <c r="BR92" s="546"/>
      <c r="BS92" s="546"/>
      <c r="BT92" s="546"/>
      <c r="BU92" s="546"/>
      <c r="BV92" s="546"/>
      <c r="BW92" s="546"/>
      <c r="BX92" s="546"/>
      <c r="BY92" s="546"/>
      <c r="BZ92" s="546"/>
      <c r="CA92" s="546"/>
      <c r="CB92" s="546"/>
      <c r="CC92" s="546"/>
      <c r="CD92" s="546"/>
      <c r="CE92" s="546"/>
      <c r="CF92" s="546"/>
      <c r="CG92" s="546"/>
      <c r="CH92" s="546"/>
      <c r="CI92" s="546"/>
      <c r="CJ92" s="546"/>
      <c r="CK92" s="546"/>
      <c r="CL92" s="546"/>
      <c r="CM92" s="546"/>
      <c r="CN92" s="546"/>
      <c r="CO92" s="546"/>
      <c r="CP92" s="546"/>
      <c r="CQ92" s="546"/>
      <c r="CR92" s="546"/>
      <c r="CS92" s="546"/>
      <c r="CT92" s="546"/>
      <c r="CU92" s="546"/>
      <c r="CV92" s="546"/>
    </row>
    <row r="93" spans="1:100">
      <c r="A93" s="696"/>
      <c r="B93" s="696"/>
      <c r="C93" s="696"/>
      <c r="D93" s="696"/>
      <c r="E93" s="305"/>
      <c r="F93" s="701"/>
      <c r="G93" s="701"/>
      <c r="H93" s="307"/>
      <c r="I93" s="696"/>
      <c r="J93" s="305"/>
      <c r="K93" s="701"/>
      <c r="L93" s="701"/>
      <c r="M93" s="307"/>
      <c r="N93" s="696"/>
      <c r="O93" s="305"/>
      <c r="P93" s="701"/>
      <c r="Q93" s="701"/>
      <c r="R93" s="307"/>
      <c r="S93" s="696"/>
      <c r="T93" s="305"/>
      <c r="U93" s="701"/>
      <c r="V93" s="701"/>
      <c r="W93" s="307"/>
      <c r="X93" s="696"/>
      <c r="Y93" s="305"/>
      <c r="Z93" s="701"/>
      <c r="AA93" s="701"/>
      <c r="AB93" s="307"/>
      <c r="AC93" s="696"/>
      <c r="AD93" s="305"/>
      <c r="AE93" s="701"/>
      <c r="AF93" s="701"/>
      <c r="AG93" s="307"/>
      <c r="AH93" s="696"/>
      <c r="AI93" s="305"/>
      <c r="AJ93" s="701"/>
      <c r="AK93" s="701"/>
      <c r="AL93" s="307"/>
      <c r="AM93" s="696"/>
      <c r="AN93" s="305"/>
      <c r="AO93" s="701"/>
      <c r="AP93" s="701"/>
      <c r="AQ93" s="307"/>
      <c r="AR93" s="696"/>
      <c r="AS93" s="305"/>
      <c r="AT93" s="701"/>
      <c r="AU93" s="701"/>
      <c r="AV93" s="307"/>
      <c r="AW93" s="696"/>
      <c r="AX93" s="305"/>
      <c r="AY93" s="701"/>
      <c r="AZ93" s="701"/>
      <c r="BA93" s="307"/>
      <c r="BB93" s="696"/>
      <c r="BC93" s="305"/>
      <c r="BD93" s="701"/>
      <c r="BE93" s="701"/>
      <c r="BF93" s="307"/>
      <c r="BG93" s="696"/>
      <c r="BH93" s="305"/>
      <c r="BI93" s="701"/>
      <c r="BJ93" s="701"/>
      <c r="BK93" s="307"/>
      <c r="BL93" s="696"/>
      <c r="BM93" s="305"/>
      <c r="BN93" s="701"/>
      <c r="BO93" s="701"/>
      <c r="BP93" s="307"/>
      <c r="BQ93" s="696"/>
      <c r="BR93" s="696"/>
      <c r="BS93" s="696"/>
      <c r="BT93" s="696"/>
      <c r="BU93" s="696"/>
      <c r="BV93" s="696"/>
      <c r="BW93" s="696"/>
      <c r="BX93" s="696"/>
      <c r="BY93" s="696"/>
      <c r="BZ93" s="696"/>
      <c r="CA93" s="696"/>
      <c r="CB93" s="696"/>
      <c r="CC93" s="696"/>
      <c r="CD93" s="696"/>
      <c r="CE93" s="696"/>
      <c r="CF93" s="696"/>
      <c r="CG93" s="696"/>
      <c r="CH93" s="696"/>
      <c r="CI93" s="696"/>
      <c r="CJ93" s="696"/>
      <c r="CK93" s="696"/>
      <c r="CL93" s="696"/>
      <c r="CM93" s="696"/>
      <c r="CN93" s="696"/>
      <c r="CO93" s="696"/>
      <c r="CP93" s="696"/>
      <c r="CQ93" s="696"/>
      <c r="CR93" s="696"/>
      <c r="CS93" s="696"/>
      <c r="CT93" s="696"/>
      <c r="CU93" s="696"/>
      <c r="CV93" s="696"/>
    </row>
    <row r="94" spans="1:100">
      <c r="A94" s="696"/>
      <c r="B94" s="696"/>
      <c r="C94" s="574" t="s">
        <v>889</v>
      </c>
      <c r="D94" s="696"/>
      <c r="E94" s="305"/>
      <c r="F94" s="701"/>
      <c r="G94" s="701"/>
      <c r="H94" s="307"/>
      <c r="I94" s="696"/>
      <c r="J94" s="305"/>
      <c r="K94" s="701"/>
      <c r="L94" s="701"/>
      <c r="M94" s="307"/>
      <c r="N94" s="696"/>
      <c r="O94" s="305"/>
      <c r="P94" s="701"/>
      <c r="Q94" s="701"/>
      <c r="R94" s="307"/>
      <c r="S94" s="696"/>
      <c r="T94" s="305"/>
      <c r="U94" s="701"/>
      <c r="V94" s="701"/>
      <c r="W94" s="307"/>
      <c r="X94" s="696"/>
      <c r="Y94" s="305"/>
      <c r="Z94" s="701"/>
      <c r="AA94" s="701"/>
      <c r="AB94" s="307"/>
      <c r="AC94" s="696"/>
      <c r="AD94" s="305"/>
      <c r="AE94" s="701"/>
      <c r="AF94" s="701"/>
      <c r="AG94" s="307"/>
      <c r="AH94" s="696"/>
      <c r="AI94" s="305"/>
      <c r="AJ94" s="701"/>
      <c r="AK94" s="701"/>
      <c r="AL94" s="307"/>
      <c r="AM94" s="696"/>
      <c r="AN94" s="305"/>
      <c r="AO94" s="701"/>
      <c r="AP94" s="701"/>
      <c r="AQ94" s="307"/>
      <c r="AR94" s="696"/>
      <c r="AS94" s="305"/>
      <c r="AT94" s="701"/>
      <c r="AU94" s="701"/>
      <c r="AV94" s="307"/>
      <c r="AW94" s="696"/>
      <c r="AX94" s="305"/>
      <c r="AY94" s="701"/>
      <c r="AZ94" s="701"/>
      <c r="BA94" s="307"/>
      <c r="BB94" s="696"/>
      <c r="BC94" s="305"/>
      <c r="BD94" s="701"/>
      <c r="BE94" s="701"/>
      <c r="BF94" s="307"/>
      <c r="BG94" s="696"/>
      <c r="BH94" s="305"/>
      <c r="BI94" s="701"/>
      <c r="BJ94" s="701"/>
      <c r="BK94" s="307"/>
      <c r="BL94" s="696"/>
      <c r="BM94" s="305"/>
      <c r="BN94" s="701"/>
      <c r="BO94" s="701"/>
      <c r="BP94" s="307"/>
      <c r="BQ94" s="696"/>
      <c r="BR94" s="696"/>
      <c r="BS94" s="696"/>
      <c r="BT94" s="696"/>
      <c r="BU94" s="696"/>
      <c r="BV94" s="696"/>
      <c r="BW94" s="696"/>
      <c r="BX94" s="696"/>
      <c r="BY94" s="696"/>
      <c r="BZ94" s="696"/>
      <c r="CA94" s="696"/>
      <c r="CB94" s="696"/>
      <c r="CC94" s="696"/>
      <c r="CD94" s="696"/>
      <c r="CE94" s="696"/>
      <c r="CF94" s="696"/>
      <c r="CG94" s="696"/>
      <c r="CH94" s="696"/>
      <c r="CI94" s="696"/>
      <c r="CJ94" s="696"/>
      <c r="CK94" s="696"/>
      <c r="CL94" s="696"/>
      <c r="CM94" s="696"/>
      <c r="CN94" s="696"/>
      <c r="CO94" s="696"/>
      <c r="CP94" s="696"/>
      <c r="CQ94" s="696"/>
      <c r="CR94" s="696"/>
      <c r="CS94" s="696"/>
      <c r="CT94" s="696"/>
      <c r="CU94" s="696"/>
      <c r="CV94" s="696"/>
    </row>
    <row r="95" spans="1:100">
      <c r="A95" s="696"/>
      <c r="B95" s="696"/>
      <c r="C95" s="696" t="s">
        <v>891</v>
      </c>
      <c r="D95" s="696"/>
      <c r="E95" s="305"/>
      <c r="F95" s="701"/>
      <c r="G95" s="701"/>
      <c r="H95" s="277"/>
      <c r="I95" s="707"/>
      <c r="J95" s="278"/>
      <c r="K95" s="708"/>
      <c r="L95" s="708"/>
      <c r="M95" s="277"/>
      <c r="N95" s="707"/>
      <c r="O95" s="278"/>
      <c r="P95" s="708"/>
      <c r="Q95" s="708"/>
      <c r="R95" s="277"/>
      <c r="S95" s="707"/>
      <c r="T95" s="278"/>
      <c r="U95" s="708"/>
      <c r="V95" s="708"/>
      <c r="W95" s="277"/>
      <c r="X95" s="707">
        <f>(X87+X91)/X91</f>
        <v>3.5882352941176472</v>
      </c>
      <c r="Y95" s="278"/>
      <c r="Z95" s="708"/>
      <c r="AA95" s="708"/>
      <c r="AB95" s="277"/>
      <c r="AC95" s="707">
        <f>(AC87+AC91)/AC91</f>
        <v>3.5294117647058822</v>
      </c>
      <c r="AD95" s="278">
        <f t="shared" ref="AD95:AK95" si="31">(AD87+AD91)/AD91</f>
        <v>3.8235294117647061</v>
      </c>
      <c r="AE95" s="708">
        <f t="shared" si="31"/>
        <v>4.5294117647058822</v>
      </c>
      <c r="AF95" s="708">
        <f t="shared" si="31"/>
        <v>5.2352941176470589</v>
      </c>
      <c r="AG95" s="277">
        <f t="shared" si="31"/>
        <v>5.7058823529411766</v>
      </c>
      <c r="AH95" s="707">
        <f t="shared" si="31"/>
        <v>5.7058823529411766</v>
      </c>
      <c r="AI95" s="278">
        <f t="shared" si="31"/>
        <v>7.2941176470588234</v>
      </c>
      <c r="AJ95" s="708">
        <f t="shared" si="31"/>
        <v>9.2941176470588243</v>
      </c>
      <c r="AK95" s="708">
        <f t="shared" si="31"/>
        <v>14.117647058823529</v>
      </c>
      <c r="AL95" s="325">
        <v>0</v>
      </c>
      <c r="AM95" s="546">
        <v>0</v>
      </c>
      <c r="AN95" s="278"/>
      <c r="AO95" s="708"/>
      <c r="AP95" s="708"/>
      <c r="AQ95" s="277"/>
      <c r="AR95" s="707"/>
      <c r="AS95" s="278"/>
      <c r="AT95" s="708"/>
      <c r="AU95" s="708"/>
      <c r="AV95" s="277"/>
      <c r="AW95" s="707"/>
      <c r="AX95" s="278"/>
      <c r="AY95" s="708"/>
      <c r="AZ95" s="708"/>
      <c r="BA95" s="277"/>
      <c r="BB95" s="707"/>
      <c r="BC95" s="278"/>
      <c r="BD95" s="708"/>
      <c r="BE95" s="708"/>
      <c r="BF95" s="277"/>
      <c r="BG95" s="707"/>
      <c r="BH95" s="278"/>
      <c r="BI95" s="708"/>
      <c r="BJ95" s="708"/>
      <c r="BK95" s="277"/>
      <c r="BL95" s="707"/>
      <c r="BM95" s="278"/>
      <c r="BN95" s="708"/>
      <c r="BO95" s="708"/>
      <c r="BP95" s="277"/>
      <c r="BQ95" s="707"/>
      <c r="BR95" s="696"/>
      <c r="BS95" s="696"/>
      <c r="BT95" s="696"/>
      <c r="BU95" s="696"/>
      <c r="BV95" s="696"/>
      <c r="BW95" s="696"/>
      <c r="BX95" s="696"/>
      <c r="BY95" s="696"/>
      <c r="BZ95" s="696"/>
      <c r="CA95" s="696"/>
      <c r="CB95" s="696"/>
      <c r="CC95" s="696"/>
      <c r="CD95" s="696"/>
      <c r="CE95" s="696"/>
      <c r="CF95" s="696"/>
      <c r="CG95" s="696"/>
      <c r="CH95" s="696"/>
      <c r="CI95" s="696"/>
      <c r="CJ95" s="696"/>
      <c r="CK95" s="696"/>
      <c r="CL95" s="696"/>
      <c r="CM95" s="696"/>
      <c r="CN95" s="696"/>
      <c r="CO95" s="696"/>
      <c r="CP95" s="696"/>
      <c r="CQ95" s="696"/>
      <c r="CR95" s="696"/>
      <c r="CS95" s="696"/>
      <c r="CT95" s="696"/>
      <c r="CU95" s="696"/>
      <c r="CV95" s="696"/>
    </row>
    <row r="96" spans="1:100">
      <c r="A96" s="696"/>
      <c r="B96" s="696"/>
      <c r="C96" s="696" t="s">
        <v>892</v>
      </c>
      <c r="D96" s="696"/>
      <c r="E96" s="305"/>
      <c r="F96" s="701"/>
      <c r="G96" s="701"/>
      <c r="H96" s="277"/>
      <c r="I96" s="707"/>
      <c r="J96" s="278"/>
      <c r="K96" s="708"/>
      <c r="L96" s="708"/>
      <c r="M96" s="277"/>
      <c r="N96" s="707"/>
      <c r="O96" s="278"/>
      <c r="P96" s="708"/>
      <c r="Q96" s="708"/>
      <c r="R96" s="277"/>
      <c r="S96" s="707"/>
      <c r="T96" s="278"/>
      <c r="U96" s="708"/>
      <c r="V96" s="708"/>
      <c r="W96" s="277"/>
      <c r="X96" s="707">
        <f>X88/X91</f>
        <v>2.2941176470588234</v>
      </c>
      <c r="Y96" s="278"/>
      <c r="Z96" s="708"/>
      <c r="AA96" s="708"/>
      <c r="AB96" s="277"/>
      <c r="AC96" s="707">
        <f>AC88/AC91</f>
        <v>2.1176470588235294</v>
      </c>
      <c r="AD96" s="278">
        <f t="shared" ref="AD96:AK96" si="32">AD88/AD91</f>
        <v>2.4117647058823528</v>
      </c>
      <c r="AE96" s="708">
        <f t="shared" si="32"/>
        <v>3.1176470588235294</v>
      </c>
      <c r="AF96" s="708">
        <f t="shared" si="32"/>
        <v>3.8235294117647061</v>
      </c>
      <c r="AG96" s="277">
        <f t="shared" si="32"/>
        <v>4.7794117647058822</v>
      </c>
      <c r="AH96" s="707">
        <f t="shared" si="32"/>
        <v>6.2352941176470589</v>
      </c>
      <c r="AI96" s="278">
        <f t="shared" si="32"/>
        <v>5.9686274509803914</v>
      </c>
      <c r="AJ96" s="708">
        <f t="shared" si="32"/>
        <v>7.1705882352941162</v>
      </c>
      <c r="AK96" s="708">
        <f t="shared" si="32"/>
        <v>9.5999999999999979</v>
      </c>
      <c r="AL96" s="325">
        <v>0</v>
      </c>
      <c r="AM96" s="546">
        <v>0</v>
      </c>
      <c r="AN96" s="278"/>
      <c r="AO96" s="708"/>
      <c r="AP96" s="708"/>
      <c r="AQ96" s="277"/>
      <c r="AR96" s="707"/>
      <c r="AS96" s="278"/>
      <c r="AT96" s="708"/>
      <c r="AU96" s="708"/>
      <c r="AV96" s="277"/>
      <c r="AW96" s="707"/>
      <c r="AX96" s="278"/>
      <c r="AY96" s="708"/>
      <c r="AZ96" s="708"/>
      <c r="BA96" s="277"/>
      <c r="BB96" s="707"/>
      <c r="BC96" s="278"/>
      <c r="BD96" s="708"/>
      <c r="BE96" s="708"/>
      <c r="BF96" s="277"/>
      <c r="BG96" s="707"/>
      <c r="BH96" s="278"/>
      <c r="BI96" s="708"/>
      <c r="BJ96" s="708"/>
      <c r="BK96" s="277"/>
      <c r="BL96" s="707"/>
      <c r="BM96" s="278"/>
      <c r="BN96" s="708"/>
      <c r="BO96" s="708"/>
      <c r="BP96" s="277"/>
      <c r="BQ96" s="707"/>
      <c r="BR96" s="696"/>
      <c r="BS96" s="696"/>
      <c r="BT96" s="696"/>
      <c r="BU96" s="696"/>
      <c r="BV96" s="696"/>
      <c r="BW96" s="696"/>
      <c r="BX96" s="696"/>
      <c r="BY96" s="696"/>
      <c r="BZ96" s="696"/>
      <c r="CA96" s="696"/>
      <c r="CB96" s="696"/>
      <c r="CC96" s="696"/>
      <c r="CD96" s="696"/>
      <c r="CE96" s="696"/>
      <c r="CF96" s="696"/>
      <c r="CG96" s="696"/>
      <c r="CH96" s="696"/>
      <c r="CI96" s="696"/>
      <c r="CJ96" s="696"/>
      <c r="CK96" s="696"/>
      <c r="CL96" s="696"/>
      <c r="CM96" s="696"/>
      <c r="CN96" s="696"/>
      <c r="CO96" s="696"/>
      <c r="CP96" s="696"/>
      <c r="CQ96" s="696"/>
      <c r="CR96" s="696"/>
      <c r="CS96" s="696"/>
      <c r="CT96" s="696"/>
      <c r="CU96" s="696"/>
      <c r="CV96" s="696"/>
    </row>
    <row r="97" spans="1:100">
      <c r="A97" s="696"/>
      <c r="E97" s="509"/>
      <c r="F97" s="510"/>
      <c r="G97" s="510"/>
      <c r="H97" s="511"/>
      <c r="I97" s="647"/>
      <c r="J97" s="512"/>
      <c r="K97" s="513"/>
      <c r="L97" s="513"/>
      <c r="M97" s="514"/>
      <c r="N97" s="647"/>
      <c r="O97" s="512"/>
      <c r="P97" s="513"/>
      <c r="Q97" s="513"/>
      <c r="R97" s="514"/>
      <c r="S97" s="647"/>
      <c r="T97" s="512"/>
      <c r="U97" s="513"/>
      <c r="V97" s="513"/>
      <c r="W97" s="514"/>
      <c r="X97" s="647"/>
      <c r="Y97" s="512"/>
      <c r="Z97" s="513"/>
      <c r="AA97" s="513"/>
      <c r="AB97" s="514"/>
      <c r="AC97" s="709"/>
      <c r="AD97" s="512"/>
      <c r="AE97" s="513"/>
      <c r="AF97" s="513"/>
      <c r="AG97" s="514"/>
      <c r="AH97" s="709"/>
      <c r="AI97" s="512"/>
      <c r="AJ97" s="513"/>
      <c r="AK97" s="513"/>
      <c r="AL97" s="514"/>
      <c r="AM97" s="709"/>
      <c r="AN97" s="512"/>
      <c r="AO97" s="513"/>
      <c r="AP97" s="513"/>
      <c r="AQ97" s="514"/>
      <c r="AR97" s="709"/>
      <c r="AS97" s="512"/>
      <c r="AT97" s="513"/>
      <c r="AU97" s="513"/>
      <c r="AV97" s="514"/>
      <c r="AW97" s="709"/>
      <c r="AX97" s="512"/>
      <c r="AY97" s="513"/>
      <c r="AZ97" s="513"/>
      <c r="BA97" s="514"/>
      <c r="BB97" s="709"/>
      <c r="BC97" s="512"/>
      <c r="BD97" s="513"/>
      <c r="BE97" s="513"/>
      <c r="BF97" s="514"/>
      <c r="BG97" s="709"/>
      <c r="BH97" s="512"/>
      <c r="BI97" s="513"/>
      <c r="BJ97" s="513"/>
      <c r="BK97" s="514"/>
      <c r="BL97" s="709"/>
      <c r="BM97" s="512"/>
      <c r="BN97" s="513"/>
      <c r="BO97" s="513"/>
      <c r="BP97" s="514"/>
      <c r="BQ97" s="709"/>
      <c r="BR97" s="696"/>
      <c r="BS97" s="696"/>
      <c r="BT97" s="696"/>
      <c r="BU97" s="696"/>
      <c r="BV97" s="696"/>
      <c r="BW97" s="696"/>
      <c r="BX97" s="696"/>
      <c r="BY97" s="696"/>
      <c r="BZ97" s="696"/>
      <c r="CA97" s="696"/>
      <c r="CB97" s="696"/>
      <c r="CC97" s="696"/>
      <c r="CD97" s="696"/>
      <c r="CE97" s="696"/>
      <c r="CF97" s="696"/>
      <c r="CG97" s="696"/>
      <c r="CH97" s="696"/>
      <c r="CI97" s="696"/>
      <c r="CJ97" s="696"/>
      <c r="CK97" s="696"/>
      <c r="CL97" s="696"/>
      <c r="CM97" s="696"/>
      <c r="CN97" s="696"/>
      <c r="CO97" s="696"/>
      <c r="CP97" s="696"/>
      <c r="CQ97" s="696"/>
      <c r="CR97" s="696"/>
      <c r="CS97" s="696"/>
      <c r="CT97" s="696"/>
      <c r="CU97" s="696"/>
      <c r="CV97" s="696"/>
    </row>
    <row r="111" spans="1:100" ht="12.75" customHeight="1"/>
    <row r="114" ht="12.75" customHeight="1"/>
    <row r="115" ht="12.75" customHeight="1"/>
  </sheetData>
  <phoneticPr fontId="94" type="noConversion"/>
  <pageMargins left="0.5" right="0.5" top="0.5" bottom="0.5" header="0" footer="0"/>
  <pageSetup scale="49" fitToHeight="4" orientation="landscape" r:id="rId1"/>
  <headerFooter alignWithMargins="0"/>
  <rowBreaks count="2" manualBreakCount="2">
    <brk id="56" max="16383" man="1"/>
    <brk id="137" max="16383" man="1"/>
  </rowBreaks>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BL86"/>
  <sheetViews>
    <sheetView zoomScale="85" workbookViewId="0"/>
  </sheetViews>
  <sheetFormatPr defaultColWidth="9.140625" defaultRowHeight="12.75"/>
  <cols>
    <col min="1" max="1" width="2.28515625" customWidth="1"/>
    <col min="2" max="2" width="11" customWidth="1"/>
    <col min="3" max="4" width="9.28515625" style="547" customWidth="1"/>
    <col min="5" max="5" width="18.28515625" customWidth="1"/>
    <col min="6" max="7" width="9.28515625" style="547" customWidth="1"/>
    <col min="8" max="9" width="9.28515625" customWidth="1"/>
    <col min="10" max="10" width="18.140625" bestFit="1" customWidth="1"/>
    <col min="11" max="12" width="5.85546875" customWidth="1"/>
    <col min="13" max="13" width="18.28515625" bestFit="1" customWidth="1"/>
    <col min="14" max="14" width="5.7109375" customWidth="1"/>
    <col min="15" max="15" width="10.28515625" bestFit="1" customWidth="1"/>
    <col min="16" max="16" width="9.85546875" bestFit="1" customWidth="1"/>
    <col min="19" max="19" width="18.5703125" bestFit="1" customWidth="1"/>
    <col min="20" max="22" width="10.140625" style="547" customWidth="1"/>
  </cols>
  <sheetData>
    <row r="1" spans="1:64" ht="15" customHeight="1">
      <c r="A1" s="32"/>
      <c r="B1" s="32"/>
      <c r="C1" s="848"/>
      <c r="D1" s="849"/>
      <c r="E1" s="34"/>
      <c r="F1" s="850"/>
      <c r="G1" s="850"/>
      <c r="H1" s="34"/>
      <c r="I1" s="34"/>
      <c r="J1" s="34"/>
      <c r="K1" s="34"/>
      <c r="L1" s="373"/>
      <c r="M1" s="373"/>
      <c r="N1" s="373"/>
      <c r="O1" s="373"/>
      <c r="P1" s="373"/>
      <c r="Q1" s="373"/>
      <c r="R1" s="373"/>
      <c r="S1" s="373"/>
      <c r="T1" s="850"/>
      <c r="U1" s="850"/>
      <c r="V1" s="850"/>
      <c r="W1" s="373"/>
      <c r="X1" s="373"/>
      <c r="Y1" s="373"/>
      <c r="Z1" s="373"/>
      <c r="AA1" s="373"/>
      <c r="AB1" s="373"/>
      <c r="AC1" s="373"/>
      <c r="AD1" s="373"/>
      <c r="AE1" s="373"/>
      <c r="AF1" s="373"/>
      <c r="AG1" s="373"/>
      <c r="AH1" s="373"/>
      <c r="AI1" s="373"/>
      <c r="AJ1" s="373"/>
      <c r="AK1" s="373"/>
      <c r="AL1" s="373"/>
      <c r="AM1" s="373"/>
      <c r="AN1" s="373"/>
      <c r="AO1" s="373"/>
      <c r="AP1" s="373"/>
      <c r="AQ1" s="373"/>
      <c r="AR1" s="373"/>
      <c r="AS1" s="373"/>
      <c r="AT1" s="373"/>
      <c r="AU1" s="373"/>
      <c r="AV1" s="373"/>
      <c r="AW1" s="373"/>
      <c r="AX1" s="373"/>
      <c r="AY1" s="373"/>
      <c r="AZ1" s="373"/>
      <c r="BA1" s="373"/>
      <c r="BB1" s="373"/>
      <c r="BC1" s="373"/>
      <c r="BD1" s="373"/>
      <c r="BE1" s="373"/>
      <c r="BF1" s="373"/>
      <c r="BG1" s="373"/>
      <c r="BH1" s="373"/>
      <c r="BI1" s="373"/>
      <c r="BJ1" s="373"/>
      <c r="BK1" s="373"/>
      <c r="BL1" s="373"/>
    </row>
    <row r="2" spans="1:64" ht="15" customHeight="1">
      <c r="A2" s="32"/>
      <c r="B2" s="32" t="str">
        <f>Cover!$B$2</f>
        <v>American Electric Power Company</v>
      </c>
      <c r="C2" s="848"/>
      <c r="D2" s="849"/>
      <c r="E2" s="34"/>
      <c r="F2" s="850"/>
      <c r="G2" s="850"/>
      <c r="H2" s="34"/>
      <c r="I2" s="34"/>
      <c r="J2" s="34"/>
      <c r="K2" s="34"/>
      <c r="L2" s="373"/>
      <c r="M2" s="373"/>
      <c r="N2" s="373"/>
      <c r="O2" s="373"/>
      <c r="P2" s="373"/>
      <c r="Q2" s="373"/>
      <c r="R2" s="373"/>
      <c r="S2" s="373"/>
      <c r="T2" s="850"/>
      <c r="U2" s="850"/>
      <c r="V2" s="850"/>
      <c r="W2" s="373"/>
      <c r="X2" s="373"/>
      <c r="Y2" s="373"/>
      <c r="Z2" s="373"/>
      <c r="AA2" s="373"/>
      <c r="AB2" s="373"/>
      <c r="AC2" s="373"/>
      <c r="AD2" s="373"/>
      <c r="AE2" s="373"/>
      <c r="AF2" s="373"/>
      <c r="AG2" s="373"/>
      <c r="AH2" s="373"/>
      <c r="AI2" s="373"/>
      <c r="AJ2" s="373"/>
      <c r="AK2" s="373"/>
      <c r="AL2" s="373"/>
      <c r="AM2" s="373"/>
      <c r="AN2" s="373"/>
      <c r="AO2" s="373"/>
      <c r="AP2" s="373"/>
      <c r="AQ2" s="373"/>
      <c r="AR2" s="373"/>
      <c r="AS2" s="373"/>
      <c r="AT2" s="373"/>
      <c r="AU2" s="373"/>
      <c r="AV2" s="373"/>
      <c r="AW2" s="373"/>
      <c r="AX2" s="373"/>
      <c r="AY2" s="373"/>
      <c r="AZ2" s="373"/>
      <c r="BA2" s="373"/>
      <c r="BB2" s="373"/>
      <c r="BC2" s="373"/>
      <c r="BD2" s="373"/>
      <c r="BE2" s="373"/>
      <c r="BF2" s="373"/>
      <c r="BG2" s="373"/>
      <c r="BH2" s="373"/>
      <c r="BI2" s="373"/>
      <c r="BJ2" s="373"/>
      <c r="BK2" s="373"/>
      <c r="BL2" s="373"/>
    </row>
    <row r="3" spans="1:64" ht="15" customHeight="1">
      <c r="A3" s="35"/>
      <c r="B3" s="36" t="s">
        <v>431</v>
      </c>
      <c r="C3" s="714"/>
      <c r="D3" s="850"/>
      <c r="E3" s="34"/>
      <c r="F3" s="850"/>
      <c r="G3" s="850"/>
      <c r="H3" s="34"/>
      <c r="I3" s="34"/>
      <c r="J3" s="34"/>
      <c r="K3" s="34"/>
      <c r="L3" s="373"/>
      <c r="M3" s="373"/>
      <c r="N3" s="373"/>
      <c r="O3" s="373"/>
      <c r="P3" s="373"/>
      <c r="Q3" s="373"/>
      <c r="R3" s="373"/>
      <c r="S3" s="373"/>
      <c r="T3" s="850"/>
      <c r="U3" s="850"/>
      <c r="V3" s="850"/>
      <c r="W3" s="373"/>
      <c r="X3" s="373"/>
      <c r="Y3" s="373"/>
      <c r="Z3" s="373"/>
      <c r="AA3" s="373"/>
      <c r="AB3" s="373"/>
      <c r="AC3" s="373"/>
      <c r="AD3" s="373"/>
      <c r="AE3" s="373"/>
      <c r="AF3" s="373"/>
      <c r="AG3" s="373"/>
      <c r="AH3" s="373"/>
      <c r="AI3" s="373"/>
      <c r="AJ3" s="373"/>
      <c r="AK3" s="373"/>
      <c r="AL3" s="373"/>
      <c r="AM3" s="373"/>
      <c r="AN3" s="373"/>
      <c r="AO3" s="373"/>
      <c r="AP3" s="373"/>
      <c r="AQ3" s="373"/>
      <c r="AR3" s="373"/>
      <c r="AS3" s="373"/>
      <c r="AT3" s="373"/>
      <c r="AU3" s="373"/>
      <c r="AV3" s="373"/>
      <c r="AW3" s="373"/>
      <c r="AX3" s="373"/>
      <c r="AY3" s="373"/>
      <c r="AZ3" s="373"/>
      <c r="BA3" s="373"/>
      <c r="BB3" s="373"/>
      <c r="BC3" s="373"/>
      <c r="BD3" s="373"/>
      <c r="BE3" s="373"/>
      <c r="BF3" s="373"/>
      <c r="BG3" s="373"/>
      <c r="BH3" s="373"/>
      <c r="BI3" s="373"/>
      <c r="BJ3" s="373"/>
      <c r="BK3" s="373"/>
      <c r="BL3" s="373"/>
    </row>
    <row r="4" spans="1:64" ht="12.75" customHeight="1">
      <c r="A4" s="38"/>
      <c r="B4" s="39"/>
      <c r="C4" s="851"/>
      <c r="D4" s="852"/>
      <c r="E4" s="41"/>
      <c r="F4" s="846"/>
      <c r="G4" s="846"/>
      <c r="H4" s="41"/>
      <c r="I4" s="41"/>
      <c r="J4" s="41"/>
      <c r="K4" s="41"/>
      <c r="L4" s="374"/>
      <c r="M4" s="374"/>
      <c r="N4" s="374"/>
      <c r="O4" s="374"/>
      <c r="P4" s="374"/>
      <c r="Q4" s="374"/>
      <c r="R4" s="374"/>
      <c r="S4" s="374"/>
      <c r="T4" s="846"/>
      <c r="U4" s="846"/>
      <c r="V4" s="846"/>
      <c r="W4" s="374"/>
      <c r="X4" s="374"/>
      <c r="Y4" s="374"/>
      <c r="Z4" s="374"/>
      <c r="AA4" s="374"/>
      <c r="AB4" s="374"/>
      <c r="AC4" s="374"/>
      <c r="AD4" s="374"/>
      <c r="AE4" s="374"/>
      <c r="AF4" s="374"/>
      <c r="AG4" s="374"/>
      <c r="AH4" s="374"/>
      <c r="AI4" s="374"/>
      <c r="AJ4" s="374"/>
      <c r="AK4" s="374"/>
      <c r="AL4" s="374"/>
      <c r="AM4" s="374"/>
      <c r="AN4" s="374"/>
      <c r="AO4" s="374"/>
      <c r="AP4" s="374"/>
      <c r="AQ4" s="374"/>
      <c r="AR4" s="374"/>
      <c r="AS4" s="374"/>
      <c r="AT4" s="374"/>
      <c r="AU4" s="374"/>
      <c r="AV4" s="374"/>
      <c r="AW4" s="374"/>
      <c r="AX4" s="374"/>
      <c r="AY4" s="374"/>
      <c r="AZ4" s="374"/>
      <c r="BA4" s="374"/>
      <c r="BB4" s="374"/>
      <c r="BC4" s="374"/>
      <c r="BD4" s="374"/>
      <c r="BE4" s="374"/>
      <c r="BF4" s="374"/>
      <c r="BG4" s="374"/>
      <c r="BH4" s="374"/>
      <c r="BI4" s="374"/>
      <c r="BJ4" s="374"/>
      <c r="BK4" s="374"/>
      <c r="BL4" s="374"/>
    </row>
    <row r="6" spans="1:64">
      <c r="B6" s="858" t="s">
        <v>558</v>
      </c>
      <c r="C6" s="859"/>
      <c r="D6" s="859"/>
      <c r="E6" s="859"/>
      <c r="F6" s="860"/>
      <c r="J6" s="854" t="s">
        <v>536</v>
      </c>
      <c r="K6" s="855"/>
      <c r="L6" s="855"/>
      <c r="M6" s="855"/>
      <c r="N6" s="855"/>
      <c r="O6" s="855"/>
      <c r="P6" s="855"/>
      <c r="S6" s="854" t="s">
        <v>537</v>
      </c>
      <c r="T6" s="856"/>
      <c r="U6" s="856"/>
      <c r="V6" s="856"/>
      <c r="X6" s="854" t="s">
        <v>537</v>
      </c>
      <c r="Y6" s="856"/>
      <c r="Z6" s="856"/>
      <c r="AA6" s="856"/>
    </row>
    <row r="7" spans="1:64">
      <c r="B7" s="861" t="s">
        <v>529</v>
      </c>
      <c r="C7" s="862"/>
      <c r="D7" s="862"/>
      <c r="E7" s="863" t="s">
        <v>529</v>
      </c>
      <c r="F7" s="864" t="s">
        <v>530</v>
      </c>
      <c r="J7" s="56" t="s">
        <v>526</v>
      </c>
      <c r="K7" s="80" t="s">
        <v>527</v>
      </c>
      <c r="L7" s="80" t="s">
        <v>528</v>
      </c>
      <c r="M7" s="56" t="s">
        <v>529</v>
      </c>
      <c r="N7" s="80" t="s">
        <v>530</v>
      </c>
      <c r="O7" s="80" t="s">
        <v>531</v>
      </c>
      <c r="P7" s="56" t="s">
        <v>532</v>
      </c>
      <c r="S7" s="56" t="s">
        <v>526</v>
      </c>
      <c r="T7" s="80" t="s">
        <v>530</v>
      </c>
      <c r="U7" s="80" t="s">
        <v>302</v>
      </c>
      <c r="V7" s="80" t="s">
        <v>532</v>
      </c>
      <c r="X7" s="56" t="s">
        <v>526</v>
      </c>
      <c r="Y7" s="80" t="s">
        <v>530</v>
      </c>
      <c r="Z7" s="80" t="s">
        <v>302</v>
      </c>
      <c r="AA7" s="80" t="s">
        <v>532</v>
      </c>
    </row>
    <row r="8" spans="1:64">
      <c r="B8" s="302" t="s">
        <v>533</v>
      </c>
      <c r="C8" s="862">
        <f>F8+F9</f>
        <v>24312</v>
      </c>
      <c r="D8" s="862"/>
      <c r="E8" s="600" t="s">
        <v>461</v>
      </c>
      <c r="F8" s="865">
        <f>SUMIF($M$8:$M$84,E8,$N$8:$N$84)</f>
        <v>23470</v>
      </c>
      <c r="J8" t="s">
        <v>432</v>
      </c>
      <c r="K8" s="547">
        <v>2</v>
      </c>
      <c r="L8" s="547" t="s">
        <v>453</v>
      </c>
      <c r="M8" t="s">
        <v>461</v>
      </c>
      <c r="N8" s="853">
        <v>1310</v>
      </c>
      <c r="O8" s="547">
        <v>1984</v>
      </c>
      <c r="P8" t="s">
        <v>490</v>
      </c>
      <c r="S8" t="s">
        <v>538</v>
      </c>
      <c r="T8" s="547">
        <v>95</v>
      </c>
      <c r="U8" s="547">
        <v>2015</v>
      </c>
      <c r="V8" s="547" t="s">
        <v>354</v>
      </c>
      <c r="X8" t="s">
        <v>559</v>
      </c>
      <c r="Y8">
        <v>440</v>
      </c>
      <c r="Z8">
        <v>2013</v>
      </c>
      <c r="AA8" t="s">
        <v>357</v>
      </c>
    </row>
    <row r="9" spans="1:64">
      <c r="B9" s="866" t="s">
        <v>534</v>
      </c>
      <c r="C9" s="857">
        <f>T27</f>
        <v>5124</v>
      </c>
      <c r="D9" s="862"/>
      <c r="E9" s="600" t="s">
        <v>520</v>
      </c>
      <c r="F9" s="865">
        <f t="shared" ref="F9:F16" si="0">SUMIF($M$8:$M$84,E9,$N$8:$N$84)</f>
        <v>842</v>
      </c>
      <c r="J9" t="s">
        <v>433</v>
      </c>
      <c r="K9" s="547">
        <v>6</v>
      </c>
      <c r="L9" s="547" t="s">
        <v>453</v>
      </c>
      <c r="M9" t="s">
        <v>462</v>
      </c>
      <c r="N9" s="853">
        <v>1186</v>
      </c>
      <c r="O9" s="547">
        <v>2004</v>
      </c>
      <c r="P9" t="s">
        <v>490</v>
      </c>
      <c r="S9" t="s">
        <v>539</v>
      </c>
      <c r="T9" s="547">
        <v>240</v>
      </c>
      <c r="U9" s="547">
        <v>2015</v>
      </c>
      <c r="V9" s="547" t="s">
        <v>354</v>
      </c>
    </row>
    <row r="10" spans="1:64">
      <c r="B10" s="302" t="s">
        <v>535</v>
      </c>
      <c r="C10" s="862">
        <f>C8-C9</f>
        <v>19188</v>
      </c>
      <c r="D10" s="862"/>
      <c r="E10" s="600" t="s">
        <v>519</v>
      </c>
      <c r="F10" s="865">
        <f t="shared" si="0"/>
        <v>5226</v>
      </c>
      <c r="J10" t="s">
        <v>434</v>
      </c>
      <c r="K10" s="547">
        <v>3</v>
      </c>
      <c r="L10" s="547" t="s">
        <v>454</v>
      </c>
      <c r="M10" t="s">
        <v>631</v>
      </c>
      <c r="N10" s="547">
        <v>9</v>
      </c>
      <c r="O10" s="547">
        <v>1912</v>
      </c>
      <c r="P10" t="s">
        <v>354</v>
      </c>
      <c r="Q10" s="50"/>
      <c r="S10" t="s">
        <v>540</v>
      </c>
      <c r="T10" s="547">
        <v>235</v>
      </c>
      <c r="U10" s="547">
        <v>2015</v>
      </c>
      <c r="V10" s="547" t="s">
        <v>354</v>
      </c>
    </row>
    <row r="11" spans="1:64">
      <c r="B11" s="287" t="s">
        <v>984</v>
      </c>
      <c r="C11" s="862">
        <f>SUM(F10:F12)</f>
        <v>9738</v>
      </c>
      <c r="D11" s="862"/>
      <c r="E11" s="600" t="s">
        <v>462</v>
      </c>
      <c r="F11" s="865">
        <f t="shared" si="0"/>
        <v>4484</v>
      </c>
      <c r="J11" t="s">
        <v>435</v>
      </c>
      <c r="K11" s="547">
        <v>4</v>
      </c>
      <c r="L11" s="547" t="s">
        <v>454</v>
      </c>
      <c r="M11" t="s">
        <v>631</v>
      </c>
      <c r="N11" s="547">
        <v>22</v>
      </c>
      <c r="O11" s="547">
        <v>1912</v>
      </c>
      <c r="P11" t="s">
        <v>354</v>
      </c>
      <c r="Q11" s="50"/>
      <c r="S11" t="s">
        <v>541</v>
      </c>
      <c r="T11" s="547">
        <v>150</v>
      </c>
      <c r="U11" s="547">
        <v>2015</v>
      </c>
      <c r="V11" s="547" t="s">
        <v>354</v>
      </c>
    </row>
    <row r="12" spans="1:64">
      <c r="B12" s="287" t="s">
        <v>630</v>
      </c>
      <c r="C12" s="862">
        <f>F13</f>
        <v>2191</v>
      </c>
      <c r="D12" s="862"/>
      <c r="E12" s="600" t="s">
        <v>489</v>
      </c>
      <c r="F12" s="865">
        <f t="shared" si="0"/>
        <v>28</v>
      </c>
      <c r="J12" t="s">
        <v>436</v>
      </c>
      <c r="K12" s="547">
        <v>4</v>
      </c>
      <c r="L12" s="547" t="s">
        <v>454</v>
      </c>
      <c r="M12" t="s">
        <v>631</v>
      </c>
      <c r="N12" s="547">
        <v>76</v>
      </c>
      <c r="O12" s="547">
        <v>1939</v>
      </c>
      <c r="P12" t="s">
        <v>354</v>
      </c>
      <c r="Q12" s="50"/>
      <c r="S12" t="s">
        <v>542</v>
      </c>
      <c r="T12" s="547">
        <v>150</v>
      </c>
      <c r="U12" s="547">
        <v>2015</v>
      </c>
      <c r="V12" s="547" t="s">
        <v>354</v>
      </c>
    </row>
    <row r="13" spans="1:64">
      <c r="B13" s="287" t="s">
        <v>631</v>
      </c>
      <c r="C13" s="862">
        <f>F14+F16</f>
        <v>871</v>
      </c>
      <c r="D13" s="862"/>
      <c r="E13" s="600" t="s">
        <v>488</v>
      </c>
      <c r="F13" s="865">
        <f t="shared" si="0"/>
        <v>2191</v>
      </c>
      <c r="J13" t="s">
        <v>437</v>
      </c>
      <c r="K13" s="547">
        <v>2</v>
      </c>
      <c r="L13" s="547" t="s">
        <v>454</v>
      </c>
      <c r="M13" t="s">
        <v>631</v>
      </c>
      <c r="N13" s="547">
        <v>50</v>
      </c>
      <c r="O13" s="547">
        <v>1964</v>
      </c>
      <c r="P13" t="s">
        <v>354</v>
      </c>
      <c r="Q13" s="50"/>
      <c r="S13" t="s">
        <v>543</v>
      </c>
      <c r="T13" s="547">
        <v>200</v>
      </c>
      <c r="U13" s="547">
        <v>2015</v>
      </c>
      <c r="V13" s="547" t="s">
        <v>354</v>
      </c>
    </row>
    <row r="14" spans="1:64">
      <c r="B14" s="302"/>
      <c r="C14" s="862"/>
      <c r="D14" s="862"/>
      <c r="E14" s="600" t="s">
        <v>631</v>
      </c>
      <c r="F14" s="865">
        <f t="shared" si="0"/>
        <v>285</v>
      </c>
      <c r="J14" t="s">
        <v>438</v>
      </c>
      <c r="K14" s="547">
        <v>3</v>
      </c>
      <c r="L14" s="547" t="s">
        <v>455</v>
      </c>
      <c r="M14" t="s">
        <v>631</v>
      </c>
      <c r="N14" s="547">
        <v>14</v>
      </c>
      <c r="O14" s="547">
        <v>1935</v>
      </c>
      <c r="P14" t="s">
        <v>354</v>
      </c>
      <c r="Q14" s="50"/>
      <c r="S14" t="s">
        <v>544</v>
      </c>
      <c r="T14" s="547">
        <v>200</v>
      </c>
      <c r="U14" s="547">
        <v>2015</v>
      </c>
      <c r="V14" s="547" t="s">
        <v>354</v>
      </c>
    </row>
    <row r="15" spans="1:64">
      <c r="B15" s="302"/>
      <c r="C15" s="862"/>
      <c r="D15" s="862"/>
      <c r="E15" s="600" t="s">
        <v>524</v>
      </c>
      <c r="F15" s="865">
        <f t="shared" si="0"/>
        <v>311</v>
      </c>
      <c r="J15" t="s">
        <v>439</v>
      </c>
      <c r="K15" s="547">
        <v>3</v>
      </c>
      <c r="L15" s="547" t="s">
        <v>455</v>
      </c>
      <c r="M15" t="s">
        <v>631</v>
      </c>
      <c r="N15" s="547">
        <v>14</v>
      </c>
      <c r="O15" s="547">
        <v>1935</v>
      </c>
      <c r="P15" t="s">
        <v>354</v>
      </c>
      <c r="S15" t="s">
        <v>545</v>
      </c>
      <c r="T15" s="547">
        <v>145</v>
      </c>
      <c r="U15" s="547">
        <v>2015</v>
      </c>
      <c r="V15" s="547" t="s">
        <v>355</v>
      </c>
    </row>
    <row r="16" spans="1:64">
      <c r="B16" s="302"/>
      <c r="C16" s="862"/>
      <c r="D16" s="862"/>
      <c r="E16" s="315" t="s">
        <v>463</v>
      </c>
      <c r="F16" s="867">
        <f t="shared" si="0"/>
        <v>586</v>
      </c>
      <c r="J16" t="s">
        <v>440</v>
      </c>
      <c r="K16" s="547">
        <v>2</v>
      </c>
      <c r="L16" s="547" t="s">
        <v>454</v>
      </c>
      <c r="M16" t="s">
        <v>631</v>
      </c>
      <c r="N16" s="547">
        <v>2</v>
      </c>
      <c r="O16" s="547">
        <v>1906</v>
      </c>
      <c r="P16" t="s">
        <v>354</v>
      </c>
      <c r="S16" t="s">
        <v>546</v>
      </c>
      <c r="T16" s="547">
        <v>145</v>
      </c>
      <c r="U16" s="547">
        <v>2015</v>
      </c>
      <c r="V16" s="547" t="s">
        <v>355</v>
      </c>
    </row>
    <row r="17" spans="2:22">
      <c r="B17" s="866"/>
      <c r="C17" s="857"/>
      <c r="D17" s="857"/>
      <c r="E17" s="869" t="s">
        <v>48</v>
      </c>
      <c r="F17" s="868">
        <f>SUM(F8:F16)</f>
        <v>37423</v>
      </c>
      <c r="J17" t="s">
        <v>441</v>
      </c>
      <c r="K17" s="547">
        <v>5</v>
      </c>
      <c r="L17" s="547" t="s">
        <v>454</v>
      </c>
      <c r="M17" t="s">
        <v>631</v>
      </c>
      <c r="N17" s="547">
        <v>13</v>
      </c>
      <c r="O17" s="547">
        <v>1904</v>
      </c>
      <c r="P17" t="s">
        <v>354</v>
      </c>
      <c r="S17" t="s">
        <v>547</v>
      </c>
      <c r="T17" s="547">
        <v>205</v>
      </c>
      <c r="U17" s="547">
        <v>2015</v>
      </c>
      <c r="V17" s="547" t="s">
        <v>355</v>
      </c>
    </row>
    <row r="18" spans="2:22">
      <c r="J18" t="s">
        <v>442</v>
      </c>
      <c r="K18" s="547">
        <v>3</v>
      </c>
      <c r="L18" s="547" t="s">
        <v>455</v>
      </c>
      <c r="M18" t="s">
        <v>631</v>
      </c>
      <c r="N18" s="547">
        <v>15</v>
      </c>
      <c r="O18" s="547">
        <v>1938</v>
      </c>
      <c r="P18" t="s">
        <v>354</v>
      </c>
      <c r="S18" t="s">
        <v>548</v>
      </c>
      <c r="T18" s="547">
        <v>278</v>
      </c>
      <c r="U18" s="547">
        <v>2015</v>
      </c>
      <c r="V18" s="547" t="s">
        <v>557</v>
      </c>
    </row>
    <row r="19" spans="2:22">
      <c r="J19" t="s">
        <v>443</v>
      </c>
      <c r="K19" s="547">
        <v>5</v>
      </c>
      <c r="L19" s="547" t="s">
        <v>454</v>
      </c>
      <c r="M19" t="s">
        <v>463</v>
      </c>
      <c r="N19" s="547">
        <v>586</v>
      </c>
      <c r="O19" s="547">
        <v>1965</v>
      </c>
      <c r="P19" t="s">
        <v>354</v>
      </c>
      <c r="S19" t="s">
        <v>549</v>
      </c>
      <c r="T19" s="547">
        <v>528</v>
      </c>
      <c r="U19" s="547">
        <v>2014</v>
      </c>
      <c r="V19" s="547" t="s">
        <v>357</v>
      </c>
    </row>
    <row r="20" spans="2:22">
      <c r="J20" t="s">
        <v>444</v>
      </c>
      <c r="K20" s="547">
        <v>2</v>
      </c>
      <c r="L20" s="547" t="s">
        <v>455</v>
      </c>
      <c r="M20" t="s">
        <v>461</v>
      </c>
      <c r="N20" s="853">
        <v>2033</v>
      </c>
      <c r="O20" s="547">
        <v>1971</v>
      </c>
      <c r="P20" t="s">
        <v>354</v>
      </c>
      <c r="S20" t="s">
        <v>550</v>
      </c>
      <c r="T20" s="547">
        <v>465</v>
      </c>
      <c r="U20" s="547">
        <v>2016</v>
      </c>
      <c r="V20" s="547" t="s">
        <v>637</v>
      </c>
    </row>
    <row r="21" spans="2:22">
      <c r="J21" t="s">
        <v>445</v>
      </c>
      <c r="K21" s="547">
        <v>3</v>
      </c>
      <c r="L21" s="547" t="s">
        <v>454</v>
      </c>
      <c r="M21" t="s">
        <v>461</v>
      </c>
      <c r="N21" s="547">
        <v>705</v>
      </c>
      <c r="O21" s="547">
        <v>1958</v>
      </c>
      <c r="P21" t="s">
        <v>354</v>
      </c>
      <c r="S21" t="s">
        <v>551</v>
      </c>
      <c r="T21" s="547">
        <v>165</v>
      </c>
      <c r="U21" s="547">
        <v>2012</v>
      </c>
      <c r="V21" s="547" t="s">
        <v>798</v>
      </c>
    </row>
    <row r="22" spans="2:22">
      <c r="J22" t="s">
        <v>446</v>
      </c>
      <c r="K22" s="547">
        <v>2</v>
      </c>
      <c r="L22" s="547" t="s">
        <v>454</v>
      </c>
      <c r="M22" t="s">
        <v>461</v>
      </c>
      <c r="N22" s="547">
        <v>335</v>
      </c>
      <c r="O22" s="547">
        <v>1918</v>
      </c>
      <c r="P22" t="s">
        <v>354</v>
      </c>
      <c r="S22" t="s">
        <v>552</v>
      </c>
      <c r="T22" s="547">
        <v>840</v>
      </c>
      <c r="U22" s="547">
        <v>2015</v>
      </c>
      <c r="V22" s="547" t="s">
        <v>798</v>
      </c>
    </row>
    <row r="23" spans="2:22">
      <c r="J23" t="s">
        <v>447</v>
      </c>
      <c r="K23" s="547">
        <v>2</v>
      </c>
      <c r="L23" s="547" t="s">
        <v>455</v>
      </c>
      <c r="M23" t="s">
        <v>461</v>
      </c>
      <c r="N23" s="547">
        <v>400</v>
      </c>
      <c r="O23" s="547">
        <v>1953</v>
      </c>
      <c r="P23" t="s">
        <v>354</v>
      </c>
      <c r="S23" t="s">
        <v>553</v>
      </c>
      <c r="T23" s="547">
        <v>100</v>
      </c>
      <c r="U23" s="547">
        <v>2015</v>
      </c>
      <c r="V23" s="547" t="s">
        <v>798</v>
      </c>
    </row>
    <row r="24" spans="2:22">
      <c r="J24" t="s">
        <v>448</v>
      </c>
      <c r="K24" s="547">
        <v>1</v>
      </c>
      <c r="L24" s="547" t="s">
        <v>455</v>
      </c>
      <c r="M24" t="s">
        <v>461</v>
      </c>
      <c r="N24" s="853">
        <v>1320</v>
      </c>
      <c r="O24" s="547">
        <v>1980</v>
      </c>
      <c r="P24" t="s">
        <v>354</v>
      </c>
      <c r="S24" t="s">
        <v>554</v>
      </c>
      <c r="T24" s="547">
        <v>300</v>
      </c>
      <c r="U24" s="547">
        <v>2015</v>
      </c>
      <c r="V24" s="547" t="s">
        <v>798</v>
      </c>
    </row>
    <row r="25" spans="2:22">
      <c r="J25" t="s">
        <v>449</v>
      </c>
      <c r="K25" s="547">
        <v>2</v>
      </c>
      <c r="L25" s="547" t="s">
        <v>455</v>
      </c>
      <c r="M25" t="s">
        <v>461</v>
      </c>
      <c r="N25" s="547">
        <v>300</v>
      </c>
      <c r="O25" s="547">
        <v>1950</v>
      </c>
      <c r="P25" t="s">
        <v>354</v>
      </c>
      <c r="S25" t="s">
        <v>555</v>
      </c>
      <c r="T25" s="547">
        <v>630</v>
      </c>
      <c r="U25" s="547">
        <v>2015</v>
      </c>
      <c r="V25" s="547" t="s">
        <v>798</v>
      </c>
    </row>
    <row r="26" spans="2:22">
      <c r="J26" t="s">
        <v>450</v>
      </c>
      <c r="K26" s="547">
        <v>1</v>
      </c>
      <c r="L26" s="547" t="s">
        <v>1009</v>
      </c>
      <c r="M26" t="s">
        <v>462</v>
      </c>
      <c r="N26" s="547">
        <v>580</v>
      </c>
      <c r="O26" s="547">
        <v>2012</v>
      </c>
      <c r="P26" t="s">
        <v>354</v>
      </c>
      <c r="S26" t="s">
        <v>556</v>
      </c>
      <c r="T26" s="547">
        <v>53</v>
      </c>
      <c r="U26" s="547">
        <v>2015</v>
      </c>
      <c r="V26" s="547" t="s">
        <v>798</v>
      </c>
    </row>
    <row r="27" spans="2:22">
      <c r="J27" t="s">
        <v>451</v>
      </c>
      <c r="K27" s="547">
        <v>6</v>
      </c>
      <c r="L27" s="547" t="s">
        <v>455</v>
      </c>
      <c r="M27" t="s">
        <v>462</v>
      </c>
      <c r="N27" s="547">
        <v>516</v>
      </c>
      <c r="O27" s="547">
        <v>2001</v>
      </c>
      <c r="P27" t="s">
        <v>354</v>
      </c>
      <c r="T27" s="80">
        <f>SUM(T8:T26)</f>
        <v>5124</v>
      </c>
    </row>
    <row r="28" spans="2:22">
      <c r="J28" t="s">
        <v>452</v>
      </c>
      <c r="K28" s="547">
        <v>2</v>
      </c>
      <c r="L28" s="547" t="s">
        <v>456</v>
      </c>
      <c r="M28" t="s">
        <v>461</v>
      </c>
      <c r="N28" s="853">
        <v>1078</v>
      </c>
      <c r="O28" s="547">
        <v>1963</v>
      </c>
      <c r="P28" t="s">
        <v>617</v>
      </c>
    </row>
    <row r="29" spans="2:22">
      <c r="J29" t="s">
        <v>464</v>
      </c>
      <c r="K29" s="547">
        <v>12</v>
      </c>
      <c r="L29" s="547" t="s">
        <v>487</v>
      </c>
      <c r="M29" t="s">
        <v>631</v>
      </c>
      <c r="N29" s="547">
        <v>7</v>
      </c>
      <c r="O29" s="547">
        <v>1908</v>
      </c>
      <c r="P29" t="s">
        <v>355</v>
      </c>
    </row>
    <row r="30" spans="2:22">
      <c r="J30" t="s">
        <v>465</v>
      </c>
      <c r="K30" s="547">
        <v>10</v>
      </c>
      <c r="L30" s="547" t="s">
        <v>487</v>
      </c>
      <c r="M30" t="s">
        <v>631</v>
      </c>
      <c r="N30" s="547">
        <v>4</v>
      </c>
      <c r="O30" s="547">
        <v>1919</v>
      </c>
      <c r="P30" t="s">
        <v>355</v>
      </c>
    </row>
    <row r="31" spans="2:22">
      <c r="J31" t="s">
        <v>466</v>
      </c>
      <c r="K31" s="547">
        <v>4</v>
      </c>
      <c r="L31" s="547" t="s">
        <v>487</v>
      </c>
      <c r="M31" t="s">
        <v>631</v>
      </c>
      <c r="N31" s="547">
        <v>1</v>
      </c>
      <c r="O31" s="547">
        <v>1921</v>
      </c>
      <c r="P31" t="s">
        <v>355</v>
      </c>
    </row>
    <row r="32" spans="2:22">
      <c r="J32" t="s">
        <v>467</v>
      </c>
      <c r="K32" s="547">
        <v>3</v>
      </c>
      <c r="L32" s="547" t="s">
        <v>453</v>
      </c>
      <c r="M32" t="s">
        <v>631</v>
      </c>
      <c r="N32" s="547">
        <v>3</v>
      </c>
      <c r="O32" s="547">
        <v>1913</v>
      </c>
      <c r="P32" t="s">
        <v>355</v>
      </c>
    </row>
    <row r="33" spans="10:16">
      <c r="J33" t="s">
        <v>468</v>
      </c>
      <c r="K33" s="547">
        <v>4</v>
      </c>
      <c r="L33" s="547" t="s">
        <v>487</v>
      </c>
      <c r="M33" t="s">
        <v>631</v>
      </c>
      <c r="N33" s="547">
        <v>2</v>
      </c>
      <c r="O33" s="547">
        <v>1923</v>
      </c>
      <c r="P33" t="s">
        <v>355</v>
      </c>
    </row>
    <row r="34" spans="10:16">
      <c r="J34" t="s">
        <v>469</v>
      </c>
      <c r="K34" s="547">
        <v>6</v>
      </c>
      <c r="L34" s="547" t="s">
        <v>453</v>
      </c>
      <c r="M34" t="s">
        <v>631</v>
      </c>
      <c r="N34" s="547">
        <v>5</v>
      </c>
      <c r="O34" s="547">
        <v>1904</v>
      </c>
      <c r="P34" t="s">
        <v>355</v>
      </c>
    </row>
    <row r="35" spans="10:16">
      <c r="J35" t="s">
        <v>432</v>
      </c>
      <c r="K35" s="547">
        <v>2</v>
      </c>
      <c r="L35" s="547" t="s">
        <v>453</v>
      </c>
      <c r="M35" t="s">
        <v>461</v>
      </c>
      <c r="N35" s="853">
        <v>1310</v>
      </c>
      <c r="O35" s="547">
        <v>1984</v>
      </c>
      <c r="P35" t="s">
        <v>355</v>
      </c>
    </row>
    <row r="36" spans="10:16">
      <c r="J36" t="s">
        <v>470</v>
      </c>
      <c r="K36" s="547">
        <v>4</v>
      </c>
      <c r="L36" s="547" t="s">
        <v>453</v>
      </c>
      <c r="M36" t="s">
        <v>461</v>
      </c>
      <c r="N36" s="547">
        <v>995</v>
      </c>
      <c r="O36" s="547">
        <v>1951</v>
      </c>
      <c r="P36" t="s">
        <v>355</v>
      </c>
    </row>
    <row r="37" spans="10:16">
      <c r="J37" t="s">
        <v>471</v>
      </c>
      <c r="K37" s="547">
        <v>2</v>
      </c>
      <c r="L37" s="547" t="s">
        <v>487</v>
      </c>
      <c r="M37" t="s">
        <v>488</v>
      </c>
      <c r="N37" s="853">
        <v>2191</v>
      </c>
      <c r="O37" s="547">
        <v>1975</v>
      </c>
      <c r="P37" t="s">
        <v>355</v>
      </c>
    </row>
    <row r="38" spans="10:16">
      <c r="J38" t="s">
        <v>472</v>
      </c>
      <c r="K38" s="547">
        <v>2</v>
      </c>
      <c r="L38" s="547" t="s">
        <v>1009</v>
      </c>
      <c r="M38" t="s">
        <v>631</v>
      </c>
      <c r="N38" s="547">
        <v>48</v>
      </c>
      <c r="O38" s="547">
        <v>1982</v>
      </c>
      <c r="P38" t="s">
        <v>356</v>
      </c>
    </row>
    <row r="39" spans="10:16">
      <c r="J39" t="s">
        <v>473</v>
      </c>
      <c r="K39" s="547">
        <v>6</v>
      </c>
      <c r="L39" s="547" t="s">
        <v>1009</v>
      </c>
      <c r="M39" t="s">
        <v>462</v>
      </c>
      <c r="N39" s="547">
        <v>507</v>
      </c>
      <c r="O39" s="547">
        <v>2001</v>
      </c>
      <c r="P39" t="s">
        <v>356</v>
      </c>
    </row>
    <row r="40" spans="10:16">
      <c r="J40" t="s">
        <v>474</v>
      </c>
      <c r="K40" s="547">
        <v>4</v>
      </c>
      <c r="L40" s="547" t="s">
        <v>1009</v>
      </c>
      <c r="M40" t="s">
        <v>462</v>
      </c>
      <c r="N40" s="547">
        <v>840</v>
      </c>
      <c r="O40" s="547">
        <v>2003</v>
      </c>
      <c r="P40" t="s">
        <v>356</v>
      </c>
    </row>
    <row r="41" spans="10:16">
      <c r="J41" t="s">
        <v>475</v>
      </c>
      <c r="K41" s="547">
        <v>1</v>
      </c>
      <c r="L41" s="547" t="s">
        <v>1009</v>
      </c>
      <c r="M41" t="s">
        <v>461</v>
      </c>
      <c r="N41" s="547">
        <v>595</v>
      </c>
      <c r="O41" s="547">
        <v>1967</v>
      </c>
      <c r="P41" t="s">
        <v>356</v>
      </c>
    </row>
    <row r="42" spans="10:16">
      <c r="J42" t="s">
        <v>476</v>
      </c>
      <c r="K42" s="547">
        <v>2</v>
      </c>
      <c r="L42" s="547" t="s">
        <v>1009</v>
      </c>
      <c r="M42" t="s">
        <v>461</v>
      </c>
      <c r="N42" s="853">
        <v>2640</v>
      </c>
      <c r="O42" s="547">
        <v>1974</v>
      </c>
      <c r="P42" t="s">
        <v>356</v>
      </c>
    </row>
    <row r="43" spans="10:16">
      <c r="J43" t="s">
        <v>477</v>
      </c>
      <c r="K43" s="547">
        <v>5</v>
      </c>
      <c r="L43" s="547" t="s">
        <v>1009</v>
      </c>
      <c r="M43" t="s">
        <v>461</v>
      </c>
      <c r="N43" s="853">
        <v>1440</v>
      </c>
      <c r="O43" s="547">
        <v>1953</v>
      </c>
      <c r="P43" t="s">
        <v>356</v>
      </c>
    </row>
    <row r="44" spans="10:16">
      <c r="J44" t="s">
        <v>478</v>
      </c>
      <c r="K44" s="547">
        <v>1</v>
      </c>
      <c r="L44" s="547" t="s">
        <v>1009</v>
      </c>
      <c r="M44" t="s">
        <v>461</v>
      </c>
      <c r="N44" s="547">
        <v>100</v>
      </c>
      <c r="O44" s="547">
        <v>1926</v>
      </c>
      <c r="P44" t="s">
        <v>356</v>
      </c>
    </row>
    <row r="45" spans="10:16">
      <c r="J45" t="s">
        <v>479</v>
      </c>
      <c r="K45" s="547">
        <v>1</v>
      </c>
      <c r="L45" s="547" t="s">
        <v>1009</v>
      </c>
      <c r="M45" t="s">
        <v>461</v>
      </c>
      <c r="N45" s="547">
        <v>53</v>
      </c>
      <c r="O45" s="547">
        <v>1969</v>
      </c>
      <c r="P45" t="s">
        <v>356</v>
      </c>
    </row>
    <row r="46" spans="10:16">
      <c r="J46" t="s">
        <v>480</v>
      </c>
      <c r="K46" s="547">
        <v>4</v>
      </c>
      <c r="L46" s="547" t="s">
        <v>1009</v>
      </c>
      <c r="M46" t="s">
        <v>461</v>
      </c>
      <c r="N46" s="853">
        <v>1304</v>
      </c>
      <c r="O46" s="547">
        <v>1957</v>
      </c>
      <c r="P46" t="s">
        <v>356</v>
      </c>
    </row>
    <row r="47" spans="10:16">
      <c r="J47" t="s">
        <v>481</v>
      </c>
      <c r="K47" s="547">
        <v>4</v>
      </c>
      <c r="L47" s="547" t="s">
        <v>1009</v>
      </c>
      <c r="M47" t="s">
        <v>461</v>
      </c>
      <c r="N47" s="547">
        <v>608</v>
      </c>
      <c r="O47" s="547">
        <v>1971</v>
      </c>
      <c r="P47" t="s">
        <v>356</v>
      </c>
    </row>
    <row r="48" spans="10:16">
      <c r="J48" t="s">
        <v>482</v>
      </c>
      <c r="K48" s="547">
        <v>1</v>
      </c>
      <c r="L48" s="547" t="s">
        <v>1009</v>
      </c>
      <c r="M48" t="s">
        <v>461</v>
      </c>
      <c r="N48" s="547">
        <v>330</v>
      </c>
      <c r="O48" s="547">
        <v>1991</v>
      </c>
      <c r="P48" t="s">
        <v>356</v>
      </c>
    </row>
    <row r="49" spans="10:16">
      <c r="J49" t="s">
        <v>481</v>
      </c>
      <c r="K49" s="547">
        <v>4</v>
      </c>
      <c r="L49" s="547" t="s">
        <v>1009</v>
      </c>
      <c r="M49" t="s">
        <v>489</v>
      </c>
      <c r="N49" s="547">
        <v>3</v>
      </c>
      <c r="O49" s="547">
        <v>1970</v>
      </c>
      <c r="P49" t="s">
        <v>356</v>
      </c>
    </row>
    <row r="50" spans="10:16">
      <c r="J50" t="s">
        <v>483</v>
      </c>
      <c r="K50" s="547">
        <v>1</v>
      </c>
      <c r="L50" s="547" t="s">
        <v>455</v>
      </c>
      <c r="M50" t="s">
        <v>461</v>
      </c>
      <c r="N50" s="547">
        <v>867</v>
      </c>
      <c r="O50" s="547">
        <v>1973</v>
      </c>
      <c r="P50" t="s">
        <v>356</v>
      </c>
    </row>
    <row r="51" spans="10:16">
      <c r="J51" t="s">
        <v>484</v>
      </c>
      <c r="K51" s="547">
        <v>3</v>
      </c>
      <c r="L51" s="547" t="s">
        <v>455</v>
      </c>
      <c r="M51" t="s">
        <v>461</v>
      </c>
      <c r="N51" s="547">
        <v>630</v>
      </c>
      <c r="O51" s="547">
        <v>1958</v>
      </c>
      <c r="P51" t="s">
        <v>356</v>
      </c>
    </row>
    <row r="52" spans="10:16">
      <c r="J52" t="s">
        <v>485</v>
      </c>
      <c r="K52" s="547">
        <v>2</v>
      </c>
      <c r="L52" s="547" t="s">
        <v>455</v>
      </c>
      <c r="M52" t="s">
        <v>461</v>
      </c>
      <c r="N52" s="853">
        <v>1560</v>
      </c>
      <c r="O52" s="547">
        <v>1971</v>
      </c>
      <c r="P52" t="s">
        <v>356</v>
      </c>
    </row>
    <row r="53" spans="10:16">
      <c r="J53" t="s">
        <v>486</v>
      </c>
      <c r="K53" s="547">
        <v>2</v>
      </c>
      <c r="L53" s="547" t="s">
        <v>455</v>
      </c>
      <c r="M53" t="s">
        <v>461</v>
      </c>
      <c r="N53" s="547">
        <v>300</v>
      </c>
      <c r="O53" s="547">
        <v>1950</v>
      </c>
      <c r="P53" t="s">
        <v>356</v>
      </c>
    </row>
    <row r="54" spans="10:16">
      <c r="J54" t="s">
        <v>491</v>
      </c>
      <c r="K54" s="547">
        <v>3</v>
      </c>
      <c r="L54" s="547" t="s">
        <v>515</v>
      </c>
      <c r="M54" t="s">
        <v>519</v>
      </c>
      <c r="N54" s="547">
        <v>370</v>
      </c>
      <c r="O54" s="547">
        <v>1923</v>
      </c>
      <c r="P54" t="s">
        <v>637</v>
      </c>
    </row>
    <row r="55" spans="10:16">
      <c r="J55" t="s">
        <v>491</v>
      </c>
      <c r="K55" s="547">
        <v>3</v>
      </c>
      <c r="L55" s="547" t="s">
        <v>515</v>
      </c>
      <c r="M55" t="s">
        <v>489</v>
      </c>
      <c r="N55" s="547">
        <v>8</v>
      </c>
      <c r="O55" s="547">
        <v>1967</v>
      </c>
      <c r="P55" t="s">
        <v>637</v>
      </c>
    </row>
    <row r="56" spans="10:16">
      <c r="J56" t="s">
        <v>492</v>
      </c>
      <c r="K56" s="547">
        <v>2</v>
      </c>
      <c r="L56" s="547" t="s">
        <v>515</v>
      </c>
      <c r="M56" t="s">
        <v>519</v>
      </c>
      <c r="N56" s="547">
        <v>909</v>
      </c>
      <c r="O56" s="547">
        <v>1974</v>
      </c>
      <c r="P56" t="s">
        <v>637</v>
      </c>
    </row>
    <row r="57" spans="10:16">
      <c r="J57" t="s">
        <v>493</v>
      </c>
      <c r="K57" s="547">
        <v>2</v>
      </c>
      <c r="L57" s="547" t="s">
        <v>515</v>
      </c>
      <c r="M57" t="s">
        <v>519</v>
      </c>
      <c r="N57" s="547">
        <v>160</v>
      </c>
      <c r="O57" s="547">
        <v>2008</v>
      </c>
      <c r="P57" t="s">
        <v>637</v>
      </c>
    </row>
    <row r="58" spans="10:16">
      <c r="J58" t="s">
        <v>494</v>
      </c>
      <c r="K58" s="547">
        <v>1</v>
      </c>
      <c r="L58" s="547" t="s">
        <v>515</v>
      </c>
      <c r="M58" t="s">
        <v>489</v>
      </c>
      <c r="N58" s="547">
        <v>3</v>
      </c>
      <c r="O58" s="547">
        <v>1976</v>
      </c>
      <c r="P58" t="s">
        <v>637</v>
      </c>
    </row>
    <row r="59" spans="10:16">
      <c r="J59" t="s">
        <v>495</v>
      </c>
      <c r="K59" s="547">
        <v>4</v>
      </c>
      <c r="L59" s="547" t="s">
        <v>515</v>
      </c>
      <c r="M59" t="s">
        <v>519</v>
      </c>
      <c r="N59" s="547">
        <v>920</v>
      </c>
      <c r="O59" s="547">
        <v>1961</v>
      </c>
      <c r="P59" t="s">
        <v>637</v>
      </c>
    </row>
    <row r="60" spans="10:16">
      <c r="J60" t="s">
        <v>496</v>
      </c>
      <c r="K60" s="547">
        <v>1</v>
      </c>
      <c r="L60" s="547" t="s">
        <v>515</v>
      </c>
      <c r="M60" t="s">
        <v>489</v>
      </c>
      <c r="N60" s="547">
        <v>3</v>
      </c>
      <c r="O60" s="547">
        <v>1961</v>
      </c>
      <c r="P60" t="s">
        <v>637</v>
      </c>
    </row>
    <row r="61" spans="10:16">
      <c r="J61" t="s">
        <v>497</v>
      </c>
      <c r="K61" s="547">
        <v>3</v>
      </c>
      <c r="L61" s="547" t="s">
        <v>515</v>
      </c>
      <c r="M61" t="s">
        <v>519</v>
      </c>
      <c r="N61" s="547">
        <v>470</v>
      </c>
      <c r="O61" s="547">
        <v>1952</v>
      </c>
      <c r="P61" t="s">
        <v>637</v>
      </c>
    </row>
    <row r="62" spans="10:16">
      <c r="J62" t="s">
        <v>498</v>
      </c>
      <c r="K62" s="547">
        <v>2</v>
      </c>
      <c r="L62" s="547" t="s">
        <v>515</v>
      </c>
      <c r="M62" t="s">
        <v>519</v>
      </c>
      <c r="N62" s="547">
        <v>170</v>
      </c>
      <c r="O62" s="547">
        <v>2008</v>
      </c>
      <c r="P62" t="s">
        <v>637</v>
      </c>
    </row>
    <row r="63" spans="10:16">
      <c r="J63" t="s">
        <v>499</v>
      </c>
      <c r="K63" s="547">
        <v>1</v>
      </c>
      <c r="L63" s="547" t="s">
        <v>515</v>
      </c>
      <c r="M63" t="s">
        <v>489</v>
      </c>
      <c r="N63" s="547">
        <v>2</v>
      </c>
      <c r="O63" s="547">
        <v>1962</v>
      </c>
      <c r="P63" t="s">
        <v>637</v>
      </c>
    </row>
    <row r="64" spans="10:16">
      <c r="J64" t="s">
        <v>500</v>
      </c>
      <c r="K64" s="547">
        <v>3</v>
      </c>
      <c r="L64" s="547" t="s">
        <v>515</v>
      </c>
      <c r="M64" t="s">
        <v>519</v>
      </c>
      <c r="N64" s="547">
        <v>260</v>
      </c>
      <c r="O64" s="547">
        <v>1973</v>
      </c>
      <c r="P64" t="s">
        <v>637</v>
      </c>
    </row>
    <row r="65" spans="10:16">
      <c r="J65" t="s">
        <v>500</v>
      </c>
      <c r="K65" s="547">
        <v>2</v>
      </c>
      <c r="L65" s="547" t="s">
        <v>515</v>
      </c>
      <c r="M65" t="s">
        <v>489</v>
      </c>
      <c r="N65" s="547">
        <v>4</v>
      </c>
      <c r="O65" s="547">
        <v>1962</v>
      </c>
      <c r="P65" t="s">
        <v>637</v>
      </c>
    </row>
    <row r="66" spans="10:16">
      <c r="J66" t="s">
        <v>501</v>
      </c>
      <c r="K66" s="547">
        <v>3</v>
      </c>
      <c r="L66" s="547" t="s">
        <v>515</v>
      </c>
      <c r="M66" t="s">
        <v>519</v>
      </c>
      <c r="N66" s="547">
        <v>200</v>
      </c>
      <c r="O66" s="547">
        <v>1975</v>
      </c>
      <c r="P66" t="s">
        <v>637</v>
      </c>
    </row>
    <row r="67" spans="10:16">
      <c r="J67" t="s">
        <v>501</v>
      </c>
      <c r="K67" s="547">
        <v>2</v>
      </c>
      <c r="L67" s="547" t="s">
        <v>515</v>
      </c>
      <c r="M67" t="s">
        <v>489</v>
      </c>
      <c r="N67" s="547">
        <v>4</v>
      </c>
      <c r="O67" s="547">
        <v>1963</v>
      </c>
      <c r="P67" t="s">
        <v>637</v>
      </c>
    </row>
    <row r="68" spans="10:16">
      <c r="J68" t="s">
        <v>502</v>
      </c>
      <c r="K68" s="547">
        <v>2</v>
      </c>
      <c r="L68" s="547" t="s">
        <v>515</v>
      </c>
      <c r="M68" t="s">
        <v>461</v>
      </c>
      <c r="N68" s="547">
        <v>930</v>
      </c>
      <c r="O68" s="547">
        <v>1979</v>
      </c>
      <c r="P68" t="s">
        <v>637</v>
      </c>
    </row>
    <row r="69" spans="10:16">
      <c r="J69" t="s">
        <v>496</v>
      </c>
      <c r="K69" s="547">
        <v>1</v>
      </c>
      <c r="L69" s="547" t="s">
        <v>515</v>
      </c>
      <c r="M69" t="s">
        <v>489</v>
      </c>
      <c r="N69" s="547">
        <v>1</v>
      </c>
      <c r="O69" s="547">
        <v>1980</v>
      </c>
      <c r="P69" t="s">
        <v>637</v>
      </c>
    </row>
    <row r="70" spans="10:16">
      <c r="J70" t="s">
        <v>503</v>
      </c>
      <c r="K70" s="547">
        <v>1</v>
      </c>
      <c r="L70" s="547" t="s">
        <v>516</v>
      </c>
      <c r="M70" t="s">
        <v>461</v>
      </c>
      <c r="N70" s="547">
        <v>102</v>
      </c>
      <c r="O70" s="547">
        <v>1986</v>
      </c>
      <c r="P70" t="s">
        <v>637</v>
      </c>
    </row>
    <row r="71" spans="10:16">
      <c r="J71" t="s">
        <v>504</v>
      </c>
      <c r="K71" s="547">
        <v>1</v>
      </c>
      <c r="L71" s="547" t="s">
        <v>517</v>
      </c>
      <c r="M71" t="s">
        <v>519</v>
      </c>
      <c r="N71" s="547">
        <v>110</v>
      </c>
      <c r="O71" s="547">
        <v>1960</v>
      </c>
      <c r="P71" t="s">
        <v>357</v>
      </c>
    </row>
    <row r="72" spans="10:16">
      <c r="J72" t="s">
        <v>505</v>
      </c>
      <c r="K72" s="547">
        <v>4</v>
      </c>
      <c r="L72" s="547" t="s">
        <v>517</v>
      </c>
      <c r="M72" t="s">
        <v>519</v>
      </c>
      <c r="N72" s="547">
        <v>271</v>
      </c>
      <c r="O72" s="547">
        <v>1947</v>
      </c>
      <c r="P72" t="s">
        <v>357</v>
      </c>
    </row>
    <row r="73" spans="10:16">
      <c r="J73" t="s">
        <v>506</v>
      </c>
      <c r="K73" s="547">
        <v>4</v>
      </c>
      <c r="L73" s="547" t="s">
        <v>516</v>
      </c>
      <c r="M73" t="s">
        <v>519</v>
      </c>
      <c r="N73" s="547">
        <v>480</v>
      </c>
      <c r="O73" s="547">
        <v>1950</v>
      </c>
      <c r="P73" t="s">
        <v>357</v>
      </c>
    </row>
    <row r="74" spans="10:16">
      <c r="J74" t="s">
        <v>507</v>
      </c>
      <c r="K74" s="547">
        <v>3</v>
      </c>
      <c r="L74" s="547" t="s">
        <v>516</v>
      </c>
      <c r="M74" t="s">
        <v>519</v>
      </c>
      <c r="N74" s="547">
        <v>856</v>
      </c>
      <c r="O74" s="547">
        <v>1964</v>
      </c>
      <c r="P74" t="s">
        <v>357</v>
      </c>
    </row>
    <row r="75" spans="10:16">
      <c r="J75" t="s">
        <v>508</v>
      </c>
      <c r="K75" s="547">
        <v>1</v>
      </c>
      <c r="L75" s="547" t="s">
        <v>516</v>
      </c>
      <c r="M75" t="s">
        <v>519</v>
      </c>
      <c r="N75" s="547">
        <v>50</v>
      </c>
      <c r="O75" s="547">
        <v>1954</v>
      </c>
      <c r="P75" t="s">
        <v>357</v>
      </c>
    </row>
    <row r="76" spans="10:16">
      <c r="J76" t="s">
        <v>509</v>
      </c>
      <c r="K76" s="547">
        <v>1</v>
      </c>
      <c r="L76" s="547" t="s">
        <v>517</v>
      </c>
      <c r="M76" t="s">
        <v>462</v>
      </c>
      <c r="N76" s="547">
        <v>543</v>
      </c>
      <c r="O76" s="547">
        <v>2010</v>
      </c>
      <c r="P76" t="s">
        <v>357</v>
      </c>
    </row>
    <row r="77" spans="10:16">
      <c r="J77" t="s">
        <v>510</v>
      </c>
      <c r="K77" s="547">
        <v>4</v>
      </c>
      <c r="L77" s="547" t="s">
        <v>518</v>
      </c>
      <c r="M77" t="s">
        <v>462</v>
      </c>
      <c r="N77" s="547">
        <v>312</v>
      </c>
      <c r="O77" s="547">
        <v>2007</v>
      </c>
      <c r="P77" t="s">
        <v>357</v>
      </c>
    </row>
    <row r="78" spans="10:16">
      <c r="J78" t="s">
        <v>511</v>
      </c>
      <c r="K78" s="547">
        <v>3</v>
      </c>
      <c r="L78" s="547" t="s">
        <v>516</v>
      </c>
      <c r="M78" t="s">
        <v>461</v>
      </c>
      <c r="N78" s="853">
        <v>1584</v>
      </c>
      <c r="O78" s="547">
        <v>1977</v>
      </c>
      <c r="P78" t="s">
        <v>357</v>
      </c>
    </row>
    <row r="79" spans="10:16">
      <c r="J79" t="s">
        <v>512</v>
      </c>
      <c r="K79" s="547">
        <v>1</v>
      </c>
      <c r="L79" s="547" t="s">
        <v>518</v>
      </c>
      <c r="M79" t="s">
        <v>461</v>
      </c>
      <c r="N79" s="547">
        <v>264</v>
      </c>
      <c r="O79" s="547">
        <v>1978</v>
      </c>
      <c r="P79" t="s">
        <v>357</v>
      </c>
    </row>
    <row r="80" spans="10:16">
      <c r="J80" t="s">
        <v>513</v>
      </c>
      <c r="K80" s="547">
        <v>1</v>
      </c>
      <c r="L80" s="547" t="s">
        <v>516</v>
      </c>
      <c r="M80" t="s">
        <v>520</v>
      </c>
      <c r="N80" s="547">
        <v>580</v>
      </c>
      <c r="O80" s="547">
        <v>1985</v>
      </c>
      <c r="P80" t="s">
        <v>357</v>
      </c>
    </row>
    <row r="81" spans="2:16">
      <c r="J81" t="s">
        <v>514</v>
      </c>
      <c r="K81" s="547">
        <v>1</v>
      </c>
      <c r="L81" s="547" t="s">
        <v>517</v>
      </c>
      <c r="M81" t="s">
        <v>520</v>
      </c>
      <c r="N81" s="547">
        <v>262</v>
      </c>
      <c r="O81" s="547">
        <v>1986</v>
      </c>
      <c r="P81" t="s">
        <v>357</v>
      </c>
    </row>
    <row r="82" spans="2:16">
      <c r="J82" t="s">
        <v>503</v>
      </c>
      <c r="K82" s="547">
        <v>1</v>
      </c>
      <c r="L82" s="547" t="s">
        <v>516</v>
      </c>
      <c r="M82" t="s">
        <v>461</v>
      </c>
      <c r="N82" s="547">
        <v>377</v>
      </c>
      <c r="O82" s="547">
        <v>1986</v>
      </c>
      <c r="P82" t="s">
        <v>297</v>
      </c>
    </row>
    <row r="83" spans="2:16">
      <c r="J83" t="s">
        <v>521</v>
      </c>
      <c r="K83" s="547">
        <v>1</v>
      </c>
      <c r="L83" s="547" t="s">
        <v>516</v>
      </c>
      <c r="M83" t="s">
        <v>524</v>
      </c>
      <c r="N83" s="547">
        <v>150</v>
      </c>
      <c r="O83" s="547">
        <v>2001</v>
      </c>
      <c r="P83" t="s">
        <v>523</v>
      </c>
    </row>
    <row r="84" spans="2:16">
      <c r="J84" t="s">
        <v>522</v>
      </c>
      <c r="K84" s="547">
        <v>1</v>
      </c>
      <c r="L84" s="547" t="s">
        <v>516</v>
      </c>
      <c r="M84" t="s">
        <v>525</v>
      </c>
      <c r="N84" s="547">
        <v>161</v>
      </c>
      <c r="O84" s="547">
        <v>2001</v>
      </c>
      <c r="P84" t="s">
        <v>523</v>
      </c>
    </row>
    <row r="86" spans="2:16">
      <c r="B86" s="56"/>
    </row>
  </sheetData>
  <phoneticPr fontId="40" type="noConversion"/>
  <pageMargins left="0.75" right="0.75" top="1" bottom="1" header="0.5" footer="0.5"/>
  <pageSetup orientation="portrait" horizontalDpi="300" verticalDpi="300" r:id="rId1"/>
  <headerFooter alignWithMargins="0"/>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43"/>
  <sheetViews>
    <sheetView workbookViewId="0">
      <selection activeCell="B42" sqref="B42"/>
    </sheetView>
  </sheetViews>
  <sheetFormatPr defaultRowHeight="12.75"/>
  <cols>
    <col min="1" max="1" width="29.5703125" style="1" bestFit="1" customWidth="1"/>
    <col min="2" max="2" width="19.85546875" style="1956" customWidth="1"/>
    <col min="3" max="3" width="12" style="1" bestFit="1" customWidth="1"/>
    <col min="4" max="256" width="9.140625" style="1"/>
    <col min="257" max="257" width="29.5703125" style="1" bestFit="1" customWidth="1"/>
    <col min="258" max="258" width="19.85546875" style="1" customWidth="1"/>
    <col min="259" max="259" width="12" style="1" bestFit="1" customWidth="1"/>
    <col min="260" max="512" width="9.140625" style="1"/>
    <col min="513" max="513" width="29.5703125" style="1" bestFit="1" customWidth="1"/>
    <col min="514" max="514" width="19.85546875" style="1" customWidth="1"/>
    <col min="515" max="515" width="12" style="1" bestFit="1" customWidth="1"/>
    <col min="516" max="768" width="9.140625" style="1"/>
    <col min="769" max="769" width="29.5703125" style="1" bestFit="1" customWidth="1"/>
    <col min="770" max="770" width="19.85546875" style="1" customWidth="1"/>
    <col min="771" max="771" width="12" style="1" bestFit="1" customWidth="1"/>
    <col min="772" max="1024" width="9.140625" style="1"/>
    <col min="1025" max="1025" width="29.5703125" style="1" bestFit="1" customWidth="1"/>
    <col min="1026" max="1026" width="19.85546875" style="1" customWidth="1"/>
    <col min="1027" max="1027" width="12" style="1" bestFit="1" customWidth="1"/>
    <col min="1028" max="1280" width="9.140625" style="1"/>
    <col min="1281" max="1281" width="29.5703125" style="1" bestFit="1" customWidth="1"/>
    <col min="1282" max="1282" width="19.85546875" style="1" customWidth="1"/>
    <col min="1283" max="1283" width="12" style="1" bestFit="1" customWidth="1"/>
    <col min="1284" max="1536" width="9.140625" style="1"/>
    <col min="1537" max="1537" width="29.5703125" style="1" bestFit="1" customWidth="1"/>
    <col min="1538" max="1538" width="19.85546875" style="1" customWidth="1"/>
    <col min="1539" max="1539" width="12" style="1" bestFit="1" customWidth="1"/>
    <col min="1540" max="1792" width="9.140625" style="1"/>
    <col min="1793" max="1793" width="29.5703125" style="1" bestFit="1" customWidth="1"/>
    <col min="1794" max="1794" width="19.85546875" style="1" customWidth="1"/>
    <col min="1795" max="1795" width="12" style="1" bestFit="1" customWidth="1"/>
    <col min="1796" max="2048" width="9.140625" style="1"/>
    <col min="2049" max="2049" width="29.5703125" style="1" bestFit="1" customWidth="1"/>
    <col min="2050" max="2050" width="19.85546875" style="1" customWidth="1"/>
    <col min="2051" max="2051" width="12" style="1" bestFit="1" customWidth="1"/>
    <col min="2052" max="2304" width="9.140625" style="1"/>
    <col min="2305" max="2305" width="29.5703125" style="1" bestFit="1" customWidth="1"/>
    <col min="2306" max="2306" width="19.85546875" style="1" customWidth="1"/>
    <col min="2307" max="2307" width="12" style="1" bestFit="1" customWidth="1"/>
    <col min="2308" max="2560" width="9.140625" style="1"/>
    <col min="2561" max="2561" width="29.5703125" style="1" bestFit="1" customWidth="1"/>
    <col min="2562" max="2562" width="19.85546875" style="1" customWidth="1"/>
    <col min="2563" max="2563" width="12" style="1" bestFit="1" customWidth="1"/>
    <col min="2564" max="2816" width="9.140625" style="1"/>
    <col min="2817" max="2817" width="29.5703125" style="1" bestFit="1" customWidth="1"/>
    <col min="2818" max="2818" width="19.85546875" style="1" customWidth="1"/>
    <col min="2819" max="2819" width="12" style="1" bestFit="1" customWidth="1"/>
    <col min="2820" max="3072" width="9.140625" style="1"/>
    <col min="3073" max="3073" width="29.5703125" style="1" bestFit="1" customWidth="1"/>
    <col min="3074" max="3074" width="19.85546875" style="1" customWidth="1"/>
    <col min="3075" max="3075" width="12" style="1" bestFit="1" customWidth="1"/>
    <col min="3076" max="3328" width="9.140625" style="1"/>
    <col min="3329" max="3329" width="29.5703125" style="1" bestFit="1" customWidth="1"/>
    <col min="3330" max="3330" width="19.85546875" style="1" customWidth="1"/>
    <col min="3331" max="3331" width="12" style="1" bestFit="1" customWidth="1"/>
    <col min="3332" max="3584" width="9.140625" style="1"/>
    <col min="3585" max="3585" width="29.5703125" style="1" bestFit="1" customWidth="1"/>
    <col min="3586" max="3586" width="19.85546875" style="1" customWidth="1"/>
    <col min="3587" max="3587" width="12" style="1" bestFit="1" customWidth="1"/>
    <col min="3588" max="3840" width="9.140625" style="1"/>
    <col min="3841" max="3841" width="29.5703125" style="1" bestFit="1" customWidth="1"/>
    <col min="3842" max="3842" width="19.85546875" style="1" customWidth="1"/>
    <col min="3843" max="3843" width="12" style="1" bestFit="1" customWidth="1"/>
    <col min="3844" max="4096" width="9.140625" style="1"/>
    <col min="4097" max="4097" width="29.5703125" style="1" bestFit="1" customWidth="1"/>
    <col min="4098" max="4098" width="19.85546875" style="1" customWidth="1"/>
    <col min="4099" max="4099" width="12" style="1" bestFit="1" customWidth="1"/>
    <col min="4100" max="4352" width="9.140625" style="1"/>
    <col min="4353" max="4353" width="29.5703125" style="1" bestFit="1" customWidth="1"/>
    <col min="4354" max="4354" width="19.85546875" style="1" customWidth="1"/>
    <col min="4355" max="4355" width="12" style="1" bestFit="1" customWidth="1"/>
    <col min="4356" max="4608" width="9.140625" style="1"/>
    <col min="4609" max="4609" width="29.5703125" style="1" bestFit="1" customWidth="1"/>
    <col min="4610" max="4610" width="19.85546875" style="1" customWidth="1"/>
    <col min="4611" max="4611" width="12" style="1" bestFit="1" customWidth="1"/>
    <col min="4612" max="4864" width="9.140625" style="1"/>
    <col min="4865" max="4865" width="29.5703125" style="1" bestFit="1" customWidth="1"/>
    <col min="4866" max="4866" width="19.85546875" style="1" customWidth="1"/>
    <col min="4867" max="4867" width="12" style="1" bestFit="1" customWidth="1"/>
    <col min="4868" max="5120" width="9.140625" style="1"/>
    <col min="5121" max="5121" width="29.5703125" style="1" bestFit="1" customWidth="1"/>
    <col min="5122" max="5122" width="19.85546875" style="1" customWidth="1"/>
    <col min="5123" max="5123" width="12" style="1" bestFit="1" customWidth="1"/>
    <col min="5124" max="5376" width="9.140625" style="1"/>
    <col min="5377" max="5377" width="29.5703125" style="1" bestFit="1" customWidth="1"/>
    <col min="5378" max="5378" width="19.85546875" style="1" customWidth="1"/>
    <col min="5379" max="5379" width="12" style="1" bestFit="1" customWidth="1"/>
    <col min="5380" max="5632" width="9.140625" style="1"/>
    <col min="5633" max="5633" width="29.5703125" style="1" bestFit="1" customWidth="1"/>
    <col min="5634" max="5634" width="19.85546875" style="1" customWidth="1"/>
    <col min="5635" max="5635" width="12" style="1" bestFit="1" customWidth="1"/>
    <col min="5636" max="5888" width="9.140625" style="1"/>
    <col min="5889" max="5889" width="29.5703125" style="1" bestFit="1" customWidth="1"/>
    <col min="5890" max="5890" width="19.85546875" style="1" customWidth="1"/>
    <col min="5891" max="5891" width="12" style="1" bestFit="1" customWidth="1"/>
    <col min="5892" max="6144" width="9.140625" style="1"/>
    <col min="6145" max="6145" width="29.5703125" style="1" bestFit="1" customWidth="1"/>
    <col min="6146" max="6146" width="19.85546875" style="1" customWidth="1"/>
    <col min="6147" max="6147" width="12" style="1" bestFit="1" customWidth="1"/>
    <col min="6148" max="6400" width="9.140625" style="1"/>
    <col min="6401" max="6401" width="29.5703125" style="1" bestFit="1" customWidth="1"/>
    <col min="6402" max="6402" width="19.85546875" style="1" customWidth="1"/>
    <col min="6403" max="6403" width="12" style="1" bestFit="1" customWidth="1"/>
    <col min="6404" max="6656" width="9.140625" style="1"/>
    <col min="6657" max="6657" width="29.5703125" style="1" bestFit="1" customWidth="1"/>
    <col min="6658" max="6658" width="19.85546875" style="1" customWidth="1"/>
    <col min="6659" max="6659" width="12" style="1" bestFit="1" customWidth="1"/>
    <col min="6660" max="6912" width="9.140625" style="1"/>
    <col min="6913" max="6913" width="29.5703125" style="1" bestFit="1" customWidth="1"/>
    <col min="6914" max="6914" width="19.85546875" style="1" customWidth="1"/>
    <col min="6915" max="6915" width="12" style="1" bestFit="1" customWidth="1"/>
    <col min="6916" max="7168" width="9.140625" style="1"/>
    <col min="7169" max="7169" width="29.5703125" style="1" bestFit="1" customWidth="1"/>
    <col min="7170" max="7170" width="19.85546875" style="1" customWidth="1"/>
    <col min="7171" max="7171" width="12" style="1" bestFit="1" customWidth="1"/>
    <col min="7172" max="7424" width="9.140625" style="1"/>
    <col min="7425" max="7425" width="29.5703125" style="1" bestFit="1" customWidth="1"/>
    <col min="7426" max="7426" width="19.85546875" style="1" customWidth="1"/>
    <col min="7427" max="7427" width="12" style="1" bestFit="1" customWidth="1"/>
    <col min="7428" max="7680" width="9.140625" style="1"/>
    <col min="7681" max="7681" width="29.5703125" style="1" bestFit="1" customWidth="1"/>
    <col min="7682" max="7682" width="19.85546875" style="1" customWidth="1"/>
    <col min="7683" max="7683" width="12" style="1" bestFit="1" customWidth="1"/>
    <col min="7684" max="7936" width="9.140625" style="1"/>
    <col min="7937" max="7937" width="29.5703125" style="1" bestFit="1" customWidth="1"/>
    <col min="7938" max="7938" width="19.85546875" style="1" customWidth="1"/>
    <col min="7939" max="7939" width="12" style="1" bestFit="1" customWidth="1"/>
    <col min="7940" max="8192" width="9.140625" style="1"/>
    <col min="8193" max="8193" width="29.5703125" style="1" bestFit="1" customWidth="1"/>
    <col min="8194" max="8194" width="19.85546875" style="1" customWidth="1"/>
    <col min="8195" max="8195" width="12" style="1" bestFit="1" customWidth="1"/>
    <col min="8196" max="8448" width="9.140625" style="1"/>
    <col min="8449" max="8449" width="29.5703125" style="1" bestFit="1" customWidth="1"/>
    <col min="8450" max="8450" width="19.85546875" style="1" customWidth="1"/>
    <col min="8451" max="8451" width="12" style="1" bestFit="1" customWidth="1"/>
    <col min="8452" max="8704" width="9.140625" style="1"/>
    <col min="8705" max="8705" width="29.5703125" style="1" bestFit="1" customWidth="1"/>
    <col min="8706" max="8706" width="19.85546875" style="1" customWidth="1"/>
    <col min="8707" max="8707" width="12" style="1" bestFit="1" customWidth="1"/>
    <col min="8708" max="8960" width="9.140625" style="1"/>
    <col min="8961" max="8961" width="29.5703125" style="1" bestFit="1" customWidth="1"/>
    <col min="8962" max="8962" width="19.85546875" style="1" customWidth="1"/>
    <col min="8963" max="8963" width="12" style="1" bestFit="1" customWidth="1"/>
    <col min="8964" max="9216" width="9.140625" style="1"/>
    <col min="9217" max="9217" width="29.5703125" style="1" bestFit="1" customWidth="1"/>
    <col min="9218" max="9218" width="19.85546875" style="1" customWidth="1"/>
    <col min="9219" max="9219" width="12" style="1" bestFit="1" customWidth="1"/>
    <col min="9220" max="9472" width="9.140625" style="1"/>
    <col min="9473" max="9473" width="29.5703125" style="1" bestFit="1" customWidth="1"/>
    <col min="9474" max="9474" width="19.85546875" style="1" customWidth="1"/>
    <col min="9475" max="9475" width="12" style="1" bestFit="1" customWidth="1"/>
    <col min="9476" max="9728" width="9.140625" style="1"/>
    <col min="9729" max="9729" width="29.5703125" style="1" bestFit="1" customWidth="1"/>
    <col min="9730" max="9730" width="19.85546875" style="1" customWidth="1"/>
    <col min="9731" max="9731" width="12" style="1" bestFit="1" customWidth="1"/>
    <col min="9732" max="9984" width="9.140625" style="1"/>
    <col min="9985" max="9985" width="29.5703125" style="1" bestFit="1" customWidth="1"/>
    <col min="9986" max="9986" width="19.85546875" style="1" customWidth="1"/>
    <col min="9987" max="9987" width="12" style="1" bestFit="1" customWidth="1"/>
    <col min="9988" max="10240" width="9.140625" style="1"/>
    <col min="10241" max="10241" width="29.5703125" style="1" bestFit="1" customWidth="1"/>
    <col min="10242" max="10242" width="19.85546875" style="1" customWidth="1"/>
    <col min="10243" max="10243" width="12" style="1" bestFit="1" customWidth="1"/>
    <col min="10244" max="10496" width="9.140625" style="1"/>
    <col min="10497" max="10497" width="29.5703125" style="1" bestFit="1" customWidth="1"/>
    <col min="10498" max="10498" width="19.85546875" style="1" customWidth="1"/>
    <col min="10499" max="10499" width="12" style="1" bestFit="1" customWidth="1"/>
    <col min="10500" max="10752" width="9.140625" style="1"/>
    <col min="10753" max="10753" width="29.5703125" style="1" bestFit="1" customWidth="1"/>
    <col min="10754" max="10754" width="19.85546875" style="1" customWidth="1"/>
    <col min="10755" max="10755" width="12" style="1" bestFit="1" customWidth="1"/>
    <col min="10756" max="11008" width="9.140625" style="1"/>
    <col min="11009" max="11009" width="29.5703125" style="1" bestFit="1" customWidth="1"/>
    <col min="11010" max="11010" width="19.85546875" style="1" customWidth="1"/>
    <col min="11011" max="11011" width="12" style="1" bestFit="1" customWidth="1"/>
    <col min="11012" max="11264" width="9.140625" style="1"/>
    <col min="11265" max="11265" width="29.5703125" style="1" bestFit="1" customWidth="1"/>
    <col min="11266" max="11266" width="19.85546875" style="1" customWidth="1"/>
    <col min="11267" max="11267" width="12" style="1" bestFit="1" customWidth="1"/>
    <col min="11268" max="11520" width="9.140625" style="1"/>
    <col min="11521" max="11521" width="29.5703125" style="1" bestFit="1" customWidth="1"/>
    <col min="11522" max="11522" width="19.85546875" style="1" customWidth="1"/>
    <col min="11523" max="11523" width="12" style="1" bestFit="1" customWidth="1"/>
    <col min="11524" max="11776" width="9.140625" style="1"/>
    <col min="11777" max="11777" width="29.5703125" style="1" bestFit="1" customWidth="1"/>
    <col min="11778" max="11778" width="19.85546875" style="1" customWidth="1"/>
    <col min="11779" max="11779" width="12" style="1" bestFit="1" customWidth="1"/>
    <col min="11780" max="12032" width="9.140625" style="1"/>
    <col min="12033" max="12033" width="29.5703125" style="1" bestFit="1" customWidth="1"/>
    <col min="12034" max="12034" width="19.85546875" style="1" customWidth="1"/>
    <col min="12035" max="12035" width="12" style="1" bestFit="1" customWidth="1"/>
    <col min="12036" max="12288" width="9.140625" style="1"/>
    <col min="12289" max="12289" width="29.5703125" style="1" bestFit="1" customWidth="1"/>
    <col min="12290" max="12290" width="19.85546875" style="1" customWidth="1"/>
    <col min="12291" max="12291" width="12" style="1" bestFit="1" customWidth="1"/>
    <col min="12292" max="12544" width="9.140625" style="1"/>
    <col min="12545" max="12545" width="29.5703125" style="1" bestFit="1" customWidth="1"/>
    <col min="12546" max="12546" width="19.85546875" style="1" customWidth="1"/>
    <col min="12547" max="12547" width="12" style="1" bestFit="1" customWidth="1"/>
    <col min="12548" max="12800" width="9.140625" style="1"/>
    <col min="12801" max="12801" width="29.5703125" style="1" bestFit="1" customWidth="1"/>
    <col min="12802" max="12802" width="19.85546875" style="1" customWidth="1"/>
    <col min="12803" max="12803" width="12" style="1" bestFit="1" customWidth="1"/>
    <col min="12804" max="13056" width="9.140625" style="1"/>
    <col min="13057" max="13057" width="29.5703125" style="1" bestFit="1" customWidth="1"/>
    <col min="13058" max="13058" width="19.85546875" style="1" customWidth="1"/>
    <col min="13059" max="13059" width="12" style="1" bestFit="1" customWidth="1"/>
    <col min="13060" max="13312" width="9.140625" style="1"/>
    <col min="13313" max="13313" width="29.5703125" style="1" bestFit="1" customWidth="1"/>
    <col min="13314" max="13314" width="19.85546875" style="1" customWidth="1"/>
    <col min="13315" max="13315" width="12" style="1" bestFit="1" customWidth="1"/>
    <col min="13316" max="13568" width="9.140625" style="1"/>
    <col min="13569" max="13569" width="29.5703125" style="1" bestFit="1" customWidth="1"/>
    <col min="13570" max="13570" width="19.85546875" style="1" customWidth="1"/>
    <col min="13571" max="13571" width="12" style="1" bestFit="1" customWidth="1"/>
    <col min="13572" max="13824" width="9.140625" style="1"/>
    <col min="13825" max="13825" width="29.5703125" style="1" bestFit="1" customWidth="1"/>
    <col min="13826" max="13826" width="19.85546875" style="1" customWidth="1"/>
    <col min="13827" max="13827" width="12" style="1" bestFit="1" customWidth="1"/>
    <col min="13828" max="14080" width="9.140625" style="1"/>
    <col min="14081" max="14081" width="29.5703125" style="1" bestFit="1" customWidth="1"/>
    <col min="14082" max="14082" width="19.85546875" style="1" customWidth="1"/>
    <col min="14083" max="14083" width="12" style="1" bestFit="1" customWidth="1"/>
    <col min="14084" max="14336" width="9.140625" style="1"/>
    <col min="14337" max="14337" width="29.5703125" style="1" bestFit="1" customWidth="1"/>
    <col min="14338" max="14338" width="19.85546875" style="1" customWidth="1"/>
    <col min="14339" max="14339" width="12" style="1" bestFit="1" customWidth="1"/>
    <col min="14340" max="14592" width="9.140625" style="1"/>
    <col min="14593" max="14593" width="29.5703125" style="1" bestFit="1" customWidth="1"/>
    <col min="14594" max="14594" width="19.85546875" style="1" customWidth="1"/>
    <col min="14595" max="14595" width="12" style="1" bestFit="1" customWidth="1"/>
    <col min="14596" max="14848" width="9.140625" style="1"/>
    <col min="14849" max="14849" width="29.5703125" style="1" bestFit="1" customWidth="1"/>
    <col min="14850" max="14850" width="19.85546875" style="1" customWidth="1"/>
    <col min="14851" max="14851" width="12" style="1" bestFit="1" customWidth="1"/>
    <col min="14852" max="15104" width="9.140625" style="1"/>
    <col min="15105" max="15105" width="29.5703125" style="1" bestFit="1" customWidth="1"/>
    <col min="15106" max="15106" width="19.85546875" style="1" customWidth="1"/>
    <col min="15107" max="15107" width="12" style="1" bestFit="1" customWidth="1"/>
    <col min="15108" max="15360" width="9.140625" style="1"/>
    <col min="15361" max="15361" width="29.5703125" style="1" bestFit="1" customWidth="1"/>
    <col min="15362" max="15362" width="19.85546875" style="1" customWidth="1"/>
    <col min="15363" max="15363" width="12" style="1" bestFit="1" customWidth="1"/>
    <col min="15364" max="15616" width="9.140625" style="1"/>
    <col min="15617" max="15617" width="29.5703125" style="1" bestFit="1" customWidth="1"/>
    <col min="15618" max="15618" width="19.85546875" style="1" customWidth="1"/>
    <col min="15619" max="15619" width="12" style="1" bestFit="1" customWidth="1"/>
    <col min="15620" max="15872" width="9.140625" style="1"/>
    <col min="15873" max="15873" width="29.5703125" style="1" bestFit="1" customWidth="1"/>
    <col min="15874" max="15874" width="19.85546875" style="1" customWidth="1"/>
    <col min="15875" max="15875" width="12" style="1" bestFit="1" customWidth="1"/>
    <col min="15876" max="16128" width="9.140625" style="1"/>
    <col min="16129" max="16129" width="29.5703125" style="1" bestFit="1" customWidth="1"/>
    <col min="16130" max="16130" width="19.85546875" style="1" customWidth="1"/>
    <col min="16131" max="16131" width="12" style="1" bestFit="1" customWidth="1"/>
    <col min="16132" max="16384" width="9.140625" style="1"/>
  </cols>
  <sheetData>
    <row r="1" spans="1:2">
      <c r="A1" s="1" t="s">
        <v>1676</v>
      </c>
      <c r="B1" s="1955">
        <v>6.1</v>
      </c>
    </row>
    <row r="2" spans="1:2">
      <c r="A2" s="1" t="s">
        <v>1677</v>
      </c>
      <c r="B2" s="1959">
        <v>43214.70989583333</v>
      </c>
    </row>
    <row r="3" spans="1:2">
      <c r="A3" s="1" t="s">
        <v>1678</v>
      </c>
      <c r="B3" s="1956" t="s">
        <v>1372</v>
      </c>
    </row>
    <row r="4" spans="1:2">
      <c r="A4" s="1" t="s">
        <v>1679</v>
      </c>
      <c r="B4" s="1956" t="s">
        <v>532</v>
      </c>
    </row>
    <row r="5" spans="1:2">
      <c r="A5" s="1" t="s">
        <v>1680</v>
      </c>
      <c r="B5" s="1956" t="s">
        <v>262</v>
      </c>
    </row>
    <row r="6" spans="1:2">
      <c r="A6" s="1" t="s">
        <v>1681</v>
      </c>
    </row>
    <row r="7" spans="1:2">
      <c r="A7" s="1" t="s">
        <v>1682</v>
      </c>
      <c r="B7" s="1956" t="s">
        <v>1726</v>
      </c>
    </row>
    <row r="8" spans="1:2">
      <c r="A8" s="1" t="s">
        <v>1683</v>
      </c>
      <c r="B8" s="1956" t="s">
        <v>1684</v>
      </c>
    </row>
    <row r="9" spans="1:2">
      <c r="A9" s="1" t="s">
        <v>1685</v>
      </c>
      <c r="B9" s="1956" t="s">
        <v>1722</v>
      </c>
    </row>
    <row r="10" spans="1:2">
      <c r="A10" s="1" t="s">
        <v>1686</v>
      </c>
    </row>
    <row r="11" spans="1:2">
      <c r="A11" s="1" t="s">
        <v>1687</v>
      </c>
    </row>
    <row r="12" spans="1:2">
      <c r="A12" s="1" t="s">
        <v>1688</v>
      </c>
    </row>
    <row r="13" spans="1:2">
      <c r="A13" s="1" t="s">
        <v>1689</v>
      </c>
    </row>
    <row r="14" spans="1:2">
      <c r="A14" s="1" t="s">
        <v>1690</v>
      </c>
    </row>
    <row r="15" spans="1:2">
      <c r="A15" s="1" t="s">
        <v>1691</v>
      </c>
    </row>
    <row r="16" spans="1:2">
      <c r="A16" s="1" t="s">
        <v>1692</v>
      </c>
    </row>
    <row r="17" spans="1:4">
      <c r="A17" s="1" t="s">
        <v>1693</v>
      </c>
      <c r="B17" s="1956" t="s">
        <v>1723</v>
      </c>
    </row>
    <row r="18" spans="1:4">
      <c r="A18" s="1" t="s">
        <v>1694</v>
      </c>
      <c r="B18" s="1956" t="s">
        <v>1373</v>
      </c>
    </row>
    <row r="19" spans="1:4">
      <c r="A19" s="1" t="s">
        <v>1695</v>
      </c>
      <c r="B19" s="1956" t="s">
        <v>339</v>
      </c>
    </row>
    <row r="20" spans="1:4">
      <c r="A20" s="1" t="s">
        <v>1696</v>
      </c>
      <c r="B20" s="1957">
        <v>25537101</v>
      </c>
    </row>
    <row r="21" spans="1:4">
      <c r="A21" s="1" t="s">
        <v>1697</v>
      </c>
      <c r="B21" s="1956" t="s">
        <v>339</v>
      </c>
    </row>
    <row r="22" spans="1:4">
      <c r="A22" s="1" t="s">
        <v>1698</v>
      </c>
      <c r="B22" s="1957">
        <v>2026242</v>
      </c>
    </row>
    <row r="23" spans="1:4">
      <c r="A23" s="1" t="s">
        <v>838</v>
      </c>
      <c r="B23" s="1955">
        <v>68.88</v>
      </c>
    </row>
    <row r="24" spans="1:4">
      <c r="A24" s="1" t="s">
        <v>286</v>
      </c>
      <c r="B24" s="1956" t="s">
        <v>301</v>
      </c>
      <c r="D24" s="1" t="s">
        <v>255</v>
      </c>
    </row>
    <row r="25" spans="1:4">
      <c r="A25" s="1" t="s">
        <v>1699</v>
      </c>
      <c r="B25" s="1956" t="s">
        <v>1727</v>
      </c>
    </row>
    <row r="26" spans="1:4">
      <c r="A26" s="1" t="s">
        <v>1700</v>
      </c>
      <c r="B26" s="1956">
        <v>0</v>
      </c>
    </row>
    <row r="27" spans="1:4">
      <c r="A27" s="1" t="s">
        <v>1701</v>
      </c>
      <c r="B27" s="1956" t="s">
        <v>1702</v>
      </c>
    </row>
    <row r="28" spans="1:4">
      <c r="A28" s="1" t="s">
        <v>1703</v>
      </c>
      <c r="B28" s="1956" t="s">
        <v>1704</v>
      </c>
    </row>
    <row r="29" spans="1:4">
      <c r="A29" s="1" t="s">
        <v>1705</v>
      </c>
    </row>
    <row r="30" spans="1:4">
      <c r="A30" s="1" t="s">
        <v>1706</v>
      </c>
    </row>
    <row r="31" spans="1:4">
      <c r="A31" s="1" t="s">
        <v>1707</v>
      </c>
    </row>
    <row r="32" spans="1:4">
      <c r="A32" s="1" t="s">
        <v>1708</v>
      </c>
      <c r="B32" s="1955"/>
    </row>
    <row r="33" spans="1:2">
      <c r="A33" s="1" t="s">
        <v>1709</v>
      </c>
      <c r="B33" s="1955"/>
    </row>
    <row r="34" spans="1:2">
      <c r="A34" s="1" t="s">
        <v>1710</v>
      </c>
      <c r="B34" s="1955"/>
    </row>
    <row r="35" spans="1:2">
      <c r="A35" s="1" t="s">
        <v>1711</v>
      </c>
      <c r="B35" s="1956">
        <v>1000000</v>
      </c>
    </row>
    <row r="36" spans="1:2">
      <c r="A36" s="1" t="s">
        <v>1712</v>
      </c>
      <c r="B36" s="1956" t="s">
        <v>1724</v>
      </c>
    </row>
    <row r="37" spans="1:2">
      <c r="A37" s="1" t="s">
        <v>1713</v>
      </c>
      <c r="B37" s="1956" t="s">
        <v>1714</v>
      </c>
    </row>
    <row r="38" spans="1:2">
      <c r="A38" s="1" t="s">
        <v>1715</v>
      </c>
      <c r="B38" s="1956" t="s">
        <v>1716</v>
      </c>
    </row>
    <row r="39" spans="1:2">
      <c r="A39" s="1" t="s">
        <v>1717</v>
      </c>
      <c r="B39" s="1956" t="s">
        <v>1725</v>
      </c>
    </row>
    <row r="40" spans="1:2">
      <c r="A40" s="1" t="s">
        <v>1718</v>
      </c>
      <c r="B40" s="1956">
        <v>1500005508</v>
      </c>
    </row>
    <row r="41" spans="1:2">
      <c r="A41" s="1" t="s">
        <v>1719</v>
      </c>
      <c r="B41" s="1956">
        <v>1</v>
      </c>
    </row>
    <row r="42" spans="1:2">
      <c r="A42" s="1958" t="s">
        <v>1720</v>
      </c>
    </row>
    <row r="43" spans="1:2">
      <c r="A43" s="1" t="s">
        <v>1721</v>
      </c>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13"/>
  <sheetViews>
    <sheetView workbookViewId="0">
      <selection activeCell="E11" sqref="E11"/>
    </sheetView>
  </sheetViews>
  <sheetFormatPr defaultRowHeight="12.75"/>
  <cols>
    <col min="1" max="1" width="28.5703125" style="1" bestFit="1" customWidth="1"/>
    <col min="2" max="256" width="9.140625" style="1"/>
    <col min="257" max="257" width="28.5703125" style="1" bestFit="1" customWidth="1"/>
    <col min="258" max="512" width="9.140625" style="1"/>
    <col min="513" max="513" width="28.5703125" style="1" bestFit="1" customWidth="1"/>
    <col min="514" max="768" width="9.140625" style="1"/>
    <col min="769" max="769" width="28.5703125" style="1" bestFit="1" customWidth="1"/>
    <col min="770" max="1024" width="9.140625" style="1"/>
    <col min="1025" max="1025" width="28.5703125" style="1" bestFit="1" customWidth="1"/>
    <col min="1026" max="1280" width="9.140625" style="1"/>
    <col min="1281" max="1281" width="28.5703125" style="1" bestFit="1" customWidth="1"/>
    <col min="1282" max="1536" width="9.140625" style="1"/>
    <col min="1537" max="1537" width="28.5703125" style="1" bestFit="1" customWidth="1"/>
    <col min="1538" max="1792" width="9.140625" style="1"/>
    <col min="1793" max="1793" width="28.5703125" style="1" bestFit="1" customWidth="1"/>
    <col min="1794" max="2048" width="9.140625" style="1"/>
    <col min="2049" max="2049" width="28.5703125" style="1" bestFit="1" customWidth="1"/>
    <col min="2050" max="2304" width="9.140625" style="1"/>
    <col min="2305" max="2305" width="28.5703125" style="1" bestFit="1" customWidth="1"/>
    <col min="2306" max="2560" width="9.140625" style="1"/>
    <col min="2561" max="2561" width="28.5703125" style="1" bestFit="1" customWidth="1"/>
    <col min="2562" max="2816" width="9.140625" style="1"/>
    <col min="2817" max="2817" width="28.5703125" style="1" bestFit="1" customWidth="1"/>
    <col min="2818" max="3072" width="9.140625" style="1"/>
    <col min="3073" max="3073" width="28.5703125" style="1" bestFit="1" customWidth="1"/>
    <col min="3074" max="3328" width="9.140625" style="1"/>
    <col min="3329" max="3329" width="28.5703125" style="1" bestFit="1" customWidth="1"/>
    <col min="3330" max="3584" width="9.140625" style="1"/>
    <col min="3585" max="3585" width="28.5703125" style="1" bestFit="1" customWidth="1"/>
    <col min="3586" max="3840" width="9.140625" style="1"/>
    <col min="3841" max="3841" width="28.5703125" style="1" bestFit="1" customWidth="1"/>
    <col min="3842" max="4096" width="9.140625" style="1"/>
    <col min="4097" max="4097" width="28.5703125" style="1" bestFit="1" customWidth="1"/>
    <col min="4098" max="4352" width="9.140625" style="1"/>
    <col min="4353" max="4353" width="28.5703125" style="1" bestFit="1" customWidth="1"/>
    <col min="4354" max="4608" width="9.140625" style="1"/>
    <col min="4609" max="4609" width="28.5703125" style="1" bestFit="1" customWidth="1"/>
    <col min="4610" max="4864" width="9.140625" style="1"/>
    <col min="4865" max="4865" width="28.5703125" style="1" bestFit="1" customWidth="1"/>
    <col min="4866" max="5120" width="9.140625" style="1"/>
    <col min="5121" max="5121" width="28.5703125" style="1" bestFit="1" customWidth="1"/>
    <col min="5122" max="5376" width="9.140625" style="1"/>
    <col min="5377" max="5377" width="28.5703125" style="1" bestFit="1" customWidth="1"/>
    <col min="5378" max="5632" width="9.140625" style="1"/>
    <col min="5633" max="5633" width="28.5703125" style="1" bestFit="1" customWidth="1"/>
    <col min="5634" max="5888" width="9.140625" style="1"/>
    <col min="5889" max="5889" width="28.5703125" style="1" bestFit="1" customWidth="1"/>
    <col min="5890" max="6144" width="9.140625" style="1"/>
    <col min="6145" max="6145" width="28.5703125" style="1" bestFit="1" customWidth="1"/>
    <col min="6146" max="6400" width="9.140625" style="1"/>
    <col min="6401" max="6401" width="28.5703125" style="1" bestFit="1" customWidth="1"/>
    <col min="6402" max="6656" width="9.140625" style="1"/>
    <col min="6657" max="6657" width="28.5703125" style="1" bestFit="1" customWidth="1"/>
    <col min="6658" max="6912" width="9.140625" style="1"/>
    <col min="6913" max="6913" width="28.5703125" style="1" bestFit="1" customWidth="1"/>
    <col min="6914" max="7168" width="9.140625" style="1"/>
    <col min="7169" max="7169" width="28.5703125" style="1" bestFit="1" customWidth="1"/>
    <col min="7170" max="7424" width="9.140625" style="1"/>
    <col min="7425" max="7425" width="28.5703125" style="1" bestFit="1" customWidth="1"/>
    <col min="7426" max="7680" width="9.140625" style="1"/>
    <col min="7681" max="7681" width="28.5703125" style="1" bestFit="1" customWidth="1"/>
    <col min="7682" max="7936" width="9.140625" style="1"/>
    <col min="7937" max="7937" width="28.5703125" style="1" bestFit="1" customWidth="1"/>
    <col min="7938" max="8192" width="9.140625" style="1"/>
    <col min="8193" max="8193" width="28.5703125" style="1" bestFit="1" customWidth="1"/>
    <col min="8194" max="8448" width="9.140625" style="1"/>
    <col min="8449" max="8449" width="28.5703125" style="1" bestFit="1" customWidth="1"/>
    <col min="8450" max="8704" width="9.140625" style="1"/>
    <col min="8705" max="8705" width="28.5703125" style="1" bestFit="1" customWidth="1"/>
    <col min="8706" max="8960" width="9.140625" style="1"/>
    <col min="8961" max="8961" width="28.5703125" style="1" bestFit="1" customWidth="1"/>
    <col min="8962" max="9216" width="9.140625" style="1"/>
    <col min="9217" max="9217" width="28.5703125" style="1" bestFit="1" customWidth="1"/>
    <col min="9218" max="9472" width="9.140625" style="1"/>
    <col min="9473" max="9473" width="28.5703125" style="1" bestFit="1" customWidth="1"/>
    <col min="9474" max="9728" width="9.140625" style="1"/>
    <col min="9729" max="9729" width="28.5703125" style="1" bestFit="1" customWidth="1"/>
    <col min="9730" max="9984" width="9.140625" style="1"/>
    <col min="9985" max="9985" width="28.5703125" style="1" bestFit="1" customWidth="1"/>
    <col min="9986" max="10240" width="9.140625" style="1"/>
    <col min="10241" max="10241" width="28.5703125" style="1" bestFit="1" customWidth="1"/>
    <col min="10242" max="10496" width="9.140625" style="1"/>
    <col min="10497" max="10497" width="28.5703125" style="1" bestFit="1" customWidth="1"/>
    <col min="10498" max="10752" width="9.140625" style="1"/>
    <col min="10753" max="10753" width="28.5703125" style="1" bestFit="1" customWidth="1"/>
    <col min="10754" max="11008" width="9.140625" style="1"/>
    <col min="11009" max="11009" width="28.5703125" style="1" bestFit="1" customWidth="1"/>
    <col min="11010" max="11264" width="9.140625" style="1"/>
    <col min="11265" max="11265" width="28.5703125" style="1" bestFit="1" customWidth="1"/>
    <col min="11266" max="11520" width="9.140625" style="1"/>
    <col min="11521" max="11521" width="28.5703125" style="1" bestFit="1" customWidth="1"/>
    <col min="11522" max="11776" width="9.140625" style="1"/>
    <col min="11777" max="11777" width="28.5703125" style="1" bestFit="1" customWidth="1"/>
    <col min="11778" max="12032" width="9.140625" style="1"/>
    <col min="12033" max="12033" width="28.5703125" style="1" bestFit="1" customWidth="1"/>
    <col min="12034" max="12288" width="9.140625" style="1"/>
    <col min="12289" max="12289" width="28.5703125" style="1" bestFit="1" customWidth="1"/>
    <col min="12290" max="12544" width="9.140625" style="1"/>
    <col min="12545" max="12545" width="28.5703125" style="1" bestFit="1" customWidth="1"/>
    <col min="12546" max="12800" width="9.140625" style="1"/>
    <col min="12801" max="12801" width="28.5703125" style="1" bestFit="1" customWidth="1"/>
    <col min="12802" max="13056" width="9.140625" style="1"/>
    <col min="13057" max="13057" width="28.5703125" style="1" bestFit="1" customWidth="1"/>
    <col min="13058" max="13312" width="9.140625" style="1"/>
    <col min="13313" max="13313" width="28.5703125" style="1" bestFit="1" customWidth="1"/>
    <col min="13314" max="13568" width="9.140625" style="1"/>
    <col min="13569" max="13569" width="28.5703125" style="1" bestFit="1" customWidth="1"/>
    <col min="13570" max="13824" width="9.140625" style="1"/>
    <col min="13825" max="13825" width="28.5703125" style="1" bestFit="1" customWidth="1"/>
    <col min="13826" max="14080" width="9.140625" style="1"/>
    <col min="14081" max="14081" width="28.5703125" style="1" bestFit="1" customWidth="1"/>
    <col min="14082" max="14336" width="9.140625" style="1"/>
    <col min="14337" max="14337" width="28.5703125" style="1" bestFit="1" customWidth="1"/>
    <col min="14338" max="14592" width="9.140625" style="1"/>
    <col min="14593" max="14593" width="28.5703125" style="1" bestFit="1" customWidth="1"/>
    <col min="14594" max="14848" width="9.140625" style="1"/>
    <col min="14849" max="14849" width="28.5703125" style="1" bestFit="1" customWidth="1"/>
    <col min="14850" max="15104" width="9.140625" style="1"/>
    <col min="15105" max="15105" width="28.5703125" style="1" bestFit="1" customWidth="1"/>
    <col min="15106" max="15360" width="9.140625" style="1"/>
    <col min="15361" max="15361" width="28.5703125" style="1" bestFit="1" customWidth="1"/>
    <col min="15362" max="15616" width="9.140625" style="1"/>
    <col min="15617" max="15617" width="28.5703125" style="1" bestFit="1" customWidth="1"/>
    <col min="15618" max="15872" width="9.140625" style="1"/>
    <col min="15873" max="15873" width="28.5703125" style="1" bestFit="1" customWidth="1"/>
    <col min="15874" max="16128" width="9.140625" style="1"/>
    <col min="16129" max="16129" width="28.5703125" style="1" bestFit="1" customWidth="1"/>
    <col min="16130" max="16384" width="9.140625" style="1"/>
  </cols>
  <sheetData>
    <row r="1" spans="1:1">
      <c r="A1" s="1960" t="s">
        <v>1728</v>
      </c>
    </row>
    <row r="2" spans="1:1">
      <c r="A2" s="1960" t="s">
        <v>1733</v>
      </c>
    </row>
    <row r="3" spans="1:1">
      <c r="A3" s="1960" t="s">
        <v>1734</v>
      </c>
    </row>
    <row r="4" spans="1:1">
      <c r="A4" s="1960" t="s">
        <v>1735</v>
      </c>
    </row>
    <row r="5" spans="1:1">
      <c r="A5" s="1960" t="s">
        <v>1736</v>
      </c>
    </row>
    <row r="6" spans="1:1">
      <c r="A6" s="1960" t="s">
        <v>1729</v>
      </c>
    </row>
    <row r="7" spans="1:1">
      <c r="A7" s="1960" t="s">
        <v>1737</v>
      </c>
    </row>
    <row r="8" spans="1:1">
      <c r="A8" s="1960" t="s">
        <v>1738</v>
      </c>
    </row>
    <row r="9" spans="1:1">
      <c r="A9" s="1960" t="s">
        <v>1739</v>
      </c>
    </row>
    <row r="10" spans="1:1">
      <c r="A10" s="1960" t="s">
        <v>1730</v>
      </c>
    </row>
    <row r="11" spans="1:1">
      <c r="A11" s="1960" t="s">
        <v>1740</v>
      </c>
    </row>
    <row r="12" spans="1:1">
      <c r="A12" s="1960" t="s">
        <v>1731</v>
      </c>
    </row>
    <row r="13" spans="1:1">
      <c r="A13" s="1960" t="s">
        <v>1732</v>
      </c>
    </row>
  </sheetData>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2.75"/>
  <sheetData/>
  <phoneticPr fontId="89" type="noConversion"/>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D2"/>
  <sheetViews>
    <sheetView workbookViewId="0"/>
  </sheetViews>
  <sheetFormatPr defaultRowHeight="12.75"/>
  <sheetData>
    <row r="1" spans="1:30">
      <c r="A1" t="s">
        <v>581</v>
      </c>
    </row>
    <row r="2" spans="1:30">
      <c r="A2" s="480" t="s">
        <v>577</v>
      </c>
      <c r="B2" s="480" t="s">
        <v>303</v>
      </c>
      <c r="C2" s="480" t="s">
        <v>578</v>
      </c>
      <c r="D2" s="480" t="s">
        <v>303</v>
      </c>
      <c r="E2" s="480" t="s">
        <v>580</v>
      </c>
      <c r="F2" s="480" t="s">
        <v>303</v>
      </c>
      <c r="G2" s="480" t="s">
        <v>311</v>
      </c>
      <c r="H2" s="480" t="s">
        <v>303</v>
      </c>
      <c r="I2" s="480" t="s">
        <v>612</v>
      </c>
      <c r="J2" s="480" t="s">
        <v>607</v>
      </c>
      <c r="K2" s="480" t="s">
        <v>340</v>
      </c>
      <c r="L2" s="480" t="s">
        <v>1352</v>
      </c>
      <c r="M2" s="480" t="s">
        <v>579</v>
      </c>
      <c r="N2" s="480" t="s">
        <v>303</v>
      </c>
      <c r="O2" s="480" t="s">
        <v>611</v>
      </c>
      <c r="P2" s="480" t="s">
        <v>301</v>
      </c>
      <c r="Q2" s="480" t="s">
        <v>315</v>
      </c>
      <c r="R2" s="480" t="s">
        <v>303</v>
      </c>
      <c r="S2" s="480" t="s">
        <v>317</v>
      </c>
      <c r="T2" s="480" t="s">
        <v>303</v>
      </c>
      <c r="U2" s="480" t="s">
        <v>316</v>
      </c>
      <c r="V2" s="480" t="s">
        <v>303</v>
      </c>
      <c r="W2" s="480" t="s">
        <v>312</v>
      </c>
      <c r="X2" s="480" t="s">
        <v>303</v>
      </c>
      <c r="Y2" s="480" t="s">
        <v>310</v>
      </c>
      <c r="Z2" s="480" t="s">
        <v>303</v>
      </c>
      <c r="AA2" s="480" t="s">
        <v>313</v>
      </c>
      <c r="AB2" s="480" t="s">
        <v>303</v>
      </c>
      <c r="AC2" s="480" t="s">
        <v>314</v>
      </c>
      <c r="AD2" s="480" t="s">
        <v>303</v>
      </c>
    </row>
  </sheetData>
  <phoneticPr fontId="40"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file>

<file path=customXml/itemProps1.xml><?xml version="1.0" encoding="utf-8"?>
<ds:datastoreItem xmlns:ds="http://schemas.openxmlformats.org/officeDocument/2006/customXml" ds:itemID="{4B6C9C34-AD3D-4088-85C3-CA83790F4091}">
  <ds:schemaRefs>
    <ds:schemaRef ds:uri="thomsonreuters.linking.metadatachange"/>
  </ds:schemaRefs>
</ds:datastoreItem>
</file>

<file path=customXml/itemProps2.xml><?xml version="1.0" encoding="utf-8"?>
<ds:datastoreItem xmlns:ds="http://schemas.openxmlformats.org/officeDocument/2006/customXml" ds:itemID="{711C36DE-7B6F-4260-8ECA-63CD8D9248FE}">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117</vt:i4>
      </vt:variant>
    </vt:vector>
  </HeadingPairs>
  <TitlesOfParts>
    <vt:vector size="119" baseType="lpstr">
      <vt:lpstr>ImportantDisclosures</vt:lpstr>
      <vt:lpstr>CircularReferenceAlert</vt:lpstr>
      <vt:lpstr>Financials!_bdm.48BD514DC04A4AB4891E926213491EC9.edm</vt:lpstr>
      <vt:lpstr>Financials!_bdm.530488839E8A407C8F1C1B550BFC2836.edm</vt:lpstr>
      <vt:lpstr>Financials!_bdm.7264DC3258CD40029D96B7569D540AD9.edm</vt:lpstr>
      <vt:lpstr>Financials!_bdm.E967D92EDBF846E2B7B774FBF88F28E1.edm</vt:lpstr>
      <vt:lpstr>_NRG1</vt:lpstr>
      <vt:lpstr>AdditionalInstructions</vt:lpstr>
      <vt:lpstr>ImportantDisclosures!Address</vt:lpstr>
      <vt:lpstr>ModPubIndex!ANA</vt:lpstr>
      <vt:lpstr>ImportantDisclosures!Authors</vt:lpstr>
      <vt:lpstr>IndexInformation!Authors</vt:lpstr>
      <vt:lpstr>basept</vt:lpstr>
      <vt:lpstr>bearpt</vt:lpstr>
      <vt:lpstr>ModPubIndex!BRO</vt:lpstr>
      <vt:lpstr>bullpt</vt:lpstr>
      <vt:lpstr>CircularReferenceAlert!Buttons</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EPS</vt:lpstr>
      <vt:lpstr>IndexInformation!FiveYearGrowthRate</vt:lpstr>
      <vt:lpstr>IndexInformation!FollowingYearEPS</vt:lpstr>
      <vt:lpstr>IndexInformation!FollowingYearTotalRevenue</vt:lpstr>
      <vt:lpstr>IndexInformation!FollowingYearTotalRevenueActual</vt:lpstr>
      <vt:lpstr>GenCo</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Linking_Range_11</vt:lpstr>
      <vt:lpstr>Linking_Range_12</vt:lpstr>
      <vt:lpstr>Linking_Range_13</vt:lpstr>
      <vt:lpstr>Linking_Range_6</vt:lpstr>
      <vt:lpstr>Linking_Range_7</vt:lpstr>
      <vt:lpstr>Linking_Range_9</vt:lpstr>
      <vt:lpstr>IndexInformation!MacroVersion</vt:lpstr>
      <vt:lpstr>CircularReferenceAlert!MaxChange</vt:lpstr>
      <vt:lpstr>CircularReferenceAlert!MaxIterations</vt:lpstr>
      <vt:lpstr>ImportantDisclosures!ModelPrice</vt:lpstr>
      <vt:lpstr>IndexInformation!Multiplier</vt:lpstr>
      <vt:lpstr>IndexInformation!NextYearEPS</vt:lpstr>
      <vt:lpstr>IndexInformation!NextYearTotalRevenue</vt:lpstr>
      <vt:lpstr>IndexInformation!NextYearTotalRevenueActual</vt:lpstr>
      <vt:lpstr>NRGDispatchType</vt:lpstr>
      <vt:lpstr>NRGFuel</vt:lpstr>
      <vt:lpstr>NRGFuelType</vt:lpstr>
      <vt:lpstr>NRGHeatRate</vt:lpstr>
      <vt:lpstr>NRGHub</vt:lpstr>
      <vt:lpstr>NRGLDA</vt:lpstr>
      <vt:lpstr>NRGMW</vt:lpstr>
      <vt:lpstr>NRGNetMW</vt:lpstr>
      <vt:lpstr>NRGPlantType</vt:lpstr>
      <vt:lpstr>NRGPowerHub</vt:lpstr>
      <vt:lpstr>NRGRegion</vt:lpstr>
      <vt:lpstr>NRGSegment</vt:lpstr>
      <vt:lpstr>ObjectType</vt:lpstr>
      <vt:lpstr>ModPubIndex!PANA</vt:lpstr>
      <vt:lpstr>IndexInformation!PathName</vt:lpstr>
      <vt:lpstr>Premium</vt:lpstr>
      <vt:lpstr>AEP!Print_Area</vt:lpstr>
      <vt:lpstr>Debt!Print_Area</vt:lpstr>
      <vt:lpstr>Financials!Print_Area</vt:lpstr>
      <vt:lpstr>'Generation &amp; Marketing'!Print_Area</vt:lpstr>
      <vt:lpstr>Parent!Print_Area</vt:lpstr>
      <vt:lpstr>'T&amp;D Utilities'!Print_Area</vt:lpstr>
      <vt:lpstr>'Transmission Holdco'!Print_Area</vt:lpstr>
      <vt:lpstr>'Utility Detail'!Print_Area</vt:lpstr>
      <vt:lpstr>Valuation!Print_Area</vt:lpstr>
      <vt:lpstr>'Vertically Integrated Utilities'!Print_Area</vt:lpstr>
      <vt:lpstr>ModPubIndex!PRODUCT</vt:lpstr>
      <vt:lpstr>ModPubIndex!PSYM</vt:lpstr>
      <vt:lpstr>IndexInformation!PublishDate</vt:lpstr>
      <vt:lpstr>IndexInformation!Rating</vt:lpstr>
      <vt:lpstr>ImportantDisclosures!RatingsDefined</vt:lpstr>
      <vt:lpstr>RegPct</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Subs</vt:lpstr>
      <vt:lpstr>ModPubIndex!SUPPRESSED</vt:lpstr>
      <vt:lpstr>ImportantDisclosures!TargetPrice</vt:lpstr>
      <vt:lpstr>TemplateRegion</vt:lpstr>
      <vt:lpstr>ImportantDisclosures!Ticker</vt:lpstr>
      <vt:lpstr>ticker</vt:lpstr>
      <vt:lpstr>TickerRegion</vt:lpstr>
      <vt:lpstr>IndexInformation!Tickers</vt:lpstr>
      <vt:lpstr>IndexInformation!UpdateReason</vt:lpstr>
      <vt:lpstr>'Market Prices'!Uplift</vt:lpstr>
      <vt:lpstr>UtilityEPS</vt:lpstr>
      <vt:lpstr>UtilityPE</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2011-10-04T18:52:15Z</dcterms:created>
  <dc:creator>tverski</dc:creator>
  <cp:lastModifiedBy>Ellison, Ethan C (Research)</cp:lastModifiedBy>
  <cp:lastPrinted>2017-09-28T07:41:23Z</cp:lastPrinted>
  <dcterms:modified xsi:type="dcterms:W3CDTF">2018-04-24T21:02:19Z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13</vt:lpwstr>
  </property>
  <property fmtid="{D5CDD505-2E9C-101B-9397-08002B2CF9AE}" name="{A44787D4-0540-4523-9961-78E4036D8C6D}" pid="3">
    <vt:lpwstr>{5180FDEC-634A-4FE9-9D78-F2583499A14A}</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763750</vt:lpwstr>
  </property>
  <property fmtid="{D5CDD505-2E9C-101B-9397-08002B2CF9AE}" name="ERModPubCompanyName" pid="7">
    <vt:lpwstr>American Electric Power Co</vt:lpwstr>
  </property>
  <property fmtid="{D5CDD505-2E9C-101B-9397-08002B2CF9AE}" name="ERModPubMaxIterations" pid="8">
    <vt:i4>1000</vt:i4>
  </property>
  <property fmtid="{D5CDD505-2E9C-101B-9397-08002B2CF9AE}" name="ERModPubMaxChange" pid="9">
    <vt:r8>0.001</vt:r8>
  </property>
  <property fmtid="{D5CDD505-2E9C-101B-9397-08002B2CF9AE}" name="MSDH34TAG" pid="10">
    <vt:lpwstr>.TEZUF76X5TAHATHESADREYAK-00-INB160+*94600-06=cc5db578/-4802/-11e8/-adef/-6a0a1ce82510,MD=20180424172101/-0400,ZZ=000Z-e685.</vt:lpwstr>
  </property>
</Properties>
</file>